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tables/table1.xml" ContentType="application/vnd.openxmlformats-officedocument.spreadsheetml.table+xml"/>
  <Override PartName="/xl/comments3.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2.xml" ContentType="application/vnd.openxmlformats-officedocument.spreadsheetml.table+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6.xml" ContentType="application/vnd.openxmlformats-officedocument.spreadsheetml.comments+xml"/>
  <Override PartName="/xl/comments7.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comments8.xml" ContentType="application/vnd.openxmlformats-officedocument.spreadsheetml.comments+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48.xml" ContentType="application/vnd.openxmlformats-officedocument.spreadsheetml.table+xml"/>
  <Override PartName="/xl/queryTables/queryTable1.xml" ContentType="application/vnd.openxmlformats-officedocument.spreadsheetml.queryTable+xml"/>
  <Override PartName="/xl/tables/table49.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filterPrivacy="1" codeName="ThisWorkbook" hidePivotFieldList="1" defaultThemeVersion="124226"/>
  <xr:revisionPtr revIDLastSave="0" documentId="8_{53FE56D1-4657-4AED-B896-519182721006}" xr6:coauthVersionLast="41" xr6:coauthVersionMax="41" xr10:uidLastSave="{00000000-0000-0000-0000-000000000000}"/>
  <bookViews>
    <workbookView xWindow="-110" yWindow="-110" windowWidth="19420" windowHeight="10420" tabRatio="823" activeTab="3" xr2:uid="{00000000-000D-0000-FFFF-FFFF00000000}"/>
  </bookViews>
  <sheets>
    <sheet name="Error Check" sheetId="20" r:id="rId1"/>
    <sheet name="Data Entry►" sheetId="43" r:id="rId2"/>
    <sheet name="Variables" sheetId="19" r:id="rId3"/>
    <sheet name="Resource Costs" sheetId="1" r:id="rId4"/>
    <sheet name="Other Costs" sheetId="11" r:id="rId5"/>
    <sheet name="RTB for Srvc Trans" sheetId="7" r:id="rId6"/>
    <sheet name="Benefits" sheetId="33" r:id="rId7"/>
    <sheet name="◄Data Entry | Bus. Case Views►" sheetId="34" r:id="rId8"/>
    <sheet name="Business Case Summary" sheetId="39" r:id="rId9"/>
    <sheet name="Priority Scoring" sheetId="41" r:id="rId10"/>
    <sheet name="Individual FTC Cost View" sheetId="38" state="hidden" r:id="rId11"/>
    <sheet name="UK Allocation Driver" sheetId="42" r:id="rId12"/>
    <sheet name="◄Bus. Case Views | FWB Views►" sheetId="35" r:id="rId13"/>
    <sheet name="Long Form Output" sheetId="24" r:id="rId14"/>
    <sheet name="Short Form Output" sheetId="27" r:id="rId15"/>
    <sheet name="Financial Summary" sheetId="23" r:id="rId16"/>
    <sheet name="Monthly Summary" sheetId="5" r:id="rId17"/>
    <sheet name="Charts" sheetId="25" r:id="rId18"/>
    <sheet name="◄FWB Views | P2P►" sheetId="44" r:id="rId19"/>
    <sheet name="POs" sheetId="14" r:id="rId20"/>
    <sheet name="Invoices" sheetId="15" r:id="rId21"/>
    <sheet name="Accruals" sheetId="16" r:id="rId22"/>
    <sheet name="◄P2P | Drop Down Values►" sheetId="28" r:id="rId23"/>
    <sheet name="Roles by Org" sheetId="37" r:id="rId24"/>
    <sheet name="Cost Drop Down Values" sheetId="31" r:id="rId25"/>
    <sheet name="Benefits Drop Down Values" sheetId="32" r:id="rId26"/>
    <sheet name="Miscellaneous" sheetId="29" r:id="rId27"/>
    <sheet name="Links" sheetId="26" r:id="rId28"/>
    <sheet name="Cntl Tables" sheetId="46" state="hidden" r:id="rId29"/>
    <sheet name="INV_ID" sheetId="47" r:id="rId30"/>
    <sheet name="SAP Orders" sheetId="45" r:id="rId31"/>
  </sheets>
  <externalReferences>
    <externalReference r:id="rId32"/>
    <externalReference r:id="rId33"/>
  </externalReferences>
  <definedNames>
    <definedName name="_xlnm._FilterDatabase" localSheetId="21" hidden="1">Accruals!$A$2:$Q$2</definedName>
    <definedName name="_xlnm._FilterDatabase" localSheetId="6" hidden="1">Benefits!$A$4:$Q$59</definedName>
    <definedName name="_xlnm._FilterDatabase" localSheetId="20" hidden="1">Invoices!$A$2:$O$2</definedName>
    <definedName name="_xlnm._FilterDatabase" localSheetId="4" hidden="1">'Other Costs'!$A$4:$DP$4</definedName>
    <definedName name="_xlnm._FilterDatabase" localSheetId="19" hidden="1">POs!$A$2:$P$252</definedName>
    <definedName name="_xlnm._FilterDatabase" localSheetId="3" hidden="1">'Resource Costs'!$A$4:$FN$4</definedName>
    <definedName name="_Order1" hidden="1">255</definedName>
    <definedName name="_Order2" hidden="1">0</definedName>
    <definedName name="Accounting_Type">Miscellaneous!$N$2:$N$3</definedName>
    <definedName name="AFUDC">Variables!$B$51</definedName>
    <definedName name="AppDevelopment">AD_tbl[]</definedName>
    <definedName name="AppDevelopment_Oth">AD_Oth_tbl[]</definedName>
    <definedName name="AppDevelopment_Roles">AD_Roles_tbl[]</definedName>
    <definedName name="Architecture">Arch_tbl[]</definedName>
    <definedName name="Architecture_Interfaces_Oth">Arch_Int_Oth_tbl[]</definedName>
    <definedName name="Architecture_Oth">Arch_Oth_tbl[]</definedName>
    <definedName name="Architecture_Roles">Arch_Roles_tbl[]</definedName>
    <definedName name="Benefits">Benefit_Type[Benefits]</definedName>
    <definedName name="BizLead">Variables!$B$6</definedName>
    <definedName name="BizPartners">Biz_Partners_tbl[]</definedName>
    <definedName name="Business">Business_tbl[]</definedName>
    <definedName name="Business_Cost_Oth">Bus_Cost_Oth_tbl[]</definedName>
    <definedName name="Business_Oth">Business_Oth_tbl[]</definedName>
    <definedName name="Business_Roles">Bus_Roles_tbl[]</definedName>
    <definedName name="Capex_Risk">OFFSET('Monthly Summary'!$C$86,0,COUNTIF('Monthly Summary'!$C$86:$N$86,""),1,IF(COUNT('Monthly Summary'!$C$86:$BV$86)=0,1,COUNT('Monthly Summary'!$C$86:$BV$86)))</definedName>
    <definedName name="CAPEXTOTAL">'Business Case Summary'!$Q$84</definedName>
    <definedName name="Central_Performance_PMO_Oth">Cent_Perf_PMO_Oth_tbl[]</definedName>
    <definedName name="Country">Miscellaneous!$N$13:$N$14</definedName>
    <definedName name="country_type">'[1]1. Business Case Definitions'!$G$2</definedName>
    <definedName name="Currency">Miscellaneous!$N$17:$N$18</definedName>
    <definedName name="Development_Testing_Oth">DevTest_Oth_tbl[]</definedName>
    <definedName name="Expense_Type">Miscellaneous!$N$21:$N$23</definedName>
    <definedName name="Firms">Variables!$A$38:$A$49</definedName>
    <definedName name="FY_Benefits">Miscellaneous!$J$3:$J$13</definedName>
    <definedName name="FY_ProjRel">Miscellaneous!$H$3:$H$8</definedName>
    <definedName name="FY_RTB">Miscellaneous!$I$3:$I$16</definedName>
    <definedName name="GroupFunction">GroupFunc_tbl[]</definedName>
    <definedName name="GroupFunction_Oth">GroupFunc_Oth_tbl[]</definedName>
    <definedName name="GroupFunction_Roles">GF_Roles_tbl[]</definedName>
    <definedName name="Hardware_Oth">Hardware_tbl[]</definedName>
    <definedName name="Infra_Operations">IO_Tbl[]</definedName>
    <definedName name="Infra_Operations_Oth">IO_Oth_tbl[]</definedName>
    <definedName name="Infra_Operations_Roles">IO_Roles_tbl[]</definedName>
    <definedName name="Initial_Installation_Oth">Init_Install_Oth_tbl[]</definedName>
    <definedName name="INV_ID">OFFSET(INV_ID!$A:$A,1,0,COUNTA(INV_ID!$A:$A)-1,1)</definedName>
    <definedName name="IT_Bus_App_Services">Miscellaneous!$S$3:$V$3</definedName>
    <definedName name="IT_Cloud_Hosting_Services">Miscellaneous!$S$6:$V$6</definedName>
    <definedName name="IT_Commercial">Miscellaneous!$S$7:$U$7</definedName>
    <definedName name="IT_End_User_Collab_Services">Miscellaneous!$S$5:$U$5</definedName>
    <definedName name="IT_Network_Infra_Services">Miscellaneous!$S$4:$U$4</definedName>
    <definedName name="Miscellaneous_Oth">Misc_tbl[]</definedName>
    <definedName name="Opex">Miscellaneous!$N$3</definedName>
    <definedName name="Opex_Risk">OFFSET('Monthly Summary'!$C$85,0,COUNTIF('Monthly Summary'!$C$85:$N$85,""),1,IF(COUNT('Monthly Summary'!$C$85:$BV$85)=0,1,COUNT('Monthly Summary'!$C$85:$BV$85)))</definedName>
    <definedName name="Opex_Rules">Opex_Rules_tbl[]</definedName>
    <definedName name="OPEXTOTAL">'Business Case Summary'!$Q$85</definedName>
    <definedName name="Orders">OFFSET('Cntl Tables'!$B$3,0,0,'Cntl Tables'!$D$1,1)</definedName>
    <definedName name="Oth_Costs_tbl">'Other Costs'!$DE$4:$DO$167</definedName>
    <definedName name="owssvr_1" localSheetId="30" hidden="1">'SAP Orders'!$A$1:$AB$1870</definedName>
    <definedName name="Pilot_Implementation_Oth">Pilot_Imp_Oth_tbl[]</definedName>
    <definedName name="Planning_Oth">Planning_Oth_tbl[]</definedName>
    <definedName name="PO_Number">OFFSET(POs!$H$3,0,0,COUNTA(POs!$K:$K)-5,1)</definedName>
    <definedName name="_xlnm.Print_Area" localSheetId="6">Benefits!$A$1:$Q$5</definedName>
    <definedName name="_xlnm.Print_Titles" localSheetId="21">Accruals!$2:$2</definedName>
    <definedName name="_xlnm.Print_Titles" localSheetId="20">Invoices!$2:$2</definedName>
    <definedName name="_xlnm.Print_Titles" localSheetId="16">'Monthly Summary'!$1:$4</definedName>
    <definedName name="_xlnm.Print_Titles" localSheetId="4">'Other Costs'!$2:$4</definedName>
    <definedName name="_xlnm.Print_Titles" localSheetId="19">POs!$2:$2</definedName>
    <definedName name="_xlnm.Print_Titles" localSheetId="3">'Resource Costs'!$2:$4</definedName>
    <definedName name="_xlnm.Print_Titles" localSheetId="5">'RTB for Srvc Trans'!$1:$23</definedName>
    <definedName name="query" localSheetId="29" hidden="1">INV_ID!$A$1:$Q$5769</definedName>
    <definedName name="Res_Costs_tbl">'Resource Costs'!$FC$4:$FM$254</definedName>
    <definedName name="Risk_Mths">OFFSET('Monthly Summary'!$C$84,0,COUNTIF('Monthly Summary'!$C$87:$N$87,""),1,IF(COUNT('Monthly Summary'!$C$87:$BV$87)=0,1,COUNT('Monthly Summary'!$C$87:$BV$87)))</definedName>
    <definedName name="RiskMargin">Variables!$B$65</definedName>
    <definedName name="RTB_BudgetOwners">RTB_BudgetOwner_tbl[Core Budget Owners]</definedName>
    <definedName name="RTB_Inc_tbl">'RTB for Srvc Trans'!$Q$23:$Z$57</definedName>
    <definedName name="Sanction_Period">OFFSET(Variables!$B$27:$BU$27,0,0,1,COUNT(Variables!$B$27:$BU$27))</definedName>
    <definedName name="Security">Security_tbl[]</definedName>
    <definedName name="Security_Oth">Security_Oth_tbl[]</definedName>
    <definedName name="Security_Roles">Security_Roles_tbl[]</definedName>
    <definedName name="Service_Type">Miscellaneous!$N$6:$N$9</definedName>
    <definedName name="Service_Type_HW">Miscellaneous!$N$6:$N$7</definedName>
    <definedName name="Service_Type_NA">Miscellaneous!$N$10</definedName>
    <definedName name="Service_Type_Oth">Miscellaneous!$N$8:$N$9</definedName>
    <definedName name="Slicer_Delivery_Center">#N/A</definedName>
    <definedName name="Software_Costs_Oth">Software_Costs_tbl[]</definedName>
    <definedName name="Software_Oth">Software_tbl[]</definedName>
    <definedName name="Software_Support">Miscellaneous!$S$8:$V$8</definedName>
    <definedName name="Telecommunications_Oth">Telecom_tbl[]</definedName>
    <definedName name="TOTEX">'Business Case Summary'!$Q$87</definedName>
    <definedName name="Type1">BenType1[Type1]</definedName>
    <definedName name="Type2">BenType2[Type2]</definedName>
    <definedName name="UK_BusinessAreas">UK_tbl[]</definedName>
    <definedName name="UK_Del_Cent_Oth">'Cost Drop Down Values'!$B$12:$I$12</definedName>
    <definedName name="UK_Del_Cent_Res">'Cost Drop Down Values'!$B$2:$H$2</definedName>
    <definedName name="UK_IT">UK_IT_tbl[]</definedName>
    <definedName name="UK_IT_Oth">UK_IT_Oth_tbl[]</definedName>
    <definedName name="UK_IT_Roles">UK_IT_Roles_tbl[]</definedName>
    <definedName name="US_BusinessAreas">US_tbl[]</definedName>
    <definedName name="US_Del_Cent_Oth">'Cost Drop Down Values'!$A$12:$G$12</definedName>
    <definedName name="US_Del_Cent_Res">'Cost Drop Down Values'!$A$2:$F$2</definedName>
    <definedName name="US_IT">US_IT_tbl[]</definedName>
    <definedName name="US_IT_Oth">US_IT_Oth_tbl[]</definedName>
    <definedName name="US_IT_Roles">US_IT_Roles_tbl[]</definedName>
    <definedName name="Vendor_Full_List">OFFSET('Cntl Tables'!$K$1,MATCH(Accruals!$G1,'Cntl Tables'!$K:$K,0)-1,2,COUNTIF('Cntl Tables'!$K:$K,Accruals!$G1),1)</definedName>
    <definedName name="Vendor_Short_List">OFFSET('Cntl Tables'!$L$1,MATCH(Accruals!$H1,'Cntl Tables'!$L:$L,0)-1,1,COUNTIF('Cntl Tables'!$L:$L,Accruals!$H1),1)</definedName>
    <definedName name="Work_Req">OFFSET('Cntl Tables'!$H$2,0,0,COUNTA('Cntl Tables'!$H:$H)-2,1)</definedName>
  </definedNames>
  <calcPr calcId="191029"/>
  <pivotCaches>
    <pivotCache cacheId="0" r:id="rId34"/>
    <pivotCache cacheId="1" r:id="rId35"/>
    <pivotCache cacheId="2" r:id="rId36"/>
    <pivotCache cacheId="3" r:id="rId37"/>
  </pivotCaches>
  <extLst>
    <ext xmlns:x14="http://schemas.microsoft.com/office/spreadsheetml/2009/9/main" uri="{BBE1A952-AA13-448e-AADC-164F8A28A991}">
      <x14:slicerCaches>
        <x14:slicerCache r:id="rId3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6" i="33" l="1"/>
  <c r="E45" i="27" l="1"/>
  <c r="DB6" i="11" l="1"/>
  <c r="DB7" i="11"/>
  <c r="DB8" i="11"/>
  <c r="DB9" i="11"/>
  <c r="DB10" i="11"/>
  <c r="DB11" i="11"/>
  <c r="DB12" i="11"/>
  <c r="DB13" i="11"/>
  <c r="DB14" i="11"/>
  <c r="DB15" i="11"/>
  <c r="DB16" i="11"/>
  <c r="DB17" i="11"/>
  <c r="DB18" i="11"/>
  <c r="DB19" i="11"/>
  <c r="DB20" i="11"/>
  <c r="DB21" i="11"/>
  <c r="DB22" i="11"/>
  <c r="DB23" i="11"/>
  <c r="DB24" i="11"/>
  <c r="DB25" i="11"/>
  <c r="DB26" i="11"/>
  <c r="DB27" i="11"/>
  <c r="DB28" i="11"/>
  <c r="DB29" i="11"/>
  <c r="DB30" i="11"/>
  <c r="DB31" i="11"/>
  <c r="DB32" i="11"/>
  <c r="DB33" i="11"/>
  <c r="DB34" i="11"/>
  <c r="DB35" i="11"/>
  <c r="DB36" i="11"/>
  <c r="DB37" i="11"/>
  <c r="DB38" i="11"/>
  <c r="DB39" i="11"/>
  <c r="DB40" i="11"/>
  <c r="DB41" i="11"/>
  <c r="DB42" i="11"/>
  <c r="DB43" i="11"/>
  <c r="DB44" i="11"/>
  <c r="DB45" i="11"/>
  <c r="DB46" i="11"/>
  <c r="DB47" i="11"/>
  <c r="DB48" i="11"/>
  <c r="DB49" i="11"/>
  <c r="DB50" i="11"/>
  <c r="DB51" i="11"/>
  <c r="DB52" i="11"/>
  <c r="DB53" i="11"/>
  <c r="DB54" i="11"/>
  <c r="DB55" i="11"/>
  <c r="DB56" i="11"/>
  <c r="DB57" i="11"/>
  <c r="DB58" i="11"/>
  <c r="DB59" i="11"/>
  <c r="DB60" i="11"/>
  <c r="DB61" i="11"/>
  <c r="DB62" i="11"/>
  <c r="DB63" i="11"/>
  <c r="DB64" i="11"/>
  <c r="DB65" i="11"/>
  <c r="DB66" i="11"/>
  <c r="DB67" i="11"/>
  <c r="DB68" i="11"/>
  <c r="DB69" i="11"/>
  <c r="DB70" i="11"/>
  <c r="DB71" i="11"/>
  <c r="DB72" i="11"/>
  <c r="DB73" i="11"/>
  <c r="DB74" i="11"/>
  <c r="DB75" i="11"/>
  <c r="DB76" i="11"/>
  <c r="DB77" i="11"/>
  <c r="DB78" i="11"/>
  <c r="DB79" i="11"/>
  <c r="DB80" i="11"/>
  <c r="DB81" i="11"/>
  <c r="DB82" i="11"/>
  <c r="DB83" i="11"/>
  <c r="DB84" i="11"/>
  <c r="DB85" i="11"/>
  <c r="DB86" i="11"/>
  <c r="DB87" i="11"/>
  <c r="DB88" i="11"/>
  <c r="DB89" i="11"/>
  <c r="DB90" i="11"/>
  <c r="DB91" i="11"/>
  <c r="DB92" i="11"/>
  <c r="DB93" i="11"/>
  <c r="DB94" i="11"/>
  <c r="DB95" i="11"/>
  <c r="DB96" i="11"/>
  <c r="DB97" i="11"/>
  <c r="DB98" i="11"/>
  <c r="DB99" i="11"/>
  <c r="DB100" i="11"/>
  <c r="DB101" i="11"/>
  <c r="DB102" i="11"/>
  <c r="DB103" i="11"/>
  <c r="DB104" i="11"/>
  <c r="DB105" i="11"/>
  <c r="DB106" i="11"/>
  <c r="DB107" i="11"/>
  <c r="DB108" i="11"/>
  <c r="DB109" i="11"/>
  <c r="DB110" i="11"/>
  <c r="DB111" i="11"/>
  <c r="DB112" i="11"/>
  <c r="DB113" i="11"/>
  <c r="DB114" i="11"/>
  <c r="DB115" i="11"/>
  <c r="DB116" i="11"/>
  <c r="DB117" i="11"/>
  <c r="DB118" i="11"/>
  <c r="DB119" i="11"/>
  <c r="DB120" i="11"/>
  <c r="DB121" i="11"/>
  <c r="DB122" i="11"/>
  <c r="DB123" i="11"/>
  <c r="DB124" i="11"/>
  <c r="DB125" i="11"/>
  <c r="DB126" i="11"/>
  <c r="DB127" i="11"/>
  <c r="DB128" i="11"/>
  <c r="DB129" i="11"/>
  <c r="DB130" i="11"/>
  <c r="DB131" i="11"/>
  <c r="DB132" i="11"/>
  <c r="DB133" i="11"/>
  <c r="DB134" i="11"/>
  <c r="DB135" i="11"/>
  <c r="DB136" i="11"/>
  <c r="DB137" i="11"/>
  <c r="DB138" i="11"/>
  <c r="DB139" i="11"/>
  <c r="DB140" i="11"/>
  <c r="DB141" i="11"/>
  <c r="DB142" i="11"/>
  <c r="DB143" i="11"/>
  <c r="DB144" i="11"/>
  <c r="DB145" i="11"/>
  <c r="DB146" i="11"/>
  <c r="DB147" i="11"/>
  <c r="DB148" i="11"/>
  <c r="DB149" i="11"/>
  <c r="DB150" i="11"/>
  <c r="DB151" i="11"/>
  <c r="DB152" i="11"/>
  <c r="DB153" i="11"/>
  <c r="DB154" i="11"/>
  <c r="DB155" i="11"/>
  <c r="DB156" i="11"/>
  <c r="DB157" i="11"/>
  <c r="DB158" i="11"/>
  <c r="DB159" i="11"/>
  <c r="DB160" i="11"/>
  <c r="DB161" i="11"/>
  <c r="DB162" i="11"/>
  <c r="DB163" i="11"/>
  <c r="DB164" i="11"/>
  <c r="DB165" i="11"/>
  <c r="DB166" i="11"/>
  <c r="DB167" i="11"/>
  <c r="DB5" i="11"/>
  <c r="H5" i="32" l="1"/>
  <c r="H6" i="32"/>
  <c r="H7" i="32"/>
  <c r="H8" i="32"/>
  <c r="H4" i="32"/>
  <c r="H3" i="32"/>
  <c r="G3" i="15"/>
  <c r="C6" i="33" l="1"/>
  <c r="C5" i="33"/>
  <c r="O101" i="16"/>
  <c r="N101" i="16"/>
  <c r="L101" i="16"/>
  <c r="B101" i="16"/>
  <c r="A101" i="16"/>
  <c r="O100" i="16"/>
  <c r="N100" i="16"/>
  <c r="L100" i="16"/>
  <c r="B100" i="16"/>
  <c r="A100" i="16"/>
  <c r="O99" i="16"/>
  <c r="N99" i="16"/>
  <c r="L99" i="16"/>
  <c r="B99" i="16"/>
  <c r="A99" i="16"/>
  <c r="O98" i="16"/>
  <c r="N98" i="16"/>
  <c r="L98" i="16"/>
  <c r="B98" i="16"/>
  <c r="A98" i="16"/>
  <c r="O97" i="16"/>
  <c r="N97" i="16"/>
  <c r="L97" i="16"/>
  <c r="B97" i="16"/>
  <c r="A97" i="16"/>
  <c r="O96" i="16"/>
  <c r="N96" i="16"/>
  <c r="L96" i="16"/>
  <c r="B96" i="16"/>
  <c r="A96" i="16"/>
  <c r="O95" i="16"/>
  <c r="N95" i="16"/>
  <c r="L95" i="16"/>
  <c r="B95" i="16"/>
  <c r="A95" i="16"/>
  <c r="O94" i="16"/>
  <c r="N94" i="16"/>
  <c r="L94" i="16"/>
  <c r="B94" i="16"/>
  <c r="A94" i="16"/>
  <c r="O93" i="16"/>
  <c r="N93" i="16"/>
  <c r="L93" i="16"/>
  <c r="B93" i="16"/>
  <c r="A93" i="16"/>
  <c r="O92" i="16"/>
  <c r="N92" i="16"/>
  <c r="L92" i="16"/>
  <c r="B92" i="16"/>
  <c r="A92" i="16"/>
  <c r="O91" i="16"/>
  <c r="N91" i="16"/>
  <c r="L91" i="16"/>
  <c r="B91" i="16"/>
  <c r="A91" i="16"/>
  <c r="O90" i="16"/>
  <c r="N90" i="16"/>
  <c r="L90" i="16"/>
  <c r="B90" i="16"/>
  <c r="A90" i="16"/>
  <c r="O89" i="16"/>
  <c r="N89" i="16"/>
  <c r="L89" i="16"/>
  <c r="B89" i="16"/>
  <c r="A89" i="16"/>
  <c r="O88" i="16"/>
  <c r="N88" i="16"/>
  <c r="L88" i="16"/>
  <c r="B88" i="16"/>
  <c r="A88" i="16"/>
  <c r="O87" i="16"/>
  <c r="N87" i="16"/>
  <c r="L87" i="16"/>
  <c r="B87" i="16"/>
  <c r="A87" i="16"/>
  <c r="O86" i="16"/>
  <c r="N86" i="16"/>
  <c r="L86" i="16"/>
  <c r="B86" i="16"/>
  <c r="A86" i="16"/>
  <c r="O85" i="16"/>
  <c r="N85" i="16"/>
  <c r="L85" i="16"/>
  <c r="B85" i="16"/>
  <c r="A85" i="16"/>
  <c r="O84" i="16"/>
  <c r="N84" i="16"/>
  <c r="L84" i="16"/>
  <c r="B84" i="16"/>
  <c r="A84" i="16"/>
  <c r="O83" i="16"/>
  <c r="N83" i="16"/>
  <c r="L83" i="16"/>
  <c r="B83" i="16"/>
  <c r="A83" i="16"/>
  <c r="O82" i="16"/>
  <c r="N82" i="16"/>
  <c r="L82" i="16"/>
  <c r="B82" i="16"/>
  <c r="A82" i="16"/>
  <c r="O81" i="16"/>
  <c r="N81" i="16"/>
  <c r="L81" i="16"/>
  <c r="B81" i="16"/>
  <c r="A81" i="16"/>
  <c r="O80" i="16"/>
  <c r="N80" i="16"/>
  <c r="L80" i="16"/>
  <c r="B80" i="16"/>
  <c r="A80" i="16"/>
  <c r="O79" i="16"/>
  <c r="N79" i="16"/>
  <c r="L79" i="16"/>
  <c r="B79" i="16"/>
  <c r="A79" i="16"/>
  <c r="O78" i="16"/>
  <c r="N78" i="16"/>
  <c r="L78" i="16"/>
  <c r="B78" i="16"/>
  <c r="A78" i="16"/>
  <c r="O77" i="16"/>
  <c r="N77" i="16"/>
  <c r="L77" i="16"/>
  <c r="B77" i="16"/>
  <c r="A77" i="16"/>
  <c r="O76" i="16"/>
  <c r="N76" i="16"/>
  <c r="L76" i="16"/>
  <c r="B76" i="16"/>
  <c r="A76" i="16"/>
  <c r="O75" i="16"/>
  <c r="N75" i="16"/>
  <c r="L75" i="16"/>
  <c r="B75" i="16"/>
  <c r="A75" i="16"/>
  <c r="O74" i="16"/>
  <c r="N74" i="16"/>
  <c r="L74" i="16"/>
  <c r="B74" i="16"/>
  <c r="A74" i="16"/>
  <c r="O73" i="16"/>
  <c r="N73" i="16"/>
  <c r="L73" i="16"/>
  <c r="B73" i="16"/>
  <c r="A73" i="16"/>
  <c r="O72" i="16"/>
  <c r="N72" i="16"/>
  <c r="L72" i="16"/>
  <c r="B72" i="16"/>
  <c r="A72" i="16"/>
  <c r="O71" i="16"/>
  <c r="N71" i="16"/>
  <c r="L71" i="16"/>
  <c r="B71" i="16"/>
  <c r="A71" i="16"/>
  <c r="O70" i="16"/>
  <c r="N70" i="16"/>
  <c r="L70" i="16"/>
  <c r="B70" i="16"/>
  <c r="A70" i="16"/>
  <c r="O69" i="16"/>
  <c r="N69" i="16"/>
  <c r="L69" i="16"/>
  <c r="B69" i="16"/>
  <c r="A69" i="16"/>
  <c r="O68" i="16"/>
  <c r="N68" i="16"/>
  <c r="L68" i="16"/>
  <c r="B68" i="16"/>
  <c r="A68" i="16"/>
  <c r="O67" i="16"/>
  <c r="N67" i="16"/>
  <c r="L67" i="16"/>
  <c r="B67" i="16"/>
  <c r="A67" i="16"/>
  <c r="O66" i="16"/>
  <c r="N66" i="16"/>
  <c r="L66" i="16"/>
  <c r="B66" i="16"/>
  <c r="A66" i="16"/>
  <c r="O65" i="16"/>
  <c r="N65" i="16"/>
  <c r="L65" i="16"/>
  <c r="B65" i="16"/>
  <c r="A65" i="16"/>
  <c r="O64" i="16"/>
  <c r="N64" i="16"/>
  <c r="L64" i="16"/>
  <c r="B64" i="16"/>
  <c r="A64" i="16"/>
  <c r="O63" i="16"/>
  <c r="N63" i="16"/>
  <c r="L63" i="16"/>
  <c r="B63" i="16"/>
  <c r="A63" i="16"/>
  <c r="O62" i="16"/>
  <c r="N62" i="16"/>
  <c r="L62" i="16"/>
  <c r="B62" i="16"/>
  <c r="A62" i="16"/>
  <c r="O61" i="16"/>
  <c r="N61" i="16"/>
  <c r="L61" i="16"/>
  <c r="B61" i="16"/>
  <c r="A61" i="16"/>
  <c r="O60" i="16"/>
  <c r="N60" i="16"/>
  <c r="L60" i="16"/>
  <c r="B60" i="16"/>
  <c r="A60" i="16"/>
  <c r="O59" i="16"/>
  <c r="N59" i="16"/>
  <c r="L59" i="16"/>
  <c r="B59" i="16"/>
  <c r="A59" i="16"/>
  <c r="O58" i="16"/>
  <c r="N58" i="16"/>
  <c r="L58" i="16"/>
  <c r="B58" i="16"/>
  <c r="A58" i="16"/>
  <c r="O57" i="16"/>
  <c r="N57" i="16"/>
  <c r="L57" i="16"/>
  <c r="B57" i="16"/>
  <c r="A57" i="16"/>
  <c r="O56" i="16"/>
  <c r="N56" i="16"/>
  <c r="L56" i="16"/>
  <c r="B56" i="16"/>
  <c r="A56" i="16"/>
  <c r="O55" i="16"/>
  <c r="N55" i="16"/>
  <c r="L55" i="16"/>
  <c r="B55" i="16"/>
  <c r="A55" i="16"/>
  <c r="O54" i="16"/>
  <c r="N54" i="16"/>
  <c r="L54" i="16"/>
  <c r="B54" i="16"/>
  <c r="A54" i="16"/>
  <c r="O53" i="16"/>
  <c r="N53" i="16"/>
  <c r="L53" i="16"/>
  <c r="B53" i="16"/>
  <c r="A53" i="16"/>
  <c r="O52" i="16"/>
  <c r="N52" i="16"/>
  <c r="L52" i="16"/>
  <c r="B52" i="16"/>
  <c r="A52" i="16"/>
  <c r="B3" i="19" l="1"/>
  <c r="A33" i="16" l="1"/>
  <c r="B33" i="16"/>
  <c r="L33" i="16"/>
  <c r="N33" i="16"/>
  <c r="O33" i="16"/>
  <c r="A34" i="16"/>
  <c r="B34" i="16"/>
  <c r="L34" i="16"/>
  <c r="N34" i="16"/>
  <c r="O34" i="16"/>
  <c r="A35" i="16"/>
  <c r="B35" i="16"/>
  <c r="L35" i="16"/>
  <c r="N35" i="16"/>
  <c r="O35" i="16"/>
  <c r="A36" i="16"/>
  <c r="B36" i="16"/>
  <c r="L36" i="16"/>
  <c r="N36" i="16"/>
  <c r="O36" i="16"/>
  <c r="A37" i="16"/>
  <c r="B37" i="16"/>
  <c r="L37" i="16"/>
  <c r="N37" i="16"/>
  <c r="O37" i="16"/>
  <c r="A38" i="16"/>
  <c r="B38" i="16"/>
  <c r="L38" i="16"/>
  <c r="N38" i="16"/>
  <c r="O38" i="16"/>
  <c r="A39" i="16"/>
  <c r="B39" i="16"/>
  <c r="L39" i="16"/>
  <c r="N39" i="16"/>
  <c r="O39" i="16"/>
  <c r="A40" i="16"/>
  <c r="B40" i="16"/>
  <c r="L40" i="16"/>
  <c r="N40" i="16"/>
  <c r="O40" i="16"/>
  <c r="A41" i="16"/>
  <c r="B41" i="16"/>
  <c r="L41" i="16"/>
  <c r="N41" i="16"/>
  <c r="O41" i="16"/>
  <c r="A42" i="16"/>
  <c r="B42" i="16"/>
  <c r="L42" i="16"/>
  <c r="N42" i="16"/>
  <c r="O42" i="16"/>
  <c r="A43" i="16"/>
  <c r="B43" i="16"/>
  <c r="L43" i="16"/>
  <c r="N43" i="16"/>
  <c r="O43" i="16"/>
  <c r="A44" i="16"/>
  <c r="B44" i="16"/>
  <c r="L44" i="16"/>
  <c r="N44" i="16"/>
  <c r="O44" i="16"/>
  <c r="A45" i="16"/>
  <c r="B45" i="16"/>
  <c r="L45" i="16"/>
  <c r="N45" i="16"/>
  <c r="O45" i="16"/>
  <c r="A46" i="16"/>
  <c r="B46" i="16"/>
  <c r="L46" i="16"/>
  <c r="N46" i="16"/>
  <c r="O46" i="16"/>
  <c r="A47" i="16"/>
  <c r="B47" i="16"/>
  <c r="L47" i="16"/>
  <c r="N47" i="16"/>
  <c r="O47" i="16"/>
  <c r="A48" i="16"/>
  <c r="B48" i="16"/>
  <c r="L48" i="16"/>
  <c r="N48" i="16"/>
  <c r="O48" i="16"/>
  <c r="A49" i="16"/>
  <c r="B49" i="16"/>
  <c r="L49" i="16"/>
  <c r="N49" i="16"/>
  <c r="O49" i="16"/>
  <c r="A50" i="16"/>
  <c r="B50" i="16"/>
  <c r="L50" i="16"/>
  <c r="N50" i="16"/>
  <c r="O50" i="16"/>
  <c r="A51" i="16"/>
  <c r="B51" i="16"/>
  <c r="L51" i="16"/>
  <c r="N51" i="16"/>
  <c r="O51" i="16"/>
  <c r="A102" i="16"/>
  <c r="B102" i="16"/>
  <c r="L102" i="16"/>
  <c r="N102" i="16"/>
  <c r="O102" i="16"/>
  <c r="M101" i="14"/>
  <c r="N101" i="14"/>
  <c r="M102" i="14"/>
  <c r="N102" i="14"/>
  <c r="M103" i="14"/>
  <c r="N103" i="14"/>
  <c r="M104" i="14"/>
  <c r="N104" i="14"/>
  <c r="M105" i="14"/>
  <c r="N105" i="14"/>
  <c r="M106" i="14"/>
  <c r="N106" i="14"/>
  <c r="M107" i="14"/>
  <c r="N107" i="14"/>
  <c r="M108" i="14"/>
  <c r="N108" i="14"/>
  <c r="M109" i="14"/>
  <c r="N109" i="14"/>
  <c r="M110" i="14"/>
  <c r="N110" i="14"/>
  <c r="M111" i="14"/>
  <c r="N111" i="14"/>
  <c r="M112" i="14"/>
  <c r="N112" i="14"/>
  <c r="M113" i="14"/>
  <c r="N113" i="14"/>
  <c r="M114" i="14"/>
  <c r="N114" i="14"/>
  <c r="M115" i="14"/>
  <c r="N115" i="14"/>
  <c r="M116" i="14"/>
  <c r="N116" i="14"/>
  <c r="M117" i="14"/>
  <c r="N117" i="14"/>
  <c r="M118" i="14"/>
  <c r="N118" i="14"/>
  <c r="M119" i="14"/>
  <c r="N119" i="14"/>
  <c r="M120" i="14"/>
  <c r="N120" i="14"/>
  <c r="M121" i="14"/>
  <c r="N121" i="14"/>
  <c r="M122" i="14"/>
  <c r="N122" i="14"/>
  <c r="M123" i="14"/>
  <c r="N123" i="14"/>
  <c r="M124" i="14"/>
  <c r="N124" i="14"/>
  <c r="M125" i="14"/>
  <c r="N125" i="14"/>
  <c r="M126" i="14"/>
  <c r="N126" i="14"/>
  <c r="M127" i="14"/>
  <c r="N127" i="14"/>
  <c r="M128" i="14"/>
  <c r="N128" i="14"/>
  <c r="M129" i="14"/>
  <c r="N129" i="14"/>
  <c r="M130" i="14"/>
  <c r="N130" i="14"/>
  <c r="M131" i="14"/>
  <c r="N131" i="14"/>
  <c r="M132" i="14"/>
  <c r="N132" i="14"/>
  <c r="M133" i="14"/>
  <c r="N133" i="14"/>
  <c r="M134" i="14"/>
  <c r="N134" i="14"/>
  <c r="M135" i="14"/>
  <c r="N135" i="14"/>
  <c r="M136" i="14"/>
  <c r="N136" i="14"/>
  <c r="M137" i="14"/>
  <c r="N137" i="14"/>
  <c r="M138" i="14"/>
  <c r="N138" i="14"/>
  <c r="M139" i="14"/>
  <c r="N139" i="14"/>
  <c r="M140" i="14"/>
  <c r="N140" i="14"/>
  <c r="M141" i="14"/>
  <c r="N141" i="14"/>
  <c r="M142" i="14"/>
  <c r="N142" i="14"/>
  <c r="M143" i="14"/>
  <c r="N143" i="14"/>
  <c r="M144" i="14"/>
  <c r="N144" i="14"/>
  <c r="M145" i="14"/>
  <c r="N145" i="14"/>
  <c r="M146" i="14"/>
  <c r="N146" i="14"/>
  <c r="M147" i="14"/>
  <c r="N147" i="14"/>
  <c r="M148" i="14"/>
  <c r="N148" i="14"/>
  <c r="M149" i="14"/>
  <c r="N149" i="14"/>
  <c r="M150" i="14"/>
  <c r="N150" i="14"/>
  <c r="M151" i="14"/>
  <c r="N151" i="14"/>
  <c r="M152" i="14"/>
  <c r="N152" i="14"/>
  <c r="M153" i="14"/>
  <c r="N153" i="14"/>
  <c r="M154" i="14"/>
  <c r="N154" i="14"/>
  <c r="M155" i="14"/>
  <c r="N155" i="14"/>
  <c r="M156" i="14"/>
  <c r="N156" i="14"/>
  <c r="M157" i="14"/>
  <c r="N157" i="14"/>
  <c r="M158" i="14"/>
  <c r="N158" i="14"/>
  <c r="M159" i="14"/>
  <c r="N159" i="14"/>
  <c r="M160" i="14"/>
  <c r="N160" i="14"/>
  <c r="M161" i="14"/>
  <c r="N161" i="14"/>
  <c r="M162" i="14"/>
  <c r="N162" i="14"/>
  <c r="M163" i="14"/>
  <c r="N163" i="14"/>
  <c r="M164" i="14"/>
  <c r="N164" i="14"/>
  <c r="M165" i="14"/>
  <c r="N165" i="14"/>
  <c r="M166" i="14"/>
  <c r="N166" i="14"/>
  <c r="M167" i="14"/>
  <c r="N167" i="14"/>
  <c r="M168" i="14"/>
  <c r="N168" i="14"/>
  <c r="M169" i="14"/>
  <c r="N169" i="14"/>
  <c r="M170" i="14"/>
  <c r="N170" i="14"/>
  <c r="M171" i="14"/>
  <c r="N171" i="14"/>
  <c r="M172" i="14"/>
  <c r="N172" i="14"/>
  <c r="M173" i="14"/>
  <c r="N173" i="14"/>
  <c r="M174" i="14"/>
  <c r="N174" i="14"/>
  <c r="M175" i="14"/>
  <c r="N175" i="14"/>
  <c r="M176" i="14"/>
  <c r="N176" i="14"/>
  <c r="M177" i="14"/>
  <c r="N177" i="14"/>
  <c r="M178" i="14"/>
  <c r="N178" i="14"/>
  <c r="M179" i="14"/>
  <c r="N179" i="14"/>
  <c r="M180" i="14"/>
  <c r="N180" i="14"/>
  <c r="M181" i="14"/>
  <c r="N181" i="14"/>
  <c r="M182" i="14"/>
  <c r="N182" i="14"/>
  <c r="M183" i="14"/>
  <c r="N183" i="14"/>
  <c r="M184" i="14"/>
  <c r="N184" i="14"/>
  <c r="M185" i="14"/>
  <c r="N185" i="14"/>
  <c r="M186" i="14"/>
  <c r="N186" i="14"/>
  <c r="M187" i="14"/>
  <c r="N187" i="14"/>
  <c r="M188" i="14"/>
  <c r="N188" i="14"/>
  <c r="M189" i="14"/>
  <c r="N189" i="14"/>
  <c r="M190" i="14"/>
  <c r="N190" i="14"/>
  <c r="M191" i="14"/>
  <c r="N191" i="14"/>
  <c r="M192" i="14"/>
  <c r="N192" i="14"/>
  <c r="M193" i="14"/>
  <c r="N193" i="14"/>
  <c r="M194" i="14"/>
  <c r="N194" i="14"/>
  <c r="M195" i="14"/>
  <c r="N195" i="14"/>
  <c r="M196" i="14"/>
  <c r="N196" i="14"/>
  <c r="M197" i="14"/>
  <c r="N197" i="14"/>
  <c r="M198" i="14"/>
  <c r="N198" i="14"/>
  <c r="M199" i="14"/>
  <c r="N199" i="14"/>
  <c r="M200" i="14"/>
  <c r="N200" i="14"/>
  <c r="M201" i="14"/>
  <c r="N201" i="14"/>
  <c r="M202" i="14"/>
  <c r="N202" i="14"/>
  <c r="M203" i="14"/>
  <c r="N203" i="14"/>
  <c r="M204" i="14"/>
  <c r="N204" i="14"/>
  <c r="M205" i="14"/>
  <c r="N205" i="14"/>
  <c r="M206" i="14"/>
  <c r="N206" i="14"/>
  <c r="M207" i="14"/>
  <c r="N207" i="14"/>
  <c r="M208" i="14"/>
  <c r="N208" i="14"/>
  <c r="M209" i="14"/>
  <c r="N209" i="14"/>
  <c r="M210" i="14"/>
  <c r="N210" i="14"/>
  <c r="M211" i="14"/>
  <c r="N211" i="14"/>
  <c r="M212" i="14"/>
  <c r="N212" i="14"/>
  <c r="M213" i="14"/>
  <c r="N213" i="14"/>
  <c r="M214" i="14"/>
  <c r="N214" i="14"/>
  <c r="M215" i="14"/>
  <c r="N215" i="14"/>
  <c r="M216" i="14"/>
  <c r="N216" i="14"/>
  <c r="M217" i="14"/>
  <c r="N217" i="14"/>
  <c r="M218" i="14"/>
  <c r="N218" i="14"/>
  <c r="M219" i="14"/>
  <c r="N219" i="14"/>
  <c r="M220" i="14"/>
  <c r="N220" i="14"/>
  <c r="M221" i="14"/>
  <c r="N221" i="14"/>
  <c r="M222" i="14"/>
  <c r="N222" i="14"/>
  <c r="M223" i="14"/>
  <c r="N223" i="14"/>
  <c r="M224" i="14"/>
  <c r="N224" i="14"/>
  <c r="M225" i="14"/>
  <c r="N225" i="14"/>
  <c r="M226" i="14"/>
  <c r="N226" i="14"/>
  <c r="M227" i="14"/>
  <c r="N227" i="14"/>
  <c r="M228" i="14"/>
  <c r="N228" i="14"/>
  <c r="M229" i="14"/>
  <c r="N229" i="14"/>
  <c r="M230" i="14"/>
  <c r="N230" i="14"/>
  <c r="M231" i="14"/>
  <c r="N231" i="14"/>
  <c r="M232" i="14"/>
  <c r="N232" i="14"/>
  <c r="M233" i="14"/>
  <c r="N233" i="14"/>
  <c r="M234" i="14"/>
  <c r="N234" i="14"/>
  <c r="M235" i="14"/>
  <c r="N235" i="14"/>
  <c r="M236" i="14"/>
  <c r="N236" i="14"/>
  <c r="M237" i="14"/>
  <c r="N237" i="14"/>
  <c r="M238" i="14"/>
  <c r="N238" i="14"/>
  <c r="M239" i="14"/>
  <c r="N239" i="14"/>
  <c r="M240" i="14"/>
  <c r="N240" i="14"/>
  <c r="M241" i="14"/>
  <c r="N241" i="14"/>
  <c r="M242" i="14"/>
  <c r="N242" i="14"/>
  <c r="M243" i="14"/>
  <c r="N243" i="14"/>
  <c r="M244" i="14"/>
  <c r="N244" i="14"/>
  <c r="M245" i="14"/>
  <c r="N245" i="14"/>
  <c r="M246" i="14"/>
  <c r="N246" i="14"/>
  <c r="M247" i="14"/>
  <c r="N247" i="14"/>
  <c r="M248" i="14"/>
  <c r="N248" i="14"/>
  <c r="M249" i="14"/>
  <c r="N249" i="14"/>
  <c r="M250" i="14"/>
  <c r="N250" i="14"/>
  <c r="M251" i="14"/>
  <c r="N251" i="14"/>
  <c r="O250" i="14" l="1"/>
  <c r="O242" i="14"/>
  <c r="O238" i="14"/>
  <c r="O234" i="14"/>
  <c r="O222" i="14"/>
  <c r="O218" i="14"/>
  <c r="O214" i="14"/>
  <c r="O210" i="14"/>
  <c r="O202" i="14"/>
  <c r="O198" i="14"/>
  <c r="O190" i="14"/>
  <c r="O182" i="14"/>
  <c r="O178" i="14"/>
  <c r="O170" i="14"/>
  <c r="O158" i="14"/>
  <c r="O154" i="14"/>
  <c r="O150" i="14"/>
  <c r="O146" i="14"/>
  <c r="O138" i="14"/>
  <c r="O121" i="14"/>
  <c r="O134" i="14"/>
  <c r="O126" i="14"/>
  <c r="O118" i="14"/>
  <c r="O114" i="14"/>
  <c r="O102" i="14"/>
  <c r="O245" i="14"/>
  <c r="O237" i="14"/>
  <c r="O225" i="14"/>
  <c r="O217" i="14"/>
  <c r="O209" i="14"/>
  <c r="O185" i="14"/>
  <c r="O177" i="14"/>
  <c r="O161" i="14"/>
  <c r="O153" i="14"/>
  <c r="O145" i="14"/>
  <c r="O113" i="14"/>
  <c r="O212" i="14"/>
  <c r="O132" i="14"/>
  <c r="O179" i="14"/>
  <c r="O175" i="14"/>
  <c r="O167" i="14"/>
  <c r="O159" i="14"/>
  <c r="O233" i="14"/>
  <c r="O201" i="14"/>
  <c r="O130" i="14"/>
  <c r="O128" i="14"/>
  <c r="O200" i="14"/>
  <c r="O129" i="14"/>
  <c r="O228" i="14"/>
  <c r="O194" i="14"/>
  <c r="O186" i="14"/>
  <c r="O123" i="14"/>
  <c r="O119" i="14"/>
  <c r="O115" i="14"/>
  <c r="O111" i="14"/>
  <c r="O103" i="14"/>
  <c r="O169" i="14"/>
  <c r="O165" i="14"/>
  <c r="O139" i="14"/>
  <c r="O110" i="14"/>
  <c r="O241" i="14"/>
  <c r="O230" i="14"/>
  <c r="O226" i="14"/>
  <c r="O184" i="14"/>
  <c r="O164" i="14"/>
  <c r="O148" i="14"/>
  <c r="O109" i="14"/>
  <c r="O105" i="14"/>
  <c r="O187" i="14"/>
  <c r="O156" i="14"/>
  <c r="O149" i="14"/>
  <c r="O142" i="14"/>
  <c r="O131" i="14"/>
  <c r="O127" i="14"/>
  <c r="O112" i="14"/>
  <c r="O104" i="14"/>
  <c r="O246" i="14"/>
  <c r="O249" i="14"/>
  <c r="O223" i="14"/>
  <c r="O211" i="14"/>
  <c r="O208" i="14"/>
  <c r="O204" i="14"/>
  <c r="O193" i="14"/>
  <c r="O174" i="14"/>
  <c r="O166" i="14"/>
  <c r="O162" i="14"/>
  <c r="O137" i="14"/>
  <c r="O122" i="14"/>
  <c r="O147" i="14"/>
  <c r="O144" i="14"/>
  <c r="O140" i="14"/>
  <c r="O203" i="14"/>
  <c r="O196" i="14"/>
  <c r="O192" i="14"/>
  <c r="O181" i="14"/>
  <c r="O136" i="14"/>
  <c r="O157" i="14"/>
  <c r="O117" i="14"/>
  <c r="O244" i="14"/>
  <c r="O220" i="14"/>
  <c r="O213" i="14"/>
  <c r="O206" i="14"/>
  <c r="O195" i="14"/>
  <c r="O191" i="14"/>
  <c r="O176" i="14"/>
  <c r="O120" i="14"/>
  <c r="O251" i="14"/>
  <c r="O248" i="14"/>
  <c r="O235" i="14"/>
  <c r="O232" i="14"/>
  <c r="O215" i="14"/>
  <c r="O205" i="14"/>
  <c r="O188" i="14"/>
  <c r="O171" i="14"/>
  <c r="O168" i="14"/>
  <c r="O151" i="14"/>
  <c r="O141" i="14"/>
  <c r="O124" i="14"/>
  <c r="O107" i="14"/>
  <c r="O221" i="14"/>
  <c r="O106" i="14"/>
  <c r="O231" i="14"/>
  <c r="O227" i="14"/>
  <c r="O224" i="14"/>
  <c r="O207" i="14"/>
  <c r="O197" i="14"/>
  <c r="O180" i="14"/>
  <c r="O163" i="14"/>
  <c r="O160" i="14"/>
  <c r="O143" i="14"/>
  <c r="O133" i="14"/>
  <c r="O116" i="14"/>
  <c r="O247" i="14"/>
  <c r="O243" i="14"/>
  <c r="O240" i="14"/>
  <c r="O183" i="14"/>
  <c r="O173" i="14"/>
  <c r="O239" i="14"/>
  <c r="O236" i="14"/>
  <c r="O229" i="14"/>
  <c r="O219" i="14"/>
  <c r="O216" i="14"/>
  <c r="O199" i="14"/>
  <c r="O189" i="14"/>
  <c r="O172" i="14"/>
  <c r="O155" i="14"/>
  <c r="O152" i="14"/>
  <c r="O135" i="14"/>
  <c r="O125" i="14"/>
  <c r="O108" i="14"/>
  <c r="O101" i="14"/>
  <c r="O4" i="16"/>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 i="16"/>
  <c r="N3" i="16"/>
  <c r="A20" i="16"/>
  <c r="B20" i="16"/>
  <c r="L20" i="16"/>
  <c r="N20" i="16"/>
  <c r="A21" i="16"/>
  <c r="B21" i="16"/>
  <c r="L21" i="16"/>
  <c r="N21" i="16"/>
  <c r="A22" i="16"/>
  <c r="B22" i="16"/>
  <c r="L22" i="16"/>
  <c r="N22" i="16"/>
  <c r="A23" i="16"/>
  <c r="B23" i="16"/>
  <c r="L23" i="16"/>
  <c r="N23" i="16"/>
  <c r="A24" i="16"/>
  <c r="B24" i="16"/>
  <c r="L24" i="16"/>
  <c r="N24" i="16"/>
  <c r="A25" i="16"/>
  <c r="B25" i="16"/>
  <c r="L25" i="16"/>
  <c r="N25" i="16"/>
  <c r="A26" i="16"/>
  <c r="B26" i="16"/>
  <c r="L26" i="16"/>
  <c r="N26" i="16"/>
  <c r="A27" i="16"/>
  <c r="B27" i="16"/>
  <c r="L27" i="16"/>
  <c r="N27" i="16"/>
  <c r="A28" i="16"/>
  <c r="B28" i="16"/>
  <c r="L28" i="16"/>
  <c r="N28" i="16"/>
  <c r="A29" i="16"/>
  <c r="B29" i="16"/>
  <c r="L29" i="16"/>
  <c r="N29" i="16"/>
  <c r="A30" i="16"/>
  <c r="B30" i="16"/>
  <c r="L30" i="16"/>
  <c r="N30" i="16"/>
  <c r="A31" i="16"/>
  <c r="B31" i="16"/>
  <c r="L31" i="16"/>
  <c r="N31" i="16"/>
  <c r="A32" i="16"/>
  <c r="B32" i="16"/>
  <c r="L32" i="16"/>
  <c r="N32" i="16"/>
  <c r="B5" i="16"/>
  <c r="DC6" i="11" l="1"/>
  <c r="DC7" i="11"/>
  <c r="DC8" i="11"/>
  <c r="DC9" i="11"/>
  <c r="DC10" i="11"/>
  <c r="DC11" i="11"/>
  <c r="DC12" i="11"/>
  <c r="DC13" i="11"/>
  <c r="DC14" i="11"/>
  <c r="DC15" i="11"/>
  <c r="DC16" i="11"/>
  <c r="DC17" i="11"/>
  <c r="DC18" i="11"/>
  <c r="DC19" i="11"/>
  <c r="DC20" i="11"/>
  <c r="DC21" i="11"/>
  <c r="DC22" i="11"/>
  <c r="DC23" i="11"/>
  <c r="DC24" i="11"/>
  <c r="DC25" i="11"/>
  <c r="DC26" i="11"/>
  <c r="DC27" i="11"/>
  <c r="DC28" i="11"/>
  <c r="DC29" i="11"/>
  <c r="DC30" i="11"/>
  <c r="DC31" i="11"/>
  <c r="DC32" i="11"/>
  <c r="DC33" i="11"/>
  <c r="DC34" i="11"/>
  <c r="DC35" i="11"/>
  <c r="DC36" i="11"/>
  <c r="DC37" i="11"/>
  <c r="DC38" i="11"/>
  <c r="DC39" i="11"/>
  <c r="DC40" i="11"/>
  <c r="DC41" i="11"/>
  <c r="DC42" i="11"/>
  <c r="DC43" i="11"/>
  <c r="DC44" i="11"/>
  <c r="DC45" i="11"/>
  <c r="DC46" i="11"/>
  <c r="DC47" i="11"/>
  <c r="DC48" i="11"/>
  <c r="DC49" i="11"/>
  <c r="DC50" i="11"/>
  <c r="DC51" i="11"/>
  <c r="DC52" i="11"/>
  <c r="DC53" i="11"/>
  <c r="DC54" i="11"/>
  <c r="DC55" i="11"/>
  <c r="DC56" i="11"/>
  <c r="DC57" i="11"/>
  <c r="DC58" i="11"/>
  <c r="DC59" i="11"/>
  <c r="DC60" i="11"/>
  <c r="DC61" i="11"/>
  <c r="DC62" i="11"/>
  <c r="DC63" i="11"/>
  <c r="DC64" i="11"/>
  <c r="DC65" i="11"/>
  <c r="DC66" i="11"/>
  <c r="DC67" i="11"/>
  <c r="DC68" i="11"/>
  <c r="DC69" i="11"/>
  <c r="DC70" i="11"/>
  <c r="DC71" i="11"/>
  <c r="DC72" i="11"/>
  <c r="DC73" i="11"/>
  <c r="DC74" i="11"/>
  <c r="DC75" i="11"/>
  <c r="DC76" i="11"/>
  <c r="DC77" i="11"/>
  <c r="DC78" i="11"/>
  <c r="DC79" i="11"/>
  <c r="DC80" i="11"/>
  <c r="DC81" i="11"/>
  <c r="DC82" i="11"/>
  <c r="DC83" i="11"/>
  <c r="DC84" i="11"/>
  <c r="DC85" i="11"/>
  <c r="DC86" i="11"/>
  <c r="DC87" i="11"/>
  <c r="DC88" i="11"/>
  <c r="DC89" i="11"/>
  <c r="DC90" i="11"/>
  <c r="DC91" i="11"/>
  <c r="DC92" i="11"/>
  <c r="DC93" i="11"/>
  <c r="DC94" i="11"/>
  <c r="DC95" i="11"/>
  <c r="DC96" i="11"/>
  <c r="DC97" i="11"/>
  <c r="DC98" i="11"/>
  <c r="DC99" i="11"/>
  <c r="DC100" i="11"/>
  <c r="DC101" i="11"/>
  <c r="DC102" i="11"/>
  <c r="DC103" i="11"/>
  <c r="DC104" i="11"/>
  <c r="DC105" i="11"/>
  <c r="DC106" i="11"/>
  <c r="DC107" i="11"/>
  <c r="DC108" i="11"/>
  <c r="DC109" i="11"/>
  <c r="DC110" i="11"/>
  <c r="DC111" i="11"/>
  <c r="DC112" i="11"/>
  <c r="DC113" i="11"/>
  <c r="DC114" i="11"/>
  <c r="DC115" i="11"/>
  <c r="DC116" i="11"/>
  <c r="DC117" i="11"/>
  <c r="DC118" i="11"/>
  <c r="DC119" i="11"/>
  <c r="DC120" i="11"/>
  <c r="DC121" i="11"/>
  <c r="DC122" i="11"/>
  <c r="DC123" i="11"/>
  <c r="DC124" i="11"/>
  <c r="DC125" i="11"/>
  <c r="DC126" i="11"/>
  <c r="DC127" i="11"/>
  <c r="DC128" i="11"/>
  <c r="DC129" i="11"/>
  <c r="DC130" i="11"/>
  <c r="DC131" i="11"/>
  <c r="DC132" i="11"/>
  <c r="DC133" i="11"/>
  <c r="DC134" i="11"/>
  <c r="DC135" i="11"/>
  <c r="DC136" i="11"/>
  <c r="DC137" i="11"/>
  <c r="DC138" i="11"/>
  <c r="DC139" i="11"/>
  <c r="DC140" i="11"/>
  <c r="DC141" i="11"/>
  <c r="DC142" i="11"/>
  <c r="DC143" i="11"/>
  <c r="DC144" i="11"/>
  <c r="DC145" i="11"/>
  <c r="DC146" i="11"/>
  <c r="DC147" i="11"/>
  <c r="DC148" i="11"/>
  <c r="DC149" i="11"/>
  <c r="DC150" i="11"/>
  <c r="DC151" i="11"/>
  <c r="DC152" i="11"/>
  <c r="DC153" i="11"/>
  <c r="DC154" i="11"/>
  <c r="DC155" i="11"/>
  <c r="DC156" i="11"/>
  <c r="DC157" i="11"/>
  <c r="DC158" i="11"/>
  <c r="DC159" i="11"/>
  <c r="DC160" i="11"/>
  <c r="DC161" i="11"/>
  <c r="DC162" i="11"/>
  <c r="DC163" i="11"/>
  <c r="DC164" i="11"/>
  <c r="DC165" i="11"/>
  <c r="DC166" i="11"/>
  <c r="DC167" i="11"/>
  <c r="DC5" i="11"/>
  <c r="CC154" i="1" l="1"/>
  <c r="CD154" i="1"/>
  <c r="CE154" i="1"/>
  <c r="CF154" i="1"/>
  <c r="CG154" i="1"/>
  <c r="CH154" i="1"/>
  <c r="CI154" i="1"/>
  <c r="CJ154" i="1"/>
  <c r="CK154" i="1"/>
  <c r="CL154" i="1"/>
  <c r="CM154" i="1"/>
  <c r="CN154" i="1"/>
  <c r="CC155" i="1"/>
  <c r="CD155" i="1"/>
  <c r="CE155" i="1"/>
  <c r="CF155" i="1"/>
  <c r="CG155" i="1"/>
  <c r="CH155" i="1"/>
  <c r="CI155" i="1"/>
  <c r="CJ155" i="1"/>
  <c r="CK155" i="1"/>
  <c r="CL155" i="1"/>
  <c r="CM155" i="1"/>
  <c r="CN155" i="1"/>
  <c r="CC156" i="1"/>
  <c r="CD156" i="1"/>
  <c r="CE156" i="1"/>
  <c r="CF156" i="1"/>
  <c r="CG156" i="1"/>
  <c r="CH156" i="1"/>
  <c r="CI156" i="1"/>
  <c r="CJ156" i="1"/>
  <c r="CK156" i="1"/>
  <c r="CL156" i="1"/>
  <c r="CM156" i="1"/>
  <c r="CN156" i="1"/>
  <c r="CC157" i="1"/>
  <c r="CD157" i="1"/>
  <c r="CE157" i="1"/>
  <c r="CF157" i="1"/>
  <c r="CG157" i="1"/>
  <c r="CH157" i="1"/>
  <c r="CI157" i="1"/>
  <c r="CJ157" i="1"/>
  <c r="CK157" i="1"/>
  <c r="CL157" i="1"/>
  <c r="CM157" i="1"/>
  <c r="CN157" i="1"/>
  <c r="CC158" i="1"/>
  <c r="CD158" i="1"/>
  <c r="CE158" i="1"/>
  <c r="CF158" i="1"/>
  <c r="CG158" i="1"/>
  <c r="CH158" i="1"/>
  <c r="CI158" i="1"/>
  <c r="CJ158" i="1"/>
  <c r="CK158" i="1"/>
  <c r="CL158" i="1"/>
  <c r="CM158" i="1"/>
  <c r="CN158" i="1"/>
  <c r="CC159" i="1"/>
  <c r="CD159" i="1"/>
  <c r="CE159" i="1"/>
  <c r="CF159" i="1"/>
  <c r="CG159" i="1"/>
  <c r="CH159" i="1"/>
  <c r="CI159" i="1"/>
  <c r="CJ159" i="1"/>
  <c r="CK159" i="1"/>
  <c r="CL159" i="1"/>
  <c r="CM159" i="1"/>
  <c r="CN159" i="1"/>
  <c r="CC160" i="1"/>
  <c r="CD160" i="1"/>
  <c r="CE160" i="1"/>
  <c r="CF160" i="1"/>
  <c r="CG160" i="1"/>
  <c r="CH160" i="1"/>
  <c r="CI160" i="1"/>
  <c r="CJ160" i="1"/>
  <c r="CK160" i="1"/>
  <c r="CL160" i="1"/>
  <c r="CM160" i="1"/>
  <c r="CN160" i="1"/>
  <c r="CC161" i="1"/>
  <c r="CD161" i="1"/>
  <c r="CE161" i="1"/>
  <c r="CF161" i="1"/>
  <c r="CG161" i="1"/>
  <c r="CH161" i="1"/>
  <c r="CI161" i="1"/>
  <c r="CJ161" i="1"/>
  <c r="CK161" i="1"/>
  <c r="CL161" i="1"/>
  <c r="CM161" i="1"/>
  <c r="CN161" i="1"/>
  <c r="CC162" i="1"/>
  <c r="CD162" i="1"/>
  <c r="CE162" i="1"/>
  <c r="CF162" i="1"/>
  <c r="CG162" i="1"/>
  <c r="CH162" i="1"/>
  <c r="CI162" i="1"/>
  <c r="CJ162" i="1"/>
  <c r="CK162" i="1"/>
  <c r="CL162" i="1"/>
  <c r="CM162" i="1"/>
  <c r="CN162" i="1"/>
  <c r="CC163" i="1"/>
  <c r="CD163" i="1"/>
  <c r="CE163" i="1"/>
  <c r="CF163" i="1"/>
  <c r="CG163" i="1"/>
  <c r="CH163" i="1"/>
  <c r="CI163" i="1"/>
  <c r="CJ163" i="1"/>
  <c r="CK163" i="1"/>
  <c r="CL163" i="1"/>
  <c r="CM163" i="1"/>
  <c r="CN163" i="1"/>
  <c r="CC164" i="1"/>
  <c r="CD164" i="1"/>
  <c r="CE164" i="1"/>
  <c r="CF164" i="1"/>
  <c r="CG164" i="1"/>
  <c r="CH164" i="1"/>
  <c r="CI164" i="1"/>
  <c r="CJ164" i="1"/>
  <c r="CK164" i="1"/>
  <c r="CL164" i="1"/>
  <c r="CM164" i="1"/>
  <c r="CN164" i="1"/>
  <c r="CC165" i="1"/>
  <c r="CD165" i="1"/>
  <c r="CE165" i="1"/>
  <c r="CF165" i="1"/>
  <c r="CG165" i="1"/>
  <c r="CH165" i="1"/>
  <c r="CI165" i="1"/>
  <c r="CJ165" i="1"/>
  <c r="CK165" i="1"/>
  <c r="CL165" i="1"/>
  <c r="CM165" i="1"/>
  <c r="CN165" i="1"/>
  <c r="CC166" i="1"/>
  <c r="CD166" i="1"/>
  <c r="CE166" i="1"/>
  <c r="CF166" i="1"/>
  <c r="CG166" i="1"/>
  <c r="CH166" i="1"/>
  <c r="CI166" i="1"/>
  <c r="CJ166" i="1"/>
  <c r="CK166" i="1"/>
  <c r="CL166" i="1"/>
  <c r="CM166" i="1"/>
  <c r="CN166" i="1"/>
  <c r="CC167" i="1"/>
  <c r="CD167" i="1"/>
  <c r="CE167" i="1"/>
  <c r="CF167" i="1"/>
  <c r="CG167" i="1"/>
  <c r="CH167" i="1"/>
  <c r="CI167" i="1"/>
  <c r="CJ167" i="1"/>
  <c r="CK167" i="1"/>
  <c r="CL167" i="1"/>
  <c r="CM167" i="1"/>
  <c r="CN167" i="1"/>
  <c r="CC168" i="1"/>
  <c r="CD168" i="1"/>
  <c r="CE168" i="1"/>
  <c r="CF168" i="1"/>
  <c r="CG168" i="1"/>
  <c r="CH168" i="1"/>
  <c r="CI168" i="1"/>
  <c r="CJ168" i="1"/>
  <c r="CK168" i="1"/>
  <c r="CL168" i="1"/>
  <c r="CM168" i="1"/>
  <c r="CN168" i="1"/>
  <c r="CC169" i="1"/>
  <c r="CD169" i="1"/>
  <c r="CE169" i="1"/>
  <c r="CF169" i="1"/>
  <c r="CG169" i="1"/>
  <c r="CH169" i="1"/>
  <c r="CI169" i="1"/>
  <c r="CJ169" i="1"/>
  <c r="CK169" i="1"/>
  <c r="CL169" i="1"/>
  <c r="CM169" i="1"/>
  <c r="CN169" i="1"/>
  <c r="CC170" i="1"/>
  <c r="CD170" i="1"/>
  <c r="CE170" i="1"/>
  <c r="CF170" i="1"/>
  <c r="CG170" i="1"/>
  <c r="CH170" i="1"/>
  <c r="CI170" i="1"/>
  <c r="CJ170" i="1"/>
  <c r="CK170" i="1"/>
  <c r="CL170" i="1"/>
  <c r="CM170" i="1"/>
  <c r="CN170" i="1"/>
  <c r="CC171" i="1"/>
  <c r="CD171" i="1"/>
  <c r="CE171" i="1"/>
  <c r="CF171" i="1"/>
  <c r="CG171" i="1"/>
  <c r="CH171" i="1"/>
  <c r="CI171" i="1"/>
  <c r="CJ171" i="1"/>
  <c r="CK171" i="1"/>
  <c r="CL171" i="1"/>
  <c r="CM171" i="1"/>
  <c r="CN171" i="1"/>
  <c r="CC172" i="1"/>
  <c r="CD172" i="1"/>
  <c r="CE172" i="1"/>
  <c r="CF172" i="1"/>
  <c r="CG172" i="1"/>
  <c r="CH172" i="1"/>
  <c r="CI172" i="1"/>
  <c r="CJ172" i="1"/>
  <c r="CK172" i="1"/>
  <c r="CL172" i="1"/>
  <c r="CM172" i="1"/>
  <c r="CN172" i="1"/>
  <c r="CC173" i="1"/>
  <c r="CD173" i="1"/>
  <c r="CE173" i="1"/>
  <c r="CF173" i="1"/>
  <c r="CG173" i="1"/>
  <c r="CH173" i="1"/>
  <c r="CI173" i="1"/>
  <c r="CJ173" i="1"/>
  <c r="CK173" i="1"/>
  <c r="CL173" i="1"/>
  <c r="CM173" i="1"/>
  <c r="CN173" i="1"/>
  <c r="CC174" i="1"/>
  <c r="CD174" i="1"/>
  <c r="CE174" i="1"/>
  <c r="CF174" i="1"/>
  <c r="CG174" i="1"/>
  <c r="CH174" i="1"/>
  <c r="CI174" i="1"/>
  <c r="CJ174" i="1"/>
  <c r="CK174" i="1"/>
  <c r="CL174" i="1"/>
  <c r="CM174" i="1"/>
  <c r="CN174" i="1"/>
  <c r="CC175" i="1"/>
  <c r="CD175" i="1"/>
  <c r="CE175" i="1"/>
  <c r="CF175" i="1"/>
  <c r="CG175" i="1"/>
  <c r="CH175" i="1"/>
  <c r="CI175" i="1"/>
  <c r="CJ175" i="1"/>
  <c r="CK175" i="1"/>
  <c r="CL175" i="1"/>
  <c r="CM175" i="1"/>
  <c r="CN175" i="1"/>
  <c r="CC176" i="1"/>
  <c r="CD176" i="1"/>
  <c r="CE176" i="1"/>
  <c r="CF176" i="1"/>
  <c r="CG176" i="1"/>
  <c r="CH176" i="1"/>
  <c r="CI176" i="1"/>
  <c r="CJ176" i="1"/>
  <c r="CK176" i="1"/>
  <c r="CL176" i="1"/>
  <c r="CM176" i="1"/>
  <c r="CN176" i="1"/>
  <c r="CC177" i="1"/>
  <c r="CD177" i="1"/>
  <c r="CE177" i="1"/>
  <c r="CF177" i="1"/>
  <c r="CG177" i="1"/>
  <c r="CH177" i="1"/>
  <c r="CI177" i="1"/>
  <c r="CJ177" i="1"/>
  <c r="CK177" i="1"/>
  <c r="CL177" i="1"/>
  <c r="CM177" i="1"/>
  <c r="CN177" i="1"/>
  <c r="CC178" i="1"/>
  <c r="CD178" i="1"/>
  <c r="CE178" i="1"/>
  <c r="CF178" i="1"/>
  <c r="CG178" i="1"/>
  <c r="CH178" i="1"/>
  <c r="CI178" i="1"/>
  <c r="CJ178" i="1"/>
  <c r="CK178" i="1"/>
  <c r="CL178" i="1"/>
  <c r="CM178" i="1"/>
  <c r="CN178" i="1"/>
  <c r="CC179" i="1"/>
  <c r="CD179" i="1"/>
  <c r="CE179" i="1"/>
  <c r="CF179" i="1"/>
  <c r="CG179" i="1"/>
  <c r="CH179" i="1"/>
  <c r="CI179" i="1"/>
  <c r="CJ179" i="1"/>
  <c r="CK179" i="1"/>
  <c r="CL179" i="1"/>
  <c r="CM179" i="1"/>
  <c r="CN179" i="1"/>
  <c r="CC180" i="1"/>
  <c r="CD180" i="1"/>
  <c r="CE180" i="1"/>
  <c r="CF180" i="1"/>
  <c r="CG180" i="1"/>
  <c r="CH180" i="1"/>
  <c r="CI180" i="1"/>
  <c r="CJ180" i="1"/>
  <c r="CK180" i="1"/>
  <c r="CL180" i="1"/>
  <c r="CM180" i="1"/>
  <c r="CN180" i="1"/>
  <c r="CC181" i="1"/>
  <c r="CD181" i="1"/>
  <c r="CE181" i="1"/>
  <c r="CF181" i="1"/>
  <c r="CG181" i="1"/>
  <c r="CH181" i="1"/>
  <c r="CI181" i="1"/>
  <c r="CJ181" i="1"/>
  <c r="CK181" i="1"/>
  <c r="CL181" i="1"/>
  <c r="CM181" i="1"/>
  <c r="CN181" i="1"/>
  <c r="CC182" i="1"/>
  <c r="CD182" i="1"/>
  <c r="CE182" i="1"/>
  <c r="CF182" i="1"/>
  <c r="CG182" i="1"/>
  <c r="CH182" i="1"/>
  <c r="CI182" i="1"/>
  <c r="CJ182" i="1"/>
  <c r="CK182" i="1"/>
  <c r="CL182" i="1"/>
  <c r="CM182" i="1"/>
  <c r="CN182" i="1"/>
  <c r="CC183" i="1"/>
  <c r="CD183" i="1"/>
  <c r="CE183" i="1"/>
  <c r="CF183" i="1"/>
  <c r="CG183" i="1"/>
  <c r="CH183" i="1"/>
  <c r="CI183" i="1"/>
  <c r="CJ183" i="1"/>
  <c r="CK183" i="1"/>
  <c r="CL183" i="1"/>
  <c r="CM183" i="1"/>
  <c r="CN183" i="1"/>
  <c r="CC184" i="1"/>
  <c r="CD184" i="1"/>
  <c r="CE184" i="1"/>
  <c r="CF184" i="1"/>
  <c r="CG184" i="1"/>
  <c r="CH184" i="1"/>
  <c r="CI184" i="1"/>
  <c r="CJ184" i="1"/>
  <c r="CK184" i="1"/>
  <c r="CL184" i="1"/>
  <c r="CM184" i="1"/>
  <c r="CN184" i="1"/>
  <c r="CC185" i="1"/>
  <c r="CD185" i="1"/>
  <c r="CE185" i="1"/>
  <c r="CF185" i="1"/>
  <c r="CG185" i="1"/>
  <c r="CH185" i="1"/>
  <c r="CI185" i="1"/>
  <c r="CJ185" i="1"/>
  <c r="CK185" i="1"/>
  <c r="CL185" i="1"/>
  <c r="CM185" i="1"/>
  <c r="CN185" i="1"/>
  <c r="CC186" i="1"/>
  <c r="CD186" i="1"/>
  <c r="CE186" i="1"/>
  <c r="CF186" i="1"/>
  <c r="CG186" i="1"/>
  <c r="CH186" i="1"/>
  <c r="CI186" i="1"/>
  <c r="CJ186" i="1"/>
  <c r="CK186" i="1"/>
  <c r="CL186" i="1"/>
  <c r="CM186" i="1"/>
  <c r="CN186" i="1"/>
  <c r="CC187" i="1"/>
  <c r="CD187" i="1"/>
  <c r="CE187" i="1"/>
  <c r="CF187" i="1"/>
  <c r="CG187" i="1"/>
  <c r="CH187" i="1"/>
  <c r="CI187" i="1"/>
  <c r="CJ187" i="1"/>
  <c r="CK187" i="1"/>
  <c r="CL187" i="1"/>
  <c r="CM187" i="1"/>
  <c r="CN187" i="1"/>
  <c r="CC188" i="1"/>
  <c r="CD188" i="1"/>
  <c r="CE188" i="1"/>
  <c r="CF188" i="1"/>
  <c r="CG188" i="1"/>
  <c r="CH188" i="1"/>
  <c r="CI188" i="1"/>
  <c r="CJ188" i="1"/>
  <c r="CK188" i="1"/>
  <c r="CL188" i="1"/>
  <c r="CM188" i="1"/>
  <c r="CN188" i="1"/>
  <c r="CC189" i="1"/>
  <c r="CD189" i="1"/>
  <c r="CE189" i="1"/>
  <c r="CF189" i="1"/>
  <c r="CG189" i="1"/>
  <c r="CH189" i="1"/>
  <c r="CI189" i="1"/>
  <c r="CJ189" i="1"/>
  <c r="CK189" i="1"/>
  <c r="CL189" i="1"/>
  <c r="CM189" i="1"/>
  <c r="CN189" i="1"/>
  <c r="CC190" i="1"/>
  <c r="CD190" i="1"/>
  <c r="CE190" i="1"/>
  <c r="CF190" i="1"/>
  <c r="CG190" i="1"/>
  <c r="CH190" i="1"/>
  <c r="CI190" i="1"/>
  <c r="CJ190" i="1"/>
  <c r="CK190" i="1"/>
  <c r="CL190" i="1"/>
  <c r="CM190" i="1"/>
  <c r="CN190" i="1"/>
  <c r="CC191" i="1"/>
  <c r="CD191" i="1"/>
  <c r="CE191" i="1"/>
  <c r="CF191" i="1"/>
  <c r="CG191" i="1"/>
  <c r="CH191" i="1"/>
  <c r="CI191" i="1"/>
  <c r="CJ191" i="1"/>
  <c r="CK191" i="1"/>
  <c r="CL191" i="1"/>
  <c r="CM191" i="1"/>
  <c r="CN191" i="1"/>
  <c r="CC192" i="1"/>
  <c r="CD192" i="1"/>
  <c r="CE192" i="1"/>
  <c r="CF192" i="1"/>
  <c r="CG192" i="1"/>
  <c r="CH192" i="1"/>
  <c r="CI192" i="1"/>
  <c r="CJ192" i="1"/>
  <c r="CK192" i="1"/>
  <c r="CL192" i="1"/>
  <c r="CM192" i="1"/>
  <c r="CN192" i="1"/>
  <c r="CC193" i="1"/>
  <c r="CD193" i="1"/>
  <c r="CE193" i="1"/>
  <c r="CF193" i="1"/>
  <c r="CG193" i="1"/>
  <c r="CH193" i="1"/>
  <c r="CI193" i="1"/>
  <c r="CJ193" i="1"/>
  <c r="CK193" i="1"/>
  <c r="CL193" i="1"/>
  <c r="CM193" i="1"/>
  <c r="CN193" i="1"/>
  <c r="CC194" i="1"/>
  <c r="CD194" i="1"/>
  <c r="CE194" i="1"/>
  <c r="CF194" i="1"/>
  <c r="CG194" i="1"/>
  <c r="CH194" i="1"/>
  <c r="CI194" i="1"/>
  <c r="CJ194" i="1"/>
  <c r="CK194" i="1"/>
  <c r="CL194" i="1"/>
  <c r="CM194" i="1"/>
  <c r="CN194" i="1"/>
  <c r="CC195" i="1"/>
  <c r="CD195" i="1"/>
  <c r="CE195" i="1"/>
  <c r="CF195" i="1"/>
  <c r="CG195" i="1"/>
  <c r="CH195" i="1"/>
  <c r="CI195" i="1"/>
  <c r="CJ195" i="1"/>
  <c r="CK195" i="1"/>
  <c r="CL195" i="1"/>
  <c r="CM195" i="1"/>
  <c r="CN195" i="1"/>
  <c r="CC196" i="1"/>
  <c r="CD196" i="1"/>
  <c r="CE196" i="1"/>
  <c r="CF196" i="1"/>
  <c r="CG196" i="1"/>
  <c r="CH196" i="1"/>
  <c r="CI196" i="1"/>
  <c r="CJ196" i="1"/>
  <c r="CK196" i="1"/>
  <c r="CL196" i="1"/>
  <c r="CM196" i="1"/>
  <c r="CN196" i="1"/>
  <c r="CC197" i="1"/>
  <c r="CD197" i="1"/>
  <c r="CE197" i="1"/>
  <c r="CF197" i="1"/>
  <c r="CG197" i="1"/>
  <c r="CH197" i="1"/>
  <c r="CI197" i="1"/>
  <c r="CJ197" i="1"/>
  <c r="CK197" i="1"/>
  <c r="CL197" i="1"/>
  <c r="CM197" i="1"/>
  <c r="CN197" i="1"/>
  <c r="CC198" i="1"/>
  <c r="CD198" i="1"/>
  <c r="CE198" i="1"/>
  <c r="CF198" i="1"/>
  <c r="CG198" i="1"/>
  <c r="CH198" i="1"/>
  <c r="CI198" i="1"/>
  <c r="CJ198" i="1"/>
  <c r="CK198" i="1"/>
  <c r="CL198" i="1"/>
  <c r="CM198" i="1"/>
  <c r="CN198" i="1"/>
  <c r="CC199" i="1"/>
  <c r="CD199" i="1"/>
  <c r="CE199" i="1"/>
  <c r="CF199" i="1"/>
  <c r="CG199" i="1"/>
  <c r="CH199" i="1"/>
  <c r="CI199" i="1"/>
  <c r="CJ199" i="1"/>
  <c r="CK199" i="1"/>
  <c r="CL199" i="1"/>
  <c r="CM199" i="1"/>
  <c r="CN199" i="1"/>
  <c r="CC200" i="1"/>
  <c r="CD200" i="1"/>
  <c r="CE200" i="1"/>
  <c r="CF200" i="1"/>
  <c r="CG200" i="1"/>
  <c r="CH200" i="1"/>
  <c r="CI200" i="1"/>
  <c r="CJ200" i="1"/>
  <c r="CK200" i="1"/>
  <c r="CL200" i="1"/>
  <c r="CM200" i="1"/>
  <c r="CN200" i="1"/>
  <c r="CC201" i="1"/>
  <c r="CD201" i="1"/>
  <c r="CE201" i="1"/>
  <c r="CF201" i="1"/>
  <c r="CG201" i="1"/>
  <c r="CH201" i="1"/>
  <c r="CI201" i="1"/>
  <c r="CJ201" i="1"/>
  <c r="CK201" i="1"/>
  <c r="CL201" i="1"/>
  <c r="CM201" i="1"/>
  <c r="CN201" i="1"/>
  <c r="CC202" i="1"/>
  <c r="CD202" i="1"/>
  <c r="CE202" i="1"/>
  <c r="CF202" i="1"/>
  <c r="CG202" i="1"/>
  <c r="CH202" i="1"/>
  <c r="CI202" i="1"/>
  <c r="CJ202" i="1"/>
  <c r="CK202" i="1"/>
  <c r="CL202" i="1"/>
  <c r="CM202" i="1"/>
  <c r="CN202" i="1"/>
  <c r="CC203" i="1"/>
  <c r="CD203" i="1"/>
  <c r="CE203" i="1"/>
  <c r="CF203" i="1"/>
  <c r="CG203" i="1"/>
  <c r="CH203" i="1"/>
  <c r="CI203" i="1"/>
  <c r="CJ203" i="1"/>
  <c r="CK203" i="1"/>
  <c r="CL203" i="1"/>
  <c r="CM203" i="1"/>
  <c r="CN203" i="1"/>
  <c r="CC204" i="1"/>
  <c r="CD204" i="1"/>
  <c r="CE204" i="1"/>
  <c r="CF204" i="1"/>
  <c r="CG204" i="1"/>
  <c r="CH204" i="1"/>
  <c r="CI204" i="1"/>
  <c r="CJ204" i="1"/>
  <c r="CK204" i="1"/>
  <c r="CL204" i="1"/>
  <c r="CM204" i="1"/>
  <c r="CN204" i="1"/>
  <c r="CC205" i="1"/>
  <c r="CD205" i="1"/>
  <c r="CE205" i="1"/>
  <c r="CF205" i="1"/>
  <c r="CG205" i="1"/>
  <c r="CH205" i="1"/>
  <c r="CI205" i="1"/>
  <c r="CJ205" i="1"/>
  <c r="CK205" i="1"/>
  <c r="CL205" i="1"/>
  <c r="CM205" i="1"/>
  <c r="CN205" i="1"/>
  <c r="CC206" i="1"/>
  <c r="CD206" i="1"/>
  <c r="CE206" i="1"/>
  <c r="CF206" i="1"/>
  <c r="CG206" i="1"/>
  <c r="CH206" i="1"/>
  <c r="CI206" i="1"/>
  <c r="CJ206" i="1"/>
  <c r="CK206" i="1"/>
  <c r="CL206" i="1"/>
  <c r="CM206" i="1"/>
  <c r="CN206" i="1"/>
  <c r="CC207" i="1"/>
  <c r="CD207" i="1"/>
  <c r="CE207" i="1"/>
  <c r="CF207" i="1"/>
  <c r="CG207" i="1"/>
  <c r="CH207" i="1"/>
  <c r="CI207" i="1"/>
  <c r="CJ207" i="1"/>
  <c r="CK207" i="1"/>
  <c r="CL207" i="1"/>
  <c r="CM207" i="1"/>
  <c r="CN207" i="1"/>
  <c r="CC208" i="1"/>
  <c r="CD208" i="1"/>
  <c r="CE208" i="1"/>
  <c r="CF208" i="1"/>
  <c r="CG208" i="1"/>
  <c r="CH208" i="1"/>
  <c r="CI208" i="1"/>
  <c r="CJ208" i="1"/>
  <c r="CK208" i="1"/>
  <c r="CL208" i="1"/>
  <c r="CM208" i="1"/>
  <c r="CN208" i="1"/>
  <c r="CC209" i="1"/>
  <c r="CD209" i="1"/>
  <c r="CE209" i="1"/>
  <c r="CF209" i="1"/>
  <c r="CG209" i="1"/>
  <c r="CH209" i="1"/>
  <c r="CI209" i="1"/>
  <c r="CJ209" i="1"/>
  <c r="CK209" i="1"/>
  <c r="CL209" i="1"/>
  <c r="CM209" i="1"/>
  <c r="CN209" i="1"/>
  <c r="CC210" i="1"/>
  <c r="CD210" i="1"/>
  <c r="CE210" i="1"/>
  <c r="CF210" i="1"/>
  <c r="CG210" i="1"/>
  <c r="CH210" i="1"/>
  <c r="CI210" i="1"/>
  <c r="CJ210" i="1"/>
  <c r="CK210" i="1"/>
  <c r="CL210" i="1"/>
  <c r="CM210" i="1"/>
  <c r="CN210" i="1"/>
  <c r="CC211" i="1"/>
  <c r="CD211" i="1"/>
  <c r="CE211" i="1"/>
  <c r="CF211" i="1"/>
  <c r="CG211" i="1"/>
  <c r="CH211" i="1"/>
  <c r="CI211" i="1"/>
  <c r="CJ211" i="1"/>
  <c r="CK211" i="1"/>
  <c r="CL211" i="1"/>
  <c r="CM211" i="1"/>
  <c r="CN211" i="1"/>
  <c r="CC212" i="1"/>
  <c r="CD212" i="1"/>
  <c r="CE212" i="1"/>
  <c r="CF212" i="1"/>
  <c r="CG212" i="1"/>
  <c r="CH212" i="1"/>
  <c r="CI212" i="1"/>
  <c r="CJ212" i="1"/>
  <c r="CK212" i="1"/>
  <c r="CL212" i="1"/>
  <c r="CM212" i="1"/>
  <c r="CN212" i="1"/>
  <c r="CC213" i="1"/>
  <c r="CD213" i="1"/>
  <c r="CE213" i="1"/>
  <c r="CF213" i="1"/>
  <c r="CG213" i="1"/>
  <c r="CH213" i="1"/>
  <c r="CI213" i="1"/>
  <c r="CJ213" i="1"/>
  <c r="CK213" i="1"/>
  <c r="CL213" i="1"/>
  <c r="CM213" i="1"/>
  <c r="CN213" i="1"/>
  <c r="CC214" i="1"/>
  <c r="CD214" i="1"/>
  <c r="CE214" i="1"/>
  <c r="CF214" i="1"/>
  <c r="CG214" i="1"/>
  <c r="CH214" i="1"/>
  <c r="CI214" i="1"/>
  <c r="CJ214" i="1"/>
  <c r="CK214" i="1"/>
  <c r="CL214" i="1"/>
  <c r="CM214" i="1"/>
  <c r="CN214" i="1"/>
  <c r="CC215" i="1"/>
  <c r="CD215" i="1"/>
  <c r="CE215" i="1"/>
  <c r="CF215" i="1"/>
  <c r="CG215" i="1"/>
  <c r="CH215" i="1"/>
  <c r="CI215" i="1"/>
  <c r="CJ215" i="1"/>
  <c r="CK215" i="1"/>
  <c r="CL215" i="1"/>
  <c r="CM215" i="1"/>
  <c r="CN215" i="1"/>
  <c r="CC216" i="1"/>
  <c r="CD216" i="1"/>
  <c r="CE216" i="1"/>
  <c r="CF216" i="1"/>
  <c r="CG216" i="1"/>
  <c r="CH216" i="1"/>
  <c r="CI216" i="1"/>
  <c r="CJ216" i="1"/>
  <c r="CK216" i="1"/>
  <c r="CL216" i="1"/>
  <c r="CM216" i="1"/>
  <c r="CN216" i="1"/>
  <c r="CC217" i="1"/>
  <c r="CD217" i="1"/>
  <c r="CE217" i="1"/>
  <c r="CF217" i="1"/>
  <c r="CG217" i="1"/>
  <c r="CH217" i="1"/>
  <c r="CI217" i="1"/>
  <c r="CJ217" i="1"/>
  <c r="CK217" i="1"/>
  <c r="CL217" i="1"/>
  <c r="CM217" i="1"/>
  <c r="CN217" i="1"/>
  <c r="CC218" i="1"/>
  <c r="CD218" i="1"/>
  <c r="CE218" i="1"/>
  <c r="CF218" i="1"/>
  <c r="CG218" i="1"/>
  <c r="CH218" i="1"/>
  <c r="CI218" i="1"/>
  <c r="CJ218" i="1"/>
  <c r="CK218" i="1"/>
  <c r="CL218" i="1"/>
  <c r="CM218" i="1"/>
  <c r="CN218" i="1"/>
  <c r="CC219" i="1"/>
  <c r="CD219" i="1"/>
  <c r="CE219" i="1"/>
  <c r="CF219" i="1"/>
  <c r="CG219" i="1"/>
  <c r="CH219" i="1"/>
  <c r="CI219" i="1"/>
  <c r="CJ219" i="1"/>
  <c r="CK219" i="1"/>
  <c r="CL219" i="1"/>
  <c r="CM219" i="1"/>
  <c r="CN219" i="1"/>
  <c r="CC220" i="1"/>
  <c r="CD220" i="1"/>
  <c r="CE220" i="1"/>
  <c r="CF220" i="1"/>
  <c r="CG220" i="1"/>
  <c r="CH220" i="1"/>
  <c r="CI220" i="1"/>
  <c r="CJ220" i="1"/>
  <c r="CK220" i="1"/>
  <c r="CL220" i="1"/>
  <c r="CM220" i="1"/>
  <c r="CN220" i="1"/>
  <c r="CC221" i="1"/>
  <c r="CD221" i="1"/>
  <c r="CE221" i="1"/>
  <c r="CF221" i="1"/>
  <c r="CG221" i="1"/>
  <c r="CH221" i="1"/>
  <c r="CI221" i="1"/>
  <c r="CJ221" i="1"/>
  <c r="CK221" i="1"/>
  <c r="CL221" i="1"/>
  <c r="CM221" i="1"/>
  <c r="CN221" i="1"/>
  <c r="CC222" i="1"/>
  <c r="CD222" i="1"/>
  <c r="CE222" i="1"/>
  <c r="CF222" i="1"/>
  <c r="CG222" i="1"/>
  <c r="CH222" i="1"/>
  <c r="CI222" i="1"/>
  <c r="CJ222" i="1"/>
  <c r="CK222" i="1"/>
  <c r="CL222" i="1"/>
  <c r="CM222" i="1"/>
  <c r="CN222" i="1"/>
  <c r="CC223" i="1"/>
  <c r="CD223" i="1"/>
  <c r="CE223" i="1"/>
  <c r="CF223" i="1"/>
  <c r="CG223" i="1"/>
  <c r="CH223" i="1"/>
  <c r="CI223" i="1"/>
  <c r="CJ223" i="1"/>
  <c r="CK223" i="1"/>
  <c r="CL223" i="1"/>
  <c r="CM223" i="1"/>
  <c r="CN223" i="1"/>
  <c r="CC224" i="1"/>
  <c r="CD224" i="1"/>
  <c r="CE224" i="1"/>
  <c r="CF224" i="1"/>
  <c r="CG224" i="1"/>
  <c r="CH224" i="1"/>
  <c r="CI224" i="1"/>
  <c r="CJ224" i="1"/>
  <c r="CK224" i="1"/>
  <c r="CL224" i="1"/>
  <c r="CM224" i="1"/>
  <c r="CN224" i="1"/>
  <c r="CC225" i="1"/>
  <c r="CD225" i="1"/>
  <c r="CE225" i="1"/>
  <c r="CF225" i="1"/>
  <c r="CG225" i="1"/>
  <c r="CH225" i="1"/>
  <c r="CI225" i="1"/>
  <c r="CJ225" i="1"/>
  <c r="CK225" i="1"/>
  <c r="CL225" i="1"/>
  <c r="CM225" i="1"/>
  <c r="CN225" i="1"/>
  <c r="CC226" i="1"/>
  <c r="CD226" i="1"/>
  <c r="CE226" i="1"/>
  <c r="CF226" i="1"/>
  <c r="CG226" i="1"/>
  <c r="CH226" i="1"/>
  <c r="CI226" i="1"/>
  <c r="CJ226" i="1"/>
  <c r="CK226" i="1"/>
  <c r="CL226" i="1"/>
  <c r="CM226" i="1"/>
  <c r="CN226" i="1"/>
  <c r="CC227" i="1"/>
  <c r="CD227" i="1"/>
  <c r="CE227" i="1"/>
  <c r="CF227" i="1"/>
  <c r="CG227" i="1"/>
  <c r="CH227" i="1"/>
  <c r="CI227" i="1"/>
  <c r="CJ227" i="1"/>
  <c r="CK227" i="1"/>
  <c r="CL227" i="1"/>
  <c r="CM227" i="1"/>
  <c r="CN227" i="1"/>
  <c r="CC228" i="1"/>
  <c r="CD228" i="1"/>
  <c r="CE228" i="1"/>
  <c r="CF228" i="1"/>
  <c r="CG228" i="1"/>
  <c r="CH228" i="1"/>
  <c r="CI228" i="1"/>
  <c r="CJ228" i="1"/>
  <c r="CK228" i="1"/>
  <c r="CL228" i="1"/>
  <c r="CM228" i="1"/>
  <c r="CN228" i="1"/>
  <c r="CC229" i="1"/>
  <c r="CD229" i="1"/>
  <c r="CE229" i="1"/>
  <c r="CF229" i="1"/>
  <c r="CG229" i="1"/>
  <c r="CH229" i="1"/>
  <c r="CI229" i="1"/>
  <c r="CJ229" i="1"/>
  <c r="CK229" i="1"/>
  <c r="CL229" i="1"/>
  <c r="CM229" i="1"/>
  <c r="CN229" i="1"/>
  <c r="CC230" i="1"/>
  <c r="CD230" i="1"/>
  <c r="CE230" i="1"/>
  <c r="CF230" i="1"/>
  <c r="CG230" i="1"/>
  <c r="CH230" i="1"/>
  <c r="CI230" i="1"/>
  <c r="CJ230" i="1"/>
  <c r="CK230" i="1"/>
  <c r="CL230" i="1"/>
  <c r="CM230" i="1"/>
  <c r="CN230" i="1"/>
  <c r="CC231" i="1"/>
  <c r="CD231" i="1"/>
  <c r="CE231" i="1"/>
  <c r="CF231" i="1"/>
  <c r="CG231" i="1"/>
  <c r="CH231" i="1"/>
  <c r="CI231" i="1"/>
  <c r="CJ231" i="1"/>
  <c r="CK231" i="1"/>
  <c r="CL231" i="1"/>
  <c r="CM231" i="1"/>
  <c r="CN231" i="1"/>
  <c r="CC232" i="1"/>
  <c r="CD232" i="1"/>
  <c r="CE232" i="1"/>
  <c r="CF232" i="1"/>
  <c r="CG232" i="1"/>
  <c r="CH232" i="1"/>
  <c r="CI232" i="1"/>
  <c r="CJ232" i="1"/>
  <c r="CK232" i="1"/>
  <c r="CL232" i="1"/>
  <c r="CM232" i="1"/>
  <c r="CN232" i="1"/>
  <c r="CC233" i="1"/>
  <c r="CD233" i="1"/>
  <c r="CE233" i="1"/>
  <c r="CF233" i="1"/>
  <c r="CG233" i="1"/>
  <c r="CH233" i="1"/>
  <c r="CI233" i="1"/>
  <c r="CJ233" i="1"/>
  <c r="CK233" i="1"/>
  <c r="CL233" i="1"/>
  <c r="CM233" i="1"/>
  <c r="CN233" i="1"/>
  <c r="CC234" i="1"/>
  <c r="CD234" i="1"/>
  <c r="CE234" i="1"/>
  <c r="CF234" i="1"/>
  <c r="CG234" i="1"/>
  <c r="CH234" i="1"/>
  <c r="CI234" i="1"/>
  <c r="CJ234" i="1"/>
  <c r="CK234" i="1"/>
  <c r="CL234" i="1"/>
  <c r="CM234" i="1"/>
  <c r="CN234" i="1"/>
  <c r="CC235" i="1"/>
  <c r="CD235" i="1"/>
  <c r="CE235" i="1"/>
  <c r="CF235" i="1"/>
  <c r="CG235" i="1"/>
  <c r="CH235" i="1"/>
  <c r="CI235" i="1"/>
  <c r="CJ235" i="1"/>
  <c r="CK235" i="1"/>
  <c r="CL235" i="1"/>
  <c r="CM235" i="1"/>
  <c r="CN235" i="1"/>
  <c r="CC236" i="1"/>
  <c r="CD236" i="1"/>
  <c r="CE236" i="1"/>
  <c r="CF236" i="1"/>
  <c r="CG236" i="1"/>
  <c r="CH236" i="1"/>
  <c r="CI236" i="1"/>
  <c r="CJ236" i="1"/>
  <c r="CK236" i="1"/>
  <c r="CL236" i="1"/>
  <c r="CM236" i="1"/>
  <c r="CN236" i="1"/>
  <c r="CC237" i="1"/>
  <c r="CD237" i="1"/>
  <c r="CE237" i="1"/>
  <c r="CF237" i="1"/>
  <c r="CG237" i="1"/>
  <c r="CH237" i="1"/>
  <c r="CI237" i="1"/>
  <c r="CJ237" i="1"/>
  <c r="CK237" i="1"/>
  <c r="CL237" i="1"/>
  <c r="CM237" i="1"/>
  <c r="CN237" i="1"/>
  <c r="CC238" i="1"/>
  <c r="CD238" i="1"/>
  <c r="CE238" i="1"/>
  <c r="CF238" i="1"/>
  <c r="CG238" i="1"/>
  <c r="CH238" i="1"/>
  <c r="CI238" i="1"/>
  <c r="CJ238" i="1"/>
  <c r="CK238" i="1"/>
  <c r="CL238" i="1"/>
  <c r="CM238" i="1"/>
  <c r="CN238" i="1"/>
  <c r="CC239" i="1"/>
  <c r="CD239" i="1"/>
  <c r="CE239" i="1"/>
  <c r="CF239" i="1"/>
  <c r="CG239" i="1"/>
  <c r="CH239" i="1"/>
  <c r="CI239" i="1"/>
  <c r="CJ239" i="1"/>
  <c r="CK239" i="1"/>
  <c r="CL239" i="1"/>
  <c r="CM239" i="1"/>
  <c r="CN239" i="1"/>
  <c r="CC240" i="1"/>
  <c r="CD240" i="1"/>
  <c r="CE240" i="1"/>
  <c r="CF240" i="1"/>
  <c r="CG240" i="1"/>
  <c r="CH240" i="1"/>
  <c r="CI240" i="1"/>
  <c r="CJ240" i="1"/>
  <c r="CK240" i="1"/>
  <c r="CL240" i="1"/>
  <c r="CM240" i="1"/>
  <c r="CN240" i="1"/>
  <c r="CC241" i="1"/>
  <c r="CD241" i="1"/>
  <c r="CE241" i="1"/>
  <c r="CF241" i="1"/>
  <c r="CG241" i="1"/>
  <c r="CH241" i="1"/>
  <c r="CI241" i="1"/>
  <c r="CJ241" i="1"/>
  <c r="CK241" i="1"/>
  <c r="CL241" i="1"/>
  <c r="CM241" i="1"/>
  <c r="CN241" i="1"/>
  <c r="CC242" i="1"/>
  <c r="CD242" i="1"/>
  <c r="CE242" i="1"/>
  <c r="CF242" i="1"/>
  <c r="CG242" i="1"/>
  <c r="CH242" i="1"/>
  <c r="CI242" i="1"/>
  <c r="CJ242" i="1"/>
  <c r="CK242" i="1"/>
  <c r="CL242" i="1"/>
  <c r="CM242" i="1"/>
  <c r="CN242" i="1"/>
  <c r="CC243" i="1"/>
  <c r="CD243" i="1"/>
  <c r="CE243" i="1"/>
  <c r="CF243" i="1"/>
  <c r="CG243" i="1"/>
  <c r="CH243" i="1"/>
  <c r="CI243" i="1"/>
  <c r="CJ243" i="1"/>
  <c r="CK243" i="1"/>
  <c r="CL243" i="1"/>
  <c r="CM243" i="1"/>
  <c r="CN243" i="1"/>
  <c r="CC244" i="1"/>
  <c r="CD244" i="1"/>
  <c r="CE244" i="1"/>
  <c r="CF244" i="1"/>
  <c r="CG244" i="1"/>
  <c r="CH244" i="1"/>
  <c r="CI244" i="1"/>
  <c r="CJ244" i="1"/>
  <c r="CK244" i="1"/>
  <c r="CL244" i="1"/>
  <c r="CM244" i="1"/>
  <c r="CN244" i="1"/>
  <c r="CC245" i="1"/>
  <c r="CD245" i="1"/>
  <c r="CE245" i="1"/>
  <c r="CF245" i="1"/>
  <c r="CG245" i="1"/>
  <c r="CH245" i="1"/>
  <c r="CI245" i="1"/>
  <c r="CJ245" i="1"/>
  <c r="CK245" i="1"/>
  <c r="CL245" i="1"/>
  <c r="CM245" i="1"/>
  <c r="CN245" i="1"/>
  <c r="CC246" i="1"/>
  <c r="CD246" i="1"/>
  <c r="CE246" i="1"/>
  <c r="CF246" i="1"/>
  <c r="CG246" i="1"/>
  <c r="CH246" i="1"/>
  <c r="CI246" i="1"/>
  <c r="CJ246" i="1"/>
  <c r="CK246" i="1"/>
  <c r="CL246" i="1"/>
  <c r="CM246" i="1"/>
  <c r="CN246" i="1"/>
  <c r="CC247" i="1"/>
  <c r="CD247" i="1"/>
  <c r="CE247" i="1"/>
  <c r="CF247" i="1"/>
  <c r="CG247" i="1"/>
  <c r="CH247" i="1"/>
  <c r="CI247" i="1"/>
  <c r="CJ247" i="1"/>
  <c r="CK247" i="1"/>
  <c r="CL247" i="1"/>
  <c r="CM247" i="1"/>
  <c r="CN247" i="1"/>
  <c r="CC248" i="1"/>
  <c r="CD248" i="1"/>
  <c r="CE248" i="1"/>
  <c r="CF248" i="1"/>
  <c r="CG248" i="1"/>
  <c r="CH248" i="1"/>
  <c r="CI248" i="1"/>
  <c r="CJ248" i="1"/>
  <c r="CK248" i="1"/>
  <c r="CL248" i="1"/>
  <c r="CM248" i="1"/>
  <c r="CN248" i="1"/>
  <c r="CC249" i="1"/>
  <c r="CD249" i="1"/>
  <c r="CE249" i="1"/>
  <c r="CF249" i="1"/>
  <c r="CG249" i="1"/>
  <c r="CH249" i="1"/>
  <c r="CI249" i="1"/>
  <c r="CJ249" i="1"/>
  <c r="CK249" i="1"/>
  <c r="CL249" i="1"/>
  <c r="CM249" i="1"/>
  <c r="CN249" i="1"/>
  <c r="CC250" i="1"/>
  <c r="CD250" i="1"/>
  <c r="CE250" i="1"/>
  <c r="CF250" i="1"/>
  <c r="CG250" i="1"/>
  <c r="CH250" i="1"/>
  <c r="CI250" i="1"/>
  <c r="CJ250" i="1"/>
  <c r="CK250" i="1"/>
  <c r="CL250" i="1"/>
  <c r="CM250" i="1"/>
  <c r="CN250" i="1"/>
  <c r="CC251" i="1"/>
  <c r="CD251" i="1"/>
  <c r="CE251" i="1"/>
  <c r="CF251" i="1"/>
  <c r="CG251" i="1"/>
  <c r="CH251" i="1"/>
  <c r="CI251" i="1"/>
  <c r="CJ251" i="1"/>
  <c r="CK251" i="1"/>
  <c r="CL251" i="1"/>
  <c r="CM251" i="1"/>
  <c r="CN251" i="1"/>
  <c r="CC252" i="1"/>
  <c r="CD252" i="1"/>
  <c r="CE252" i="1"/>
  <c r="CF252" i="1"/>
  <c r="CG252" i="1"/>
  <c r="CH252" i="1"/>
  <c r="CI252" i="1"/>
  <c r="CJ252" i="1"/>
  <c r="CK252" i="1"/>
  <c r="CL252" i="1"/>
  <c r="CM252" i="1"/>
  <c r="CN252" i="1"/>
  <c r="CC253" i="1"/>
  <c r="CD253" i="1"/>
  <c r="CE253" i="1"/>
  <c r="CF253" i="1"/>
  <c r="CG253" i="1"/>
  <c r="CH253" i="1"/>
  <c r="CI253" i="1"/>
  <c r="CJ253" i="1"/>
  <c r="CK253" i="1"/>
  <c r="CL253" i="1"/>
  <c r="CM253" i="1"/>
  <c r="CN253" i="1"/>
  <c r="D107" i="39" l="1"/>
  <c r="B107" i="39" s="1"/>
  <c r="C107" i="39" s="1"/>
  <c r="Q71" i="7"/>
  <c r="R71" i="7" s="1"/>
  <c r="T71" i="7"/>
  <c r="U71" i="7"/>
  <c r="V71" i="7"/>
  <c r="W71" i="7"/>
  <c r="X71" i="7"/>
  <c r="Y71" i="7" l="1"/>
  <c r="F176" i="11"/>
  <c r="H176" i="11" s="1"/>
  <c r="C62" i="5" s="1"/>
  <c r="BS176" i="11" l="1"/>
  <c r="BN62" i="5" s="1"/>
  <c r="AM176" i="11"/>
  <c r="AH62" i="5" s="1"/>
  <c r="AY176" i="11"/>
  <c r="AT62" i="5" s="1"/>
  <c r="S176" i="11"/>
  <c r="N62" i="5" s="1"/>
  <c r="CA176" i="11"/>
  <c r="BV62" i="5" s="1"/>
  <c r="AU176" i="11"/>
  <c r="AP62" i="5" s="1"/>
  <c r="O176" i="11"/>
  <c r="J62" i="5" s="1"/>
  <c r="BW176" i="11"/>
  <c r="BR62" i="5" s="1"/>
  <c r="AQ176" i="11"/>
  <c r="AL62" i="5" s="1"/>
  <c r="K176" i="11"/>
  <c r="F62" i="5" s="1"/>
  <c r="BO176" i="11"/>
  <c r="BJ62" i="5" s="1"/>
  <c r="AI176" i="11"/>
  <c r="AD62" i="5" s="1"/>
  <c r="BK176" i="11"/>
  <c r="BF62" i="5" s="1"/>
  <c r="AE176" i="11"/>
  <c r="Z62" i="5" s="1"/>
  <c r="BG176" i="11"/>
  <c r="BB62" i="5" s="1"/>
  <c r="AA176" i="11"/>
  <c r="V62" i="5" s="1"/>
  <c r="BC176" i="11"/>
  <c r="AX62" i="5" s="1"/>
  <c r="W176" i="11"/>
  <c r="R62" i="5" s="1"/>
  <c r="BZ176" i="11"/>
  <c r="BU62" i="5" s="1"/>
  <c r="BV176" i="11"/>
  <c r="BQ62" i="5" s="1"/>
  <c r="BR176" i="11"/>
  <c r="BM62" i="5" s="1"/>
  <c r="BN176" i="11"/>
  <c r="BI62" i="5" s="1"/>
  <c r="BJ176" i="11"/>
  <c r="BE62" i="5" s="1"/>
  <c r="BF176" i="11"/>
  <c r="BA62" i="5" s="1"/>
  <c r="BB176" i="11"/>
  <c r="AW62" i="5" s="1"/>
  <c r="AX176" i="11"/>
  <c r="AS62" i="5" s="1"/>
  <c r="AT176" i="11"/>
  <c r="AO62" i="5" s="1"/>
  <c r="AP176" i="11"/>
  <c r="AK62" i="5" s="1"/>
  <c r="AL176" i="11"/>
  <c r="AG62" i="5" s="1"/>
  <c r="AH176" i="11"/>
  <c r="AC62" i="5" s="1"/>
  <c r="AD176" i="11"/>
  <c r="Y62" i="5" s="1"/>
  <c r="Z176" i="11"/>
  <c r="U62" i="5" s="1"/>
  <c r="V176" i="11"/>
  <c r="Q62" i="5" s="1"/>
  <c r="R176" i="11"/>
  <c r="M62" i="5" s="1"/>
  <c r="N176" i="11"/>
  <c r="I62" i="5" s="1"/>
  <c r="J176" i="11"/>
  <c r="E62" i="5" s="1"/>
  <c r="BY176" i="11"/>
  <c r="BT62" i="5" s="1"/>
  <c r="BU176" i="11"/>
  <c r="BP62" i="5" s="1"/>
  <c r="BQ176" i="11"/>
  <c r="BL62" i="5" s="1"/>
  <c r="BM176" i="11"/>
  <c r="BH62" i="5" s="1"/>
  <c r="BI176" i="11"/>
  <c r="BD62" i="5" s="1"/>
  <c r="BE176" i="11"/>
  <c r="AZ62" i="5" s="1"/>
  <c r="BA176" i="11"/>
  <c r="AV62" i="5" s="1"/>
  <c r="AW176" i="11"/>
  <c r="AR62" i="5" s="1"/>
  <c r="AS176" i="11"/>
  <c r="AN62" i="5" s="1"/>
  <c r="AO176" i="11"/>
  <c r="AJ62" i="5" s="1"/>
  <c r="AK176" i="11"/>
  <c r="AF62" i="5" s="1"/>
  <c r="AG176" i="11"/>
  <c r="AB62" i="5" s="1"/>
  <c r="AC176" i="11"/>
  <c r="X62" i="5" s="1"/>
  <c r="Y176" i="11"/>
  <c r="T62" i="5" s="1"/>
  <c r="U176" i="11"/>
  <c r="P62" i="5" s="1"/>
  <c r="Q176" i="11"/>
  <c r="L62" i="5" s="1"/>
  <c r="M176" i="11"/>
  <c r="H62" i="5" s="1"/>
  <c r="I176" i="11"/>
  <c r="BX176" i="11"/>
  <c r="BS62" i="5" s="1"/>
  <c r="BT176" i="11"/>
  <c r="BO62" i="5" s="1"/>
  <c r="BP176" i="11"/>
  <c r="BK62" i="5" s="1"/>
  <c r="BL176" i="11"/>
  <c r="BG62" i="5" s="1"/>
  <c r="BH176" i="11"/>
  <c r="BC62" i="5" s="1"/>
  <c r="BD176" i="11"/>
  <c r="AY62" i="5" s="1"/>
  <c r="AZ176" i="11"/>
  <c r="AU62" i="5" s="1"/>
  <c r="AV176" i="11"/>
  <c r="AQ62" i="5" s="1"/>
  <c r="AR176" i="11"/>
  <c r="AM62" i="5" s="1"/>
  <c r="AN176" i="11"/>
  <c r="AI62" i="5" s="1"/>
  <c r="AJ176" i="11"/>
  <c r="AE62" i="5" s="1"/>
  <c r="AF176" i="11"/>
  <c r="AA62" i="5" s="1"/>
  <c r="AB176" i="11"/>
  <c r="W62" i="5" s="1"/>
  <c r="X176" i="11"/>
  <c r="S62" i="5" s="1"/>
  <c r="T176" i="11"/>
  <c r="O62" i="5" s="1"/>
  <c r="P176" i="11"/>
  <c r="K62" i="5" s="1"/>
  <c r="L176" i="11"/>
  <c r="G62" i="5" s="1"/>
  <c r="AD152" i="38"/>
  <c r="AD153" i="38"/>
  <c r="AD154" i="38"/>
  <c r="AD155" i="38"/>
  <c r="AD156" i="38"/>
  <c r="AD157" i="38"/>
  <c r="AD158" i="38"/>
  <c r="AD159" i="38"/>
  <c r="AD160" i="38"/>
  <c r="AD161" i="38"/>
  <c r="AD162" i="38"/>
  <c r="AD163" i="38"/>
  <c r="AD164" i="38"/>
  <c r="AD165" i="38"/>
  <c r="AD166" i="38"/>
  <c r="AD167" i="38"/>
  <c r="AD168" i="38"/>
  <c r="AD169" i="38"/>
  <c r="AD170" i="38"/>
  <c r="AD171" i="38"/>
  <c r="AD172" i="38"/>
  <c r="AD173" i="38"/>
  <c r="AD174" i="38"/>
  <c r="AD175" i="38"/>
  <c r="AD176" i="38"/>
  <c r="AD177" i="38"/>
  <c r="AD178" i="38"/>
  <c r="AD179" i="38"/>
  <c r="AD180" i="38"/>
  <c r="AD181" i="38"/>
  <c r="AD182" i="38"/>
  <c r="AD183" i="38"/>
  <c r="AD184" i="38"/>
  <c r="AD185" i="38"/>
  <c r="AD186" i="38"/>
  <c r="AD187" i="38"/>
  <c r="AD188" i="38"/>
  <c r="AD189" i="38"/>
  <c r="AD190" i="38"/>
  <c r="AD191" i="38"/>
  <c r="AD192" i="38"/>
  <c r="AD193" i="38"/>
  <c r="AD194" i="38"/>
  <c r="AD195" i="38"/>
  <c r="AD196" i="38"/>
  <c r="AD197" i="38"/>
  <c r="AD198" i="38"/>
  <c r="AD199" i="38"/>
  <c r="AD200" i="38"/>
  <c r="AD201" i="38"/>
  <c r="AD202" i="38"/>
  <c r="AD203" i="38"/>
  <c r="AD204" i="38"/>
  <c r="AD205" i="38"/>
  <c r="AD206" i="38"/>
  <c r="AD207" i="38"/>
  <c r="AD208" i="38"/>
  <c r="AD209" i="38"/>
  <c r="AD210" i="38"/>
  <c r="AD211" i="38"/>
  <c r="AD212" i="38"/>
  <c r="AD213" i="38"/>
  <c r="AD214" i="38"/>
  <c r="AD215" i="38"/>
  <c r="AD216" i="38"/>
  <c r="AD217" i="38"/>
  <c r="AD218" i="38"/>
  <c r="AD219" i="38"/>
  <c r="AD220" i="38"/>
  <c r="AD221" i="38"/>
  <c r="AD222" i="38"/>
  <c r="AD223" i="38"/>
  <c r="AD224" i="38"/>
  <c r="AD225" i="38"/>
  <c r="AD226" i="38"/>
  <c r="AD227" i="38"/>
  <c r="AD228" i="38"/>
  <c r="AD229" i="38"/>
  <c r="AD230" i="38"/>
  <c r="AD231" i="38"/>
  <c r="AD232" i="38"/>
  <c r="AD233" i="38"/>
  <c r="AD234" i="38"/>
  <c r="AD235" i="38"/>
  <c r="AD236" i="38"/>
  <c r="AD237" i="38"/>
  <c r="AD238" i="38"/>
  <c r="AD239" i="38"/>
  <c r="AD240" i="38"/>
  <c r="AD241" i="38"/>
  <c r="AD242" i="38"/>
  <c r="AD243" i="38"/>
  <c r="AD244" i="38"/>
  <c r="AD245" i="38"/>
  <c r="AD246" i="38"/>
  <c r="AD247" i="38"/>
  <c r="AD248" i="38"/>
  <c r="AD249" i="38"/>
  <c r="AD250" i="38"/>
  <c r="AD251" i="38"/>
  <c r="AD252" i="38"/>
  <c r="CB176" i="11" l="1"/>
  <c r="D62" i="5"/>
  <c r="BW62" i="5" s="1"/>
  <c r="FC154" i="1"/>
  <c r="FD154" i="1"/>
  <c r="AC152" i="38" s="1"/>
  <c r="FG154" i="1"/>
  <c r="AF152" i="38" s="1"/>
  <c r="FC155" i="1"/>
  <c r="FD155" i="1"/>
  <c r="AC153" i="38" s="1"/>
  <c r="FG155" i="1"/>
  <c r="FC156" i="1"/>
  <c r="AB154" i="38" s="1"/>
  <c r="FD156" i="1"/>
  <c r="AC154" i="38" s="1"/>
  <c r="FG156" i="1"/>
  <c r="AF154" i="38" s="1"/>
  <c r="FC157" i="1"/>
  <c r="AB155" i="38" s="1"/>
  <c r="FD157" i="1"/>
  <c r="AC155" i="38" s="1"/>
  <c r="FG157" i="1"/>
  <c r="FC158" i="1"/>
  <c r="FD158" i="1"/>
  <c r="AC156" i="38" s="1"/>
  <c r="FG158" i="1"/>
  <c r="AF156" i="38" s="1"/>
  <c r="FC159" i="1"/>
  <c r="FD159" i="1"/>
  <c r="AC157" i="38" s="1"/>
  <c r="FG159" i="1"/>
  <c r="AF157" i="38" s="1"/>
  <c r="FC160" i="1"/>
  <c r="AB158" i="38" s="1"/>
  <c r="FD160" i="1"/>
  <c r="AC158" i="38" s="1"/>
  <c r="FG160" i="1"/>
  <c r="AF158" i="38" s="1"/>
  <c r="FC161" i="1"/>
  <c r="AB159" i="38" s="1"/>
  <c r="FD161" i="1"/>
  <c r="AC159" i="38" s="1"/>
  <c r="FG161" i="1"/>
  <c r="AF159" i="38" s="1"/>
  <c r="FC162" i="1"/>
  <c r="AB160" i="38" s="1"/>
  <c r="FD162" i="1"/>
  <c r="AC160" i="38" s="1"/>
  <c r="FG162" i="1"/>
  <c r="AF160" i="38" s="1"/>
  <c r="FC163" i="1"/>
  <c r="FD163" i="1"/>
  <c r="AC161" i="38" s="1"/>
  <c r="FG163" i="1"/>
  <c r="FC164" i="1"/>
  <c r="FD164" i="1"/>
  <c r="AC162" i="38" s="1"/>
  <c r="FG164" i="1"/>
  <c r="AF162" i="38" s="1"/>
  <c r="FC165" i="1"/>
  <c r="AB163" i="38" s="1"/>
  <c r="FD165" i="1"/>
  <c r="AC163" i="38" s="1"/>
  <c r="FG165" i="1"/>
  <c r="AF163" i="38" s="1"/>
  <c r="FC166" i="1"/>
  <c r="AB164" i="38" s="1"/>
  <c r="FD166" i="1"/>
  <c r="AC164" i="38" s="1"/>
  <c r="FG166" i="1"/>
  <c r="AF164" i="38" s="1"/>
  <c r="FC167" i="1"/>
  <c r="FD167" i="1"/>
  <c r="AC165" i="38" s="1"/>
  <c r="FG167" i="1"/>
  <c r="FH167" i="1" s="1"/>
  <c r="AG165" i="38" s="1"/>
  <c r="FC168" i="1"/>
  <c r="FD168" i="1"/>
  <c r="AC166" i="38" s="1"/>
  <c r="FG168" i="1"/>
  <c r="AF166" i="38" s="1"/>
  <c r="FC169" i="1"/>
  <c r="AB167" i="38" s="1"/>
  <c r="FD169" i="1"/>
  <c r="AC167" i="38" s="1"/>
  <c r="FG169" i="1"/>
  <c r="AF167" i="38" s="1"/>
  <c r="FC170" i="1"/>
  <c r="FD170" i="1"/>
  <c r="AC168" i="38" s="1"/>
  <c r="FG170" i="1"/>
  <c r="AF168" i="38" s="1"/>
  <c r="FC171" i="1"/>
  <c r="FD171" i="1"/>
  <c r="AC169" i="38" s="1"/>
  <c r="FG171" i="1"/>
  <c r="AF169" i="38" s="1"/>
  <c r="FC172" i="1"/>
  <c r="AB170" i="38" s="1"/>
  <c r="FD172" i="1"/>
  <c r="AC170" i="38" s="1"/>
  <c r="FG172" i="1"/>
  <c r="AF170" i="38" s="1"/>
  <c r="FC173" i="1"/>
  <c r="AB171" i="38" s="1"/>
  <c r="FD173" i="1"/>
  <c r="AC171" i="38" s="1"/>
  <c r="FG173" i="1"/>
  <c r="AF171" i="38" s="1"/>
  <c r="FC174" i="1"/>
  <c r="AB172" i="38" s="1"/>
  <c r="FD174" i="1"/>
  <c r="AC172" i="38" s="1"/>
  <c r="FG174" i="1"/>
  <c r="FC175" i="1"/>
  <c r="FD175" i="1"/>
  <c r="AC173" i="38" s="1"/>
  <c r="FG175" i="1"/>
  <c r="AF173" i="38" s="1"/>
  <c r="FC176" i="1"/>
  <c r="AB174" i="38" s="1"/>
  <c r="FD176" i="1"/>
  <c r="AC174" i="38" s="1"/>
  <c r="FG176" i="1"/>
  <c r="AF174" i="38" s="1"/>
  <c r="FC177" i="1"/>
  <c r="AB175" i="38" s="1"/>
  <c r="FD177" i="1"/>
  <c r="AC175" i="38" s="1"/>
  <c r="FG177" i="1"/>
  <c r="AF175" i="38" s="1"/>
  <c r="FC178" i="1"/>
  <c r="AB176" i="38" s="1"/>
  <c r="FD178" i="1"/>
  <c r="AC176" i="38" s="1"/>
  <c r="FG178" i="1"/>
  <c r="AF176" i="38" s="1"/>
  <c r="FC179" i="1"/>
  <c r="FD179" i="1"/>
  <c r="AC177" i="38" s="1"/>
  <c r="FG179" i="1"/>
  <c r="AF177" i="38" s="1"/>
  <c r="FC180" i="1"/>
  <c r="FD180" i="1"/>
  <c r="AC178" i="38" s="1"/>
  <c r="FG180" i="1"/>
  <c r="AF178" i="38" s="1"/>
  <c r="FC181" i="1"/>
  <c r="AB179" i="38" s="1"/>
  <c r="FD181" i="1"/>
  <c r="AC179" i="38" s="1"/>
  <c r="FG181" i="1"/>
  <c r="AF179" i="38" s="1"/>
  <c r="FC182" i="1"/>
  <c r="AB180" i="38" s="1"/>
  <c r="FD182" i="1"/>
  <c r="AC180" i="38" s="1"/>
  <c r="FG182" i="1"/>
  <c r="AF180" i="38" s="1"/>
  <c r="FC183" i="1"/>
  <c r="FD183" i="1"/>
  <c r="AC181" i="38" s="1"/>
  <c r="FG183" i="1"/>
  <c r="FH183" i="1" s="1"/>
  <c r="AG181" i="38" s="1"/>
  <c r="FC184" i="1"/>
  <c r="FD184" i="1"/>
  <c r="AC182" i="38" s="1"/>
  <c r="FG184" i="1"/>
  <c r="AF182" i="38" s="1"/>
  <c r="FC185" i="1"/>
  <c r="AB183" i="38" s="1"/>
  <c r="FD185" i="1"/>
  <c r="AC183" i="38" s="1"/>
  <c r="FG185" i="1"/>
  <c r="AF183" i="38" s="1"/>
  <c r="FC186" i="1"/>
  <c r="FD186" i="1"/>
  <c r="AC184" i="38" s="1"/>
  <c r="FG186" i="1"/>
  <c r="AF184" i="38" s="1"/>
  <c r="FC187" i="1"/>
  <c r="FD187" i="1"/>
  <c r="AC185" i="38" s="1"/>
  <c r="FG187" i="1"/>
  <c r="AF185" i="38" s="1"/>
  <c r="FC188" i="1"/>
  <c r="FD188" i="1"/>
  <c r="AC186" i="38" s="1"/>
  <c r="FG188" i="1"/>
  <c r="AF186" i="38" s="1"/>
  <c r="FC189" i="1"/>
  <c r="AB187" i="38" s="1"/>
  <c r="FD189" i="1"/>
  <c r="AC187" i="38" s="1"/>
  <c r="FG189" i="1"/>
  <c r="AF187" i="38" s="1"/>
  <c r="FC190" i="1"/>
  <c r="AB188" i="38" s="1"/>
  <c r="FD190" i="1"/>
  <c r="AC188" i="38" s="1"/>
  <c r="FG190" i="1"/>
  <c r="AF188" i="38" s="1"/>
  <c r="FC191" i="1"/>
  <c r="FD191" i="1"/>
  <c r="AC189" i="38" s="1"/>
  <c r="FG191" i="1"/>
  <c r="FC192" i="1"/>
  <c r="AB190" i="38" s="1"/>
  <c r="FD192" i="1"/>
  <c r="AC190" i="38" s="1"/>
  <c r="FG192" i="1"/>
  <c r="AF190" i="38" s="1"/>
  <c r="FC193" i="1"/>
  <c r="AB191" i="38" s="1"/>
  <c r="FD193" i="1"/>
  <c r="AC191" i="38" s="1"/>
  <c r="FG193" i="1"/>
  <c r="AF191" i="38" s="1"/>
  <c r="FC194" i="1"/>
  <c r="AB192" i="38" s="1"/>
  <c r="FD194" i="1"/>
  <c r="AC192" i="38" s="1"/>
  <c r="FG194" i="1"/>
  <c r="AF192" i="38" s="1"/>
  <c r="FC195" i="1"/>
  <c r="FD195" i="1"/>
  <c r="AC193" i="38" s="1"/>
  <c r="FG195" i="1"/>
  <c r="AF193" i="38" s="1"/>
  <c r="FC196" i="1"/>
  <c r="AB194" i="38" s="1"/>
  <c r="FD196" i="1"/>
  <c r="AC194" i="38" s="1"/>
  <c r="FG196" i="1"/>
  <c r="AF194" i="38" s="1"/>
  <c r="FC197" i="1"/>
  <c r="AB195" i="38" s="1"/>
  <c r="FD197" i="1"/>
  <c r="AC195" i="38" s="1"/>
  <c r="FG197" i="1"/>
  <c r="AF195" i="38" s="1"/>
  <c r="FC198" i="1"/>
  <c r="FD198" i="1"/>
  <c r="AC196" i="38" s="1"/>
  <c r="FG198" i="1"/>
  <c r="AF196" i="38" s="1"/>
  <c r="FC199" i="1"/>
  <c r="FD199" i="1"/>
  <c r="AC197" i="38" s="1"/>
  <c r="FG199" i="1"/>
  <c r="FH199" i="1" s="1"/>
  <c r="AG197" i="38" s="1"/>
  <c r="FC200" i="1"/>
  <c r="FD200" i="1"/>
  <c r="AC198" i="38" s="1"/>
  <c r="FG200" i="1"/>
  <c r="AF198" i="38" s="1"/>
  <c r="FC201" i="1"/>
  <c r="AB199" i="38" s="1"/>
  <c r="FD201" i="1"/>
  <c r="AC199" i="38" s="1"/>
  <c r="FG201" i="1"/>
  <c r="AF199" i="38" s="1"/>
  <c r="FC202" i="1"/>
  <c r="FD202" i="1"/>
  <c r="AC200" i="38" s="1"/>
  <c r="FG202" i="1"/>
  <c r="AF200" i="38" s="1"/>
  <c r="FC203" i="1"/>
  <c r="AB201" i="38" s="1"/>
  <c r="FD203" i="1"/>
  <c r="AC201" i="38" s="1"/>
  <c r="FG203" i="1"/>
  <c r="AF201" i="38" s="1"/>
  <c r="FC204" i="1"/>
  <c r="FD204" i="1"/>
  <c r="AC202" i="38" s="1"/>
  <c r="FG204" i="1"/>
  <c r="AF202" i="38" s="1"/>
  <c r="FC205" i="1"/>
  <c r="FD205" i="1"/>
  <c r="AC203" i="38" s="1"/>
  <c r="FG205" i="1"/>
  <c r="FH205" i="1" s="1"/>
  <c r="AG203" i="38" s="1"/>
  <c r="FC206" i="1"/>
  <c r="FD206" i="1"/>
  <c r="AC204" i="38" s="1"/>
  <c r="FG206" i="1"/>
  <c r="AF204" i="38" s="1"/>
  <c r="FC207" i="1"/>
  <c r="AB205" i="38" s="1"/>
  <c r="FD207" i="1"/>
  <c r="AC205" i="38" s="1"/>
  <c r="FG207" i="1"/>
  <c r="AF205" i="38" s="1"/>
  <c r="FC208" i="1"/>
  <c r="FD208" i="1"/>
  <c r="AC206" i="38" s="1"/>
  <c r="FG208" i="1"/>
  <c r="AF206" i="38" s="1"/>
  <c r="FC209" i="1"/>
  <c r="FD209" i="1"/>
  <c r="AC207" i="38" s="1"/>
  <c r="FG209" i="1"/>
  <c r="FC210" i="1"/>
  <c r="AB208" i="38" s="1"/>
  <c r="FD210" i="1"/>
  <c r="AC208" i="38" s="1"/>
  <c r="FG210" i="1"/>
  <c r="AF208" i="38" s="1"/>
  <c r="FC211" i="1"/>
  <c r="AB209" i="38" s="1"/>
  <c r="FD211" i="1"/>
  <c r="AC209" i="38" s="1"/>
  <c r="FG211" i="1"/>
  <c r="AF209" i="38" s="1"/>
  <c r="FC212" i="1"/>
  <c r="AB210" i="38" s="1"/>
  <c r="FD212" i="1"/>
  <c r="AC210" i="38" s="1"/>
  <c r="FG212" i="1"/>
  <c r="AF210" i="38" s="1"/>
  <c r="FC213" i="1"/>
  <c r="FD213" i="1"/>
  <c r="AC211" i="38" s="1"/>
  <c r="FG213" i="1"/>
  <c r="AF211" i="38" s="1"/>
  <c r="FC214" i="1"/>
  <c r="AB212" i="38" s="1"/>
  <c r="FD214" i="1"/>
  <c r="AC212" i="38" s="1"/>
  <c r="FG214" i="1"/>
  <c r="AF212" i="38" s="1"/>
  <c r="FC215" i="1"/>
  <c r="AB213" i="38" s="1"/>
  <c r="FD215" i="1"/>
  <c r="AC213" i="38" s="1"/>
  <c r="FG215" i="1"/>
  <c r="FC216" i="1"/>
  <c r="AB214" i="38" s="1"/>
  <c r="FD216" i="1"/>
  <c r="AC214" i="38" s="1"/>
  <c r="FG216" i="1"/>
  <c r="AF214" i="38" s="1"/>
  <c r="FC217" i="1"/>
  <c r="FD217" i="1"/>
  <c r="AC215" i="38" s="1"/>
  <c r="FG217" i="1"/>
  <c r="FH217" i="1" s="1"/>
  <c r="AG215" i="38" s="1"/>
  <c r="FC218" i="1"/>
  <c r="FD218" i="1"/>
  <c r="AC216" i="38" s="1"/>
  <c r="FG218" i="1"/>
  <c r="AF216" i="38" s="1"/>
  <c r="FC219" i="1"/>
  <c r="AB217" i="38" s="1"/>
  <c r="FD219" i="1"/>
  <c r="AC217" i="38" s="1"/>
  <c r="FG219" i="1"/>
  <c r="AF217" i="38" s="1"/>
  <c r="FC220" i="1"/>
  <c r="FD220" i="1"/>
  <c r="AC218" i="38" s="1"/>
  <c r="FG220" i="1"/>
  <c r="AF218" i="38" s="1"/>
  <c r="FH220" i="1"/>
  <c r="AG218" i="38" s="1"/>
  <c r="FC221" i="1"/>
  <c r="FD221" i="1"/>
  <c r="AC219" i="38" s="1"/>
  <c r="FG221" i="1"/>
  <c r="FC222" i="1"/>
  <c r="FD222" i="1"/>
  <c r="AC220" i="38" s="1"/>
  <c r="FG222" i="1"/>
  <c r="AF220" i="38" s="1"/>
  <c r="FC223" i="1"/>
  <c r="AB221" i="38" s="1"/>
  <c r="FD223" i="1"/>
  <c r="AC221" i="38" s="1"/>
  <c r="FG223" i="1"/>
  <c r="FC224" i="1"/>
  <c r="AB222" i="38" s="1"/>
  <c r="FD224" i="1"/>
  <c r="AC222" i="38" s="1"/>
  <c r="FG224" i="1"/>
  <c r="AF222" i="38" s="1"/>
  <c r="FC225" i="1"/>
  <c r="FD225" i="1"/>
  <c r="AC223" i="38" s="1"/>
  <c r="FG225" i="1"/>
  <c r="FC226" i="1"/>
  <c r="FD226" i="1"/>
  <c r="AC224" i="38" s="1"/>
  <c r="FG226" i="1"/>
  <c r="FC227" i="1"/>
  <c r="AB225" i="38" s="1"/>
  <c r="FD227" i="1"/>
  <c r="AC225" i="38" s="1"/>
  <c r="FG227" i="1"/>
  <c r="AF225" i="38" s="1"/>
  <c r="FC228" i="1"/>
  <c r="AB226" i="38" s="1"/>
  <c r="FD228" i="1"/>
  <c r="AC226" i="38" s="1"/>
  <c r="FG228" i="1"/>
  <c r="AF226" i="38" s="1"/>
  <c r="FC229" i="1"/>
  <c r="FD229" i="1"/>
  <c r="AC227" i="38" s="1"/>
  <c r="FG229" i="1"/>
  <c r="FC230" i="1"/>
  <c r="FD230" i="1"/>
  <c r="AC228" i="38" s="1"/>
  <c r="FG230" i="1"/>
  <c r="FC231" i="1"/>
  <c r="AB229" i="38" s="1"/>
  <c r="FD231" i="1"/>
  <c r="AC229" i="38" s="1"/>
  <c r="FG231" i="1"/>
  <c r="AF229" i="38" s="1"/>
  <c r="FC232" i="1"/>
  <c r="AB230" i="38" s="1"/>
  <c r="FD232" i="1"/>
  <c r="AC230" i="38" s="1"/>
  <c r="FG232" i="1"/>
  <c r="AF230" i="38" s="1"/>
  <c r="FC233" i="1"/>
  <c r="FD233" i="1"/>
  <c r="AC231" i="38" s="1"/>
  <c r="FG233" i="1"/>
  <c r="FC234" i="1"/>
  <c r="FD234" i="1"/>
  <c r="AC232" i="38" s="1"/>
  <c r="FG234" i="1"/>
  <c r="FH234" i="1" s="1"/>
  <c r="AG232" i="38" s="1"/>
  <c r="FC235" i="1"/>
  <c r="AB233" i="38" s="1"/>
  <c r="FD235" i="1"/>
  <c r="AC233" i="38" s="1"/>
  <c r="FG235" i="1"/>
  <c r="AF233" i="38" s="1"/>
  <c r="FC236" i="1"/>
  <c r="AB234" i="38" s="1"/>
  <c r="FD236" i="1"/>
  <c r="AC234" i="38" s="1"/>
  <c r="FG236" i="1"/>
  <c r="AF234" i="38" s="1"/>
  <c r="FC237" i="1"/>
  <c r="FD237" i="1"/>
  <c r="AC235" i="38" s="1"/>
  <c r="FG237" i="1"/>
  <c r="FC238" i="1"/>
  <c r="FD238" i="1"/>
  <c r="AC236" i="38" s="1"/>
  <c r="FG238" i="1"/>
  <c r="FH238" i="1" s="1"/>
  <c r="AG236" i="38" s="1"/>
  <c r="FC239" i="1"/>
  <c r="AB237" i="38" s="1"/>
  <c r="FD239" i="1"/>
  <c r="AC237" i="38" s="1"/>
  <c r="FG239" i="1"/>
  <c r="AF237" i="38" s="1"/>
  <c r="FC240" i="1"/>
  <c r="AB238" i="38" s="1"/>
  <c r="FD240" i="1"/>
  <c r="AC238" i="38" s="1"/>
  <c r="FG240" i="1"/>
  <c r="FC241" i="1"/>
  <c r="AB239" i="38" s="1"/>
  <c r="FD241" i="1"/>
  <c r="AC239" i="38" s="1"/>
  <c r="FG241" i="1"/>
  <c r="FC242" i="1"/>
  <c r="FD242" i="1"/>
  <c r="AC240" i="38" s="1"/>
  <c r="FG242" i="1"/>
  <c r="FC243" i="1"/>
  <c r="FD243" i="1"/>
  <c r="AC241" i="38" s="1"/>
  <c r="FG243" i="1"/>
  <c r="AF241" i="38" s="1"/>
  <c r="FC244" i="1"/>
  <c r="AB242" i="38" s="1"/>
  <c r="FD244" i="1"/>
  <c r="AC242" i="38" s="1"/>
  <c r="FG244" i="1"/>
  <c r="FC245" i="1"/>
  <c r="FD245" i="1"/>
  <c r="AC243" i="38" s="1"/>
  <c r="FG245" i="1"/>
  <c r="AF243" i="38" s="1"/>
  <c r="FC246" i="1"/>
  <c r="FD246" i="1"/>
  <c r="AC244" i="38" s="1"/>
  <c r="FG246" i="1"/>
  <c r="FC247" i="1"/>
  <c r="FD247" i="1"/>
  <c r="AC245" i="38" s="1"/>
  <c r="FG247" i="1"/>
  <c r="AF245" i="38" s="1"/>
  <c r="FC248" i="1"/>
  <c r="AB246" i="38" s="1"/>
  <c r="FD248" i="1"/>
  <c r="AC246" i="38" s="1"/>
  <c r="FG248" i="1"/>
  <c r="AF246" i="38" s="1"/>
  <c r="FC249" i="1"/>
  <c r="FD249" i="1"/>
  <c r="AC247" i="38" s="1"/>
  <c r="FG249" i="1"/>
  <c r="AF247" i="38" s="1"/>
  <c r="FC250" i="1"/>
  <c r="FD250" i="1"/>
  <c r="AC248" i="38" s="1"/>
  <c r="FG250" i="1"/>
  <c r="FC251" i="1"/>
  <c r="AB249" i="38" s="1"/>
  <c r="FD251" i="1"/>
  <c r="AC249" i="38" s="1"/>
  <c r="FG251" i="1"/>
  <c r="AF249" i="38" s="1"/>
  <c r="FC252" i="1"/>
  <c r="AB250" i="38" s="1"/>
  <c r="FD252" i="1"/>
  <c r="AC250" i="38" s="1"/>
  <c r="FG252" i="1"/>
  <c r="FC253" i="1"/>
  <c r="AB251" i="38" s="1"/>
  <c r="FD253" i="1"/>
  <c r="AC251" i="38" s="1"/>
  <c r="FG253" i="1"/>
  <c r="FH253" i="1" s="1"/>
  <c r="AG251" i="38" s="1"/>
  <c r="FF212" i="1" l="1"/>
  <c r="AE210" i="38" s="1"/>
  <c r="FF240" i="1"/>
  <c r="AE238" i="38" s="1"/>
  <c r="FF169" i="1"/>
  <c r="AE167" i="38" s="1"/>
  <c r="FH168" i="1"/>
  <c r="AG166" i="38" s="1"/>
  <c r="FF227" i="1"/>
  <c r="AE225" i="38" s="1"/>
  <c r="FF203" i="1"/>
  <c r="AE201" i="38" s="1"/>
  <c r="FH214" i="1"/>
  <c r="AG212" i="38" s="1"/>
  <c r="FH206" i="1"/>
  <c r="AG204" i="38" s="1"/>
  <c r="FF232" i="1"/>
  <c r="AE230" i="38" s="1"/>
  <c r="FH230" i="1"/>
  <c r="AG228" i="38" s="1"/>
  <c r="FH226" i="1"/>
  <c r="AG224" i="38" s="1"/>
  <c r="FF224" i="1"/>
  <c r="AE222" i="38" s="1"/>
  <c r="FF210" i="1"/>
  <c r="AE208" i="38" s="1"/>
  <c r="FF172" i="1"/>
  <c r="AE170" i="38" s="1"/>
  <c r="FH160" i="1"/>
  <c r="AG158" i="38" s="1"/>
  <c r="FF223" i="1"/>
  <c r="AE221" i="38" s="1"/>
  <c r="FH222" i="1"/>
  <c r="AG220" i="38" s="1"/>
  <c r="FF216" i="1"/>
  <c r="AE214" i="38" s="1"/>
  <c r="FH184" i="1"/>
  <c r="AG182" i="38" s="1"/>
  <c r="FH176" i="1"/>
  <c r="AG174" i="38" s="1"/>
  <c r="FF248" i="1"/>
  <c r="AE246" i="38" s="1"/>
  <c r="FF235" i="1"/>
  <c r="AE233" i="38" s="1"/>
  <c r="FF201" i="1"/>
  <c r="AE199" i="38" s="1"/>
  <c r="FF182" i="1"/>
  <c r="AE180" i="38" s="1"/>
  <c r="FH196" i="1"/>
  <c r="AG194" i="38" s="1"/>
  <c r="FH246" i="1"/>
  <c r="FH231" i="1"/>
  <c r="AG229" i="38" s="1"/>
  <c r="FF215" i="1"/>
  <c r="AE213" i="38" s="1"/>
  <c r="FH210" i="1"/>
  <c r="AG208" i="38" s="1"/>
  <c r="FF197" i="1"/>
  <c r="AE195" i="38" s="1"/>
  <c r="FF192" i="1"/>
  <c r="AE190" i="38" s="1"/>
  <c r="FH190" i="1"/>
  <c r="AG188" i="38" s="1"/>
  <c r="FF251" i="1"/>
  <c r="AE249" i="38" s="1"/>
  <c r="FH221" i="1"/>
  <c r="AG219" i="38" s="1"/>
  <c r="FF185" i="1"/>
  <c r="AE183" i="38" s="1"/>
  <c r="FF177" i="1"/>
  <c r="AE175" i="38" s="1"/>
  <c r="FF165" i="1"/>
  <c r="AE163" i="38" s="1"/>
  <c r="FH164" i="1"/>
  <c r="AG162" i="38" s="1"/>
  <c r="FF160" i="1"/>
  <c r="AE158" i="38" s="1"/>
  <c r="FH247" i="1"/>
  <c r="AG245" i="38" s="1"/>
  <c r="FH239" i="1"/>
  <c r="AG237" i="38" s="1"/>
  <c r="FH216" i="1"/>
  <c r="AG214" i="38" s="1"/>
  <c r="FF175" i="1"/>
  <c r="AE173" i="38" s="1"/>
  <c r="AB173" i="38"/>
  <c r="AF189" i="38"/>
  <c r="AF250" i="38"/>
  <c r="FF229" i="1"/>
  <c r="AE227" i="38" s="1"/>
  <c r="AB227" i="38"/>
  <c r="FF213" i="1"/>
  <c r="AE211" i="38" s="1"/>
  <c r="AB211" i="38"/>
  <c r="FF209" i="1"/>
  <c r="AE207" i="38" s="1"/>
  <c r="AB207" i="38"/>
  <c r="FF159" i="1"/>
  <c r="AE157" i="38" s="1"/>
  <c r="AB157" i="38"/>
  <c r="FF252" i="1"/>
  <c r="AE250" i="38" s="1"/>
  <c r="FH251" i="1"/>
  <c r="AG249" i="38" s="1"/>
  <c r="FF250" i="1"/>
  <c r="AE248" i="38" s="1"/>
  <c r="AB248" i="38"/>
  <c r="FF244" i="1"/>
  <c r="AE242" i="38" s="1"/>
  <c r="FH243" i="1"/>
  <c r="AG241" i="38" s="1"/>
  <c r="FF242" i="1"/>
  <c r="AE240" i="38" s="1"/>
  <c r="AB240" i="38"/>
  <c r="FH237" i="1"/>
  <c r="AG235" i="38" s="1"/>
  <c r="AF235" i="38"/>
  <c r="FF225" i="1"/>
  <c r="AE223" i="38" s="1"/>
  <c r="AB223" i="38"/>
  <c r="FF211" i="1"/>
  <c r="AE209" i="38" s="1"/>
  <c r="FF207" i="1"/>
  <c r="AE205" i="38" s="1"/>
  <c r="AF203" i="38"/>
  <c r="FF204" i="1"/>
  <c r="AE202" i="38" s="1"/>
  <c r="AB202" i="38"/>
  <c r="FF191" i="1"/>
  <c r="AE189" i="38" s="1"/>
  <c r="AB189" i="38"/>
  <c r="FF186" i="1"/>
  <c r="AE184" i="38" s="1"/>
  <c r="AB184" i="38"/>
  <c r="FF180" i="1"/>
  <c r="AE178" i="38" s="1"/>
  <c r="AB178" i="38"/>
  <c r="FF178" i="1"/>
  <c r="AE176" i="38" s="1"/>
  <c r="FF176" i="1"/>
  <c r="AE174" i="38" s="1"/>
  <c r="AF172" i="38"/>
  <c r="FF171" i="1"/>
  <c r="AE169" i="38" s="1"/>
  <c r="AB169" i="38"/>
  <c r="FH158" i="1"/>
  <c r="AG156" i="38" s="1"/>
  <c r="FF156" i="1"/>
  <c r="AE154" i="38" s="1"/>
  <c r="AF242" i="38"/>
  <c r="AF232" i="38"/>
  <c r="FF188" i="1"/>
  <c r="AE186" i="38" s="1"/>
  <c r="AB186" i="38"/>
  <c r="AF181" i="38"/>
  <c r="AF161" i="38"/>
  <c r="FH245" i="1"/>
  <c r="AG243" i="38" s="1"/>
  <c r="FF234" i="1"/>
  <c r="AE232" i="38" s="1"/>
  <c r="AB232" i="38"/>
  <c r="FF231" i="1"/>
  <c r="AE229" i="38" s="1"/>
  <c r="AF228" i="38"/>
  <c r="FF228" i="1"/>
  <c r="AE226" i="38" s="1"/>
  <c r="FH227" i="1"/>
  <c r="AG225" i="38" s="1"/>
  <c r="FF219" i="1"/>
  <c r="AE217" i="38" s="1"/>
  <c r="FH218" i="1"/>
  <c r="AG216" i="38" s="1"/>
  <c r="FF214" i="1"/>
  <c r="AE212" i="38" s="1"/>
  <c r="FH198" i="1"/>
  <c r="AG196" i="38" s="1"/>
  <c r="FF196" i="1"/>
  <c r="AE194" i="38" s="1"/>
  <c r="FF195" i="1"/>
  <c r="AE193" i="38" s="1"/>
  <c r="AB193" i="38"/>
  <c r="FF193" i="1"/>
  <c r="AE191" i="38" s="1"/>
  <c r="FH192" i="1"/>
  <c r="AG190" i="38" s="1"/>
  <c r="FF184" i="1"/>
  <c r="AE182" i="38" s="1"/>
  <c r="AB182" i="38"/>
  <c r="FF183" i="1"/>
  <c r="AE181" i="38" s="1"/>
  <c r="AB181" i="38"/>
  <c r="FF174" i="1"/>
  <c r="AE172" i="38" s="1"/>
  <c r="FF163" i="1"/>
  <c r="AE161" i="38" s="1"/>
  <c r="AB161" i="38"/>
  <c r="FH154" i="1"/>
  <c r="AG152" i="38" s="1"/>
  <c r="AF240" i="38"/>
  <c r="FF238" i="1"/>
  <c r="AE236" i="38" s="1"/>
  <c r="AB236" i="38"/>
  <c r="FF237" i="1"/>
  <c r="AE235" i="38" s="1"/>
  <c r="AB235" i="38"/>
  <c r="AF215" i="38"/>
  <c r="FF205" i="1"/>
  <c r="AE203" i="38" s="1"/>
  <c r="AB203" i="38"/>
  <c r="FH200" i="1"/>
  <c r="AG198" i="38" s="1"/>
  <c r="FH187" i="1"/>
  <c r="AG185" i="38" s="1"/>
  <c r="FH170" i="1"/>
  <c r="AG168" i="38" s="1"/>
  <c r="FH166" i="1"/>
  <c r="AG164" i="38" s="1"/>
  <c r="FH225" i="1"/>
  <c r="AG223" i="38" s="1"/>
  <c r="AF223" i="38"/>
  <c r="FF222" i="1"/>
  <c r="AE220" i="38" s="1"/>
  <c r="AB220" i="38"/>
  <c r="AF251" i="38"/>
  <c r="AF244" i="38"/>
  <c r="FH241" i="1"/>
  <c r="AG239" i="38" s="1"/>
  <c r="AF239" i="38"/>
  <c r="FH233" i="1"/>
  <c r="AG231" i="38" s="1"/>
  <c r="AF231" i="38"/>
  <c r="AF224" i="38"/>
  <c r="FF220" i="1"/>
  <c r="AE218" i="38" s="1"/>
  <c r="AB218" i="38"/>
  <c r="FF158" i="1"/>
  <c r="AE156" i="38" s="1"/>
  <c r="AB156" i="38"/>
  <c r="AF248" i="38"/>
  <c r="AF238" i="38"/>
  <c r="FH223" i="1"/>
  <c r="AG221" i="38" s="1"/>
  <c r="AF221" i="38"/>
  <c r="FF243" i="1"/>
  <c r="AE241" i="38" s="1"/>
  <c r="AB241" i="38"/>
  <c r="FF208" i="1"/>
  <c r="AE206" i="38" s="1"/>
  <c r="AB206" i="38"/>
  <c r="FF206" i="1"/>
  <c r="AE204" i="38" s="1"/>
  <c r="AB204" i="38"/>
  <c r="AF197" i="38"/>
  <c r="FF253" i="1"/>
  <c r="AE251" i="38" s="1"/>
  <c r="FF249" i="1"/>
  <c r="AE247" i="38" s="1"/>
  <c r="AB247" i="38"/>
  <c r="FF245" i="1"/>
  <c r="AE243" i="38" s="1"/>
  <c r="AB243" i="38"/>
  <c r="FF241" i="1"/>
  <c r="AE239" i="38" s="1"/>
  <c r="AF236" i="38"/>
  <c r="FF236" i="1"/>
  <c r="AE234" i="38" s="1"/>
  <c r="FF218" i="1"/>
  <c r="AE216" i="38" s="1"/>
  <c r="AB216" i="38"/>
  <c r="FF217" i="1"/>
  <c r="AE215" i="38" s="1"/>
  <c r="AB215" i="38"/>
  <c r="FF202" i="1"/>
  <c r="AE200" i="38" s="1"/>
  <c r="AB200" i="38"/>
  <c r="FF198" i="1"/>
  <c r="AE196" i="38" s="1"/>
  <c r="AB196" i="38"/>
  <c r="FF194" i="1"/>
  <c r="AE192" i="38" s="1"/>
  <c r="FF189" i="1"/>
  <c r="AE187" i="38" s="1"/>
  <c r="FH188" i="1"/>
  <c r="AG186" i="38" s="1"/>
  <c r="FF179" i="1"/>
  <c r="AE177" i="38" s="1"/>
  <c r="AB177" i="38"/>
  <c r="FH175" i="1"/>
  <c r="AG173" i="38" s="1"/>
  <c r="AF165" i="38"/>
  <c r="FF166" i="1"/>
  <c r="AE164" i="38" s="1"/>
  <c r="FH159" i="1"/>
  <c r="AG157" i="38" s="1"/>
  <c r="AF155" i="38"/>
  <c r="AF153" i="38"/>
  <c r="FF154" i="1"/>
  <c r="AE152" i="38" s="1"/>
  <c r="AB152" i="38"/>
  <c r="AF213" i="38"/>
  <c r="FF230" i="1"/>
  <c r="AE228" i="38" s="1"/>
  <c r="AB228" i="38"/>
  <c r="AF219" i="38"/>
  <c r="FF247" i="1"/>
  <c r="AE245" i="38" s="1"/>
  <c r="AB245" i="38"/>
  <c r="FF246" i="1"/>
  <c r="AE244" i="38" s="1"/>
  <c r="AB244" i="38"/>
  <c r="FF239" i="1"/>
  <c r="AE237" i="38" s="1"/>
  <c r="FH235" i="1"/>
  <c r="FF233" i="1"/>
  <c r="AE231" i="38" s="1"/>
  <c r="AB231" i="38"/>
  <c r="FH229" i="1"/>
  <c r="AG227" i="38" s="1"/>
  <c r="AF227" i="38"/>
  <c r="FF226" i="1"/>
  <c r="AE224" i="38" s="1"/>
  <c r="AB224" i="38"/>
  <c r="FF221" i="1"/>
  <c r="AE219" i="38" s="1"/>
  <c r="AB219" i="38"/>
  <c r="FH209" i="1"/>
  <c r="AG207" i="38" s="1"/>
  <c r="AF207" i="38"/>
  <c r="FH204" i="1"/>
  <c r="AG202" i="38" s="1"/>
  <c r="FF200" i="1"/>
  <c r="AE198" i="38" s="1"/>
  <c r="AB198" i="38"/>
  <c r="FF199" i="1"/>
  <c r="AE197" i="38" s="1"/>
  <c r="AB197" i="38"/>
  <c r="FF190" i="1"/>
  <c r="AE188" i="38" s="1"/>
  <c r="FF187" i="1"/>
  <c r="AE185" i="38" s="1"/>
  <c r="AB185" i="38"/>
  <c r="FH182" i="1"/>
  <c r="AG180" i="38" s="1"/>
  <c r="FF181" i="1"/>
  <c r="AE179" i="38" s="1"/>
  <c r="FH180" i="1"/>
  <c r="AG178" i="38" s="1"/>
  <c r="FF173" i="1"/>
  <c r="AE171" i="38" s="1"/>
  <c r="FH172" i="1"/>
  <c r="AG170" i="38" s="1"/>
  <c r="FH171" i="1"/>
  <c r="AG169" i="38" s="1"/>
  <c r="FF170" i="1"/>
  <c r="AE168" i="38" s="1"/>
  <c r="AB168" i="38"/>
  <c r="FF161" i="1"/>
  <c r="AE159" i="38" s="1"/>
  <c r="FF157" i="1"/>
  <c r="AE155" i="38" s="1"/>
  <c r="FF168" i="1"/>
  <c r="AE166" i="38" s="1"/>
  <c r="AB166" i="38"/>
  <c r="FF167" i="1"/>
  <c r="AE165" i="38" s="1"/>
  <c r="AB165" i="38"/>
  <c r="FF164" i="1"/>
  <c r="AE162" i="38" s="1"/>
  <c r="AB162" i="38"/>
  <c r="FF162" i="1"/>
  <c r="AE160" i="38" s="1"/>
  <c r="FH156" i="1"/>
  <c r="FF155" i="1"/>
  <c r="AE153" i="38" s="1"/>
  <c r="AB153" i="38"/>
  <c r="AG244" i="38"/>
  <c r="FH236" i="1"/>
  <c r="AG234" i="38" s="1"/>
  <c r="FH232" i="1"/>
  <c r="AG230" i="38" s="1"/>
  <c r="FH228" i="1"/>
  <c r="AG226" i="38" s="1"/>
  <c r="FH224" i="1"/>
  <c r="FH213" i="1"/>
  <c r="AG211" i="38" s="1"/>
  <c r="FH211" i="1"/>
  <c r="FH202" i="1"/>
  <c r="FH173" i="1"/>
  <c r="AG171" i="38" s="1"/>
  <c r="FH248" i="1"/>
  <c r="AG246" i="38" s="1"/>
  <c r="FH242" i="1"/>
  <c r="FH212" i="1"/>
  <c r="FH197" i="1"/>
  <c r="AG195" i="38" s="1"/>
  <c r="FH193" i="1"/>
  <c r="AG191" i="38" s="1"/>
  <c r="FH179" i="1"/>
  <c r="AG177" i="38" s="1"/>
  <c r="FH252" i="1"/>
  <c r="AG250" i="38" s="1"/>
  <c r="FH244" i="1"/>
  <c r="AG242" i="38" s="1"/>
  <c r="FH191" i="1"/>
  <c r="AG189" i="38" s="1"/>
  <c r="FH174" i="1"/>
  <c r="FH163" i="1"/>
  <c r="AG161" i="38" s="1"/>
  <c r="FH157" i="1"/>
  <c r="AG155" i="38" s="1"/>
  <c r="FH250" i="1"/>
  <c r="FH249" i="1"/>
  <c r="AG247" i="38" s="1"/>
  <c r="FH240" i="1"/>
  <c r="AG238" i="38" s="1"/>
  <c r="FH215" i="1"/>
  <c r="AG213" i="38" s="1"/>
  <c r="FH208" i="1"/>
  <c r="AG206" i="38" s="1"/>
  <c r="FH194" i="1"/>
  <c r="AG192" i="38" s="1"/>
  <c r="FH186" i="1"/>
  <c r="FH155" i="1"/>
  <c r="AG153" i="38" s="1"/>
  <c r="FH207" i="1"/>
  <c r="AG205" i="38" s="1"/>
  <c r="FH181" i="1"/>
  <c r="AG179" i="38" s="1"/>
  <c r="FH178" i="1"/>
  <c r="AG176" i="38" s="1"/>
  <c r="FH177" i="1"/>
  <c r="FH219" i="1"/>
  <c r="FH203" i="1"/>
  <c r="AG201" i="38" s="1"/>
  <c r="FH195" i="1"/>
  <c r="FH189" i="1"/>
  <c r="AG187" i="38" s="1"/>
  <c r="FH165" i="1"/>
  <c r="AG163" i="38" s="1"/>
  <c r="FH162" i="1"/>
  <c r="FH161" i="1"/>
  <c r="AG159" i="38" s="1"/>
  <c r="FH201" i="1"/>
  <c r="FH185" i="1"/>
  <c r="FH169" i="1"/>
  <c r="AG154" i="38" l="1"/>
  <c r="AG233" i="38"/>
  <c r="AG193" i="38"/>
  <c r="AG167" i="38"/>
  <c r="AG183" i="38"/>
  <c r="AG199" i="38"/>
  <c r="AG160" i="38"/>
  <c r="AG217" i="38"/>
  <c r="AG248" i="38"/>
  <c r="AG172" i="38"/>
  <c r="AG240" i="38"/>
  <c r="AG200" i="38"/>
  <c r="AG209" i="38"/>
  <c r="AG222" i="38"/>
  <c r="AG175" i="38"/>
  <c r="AG184" i="38"/>
  <c r="AG210" i="38"/>
  <c r="F102" i="15"/>
  <c r="G102" i="15"/>
  <c r="F4" i="15"/>
  <c r="G4" i="15"/>
  <c r="F5" i="15"/>
  <c r="G5" i="15"/>
  <c r="F6" i="15"/>
  <c r="G6" i="15"/>
  <c r="F7" i="15"/>
  <c r="G7" i="15"/>
  <c r="F8" i="15"/>
  <c r="G8" i="15"/>
  <c r="F9" i="15"/>
  <c r="G9" i="15"/>
  <c r="F10" i="15"/>
  <c r="G10" i="15"/>
  <c r="F11" i="15"/>
  <c r="G11" i="15"/>
  <c r="F12" i="15"/>
  <c r="G12" i="15"/>
  <c r="F13" i="15"/>
  <c r="G13" i="15"/>
  <c r="F14" i="15"/>
  <c r="G14" i="15"/>
  <c r="F15" i="15"/>
  <c r="G15" i="15"/>
  <c r="F16" i="15"/>
  <c r="G16" i="15"/>
  <c r="F17" i="15"/>
  <c r="G17" i="15"/>
  <c r="F18" i="15"/>
  <c r="G18" i="15"/>
  <c r="F19" i="15"/>
  <c r="G19" i="15"/>
  <c r="F20" i="15"/>
  <c r="G20" i="15"/>
  <c r="F21" i="15"/>
  <c r="G21" i="15"/>
  <c r="F22" i="15"/>
  <c r="G22" i="15"/>
  <c r="F23" i="15"/>
  <c r="G23" i="15"/>
  <c r="F24" i="15"/>
  <c r="G24" i="15"/>
  <c r="F25" i="15"/>
  <c r="G25" i="15"/>
  <c r="F26" i="15"/>
  <c r="G26" i="15"/>
  <c r="F27" i="15"/>
  <c r="G27" i="15"/>
  <c r="F28" i="15"/>
  <c r="G28" i="15"/>
  <c r="F29" i="15"/>
  <c r="G29" i="15"/>
  <c r="F30" i="15"/>
  <c r="G30" i="15"/>
  <c r="F31" i="15"/>
  <c r="G31" i="15"/>
  <c r="F32" i="15"/>
  <c r="G32" i="15"/>
  <c r="F33" i="15"/>
  <c r="G33" i="15"/>
  <c r="F34" i="15"/>
  <c r="G34" i="15"/>
  <c r="F35" i="15"/>
  <c r="G35" i="15"/>
  <c r="F36" i="15"/>
  <c r="G36" i="15"/>
  <c r="F37" i="15"/>
  <c r="G37" i="15"/>
  <c r="F38" i="15"/>
  <c r="G38" i="15"/>
  <c r="F39" i="15"/>
  <c r="G39" i="15"/>
  <c r="F40" i="15"/>
  <c r="G40" i="15"/>
  <c r="F41" i="15"/>
  <c r="G41" i="15"/>
  <c r="F42" i="15"/>
  <c r="G42" i="15"/>
  <c r="F43" i="15"/>
  <c r="G43" i="15"/>
  <c r="F44" i="15"/>
  <c r="G44" i="15"/>
  <c r="F45" i="15"/>
  <c r="G45" i="15"/>
  <c r="F46" i="15"/>
  <c r="G46" i="15"/>
  <c r="F47" i="15"/>
  <c r="G47" i="15"/>
  <c r="F48" i="15"/>
  <c r="G48" i="15"/>
  <c r="F49" i="15"/>
  <c r="G49" i="15"/>
  <c r="F50" i="15"/>
  <c r="G50" i="15"/>
  <c r="F51" i="15"/>
  <c r="G51" i="15"/>
  <c r="F52" i="15"/>
  <c r="G52" i="15"/>
  <c r="F53" i="15"/>
  <c r="G53" i="15"/>
  <c r="F54" i="15"/>
  <c r="G54" i="15"/>
  <c r="F55" i="15"/>
  <c r="G55" i="15"/>
  <c r="F56" i="15"/>
  <c r="G56" i="15"/>
  <c r="F57" i="15"/>
  <c r="G57" i="15"/>
  <c r="F58" i="15"/>
  <c r="G58" i="15"/>
  <c r="F59" i="15"/>
  <c r="G59" i="15"/>
  <c r="F60" i="15"/>
  <c r="G60" i="15"/>
  <c r="F61" i="15"/>
  <c r="G61" i="15"/>
  <c r="F62" i="15"/>
  <c r="G62" i="15"/>
  <c r="F63" i="15"/>
  <c r="G63" i="15"/>
  <c r="F64" i="15"/>
  <c r="G64" i="15"/>
  <c r="F65" i="15"/>
  <c r="G65" i="15"/>
  <c r="F66" i="15"/>
  <c r="G66" i="15"/>
  <c r="F67" i="15"/>
  <c r="G67" i="15"/>
  <c r="F68" i="15"/>
  <c r="G68" i="15"/>
  <c r="F69" i="15"/>
  <c r="G69" i="15"/>
  <c r="F70" i="15"/>
  <c r="G70" i="15"/>
  <c r="F71" i="15"/>
  <c r="G71" i="15"/>
  <c r="F72" i="15"/>
  <c r="G72" i="15"/>
  <c r="F73" i="15"/>
  <c r="G73" i="15"/>
  <c r="F74" i="15"/>
  <c r="G74" i="15"/>
  <c r="F75" i="15"/>
  <c r="G75" i="15"/>
  <c r="F76" i="15"/>
  <c r="G76" i="15"/>
  <c r="F77" i="15"/>
  <c r="G77" i="15"/>
  <c r="F78" i="15"/>
  <c r="G78" i="15"/>
  <c r="F79" i="15"/>
  <c r="G79" i="15"/>
  <c r="F80" i="15"/>
  <c r="G80" i="15"/>
  <c r="F81" i="15"/>
  <c r="G81" i="15"/>
  <c r="F82" i="15"/>
  <c r="G82" i="15"/>
  <c r="F83" i="15"/>
  <c r="G83" i="15"/>
  <c r="F84" i="15"/>
  <c r="G84" i="15"/>
  <c r="F85" i="15"/>
  <c r="G85" i="15"/>
  <c r="F86" i="15"/>
  <c r="G86" i="15"/>
  <c r="F87" i="15"/>
  <c r="G87" i="15"/>
  <c r="F88" i="15"/>
  <c r="G88" i="15"/>
  <c r="F89" i="15"/>
  <c r="G89" i="15"/>
  <c r="F90" i="15"/>
  <c r="G90" i="15"/>
  <c r="F91" i="15"/>
  <c r="G91" i="15"/>
  <c r="F92" i="15"/>
  <c r="G92" i="15"/>
  <c r="F93" i="15"/>
  <c r="G93" i="15"/>
  <c r="F94" i="15"/>
  <c r="G94" i="15"/>
  <c r="F95" i="15"/>
  <c r="G95" i="15"/>
  <c r="F96" i="15"/>
  <c r="G96" i="15"/>
  <c r="F97" i="15"/>
  <c r="G97" i="15"/>
  <c r="F98" i="15"/>
  <c r="G98" i="15"/>
  <c r="F99" i="15"/>
  <c r="G99" i="15"/>
  <c r="F100" i="15"/>
  <c r="G100" i="15"/>
  <c r="F101" i="15"/>
  <c r="G101" i="15"/>
  <c r="F3" i="15"/>
  <c r="N19" i="16" l="1"/>
  <c r="N18" i="16"/>
  <c r="N17" i="16"/>
  <c r="N16" i="16"/>
  <c r="N15" i="16"/>
  <c r="N14" i="16"/>
  <c r="N13" i="16"/>
  <c r="N12" i="16"/>
  <c r="N11" i="16"/>
  <c r="N10" i="16"/>
  <c r="N9" i="16"/>
  <c r="N8" i="16"/>
  <c r="N7" i="16"/>
  <c r="N6" i="16"/>
  <c r="N5" i="16"/>
  <c r="N4" i="16"/>
  <c r="L4" i="16" l="1"/>
  <c r="L5" i="16"/>
  <c r="L6" i="16"/>
  <c r="L7" i="16"/>
  <c r="L8" i="16"/>
  <c r="L9" i="16"/>
  <c r="L10" i="16"/>
  <c r="L11" i="16"/>
  <c r="L12" i="16"/>
  <c r="L13" i="16"/>
  <c r="L14" i="16"/>
  <c r="L15" i="16"/>
  <c r="L16" i="16"/>
  <c r="L17" i="16"/>
  <c r="L18" i="16"/>
  <c r="L19" i="16"/>
  <c r="L3" i="16"/>
  <c r="B1" i="46"/>
  <c r="D1" i="46" l="1"/>
  <c r="C20" i="46" l="1"/>
  <c r="C35" i="46"/>
  <c r="B17" i="46"/>
  <c r="B31" i="46"/>
  <c r="A34" i="46"/>
  <c r="A40" i="46"/>
  <c r="D18" i="46"/>
  <c r="E35" i="46"/>
  <c r="B22" i="46"/>
  <c r="A26" i="46"/>
  <c r="E23" i="46"/>
  <c r="B25" i="46"/>
  <c r="A28" i="46"/>
  <c r="B42" i="46"/>
  <c r="D36" i="46"/>
  <c r="D19" i="46"/>
  <c r="C17" i="46"/>
  <c r="E18" i="46"/>
  <c r="A13" i="46"/>
  <c r="C23" i="46"/>
  <c r="A31" i="46"/>
  <c r="B37" i="46"/>
  <c r="E25" i="46"/>
  <c r="D21" i="46"/>
  <c r="C18" i="46"/>
  <c r="C28" i="46"/>
  <c r="C21" i="46"/>
  <c r="E26" i="46"/>
  <c r="E32" i="46"/>
  <c r="C26" i="46"/>
  <c r="D28" i="46"/>
  <c r="E28" i="46"/>
  <c r="D32" i="46"/>
  <c r="A37" i="46"/>
  <c r="D40" i="46"/>
  <c r="B18" i="46"/>
  <c r="C25" i="46"/>
  <c r="B30" i="46"/>
  <c r="D11" i="46"/>
  <c r="E17" i="46"/>
  <c r="B28" i="46"/>
  <c r="D13" i="46"/>
  <c r="E41" i="46"/>
  <c r="A30" i="46"/>
  <c r="D37" i="46"/>
  <c r="D14" i="46"/>
  <c r="A25" i="46"/>
  <c r="C10" i="46"/>
  <c r="B34" i="46"/>
  <c r="E31" i="46"/>
  <c r="E14" i="46"/>
  <c r="B41" i="46"/>
  <c r="D42" i="46"/>
  <c r="D34" i="46"/>
  <c r="C31" i="46"/>
  <c r="E16" i="46"/>
  <c r="C29" i="46"/>
  <c r="A19" i="46"/>
  <c r="C22" i="46"/>
  <c r="D16" i="46"/>
  <c r="D27" i="46"/>
  <c r="D12" i="46"/>
  <c r="E21" i="46"/>
  <c r="B27" i="46"/>
  <c r="A10" i="46"/>
  <c r="E15" i="46"/>
  <c r="A32" i="46"/>
  <c r="D41" i="46"/>
  <c r="A42" i="46"/>
  <c r="C24" i="46"/>
  <c r="B15" i="46"/>
  <c r="A41" i="46"/>
  <c r="E22" i="46"/>
  <c r="A22" i="46"/>
  <c r="C27" i="46"/>
  <c r="E37" i="46"/>
  <c r="B23" i="46"/>
  <c r="C40" i="46"/>
  <c r="C16" i="46"/>
  <c r="B24" i="46"/>
  <c r="C12" i="46"/>
  <c r="A16" i="46"/>
  <c r="B29" i="46"/>
  <c r="C11" i="46"/>
  <c r="D35" i="46"/>
  <c r="A35" i="46"/>
  <c r="D31" i="46"/>
  <c r="C36" i="46"/>
  <c r="C38" i="46"/>
  <c r="E36" i="46"/>
  <c r="C15" i="46"/>
  <c r="E30" i="46"/>
  <c r="A29" i="46"/>
  <c r="C39" i="46"/>
  <c r="E24" i="46"/>
  <c r="D33" i="46"/>
  <c r="B12" i="46"/>
  <c r="C13" i="46"/>
  <c r="B21" i="46"/>
  <c r="E42" i="46"/>
  <c r="C41" i="46"/>
  <c r="A3" i="46"/>
  <c r="D3" i="46" s="1"/>
  <c r="A15" i="46"/>
  <c r="B36" i="46"/>
  <c r="A33" i="46"/>
  <c r="B26" i="46"/>
  <c r="B39" i="46"/>
  <c r="B40" i="46"/>
  <c r="A36" i="46"/>
  <c r="D10" i="46"/>
  <c r="C37" i="46"/>
  <c r="B20" i="46"/>
  <c r="C14" i="46"/>
  <c r="D25" i="46"/>
  <c r="D30" i="46"/>
  <c r="D20" i="46"/>
  <c r="B19" i="46"/>
  <c r="C30" i="46"/>
  <c r="A20" i="46"/>
  <c r="D24" i="46"/>
  <c r="A27" i="46"/>
  <c r="D17" i="46"/>
  <c r="B13" i="46"/>
  <c r="D39" i="46"/>
  <c r="C42" i="46"/>
  <c r="A17" i="46"/>
  <c r="E10" i="46"/>
  <c r="A24" i="46"/>
  <c r="E19" i="46"/>
  <c r="C19" i="46"/>
  <c r="B16" i="46"/>
  <c r="D26" i="46"/>
  <c r="A12" i="46"/>
  <c r="E20" i="46"/>
  <c r="E11" i="46"/>
  <c r="A18" i="46"/>
  <c r="B14" i="46"/>
  <c r="D15" i="46"/>
  <c r="A21" i="46"/>
  <c r="E29" i="46"/>
  <c r="D22" i="46"/>
  <c r="A38" i="46"/>
  <c r="B32" i="46"/>
  <c r="B33" i="46"/>
  <c r="C32" i="46"/>
  <c r="E27" i="46"/>
  <c r="E38" i="46"/>
  <c r="B38" i="46"/>
  <c r="E34" i="46"/>
  <c r="A11" i="46"/>
  <c r="E33" i="46"/>
  <c r="A14" i="46"/>
  <c r="D29" i="46"/>
  <c r="A23" i="46"/>
  <c r="E40" i="46"/>
  <c r="B11" i="46"/>
  <c r="E39" i="46"/>
  <c r="E12" i="46"/>
  <c r="B35" i="46"/>
  <c r="E13" i="46"/>
  <c r="B10" i="46"/>
  <c r="A39" i="46"/>
  <c r="C33" i="46"/>
  <c r="D38" i="46"/>
  <c r="D23" i="46"/>
  <c r="C34" i="46"/>
  <c r="A4" i="46"/>
  <c r="B19" i="16"/>
  <c r="A19" i="16"/>
  <c r="B18" i="16"/>
  <c r="A18" i="16"/>
  <c r="B17" i="16"/>
  <c r="A17" i="16"/>
  <c r="B16" i="16"/>
  <c r="A16" i="16"/>
  <c r="B15" i="16"/>
  <c r="A15" i="16"/>
  <c r="B14" i="16"/>
  <c r="A14" i="16"/>
  <c r="B13" i="16"/>
  <c r="A13" i="16"/>
  <c r="B12" i="16"/>
  <c r="A12" i="16"/>
  <c r="B11" i="16"/>
  <c r="A11" i="16"/>
  <c r="B10" i="16"/>
  <c r="A10" i="16"/>
  <c r="B9" i="16"/>
  <c r="A9" i="16"/>
  <c r="B8" i="16"/>
  <c r="A8" i="16"/>
  <c r="B7" i="16"/>
  <c r="A7" i="16"/>
  <c r="B6" i="16"/>
  <c r="A6" i="16"/>
  <c r="A5" i="16"/>
  <c r="A4" i="16"/>
  <c r="A3" i="16"/>
  <c r="C3" i="46" l="1"/>
  <c r="E3" i="46"/>
  <c r="B3" i="46"/>
  <c r="D4" i="46"/>
  <c r="A5" i="46"/>
  <c r="E4" i="46"/>
  <c r="C4" i="46"/>
  <c r="B4" i="46"/>
  <c r="B45" i="27"/>
  <c r="B44" i="27"/>
  <c r="B34" i="27"/>
  <c r="B33" i="27"/>
  <c r="B5" i="46" l="1"/>
  <c r="D5" i="46"/>
  <c r="E5" i="46"/>
  <c r="C5" i="46"/>
  <c r="A6" i="46"/>
  <c r="F12" i="41"/>
  <c r="D12" i="41" s="1"/>
  <c r="D16" i="39"/>
  <c r="D15" i="39"/>
  <c r="A7" i="46" l="1"/>
  <c r="B6" i="46"/>
  <c r="E6" i="46"/>
  <c r="C6" i="46"/>
  <c r="D6" i="46"/>
  <c r="Q73" i="7"/>
  <c r="D7" i="46" l="1"/>
  <c r="E7" i="46"/>
  <c r="A8" i="46"/>
  <c r="B7" i="46"/>
  <c r="C7" i="46"/>
  <c r="B8" i="46" l="1"/>
  <c r="D8" i="46"/>
  <c r="E8" i="46"/>
  <c r="C8" i="46"/>
  <c r="A9" i="46"/>
  <c r="B3" i="16"/>
  <c r="B4" i="16"/>
  <c r="C94" i="39"/>
  <c r="C92" i="39"/>
  <c r="E9" i="46" l="1"/>
  <c r="C9" i="46"/>
  <c r="D9" i="46"/>
  <c r="B9" i="46"/>
  <c r="E47" i="16" s="1"/>
  <c r="C93" i="39"/>
  <c r="C95" i="39"/>
  <c r="D14" i="39"/>
  <c r="D13" i="39"/>
  <c r="D12" i="39"/>
  <c r="F11" i="41"/>
  <c r="F10" i="41"/>
  <c r="F9" i="41"/>
  <c r="F8" i="41"/>
  <c r="E68" i="16" l="1"/>
  <c r="C91" i="16"/>
  <c r="F61" i="16"/>
  <c r="F64" i="16"/>
  <c r="E92" i="16"/>
  <c r="F67" i="16"/>
  <c r="E70" i="16"/>
  <c r="C63" i="16"/>
  <c r="E56" i="16"/>
  <c r="C56" i="16"/>
  <c r="E100" i="16"/>
  <c r="E95" i="16"/>
  <c r="E54" i="16"/>
  <c r="E98" i="16"/>
  <c r="F53" i="16"/>
  <c r="E72" i="16"/>
  <c r="C80" i="16"/>
  <c r="F100" i="16"/>
  <c r="C65" i="16"/>
  <c r="F96" i="16"/>
  <c r="E76" i="16"/>
  <c r="C72" i="16"/>
  <c r="E93" i="16"/>
  <c r="F56" i="16"/>
  <c r="F62" i="16"/>
  <c r="F52" i="16"/>
  <c r="F88" i="16"/>
  <c r="F76" i="16"/>
  <c r="F59" i="16"/>
  <c r="E64" i="16"/>
  <c r="E78" i="16"/>
  <c r="E97" i="16"/>
  <c r="E59" i="16"/>
  <c r="E65" i="16"/>
  <c r="E55" i="16"/>
  <c r="E81" i="16"/>
  <c r="E85" i="16"/>
  <c r="E83" i="16"/>
  <c r="E61" i="16"/>
  <c r="E62" i="16"/>
  <c r="E101" i="16"/>
  <c r="E60" i="16"/>
  <c r="E58" i="16"/>
  <c r="E53" i="16"/>
  <c r="E63" i="16"/>
  <c r="E87" i="16"/>
  <c r="E88" i="16"/>
  <c r="E82" i="16"/>
  <c r="E80" i="16"/>
  <c r="E66" i="16"/>
  <c r="E74" i="16"/>
  <c r="E57" i="16"/>
  <c r="E67" i="16"/>
  <c r="E91" i="16"/>
  <c r="E52" i="16"/>
  <c r="E99" i="16"/>
  <c r="E84" i="16"/>
  <c r="E75" i="16"/>
  <c r="E90" i="16"/>
  <c r="F69" i="16"/>
  <c r="C75" i="16"/>
  <c r="C95" i="16"/>
  <c r="C84" i="16"/>
  <c r="C54" i="16"/>
  <c r="C85" i="16"/>
  <c r="C82" i="16"/>
  <c r="C97" i="16"/>
  <c r="C94" i="16"/>
  <c r="C67" i="16"/>
  <c r="C89" i="16"/>
  <c r="C78" i="16"/>
  <c r="C100" i="16"/>
  <c r="C74" i="16"/>
  <c r="C58" i="16"/>
  <c r="C99" i="16"/>
  <c r="C73" i="16"/>
  <c r="C87" i="16"/>
  <c r="C70" i="16"/>
  <c r="C53" i="16"/>
  <c r="C98" i="16"/>
  <c r="C76" i="16"/>
  <c r="C88" i="16"/>
  <c r="C92" i="16"/>
  <c r="C52" i="16"/>
  <c r="C96" i="16"/>
  <c r="C61" i="16"/>
  <c r="C55" i="16"/>
  <c r="C69" i="16"/>
  <c r="C57" i="16"/>
  <c r="C86" i="16"/>
  <c r="C71" i="16"/>
  <c r="F71" i="16"/>
  <c r="F54" i="16"/>
  <c r="C77" i="16"/>
  <c r="F89" i="16"/>
  <c r="C83" i="16"/>
  <c r="C59" i="16"/>
  <c r="C101" i="16"/>
  <c r="C66" i="16"/>
  <c r="E94" i="16"/>
  <c r="C93" i="16"/>
  <c r="E71" i="16"/>
  <c r="C62" i="16"/>
  <c r="E86" i="16"/>
  <c r="C60" i="16"/>
  <c r="E96" i="16"/>
  <c r="F93" i="16"/>
  <c r="F78" i="16"/>
  <c r="F55" i="16"/>
  <c r="F98" i="16"/>
  <c r="F94" i="16"/>
  <c r="F86" i="16"/>
  <c r="F97" i="16"/>
  <c r="F91" i="16"/>
  <c r="F60" i="16"/>
  <c r="F72" i="16"/>
  <c r="F85" i="16"/>
  <c r="F58" i="16"/>
  <c r="F87" i="16"/>
  <c r="F75" i="16"/>
  <c r="F81" i="16"/>
  <c r="F66" i="16"/>
  <c r="F77" i="16"/>
  <c r="F70" i="16"/>
  <c r="F63" i="16"/>
  <c r="F83" i="16"/>
  <c r="F92" i="16"/>
  <c r="F65" i="16"/>
  <c r="F80" i="16"/>
  <c r="F68" i="16"/>
  <c r="F84" i="16"/>
  <c r="F74" i="16"/>
  <c r="F99" i="16"/>
  <c r="F79" i="16"/>
  <c r="C79" i="16"/>
  <c r="C68" i="16"/>
  <c r="F57" i="16"/>
  <c r="C64" i="16"/>
  <c r="C81" i="16"/>
  <c r="C90" i="16"/>
  <c r="E77" i="16"/>
  <c r="E89" i="16"/>
  <c r="F82" i="16"/>
  <c r="F101" i="16"/>
  <c r="E79" i="16"/>
  <c r="F90" i="16"/>
  <c r="E73" i="16"/>
  <c r="F95" i="16"/>
  <c r="E69" i="16"/>
  <c r="F73" i="16"/>
  <c r="F41" i="16"/>
  <c r="F36" i="16"/>
  <c r="E35" i="16"/>
  <c r="F48" i="16"/>
  <c r="E51" i="16"/>
  <c r="C43" i="16"/>
  <c r="F38" i="16"/>
  <c r="C38" i="16"/>
  <c r="F45" i="16"/>
  <c r="E102" i="16"/>
  <c r="C45" i="16"/>
  <c r="F30" i="16"/>
  <c r="C102" i="16"/>
  <c r="F44" i="16"/>
  <c r="E45" i="16"/>
  <c r="F37" i="16"/>
  <c r="C47" i="16"/>
  <c r="E22" i="16"/>
  <c r="C26" i="16"/>
  <c r="E20" i="16"/>
  <c r="C29" i="16"/>
  <c r="C24" i="16"/>
  <c r="E32" i="16"/>
  <c r="C22" i="16"/>
  <c r="F25" i="16"/>
  <c r="C28" i="16"/>
  <c r="C51" i="16"/>
  <c r="E42" i="16"/>
  <c r="C42" i="16"/>
  <c r="E39" i="16"/>
  <c r="C36" i="16"/>
  <c r="E48" i="16"/>
  <c r="E21" i="16"/>
  <c r="F22" i="16"/>
  <c r="E30" i="16"/>
  <c r="E4" i="16"/>
  <c r="E24" i="16"/>
  <c r="F28" i="16"/>
  <c r="E29" i="16"/>
  <c r="E11" i="16"/>
  <c r="E5" i="16"/>
  <c r="E27" i="16"/>
  <c r="E50" i="16"/>
  <c r="F102" i="16"/>
  <c r="E43" i="16"/>
  <c r="C39" i="16"/>
  <c r="F50" i="16"/>
  <c r="C27" i="16"/>
  <c r="E8" i="16"/>
  <c r="E28" i="16"/>
  <c r="C20" i="16"/>
  <c r="E25" i="16"/>
  <c r="F21" i="16"/>
  <c r="E18" i="16"/>
  <c r="E17" i="16"/>
  <c r="F20" i="16"/>
  <c r="E34" i="16"/>
  <c r="F42" i="16"/>
  <c r="C49" i="16"/>
  <c r="E46" i="16"/>
  <c r="E36" i="16"/>
  <c r="F43" i="16"/>
  <c r="C33" i="16"/>
  <c r="F29" i="16"/>
  <c r="E10" i="16"/>
  <c r="C44" i="16"/>
  <c r="E41" i="16"/>
  <c r="E40" i="16"/>
  <c r="C41" i="16"/>
  <c r="E49" i="16"/>
  <c r="F27" i="16"/>
  <c r="E7" i="16"/>
  <c r="E13" i="16"/>
  <c r="E15" i="16"/>
  <c r="E31" i="16"/>
  <c r="C32" i="16"/>
  <c r="C25" i="16"/>
  <c r="E9" i="16"/>
  <c r="C30" i="16"/>
  <c r="E26" i="16"/>
  <c r="E19" i="16"/>
  <c r="C48" i="16"/>
  <c r="E37" i="16"/>
  <c r="F35" i="16"/>
  <c r="C34" i="16"/>
  <c r="F46" i="16"/>
  <c r="C37" i="16"/>
  <c r="C40" i="16"/>
  <c r="E38" i="16"/>
  <c r="F32" i="16"/>
  <c r="E14" i="16"/>
  <c r="E12" i="16"/>
  <c r="F31" i="16"/>
  <c r="E3" i="16"/>
  <c r="F23" i="16"/>
  <c r="E16" i="16"/>
  <c r="F33" i="16"/>
  <c r="F34" i="16"/>
  <c r="C46" i="16"/>
  <c r="E44" i="16"/>
  <c r="E33" i="16"/>
  <c r="F40" i="16"/>
  <c r="F51" i="16"/>
  <c r="F39" i="16"/>
  <c r="E6" i="16"/>
  <c r="C21" i="16"/>
  <c r="C31" i="16"/>
  <c r="C23" i="16"/>
  <c r="F26" i="16"/>
  <c r="F24" i="16"/>
  <c r="E23" i="16"/>
  <c r="C50" i="16"/>
  <c r="F49" i="16"/>
  <c r="C35" i="16"/>
  <c r="F47" i="16"/>
  <c r="P5" i="33"/>
  <c r="AD4" i="38"/>
  <c r="AD5" i="38"/>
  <c r="AD6" i="38"/>
  <c r="AD7" i="38"/>
  <c r="AD8" i="38"/>
  <c r="AD9" i="38"/>
  <c r="AD10" i="38"/>
  <c r="AD11" i="38"/>
  <c r="AD12" i="38"/>
  <c r="AD13" i="38"/>
  <c r="AD14" i="38"/>
  <c r="AD15" i="38"/>
  <c r="AD16" i="38"/>
  <c r="AD17" i="38"/>
  <c r="AD18" i="38"/>
  <c r="AD19" i="38"/>
  <c r="AD20" i="38"/>
  <c r="AD21" i="38"/>
  <c r="AD22" i="38"/>
  <c r="AD23" i="38"/>
  <c r="AD24" i="38"/>
  <c r="AD25" i="38"/>
  <c r="AD26" i="38"/>
  <c r="AD27" i="38"/>
  <c r="AD28" i="38"/>
  <c r="AD29" i="38"/>
  <c r="AD30" i="38"/>
  <c r="AD31" i="38"/>
  <c r="AD32" i="38"/>
  <c r="AD33" i="38"/>
  <c r="AD34" i="38"/>
  <c r="AD35" i="38"/>
  <c r="AD36" i="38"/>
  <c r="AD37" i="38"/>
  <c r="AD38" i="38"/>
  <c r="AD39" i="38"/>
  <c r="AD40" i="38"/>
  <c r="AD41" i="38"/>
  <c r="AD42" i="38"/>
  <c r="AD43" i="38"/>
  <c r="AD44" i="38"/>
  <c r="AD45" i="38"/>
  <c r="AD46" i="38"/>
  <c r="AD47" i="38"/>
  <c r="AD48" i="38"/>
  <c r="AD49" i="38"/>
  <c r="AD50" i="38"/>
  <c r="AD51" i="38"/>
  <c r="AD52" i="38"/>
  <c r="AD53" i="38"/>
  <c r="AD54" i="38"/>
  <c r="AD55" i="38"/>
  <c r="AD56" i="38"/>
  <c r="AD57" i="38"/>
  <c r="AD58" i="38"/>
  <c r="AD59" i="38"/>
  <c r="AD60" i="38"/>
  <c r="AD61" i="38"/>
  <c r="AD62" i="38"/>
  <c r="AD63" i="38"/>
  <c r="AD64" i="38"/>
  <c r="AD65" i="38"/>
  <c r="AD66" i="38"/>
  <c r="AD67" i="38"/>
  <c r="AD68" i="38"/>
  <c r="AD69" i="38"/>
  <c r="AD70" i="38"/>
  <c r="AD71" i="38"/>
  <c r="AD72" i="38"/>
  <c r="AD73" i="38"/>
  <c r="AD74" i="38"/>
  <c r="AD75" i="38"/>
  <c r="AD76" i="38"/>
  <c r="AD77" i="38"/>
  <c r="AD78" i="38"/>
  <c r="AD79" i="38"/>
  <c r="AD80" i="38"/>
  <c r="AD81" i="38"/>
  <c r="AD82" i="38"/>
  <c r="AD83" i="38"/>
  <c r="AD84" i="38"/>
  <c r="AD85" i="38"/>
  <c r="AD86" i="38"/>
  <c r="AD87" i="38"/>
  <c r="AD88" i="38"/>
  <c r="AD89" i="38"/>
  <c r="AD90" i="38"/>
  <c r="AD91" i="38"/>
  <c r="AD92" i="38"/>
  <c r="AD93" i="38"/>
  <c r="AD94" i="38"/>
  <c r="AD95" i="38"/>
  <c r="AD96" i="38"/>
  <c r="AD97" i="38"/>
  <c r="AD98" i="38"/>
  <c r="AD99" i="38"/>
  <c r="AD100" i="38"/>
  <c r="AD101" i="38"/>
  <c r="AD102" i="38"/>
  <c r="AD103" i="38"/>
  <c r="AD104" i="38"/>
  <c r="AD105" i="38"/>
  <c r="AD106" i="38"/>
  <c r="AD107" i="38"/>
  <c r="AD108" i="38"/>
  <c r="AD109" i="38"/>
  <c r="AD110" i="38"/>
  <c r="AD111" i="38"/>
  <c r="AD112" i="38"/>
  <c r="AD113" i="38"/>
  <c r="AD114" i="38"/>
  <c r="AD115" i="38"/>
  <c r="AD116" i="38"/>
  <c r="AD117" i="38"/>
  <c r="AD118" i="38"/>
  <c r="AD119" i="38"/>
  <c r="AD120" i="38"/>
  <c r="AD121" i="38"/>
  <c r="AD122" i="38"/>
  <c r="AD123" i="38"/>
  <c r="AD124" i="38"/>
  <c r="AD125" i="38"/>
  <c r="AD126" i="38"/>
  <c r="AD127" i="38"/>
  <c r="AD128" i="38"/>
  <c r="AD129" i="38"/>
  <c r="AD130" i="38"/>
  <c r="AD131" i="38"/>
  <c r="AD132" i="38"/>
  <c r="AD133" i="38"/>
  <c r="AD134" i="38"/>
  <c r="AD135" i="38"/>
  <c r="AD136" i="38"/>
  <c r="AD137" i="38"/>
  <c r="AD138" i="38"/>
  <c r="AD139" i="38"/>
  <c r="AD140" i="38"/>
  <c r="AD141" i="38"/>
  <c r="AD142" i="38"/>
  <c r="AD143" i="38"/>
  <c r="AD144" i="38"/>
  <c r="AD145" i="38"/>
  <c r="AD146" i="38"/>
  <c r="AD147" i="38"/>
  <c r="AD148" i="38"/>
  <c r="AD149" i="38"/>
  <c r="AD150" i="38"/>
  <c r="AD151" i="38"/>
  <c r="F24" i="39" l="1"/>
  <c r="F131" i="39"/>
  <c r="F120" i="39"/>
  <c r="F112" i="39"/>
  <c r="F90" i="39"/>
  <c r="F82" i="39"/>
  <c r="F75" i="39"/>
  <c r="F68" i="39"/>
  <c r="AG1" i="38"/>
  <c r="F18" i="39"/>
  <c r="G13" i="38"/>
  <c r="F86" i="39"/>
  <c r="M84" i="39"/>
  <c r="O86" i="39"/>
  <c r="P85" i="39"/>
  <c r="H86" i="39"/>
  <c r="O84" i="39"/>
  <c r="M85" i="39"/>
  <c r="I86" i="39"/>
  <c r="N84" i="39"/>
  <c r="N85" i="39"/>
  <c r="M86" i="39"/>
  <c r="P84" i="39"/>
  <c r="O85" i="39"/>
  <c r="L84" i="39"/>
  <c r="N86" i="39"/>
  <c r="K86" i="39"/>
  <c r="L85" i="39"/>
  <c r="DB168" i="11" l="1"/>
  <c r="C4" i="19"/>
  <c r="A5" i="27" l="1"/>
  <c r="K5" i="27"/>
  <c r="C6" i="7"/>
  <c r="C5" i="7"/>
  <c r="N7" i="42"/>
  <c r="O7" i="42"/>
  <c r="P7" i="42"/>
  <c r="Q7" i="42"/>
  <c r="R7" i="42"/>
  <c r="S7" i="42"/>
  <c r="T7" i="42"/>
  <c r="U7" i="42"/>
  <c r="V7" i="42"/>
  <c r="W7" i="42"/>
  <c r="X7" i="42"/>
  <c r="Y7" i="42"/>
  <c r="Z7" i="42"/>
  <c r="AA7" i="42"/>
  <c r="AB7" i="42"/>
  <c r="AC7" i="42"/>
  <c r="AD7" i="42"/>
  <c r="AE7" i="42"/>
  <c r="AF7" i="42"/>
  <c r="N8" i="42"/>
  <c r="O8" i="42"/>
  <c r="P8" i="42"/>
  <c r="Q8" i="42"/>
  <c r="R8" i="42"/>
  <c r="S8" i="42"/>
  <c r="T8" i="42"/>
  <c r="U8" i="42"/>
  <c r="V8" i="42"/>
  <c r="W8" i="42"/>
  <c r="X8" i="42"/>
  <c r="Y8" i="42"/>
  <c r="Z8" i="42"/>
  <c r="AA8" i="42"/>
  <c r="AB8" i="42"/>
  <c r="AC8" i="42"/>
  <c r="AD8" i="42"/>
  <c r="AE8" i="42"/>
  <c r="AF8" i="42"/>
  <c r="N9" i="42"/>
  <c r="O9" i="42"/>
  <c r="P9" i="42"/>
  <c r="Q9" i="42"/>
  <c r="R9" i="42"/>
  <c r="S9" i="42"/>
  <c r="T9" i="42"/>
  <c r="U9" i="42"/>
  <c r="V9" i="42"/>
  <c r="W9" i="42"/>
  <c r="X9" i="42"/>
  <c r="Y9" i="42"/>
  <c r="Z9" i="42"/>
  <c r="AA9" i="42"/>
  <c r="AB9" i="42"/>
  <c r="AC9" i="42"/>
  <c r="AD9" i="42"/>
  <c r="AE9" i="42"/>
  <c r="AF9" i="42"/>
  <c r="N10" i="42"/>
  <c r="O10" i="42"/>
  <c r="P10" i="42"/>
  <c r="Q10" i="42"/>
  <c r="R10" i="42"/>
  <c r="S10" i="42"/>
  <c r="T10" i="42"/>
  <c r="U10" i="42"/>
  <c r="V10" i="42"/>
  <c r="W10" i="42"/>
  <c r="X10" i="42"/>
  <c r="Y10" i="42"/>
  <c r="Z10" i="42"/>
  <c r="AA10" i="42"/>
  <c r="AB10" i="42"/>
  <c r="AC10" i="42"/>
  <c r="AD10" i="42"/>
  <c r="AE10" i="42"/>
  <c r="AF10" i="42"/>
  <c r="N11" i="42"/>
  <c r="O11" i="42"/>
  <c r="P11" i="42"/>
  <c r="Q11" i="42"/>
  <c r="R11" i="42"/>
  <c r="S11" i="42"/>
  <c r="T11" i="42"/>
  <c r="U11" i="42"/>
  <c r="V11" i="42"/>
  <c r="W11" i="42"/>
  <c r="X11" i="42"/>
  <c r="Y11" i="42"/>
  <c r="Z11" i="42"/>
  <c r="AA11" i="42"/>
  <c r="AB11" i="42"/>
  <c r="AC11" i="42"/>
  <c r="AD11" i="42"/>
  <c r="AE11" i="42"/>
  <c r="AF11" i="42"/>
  <c r="B12" i="42"/>
  <c r="P12" i="42" l="1"/>
  <c r="T12" i="42"/>
  <c r="X12" i="42"/>
  <c r="AB12" i="42"/>
  <c r="AF12" i="42"/>
  <c r="N12" i="42"/>
  <c r="R12" i="42"/>
  <c r="Q12" i="42"/>
  <c r="U12" i="42"/>
  <c r="Y12" i="42"/>
  <c r="AC12" i="42"/>
  <c r="O12" i="42"/>
  <c r="S12" i="42"/>
  <c r="W12" i="42"/>
  <c r="AA12" i="42"/>
  <c r="AE12" i="42"/>
  <c r="V12" i="42"/>
  <c r="Z12" i="42"/>
  <c r="AD12" i="42"/>
  <c r="L80" i="39"/>
  <c r="M80" i="39"/>
  <c r="N80" i="39"/>
  <c r="O80" i="39"/>
  <c r="P80" i="39"/>
  <c r="F3" i="16" l="1"/>
  <c r="C3" i="16"/>
  <c r="F12" i="16"/>
  <c r="C12" i="16"/>
  <c r="F13" i="16"/>
  <c r="F15" i="16"/>
  <c r="C8" i="16"/>
  <c r="C19" i="16"/>
  <c r="F6" i="16"/>
  <c r="F14" i="16"/>
  <c r="F5" i="16"/>
  <c r="F7" i="16"/>
  <c r="C6" i="16"/>
  <c r="F19" i="16"/>
  <c r="F11" i="16"/>
  <c r="C11" i="16"/>
  <c r="F8" i="16"/>
  <c r="C13" i="16"/>
  <c r="F18" i="16"/>
  <c r="F16" i="16"/>
  <c r="C18" i="16"/>
  <c r="C9" i="16"/>
  <c r="C16" i="16"/>
  <c r="C14" i="16"/>
  <c r="F9" i="16"/>
  <c r="C5" i="16"/>
  <c r="F4" i="16"/>
  <c r="C17" i="16"/>
  <c r="C7" i="16"/>
  <c r="F10" i="16"/>
  <c r="C10" i="16"/>
  <c r="C4" i="16"/>
  <c r="C15" i="16"/>
  <c r="F17" i="16"/>
  <c r="F10" i="38"/>
  <c r="D11" i="41"/>
  <c r="D10" i="41"/>
  <c r="E9" i="41"/>
  <c r="E8" i="41"/>
  <c r="F7" i="41"/>
  <c r="D7" i="41" l="1"/>
  <c r="D11" i="38" l="1"/>
  <c r="D10" i="38"/>
  <c r="D9" i="38"/>
  <c r="D8" i="38"/>
  <c r="D7" i="38"/>
  <c r="D6" i="38"/>
  <c r="D5" i="38"/>
  <c r="D3" i="38"/>
  <c r="D2" i="38"/>
  <c r="B1" i="38"/>
  <c r="B1" i="39"/>
  <c r="D11" i="39"/>
  <c r="G10" i="39"/>
  <c r="D10" i="39"/>
  <c r="D9" i="39"/>
  <c r="D8" i="39"/>
  <c r="D7" i="39"/>
  <c r="D6" i="39"/>
  <c r="D5" i="39"/>
  <c r="D3" i="39"/>
  <c r="D2" i="39"/>
  <c r="A3" i="42"/>
  <c r="F16" i="41" l="1"/>
  <c r="G131" i="39" l="1"/>
  <c r="H131" i="39" s="1"/>
  <c r="I131" i="39" s="1"/>
  <c r="J131" i="39" s="1"/>
  <c r="K131" i="39" s="1"/>
  <c r="L131" i="39" s="1"/>
  <c r="M131" i="39" s="1"/>
  <c r="N131" i="39" s="1"/>
  <c r="O131" i="39" s="1"/>
  <c r="P131" i="39" s="1"/>
  <c r="E131" i="39"/>
  <c r="G120" i="39"/>
  <c r="H120" i="39" s="1"/>
  <c r="I120" i="39" s="1"/>
  <c r="J120" i="39" s="1"/>
  <c r="K120" i="39" s="1"/>
  <c r="L120" i="39" s="1"/>
  <c r="M120" i="39" s="1"/>
  <c r="N120" i="39" s="1"/>
  <c r="O120" i="39" s="1"/>
  <c r="P120" i="39" s="1"/>
  <c r="E120" i="39"/>
  <c r="H134" i="39"/>
  <c r="P134" i="39"/>
  <c r="J134" i="39"/>
  <c r="K134" i="39"/>
  <c r="I134" i="39"/>
  <c r="L134" i="39"/>
  <c r="O134" i="39"/>
  <c r="F134" i="39"/>
  <c r="N134" i="39"/>
  <c r="G134" i="39"/>
  <c r="M134" i="39"/>
  <c r="E112" i="39" l="1"/>
  <c r="G112" i="39"/>
  <c r="H112" i="39" s="1"/>
  <c r="I112" i="39" s="1"/>
  <c r="J112" i="39" s="1"/>
  <c r="K112" i="39" s="1"/>
  <c r="L112" i="39" s="1"/>
  <c r="M112" i="39" s="1"/>
  <c r="N112" i="39" s="1"/>
  <c r="O112" i="39" s="1"/>
  <c r="P112" i="39" s="1"/>
  <c r="D109" i="39"/>
  <c r="B109" i="39" s="1"/>
  <c r="C109" i="39" s="1"/>
  <c r="D108" i="39"/>
  <c r="B108" i="39" s="1"/>
  <c r="C108" i="39" s="1"/>
  <c r="D106" i="39"/>
  <c r="D105" i="39"/>
  <c r="D104" i="39"/>
  <c r="B104" i="39" s="1"/>
  <c r="C104" i="39" s="1"/>
  <c r="D103" i="39"/>
  <c r="B103" i="39" s="1"/>
  <c r="C103" i="39" s="1"/>
  <c r="D102" i="39"/>
  <c r="B102" i="39" s="1"/>
  <c r="C102" i="39" s="1"/>
  <c r="D101" i="39"/>
  <c r="G90" i="39"/>
  <c r="E90" i="39"/>
  <c r="B101" i="39" l="1"/>
  <c r="C101" i="39" s="1"/>
  <c r="B106" i="39"/>
  <c r="C106" i="39" s="1"/>
  <c r="B105" i="39"/>
  <c r="C105" i="39" s="1"/>
  <c r="H90" i="39"/>
  <c r="P86" i="39"/>
  <c r="G86" i="39"/>
  <c r="J86" i="39"/>
  <c r="L86" i="39"/>
  <c r="I90" i="39" l="1"/>
  <c r="J90" i="39" s="1"/>
  <c r="M87" i="39"/>
  <c r="O87" i="39"/>
  <c r="P87" i="39"/>
  <c r="L87" i="39"/>
  <c r="N87" i="39"/>
  <c r="Q86" i="39"/>
  <c r="G68" i="39"/>
  <c r="H68" i="39" s="1"/>
  <c r="I68" i="39" s="1"/>
  <c r="J68" i="39" s="1"/>
  <c r="K68" i="39" s="1"/>
  <c r="L68" i="39" s="1"/>
  <c r="M68" i="39" s="1"/>
  <c r="N68" i="39" s="1"/>
  <c r="O68" i="39" s="1"/>
  <c r="P68" i="39" s="1"/>
  <c r="E68" i="39"/>
  <c r="C77" i="39"/>
  <c r="C78" i="39"/>
  <c r="C79" i="39"/>
  <c r="D82" i="39"/>
  <c r="G82" i="39"/>
  <c r="H82" i="39" s="1"/>
  <c r="I82" i="39" s="1"/>
  <c r="J82" i="39" s="1"/>
  <c r="K82" i="39" s="1"/>
  <c r="L82" i="39" s="1"/>
  <c r="M82" i="39" s="1"/>
  <c r="N82" i="39" s="1"/>
  <c r="O82" i="39" s="1"/>
  <c r="P82" i="39" s="1"/>
  <c r="E75" i="39"/>
  <c r="G75" i="39"/>
  <c r="H75" i="39" s="1"/>
  <c r="I75" i="39" s="1"/>
  <c r="J75" i="39" s="1"/>
  <c r="K75" i="39" s="1"/>
  <c r="L75" i="39" s="1"/>
  <c r="M75" i="39" s="1"/>
  <c r="N75" i="39" s="1"/>
  <c r="O75" i="39" s="1"/>
  <c r="P75" i="39" s="1"/>
  <c r="E24" i="39"/>
  <c r="G24" i="39"/>
  <c r="H24" i="39" s="1"/>
  <c r="I24" i="39" s="1"/>
  <c r="J24" i="39" s="1"/>
  <c r="K24" i="39" s="1"/>
  <c r="L24" i="39" s="1"/>
  <c r="M24" i="39" s="1"/>
  <c r="N24" i="39" s="1"/>
  <c r="O24" i="39" s="1"/>
  <c r="P24" i="39" s="1"/>
  <c r="P22" i="39"/>
  <c r="O22" i="39"/>
  <c r="N22" i="39"/>
  <c r="M22" i="39"/>
  <c r="L22" i="39"/>
  <c r="K21" i="39"/>
  <c r="K20" i="39"/>
  <c r="J21" i="39"/>
  <c r="J20" i="39"/>
  <c r="I21" i="39"/>
  <c r="I20" i="39"/>
  <c r="H21" i="39"/>
  <c r="H20" i="39"/>
  <c r="G21" i="39"/>
  <c r="G20" i="39"/>
  <c r="F21" i="39"/>
  <c r="F20" i="39"/>
  <c r="E21" i="39"/>
  <c r="E85" i="39" s="1"/>
  <c r="E20" i="39"/>
  <c r="E84" i="39" s="1"/>
  <c r="D18" i="39"/>
  <c r="F125" i="39"/>
  <c r="G125" i="39"/>
  <c r="H125" i="39"/>
  <c r="O125" i="39"/>
  <c r="L123" i="39"/>
  <c r="M125" i="39"/>
  <c r="M123" i="39"/>
  <c r="I125" i="39"/>
  <c r="L125" i="39"/>
  <c r="K125" i="39"/>
  <c r="P124" i="39"/>
  <c r="M124" i="39"/>
  <c r="N124" i="39"/>
  <c r="P123" i="39"/>
  <c r="L124" i="39"/>
  <c r="O124" i="39"/>
  <c r="N123" i="39"/>
  <c r="O123" i="39"/>
  <c r="P125" i="39"/>
  <c r="N125" i="39"/>
  <c r="J125" i="39"/>
  <c r="E87" i="39" l="1"/>
  <c r="P133" i="39"/>
  <c r="P135" i="39" s="1"/>
  <c r="M3" i="42"/>
  <c r="O133" i="39"/>
  <c r="O135" i="39" s="1"/>
  <c r="L3" i="42"/>
  <c r="N133" i="39"/>
  <c r="N135" i="39" s="1"/>
  <c r="K3" i="42"/>
  <c r="M133" i="39"/>
  <c r="M135" i="39" s="1"/>
  <c r="J3" i="42"/>
  <c r="L133" i="39"/>
  <c r="L135" i="39" s="1"/>
  <c r="I3" i="42"/>
  <c r="F129" i="39"/>
  <c r="G129" i="39" s="1"/>
  <c r="H129" i="39" s="1"/>
  <c r="N122" i="39"/>
  <c r="L122" i="39"/>
  <c r="P122" i="39"/>
  <c r="M122" i="39"/>
  <c r="O122" i="39"/>
  <c r="K90" i="39"/>
  <c r="H22" i="39"/>
  <c r="J22" i="39"/>
  <c r="G22" i="39"/>
  <c r="I22" i="39"/>
  <c r="K22" i="39"/>
  <c r="F22" i="39"/>
  <c r="E22" i="39"/>
  <c r="Q20" i="39"/>
  <c r="Q21" i="39"/>
  <c r="G18" i="39"/>
  <c r="H18" i="39" s="1"/>
  <c r="I18" i="39" s="1"/>
  <c r="J18" i="39" s="1"/>
  <c r="K18" i="39" s="1"/>
  <c r="L18" i="39" s="1"/>
  <c r="M18" i="39" s="1"/>
  <c r="N18" i="39" s="1"/>
  <c r="O18" i="39" s="1"/>
  <c r="P18" i="39" s="1"/>
  <c r="J7" i="42" l="1"/>
  <c r="J9" i="42"/>
  <c r="J8" i="42"/>
  <c r="J11" i="42"/>
  <c r="J10" i="42"/>
  <c r="L9" i="42"/>
  <c r="L8" i="42"/>
  <c r="L11" i="42"/>
  <c r="L7" i="42"/>
  <c r="L10" i="42"/>
  <c r="I8" i="42"/>
  <c r="I7" i="42"/>
  <c r="I11" i="42"/>
  <c r="I9" i="42"/>
  <c r="I10" i="42"/>
  <c r="K10" i="42"/>
  <c r="K9" i="42"/>
  <c r="K11" i="42"/>
  <c r="K7" i="42"/>
  <c r="K8" i="42"/>
  <c r="M8" i="42"/>
  <c r="M11" i="42"/>
  <c r="M7" i="42"/>
  <c r="M10" i="42"/>
  <c r="M9" i="42"/>
  <c r="I129" i="39"/>
  <c r="J129" i="39" s="1"/>
  <c r="K129" i="39" s="1"/>
  <c r="L129" i="39" s="1"/>
  <c r="M129" i="39" s="1"/>
  <c r="N129" i="39" s="1"/>
  <c r="O129" i="39" s="1"/>
  <c r="P129" i="39" s="1"/>
  <c r="L90" i="39"/>
  <c r="Q22" i="39"/>
  <c r="S24" i="7"/>
  <c r="S25" i="7"/>
  <c r="S26" i="7"/>
  <c r="S27" i="7"/>
  <c r="S28" i="7"/>
  <c r="S29" i="7"/>
  <c r="S30" i="7"/>
  <c r="S31" i="7"/>
  <c r="S32" i="7"/>
  <c r="S33" i="7"/>
  <c r="S34" i="7"/>
  <c r="S35" i="7"/>
  <c r="S36" i="7"/>
  <c r="S37" i="7"/>
  <c r="S38" i="7"/>
  <c r="S39" i="7"/>
  <c r="S40" i="7"/>
  <c r="S41" i="7"/>
  <c r="S42" i="7"/>
  <c r="S43" i="7"/>
  <c r="S44" i="7"/>
  <c r="S45" i="7"/>
  <c r="S46" i="7"/>
  <c r="S48" i="7"/>
  <c r="S49" i="7"/>
  <c r="S50" i="7"/>
  <c r="S51" i="7"/>
  <c r="S52" i="7"/>
  <c r="S53" i="7"/>
  <c r="S54" i="7"/>
  <c r="S55" i="7"/>
  <c r="S56" i="7"/>
  <c r="S57" i="7"/>
  <c r="S47" i="7"/>
  <c r="DI5" i="11"/>
  <c r="DI6" i="11"/>
  <c r="DI7" i="11"/>
  <c r="DI8" i="11"/>
  <c r="DI9" i="11"/>
  <c r="DI10" i="11"/>
  <c r="DI11" i="11"/>
  <c r="DI12" i="11"/>
  <c r="DE5" i="11"/>
  <c r="DF5" i="11"/>
  <c r="DG5" i="11"/>
  <c r="DE6" i="11"/>
  <c r="DF6" i="11"/>
  <c r="DG6" i="11"/>
  <c r="DE7" i="11"/>
  <c r="DF7" i="11"/>
  <c r="DG7" i="11"/>
  <c r="DE8" i="11"/>
  <c r="DF8" i="11"/>
  <c r="DG8" i="11"/>
  <c r="DE9" i="11"/>
  <c r="DF9" i="11"/>
  <c r="DG9" i="11"/>
  <c r="DE10" i="11"/>
  <c r="DF10" i="11"/>
  <c r="DG10" i="11"/>
  <c r="DE11" i="11"/>
  <c r="DF11" i="11"/>
  <c r="DG11" i="11"/>
  <c r="DE12" i="11"/>
  <c r="DF12" i="11"/>
  <c r="DG12" i="11"/>
  <c r="DI14" i="11"/>
  <c r="DI15" i="11"/>
  <c r="DI16" i="11"/>
  <c r="DI17" i="11"/>
  <c r="DI18" i="11"/>
  <c r="DI19" i="11"/>
  <c r="DI20" i="11"/>
  <c r="DI21" i="11"/>
  <c r="DI22" i="11"/>
  <c r="DI23" i="11"/>
  <c r="DI24" i="11"/>
  <c r="DI25" i="11"/>
  <c r="DI26" i="11"/>
  <c r="DI27" i="11"/>
  <c r="DI28" i="11"/>
  <c r="DI29" i="11"/>
  <c r="DI30" i="11"/>
  <c r="DI31" i="11"/>
  <c r="DI32" i="11"/>
  <c r="DI33" i="11"/>
  <c r="DI34" i="11"/>
  <c r="DI35" i="11"/>
  <c r="DI36" i="11"/>
  <c r="DI37" i="11"/>
  <c r="DI38" i="11"/>
  <c r="DI39" i="11"/>
  <c r="DI40" i="11"/>
  <c r="DI41" i="11"/>
  <c r="DI42" i="11"/>
  <c r="DI43" i="11"/>
  <c r="DI44" i="11"/>
  <c r="DI45" i="11"/>
  <c r="DI46" i="11"/>
  <c r="DI47" i="11"/>
  <c r="DI48" i="11"/>
  <c r="DI49" i="11"/>
  <c r="DI50" i="11"/>
  <c r="DI51" i="11"/>
  <c r="DI52" i="11"/>
  <c r="DI53" i="11"/>
  <c r="DI54" i="11"/>
  <c r="DI55" i="11"/>
  <c r="DI56" i="11"/>
  <c r="DI57" i="11"/>
  <c r="DI58" i="11"/>
  <c r="DI59" i="11"/>
  <c r="DI60" i="11"/>
  <c r="DI61" i="11"/>
  <c r="DI62" i="11"/>
  <c r="DI63" i="11"/>
  <c r="DI64" i="11"/>
  <c r="DI65" i="11"/>
  <c r="DI66" i="11"/>
  <c r="DI67" i="11"/>
  <c r="DI68" i="11"/>
  <c r="DI69" i="11"/>
  <c r="DI70" i="11"/>
  <c r="DI71" i="11"/>
  <c r="DI72" i="11"/>
  <c r="DI73" i="11"/>
  <c r="DI74" i="11"/>
  <c r="DI75" i="11"/>
  <c r="DI76" i="11"/>
  <c r="DI77" i="11"/>
  <c r="DI78" i="11"/>
  <c r="DI79" i="11"/>
  <c r="DI80" i="11"/>
  <c r="DI81" i="11"/>
  <c r="DI82" i="11"/>
  <c r="DI83" i="11"/>
  <c r="DI84" i="11"/>
  <c r="DI85" i="11"/>
  <c r="DI86" i="11"/>
  <c r="DI87" i="11"/>
  <c r="DI88" i="11"/>
  <c r="DI89" i="11"/>
  <c r="DI90" i="11"/>
  <c r="DI91" i="11"/>
  <c r="DI92" i="11"/>
  <c r="DI93" i="11"/>
  <c r="DI94" i="11"/>
  <c r="DI95" i="11"/>
  <c r="DI96" i="11"/>
  <c r="DI97" i="11"/>
  <c r="DI98" i="11"/>
  <c r="DI99" i="11"/>
  <c r="DI100" i="11"/>
  <c r="DI101" i="11"/>
  <c r="DI102" i="11"/>
  <c r="DI103" i="11"/>
  <c r="DI104" i="11"/>
  <c r="DI105" i="11"/>
  <c r="DI106" i="11"/>
  <c r="DI107" i="11"/>
  <c r="DI108" i="11"/>
  <c r="DI109" i="11"/>
  <c r="DI110" i="11"/>
  <c r="DI111" i="11"/>
  <c r="DI112" i="11"/>
  <c r="DI113" i="11"/>
  <c r="DI114" i="11"/>
  <c r="DI115" i="11"/>
  <c r="DI116" i="11"/>
  <c r="DI117" i="11"/>
  <c r="DI118" i="11"/>
  <c r="DI119" i="11"/>
  <c r="DI120" i="11"/>
  <c r="DI121" i="11"/>
  <c r="DI122" i="11"/>
  <c r="DI123" i="11"/>
  <c r="DI124" i="11"/>
  <c r="DI125" i="11"/>
  <c r="DI126" i="11"/>
  <c r="DI127" i="11"/>
  <c r="DI128" i="11"/>
  <c r="DI129" i="11"/>
  <c r="DI130" i="11"/>
  <c r="DI131" i="11"/>
  <c r="DI132" i="11"/>
  <c r="DI133" i="11"/>
  <c r="DI134" i="11"/>
  <c r="DI135" i="11"/>
  <c r="DI136" i="11"/>
  <c r="DI137" i="11"/>
  <c r="DI138" i="11"/>
  <c r="DI139" i="11"/>
  <c r="DI140" i="11"/>
  <c r="DI141" i="11"/>
  <c r="DI142" i="11"/>
  <c r="DI143" i="11"/>
  <c r="DI144" i="11"/>
  <c r="DI145" i="11"/>
  <c r="DI146" i="11"/>
  <c r="DI147" i="11"/>
  <c r="DI148" i="11"/>
  <c r="DI149" i="11"/>
  <c r="DI150" i="11"/>
  <c r="DI151" i="11"/>
  <c r="DI152" i="11"/>
  <c r="DI153" i="11"/>
  <c r="DI154" i="11"/>
  <c r="DI155" i="11"/>
  <c r="DI156" i="11"/>
  <c r="DI157" i="11"/>
  <c r="DI158" i="11"/>
  <c r="DI159" i="11"/>
  <c r="DI160" i="11"/>
  <c r="DI161" i="11"/>
  <c r="DI162" i="11"/>
  <c r="DI163" i="11"/>
  <c r="DI164" i="11"/>
  <c r="DI165" i="11"/>
  <c r="DI166" i="11"/>
  <c r="DI167" i="11"/>
  <c r="DE14" i="11"/>
  <c r="DF14" i="11"/>
  <c r="DG14" i="11"/>
  <c r="DE15" i="11"/>
  <c r="DF15" i="11"/>
  <c r="DG15" i="11"/>
  <c r="DE16" i="11"/>
  <c r="DF16" i="11"/>
  <c r="DG16" i="11"/>
  <c r="DE17" i="11"/>
  <c r="DF17" i="11"/>
  <c r="DG17" i="11"/>
  <c r="DE18" i="11"/>
  <c r="DF18" i="11"/>
  <c r="DG18" i="11"/>
  <c r="DE19" i="11"/>
  <c r="DF19" i="11"/>
  <c r="DG19" i="11"/>
  <c r="DE20" i="11"/>
  <c r="DF20" i="11"/>
  <c r="DG20" i="11"/>
  <c r="DE21" i="11"/>
  <c r="DF21" i="11"/>
  <c r="DG21" i="11"/>
  <c r="DE22" i="11"/>
  <c r="DF22" i="11"/>
  <c r="DG22" i="11"/>
  <c r="DE23" i="11"/>
  <c r="DF23" i="11"/>
  <c r="DG23" i="11"/>
  <c r="DE24" i="11"/>
  <c r="DF24" i="11"/>
  <c r="DG24" i="11"/>
  <c r="DE25" i="11"/>
  <c r="DF25" i="11"/>
  <c r="DG25" i="11"/>
  <c r="DE26" i="11"/>
  <c r="DF26" i="11"/>
  <c r="DG26" i="11"/>
  <c r="DE27" i="11"/>
  <c r="DF27" i="11"/>
  <c r="DG27" i="11"/>
  <c r="DE28" i="11"/>
  <c r="DF28" i="11"/>
  <c r="DG28" i="11"/>
  <c r="DE29" i="11"/>
  <c r="DF29" i="11"/>
  <c r="DG29" i="11"/>
  <c r="DE30" i="11"/>
  <c r="DF30" i="11"/>
  <c r="DG30" i="11"/>
  <c r="DE31" i="11"/>
  <c r="DF31" i="11"/>
  <c r="DG31" i="11"/>
  <c r="DE32" i="11"/>
  <c r="DF32" i="11"/>
  <c r="DG32" i="11"/>
  <c r="DE33" i="11"/>
  <c r="DF33" i="11"/>
  <c r="DG33" i="11"/>
  <c r="DE34" i="11"/>
  <c r="DF34" i="11"/>
  <c r="DG34" i="11"/>
  <c r="DE35" i="11"/>
  <c r="DF35" i="11"/>
  <c r="DG35" i="11"/>
  <c r="DE36" i="11"/>
  <c r="DF36" i="11"/>
  <c r="DG36" i="11"/>
  <c r="DE37" i="11"/>
  <c r="DF37" i="11"/>
  <c r="DG37" i="11"/>
  <c r="DE38" i="11"/>
  <c r="DF38" i="11"/>
  <c r="DG38" i="11"/>
  <c r="DE39" i="11"/>
  <c r="DF39" i="11"/>
  <c r="DG39" i="11"/>
  <c r="DE40" i="11"/>
  <c r="DF40" i="11"/>
  <c r="DG40" i="11"/>
  <c r="DE41" i="11"/>
  <c r="DF41" i="11"/>
  <c r="DG41" i="11"/>
  <c r="DE42" i="11"/>
  <c r="DF42" i="11"/>
  <c r="DG42" i="11"/>
  <c r="DE43" i="11"/>
  <c r="DF43" i="11"/>
  <c r="DG43" i="11"/>
  <c r="DE44" i="11"/>
  <c r="DF44" i="11"/>
  <c r="DG44" i="11"/>
  <c r="DE45" i="11"/>
  <c r="DF45" i="11"/>
  <c r="DG45" i="11"/>
  <c r="DE46" i="11"/>
  <c r="DF46" i="11"/>
  <c r="DG46" i="11"/>
  <c r="DE47" i="11"/>
  <c r="DF47" i="11"/>
  <c r="DG47" i="11"/>
  <c r="DE48" i="11"/>
  <c r="DF48" i="11"/>
  <c r="DG48" i="11"/>
  <c r="DE49" i="11"/>
  <c r="DF49" i="11"/>
  <c r="DG49" i="11"/>
  <c r="DE50" i="11"/>
  <c r="DF50" i="11"/>
  <c r="DG50" i="11"/>
  <c r="DE51" i="11"/>
  <c r="DF51" i="11"/>
  <c r="DG51" i="11"/>
  <c r="DE52" i="11"/>
  <c r="DF52" i="11"/>
  <c r="DG52" i="11"/>
  <c r="DE53" i="11"/>
  <c r="DF53" i="11"/>
  <c r="DG53" i="11"/>
  <c r="DE54" i="11"/>
  <c r="DF54" i="11"/>
  <c r="DG54" i="11"/>
  <c r="DE55" i="11"/>
  <c r="DF55" i="11"/>
  <c r="DG55" i="11"/>
  <c r="DE56" i="11"/>
  <c r="DF56" i="11"/>
  <c r="DG56" i="11"/>
  <c r="DE57" i="11"/>
  <c r="DF57" i="11"/>
  <c r="DG57" i="11"/>
  <c r="DE58" i="11"/>
  <c r="DF58" i="11"/>
  <c r="DG58" i="11"/>
  <c r="DE59" i="11"/>
  <c r="DF59" i="11"/>
  <c r="DG59" i="11"/>
  <c r="DE60" i="11"/>
  <c r="DF60" i="11"/>
  <c r="DG60" i="11"/>
  <c r="DE61" i="11"/>
  <c r="DF61" i="11"/>
  <c r="DG61" i="11"/>
  <c r="DE62" i="11"/>
  <c r="DF62" i="11"/>
  <c r="DG62" i="11"/>
  <c r="DE63" i="11"/>
  <c r="DF63" i="11"/>
  <c r="DG63" i="11"/>
  <c r="DE64" i="11"/>
  <c r="DF64" i="11"/>
  <c r="DG64" i="11"/>
  <c r="DE65" i="11"/>
  <c r="DF65" i="11"/>
  <c r="DG65" i="11"/>
  <c r="DE66" i="11"/>
  <c r="DF66" i="11"/>
  <c r="DG66" i="11"/>
  <c r="DE67" i="11"/>
  <c r="DF67" i="11"/>
  <c r="DG67" i="11"/>
  <c r="DE68" i="11"/>
  <c r="DF68" i="11"/>
  <c r="DG68" i="11"/>
  <c r="DE69" i="11"/>
  <c r="DF69" i="11"/>
  <c r="DG69" i="11"/>
  <c r="DE70" i="11"/>
  <c r="DF70" i="11"/>
  <c r="DG70" i="11"/>
  <c r="DE71" i="11"/>
  <c r="DF71" i="11"/>
  <c r="DG71" i="11"/>
  <c r="DE72" i="11"/>
  <c r="DF72" i="11"/>
  <c r="DG72" i="11"/>
  <c r="DE73" i="11"/>
  <c r="DF73" i="11"/>
  <c r="DG73" i="11"/>
  <c r="DE74" i="11"/>
  <c r="DF74" i="11"/>
  <c r="DG74" i="11"/>
  <c r="DE75" i="11"/>
  <c r="DF75" i="11"/>
  <c r="DG75" i="11"/>
  <c r="DE76" i="11"/>
  <c r="DF76" i="11"/>
  <c r="DG76" i="11"/>
  <c r="DE77" i="11"/>
  <c r="DF77" i="11"/>
  <c r="DG77" i="11"/>
  <c r="DE78" i="11"/>
  <c r="DF78" i="11"/>
  <c r="DG78" i="11"/>
  <c r="DE79" i="11"/>
  <c r="DF79" i="11"/>
  <c r="DG79" i="11"/>
  <c r="DE80" i="11"/>
  <c r="DF80" i="11"/>
  <c r="DG80" i="11"/>
  <c r="DE81" i="11"/>
  <c r="DF81" i="11"/>
  <c r="DG81" i="11"/>
  <c r="DE82" i="11"/>
  <c r="DF82" i="11"/>
  <c r="DG82" i="11"/>
  <c r="DE83" i="11"/>
  <c r="DF83" i="11"/>
  <c r="DG83" i="11"/>
  <c r="DE84" i="11"/>
  <c r="DF84" i="11"/>
  <c r="DG84" i="11"/>
  <c r="DE85" i="11"/>
  <c r="DF85" i="11"/>
  <c r="DG85" i="11"/>
  <c r="DE86" i="11"/>
  <c r="DF86" i="11"/>
  <c r="DG86" i="11"/>
  <c r="DE87" i="11"/>
  <c r="DF87" i="11"/>
  <c r="DG87" i="11"/>
  <c r="DE88" i="11"/>
  <c r="DF88" i="11"/>
  <c r="DG88" i="11"/>
  <c r="DE89" i="11"/>
  <c r="DF89" i="11"/>
  <c r="DG89" i="11"/>
  <c r="DE90" i="11"/>
  <c r="DF90" i="11"/>
  <c r="DG90" i="11"/>
  <c r="DE91" i="11"/>
  <c r="DF91" i="11"/>
  <c r="DG91" i="11"/>
  <c r="DE92" i="11"/>
  <c r="DF92" i="11"/>
  <c r="DG92" i="11"/>
  <c r="DE93" i="11"/>
  <c r="DF93" i="11"/>
  <c r="DG93" i="11"/>
  <c r="DE94" i="11"/>
  <c r="DF94" i="11"/>
  <c r="DG94" i="11"/>
  <c r="DE95" i="11"/>
  <c r="DF95" i="11"/>
  <c r="DG95" i="11"/>
  <c r="DE96" i="11"/>
  <c r="DF96" i="11"/>
  <c r="DG96" i="11"/>
  <c r="DE97" i="11"/>
  <c r="DF97" i="11"/>
  <c r="DG97" i="11"/>
  <c r="DE98" i="11"/>
  <c r="DF98" i="11"/>
  <c r="DG98" i="11"/>
  <c r="DE99" i="11"/>
  <c r="DF99" i="11"/>
  <c r="DG99" i="11"/>
  <c r="DE100" i="11"/>
  <c r="DF100" i="11"/>
  <c r="DG100" i="11"/>
  <c r="DE101" i="11"/>
  <c r="DF101" i="11"/>
  <c r="DG101" i="11"/>
  <c r="DE102" i="11"/>
  <c r="DF102" i="11"/>
  <c r="DG102" i="11"/>
  <c r="DE103" i="11"/>
  <c r="DF103" i="11"/>
  <c r="DG103" i="11"/>
  <c r="DE104" i="11"/>
  <c r="DF104" i="11"/>
  <c r="DG104" i="11"/>
  <c r="DE105" i="11"/>
  <c r="DF105" i="11"/>
  <c r="DG105" i="11"/>
  <c r="DE106" i="11"/>
  <c r="DF106" i="11"/>
  <c r="DG106" i="11"/>
  <c r="DE107" i="11"/>
  <c r="DF107" i="11"/>
  <c r="DG107" i="11"/>
  <c r="DE108" i="11"/>
  <c r="DF108" i="11"/>
  <c r="DG108" i="11"/>
  <c r="DE109" i="11"/>
  <c r="DF109" i="11"/>
  <c r="DG109" i="11"/>
  <c r="DE110" i="11"/>
  <c r="DF110" i="11"/>
  <c r="DG110" i="11"/>
  <c r="DE111" i="11"/>
  <c r="DF111" i="11"/>
  <c r="DG111" i="11"/>
  <c r="DE112" i="11"/>
  <c r="DF112" i="11"/>
  <c r="DG112" i="11"/>
  <c r="DE113" i="11"/>
  <c r="DF113" i="11"/>
  <c r="DG113" i="11"/>
  <c r="DE114" i="11"/>
  <c r="DF114" i="11"/>
  <c r="DG114" i="11"/>
  <c r="DE115" i="11"/>
  <c r="DF115" i="11"/>
  <c r="DG115" i="11"/>
  <c r="DE116" i="11"/>
  <c r="DF116" i="11"/>
  <c r="DG116" i="11"/>
  <c r="DE117" i="11"/>
  <c r="DF117" i="11"/>
  <c r="DG117" i="11"/>
  <c r="DE118" i="11"/>
  <c r="DF118" i="11"/>
  <c r="DG118" i="11"/>
  <c r="DE119" i="11"/>
  <c r="DF119" i="11"/>
  <c r="DG119" i="11"/>
  <c r="DE120" i="11"/>
  <c r="DF120" i="11"/>
  <c r="DG120" i="11"/>
  <c r="DE121" i="11"/>
  <c r="DF121" i="11"/>
  <c r="DG121" i="11"/>
  <c r="DE122" i="11"/>
  <c r="DF122" i="11"/>
  <c r="DG122" i="11"/>
  <c r="DE123" i="11"/>
  <c r="DF123" i="11"/>
  <c r="DG123" i="11"/>
  <c r="DE124" i="11"/>
  <c r="DF124" i="11"/>
  <c r="DG124" i="11"/>
  <c r="DE125" i="11"/>
  <c r="DF125" i="11"/>
  <c r="DG125" i="11"/>
  <c r="DE126" i="11"/>
  <c r="DF126" i="11"/>
  <c r="DG126" i="11"/>
  <c r="DE127" i="11"/>
  <c r="DF127" i="11"/>
  <c r="DG127" i="11"/>
  <c r="DE128" i="11"/>
  <c r="DF128" i="11"/>
  <c r="DG128" i="11"/>
  <c r="DE129" i="11"/>
  <c r="DF129" i="11"/>
  <c r="DG129" i="11"/>
  <c r="DE130" i="11"/>
  <c r="DF130" i="11"/>
  <c r="DG130" i="11"/>
  <c r="DE131" i="11"/>
  <c r="DF131" i="11"/>
  <c r="DG131" i="11"/>
  <c r="DE132" i="11"/>
  <c r="DF132" i="11"/>
  <c r="DG132" i="11"/>
  <c r="DE133" i="11"/>
  <c r="DF133" i="11"/>
  <c r="DG133" i="11"/>
  <c r="DE134" i="11"/>
  <c r="DF134" i="11"/>
  <c r="DG134" i="11"/>
  <c r="DE135" i="11"/>
  <c r="DF135" i="11"/>
  <c r="DG135" i="11"/>
  <c r="DE136" i="11"/>
  <c r="DF136" i="11"/>
  <c r="DG136" i="11"/>
  <c r="DE137" i="11"/>
  <c r="DF137" i="11"/>
  <c r="DG137" i="11"/>
  <c r="DE138" i="11"/>
  <c r="DF138" i="11"/>
  <c r="DG138" i="11"/>
  <c r="DE139" i="11"/>
  <c r="DF139" i="11"/>
  <c r="DG139" i="11"/>
  <c r="DE140" i="11"/>
  <c r="DF140" i="11"/>
  <c r="DG140" i="11"/>
  <c r="DE141" i="11"/>
  <c r="DF141" i="11"/>
  <c r="DG141" i="11"/>
  <c r="DE142" i="11"/>
  <c r="DF142" i="11"/>
  <c r="DG142" i="11"/>
  <c r="DE143" i="11"/>
  <c r="DF143" i="11"/>
  <c r="DG143" i="11"/>
  <c r="DE144" i="11"/>
  <c r="DF144" i="11"/>
  <c r="DG144" i="11"/>
  <c r="DE145" i="11"/>
  <c r="DF145" i="11"/>
  <c r="DG145" i="11"/>
  <c r="DE146" i="11"/>
  <c r="DF146" i="11"/>
  <c r="DG146" i="11"/>
  <c r="DE147" i="11"/>
  <c r="DF147" i="11"/>
  <c r="DG147" i="11"/>
  <c r="DE148" i="11"/>
  <c r="DF148" i="11"/>
  <c r="DG148" i="11"/>
  <c r="DE149" i="11"/>
  <c r="DF149" i="11"/>
  <c r="DG149" i="11"/>
  <c r="DE150" i="11"/>
  <c r="DF150" i="11"/>
  <c r="DG150" i="11"/>
  <c r="DE151" i="11"/>
  <c r="DF151" i="11"/>
  <c r="DG151" i="11"/>
  <c r="DE152" i="11"/>
  <c r="DF152" i="11"/>
  <c r="DG152" i="11"/>
  <c r="DE153" i="11"/>
  <c r="DF153" i="11"/>
  <c r="DG153" i="11"/>
  <c r="DE154" i="11"/>
  <c r="DF154" i="11"/>
  <c r="DG154" i="11"/>
  <c r="DE155" i="11"/>
  <c r="DF155" i="11"/>
  <c r="DG155" i="11"/>
  <c r="DE156" i="11"/>
  <c r="DF156" i="11"/>
  <c r="DG156" i="11"/>
  <c r="DE157" i="11"/>
  <c r="DF157" i="11"/>
  <c r="DG157" i="11"/>
  <c r="DE158" i="11"/>
  <c r="DF158" i="11"/>
  <c r="DG158" i="11"/>
  <c r="DE159" i="11"/>
  <c r="DF159" i="11"/>
  <c r="DG159" i="11"/>
  <c r="DE160" i="11"/>
  <c r="DF160" i="11"/>
  <c r="DG160" i="11"/>
  <c r="DE161" i="11"/>
  <c r="DF161" i="11"/>
  <c r="DG161" i="11"/>
  <c r="DE162" i="11"/>
  <c r="DF162" i="11"/>
  <c r="DG162" i="11"/>
  <c r="DE163" i="11"/>
  <c r="DF163" i="11"/>
  <c r="DG163" i="11"/>
  <c r="DE164" i="11"/>
  <c r="DF164" i="11"/>
  <c r="DG164" i="11"/>
  <c r="DE165" i="11"/>
  <c r="DF165" i="11"/>
  <c r="DG165" i="11"/>
  <c r="DE166" i="11"/>
  <c r="DF166" i="11"/>
  <c r="DG166" i="11"/>
  <c r="DE167" i="11"/>
  <c r="DF167" i="11"/>
  <c r="DG167" i="11"/>
  <c r="DI13" i="11"/>
  <c r="DF13" i="11"/>
  <c r="DG13" i="11"/>
  <c r="DE13" i="11"/>
  <c r="FG74" i="1"/>
  <c r="AF72" i="38" s="1"/>
  <c r="FG73" i="1"/>
  <c r="AF71" i="38" s="1"/>
  <c r="FG72" i="1"/>
  <c r="AF70" i="38" s="1"/>
  <c r="FG71" i="1"/>
  <c r="AF69" i="38" s="1"/>
  <c r="FG70" i="1"/>
  <c r="AF68" i="38" s="1"/>
  <c r="FG69" i="1"/>
  <c r="AF67" i="38" s="1"/>
  <c r="FG68" i="1"/>
  <c r="AF66" i="38" s="1"/>
  <c r="FG67" i="1"/>
  <c r="AF65" i="38" s="1"/>
  <c r="FG66" i="1"/>
  <c r="AF64" i="38" s="1"/>
  <c r="FG65" i="1"/>
  <c r="AF63" i="38" s="1"/>
  <c r="FG64" i="1"/>
  <c r="AF62" i="38" s="1"/>
  <c r="FG63" i="1"/>
  <c r="AF61" i="38" s="1"/>
  <c r="FG62" i="1"/>
  <c r="AF60" i="38" s="1"/>
  <c r="FG61" i="1"/>
  <c r="AF59" i="38" s="1"/>
  <c r="FG60" i="1"/>
  <c r="AF58" i="38" s="1"/>
  <c r="FG59" i="1"/>
  <c r="AF57" i="38" s="1"/>
  <c r="FG58" i="1"/>
  <c r="AF56" i="38" s="1"/>
  <c r="FG57" i="1"/>
  <c r="AF55" i="38" s="1"/>
  <c r="FG56" i="1"/>
  <c r="AF54" i="38" s="1"/>
  <c r="FG55" i="1"/>
  <c r="AF53" i="38" s="1"/>
  <c r="FG54" i="1"/>
  <c r="AF52" i="38" s="1"/>
  <c r="FG53" i="1"/>
  <c r="AF51" i="38" s="1"/>
  <c r="FG52" i="1"/>
  <c r="AF50" i="38" s="1"/>
  <c r="FG51" i="1"/>
  <c r="AF49" i="38" s="1"/>
  <c r="FG50" i="1"/>
  <c r="AF48" i="38" s="1"/>
  <c r="FG49" i="1"/>
  <c r="AF47" i="38" s="1"/>
  <c r="FG48" i="1"/>
  <c r="AF46" i="38" s="1"/>
  <c r="FG47" i="1"/>
  <c r="AF45" i="38" s="1"/>
  <c r="FG46" i="1"/>
  <c r="AF44" i="38" s="1"/>
  <c r="FG45" i="1"/>
  <c r="AF43" i="38" s="1"/>
  <c r="FG44" i="1"/>
  <c r="AF42" i="38" s="1"/>
  <c r="FG43" i="1"/>
  <c r="AF41" i="38" s="1"/>
  <c r="FG42" i="1"/>
  <c r="AF40" i="38" s="1"/>
  <c r="FG41" i="1"/>
  <c r="AF39" i="38" s="1"/>
  <c r="FG40" i="1"/>
  <c r="AF38" i="38" s="1"/>
  <c r="FG39" i="1"/>
  <c r="AF37" i="38" s="1"/>
  <c r="FG38" i="1"/>
  <c r="AF36" i="38" s="1"/>
  <c r="FG37" i="1"/>
  <c r="AF35" i="38" s="1"/>
  <c r="FG36" i="1"/>
  <c r="AF34" i="38" s="1"/>
  <c r="FG35" i="1"/>
  <c r="AF33" i="38" s="1"/>
  <c r="FG34" i="1"/>
  <c r="AF32" i="38" s="1"/>
  <c r="FG33" i="1"/>
  <c r="AF31" i="38" s="1"/>
  <c r="FG32" i="1"/>
  <c r="AF30" i="38" s="1"/>
  <c r="FG31" i="1"/>
  <c r="AF29" i="38" s="1"/>
  <c r="FG30" i="1"/>
  <c r="AF28" i="38" s="1"/>
  <c r="FG29" i="1"/>
  <c r="AF27" i="38" s="1"/>
  <c r="FG28" i="1"/>
  <c r="AF26" i="38" s="1"/>
  <c r="FG27" i="1"/>
  <c r="AF25" i="38" s="1"/>
  <c r="FG26" i="1"/>
  <c r="AF24" i="38" s="1"/>
  <c r="FG25" i="1"/>
  <c r="AF23" i="38" s="1"/>
  <c r="FG24" i="1"/>
  <c r="AF22" i="38" s="1"/>
  <c r="FG23" i="1"/>
  <c r="AF21" i="38" s="1"/>
  <c r="FG22" i="1"/>
  <c r="AF20" i="38" s="1"/>
  <c r="FG21" i="1"/>
  <c r="AF19" i="38" s="1"/>
  <c r="FG20" i="1"/>
  <c r="AF18" i="38" s="1"/>
  <c r="FG19" i="1"/>
  <c r="AF17" i="38" s="1"/>
  <c r="FG18" i="1"/>
  <c r="AF16" i="38" s="1"/>
  <c r="FG17" i="1"/>
  <c r="AF15" i="38" s="1"/>
  <c r="FG16" i="1"/>
  <c r="AF14" i="38" s="1"/>
  <c r="FG15" i="1"/>
  <c r="AF13" i="38" s="1"/>
  <c r="FG14" i="1"/>
  <c r="AF12" i="38" s="1"/>
  <c r="FG13" i="1"/>
  <c r="AF11" i="38" s="1"/>
  <c r="FG12" i="1"/>
  <c r="AF10" i="38" s="1"/>
  <c r="FG11" i="1"/>
  <c r="AF9" i="38" s="1"/>
  <c r="FG10" i="1"/>
  <c r="AF8" i="38" s="1"/>
  <c r="FG9" i="1"/>
  <c r="AF7" i="38" s="1"/>
  <c r="FG8" i="1"/>
  <c r="AF6" i="38" s="1"/>
  <c r="FG7" i="1"/>
  <c r="AF5" i="38" s="1"/>
  <c r="FG6" i="1"/>
  <c r="AF4" i="38" s="1"/>
  <c r="FG5" i="1"/>
  <c r="FD74" i="1"/>
  <c r="AC72" i="38" s="1"/>
  <c r="FC74" i="1"/>
  <c r="AB72" i="38" s="1"/>
  <c r="FD73" i="1"/>
  <c r="AC71" i="38" s="1"/>
  <c r="FC73" i="1"/>
  <c r="AB71" i="38" s="1"/>
  <c r="FD72" i="1"/>
  <c r="AC70" i="38" s="1"/>
  <c r="FC72" i="1"/>
  <c r="AB70" i="38" s="1"/>
  <c r="FD71" i="1"/>
  <c r="AC69" i="38" s="1"/>
  <c r="FC71" i="1"/>
  <c r="AB69" i="38" s="1"/>
  <c r="FD70" i="1"/>
  <c r="AC68" i="38" s="1"/>
  <c r="FC70" i="1"/>
  <c r="AB68" i="38" s="1"/>
  <c r="FD69" i="1"/>
  <c r="AC67" i="38" s="1"/>
  <c r="FC69" i="1"/>
  <c r="AB67" i="38" s="1"/>
  <c r="FD68" i="1"/>
  <c r="AC66" i="38" s="1"/>
  <c r="FC68" i="1"/>
  <c r="AB66" i="38" s="1"/>
  <c r="FD67" i="1"/>
  <c r="AC65" i="38" s="1"/>
  <c r="FC67" i="1"/>
  <c r="AB65" i="38" s="1"/>
  <c r="FD66" i="1"/>
  <c r="AC64" i="38" s="1"/>
  <c r="FC66" i="1"/>
  <c r="AB64" i="38" s="1"/>
  <c r="FD65" i="1"/>
  <c r="AC63" i="38" s="1"/>
  <c r="FC65" i="1"/>
  <c r="AB63" i="38" s="1"/>
  <c r="FD64" i="1"/>
  <c r="AC62" i="38" s="1"/>
  <c r="FC64" i="1"/>
  <c r="AB62" i="38" s="1"/>
  <c r="FD63" i="1"/>
  <c r="AC61" i="38" s="1"/>
  <c r="FC63" i="1"/>
  <c r="AB61" i="38" s="1"/>
  <c r="FD62" i="1"/>
  <c r="AC60" i="38" s="1"/>
  <c r="FC62" i="1"/>
  <c r="AB60" i="38" s="1"/>
  <c r="FD61" i="1"/>
  <c r="AC59" i="38" s="1"/>
  <c r="FC61" i="1"/>
  <c r="AB59" i="38" s="1"/>
  <c r="FD60" i="1"/>
  <c r="AC58" i="38" s="1"/>
  <c r="FC60" i="1"/>
  <c r="AB58" i="38" s="1"/>
  <c r="FD59" i="1"/>
  <c r="AC57" i="38" s="1"/>
  <c r="FC59" i="1"/>
  <c r="AB57" i="38" s="1"/>
  <c r="FD58" i="1"/>
  <c r="AC56" i="38" s="1"/>
  <c r="FC58" i="1"/>
  <c r="AB56" i="38" s="1"/>
  <c r="FD57" i="1"/>
  <c r="AC55" i="38" s="1"/>
  <c r="FC57" i="1"/>
  <c r="AB55" i="38" s="1"/>
  <c r="FD56" i="1"/>
  <c r="AC54" i="38" s="1"/>
  <c r="FC56" i="1"/>
  <c r="AB54" i="38" s="1"/>
  <c r="FD55" i="1"/>
  <c r="AC53" i="38" s="1"/>
  <c r="FC55" i="1"/>
  <c r="AB53" i="38" s="1"/>
  <c r="FD54" i="1"/>
  <c r="AC52" i="38" s="1"/>
  <c r="FC54" i="1"/>
  <c r="AB52" i="38" s="1"/>
  <c r="FD53" i="1"/>
  <c r="AC51" i="38" s="1"/>
  <c r="FC53" i="1"/>
  <c r="AB51" i="38" s="1"/>
  <c r="FD52" i="1"/>
  <c r="AC50" i="38" s="1"/>
  <c r="FC52" i="1"/>
  <c r="AB50" i="38" s="1"/>
  <c r="FD51" i="1"/>
  <c r="AC49" i="38" s="1"/>
  <c r="FC51" i="1"/>
  <c r="AB49" i="38" s="1"/>
  <c r="FD50" i="1"/>
  <c r="AC48" i="38" s="1"/>
  <c r="FC50" i="1"/>
  <c r="AB48" i="38" s="1"/>
  <c r="FD49" i="1"/>
  <c r="AC47" i="38" s="1"/>
  <c r="FC49" i="1"/>
  <c r="AB47" i="38" s="1"/>
  <c r="FD48" i="1"/>
  <c r="AC46" i="38" s="1"/>
  <c r="FC48" i="1"/>
  <c r="AB46" i="38" s="1"/>
  <c r="FD47" i="1"/>
  <c r="AC45" i="38" s="1"/>
  <c r="FC47" i="1"/>
  <c r="AB45" i="38" s="1"/>
  <c r="FD46" i="1"/>
  <c r="AC44" i="38" s="1"/>
  <c r="FC46" i="1"/>
  <c r="AB44" i="38" s="1"/>
  <c r="FD45" i="1"/>
  <c r="AC43" i="38" s="1"/>
  <c r="FC45" i="1"/>
  <c r="AB43" i="38" s="1"/>
  <c r="FD44" i="1"/>
  <c r="AC42" i="38" s="1"/>
  <c r="FC44" i="1"/>
  <c r="AB42" i="38" s="1"/>
  <c r="FD43" i="1"/>
  <c r="AC41" i="38" s="1"/>
  <c r="FC43" i="1"/>
  <c r="AB41" i="38" s="1"/>
  <c r="FD42" i="1"/>
  <c r="AC40" i="38" s="1"/>
  <c r="FC42" i="1"/>
  <c r="AB40" i="38" s="1"/>
  <c r="FD41" i="1"/>
  <c r="AC39" i="38" s="1"/>
  <c r="FC41" i="1"/>
  <c r="AB39" i="38" s="1"/>
  <c r="FD40" i="1"/>
  <c r="AC38" i="38" s="1"/>
  <c r="FC40" i="1"/>
  <c r="AB38" i="38" s="1"/>
  <c r="FD39" i="1"/>
  <c r="AC37" i="38" s="1"/>
  <c r="FC39" i="1"/>
  <c r="AB37" i="38" s="1"/>
  <c r="FD38" i="1"/>
  <c r="AC36" i="38" s="1"/>
  <c r="FC38" i="1"/>
  <c r="AB36" i="38" s="1"/>
  <c r="FD37" i="1"/>
  <c r="AC35" i="38" s="1"/>
  <c r="FC37" i="1"/>
  <c r="AB35" i="38" s="1"/>
  <c r="FD36" i="1"/>
  <c r="AC34" i="38" s="1"/>
  <c r="FC36" i="1"/>
  <c r="AB34" i="38" s="1"/>
  <c r="FD35" i="1"/>
  <c r="AC33" i="38" s="1"/>
  <c r="FC35" i="1"/>
  <c r="AB33" i="38" s="1"/>
  <c r="FD34" i="1"/>
  <c r="AC32" i="38" s="1"/>
  <c r="FC34" i="1"/>
  <c r="AB32" i="38" s="1"/>
  <c r="FD33" i="1"/>
  <c r="AC31" i="38" s="1"/>
  <c r="FC33" i="1"/>
  <c r="AB31" i="38" s="1"/>
  <c r="FD32" i="1"/>
  <c r="AC30" i="38" s="1"/>
  <c r="FC32" i="1"/>
  <c r="AB30" i="38" s="1"/>
  <c r="FD31" i="1"/>
  <c r="AC29" i="38" s="1"/>
  <c r="FC31" i="1"/>
  <c r="AB29" i="38" s="1"/>
  <c r="FD30" i="1"/>
  <c r="AC28" i="38" s="1"/>
  <c r="FC30" i="1"/>
  <c r="AB28" i="38" s="1"/>
  <c r="FD29" i="1"/>
  <c r="AC27" i="38" s="1"/>
  <c r="FC29" i="1"/>
  <c r="AB27" i="38" s="1"/>
  <c r="FD28" i="1"/>
  <c r="AC26" i="38" s="1"/>
  <c r="FC28" i="1"/>
  <c r="AB26" i="38" s="1"/>
  <c r="FD27" i="1"/>
  <c r="AC25" i="38" s="1"/>
  <c r="FC27" i="1"/>
  <c r="AB25" i="38" s="1"/>
  <c r="FD26" i="1"/>
  <c r="AC24" i="38" s="1"/>
  <c r="FC26" i="1"/>
  <c r="AB24" i="38" s="1"/>
  <c r="FD25" i="1"/>
  <c r="AC23" i="38" s="1"/>
  <c r="FC25" i="1"/>
  <c r="AB23" i="38" s="1"/>
  <c r="FD24" i="1"/>
  <c r="AC22" i="38" s="1"/>
  <c r="FC24" i="1"/>
  <c r="AB22" i="38" s="1"/>
  <c r="FD23" i="1"/>
  <c r="AC21" i="38" s="1"/>
  <c r="FC23" i="1"/>
  <c r="AB21" i="38" s="1"/>
  <c r="FD22" i="1"/>
  <c r="AC20" i="38" s="1"/>
  <c r="FC22" i="1"/>
  <c r="AB20" i="38" s="1"/>
  <c r="FD21" i="1"/>
  <c r="AC19" i="38" s="1"/>
  <c r="FC21" i="1"/>
  <c r="AB19" i="38" s="1"/>
  <c r="FD20" i="1"/>
  <c r="AC18" i="38" s="1"/>
  <c r="FC20" i="1"/>
  <c r="AB18" i="38" s="1"/>
  <c r="FD19" i="1"/>
  <c r="AC17" i="38" s="1"/>
  <c r="FC19" i="1"/>
  <c r="AB17" i="38" s="1"/>
  <c r="FD18" i="1"/>
  <c r="AC16" i="38" s="1"/>
  <c r="FC18" i="1"/>
  <c r="AB16" i="38" s="1"/>
  <c r="FD17" i="1"/>
  <c r="AC15" i="38" s="1"/>
  <c r="FC17" i="1"/>
  <c r="AB15" i="38" s="1"/>
  <c r="FD16" i="1"/>
  <c r="AC14" i="38" s="1"/>
  <c r="FC16" i="1"/>
  <c r="AB14" i="38" s="1"/>
  <c r="FD15" i="1"/>
  <c r="AC13" i="38" s="1"/>
  <c r="FC15" i="1"/>
  <c r="AB13" i="38" s="1"/>
  <c r="FD14" i="1"/>
  <c r="AC12" i="38" s="1"/>
  <c r="FC14" i="1"/>
  <c r="AB12" i="38" s="1"/>
  <c r="FD13" i="1"/>
  <c r="AC11" i="38" s="1"/>
  <c r="FC13" i="1"/>
  <c r="AB11" i="38" s="1"/>
  <c r="FD12" i="1"/>
  <c r="AC10" i="38" s="1"/>
  <c r="FC12" i="1"/>
  <c r="AB10" i="38" s="1"/>
  <c r="FD11" i="1"/>
  <c r="AC9" i="38" s="1"/>
  <c r="FC11" i="1"/>
  <c r="AB9" i="38" s="1"/>
  <c r="FD10" i="1"/>
  <c r="AC8" i="38" s="1"/>
  <c r="FC10" i="1"/>
  <c r="AB8" i="38" s="1"/>
  <c r="FD9" i="1"/>
  <c r="AC7" i="38" s="1"/>
  <c r="FC9" i="1"/>
  <c r="AB7" i="38" s="1"/>
  <c r="FD8" i="1"/>
  <c r="AC6" i="38" s="1"/>
  <c r="FC8" i="1"/>
  <c r="AB6" i="38" s="1"/>
  <c r="FD7" i="1"/>
  <c r="AC5" i="38" s="1"/>
  <c r="FC7" i="1"/>
  <c r="AB5" i="38" s="1"/>
  <c r="FD6" i="1"/>
  <c r="AC4" i="38" s="1"/>
  <c r="FC6" i="1"/>
  <c r="AB4" i="38" s="1"/>
  <c r="FD5" i="1"/>
  <c r="FC5" i="1"/>
  <c r="FG76" i="1"/>
  <c r="AF74" i="38" s="1"/>
  <c r="FG77" i="1"/>
  <c r="AF75" i="38" s="1"/>
  <c r="FG78" i="1"/>
  <c r="AF76" i="38" s="1"/>
  <c r="FG79" i="1"/>
  <c r="AF77" i="38" s="1"/>
  <c r="FG80" i="1"/>
  <c r="AF78" i="38" s="1"/>
  <c r="FG81" i="1"/>
  <c r="AF79" i="38" s="1"/>
  <c r="FG82" i="1"/>
  <c r="AF80" i="38" s="1"/>
  <c r="FG83" i="1"/>
  <c r="AF81" i="38" s="1"/>
  <c r="FG84" i="1"/>
  <c r="AF82" i="38" s="1"/>
  <c r="FG85" i="1"/>
  <c r="AF83" i="38" s="1"/>
  <c r="FG86" i="1"/>
  <c r="AF84" i="38" s="1"/>
  <c r="FG87" i="1"/>
  <c r="AF85" i="38" s="1"/>
  <c r="FG88" i="1"/>
  <c r="AF86" i="38" s="1"/>
  <c r="FG89" i="1"/>
  <c r="AF87" i="38" s="1"/>
  <c r="FG90" i="1"/>
  <c r="AF88" i="38" s="1"/>
  <c r="FG91" i="1"/>
  <c r="AF89" i="38" s="1"/>
  <c r="FG92" i="1"/>
  <c r="AF90" i="38" s="1"/>
  <c r="FG93" i="1"/>
  <c r="AF91" i="38" s="1"/>
  <c r="FG94" i="1"/>
  <c r="AF92" i="38" s="1"/>
  <c r="FG95" i="1"/>
  <c r="AF93" i="38" s="1"/>
  <c r="FG96" i="1"/>
  <c r="AF94" i="38" s="1"/>
  <c r="FG97" i="1"/>
  <c r="AF95" i="38" s="1"/>
  <c r="FG98" i="1"/>
  <c r="AF96" i="38" s="1"/>
  <c r="FG99" i="1"/>
  <c r="AF97" i="38" s="1"/>
  <c r="FG100" i="1"/>
  <c r="AF98" i="38" s="1"/>
  <c r="FG101" i="1"/>
  <c r="AF99" i="38" s="1"/>
  <c r="FG102" i="1"/>
  <c r="AF100" i="38" s="1"/>
  <c r="FG103" i="1"/>
  <c r="AF101" i="38" s="1"/>
  <c r="FG104" i="1"/>
  <c r="AF102" i="38" s="1"/>
  <c r="FG105" i="1"/>
  <c r="AF103" i="38" s="1"/>
  <c r="FG106" i="1"/>
  <c r="AF104" i="38" s="1"/>
  <c r="FG107" i="1"/>
  <c r="AF105" i="38" s="1"/>
  <c r="FG108" i="1"/>
  <c r="AF106" i="38" s="1"/>
  <c r="FG109" i="1"/>
  <c r="AF107" i="38" s="1"/>
  <c r="FG110" i="1"/>
  <c r="AF108" i="38" s="1"/>
  <c r="FG111" i="1"/>
  <c r="AF109" i="38" s="1"/>
  <c r="FG112" i="1"/>
  <c r="AF110" i="38" s="1"/>
  <c r="FG113" i="1"/>
  <c r="AF111" i="38" s="1"/>
  <c r="FG114" i="1"/>
  <c r="AF112" i="38" s="1"/>
  <c r="FG115" i="1"/>
  <c r="AF113" i="38" s="1"/>
  <c r="FG116" i="1"/>
  <c r="AF114" i="38" s="1"/>
  <c r="FG117" i="1"/>
  <c r="AF115" i="38" s="1"/>
  <c r="FG118" i="1"/>
  <c r="AF116" i="38" s="1"/>
  <c r="FG119" i="1"/>
  <c r="AF117" i="38" s="1"/>
  <c r="FG120" i="1"/>
  <c r="AF118" i="38" s="1"/>
  <c r="FG121" i="1"/>
  <c r="AF119" i="38" s="1"/>
  <c r="FG122" i="1"/>
  <c r="AF120" i="38" s="1"/>
  <c r="FG123" i="1"/>
  <c r="AF121" i="38" s="1"/>
  <c r="FG124" i="1"/>
  <c r="AF122" i="38" s="1"/>
  <c r="FG125" i="1"/>
  <c r="AF123" i="38" s="1"/>
  <c r="FG126" i="1"/>
  <c r="AF124" i="38" s="1"/>
  <c r="FG127" i="1"/>
  <c r="AF125" i="38" s="1"/>
  <c r="FG128" i="1"/>
  <c r="AF126" i="38" s="1"/>
  <c r="FG129" i="1"/>
  <c r="AF127" i="38" s="1"/>
  <c r="FG130" i="1"/>
  <c r="AF128" i="38" s="1"/>
  <c r="FG131" i="1"/>
  <c r="AF129" i="38" s="1"/>
  <c r="FG132" i="1"/>
  <c r="AF130" i="38" s="1"/>
  <c r="FG133" i="1"/>
  <c r="AF131" i="38" s="1"/>
  <c r="FG134" i="1"/>
  <c r="AF132" i="38" s="1"/>
  <c r="FG135" i="1"/>
  <c r="AF133" i="38" s="1"/>
  <c r="FG136" i="1"/>
  <c r="AF134" i="38" s="1"/>
  <c r="FG137" i="1"/>
  <c r="AF135" i="38" s="1"/>
  <c r="FG138" i="1"/>
  <c r="AF136" i="38" s="1"/>
  <c r="FG139" i="1"/>
  <c r="AF137" i="38" s="1"/>
  <c r="FG140" i="1"/>
  <c r="AF138" i="38" s="1"/>
  <c r="FG141" i="1"/>
  <c r="AF139" i="38" s="1"/>
  <c r="FG142" i="1"/>
  <c r="AF140" i="38" s="1"/>
  <c r="FG143" i="1"/>
  <c r="AF141" i="38" s="1"/>
  <c r="FG144" i="1"/>
  <c r="AF142" i="38" s="1"/>
  <c r="FG145" i="1"/>
  <c r="AF143" i="38" s="1"/>
  <c r="FG146" i="1"/>
  <c r="AF144" i="38" s="1"/>
  <c r="FG147" i="1"/>
  <c r="AF145" i="38" s="1"/>
  <c r="FG148" i="1"/>
  <c r="AF146" i="38" s="1"/>
  <c r="FG149" i="1"/>
  <c r="AF147" i="38" s="1"/>
  <c r="FG150" i="1"/>
  <c r="AF148" i="38" s="1"/>
  <c r="FG151" i="1"/>
  <c r="AF149" i="38" s="1"/>
  <c r="FG152" i="1"/>
  <c r="AF150" i="38" s="1"/>
  <c r="FG153" i="1"/>
  <c r="AF151" i="38" s="1"/>
  <c r="FG254" i="1"/>
  <c r="AF252" i="38" s="1"/>
  <c r="FC76" i="1"/>
  <c r="AB74" i="38" s="1"/>
  <c r="FD76" i="1"/>
  <c r="AC74" i="38" s="1"/>
  <c r="FC77" i="1"/>
  <c r="AB75" i="38" s="1"/>
  <c r="FD77" i="1"/>
  <c r="AC75" i="38" s="1"/>
  <c r="FC78" i="1"/>
  <c r="AB76" i="38" s="1"/>
  <c r="FD78" i="1"/>
  <c r="AC76" i="38" s="1"/>
  <c r="FC79" i="1"/>
  <c r="AB77" i="38" s="1"/>
  <c r="FD79" i="1"/>
  <c r="AC77" i="38" s="1"/>
  <c r="FC80" i="1"/>
  <c r="AB78" i="38" s="1"/>
  <c r="FD80" i="1"/>
  <c r="AC78" i="38" s="1"/>
  <c r="FC81" i="1"/>
  <c r="AB79" i="38" s="1"/>
  <c r="FD81" i="1"/>
  <c r="AC79" i="38" s="1"/>
  <c r="FC82" i="1"/>
  <c r="AB80" i="38" s="1"/>
  <c r="FD82" i="1"/>
  <c r="AC80" i="38" s="1"/>
  <c r="FC83" i="1"/>
  <c r="AB81" i="38" s="1"/>
  <c r="FD83" i="1"/>
  <c r="AC81" i="38" s="1"/>
  <c r="FC84" i="1"/>
  <c r="AB82" i="38" s="1"/>
  <c r="FD84" i="1"/>
  <c r="AC82" i="38" s="1"/>
  <c r="FC85" i="1"/>
  <c r="AB83" i="38" s="1"/>
  <c r="FD85" i="1"/>
  <c r="AC83" i="38" s="1"/>
  <c r="FC86" i="1"/>
  <c r="AB84" i="38" s="1"/>
  <c r="FD86" i="1"/>
  <c r="AC84" i="38" s="1"/>
  <c r="FC87" i="1"/>
  <c r="AB85" i="38" s="1"/>
  <c r="FD87" i="1"/>
  <c r="AC85" i="38" s="1"/>
  <c r="FC88" i="1"/>
  <c r="AB86" i="38" s="1"/>
  <c r="FD88" i="1"/>
  <c r="AC86" i="38" s="1"/>
  <c r="FC89" i="1"/>
  <c r="AB87" i="38" s="1"/>
  <c r="FD89" i="1"/>
  <c r="AC87" i="38" s="1"/>
  <c r="FC90" i="1"/>
  <c r="AB88" i="38" s="1"/>
  <c r="FD90" i="1"/>
  <c r="AC88" i="38" s="1"/>
  <c r="FC91" i="1"/>
  <c r="AB89" i="38" s="1"/>
  <c r="FD91" i="1"/>
  <c r="AC89" i="38" s="1"/>
  <c r="FC92" i="1"/>
  <c r="AB90" i="38" s="1"/>
  <c r="FD92" i="1"/>
  <c r="AC90" i="38" s="1"/>
  <c r="FC93" i="1"/>
  <c r="AB91" i="38" s="1"/>
  <c r="FD93" i="1"/>
  <c r="AC91" i="38" s="1"/>
  <c r="FC94" i="1"/>
  <c r="AB92" i="38" s="1"/>
  <c r="FD94" i="1"/>
  <c r="AC92" i="38" s="1"/>
  <c r="FC95" i="1"/>
  <c r="AB93" i="38" s="1"/>
  <c r="FD95" i="1"/>
  <c r="AC93" i="38" s="1"/>
  <c r="FC96" i="1"/>
  <c r="AB94" i="38" s="1"/>
  <c r="FD96" i="1"/>
  <c r="AC94" i="38" s="1"/>
  <c r="FC97" i="1"/>
  <c r="AB95" i="38" s="1"/>
  <c r="FD97" i="1"/>
  <c r="AC95" i="38" s="1"/>
  <c r="FC98" i="1"/>
  <c r="AB96" i="38" s="1"/>
  <c r="FD98" i="1"/>
  <c r="AC96" i="38" s="1"/>
  <c r="FC99" i="1"/>
  <c r="AB97" i="38" s="1"/>
  <c r="FD99" i="1"/>
  <c r="AC97" i="38" s="1"/>
  <c r="FC100" i="1"/>
  <c r="AB98" i="38" s="1"/>
  <c r="FD100" i="1"/>
  <c r="AC98" i="38" s="1"/>
  <c r="FC101" i="1"/>
  <c r="AB99" i="38" s="1"/>
  <c r="FD101" i="1"/>
  <c r="AC99" i="38" s="1"/>
  <c r="FC102" i="1"/>
  <c r="AB100" i="38" s="1"/>
  <c r="FD102" i="1"/>
  <c r="AC100" i="38" s="1"/>
  <c r="FC103" i="1"/>
  <c r="AB101" i="38" s="1"/>
  <c r="FD103" i="1"/>
  <c r="AC101" i="38" s="1"/>
  <c r="FC104" i="1"/>
  <c r="AB102" i="38" s="1"/>
  <c r="FD104" i="1"/>
  <c r="AC102" i="38" s="1"/>
  <c r="FC105" i="1"/>
  <c r="AB103" i="38" s="1"/>
  <c r="FD105" i="1"/>
  <c r="AC103" i="38" s="1"/>
  <c r="FC106" i="1"/>
  <c r="AB104" i="38" s="1"/>
  <c r="FD106" i="1"/>
  <c r="AC104" i="38" s="1"/>
  <c r="FC107" i="1"/>
  <c r="AB105" i="38" s="1"/>
  <c r="FD107" i="1"/>
  <c r="AC105" i="38" s="1"/>
  <c r="FC108" i="1"/>
  <c r="AB106" i="38" s="1"/>
  <c r="FD108" i="1"/>
  <c r="AC106" i="38" s="1"/>
  <c r="FC109" i="1"/>
  <c r="AB107" i="38" s="1"/>
  <c r="FD109" i="1"/>
  <c r="AC107" i="38" s="1"/>
  <c r="FC110" i="1"/>
  <c r="AB108" i="38" s="1"/>
  <c r="FD110" i="1"/>
  <c r="AC108" i="38" s="1"/>
  <c r="FC111" i="1"/>
  <c r="AB109" i="38" s="1"/>
  <c r="FD111" i="1"/>
  <c r="AC109" i="38" s="1"/>
  <c r="FC112" i="1"/>
  <c r="AB110" i="38" s="1"/>
  <c r="FD112" i="1"/>
  <c r="AC110" i="38" s="1"/>
  <c r="FC113" i="1"/>
  <c r="AB111" i="38" s="1"/>
  <c r="FD113" i="1"/>
  <c r="AC111" i="38" s="1"/>
  <c r="FC114" i="1"/>
  <c r="AB112" i="38" s="1"/>
  <c r="FD114" i="1"/>
  <c r="AC112" i="38" s="1"/>
  <c r="FC115" i="1"/>
  <c r="AB113" i="38" s="1"/>
  <c r="FD115" i="1"/>
  <c r="AC113" i="38" s="1"/>
  <c r="FC116" i="1"/>
  <c r="AB114" i="38" s="1"/>
  <c r="FD116" i="1"/>
  <c r="AC114" i="38" s="1"/>
  <c r="FC117" i="1"/>
  <c r="AB115" i="38" s="1"/>
  <c r="FD117" i="1"/>
  <c r="AC115" i="38" s="1"/>
  <c r="FC118" i="1"/>
  <c r="AB116" i="38" s="1"/>
  <c r="FD118" i="1"/>
  <c r="AC116" i="38" s="1"/>
  <c r="FC119" i="1"/>
  <c r="AB117" i="38" s="1"/>
  <c r="FD119" i="1"/>
  <c r="AC117" i="38" s="1"/>
  <c r="FC120" i="1"/>
  <c r="AB118" i="38" s="1"/>
  <c r="FD120" i="1"/>
  <c r="AC118" i="38" s="1"/>
  <c r="FC121" i="1"/>
  <c r="AB119" i="38" s="1"/>
  <c r="FD121" i="1"/>
  <c r="AC119" i="38" s="1"/>
  <c r="FC122" i="1"/>
  <c r="AB120" i="38" s="1"/>
  <c r="FD122" i="1"/>
  <c r="AC120" i="38" s="1"/>
  <c r="FC123" i="1"/>
  <c r="AB121" i="38" s="1"/>
  <c r="FD123" i="1"/>
  <c r="AC121" i="38" s="1"/>
  <c r="FC124" i="1"/>
  <c r="AB122" i="38" s="1"/>
  <c r="FD124" i="1"/>
  <c r="AC122" i="38" s="1"/>
  <c r="FC125" i="1"/>
  <c r="AB123" i="38" s="1"/>
  <c r="FD125" i="1"/>
  <c r="AC123" i="38" s="1"/>
  <c r="FC126" i="1"/>
  <c r="AB124" i="38" s="1"/>
  <c r="FD126" i="1"/>
  <c r="AC124" i="38" s="1"/>
  <c r="FC127" i="1"/>
  <c r="AB125" i="38" s="1"/>
  <c r="FD127" i="1"/>
  <c r="AC125" i="38" s="1"/>
  <c r="FC128" i="1"/>
  <c r="AB126" i="38" s="1"/>
  <c r="FD128" i="1"/>
  <c r="AC126" i="38" s="1"/>
  <c r="FC129" i="1"/>
  <c r="AB127" i="38" s="1"/>
  <c r="FD129" i="1"/>
  <c r="AC127" i="38" s="1"/>
  <c r="FC130" i="1"/>
  <c r="AB128" i="38" s="1"/>
  <c r="FD130" i="1"/>
  <c r="AC128" i="38" s="1"/>
  <c r="FC131" i="1"/>
  <c r="AB129" i="38" s="1"/>
  <c r="FD131" i="1"/>
  <c r="AC129" i="38" s="1"/>
  <c r="FC132" i="1"/>
  <c r="AB130" i="38" s="1"/>
  <c r="FD132" i="1"/>
  <c r="AC130" i="38" s="1"/>
  <c r="FC133" i="1"/>
  <c r="AB131" i="38" s="1"/>
  <c r="FD133" i="1"/>
  <c r="AC131" i="38" s="1"/>
  <c r="FC134" i="1"/>
  <c r="AB132" i="38" s="1"/>
  <c r="FD134" i="1"/>
  <c r="AC132" i="38" s="1"/>
  <c r="FC135" i="1"/>
  <c r="AB133" i="38" s="1"/>
  <c r="FD135" i="1"/>
  <c r="AC133" i="38" s="1"/>
  <c r="FC136" i="1"/>
  <c r="AB134" i="38" s="1"/>
  <c r="FD136" i="1"/>
  <c r="AC134" i="38" s="1"/>
  <c r="FC137" i="1"/>
  <c r="AB135" i="38" s="1"/>
  <c r="FD137" i="1"/>
  <c r="AC135" i="38" s="1"/>
  <c r="FC138" i="1"/>
  <c r="AB136" i="38" s="1"/>
  <c r="FD138" i="1"/>
  <c r="AC136" i="38" s="1"/>
  <c r="FC139" i="1"/>
  <c r="AB137" i="38" s="1"/>
  <c r="FD139" i="1"/>
  <c r="AC137" i="38" s="1"/>
  <c r="FC140" i="1"/>
  <c r="AB138" i="38" s="1"/>
  <c r="FD140" i="1"/>
  <c r="AC138" i="38" s="1"/>
  <c r="FC141" i="1"/>
  <c r="AB139" i="38" s="1"/>
  <c r="FD141" i="1"/>
  <c r="AC139" i="38" s="1"/>
  <c r="FC142" i="1"/>
  <c r="AB140" i="38" s="1"/>
  <c r="FD142" i="1"/>
  <c r="AC140" i="38" s="1"/>
  <c r="FC143" i="1"/>
  <c r="AB141" i="38" s="1"/>
  <c r="FD143" i="1"/>
  <c r="AC141" i="38" s="1"/>
  <c r="FC144" i="1"/>
  <c r="AB142" i="38" s="1"/>
  <c r="FD144" i="1"/>
  <c r="AC142" i="38" s="1"/>
  <c r="FC145" i="1"/>
  <c r="AB143" i="38" s="1"/>
  <c r="FD145" i="1"/>
  <c r="AC143" i="38" s="1"/>
  <c r="FC146" i="1"/>
  <c r="AB144" i="38" s="1"/>
  <c r="FD146" i="1"/>
  <c r="AC144" i="38" s="1"/>
  <c r="FC147" i="1"/>
  <c r="AB145" i="38" s="1"/>
  <c r="FD147" i="1"/>
  <c r="AC145" i="38" s="1"/>
  <c r="FC148" i="1"/>
  <c r="AB146" i="38" s="1"/>
  <c r="FD148" i="1"/>
  <c r="AC146" i="38" s="1"/>
  <c r="FC149" i="1"/>
  <c r="AB147" i="38" s="1"/>
  <c r="FD149" i="1"/>
  <c r="AC147" i="38" s="1"/>
  <c r="FC150" i="1"/>
  <c r="AB148" i="38" s="1"/>
  <c r="FD150" i="1"/>
  <c r="AC148" i="38" s="1"/>
  <c r="FC151" i="1"/>
  <c r="AB149" i="38" s="1"/>
  <c r="FD151" i="1"/>
  <c r="AC149" i="38" s="1"/>
  <c r="FC152" i="1"/>
  <c r="AB150" i="38" s="1"/>
  <c r="FD152" i="1"/>
  <c r="AC150" i="38" s="1"/>
  <c r="FC153" i="1"/>
  <c r="AB151" i="38" s="1"/>
  <c r="FD153" i="1"/>
  <c r="AC151" i="38" s="1"/>
  <c r="FC254" i="1"/>
  <c r="AB252" i="38" s="1"/>
  <c r="FD254" i="1"/>
  <c r="AC252" i="38" s="1"/>
  <c r="FG75" i="1"/>
  <c r="AF73" i="38" s="1"/>
  <c r="FD75" i="1"/>
  <c r="AC73" i="38" s="1"/>
  <c r="FC75" i="1"/>
  <c r="AB73" i="38" s="1"/>
  <c r="I12" i="42" l="1"/>
  <c r="M12" i="42"/>
  <c r="K12" i="42"/>
  <c r="L12" i="42"/>
  <c r="J12" i="42"/>
  <c r="M90" i="39"/>
  <c r="AA416" i="38"/>
  <c r="AA253" i="38"/>
  <c r="AA3" i="38"/>
  <c r="BV58" i="5"/>
  <c r="BU58" i="5"/>
  <c r="BT58" i="5"/>
  <c r="BS58" i="5"/>
  <c r="BR58" i="5"/>
  <c r="BQ58" i="5"/>
  <c r="BP58" i="5"/>
  <c r="BO58" i="5"/>
  <c r="BN58" i="5"/>
  <c r="BM58" i="5"/>
  <c r="BL58" i="5"/>
  <c r="BK58" i="5"/>
  <c r="BJ58" i="5"/>
  <c r="BI58" i="5"/>
  <c r="BH58" i="5"/>
  <c r="BG58" i="5"/>
  <c r="BF58" i="5"/>
  <c r="BE58" i="5"/>
  <c r="BD58" i="5"/>
  <c r="BC58" i="5"/>
  <c r="BB58" i="5"/>
  <c r="BA58" i="5"/>
  <c r="AZ58" i="5"/>
  <c r="AY58" i="5"/>
  <c r="AX58" i="5"/>
  <c r="AW58" i="5"/>
  <c r="AV58" i="5"/>
  <c r="AU58" i="5"/>
  <c r="AT58" i="5"/>
  <c r="AS58" i="5"/>
  <c r="AR58" i="5"/>
  <c r="AQ58" i="5"/>
  <c r="AP58" i="5"/>
  <c r="AO58" i="5"/>
  <c r="AN58" i="5"/>
  <c r="AM58" i="5"/>
  <c r="AL58" i="5"/>
  <c r="AK58" i="5"/>
  <c r="AJ58" i="5"/>
  <c r="AI58" i="5"/>
  <c r="AH58" i="5"/>
  <c r="AG58" i="5"/>
  <c r="AF58" i="5"/>
  <c r="AE58" i="5"/>
  <c r="AD58" i="5"/>
  <c r="AC58" i="5"/>
  <c r="AB58" i="5"/>
  <c r="AA58" i="5"/>
  <c r="Z58" i="5"/>
  <c r="Y58" i="5"/>
  <c r="X58" i="5"/>
  <c r="W58" i="5"/>
  <c r="V58" i="5"/>
  <c r="U58" i="5"/>
  <c r="T58" i="5"/>
  <c r="S58" i="5"/>
  <c r="R58" i="5"/>
  <c r="Q58" i="5"/>
  <c r="P58" i="5"/>
  <c r="O58" i="5"/>
  <c r="N58" i="5"/>
  <c r="M58" i="5"/>
  <c r="L58" i="5"/>
  <c r="K58" i="5"/>
  <c r="J58" i="5"/>
  <c r="I58" i="5"/>
  <c r="H58" i="5"/>
  <c r="G58" i="5"/>
  <c r="F58" i="5"/>
  <c r="E58" i="5"/>
  <c r="D58" i="5"/>
  <c r="BV57" i="5"/>
  <c r="BU57" i="5"/>
  <c r="BT57" i="5"/>
  <c r="BS57" i="5"/>
  <c r="BR57" i="5"/>
  <c r="BQ57" i="5"/>
  <c r="BP57" i="5"/>
  <c r="BO57" i="5"/>
  <c r="BN57" i="5"/>
  <c r="BM57" i="5"/>
  <c r="BL57" i="5"/>
  <c r="BK57" i="5"/>
  <c r="BJ57" i="5"/>
  <c r="BI57" i="5"/>
  <c r="BH57" i="5"/>
  <c r="BG57" i="5"/>
  <c r="BF57" i="5"/>
  <c r="BE57" i="5"/>
  <c r="BD57" i="5"/>
  <c r="BC57" i="5"/>
  <c r="BB57" i="5"/>
  <c r="BA57" i="5"/>
  <c r="AZ57" i="5"/>
  <c r="AY57" i="5"/>
  <c r="AX57" i="5"/>
  <c r="AW57" i="5"/>
  <c r="AV57" i="5"/>
  <c r="AU57" i="5"/>
  <c r="AT57" i="5"/>
  <c r="AS57" i="5"/>
  <c r="AR57" i="5"/>
  <c r="AQ57" i="5"/>
  <c r="AP57" i="5"/>
  <c r="AO57" i="5"/>
  <c r="AN57" i="5"/>
  <c r="AM57" i="5"/>
  <c r="AL57" i="5"/>
  <c r="AK57" i="5"/>
  <c r="AJ57" i="5"/>
  <c r="AI57" i="5"/>
  <c r="AH57" i="5"/>
  <c r="AG57" i="5"/>
  <c r="AF57" i="5"/>
  <c r="AE57" i="5"/>
  <c r="AD57" i="5"/>
  <c r="AC57" i="5"/>
  <c r="AB57" i="5"/>
  <c r="AA57" i="5"/>
  <c r="Z57" i="5"/>
  <c r="Y57" i="5"/>
  <c r="X57" i="5"/>
  <c r="W57" i="5"/>
  <c r="V57" i="5"/>
  <c r="U57" i="5"/>
  <c r="T57" i="5"/>
  <c r="S57" i="5"/>
  <c r="R57" i="5"/>
  <c r="Q57" i="5"/>
  <c r="P57" i="5"/>
  <c r="O57" i="5"/>
  <c r="N57" i="5"/>
  <c r="M57" i="5"/>
  <c r="L57" i="5"/>
  <c r="K57" i="5"/>
  <c r="J57" i="5"/>
  <c r="I57" i="5"/>
  <c r="H57" i="5"/>
  <c r="G57" i="5"/>
  <c r="F57" i="5"/>
  <c r="E57" i="5"/>
  <c r="D57" i="5"/>
  <c r="BV56" i="5"/>
  <c r="BU56" i="5"/>
  <c r="BT56" i="5"/>
  <c r="BS56" i="5"/>
  <c r="BR56" i="5"/>
  <c r="BQ56" i="5"/>
  <c r="BP56" i="5"/>
  <c r="BO56" i="5"/>
  <c r="BN56" i="5"/>
  <c r="BM56" i="5"/>
  <c r="BL56" i="5"/>
  <c r="BK56" i="5"/>
  <c r="BJ56" i="5"/>
  <c r="BI56" i="5"/>
  <c r="BH56" i="5"/>
  <c r="BG56" i="5"/>
  <c r="BF56" i="5"/>
  <c r="BE56" i="5"/>
  <c r="BD56" i="5"/>
  <c r="BC56" i="5"/>
  <c r="BB56" i="5"/>
  <c r="BA56" i="5"/>
  <c r="AZ56" i="5"/>
  <c r="AY56" i="5"/>
  <c r="AX56" i="5"/>
  <c r="AW56" i="5"/>
  <c r="AV56" i="5"/>
  <c r="AU56" i="5"/>
  <c r="AT56" i="5"/>
  <c r="AS56" i="5"/>
  <c r="AR56" i="5"/>
  <c r="AQ56" i="5"/>
  <c r="AP56" i="5"/>
  <c r="AO56" i="5"/>
  <c r="AN56" i="5"/>
  <c r="AM56" i="5"/>
  <c r="AL56" i="5"/>
  <c r="AK56" i="5"/>
  <c r="AJ56" i="5"/>
  <c r="AI56" i="5"/>
  <c r="AH56" i="5"/>
  <c r="AG56" i="5"/>
  <c r="AF56" i="5"/>
  <c r="AE56" i="5"/>
  <c r="AD56" i="5"/>
  <c r="AC56" i="5"/>
  <c r="AB56" i="5"/>
  <c r="AA56" i="5"/>
  <c r="Z56" i="5"/>
  <c r="Y56" i="5"/>
  <c r="X56" i="5"/>
  <c r="W56" i="5"/>
  <c r="V56" i="5"/>
  <c r="U56" i="5"/>
  <c r="T56" i="5"/>
  <c r="S56" i="5"/>
  <c r="R56" i="5"/>
  <c r="Q56" i="5"/>
  <c r="P56" i="5"/>
  <c r="O56" i="5"/>
  <c r="N56" i="5"/>
  <c r="M56" i="5"/>
  <c r="L56" i="5"/>
  <c r="K56" i="5"/>
  <c r="J56" i="5"/>
  <c r="I56" i="5"/>
  <c r="H56" i="5"/>
  <c r="G56" i="5"/>
  <c r="F56" i="5"/>
  <c r="E56" i="5"/>
  <c r="D56" i="5"/>
  <c r="BV55" i="5"/>
  <c r="BU55" i="5"/>
  <c r="BT55" i="5"/>
  <c r="BS55" i="5"/>
  <c r="BR55" i="5"/>
  <c r="BQ55" i="5"/>
  <c r="BP55" i="5"/>
  <c r="BO55" i="5"/>
  <c r="BN55" i="5"/>
  <c r="BM55" i="5"/>
  <c r="BL55" i="5"/>
  <c r="BK55" i="5"/>
  <c r="BJ55" i="5"/>
  <c r="BI55" i="5"/>
  <c r="BH55" i="5"/>
  <c r="BG55" i="5"/>
  <c r="BF55" i="5"/>
  <c r="BE55" i="5"/>
  <c r="BD55" i="5"/>
  <c r="BC55" i="5"/>
  <c r="BB55" i="5"/>
  <c r="BA55" i="5"/>
  <c r="AZ55" i="5"/>
  <c r="AY55" i="5"/>
  <c r="AX55" i="5"/>
  <c r="AW55" i="5"/>
  <c r="AV55" i="5"/>
  <c r="AU55" i="5"/>
  <c r="AT55" i="5"/>
  <c r="AS55" i="5"/>
  <c r="AR55" i="5"/>
  <c r="AQ55" i="5"/>
  <c r="AP55" i="5"/>
  <c r="AO55" i="5"/>
  <c r="AN55" i="5"/>
  <c r="AM55" i="5"/>
  <c r="AL55" i="5"/>
  <c r="AK55" i="5"/>
  <c r="AJ55" i="5"/>
  <c r="AI55" i="5"/>
  <c r="AH55" i="5"/>
  <c r="AG55" i="5"/>
  <c r="AF55" i="5"/>
  <c r="AE55" i="5"/>
  <c r="AD55" i="5"/>
  <c r="AC55" i="5"/>
  <c r="AB55" i="5"/>
  <c r="AA55" i="5"/>
  <c r="Z55" i="5"/>
  <c r="Y55" i="5"/>
  <c r="X55" i="5"/>
  <c r="W55" i="5"/>
  <c r="V55" i="5"/>
  <c r="U55" i="5"/>
  <c r="T55" i="5"/>
  <c r="S55" i="5"/>
  <c r="R55" i="5"/>
  <c r="Q55" i="5"/>
  <c r="P55" i="5"/>
  <c r="O55" i="5"/>
  <c r="N55" i="5"/>
  <c r="M55" i="5"/>
  <c r="L55" i="5"/>
  <c r="K55" i="5"/>
  <c r="J55" i="5"/>
  <c r="I55" i="5"/>
  <c r="H55" i="5"/>
  <c r="G55" i="5"/>
  <c r="F55" i="5"/>
  <c r="E55" i="5"/>
  <c r="D55" i="5"/>
  <c r="C58" i="5"/>
  <c r="C57" i="5"/>
  <c r="C56" i="5"/>
  <c r="C55" i="5"/>
  <c r="BV25" i="5"/>
  <c r="BU25" i="5"/>
  <c r="BT25" i="5"/>
  <c r="BS25" i="5"/>
  <c r="BR25" i="5"/>
  <c r="BQ25" i="5"/>
  <c r="BP25" i="5"/>
  <c r="BO25" i="5"/>
  <c r="BN25" i="5"/>
  <c r="BM25" i="5"/>
  <c r="BL25" i="5"/>
  <c r="BK25" i="5"/>
  <c r="BJ25" i="5"/>
  <c r="BI25" i="5"/>
  <c r="BH25" i="5"/>
  <c r="BG25" i="5"/>
  <c r="BF25" i="5"/>
  <c r="BE25" i="5"/>
  <c r="BD25" i="5"/>
  <c r="BC25" i="5"/>
  <c r="BB25" i="5"/>
  <c r="BA25" i="5"/>
  <c r="AZ25" i="5"/>
  <c r="AY25" i="5"/>
  <c r="AX25" i="5"/>
  <c r="AW25" i="5"/>
  <c r="AV25" i="5"/>
  <c r="AU25" i="5"/>
  <c r="AT25" i="5"/>
  <c r="AS25" i="5"/>
  <c r="AR25" i="5"/>
  <c r="AQ25" i="5"/>
  <c r="AP25" i="5"/>
  <c r="AO25" i="5"/>
  <c r="AN25" i="5"/>
  <c r="AM25" i="5"/>
  <c r="AL25" i="5"/>
  <c r="AK25" i="5"/>
  <c r="AJ25" i="5"/>
  <c r="AI25" i="5"/>
  <c r="AH25" i="5"/>
  <c r="AG25" i="5"/>
  <c r="AF25" i="5"/>
  <c r="AE25" i="5"/>
  <c r="AD25" i="5"/>
  <c r="AC25" i="5"/>
  <c r="AB25" i="5"/>
  <c r="AA25" i="5"/>
  <c r="Z25" i="5"/>
  <c r="Y25" i="5"/>
  <c r="X25" i="5"/>
  <c r="W25" i="5"/>
  <c r="V25" i="5"/>
  <c r="U25" i="5"/>
  <c r="T25" i="5"/>
  <c r="S25" i="5"/>
  <c r="R25" i="5"/>
  <c r="Q25" i="5"/>
  <c r="P25" i="5"/>
  <c r="O25" i="5"/>
  <c r="N25" i="5"/>
  <c r="M25" i="5"/>
  <c r="L25" i="5"/>
  <c r="K25" i="5"/>
  <c r="J25" i="5"/>
  <c r="I25" i="5"/>
  <c r="H25" i="5"/>
  <c r="G25" i="5"/>
  <c r="F25" i="5"/>
  <c r="E25" i="5"/>
  <c r="D25"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24"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23"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22" i="5"/>
  <c r="C25" i="5"/>
  <c r="C24" i="5"/>
  <c r="C23" i="5"/>
  <c r="C22" i="5"/>
  <c r="BV52" i="5"/>
  <c r="BU52" i="5"/>
  <c r="BT52" i="5"/>
  <c r="BS52" i="5"/>
  <c r="BR52" i="5"/>
  <c r="BQ52" i="5"/>
  <c r="BP52" i="5"/>
  <c r="BO52" i="5"/>
  <c r="BN52" i="5"/>
  <c r="BM52" i="5"/>
  <c r="BL52" i="5"/>
  <c r="BK52" i="5"/>
  <c r="BJ52" i="5"/>
  <c r="BI52" i="5"/>
  <c r="BH52" i="5"/>
  <c r="BG52" i="5"/>
  <c r="BF52" i="5"/>
  <c r="BE52" i="5"/>
  <c r="BD52" i="5"/>
  <c r="BC52" i="5"/>
  <c r="BB52" i="5"/>
  <c r="BA52" i="5"/>
  <c r="AZ52" i="5"/>
  <c r="AY52" i="5"/>
  <c r="AX52" i="5"/>
  <c r="AW52" i="5"/>
  <c r="AV52" i="5"/>
  <c r="AU52" i="5"/>
  <c r="AT52" i="5"/>
  <c r="AS52" i="5"/>
  <c r="AR52" i="5"/>
  <c r="AQ52" i="5"/>
  <c r="AP52" i="5"/>
  <c r="AO52" i="5"/>
  <c r="AN52" i="5"/>
  <c r="AM52" i="5"/>
  <c r="AL52" i="5"/>
  <c r="AK52" i="5"/>
  <c r="AJ52" i="5"/>
  <c r="AI52" i="5"/>
  <c r="AH52" i="5"/>
  <c r="AG52" i="5"/>
  <c r="AF52" i="5"/>
  <c r="AE52" i="5"/>
  <c r="AD52" i="5"/>
  <c r="AC52" i="5"/>
  <c r="AB52" i="5"/>
  <c r="AA52" i="5"/>
  <c r="Z52" i="5"/>
  <c r="Y52" i="5"/>
  <c r="X52" i="5"/>
  <c r="W52" i="5"/>
  <c r="V52" i="5"/>
  <c r="U52" i="5"/>
  <c r="T52" i="5"/>
  <c r="S52" i="5"/>
  <c r="R52" i="5"/>
  <c r="Q52" i="5"/>
  <c r="P52" i="5"/>
  <c r="O52" i="5"/>
  <c r="N52" i="5"/>
  <c r="M52" i="5"/>
  <c r="L52" i="5"/>
  <c r="K52" i="5"/>
  <c r="J52" i="5"/>
  <c r="I52" i="5"/>
  <c r="H52" i="5"/>
  <c r="G52" i="5"/>
  <c r="F52" i="5"/>
  <c r="E52" i="5"/>
  <c r="D52" i="5"/>
  <c r="BV51" i="5"/>
  <c r="BU51" i="5"/>
  <c r="BT51" i="5"/>
  <c r="BS51" i="5"/>
  <c r="BR51" i="5"/>
  <c r="BQ51" i="5"/>
  <c r="BP51" i="5"/>
  <c r="BO51" i="5"/>
  <c r="BN51" i="5"/>
  <c r="BM51" i="5"/>
  <c r="BL51" i="5"/>
  <c r="BK51" i="5"/>
  <c r="BJ51" i="5"/>
  <c r="BI51" i="5"/>
  <c r="BH51" i="5"/>
  <c r="BG51" i="5"/>
  <c r="BF51" i="5"/>
  <c r="BE51" i="5"/>
  <c r="BD51" i="5"/>
  <c r="BC51" i="5"/>
  <c r="BB51" i="5"/>
  <c r="BA51" i="5"/>
  <c r="AZ51" i="5"/>
  <c r="AY51" i="5"/>
  <c r="AX51" i="5"/>
  <c r="AW51" i="5"/>
  <c r="AV51" i="5"/>
  <c r="AU51" i="5"/>
  <c r="AT51" i="5"/>
  <c r="AS51" i="5"/>
  <c r="AR51" i="5"/>
  <c r="AQ51" i="5"/>
  <c r="AP51" i="5"/>
  <c r="AO51" i="5"/>
  <c r="AN51" i="5"/>
  <c r="AM51" i="5"/>
  <c r="AL51" i="5"/>
  <c r="AK51" i="5"/>
  <c r="AJ51" i="5"/>
  <c r="AI51" i="5"/>
  <c r="AH51" i="5"/>
  <c r="AG51" i="5"/>
  <c r="AF51" i="5"/>
  <c r="AE51" i="5"/>
  <c r="AD51" i="5"/>
  <c r="AC51" i="5"/>
  <c r="AB51" i="5"/>
  <c r="AA51" i="5"/>
  <c r="Z51" i="5"/>
  <c r="Y51" i="5"/>
  <c r="X51" i="5"/>
  <c r="W51" i="5"/>
  <c r="V51" i="5"/>
  <c r="U51" i="5"/>
  <c r="T51" i="5"/>
  <c r="S51" i="5"/>
  <c r="R51" i="5"/>
  <c r="Q51" i="5"/>
  <c r="P51" i="5"/>
  <c r="O51" i="5"/>
  <c r="N51" i="5"/>
  <c r="M51" i="5"/>
  <c r="L51" i="5"/>
  <c r="K51" i="5"/>
  <c r="J51" i="5"/>
  <c r="I51" i="5"/>
  <c r="H51" i="5"/>
  <c r="G51" i="5"/>
  <c r="F51" i="5"/>
  <c r="E51" i="5"/>
  <c r="D51" i="5"/>
  <c r="BV50" i="5"/>
  <c r="BU50" i="5"/>
  <c r="BT50" i="5"/>
  <c r="BS50" i="5"/>
  <c r="BR50" i="5"/>
  <c r="BQ50" i="5"/>
  <c r="BP50" i="5"/>
  <c r="BO50" i="5"/>
  <c r="BN50" i="5"/>
  <c r="BM50" i="5"/>
  <c r="BL50" i="5"/>
  <c r="BK50" i="5"/>
  <c r="BJ50" i="5"/>
  <c r="BI50" i="5"/>
  <c r="BH50" i="5"/>
  <c r="BG50" i="5"/>
  <c r="BF50" i="5"/>
  <c r="BE50" i="5"/>
  <c r="BD50" i="5"/>
  <c r="BC50" i="5"/>
  <c r="BB50" i="5"/>
  <c r="BA50" i="5"/>
  <c r="AZ50" i="5"/>
  <c r="AY50" i="5"/>
  <c r="AX50" i="5"/>
  <c r="AW50" i="5"/>
  <c r="AV50" i="5"/>
  <c r="AU50" i="5"/>
  <c r="AT50" i="5"/>
  <c r="AS50" i="5"/>
  <c r="AR50" i="5"/>
  <c r="AQ50" i="5"/>
  <c r="AP50" i="5"/>
  <c r="AO50" i="5"/>
  <c r="AN50" i="5"/>
  <c r="AM50" i="5"/>
  <c r="AL50" i="5"/>
  <c r="AK50" i="5"/>
  <c r="AJ50" i="5"/>
  <c r="AI50" i="5"/>
  <c r="AH50" i="5"/>
  <c r="AG50" i="5"/>
  <c r="AF50" i="5"/>
  <c r="AE50" i="5"/>
  <c r="AD50" i="5"/>
  <c r="AC50" i="5"/>
  <c r="AB50" i="5"/>
  <c r="AA50" i="5"/>
  <c r="Z50" i="5"/>
  <c r="Y50" i="5"/>
  <c r="X50" i="5"/>
  <c r="W50" i="5"/>
  <c r="V50" i="5"/>
  <c r="U50" i="5"/>
  <c r="T50" i="5"/>
  <c r="S50" i="5"/>
  <c r="R50" i="5"/>
  <c r="Q50" i="5"/>
  <c r="P50" i="5"/>
  <c r="O50" i="5"/>
  <c r="N50" i="5"/>
  <c r="M50" i="5"/>
  <c r="L50" i="5"/>
  <c r="K50" i="5"/>
  <c r="J50" i="5"/>
  <c r="I50" i="5"/>
  <c r="H50" i="5"/>
  <c r="G50" i="5"/>
  <c r="F50" i="5"/>
  <c r="E50" i="5"/>
  <c r="D50" i="5"/>
  <c r="BV49" i="5"/>
  <c r="BU49" i="5"/>
  <c r="BT49" i="5"/>
  <c r="BS49" i="5"/>
  <c r="BR49" i="5"/>
  <c r="BQ49" i="5"/>
  <c r="BP49" i="5"/>
  <c r="BO49" i="5"/>
  <c r="BN49" i="5"/>
  <c r="BM49" i="5"/>
  <c r="BL49" i="5"/>
  <c r="BK49" i="5"/>
  <c r="BJ49" i="5"/>
  <c r="BI49" i="5"/>
  <c r="BH49" i="5"/>
  <c r="BG49" i="5"/>
  <c r="BF49" i="5"/>
  <c r="BE49" i="5"/>
  <c r="BD49" i="5"/>
  <c r="BC49" i="5"/>
  <c r="BB49" i="5"/>
  <c r="BA49" i="5"/>
  <c r="AZ49" i="5"/>
  <c r="AY49" i="5"/>
  <c r="AX49" i="5"/>
  <c r="AW49" i="5"/>
  <c r="AV49" i="5"/>
  <c r="AU49" i="5"/>
  <c r="AT49" i="5"/>
  <c r="AS49" i="5"/>
  <c r="AR49" i="5"/>
  <c r="AQ49" i="5"/>
  <c r="AP49" i="5"/>
  <c r="AO49" i="5"/>
  <c r="AN49" i="5"/>
  <c r="AM49" i="5"/>
  <c r="AL49" i="5"/>
  <c r="AK49" i="5"/>
  <c r="AJ49" i="5"/>
  <c r="AI49" i="5"/>
  <c r="AH49" i="5"/>
  <c r="AG49" i="5"/>
  <c r="AF49" i="5"/>
  <c r="AE49" i="5"/>
  <c r="AD49" i="5"/>
  <c r="AC49" i="5"/>
  <c r="AB49" i="5"/>
  <c r="AA49" i="5"/>
  <c r="Z49" i="5"/>
  <c r="Y49" i="5"/>
  <c r="X49" i="5"/>
  <c r="W49" i="5"/>
  <c r="V49" i="5"/>
  <c r="U49" i="5"/>
  <c r="T49" i="5"/>
  <c r="S49" i="5"/>
  <c r="R49" i="5"/>
  <c r="Q49" i="5"/>
  <c r="P49" i="5"/>
  <c r="O49" i="5"/>
  <c r="N49" i="5"/>
  <c r="M49" i="5"/>
  <c r="L49" i="5"/>
  <c r="K49" i="5"/>
  <c r="J49" i="5"/>
  <c r="I49" i="5"/>
  <c r="H49" i="5"/>
  <c r="G49" i="5"/>
  <c r="F49" i="5"/>
  <c r="E49" i="5"/>
  <c r="D49" i="5"/>
  <c r="C52" i="5"/>
  <c r="C51" i="5"/>
  <c r="C50" i="5"/>
  <c r="C4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D19"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D18" i="5"/>
  <c r="AC18" i="5"/>
  <c r="AB18" i="5"/>
  <c r="AA18" i="5"/>
  <c r="Z18" i="5"/>
  <c r="Y18" i="5"/>
  <c r="X18" i="5"/>
  <c r="W18" i="5"/>
  <c r="V18" i="5"/>
  <c r="U18" i="5"/>
  <c r="T18" i="5"/>
  <c r="S18" i="5"/>
  <c r="R18" i="5"/>
  <c r="Q18" i="5"/>
  <c r="P18" i="5"/>
  <c r="O18" i="5"/>
  <c r="N18" i="5"/>
  <c r="M18" i="5"/>
  <c r="L18" i="5"/>
  <c r="K18" i="5"/>
  <c r="J18" i="5"/>
  <c r="I18" i="5"/>
  <c r="H18" i="5"/>
  <c r="G18" i="5"/>
  <c r="F18" i="5"/>
  <c r="E18" i="5"/>
  <c r="D18" i="5"/>
  <c r="BV17" i="5"/>
  <c r="BU17" i="5"/>
  <c r="BT17" i="5"/>
  <c r="BS17" i="5"/>
  <c r="BR17" i="5"/>
  <c r="BQ17" i="5"/>
  <c r="BP17" i="5"/>
  <c r="BO17" i="5"/>
  <c r="BN17" i="5"/>
  <c r="BM17" i="5"/>
  <c r="BL17" i="5"/>
  <c r="BK17" i="5"/>
  <c r="BJ17" i="5"/>
  <c r="BI17" i="5"/>
  <c r="BH17" i="5"/>
  <c r="BG17" i="5"/>
  <c r="BF17" i="5"/>
  <c r="BE17" i="5"/>
  <c r="BD17" i="5"/>
  <c r="BC17" i="5"/>
  <c r="BB17" i="5"/>
  <c r="BA17" i="5"/>
  <c r="AZ17" i="5"/>
  <c r="AY17" i="5"/>
  <c r="AX17" i="5"/>
  <c r="AW17" i="5"/>
  <c r="AV17" i="5"/>
  <c r="AU17" i="5"/>
  <c r="AT17" i="5"/>
  <c r="AS17" i="5"/>
  <c r="AR17" i="5"/>
  <c r="AQ17" i="5"/>
  <c r="AP17" i="5"/>
  <c r="AO17" i="5"/>
  <c r="AN17" i="5"/>
  <c r="AM17" i="5"/>
  <c r="AL17" i="5"/>
  <c r="AK17" i="5"/>
  <c r="AJ17" i="5"/>
  <c r="AI17" i="5"/>
  <c r="AH17" i="5"/>
  <c r="AG17" i="5"/>
  <c r="AF17" i="5"/>
  <c r="AE17" i="5"/>
  <c r="AD17" i="5"/>
  <c r="AC17" i="5"/>
  <c r="AB17" i="5"/>
  <c r="AA17" i="5"/>
  <c r="Z17" i="5"/>
  <c r="Y17" i="5"/>
  <c r="X17" i="5"/>
  <c r="W17" i="5"/>
  <c r="V17" i="5"/>
  <c r="U17" i="5"/>
  <c r="T17" i="5"/>
  <c r="S17" i="5"/>
  <c r="R17" i="5"/>
  <c r="Q17" i="5"/>
  <c r="P17" i="5"/>
  <c r="O17" i="5"/>
  <c r="N17" i="5"/>
  <c r="M17" i="5"/>
  <c r="L17" i="5"/>
  <c r="K17" i="5"/>
  <c r="J17" i="5"/>
  <c r="I17" i="5"/>
  <c r="H17" i="5"/>
  <c r="G17" i="5"/>
  <c r="F17" i="5"/>
  <c r="E17" i="5"/>
  <c r="D17"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M16" i="5"/>
  <c r="L16" i="5"/>
  <c r="K16" i="5"/>
  <c r="J16" i="5"/>
  <c r="I16" i="5"/>
  <c r="H16" i="5"/>
  <c r="G16" i="5"/>
  <c r="F16" i="5"/>
  <c r="E16" i="5"/>
  <c r="D16" i="5"/>
  <c r="C19" i="5"/>
  <c r="C18" i="5"/>
  <c r="C17" i="5"/>
  <c r="C16" i="5"/>
  <c r="H13" i="38"/>
  <c r="I13" i="38" s="1"/>
  <c r="J13" i="38" s="1"/>
  <c r="K13" i="38" s="1"/>
  <c r="L13" i="38" s="1"/>
  <c r="M13" i="38" s="1"/>
  <c r="N13" i="38" s="1"/>
  <c r="O13" i="38" s="1"/>
  <c r="P13" i="38" s="1"/>
  <c r="Q13" i="38" s="1"/>
  <c r="F26" i="5" l="1"/>
  <c r="J26" i="5"/>
  <c r="N26" i="5"/>
  <c r="R26" i="5"/>
  <c r="V26" i="5"/>
  <c r="Z26" i="5"/>
  <c r="AD26" i="5"/>
  <c r="AH26" i="5"/>
  <c r="AL26" i="5"/>
  <c r="AP26" i="5"/>
  <c r="AT26" i="5"/>
  <c r="AX26" i="5"/>
  <c r="BB26" i="5"/>
  <c r="BF26" i="5"/>
  <c r="BJ26" i="5"/>
  <c r="BN26" i="5"/>
  <c r="BR26" i="5"/>
  <c r="BV26" i="5"/>
  <c r="E59" i="5"/>
  <c r="I59" i="5"/>
  <c r="M59" i="5"/>
  <c r="Q59" i="5"/>
  <c r="U59" i="5"/>
  <c r="Y59" i="5"/>
  <c r="AC59" i="5"/>
  <c r="AG59" i="5"/>
  <c r="AK59" i="5"/>
  <c r="AO59" i="5"/>
  <c r="AS59" i="5"/>
  <c r="AW59" i="5"/>
  <c r="BA59" i="5"/>
  <c r="BE59" i="5"/>
  <c r="BI59" i="5"/>
  <c r="BM59" i="5"/>
  <c r="BQ59" i="5"/>
  <c r="BU59" i="5"/>
  <c r="G53" i="5"/>
  <c r="K53" i="5"/>
  <c r="O53" i="5"/>
  <c r="S53" i="5"/>
  <c r="W53" i="5"/>
  <c r="AA53" i="5"/>
  <c r="AE53" i="5"/>
  <c r="AI53" i="5"/>
  <c r="AM53" i="5"/>
  <c r="AQ53" i="5"/>
  <c r="AU53" i="5"/>
  <c r="AY53" i="5"/>
  <c r="BC53" i="5"/>
  <c r="BG53" i="5"/>
  <c r="BK53" i="5"/>
  <c r="BO53" i="5"/>
  <c r="BS53" i="5"/>
  <c r="D20" i="5"/>
  <c r="H20" i="5"/>
  <c r="L20" i="5"/>
  <c r="P20" i="5"/>
  <c r="T20" i="5"/>
  <c r="X20" i="5"/>
  <c r="AB20" i="5"/>
  <c r="AF20" i="5"/>
  <c r="AJ20" i="5"/>
  <c r="AN20" i="5"/>
  <c r="AR20" i="5"/>
  <c r="AV20" i="5"/>
  <c r="AZ20" i="5"/>
  <c r="BD20" i="5"/>
  <c r="BH20" i="5"/>
  <c r="BL20" i="5"/>
  <c r="BP20" i="5"/>
  <c r="BT20" i="5"/>
  <c r="C53" i="5"/>
  <c r="C26" i="5"/>
  <c r="N90" i="39"/>
  <c r="C20" i="5"/>
  <c r="E20" i="5"/>
  <c r="M20" i="5"/>
  <c r="Q20" i="5"/>
  <c r="Y20" i="5"/>
  <c r="AG20" i="5"/>
  <c r="AK20" i="5"/>
  <c r="AS20" i="5"/>
  <c r="AW20" i="5"/>
  <c r="BA20" i="5"/>
  <c r="BE20" i="5"/>
  <c r="BI20" i="5"/>
  <c r="H53" i="5"/>
  <c r="L53" i="5"/>
  <c r="T53" i="5"/>
  <c r="AB53" i="5"/>
  <c r="AJ53" i="5"/>
  <c r="AN53" i="5"/>
  <c r="AV53" i="5"/>
  <c r="BD53" i="5"/>
  <c r="BL53" i="5"/>
  <c r="BP53" i="5"/>
  <c r="G26" i="5"/>
  <c r="K26" i="5"/>
  <c r="S26" i="5"/>
  <c r="W26" i="5"/>
  <c r="AE26" i="5"/>
  <c r="AM26" i="5"/>
  <c r="AQ26" i="5"/>
  <c r="AY26" i="5"/>
  <c r="BC26" i="5"/>
  <c r="BK26" i="5"/>
  <c r="BS26" i="5"/>
  <c r="F20" i="5"/>
  <c r="J20" i="5"/>
  <c r="N20" i="5"/>
  <c r="R20" i="5"/>
  <c r="V20" i="5"/>
  <c r="Z20" i="5"/>
  <c r="AD20" i="5"/>
  <c r="AH20" i="5"/>
  <c r="AL20" i="5"/>
  <c r="AP20" i="5"/>
  <c r="AT20" i="5"/>
  <c r="AX20" i="5"/>
  <c r="BB20" i="5"/>
  <c r="BF20" i="5"/>
  <c r="BJ20" i="5"/>
  <c r="C59" i="5"/>
  <c r="F59" i="5"/>
  <c r="J59" i="5"/>
  <c r="N59" i="5"/>
  <c r="R59" i="5"/>
  <c r="V59" i="5"/>
  <c r="Z59" i="5"/>
  <c r="AD59" i="5"/>
  <c r="AH59" i="5"/>
  <c r="AL59" i="5"/>
  <c r="AP59" i="5"/>
  <c r="AT59" i="5"/>
  <c r="AX59" i="5"/>
  <c r="BB59" i="5"/>
  <c r="BF59" i="5"/>
  <c r="BJ59" i="5"/>
  <c r="BN59" i="5"/>
  <c r="BR59" i="5"/>
  <c r="BV59" i="5"/>
  <c r="I20" i="5"/>
  <c r="U20" i="5"/>
  <c r="AC20" i="5"/>
  <c r="AO20" i="5"/>
  <c r="BM20" i="5"/>
  <c r="BQ20" i="5"/>
  <c r="BU20" i="5"/>
  <c r="D53" i="5"/>
  <c r="P53" i="5"/>
  <c r="X53" i="5"/>
  <c r="AF53" i="5"/>
  <c r="AR53" i="5"/>
  <c r="AZ53" i="5"/>
  <c r="BH53" i="5"/>
  <c r="BT53" i="5"/>
  <c r="O26" i="5"/>
  <c r="AA26" i="5"/>
  <c r="AI26" i="5"/>
  <c r="AU26" i="5"/>
  <c r="BG26" i="5"/>
  <c r="BO26" i="5"/>
  <c r="BN20" i="5"/>
  <c r="BV20" i="5"/>
  <c r="I53" i="5"/>
  <c r="Q53" i="5"/>
  <c r="U53" i="5"/>
  <c r="AC53" i="5"/>
  <c r="AG53" i="5"/>
  <c r="AO53" i="5"/>
  <c r="AS53" i="5"/>
  <c r="BA53" i="5"/>
  <c r="BI53" i="5"/>
  <c r="BM53" i="5"/>
  <c r="BU53" i="5"/>
  <c r="G20" i="5"/>
  <c r="K20" i="5"/>
  <c r="O20" i="5"/>
  <c r="S20" i="5"/>
  <c r="W20" i="5"/>
  <c r="AA20" i="5"/>
  <c r="AE20" i="5"/>
  <c r="AI20" i="5"/>
  <c r="AM20" i="5"/>
  <c r="AQ20" i="5"/>
  <c r="AU20" i="5"/>
  <c r="AY20" i="5"/>
  <c r="BC20" i="5"/>
  <c r="BG20" i="5"/>
  <c r="BK20" i="5"/>
  <c r="BO20" i="5"/>
  <c r="BS20" i="5"/>
  <c r="F53" i="5"/>
  <c r="J53" i="5"/>
  <c r="N53" i="5"/>
  <c r="R53" i="5"/>
  <c r="V53" i="5"/>
  <c r="Z53" i="5"/>
  <c r="AD53" i="5"/>
  <c r="AH53" i="5"/>
  <c r="AL53" i="5"/>
  <c r="AP53" i="5"/>
  <c r="AT53" i="5"/>
  <c r="AX53" i="5"/>
  <c r="BB53" i="5"/>
  <c r="BF53" i="5"/>
  <c r="BJ53" i="5"/>
  <c r="BN53" i="5"/>
  <c r="BR53" i="5"/>
  <c r="BV53" i="5"/>
  <c r="E26" i="5"/>
  <c r="I26" i="5"/>
  <c r="M26" i="5"/>
  <c r="Q26" i="5"/>
  <c r="U26" i="5"/>
  <c r="Y26" i="5"/>
  <c r="AC26" i="5"/>
  <c r="AG26" i="5"/>
  <c r="AK26" i="5"/>
  <c r="AO26" i="5"/>
  <c r="AS26" i="5"/>
  <c r="AW26" i="5"/>
  <c r="BA26" i="5"/>
  <c r="BE26" i="5"/>
  <c r="BI26" i="5"/>
  <c r="BM26" i="5"/>
  <c r="BQ26" i="5"/>
  <c r="BU26" i="5"/>
  <c r="D59" i="5"/>
  <c r="H59" i="5"/>
  <c r="L59" i="5"/>
  <c r="P59" i="5"/>
  <c r="T59" i="5"/>
  <c r="X59" i="5"/>
  <c r="AB59" i="5"/>
  <c r="AF59" i="5"/>
  <c r="AJ59" i="5"/>
  <c r="AN59" i="5"/>
  <c r="AR59" i="5"/>
  <c r="AV59" i="5"/>
  <c r="AZ59" i="5"/>
  <c r="BD59" i="5"/>
  <c r="BH59" i="5"/>
  <c r="BL59" i="5"/>
  <c r="BP59" i="5"/>
  <c r="BT59" i="5"/>
  <c r="BR20" i="5"/>
  <c r="E53" i="5"/>
  <c r="M53" i="5"/>
  <c r="Y53" i="5"/>
  <c r="AK53" i="5"/>
  <c r="AW53" i="5"/>
  <c r="BE53" i="5"/>
  <c r="BQ53" i="5"/>
  <c r="D26" i="5"/>
  <c r="H26" i="5"/>
  <c r="L26" i="5"/>
  <c r="P26" i="5"/>
  <c r="T26" i="5"/>
  <c r="X26" i="5"/>
  <c r="AB26" i="5"/>
  <c r="AF26" i="5"/>
  <c r="AJ26" i="5"/>
  <c r="AN26" i="5"/>
  <c r="AR26" i="5"/>
  <c r="AV26" i="5"/>
  <c r="AZ26" i="5"/>
  <c r="BD26" i="5"/>
  <c r="BH26" i="5"/>
  <c r="BL26" i="5"/>
  <c r="BP26" i="5"/>
  <c r="BT26" i="5"/>
  <c r="G59" i="5"/>
  <c r="K59" i="5"/>
  <c r="O59" i="5"/>
  <c r="S59" i="5"/>
  <c r="W59" i="5"/>
  <c r="AA59" i="5"/>
  <c r="AE59" i="5"/>
  <c r="AI59" i="5"/>
  <c r="AM59" i="5"/>
  <c r="AQ59" i="5"/>
  <c r="AU59" i="5"/>
  <c r="AY59" i="5"/>
  <c r="BC59" i="5"/>
  <c r="BG59" i="5"/>
  <c r="BK59" i="5"/>
  <c r="BO59" i="5"/>
  <c r="BS59" i="5"/>
  <c r="AC417" i="38"/>
  <c r="AD417" i="38"/>
  <c r="AF417" i="38"/>
  <c r="AC418" i="38"/>
  <c r="AD418" i="38"/>
  <c r="AF418" i="38"/>
  <c r="AC419" i="38"/>
  <c r="AD419" i="38"/>
  <c r="AF419" i="38"/>
  <c r="AC420" i="38"/>
  <c r="AD420" i="38"/>
  <c r="AF420" i="38"/>
  <c r="AC421" i="38"/>
  <c r="AD421" i="38"/>
  <c r="AF421" i="38"/>
  <c r="AC422" i="38"/>
  <c r="AD422" i="38"/>
  <c r="AF422" i="38"/>
  <c r="AC423" i="38"/>
  <c r="AD423" i="38"/>
  <c r="AF423" i="38"/>
  <c r="AC424" i="38"/>
  <c r="AD424" i="38"/>
  <c r="AF424" i="38"/>
  <c r="AC425" i="38"/>
  <c r="AD425" i="38"/>
  <c r="AF425" i="38"/>
  <c r="AC426" i="38"/>
  <c r="AD426" i="38"/>
  <c r="AF426" i="38"/>
  <c r="AC427" i="38"/>
  <c r="AD427" i="38"/>
  <c r="AF427" i="38"/>
  <c r="AC428" i="38"/>
  <c r="AD428" i="38"/>
  <c r="AF428" i="38"/>
  <c r="AC429" i="38"/>
  <c r="AD429" i="38"/>
  <c r="AF429" i="38"/>
  <c r="AC430" i="38"/>
  <c r="AD430" i="38"/>
  <c r="AF430" i="38"/>
  <c r="AC431" i="38"/>
  <c r="AD431" i="38"/>
  <c r="AF431" i="38"/>
  <c r="AC432" i="38"/>
  <c r="AD432" i="38"/>
  <c r="AF432" i="38"/>
  <c r="AC433" i="38"/>
  <c r="AD433" i="38"/>
  <c r="AF433" i="38"/>
  <c r="AC434" i="38"/>
  <c r="AD434" i="38"/>
  <c r="AF434" i="38"/>
  <c r="AC435" i="38"/>
  <c r="AD435" i="38"/>
  <c r="AF435" i="38"/>
  <c r="AC436" i="38"/>
  <c r="AD436" i="38"/>
  <c r="AF436" i="38"/>
  <c r="AC437" i="38"/>
  <c r="AD437" i="38"/>
  <c r="AF437" i="38"/>
  <c r="AC438" i="38"/>
  <c r="AF438" i="38"/>
  <c r="AC439" i="38"/>
  <c r="AD439" i="38"/>
  <c r="AF439" i="38"/>
  <c r="AC440" i="38"/>
  <c r="AD440" i="38"/>
  <c r="AF440" i="38"/>
  <c r="AC441" i="38"/>
  <c r="AD441" i="38"/>
  <c r="AF441" i="38"/>
  <c r="AC442" i="38"/>
  <c r="AD442" i="38"/>
  <c r="AF442" i="38"/>
  <c r="AC443" i="38"/>
  <c r="AD443" i="38"/>
  <c r="AF443" i="38"/>
  <c r="AC444" i="38"/>
  <c r="AD444" i="38"/>
  <c r="AF444" i="38"/>
  <c r="AC445" i="38"/>
  <c r="AD445" i="38"/>
  <c r="AF445" i="38"/>
  <c r="AC446" i="38"/>
  <c r="AD446" i="38"/>
  <c r="AF446" i="38"/>
  <c r="AC447" i="38"/>
  <c r="AD447" i="38"/>
  <c r="AF447" i="38"/>
  <c r="AC448" i="38"/>
  <c r="AD448" i="38"/>
  <c r="AF448" i="38"/>
  <c r="AC449" i="38"/>
  <c r="AD449" i="38"/>
  <c r="AF449" i="38"/>
  <c r="AC416" i="38"/>
  <c r="AD416" i="38"/>
  <c r="AF416" i="38"/>
  <c r="AB254" i="38"/>
  <c r="AC254" i="38"/>
  <c r="AD254" i="38"/>
  <c r="AF254" i="38"/>
  <c r="AB255" i="38"/>
  <c r="AC255" i="38"/>
  <c r="AD255" i="38"/>
  <c r="AF255" i="38"/>
  <c r="AB256" i="38"/>
  <c r="AC256" i="38"/>
  <c r="AD256" i="38"/>
  <c r="AF256" i="38"/>
  <c r="AB257" i="38"/>
  <c r="AC257" i="38"/>
  <c r="AD257" i="38"/>
  <c r="AF257" i="38"/>
  <c r="AB258" i="38"/>
  <c r="AC258" i="38"/>
  <c r="AD258" i="38"/>
  <c r="AF258" i="38"/>
  <c r="AB259" i="38"/>
  <c r="AC259" i="38"/>
  <c r="AD259" i="38"/>
  <c r="AF259" i="38"/>
  <c r="AB260" i="38"/>
  <c r="AC260" i="38"/>
  <c r="AD260" i="38"/>
  <c r="AF260" i="38"/>
  <c r="AB261" i="38"/>
  <c r="AC261" i="38"/>
  <c r="AD261" i="38"/>
  <c r="AF261" i="38"/>
  <c r="AB262" i="38"/>
  <c r="AC262" i="38"/>
  <c r="AD262" i="38"/>
  <c r="AF262" i="38"/>
  <c r="AB263" i="38"/>
  <c r="AC263" i="38"/>
  <c r="AD263" i="38"/>
  <c r="AF263" i="38"/>
  <c r="AB264" i="38"/>
  <c r="AC264" i="38"/>
  <c r="AD264" i="38"/>
  <c r="AF264" i="38"/>
  <c r="AB265" i="38"/>
  <c r="AC265" i="38"/>
  <c r="AD265" i="38"/>
  <c r="AF265" i="38"/>
  <c r="AB266" i="38"/>
  <c r="AC266" i="38"/>
  <c r="AD266" i="38"/>
  <c r="AF266" i="38"/>
  <c r="AB267" i="38"/>
  <c r="AC267" i="38"/>
  <c r="AD267" i="38"/>
  <c r="AF267" i="38"/>
  <c r="AB268" i="38"/>
  <c r="AC268" i="38"/>
  <c r="AD268" i="38"/>
  <c r="AF268" i="38"/>
  <c r="AB269" i="38"/>
  <c r="AC269" i="38"/>
  <c r="AD269" i="38"/>
  <c r="AF269" i="38"/>
  <c r="AB270" i="38"/>
  <c r="AC270" i="38"/>
  <c r="AD270" i="38"/>
  <c r="AF270" i="38"/>
  <c r="AB271" i="38"/>
  <c r="AC271" i="38"/>
  <c r="AD271" i="38"/>
  <c r="AF271" i="38"/>
  <c r="AB272" i="38"/>
  <c r="AC272" i="38"/>
  <c r="AD272" i="38"/>
  <c r="AF272" i="38"/>
  <c r="AB273" i="38"/>
  <c r="AC273" i="38"/>
  <c r="AD273" i="38"/>
  <c r="AF273" i="38"/>
  <c r="AB274" i="38"/>
  <c r="AC274" i="38"/>
  <c r="AD274" i="38"/>
  <c r="AF274" i="38"/>
  <c r="AB275" i="38"/>
  <c r="AC275" i="38"/>
  <c r="AD275" i="38"/>
  <c r="AF275" i="38"/>
  <c r="AB276" i="38"/>
  <c r="AC276" i="38"/>
  <c r="AD276" i="38"/>
  <c r="AF276" i="38"/>
  <c r="AB277" i="38"/>
  <c r="AC277" i="38"/>
  <c r="AD277" i="38"/>
  <c r="AF277" i="38"/>
  <c r="AB278" i="38"/>
  <c r="AC278" i="38"/>
  <c r="AD278" i="38"/>
  <c r="AF278" i="38"/>
  <c r="AB279" i="38"/>
  <c r="AC279" i="38"/>
  <c r="AD279" i="38"/>
  <c r="AF279" i="38"/>
  <c r="AB280" i="38"/>
  <c r="AC280" i="38"/>
  <c r="AD280" i="38"/>
  <c r="AF280" i="38"/>
  <c r="AB281" i="38"/>
  <c r="AC281" i="38"/>
  <c r="AD281" i="38"/>
  <c r="AF281" i="38"/>
  <c r="AB282" i="38"/>
  <c r="AC282" i="38"/>
  <c r="AD282" i="38"/>
  <c r="AF282" i="38"/>
  <c r="AB283" i="38"/>
  <c r="AC283" i="38"/>
  <c r="AD283" i="38"/>
  <c r="AF283" i="38"/>
  <c r="AB284" i="38"/>
  <c r="AC284" i="38"/>
  <c r="AD284" i="38"/>
  <c r="AF284" i="38"/>
  <c r="AB285" i="38"/>
  <c r="AC285" i="38"/>
  <c r="AD285" i="38"/>
  <c r="AF285" i="38"/>
  <c r="AB286" i="38"/>
  <c r="AC286" i="38"/>
  <c r="AD286" i="38"/>
  <c r="AF286" i="38"/>
  <c r="AB287" i="38"/>
  <c r="AC287" i="38"/>
  <c r="AD287" i="38"/>
  <c r="AF287" i="38"/>
  <c r="AB288" i="38"/>
  <c r="AC288" i="38"/>
  <c r="AD288" i="38"/>
  <c r="AF288" i="38"/>
  <c r="AB289" i="38"/>
  <c r="AC289" i="38"/>
  <c r="AD289" i="38"/>
  <c r="AF289" i="38"/>
  <c r="AB290" i="38"/>
  <c r="AC290" i="38"/>
  <c r="AD290" i="38"/>
  <c r="AF290" i="38"/>
  <c r="AB291" i="38"/>
  <c r="AC291" i="38"/>
  <c r="AD291" i="38"/>
  <c r="AF291" i="38"/>
  <c r="AB292" i="38"/>
  <c r="AC292" i="38"/>
  <c r="AD292" i="38"/>
  <c r="AF292" i="38"/>
  <c r="AB293" i="38"/>
  <c r="AC293" i="38"/>
  <c r="AD293" i="38"/>
  <c r="AF293" i="38"/>
  <c r="AB294" i="38"/>
  <c r="AC294" i="38"/>
  <c r="AD294" i="38"/>
  <c r="AF294" i="38"/>
  <c r="AB295" i="38"/>
  <c r="AC295" i="38"/>
  <c r="AD295" i="38"/>
  <c r="AF295" i="38"/>
  <c r="AB296" i="38"/>
  <c r="AC296" i="38"/>
  <c r="AD296" i="38"/>
  <c r="AF296" i="38"/>
  <c r="AB297" i="38"/>
  <c r="AC297" i="38"/>
  <c r="AD297" i="38"/>
  <c r="AF297" i="38"/>
  <c r="AB298" i="38"/>
  <c r="AC298" i="38"/>
  <c r="AD298" i="38"/>
  <c r="AF298" i="38"/>
  <c r="AB299" i="38"/>
  <c r="AC299" i="38"/>
  <c r="AD299" i="38"/>
  <c r="AF299" i="38"/>
  <c r="AB300" i="38"/>
  <c r="AC300" i="38"/>
  <c r="AD300" i="38"/>
  <c r="AF300" i="38"/>
  <c r="AB301" i="38"/>
  <c r="AC301" i="38"/>
  <c r="AD301" i="38"/>
  <c r="AF301" i="38"/>
  <c r="AB302" i="38"/>
  <c r="AC302" i="38"/>
  <c r="AD302" i="38"/>
  <c r="AF302" i="38"/>
  <c r="AB303" i="38"/>
  <c r="AC303" i="38"/>
  <c r="AD303" i="38"/>
  <c r="AF303" i="38"/>
  <c r="AB304" i="38"/>
  <c r="AC304" i="38"/>
  <c r="AD304" i="38"/>
  <c r="AF304" i="38"/>
  <c r="AB305" i="38"/>
  <c r="AC305" i="38"/>
  <c r="AD305" i="38"/>
  <c r="AF305" i="38"/>
  <c r="AB306" i="38"/>
  <c r="AC306" i="38"/>
  <c r="AD306" i="38"/>
  <c r="AF306" i="38"/>
  <c r="AB307" i="38"/>
  <c r="AC307" i="38"/>
  <c r="AD307" i="38"/>
  <c r="AF307" i="38"/>
  <c r="AB308" i="38"/>
  <c r="AC308" i="38"/>
  <c r="AD308" i="38"/>
  <c r="AF308" i="38"/>
  <c r="AB309" i="38"/>
  <c r="AC309" i="38"/>
  <c r="AD309" i="38"/>
  <c r="AF309" i="38"/>
  <c r="AB310" i="38"/>
  <c r="AC310" i="38"/>
  <c r="AD310" i="38"/>
  <c r="AF310" i="38"/>
  <c r="AB311" i="38"/>
  <c r="AC311" i="38"/>
  <c r="AD311" i="38"/>
  <c r="AF311" i="38"/>
  <c r="AB312" i="38"/>
  <c r="AC312" i="38"/>
  <c r="AD312" i="38"/>
  <c r="AF312" i="38"/>
  <c r="AB313" i="38"/>
  <c r="AC313" i="38"/>
  <c r="AD313" i="38"/>
  <c r="AF313" i="38"/>
  <c r="AB314" i="38"/>
  <c r="AC314" i="38"/>
  <c r="AD314" i="38"/>
  <c r="AF314" i="38"/>
  <c r="AB315" i="38"/>
  <c r="AC315" i="38"/>
  <c r="AD315" i="38"/>
  <c r="AF315" i="38"/>
  <c r="AB316" i="38"/>
  <c r="AC316" i="38"/>
  <c r="AD316" i="38"/>
  <c r="AF316" i="38"/>
  <c r="AB317" i="38"/>
  <c r="AC317" i="38"/>
  <c r="AD317" i="38"/>
  <c r="AF317" i="38"/>
  <c r="AB318" i="38"/>
  <c r="AC318" i="38"/>
  <c r="AD318" i="38"/>
  <c r="AF318" i="38"/>
  <c r="AB319" i="38"/>
  <c r="AC319" i="38"/>
  <c r="AD319" i="38"/>
  <c r="AF319" i="38"/>
  <c r="AB320" i="38"/>
  <c r="AC320" i="38"/>
  <c r="AD320" i="38"/>
  <c r="AF320" i="38"/>
  <c r="AB321" i="38"/>
  <c r="AC321" i="38"/>
  <c r="AD321" i="38"/>
  <c r="AF321" i="38"/>
  <c r="AB322" i="38"/>
  <c r="AC322" i="38"/>
  <c r="AD322" i="38"/>
  <c r="AF322" i="38"/>
  <c r="AB323" i="38"/>
  <c r="AC323" i="38"/>
  <c r="AD323" i="38"/>
  <c r="AF323" i="38"/>
  <c r="AB324" i="38"/>
  <c r="AC324" i="38"/>
  <c r="AD324" i="38"/>
  <c r="AF324" i="38"/>
  <c r="AB325" i="38"/>
  <c r="AC325" i="38"/>
  <c r="AD325" i="38"/>
  <c r="AF325" i="38"/>
  <c r="AB326" i="38"/>
  <c r="AC326" i="38"/>
  <c r="AD326" i="38"/>
  <c r="AF326" i="38"/>
  <c r="AB327" i="38"/>
  <c r="AC327" i="38"/>
  <c r="AD327" i="38"/>
  <c r="AF327" i="38"/>
  <c r="AB328" i="38"/>
  <c r="AC328" i="38"/>
  <c r="AD328" i="38"/>
  <c r="AF328" i="38"/>
  <c r="AB329" i="38"/>
  <c r="AC329" i="38"/>
  <c r="AD329" i="38"/>
  <c r="AF329" i="38"/>
  <c r="AB330" i="38"/>
  <c r="AC330" i="38"/>
  <c r="AD330" i="38"/>
  <c r="AF330" i="38"/>
  <c r="AB331" i="38"/>
  <c r="AC331" i="38"/>
  <c r="AD331" i="38"/>
  <c r="AF331" i="38"/>
  <c r="AB332" i="38"/>
  <c r="AC332" i="38"/>
  <c r="AD332" i="38"/>
  <c r="AF332" i="38"/>
  <c r="AB333" i="38"/>
  <c r="AC333" i="38"/>
  <c r="AD333" i="38"/>
  <c r="AF333" i="38"/>
  <c r="AB334" i="38"/>
  <c r="AC334" i="38"/>
  <c r="AD334" i="38"/>
  <c r="AF334" i="38"/>
  <c r="AB335" i="38"/>
  <c r="AC335" i="38"/>
  <c r="AD335" i="38"/>
  <c r="AF335" i="38"/>
  <c r="AB336" i="38"/>
  <c r="AC336" i="38"/>
  <c r="AD336" i="38"/>
  <c r="AF336" i="38"/>
  <c r="AB337" i="38"/>
  <c r="AC337" i="38"/>
  <c r="AD337" i="38"/>
  <c r="AF337" i="38"/>
  <c r="AB338" i="38"/>
  <c r="AC338" i="38"/>
  <c r="AD338" i="38"/>
  <c r="AF338" i="38"/>
  <c r="AB339" i="38"/>
  <c r="AC339" i="38"/>
  <c r="AD339" i="38"/>
  <c r="AF339" i="38"/>
  <c r="AB340" i="38"/>
  <c r="AC340" i="38"/>
  <c r="AD340" i="38"/>
  <c r="AF340" i="38"/>
  <c r="AB341" i="38"/>
  <c r="AC341" i="38"/>
  <c r="AD341" i="38"/>
  <c r="AF341" i="38"/>
  <c r="AB342" i="38"/>
  <c r="AC342" i="38"/>
  <c r="AD342" i="38"/>
  <c r="AF342" i="38"/>
  <c r="AB343" i="38"/>
  <c r="AC343" i="38"/>
  <c r="AD343" i="38"/>
  <c r="AF343" i="38"/>
  <c r="AB344" i="38"/>
  <c r="AC344" i="38"/>
  <c r="AD344" i="38"/>
  <c r="AF344" i="38"/>
  <c r="AB345" i="38"/>
  <c r="AC345" i="38"/>
  <c r="AD345" i="38"/>
  <c r="AF345" i="38"/>
  <c r="AB346" i="38"/>
  <c r="AC346" i="38"/>
  <c r="AD346" i="38"/>
  <c r="AF346" i="38"/>
  <c r="AB347" i="38"/>
  <c r="AC347" i="38"/>
  <c r="AD347" i="38"/>
  <c r="AF347" i="38"/>
  <c r="AB348" i="38"/>
  <c r="AC348" i="38"/>
  <c r="AD348" i="38"/>
  <c r="AF348" i="38"/>
  <c r="AB349" i="38"/>
  <c r="AC349" i="38"/>
  <c r="AD349" i="38"/>
  <c r="AF349" i="38"/>
  <c r="AB350" i="38"/>
  <c r="AC350" i="38"/>
  <c r="AD350" i="38"/>
  <c r="AF350" i="38"/>
  <c r="AB351" i="38"/>
  <c r="AC351" i="38"/>
  <c r="AD351" i="38"/>
  <c r="AF351" i="38"/>
  <c r="AB352" i="38"/>
  <c r="AC352" i="38"/>
  <c r="AD352" i="38"/>
  <c r="AF352" i="38"/>
  <c r="AB353" i="38"/>
  <c r="AC353" i="38"/>
  <c r="AD353" i="38"/>
  <c r="AF353" i="38"/>
  <c r="AB354" i="38"/>
  <c r="AC354" i="38"/>
  <c r="AD354" i="38"/>
  <c r="AF354" i="38"/>
  <c r="AB355" i="38"/>
  <c r="AC355" i="38"/>
  <c r="AD355" i="38"/>
  <c r="AF355" i="38"/>
  <c r="AB356" i="38"/>
  <c r="AC356" i="38"/>
  <c r="AD356" i="38"/>
  <c r="AF356" i="38"/>
  <c r="AB357" i="38"/>
  <c r="AC357" i="38"/>
  <c r="AD357" i="38"/>
  <c r="AF357" i="38"/>
  <c r="AB358" i="38"/>
  <c r="AC358" i="38"/>
  <c r="AD358" i="38"/>
  <c r="AF358" i="38"/>
  <c r="AB359" i="38"/>
  <c r="AC359" i="38"/>
  <c r="AD359" i="38"/>
  <c r="AF359" i="38"/>
  <c r="AB360" i="38"/>
  <c r="AC360" i="38"/>
  <c r="AD360" i="38"/>
  <c r="AF360" i="38"/>
  <c r="AB361" i="38"/>
  <c r="AC361" i="38"/>
  <c r="AD361" i="38"/>
  <c r="AF361" i="38"/>
  <c r="AB362" i="38"/>
  <c r="AC362" i="38"/>
  <c r="AD362" i="38"/>
  <c r="AF362" i="38"/>
  <c r="AB363" i="38"/>
  <c r="AC363" i="38"/>
  <c r="AD363" i="38"/>
  <c r="AF363" i="38"/>
  <c r="AB364" i="38"/>
  <c r="AC364" i="38"/>
  <c r="AD364" i="38"/>
  <c r="AF364" i="38"/>
  <c r="AB365" i="38"/>
  <c r="AC365" i="38"/>
  <c r="AD365" i="38"/>
  <c r="AF365" i="38"/>
  <c r="AB366" i="38"/>
  <c r="AC366" i="38"/>
  <c r="AD366" i="38"/>
  <c r="AF366" i="38"/>
  <c r="AB367" i="38"/>
  <c r="AC367" i="38"/>
  <c r="AD367" i="38"/>
  <c r="AF367" i="38"/>
  <c r="AB368" i="38"/>
  <c r="AC368" i="38"/>
  <c r="AD368" i="38"/>
  <c r="AF368" i="38"/>
  <c r="AB369" i="38"/>
  <c r="AC369" i="38"/>
  <c r="AD369" i="38"/>
  <c r="AF369" i="38"/>
  <c r="AB370" i="38"/>
  <c r="AC370" i="38"/>
  <c r="AD370" i="38"/>
  <c r="AF370" i="38"/>
  <c r="AB371" i="38"/>
  <c r="AC371" i="38"/>
  <c r="AD371" i="38"/>
  <c r="AF371" i="38"/>
  <c r="AB372" i="38"/>
  <c r="AC372" i="38"/>
  <c r="AD372" i="38"/>
  <c r="AF372" i="38"/>
  <c r="AB373" i="38"/>
  <c r="AC373" i="38"/>
  <c r="AD373" i="38"/>
  <c r="AF373" i="38"/>
  <c r="AB374" i="38"/>
  <c r="AC374" i="38"/>
  <c r="AD374" i="38"/>
  <c r="AF374" i="38"/>
  <c r="AB375" i="38"/>
  <c r="AC375" i="38"/>
  <c r="AD375" i="38"/>
  <c r="AF375" i="38"/>
  <c r="AB376" i="38"/>
  <c r="AC376" i="38"/>
  <c r="AD376" i="38"/>
  <c r="AF376" i="38"/>
  <c r="AB377" i="38"/>
  <c r="AC377" i="38"/>
  <c r="AD377" i="38"/>
  <c r="AF377" i="38"/>
  <c r="AB378" i="38"/>
  <c r="AC378" i="38"/>
  <c r="AD378" i="38"/>
  <c r="AF378" i="38"/>
  <c r="AB379" i="38"/>
  <c r="AC379" i="38"/>
  <c r="AD379" i="38"/>
  <c r="AF379" i="38"/>
  <c r="AB380" i="38"/>
  <c r="AC380" i="38"/>
  <c r="AD380" i="38"/>
  <c r="AF380" i="38"/>
  <c r="AB381" i="38"/>
  <c r="AC381" i="38"/>
  <c r="AD381" i="38"/>
  <c r="AF381" i="38"/>
  <c r="AB382" i="38"/>
  <c r="AC382" i="38"/>
  <c r="AD382" i="38"/>
  <c r="AF382" i="38"/>
  <c r="AB383" i="38"/>
  <c r="AC383" i="38"/>
  <c r="AD383" i="38"/>
  <c r="AF383" i="38"/>
  <c r="AB384" i="38"/>
  <c r="AC384" i="38"/>
  <c r="AD384" i="38"/>
  <c r="AF384" i="38"/>
  <c r="AB385" i="38"/>
  <c r="AC385" i="38"/>
  <c r="AD385" i="38"/>
  <c r="AF385" i="38"/>
  <c r="AB386" i="38"/>
  <c r="AC386" i="38"/>
  <c r="AD386" i="38"/>
  <c r="AF386" i="38"/>
  <c r="AB387" i="38"/>
  <c r="AC387" i="38"/>
  <c r="AD387" i="38"/>
  <c r="AF387" i="38"/>
  <c r="AB388" i="38"/>
  <c r="AC388" i="38"/>
  <c r="AD388" i="38"/>
  <c r="AF388" i="38"/>
  <c r="AB389" i="38"/>
  <c r="AC389" i="38"/>
  <c r="AD389" i="38"/>
  <c r="AF389" i="38"/>
  <c r="AB390" i="38"/>
  <c r="AC390" i="38"/>
  <c r="AD390" i="38"/>
  <c r="AF390" i="38"/>
  <c r="AB391" i="38"/>
  <c r="AC391" i="38"/>
  <c r="AD391" i="38"/>
  <c r="AF391" i="38"/>
  <c r="AB392" i="38"/>
  <c r="AC392" i="38"/>
  <c r="AD392" i="38"/>
  <c r="AF392" i="38"/>
  <c r="AB393" i="38"/>
  <c r="AC393" i="38"/>
  <c r="AD393" i="38"/>
  <c r="AF393" i="38"/>
  <c r="AB394" i="38"/>
  <c r="AC394" i="38"/>
  <c r="AD394" i="38"/>
  <c r="AF394" i="38"/>
  <c r="AB395" i="38"/>
  <c r="AC395" i="38"/>
  <c r="AD395" i="38"/>
  <c r="AF395" i="38"/>
  <c r="AB396" i="38"/>
  <c r="AC396" i="38"/>
  <c r="AD396" i="38"/>
  <c r="AF396" i="38"/>
  <c r="AB397" i="38"/>
  <c r="AC397" i="38"/>
  <c r="AD397" i="38"/>
  <c r="AF397" i="38"/>
  <c r="AB398" i="38"/>
  <c r="AC398" i="38"/>
  <c r="AD398" i="38"/>
  <c r="AF398" i="38"/>
  <c r="AB399" i="38"/>
  <c r="AC399" i="38"/>
  <c r="AD399" i="38"/>
  <c r="AF399" i="38"/>
  <c r="AB400" i="38"/>
  <c r="AC400" i="38"/>
  <c r="AD400" i="38"/>
  <c r="AF400" i="38"/>
  <c r="AB401" i="38"/>
  <c r="AC401" i="38"/>
  <c r="AD401" i="38"/>
  <c r="AF401" i="38"/>
  <c r="AB402" i="38"/>
  <c r="AC402" i="38"/>
  <c r="AD402" i="38"/>
  <c r="AF402" i="38"/>
  <c r="AB403" i="38"/>
  <c r="AC403" i="38"/>
  <c r="AD403" i="38"/>
  <c r="AF403" i="38"/>
  <c r="AB404" i="38"/>
  <c r="AC404" i="38"/>
  <c r="AD404" i="38"/>
  <c r="AF404" i="38"/>
  <c r="AB405" i="38"/>
  <c r="AC405" i="38"/>
  <c r="AD405" i="38"/>
  <c r="AF405" i="38"/>
  <c r="AB406" i="38"/>
  <c r="AC406" i="38"/>
  <c r="AD406" i="38"/>
  <c r="AF406" i="38"/>
  <c r="AB407" i="38"/>
  <c r="AC407" i="38"/>
  <c r="AD407" i="38"/>
  <c r="AF407" i="38"/>
  <c r="AB408" i="38"/>
  <c r="AC408" i="38"/>
  <c r="AD408" i="38"/>
  <c r="AF408" i="38"/>
  <c r="AB409" i="38"/>
  <c r="AC409" i="38"/>
  <c r="AD409" i="38"/>
  <c r="AF409" i="38"/>
  <c r="AB410" i="38"/>
  <c r="AC410" i="38"/>
  <c r="AD410" i="38"/>
  <c r="AF410" i="38"/>
  <c r="AB411" i="38"/>
  <c r="AC411" i="38"/>
  <c r="AD411" i="38"/>
  <c r="AF411" i="38"/>
  <c r="AB412" i="38"/>
  <c r="AC412" i="38"/>
  <c r="AD412" i="38"/>
  <c r="AF412" i="38"/>
  <c r="AB413" i="38"/>
  <c r="AC413" i="38"/>
  <c r="AD413" i="38"/>
  <c r="AF413" i="38"/>
  <c r="AB414" i="38"/>
  <c r="AC414" i="38"/>
  <c r="AD414" i="38"/>
  <c r="AF414" i="38"/>
  <c r="AB415" i="38"/>
  <c r="AC415" i="38"/>
  <c r="AD415" i="38"/>
  <c r="AF415" i="38"/>
  <c r="AF253" i="38"/>
  <c r="AD253" i="38"/>
  <c r="AC253" i="38"/>
  <c r="AB253" i="38"/>
  <c r="AF3" i="38"/>
  <c r="AD3" i="38"/>
  <c r="AC3" i="38"/>
  <c r="AB3" i="38"/>
  <c r="O90" i="39" l="1"/>
  <c r="AH1" i="38"/>
  <c r="A3" i="5"/>
  <c r="E2" i="33"/>
  <c r="C63" i="7"/>
  <c r="C22" i="7"/>
  <c r="P62" i="7"/>
  <c r="P21" i="7"/>
  <c r="DE2" i="11"/>
  <c r="CT6" i="11"/>
  <c r="CT7" i="11"/>
  <c r="CT8" i="11"/>
  <c r="CT9" i="11"/>
  <c r="CT10" i="11"/>
  <c r="CT11" i="11"/>
  <c r="CT12" i="11"/>
  <c r="CT13" i="11"/>
  <c r="CT14" i="11"/>
  <c r="CT15" i="11"/>
  <c r="CT16" i="11"/>
  <c r="CT17" i="11"/>
  <c r="CT18" i="11"/>
  <c r="CT19" i="11"/>
  <c r="CT20" i="11"/>
  <c r="CT21" i="11"/>
  <c r="CT22" i="11"/>
  <c r="CT23" i="11"/>
  <c r="CT24" i="11"/>
  <c r="CT25" i="11"/>
  <c r="CT26" i="11"/>
  <c r="CT27" i="11"/>
  <c r="CT28" i="11"/>
  <c r="CT29" i="11"/>
  <c r="CT30" i="11"/>
  <c r="CT31" i="11"/>
  <c r="CT32" i="11"/>
  <c r="CT33" i="11"/>
  <c r="CT34" i="11"/>
  <c r="CT35" i="11"/>
  <c r="CT36" i="11"/>
  <c r="CT37" i="11"/>
  <c r="CT38" i="11"/>
  <c r="CT39" i="11"/>
  <c r="CT40" i="11"/>
  <c r="CT41" i="11"/>
  <c r="CT42" i="11"/>
  <c r="CT43" i="11"/>
  <c r="CT44" i="11"/>
  <c r="CT45" i="11"/>
  <c r="CT46" i="11"/>
  <c r="CT47" i="11"/>
  <c r="CT48" i="11"/>
  <c r="CT49" i="11"/>
  <c r="CT50" i="11"/>
  <c r="CT51" i="11"/>
  <c r="CT52" i="11"/>
  <c r="CT53" i="11"/>
  <c r="CT54" i="11"/>
  <c r="CT55" i="11"/>
  <c r="CT56" i="11"/>
  <c r="CT57" i="11"/>
  <c r="CT58" i="11"/>
  <c r="CT59" i="11"/>
  <c r="CT60" i="11"/>
  <c r="CT61" i="11"/>
  <c r="CT62" i="11"/>
  <c r="CT63" i="11"/>
  <c r="CT64" i="11"/>
  <c r="CT65" i="11"/>
  <c r="CT66" i="11"/>
  <c r="CT67" i="11"/>
  <c r="CT68" i="11"/>
  <c r="CT69" i="11"/>
  <c r="CT70" i="11"/>
  <c r="CT71" i="11"/>
  <c r="CT72" i="11"/>
  <c r="CT73" i="11"/>
  <c r="CT74" i="11"/>
  <c r="CT75" i="11"/>
  <c r="CT76" i="11"/>
  <c r="CT77" i="11"/>
  <c r="CT78" i="11"/>
  <c r="CT79" i="11"/>
  <c r="CT80" i="11"/>
  <c r="CT81" i="11"/>
  <c r="CT82" i="11"/>
  <c r="CT83" i="11"/>
  <c r="CT84" i="11"/>
  <c r="CT85" i="11"/>
  <c r="CT86" i="11"/>
  <c r="CT87" i="11"/>
  <c r="CT88" i="11"/>
  <c r="CT89" i="11"/>
  <c r="CT90" i="11"/>
  <c r="CT91" i="11"/>
  <c r="CT92" i="11"/>
  <c r="CT93" i="11"/>
  <c r="CT94" i="11"/>
  <c r="CT95" i="11"/>
  <c r="CT96" i="11"/>
  <c r="CT97" i="11"/>
  <c r="CT98" i="11"/>
  <c r="CT99" i="11"/>
  <c r="CT100" i="11"/>
  <c r="CT101" i="11"/>
  <c r="CT102" i="11"/>
  <c r="CT103" i="11"/>
  <c r="CT104" i="11"/>
  <c r="CT105" i="11"/>
  <c r="CT106" i="11"/>
  <c r="CT107" i="11"/>
  <c r="CT108" i="11"/>
  <c r="CT109" i="11"/>
  <c r="CT110" i="11"/>
  <c r="CT111" i="11"/>
  <c r="CT112" i="11"/>
  <c r="CT113" i="11"/>
  <c r="CT114" i="11"/>
  <c r="CT115" i="11"/>
  <c r="CT116" i="11"/>
  <c r="CT117" i="11"/>
  <c r="CT118" i="11"/>
  <c r="CT119" i="11"/>
  <c r="CT120" i="11"/>
  <c r="CT121" i="11"/>
  <c r="CT122" i="11"/>
  <c r="CT123" i="11"/>
  <c r="CT124" i="11"/>
  <c r="CT125" i="11"/>
  <c r="CT126" i="11"/>
  <c r="CT127" i="11"/>
  <c r="CT128" i="11"/>
  <c r="CT129" i="11"/>
  <c r="CT130" i="11"/>
  <c r="CT131" i="11"/>
  <c r="CT132" i="11"/>
  <c r="CT133" i="11"/>
  <c r="CT134" i="11"/>
  <c r="CT135" i="11"/>
  <c r="CT136" i="11"/>
  <c r="CT137" i="11"/>
  <c r="CT138" i="11"/>
  <c r="CT139" i="11"/>
  <c r="CT140" i="11"/>
  <c r="CT141" i="11"/>
  <c r="CT142" i="11"/>
  <c r="CT143" i="11"/>
  <c r="CT144" i="11"/>
  <c r="CT145" i="11"/>
  <c r="CT146" i="11"/>
  <c r="CT147" i="11"/>
  <c r="CT148" i="11"/>
  <c r="CT149" i="11"/>
  <c r="CT150" i="11"/>
  <c r="CT151" i="11"/>
  <c r="CT152" i="11"/>
  <c r="CT153" i="11"/>
  <c r="CT154" i="11"/>
  <c r="CT155" i="11"/>
  <c r="CT156" i="11"/>
  <c r="CT157" i="11"/>
  <c r="CT158" i="11"/>
  <c r="CT159" i="11"/>
  <c r="CT160" i="11"/>
  <c r="CT161" i="11"/>
  <c r="CT162" i="11"/>
  <c r="CT163" i="11"/>
  <c r="CT164" i="11"/>
  <c r="CT165" i="11"/>
  <c r="CT166" i="11"/>
  <c r="CT167" i="11"/>
  <c r="DA4" i="11"/>
  <c r="CY4" i="11"/>
  <c r="CX4" i="11"/>
  <c r="CW4" i="11"/>
  <c r="CU4" i="11"/>
  <c r="CT4" i="11"/>
  <c r="CS4" i="11"/>
  <c r="CQ4" i="11"/>
  <c r="CP4" i="11"/>
  <c r="CO4" i="11"/>
  <c r="CM4" i="11"/>
  <c r="CL4" i="11"/>
  <c r="CK4" i="11"/>
  <c r="CI4" i="11"/>
  <c r="CH4" i="11"/>
  <c r="CG4" i="11"/>
  <c r="CE4" i="11"/>
  <c r="CD4" i="11"/>
  <c r="CC4" i="11"/>
  <c r="CB4" i="11"/>
  <c r="T1" i="1"/>
  <c r="AF1" i="1" s="1"/>
  <c r="AR1" i="1" s="1"/>
  <c r="BD1" i="1" s="1"/>
  <c r="BP1" i="1" s="1"/>
  <c r="H1" i="11"/>
  <c r="EX4" i="1"/>
  <c r="EZ4" i="1"/>
  <c r="EW4" i="1"/>
  <c r="CC1" i="1"/>
  <c r="CO1" i="1" s="1"/>
  <c r="DA1" i="1" s="1"/>
  <c r="DM1" i="1" s="1"/>
  <c r="DY1" i="1" s="1"/>
  <c r="EK1" i="1" s="1"/>
  <c r="G4" i="1"/>
  <c r="FC2" i="1"/>
  <c r="F13" i="38"/>
  <c r="P90" i="39" l="1"/>
  <c r="AI1" i="38"/>
  <c r="V25" i="7"/>
  <c r="W25" i="7"/>
  <c r="X25" i="7"/>
  <c r="Y25" i="7"/>
  <c r="Z25" i="7"/>
  <c r="V26" i="7"/>
  <c r="W26" i="7"/>
  <c r="X26" i="7"/>
  <c r="Y26" i="7"/>
  <c r="Z26" i="7"/>
  <c r="V27" i="7"/>
  <c r="W27" i="7"/>
  <c r="X27" i="7"/>
  <c r="Y27" i="7"/>
  <c r="Z27" i="7"/>
  <c r="V28" i="7"/>
  <c r="W28" i="7"/>
  <c r="X28" i="7"/>
  <c r="Y28" i="7"/>
  <c r="Z28" i="7"/>
  <c r="V29" i="7"/>
  <c r="W29" i="7"/>
  <c r="X29" i="7"/>
  <c r="Y29" i="7"/>
  <c r="Z29" i="7"/>
  <c r="V30" i="7"/>
  <c r="W30" i="7"/>
  <c r="X30" i="7"/>
  <c r="Y30" i="7"/>
  <c r="Z30" i="7"/>
  <c r="V31" i="7"/>
  <c r="W31" i="7"/>
  <c r="X31" i="7"/>
  <c r="Y31" i="7"/>
  <c r="Z31" i="7"/>
  <c r="V32" i="7"/>
  <c r="W32" i="7"/>
  <c r="X32" i="7"/>
  <c r="Y32" i="7"/>
  <c r="Z32" i="7"/>
  <c r="V33" i="7"/>
  <c r="W33" i="7"/>
  <c r="X33" i="7"/>
  <c r="Y33" i="7"/>
  <c r="Z33" i="7"/>
  <c r="V34" i="7"/>
  <c r="W34" i="7"/>
  <c r="X34" i="7"/>
  <c r="Y34" i="7"/>
  <c r="Z34" i="7"/>
  <c r="V35" i="7"/>
  <c r="W35" i="7"/>
  <c r="X35" i="7"/>
  <c r="Y35" i="7"/>
  <c r="Z35" i="7"/>
  <c r="V36" i="7"/>
  <c r="W36" i="7"/>
  <c r="X36" i="7"/>
  <c r="Y36" i="7"/>
  <c r="Z36" i="7"/>
  <c r="V37" i="7"/>
  <c r="W37" i="7"/>
  <c r="X37" i="7"/>
  <c r="Y37" i="7"/>
  <c r="Z37" i="7"/>
  <c r="V38" i="7"/>
  <c r="W38" i="7"/>
  <c r="X38" i="7"/>
  <c r="Y38" i="7"/>
  <c r="Z38" i="7"/>
  <c r="V39" i="7"/>
  <c r="W39" i="7"/>
  <c r="X39" i="7"/>
  <c r="Y39" i="7"/>
  <c r="Z39" i="7"/>
  <c r="V40" i="7"/>
  <c r="W40" i="7"/>
  <c r="X40" i="7"/>
  <c r="Y40" i="7"/>
  <c r="Z40" i="7"/>
  <c r="V41" i="7"/>
  <c r="W41" i="7"/>
  <c r="X41" i="7"/>
  <c r="Y41" i="7"/>
  <c r="Z41" i="7"/>
  <c r="V42" i="7"/>
  <c r="W42" i="7"/>
  <c r="X42" i="7"/>
  <c r="Y42" i="7"/>
  <c r="Z42" i="7"/>
  <c r="V43" i="7"/>
  <c r="W43" i="7"/>
  <c r="X43" i="7"/>
  <c r="Y43" i="7"/>
  <c r="Z43" i="7"/>
  <c r="V44" i="7"/>
  <c r="W44" i="7"/>
  <c r="X44" i="7"/>
  <c r="Y44" i="7"/>
  <c r="Z44" i="7"/>
  <c r="V45" i="7"/>
  <c r="W45" i="7"/>
  <c r="X45" i="7"/>
  <c r="Y45" i="7"/>
  <c r="Z45" i="7"/>
  <c r="V46" i="7"/>
  <c r="W46" i="7"/>
  <c r="X46" i="7"/>
  <c r="Y46" i="7"/>
  <c r="Z46" i="7"/>
  <c r="V47" i="7"/>
  <c r="W47" i="7"/>
  <c r="X47" i="7"/>
  <c r="Y47" i="7"/>
  <c r="Z47" i="7"/>
  <c r="V48" i="7"/>
  <c r="W48" i="7"/>
  <c r="X48" i="7"/>
  <c r="Y48" i="7"/>
  <c r="Z48" i="7"/>
  <c r="V49" i="7"/>
  <c r="W49" i="7"/>
  <c r="X49" i="7"/>
  <c r="Y49" i="7"/>
  <c r="Z49" i="7"/>
  <c r="V50" i="7"/>
  <c r="W50" i="7"/>
  <c r="X50" i="7"/>
  <c r="Y50" i="7"/>
  <c r="Z50" i="7"/>
  <c r="V51" i="7"/>
  <c r="W51" i="7"/>
  <c r="X51" i="7"/>
  <c r="Y51" i="7"/>
  <c r="Z51" i="7"/>
  <c r="V52" i="7"/>
  <c r="W52" i="7"/>
  <c r="X52" i="7"/>
  <c r="Y52" i="7"/>
  <c r="Z52" i="7"/>
  <c r="V53" i="7"/>
  <c r="W53" i="7"/>
  <c r="X53" i="7"/>
  <c r="Y53" i="7"/>
  <c r="Z53" i="7"/>
  <c r="V54" i="7"/>
  <c r="W54" i="7"/>
  <c r="X54" i="7"/>
  <c r="Y54" i="7"/>
  <c r="Z54" i="7"/>
  <c r="V55" i="7"/>
  <c r="W55" i="7"/>
  <c r="X55" i="7"/>
  <c r="Y55" i="7"/>
  <c r="Z55" i="7"/>
  <c r="V56" i="7"/>
  <c r="W56" i="7"/>
  <c r="X56" i="7"/>
  <c r="Y56" i="7"/>
  <c r="Z56" i="7"/>
  <c r="V57" i="7"/>
  <c r="W57" i="7"/>
  <c r="X57" i="7"/>
  <c r="Y57" i="7"/>
  <c r="Z57" i="7"/>
  <c r="W24" i="7"/>
  <c r="X24" i="7"/>
  <c r="Y24" i="7"/>
  <c r="Z24" i="7"/>
  <c r="V24" i="7"/>
  <c r="AD438" i="38"/>
  <c r="P25" i="7"/>
  <c r="Q25" i="7" s="1"/>
  <c r="P26" i="7"/>
  <c r="Q26" i="7" s="1"/>
  <c r="AB418" i="38" s="1"/>
  <c r="P27" i="7"/>
  <c r="Q27" i="7" s="1"/>
  <c r="P28" i="7"/>
  <c r="Q28" i="7" s="1"/>
  <c r="P29" i="7"/>
  <c r="Q29" i="7" s="1"/>
  <c r="P30" i="7"/>
  <c r="Q30" i="7" s="1"/>
  <c r="P31" i="7"/>
  <c r="Q31" i="7" s="1"/>
  <c r="P32" i="7"/>
  <c r="Q32" i="7" s="1"/>
  <c r="P33" i="7"/>
  <c r="Q33" i="7" s="1"/>
  <c r="P34" i="7"/>
  <c r="Q34" i="7" s="1"/>
  <c r="P35" i="7"/>
  <c r="Q35" i="7" s="1"/>
  <c r="P36" i="7"/>
  <c r="Q36" i="7" s="1"/>
  <c r="P37" i="7"/>
  <c r="Q37" i="7" s="1"/>
  <c r="P38" i="7"/>
  <c r="Q38" i="7" s="1"/>
  <c r="P39" i="7"/>
  <c r="Q39" i="7" s="1"/>
  <c r="P40" i="7"/>
  <c r="Q40" i="7" s="1"/>
  <c r="P41" i="7"/>
  <c r="Q41" i="7" s="1"/>
  <c r="P42" i="7"/>
  <c r="Q42" i="7" s="1"/>
  <c r="P43" i="7"/>
  <c r="Q43" i="7" s="1"/>
  <c r="P44" i="7"/>
  <c r="Q44" i="7" s="1"/>
  <c r="P45" i="7"/>
  <c r="Q45" i="7" s="1"/>
  <c r="P46" i="7"/>
  <c r="Q46" i="7" s="1"/>
  <c r="P47" i="7"/>
  <c r="Q47" i="7" s="1"/>
  <c r="P48" i="7"/>
  <c r="Q48" i="7" s="1"/>
  <c r="P49" i="7"/>
  <c r="Q49" i="7" s="1"/>
  <c r="P50" i="7"/>
  <c r="Q50" i="7" s="1"/>
  <c r="P51" i="7"/>
  <c r="Q51" i="7" s="1"/>
  <c r="P52" i="7"/>
  <c r="Q52" i="7" s="1"/>
  <c r="P53" i="7"/>
  <c r="Q53" i="7" s="1"/>
  <c r="P54" i="7"/>
  <c r="Q54" i="7" s="1"/>
  <c r="P55" i="7"/>
  <c r="Q55" i="7" s="1"/>
  <c r="P56" i="7"/>
  <c r="Q56" i="7" s="1"/>
  <c r="P57" i="7"/>
  <c r="Q57" i="7" s="1"/>
  <c r="P24" i="7"/>
  <c r="Q24" i="7" s="1"/>
  <c r="AA51" i="7" l="1"/>
  <c r="AA35" i="7"/>
  <c r="AA55" i="7"/>
  <c r="AA47" i="7"/>
  <c r="AA39" i="7"/>
  <c r="AA42" i="7"/>
  <c r="AA38" i="7"/>
  <c r="AA57" i="7"/>
  <c r="AA54" i="7"/>
  <c r="AA53" i="7"/>
  <c r="AA50" i="7"/>
  <c r="AA49" i="7"/>
  <c r="AA41" i="7"/>
  <c r="AA37" i="7"/>
  <c r="AA56" i="7"/>
  <c r="AA52" i="7"/>
  <c r="AA48" i="7"/>
  <c r="AA40" i="7"/>
  <c r="AA36" i="7"/>
  <c r="AA45" i="7"/>
  <c r="AA44" i="7"/>
  <c r="AA43" i="7"/>
  <c r="AA32" i="7"/>
  <c r="AA31" i="7"/>
  <c r="AA27" i="7"/>
  <c r="AA34" i="7"/>
  <c r="AA30" i="7"/>
  <c r="AA26" i="7"/>
  <c r="AA33" i="7"/>
  <c r="AA29" i="7"/>
  <c r="AA25" i="7"/>
  <c r="T50" i="7"/>
  <c r="AE442" i="38" s="1"/>
  <c r="AB442" i="38"/>
  <c r="T34" i="7"/>
  <c r="AE426" i="38" s="1"/>
  <c r="AB426" i="38"/>
  <c r="T49" i="7"/>
  <c r="AE441" i="38" s="1"/>
  <c r="AB441" i="38"/>
  <c r="T45" i="7"/>
  <c r="AE437" i="38" s="1"/>
  <c r="AB437" i="38"/>
  <c r="T41" i="7"/>
  <c r="AE433" i="38" s="1"/>
  <c r="AB433" i="38"/>
  <c r="T37" i="7"/>
  <c r="AE429" i="38" s="1"/>
  <c r="AB429" i="38"/>
  <c r="T33" i="7"/>
  <c r="AE425" i="38" s="1"/>
  <c r="AB425" i="38"/>
  <c r="T29" i="7"/>
  <c r="AE421" i="38" s="1"/>
  <c r="AB421" i="38"/>
  <c r="T25" i="7"/>
  <c r="AE417" i="38" s="1"/>
  <c r="AB417" i="38"/>
  <c r="T54" i="7"/>
  <c r="AE446" i="38" s="1"/>
  <c r="AB446" i="38"/>
  <c r="T53" i="7"/>
  <c r="AE445" i="38" s="1"/>
  <c r="AB445" i="38"/>
  <c r="T52" i="7"/>
  <c r="AE444" i="38" s="1"/>
  <c r="AB444" i="38"/>
  <c r="T48" i="7"/>
  <c r="AE440" i="38" s="1"/>
  <c r="AB440" i="38"/>
  <c r="T44" i="7"/>
  <c r="AE436" i="38" s="1"/>
  <c r="AB436" i="38"/>
  <c r="T40" i="7"/>
  <c r="AE432" i="38" s="1"/>
  <c r="AB432" i="38"/>
  <c r="T36" i="7"/>
  <c r="AE428" i="38" s="1"/>
  <c r="AB428" i="38"/>
  <c r="T32" i="7"/>
  <c r="AE424" i="38" s="1"/>
  <c r="AB424" i="38"/>
  <c r="T42" i="7"/>
  <c r="AE434" i="38" s="1"/>
  <c r="AB434" i="38"/>
  <c r="T38" i="7"/>
  <c r="AE430" i="38" s="1"/>
  <c r="AB430" i="38"/>
  <c r="T30" i="7"/>
  <c r="AE422" i="38" s="1"/>
  <c r="AB422" i="38"/>
  <c r="T57" i="7"/>
  <c r="AE449" i="38" s="1"/>
  <c r="AB449" i="38"/>
  <c r="T56" i="7"/>
  <c r="AE448" i="38" s="1"/>
  <c r="AB448" i="38"/>
  <c r="T55" i="7"/>
  <c r="AE447" i="38" s="1"/>
  <c r="AB447" i="38"/>
  <c r="T51" i="7"/>
  <c r="AE443" i="38" s="1"/>
  <c r="AB443" i="38"/>
  <c r="T47" i="7"/>
  <c r="AE439" i="38" s="1"/>
  <c r="AB439" i="38"/>
  <c r="T43" i="7"/>
  <c r="AE435" i="38" s="1"/>
  <c r="AB435" i="38"/>
  <c r="T39" i="7"/>
  <c r="AE431" i="38" s="1"/>
  <c r="AB431" i="38"/>
  <c r="T35" i="7"/>
  <c r="AE427" i="38" s="1"/>
  <c r="AB427" i="38"/>
  <c r="T31" i="7"/>
  <c r="AE423" i="38" s="1"/>
  <c r="AB423" i="38"/>
  <c r="T27" i="7"/>
  <c r="AE419" i="38" s="1"/>
  <c r="AB419" i="38"/>
  <c r="AJ1" i="38"/>
  <c r="AB438" i="38"/>
  <c r="AA46" i="7"/>
  <c r="AA28" i="7"/>
  <c r="AB420" i="38"/>
  <c r="T24" i="7"/>
  <c r="AE416" i="38" s="1"/>
  <c r="AB416" i="38"/>
  <c r="F19" i="41" l="1" a="1"/>
  <c r="F19" i="41" s="1"/>
  <c r="E19" i="41" s="1"/>
  <c r="AK1" i="38"/>
  <c r="DH9" i="11"/>
  <c r="AE257" i="38" s="1"/>
  <c r="DH7" i="11"/>
  <c r="AE255" i="38" s="1"/>
  <c r="DH8" i="11"/>
  <c r="AE256" i="38" s="1"/>
  <c r="DH10" i="11"/>
  <c r="AE258" i="38" s="1"/>
  <c r="DH11" i="11"/>
  <c r="AE259" i="38" s="1"/>
  <c r="DH13" i="11"/>
  <c r="AE261" i="38" s="1"/>
  <c r="DH14" i="11"/>
  <c r="AE262" i="38" s="1"/>
  <c r="DH16" i="11"/>
  <c r="AE264" i="38" s="1"/>
  <c r="DH17" i="11"/>
  <c r="AE265" i="38" s="1"/>
  <c r="DH18" i="11"/>
  <c r="AE266" i="38" s="1"/>
  <c r="DH19" i="11"/>
  <c r="AE267" i="38" s="1"/>
  <c r="DH20" i="11"/>
  <c r="AE268" i="38" s="1"/>
  <c r="DH21" i="11"/>
  <c r="AE269" i="38" s="1"/>
  <c r="DH22" i="11"/>
  <c r="AE270" i="38" s="1"/>
  <c r="DH23" i="11"/>
  <c r="AE271" i="38" s="1"/>
  <c r="DH24" i="11"/>
  <c r="AE272" i="38" s="1"/>
  <c r="DH25" i="11"/>
  <c r="AE273" i="38" s="1"/>
  <c r="DH26" i="11"/>
  <c r="AE274" i="38" s="1"/>
  <c r="DH27" i="11"/>
  <c r="AE275" i="38" s="1"/>
  <c r="DH28" i="11"/>
  <c r="AE276" i="38" s="1"/>
  <c r="DH29" i="11"/>
  <c r="AE277" i="38" s="1"/>
  <c r="DH30" i="11"/>
  <c r="AE278" i="38" s="1"/>
  <c r="DH31" i="11"/>
  <c r="AE279" i="38" s="1"/>
  <c r="DH32" i="11"/>
  <c r="AE280" i="38" s="1"/>
  <c r="DH33" i="11"/>
  <c r="AE281" i="38" s="1"/>
  <c r="DH34" i="11"/>
  <c r="AE282" i="38" s="1"/>
  <c r="DH35" i="11"/>
  <c r="AE283" i="38" s="1"/>
  <c r="DH36" i="11"/>
  <c r="AE284" i="38" s="1"/>
  <c r="DH37" i="11"/>
  <c r="AE285" i="38" s="1"/>
  <c r="DH38" i="11"/>
  <c r="AE286" i="38" s="1"/>
  <c r="DH39" i="11"/>
  <c r="AE287" i="38" s="1"/>
  <c r="DH40" i="11"/>
  <c r="AE288" i="38" s="1"/>
  <c r="DH41" i="11"/>
  <c r="AE289" i="38" s="1"/>
  <c r="DH42" i="11"/>
  <c r="AE290" i="38" s="1"/>
  <c r="DH43" i="11"/>
  <c r="AE291" i="38" s="1"/>
  <c r="DH44" i="11"/>
  <c r="AE292" i="38" s="1"/>
  <c r="DH45" i="11"/>
  <c r="AE293" i="38" s="1"/>
  <c r="DH46" i="11"/>
  <c r="AE294" i="38" s="1"/>
  <c r="DH47" i="11"/>
  <c r="AE295" i="38" s="1"/>
  <c r="DH48" i="11"/>
  <c r="AE296" i="38" s="1"/>
  <c r="DH49" i="11"/>
  <c r="AE297" i="38" s="1"/>
  <c r="DH50" i="11"/>
  <c r="AE298" i="38" s="1"/>
  <c r="DH51" i="11"/>
  <c r="AE299" i="38" s="1"/>
  <c r="DH52" i="11"/>
  <c r="AE300" i="38" s="1"/>
  <c r="DH53" i="11"/>
  <c r="AE301" i="38" s="1"/>
  <c r="DH54" i="11"/>
  <c r="AE302" i="38" s="1"/>
  <c r="DH55" i="11"/>
  <c r="AE303" i="38" s="1"/>
  <c r="DH56" i="11"/>
  <c r="AE304" i="38" s="1"/>
  <c r="DH57" i="11"/>
  <c r="AE305" i="38" s="1"/>
  <c r="DH58" i="11"/>
  <c r="AE306" i="38" s="1"/>
  <c r="DH59" i="11"/>
  <c r="AE307" i="38" s="1"/>
  <c r="DH60" i="11"/>
  <c r="AE308" i="38" s="1"/>
  <c r="DH61" i="11"/>
  <c r="AE309" i="38" s="1"/>
  <c r="DH62" i="11"/>
  <c r="AE310" i="38" s="1"/>
  <c r="DH63" i="11"/>
  <c r="AE311" i="38" s="1"/>
  <c r="DH64" i="11"/>
  <c r="AE312" i="38" s="1"/>
  <c r="DH65" i="11"/>
  <c r="AE313" i="38" s="1"/>
  <c r="DH66" i="11"/>
  <c r="AE314" i="38" s="1"/>
  <c r="DH67" i="11"/>
  <c r="AE315" i="38" s="1"/>
  <c r="DH68" i="11"/>
  <c r="AE316" i="38" s="1"/>
  <c r="DH69" i="11"/>
  <c r="AE317" i="38" s="1"/>
  <c r="DH70" i="11"/>
  <c r="AE318" i="38" s="1"/>
  <c r="DH71" i="11"/>
  <c r="AE319" i="38" s="1"/>
  <c r="DH72" i="11"/>
  <c r="AE320" i="38" s="1"/>
  <c r="DH73" i="11"/>
  <c r="AE321" i="38" s="1"/>
  <c r="DH74" i="11"/>
  <c r="AE322" i="38" s="1"/>
  <c r="DH75" i="11"/>
  <c r="AE323" i="38" s="1"/>
  <c r="DH76" i="11"/>
  <c r="AE324" i="38" s="1"/>
  <c r="DH77" i="11"/>
  <c r="AE325" i="38" s="1"/>
  <c r="DH78" i="11"/>
  <c r="AE326" i="38" s="1"/>
  <c r="DH79" i="11"/>
  <c r="AE327" i="38" s="1"/>
  <c r="DH80" i="11"/>
  <c r="AE328" i="38" s="1"/>
  <c r="DH81" i="11"/>
  <c r="AE329" i="38" s="1"/>
  <c r="DH82" i="11"/>
  <c r="AE330" i="38" s="1"/>
  <c r="DH83" i="11"/>
  <c r="AE331" i="38" s="1"/>
  <c r="DH84" i="11"/>
  <c r="AE332" i="38" s="1"/>
  <c r="DH85" i="11"/>
  <c r="AE333" i="38" s="1"/>
  <c r="DH86" i="11"/>
  <c r="AE334" i="38" s="1"/>
  <c r="DH87" i="11"/>
  <c r="AE335" i="38" s="1"/>
  <c r="DH88" i="11"/>
  <c r="AE336" i="38" s="1"/>
  <c r="DH89" i="11"/>
  <c r="AE337" i="38" s="1"/>
  <c r="DH90" i="11"/>
  <c r="AE338" i="38" s="1"/>
  <c r="DH91" i="11"/>
  <c r="AE339" i="38" s="1"/>
  <c r="DH92" i="11"/>
  <c r="AE340" i="38" s="1"/>
  <c r="DH93" i="11"/>
  <c r="AE341" i="38" s="1"/>
  <c r="DH94" i="11"/>
  <c r="AE342" i="38" s="1"/>
  <c r="DH95" i="11"/>
  <c r="AE343" i="38" s="1"/>
  <c r="DH96" i="11"/>
  <c r="AE344" i="38" s="1"/>
  <c r="DH97" i="11"/>
  <c r="AE345" i="38" s="1"/>
  <c r="DH98" i="11"/>
  <c r="AE346" i="38" s="1"/>
  <c r="DH99" i="11"/>
  <c r="AE347" i="38" s="1"/>
  <c r="DH100" i="11"/>
  <c r="AE348" i="38" s="1"/>
  <c r="DH101" i="11"/>
  <c r="AE349" i="38" s="1"/>
  <c r="DH102" i="11"/>
  <c r="AE350" i="38" s="1"/>
  <c r="DH103" i="11"/>
  <c r="AE351" i="38" s="1"/>
  <c r="DH104" i="11"/>
  <c r="AE352" i="38" s="1"/>
  <c r="DH105" i="11"/>
  <c r="AE353" i="38" s="1"/>
  <c r="DH106" i="11"/>
  <c r="AE354" i="38" s="1"/>
  <c r="DH107" i="11"/>
  <c r="AE355" i="38" s="1"/>
  <c r="DH108" i="11"/>
  <c r="AE356" i="38" s="1"/>
  <c r="DH109" i="11"/>
  <c r="AE357" i="38" s="1"/>
  <c r="DH110" i="11"/>
  <c r="AE358" i="38" s="1"/>
  <c r="DH111" i="11"/>
  <c r="AE359" i="38" s="1"/>
  <c r="DH112" i="11"/>
  <c r="AE360" i="38" s="1"/>
  <c r="DH113" i="11"/>
  <c r="AE361" i="38" s="1"/>
  <c r="DH114" i="11"/>
  <c r="AE362" i="38" s="1"/>
  <c r="DH115" i="11"/>
  <c r="AE363" i="38" s="1"/>
  <c r="DH116" i="11"/>
  <c r="AE364" i="38" s="1"/>
  <c r="DH117" i="11"/>
  <c r="AE365" i="38" s="1"/>
  <c r="DH118" i="11"/>
  <c r="AE366" i="38" s="1"/>
  <c r="DH119" i="11"/>
  <c r="AE367" i="38" s="1"/>
  <c r="DH120" i="11"/>
  <c r="AE368" i="38" s="1"/>
  <c r="DH121" i="11"/>
  <c r="AE369" i="38" s="1"/>
  <c r="DH122" i="11"/>
  <c r="AE370" i="38" s="1"/>
  <c r="DH123" i="11"/>
  <c r="AE371" i="38" s="1"/>
  <c r="DH124" i="11"/>
  <c r="AE372" i="38" s="1"/>
  <c r="DH125" i="11"/>
  <c r="AE373" i="38" s="1"/>
  <c r="DH126" i="11"/>
  <c r="AE374" i="38" s="1"/>
  <c r="DH127" i="11"/>
  <c r="AE375" i="38" s="1"/>
  <c r="DH128" i="11"/>
  <c r="AE376" i="38" s="1"/>
  <c r="DH129" i="11"/>
  <c r="AE377" i="38" s="1"/>
  <c r="DH130" i="11"/>
  <c r="AE378" i="38" s="1"/>
  <c r="DH131" i="11"/>
  <c r="AE379" i="38" s="1"/>
  <c r="DH132" i="11"/>
  <c r="AE380" i="38" s="1"/>
  <c r="DH133" i="11"/>
  <c r="AE381" i="38" s="1"/>
  <c r="DH134" i="11"/>
  <c r="AE382" i="38" s="1"/>
  <c r="DH135" i="11"/>
  <c r="AE383" i="38" s="1"/>
  <c r="DH136" i="11"/>
  <c r="AE384" i="38" s="1"/>
  <c r="DH137" i="11"/>
  <c r="AE385" i="38" s="1"/>
  <c r="DH138" i="11"/>
  <c r="AE386" i="38" s="1"/>
  <c r="DH139" i="11"/>
  <c r="AE387" i="38" s="1"/>
  <c r="DH140" i="11"/>
  <c r="AE388" i="38" s="1"/>
  <c r="DH141" i="11"/>
  <c r="AE389" i="38" s="1"/>
  <c r="DH142" i="11"/>
  <c r="AE390" i="38" s="1"/>
  <c r="DH143" i="11"/>
  <c r="AE391" i="38" s="1"/>
  <c r="DH144" i="11"/>
  <c r="AE392" i="38" s="1"/>
  <c r="DH145" i="11"/>
  <c r="AE393" i="38" s="1"/>
  <c r="DH146" i="11"/>
  <c r="AE394" i="38" s="1"/>
  <c r="DH147" i="11"/>
  <c r="AE395" i="38" s="1"/>
  <c r="DH148" i="11"/>
  <c r="AE396" i="38" s="1"/>
  <c r="DH149" i="11"/>
  <c r="AE397" i="38" s="1"/>
  <c r="DH150" i="11"/>
  <c r="AE398" i="38" s="1"/>
  <c r="DH151" i="11"/>
  <c r="AE399" i="38" s="1"/>
  <c r="DH152" i="11"/>
  <c r="AE400" i="38" s="1"/>
  <c r="DH153" i="11"/>
  <c r="AE401" i="38" s="1"/>
  <c r="DH154" i="11"/>
  <c r="AE402" i="38" s="1"/>
  <c r="DH155" i="11"/>
  <c r="AE403" i="38" s="1"/>
  <c r="DH156" i="11"/>
  <c r="AE404" i="38" s="1"/>
  <c r="DH157" i="11"/>
  <c r="AE405" i="38" s="1"/>
  <c r="DH158" i="11"/>
  <c r="AE406" i="38" s="1"/>
  <c r="DH159" i="11"/>
  <c r="AE407" i="38" s="1"/>
  <c r="DH160" i="11"/>
  <c r="AE408" i="38" s="1"/>
  <c r="DH161" i="11"/>
  <c r="AE409" i="38" s="1"/>
  <c r="DH162" i="11"/>
  <c r="AE410" i="38" s="1"/>
  <c r="DH163" i="11"/>
  <c r="AE411" i="38" s="1"/>
  <c r="DH164" i="11"/>
  <c r="AE412" i="38" s="1"/>
  <c r="DH165" i="11"/>
  <c r="AE413" i="38" s="1"/>
  <c r="DH166" i="11"/>
  <c r="AE414" i="38" s="1"/>
  <c r="DH167" i="11"/>
  <c r="AE415" i="38" s="1"/>
  <c r="AL1" i="38" l="1"/>
  <c r="DJ167" i="11"/>
  <c r="AG415" i="38" s="1"/>
  <c r="DN167" i="11"/>
  <c r="AK415" i="38" s="1"/>
  <c r="DL167" i="11"/>
  <c r="AI415" i="38" s="1"/>
  <c r="DO167" i="11"/>
  <c r="AL415" i="38" s="1"/>
  <c r="DK167" i="11"/>
  <c r="AH415" i="38" s="1"/>
  <c r="DM167" i="11"/>
  <c r="AJ415" i="38" s="1"/>
  <c r="DL166" i="11"/>
  <c r="AI414" i="38" s="1"/>
  <c r="DM166" i="11"/>
  <c r="AJ414" i="38" s="1"/>
  <c r="DN166" i="11"/>
  <c r="AK414" i="38" s="1"/>
  <c r="DJ166" i="11"/>
  <c r="AG414" i="38" s="1"/>
  <c r="DO166" i="11"/>
  <c r="AL414" i="38" s="1"/>
  <c r="DK166" i="11"/>
  <c r="AH414" i="38" s="1"/>
  <c r="DJ165" i="11"/>
  <c r="AG413" i="38" s="1"/>
  <c r="DN165" i="11"/>
  <c r="AK413" i="38" s="1"/>
  <c r="DM165" i="11"/>
  <c r="AJ413" i="38" s="1"/>
  <c r="DK165" i="11"/>
  <c r="AH413" i="38" s="1"/>
  <c r="DL165" i="11"/>
  <c r="AI413" i="38" s="1"/>
  <c r="DO165" i="11"/>
  <c r="AL413" i="38" s="1"/>
  <c r="DL164" i="11"/>
  <c r="AI412" i="38" s="1"/>
  <c r="DN164" i="11"/>
  <c r="AK412" i="38" s="1"/>
  <c r="DO164" i="11"/>
  <c r="AL412" i="38" s="1"/>
  <c r="DK164" i="11"/>
  <c r="AH412" i="38" s="1"/>
  <c r="DM164" i="11"/>
  <c r="AJ412" i="38" s="1"/>
  <c r="DJ164" i="11"/>
  <c r="DJ163" i="11"/>
  <c r="AG411" i="38" s="1"/>
  <c r="DN163" i="11"/>
  <c r="AK411" i="38" s="1"/>
  <c r="DO163" i="11"/>
  <c r="AL411" i="38" s="1"/>
  <c r="DK163" i="11"/>
  <c r="AH411" i="38" s="1"/>
  <c r="DL163" i="11"/>
  <c r="AI411" i="38" s="1"/>
  <c r="DM163" i="11"/>
  <c r="AJ411" i="38" s="1"/>
  <c r="DJ162" i="11"/>
  <c r="AG410" i="38" s="1"/>
  <c r="DL162" i="11"/>
  <c r="AI410" i="38" s="1"/>
  <c r="DK162" i="11"/>
  <c r="AH410" i="38" s="1"/>
  <c r="DO162" i="11"/>
  <c r="AL410" i="38" s="1"/>
  <c r="DM162" i="11"/>
  <c r="AJ410" i="38" s="1"/>
  <c r="DN162" i="11"/>
  <c r="AK410" i="38" s="1"/>
  <c r="DL161" i="11"/>
  <c r="AI409" i="38" s="1"/>
  <c r="DJ161" i="11"/>
  <c r="AG409" i="38" s="1"/>
  <c r="DN161" i="11"/>
  <c r="AK409" i="38" s="1"/>
  <c r="DM161" i="11"/>
  <c r="AJ409" i="38" s="1"/>
  <c r="DK161" i="11"/>
  <c r="AH409" i="38" s="1"/>
  <c r="DO161" i="11"/>
  <c r="AL409" i="38" s="1"/>
  <c r="DJ160" i="11"/>
  <c r="AG408" i="38" s="1"/>
  <c r="DN160" i="11"/>
  <c r="AK408" i="38" s="1"/>
  <c r="DL160" i="11"/>
  <c r="AI408" i="38" s="1"/>
  <c r="DO160" i="11"/>
  <c r="AL408" i="38" s="1"/>
  <c r="DM160" i="11"/>
  <c r="AJ408" i="38" s="1"/>
  <c r="DK160" i="11"/>
  <c r="AH408" i="38" s="1"/>
  <c r="DL159" i="11"/>
  <c r="AI407" i="38" s="1"/>
  <c r="DJ159" i="11"/>
  <c r="AG407" i="38" s="1"/>
  <c r="DN159" i="11"/>
  <c r="AK407" i="38" s="1"/>
  <c r="DM159" i="11"/>
  <c r="AJ407" i="38" s="1"/>
  <c r="DO159" i="11"/>
  <c r="AL407" i="38" s="1"/>
  <c r="DK159" i="11"/>
  <c r="AH407" i="38" s="1"/>
  <c r="DJ158" i="11"/>
  <c r="AG406" i="38" s="1"/>
  <c r="DN158" i="11"/>
  <c r="AK406" i="38" s="1"/>
  <c r="DL158" i="11"/>
  <c r="AI406" i="38" s="1"/>
  <c r="DK158" i="11"/>
  <c r="AH406" i="38" s="1"/>
  <c r="DM158" i="11"/>
  <c r="AJ406" i="38" s="1"/>
  <c r="DO158" i="11"/>
  <c r="AL406" i="38" s="1"/>
  <c r="DL157" i="11"/>
  <c r="AI405" i="38" s="1"/>
  <c r="DJ157" i="11"/>
  <c r="AG405" i="38" s="1"/>
  <c r="DN157" i="11"/>
  <c r="AK405" i="38" s="1"/>
  <c r="DO157" i="11"/>
  <c r="AL405" i="38" s="1"/>
  <c r="DK157" i="11"/>
  <c r="AH405" i="38" s="1"/>
  <c r="DM157" i="11"/>
  <c r="AJ405" i="38" s="1"/>
  <c r="DJ156" i="11"/>
  <c r="AG404" i="38" s="1"/>
  <c r="DN156" i="11"/>
  <c r="AK404" i="38" s="1"/>
  <c r="DL156" i="11"/>
  <c r="AI404" i="38" s="1"/>
  <c r="DO156" i="11"/>
  <c r="AL404" i="38" s="1"/>
  <c r="DK156" i="11"/>
  <c r="AH404" i="38" s="1"/>
  <c r="DM156" i="11"/>
  <c r="AJ404" i="38" s="1"/>
  <c r="DL155" i="11"/>
  <c r="AI403" i="38" s="1"/>
  <c r="DJ155" i="11"/>
  <c r="AG403" i="38" s="1"/>
  <c r="DN155" i="11"/>
  <c r="AK403" i="38" s="1"/>
  <c r="DM155" i="11"/>
  <c r="AJ403" i="38" s="1"/>
  <c r="DK155" i="11"/>
  <c r="AH403" i="38" s="1"/>
  <c r="DO155" i="11"/>
  <c r="AL403" i="38" s="1"/>
  <c r="DJ154" i="11"/>
  <c r="AG402" i="38" s="1"/>
  <c r="DN154" i="11"/>
  <c r="AK402" i="38" s="1"/>
  <c r="DL154" i="11"/>
  <c r="AI402" i="38" s="1"/>
  <c r="DK154" i="11"/>
  <c r="AH402" i="38" s="1"/>
  <c r="DM154" i="11"/>
  <c r="AJ402" i="38" s="1"/>
  <c r="DO154" i="11"/>
  <c r="AL402" i="38" s="1"/>
  <c r="DL153" i="11"/>
  <c r="AI401" i="38" s="1"/>
  <c r="DJ153" i="11"/>
  <c r="AG401" i="38" s="1"/>
  <c r="DN153" i="11"/>
  <c r="AK401" i="38" s="1"/>
  <c r="DK153" i="11"/>
  <c r="AH401" i="38" s="1"/>
  <c r="DM153" i="11"/>
  <c r="AJ401" i="38" s="1"/>
  <c r="DO153" i="11"/>
  <c r="AL401" i="38" s="1"/>
  <c r="DJ152" i="11"/>
  <c r="AG400" i="38" s="1"/>
  <c r="DN152" i="11"/>
  <c r="AK400" i="38" s="1"/>
  <c r="DL152" i="11"/>
  <c r="AI400" i="38" s="1"/>
  <c r="DO152" i="11"/>
  <c r="AL400" i="38" s="1"/>
  <c r="DM152" i="11"/>
  <c r="AJ400" i="38" s="1"/>
  <c r="DK152" i="11"/>
  <c r="AH400" i="38" s="1"/>
  <c r="DL151" i="11"/>
  <c r="AI399" i="38" s="1"/>
  <c r="DJ151" i="11"/>
  <c r="AG399" i="38" s="1"/>
  <c r="DN151" i="11"/>
  <c r="AK399" i="38" s="1"/>
  <c r="DM151" i="11"/>
  <c r="AJ399" i="38" s="1"/>
  <c r="DK151" i="11"/>
  <c r="AH399" i="38" s="1"/>
  <c r="DO151" i="11"/>
  <c r="AL399" i="38" s="1"/>
  <c r="DJ150" i="11"/>
  <c r="AG398" i="38" s="1"/>
  <c r="DN150" i="11"/>
  <c r="AK398" i="38" s="1"/>
  <c r="DL150" i="11"/>
  <c r="AI398" i="38" s="1"/>
  <c r="DK150" i="11"/>
  <c r="AH398" i="38" s="1"/>
  <c r="DM150" i="11"/>
  <c r="AJ398" i="38" s="1"/>
  <c r="DO150" i="11"/>
  <c r="AL398" i="38" s="1"/>
  <c r="DL149" i="11"/>
  <c r="AI397" i="38" s="1"/>
  <c r="DJ149" i="11"/>
  <c r="AG397" i="38" s="1"/>
  <c r="DN149" i="11"/>
  <c r="AK397" i="38" s="1"/>
  <c r="DK149" i="11"/>
  <c r="AH397" i="38" s="1"/>
  <c r="DM149" i="11"/>
  <c r="AJ397" i="38" s="1"/>
  <c r="DO149" i="11"/>
  <c r="AL397" i="38" s="1"/>
  <c r="DJ148" i="11"/>
  <c r="AG396" i="38" s="1"/>
  <c r="DN148" i="11"/>
  <c r="AK396" i="38" s="1"/>
  <c r="DL148" i="11"/>
  <c r="AI396" i="38" s="1"/>
  <c r="DO148" i="11"/>
  <c r="AL396" i="38" s="1"/>
  <c r="DK148" i="11"/>
  <c r="AH396" i="38" s="1"/>
  <c r="DM148" i="11"/>
  <c r="AJ396" i="38" s="1"/>
  <c r="DL147" i="11"/>
  <c r="AI395" i="38" s="1"/>
  <c r="DJ147" i="11"/>
  <c r="AG395" i="38" s="1"/>
  <c r="DN147" i="11"/>
  <c r="AK395" i="38" s="1"/>
  <c r="DM147" i="11"/>
  <c r="AJ395" i="38" s="1"/>
  <c r="DO147" i="11"/>
  <c r="AL395" i="38" s="1"/>
  <c r="DK147" i="11"/>
  <c r="AH395" i="38" s="1"/>
  <c r="DJ146" i="11"/>
  <c r="AG394" i="38" s="1"/>
  <c r="DN146" i="11"/>
  <c r="AK394" i="38" s="1"/>
  <c r="DL146" i="11"/>
  <c r="AI394" i="38" s="1"/>
  <c r="DK146" i="11"/>
  <c r="AH394" i="38" s="1"/>
  <c r="DM146" i="11"/>
  <c r="AJ394" i="38" s="1"/>
  <c r="DO146" i="11"/>
  <c r="AL394" i="38" s="1"/>
  <c r="DL145" i="11"/>
  <c r="AI393" i="38" s="1"/>
  <c r="DJ145" i="11"/>
  <c r="AG393" i="38" s="1"/>
  <c r="DN145" i="11"/>
  <c r="AK393" i="38" s="1"/>
  <c r="DK145" i="11"/>
  <c r="AH393" i="38" s="1"/>
  <c r="DM145" i="11"/>
  <c r="AJ393" i="38" s="1"/>
  <c r="DO145" i="11"/>
  <c r="AL393" i="38" s="1"/>
  <c r="DJ144" i="11"/>
  <c r="AG392" i="38" s="1"/>
  <c r="DN144" i="11"/>
  <c r="AK392" i="38" s="1"/>
  <c r="DL144" i="11"/>
  <c r="AI392" i="38" s="1"/>
  <c r="DO144" i="11"/>
  <c r="AL392" i="38" s="1"/>
  <c r="DK144" i="11"/>
  <c r="AH392" i="38" s="1"/>
  <c r="DM144" i="11"/>
  <c r="AJ392" i="38" s="1"/>
  <c r="DL143" i="11"/>
  <c r="AI391" i="38" s="1"/>
  <c r="DJ143" i="11"/>
  <c r="AG391" i="38" s="1"/>
  <c r="DN143" i="11"/>
  <c r="AK391" i="38" s="1"/>
  <c r="DM143" i="11"/>
  <c r="AJ391" i="38" s="1"/>
  <c r="DO143" i="11"/>
  <c r="AL391" i="38" s="1"/>
  <c r="DK143" i="11"/>
  <c r="AH391" i="38" s="1"/>
  <c r="DJ142" i="11"/>
  <c r="AG390" i="38" s="1"/>
  <c r="DN142" i="11"/>
  <c r="AK390" i="38" s="1"/>
  <c r="DL142" i="11"/>
  <c r="AI390" i="38" s="1"/>
  <c r="DK142" i="11"/>
  <c r="AH390" i="38" s="1"/>
  <c r="DM142" i="11"/>
  <c r="AJ390" i="38" s="1"/>
  <c r="DO142" i="11"/>
  <c r="AL390" i="38" s="1"/>
  <c r="DL141" i="11"/>
  <c r="AI389" i="38" s="1"/>
  <c r="DJ141" i="11"/>
  <c r="AG389" i="38" s="1"/>
  <c r="DN141" i="11"/>
  <c r="AK389" i="38" s="1"/>
  <c r="DK141" i="11"/>
  <c r="AH389" i="38" s="1"/>
  <c r="DM141" i="11"/>
  <c r="AJ389" i="38" s="1"/>
  <c r="DO141" i="11"/>
  <c r="AL389" i="38" s="1"/>
  <c r="DJ140" i="11"/>
  <c r="AG388" i="38" s="1"/>
  <c r="DN140" i="11"/>
  <c r="AK388" i="38" s="1"/>
  <c r="DL140" i="11"/>
  <c r="AI388" i="38" s="1"/>
  <c r="DO140" i="11"/>
  <c r="AL388" i="38" s="1"/>
  <c r="DK140" i="11"/>
  <c r="AH388" i="38" s="1"/>
  <c r="DM140" i="11"/>
  <c r="AJ388" i="38" s="1"/>
  <c r="DL139" i="11"/>
  <c r="AI387" i="38" s="1"/>
  <c r="DJ139" i="11"/>
  <c r="AG387" i="38" s="1"/>
  <c r="DN139" i="11"/>
  <c r="AK387" i="38" s="1"/>
  <c r="DM139" i="11"/>
  <c r="AJ387" i="38" s="1"/>
  <c r="DO139" i="11"/>
  <c r="AL387" i="38" s="1"/>
  <c r="DK139" i="11"/>
  <c r="AH387" i="38" s="1"/>
  <c r="DJ138" i="11"/>
  <c r="AG386" i="38" s="1"/>
  <c r="DN138" i="11"/>
  <c r="AK386" i="38" s="1"/>
  <c r="DL138" i="11"/>
  <c r="AI386" i="38" s="1"/>
  <c r="DK138" i="11"/>
  <c r="AH386" i="38" s="1"/>
  <c r="DM138" i="11"/>
  <c r="AJ386" i="38" s="1"/>
  <c r="DO138" i="11"/>
  <c r="AL386" i="38" s="1"/>
  <c r="DL137" i="11"/>
  <c r="AI385" i="38" s="1"/>
  <c r="DJ137" i="11"/>
  <c r="AG385" i="38" s="1"/>
  <c r="DN137" i="11"/>
  <c r="AK385" i="38" s="1"/>
  <c r="DK137" i="11"/>
  <c r="AH385" i="38" s="1"/>
  <c r="DM137" i="11"/>
  <c r="AJ385" i="38" s="1"/>
  <c r="DO137" i="11"/>
  <c r="AL385" i="38" s="1"/>
  <c r="DJ136" i="11"/>
  <c r="AG384" i="38" s="1"/>
  <c r="DN136" i="11"/>
  <c r="AK384" i="38" s="1"/>
  <c r="DL136" i="11"/>
  <c r="AI384" i="38" s="1"/>
  <c r="DO136" i="11"/>
  <c r="AL384" i="38" s="1"/>
  <c r="DK136" i="11"/>
  <c r="AH384" i="38" s="1"/>
  <c r="DM136" i="11"/>
  <c r="AJ384" i="38" s="1"/>
  <c r="DL135" i="11"/>
  <c r="AI383" i="38" s="1"/>
  <c r="DJ135" i="11"/>
  <c r="AG383" i="38" s="1"/>
  <c r="DN135" i="11"/>
  <c r="AK383" i="38" s="1"/>
  <c r="DM135" i="11"/>
  <c r="AJ383" i="38" s="1"/>
  <c r="DO135" i="11"/>
  <c r="AL383" i="38" s="1"/>
  <c r="DK135" i="11"/>
  <c r="AH383" i="38" s="1"/>
  <c r="DJ134" i="11"/>
  <c r="AG382" i="38" s="1"/>
  <c r="DN134" i="11"/>
  <c r="AK382" i="38" s="1"/>
  <c r="DL134" i="11"/>
  <c r="AI382" i="38" s="1"/>
  <c r="DK134" i="11"/>
  <c r="AH382" i="38" s="1"/>
  <c r="DM134" i="11"/>
  <c r="AJ382" i="38" s="1"/>
  <c r="DO134" i="11"/>
  <c r="AL382" i="38" s="1"/>
  <c r="DL133" i="11"/>
  <c r="AI381" i="38" s="1"/>
  <c r="DJ133" i="11"/>
  <c r="AG381" i="38" s="1"/>
  <c r="DN133" i="11"/>
  <c r="AK381" i="38" s="1"/>
  <c r="DK133" i="11"/>
  <c r="AH381" i="38" s="1"/>
  <c r="DM133" i="11"/>
  <c r="AJ381" i="38" s="1"/>
  <c r="DO133" i="11"/>
  <c r="AL381" i="38" s="1"/>
  <c r="DJ132" i="11"/>
  <c r="AG380" i="38" s="1"/>
  <c r="DN132" i="11"/>
  <c r="AK380" i="38" s="1"/>
  <c r="DL132" i="11"/>
  <c r="AI380" i="38" s="1"/>
  <c r="DO132" i="11"/>
  <c r="AL380" i="38" s="1"/>
  <c r="DK132" i="11"/>
  <c r="AH380" i="38" s="1"/>
  <c r="DM132" i="11"/>
  <c r="AJ380" i="38" s="1"/>
  <c r="DL131" i="11"/>
  <c r="AI379" i="38" s="1"/>
  <c r="DJ131" i="11"/>
  <c r="AG379" i="38" s="1"/>
  <c r="DN131" i="11"/>
  <c r="AK379" i="38" s="1"/>
  <c r="DM131" i="11"/>
  <c r="AJ379" i="38" s="1"/>
  <c r="DO131" i="11"/>
  <c r="AL379" i="38" s="1"/>
  <c r="DK131" i="11"/>
  <c r="AH379" i="38" s="1"/>
  <c r="DJ130" i="11"/>
  <c r="AG378" i="38" s="1"/>
  <c r="DN130" i="11"/>
  <c r="AK378" i="38" s="1"/>
  <c r="DL130" i="11"/>
  <c r="AI378" i="38" s="1"/>
  <c r="DK130" i="11"/>
  <c r="AH378" i="38" s="1"/>
  <c r="DM130" i="11"/>
  <c r="AJ378" i="38" s="1"/>
  <c r="DO130" i="11"/>
  <c r="AL378" i="38" s="1"/>
  <c r="DL129" i="11"/>
  <c r="AI377" i="38" s="1"/>
  <c r="DJ129" i="11"/>
  <c r="AG377" i="38" s="1"/>
  <c r="DN129" i="11"/>
  <c r="AK377" i="38" s="1"/>
  <c r="DK129" i="11"/>
  <c r="AH377" i="38" s="1"/>
  <c r="DM129" i="11"/>
  <c r="AJ377" i="38" s="1"/>
  <c r="DO129" i="11"/>
  <c r="AL377" i="38" s="1"/>
  <c r="DJ128" i="11"/>
  <c r="AG376" i="38" s="1"/>
  <c r="DN128" i="11"/>
  <c r="AK376" i="38" s="1"/>
  <c r="DL128" i="11"/>
  <c r="AI376" i="38" s="1"/>
  <c r="DO128" i="11"/>
  <c r="AL376" i="38" s="1"/>
  <c r="DK128" i="11"/>
  <c r="AH376" i="38" s="1"/>
  <c r="DM128" i="11"/>
  <c r="AJ376" i="38" s="1"/>
  <c r="DL127" i="11"/>
  <c r="AI375" i="38" s="1"/>
  <c r="DJ127" i="11"/>
  <c r="AG375" i="38" s="1"/>
  <c r="DN127" i="11"/>
  <c r="AK375" i="38" s="1"/>
  <c r="DM127" i="11"/>
  <c r="AJ375" i="38" s="1"/>
  <c r="DO127" i="11"/>
  <c r="AL375" i="38" s="1"/>
  <c r="DK127" i="11"/>
  <c r="AH375" i="38" s="1"/>
  <c r="DJ126" i="11"/>
  <c r="AG374" i="38" s="1"/>
  <c r="DN126" i="11"/>
  <c r="AK374" i="38" s="1"/>
  <c r="DL126" i="11"/>
  <c r="AI374" i="38" s="1"/>
  <c r="DK126" i="11"/>
  <c r="AH374" i="38" s="1"/>
  <c r="DM126" i="11"/>
  <c r="AJ374" i="38" s="1"/>
  <c r="DO126" i="11"/>
  <c r="AL374" i="38" s="1"/>
  <c r="DL125" i="11"/>
  <c r="AI373" i="38" s="1"/>
  <c r="DJ125" i="11"/>
  <c r="AG373" i="38" s="1"/>
  <c r="DN125" i="11"/>
  <c r="AK373" i="38" s="1"/>
  <c r="DK125" i="11"/>
  <c r="AH373" i="38" s="1"/>
  <c r="DM125" i="11"/>
  <c r="AJ373" i="38" s="1"/>
  <c r="DO125" i="11"/>
  <c r="AL373" i="38" s="1"/>
  <c r="DJ124" i="11"/>
  <c r="AG372" i="38" s="1"/>
  <c r="DN124" i="11"/>
  <c r="AK372" i="38" s="1"/>
  <c r="DL124" i="11"/>
  <c r="AI372" i="38" s="1"/>
  <c r="DO124" i="11"/>
  <c r="AL372" i="38" s="1"/>
  <c r="DK124" i="11"/>
  <c r="AH372" i="38" s="1"/>
  <c r="DM124" i="11"/>
  <c r="AJ372" i="38" s="1"/>
  <c r="DL123" i="11"/>
  <c r="AI371" i="38" s="1"/>
  <c r="DJ123" i="11"/>
  <c r="AG371" i="38" s="1"/>
  <c r="DN123" i="11"/>
  <c r="AK371" i="38" s="1"/>
  <c r="DM123" i="11"/>
  <c r="AJ371" i="38" s="1"/>
  <c r="DO123" i="11"/>
  <c r="AL371" i="38" s="1"/>
  <c r="DK123" i="11"/>
  <c r="AH371" i="38" s="1"/>
  <c r="DJ122" i="11"/>
  <c r="AG370" i="38" s="1"/>
  <c r="DN122" i="11"/>
  <c r="AK370" i="38" s="1"/>
  <c r="DL122" i="11"/>
  <c r="AI370" i="38" s="1"/>
  <c r="DK122" i="11"/>
  <c r="AH370" i="38" s="1"/>
  <c r="DM122" i="11"/>
  <c r="AJ370" i="38" s="1"/>
  <c r="DO122" i="11"/>
  <c r="AL370" i="38" s="1"/>
  <c r="DL121" i="11"/>
  <c r="AI369" i="38" s="1"/>
  <c r="DJ121" i="11"/>
  <c r="AG369" i="38" s="1"/>
  <c r="DN121" i="11"/>
  <c r="AK369" i="38" s="1"/>
  <c r="DK121" i="11"/>
  <c r="AH369" i="38" s="1"/>
  <c r="DM121" i="11"/>
  <c r="AJ369" i="38" s="1"/>
  <c r="DO121" i="11"/>
  <c r="AL369" i="38" s="1"/>
  <c r="DJ120" i="11"/>
  <c r="AG368" i="38" s="1"/>
  <c r="DN120" i="11"/>
  <c r="AK368" i="38" s="1"/>
  <c r="DL120" i="11"/>
  <c r="AI368" i="38" s="1"/>
  <c r="DO120" i="11"/>
  <c r="AL368" i="38" s="1"/>
  <c r="DK120" i="11"/>
  <c r="AH368" i="38" s="1"/>
  <c r="DM120" i="11"/>
  <c r="AJ368" i="38" s="1"/>
  <c r="DL119" i="11"/>
  <c r="AI367" i="38" s="1"/>
  <c r="DJ119" i="11"/>
  <c r="AG367" i="38" s="1"/>
  <c r="DN119" i="11"/>
  <c r="AK367" i="38" s="1"/>
  <c r="DM119" i="11"/>
  <c r="AJ367" i="38" s="1"/>
  <c r="DO119" i="11"/>
  <c r="AL367" i="38" s="1"/>
  <c r="DK119" i="11"/>
  <c r="AH367" i="38" s="1"/>
  <c r="DJ118" i="11"/>
  <c r="AG366" i="38" s="1"/>
  <c r="DN118" i="11"/>
  <c r="AK366" i="38" s="1"/>
  <c r="DL118" i="11"/>
  <c r="AI366" i="38" s="1"/>
  <c r="DK118" i="11"/>
  <c r="AH366" i="38" s="1"/>
  <c r="DM118" i="11"/>
  <c r="AJ366" i="38" s="1"/>
  <c r="DO118" i="11"/>
  <c r="AL366" i="38" s="1"/>
  <c r="DL117" i="11"/>
  <c r="AI365" i="38" s="1"/>
  <c r="DJ117" i="11"/>
  <c r="AG365" i="38" s="1"/>
  <c r="DN117" i="11"/>
  <c r="AK365" i="38" s="1"/>
  <c r="DK117" i="11"/>
  <c r="AH365" i="38" s="1"/>
  <c r="DM117" i="11"/>
  <c r="AJ365" i="38" s="1"/>
  <c r="DO117" i="11"/>
  <c r="AL365" i="38" s="1"/>
  <c r="DJ116" i="11"/>
  <c r="AG364" i="38" s="1"/>
  <c r="DN116" i="11"/>
  <c r="AK364" i="38" s="1"/>
  <c r="DL116" i="11"/>
  <c r="AI364" i="38" s="1"/>
  <c r="DO116" i="11"/>
  <c r="AL364" i="38" s="1"/>
  <c r="DK116" i="11"/>
  <c r="AH364" i="38" s="1"/>
  <c r="DM116" i="11"/>
  <c r="AJ364" i="38" s="1"/>
  <c r="DL115" i="11"/>
  <c r="AI363" i="38" s="1"/>
  <c r="DJ115" i="11"/>
  <c r="AG363" i="38" s="1"/>
  <c r="DN115" i="11"/>
  <c r="AK363" i="38" s="1"/>
  <c r="DM115" i="11"/>
  <c r="AJ363" i="38" s="1"/>
  <c r="DO115" i="11"/>
  <c r="AL363" i="38" s="1"/>
  <c r="DK115" i="11"/>
  <c r="AH363" i="38" s="1"/>
  <c r="DJ114" i="11"/>
  <c r="AG362" i="38" s="1"/>
  <c r="DN114" i="11"/>
  <c r="AK362" i="38" s="1"/>
  <c r="DL114" i="11"/>
  <c r="AI362" i="38" s="1"/>
  <c r="DK114" i="11"/>
  <c r="AH362" i="38" s="1"/>
  <c r="DM114" i="11"/>
  <c r="AJ362" i="38" s="1"/>
  <c r="DO114" i="11"/>
  <c r="AL362" i="38" s="1"/>
  <c r="DL113" i="11"/>
  <c r="AI361" i="38" s="1"/>
  <c r="DJ113" i="11"/>
  <c r="AG361" i="38" s="1"/>
  <c r="DN113" i="11"/>
  <c r="AK361" i="38" s="1"/>
  <c r="DK113" i="11"/>
  <c r="AH361" i="38" s="1"/>
  <c r="DM113" i="11"/>
  <c r="AJ361" i="38" s="1"/>
  <c r="DO113" i="11"/>
  <c r="AL361" i="38" s="1"/>
  <c r="DJ112" i="11"/>
  <c r="AG360" i="38" s="1"/>
  <c r="DN112" i="11"/>
  <c r="AK360" i="38" s="1"/>
  <c r="DL112" i="11"/>
  <c r="AI360" i="38" s="1"/>
  <c r="DO112" i="11"/>
  <c r="AL360" i="38" s="1"/>
  <c r="DK112" i="11"/>
  <c r="AH360" i="38" s="1"/>
  <c r="DM112" i="11"/>
  <c r="AJ360" i="38" s="1"/>
  <c r="DL111" i="11"/>
  <c r="AI359" i="38" s="1"/>
  <c r="DJ111" i="11"/>
  <c r="AG359" i="38" s="1"/>
  <c r="DN111" i="11"/>
  <c r="AK359" i="38" s="1"/>
  <c r="DM111" i="11"/>
  <c r="AJ359" i="38" s="1"/>
  <c r="DO111" i="11"/>
  <c r="AL359" i="38" s="1"/>
  <c r="DK111" i="11"/>
  <c r="AH359" i="38" s="1"/>
  <c r="DJ110" i="11"/>
  <c r="AG358" i="38" s="1"/>
  <c r="DN110" i="11"/>
  <c r="AK358" i="38" s="1"/>
  <c r="DL110" i="11"/>
  <c r="AI358" i="38" s="1"/>
  <c r="DK110" i="11"/>
  <c r="AH358" i="38" s="1"/>
  <c r="DM110" i="11"/>
  <c r="AJ358" i="38" s="1"/>
  <c r="DO110" i="11"/>
  <c r="AL358" i="38" s="1"/>
  <c r="DL109" i="11"/>
  <c r="AI357" i="38" s="1"/>
  <c r="DJ109" i="11"/>
  <c r="AG357" i="38" s="1"/>
  <c r="DN109" i="11"/>
  <c r="AK357" i="38" s="1"/>
  <c r="DK109" i="11"/>
  <c r="AH357" i="38" s="1"/>
  <c r="DM109" i="11"/>
  <c r="AJ357" i="38" s="1"/>
  <c r="DO109" i="11"/>
  <c r="AL357" i="38" s="1"/>
  <c r="DJ108" i="11"/>
  <c r="AG356" i="38" s="1"/>
  <c r="DN108" i="11"/>
  <c r="AK356" i="38" s="1"/>
  <c r="DL108" i="11"/>
  <c r="AI356" i="38" s="1"/>
  <c r="DO108" i="11"/>
  <c r="AL356" i="38" s="1"/>
  <c r="DK108" i="11"/>
  <c r="AH356" i="38" s="1"/>
  <c r="DM108" i="11"/>
  <c r="AJ356" i="38" s="1"/>
  <c r="DL107" i="11"/>
  <c r="AI355" i="38" s="1"/>
  <c r="DJ107" i="11"/>
  <c r="AG355" i="38" s="1"/>
  <c r="DN107" i="11"/>
  <c r="AK355" i="38" s="1"/>
  <c r="DM107" i="11"/>
  <c r="AJ355" i="38" s="1"/>
  <c r="DO107" i="11"/>
  <c r="AL355" i="38" s="1"/>
  <c r="DK107" i="11"/>
  <c r="AH355" i="38" s="1"/>
  <c r="DJ106" i="11"/>
  <c r="AG354" i="38" s="1"/>
  <c r="DN106" i="11"/>
  <c r="AK354" i="38" s="1"/>
  <c r="DL106" i="11"/>
  <c r="AI354" i="38" s="1"/>
  <c r="DK106" i="11"/>
  <c r="AH354" i="38" s="1"/>
  <c r="DM106" i="11"/>
  <c r="AJ354" i="38" s="1"/>
  <c r="DO106" i="11"/>
  <c r="AL354" i="38" s="1"/>
  <c r="DL105" i="11"/>
  <c r="AI353" i="38" s="1"/>
  <c r="DJ105" i="11"/>
  <c r="AG353" i="38" s="1"/>
  <c r="DN105" i="11"/>
  <c r="AK353" i="38" s="1"/>
  <c r="DK105" i="11"/>
  <c r="AH353" i="38" s="1"/>
  <c r="DM105" i="11"/>
  <c r="AJ353" i="38" s="1"/>
  <c r="DO105" i="11"/>
  <c r="AL353" i="38" s="1"/>
  <c r="DJ104" i="11"/>
  <c r="AG352" i="38" s="1"/>
  <c r="DN104" i="11"/>
  <c r="AK352" i="38" s="1"/>
  <c r="DL104" i="11"/>
  <c r="AI352" i="38" s="1"/>
  <c r="DO104" i="11"/>
  <c r="AL352" i="38" s="1"/>
  <c r="DK104" i="11"/>
  <c r="AH352" i="38" s="1"/>
  <c r="DM104" i="11"/>
  <c r="AJ352" i="38" s="1"/>
  <c r="DL103" i="11"/>
  <c r="AI351" i="38" s="1"/>
  <c r="DJ103" i="11"/>
  <c r="AG351" i="38" s="1"/>
  <c r="DN103" i="11"/>
  <c r="AK351" i="38" s="1"/>
  <c r="DM103" i="11"/>
  <c r="AJ351" i="38" s="1"/>
  <c r="DO103" i="11"/>
  <c r="AL351" i="38" s="1"/>
  <c r="DK103" i="11"/>
  <c r="AH351" i="38" s="1"/>
  <c r="DJ102" i="11"/>
  <c r="AG350" i="38" s="1"/>
  <c r="DN102" i="11"/>
  <c r="AK350" i="38" s="1"/>
  <c r="DL102" i="11"/>
  <c r="AI350" i="38" s="1"/>
  <c r="DK102" i="11"/>
  <c r="AH350" i="38" s="1"/>
  <c r="DM102" i="11"/>
  <c r="AJ350" i="38" s="1"/>
  <c r="DO102" i="11"/>
  <c r="AL350" i="38" s="1"/>
  <c r="DL101" i="11"/>
  <c r="AI349" i="38" s="1"/>
  <c r="DJ101" i="11"/>
  <c r="AG349" i="38" s="1"/>
  <c r="DN101" i="11"/>
  <c r="AK349" i="38" s="1"/>
  <c r="DK101" i="11"/>
  <c r="AH349" i="38" s="1"/>
  <c r="DM101" i="11"/>
  <c r="AJ349" i="38" s="1"/>
  <c r="DO101" i="11"/>
  <c r="AL349" i="38" s="1"/>
  <c r="DJ100" i="11"/>
  <c r="AG348" i="38" s="1"/>
  <c r="DN100" i="11"/>
  <c r="AK348" i="38" s="1"/>
  <c r="DL100" i="11"/>
  <c r="AI348" i="38" s="1"/>
  <c r="DO100" i="11"/>
  <c r="AL348" i="38" s="1"/>
  <c r="DK100" i="11"/>
  <c r="AH348" i="38" s="1"/>
  <c r="DM100" i="11"/>
  <c r="AJ348" i="38" s="1"/>
  <c r="DL99" i="11"/>
  <c r="AI347" i="38" s="1"/>
  <c r="DJ99" i="11"/>
  <c r="AG347" i="38" s="1"/>
  <c r="DN99" i="11"/>
  <c r="AK347" i="38" s="1"/>
  <c r="DM99" i="11"/>
  <c r="AJ347" i="38" s="1"/>
  <c r="DO99" i="11"/>
  <c r="AL347" i="38" s="1"/>
  <c r="DK99" i="11"/>
  <c r="AH347" i="38" s="1"/>
  <c r="DJ98" i="11"/>
  <c r="AG346" i="38" s="1"/>
  <c r="DN98" i="11"/>
  <c r="AK346" i="38" s="1"/>
  <c r="DL98" i="11"/>
  <c r="AI346" i="38" s="1"/>
  <c r="DK98" i="11"/>
  <c r="AH346" i="38" s="1"/>
  <c r="DM98" i="11"/>
  <c r="AJ346" i="38" s="1"/>
  <c r="DO98" i="11"/>
  <c r="AL346" i="38" s="1"/>
  <c r="DL97" i="11"/>
  <c r="AI345" i="38" s="1"/>
  <c r="DJ97" i="11"/>
  <c r="AG345" i="38" s="1"/>
  <c r="DN97" i="11"/>
  <c r="AK345" i="38" s="1"/>
  <c r="DK97" i="11"/>
  <c r="AH345" i="38" s="1"/>
  <c r="DM97" i="11"/>
  <c r="AJ345" i="38" s="1"/>
  <c r="DO97" i="11"/>
  <c r="AL345" i="38" s="1"/>
  <c r="DJ96" i="11"/>
  <c r="AG344" i="38" s="1"/>
  <c r="DN96" i="11"/>
  <c r="AK344" i="38" s="1"/>
  <c r="DL96" i="11"/>
  <c r="AI344" i="38" s="1"/>
  <c r="DO96" i="11"/>
  <c r="AL344" i="38" s="1"/>
  <c r="DK96" i="11"/>
  <c r="AH344" i="38" s="1"/>
  <c r="DM96" i="11"/>
  <c r="AJ344" i="38" s="1"/>
  <c r="DL95" i="11"/>
  <c r="AI343" i="38" s="1"/>
  <c r="DJ95" i="11"/>
  <c r="AG343" i="38" s="1"/>
  <c r="DN95" i="11"/>
  <c r="AK343" i="38" s="1"/>
  <c r="DM95" i="11"/>
  <c r="AJ343" i="38" s="1"/>
  <c r="DO95" i="11"/>
  <c r="AL343" i="38" s="1"/>
  <c r="DK95" i="11"/>
  <c r="AH343" i="38" s="1"/>
  <c r="DJ94" i="11"/>
  <c r="AG342" i="38" s="1"/>
  <c r="DN94" i="11"/>
  <c r="AK342" i="38" s="1"/>
  <c r="DL94" i="11"/>
  <c r="AI342" i="38" s="1"/>
  <c r="DK94" i="11"/>
  <c r="AH342" i="38" s="1"/>
  <c r="DM94" i="11"/>
  <c r="AJ342" i="38" s="1"/>
  <c r="DO94" i="11"/>
  <c r="AL342" i="38" s="1"/>
  <c r="DL93" i="11"/>
  <c r="AI341" i="38" s="1"/>
  <c r="DJ93" i="11"/>
  <c r="AG341" i="38" s="1"/>
  <c r="DN93" i="11"/>
  <c r="AK341" i="38" s="1"/>
  <c r="DK93" i="11"/>
  <c r="AH341" i="38" s="1"/>
  <c r="DM93" i="11"/>
  <c r="AJ341" i="38" s="1"/>
  <c r="DO93" i="11"/>
  <c r="AL341" i="38" s="1"/>
  <c r="DJ92" i="11"/>
  <c r="AG340" i="38" s="1"/>
  <c r="DN92" i="11"/>
  <c r="AK340" i="38" s="1"/>
  <c r="DL92" i="11"/>
  <c r="AI340" i="38" s="1"/>
  <c r="DO92" i="11"/>
  <c r="AL340" i="38" s="1"/>
  <c r="DK92" i="11"/>
  <c r="AH340" i="38" s="1"/>
  <c r="DM92" i="11"/>
  <c r="AJ340" i="38" s="1"/>
  <c r="DM91" i="11"/>
  <c r="AJ339" i="38" s="1"/>
  <c r="DK91" i="11"/>
  <c r="AH339" i="38" s="1"/>
  <c r="DN91" i="11"/>
  <c r="AK339" i="38" s="1"/>
  <c r="DL91" i="11"/>
  <c r="AI339" i="38" s="1"/>
  <c r="DO91" i="11"/>
  <c r="AL339" i="38" s="1"/>
  <c r="DJ91" i="11"/>
  <c r="AG339" i="38" s="1"/>
  <c r="DK90" i="11"/>
  <c r="AH338" i="38" s="1"/>
  <c r="DO90" i="11"/>
  <c r="AL338" i="38" s="1"/>
  <c r="DL90" i="11"/>
  <c r="AI338" i="38" s="1"/>
  <c r="DN90" i="11"/>
  <c r="AK338" i="38" s="1"/>
  <c r="DJ90" i="11"/>
  <c r="AG338" i="38" s="1"/>
  <c r="DM90" i="11"/>
  <c r="AJ338" i="38" s="1"/>
  <c r="DM89" i="11"/>
  <c r="AJ337" i="38" s="1"/>
  <c r="DL89" i="11"/>
  <c r="AI337" i="38" s="1"/>
  <c r="DJ89" i="11"/>
  <c r="AG337" i="38" s="1"/>
  <c r="DO89" i="11"/>
  <c r="AL337" i="38" s="1"/>
  <c r="DN89" i="11"/>
  <c r="AK337" i="38" s="1"/>
  <c r="DK89" i="11"/>
  <c r="AH337" i="38" s="1"/>
  <c r="DK88" i="11"/>
  <c r="AH336" i="38" s="1"/>
  <c r="DO88" i="11"/>
  <c r="AL336" i="38" s="1"/>
  <c r="DM88" i="11"/>
  <c r="AJ336" i="38" s="1"/>
  <c r="DJ88" i="11"/>
  <c r="AG336" i="38" s="1"/>
  <c r="DL88" i="11"/>
  <c r="AI336" i="38" s="1"/>
  <c r="DN88" i="11"/>
  <c r="AK336" i="38" s="1"/>
  <c r="DM87" i="11"/>
  <c r="AJ335" i="38" s="1"/>
  <c r="DN87" i="11"/>
  <c r="AK335" i="38" s="1"/>
  <c r="DK87" i="11"/>
  <c r="AH335" i="38" s="1"/>
  <c r="DO87" i="11"/>
  <c r="AL335" i="38" s="1"/>
  <c r="DJ87" i="11"/>
  <c r="AG335" i="38" s="1"/>
  <c r="DL87" i="11"/>
  <c r="AI335" i="38" s="1"/>
  <c r="DK86" i="11"/>
  <c r="AH334" i="38" s="1"/>
  <c r="DO86" i="11"/>
  <c r="AL334" i="38" s="1"/>
  <c r="DN86" i="11"/>
  <c r="AK334" i="38" s="1"/>
  <c r="DL86" i="11"/>
  <c r="AI334" i="38" s="1"/>
  <c r="DJ86" i="11"/>
  <c r="AG334" i="38" s="1"/>
  <c r="DM86" i="11"/>
  <c r="AJ334" i="38" s="1"/>
  <c r="DM85" i="11"/>
  <c r="AJ333" i="38" s="1"/>
  <c r="DJ85" i="11"/>
  <c r="AG333" i="38" s="1"/>
  <c r="DO85" i="11"/>
  <c r="AL333" i="38" s="1"/>
  <c r="DL85" i="11"/>
  <c r="AI333" i="38" s="1"/>
  <c r="DK85" i="11"/>
  <c r="AH333" i="38" s="1"/>
  <c r="DN85" i="11"/>
  <c r="AK333" i="38" s="1"/>
  <c r="DK84" i="11"/>
  <c r="AH332" i="38" s="1"/>
  <c r="DO84" i="11"/>
  <c r="AL332" i="38" s="1"/>
  <c r="DJ84" i="11"/>
  <c r="AG332" i="38" s="1"/>
  <c r="DM84" i="11"/>
  <c r="AJ332" i="38" s="1"/>
  <c r="DL84" i="11"/>
  <c r="AI332" i="38" s="1"/>
  <c r="DN84" i="11"/>
  <c r="AK332" i="38" s="1"/>
  <c r="DM83" i="11"/>
  <c r="AJ331" i="38" s="1"/>
  <c r="DK83" i="11"/>
  <c r="AH331" i="38" s="1"/>
  <c r="DN83" i="11"/>
  <c r="AK331" i="38" s="1"/>
  <c r="DJ83" i="11"/>
  <c r="DL83" i="11"/>
  <c r="AI331" i="38" s="1"/>
  <c r="DO83" i="11"/>
  <c r="AL331" i="38" s="1"/>
  <c r="DK82" i="11"/>
  <c r="AH330" i="38" s="1"/>
  <c r="DO82" i="11"/>
  <c r="AL330" i="38" s="1"/>
  <c r="DL82" i="11"/>
  <c r="AI330" i="38" s="1"/>
  <c r="DN82" i="11"/>
  <c r="AK330" i="38" s="1"/>
  <c r="DM82" i="11"/>
  <c r="AJ330" i="38" s="1"/>
  <c r="DJ82" i="11"/>
  <c r="AG330" i="38" s="1"/>
  <c r="DM81" i="11"/>
  <c r="AJ329" i="38" s="1"/>
  <c r="DL81" i="11"/>
  <c r="AI329" i="38" s="1"/>
  <c r="DJ81" i="11"/>
  <c r="AG329" i="38" s="1"/>
  <c r="DO81" i="11"/>
  <c r="AL329" i="38" s="1"/>
  <c r="DK81" i="11"/>
  <c r="AH329" i="38" s="1"/>
  <c r="DN81" i="11"/>
  <c r="AK329" i="38" s="1"/>
  <c r="DK80" i="11"/>
  <c r="AH328" i="38" s="1"/>
  <c r="DO80" i="11"/>
  <c r="AL328" i="38" s="1"/>
  <c r="DM80" i="11"/>
  <c r="AJ328" i="38" s="1"/>
  <c r="DJ80" i="11"/>
  <c r="AG328" i="38" s="1"/>
  <c r="DN80" i="11"/>
  <c r="AK328" i="38" s="1"/>
  <c r="DL80" i="11"/>
  <c r="AI328" i="38" s="1"/>
  <c r="DM79" i="11"/>
  <c r="AJ327" i="38" s="1"/>
  <c r="DN79" i="11"/>
  <c r="AK327" i="38" s="1"/>
  <c r="DK79" i="11"/>
  <c r="AH327" i="38" s="1"/>
  <c r="DJ79" i="11"/>
  <c r="DL79" i="11"/>
  <c r="AI327" i="38" s="1"/>
  <c r="DO79" i="11"/>
  <c r="AL327" i="38" s="1"/>
  <c r="DK78" i="11"/>
  <c r="AH326" i="38" s="1"/>
  <c r="DO78" i="11"/>
  <c r="AL326" i="38" s="1"/>
  <c r="DN78" i="11"/>
  <c r="AK326" i="38" s="1"/>
  <c r="DL78" i="11"/>
  <c r="AI326" i="38" s="1"/>
  <c r="DJ78" i="11"/>
  <c r="AG326" i="38" s="1"/>
  <c r="DM78" i="11"/>
  <c r="AJ326" i="38" s="1"/>
  <c r="DM77" i="11"/>
  <c r="AJ325" i="38" s="1"/>
  <c r="DJ77" i="11"/>
  <c r="AG325" i="38" s="1"/>
  <c r="DO77" i="11"/>
  <c r="AL325" i="38" s="1"/>
  <c r="DL77" i="11"/>
  <c r="AI325" i="38" s="1"/>
  <c r="DK77" i="11"/>
  <c r="AH325" i="38" s="1"/>
  <c r="DN77" i="11"/>
  <c r="AK325" i="38" s="1"/>
  <c r="DK76" i="11"/>
  <c r="AH324" i="38" s="1"/>
  <c r="DO76" i="11"/>
  <c r="AL324" i="38" s="1"/>
  <c r="DJ76" i="11"/>
  <c r="AG324" i="38" s="1"/>
  <c r="DM76" i="11"/>
  <c r="AJ324" i="38" s="1"/>
  <c r="DL76" i="11"/>
  <c r="AI324" i="38" s="1"/>
  <c r="DN76" i="11"/>
  <c r="AK324" i="38" s="1"/>
  <c r="DM75" i="11"/>
  <c r="AJ323" i="38" s="1"/>
  <c r="DK75" i="11"/>
  <c r="AH323" i="38" s="1"/>
  <c r="DN75" i="11"/>
  <c r="AK323" i="38" s="1"/>
  <c r="DL75" i="11"/>
  <c r="AI323" i="38" s="1"/>
  <c r="DO75" i="11"/>
  <c r="AL323" i="38" s="1"/>
  <c r="DJ75" i="11"/>
  <c r="AG323" i="38" s="1"/>
  <c r="DK74" i="11"/>
  <c r="AH322" i="38" s="1"/>
  <c r="DO74" i="11"/>
  <c r="AL322" i="38" s="1"/>
  <c r="DL74" i="11"/>
  <c r="AI322" i="38" s="1"/>
  <c r="DN74" i="11"/>
  <c r="AK322" i="38" s="1"/>
  <c r="DJ74" i="11"/>
  <c r="AG322" i="38" s="1"/>
  <c r="DM74" i="11"/>
  <c r="AJ322" i="38" s="1"/>
  <c r="DM73" i="11"/>
  <c r="AJ321" i="38" s="1"/>
  <c r="DL73" i="11"/>
  <c r="AI321" i="38" s="1"/>
  <c r="DJ73" i="11"/>
  <c r="AG321" i="38" s="1"/>
  <c r="DO73" i="11"/>
  <c r="AL321" i="38" s="1"/>
  <c r="DN73" i="11"/>
  <c r="AK321" i="38" s="1"/>
  <c r="DK73" i="11"/>
  <c r="AH321" i="38" s="1"/>
  <c r="DK72" i="11"/>
  <c r="AH320" i="38" s="1"/>
  <c r="DO72" i="11"/>
  <c r="AL320" i="38" s="1"/>
  <c r="DM72" i="11"/>
  <c r="AJ320" i="38" s="1"/>
  <c r="DJ72" i="11"/>
  <c r="AG320" i="38" s="1"/>
  <c r="DL72" i="11"/>
  <c r="AI320" i="38" s="1"/>
  <c r="DN72" i="11"/>
  <c r="AK320" i="38" s="1"/>
  <c r="DM71" i="11"/>
  <c r="AJ319" i="38" s="1"/>
  <c r="DN71" i="11"/>
  <c r="AK319" i="38" s="1"/>
  <c r="DK71" i="11"/>
  <c r="AH319" i="38" s="1"/>
  <c r="DO71" i="11"/>
  <c r="AL319" i="38" s="1"/>
  <c r="DJ71" i="11"/>
  <c r="AG319" i="38" s="1"/>
  <c r="DL71" i="11"/>
  <c r="AI319" i="38" s="1"/>
  <c r="DK70" i="11"/>
  <c r="AH318" i="38" s="1"/>
  <c r="DO70" i="11"/>
  <c r="AL318" i="38" s="1"/>
  <c r="DN70" i="11"/>
  <c r="AK318" i="38" s="1"/>
  <c r="DL70" i="11"/>
  <c r="AI318" i="38" s="1"/>
  <c r="DJ70" i="11"/>
  <c r="AG318" i="38" s="1"/>
  <c r="DM70" i="11"/>
  <c r="AJ318" i="38" s="1"/>
  <c r="DM69" i="11"/>
  <c r="AJ317" i="38" s="1"/>
  <c r="DJ69" i="11"/>
  <c r="AG317" i="38" s="1"/>
  <c r="DO69" i="11"/>
  <c r="AL317" i="38" s="1"/>
  <c r="DL69" i="11"/>
  <c r="AI317" i="38" s="1"/>
  <c r="DK69" i="11"/>
  <c r="AH317" i="38" s="1"/>
  <c r="DN69" i="11"/>
  <c r="AK317" i="38" s="1"/>
  <c r="DK68" i="11"/>
  <c r="AH316" i="38" s="1"/>
  <c r="DO68" i="11"/>
  <c r="AL316" i="38" s="1"/>
  <c r="DJ68" i="11"/>
  <c r="AG316" i="38" s="1"/>
  <c r="DM68" i="11"/>
  <c r="AJ316" i="38" s="1"/>
  <c r="DL68" i="11"/>
  <c r="AI316" i="38" s="1"/>
  <c r="DN68" i="11"/>
  <c r="AK316" i="38" s="1"/>
  <c r="DM67" i="11"/>
  <c r="AJ315" i="38" s="1"/>
  <c r="DK67" i="11"/>
  <c r="AH315" i="38" s="1"/>
  <c r="DN67" i="11"/>
  <c r="AK315" i="38" s="1"/>
  <c r="DJ67" i="11"/>
  <c r="DL67" i="11"/>
  <c r="AI315" i="38" s="1"/>
  <c r="DO67" i="11"/>
  <c r="AL315" i="38" s="1"/>
  <c r="DK66" i="11"/>
  <c r="AH314" i="38" s="1"/>
  <c r="DO66" i="11"/>
  <c r="AL314" i="38" s="1"/>
  <c r="DL66" i="11"/>
  <c r="AI314" i="38" s="1"/>
  <c r="DN66" i="11"/>
  <c r="AK314" i="38" s="1"/>
  <c r="DM66" i="11"/>
  <c r="AJ314" i="38" s="1"/>
  <c r="DJ66" i="11"/>
  <c r="DM65" i="11"/>
  <c r="AJ313" i="38" s="1"/>
  <c r="DL65" i="11"/>
  <c r="AI313" i="38" s="1"/>
  <c r="DJ65" i="11"/>
  <c r="AG313" i="38" s="1"/>
  <c r="DO65" i="11"/>
  <c r="AL313" i="38" s="1"/>
  <c r="DK65" i="11"/>
  <c r="AH313" i="38" s="1"/>
  <c r="DN65" i="11"/>
  <c r="AK313" i="38" s="1"/>
  <c r="DK64" i="11"/>
  <c r="AH312" i="38" s="1"/>
  <c r="DO64" i="11"/>
  <c r="AL312" i="38" s="1"/>
  <c r="DM64" i="11"/>
  <c r="AJ312" i="38" s="1"/>
  <c r="DJ64" i="11"/>
  <c r="AG312" i="38" s="1"/>
  <c r="DN64" i="11"/>
  <c r="AK312" i="38" s="1"/>
  <c r="DL64" i="11"/>
  <c r="AI312" i="38" s="1"/>
  <c r="DJ63" i="11"/>
  <c r="AG311" i="38" s="1"/>
  <c r="DM63" i="11"/>
  <c r="AJ311" i="38" s="1"/>
  <c r="DN63" i="11"/>
  <c r="AK311" i="38" s="1"/>
  <c r="DK63" i="11"/>
  <c r="AH311" i="38" s="1"/>
  <c r="DL63" i="11"/>
  <c r="AI311" i="38" s="1"/>
  <c r="DO63" i="11"/>
  <c r="AL311" i="38" s="1"/>
  <c r="DL62" i="11"/>
  <c r="AI310" i="38" s="1"/>
  <c r="DJ62" i="11"/>
  <c r="AG310" i="38" s="1"/>
  <c r="DN62" i="11"/>
  <c r="AK310" i="38" s="1"/>
  <c r="DM62" i="11"/>
  <c r="AJ310" i="38" s="1"/>
  <c r="DK62" i="11"/>
  <c r="AH310" i="38" s="1"/>
  <c r="DO62" i="11"/>
  <c r="AL310" i="38" s="1"/>
  <c r="DJ61" i="11"/>
  <c r="AG309" i="38" s="1"/>
  <c r="DN61" i="11"/>
  <c r="AK309" i="38" s="1"/>
  <c r="DL61" i="11"/>
  <c r="AI309" i="38" s="1"/>
  <c r="DK61" i="11"/>
  <c r="AH309" i="38" s="1"/>
  <c r="DM61" i="11"/>
  <c r="AJ309" i="38" s="1"/>
  <c r="DO61" i="11"/>
  <c r="AL309" i="38" s="1"/>
  <c r="DL60" i="11"/>
  <c r="AI308" i="38" s="1"/>
  <c r="DJ60" i="11"/>
  <c r="AG308" i="38" s="1"/>
  <c r="DN60" i="11"/>
  <c r="AK308" i="38" s="1"/>
  <c r="DM60" i="11"/>
  <c r="AJ308" i="38" s="1"/>
  <c r="DK60" i="11"/>
  <c r="AH308" i="38" s="1"/>
  <c r="DO60" i="11"/>
  <c r="AL308" i="38" s="1"/>
  <c r="DJ59" i="11"/>
  <c r="AG307" i="38" s="1"/>
  <c r="DN59" i="11"/>
  <c r="AK307" i="38" s="1"/>
  <c r="DL59" i="11"/>
  <c r="AI307" i="38" s="1"/>
  <c r="DO59" i="11"/>
  <c r="AL307" i="38" s="1"/>
  <c r="DM59" i="11"/>
  <c r="AJ307" i="38" s="1"/>
  <c r="DK59" i="11"/>
  <c r="AH307" i="38" s="1"/>
  <c r="DL58" i="11"/>
  <c r="AI306" i="38" s="1"/>
  <c r="DJ58" i="11"/>
  <c r="DN58" i="11"/>
  <c r="AK306" i="38" s="1"/>
  <c r="DM58" i="11"/>
  <c r="AJ306" i="38" s="1"/>
  <c r="DO58" i="11"/>
  <c r="AL306" i="38" s="1"/>
  <c r="DK58" i="11"/>
  <c r="AH306" i="38" s="1"/>
  <c r="DJ57" i="11"/>
  <c r="AG305" i="38" s="1"/>
  <c r="DN57" i="11"/>
  <c r="AK305" i="38" s="1"/>
  <c r="DL57" i="11"/>
  <c r="AI305" i="38" s="1"/>
  <c r="DK57" i="11"/>
  <c r="AH305" i="38" s="1"/>
  <c r="DO57" i="11"/>
  <c r="AL305" i="38" s="1"/>
  <c r="DM57" i="11"/>
  <c r="AJ305" i="38" s="1"/>
  <c r="DL56" i="11"/>
  <c r="AI304" i="38" s="1"/>
  <c r="DJ56" i="11"/>
  <c r="AG304" i="38" s="1"/>
  <c r="DN56" i="11"/>
  <c r="AK304" i="38" s="1"/>
  <c r="DO56" i="11"/>
  <c r="AL304" i="38" s="1"/>
  <c r="DK56" i="11"/>
  <c r="AH304" i="38" s="1"/>
  <c r="DM56" i="11"/>
  <c r="AJ304" i="38" s="1"/>
  <c r="DJ55" i="11"/>
  <c r="AG303" i="38" s="1"/>
  <c r="DN55" i="11"/>
  <c r="AK303" i="38" s="1"/>
  <c r="DL55" i="11"/>
  <c r="AI303" i="38" s="1"/>
  <c r="DO55" i="11"/>
  <c r="AL303" i="38" s="1"/>
  <c r="DK55" i="11"/>
  <c r="AH303" i="38" s="1"/>
  <c r="DM55" i="11"/>
  <c r="AJ303" i="38" s="1"/>
  <c r="DL54" i="11"/>
  <c r="AI302" i="38" s="1"/>
  <c r="DJ54" i="11"/>
  <c r="AG302" i="38" s="1"/>
  <c r="DN54" i="11"/>
  <c r="AK302" i="38" s="1"/>
  <c r="DM54" i="11"/>
  <c r="AJ302" i="38" s="1"/>
  <c r="DK54" i="11"/>
  <c r="AH302" i="38" s="1"/>
  <c r="DO54" i="11"/>
  <c r="AL302" i="38" s="1"/>
  <c r="DJ53" i="11"/>
  <c r="AG301" i="38" s="1"/>
  <c r="DN53" i="11"/>
  <c r="AK301" i="38" s="1"/>
  <c r="DL53" i="11"/>
  <c r="AI301" i="38" s="1"/>
  <c r="DK53" i="11"/>
  <c r="AH301" i="38" s="1"/>
  <c r="DM53" i="11"/>
  <c r="AJ301" i="38" s="1"/>
  <c r="DO53" i="11"/>
  <c r="AL301" i="38" s="1"/>
  <c r="DL52" i="11"/>
  <c r="AI300" i="38" s="1"/>
  <c r="DJ52" i="11"/>
  <c r="DN52" i="11"/>
  <c r="AK300" i="38" s="1"/>
  <c r="DM52" i="11"/>
  <c r="AJ300" i="38" s="1"/>
  <c r="DK52" i="11"/>
  <c r="AH300" i="38" s="1"/>
  <c r="DO52" i="11"/>
  <c r="AL300" i="38" s="1"/>
  <c r="DJ51" i="11"/>
  <c r="AG299" i="38" s="1"/>
  <c r="DN51" i="11"/>
  <c r="AK299" i="38" s="1"/>
  <c r="DL51" i="11"/>
  <c r="AI299" i="38" s="1"/>
  <c r="DO51" i="11"/>
  <c r="AL299" i="38" s="1"/>
  <c r="DM51" i="11"/>
  <c r="AJ299" i="38" s="1"/>
  <c r="DK51" i="11"/>
  <c r="AH299" i="38" s="1"/>
  <c r="DL50" i="11"/>
  <c r="AI298" i="38" s="1"/>
  <c r="DJ50" i="11"/>
  <c r="AG298" i="38" s="1"/>
  <c r="DN50" i="11"/>
  <c r="AK298" i="38" s="1"/>
  <c r="DM50" i="11"/>
  <c r="AJ298" i="38" s="1"/>
  <c r="DO50" i="11"/>
  <c r="AL298" i="38" s="1"/>
  <c r="DK50" i="11"/>
  <c r="AH298" i="38" s="1"/>
  <c r="DJ49" i="11"/>
  <c r="AG297" i="38" s="1"/>
  <c r="DN49" i="11"/>
  <c r="AK297" i="38" s="1"/>
  <c r="DL49" i="11"/>
  <c r="AI297" i="38" s="1"/>
  <c r="DK49" i="11"/>
  <c r="AH297" i="38" s="1"/>
  <c r="DO49" i="11"/>
  <c r="AL297" i="38" s="1"/>
  <c r="DM49" i="11"/>
  <c r="AJ297" i="38" s="1"/>
  <c r="DL48" i="11"/>
  <c r="AI296" i="38" s="1"/>
  <c r="DJ48" i="11"/>
  <c r="DN48" i="11"/>
  <c r="AK296" i="38" s="1"/>
  <c r="DK48" i="11"/>
  <c r="AH296" i="38" s="1"/>
  <c r="DO48" i="11"/>
  <c r="AL296" i="38" s="1"/>
  <c r="DM48" i="11"/>
  <c r="AJ296" i="38" s="1"/>
  <c r="DJ47" i="11"/>
  <c r="AG295" i="38" s="1"/>
  <c r="DN47" i="11"/>
  <c r="AK295" i="38" s="1"/>
  <c r="DL47" i="11"/>
  <c r="AI295" i="38" s="1"/>
  <c r="DO47" i="11"/>
  <c r="AL295" i="38" s="1"/>
  <c r="DK47" i="11"/>
  <c r="AH295" i="38" s="1"/>
  <c r="DM47" i="11"/>
  <c r="AJ295" i="38" s="1"/>
  <c r="DL46" i="11"/>
  <c r="AI294" i="38" s="1"/>
  <c r="DJ46" i="11"/>
  <c r="AG294" i="38" s="1"/>
  <c r="DN46" i="11"/>
  <c r="AK294" i="38" s="1"/>
  <c r="DM46" i="11"/>
  <c r="AJ294" i="38" s="1"/>
  <c r="DK46" i="11"/>
  <c r="AH294" i="38" s="1"/>
  <c r="DO46" i="11"/>
  <c r="AL294" i="38" s="1"/>
  <c r="DJ45" i="11"/>
  <c r="AG293" i="38" s="1"/>
  <c r="DN45" i="11"/>
  <c r="AK293" i="38" s="1"/>
  <c r="DL45" i="11"/>
  <c r="AI293" i="38" s="1"/>
  <c r="DK45" i="11"/>
  <c r="AH293" i="38" s="1"/>
  <c r="DM45" i="11"/>
  <c r="AJ293" i="38" s="1"/>
  <c r="DO45" i="11"/>
  <c r="AL293" i="38" s="1"/>
  <c r="DL44" i="11"/>
  <c r="AI292" i="38" s="1"/>
  <c r="DJ44" i="11"/>
  <c r="DN44" i="11"/>
  <c r="AK292" i="38" s="1"/>
  <c r="DM44" i="11"/>
  <c r="AJ292" i="38" s="1"/>
  <c r="DO44" i="11"/>
  <c r="AL292" i="38" s="1"/>
  <c r="DK44" i="11"/>
  <c r="AH292" i="38" s="1"/>
  <c r="DJ43" i="11"/>
  <c r="AG291" i="38" s="1"/>
  <c r="DN43" i="11"/>
  <c r="AK291" i="38" s="1"/>
  <c r="DL43" i="11"/>
  <c r="AI291" i="38" s="1"/>
  <c r="DO43" i="11"/>
  <c r="AL291" i="38" s="1"/>
  <c r="DM43" i="11"/>
  <c r="AJ291" i="38" s="1"/>
  <c r="DK43" i="11"/>
  <c r="AH291" i="38" s="1"/>
  <c r="DL42" i="11"/>
  <c r="AI290" i="38" s="1"/>
  <c r="DJ42" i="11"/>
  <c r="AG290" i="38" s="1"/>
  <c r="DN42" i="11"/>
  <c r="AK290" i="38" s="1"/>
  <c r="DM42" i="11"/>
  <c r="AJ290" i="38" s="1"/>
  <c r="DO42" i="11"/>
  <c r="AL290" i="38" s="1"/>
  <c r="DK42" i="11"/>
  <c r="AH290" i="38" s="1"/>
  <c r="DJ41" i="11"/>
  <c r="AG289" i="38" s="1"/>
  <c r="DN41" i="11"/>
  <c r="AK289" i="38" s="1"/>
  <c r="DL41" i="11"/>
  <c r="AI289" i="38" s="1"/>
  <c r="DK41" i="11"/>
  <c r="AH289" i="38" s="1"/>
  <c r="DO41" i="11"/>
  <c r="AL289" i="38" s="1"/>
  <c r="DM41" i="11"/>
  <c r="AJ289" i="38" s="1"/>
  <c r="DL40" i="11"/>
  <c r="AI288" i="38" s="1"/>
  <c r="DJ40" i="11"/>
  <c r="DN40" i="11"/>
  <c r="AK288" i="38" s="1"/>
  <c r="DO40" i="11"/>
  <c r="AL288" i="38" s="1"/>
  <c r="DK40" i="11"/>
  <c r="AH288" i="38" s="1"/>
  <c r="DM40" i="11"/>
  <c r="AJ288" i="38" s="1"/>
  <c r="DJ39" i="11"/>
  <c r="AG287" i="38" s="1"/>
  <c r="DN39" i="11"/>
  <c r="AK287" i="38" s="1"/>
  <c r="DL39" i="11"/>
  <c r="AI287" i="38" s="1"/>
  <c r="DO39" i="11"/>
  <c r="AL287" i="38" s="1"/>
  <c r="DK39" i="11"/>
  <c r="AH287" i="38" s="1"/>
  <c r="DM39" i="11"/>
  <c r="AJ287" i="38" s="1"/>
  <c r="DL38" i="11"/>
  <c r="AI286" i="38" s="1"/>
  <c r="DJ38" i="11"/>
  <c r="AG286" i="38" s="1"/>
  <c r="DN38" i="11"/>
  <c r="AK286" i="38" s="1"/>
  <c r="DM38" i="11"/>
  <c r="AJ286" i="38" s="1"/>
  <c r="DK38" i="11"/>
  <c r="AH286" i="38" s="1"/>
  <c r="DO38" i="11"/>
  <c r="AL286" i="38" s="1"/>
  <c r="DJ37" i="11"/>
  <c r="AG285" i="38" s="1"/>
  <c r="DN37" i="11"/>
  <c r="AK285" i="38" s="1"/>
  <c r="DL37" i="11"/>
  <c r="AI285" i="38" s="1"/>
  <c r="DK37" i="11"/>
  <c r="AH285" i="38" s="1"/>
  <c r="DM37" i="11"/>
  <c r="AJ285" i="38" s="1"/>
  <c r="DO37" i="11"/>
  <c r="AL285" i="38" s="1"/>
  <c r="DL36" i="11"/>
  <c r="AI284" i="38" s="1"/>
  <c r="DJ36" i="11"/>
  <c r="DN36" i="11"/>
  <c r="AK284" i="38" s="1"/>
  <c r="DM36" i="11"/>
  <c r="AJ284" i="38" s="1"/>
  <c r="DK36" i="11"/>
  <c r="AH284" i="38" s="1"/>
  <c r="DO36" i="11"/>
  <c r="AL284" i="38" s="1"/>
  <c r="DJ35" i="11"/>
  <c r="AG283" i="38" s="1"/>
  <c r="DN35" i="11"/>
  <c r="AK283" i="38" s="1"/>
  <c r="DL35" i="11"/>
  <c r="AI283" i="38" s="1"/>
  <c r="DO35" i="11"/>
  <c r="AL283" i="38" s="1"/>
  <c r="DM35" i="11"/>
  <c r="AJ283" i="38" s="1"/>
  <c r="DK35" i="11"/>
  <c r="AH283" i="38" s="1"/>
  <c r="DL34" i="11"/>
  <c r="AI282" i="38" s="1"/>
  <c r="DJ34" i="11"/>
  <c r="DN34" i="11"/>
  <c r="AK282" i="38" s="1"/>
  <c r="DM34" i="11"/>
  <c r="AJ282" i="38" s="1"/>
  <c r="DO34" i="11"/>
  <c r="AL282" i="38" s="1"/>
  <c r="DK34" i="11"/>
  <c r="AH282" i="38" s="1"/>
  <c r="DJ33" i="11"/>
  <c r="AG281" i="38" s="1"/>
  <c r="DN33" i="11"/>
  <c r="AK281" i="38" s="1"/>
  <c r="DL33" i="11"/>
  <c r="AI281" i="38" s="1"/>
  <c r="DK33" i="11"/>
  <c r="AH281" i="38" s="1"/>
  <c r="DO33" i="11"/>
  <c r="AL281" i="38" s="1"/>
  <c r="DM33" i="11"/>
  <c r="AJ281" i="38" s="1"/>
  <c r="DL32" i="11"/>
  <c r="AI280" i="38" s="1"/>
  <c r="DJ32" i="11"/>
  <c r="AG280" i="38" s="1"/>
  <c r="DN32" i="11"/>
  <c r="AK280" i="38" s="1"/>
  <c r="DK32" i="11"/>
  <c r="AH280" i="38" s="1"/>
  <c r="DO32" i="11"/>
  <c r="AL280" i="38" s="1"/>
  <c r="DM32" i="11"/>
  <c r="AJ280" i="38" s="1"/>
  <c r="DJ31" i="11"/>
  <c r="AG279" i="38" s="1"/>
  <c r="DN31" i="11"/>
  <c r="AK279" i="38" s="1"/>
  <c r="DL31" i="11"/>
  <c r="AI279" i="38" s="1"/>
  <c r="DO31" i="11"/>
  <c r="AL279" i="38" s="1"/>
  <c r="DK31" i="11"/>
  <c r="AH279" i="38" s="1"/>
  <c r="DM31" i="11"/>
  <c r="AJ279" i="38" s="1"/>
  <c r="DL30" i="11"/>
  <c r="AI278" i="38" s="1"/>
  <c r="DJ30" i="11"/>
  <c r="DN30" i="11"/>
  <c r="AK278" i="38" s="1"/>
  <c r="DM30" i="11"/>
  <c r="AJ278" i="38" s="1"/>
  <c r="DK30" i="11"/>
  <c r="AH278" i="38" s="1"/>
  <c r="DO30" i="11"/>
  <c r="AL278" i="38" s="1"/>
  <c r="DJ29" i="11"/>
  <c r="AG277" i="38" s="1"/>
  <c r="DN29" i="11"/>
  <c r="AK277" i="38" s="1"/>
  <c r="DL29" i="11"/>
  <c r="AI277" i="38" s="1"/>
  <c r="DK29" i="11"/>
  <c r="AH277" i="38" s="1"/>
  <c r="DM29" i="11"/>
  <c r="AJ277" i="38" s="1"/>
  <c r="DO29" i="11"/>
  <c r="AL277" i="38" s="1"/>
  <c r="DL28" i="11"/>
  <c r="AI276" i="38" s="1"/>
  <c r="DJ28" i="11"/>
  <c r="AG276" i="38" s="1"/>
  <c r="DN28" i="11"/>
  <c r="AK276" i="38" s="1"/>
  <c r="DM28" i="11"/>
  <c r="AJ276" i="38" s="1"/>
  <c r="DK28" i="11"/>
  <c r="AH276" i="38" s="1"/>
  <c r="DO28" i="11"/>
  <c r="AL276" i="38" s="1"/>
  <c r="DJ27" i="11"/>
  <c r="AG275" i="38" s="1"/>
  <c r="DN27" i="11"/>
  <c r="AK275" i="38" s="1"/>
  <c r="DL27" i="11"/>
  <c r="AI275" i="38" s="1"/>
  <c r="DO27" i="11"/>
  <c r="AL275" i="38" s="1"/>
  <c r="DM27" i="11"/>
  <c r="AJ275" i="38" s="1"/>
  <c r="DK27" i="11"/>
  <c r="AH275" i="38" s="1"/>
  <c r="DL26" i="11"/>
  <c r="AI274" i="38" s="1"/>
  <c r="DJ26" i="11"/>
  <c r="DN26" i="11"/>
  <c r="AK274" i="38" s="1"/>
  <c r="DM26" i="11"/>
  <c r="AJ274" i="38" s="1"/>
  <c r="DO26" i="11"/>
  <c r="AL274" i="38" s="1"/>
  <c r="DK26" i="11"/>
  <c r="AH274" i="38" s="1"/>
  <c r="DJ25" i="11"/>
  <c r="AG273" i="38" s="1"/>
  <c r="DN25" i="11"/>
  <c r="AK273" i="38" s="1"/>
  <c r="DL25" i="11"/>
  <c r="AI273" i="38" s="1"/>
  <c r="DK25" i="11"/>
  <c r="AH273" i="38" s="1"/>
  <c r="DO25" i="11"/>
  <c r="AL273" i="38" s="1"/>
  <c r="DM25" i="11"/>
  <c r="AJ273" i="38" s="1"/>
  <c r="DL24" i="11"/>
  <c r="AI272" i="38" s="1"/>
  <c r="DJ24" i="11"/>
  <c r="AG272" i="38" s="1"/>
  <c r="DN24" i="11"/>
  <c r="AK272" i="38" s="1"/>
  <c r="DO24" i="11"/>
  <c r="AL272" i="38" s="1"/>
  <c r="DK24" i="11"/>
  <c r="AH272" i="38" s="1"/>
  <c r="DM24" i="11"/>
  <c r="AJ272" i="38" s="1"/>
  <c r="DJ23" i="11"/>
  <c r="AG271" i="38" s="1"/>
  <c r="DN23" i="11"/>
  <c r="AK271" i="38" s="1"/>
  <c r="DL23" i="11"/>
  <c r="AI271" i="38" s="1"/>
  <c r="DO23" i="11"/>
  <c r="AL271" i="38" s="1"/>
  <c r="DK23" i="11"/>
  <c r="AH271" i="38" s="1"/>
  <c r="DM23" i="11"/>
  <c r="AJ271" i="38" s="1"/>
  <c r="DL22" i="11"/>
  <c r="AI270" i="38" s="1"/>
  <c r="DJ22" i="11"/>
  <c r="DN22" i="11"/>
  <c r="AK270" i="38" s="1"/>
  <c r="DM22" i="11"/>
  <c r="AJ270" i="38" s="1"/>
  <c r="DK22" i="11"/>
  <c r="AH270" i="38" s="1"/>
  <c r="DO22" i="11"/>
  <c r="AL270" i="38" s="1"/>
  <c r="DJ21" i="11"/>
  <c r="AG269" i="38" s="1"/>
  <c r="DN21" i="11"/>
  <c r="AK269" i="38" s="1"/>
  <c r="DL21" i="11"/>
  <c r="AI269" i="38" s="1"/>
  <c r="DK21" i="11"/>
  <c r="AH269" i="38" s="1"/>
  <c r="DM21" i="11"/>
  <c r="AJ269" i="38" s="1"/>
  <c r="DO21" i="11"/>
  <c r="AL269" i="38" s="1"/>
  <c r="DL20" i="11"/>
  <c r="AI268" i="38" s="1"/>
  <c r="DJ20" i="11"/>
  <c r="AG268" i="38" s="1"/>
  <c r="DN20" i="11"/>
  <c r="AK268" i="38" s="1"/>
  <c r="DM20" i="11"/>
  <c r="AJ268" i="38" s="1"/>
  <c r="DK20" i="11"/>
  <c r="AH268" i="38" s="1"/>
  <c r="DO20" i="11"/>
  <c r="AL268" i="38" s="1"/>
  <c r="DJ19" i="11"/>
  <c r="AG267" i="38" s="1"/>
  <c r="DN19" i="11"/>
  <c r="AK267" i="38" s="1"/>
  <c r="DL19" i="11"/>
  <c r="AI267" i="38" s="1"/>
  <c r="DO19" i="11"/>
  <c r="AL267" i="38" s="1"/>
  <c r="DM19" i="11"/>
  <c r="AJ267" i="38" s="1"/>
  <c r="DK19" i="11"/>
  <c r="AH267" i="38" s="1"/>
  <c r="DL18" i="11"/>
  <c r="AI266" i="38" s="1"/>
  <c r="DJ18" i="11"/>
  <c r="DN18" i="11"/>
  <c r="AK266" i="38" s="1"/>
  <c r="DM18" i="11"/>
  <c r="AJ266" i="38" s="1"/>
  <c r="DO18" i="11"/>
  <c r="AL266" i="38" s="1"/>
  <c r="DK18" i="11"/>
  <c r="AH266" i="38" s="1"/>
  <c r="DJ17" i="11"/>
  <c r="AG265" i="38" s="1"/>
  <c r="DN17" i="11"/>
  <c r="AK265" i="38" s="1"/>
  <c r="DL17" i="11"/>
  <c r="AI265" i="38" s="1"/>
  <c r="DK17" i="11"/>
  <c r="AH265" i="38" s="1"/>
  <c r="DO17" i="11"/>
  <c r="AL265" i="38" s="1"/>
  <c r="DM17" i="11"/>
  <c r="AJ265" i="38" s="1"/>
  <c r="DL16" i="11"/>
  <c r="AI264" i="38" s="1"/>
  <c r="DJ16" i="11"/>
  <c r="AG264" i="38" s="1"/>
  <c r="DN16" i="11"/>
  <c r="AK264" i="38" s="1"/>
  <c r="DK16" i="11"/>
  <c r="AH264" i="38" s="1"/>
  <c r="DO16" i="11"/>
  <c r="AL264" i="38" s="1"/>
  <c r="DM16" i="11"/>
  <c r="AJ264" i="38" s="1"/>
  <c r="DJ15" i="11"/>
  <c r="AG263" i="38" s="1"/>
  <c r="DN15" i="11"/>
  <c r="AK263" i="38" s="1"/>
  <c r="DL15" i="11"/>
  <c r="AI263" i="38" s="1"/>
  <c r="DO15" i="11"/>
  <c r="AL263" i="38" s="1"/>
  <c r="DK15" i="11"/>
  <c r="AH263" i="38" s="1"/>
  <c r="DM15" i="11"/>
  <c r="AJ263" i="38" s="1"/>
  <c r="DL14" i="11"/>
  <c r="AI262" i="38" s="1"/>
  <c r="DJ14" i="11"/>
  <c r="AG262" i="38" s="1"/>
  <c r="DN14" i="11"/>
  <c r="AK262" i="38" s="1"/>
  <c r="DM14" i="11"/>
  <c r="AJ262" i="38" s="1"/>
  <c r="DK14" i="11"/>
  <c r="AH262" i="38" s="1"/>
  <c r="DO14" i="11"/>
  <c r="AL262" i="38" s="1"/>
  <c r="DJ13" i="11"/>
  <c r="AG261" i="38" s="1"/>
  <c r="DN13" i="11"/>
  <c r="DL13" i="11"/>
  <c r="DK13" i="11"/>
  <c r="DM13" i="11"/>
  <c r="DO13" i="11"/>
  <c r="DL11" i="11"/>
  <c r="AI259" i="38" s="1"/>
  <c r="DJ11" i="11"/>
  <c r="DN11" i="11"/>
  <c r="AK259" i="38" s="1"/>
  <c r="DM11" i="11"/>
  <c r="AJ259" i="38" s="1"/>
  <c r="DO11" i="11"/>
  <c r="AL259" i="38" s="1"/>
  <c r="DK11" i="11"/>
  <c r="AH259" i="38" s="1"/>
  <c r="DJ10" i="11"/>
  <c r="AG258" i="38" s="1"/>
  <c r="DN10" i="11"/>
  <c r="AK258" i="38" s="1"/>
  <c r="DL10" i="11"/>
  <c r="AI258" i="38" s="1"/>
  <c r="DO10" i="11"/>
  <c r="AL258" i="38" s="1"/>
  <c r="DM10" i="11"/>
  <c r="AJ258" i="38" s="1"/>
  <c r="DK10" i="11"/>
  <c r="AH258" i="38" s="1"/>
  <c r="DL9" i="11"/>
  <c r="AI257" i="38" s="1"/>
  <c r="DJ9" i="11"/>
  <c r="AG257" i="38" s="1"/>
  <c r="DN9" i="11"/>
  <c r="AK257" i="38" s="1"/>
  <c r="DM9" i="11"/>
  <c r="AJ257" i="38" s="1"/>
  <c r="DO9" i="11"/>
  <c r="AL257" i="38" s="1"/>
  <c r="DK9" i="11"/>
  <c r="AH257" i="38" s="1"/>
  <c r="DJ8" i="11"/>
  <c r="AG256" i="38" s="1"/>
  <c r="DN8" i="11"/>
  <c r="AK256" i="38" s="1"/>
  <c r="DL8" i="11"/>
  <c r="AI256" i="38" s="1"/>
  <c r="DK8" i="11"/>
  <c r="AH256" i="38" s="1"/>
  <c r="DO8" i="11"/>
  <c r="AL256" i="38" s="1"/>
  <c r="DM8" i="11"/>
  <c r="AJ256" i="38" s="1"/>
  <c r="DL7" i="11"/>
  <c r="AI255" i="38" s="1"/>
  <c r="DJ7" i="11"/>
  <c r="AG255" i="38" s="1"/>
  <c r="DN7" i="11"/>
  <c r="AK255" i="38" s="1"/>
  <c r="DO7" i="11"/>
  <c r="AL255" i="38" s="1"/>
  <c r="DK7" i="11"/>
  <c r="AH255" i="38" s="1"/>
  <c r="DM7" i="11"/>
  <c r="AJ255" i="38" s="1"/>
  <c r="DJ6" i="11"/>
  <c r="AG254" i="38" s="1"/>
  <c r="DN6" i="11"/>
  <c r="AK254" i="38" s="1"/>
  <c r="DL6" i="11"/>
  <c r="AI254" i="38" s="1"/>
  <c r="DO6" i="11"/>
  <c r="AL254" i="38" s="1"/>
  <c r="DK6" i="11"/>
  <c r="AH254" i="38" s="1"/>
  <c r="DM6" i="11"/>
  <c r="AJ254" i="38" s="1"/>
  <c r="DM5" i="11"/>
  <c r="AJ253" i="38" s="1"/>
  <c r="DN5" i="11"/>
  <c r="AK253" i="38" s="1"/>
  <c r="DK5" i="11"/>
  <c r="AH253" i="38" s="1"/>
  <c r="DO5" i="11"/>
  <c r="AL253" i="38" s="1"/>
  <c r="DJ5" i="11"/>
  <c r="AG253" i="38" s="1"/>
  <c r="DL5" i="11"/>
  <c r="AI253" i="38" s="1"/>
  <c r="DJ12" i="11"/>
  <c r="AG260" i="38" s="1"/>
  <c r="DN12" i="11"/>
  <c r="AK260" i="38" s="1"/>
  <c r="DM12" i="11"/>
  <c r="AJ260" i="38" s="1"/>
  <c r="DK12" i="11"/>
  <c r="AH260" i="38" s="1"/>
  <c r="DO12" i="11"/>
  <c r="AL260" i="38" s="1"/>
  <c r="DL12" i="11"/>
  <c r="AI260" i="38" s="1"/>
  <c r="FF29" i="1"/>
  <c r="AE27" i="38" s="1"/>
  <c r="FF37" i="1"/>
  <c r="AE35" i="38" s="1"/>
  <c r="FF45" i="1"/>
  <c r="AE43" i="38" s="1"/>
  <c r="FF53" i="1"/>
  <c r="AE51" i="38" s="1"/>
  <c r="FF61" i="1"/>
  <c r="AE59" i="38" s="1"/>
  <c r="FF69" i="1"/>
  <c r="AE67" i="38" s="1"/>
  <c r="FF77" i="1"/>
  <c r="AE75" i="38" s="1"/>
  <c r="FF85" i="1"/>
  <c r="AE83" i="38" s="1"/>
  <c r="FF93" i="1"/>
  <c r="AE91" i="38" s="1"/>
  <c r="FF101" i="1"/>
  <c r="AE99" i="38" s="1"/>
  <c r="FF109" i="1"/>
  <c r="AE107" i="38" s="1"/>
  <c r="FF117" i="1"/>
  <c r="AE115" i="38" s="1"/>
  <c r="FF125" i="1"/>
  <c r="AE123" i="38" s="1"/>
  <c r="FF133" i="1"/>
  <c r="AE131" i="38" s="1"/>
  <c r="FF141" i="1"/>
  <c r="AE139" i="38" s="1"/>
  <c r="FF149" i="1"/>
  <c r="AE147" i="38" s="1"/>
  <c r="FF7" i="1"/>
  <c r="AE5" i="38" s="1"/>
  <c r="FF15" i="1"/>
  <c r="AE13" i="38" s="1"/>
  <c r="FF23" i="1"/>
  <c r="AE21" i="38" s="1"/>
  <c r="FF150" i="1"/>
  <c r="AE148" i="38" s="1"/>
  <c r="FF151" i="1"/>
  <c r="AE149" i="38" s="1"/>
  <c r="FF152" i="1"/>
  <c r="AE150" i="38" s="1"/>
  <c r="FF153" i="1"/>
  <c r="AE151" i="38" s="1"/>
  <c r="FF254" i="1"/>
  <c r="AE252" i="38" s="1"/>
  <c r="FF6" i="1"/>
  <c r="AE4" i="38" s="1"/>
  <c r="FF8" i="1"/>
  <c r="AE6" i="38" s="1"/>
  <c r="FF9" i="1"/>
  <c r="AE7" i="38" s="1"/>
  <c r="FF10" i="1"/>
  <c r="AE8" i="38" s="1"/>
  <c r="FF11" i="1"/>
  <c r="AE9" i="38" s="1"/>
  <c r="FF12" i="1"/>
  <c r="AE10" i="38" s="1"/>
  <c r="FF13" i="1"/>
  <c r="AE11" i="38" s="1"/>
  <c r="FF14" i="1"/>
  <c r="AE12" i="38" s="1"/>
  <c r="FF16" i="1"/>
  <c r="AE14" i="38" s="1"/>
  <c r="FF17" i="1"/>
  <c r="AE15" i="38" s="1"/>
  <c r="FF18" i="1"/>
  <c r="AE16" i="38" s="1"/>
  <c r="FF19" i="1"/>
  <c r="AE17" i="38" s="1"/>
  <c r="FF20" i="1"/>
  <c r="AE18" i="38" s="1"/>
  <c r="FF21" i="1"/>
  <c r="AE19" i="38" s="1"/>
  <c r="FF22" i="1"/>
  <c r="AE20" i="38" s="1"/>
  <c r="FF24" i="1"/>
  <c r="AE22" i="38" s="1"/>
  <c r="FF25" i="1"/>
  <c r="AE23" i="38" s="1"/>
  <c r="FF26" i="1"/>
  <c r="AE24" i="38" s="1"/>
  <c r="FF27" i="1"/>
  <c r="AE25" i="38" s="1"/>
  <c r="FF28" i="1"/>
  <c r="AE26" i="38" s="1"/>
  <c r="FF30" i="1"/>
  <c r="AE28" i="38" s="1"/>
  <c r="FF31" i="1"/>
  <c r="AE29" i="38" s="1"/>
  <c r="FF32" i="1"/>
  <c r="AE30" i="38" s="1"/>
  <c r="FF33" i="1"/>
  <c r="AE31" i="38" s="1"/>
  <c r="FF34" i="1"/>
  <c r="AE32" i="38" s="1"/>
  <c r="FF35" i="1"/>
  <c r="AE33" i="38" s="1"/>
  <c r="FF36" i="1"/>
  <c r="AE34" i="38" s="1"/>
  <c r="FF38" i="1"/>
  <c r="AE36" i="38" s="1"/>
  <c r="FF39" i="1"/>
  <c r="AE37" i="38" s="1"/>
  <c r="FF40" i="1"/>
  <c r="AE38" i="38" s="1"/>
  <c r="FF41" i="1"/>
  <c r="AE39" i="38" s="1"/>
  <c r="FF42" i="1"/>
  <c r="AE40" i="38" s="1"/>
  <c r="FF43" i="1"/>
  <c r="AE41" i="38" s="1"/>
  <c r="FF44" i="1"/>
  <c r="AE42" i="38" s="1"/>
  <c r="FF46" i="1"/>
  <c r="AE44" i="38" s="1"/>
  <c r="FF47" i="1"/>
  <c r="AE45" i="38" s="1"/>
  <c r="FF48" i="1"/>
  <c r="AE46" i="38" s="1"/>
  <c r="FF49" i="1"/>
  <c r="AE47" i="38" s="1"/>
  <c r="FF50" i="1"/>
  <c r="AE48" i="38" s="1"/>
  <c r="FF51" i="1"/>
  <c r="AE49" i="38" s="1"/>
  <c r="FF52" i="1"/>
  <c r="AE50" i="38" s="1"/>
  <c r="FF54" i="1"/>
  <c r="AE52" i="38" s="1"/>
  <c r="FF55" i="1"/>
  <c r="AE53" i="38" s="1"/>
  <c r="FF56" i="1"/>
  <c r="AE54" i="38" s="1"/>
  <c r="FF57" i="1"/>
  <c r="AE55" i="38" s="1"/>
  <c r="FF58" i="1"/>
  <c r="AE56" i="38" s="1"/>
  <c r="FF59" i="1"/>
  <c r="AE57" i="38" s="1"/>
  <c r="FF60" i="1"/>
  <c r="AE58" i="38" s="1"/>
  <c r="FF62" i="1"/>
  <c r="AE60" i="38" s="1"/>
  <c r="FF63" i="1"/>
  <c r="AE61" i="38" s="1"/>
  <c r="FF64" i="1"/>
  <c r="AE62" i="38" s="1"/>
  <c r="FF65" i="1"/>
  <c r="AE63" i="38" s="1"/>
  <c r="FF66" i="1"/>
  <c r="AE64" i="38" s="1"/>
  <c r="FF67" i="1"/>
  <c r="AE65" i="38" s="1"/>
  <c r="FF68" i="1"/>
  <c r="AE66" i="38" s="1"/>
  <c r="FF70" i="1"/>
  <c r="AE68" i="38" s="1"/>
  <c r="FF71" i="1"/>
  <c r="AE69" i="38" s="1"/>
  <c r="FF72" i="1"/>
  <c r="AE70" i="38" s="1"/>
  <c r="FF73" i="1"/>
  <c r="AE71" i="38" s="1"/>
  <c r="FF74" i="1"/>
  <c r="AE72" i="38" s="1"/>
  <c r="FF75" i="1"/>
  <c r="AE73" i="38" s="1"/>
  <c r="FF76" i="1"/>
  <c r="AE74" i="38" s="1"/>
  <c r="FF78" i="1"/>
  <c r="AE76" i="38" s="1"/>
  <c r="FF79" i="1"/>
  <c r="AE77" i="38" s="1"/>
  <c r="FF80" i="1"/>
  <c r="AE78" i="38" s="1"/>
  <c r="FF81" i="1"/>
  <c r="AE79" i="38" s="1"/>
  <c r="FF82" i="1"/>
  <c r="AE80" i="38" s="1"/>
  <c r="FF83" i="1"/>
  <c r="AE81" i="38" s="1"/>
  <c r="FF84" i="1"/>
  <c r="AE82" i="38" s="1"/>
  <c r="FF86" i="1"/>
  <c r="AE84" i="38" s="1"/>
  <c r="FF87" i="1"/>
  <c r="AE85" i="38" s="1"/>
  <c r="FF88" i="1"/>
  <c r="AE86" i="38" s="1"/>
  <c r="FF89" i="1"/>
  <c r="AE87" i="38" s="1"/>
  <c r="FF90" i="1"/>
  <c r="AE88" i="38" s="1"/>
  <c r="FF91" i="1"/>
  <c r="AE89" i="38" s="1"/>
  <c r="FF92" i="1"/>
  <c r="AE90" i="38" s="1"/>
  <c r="FF94" i="1"/>
  <c r="AE92" i="38" s="1"/>
  <c r="FF95" i="1"/>
  <c r="AE93" i="38" s="1"/>
  <c r="FF96" i="1"/>
  <c r="AE94" i="38" s="1"/>
  <c r="FF97" i="1"/>
  <c r="AE95" i="38" s="1"/>
  <c r="FF98" i="1"/>
  <c r="AE96" i="38" s="1"/>
  <c r="FF99" i="1"/>
  <c r="AE97" i="38" s="1"/>
  <c r="FF100" i="1"/>
  <c r="AE98" i="38" s="1"/>
  <c r="FF102" i="1"/>
  <c r="AE100" i="38" s="1"/>
  <c r="FF103" i="1"/>
  <c r="AE101" i="38" s="1"/>
  <c r="FF104" i="1"/>
  <c r="AE102" i="38" s="1"/>
  <c r="FF105" i="1"/>
  <c r="AE103" i="38" s="1"/>
  <c r="FF106" i="1"/>
  <c r="AE104" i="38" s="1"/>
  <c r="FF107" i="1"/>
  <c r="AE105" i="38" s="1"/>
  <c r="FF108" i="1"/>
  <c r="AE106" i="38" s="1"/>
  <c r="FF110" i="1"/>
  <c r="AE108" i="38" s="1"/>
  <c r="FF111" i="1"/>
  <c r="AE109" i="38" s="1"/>
  <c r="FF112" i="1"/>
  <c r="AE110" i="38" s="1"/>
  <c r="FF113" i="1"/>
  <c r="AE111" i="38" s="1"/>
  <c r="FF114" i="1"/>
  <c r="AE112" i="38" s="1"/>
  <c r="FF115" i="1"/>
  <c r="AE113" i="38" s="1"/>
  <c r="FF116" i="1"/>
  <c r="AE114" i="38" s="1"/>
  <c r="FF118" i="1"/>
  <c r="AE116" i="38" s="1"/>
  <c r="FF119" i="1"/>
  <c r="AE117" i="38" s="1"/>
  <c r="FF120" i="1"/>
  <c r="AE118" i="38" s="1"/>
  <c r="FF121" i="1"/>
  <c r="AE119" i="38" s="1"/>
  <c r="FF122" i="1"/>
  <c r="AE120" i="38" s="1"/>
  <c r="FF123" i="1"/>
  <c r="AE121" i="38" s="1"/>
  <c r="FF124" i="1"/>
  <c r="AE122" i="38" s="1"/>
  <c r="FF126" i="1"/>
  <c r="AE124" i="38" s="1"/>
  <c r="FF127" i="1"/>
  <c r="AE125" i="38" s="1"/>
  <c r="FF128" i="1"/>
  <c r="AE126" i="38" s="1"/>
  <c r="FF129" i="1"/>
  <c r="AE127" i="38" s="1"/>
  <c r="FF130" i="1"/>
  <c r="AE128" i="38" s="1"/>
  <c r="FF131" i="1"/>
  <c r="AE129" i="38" s="1"/>
  <c r="FF132" i="1"/>
  <c r="AE130" i="38" s="1"/>
  <c r="FF134" i="1"/>
  <c r="AE132" i="38" s="1"/>
  <c r="FF135" i="1"/>
  <c r="AE133" i="38" s="1"/>
  <c r="FF136" i="1"/>
  <c r="AE134" i="38" s="1"/>
  <c r="FF137" i="1"/>
  <c r="AE135" i="38" s="1"/>
  <c r="FF138" i="1"/>
  <c r="AE136" i="38" s="1"/>
  <c r="FF139" i="1"/>
  <c r="AE137" i="38" s="1"/>
  <c r="FF140" i="1"/>
  <c r="AE138" i="38" s="1"/>
  <c r="FF142" i="1"/>
  <c r="AE140" i="38" s="1"/>
  <c r="FF143" i="1"/>
  <c r="AE141" i="38" s="1"/>
  <c r="FF144" i="1"/>
  <c r="AE142" i="38" s="1"/>
  <c r="FF145" i="1"/>
  <c r="AE143" i="38" s="1"/>
  <c r="FF146" i="1"/>
  <c r="AE144" i="38" s="1"/>
  <c r="FF147" i="1"/>
  <c r="AE145" i="38" s="1"/>
  <c r="FF148" i="1"/>
  <c r="AE146" i="38" s="1"/>
  <c r="FF5" i="1"/>
  <c r="AE3" i="38" s="1"/>
  <c r="AR272" i="38" l="1"/>
  <c r="AR286" i="38"/>
  <c r="AR294" i="38"/>
  <c r="AR310" i="38"/>
  <c r="AR330" i="38"/>
  <c r="AR290" i="38"/>
  <c r="AR298" i="38"/>
  <c r="AR253" i="38"/>
  <c r="AR260" i="38"/>
  <c r="AR254" i="38"/>
  <c r="AR256" i="38"/>
  <c r="AR258" i="38"/>
  <c r="AR255" i="38"/>
  <c r="AR257" i="38"/>
  <c r="AR276" i="38"/>
  <c r="AR280" i="38"/>
  <c r="AR304" i="38"/>
  <c r="AR308" i="38"/>
  <c r="AR321" i="38"/>
  <c r="AR329" i="38"/>
  <c r="AR337" i="38"/>
  <c r="AR338" i="38"/>
  <c r="AR340" i="38"/>
  <c r="AR342" i="38"/>
  <c r="AR344" i="38"/>
  <c r="AR346" i="38"/>
  <c r="AR348" i="38"/>
  <c r="AR350" i="38"/>
  <c r="AR352" i="38"/>
  <c r="AR354" i="38"/>
  <c r="AR356" i="38"/>
  <c r="AR358" i="38"/>
  <c r="AR360" i="38"/>
  <c r="AR362" i="38"/>
  <c r="AR364" i="38"/>
  <c r="AR366" i="38"/>
  <c r="AR368" i="38"/>
  <c r="AR370" i="38"/>
  <c r="AR372" i="38"/>
  <c r="AR374" i="38"/>
  <c r="AR376" i="38"/>
  <c r="AR378" i="38"/>
  <c r="AR380" i="38"/>
  <c r="AR382" i="38"/>
  <c r="AR384" i="38"/>
  <c r="AR386" i="38"/>
  <c r="AR388" i="38"/>
  <c r="AR390" i="38"/>
  <c r="AR263" i="38"/>
  <c r="AR265" i="38"/>
  <c r="AR267" i="38"/>
  <c r="AR269" i="38"/>
  <c r="AR271" i="38"/>
  <c r="AR273" i="38"/>
  <c r="AR275" i="38"/>
  <c r="AR277" i="38"/>
  <c r="AR279" i="38"/>
  <c r="AR281" i="38"/>
  <c r="AR283" i="38"/>
  <c r="AR285" i="38"/>
  <c r="AR287" i="38"/>
  <c r="AR289" i="38"/>
  <c r="AR291" i="38"/>
  <c r="AR293" i="38"/>
  <c r="AR295" i="38"/>
  <c r="AR297" i="38"/>
  <c r="AR299" i="38"/>
  <c r="AR301" i="38"/>
  <c r="AR303" i="38"/>
  <c r="AR305" i="38"/>
  <c r="AR307" i="38"/>
  <c r="AR309" i="38"/>
  <c r="AR311" i="38"/>
  <c r="AR316" i="38"/>
  <c r="AR319" i="38"/>
  <c r="AR324" i="38"/>
  <c r="AR332" i="38"/>
  <c r="AR335" i="38"/>
  <c r="AR411" i="38"/>
  <c r="AR413" i="38"/>
  <c r="AR415" i="38"/>
  <c r="AR262" i="38"/>
  <c r="AR264" i="38"/>
  <c r="AR268" i="38"/>
  <c r="AR302" i="38"/>
  <c r="AR313" i="38"/>
  <c r="AR318" i="38"/>
  <c r="AR322" i="38"/>
  <c r="AR326" i="38"/>
  <c r="AR334" i="38"/>
  <c r="AR392" i="38"/>
  <c r="AR394" i="38"/>
  <c r="AR396" i="38"/>
  <c r="AR398" i="38"/>
  <c r="AR400" i="38"/>
  <c r="AR402" i="38"/>
  <c r="AR404" i="38"/>
  <c r="AR406" i="38"/>
  <c r="AR408" i="38"/>
  <c r="AR410" i="38"/>
  <c r="AR312" i="38"/>
  <c r="AR317" i="38"/>
  <c r="AR320" i="38"/>
  <c r="AR323" i="38"/>
  <c r="AR325" i="38"/>
  <c r="AR328" i="38"/>
  <c r="AR333" i="38"/>
  <c r="AR336" i="38"/>
  <c r="AR339" i="38"/>
  <c r="AR341" i="38"/>
  <c r="AR343" i="38"/>
  <c r="AR345" i="38"/>
  <c r="AR347" i="38"/>
  <c r="AR349" i="38"/>
  <c r="AR351" i="38"/>
  <c r="AR353" i="38"/>
  <c r="AR355" i="38"/>
  <c r="AR357" i="38"/>
  <c r="AR359" i="38"/>
  <c r="AR361" i="38"/>
  <c r="AR363" i="38"/>
  <c r="AR365" i="38"/>
  <c r="AR367" i="38"/>
  <c r="AR369" i="38"/>
  <c r="AR371" i="38"/>
  <c r="AR373" i="38"/>
  <c r="AR375" i="38"/>
  <c r="AR377" i="38"/>
  <c r="AR379" i="38"/>
  <c r="AR381" i="38"/>
  <c r="AR383" i="38"/>
  <c r="AR385" i="38"/>
  <c r="AR387" i="38"/>
  <c r="AR389" i="38"/>
  <c r="AR391" i="38"/>
  <c r="AR393" i="38"/>
  <c r="AR395" i="38"/>
  <c r="AR397" i="38"/>
  <c r="AR399" i="38"/>
  <c r="AR401" i="38"/>
  <c r="AR403" i="38"/>
  <c r="AR405" i="38"/>
  <c r="AR407" i="38"/>
  <c r="AR409" i="38"/>
  <c r="AR414" i="38"/>
  <c r="AL261" i="38"/>
  <c r="DO168" i="11"/>
  <c r="AK261" i="38"/>
  <c r="DN168" i="11"/>
  <c r="AJ261" i="38"/>
  <c r="DM168" i="11"/>
  <c r="AH261" i="38"/>
  <c r="DK168" i="11"/>
  <c r="AI261" i="38"/>
  <c r="DL168" i="11"/>
  <c r="DP11" i="11"/>
  <c r="AG259" i="38"/>
  <c r="AR259" i="38" s="1"/>
  <c r="DP34" i="11"/>
  <c r="AG282" i="38"/>
  <c r="AR282" i="38" s="1"/>
  <c r="DP18" i="11"/>
  <c r="AG266" i="38"/>
  <c r="AR266" i="38" s="1"/>
  <c r="DP22" i="11"/>
  <c r="AG270" i="38"/>
  <c r="AR270" i="38" s="1"/>
  <c r="DP26" i="11"/>
  <c r="AG274" i="38"/>
  <c r="AR274" i="38" s="1"/>
  <c r="DP30" i="11"/>
  <c r="AG278" i="38"/>
  <c r="AR278" i="38" s="1"/>
  <c r="DP36" i="11"/>
  <c r="AG284" i="38"/>
  <c r="AR284" i="38" s="1"/>
  <c r="DP40" i="11"/>
  <c r="AG288" i="38"/>
  <c r="AR288" i="38" s="1"/>
  <c r="DP44" i="11"/>
  <c r="AG292" i="38"/>
  <c r="AR292" i="38" s="1"/>
  <c r="DP48" i="11"/>
  <c r="AG296" i="38"/>
  <c r="AR296" i="38" s="1"/>
  <c r="DP52" i="11"/>
  <c r="AG300" i="38"/>
  <c r="AR300" i="38" s="1"/>
  <c r="DP58" i="11"/>
  <c r="AG306" i="38"/>
  <c r="AR306" i="38" s="1"/>
  <c r="DP66" i="11"/>
  <c r="AG314" i="38"/>
  <c r="AR314" i="38" s="1"/>
  <c r="DP67" i="11"/>
  <c r="AG315" i="38"/>
  <c r="AR315" i="38" s="1"/>
  <c r="DP79" i="11"/>
  <c r="AG327" i="38"/>
  <c r="AR327" i="38" s="1"/>
  <c r="DP83" i="11"/>
  <c r="AG331" i="38"/>
  <c r="AR331" i="38" s="1"/>
  <c r="DP164" i="11"/>
  <c r="AG412" i="38"/>
  <c r="AR412" i="38" s="1"/>
  <c r="AM1" i="38"/>
  <c r="DJ168" i="11"/>
  <c r="DP5" i="11"/>
  <c r="DP65" i="11"/>
  <c r="DP70" i="11"/>
  <c r="DP73" i="11"/>
  <c r="DP74" i="11"/>
  <c r="DP78" i="11"/>
  <c r="DP81" i="11"/>
  <c r="DP86" i="11"/>
  <c r="DP89" i="11"/>
  <c r="DP90" i="11"/>
  <c r="DP92" i="11"/>
  <c r="DP94" i="11"/>
  <c r="DP96" i="11"/>
  <c r="DP98" i="11"/>
  <c r="DP100" i="11"/>
  <c r="DP102" i="11"/>
  <c r="DP104" i="11"/>
  <c r="DP106" i="11"/>
  <c r="DP108" i="11"/>
  <c r="DP110" i="11"/>
  <c r="DP112" i="11"/>
  <c r="DP114" i="11"/>
  <c r="DP116" i="11"/>
  <c r="DP118" i="11"/>
  <c r="DP120" i="11"/>
  <c r="DP122" i="11"/>
  <c r="DP124" i="11"/>
  <c r="DP126" i="11"/>
  <c r="DP128" i="11"/>
  <c r="DP130" i="11"/>
  <c r="DP132" i="11"/>
  <c r="DP134" i="11"/>
  <c r="DP136" i="11"/>
  <c r="DP138" i="11"/>
  <c r="DP140" i="11"/>
  <c r="DP142" i="11"/>
  <c r="DP144" i="11"/>
  <c r="DP146" i="11"/>
  <c r="DP148" i="11"/>
  <c r="DP150" i="11"/>
  <c r="DP152" i="11"/>
  <c r="DP154" i="11"/>
  <c r="DP156" i="11"/>
  <c r="DP158" i="11"/>
  <c r="DP160" i="11"/>
  <c r="DP162" i="11"/>
  <c r="DP7" i="11"/>
  <c r="DP9" i="11"/>
  <c r="DP14" i="11"/>
  <c r="DP16" i="11"/>
  <c r="DP20" i="11"/>
  <c r="DP24" i="11"/>
  <c r="DP28" i="11"/>
  <c r="DP32" i="11"/>
  <c r="DP38" i="11"/>
  <c r="DP42" i="11"/>
  <c r="DP46" i="11"/>
  <c r="DP50" i="11"/>
  <c r="DP54" i="11"/>
  <c r="DP56" i="11"/>
  <c r="DP60" i="11"/>
  <c r="DP62" i="11"/>
  <c r="DP82" i="11"/>
  <c r="DP64" i="11"/>
  <c r="DP69" i="11"/>
  <c r="DP72" i="11"/>
  <c r="DP75" i="11"/>
  <c r="DP77" i="11"/>
  <c r="DP80" i="11"/>
  <c r="DP85" i="11"/>
  <c r="DP88" i="11"/>
  <c r="DP91" i="11"/>
  <c r="DP93" i="11"/>
  <c r="DP95" i="11"/>
  <c r="DP97" i="11"/>
  <c r="DP99" i="11"/>
  <c r="DP101" i="11"/>
  <c r="DP103" i="11"/>
  <c r="DP105" i="11"/>
  <c r="DP107" i="11"/>
  <c r="DP109" i="11"/>
  <c r="DP111" i="11"/>
  <c r="DP113" i="11"/>
  <c r="DP115" i="11"/>
  <c r="DP117" i="11"/>
  <c r="DP119" i="11"/>
  <c r="DP121" i="11"/>
  <c r="DP123" i="11"/>
  <c r="DP125" i="11"/>
  <c r="DP127" i="11"/>
  <c r="DP129" i="11"/>
  <c r="DP131" i="11"/>
  <c r="DP133" i="11"/>
  <c r="DP135" i="11"/>
  <c r="DP137" i="11"/>
  <c r="DP139" i="11"/>
  <c r="DP141" i="11"/>
  <c r="DP143" i="11"/>
  <c r="DP145" i="11"/>
  <c r="DP147" i="11"/>
  <c r="DP149" i="11"/>
  <c r="DP151" i="11"/>
  <c r="DP153" i="11"/>
  <c r="DP155" i="11"/>
  <c r="DP157" i="11"/>
  <c r="DP159" i="11"/>
  <c r="DP161" i="11"/>
  <c r="DP166" i="11"/>
  <c r="DP12" i="11"/>
  <c r="DP6" i="11"/>
  <c r="DP8" i="11"/>
  <c r="DP10" i="11"/>
  <c r="DP13" i="11"/>
  <c r="DP15" i="11"/>
  <c r="DP17" i="11"/>
  <c r="DP19" i="11"/>
  <c r="DP21" i="11"/>
  <c r="DP23" i="11"/>
  <c r="DP25" i="11"/>
  <c r="DP27" i="11"/>
  <c r="DP29" i="11"/>
  <c r="DP31" i="11"/>
  <c r="DP33" i="11"/>
  <c r="DP35" i="11"/>
  <c r="DP37" i="11"/>
  <c r="DP39" i="11"/>
  <c r="DP41" i="11"/>
  <c r="DP43" i="11"/>
  <c r="DP45" i="11"/>
  <c r="DP47" i="11"/>
  <c r="DP49" i="11"/>
  <c r="DP51" i="11"/>
  <c r="DP53" i="11"/>
  <c r="DP55" i="11"/>
  <c r="DP57" i="11"/>
  <c r="DP59" i="11"/>
  <c r="DP61" i="11"/>
  <c r="DP63" i="11"/>
  <c r="DP68" i="11"/>
  <c r="DP71" i="11"/>
  <c r="DP76" i="11"/>
  <c r="DP84" i="11"/>
  <c r="DP87" i="11"/>
  <c r="DP163" i="11"/>
  <c r="DP165" i="11"/>
  <c r="DP167" i="11"/>
  <c r="AR261" i="38" l="1"/>
  <c r="AN1" i="38"/>
  <c r="DP168" i="11"/>
  <c r="AO1" i="38" l="1"/>
  <c r="AP1" i="38" l="1"/>
  <c r="AQ1" i="38" l="1"/>
  <c r="CA191" i="11"/>
  <c r="BV65" i="5" s="1"/>
  <c r="BZ191" i="11"/>
  <c r="BU65" i="5" s="1"/>
  <c r="BY191" i="11"/>
  <c r="BT65" i="5" s="1"/>
  <c r="BX191" i="11"/>
  <c r="BS65" i="5" s="1"/>
  <c r="BW191" i="11"/>
  <c r="BR65" i="5" s="1"/>
  <c r="BV191" i="11"/>
  <c r="BQ65" i="5" s="1"/>
  <c r="BU191" i="11"/>
  <c r="BP65" i="5" s="1"/>
  <c r="BT191" i="11"/>
  <c r="BO65" i="5" s="1"/>
  <c r="BS191" i="11"/>
  <c r="BN65" i="5" s="1"/>
  <c r="BR191" i="11"/>
  <c r="BM65" i="5" s="1"/>
  <c r="BQ191" i="11"/>
  <c r="BL65" i="5" s="1"/>
  <c r="BP191" i="11"/>
  <c r="BK65" i="5" s="1"/>
  <c r="BO191" i="11"/>
  <c r="BJ65" i="5" s="1"/>
  <c r="BN191" i="11"/>
  <c r="BI65" i="5" s="1"/>
  <c r="BM191" i="11"/>
  <c r="BH65" i="5" s="1"/>
  <c r="BL191" i="11"/>
  <c r="BG65" i="5" s="1"/>
  <c r="BK191" i="11"/>
  <c r="BF65" i="5" s="1"/>
  <c r="BJ191" i="11"/>
  <c r="BE65" i="5" s="1"/>
  <c r="BI191" i="11"/>
  <c r="BD65" i="5" s="1"/>
  <c r="BH191" i="11"/>
  <c r="BC65" i="5" s="1"/>
  <c r="BG191" i="11"/>
  <c r="BB65" i="5" s="1"/>
  <c r="BF191" i="11"/>
  <c r="BA65" i="5" s="1"/>
  <c r="BE191" i="11"/>
  <c r="AZ65" i="5" s="1"/>
  <c r="BD191" i="11"/>
  <c r="AY65" i="5" s="1"/>
  <c r="BC191" i="11"/>
  <c r="AX65" i="5" s="1"/>
  <c r="BB191" i="11"/>
  <c r="AW65" i="5" s="1"/>
  <c r="BA191" i="11"/>
  <c r="AV65" i="5" s="1"/>
  <c r="AZ191" i="11"/>
  <c r="AU65" i="5" s="1"/>
  <c r="AY191" i="11"/>
  <c r="AT65" i="5" s="1"/>
  <c r="AX191" i="11"/>
  <c r="AS65" i="5" s="1"/>
  <c r="AW191" i="11"/>
  <c r="AR65" i="5" s="1"/>
  <c r="AV191" i="11"/>
  <c r="AQ65" i="5" s="1"/>
  <c r="AU191" i="11"/>
  <c r="AP65" i="5" s="1"/>
  <c r="AT191" i="11"/>
  <c r="AO65" i="5" s="1"/>
  <c r="AS191" i="11"/>
  <c r="AN65" i="5" s="1"/>
  <c r="AR191" i="11"/>
  <c r="AM65" i="5" s="1"/>
  <c r="AQ191" i="11"/>
  <c r="AL65" i="5" s="1"/>
  <c r="AP191" i="11"/>
  <c r="AK65" i="5" s="1"/>
  <c r="AO191" i="11"/>
  <c r="AJ65" i="5" s="1"/>
  <c r="AN191" i="11"/>
  <c r="AI65" i="5" s="1"/>
  <c r="AM191" i="11"/>
  <c r="AH65" i="5" s="1"/>
  <c r="AL191" i="11"/>
  <c r="AG65" i="5" s="1"/>
  <c r="AK191" i="11"/>
  <c r="AF65" i="5" s="1"/>
  <c r="AJ191" i="11"/>
  <c r="AE65" i="5" s="1"/>
  <c r="AI191" i="11"/>
  <c r="AD65" i="5" s="1"/>
  <c r="AH191" i="11"/>
  <c r="AC65" i="5" s="1"/>
  <c r="AG191" i="11"/>
  <c r="AB65" i="5" s="1"/>
  <c r="AF191" i="11"/>
  <c r="AA65" i="5" s="1"/>
  <c r="AE191" i="11"/>
  <c r="Z65" i="5" s="1"/>
  <c r="AD191" i="11"/>
  <c r="Y65" i="5" s="1"/>
  <c r="AC191" i="11"/>
  <c r="X65" i="5" s="1"/>
  <c r="AB191" i="11"/>
  <c r="W65" i="5" s="1"/>
  <c r="AA191" i="11"/>
  <c r="V65" i="5" s="1"/>
  <c r="Z191" i="11"/>
  <c r="U65" i="5" s="1"/>
  <c r="Y191" i="11"/>
  <c r="T65" i="5" s="1"/>
  <c r="X191" i="11"/>
  <c r="S65" i="5" s="1"/>
  <c r="W191" i="11"/>
  <c r="R65" i="5" s="1"/>
  <c r="V191" i="11"/>
  <c r="Q65" i="5" s="1"/>
  <c r="U191" i="11"/>
  <c r="P65" i="5" s="1"/>
  <c r="T191" i="11"/>
  <c r="O65" i="5" s="1"/>
  <c r="S191" i="11"/>
  <c r="N65" i="5" s="1"/>
  <c r="R191" i="11"/>
  <c r="M65" i="5" s="1"/>
  <c r="Q191" i="11"/>
  <c r="L65" i="5" s="1"/>
  <c r="P191" i="11"/>
  <c r="K65" i="5" s="1"/>
  <c r="O191" i="11"/>
  <c r="J65" i="5" s="1"/>
  <c r="N191" i="11"/>
  <c r="I65" i="5" s="1"/>
  <c r="M191" i="11"/>
  <c r="H65" i="5" s="1"/>
  <c r="L191" i="11"/>
  <c r="G65" i="5" s="1"/>
  <c r="K191" i="11"/>
  <c r="F65" i="5" s="1"/>
  <c r="J191" i="11"/>
  <c r="E65" i="5" s="1"/>
  <c r="I191" i="11"/>
  <c r="D65" i="5" s="1"/>
  <c r="CA190" i="11"/>
  <c r="BV33" i="5" s="1"/>
  <c r="BZ190" i="11"/>
  <c r="BU33" i="5" s="1"/>
  <c r="BY190" i="11"/>
  <c r="BT33" i="5" s="1"/>
  <c r="BX190" i="11"/>
  <c r="BS33" i="5" s="1"/>
  <c r="BW190" i="11"/>
  <c r="BR33" i="5" s="1"/>
  <c r="BV190" i="11"/>
  <c r="BQ33" i="5" s="1"/>
  <c r="BU190" i="11"/>
  <c r="BP33" i="5" s="1"/>
  <c r="BT190" i="11"/>
  <c r="BO33" i="5" s="1"/>
  <c r="BS190" i="11"/>
  <c r="BN33" i="5" s="1"/>
  <c r="BR190" i="11"/>
  <c r="BM33" i="5" s="1"/>
  <c r="BQ190" i="11"/>
  <c r="BL33" i="5" s="1"/>
  <c r="BP190" i="11"/>
  <c r="BK33" i="5" s="1"/>
  <c r="BO190" i="11"/>
  <c r="BJ33" i="5" s="1"/>
  <c r="BN190" i="11"/>
  <c r="BI33" i="5" s="1"/>
  <c r="BM190" i="11"/>
  <c r="BH33" i="5" s="1"/>
  <c r="BL190" i="11"/>
  <c r="BG33" i="5" s="1"/>
  <c r="BK190" i="11"/>
  <c r="BF33" i="5" s="1"/>
  <c r="BJ190" i="11"/>
  <c r="BE33" i="5" s="1"/>
  <c r="BI190" i="11"/>
  <c r="BD33" i="5" s="1"/>
  <c r="BH190" i="11"/>
  <c r="BC33" i="5" s="1"/>
  <c r="BG190" i="11"/>
  <c r="BB33" i="5" s="1"/>
  <c r="BF190" i="11"/>
  <c r="BA33" i="5" s="1"/>
  <c r="BE190" i="11"/>
  <c r="AZ33" i="5" s="1"/>
  <c r="BD190" i="11"/>
  <c r="AY33" i="5" s="1"/>
  <c r="BC190" i="11"/>
  <c r="AX33" i="5" s="1"/>
  <c r="BB190" i="11"/>
  <c r="AW33" i="5" s="1"/>
  <c r="BA190" i="11"/>
  <c r="AV33" i="5" s="1"/>
  <c r="AZ190" i="11"/>
  <c r="AU33" i="5" s="1"/>
  <c r="AY190" i="11"/>
  <c r="AT33" i="5" s="1"/>
  <c r="AX190" i="11"/>
  <c r="AS33" i="5" s="1"/>
  <c r="AW190" i="11"/>
  <c r="AR33" i="5" s="1"/>
  <c r="AV190" i="11"/>
  <c r="AQ33" i="5" s="1"/>
  <c r="AU190" i="11"/>
  <c r="AP33" i="5" s="1"/>
  <c r="AT190" i="11"/>
  <c r="AO33" i="5" s="1"/>
  <c r="AS190" i="11"/>
  <c r="AN33" i="5" s="1"/>
  <c r="AR190" i="11"/>
  <c r="AM33" i="5" s="1"/>
  <c r="AQ190" i="11"/>
  <c r="AL33" i="5" s="1"/>
  <c r="AP190" i="11"/>
  <c r="AK33" i="5" s="1"/>
  <c r="AO190" i="11"/>
  <c r="AJ33" i="5" s="1"/>
  <c r="AN190" i="11"/>
  <c r="AI33" i="5" s="1"/>
  <c r="AM190" i="11"/>
  <c r="AH33" i="5" s="1"/>
  <c r="AL190" i="11"/>
  <c r="AG33" i="5" s="1"/>
  <c r="AK190" i="11"/>
  <c r="AF33" i="5" s="1"/>
  <c r="AJ190" i="11"/>
  <c r="AE33" i="5" s="1"/>
  <c r="AI190" i="11"/>
  <c r="AD33" i="5" s="1"/>
  <c r="AH190" i="11"/>
  <c r="AC33" i="5" s="1"/>
  <c r="AG190" i="11"/>
  <c r="AB33" i="5" s="1"/>
  <c r="AF190" i="11"/>
  <c r="AA33" i="5" s="1"/>
  <c r="AE190" i="11"/>
  <c r="Z33" i="5" s="1"/>
  <c r="AD190" i="11"/>
  <c r="Y33" i="5" s="1"/>
  <c r="AC190" i="11"/>
  <c r="X33" i="5" s="1"/>
  <c r="AB190" i="11"/>
  <c r="W33" i="5" s="1"/>
  <c r="AA190" i="11"/>
  <c r="V33" i="5" s="1"/>
  <c r="Z190" i="11"/>
  <c r="U33" i="5" s="1"/>
  <c r="Y190" i="11"/>
  <c r="T33" i="5" s="1"/>
  <c r="X190" i="11"/>
  <c r="S33" i="5" s="1"/>
  <c r="W190" i="11"/>
  <c r="R33" i="5" s="1"/>
  <c r="V190" i="11"/>
  <c r="Q33" i="5" s="1"/>
  <c r="U190" i="11"/>
  <c r="P33" i="5" s="1"/>
  <c r="T190" i="11"/>
  <c r="O33" i="5" s="1"/>
  <c r="S190" i="11"/>
  <c r="N33" i="5" s="1"/>
  <c r="R190" i="11"/>
  <c r="M33" i="5" s="1"/>
  <c r="Q190" i="11"/>
  <c r="L33" i="5" s="1"/>
  <c r="P190" i="11"/>
  <c r="K33" i="5" s="1"/>
  <c r="O190" i="11"/>
  <c r="J33" i="5" s="1"/>
  <c r="N190" i="11"/>
  <c r="I33" i="5" s="1"/>
  <c r="M190" i="11"/>
  <c r="H33" i="5" s="1"/>
  <c r="L190" i="11"/>
  <c r="G33" i="5" s="1"/>
  <c r="K190" i="11"/>
  <c r="F33" i="5" s="1"/>
  <c r="J190" i="11"/>
  <c r="E33" i="5" s="1"/>
  <c r="I190" i="11"/>
  <c r="D33" i="5" s="1"/>
  <c r="H191" i="11"/>
  <c r="C65" i="5" s="1"/>
  <c r="H190" i="11"/>
  <c r="C33" i="5" s="1"/>
  <c r="CA182" i="11"/>
  <c r="BZ182" i="11"/>
  <c r="BY182" i="11"/>
  <c r="BX182" i="11"/>
  <c r="BW182" i="11"/>
  <c r="BV182" i="11"/>
  <c r="BU182" i="11"/>
  <c r="BT182" i="11"/>
  <c r="BS182" i="11"/>
  <c r="BR182" i="11"/>
  <c r="BQ182" i="11"/>
  <c r="BP182" i="11"/>
  <c r="BO182" i="11"/>
  <c r="BN182" i="11"/>
  <c r="BM182" i="11"/>
  <c r="BL182" i="11"/>
  <c r="BK182" i="11"/>
  <c r="BJ182" i="11"/>
  <c r="BI182" i="11"/>
  <c r="BH182" i="11"/>
  <c r="BG182" i="11"/>
  <c r="BF182" i="11"/>
  <c r="BE182" i="11"/>
  <c r="BD182" i="11"/>
  <c r="BC182" i="11"/>
  <c r="BB182" i="11"/>
  <c r="BA182" i="11"/>
  <c r="AZ182" i="11"/>
  <c r="AY182" i="11"/>
  <c r="AX182" i="11"/>
  <c r="AW182" i="11"/>
  <c r="AV182" i="11"/>
  <c r="AU182" i="11"/>
  <c r="AT182" i="11"/>
  <c r="AS182" i="11"/>
  <c r="AR182" i="11"/>
  <c r="AQ182" i="11"/>
  <c r="AP182" i="11"/>
  <c r="AO182" i="11"/>
  <c r="AN182" i="11"/>
  <c r="AM182" i="11"/>
  <c r="AL182" i="11"/>
  <c r="AK182" i="11"/>
  <c r="AJ182" i="11"/>
  <c r="AI182" i="11"/>
  <c r="AH182" i="11"/>
  <c r="AG182" i="11"/>
  <c r="AF182" i="11"/>
  <c r="AE182" i="11"/>
  <c r="AD182" i="11"/>
  <c r="AC182" i="11"/>
  <c r="AB182" i="11"/>
  <c r="AA182" i="11"/>
  <c r="Z182" i="11"/>
  <c r="Y182" i="11"/>
  <c r="X182" i="11"/>
  <c r="W182" i="11"/>
  <c r="V182" i="11"/>
  <c r="U182" i="11"/>
  <c r="T182" i="11"/>
  <c r="S182" i="11"/>
  <c r="R182" i="11"/>
  <c r="Q182" i="11"/>
  <c r="P182" i="11"/>
  <c r="O182" i="11"/>
  <c r="N182" i="11"/>
  <c r="M182" i="11"/>
  <c r="L182" i="11"/>
  <c r="K182" i="11"/>
  <c r="J182" i="11"/>
  <c r="I182" i="11"/>
  <c r="CA181" i="11"/>
  <c r="BZ181" i="11"/>
  <c r="BY181" i="11"/>
  <c r="BX181" i="11"/>
  <c r="BW181" i="11"/>
  <c r="BV181" i="11"/>
  <c r="BU181" i="11"/>
  <c r="BT181" i="11"/>
  <c r="BS181" i="11"/>
  <c r="BR181" i="11"/>
  <c r="BQ181" i="11"/>
  <c r="BP181" i="11"/>
  <c r="BO181" i="11"/>
  <c r="BN181" i="11"/>
  <c r="BM181" i="11"/>
  <c r="BL181" i="11"/>
  <c r="BK181" i="11"/>
  <c r="BJ181" i="11"/>
  <c r="BI181" i="11"/>
  <c r="BH181" i="11"/>
  <c r="BG181" i="11"/>
  <c r="BF181" i="11"/>
  <c r="BE181" i="11"/>
  <c r="BD181" i="11"/>
  <c r="BC181" i="11"/>
  <c r="BB181" i="11"/>
  <c r="BA181" i="11"/>
  <c r="AZ181" i="11"/>
  <c r="AY181" i="11"/>
  <c r="AX181" i="11"/>
  <c r="AW181" i="11"/>
  <c r="AV181" i="11"/>
  <c r="AU181" i="11"/>
  <c r="AT181" i="11"/>
  <c r="AS181" i="11"/>
  <c r="AR181" i="11"/>
  <c r="AQ181" i="11"/>
  <c r="AP181" i="11"/>
  <c r="AO181" i="11"/>
  <c r="AN181" i="11"/>
  <c r="AM181" i="11"/>
  <c r="AL181" i="11"/>
  <c r="AK181" i="11"/>
  <c r="AJ181" i="11"/>
  <c r="AI181" i="11"/>
  <c r="AH181" i="11"/>
  <c r="AG181" i="11"/>
  <c r="AF181" i="11"/>
  <c r="AE181" i="11"/>
  <c r="AD181" i="11"/>
  <c r="AC181" i="11"/>
  <c r="AB181" i="11"/>
  <c r="AA181" i="11"/>
  <c r="Z181" i="11"/>
  <c r="Y181" i="11"/>
  <c r="X181" i="11"/>
  <c r="W181" i="11"/>
  <c r="V181" i="11"/>
  <c r="U181" i="11"/>
  <c r="T181" i="11"/>
  <c r="S181" i="11"/>
  <c r="R181" i="11"/>
  <c r="Q181" i="11"/>
  <c r="P181" i="11"/>
  <c r="O181" i="11"/>
  <c r="N181" i="11"/>
  <c r="M181" i="11"/>
  <c r="L181" i="11"/>
  <c r="K181" i="11"/>
  <c r="J181" i="11"/>
  <c r="I181" i="11"/>
  <c r="H182" i="11"/>
  <c r="H181" i="11"/>
  <c r="BW65" i="5" l="1"/>
  <c r="BW33" i="5"/>
  <c r="J30" i="5"/>
  <c r="V30" i="5"/>
  <c r="AH30" i="5"/>
  <c r="AT30" i="5"/>
  <c r="BF30" i="5"/>
  <c r="BR30" i="5"/>
  <c r="K63" i="5"/>
  <c r="W63" i="5"/>
  <c r="AI63" i="5"/>
  <c r="AU63" i="5"/>
  <c r="BG63" i="5"/>
  <c r="BS63" i="5"/>
  <c r="D30" i="5"/>
  <c r="E30" i="5"/>
  <c r="I30" i="5"/>
  <c r="M30" i="5"/>
  <c r="Q30" i="5"/>
  <c r="U30" i="5"/>
  <c r="Y30" i="5"/>
  <c r="AC30" i="5"/>
  <c r="AG30" i="5"/>
  <c r="AK30" i="5"/>
  <c r="AO30" i="5"/>
  <c r="AS30" i="5"/>
  <c r="AW30" i="5"/>
  <c r="BA30" i="5"/>
  <c r="BE30" i="5"/>
  <c r="BI30" i="5"/>
  <c r="BM30" i="5"/>
  <c r="BQ30" i="5"/>
  <c r="BU30" i="5"/>
  <c r="F63" i="5"/>
  <c r="J63" i="5"/>
  <c r="N63" i="5"/>
  <c r="R63" i="5"/>
  <c r="V63" i="5"/>
  <c r="Z63" i="5"/>
  <c r="AD63" i="5"/>
  <c r="AH63" i="5"/>
  <c r="AL63" i="5"/>
  <c r="AP63" i="5"/>
  <c r="AT63" i="5"/>
  <c r="AX63" i="5"/>
  <c r="BB63" i="5"/>
  <c r="BF63" i="5"/>
  <c r="BJ63" i="5"/>
  <c r="BN63" i="5"/>
  <c r="BR63" i="5"/>
  <c r="BV63" i="5"/>
  <c r="F30" i="5"/>
  <c r="R30" i="5"/>
  <c r="AD30" i="5"/>
  <c r="AP30" i="5"/>
  <c r="BB30" i="5"/>
  <c r="BN30" i="5"/>
  <c r="G63" i="5"/>
  <c r="S63" i="5"/>
  <c r="AE63" i="5"/>
  <c r="AM63" i="5"/>
  <c r="AY63" i="5"/>
  <c r="BO63" i="5"/>
  <c r="G30" i="5"/>
  <c r="K30" i="5"/>
  <c r="O30" i="5"/>
  <c r="S30" i="5"/>
  <c r="W30" i="5"/>
  <c r="AA30" i="5"/>
  <c r="AE30" i="5"/>
  <c r="AI30" i="5"/>
  <c r="AM30" i="5"/>
  <c r="AQ30" i="5"/>
  <c r="AU30" i="5"/>
  <c r="AY30" i="5"/>
  <c r="BC30" i="5"/>
  <c r="BG30" i="5"/>
  <c r="BK30" i="5"/>
  <c r="BO30" i="5"/>
  <c r="BS30" i="5"/>
  <c r="D63" i="5"/>
  <c r="H63" i="5"/>
  <c r="L63" i="5"/>
  <c r="P63" i="5"/>
  <c r="T63" i="5"/>
  <c r="X63" i="5"/>
  <c r="AB63" i="5"/>
  <c r="AF63" i="5"/>
  <c r="AJ63" i="5"/>
  <c r="AN63" i="5"/>
  <c r="AR63" i="5"/>
  <c r="AV63" i="5"/>
  <c r="AZ63" i="5"/>
  <c r="BD63" i="5"/>
  <c r="BH63" i="5"/>
  <c r="BL63" i="5"/>
  <c r="BP63" i="5"/>
  <c r="BT63" i="5"/>
  <c r="C30" i="5"/>
  <c r="N30" i="5"/>
  <c r="Z30" i="5"/>
  <c r="AL30" i="5"/>
  <c r="AX30" i="5"/>
  <c r="BJ30" i="5"/>
  <c r="BV30" i="5"/>
  <c r="O63" i="5"/>
  <c r="AA63" i="5"/>
  <c r="AQ63" i="5"/>
  <c r="BC63" i="5"/>
  <c r="BK63" i="5"/>
  <c r="C63" i="5"/>
  <c r="H30" i="5"/>
  <c r="L30" i="5"/>
  <c r="P30" i="5"/>
  <c r="T30" i="5"/>
  <c r="X30" i="5"/>
  <c r="AB30" i="5"/>
  <c r="AF30" i="5"/>
  <c r="AJ30" i="5"/>
  <c r="AN30" i="5"/>
  <c r="AR30" i="5"/>
  <c r="AV30" i="5"/>
  <c r="AZ30" i="5"/>
  <c r="BD30" i="5"/>
  <c r="BH30" i="5"/>
  <c r="BL30" i="5"/>
  <c r="BP30" i="5"/>
  <c r="BT30" i="5"/>
  <c r="E63" i="5"/>
  <c r="I63" i="5"/>
  <c r="M63" i="5"/>
  <c r="Q63" i="5"/>
  <c r="U63" i="5"/>
  <c r="Y63" i="5"/>
  <c r="AC63" i="5"/>
  <c r="AG63" i="5"/>
  <c r="AK63" i="5"/>
  <c r="AO63" i="5"/>
  <c r="AS63" i="5"/>
  <c r="AW63" i="5"/>
  <c r="BA63" i="5"/>
  <c r="BE63" i="5"/>
  <c r="BI63" i="5"/>
  <c r="BM63" i="5"/>
  <c r="BQ63" i="5"/>
  <c r="BU63" i="5"/>
  <c r="BY184" i="11"/>
  <c r="BT31" i="5" s="1"/>
  <c r="K184" i="11" l="1"/>
  <c r="S184" i="11"/>
  <c r="AA184" i="11"/>
  <c r="AI184" i="11"/>
  <c r="AQ184" i="11"/>
  <c r="AY184" i="11"/>
  <c r="BG184" i="11"/>
  <c r="BO184" i="11"/>
  <c r="BW184" i="11"/>
  <c r="M184" i="11"/>
  <c r="U184" i="11"/>
  <c r="AC184" i="11"/>
  <c r="AK184" i="11"/>
  <c r="AS184" i="11"/>
  <c r="BA184" i="11"/>
  <c r="BI184" i="11"/>
  <c r="BQ184" i="11"/>
  <c r="BZ184" i="11"/>
  <c r="BV184" i="11"/>
  <c r="BR184" i="11"/>
  <c r="BN184" i="11"/>
  <c r="BJ184" i="11"/>
  <c r="BF184" i="11"/>
  <c r="BB184" i="11"/>
  <c r="AX184" i="11"/>
  <c r="AT184" i="11"/>
  <c r="AP184" i="11"/>
  <c r="AL184" i="11"/>
  <c r="AH184" i="11"/>
  <c r="AD184" i="11"/>
  <c r="Z184" i="11"/>
  <c r="V184" i="11"/>
  <c r="R184" i="11"/>
  <c r="N184" i="11"/>
  <c r="J184" i="11"/>
  <c r="BX184" i="11"/>
  <c r="BT184" i="11"/>
  <c r="BP184" i="11"/>
  <c r="BL184" i="11"/>
  <c r="BH184" i="11"/>
  <c r="BD184" i="11"/>
  <c r="AZ184" i="11"/>
  <c r="AV184" i="11"/>
  <c r="AR184" i="11"/>
  <c r="AN184" i="11"/>
  <c r="AJ184" i="11"/>
  <c r="AF184" i="11"/>
  <c r="AB184" i="11"/>
  <c r="X184" i="11"/>
  <c r="T184" i="11"/>
  <c r="P184" i="11"/>
  <c r="L184" i="11"/>
  <c r="H184" i="11"/>
  <c r="O184" i="11"/>
  <c r="W184" i="11"/>
  <c r="AE184" i="11"/>
  <c r="AM184" i="11"/>
  <c r="AU184" i="11"/>
  <c r="BC184" i="11"/>
  <c r="BK184" i="11"/>
  <c r="BS184" i="11"/>
  <c r="CA184" i="11"/>
  <c r="I184" i="11"/>
  <c r="Q184" i="11"/>
  <c r="Y184" i="11"/>
  <c r="AG184" i="11"/>
  <c r="AO184" i="11"/>
  <c r="AW184" i="11"/>
  <c r="BE184" i="11"/>
  <c r="BM184" i="11"/>
  <c r="BU184" i="11"/>
  <c r="F175" i="11"/>
  <c r="F173" i="11"/>
  <c r="F172" i="11"/>
  <c r="F179" i="11"/>
  <c r="F178" i="11"/>
  <c r="F170" i="11"/>
  <c r="F169" i="11"/>
  <c r="CT5" i="11"/>
  <c r="CS6" i="11"/>
  <c r="CS7" i="11"/>
  <c r="CS8" i="11"/>
  <c r="CS9" i="11"/>
  <c r="CS10" i="11"/>
  <c r="CS11" i="11"/>
  <c r="CS12" i="11"/>
  <c r="CS13" i="11"/>
  <c r="CS14" i="11"/>
  <c r="CS15" i="11"/>
  <c r="CS16" i="11"/>
  <c r="CS17" i="11"/>
  <c r="CS18" i="11"/>
  <c r="CS19" i="11"/>
  <c r="CS20" i="11"/>
  <c r="CS21" i="11"/>
  <c r="CS22" i="11"/>
  <c r="CS23" i="11"/>
  <c r="CS24" i="11"/>
  <c r="CS25" i="11"/>
  <c r="CS26" i="11"/>
  <c r="CS27" i="11"/>
  <c r="CS28" i="11"/>
  <c r="CS29" i="11"/>
  <c r="CS30" i="11"/>
  <c r="CS31" i="11"/>
  <c r="CS32" i="11"/>
  <c r="CS33" i="11"/>
  <c r="CS34" i="11"/>
  <c r="CS35" i="11"/>
  <c r="CS36" i="11"/>
  <c r="CS37" i="11"/>
  <c r="CS38" i="11"/>
  <c r="CS39" i="11"/>
  <c r="CS40" i="11"/>
  <c r="CS41" i="11"/>
  <c r="CS42" i="11"/>
  <c r="CS43" i="11"/>
  <c r="CS44" i="11"/>
  <c r="CS45" i="11"/>
  <c r="CS46" i="11"/>
  <c r="CS47" i="11"/>
  <c r="CS48" i="11"/>
  <c r="CS49" i="11"/>
  <c r="CS50" i="11"/>
  <c r="CS51" i="11"/>
  <c r="CS52" i="11"/>
  <c r="CS53" i="11"/>
  <c r="CS54" i="11"/>
  <c r="CS55" i="11"/>
  <c r="CS56" i="11"/>
  <c r="CS57" i="11"/>
  <c r="CS58" i="11"/>
  <c r="CS59" i="11"/>
  <c r="CS60" i="11"/>
  <c r="CS61" i="11"/>
  <c r="CS62" i="11"/>
  <c r="CS63" i="11"/>
  <c r="CS64" i="11"/>
  <c r="CS65" i="11"/>
  <c r="CS66" i="11"/>
  <c r="CS67" i="11"/>
  <c r="CS68" i="11"/>
  <c r="CS69" i="11"/>
  <c r="CS70" i="11"/>
  <c r="CS71" i="11"/>
  <c r="CS72" i="11"/>
  <c r="CS73" i="11"/>
  <c r="CS74" i="11"/>
  <c r="CS75" i="11"/>
  <c r="CS76" i="11"/>
  <c r="CS77" i="11"/>
  <c r="CS78" i="11"/>
  <c r="CS79" i="11"/>
  <c r="CS80" i="11"/>
  <c r="CS81" i="11"/>
  <c r="CS82" i="11"/>
  <c r="CS83" i="11"/>
  <c r="CS84" i="11"/>
  <c r="CS85" i="11"/>
  <c r="CS86" i="11"/>
  <c r="CS87" i="11"/>
  <c r="CS88" i="11"/>
  <c r="CS89" i="11"/>
  <c r="CS90" i="11"/>
  <c r="CS91" i="11"/>
  <c r="CS92" i="11"/>
  <c r="CS93" i="11"/>
  <c r="CS94" i="11"/>
  <c r="CS95" i="11"/>
  <c r="CS96" i="11"/>
  <c r="CS97" i="11"/>
  <c r="CS98" i="11"/>
  <c r="CS99" i="11"/>
  <c r="CS100" i="11"/>
  <c r="CS101" i="11"/>
  <c r="CS102" i="11"/>
  <c r="CS103" i="11"/>
  <c r="CS104" i="11"/>
  <c r="CS105" i="11"/>
  <c r="CS106" i="11"/>
  <c r="CS107" i="11"/>
  <c r="CS108" i="11"/>
  <c r="CS109" i="11"/>
  <c r="CS110" i="11"/>
  <c r="CS111" i="11"/>
  <c r="CS112" i="11"/>
  <c r="CS113" i="11"/>
  <c r="CS114" i="11"/>
  <c r="CS115" i="11"/>
  <c r="CS116" i="11"/>
  <c r="CS117" i="11"/>
  <c r="CS118" i="11"/>
  <c r="CS119" i="11"/>
  <c r="CS120" i="11"/>
  <c r="CS121" i="11"/>
  <c r="CS122" i="11"/>
  <c r="CS123" i="11"/>
  <c r="CS124" i="11"/>
  <c r="CS125" i="11"/>
  <c r="CS126" i="11"/>
  <c r="CS127" i="11"/>
  <c r="CS128" i="11"/>
  <c r="CS129" i="11"/>
  <c r="CS130" i="11"/>
  <c r="CS131" i="11"/>
  <c r="CS132" i="11"/>
  <c r="CS133" i="11"/>
  <c r="CS134" i="11"/>
  <c r="CS135" i="11"/>
  <c r="CS136" i="11"/>
  <c r="CS137" i="11"/>
  <c r="CS138" i="11"/>
  <c r="CS139" i="11"/>
  <c r="CS140" i="11"/>
  <c r="CS141" i="11"/>
  <c r="CS142" i="11"/>
  <c r="CS143" i="11"/>
  <c r="CS144" i="11"/>
  <c r="CS145" i="11"/>
  <c r="CS146" i="11"/>
  <c r="CS147" i="11"/>
  <c r="CS148" i="11"/>
  <c r="CS149" i="11"/>
  <c r="CS150" i="11"/>
  <c r="CS151" i="11"/>
  <c r="CS152" i="11"/>
  <c r="CS153" i="11"/>
  <c r="CS154" i="11"/>
  <c r="CS155" i="11"/>
  <c r="CS156" i="11"/>
  <c r="CS157" i="11"/>
  <c r="CS158" i="11"/>
  <c r="CS159" i="11"/>
  <c r="CS160" i="11"/>
  <c r="CS161" i="11"/>
  <c r="CS162" i="11"/>
  <c r="CS163" i="11"/>
  <c r="CS164" i="11"/>
  <c r="CS165" i="11"/>
  <c r="CS166" i="11"/>
  <c r="CS167" i="11"/>
  <c r="CS5" i="11"/>
  <c r="CP6" i="11"/>
  <c r="CP7" i="11"/>
  <c r="CP8" i="11"/>
  <c r="CP9" i="11"/>
  <c r="CP10" i="11"/>
  <c r="CP11" i="11"/>
  <c r="CP12" i="11"/>
  <c r="CP13" i="11"/>
  <c r="CP14" i="11"/>
  <c r="CP15" i="11"/>
  <c r="CP16" i="11"/>
  <c r="CP17" i="11"/>
  <c r="CP18" i="11"/>
  <c r="CP19" i="11"/>
  <c r="CP20" i="11"/>
  <c r="CP21" i="11"/>
  <c r="CP22" i="11"/>
  <c r="CP23" i="11"/>
  <c r="CP24" i="11"/>
  <c r="CP25" i="11"/>
  <c r="CP26" i="11"/>
  <c r="CP27" i="11"/>
  <c r="CP28" i="11"/>
  <c r="CP29" i="11"/>
  <c r="CP30" i="11"/>
  <c r="CP31" i="11"/>
  <c r="CP32" i="11"/>
  <c r="CP33" i="11"/>
  <c r="CP34" i="11"/>
  <c r="CP35" i="11"/>
  <c r="CP36" i="11"/>
  <c r="CP37" i="11"/>
  <c r="CP38" i="11"/>
  <c r="CP39" i="11"/>
  <c r="CP40" i="11"/>
  <c r="CP41" i="11"/>
  <c r="CP42" i="11"/>
  <c r="CP43" i="11"/>
  <c r="CP44" i="11"/>
  <c r="CP45" i="11"/>
  <c r="CP46" i="11"/>
  <c r="CP47" i="11"/>
  <c r="CP48" i="11"/>
  <c r="CP49" i="11"/>
  <c r="CP50" i="11"/>
  <c r="CP51" i="11"/>
  <c r="CP52" i="11"/>
  <c r="CP53" i="11"/>
  <c r="CP54" i="11"/>
  <c r="CP55" i="11"/>
  <c r="CP56" i="11"/>
  <c r="CP57" i="11"/>
  <c r="CP58" i="11"/>
  <c r="CP59" i="11"/>
  <c r="CP60" i="11"/>
  <c r="CP61" i="11"/>
  <c r="CP62" i="11"/>
  <c r="CP63" i="11"/>
  <c r="CP64" i="11"/>
  <c r="CP65" i="11"/>
  <c r="CP66" i="11"/>
  <c r="CP67" i="11"/>
  <c r="CP68" i="11"/>
  <c r="CP69" i="11"/>
  <c r="CP70" i="11"/>
  <c r="CP71" i="11"/>
  <c r="CP72" i="11"/>
  <c r="CP73" i="11"/>
  <c r="CP74" i="11"/>
  <c r="CP75" i="11"/>
  <c r="CP76" i="11"/>
  <c r="CP77" i="11"/>
  <c r="CP78" i="11"/>
  <c r="CP79" i="11"/>
  <c r="CP80" i="11"/>
  <c r="CP81" i="11"/>
  <c r="CP82" i="11"/>
  <c r="CP83" i="11"/>
  <c r="CP84" i="11"/>
  <c r="CP85" i="11"/>
  <c r="CP86" i="11"/>
  <c r="CP87" i="11"/>
  <c r="CP88" i="11"/>
  <c r="CP89" i="11"/>
  <c r="CP90" i="11"/>
  <c r="CP91" i="11"/>
  <c r="CP92" i="11"/>
  <c r="CP93" i="11"/>
  <c r="CP94" i="11"/>
  <c r="CP95" i="11"/>
  <c r="CP96" i="11"/>
  <c r="CP97" i="11"/>
  <c r="CP98" i="11"/>
  <c r="CP99" i="11"/>
  <c r="CP100" i="11"/>
  <c r="CP101" i="11"/>
  <c r="CP102" i="11"/>
  <c r="CP103" i="11"/>
  <c r="CP104" i="11"/>
  <c r="CP105" i="11"/>
  <c r="CP106" i="11"/>
  <c r="CP107" i="11"/>
  <c r="CP108" i="11"/>
  <c r="CP109" i="11"/>
  <c r="CP110" i="11"/>
  <c r="CP111" i="11"/>
  <c r="CP112" i="11"/>
  <c r="CP113" i="11"/>
  <c r="CP114" i="11"/>
  <c r="CP115" i="11"/>
  <c r="CP116" i="11"/>
  <c r="CP117" i="11"/>
  <c r="CP118" i="11"/>
  <c r="CP119" i="11"/>
  <c r="CP120" i="11"/>
  <c r="CP121" i="11"/>
  <c r="CP122" i="11"/>
  <c r="CP123" i="11"/>
  <c r="CP124" i="11"/>
  <c r="CP125" i="11"/>
  <c r="CP126" i="11"/>
  <c r="CP127" i="11"/>
  <c r="CP128" i="11"/>
  <c r="CP129" i="11"/>
  <c r="CP130" i="11"/>
  <c r="CP131" i="11"/>
  <c r="CP132" i="11"/>
  <c r="CP133" i="11"/>
  <c r="CP134" i="11"/>
  <c r="CP135" i="11"/>
  <c r="CP136" i="11"/>
  <c r="CP137" i="11"/>
  <c r="CP138" i="11"/>
  <c r="CP139" i="11"/>
  <c r="CP140" i="11"/>
  <c r="CP141" i="11"/>
  <c r="CP142" i="11"/>
  <c r="CP143" i="11"/>
  <c r="CP144" i="11"/>
  <c r="CP145" i="11"/>
  <c r="CP146" i="11"/>
  <c r="CP147" i="11"/>
  <c r="CP148" i="11"/>
  <c r="CP149" i="11"/>
  <c r="CP150" i="11"/>
  <c r="CP151" i="11"/>
  <c r="CP152" i="11"/>
  <c r="CP153" i="11"/>
  <c r="CP154" i="11"/>
  <c r="CP155" i="11"/>
  <c r="CP156" i="11"/>
  <c r="CP157" i="11"/>
  <c r="CP158" i="11"/>
  <c r="CP159" i="11"/>
  <c r="CP160" i="11"/>
  <c r="CP161" i="11"/>
  <c r="CP162" i="11"/>
  <c r="CP163" i="11"/>
  <c r="CP164" i="11"/>
  <c r="CP165" i="11"/>
  <c r="CP166" i="11"/>
  <c r="CP167" i="11"/>
  <c r="CP5" i="11"/>
  <c r="CO6" i="11"/>
  <c r="CO7" i="11"/>
  <c r="CO8" i="11"/>
  <c r="CO9" i="11"/>
  <c r="CO10" i="11"/>
  <c r="CO11" i="11"/>
  <c r="CO12" i="11"/>
  <c r="CO13" i="11"/>
  <c r="CO14" i="11"/>
  <c r="CO15" i="11"/>
  <c r="CO16" i="11"/>
  <c r="CO17" i="11"/>
  <c r="CO18" i="11"/>
  <c r="CO19" i="11"/>
  <c r="CO20" i="11"/>
  <c r="CO21" i="11"/>
  <c r="CO22" i="11"/>
  <c r="CO23" i="11"/>
  <c r="CO24" i="11"/>
  <c r="CO25" i="11"/>
  <c r="CO26" i="11"/>
  <c r="CO27" i="11"/>
  <c r="CO28" i="11"/>
  <c r="CO29" i="11"/>
  <c r="CO30" i="11"/>
  <c r="CO31" i="11"/>
  <c r="CO32" i="11"/>
  <c r="CO33" i="11"/>
  <c r="CO34" i="11"/>
  <c r="CO35" i="11"/>
  <c r="CO36" i="11"/>
  <c r="CO37" i="11"/>
  <c r="CO38" i="11"/>
  <c r="CO39" i="11"/>
  <c r="CO40" i="11"/>
  <c r="CO41" i="11"/>
  <c r="CO42" i="11"/>
  <c r="CO43" i="11"/>
  <c r="CO44" i="11"/>
  <c r="CO45" i="11"/>
  <c r="CO46" i="11"/>
  <c r="CO47" i="11"/>
  <c r="CO48" i="11"/>
  <c r="CO49" i="11"/>
  <c r="CO50" i="11"/>
  <c r="CO51" i="11"/>
  <c r="CO52" i="11"/>
  <c r="CO53" i="11"/>
  <c r="CO54" i="11"/>
  <c r="CO55" i="11"/>
  <c r="CO56" i="11"/>
  <c r="CO57" i="11"/>
  <c r="CO58" i="11"/>
  <c r="CO59" i="11"/>
  <c r="CO60" i="11"/>
  <c r="CO61" i="11"/>
  <c r="CO62" i="11"/>
  <c r="CO63" i="11"/>
  <c r="CO64" i="11"/>
  <c r="CO65" i="11"/>
  <c r="CO66" i="11"/>
  <c r="CO67" i="11"/>
  <c r="CO68" i="11"/>
  <c r="CO69" i="11"/>
  <c r="CO70" i="11"/>
  <c r="CO71" i="11"/>
  <c r="CO72" i="11"/>
  <c r="CO73" i="11"/>
  <c r="CO74" i="11"/>
  <c r="CO75" i="11"/>
  <c r="CO76" i="11"/>
  <c r="CO77" i="11"/>
  <c r="CO78" i="11"/>
  <c r="CO79" i="11"/>
  <c r="CO80" i="11"/>
  <c r="CO81" i="11"/>
  <c r="CO82" i="11"/>
  <c r="CO83" i="11"/>
  <c r="CO84" i="11"/>
  <c r="CO85" i="11"/>
  <c r="CO86" i="11"/>
  <c r="CO87" i="11"/>
  <c r="CO88" i="11"/>
  <c r="CO89" i="11"/>
  <c r="CO90" i="11"/>
  <c r="CO91" i="11"/>
  <c r="CO92" i="11"/>
  <c r="CO93" i="11"/>
  <c r="CO94" i="11"/>
  <c r="CO95" i="11"/>
  <c r="CO96" i="11"/>
  <c r="CO97" i="11"/>
  <c r="CO98" i="11"/>
  <c r="CO99" i="11"/>
  <c r="CO100" i="11"/>
  <c r="CO101" i="11"/>
  <c r="CO102" i="11"/>
  <c r="CO103" i="11"/>
  <c r="CO104" i="11"/>
  <c r="CO105" i="11"/>
  <c r="CO106" i="11"/>
  <c r="CO107" i="11"/>
  <c r="CO108" i="11"/>
  <c r="CO109" i="11"/>
  <c r="CO110" i="11"/>
  <c r="CO111" i="11"/>
  <c r="CO112" i="11"/>
  <c r="CO113" i="11"/>
  <c r="CO114" i="11"/>
  <c r="CO115" i="11"/>
  <c r="CO116" i="11"/>
  <c r="CO117" i="11"/>
  <c r="CO118" i="11"/>
  <c r="CO119" i="11"/>
  <c r="CO120" i="11"/>
  <c r="CO121" i="11"/>
  <c r="CO122" i="11"/>
  <c r="CO123" i="11"/>
  <c r="CO124" i="11"/>
  <c r="CO125" i="11"/>
  <c r="CO126" i="11"/>
  <c r="CO127" i="11"/>
  <c r="CO128" i="11"/>
  <c r="CO129" i="11"/>
  <c r="CO130" i="11"/>
  <c r="CO131" i="11"/>
  <c r="CO132" i="11"/>
  <c r="CO133" i="11"/>
  <c r="CO134" i="11"/>
  <c r="CO135" i="11"/>
  <c r="CO136" i="11"/>
  <c r="CO137" i="11"/>
  <c r="CO138" i="11"/>
  <c r="CO139" i="11"/>
  <c r="CO140" i="11"/>
  <c r="CO141" i="11"/>
  <c r="CO142" i="11"/>
  <c r="CO143" i="11"/>
  <c r="CO144" i="11"/>
  <c r="CO145" i="11"/>
  <c r="CO146" i="11"/>
  <c r="CO147" i="11"/>
  <c r="CO148" i="11"/>
  <c r="CO149" i="11"/>
  <c r="CO150" i="11"/>
  <c r="CO151" i="11"/>
  <c r="CO152" i="11"/>
  <c r="CO153" i="11"/>
  <c r="CO154" i="11"/>
  <c r="CO155" i="11"/>
  <c r="CO156" i="11"/>
  <c r="CO157" i="11"/>
  <c r="CO158" i="11"/>
  <c r="CO159" i="11"/>
  <c r="CO160" i="11"/>
  <c r="CO161" i="11"/>
  <c r="CO162" i="11"/>
  <c r="CO163" i="11"/>
  <c r="CO164" i="11"/>
  <c r="CO165" i="11"/>
  <c r="CO166" i="11"/>
  <c r="CO167" i="11"/>
  <c r="CO5" i="11"/>
  <c r="CL6" i="11"/>
  <c r="CL7" i="11"/>
  <c r="CL8" i="11"/>
  <c r="CL9" i="11"/>
  <c r="CL10" i="11"/>
  <c r="CL11" i="11"/>
  <c r="CL12" i="11"/>
  <c r="CL13" i="11"/>
  <c r="CL14" i="11"/>
  <c r="CL15" i="11"/>
  <c r="CL16" i="11"/>
  <c r="CL17" i="11"/>
  <c r="CL18" i="11"/>
  <c r="CL19" i="11"/>
  <c r="CL20" i="11"/>
  <c r="CL21" i="11"/>
  <c r="CL22" i="11"/>
  <c r="CL23" i="11"/>
  <c r="CL24" i="11"/>
  <c r="CL25" i="11"/>
  <c r="CL26" i="11"/>
  <c r="CL27" i="11"/>
  <c r="CL28" i="11"/>
  <c r="CL29" i="11"/>
  <c r="CL30" i="11"/>
  <c r="CL31" i="11"/>
  <c r="CL32" i="11"/>
  <c r="CL33" i="11"/>
  <c r="CL34" i="11"/>
  <c r="CL35" i="11"/>
  <c r="CL36" i="11"/>
  <c r="CL37" i="11"/>
  <c r="CL38" i="11"/>
  <c r="CL39" i="11"/>
  <c r="CL40" i="11"/>
  <c r="CL41" i="11"/>
  <c r="CL42" i="11"/>
  <c r="CL43" i="11"/>
  <c r="CL44" i="11"/>
  <c r="CL45" i="11"/>
  <c r="CL46" i="11"/>
  <c r="CL47" i="11"/>
  <c r="CL48" i="11"/>
  <c r="CL49" i="11"/>
  <c r="CL50" i="11"/>
  <c r="CL51" i="11"/>
  <c r="CL52" i="11"/>
  <c r="CL53" i="11"/>
  <c r="CL54" i="11"/>
  <c r="CL55" i="11"/>
  <c r="CL56" i="11"/>
  <c r="CL57" i="11"/>
  <c r="CL58" i="11"/>
  <c r="CL59" i="11"/>
  <c r="CL60" i="11"/>
  <c r="CL61" i="11"/>
  <c r="CL62" i="11"/>
  <c r="CL63" i="11"/>
  <c r="CL64" i="11"/>
  <c r="CL65" i="11"/>
  <c r="CL66" i="11"/>
  <c r="CL67" i="11"/>
  <c r="CL68" i="11"/>
  <c r="CL69" i="11"/>
  <c r="CL70" i="11"/>
  <c r="CL71" i="11"/>
  <c r="CL72" i="11"/>
  <c r="CL73" i="11"/>
  <c r="CL74" i="11"/>
  <c r="CL75" i="11"/>
  <c r="CL76" i="11"/>
  <c r="CL77" i="11"/>
  <c r="CL78" i="11"/>
  <c r="CL79" i="11"/>
  <c r="CL80" i="11"/>
  <c r="CL81" i="11"/>
  <c r="CL82" i="11"/>
  <c r="CL83" i="11"/>
  <c r="CL84" i="11"/>
  <c r="CL85" i="11"/>
  <c r="CL86" i="11"/>
  <c r="CL87" i="11"/>
  <c r="CL88" i="11"/>
  <c r="CL89" i="11"/>
  <c r="CL90" i="11"/>
  <c r="CL91" i="11"/>
  <c r="CL92" i="11"/>
  <c r="CL93" i="11"/>
  <c r="CL94" i="11"/>
  <c r="CL95" i="11"/>
  <c r="CL96" i="11"/>
  <c r="CL97" i="11"/>
  <c r="CL98" i="11"/>
  <c r="CL99" i="11"/>
  <c r="CL100" i="11"/>
  <c r="CL101" i="11"/>
  <c r="CL102" i="11"/>
  <c r="CL103" i="11"/>
  <c r="CL104" i="11"/>
  <c r="CL105" i="11"/>
  <c r="CL106" i="11"/>
  <c r="CL107" i="11"/>
  <c r="CL108" i="11"/>
  <c r="CL109" i="11"/>
  <c r="CL110" i="11"/>
  <c r="CL111" i="11"/>
  <c r="CL112" i="11"/>
  <c r="CL113" i="11"/>
  <c r="CL114" i="11"/>
  <c r="CL115" i="11"/>
  <c r="CL116" i="11"/>
  <c r="CL117" i="11"/>
  <c r="CL118" i="11"/>
  <c r="CL119" i="11"/>
  <c r="CL120" i="11"/>
  <c r="CL121" i="11"/>
  <c r="CL122" i="11"/>
  <c r="CL123" i="11"/>
  <c r="CL124" i="11"/>
  <c r="CL125" i="11"/>
  <c r="CL126" i="11"/>
  <c r="CL127" i="11"/>
  <c r="CL128" i="11"/>
  <c r="CL129" i="11"/>
  <c r="CL130" i="11"/>
  <c r="CL131" i="11"/>
  <c r="CL132" i="11"/>
  <c r="CL133" i="11"/>
  <c r="CL134" i="11"/>
  <c r="CL135" i="11"/>
  <c r="CL136" i="11"/>
  <c r="CL137" i="11"/>
  <c r="CL138" i="11"/>
  <c r="CL139" i="11"/>
  <c r="CL140" i="11"/>
  <c r="CL141" i="11"/>
  <c r="CL142" i="11"/>
  <c r="CL143" i="11"/>
  <c r="CL144" i="11"/>
  <c r="CL145" i="11"/>
  <c r="CL146" i="11"/>
  <c r="CL147" i="11"/>
  <c r="CL148" i="11"/>
  <c r="CL149" i="11"/>
  <c r="CL150" i="11"/>
  <c r="CL151" i="11"/>
  <c r="CL152" i="11"/>
  <c r="CL153" i="11"/>
  <c r="CL154" i="11"/>
  <c r="CL155" i="11"/>
  <c r="CL156" i="11"/>
  <c r="CL157" i="11"/>
  <c r="CL158" i="11"/>
  <c r="CL159" i="11"/>
  <c r="CL160" i="11"/>
  <c r="CL161" i="11"/>
  <c r="CL162" i="11"/>
  <c r="CL163" i="11"/>
  <c r="CL164" i="11"/>
  <c r="CL165" i="11"/>
  <c r="CL166" i="11"/>
  <c r="CL167" i="11"/>
  <c r="CL5" i="11"/>
  <c r="CK6" i="11"/>
  <c r="CK7" i="11"/>
  <c r="CK8" i="11"/>
  <c r="CK9" i="11"/>
  <c r="CK10" i="11"/>
  <c r="CK11" i="11"/>
  <c r="CK12" i="11"/>
  <c r="CK13" i="11"/>
  <c r="CK14" i="11"/>
  <c r="CK15" i="11"/>
  <c r="CK16" i="11"/>
  <c r="CK17" i="11"/>
  <c r="CK18" i="11"/>
  <c r="CK19" i="11"/>
  <c r="CK20" i="11"/>
  <c r="CK21" i="11"/>
  <c r="CK22" i="11"/>
  <c r="CK23" i="11"/>
  <c r="CK24" i="11"/>
  <c r="CK25" i="11"/>
  <c r="CK26" i="11"/>
  <c r="CK27" i="11"/>
  <c r="CK28" i="11"/>
  <c r="CK29" i="11"/>
  <c r="CK30" i="11"/>
  <c r="CK31" i="11"/>
  <c r="CK32" i="11"/>
  <c r="CK33" i="11"/>
  <c r="CK34" i="11"/>
  <c r="CK35" i="11"/>
  <c r="CK36" i="11"/>
  <c r="CK37" i="11"/>
  <c r="CK38" i="11"/>
  <c r="CK39" i="11"/>
  <c r="CK40" i="11"/>
  <c r="CK41" i="11"/>
  <c r="CK42" i="11"/>
  <c r="CK43" i="11"/>
  <c r="CK44" i="11"/>
  <c r="CK45" i="11"/>
  <c r="CK46" i="11"/>
  <c r="CK47" i="11"/>
  <c r="CK48" i="11"/>
  <c r="CK49" i="11"/>
  <c r="CK50" i="11"/>
  <c r="CK51" i="11"/>
  <c r="CK52" i="11"/>
  <c r="CK53" i="11"/>
  <c r="CK54" i="11"/>
  <c r="CK55" i="11"/>
  <c r="CK56" i="11"/>
  <c r="CK57" i="11"/>
  <c r="CK58" i="11"/>
  <c r="CK59" i="11"/>
  <c r="CK60" i="11"/>
  <c r="CK61" i="11"/>
  <c r="CK62" i="11"/>
  <c r="CK63" i="11"/>
  <c r="CK64" i="11"/>
  <c r="CK65" i="11"/>
  <c r="CK66" i="11"/>
  <c r="CK67" i="11"/>
  <c r="CK68" i="11"/>
  <c r="CK69" i="11"/>
  <c r="CK70" i="11"/>
  <c r="CK71" i="11"/>
  <c r="CK72" i="11"/>
  <c r="CK73" i="11"/>
  <c r="CK74" i="11"/>
  <c r="CK75" i="11"/>
  <c r="CK76" i="11"/>
  <c r="CK77" i="11"/>
  <c r="CK78" i="11"/>
  <c r="CK79" i="11"/>
  <c r="CK80" i="11"/>
  <c r="CK81" i="11"/>
  <c r="CK82" i="11"/>
  <c r="CK83" i="11"/>
  <c r="CK84" i="11"/>
  <c r="CK85" i="11"/>
  <c r="CK86" i="11"/>
  <c r="CK87" i="11"/>
  <c r="CK88" i="11"/>
  <c r="CK89" i="11"/>
  <c r="CK90" i="11"/>
  <c r="CK91" i="11"/>
  <c r="CK92" i="11"/>
  <c r="CK93" i="11"/>
  <c r="CK94" i="11"/>
  <c r="CK95" i="11"/>
  <c r="CK96" i="11"/>
  <c r="CK97" i="11"/>
  <c r="CK98" i="11"/>
  <c r="CK99" i="11"/>
  <c r="CK100" i="11"/>
  <c r="CK101" i="11"/>
  <c r="CK102" i="11"/>
  <c r="CK103" i="11"/>
  <c r="CK104" i="11"/>
  <c r="CK105" i="11"/>
  <c r="CK106" i="11"/>
  <c r="CK107" i="11"/>
  <c r="CK108" i="11"/>
  <c r="CK109" i="11"/>
  <c r="CK110" i="11"/>
  <c r="CK111" i="11"/>
  <c r="CK112" i="11"/>
  <c r="CK113" i="11"/>
  <c r="CK114" i="11"/>
  <c r="CK115" i="11"/>
  <c r="CK116" i="11"/>
  <c r="CK117" i="11"/>
  <c r="CK118" i="11"/>
  <c r="CK119" i="11"/>
  <c r="CK120" i="11"/>
  <c r="CK121" i="11"/>
  <c r="CK122" i="11"/>
  <c r="CK123" i="11"/>
  <c r="CK124" i="11"/>
  <c r="CK125" i="11"/>
  <c r="CK126" i="11"/>
  <c r="CK127" i="11"/>
  <c r="CK128" i="11"/>
  <c r="CK129" i="11"/>
  <c r="CK130" i="11"/>
  <c r="CK131" i="11"/>
  <c r="CK132" i="11"/>
  <c r="CK133" i="11"/>
  <c r="CK134" i="11"/>
  <c r="CK135" i="11"/>
  <c r="CK136" i="11"/>
  <c r="CK137" i="11"/>
  <c r="CK138" i="11"/>
  <c r="CK139" i="11"/>
  <c r="CK140" i="11"/>
  <c r="CK141" i="11"/>
  <c r="CK142" i="11"/>
  <c r="CK143" i="11"/>
  <c r="CK144" i="11"/>
  <c r="CK145" i="11"/>
  <c r="CK146" i="11"/>
  <c r="CK147" i="11"/>
  <c r="CK148" i="11"/>
  <c r="CK149" i="11"/>
  <c r="CK150" i="11"/>
  <c r="CK151" i="11"/>
  <c r="CK152" i="11"/>
  <c r="CK153" i="11"/>
  <c r="CK154" i="11"/>
  <c r="CK155" i="11"/>
  <c r="CK156" i="11"/>
  <c r="CK157" i="11"/>
  <c r="CK158" i="11"/>
  <c r="CK159" i="11"/>
  <c r="CK160" i="11"/>
  <c r="CK161" i="11"/>
  <c r="CK162" i="11"/>
  <c r="CK163" i="11"/>
  <c r="CK164" i="11"/>
  <c r="CK165" i="11"/>
  <c r="CK166" i="11"/>
  <c r="CK167" i="11"/>
  <c r="CK5" i="11"/>
  <c r="CH6" i="11"/>
  <c r="CH7" i="11"/>
  <c r="CH8" i="11"/>
  <c r="CH9" i="11"/>
  <c r="CH10" i="11"/>
  <c r="CH11" i="11"/>
  <c r="CH12" i="11"/>
  <c r="CH13" i="11"/>
  <c r="CH14" i="11"/>
  <c r="CH15" i="11"/>
  <c r="CH16" i="11"/>
  <c r="CH17" i="11"/>
  <c r="CH18" i="11"/>
  <c r="CH19" i="11"/>
  <c r="CH20" i="11"/>
  <c r="CH21" i="11"/>
  <c r="CH22" i="11"/>
  <c r="CH23" i="11"/>
  <c r="CH24" i="11"/>
  <c r="CH25" i="11"/>
  <c r="CH26" i="11"/>
  <c r="CH27" i="11"/>
  <c r="CH28" i="11"/>
  <c r="CH29" i="11"/>
  <c r="CH30" i="11"/>
  <c r="CH31" i="11"/>
  <c r="CH32" i="11"/>
  <c r="CH33" i="11"/>
  <c r="CH34" i="11"/>
  <c r="CH35" i="11"/>
  <c r="CH36" i="11"/>
  <c r="CH37" i="11"/>
  <c r="CH38" i="11"/>
  <c r="CH39" i="11"/>
  <c r="CH40" i="11"/>
  <c r="CH41" i="11"/>
  <c r="CH42" i="11"/>
  <c r="CH43" i="11"/>
  <c r="CH44" i="11"/>
  <c r="CH45" i="11"/>
  <c r="CH46" i="11"/>
  <c r="CH47" i="11"/>
  <c r="CH48" i="11"/>
  <c r="CH49" i="11"/>
  <c r="CH50" i="11"/>
  <c r="CH51" i="11"/>
  <c r="CH52" i="11"/>
  <c r="CH53" i="11"/>
  <c r="CH54" i="11"/>
  <c r="CH55" i="11"/>
  <c r="CH56" i="11"/>
  <c r="CH57" i="11"/>
  <c r="CH58" i="11"/>
  <c r="CH59" i="11"/>
  <c r="CH60" i="11"/>
  <c r="CH61" i="11"/>
  <c r="CH62" i="11"/>
  <c r="CH63" i="11"/>
  <c r="CH64" i="11"/>
  <c r="CH65" i="11"/>
  <c r="CH66" i="11"/>
  <c r="CH67" i="11"/>
  <c r="CH68" i="11"/>
  <c r="CH69" i="11"/>
  <c r="CH70" i="11"/>
  <c r="CH71" i="11"/>
  <c r="CH72" i="11"/>
  <c r="CH73" i="11"/>
  <c r="CH74" i="11"/>
  <c r="CH75" i="11"/>
  <c r="CH76" i="11"/>
  <c r="CH77" i="11"/>
  <c r="CH78" i="11"/>
  <c r="CH79" i="11"/>
  <c r="CH80" i="11"/>
  <c r="CH81" i="11"/>
  <c r="CH82" i="11"/>
  <c r="CH83" i="11"/>
  <c r="CH84" i="11"/>
  <c r="CH85" i="11"/>
  <c r="CH86" i="11"/>
  <c r="CH87" i="11"/>
  <c r="CH88" i="11"/>
  <c r="CH89" i="11"/>
  <c r="CH90" i="11"/>
  <c r="CH91" i="11"/>
  <c r="CH92" i="11"/>
  <c r="CH93" i="11"/>
  <c r="CH94" i="11"/>
  <c r="CH95" i="11"/>
  <c r="CH96" i="11"/>
  <c r="CH97" i="11"/>
  <c r="CH98" i="11"/>
  <c r="CH99" i="11"/>
  <c r="CH100" i="11"/>
  <c r="CH101" i="11"/>
  <c r="CH102" i="11"/>
  <c r="CH103" i="11"/>
  <c r="CH104" i="11"/>
  <c r="CH105" i="11"/>
  <c r="CH106" i="11"/>
  <c r="CH107" i="11"/>
  <c r="CH108" i="11"/>
  <c r="CH109" i="11"/>
  <c r="CH110" i="11"/>
  <c r="CH111" i="11"/>
  <c r="CH112" i="11"/>
  <c r="CH113" i="11"/>
  <c r="CH114" i="11"/>
  <c r="CH115" i="11"/>
  <c r="CH116" i="11"/>
  <c r="CH117" i="11"/>
  <c r="CH118" i="11"/>
  <c r="CH119" i="11"/>
  <c r="CH120" i="11"/>
  <c r="CH121" i="11"/>
  <c r="CH122" i="11"/>
  <c r="CH123" i="11"/>
  <c r="CH124" i="11"/>
  <c r="CH125" i="11"/>
  <c r="CH126" i="11"/>
  <c r="CH127" i="11"/>
  <c r="CH128" i="11"/>
  <c r="CH129" i="11"/>
  <c r="CH130" i="11"/>
  <c r="CH131" i="11"/>
  <c r="CH132" i="11"/>
  <c r="CH133" i="11"/>
  <c r="CH134" i="11"/>
  <c r="CH135" i="11"/>
  <c r="CH136" i="11"/>
  <c r="CH137" i="11"/>
  <c r="CH138" i="11"/>
  <c r="CH139" i="11"/>
  <c r="CH140" i="11"/>
  <c r="CH141" i="11"/>
  <c r="CH142" i="11"/>
  <c r="CH143" i="11"/>
  <c r="CH144" i="11"/>
  <c r="CH145" i="11"/>
  <c r="CH146" i="11"/>
  <c r="CH147" i="11"/>
  <c r="CH148" i="11"/>
  <c r="CH149" i="11"/>
  <c r="CH150" i="11"/>
  <c r="CH151" i="11"/>
  <c r="CH152" i="11"/>
  <c r="CH153" i="11"/>
  <c r="CH154" i="11"/>
  <c r="CH155" i="11"/>
  <c r="CH156" i="11"/>
  <c r="CH157" i="11"/>
  <c r="CH158" i="11"/>
  <c r="CH159" i="11"/>
  <c r="CH160" i="11"/>
  <c r="CH161" i="11"/>
  <c r="CH162" i="11"/>
  <c r="CH163" i="11"/>
  <c r="CH164" i="11"/>
  <c r="CH165" i="11"/>
  <c r="CH166" i="11"/>
  <c r="CH167" i="11"/>
  <c r="CH5" i="11"/>
  <c r="CG6" i="11"/>
  <c r="CG7" i="11"/>
  <c r="CG8" i="11"/>
  <c r="CG9" i="11"/>
  <c r="CG10" i="11"/>
  <c r="CG11" i="11"/>
  <c r="CG12" i="11"/>
  <c r="CG13" i="11"/>
  <c r="CG14" i="11"/>
  <c r="CG15" i="11"/>
  <c r="CG16" i="11"/>
  <c r="CG17" i="11"/>
  <c r="CG18" i="11"/>
  <c r="CG19" i="11"/>
  <c r="CG20" i="11"/>
  <c r="CG21" i="11"/>
  <c r="CG22" i="11"/>
  <c r="CG23" i="11"/>
  <c r="CG24" i="11"/>
  <c r="CG25" i="11"/>
  <c r="CG26" i="11"/>
  <c r="CG27" i="11"/>
  <c r="CG28" i="11"/>
  <c r="CG29" i="11"/>
  <c r="CG30" i="11"/>
  <c r="CG31" i="11"/>
  <c r="CG32" i="11"/>
  <c r="CG33" i="11"/>
  <c r="CG34" i="11"/>
  <c r="CG35" i="11"/>
  <c r="CG36" i="11"/>
  <c r="CG37" i="11"/>
  <c r="CG38" i="11"/>
  <c r="CG39" i="11"/>
  <c r="CG40" i="11"/>
  <c r="CG41" i="11"/>
  <c r="CG42" i="11"/>
  <c r="CG43" i="11"/>
  <c r="CG44" i="11"/>
  <c r="CG45" i="11"/>
  <c r="CG46" i="11"/>
  <c r="CG47" i="11"/>
  <c r="CG48" i="11"/>
  <c r="CG49" i="11"/>
  <c r="CG50" i="11"/>
  <c r="CG51" i="11"/>
  <c r="CG52" i="11"/>
  <c r="CG53" i="11"/>
  <c r="CG54" i="11"/>
  <c r="CG55" i="11"/>
  <c r="CG56" i="11"/>
  <c r="CG57" i="11"/>
  <c r="CG58" i="11"/>
  <c r="CG59" i="11"/>
  <c r="CG60" i="11"/>
  <c r="CG61" i="11"/>
  <c r="CG62" i="11"/>
  <c r="CG63" i="11"/>
  <c r="CG64" i="11"/>
  <c r="CG65" i="11"/>
  <c r="CG66" i="11"/>
  <c r="CG67" i="11"/>
  <c r="CG68" i="11"/>
  <c r="CG69" i="11"/>
  <c r="CG70" i="11"/>
  <c r="CG71" i="11"/>
  <c r="CG72" i="11"/>
  <c r="CG73" i="11"/>
  <c r="CG74" i="11"/>
  <c r="CG75" i="11"/>
  <c r="CG76" i="11"/>
  <c r="CG77" i="11"/>
  <c r="CG78" i="11"/>
  <c r="CG79" i="11"/>
  <c r="CG80" i="11"/>
  <c r="CG81" i="11"/>
  <c r="CG82" i="11"/>
  <c r="CG83" i="11"/>
  <c r="CG84" i="11"/>
  <c r="CG85" i="11"/>
  <c r="CG86" i="11"/>
  <c r="CG87" i="11"/>
  <c r="CG88" i="11"/>
  <c r="CG89" i="11"/>
  <c r="CG90" i="11"/>
  <c r="CG91" i="11"/>
  <c r="CG92" i="11"/>
  <c r="CG93" i="11"/>
  <c r="CG94" i="11"/>
  <c r="CG95" i="11"/>
  <c r="CG96" i="11"/>
  <c r="CG97" i="11"/>
  <c r="CG98" i="11"/>
  <c r="CG99" i="11"/>
  <c r="CG100" i="11"/>
  <c r="CG101" i="11"/>
  <c r="CG102" i="11"/>
  <c r="CG103" i="11"/>
  <c r="CG104" i="11"/>
  <c r="CG105" i="11"/>
  <c r="CG106" i="11"/>
  <c r="CG107" i="11"/>
  <c r="CG108" i="11"/>
  <c r="CG109" i="11"/>
  <c r="CG110" i="11"/>
  <c r="CG111" i="11"/>
  <c r="CG112" i="11"/>
  <c r="CG113" i="11"/>
  <c r="CG114" i="11"/>
  <c r="CG115" i="11"/>
  <c r="CG116" i="11"/>
  <c r="CG117" i="11"/>
  <c r="CG118" i="11"/>
  <c r="CG119" i="11"/>
  <c r="CG120" i="11"/>
  <c r="CG121" i="11"/>
  <c r="CG122" i="11"/>
  <c r="CG123" i="11"/>
  <c r="CG124" i="11"/>
  <c r="CG125" i="11"/>
  <c r="CG126" i="11"/>
  <c r="CG127" i="11"/>
  <c r="CG128" i="11"/>
  <c r="CG129" i="11"/>
  <c r="CG130" i="11"/>
  <c r="CG131" i="11"/>
  <c r="CG132" i="11"/>
  <c r="CG133" i="11"/>
  <c r="CG134" i="11"/>
  <c r="CG135" i="11"/>
  <c r="CG136" i="11"/>
  <c r="CG137" i="11"/>
  <c r="CG138" i="11"/>
  <c r="CG139" i="11"/>
  <c r="CG140" i="11"/>
  <c r="CG141" i="11"/>
  <c r="CG142" i="11"/>
  <c r="CG143" i="11"/>
  <c r="CG144" i="11"/>
  <c r="CG145" i="11"/>
  <c r="CG146" i="11"/>
  <c r="CG147" i="11"/>
  <c r="CG148" i="11"/>
  <c r="CG149" i="11"/>
  <c r="CG150" i="11"/>
  <c r="CG151" i="11"/>
  <c r="CG152" i="11"/>
  <c r="CG153" i="11"/>
  <c r="CG154" i="11"/>
  <c r="CG155" i="11"/>
  <c r="CG156" i="11"/>
  <c r="CG157" i="11"/>
  <c r="CG158" i="11"/>
  <c r="CG159" i="11"/>
  <c r="CG160" i="11"/>
  <c r="CG161" i="11"/>
  <c r="CG162" i="11"/>
  <c r="CG163" i="11"/>
  <c r="CG164" i="11"/>
  <c r="CG165" i="11"/>
  <c r="CG166" i="11"/>
  <c r="CG167" i="11"/>
  <c r="CG5" i="11"/>
  <c r="L31" i="5" l="1"/>
  <c r="BA31" i="5"/>
  <c r="BQ31" i="5"/>
  <c r="AV31" i="5"/>
  <c r="P31" i="5"/>
  <c r="BB31" i="5"/>
  <c r="V31" i="5"/>
  <c r="AR31" i="5"/>
  <c r="BF31" i="5"/>
  <c r="Z31" i="5"/>
  <c r="G31" i="5"/>
  <c r="W31" i="5"/>
  <c r="AM31" i="5"/>
  <c r="BC31" i="5"/>
  <c r="BS31" i="5"/>
  <c r="Q31" i="5"/>
  <c r="AG31" i="5"/>
  <c r="AW31" i="5"/>
  <c r="BM31" i="5"/>
  <c r="BD31" i="5"/>
  <c r="X31" i="5"/>
  <c r="BJ31" i="5"/>
  <c r="AD31" i="5"/>
  <c r="BP31" i="5"/>
  <c r="AJ31" i="5"/>
  <c r="D31" i="5"/>
  <c r="AX31" i="5"/>
  <c r="R31" i="5"/>
  <c r="K31" i="5"/>
  <c r="AA31" i="5"/>
  <c r="AQ31" i="5"/>
  <c r="BG31" i="5"/>
  <c r="E31" i="5"/>
  <c r="U31" i="5"/>
  <c r="AK31" i="5"/>
  <c r="BH31" i="5"/>
  <c r="AB31" i="5"/>
  <c r="BV31" i="5"/>
  <c r="AP31" i="5"/>
  <c r="J31" i="5"/>
  <c r="O31" i="5"/>
  <c r="AE31" i="5"/>
  <c r="AU31" i="5"/>
  <c r="BK31" i="5"/>
  <c r="I31" i="5"/>
  <c r="Y31" i="5"/>
  <c r="AO31" i="5"/>
  <c r="BE31" i="5"/>
  <c r="BU31" i="5"/>
  <c r="AN31" i="5"/>
  <c r="H31" i="5"/>
  <c r="AT31" i="5"/>
  <c r="N31" i="5"/>
  <c r="AZ31" i="5"/>
  <c r="T31" i="5"/>
  <c r="BN31" i="5"/>
  <c r="AH31" i="5"/>
  <c r="C31" i="5"/>
  <c r="S31" i="5"/>
  <c r="AI31" i="5"/>
  <c r="AY31" i="5"/>
  <c r="BO31" i="5"/>
  <c r="M31" i="5"/>
  <c r="AC31" i="5"/>
  <c r="AS31" i="5"/>
  <c r="BI31" i="5"/>
  <c r="BL31" i="5"/>
  <c r="AF31" i="5"/>
  <c r="BR31" i="5"/>
  <c r="AL31" i="5"/>
  <c r="F31" i="5"/>
  <c r="BZ188" i="11"/>
  <c r="BV188" i="11"/>
  <c r="BR188" i="11"/>
  <c r="BN188" i="11"/>
  <c r="BJ188" i="11"/>
  <c r="BF188" i="11"/>
  <c r="BB188" i="11"/>
  <c r="AX188" i="11"/>
  <c r="AT188" i="11"/>
  <c r="AP188" i="11"/>
  <c r="AL188" i="11"/>
  <c r="AH188" i="11"/>
  <c r="AD188" i="11"/>
  <c r="Z188" i="11"/>
  <c r="V188" i="11"/>
  <c r="R188" i="11"/>
  <c r="N188" i="11"/>
  <c r="J188" i="11"/>
  <c r="BY188" i="11"/>
  <c r="BU188" i="11"/>
  <c r="BQ188" i="11"/>
  <c r="BM188" i="11"/>
  <c r="BI188" i="11"/>
  <c r="BE188" i="11"/>
  <c r="BA188" i="11"/>
  <c r="AW188" i="11"/>
  <c r="AS188" i="11"/>
  <c r="AO188" i="11"/>
  <c r="AK188" i="11"/>
  <c r="AG188" i="11"/>
  <c r="AC188" i="11"/>
  <c r="Y188" i="11"/>
  <c r="U188" i="11"/>
  <c r="Q188" i="11"/>
  <c r="M188" i="11"/>
  <c r="I188" i="11"/>
  <c r="BX188" i="11"/>
  <c r="BT188" i="11"/>
  <c r="BP188" i="11"/>
  <c r="BL188" i="11"/>
  <c r="BH188" i="11"/>
  <c r="BD188" i="11"/>
  <c r="AZ188" i="11"/>
  <c r="AV188" i="11"/>
  <c r="AR188" i="11"/>
  <c r="AN188" i="11"/>
  <c r="AJ188" i="11"/>
  <c r="AF188" i="11"/>
  <c r="AB188" i="11"/>
  <c r="X188" i="11"/>
  <c r="T188" i="11"/>
  <c r="P188" i="11"/>
  <c r="L188" i="11"/>
  <c r="CA188" i="11"/>
  <c r="BW188" i="11"/>
  <c r="BS188" i="11"/>
  <c r="BO188" i="11"/>
  <c r="BK188" i="11"/>
  <c r="BG188" i="11"/>
  <c r="BC188" i="11"/>
  <c r="AY188" i="11"/>
  <c r="AU188" i="11"/>
  <c r="AQ188" i="11"/>
  <c r="AM188" i="11"/>
  <c r="AI188" i="11"/>
  <c r="AE188" i="11"/>
  <c r="AA188" i="11"/>
  <c r="W188" i="11"/>
  <c r="S188" i="11"/>
  <c r="O188" i="11"/>
  <c r="K188" i="11"/>
  <c r="H188" i="11"/>
  <c r="BY187" i="11"/>
  <c r="BU187" i="11"/>
  <c r="BP32" i="5" s="1"/>
  <c r="BQ187" i="11"/>
  <c r="BL32" i="5" s="1"/>
  <c r="BM187" i="11"/>
  <c r="BH32" i="5" s="1"/>
  <c r="BI187" i="11"/>
  <c r="BD32" i="5" s="1"/>
  <c r="BE187" i="11"/>
  <c r="AZ32" i="5" s="1"/>
  <c r="BA187" i="11"/>
  <c r="AV32" i="5" s="1"/>
  <c r="AW187" i="11"/>
  <c r="AR32" i="5" s="1"/>
  <c r="AS187" i="11"/>
  <c r="AN32" i="5" s="1"/>
  <c r="AO187" i="11"/>
  <c r="AJ32" i="5" s="1"/>
  <c r="AK187" i="11"/>
  <c r="AF32" i="5" s="1"/>
  <c r="AG187" i="11"/>
  <c r="AB32" i="5" s="1"/>
  <c r="AC187" i="11"/>
  <c r="X32" i="5" s="1"/>
  <c r="Y187" i="11"/>
  <c r="T32" i="5" s="1"/>
  <c r="U187" i="11"/>
  <c r="P32" i="5" s="1"/>
  <c r="Q187" i="11"/>
  <c r="L32" i="5" s="1"/>
  <c r="M187" i="11"/>
  <c r="H32" i="5" s="1"/>
  <c r="I187" i="11"/>
  <c r="D32" i="5" s="1"/>
  <c r="BX187" i="11"/>
  <c r="BS32" i="5" s="1"/>
  <c r="BT187" i="11"/>
  <c r="BO32" i="5" s="1"/>
  <c r="BP187" i="11"/>
  <c r="BK32" i="5" s="1"/>
  <c r="BL187" i="11"/>
  <c r="BG32" i="5" s="1"/>
  <c r="BH187" i="11"/>
  <c r="BC32" i="5" s="1"/>
  <c r="BD187" i="11"/>
  <c r="AY32" i="5" s="1"/>
  <c r="AZ187" i="11"/>
  <c r="AU32" i="5" s="1"/>
  <c r="AV187" i="11"/>
  <c r="AQ32" i="5" s="1"/>
  <c r="AR187" i="11"/>
  <c r="AM32" i="5" s="1"/>
  <c r="AN187" i="11"/>
  <c r="AI32" i="5" s="1"/>
  <c r="AJ187" i="11"/>
  <c r="AE32" i="5" s="1"/>
  <c r="AF187" i="11"/>
  <c r="AA32" i="5" s="1"/>
  <c r="AB187" i="11"/>
  <c r="W32" i="5" s="1"/>
  <c r="CA187" i="11"/>
  <c r="BV32" i="5" s="1"/>
  <c r="BW187" i="11"/>
  <c r="BR32" i="5" s="1"/>
  <c r="BS187" i="11"/>
  <c r="BN32" i="5" s="1"/>
  <c r="BO187" i="11"/>
  <c r="BJ32" i="5" s="1"/>
  <c r="BK187" i="11"/>
  <c r="BF32" i="5" s="1"/>
  <c r="BG187" i="11"/>
  <c r="BB32" i="5" s="1"/>
  <c r="BC187" i="11"/>
  <c r="AX32" i="5" s="1"/>
  <c r="AY187" i="11"/>
  <c r="AT32" i="5" s="1"/>
  <c r="AU187" i="11"/>
  <c r="AP32" i="5" s="1"/>
  <c r="AQ187" i="11"/>
  <c r="AL32" i="5" s="1"/>
  <c r="AM187" i="11"/>
  <c r="AH32" i="5" s="1"/>
  <c r="AI187" i="11"/>
  <c r="AD32" i="5" s="1"/>
  <c r="AE187" i="11"/>
  <c r="Z32" i="5" s="1"/>
  <c r="AA187" i="11"/>
  <c r="V32" i="5" s="1"/>
  <c r="W187" i="11"/>
  <c r="R32" i="5" s="1"/>
  <c r="S187" i="11"/>
  <c r="N32" i="5" s="1"/>
  <c r="O187" i="11"/>
  <c r="J32" i="5" s="1"/>
  <c r="K187" i="11"/>
  <c r="F32" i="5" s="1"/>
  <c r="H187" i="11"/>
  <c r="C32" i="5" s="1"/>
  <c r="BZ187" i="11"/>
  <c r="BU32" i="5" s="1"/>
  <c r="BV187" i="11"/>
  <c r="BQ32" i="5" s="1"/>
  <c r="BR187" i="11"/>
  <c r="BM32" i="5" s="1"/>
  <c r="BN187" i="11"/>
  <c r="BI32" i="5" s="1"/>
  <c r="BJ187" i="11"/>
  <c r="BE32" i="5" s="1"/>
  <c r="BF187" i="11"/>
  <c r="BA32" i="5" s="1"/>
  <c r="BB187" i="11"/>
  <c r="AW32" i="5" s="1"/>
  <c r="AX187" i="11"/>
  <c r="AS32" i="5" s="1"/>
  <c r="AT187" i="11"/>
  <c r="AO32" i="5" s="1"/>
  <c r="AP187" i="11"/>
  <c r="AK32" i="5" s="1"/>
  <c r="AL187" i="11"/>
  <c r="AG32" i="5" s="1"/>
  <c r="AH187" i="11"/>
  <c r="AC32" i="5" s="1"/>
  <c r="AD187" i="11"/>
  <c r="Y32" i="5" s="1"/>
  <c r="X187" i="11"/>
  <c r="S32" i="5" s="1"/>
  <c r="P187" i="11"/>
  <c r="K32" i="5" s="1"/>
  <c r="V187" i="11"/>
  <c r="Q32" i="5" s="1"/>
  <c r="N187" i="11"/>
  <c r="I32" i="5" s="1"/>
  <c r="T187" i="11"/>
  <c r="O32" i="5" s="1"/>
  <c r="L187" i="11"/>
  <c r="G32" i="5" s="1"/>
  <c r="Z187" i="11"/>
  <c r="U32" i="5" s="1"/>
  <c r="R187" i="11"/>
  <c r="M32" i="5" s="1"/>
  <c r="J187" i="11"/>
  <c r="E32" i="5" s="1"/>
  <c r="CD6" i="11"/>
  <c r="CD7" i="11"/>
  <c r="CD8" i="11"/>
  <c r="CD9" i="11"/>
  <c r="CD10" i="11"/>
  <c r="CD11" i="11"/>
  <c r="CD12" i="11"/>
  <c r="CD13" i="11"/>
  <c r="CD14" i="11"/>
  <c r="CD15" i="11"/>
  <c r="CD16" i="11"/>
  <c r="CD17" i="11"/>
  <c r="CD18" i="11"/>
  <c r="CD19" i="11"/>
  <c r="CD20" i="11"/>
  <c r="CD21" i="11"/>
  <c r="CD22" i="11"/>
  <c r="CD23" i="11"/>
  <c r="CD24" i="11"/>
  <c r="CD25" i="11"/>
  <c r="CD26" i="11"/>
  <c r="CD27" i="11"/>
  <c r="CD28" i="11"/>
  <c r="CD29" i="11"/>
  <c r="CD30" i="11"/>
  <c r="CD31" i="11"/>
  <c r="CD32" i="11"/>
  <c r="CD33" i="11"/>
  <c r="CD34" i="11"/>
  <c r="CD35" i="11"/>
  <c r="CD36" i="11"/>
  <c r="CD37" i="11"/>
  <c r="CD38" i="11"/>
  <c r="CD39" i="11"/>
  <c r="CD40" i="11"/>
  <c r="CD41" i="11"/>
  <c r="CD42" i="11"/>
  <c r="CD43" i="11"/>
  <c r="CD44" i="11"/>
  <c r="CD45" i="11"/>
  <c r="CD46" i="11"/>
  <c r="CD47" i="11"/>
  <c r="CD48" i="11"/>
  <c r="CD49" i="11"/>
  <c r="CD50" i="11"/>
  <c r="CD51" i="11"/>
  <c r="CD52" i="11"/>
  <c r="CD53" i="11"/>
  <c r="CD54" i="11"/>
  <c r="CD55" i="11"/>
  <c r="CD56" i="11"/>
  <c r="CD57" i="11"/>
  <c r="CD58" i="11"/>
  <c r="CD59" i="11"/>
  <c r="CD60" i="11"/>
  <c r="CD61" i="11"/>
  <c r="CD62" i="11"/>
  <c r="CD63" i="11"/>
  <c r="CD64" i="11"/>
  <c r="CD65" i="11"/>
  <c r="CD66" i="11"/>
  <c r="CD67" i="11"/>
  <c r="CD68" i="11"/>
  <c r="CD69" i="11"/>
  <c r="CD70" i="11"/>
  <c r="CD71" i="11"/>
  <c r="CD72" i="11"/>
  <c r="CD73" i="11"/>
  <c r="CD74" i="11"/>
  <c r="CD75" i="11"/>
  <c r="CD76" i="11"/>
  <c r="CD77" i="11"/>
  <c r="CD78" i="11"/>
  <c r="CD79" i="11"/>
  <c r="CD80" i="11"/>
  <c r="CD81" i="11"/>
  <c r="CD82" i="11"/>
  <c r="CD83" i="11"/>
  <c r="CD84" i="11"/>
  <c r="CD85" i="11"/>
  <c r="CD86" i="11"/>
  <c r="CD87" i="11"/>
  <c r="CD88" i="11"/>
  <c r="CD89" i="11"/>
  <c r="CD90" i="11"/>
  <c r="CD91" i="11"/>
  <c r="CD92" i="11"/>
  <c r="CD93" i="11"/>
  <c r="CD94" i="11"/>
  <c r="CD95" i="11"/>
  <c r="CD96" i="11"/>
  <c r="CD97" i="11"/>
  <c r="CD98" i="11"/>
  <c r="CD99" i="11"/>
  <c r="CD100" i="11"/>
  <c r="CD101" i="11"/>
  <c r="CD102" i="11"/>
  <c r="CD103" i="11"/>
  <c r="CD104" i="11"/>
  <c r="CD105" i="11"/>
  <c r="CD106" i="11"/>
  <c r="CD107" i="11"/>
  <c r="CD108" i="11"/>
  <c r="CD109" i="11"/>
  <c r="CD110" i="11"/>
  <c r="CD111" i="11"/>
  <c r="CD112" i="11"/>
  <c r="CD113" i="11"/>
  <c r="CD114" i="11"/>
  <c r="CD115" i="11"/>
  <c r="CD116" i="11"/>
  <c r="CD117" i="11"/>
  <c r="CD118" i="11"/>
  <c r="CD119" i="11"/>
  <c r="CD120" i="11"/>
  <c r="CD121" i="11"/>
  <c r="CD122" i="11"/>
  <c r="CD123" i="11"/>
  <c r="CD124" i="11"/>
  <c r="CD125" i="11"/>
  <c r="CD126" i="11"/>
  <c r="CD127" i="11"/>
  <c r="CD128" i="11"/>
  <c r="CD129" i="11"/>
  <c r="CD130" i="11"/>
  <c r="CD131" i="11"/>
  <c r="CD132" i="11"/>
  <c r="CD133" i="11"/>
  <c r="CD134" i="11"/>
  <c r="CD135" i="11"/>
  <c r="CD136" i="11"/>
  <c r="CD137" i="11"/>
  <c r="CD138" i="11"/>
  <c r="CD139" i="11"/>
  <c r="CD140" i="11"/>
  <c r="CD141" i="11"/>
  <c r="CD142" i="11"/>
  <c r="CD143" i="11"/>
  <c r="CD144" i="11"/>
  <c r="CD145" i="11"/>
  <c r="CD146" i="11"/>
  <c r="CD147" i="11"/>
  <c r="CD148" i="11"/>
  <c r="CD149" i="11"/>
  <c r="CD150" i="11"/>
  <c r="CD151" i="11"/>
  <c r="CD152" i="11"/>
  <c r="CD153" i="11"/>
  <c r="CD154" i="11"/>
  <c r="CD155" i="11"/>
  <c r="CD156" i="11"/>
  <c r="CD157" i="11"/>
  <c r="CD158" i="11"/>
  <c r="CD159" i="11"/>
  <c r="CD160" i="11"/>
  <c r="CD161" i="11"/>
  <c r="CD162" i="11"/>
  <c r="CD163" i="11"/>
  <c r="CD164" i="11"/>
  <c r="CD165" i="11"/>
  <c r="CD166" i="11"/>
  <c r="CD167" i="11"/>
  <c r="CD5" i="11"/>
  <c r="CC6" i="11"/>
  <c r="CC7" i="11"/>
  <c r="CC8" i="11"/>
  <c r="CC9" i="11"/>
  <c r="CC10" i="11"/>
  <c r="CC11" i="11"/>
  <c r="CC12" i="11"/>
  <c r="CC13" i="11"/>
  <c r="CC14" i="11"/>
  <c r="CC15" i="11"/>
  <c r="CC16" i="11"/>
  <c r="CC17" i="11"/>
  <c r="CC18" i="11"/>
  <c r="CC19" i="11"/>
  <c r="CC20" i="11"/>
  <c r="CC21" i="11"/>
  <c r="CC22" i="11"/>
  <c r="CC23" i="11"/>
  <c r="CC24" i="11"/>
  <c r="CC25" i="11"/>
  <c r="CC26" i="11"/>
  <c r="CC27" i="11"/>
  <c r="CC28" i="11"/>
  <c r="CC29" i="11"/>
  <c r="CC30" i="11"/>
  <c r="CC31" i="11"/>
  <c r="CC32" i="11"/>
  <c r="CC33" i="11"/>
  <c r="CC34" i="11"/>
  <c r="CC35" i="11"/>
  <c r="CC36" i="11"/>
  <c r="CC37" i="11"/>
  <c r="CC38" i="11"/>
  <c r="CC39" i="11"/>
  <c r="CC40" i="11"/>
  <c r="CC41" i="11"/>
  <c r="CC42" i="11"/>
  <c r="CC43" i="11"/>
  <c r="CC44" i="11"/>
  <c r="CC45" i="11"/>
  <c r="CC46" i="11"/>
  <c r="CC47" i="11"/>
  <c r="CC48" i="11"/>
  <c r="CC49" i="11"/>
  <c r="CC50" i="11"/>
  <c r="CC51" i="11"/>
  <c r="CC52" i="11"/>
  <c r="CC53" i="11"/>
  <c r="CC54" i="11"/>
  <c r="CC55" i="11"/>
  <c r="CC56" i="11"/>
  <c r="CC57" i="11"/>
  <c r="CC58" i="11"/>
  <c r="CC59" i="11"/>
  <c r="CC60" i="11"/>
  <c r="CC61" i="11"/>
  <c r="CC62" i="11"/>
  <c r="CC63" i="11"/>
  <c r="CC64" i="11"/>
  <c r="CC65" i="11"/>
  <c r="CC66" i="11"/>
  <c r="CC67" i="11"/>
  <c r="CC68" i="11"/>
  <c r="CC69" i="11"/>
  <c r="CC70" i="11"/>
  <c r="CC71" i="11"/>
  <c r="CC72" i="11"/>
  <c r="CC73" i="11"/>
  <c r="CC74" i="11"/>
  <c r="CC75" i="11"/>
  <c r="CC76" i="11"/>
  <c r="CC77" i="11"/>
  <c r="CC78" i="11"/>
  <c r="CC79" i="11"/>
  <c r="CC80" i="11"/>
  <c r="CC81" i="11"/>
  <c r="CC82" i="11"/>
  <c r="CC83" i="11"/>
  <c r="CC84" i="11"/>
  <c r="CC85" i="11"/>
  <c r="CC86" i="11"/>
  <c r="CC87" i="11"/>
  <c r="CC88" i="11"/>
  <c r="CC89" i="11"/>
  <c r="CC90" i="11"/>
  <c r="CC91" i="11"/>
  <c r="CC92" i="11"/>
  <c r="CC93" i="11"/>
  <c r="CC94" i="11"/>
  <c r="CC95" i="11"/>
  <c r="CC96" i="11"/>
  <c r="CC97" i="11"/>
  <c r="CC98" i="11"/>
  <c r="CC99" i="11"/>
  <c r="CC100" i="11"/>
  <c r="CC101" i="11"/>
  <c r="CC102" i="11"/>
  <c r="CC103" i="11"/>
  <c r="CC104" i="11"/>
  <c r="CC105" i="11"/>
  <c r="CC106" i="11"/>
  <c r="CC107" i="11"/>
  <c r="CC108" i="11"/>
  <c r="CC109" i="11"/>
  <c r="CC110" i="11"/>
  <c r="CC111" i="11"/>
  <c r="CC112" i="11"/>
  <c r="CC113" i="11"/>
  <c r="CC114" i="11"/>
  <c r="CC115" i="11"/>
  <c r="CC116" i="11"/>
  <c r="CC117" i="11"/>
  <c r="CC118" i="11"/>
  <c r="CC119" i="11"/>
  <c r="CC120" i="11"/>
  <c r="CC121" i="11"/>
  <c r="CC122" i="11"/>
  <c r="CC123" i="11"/>
  <c r="CC124" i="11"/>
  <c r="CC125" i="11"/>
  <c r="CC126" i="11"/>
  <c r="CC127" i="11"/>
  <c r="CC128" i="11"/>
  <c r="CC129" i="11"/>
  <c r="CC130" i="11"/>
  <c r="CC131" i="11"/>
  <c r="CC132" i="11"/>
  <c r="CC133" i="11"/>
  <c r="CC134" i="11"/>
  <c r="CC135" i="11"/>
  <c r="CC136" i="11"/>
  <c r="CC137" i="11"/>
  <c r="CC138" i="11"/>
  <c r="CC139" i="11"/>
  <c r="CC140" i="11"/>
  <c r="CC141" i="11"/>
  <c r="CC142" i="11"/>
  <c r="CC143" i="11"/>
  <c r="CC144" i="11"/>
  <c r="CC145" i="11"/>
  <c r="CC146" i="11"/>
  <c r="CC147" i="11"/>
  <c r="CC148" i="11"/>
  <c r="CC149" i="11"/>
  <c r="CC150" i="11"/>
  <c r="CC151" i="11"/>
  <c r="CC152" i="11"/>
  <c r="CC153" i="11"/>
  <c r="CC154" i="11"/>
  <c r="CC155" i="11"/>
  <c r="CC156" i="11"/>
  <c r="CC157" i="11"/>
  <c r="CC158" i="11"/>
  <c r="CC159" i="11"/>
  <c r="CC160" i="11"/>
  <c r="CC161" i="11"/>
  <c r="CC162" i="11"/>
  <c r="CC163" i="11"/>
  <c r="CC164" i="11"/>
  <c r="CC165" i="11"/>
  <c r="CC166" i="11"/>
  <c r="CC167" i="11"/>
  <c r="CC5" i="11"/>
  <c r="J64" i="5" l="1"/>
  <c r="BF64" i="5"/>
  <c r="AI64" i="5"/>
  <c r="BO64" i="5"/>
  <c r="AR64" i="5"/>
  <c r="U64" i="5"/>
  <c r="BA64" i="5"/>
  <c r="BT32" i="5"/>
  <c r="N64" i="5"/>
  <c r="AD64" i="5"/>
  <c r="AT64" i="5"/>
  <c r="BJ64" i="5"/>
  <c r="G64" i="5"/>
  <c r="W64" i="5"/>
  <c r="AM64" i="5"/>
  <c r="BC64" i="5"/>
  <c r="BS64" i="5"/>
  <c r="P64" i="5"/>
  <c r="AF64" i="5"/>
  <c r="AV64" i="5"/>
  <c r="BL64" i="5"/>
  <c r="I64" i="5"/>
  <c r="Y64" i="5"/>
  <c r="AO64" i="5"/>
  <c r="BE64" i="5"/>
  <c r="BU64" i="5"/>
  <c r="Z64" i="5"/>
  <c r="AP64" i="5"/>
  <c r="BV64" i="5"/>
  <c r="S64" i="5"/>
  <c r="AY64" i="5"/>
  <c r="L64" i="5"/>
  <c r="AB64" i="5"/>
  <c r="BH64" i="5"/>
  <c r="E64" i="5"/>
  <c r="AK64" i="5"/>
  <c r="BQ64" i="5"/>
  <c r="C64" i="5"/>
  <c r="R64" i="5"/>
  <c r="AH64" i="5"/>
  <c r="AX64" i="5"/>
  <c r="BN64" i="5"/>
  <c r="K64" i="5"/>
  <c r="AA64" i="5"/>
  <c r="AQ64" i="5"/>
  <c r="BG64" i="5"/>
  <c r="D64" i="5"/>
  <c r="T64" i="5"/>
  <c r="AJ64" i="5"/>
  <c r="AZ64" i="5"/>
  <c r="BP64" i="5"/>
  <c r="M64" i="5"/>
  <c r="AC64" i="5"/>
  <c r="AS64" i="5"/>
  <c r="BI64" i="5"/>
  <c r="F64" i="5"/>
  <c r="V64" i="5"/>
  <c r="AL64" i="5"/>
  <c r="BB64" i="5"/>
  <c r="BR64" i="5"/>
  <c r="O64" i="5"/>
  <c r="AE64" i="5"/>
  <c r="AU64" i="5"/>
  <c r="BK64" i="5"/>
  <c r="H64" i="5"/>
  <c r="X64" i="5"/>
  <c r="AN64" i="5"/>
  <c r="BD64" i="5"/>
  <c r="BT64" i="5"/>
  <c r="Q64" i="5"/>
  <c r="AG64" i="5"/>
  <c r="AW64" i="5"/>
  <c r="BM64" i="5"/>
  <c r="T1" i="11"/>
  <c r="AF1" i="11" s="1"/>
  <c r="AR1" i="11" s="1"/>
  <c r="BD1" i="11" s="1"/>
  <c r="BP1" i="11" s="1"/>
  <c r="J45" i="7" l="1"/>
  <c r="V58" i="7" l="1"/>
  <c r="W58" i="7"/>
  <c r="Z58" i="7"/>
  <c r="Y58" i="7"/>
  <c r="X58" i="7"/>
  <c r="AA24" i="7"/>
  <c r="AA58" i="7" l="1"/>
  <c r="T66" i="7"/>
  <c r="U66" i="7"/>
  <c r="V66" i="7"/>
  <c r="W66" i="7"/>
  <c r="X66" i="7"/>
  <c r="T67" i="7"/>
  <c r="U67" i="7"/>
  <c r="V67" i="7"/>
  <c r="W67" i="7"/>
  <c r="X67" i="7"/>
  <c r="T68" i="7"/>
  <c r="U68" i="7"/>
  <c r="V68" i="7"/>
  <c r="W68" i="7"/>
  <c r="X68" i="7"/>
  <c r="T69" i="7"/>
  <c r="U69" i="7"/>
  <c r="V69" i="7"/>
  <c r="W69" i="7"/>
  <c r="X69" i="7"/>
  <c r="T70" i="7"/>
  <c r="U70" i="7"/>
  <c r="V70" i="7"/>
  <c r="W70" i="7"/>
  <c r="X70" i="7"/>
  <c r="T72" i="7"/>
  <c r="U72" i="7"/>
  <c r="V72" i="7"/>
  <c r="W72" i="7"/>
  <c r="X72" i="7"/>
  <c r="T74" i="7"/>
  <c r="U74" i="7"/>
  <c r="V74" i="7"/>
  <c r="W74" i="7"/>
  <c r="X74" i="7"/>
  <c r="U65" i="7"/>
  <c r="V65" i="7"/>
  <c r="W65" i="7"/>
  <c r="X65" i="7"/>
  <c r="T65" i="7"/>
  <c r="Q66" i="7"/>
  <c r="R66" i="7" s="1"/>
  <c r="Q67" i="7"/>
  <c r="R67" i="7" s="1"/>
  <c r="Q68" i="7"/>
  <c r="R68" i="7" s="1"/>
  <c r="Q69" i="7"/>
  <c r="R69" i="7" s="1"/>
  <c r="Q70" i="7"/>
  <c r="R70" i="7" s="1"/>
  <c r="Q72" i="7"/>
  <c r="R72" i="7" s="1"/>
  <c r="Q74" i="7"/>
  <c r="R74" i="7" s="1"/>
  <c r="Q65" i="7"/>
  <c r="R65" i="7" s="1"/>
  <c r="J88" i="7"/>
  <c r="X73" i="7" l="1"/>
  <c r="X75" i="7" s="1"/>
  <c r="T73" i="7"/>
  <c r="W73" i="7"/>
  <c r="W75" i="7" s="1"/>
  <c r="V73" i="7"/>
  <c r="V75" i="7" s="1"/>
  <c r="U73" i="7"/>
  <c r="U75" i="7" s="1"/>
  <c r="Y74" i="7"/>
  <c r="Y69" i="7"/>
  <c r="Y72" i="7"/>
  <c r="Y68" i="7"/>
  <c r="Y67" i="7"/>
  <c r="Y65" i="7"/>
  <c r="Y70" i="7"/>
  <c r="Y66" i="7"/>
  <c r="I35" i="23"/>
  <c r="H35" i="23"/>
  <c r="G35" i="23"/>
  <c r="F35" i="23"/>
  <c r="E35" i="23"/>
  <c r="I31" i="23"/>
  <c r="H31" i="23"/>
  <c r="G31" i="23"/>
  <c r="F31" i="23"/>
  <c r="E31" i="23"/>
  <c r="J27" i="7"/>
  <c r="J26" i="7"/>
  <c r="J68" i="7"/>
  <c r="J67" i="7"/>
  <c r="F6" i="29"/>
  <c r="DH6" i="11" l="1"/>
  <c r="AE254" i="38" s="1"/>
  <c r="DH5" i="11"/>
  <c r="AE253" i="38" s="1"/>
  <c r="DH12" i="11"/>
  <c r="AE260" i="38" s="1"/>
  <c r="Y73" i="7"/>
  <c r="T75" i="7"/>
  <c r="DH15" i="11"/>
  <c r="AE263" i="38" s="1"/>
  <c r="C100" i="39"/>
  <c r="T26" i="7"/>
  <c r="AE418" i="38" s="1"/>
  <c r="T46" i="7"/>
  <c r="AE438" i="38" s="1"/>
  <c r="T28" i="7"/>
  <c r="AE420" i="38" s="1"/>
  <c r="R73" i="7"/>
  <c r="Y75" i="7"/>
  <c r="E3" i="33"/>
  <c r="C97" i="39" l="1"/>
  <c r="C96" i="39"/>
  <c r="C98" i="39"/>
  <c r="C99" i="39"/>
  <c r="F3" i="33"/>
  <c r="G3" i="33" s="1"/>
  <c r="H3" i="33" s="1"/>
  <c r="I3" i="33" s="1"/>
  <c r="J3" i="33" s="1"/>
  <c r="K3" i="33" s="1"/>
  <c r="L3" i="33" s="1"/>
  <c r="M3" i="33" s="1"/>
  <c r="N3" i="33" s="1"/>
  <c r="O3" i="33" s="1"/>
  <c r="C3" i="20"/>
  <c r="O95" i="39" l="1"/>
  <c r="M96" i="39"/>
  <c r="I97" i="39"/>
  <c r="G94" i="39"/>
  <c r="N95" i="39"/>
  <c r="L95" i="39"/>
  <c r="H95" i="39"/>
  <c r="F95" i="39"/>
  <c r="N96" i="39"/>
  <c r="O94" i="39"/>
  <c r="M95" i="39"/>
  <c r="K94" i="39"/>
  <c r="I96" i="39"/>
  <c r="G96" i="39"/>
  <c r="K96" i="39"/>
  <c r="P95" i="39"/>
  <c r="I95" i="39"/>
  <c r="P96" i="39"/>
  <c r="L94" i="39"/>
  <c r="J97" i="39"/>
  <c r="H96" i="39"/>
  <c r="F97" i="39"/>
  <c r="P97" i="39"/>
  <c r="O96" i="39"/>
  <c r="N97" i="39"/>
  <c r="M97" i="39"/>
  <c r="L96" i="39"/>
  <c r="K95" i="39"/>
  <c r="J95" i="39"/>
  <c r="J94" i="39"/>
  <c r="H97" i="39"/>
  <c r="G95" i="39"/>
  <c r="F94" i="39"/>
  <c r="P94" i="39"/>
  <c r="O97" i="39"/>
  <c r="N94" i="39"/>
  <c r="M94" i="39"/>
  <c r="L97" i="39"/>
  <c r="K97" i="39"/>
  <c r="I94" i="39"/>
  <c r="J96" i="39"/>
  <c r="H94" i="39"/>
  <c r="G97" i="39"/>
  <c r="F96" i="39"/>
  <c r="O99" i="39"/>
  <c r="P98" i="39"/>
  <c r="O98" i="39"/>
  <c r="H93" i="39"/>
  <c r="P93" i="39"/>
  <c r="L99" i="39"/>
  <c r="O93" i="39"/>
  <c r="M93" i="39"/>
  <c r="G93" i="39"/>
  <c r="P92" i="39"/>
  <c r="N92" i="39"/>
  <c r="J99" i="39"/>
  <c r="F98" i="39"/>
  <c r="J98" i="39"/>
  <c r="F99" i="39"/>
  <c r="D4" i="39"/>
  <c r="D4" i="38"/>
  <c r="P99" i="39"/>
  <c r="O92" i="39"/>
  <c r="M98" i="39"/>
  <c r="M99" i="39"/>
  <c r="L92" i="39"/>
  <c r="K93" i="39"/>
  <c r="J93" i="39"/>
  <c r="I93" i="39"/>
  <c r="I92" i="39"/>
  <c r="H98" i="39"/>
  <c r="I99" i="39"/>
  <c r="G99" i="39"/>
  <c r="F92" i="39"/>
  <c r="F93" i="39"/>
  <c r="N98" i="39"/>
  <c r="M92" i="39"/>
  <c r="L98" i="39"/>
  <c r="K92" i="39"/>
  <c r="I98" i="39"/>
  <c r="G92" i="39"/>
  <c r="N93" i="39"/>
  <c r="N99" i="39"/>
  <c r="L93" i="39"/>
  <c r="K98" i="39"/>
  <c r="K99" i="39"/>
  <c r="J92" i="39"/>
  <c r="H92" i="39"/>
  <c r="H99" i="39"/>
  <c r="G98" i="39"/>
  <c r="J4" i="29"/>
  <c r="J5" i="29" s="1"/>
  <c r="J6" i="29" s="1"/>
  <c r="J7" i="29" s="1"/>
  <c r="J8" i="29" s="1"/>
  <c r="J9" i="29" s="1"/>
  <c r="J10" i="29" s="1"/>
  <c r="J11" i="29" s="1"/>
  <c r="J12" i="29" s="1"/>
  <c r="J13" i="29" s="1"/>
  <c r="I4" i="29"/>
  <c r="I5" i="29" s="1"/>
  <c r="I6" i="29" s="1"/>
  <c r="I7" i="29" s="1"/>
  <c r="I8" i="29" s="1"/>
  <c r="I9" i="29" s="1"/>
  <c r="I10" i="29" s="1"/>
  <c r="I11" i="29" s="1"/>
  <c r="I12" i="29" s="1"/>
  <c r="I13" i="29" s="1"/>
  <c r="I14" i="29" s="1"/>
  <c r="I15" i="29" s="1"/>
  <c r="I16" i="29" s="1"/>
  <c r="H4" i="29"/>
  <c r="H5" i="29" s="1"/>
  <c r="H6" i="29" s="1"/>
  <c r="H7" i="29" s="1"/>
  <c r="H8" i="29" s="1"/>
  <c r="Q96" i="39" l="1"/>
  <c r="Q95" i="39"/>
  <c r="Q97" i="39"/>
  <c r="Q94" i="39"/>
  <c r="Q98" i="39"/>
  <c r="Q93" i="39"/>
  <c r="Q92" i="39"/>
  <c r="Q99" i="39"/>
  <c r="CC21" i="1"/>
  <c r="CD21" i="1"/>
  <c r="CE21" i="1"/>
  <c r="CF21" i="1"/>
  <c r="CG21" i="1"/>
  <c r="CH21" i="1"/>
  <c r="CI21" i="1"/>
  <c r="CJ21" i="1"/>
  <c r="CK21" i="1"/>
  <c r="CL21" i="1"/>
  <c r="CM21" i="1"/>
  <c r="CN21" i="1"/>
  <c r="CC11" i="1"/>
  <c r="CD11" i="1"/>
  <c r="CE11" i="1"/>
  <c r="CF11" i="1"/>
  <c r="CG11" i="1"/>
  <c r="CH11" i="1"/>
  <c r="CI11" i="1"/>
  <c r="CJ11" i="1"/>
  <c r="CK11" i="1"/>
  <c r="CL11" i="1"/>
  <c r="CM11" i="1"/>
  <c r="CN11" i="1"/>
  <c r="FH11" i="1" l="1"/>
  <c r="AG9" i="38" s="1"/>
  <c r="FH21" i="1"/>
  <c r="AG19" i="38" s="1"/>
  <c r="B46" i="27"/>
  <c r="B47" i="27" l="1"/>
  <c r="D34" i="27" l="1"/>
  <c r="D32" i="27"/>
  <c r="C32" i="27"/>
  <c r="B32" i="27"/>
  <c r="D33" i="27"/>
  <c r="H45" i="27" l="1"/>
  <c r="G45" i="27"/>
  <c r="F45" i="27"/>
  <c r="D45" i="27"/>
  <c r="H44" i="27"/>
  <c r="G44" i="27"/>
  <c r="F44" i="27"/>
  <c r="E44" i="27"/>
  <c r="C33" i="27"/>
  <c r="D44" i="27"/>
  <c r="C44" i="27"/>
  <c r="E34" i="27"/>
  <c r="F34" i="27"/>
  <c r="G34" i="27"/>
  <c r="H34" i="27"/>
  <c r="C34" i="27"/>
  <c r="E33" i="27"/>
  <c r="F33" i="27"/>
  <c r="G33" i="27"/>
  <c r="H33" i="27"/>
  <c r="I44" i="27" l="1"/>
  <c r="C45" i="27"/>
  <c r="L8" i="27" l="1"/>
  <c r="L9" i="27"/>
  <c r="L10" i="27"/>
  <c r="M37" i="27" l="1"/>
  <c r="N37" i="27"/>
  <c r="O37" i="27"/>
  <c r="P37" i="27"/>
  <c r="Q37" i="27"/>
  <c r="R37" i="27"/>
  <c r="L37" i="27"/>
  <c r="L27" i="27" l="1"/>
  <c r="L28" i="27"/>
  <c r="L29" i="27"/>
  <c r="L30" i="27"/>
  <c r="L31" i="27"/>
  <c r="L26" i="27"/>
  <c r="L21" i="27"/>
  <c r="L22" i="27"/>
  <c r="L23" i="27"/>
  <c r="L24" i="27"/>
  <c r="L20" i="27"/>
  <c r="H32" i="27" l="1"/>
  <c r="E32" i="27"/>
  <c r="F32" i="27"/>
  <c r="G32" i="27"/>
  <c r="L13" i="27" l="1"/>
  <c r="B11" i="27" l="1"/>
  <c r="B48" i="27" l="1"/>
  <c r="L14" i="27"/>
  <c r="L15" i="27"/>
  <c r="L16" i="27"/>
  <c r="L7" i="27"/>
  <c r="L11" i="27" s="1"/>
  <c r="H38" i="27" l="1"/>
  <c r="G38" i="27"/>
  <c r="F38" i="27"/>
  <c r="E38" i="27"/>
  <c r="D38" i="27"/>
  <c r="C38" i="27"/>
  <c r="B38" i="27"/>
  <c r="I37" i="27"/>
  <c r="I38" i="27" s="1"/>
  <c r="I34" i="27"/>
  <c r="I32" i="27"/>
  <c r="I31" i="27"/>
  <c r="I30" i="27"/>
  <c r="I29" i="27"/>
  <c r="I28" i="27"/>
  <c r="I27" i="27"/>
  <c r="I26" i="27"/>
  <c r="I24" i="27"/>
  <c r="I23" i="27"/>
  <c r="I22" i="27"/>
  <c r="I21" i="27"/>
  <c r="I20" i="27"/>
  <c r="B17" i="27"/>
  <c r="B35" i="27" l="1"/>
  <c r="I33" i="27"/>
  <c r="I35" i="27" s="1"/>
  <c r="C11" i="20"/>
  <c r="L42" i="27" l="1"/>
  <c r="L41" i="27"/>
  <c r="L43" i="27" l="1"/>
  <c r="R38" i="27"/>
  <c r="Q38" i="27"/>
  <c r="P38" i="27"/>
  <c r="O38" i="27"/>
  <c r="N38" i="27"/>
  <c r="M38" i="27"/>
  <c r="L38" i="27"/>
  <c r="S37" i="27"/>
  <c r="S38" i="27" s="1"/>
  <c r="L34" i="27"/>
  <c r="L33" i="27"/>
  <c r="L46" i="27" s="1"/>
  <c r="L32" i="27"/>
  <c r="L17" i="27"/>
  <c r="L47" i="27" l="1"/>
  <c r="L35" i="27"/>
  <c r="L48" i="27" l="1"/>
  <c r="W67" i="5"/>
  <c r="Z67" i="5"/>
  <c r="AC67" i="5"/>
  <c r="AI67" i="5"/>
  <c r="AL67" i="5"/>
  <c r="AO67" i="5"/>
  <c r="AR67" i="5"/>
  <c r="AX67" i="5"/>
  <c r="BA67" i="5"/>
  <c r="BD67" i="5"/>
  <c r="BG67" i="5"/>
  <c r="BJ67" i="5"/>
  <c r="BM67" i="5"/>
  <c r="BP67" i="5"/>
  <c r="BS67" i="5"/>
  <c r="W35" i="5"/>
  <c r="Z35" i="5"/>
  <c r="AC35" i="5"/>
  <c r="AI35" i="5"/>
  <c r="AL35" i="5"/>
  <c r="AO35" i="5"/>
  <c r="AR35" i="5"/>
  <c r="AX35" i="5"/>
  <c r="BA35" i="5"/>
  <c r="BD35" i="5"/>
  <c r="BG35" i="5"/>
  <c r="BJ35" i="5"/>
  <c r="BM35" i="5"/>
  <c r="BP35" i="5"/>
  <c r="BS35" i="5"/>
  <c r="DC168" i="11" l="1"/>
  <c r="C25" i="20" l="1"/>
  <c r="F10" i="23"/>
  <c r="E10" i="23"/>
  <c r="CC12" i="1" l="1"/>
  <c r="CD12" i="1"/>
  <c r="CE12" i="1"/>
  <c r="CF12" i="1"/>
  <c r="CG12" i="1"/>
  <c r="CH12" i="1"/>
  <c r="CI12" i="1"/>
  <c r="CJ12" i="1"/>
  <c r="CK12" i="1"/>
  <c r="CL12" i="1"/>
  <c r="CM12" i="1"/>
  <c r="CN12" i="1"/>
  <c r="CC13" i="1"/>
  <c r="CD13" i="1"/>
  <c r="CE13" i="1"/>
  <c r="CF13" i="1"/>
  <c r="CG13" i="1"/>
  <c r="CH13" i="1"/>
  <c r="CI13" i="1"/>
  <c r="CJ13" i="1"/>
  <c r="CK13" i="1"/>
  <c r="CL13" i="1"/>
  <c r="CM13" i="1"/>
  <c r="CN13" i="1"/>
  <c r="CC14" i="1"/>
  <c r="CD14" i="1"/>
  <c r="CE14" i="1"/>
  <c r="CF14" i="1"/>
  <c r="CG14" i="1"/>
  <c r="CH14" i="1"/>
  <c r="CI14" i="1"/>
  <c r="CJ14" i="1"/>
  <c r="CK14" i="1"/>
  <c r="CL14" i="1"/>
  <c r="CM14" i="1"/>
  <c r="CN14" i="1"/>
  <c r="FH14" i="1" l="1"/>
  <c r="AG12" i="38" s="1"/>
  <c r="FH13" i="1"/>
  <c r="AG11" i="38" s="1"/>
  <c r="FH12" i="1"/>
  <c r="AG10" i="38" s="1"/>
  <c r="C27" i="20" l="1"/>
  <c r="J25" i="24" l="1"/>
  <c r="J24" i="24"/>
  <c r="I25" i="24"/>
  <c r="I24" i="24"/>
  <c r="H25" i="24"/>
  <c r="H24" i="24"/>
  <c r="G25" i="24"/>
  <c r="G24" i="24"/>
  <c r="F25" i="24"/>
  <c r="F24" i="24"/>
  <c r="Q42" i="27" l="1"/>
  <c r="P42" i="27"/>
  <c r="O42" i="27"/>
  <c r="O41" i="27"/>
  <c r="Q41" i="27"/>
  <c r="Q43" i="27" s="1"/>
  <c r="N42" i="27"/>
  <c r="R42" i="27"/>
  <c r="N41" i="27"/>
  <c r="P41" i="27"/>
  <c r="R41" i="27"/>
  <c r="BT25" i="19"/>
  <c r="BS25" i="19"/>
  <c r="BR25" i="19"/>
  <c r="BP25" i="19"/>
  <c r="BO25" i="19"/>
  <c r="BN25" i="19"/>
  <c r="BM25" i="19"/>
  <c r="BL25" i="19"/>
  <c r="BJ25" i="19"/>
  <c r="BH25" i="19"/>
  <c r="BE25" i="19"/>
  <c r="BD25" i="19"/>
  <c r="BB25" i="19"/>
  <c r="BA25" i="19"/>
  <c r="AY25" i="19"/>
  <c r="AV25" i="19"/>
  <c r="AU25" i="19"/>
  <c r="AR25" i="19"/>
  <c r="AP25" i="19"/>
  <c r="AN25" i="19"/>
  <c r="AM25" i="19"/>
  <c r="AI25" i="19"/>
  <c r="AH25" i="19"/>
  <c r="AF25" i="19"/>
  <c r="AD25" i="19"/>
  <c r="AB25" i="19"/>
  <c r="AA25" i="19"/>
  <c r="X25" i="19"/>
  <c r="N43" i="27" l="1"/>
  <c r="O43" i="27"/>
  <c r="R43" i="27"/>
  <c r="P43" i="27"/>
  <c r="CC254" i="1"/>
  <c r="CD254" i="1"/>
  <c r="CE254" i="1"/>
  <c r="CF254" i="1"/>
  <c r="CG254" i="1"/>
  <c r="CH254" i="1"/>
  <c r="CI254" i="1"/>
  <c r="CJ254" i="1"/>
  <c r="CK254" i="1"/>
  <c r="CL254" i="1"/>
  <c r="CM254" i="1"/>
  <c r="CN254" i="1"/>
  <c r="FH254" i="1" l="1"/>
  <c r="AG252" i="38" s="1"/>
  <c r="T13" i="24"/>
  <c r="T17" i="24"/>
  <c r="B26" i="19" l="1"/>
  <c r="B27" i="19" s="1"/>
  <c r="B25" i="19" s="1"/>
  <c r="T19" i="24" l="1"/>
  <c r="BV2" i="5" l="1"/>
  <c r="D2" i="5"/>
  <c r="E2" i="5"/>
  <c r="F2" i="5"/>
  <c r="G2" i="5"/>
  <c r="H2" i="5"/>
  <c r="I2" i="5"/>
  <c r="J2" i="5"/>
  <c r="K2" i="5"/>
  <c r="L2" i="5"/>
  <c r="M2" i="5"/>
  <c r="N2" i="5"/>
  <c r="O2" i="5"/>
  <c r="P2" i="5"/>
  <c r="Q2" i="5"/>
  <c r="R2" i="5"/>
  <c r="S2" i="5"/>
  <c r="T2" i="5"/>
  <c r="U2" i="5"/>
  <c r="V2" i="5"/>
  <c r="W2" i="5"/>
  <c r="X2" i="5"/>
  <c r="Y2" i="5"/>
  <c r="Z2" i="5"/>
  <c r="AA2" i="5"/>
  <c r="AB2" i="5"/>
  <c r="AC2" i="5"/>
  <c r="AD2" i="5"/>
  <c r="AE2" i="5"/>
  <c r="AF2" i="5"/>
  <c r="AG2" i="5"/>
  <c r="AH2" i="5"/>
  <c r="AI2" i="5"/>
  <c r="AJ2" i="5"/>
  <c r="AK2" i="5"/>
  <c r="AL2" i="5"/>
  <c r="AM2" i="5"/>
  <c r="AN2" i="5"/>
  <c r="AS3" i="1" s="1"/>
  <c r="DN3" i="1" s="1"/>
  <c r="AO2" i="5"/>
  <c r="AT3" i="1" s="1"/>
  <c r="DO3" i="1" s="1"/>
  <c r="AP2" i="5"/>
  <c r="AU3" i="1" s="1"/>
  <c r="DP3" i="1" s="1"/>
  <c r="AQ2" i="5"/>
  <c r="AV3" i="1" s="1"/>
  <c r="DQ3" i="1" s="1"/>
  <c r="AR2" i="5"/>
  <c r="AW3" i="1" s="1"/>
  <c r="DR3" i="1" s="1"/>
  <c r="AS2" i="5"/>
  <c r="AX3" i="1" s="1"/>
  <c r="DS3" i="1" s="1"/>
  <c r="AT2" i="5"/>
  <c r="AY3" i="1" s="1"/>
  <c r="DT3" i="1" s="1"/>
  <c r="AU2" i="5"/>
  <c r="AV2" i="5"/>
  <c r="BA3" i="1" s="1"/>
  <c r="DV3" i="1" s="1"/>
  <c r="AW2" i="5"/>
  <c r="BB3" i="1" s="1"/>
  <c r="DW3" i="1" s="1"/>
  <c r="AX2" i="5"/>
  <c r="BC3" i="1" s="1"/>
  <c r="DX3" i="1" s="1"/>
  <c r="AY2" i="5"/>
  <c r="AZ2" i="5"/>
  <c r="BA2" i="5"/>
  <c r="BB2" i="5"/>
  <c r="BC2" i="5"/>
  <c r="BD2" i="5"/>
  <c r="BE2" i="5"/>
  <c r="BF2" i="5"/>
  <c r="BG2" i="5"/>
  <c r="BH2" i="5"/>
  <c r="BI2" i="5"/>
  <c r="BJ2" i="5"/>
  <c r="BK2" i="5"/>
  <c r="CC62" i="5" s="1"/>
  <c r="BL2" i="5"/>
  <c r="BM2" i="5"/>
  <c r="BN2" i="5"/>
  <c r="BO2" i="5"/>
  <c r="BP2" i="5"/>
  <c r="BQ2" i="5"/>
  <c r="BR2" i="5"/>
  <c r="BS2" i="5"/>
  <c r="BT2" i="5"/>
  <c r="BU2" i="5"/>
  <c r="BY62" i="5" l="1"/>
  <c r="CA62" i="5"/>
  <c r="CB62" i="5"/>
  <c r="BZ62" i="5"/>
  <c r="CC65" i="5"/>
  <c r="CC33" i="5"/>
  <c r="CB65" i="5"/>
  <c r="CB33" i="5"/>
  <c r="CA33" i="5"/>
  <c r="CA65" i="5"/>
  <c r="BZ33" i="5"/>
  <c r="BZ65" i="5"/>
  <c r="BY33" i="5"/>
  <c r="BY65" i="5"/>
  <c r="H8" i="27"/>
  <c r="F8" i="27"/>
  <c r="E8" i="27"/>
  <c r="G8" i="27"/>
  <c r="D8" i="27"/>
  <c r="R16" i="27"/>
  <c r="R15" i="27"/>
  <c r="H14" i="27"/>
  <c r="H16" i="27"/>
  <c r="H13" i="27"/>
  <c r="H7" i="27"/>
  <c r="R10" i="27"/>
  <c r="R9" i="27"/>
  <c r="Q15" i="27"/>
  <c r="Q16" i="27"/>
  <c r="G14" i="27"/>
  <c r="G16" i="27"/>
  <c r="G13" i="27"/>
  <c r="G7" i="27"/>
  <c r="Q10" i="27"/>
  <c r="Q8" i="27" s="1"/>
  <c r="Q9" i="27"/>
  <c r="P16" i="27"/>
  <c r="F14" i="27"/>
  <c r="F16" i="27"/>
  <c r="F13" i="27"/>
  <c r="P15" i="27"/>
  <c r="F7" i="27"/>
  <c r="P10" i="27"/>
  <c r="P9" i="27"/>
  <c r="O16" i="27"/>
  <c r="E14" i="27"/>
  <c r="E16" i="27"/>
  <c r="O15" i="27"/>
  <c r="E13" i="27"/>
  <c r="E7" i="27"/>
  <c r="O10" i="27"/>
  <c r="O9" i="27"/>
  <c r="D14" i="27"/>
  <c r="D13" i="27"/>
  <c r="N9" i="27"/>
  <c r="D7" i="27"/>
  <c r="N10" i="27"/>
  <c r="CC69" i="5"/>
  <c r="CC61" i="5"/>
  <c r="R28" i="27" s="1"/>
  <c r="CC29" i="5"/>
  <c r="CC63" i="5"/>
  <c r="R27" i="27" s="1"/>
  <c r="CC30" i="5"/>
  <c r="R21" i="27" s="1"/>
  <c r="CC28" i="5"/>
  <c r="CB69" i="5"/>
  <c r="CB61" i="5"/>
  <c r="CB29" i="5"/>
  <c r="CB63" i="5"/>
  <c r="Q27" i="27" s="1"/>
  <c r="CB30" i="5"/>
  <c r="Q21" i="27" s="1"/>
  <c r="CB28" i="5"/>
  <c r="CA63" i="5"/>
  <c r="P27" i="27" s="1"/>
  <c r="CA30" i="5"/>
  <c r="P21" i="27" s="1"/>
  <c r="CA28" i="5"/>
  <c r="CA69" i="5"/>
  <c r="CA61" i="5"/>
  <c r="CA29" i="5"/>
  <c r="BZ63" i="5"/>
  <c r="O27" i="27" s="1"/>
  <c r="BZ30" i="5"/>
  <c r="O21" i="27" s="1"/>
  <c r="BZ28" i="5"/>
  <c r="BZ69" i="5"/>
  <c r="BZ61" i="5"/>
  <c r="BZ29" i="5"/>
  <c r="CC68" i="5"/>
  <c r="CC64" i="5"/>
  <c r="CC43" i="5"/>
  <c r="CC45" i="5"/>
  <c r="CC47" i="5"/>
  <c r="CC50" i="5"/>
  <c r="CC52" i="5"/>
  <c r="CC55" i="5"/>
  <c r="CC57" i="5"/>
  <c r="CC59" i="5"/>
  <c r="CC66" i="5"/>
  <c r="CC44" i="5"/>
  <c r="CC49" i="5"/>
  <c r="CC53" i="5"/>
  <c r="CC58" i="5"/>
  <c r="CC41" i="5"/>
  <c r="CC42" i="5"/>
  <c r="CC46" i="5"/>
  <c r="CC51" i="5"/>
  <c r="CC67" i="5"/>
  <c r="CC56" i="5"/>
  <c r="CC36" i="5"/>
  <c r="CC32" i="5"/>
  <c r="CC18" i="5"/>
  <c r="CC23" i="5"/>
  <c r="CC8" i="5"/>
  <c r="CC31" i="5"/>
  <c r="CC10" i="5"/>
  <c r="CC12" i="5"/>
  <c r="CC14" i="5"/>
  <c r="CC19" i="5"/>
  <c r="CC24" i="5"/>
  <c r="CC34" i="5"/>
  <c r="CC16" i="5"/>
  <c r="CC20" i="5"/>
  <c r="CC25" i="5"/>
  <c r="CC35" i="5"/>
  <c r="CC9" i="5"/>
  <c r="CC11" i="5"/>
  <c r="CC13" i="5"/>
  <c r="CC17" i="5"/>
  <c r="CC22" i="5"/>
  <c r="CC26" i="5"/>
  <c r="CB67" i="5"/>
  <c r="CB68" i="5"/>
  <c r="CB64" i="5"/>
  <c r="CB42" i="5"/>
  <c r="CB44" i="5"/>
  <c r="CB46" i="5"/>
  <c r="CB49" i="5"/>
  <c r="CB51" i="5"/>
  <c r="CB53" i="5"/>
  <c r="CB66" i="5"/>
  <c r="CB59" i="5"/>
  <c r="CB43" i="5"/>
  <c r="CB47" i="5"/>
  <c r="CB52" i="5"/>
  <c r="CB56" i="5"/>
  <c r="CB41" i="5"/>
  <c r="CB45" i="5"/>
  <c r="CB50" i="5"/>
  <c r="CB55" i="5"/>
  <c r="CB57" i="5"/>
  <c r="CB58" i="5"/>
  <c r="CB10" i="5"/>
  <c r="CB12" i="5"/>
  <c r="CB14" i="5"/>
  <c r="CB19" i="5"/>
  <c r="CB24" i="5"/>
  <c r="CB36" i="5"/>
  <c r="CB32" i="5"/>
  <c r="CB16" i="5"/>
  <c r="CB20" i="5"/>
  <c r="CB25" i="5"/>
  <c r="CB8" i="5"/>
  <c r="CB35" i="5"/>
  <c r="CB31" i="5"/>
  <c r="CB9" i="5"/>
  <c r="CB11" i="5"/>
  <c r="CB13" i="5"/>
  <c r="CB17" i="5"/>
  <c r="CB22" i="5"/>
  <c r="CB26" i="5"/>
  <c r="CB34" i="5"/>
  <c r="CB18" i="5"/>
  <c r="CB23" i="5"/>
  <c r="AR3" i="1"/>
  <c r="DM3" i="1" s="1"/>
  <c r="CA42" i="5"/>
  <c r="CA44" i="5"/>
  <c r="CA46" i="5"/>
  <c r="CA49" i="5"/>
  <c r="CA51" i="5"/>
  <c r="CA53" i="5"/>
  <c r="CA56" i="5"/>
  <c r="CA58" i="5"/>
  <c r="CA67" i="5"/>
  <c r="CA68" i="5"/>
  <c r="CA43" i="5"/>
  <c r="CA47" i="5"/>
  <c r="CA52" i="5"/>
  <c r="CA66" i="5"/>
  <c r="CA64" i="5"/>
  <c r="CA45" i="5"/>
  <c r="CA50" i="5"/>
  <c r="CA55" i="5"/>
  <c r="CA57" i="5"/>
  <c r="CA59" i="5"/>
  <c r="CA41" i="5"/>
  <c r="CA34" i="5"/>
  <c r="CA16" i="5"/>
  <c r="CA20" i="5"/>
  <c r="CA25" i="5"/>
  <c r="CA35" i="5"/>
  <c r="CA9" i="5"/>
  <c r="CA11" i="5"/>
  <c r="CA13" i="5"/>
  <c r="CA17" i="5"/>
  <c r="CA22" i="5"/>
  <c r="CA26" i="5"/>
  <c r="CA36" i="5"/>
  <c r="CA32" i="5"/>
  <c r="CA18" i="5"/>
  <c r="CA23" i="5"/>
  <c r="CA8" i="5"/>
  <c r="CA31" i="5"/>
  <c r="CA10" i="5"/>
  <c r="CA12" i="5"/>
  <c r="CA14" i="5"/>
  <c r="CA19" i="5"/>
  <c r="CA24" i="5"/>
  <c r="BZ66" i="5"/>
  <c r="BZ41" i="5"/>
  <c r="BZ43" i="5"/>
  <c r="BZ45" i="5"/>
  <c r="BZ47" i="5"/>
  <c r="BZ50" i="5"/>
  <c r="BZ52" i="5"/>
  <c r="BZ55" i="5"/>
  <c r="BZ67" i="5"/>
  <c r="BZ68" i="5"/>
  <c r="BZ42" i="5"/>
  <c r="BZ46" i="5"/>
  <c r="BZ51" i="5"/>
  <c r="BZ56" i="5"/>
  <c r="BZ57" i="5"/>
  <c r="BZ58" i="5"/>
  <c r="BZ59" i="5"/>
  <c r="BZ64" i="5"/>
  <c r="BZ44" i="5"/>
  <c r="BZ49" i="5"/>
  <c r="BZ53" i="5"/>
  <c r="BZ35" i="5"/>
  <c r="BZ31" i="5"/>
  <c r="BZ9" i="5"/>
  <c r="BZ11" i="5"/>
  <c r="BZ13" i="5"/>
  <c r="BZ17" i="5"/>
  <c r="BZ22" i="5"/>
  <c r="BZ26" i="5"/>
  <c r="BZ34" i="5"/>
  <c r="BZ18" i="5"/>
  <c r="BZ23" i="5"/>
  <c r="BZ10" i="5"/>
  <c r="BZ12" i="5"/>
  <c r="BZ14" i="5"/>
  <c r="BZ19" i="5"/>
  <c r="BZ24" i="5"/>
  <c r="BZ36" i="5"/>
  <c r="BZ32" i="5"/>
  <c r="BZ16" i="5"/>
  <c r="BZ20" i="5"/>
  <c r="BZ25" i="5"/>
  <c r="BZ8" i="5"/>
  <c r="AZ3" i="1"/>
  <c r="DU3" i="1" s="1"/>
  <c r="BY3" i="1"/>
  <c r="ET3" i="1" s="1"/>
  <c r="BY3" i="11"/>
  <c r="BW3" i="11"/>
  <c r="BW3" i="1"/>
  <c r="ER3" i="1" s="1"/>
  <c r="BS3" i="1"/>
  <c r="EN3" i="1" s="1"/>
  <c r="BS3" i="11"/>
  <c r="BK3" i="1"/>
  <c r="EF3" i="1" s="1"/>
  <c r="BK3" i="11"/>
  <c r="BG3" i="1"/>
  <c r="EB3" i="1" s="1"/>
  <c r="BG3" i="11"/>
  <c r="AI3" i="1"/>
  <c r="DD3" i="1" s="1"/>
  <c r="W3" i="1"/>
  <c r="CR3" i="1" s="1"/>
  <c r="BZ3" i="11"/>
  <c r="BZ3" i="1"/>
  <c r="EU3" i="1" s="1"/>
  <c r="BV3" i="11"/>
  <c r="BV3" i="1"/>
  <c r="EQ3" i="1" s="1"/>
  <c r="BR3" i="11"/>
  <c r="BR3" i="1"/>
  <c r="EM3" i="1" s="1"/>
  <c r="BN3" i="11"/>
  <c r="BN3" i="1"/>
  <c r="EI3" i="1" s="1"/>
  <c r="BF3" i="1"/>
  <c r="EA3" i="1" s="1"/>
  <c r="BF3" i="11"/>
  <c r="AP3" i="1"/>
  <c r="DK3" i="1" s="1"/>
  <c r="AL3" i="1"/>
  <c r="DG3" i="1" s="1"/>
  <c r="AH3" i="1"/>
  <c r="DC3" i="1" s="1"/>
  <c r="AD3" i="1"/>
  <c r="CY3" i="1" s="1"/>
  <c r="Z3" i="1"/>
  <c r="CU3" i="1" s="1"/>
  <c r="BQ3" i="11"/>
  <c r="BQ3" i="1"/>
  <c r="EL3" i="1" s="1"/>
  <c r="BM3" i="11"/>
  <c r="BM3" i="1"/>
  <c r="EH3" i="1" s="1"/>
  <c r="BI3" i="11"/>
  <c r="BI3" i="1"/>
  <c r="ED3" i="1" s="1"/>
  <c r="BE3" i="11"/>
  <c r="BE3" i="1"/>
  <c r="DZ3" i="1" s="1"/>
  <c r="AO3" i="1"/>
  <c r="DJ3" i="1" s="1"/>
  <c r="U3" i="1"/>
  <c r="CP3" i="1" s="1"/>
  <c r="BX3" i="1"/>
  <c r="ES3" i="1" s="1"/>
  <c r="BX3" i="11"/>
  <c r="BT3" i="1"/>
  <c r="EO3" i="1" s="1"/>
  <c r="BT3" i="11"/>
  <c r="BL3" i="1"/>
  <c r="EG3" i="1" s="1"/>
  <c r="BL3" i="11"/>
  <c r="BH3" i="11"/>
  <c r="BH3" i="1"/>
  <c r="EC3" i="1" s="1"/>
  <c r="AN3" i="1"/>
  <c r="DI3" i="1" s="1"/>
  <c r="AJ3" i="1"/>
  <c r="DE3" i="1" s="1"/>
  <c r="AF3" i="1"/>
  <c r="DA3" i="1" s="1"/>
  <c r="AB3" i="1"/>
  <c r="CW3" i="1" s="1"/>
  <c r="X3" i="1"/>
  <c r="CS3" i="1" s="1"/>
  <c r="K3" i="1"/>
  <c r="CF3" i="1" s="1"/>
  <c r="M3" i="1"/>
  <c r="CH3" i="1" s="1"/>
  <c r="O3" i="1"/>
  <c r="CJ3" i="1" s="1"/>
  <c r="Q3" i="1"/>
  <c r="CL3" i="1" s="1"/>
  <c r="R3" i="1"/>
  <c r="CM3" i="1" s="1"/>
  <c r="P3" i="1"/>
  <c r="CK3" i="1" s="1"/>
  <c r="N3" i="1"/>
  <c r="CI3" i="1" s="1"/>
  <c r="L3" i="1"/>
  <c r="CG3" i="1" s="1"/>
  <c r="J3" i="1"/>
  <c r="CE3" i="1" s="1"/>
  <c r="I3" i="1"/>
  <c r="CD3" i="1" s="1"/>
  <c r="BJ3" i="1"/>
  <c r="EE3" i="1" s="1"/>
  <c r="BJ3" i="11"/>
  <c r="AM3" i="1"/>
  <c r="DH3" i="1" s="1"/>
  <c r="CA3" i="11"/>
  <c r="CA3" i="1"/>
  <c r="EV3" i="1" s="1"/>
  <c r="BU3" i="1"/>
  <c r="EP3" i="1" s="1"/>
  <c r="BU3" i="11"/>
  <c r="BP3" i="1"/>
  <c r="EK3" i="1" s="1"/>
  <c r="BP3" i="11"/>
  <c r="BO3" i="11"/>
  <c r="BO3" i="1"/>
  <c r="EJ3" i="1" s="1"/>
  <c r="BD3" i="11"/>
  <c r="BD3" i="1"/>
  <c r="DY3" i="1" s="1"/>
  <c r="AQ3" i="1"/>
  <c r="DL3" i="1" s="1"/>
  <c r="AK3" i="1"/>
  <c r="DF3" i="1" s="1"/>
  <c r="AG3" i="1"/>
  <c r="DB3" i="1" s="1"/>
  <c r="AE3" i="1"/>
  <c r="CZ3" i="1" s="1"/>
  <c r="AC3" i="1"/>
  <c r="CX3" i="1" s="1"/>
  <c r="AA3" i="1"/>
  <c r="CV3" i="1" s="1"/>
  <c r="V3" i="1"/>
  <c r="CQ3" i="1" s="1"/>
  <c r="T3" i="1"/>
  <c r="CO3" i="1" s="1"/>
  <c r="S3" i="1"/>
  <c r="CN3" i="1" s="1"/>
  <c r="Y3" i="1"/>
  <c r="CT3" i="1" s="1"/>
  <c r="O47" i="24"/>
  <c r="O46" i="24"/>
  <c r="O45" i="24"/>
  <c r="O44" i="24"/>
  <c r="O43" i="24"/>
  <c r="O42" i="24"/>
  <c r="O41" i="24"/>
  <c r="O40" i="24"/>
  <c r="O39" i="24"/>
  <c r="O38" i="24"/>
  <c r="T20" i="24"/>
  <c r="T18" i="24"/>
  <c r="T16" i="24"/>
  <c r="T15" i="24"/>
  <c r="T14" i="24"/>
  <c r="J38" i="7"/>
  <c r="J86" i="7"/>
  <c r="J87" i="7"/>
  <c r="J89" i="7"/>
  <c r="J46" i="7"/>
  <c r="J47" i="7"/>
  <c r="J48" i="7"/>
  <c r="Q23" i="27" l="1"/>
  <c r="Q28" i="27"/>
  <c r="P28" i="27"/>
  <c r="O28" i="27"/>
  <c r="O23" i="27"/>
  <c r="P30" i="27"/>
  <c r="Q30" i="27"/>
  <c r="P23" i="27"/>
  <c r="R23" i="27"/>
  <c r="O30" i="27"/>
  <c r="R30" i="27"/>
  <c r="Q24" i="27"/>
  <c r="R24" i="27"/>
  <c r="P31" i="27"/>
  <c r="Q31" i="27"/>
  <c r="R31" i="27"/>
  <c r="O24" i="27"/>
  <c r="O31" i="27"/>
  <c r="P24" i="27"/>
  <c r="O29" i="27"/>
  <c r="R29" i="27"/>
  <c r="P29" i="27"/>
  <c r="Q29" i="27"/>
  <c r="O8" i="27"/>
  <c r="Q22" i="27"/>
  <c r="O7" i="27"/>
  <c r="P7" i="27"/>
  <c r="Q7" i="27"/>
  <c r="R7" i="27"/>
  <c r="R8" i="27"/>
  <c r="N8" i="27"/>
  <c r="P8" i="27"/>
  <c r="P22" i="27"/>
  <c r="R22" i="27"/>
  <c r="O22" i="27"/>
  <c r="N7" i="27"/>
  <c r="O20" i="27"/>
  <c r="P26" i="27"/>
  <c r="Q26" i="27"/>
  <c r="R20" i="27"/>
  <c r="P20" i="27"/>
  <c r="Q20" i="27"/>
  <c r="R26" i="27"/>
  <c r="O26" i="27"/>
  <c r="P13" i="27"/>
  <c r="Q14" i="27"/>
  <c r="O14" i="27"/>
  <c r="G46" i="27"/>
  <c r="H46" i="27"/>
  <c r="R14" i="27"/>
  <c r="E46" i="27"/>
  <c r="F46" i="27"/>
  <c r="O13" i="27"/>
  <c r="P14" i="27"/>
  <c r="Q13" i="27"/>
  <c r="R13" i="27"/>
  <c r="J24" i="7"/>
  <c r="J49" i="7"/>
  <c r="J50" i="7"/>
  <c r="J51" i="7"/>
  <c r="J52" i="7"/>
  <c r="J90" i="7"/>
  <c r="J91" i="7"/>
  <c r="J92" i="7"/>
  <c r="J93" i="7"/>
  <c r="J94" i="7"/>
  <c r="J95" i="7"/>
  <c r="J96" i="7"/>
  <c r="J97" i="7"/>
  <c r="P33" i="27" l="1"/>
  <c r="F17" i="27"/>
  <c r="H17" i="27"/>
  <c r="R17" i="27"/>
  <c r="Q33" i="27"/>
  <c r="G17" i="27"/>
  <c r="O17" i="27"/>
  <c r="E17" i="27"/>
  <c r="D84" i="5"/>
  <c r="E84" i="5"/>
  <c r="F84" i="5"/>
  <c r="G84" i="5"/>
  <c r="H84" i="5"/>
  <c r="I84" i="5"/>
  <c r="J84" i="5"/>
  <c r="K84" i="5"/>
  <c r="L84" i="5"/>
  <c r="M84" i="5"/>
  <c r="N84" i="5"/>
  <c r="O84" i="5"/>
  <c r="P84" i="5"/>
  <c r="Q84" i="5"/>
  <c r="R84" i="5"/>
  <c r="S84" i="5"/>
  <c r="T84" i="5"/>
  <c r="U84" i="5"/>
  <c r="V84" i="5"/>
  <c r="W84" i="5"/>
  <c r="X84" i="5"/>
  <c r="Y84" i="5"/>
  <c r="Z84" i="5"/>
  <c r="AA84" i="5"/>
  <c r="AB84" i="5"/>
  <c r="AC84" i="5"/>
  <c r="AD84" i="5"/>
  <c r="AE84" i="5"/>
  <c r="AF84" i="5"/>
  <c r="AG84" i="5"/>
  <c r="AH84" i="5"/>
  <c r="AI84" i="5"/>
  <c r="AJ84" i="5"/>
  <c r="AK84" i="5"/>
  <c r="AL84" i="5"/>
  <c r="AM84" i="5"/>
  <c r="AN84" i="5"/>
  <c r="AO84" i="5"/>
  <c r="AP84" i="5"/>
  <c r="AQ84" i="5"/>
  <c r="AR84" i="5"/>
  <c r="AS84" i="5"/>
  <c r="AT84" i="5"/>
  <c r="AU84" i="5"/>
  <c r="AV84" i="5"/>
  <c r="AW84" i="5"/>
  <c r="AX84" i="5"/>
  <c r="AY84" i="5"/>
  <c r="AZ84" i="5"/>
  <c r="BA84" i="5"/>
  <c r="BB84" i="5"/>
  <c r="BC84" i="5"/>
  <c r="BD84" i="5"/>
  <c r="BE84" i="5"/>
  <c r="BF84" i="5"/>
  <c r="BG84" i="5"/>
  <c r="BH84" i="5"/>
  <c r="BI84" i="5"/>
  <c r="BJ84" i="5"/>
  <c r="BK84" i="5"/>
  <c r="BL84" i="5"/>
  <c r="BM84" i="5"/>
  <c r="BN84" i="5"/>
  <c r="BO84" i="5"/>
  <c r="BP84" i="5"/>
  <c r="BQ84" i="5"/>
  <c r="BR84" i="5"/>
  <c r="BS84" i="5"/>
  <c r="BT84" i="5"/>
  <c r="BU84" i="5"/>
  <c r="BV84" i="5"/>
  <c r="C84" i="5"/>
  <c r="R33" i="27" l="1"/>
  <c r="R46" i="27" s="1"/>
  <c r="O33" i="27"/>
  <c r="O46" i="27" s="1"/>
  <c r="Q17" i="27"/>
  <c r="P17" i="27"/>
  <c r="P46" i="27"/>
  <c r="Q46" i="27"/>
  <c r="AK12" i="23"/>
  <c r="AJ12" i="23"/>
  <c r="AF12" i="23"/>
  <c r="AE12" i="23"/>
  <c r="AA12" i="23"/>
  <c r="Z12" i="23"/>
  <c r="V12" i="23"/>
  <c r="U12" i="23"/>
  <c r="Q12" i="23"/>
  <c r="P12" i="23"/>
  <c r="L12" i="23"/>
  <c r="K12" i="23"/>
  <c r="B19" i="23" l="1"/>
  <c r="A19" i="23"/>
  <c r="Q22" i="24" l="1"/>
  <c r="Q29" i="24" s="1"/>
  <c r="E24" i="24"/>
  <c r="E25" i="24"/>
  <c r="Q50" i="24"/>
  <c r="C21" i="20"/>
  <c r="C19" i="20"/>
  <c r="AL12" i="23"/>
  <c r="R12" i="23"/>
  <c r="G8" i="23"/>
  <c r="G10" i="23" s="1"/>
  <c r="M8" i="23"/>
  <c r="R8" i="23"/>
  <c r="W8" i="23"/>
  <c r="AB8" i="23"/>
  <c r="AG8" i="23"/>
  <c r="AL8" i="23"/>
  <c r="M9" i="23"/>
  <c r="R9" i="23"/>
  <c r="W9" i="23"/>
  <c r="AB9" i="23"/>
  <c r="AG9" i="23"/>
  <c r="AL9" i="23"/>
  <c r="F26" i="23"/>
  <c r="K10" i="23"/>
  <c r="L10" i="23"/>
  <c r="P10" i="23"/>
  <c r="Q10" i="23"/>
  <c r="U10" i="23"/>
  <c r="V10" i="23"/>
  <c r="Z10" i="23"/>
  <c r="AA10" i="23"/>
  <c r="AE10" i="23"/>
  <c r="AF10" i="23"/>
  <c r="AJ10" i="23"/>
  <c r="AK10" i="23"/>
  <c r="AG12" i="23"/>
  <c r="G18" i="23"/>
  <c r="D26" i="19"/>
  <c r="BU26" i="19"/>
  <c r="BU27" i="19" s="1"/>
  <c r="BU25" i="19" s="1"/>
  <c r="BT26" i="19"/>
  <c r="BT27" i="19" s="1"/>
  <c r="BS26" i="19"/>
  <c r="BS27" i="19" s="1"/>
  <c r="BR26" i="19"/>
  <c r="BR27" i="19" s="1"/>
  <c r="BQ26" i="19"/>
  <c r="BQ27" i="19" s="1"/>
  <c r="BQ25" i="19" s="1"/>
  <c r="BP26" i="19"/>
  <c r="BP27" i="19" s="1"/>
  <c r="BO26" i="19"/>
  <c r="BO27" i="19" s="1"/>
  <c r="BN26" i="19"/>
  <c r="BN27" i="19" s="1"/>
  <c r="BM26" i="19"/>
  <c r="BM27" i="19" s="1"/>
  <c r="BL26" i="19"/>
  <c r="BL27" i="19" s="1"/>
  <c r="BK26" i="19"/>
  <c r="BJ26" i="19"/>
  <c r="BJ27" i="19" s="1"/>
  <c r="BI26" i="19"/>
  <c r="BI27" i="19" s="1"/>
  <c r="BI25" i="19" s="1"/>
  <c r="BH26" i="19"/>
  <c r="BH27" i="19" s="1"/>
  <c r="BG26" i="19"/>
  <c r="BG27" i="19" s="1"/>
  <c r="BG25" i="19" s="1"/>
  <c r="BF26" i="19"/>
  <c r="BE26" i="19"/>
  <c r="BE27" i="19" s="1"/>
  <c r="BD26" i="19"/>
  <c r="BD27" i="19" s="1"/>
  <c r="BC26" i="19"/>
  <c r="BC27" i="19" s="1"/>
  <c r="BC25" i="19" s="1"/>
  <c r="BB26" i="19"/>
  <c r="BB27" i="19" s="1"/>
  <c r="BA26" i="19"/>
  <c r="BA27" i="19" s="1"/>
  <c r="AZ26" i="19"/>
  <c r="AZ27" i="19" s="1"/>
  <c r="AZ25" i="19" s="1"/>
  <c r="AY26" i="19"/>
  <c r="AY27" i="19" s="1"/>
  <c r="AX26" i="19"/>
  <c r="AX27" i="19" s="1"/>
  <c r="AW26" i="19"/>
  <c r="AW27" i="19" s="1"/>
  <c r="AW25" i="19" s="1"/>
  <c r="AX25" i="19" s="1"/>
  <c r="AV26" i="19"/>
  <c r="AV27" i="19" s="1"/>
  <c r="AU26" i="19"/>
  <c r="AT26" i="19"/>
  <c r="AT27" i="19" s="1"/>
  <c r="AT25" i="19" s="1"/>
  <c r="AS26" i="19"/>
  <c r="AS27" i="19" s="1"/>
  <c r="AS25" i="19" s="1"/>
  <c r="AR26" i="19"/>
  <c r="AR27" i="19" s="1"/>
  <c r="AQ26" i="19"/>
  <c r="AQ27" i="19" s="1"/>
  <c r="AQ25" i="19" s="1"/>
  <c r="AP26" i="19"/>
  <c r="AP27" i="19" s="1"/>
  <c r="AO26" i="19"/>
  <c r="AO27" i="19" s="1"/>
  <c r="AO25" i="19" s="1"/>
  <c r="AN26" i="19"/>
  <c r="AN27" i="19" s="1"/>
  <c r="AM26" i="19"/>
  <c r="AM27" i="19" s="1"/>
  <c r="AL26" i="19"/>
  <c r="AL27" i="19" s="1"/>
  <c r="AK26" i="19"/>
  <c r="AK27" i="19" s="1"/>
  <c r="AK25" i="19" s="1"/>
  <c r="AJ26" i="19"/>
  <c r="AJ27" i="19" s="1"/>
  <c r="AJ25" i="19" s="1"/>
  <c r="AI26" i="19"/>
  <c r="AI27" i="19" s="1"/>
  <c r="AH26" i="19"/>
  <c r="AH27" i="19" s="1"/>
  <c r="AG26" i="19"/>
  <c r="AF26" i="19"/>
  <c r="AF27" i="19" s="1"/>
  <c r="AE26" i="19"/>
  <c r="AE27" i="19" s="1"/>
  <c r="AE25" i="19" s="1"/>
  <c r="AD26" i="19"/>
  <c r="AD27" i="19" s="1"/>
  <c r="AC26" i="19"/>
  <c r="AC27" i="19" s="1"/>
  <c r="AC25" i="19" s="1"/>
  <c r="AB26" i="19"/>
  <c r="AB27" i="19" s="1"/>
  <c r="AA26" i="19"/>
  <c r="AA27" i="19" s="1"/>
  <c r="Z26" i="19"/>
  <c r="Z27" i="19" s="1"/>
  <c r="Y26" i="19"/>
  <c r="Y27" i="19" s="1"/>
  <c r="Y25" i="19" s="1"/>
  <c r="Z25" i="19" s="1"/>
  <c r="X26" i="19"/>
  <c r="X27" i="19" s="1"/>
  <c r="W26" i="19"/>
  <c r="W27" i="19" s="1"/>
  <c r="V26" i="19"/>
  <c r="V27" i="19" s="1"/>
  <c r="U26" i="19"/>
  <c r="U27" i="19" s="1"/>
  <c r="T26" i="19"/>
  <c r="T27" i="19" s="1"/>
  <c r="S26" i="19"/>
  <c r="S27" i="19" s="1"/>
  <c r="R26" i="19"/>
  <c r="Q26" i="19"/>
  <c r="P26" i="19"/>
  <c r="P27" i="19" s="1"/>
  <c r="O26" i="19"/>
  <c r="N26" i="19"/>
  <c r="N27" i="19" s="1"/>
  <c r="M26" i="19"/>
  <c r="L26" i="19"/>
  <c r="L27" i="19" s="1"/>
  <c r="K26" i="19"/>
  <c r="J26" i="19"/>
  <c r="I26" i="19"/>
  <c r="H26" i="19"/>
  <c r="G26" i="19"/>
  <c r="G27" i="19" s="1"/>
  <c r="F26" i="19"/>
  <c r="F27" i="19" s="1"/>
  <c r="E26" i="19"/>
  <c r="C26" i="19"/>
  <c r="B34" i="19"/>
  <c r="B61" i="19"/>
  <c r="D61" i="19" s="1"/>
  <c r="K27" i="19" l="1"/>
  <c r="C27" i="19"/>
  <c r="C25" i="19" s="1"/>
  <c r="C34" i="19"/>
  <c r="D34" i="19" s="1"/>
  <c r="E34" i="19" s="1"/>
  <c r="F34" i="19" s="1"/>
  <c r="I30" i="23" s="1"/>
  <c r="I34" i="23" s="1"/>
  <c r="O27" i="19"/>
  <c r="M27" i="19"/>
  <c r="M42" i="27"/>
  <c r="S42" i="27" s="1"/>
  <c r="M41" i="27"/>
  <c r="S41" i="27" s="1"/>
  <c r="AL25" i="19"/>
  <c r="E27" i="19"/>
  <c r="J27" i="19"/>
  <c r="AB10" i="23"/>
  <c r="R27" i="19"/>
  <c r="D27" i="19"/>
  <c r="I27" i="19"/>
  <c r="Q27" i="19"/>
  <c r="AG27" i="19"/>
  <c r="AG25" i="19" s="1"/>
  <c r="AU27" i="19"/>
  <c r="BF27" i="19"/>
  <c r="BF25" i="19" s="1"/>
  <c r="BK27" i="19"/>
  <c r="BK25" i="19" s="1"/>
  <c r="H27" i="19"/>
  <c r="W10" i="23"/>
  <c r="AG10" i="23"/>
  <c r="M10" i="23"/>
  <c r="R10" i="23"/>
  <c r="AL10" i="23"/>
  <c r="G26" i="23"/>
  <c r="C61" i="19"/>
  <c r="F61" i="19"/>
  <c r="E61" i="19"/>
  <c r="E30" i="23"/>
  <c r="E34" i="23" s="1"/>
  <c r="M12" i="23"/>
  <c r="AB12" i="23"/>
  <c r="W12" i="23"/>
  <c r="E26" i="23"/>
  <c r="D25" i="19" l="1"/>
  <c r="E25" i="19" s="1"/>
  <c r="F25" i="19" s="1"/>
  <c r="G25" i="19" s="1"/>
  <c r="H25" i="19" s="1"/>
  <c r="I25" i="19" s="1"/>
  <c r="J25" i="19" s="1"/>
  <c r="K25" i="19" s="1"/>
  <c r="L25" i="19" s="1"/>
  <c r="M25" i="19" s="1"/>
  <c r="N25" i="19" s="1"/>
  <c r="O25" i="19" s="1"/>
  <c r="P25" i="19" s="1"/>
  <c r="Q25" i="19" s="1"/>
  <c r="R25" i="19" s="1"/>
  <c r="S25" i="19" s="1"/>
  <c r="T25" i="19" s="1"/>
  <c r="U25" i="19" s="1"/>
  <c r="V25" i="19" s="1"/>
  <c r="W25" i="19" s="1"/>
  <c r="G30" i="23"/>
  <c r="G34" i="23" s="1"/>
  <c r="H30" i="23"/>
  <c r="H34" i="23" s="1"/>
  <c r="F30" i="23"/>
  <c r="F34" i="23" s="1"/>
  <c r="S43" i="27"/>
  <c r="M43" i="27"/>
  <c r="BY16" i="5" l="1"/>
  <c r="BY52" i="5"/>
  <c r="BY49" i="5"/>
  <c r="BY19" i="5"/>
  <c r="BY50" i="5"/>
  <c r="BY17" i="5"/>
  <c r="BY51" i="5"/>
  <c r="BY18" i="5"/>
  <c r="BW16" i="5"/>
  <c r="BW17" i="5"/>
  <c r="BW18" i="5"/>
  <c r="BW19" i="5"/>
  <c r="BW50" i="5"/>
  <c r="BW51" i="5"/>
  <c r="BW52" i="5"/>
  <c r="BW49" i="5"/>
  <c r="BY20" i="5" l="1"/>
  <c r="BY53" i="5"/>
  <c r="BW20" i="5"/>
  <c r="BW53" i="5"/>
  <c r="CI6" i="11" l="1"/>
  <c r="CI7" i="11"/>
  <c r="CI8" i="11"/>
  <c r="CI10" i="11"/>
  <c r="CI11" i="11"/>
  <c r="CI12" i="11"/>
  <c r="CI14" i="11"/>
  <c r="CI15" i="11"/>
  <c r="CI16" i="11"/>
  <c r="CI18" i="11"/>
  <c r="CI19" i="11"/>
  <c r="CI20" i="11"/>
  <c r="CI22" i="11"/>
  <c r="CI23" i="11"/>
  <c r="CI24" i="11"/>
  <c r="CI26" i="11"/>
  <c r="CI27" i="11"/>
  <c r="CI28" i="11"/>
  <c r="CI30" i="11"/>
  <c r="CI31" i="11"/>
  <c r="CI32" i="11"/>
  <c r="CI34" i="11"/>
  <c r="CI35" i="11"/>
  <c r="CI36" i="11"/>
  <c r="CI38" i="11"/>
  <c r="CI39" i="11"/>
  <c r="CI40" i="11"/>
  <c r="CI42" i="11"/>
  <c r="CI43" i="11"/>
  <c r="CI44" i="11"/>
  <c r="CI45" i="11"/>
  <c r="CI46" i="11"/>
  <c r="CI47" i="11"/>
  <c r="CI48" i="11"/>
  <c r="CI50" i="11"/>
  <c r="CI51" i="11"/>
  <c r="CI52" i="11"/>
  <c r="CI54" i="11"/>
  <c r="CI55" i="11"/>
  <c r="CI56" i="11"/>
  <c r="CI58" i="11"/>
  <c r="CI59" i="11"/>
  <c r="CI60" i="11"/>
  <c r="CI62" i="11"/>
  <c r="CI63" i="11"/>
  <c r="CI64" i="11"/>
  <c r="CI66" i="11"/>
  <c r="CI67" i="11"/>
  <c r="CI68" i="11"/>
  <c r="CI69" i="11"/>
  <c r="CI70" i="11"/>
  <c r="CI71" i="11"/>
  <c r="CI72" i="11"/>
  <c r="CI73" i="11"/>
  <c r="CI74" i="11"/>
  <c r="CI75" i="11"/>
  <c r="CI76" i="11"/>
  <c r="CI77" i="11"/>
  <c r="CI78" i="11"/>
  <c r="CI79" i="11"/>
  <c r="CI80" i="11"/>
  <c r="CI81" i="11"/>
  <c r="CI82" i="11"/>
  <c r="CI83" i="11"/>
  <c r="CI84" i="11"/>
  <c r="CI85" i="11"/>
  <c r="CI86" i="11"/>
  <c r="CI87" i="11"/>
  <c r="CI88" i="11"/>
  <c r="CI89" i="11"/>
  <c r="CI90" i="11"/>
  <c r="CI91" i="11"/>
  <c r="CI92" i="11"/>
  <c r="CI93" i="11"/>
  <c r="CI94" i="11"/>
  <c r="CI95" i="11"/>
  <c r="CI96" i="11"/>
  <c r="CI97" i="11"/>
  <c r="CI98" i="11"/>
  <c r="CI99" i="11"/>
  <c r="CI100" i="11"/>
  <c r="CI101" i="11"/>
  <c r="CI102" i="11"/>
  <c r="CI103" i="11"/>
  <c r="CI104" i="11"/>
  <c r="CI105" i="11"/>
  <c r="CI106" i="11"/>
  <c r="CI107" i="11"/>
  <c r="CI108" i="11"/>
  <c r="CI109" i="11"/>
  <c r="CI110" i="11"/>
  <c r="CI111" i="11"/>
  <c r="CI112" i="11"/>
  <c r="CI113" i="11"/>
  <c r="CI114" i="11"/>
  <c r="CI115" i="11"/>
  <c r="CI116" i="11"/>
  <c r="CI117" i="11"/>
  <c r="CI118" i="11"/>
  <c r="CI119" i="11"/>
  <c r="CI120" i="11"/>
  <c r="CI121" i="11"/>
  <c r="CI122" i="11"/>
  <c r="CI123" i="11"/>
  <c r="CI124" i="11"/>
  <c r="CI125" i="11"/>
  <c r="CI126" i="11"/>
  <c r="CI127" i="11"/>
  <c r="CI128" i="11"/>
  <c r="CI129" i="11"/>
  <c r="CI130" i="11"/>
  <c r="CI131" i="11"/>
  <c r="CI132" i="11"/>
  <c r="CI133" i="11"/>
  <c r="CI134" i="11"/>
  <c r="CI135" i="11"/>
  <c r="CI136" i="11"/>
  <c r="CI137" i="11"/>
  <c r="CI138" i="11"/>
  <c r="CI139" i="11"/>
  <c r="CI140" i="11"/>
  <c r="CI141" i="11"/>
  <c r="CI142" i="11"/>
  <c r="CI143" i="11"/>
  <c r="CI144" i="11"/>
  <c r="CI145" i="11"/>
  <c r="CI146" i="11"/>
  <c r="CI147" i="11"/>
  <c r="CI148" i="11"/>
  <c r="CI149" i="11"/>
  <c r="CI150" i="11"/>
  <c r="CI151" i="11"/>
  <c r="CI152" i="11"/>
  <c r="CI153" i="11"/>
  <c r="CI154" i="11"/>
  <c r="CI155" i="11"/>
  <c r="CI156" i="11"/>
  <c r="CI157" i="11"/>
  <c r="CI158" i="11"/>
  <c r="CI159" i="11"/>
  <c r="CI160" i="11"/>
  <c r="CI161" i="11"/>
  <c r="CI162" i="11"/>
  <c r="CI163" i="11"/>
  <c r="CI164" i="11"/>
  <c r="CI165" i="11"/>
  <c r="CI166" i="11"/>
  <c r="CI167" i="11"/>
  <c r="CI29" i="11" l="1"/>
  <c r="CI61" i="11"/>
  <c r="CI13" i="11"/>
  <c r="CI9" i="11"/>
  <c r="CI21" i="11"/>
  <c r="CI37" i="11"/>
  <c r="CI53" i="11"/>
  <c r="CI25" i="11"/>
  <c r="CI41" i="11"/>
  <c r="CI57" i="11"/>
  <c r="CI17" i="11"/>
  <c r="CI33" i="11"/>
  <c r="CI49" i="11"/>
  <c r="CI65" i="11"/>
  <c r="CI5" i="11"/>
  <c r="BZ179" i="11"/>
  <c r="BY179" i="11"/>
  <c r="BV179" i="11"/>
  <c r="BU179" i="11"/>
  <c r="BR179" i="11"/>
  <c r="BQ179" i="11"/>
  <c r="BN179" i="11"/>
  <c r="BM179" i="11"/>
  <c r="BJ179" i="11"/>
  <c r="BI179" i="11"/>
  <c r="BF179" i="11"/>
  <c r="BE179" i="11"/>
  <c r="BB179" i="11"/>
  <c r="BA179" i="11"/>
  <c r="AX179" i="11"/>
  <c r="AW179" i="11"/>
  <c r="AT179" i="11"/>
  <c r="AS179" i="11"/>
  <c r="AP179" i="11"/>
  <c r="AO179" i="11"/>
  <c r="AL179" i="11"/>
  <c r="AK179" i="11"/>
  <c r="AH179" i="11"/>
  <c r="AG179" i="11"/>
  <c r="AD179" i="11"/>
  <c r="AC179" i="11"/>
  <c r="Z179" i="11"/>
  <c r="Y179" i="11"/>
  <c r="V179" i="11"/>
  <c r="U179" i="11"/>
  <c r="R179" i="11"/>
  <c r="Q179" i="11"/>
  <c r="N179" i="11"/>
  <c r="M179" i="11"/>
  <c r="J179" i="11"/>
  <c r="I179" i="11"/>
  <c r="BX179" i="11"/>
  <c r="BY178" i="11"/>
  <c r="BX178" i="11"/>
  <c r="BV178" i="11"/>
  <c r="BU178" i="11"/>
  <c r="BT178" i="11"/>
  <c r="BR178" i="11"/>
  <c r="BQ178" i="11"/>
  <c r="BP178" i="11"/>
  <c r="BN178" i="11"/>
  <c r="BM178" i="11"/>
  <c r="BL178" i="11"/>
  <c r="BJ178" i="11"/>
  <c r="BI178" i="11"/>
  <c r="BH178" i="11"/>
  <c r="BF178" i="11"/>
  <c r="BE178" i="11"/>
  <c r="BD178" i="11"/>
  <c r="BB178" i="11"/>
  <c r="BA178" i="11"/>
  <c r="AZ178" i="11"/>
  <c r="AX178" i="11"/>
  <c r="AW178" i="11"/>
  <c r="AV178" i="11"/>
  <c r="AT178" i="11"/>
  <c r="AS178" i="11"/>
  <c r="AR178" i="11"/>
  <c r="AP178" i="11"/>
  <c r="AO178" i="11"/>
  <c r="AN178" i="11"/>
  <c r="AL178" i="11"/>
  <c r="AK178" i="11"/>
  <c r="AJ178" i="11"/>
  <c r="AH178" i="11"/>
  <c r="AG178" i="11"/>
  <c r="AF178" i="11"/>
  <c r="AD178" i="11"/>
  <c r="AC178" i="11"/>
  <c r="AB178" i="11"/>
  <c r="Z178" i="11"/>
  <c r="Y178" i="11"/>
  <c r="X178" i="11"/>
  <c r="V178" i="11"/>
  <c r="U178" i="11"/>
  <c r="T178" i="11"/>
  <c r="R178" i="11"/>
  <c r="Q178" i="11"/>
  <c r="P178" i="11"/>
  <c r="N178" i="11"/>
  <c r="M178" i="11"/>
  <c r="L178" i="11"/>
  <c r="J178" i="11"/>
  <c r="I178" i="11"/>
  <c r="H178" i="11"/>
  <c r="CA178" i="11"/>
  <c r="BZ178" i="11" l="1"/>
  <c r="K179" i="11"/>
  <c r="O179" i="11"/>
  <c r="S179" i="11"/>
  <c r="W179" i="11"/>
  <c r="AA179" i="11"/>
  <c r="AE179" i="11"/>
  <c r="AI179" i="11"/>
  <c r="AM179" i="11"/>
  <c r="AQ179" i="11"/>
  <c r="AU179" i="11"/>
  <c r="AY179" i="11"/>
  <c r="BC179" i="11"/>
  <c r="BG179" i="11"/>
  <c r="BK179" i="11"/>
  <c r="BO179" i="11"/>
  <c r="BS179" i="11"/>
  <c r="BW179" i="11"/>
  <c r="CA179" i="11"/>
  <c r="K178" i="11"/>
  <c r="O178" i="11"/>
  <c r="S178" i="11"/>
  <c r="W178" i="11"/>
  <c r="AA178" i="11"/>
  <c r="AE178" i="11"/>
  <c r="AI178" i="11"/>
  <c r="AM178" i="11"/>
  <c r="AQ178" i="11"/>
  <c r="AU178" i="11"/>
  <c r="AY178" i="11"/>
  <c r="BC178" i="11"/>
  <c r="BG178" i="11"/>
  <c r="BK178" i="11"/>
  <c r="BO178" i="11"/>
  <c r="BS178" i="11"/>
  <c r="BW178" i="11"/>
  <c r="H179" i="11"/>
  <c r="L179" i="11"/>
  <c r="P179" i="11"/>
  <c r="T179" i="11"/>
  <c r="X179" i="11"/>
  <c r="AB179" i="11"/>
  <c r="AF179" i="11"/>
  <c r="AJ179" i="11"/>
  <c r="AN179" i="11"/>
  <c r="AR179" i="11"/>
  <c r="AV179" i="11"/>
  <c r="AZ179" i="11"/>
  <c r="BD179" i="11"/>
  <c r="BH179" i="11"/>
  <c r="BL179" i="11"/>
  <c r="BP179" i="11"/>
  <c r="BT179" i="11"/>
  <c r="CB178" i="11" l="1"/>
  <c r="DA179" i="11"/>
  <c r="CB179" i="11"/>
  <c r="DA178" i="11"/>
  <c r="DA176" i="11"/>
  <c r="DA185" i="11"/>
  <c r="DA6" i="11"/>
  <c r="DA7" i="11"/>
  <c r="DA8" i="11"/>
  <c r="DA9" i="11"/>
  <c r="DA10" i="11"/>
  <c r="DA11" i="11"/>
  <c r="DA12" i="11"/>
  <c r="DA13" i="11"/>
  <c r="DA14" i="11"/>
  <c r="DA15" i="11"/>
  <c r="DA16" i="11"/>
  <c r="DA17" i="11"/>
  <c r="DA18" i="11"/>
  <c r="DA19" i="11"/>
  <c r="DA20" i="11"/>
  <c r="DA21" i="11"/>
  <c r="DA22" i="11"/>
  <c r="DA23" i="11"/>
  <c r="DA24" i="11"/>
  <c r="DA25" i="11"/>
  <c r="DA26" i="11"/>
  <c r="DA27" i="11"/>
  <c r="DA28" i="11"/>
  <c r="DA29" i="11"/>
  <c r="DA30" i="11"/>
  <c r="DA31" i="11"/>
  <c r="DA32" i="11"/>
  <c r="DA33" i="11"/>
  <c r="DA34" i="11"/>
  <c r="DA35" i="11"/>
  <c r="DA36" i="11"/>
  <c r="DA37" i="11"/>
  <c r="DA38" i="11"/>
  <c r="DA39" i="11"/>
  <c r="DA40" i="11"/>
  <c r="DA41" i="11"/>
  <c r="DA42" i="11"/>
  <c r="DA43" i="11"/>
  <c r="DA44" i="11"/>
  <c r="DA45" i="11"/>
  <c r="DA46" i="11"/>
  <c r="DA47" i="11"/>
  <c r="DA48" i="11"/>
  <c r="DA49" i="11"/>
  <c r="DA50" i="11"/>
  <c r="DA51" i="11"/>
  <c r="DA52" i="11"/>
  <c r="DA53" i="11"/>
  <c r="DA54" i="11"/>
  <c r="DA55" i="11"/>
  <c r="DA56" i="11"/>
  <c r="DA57" i="11"/>
  <c r="DA58" i="11"/>
  <c r="DA59" i="11"/>
  <c r="DA60" i="11"/>
  <c r="DA61" i="11"/>
  <c r="DA62" i="11"/>
  <c r="DA63" i="11"/>
  <c r="DA64" i="11"/>
  <c r="DA65" i="11"/>
  <c r="DA66" i="11"/>
  <c r="DA67" i="11"/>
  <c r="DA68" i="11"/>
  <c r="DA69" i="11"/>
  <c r="DA70" i="11"/>
  <c r="DA71" i="11"/>
  <c r="DA72" i="11"/>
  <c r="DA73" i="11"/>
  <c r="DA74" i="11"/>
  <c r="DA75" i="11"/>
  <c r="DA76" i="11"/>
  <c r="DA77" i="11"/>
  <c r="DA78" i="11"/>
  <c r="DA79" i="11"/>
  <c r="DA80" i="11"/>
  <c r="DA81" i="11"/>
  <c r="DA82" i="11"/>
  <c r="DA83" i="11"/>
  <c r="DA84" i="11"/>
  <c r="DA85" i="11"/>
  <c r="DA86" i="11"/>
  <c r="DA87" i="11"/>
  <c r="DA88" i="11"/>
  <c r="DA89" i="11"/>
  <c r="DA90" i="11"/>
  <c r="DA91" i="11"/>
  <c r="DA92" i="11"/>
  <c r="DA93" i="11"/>
  <c r="DA94" i="11"/>
  <c r="DA95" i="11"/>
  <c r="DA96" i="11"/>
  <c r="DA97" i="11"/>
  <c r="DA98" i="11"/>
  <c r="DA99" i="11"/>
  <c r="DA100" i="11"/>
  <c r="DA101" i="11"/>
  <c r="DA102" i="11"/>
  <c r="DA103" i="11"/>
  <c r="DA104" i="11"/>
  <c r="DA105" i="11"/>
  <c r="DA106" i="11"/>
  <c r="DA107" i="11"/>
  <c r="DA108" i="11"/>
  <c r="DA109" i="11"/>
  <c r="DA110" i="11"/>
  <c r="DA111" i="11"/>
  <c r="DA112" i="11"/>
  <c r="DA113" i="11"/>
  <c r="DA114" i="11"/>
  <c r="DA115" i="11"/>
  <c r="DA116" i="11"/>
  <c r="DA117" i="11"/>
  <c r="DA118" i="11"/>
  <c r="DA119" i="11"/>
  <c r="DA120" i="11"/>
  <c r="DA121" i="11"/>
  <c r="DA122" i="11"/>
  <c r="DA123" i="11"/>
  <c r="DA124" i="11"/>
  <c r="DA125" i="11"/>
  <c r="DA126" i="11"/>
  <c r="DA127" i="11"/>
  <c r="DA128" i="11"/>
  <c r="DA129" i="11"/>
  <c r="DA130" i="11"/>
  <c r="DA131" i="11"/>
  <c r="DA132" i="11"/>
  <c r="DA133" i="11"/>
  <c r="DA134" i="11"/>
  <c r="DA135" i="11"/>
  <c r="DA136" i="11"/>
  <c r="DA137" i="11"/>
  <c r="DA138" i="11"/>
  <c r="DA139" i="11"/>
  <c r="DA140" i="11"/>
  <c r="DA141" i="11"/>
  <c r="DA142" i="11"/>
  <c r="DA143" i="11"/>
  <c r="DA144" i="11"/>
  <c r="DA145" i="11"/>
  <c r="DA146" i="11"/>
  <c r="DA147" i="11"/>
  <c r="DA148" i="11"/>
  <c r="DA149" i="11"/>
  <c r="DA150" i="11"/>
  <c r="DA151" i="11"/>
  <c r="DA152" i="11"/>
  <c r="DA153" i="11"/>
  <c r="DA154" i="11"/>
  <c r="DA155" i="11"/>
  <c r="DA156" i="11"/>
  <c r="DA157" i="11"/>
  <c r="DA158" i="11"/>
  <c r="DA159" i="11"/>
  <c r="DA160" i="11"/>
  <c r="DA161" i="11"/>
  <c r="DA162" i="11"/>
  <c r="DA163" i="11"/>
  <c r="DA164" i="11"/>
  <c r="DA165" i="11"/>
  <c r="DA166" i="11"/>
  <c r="DA167" i="11"/>
  <c r="DA5" i="11"/>
  <c r="CM166" i="11" l="1"/>
  <c r="CM162" i="11"/>
  <c r="CM158" i="11"/>
  <c r="CM154" i="11"/>
  <c r="CM150" i="11"/>
  <c r="CM146" i="11"/>
  <c r="CM142" i="11"/>
  <c r="CM138" i="11"/>
  <c r="CM134" i="11"/>
  <c r="CM130" i="11"/>
  <c r="CM126" i="11"/>
  <c r="CM122" i="11"/>
  <c r="CM118" i="11"/>
  <c r="CM114" i="11"/>
  <c r="CM110" i="11"/>
  <c r="CM106" i="11"/>
  <c r="CM102" i="11"/>
  <c r="CM98" i="11"/>
  <c r="CM94" i="11"/>
  <c r="CM90" i="11"/>
  <c r="CM86" i="11"/>
  <c r="CM82" i="11"/>
  <c r="CM78" i="11"/>
  <c r="CM74" i="11"/>
  <c r="CM70" i="11"/>
  <c r="CM66" i="11"/>
  <c r="CM62" i="11"/>
  <c r="CM58" i="11"/>
  <c r="CM54" i="11"/>
  <c r="CM50" i="11"/>
  <c r="CM46" i="11"/>
  <c r="CM42" i="11"/>
  <c r="CM38" i="11"/>
  <c r="CM34" i="11"/>
  <c r="CM30" i="11"/>
  <c r="CM26" i="11"/>
  <c r="CM22" i="11"/>
  <c r="CM18" i="11"/>
  <c r="CM14" i="11"/>
  <c r="CM10" i="11"/>
  <c r="CM6" i="11"/>
  <c r="CQ5" i="11"/>
  <c r="CQ164" i="11"/>
  <c r="CQ160" i="11"/>
  <c r="CQ156" i="11"/>
  <c r="CQ152" i="11"/>
  <c r="CQ148" i="11"/>
  <c r="CQ144" i="11"/>
  <c r="CQ140" i="11"/>
  <c r="CQ136" i="11"/>
  <c r="CQ132" i="11"/>
  <c r="CQ128" i="11"/>
  <c r="CQ124" i="11"/>
  <c r="CQ120" i="11"/>
  <c r="CQ116" i="11"/>
  <c r="CQ112" i="11"/>
  <c r="CQ108" i="11"/>
  <c r="CQ104" i="11"/>
  <c r="CQ100" i="11"/>
  <c r="CQ96" i="11"/>
  <c r="CQ92" i="11"/>
  <c r="CQ88" i="11"/>
  <c r="CQ84" i="11"/>
  <c r="CQ80" i="11"/>
  <c r="CQ76" i="11"/>
  <c r="CQ72" i="11"/>
  <c r="CQ68" i="11"/>
  <c r="CQ64" i="11"/>
  <c r="CQ60" i="11"/>
  <c r="CQ56" i="11"/>
  <c r="CQ52" i="11"/>
  <c r="CQ48" i="11"/>
  <c r="CQ44" i="11"/>
  <c r="CQ40" i="11"/>
  <c r="CQ36" i="11"/>
  <c r="CQ32" i="11"/>
  <c r="CQ28" i="11"/>
  <c r="CQ24" i="11"/>
  <c r="CQ20" i="11"/>
  <c r="CQ16" i="11"/>
  <c r="CQ12" i="11"/>
  <c r="CQ8" i="11"/>
  <c r="CU166" i="11"/>
  <c r="CU162" i="11"/>
  <c r="CU158" i="11"/>
  <c r="CU154" i="11"/>
  <c r="CU150" i="11"/>
  <c r="CU146" i="11"/>
  <c r="CU142" i="11"/>
  <c r="CU138" i="11"/>
  <c r="CU134" i="11"/>
  <c r="CU130" i="11"/>
  <c r="CU126" i="11"/>
  <c r="CU122" i="11"/>
  <c r="CU118" i="11"/>
  <c r="CU114" i="11"/>
  <c r="CU110" i="11"/>
  <c r="CU106" i="11"/>
  <c r="CU102" i="11"/>
  <c r="CU98" i="11"/>
  <c r="CU94" i="11"/>
  <c r="CU90" i="11"/>
  <c r="CU86" i="11"/>
  <c r="CU82" i="11"/>
  <c r="CU78" i="11"/>
  <c r="CU74" i="11"/>
  <c r="CU70" i="11"/>
  <c r="CU66" i="11"/>
  <c r="CU62" i="11"/>
  <c r="CU58" i="11"/>
  <c r="CU54" i="11"/>
  <c r="CU50" i="11"/>
  <c r="CU46" i="11"/>
  <c r="CU42" i="11"/>
  <c r="CU38" i="11"/>
  <c r="CU34" i="11"/>
  <c r="CU30" i="11"/>
  <c r="CU26" i="11"/>
  <c r="CU22" i="11"/>
  <c r="CU18" i="11"/>
  <c r="CU14" i="11"/>
  <c r="CU10" i="11"/>
  <c r="CU6" i="11"/>
  <c r="CM165" i="11"/>
  <c r="CM161" i="11"/>
  <c r="CM157" i="11"/>
  <c r="CM153" i="11"/>
  <c r="CM149" i="11"/>
  <c r="CM145" i="11"/>
  <c r="CM141" i="11"/>
  <c r="CM137" i="11"/>
  <c r="CM133" i="11"/>
  <c r="CM129" i="11"/>
  <c r="CM125" i="11"/>
  <c r="CM121" i="11"/>
  <c r="CM117" i="11"/>
  <c r="CM113" i="11"/>
  <c r="CM109" i="11"/>
  <c r="CM105" i="11"/>
  <c r="CM101" i="11"/>
  <c r="CM97" i="11"/>
  <c r="CM93" i="11"/>
  <c r="CM89" i="11"/>
  <c r="CM85" i="11"/>
  <c r="CM81" i="11"/>
  <c r="CM77" i="11"/>
  <c r="CM73" i="11"/>
  <c r="CM69" i="11"/>
  <c r="CM65" i="11"/>
  <c r="CM61" i="11"/>
  <c r="CM57" i="11"/>
  <c r="CM53" i="11"/>
  <c r="CM49" i="11"/>
  <c r="CM45" i="11"/>
  <c r="CM41" i="11"/>
  <c r="CM37" i="11"/>
  <c r="CM33" i="11"/>
  <c r="CM29" i="11"/>
  <c r="CM25" i="11"/>
  <c r="CM21" i="11"/>
  <c r="CM17" i="11"/>
  <c r="CM13" i="11"/>
  <c r="CM9" i="11"/>
  <c r="CQ167" i="11"/>
  <c r="CQ163" i="11"/>
  <c r="CQ159" i="11"/>
  <c r="CQ155" i="11"/>
  <c r="CQ151" i="11"/>
  <c r="CQ147" i="11"/>
  <c r="CQ143" i="11"/>
  <c r="CQ139" i="11"/>
  <c r="CQ135" i="11"/>
  <c r="CQ131" i="11"/>
  <c r="CQ127" i="11"/>
  <c r="CQ123" i="11"/>
  <c r="CQ119" i="11"/>
  <c r="CQ115" i="11"/>
  <c r="CQ111" i="11"/>
  <c r="CQ107" i="11"/>
  <c r="CQ103" i="11"/>
  <c r="CQ99" i="11"/>
  <c r="CQ95" i="11"/>
  <c r="CQ91" i="11"/>
  <c r="CQ87" i="11"/>
  <c r="CQ83" i="11"/>
  <c r="CQ79" i="11"/>
  <c r="CQ75" i="11"/>
  <c r="CQ71" i="11"/>
  <c r="CQ67" i="11"/>
  <c r="CQ63" i="11"/>
  <c r="CQ59" i="11"/>
  <c r="CQ55" i="11"/>
  <c r="CQ51" i="11"/>
  <c r="CQ47" i="11"/>
  <c r="CQ43" i="11"/>
  <c r="CQ39" i="11"/>
  <c r="CQ35" i="11"/>
  <c r="CQ31" i="11"/>
  <c r="CQ27" i="11"/>
  <c r="CQ23" i="11"/>
  <c r="CQ19" i="11"/>
  <c r="CQ15" i="11"/>
  <c r="CQ11" i="11"/>
  <c r="CQ7" i="11"/>
  <c r="CU165" i="11"/>
  <c r="CU161" i="11"/>
  <c r="CU157" i="11"/>
  <c r="CU153" i="11"/>
  <c r="CU149" i="11"/>
  <c r="CU145" i="11"/>
  <c r="CU141" i="11"/>
  <c r="CU137" i="11"/>
  <c r="CU133" i="11"/>
  <c r="CU129" i="11"/>
  <c r="CU125" i="11"/>
  <c r="CU121" i="11"/>
  <c r="CU117" i="11"/>
  <c r="CU113" i="11"/>
  <c r="CU109" i="11"/>
  <c r="CU105" i="11"/>
  <c r="CU101" i="11"/>
  <c r="CU97" i="11"/>
  <c r="CU93" i="11"/>
  <c r="CU89" i="11"/>
  <c r="CU85" i="11"/>
  <c r="CU81" i="11"/>
  <c r="CU77" i="11"/>
  <c r="CU73" i="11"/>
  <c r="CU69" i="11"/>
  <c r="CU65" i="11"/>
  <c r="CU61" i="11"/>
  <c r="CU57" i="11"/>
  <c r="CU53" i="11"/>
  <c r="CU49" i="11"/>
  <c r="CU45" i="11"/>
  <c r="CU41" i="11"/>
  <c r="CU37" i="11"/>
  <c r="CU33" i="11"/>
  <c r="CU29" i="11"/>
  <c r="CU25" i="11"/>
  <c r="CU21" i="11"/>
  <c r="CU17" i="11"/>
  <c r="CU13" i="11"/>
  <c r="CU9" i="11"/>
  <c r="CU5" i="11"/>
  <c r="CU164" i="11"/>
  <c r="CU156" i="11"/>
  <c r="CU148" i="11"/>
  <c r="CU136" i="11"/>
  <c r="CU128" i="11"/>
  <c r="CU120" i="11"/>
  <c r="CU112" i="11"/>
  <c r="CU104" i="11"/>
  <c r="CU96" i="11"/>
  <c r="CU88" i="11"/>
  <c r="CU80" i="11"/>
  <c r="CU72" i="11"/>
  <c r="CU64" i="11"/>
  <c r="CU60" i="11"/>
  <c r="CU48" i="11"/>
  <c r="CU40" i="11"/>
  <c r="CU32" i="11"/>
  <c r="CU24" i="11"/>
  <c r="CU16" i="11"/>
  <c r="CU12" i="11"/>
  <c r="CU167" i="11"/>
  <c r="CU163" i="11"/>
  <c r="CU159" i="11"/>
  <c r="CU155" i="11"/>
  <c r="CU151" i="11"/>
  <c r="CU147" i="11"/>
  <c r="CU143" i="11"/>
  <c r="CU139" i="11"/>
  <c r="CU135" i="11"/>
  <c r="CU131" i="11"/>
  <c r="CU127" i="11"/>
  <c r="CU123" i="11"/>
  <c r="CU119" i="11"/>
  <c r="CU115" i="11"/>
  <c r="CU111" i="11"/>
  <c r="CU107" i="11"/>
  <c r="CU103" i="11"/>
  <c r="CU99" i="11"/>
  <c r="CU95" i="11"/>
  <c r="CU91" i="11"/>
  <c r="CU87" i="11"/>
  <c r="CU83" i="11"/>
  <c r="CU79" i="11"/>
  <c r="CU75" i="11"/>
  <c r="CU71" i="11"/>
  <c r="CU67" i="11"/>
  <c r="CU63" i="11"/>
  <c r="CU59" i="11"/>
  <c r="CU55" i="11"/>
  <c r="CU51" i="11"/>
  <c r="CU47" i="11"/>
  <c r="CU43" i="11"/>
  <c r="CU39" i="11"/>
  <c r="CU35" i="11"/>
  <c r="CU31" i="11"/>
  <c r="CU27" i="11"/>
  <c r="CU23" i="11"/>
  <c r="CU19" i="11"/>
  <c r="CU15" i="11"/>
  <c r="CU11" i="11"/>
  <c r="CU7" i="11"/>
  <c r="CU160" i="11"/>
  <c r="CU152" i="11"/>
  <c r="CU144" i="11"/>
  <c r="CU140" i="11"/>
  <c r="CU132" i="11"/>
  <c r="CU124" i="11"/>
  <c r="CU116" i="11"/>
  <c r="CU108" i="11"/>
  <c r="CU100" i="11"/>
  <c r="CU92" i="11"/>
  <c r="CU84" i="11"/>
  <c r="CU76" i="11"/>
  <c r="CU68" i="11"/>
  <c r="CU56" i="11"/>
  <c r="CU52" i="11"/>
  <c r="CU44" i="11"/>
  <c r="CU36" i="11"/>
  <c r="CU28" i="11"/>
  <c r="CU20" i="11"/>
  <c r="CU8" i="11"/>
  <c r="CQ162" i="11"/>
  <c r="CQ150" i="11"/>
  <c r="CQ142" i="11"/>
  <c r="CQ134" i="11"/>
  <c r="CQ126" i="11"/>
  <c r="CQ118" i="11"/>
  <c r="CQ106" i="11"/>
  <c r="CQ98" i="11"/>
  <c r="CQ90" i="11"/>
  <c r="CQ82" i="11"/>
  <c r="CQ70" i="11"/>
  <c r="CQ62" i="11"/>
  <c r="CQ54" i="11"/>
  <c r="CQ46" i="11"/>
  <c r="CQ38" i="11"/>
  <c r="CQ26" i="11"/>
  <c r="CQ18" i="11"/>
  <c r="CQ10" i="11"/>
  <c r="CQ165" i="11"/>
  <c r="CQ161" i="11"/>
  <c r="CQ157" i="11"/>
  <c r="CQ153" i="11"/>
  <c r="CQ149" i="11"/>
  <c r="CQ145" i="11"/>
  <c r="CQ141" i="11"/>
  <c r="CQ137" i="11"/>
  <c r="CQ133" i="11"/>
  <c r="CQ129" i="11"/>
  <c r="CQ125" i="11"/>
  <c r="CQ121" i="11"/>
  <c r="CQ117" i="11"/>
  <c r="CQ113" i="11"/>
  <c r="CQ109" i="11"/>
  <c r="CQ105" i="11"/>
  <c r="CQ101" i="11"/>
  <c r="CQ97" i="11"/>
  <c r="CQ93" i="11"/>
  <c r="CQ89" i="11"/>
  <c r="CQ85" i="11"/>
  <c r="CQ81" i="11"/>
  <c r="CQ77" i="11"/>
  <c r="CQ73" i="11"/>
  <c r="CQ69" i="11"/>
  <c r="CQ65" i="11"/>
  <c r="CQ61" i="11"/>
  <c r="CQ57" i="11"/>
  <c r="CQ53" i="11"/>
  <c r="CQ49" i="11"/>
  <c r="CQ45" i="11"/>
  <c r="CQ41" i="11"/>
  <c r="CQ37" i="11"/>
  <c r="CQ33" i="11"/>
  <c r="CQ29" i="11"/>
  <c r="CQ25" i="11"/>
  <c r="CQ21" i="11"/>
  <c r="CQ17" i="11"/>
  <c r="CQ13" i="11"/>
  <c r="CQ9" i="11"/>
  <c r="CQ166" i="11"/>
  <c r="CQ158" i="11"/>
  <c r="CQ154" i="11"/>
  <c r="CQ146" i="11"/>
  <c r="CQ138" i="11"/>
  <c r="CQ130" i="11"/>
  <c r="CQ122" i="11"/>
  <c r="CQ114" i="11"/>
  <c r="CQ110" i="11"/>
  <c r="CQ102" i="11"/>
  <c r="CQ94" i="11"/>
  <c r="CQ86" i="11"/>
  <c r="CQ78" i="11"/>
  <c r="CQ74" i="11"/>
  <c r="CQ66" i="11"/>
  <c r="CQ58" i="11"/>
  <c r="CQ50" i="11"/>
  <c r="CQ42" i="11"/>
  <c r="CQ34" i="11"/>
  <c r="CQ30" i="11"/>
  <c r="CQ22" i="11"/>
  <c r="CQ14" i="11"/>
  <c r="CQ6" i="11"/>
  <c r="CM5" i="11"/>
  <c r="CM160" i="11"/>
  <c r="CM152" i="11"/>
  <c r="CM144" i="11"/>
  <c r="CM136" i="11"/>
  <c r="CM128" i="11"/>
  <c r="CM120" i="11"/>
  <c r="CM112" i="11"/>
  <c r="CM104" i="11"/>
  <c r="CM96" i="11"/>
  <c r="CM88" i="11"/>
  <c r="CM80" i="11"/>
  <c r="CM72" i="11"/>
  <c r="CM64" i="11"/>
  <c r="CM56" i="11"/>
  <c r="CM48" i="11"/>
  <c r="CM36" i="11"/>
  <c r="CM32" i="11"/>
  <c r="CM24" i="11"/>
  <c r="CM16" i="11"/>
  <c r="CM8" i="11"/>
  <c r="CM167" i="11"/>
  <c r="CM163" i="11"/>
  <c r="CM159" i="11"/>
  <c r="CM155" i="11"/>
  <c r="CM151" i="11"/>
  <c r="CM147" i="11"/>
  <c r="CM143" i="11"/>
  <c r="CM139" i="11"/>
  <c r="CM135" i="11"/>
  <c r="CM131" i="11"/>
  <c r="CM127" i="11"/>
  <c r="CM123" i="11"/>
  <c r="CM119" i="11"/>
  <c r="CM115" i="11"/>
  <c r="CM111" i="11"/>
  <c r="CM107" i="11"/>
  <c r="CM103" i="11"/>
  <c r="CM99" i="11"/>
  <c r="CM95" i="11"/>
  <c r="CM91" i="11"/>
  <c r="CM87" i="11"/>
  <c r="CM83" i="11"/>
  <c r="CM79" i="11"/>
  <c r="CM75" i="11"/>
  <c r="CM71" i="11"/>
  <c r="CM67" i="11"/>
  <c r="CM63" i="11"/>
  <c r="CM59" i="11"/>
  <c r="CM55" i="11"/>
  <c r="CM51" i="11"/>
  <c r="CM47" i="11"/>
  <c r="CM43" i="11"/>
  <c r="CM39" i="11"/>
  <c r="CM35" i="11"/>
  <c r="CM31" i="11"/>
  <c r="CM27" i="11"/>
  <c r="CM23" i="11"/>
  <c r="CM19" i="11"/>
  <c r="CM15" i="11"/>
  <c r="CM11" i="11"/>
  <c r="CM7" i="11"/>
  <c r="CM164" i="11"/>
  <c r="CM156" i="11"/>
  <c r="CM148" i="11"/>
  <c r="CM140" i="11"/>
  <c r="CM132" i="11"/>
  <c r="CM124" i="11"/>
  <c r="CM116" i="11"/>
  <c r="CM108" i="11"/>
  <c r="CM100" i="11"/>
  <c r="CM92" i="11"/>
  <c r="CM84" i="11"/>
  <c r="CM76" i="11"/>
  <c r="CM68" i="11"/>
  <c r="CM60" i="11"/>
  <c r="CM52" i="11"/>
  <c r="CM44" i="11"/>
  <c r="CM40" i="11"/>
  <c r="CM28" i="11"/>
  <c r="CM20" i="11"/>
  <c r="CM12" i="11"/>
  <c r="CX6" i="11"/>
  <c r="CX7" i="11"/>
  <c r="CX8" i="11"/>
  <c r="CX9" i="11"/>
  <c r="CX10" i="11"/>
  <c r="CX11" i="11"/>
  <c r="CX12" i="11"/>
  <c r="CX13" i="11"/>
  <c r="CX14" i="11"/>
  <c r="CX15" i="11"/>
  <c r="CX16" i="11"/>
  <c r="CX17" i="11"/>
  <c r="CX18" i="11"/>
  <c r="CX19" i="11"/>
  <c r="CX20" i="11"/>
  <c r="CX21" i="11"/>
  <c r="CX22" i="11"/>
  <c r="CX23" i="11"/>
  <c r="CX24" i="11"/>
  <c r="CX25" i="11"/>
  <c r="CX26" i="11"/>
  <c r="CX27" i="11"/>
  <c r="CX28" i="11"/>
  <c r="CX29" i="11"/>
  <c r="CX30" i="11"/>
  <c r="CX31" i="11"/>
  <c r="CX32" i="11"/>
  <c r="CX33" i="11"/>
  <c r="CX34" i="11"/>
  <c r="CX35" i="11"/>
  <c r="CX36" i="11"/>
  <c r="CX37" i="11"/>
  <c r="CX38" i="11"/>
  <c r="CX39" i="11"/>
  <c r="CX40" i="11"/>
  <c r="CX41" i="11"/>
  <c r="CX42" i="11"/>
  <c r="CX43" i="11"/>
  <c r="CX44" i="11"/>
  <c r="CX45" i="11"/>
  <c r="CX46" i="11"/>
  <c r="CX47" i="11"/>
  <c r="CX48" i="11"/>
  <c r="CX49" i="11"/>
  <c r="CX50" i="11"/>
  <c r="CX51" i="11"/>
  <c r="CX52" i="11"/>
  <c r="CX53" i="11"/>
  <c r="CX54" i="11"/>
  <c r="CX55" i="11"/>
  <c r="CX56" i="11"/>
  <c r="CX57" i="11"/>
  <c r="CX58" i="11"/>
  <c r="CX59" i="11"/>
  <c r="CX60" i="11"/>
  <c r="CX61" i="11"/>
  <c r="CX62" i="11"/>
  <c r="CX63" i="11"/>
  <c r="CX64" i="11"/>
  <c r="CX65" i="11"/>
  <c r="CX66" i="11"/>
  <c r="CX67" i="11"/>
  <c r="CX68" i="11"/>
  <c r="CX69" i="11"/>
  <c r="CX70" i="11"/>
  <c r="CX71" i="11"/>
  <c r="CX72" i="11"/>
  <c r="CX73" i="11"/>
  <c r="CX74" i="11"/>
  <c r="CX75" i="11"/>
  <c r="CX76" i="11"/>
  <c r="CX77" i="11"/>
  <c r="CX78" i="11"/>
  <c r="CX79" i="11"/>
  <c r="CX80" i="11"/>
  <c r="CX81" i="11"/>
  <c r="CX82" i="11"/>
  <c r="CX83" i="11"/>
  <c r="CX84" i="11"/>
  <c r="CX85" i="11"/>
  <c r="CX86" i="11"/>
  <c r="CX87" i="11"/>
  <c r="CX88" i="11"/>
  <c r="CX89" i="11"/>
  <c r="CX90" i="11"/>
  <c r="CX91" i="11"/>
  <c r="CX92" i="11"/>
  <c r="CX93" i="11"/>
  <c r="CX94" i="11"/>
  <c r="CX95" i="11"/>
  <c r="CX96" i="11"/>
  <c r="CX97" i="11"/>
  <c r="CX98" i="11"/>
  <c r="CX99" i="11"/>
  <c r="CX100" i="11"/>
  <c r="CX101" i="11"/>
  <c r="CX102" i="11"/>
  <c r="CX103" i="11"/>
  <c r="CX104" i="11"/>
  <c r="CX105" i="11"/>
  <c r="CX106" i="11"/>
  <c r="CX107" i="11"/>
  <c r="CX108" i="11"/>
  <c r="CX109" i="11"/>
  <c r="CX110" i="11"/>
  <c r="CX111" i="11"/>
  <c r="CX112" i="11"/>
  <c r="CX113" i="11"/>
  <c r="CX114" i="11"/>
  <c r="CX115" i="11"/>
  <c r="CX116" i="11"/>
  <c r="CX117" i="11"/>
  <c r="CX118" i="11"/>
  <c r="CX119" i="11"/>
  <c r="CX120" i="11"/>
  <c r="CX121" i="11"/>
  <c r="CX122" i="11"/>
  <c r="CX123" i="11"/>
  <c r="CX124" i="11"/>
  <c r="CX125" i="11"/>
  <c r="CX126" i="11"/>
  <c r="CX127" i="11"/>
  <c r="CX128" i="11"/>
  <c r="CX129" i="11"/>
  <c r="CX130" i="11"/>
  <c r="CX131" i="11"/>
  <c r="CX132" i="11"/>
  <c r="CX133" i="11"/>
  <c r="CX134" i="11"/>
  <c r="CX135" i="11"/>
  <c r="CX136" i="11"/>
  <c r="CX137" i="11"/>
  <c r="CX138" i="11"/>
  <c r="CX139" i="11"/>
  <c r="CX140" i="11"/>
  <c r="CX141" i="11"/>
  <c r="CX142" i="11"/>
  <c r="CX143" i="11"/>
  <c r="CX144" i="11"/>
  <c r="CX145" i="11"/>
  <c r="CX146" i="11"/>
  <c r="CX147" i="11"/>
  <c r="CX148" i="11"/>
  <c r="CX149" i="11"/>
  <c r="CX150" i="11"/>
  <c r="CX151" i="11"/>
  <c r="CX152" i="11"/>
  <c r="CX153" i="11"/>
  <c r="CX154" i="11"/>
  <c r="CX155" i="11"/>
  <c r="CX156" i="11"/>
  <c r="CX157" i="11"/>
  <c r="CX158" i="11"/>
  <c r="CX159" i="11"/>
  <c r="CX160" i="11"/>
  <c r="CX161" i="11"/>
  <c r="CX162" i="11"/>
  <c r="CX163" i="11"/>
  <c r="CX164" i="11"/>
  <c r="CX165" i="11"/>
  <c r="CX166" i="11"/>
  <c r="CX167" i="11"/>
  <c r="CX5" i="11"/>
  <c r="CE163" i="11" l="1"/>
  <c r="CE155" i="11"/>
  <c r="CE151" i="11"/>
  <c r="CE143" i="11"/>
  <c r="CE135" i="11"/>
  <c r="CE127" i="11"/>
  <c r="CE119" i="11"/>
  <c r="CE111" i="11"/>
  <c r="CE103" i="11"/>
  <c r="CE91" i="11"/>
  <c r="CE83" i="11"/>
  <c r="CE75" i="11"/>
  <c r="CE67" i="11"/>
  <c r="CE59" i="11"/>
  <c r="CE55" i="11"/>
  <c r="CE47" i="11"/>
  <c r="CE39" i="11"/>
  <c r="CE31" i="11"/>
  <c r="CE23" i="11"/>
  <c r="CE15" i="11"/>
  <c r="CE7" i="11"/>
  <c r="CE158" i="11"/>
  <c r="CE150" i="11"/>
  <c r="CE142" i="11"/>
  <c r="CE134" i="11"/>
  <c r="CE126" i="11"/>
  <c r="CE118" i="11"/>
  <c r="CE110" i="11"/>
  <c r="CE102" i="11"/>
  <c r="CE98" i="11"/>
  <c r="CE90" i="11"/>
  <c r="CE82" i="11"/>
  <c r="CE74" i="11"/>
  <c r="CE66" i="11"/>
  <c r="CE54" i="11"/>
  <c r="CE46" i="11"/>
  <c r="CE38" i="11"/>
  <c r="CE30" i="11"/>
  <c r="CE22" i="11"/>
  <c r="CE14" i="11"/>
  <c r="CE6" i="11"/>
  <c r="CE165" i="11"/>
  <c r="CE161" i="11"/>
  <c r="CE157" i="11"/>
  <c r="CE153" i="11"/>
  <c r="CE149" i="11"/>
  <c r="CE145" i="11"/>
  <c r="CE141" i="11"/>
  <c r="CE137" i="11"/>
  <c r="CE133" i="11"/>
  <c r="CE129" i="11"/>
  <c r="CE125" i="11"/>
  <c r="CE121" i="11"/>
  <c r="CE117" i="11"/>
  <c r="CE113" i="11"/>
  <c r="CE109" i="11"/>
  <c r="CE105" i="11"/>
  <c r="CE101" i="11"/>
  <c r="CE97" i="11"/>
  <c r="CE93" i="11"/>
  <c r="CE89" i="11"/>
  <c r="CE85" i="11"/>
  <c r="CE81" i="11"/>
  <c r="CE77" i="11"/>
  <c r="CE73" i="11"/>
  <c r="CE69" i="11"/>
  <c r="CE65" i="11"/>
  <c r="CE61" i="11"/>
  <c r="CE57" i="11"/>
  <c r="CE53" i="11"/>
  <c r="CE49" i="11"/>
  <c r="CE45" i="11"/>
  <c r="CE41" i="11"/>
  <c r="CE37" i="11"/>
  <c r="CE33" i="11"/>
  <c r="CE29" i="11"/>
  <c r="CE25" i="11"/>
  <c r="CE21" i="11"/>
  <c r="CE17" i="11"/>
  <c r="CE13" i="11"/>
  <c r="CE9" i="11"/>
  <c r="CE167" i="11"/>
  <c r="CE159" i="11"/>
  <c r="CE147" i="11"/>
  <c r="CE139" i="11"/>
  <c r="CE131" i="11"/>
  <c r="CE123" i="11"/>
  <c r="CE115" i="11"/>
  <c r="CE107" i="11"/>
  <c r="CE99" i="11"/>
  <c r="CE95" i="11"/>
  <c r="CE87" i="11"/>
  <c r="CE79" i="11"/>
  <c r="CE71" i="11"/>
  <c r="CE63" i="11"/>
  <c r="CE51" i="11"/>
  <c r="CE43" i="11"/>
  <c r="CE35" i="11"/>
  <c r="CE27" i="11"/>
  <c r="CE19" i="11"/>
  <c r="CE11" i="11"/>
  <c r="CE166" i="11"/>
  <c r="CE162" i="11"/>
  <c r="CE154" i="11"/>
  <c r="CE146" i="11"/>
  <c r="CE138" i="11"/>
  <c r="CE130" i="11"/>
  <c r="CE122" i="11"/>
  <c r="CE114" i="11"/>
  <c r="CE106" i="11"/>
  <c r="CE94" i="11"/>
  <c r="CE86" i="11"/>
  <c r="CE78" i="11"/>
  <c r="CE70" i="11"/>
  <c r="CE62" i="11"/>
  <c r="CE58" i="11"/>
  <c r="CE50" i="11"/>
  <c r="CE42" i="11"/>
  <c r="CE34" i="11"/>
  <c r="CE26" i="11"/>
  <c r="CE18" i="11"/>
  <c r="CE10" i="11"/>
  <c r="CE5" i="11"/>
  <c r="CE164" i="11"/>
  <c r="CE160" i="11"/>
  <c r="CE156" i="11"/>
  <c r="CE152" i="11"/>
  <c r="CE148" i="11"/>
  <c r="CE144" i="11"/>
  <c r="CE140" i="11"/>
  <c r="CE136" i="11"/>
  <c r="CE132" i="11"/>
  <c r="CE128" i="11"/>
  <c r="CE124" i="11"/>
  <c r="CE120" i="11"/>
  <c r="CE116" i="11"/>
  <c r="CE112" i="11"/>
  <c r="CE108" i="11"/>
  <c r="CE104" i="11"/>
  <c r="CE100" i="11"/>
  <c r="CE96" i="11"/>
  <c r="CE92" i="11"/>
  <c r="CE88" i="11"/>
  <c r="CE84" i="11"/>
  <c r="CE80" i="11"/>
  <c r="CE76" i="11"/>
  <c r="CE72" i="11"/>
  <c r="CE68" i="11"/>
  <c r="CE64" i="11"/>
  <c r="CE60" i="11"/>
  <c r="CE56" i="11"/>
  <c r="CE52" i="11"/>
  <c r="CE48" i="11"/>
  <c r="CE44" i="11"/>
  <c r="CE40" i="11"/>
  <c r="CE36" i="11"/>
  <c r="CE32" i="11"/>
  <c r="CE28" i="11"/>
  <c r="CE24" i="11"/>
  <c r="CE20" i="11"/>
  <c r="CE16" i="11"/>
  <c r="CE12" i="11"/>
  <c r="CE8" i="11"/>
  <c r="CB6" i="11" l="1"/>
  <c r="CB7" i="11"/>
  <c r="CB8" i="11"/>
  <c r="CB9" i="11"/>
  <c r="CB10" i="11"/>
  <c r="CB11" i="11"/>
  <c r="CB12" i="11"/>
  <c r="CB13" i="11"/>
  <c r="CB14" i="11"/>
  <c r="CB15" i="11"/>
  <c r="CB16" i="11"/>
  <c r="CB17" i="11"/>
  <c r="CB18" i="11"/>
  <c r="CB19" i="11"/>
  <c r="CB20" i="11"/>
  <c r="CB21" i="11"/>
  <c r="CB22" i="11"/>
  <c r="CB23" i="11"/>
  <c r="CB24" i="11"/>
  <c r="CB25" i="11"/>
  <c r="CB26" i="11"/>
  <c r="CB27" i="11"/>
  <c r="CB28" i="11"/>
  <c r="CB29" i="11"/>
  <c r="CB30" i="11"/>
  <c r="CB31" i="11"/>
  <c r="CB32" i="11"/>
  <c r="CB33" i="11"/>
  <c r="CB34" i="11"/>
  <c r="CB35" i="11"/>
  <c r="CB36" i="11"/>
  <c r="CB37" i="11"/>
  <c r="CB38" i="11"/>
  <c r="CB39" i="11"/>
  <c r="CB40" i="11"/>
  <c r="CB41" i="11"/>
  <c r="CB42" i="11"/>
  <c r="CB43" i="11"/>
  <c r="CB44" i="11"/>
  <c r="CB45" i="11"/>
  <c r="CB46" i="11"/>
  <c r="CB47" i="11"/>
  <c r="CB48" i="11"/>
  <c r="CB49" i="11"/>
  <c r="CB50" i="11"/>
  <c r="CB51" i="11"/>
  <c r="CB52" i="11"/>
  <c r="CB53" i="11"/>
  <c r="CB54" i="11"/>
  <c r="CB55" i="11"/>
  <c r="CB56" i="11"/>
  <c r="CB57" i="11"/>
  <c r="CB58" i="11"/>
  <c r="CB59" i="11"/>
  <c r="CB60" i="11"/>
  <c r="CB61" i="11"/>
  <c r="CB62" i="11"/>
  <c r="CB63" i="11"/>
  <c r="CB64" i="11"/>
  <c r="CB65" i="11"/>
  <c r="CB66" i="11"/>
  <c r="CB67" i="11"/>
  <c r="CB68" i="11"/>
  <c r="CB69" i="11"/>
  <c r="CB70" i="11"/>
  <c r="CB71" i="11"/>
  <c r="CB72" i="11"/>
  <c r="CB73" i="11"/>
  <c r="CB74" i="11"/>
  <c r="CB75" i="11"/>
  <c r="CB76" i="11"/>
  <c r="CB77" i="11"/>
  <c r="CB78" i="11"/>
  <c r="CB79" i="11"/>
  <c r="CB80" i="11"/>
  <c r="CB81" i="11"/>
  <c r="CB82" i="11"/>
  <c r="CB83" i="11"/>
  <c r="CB84" i="11"/>
  <c r="CB85" i="11"/>
  <c r="CB86" i="11"/>
  <c r="CB87" i="11"/>
  <c r="CB88" i="11"/>
  <c r="CB89" i="11"/>
  <c r="CB90" i="11"/>
  <c r="CB91" i="11"/>
  <c r="CB92" i="11"/>
  <c r="CB93" i="11"/>
  <c r="CB94" i="11"/>
  <c r="CB95" i="11"/>
  <c r="CB96" i="11"/>
  <c r="CB97" i="11"/>
  <c r="CB98" i="11"/>
  <c r="CB99" i="11"/>
  <c r="CB100" i="11"/>
  <c r="CB101" i="11"/>
  <c r="CB102" i="11"/>
  <c r="CB103" i="11"/>
  <c r="CB104" i="11"/>
  <c r="CB105" i="11"/>
  <c r="CB106" i="11"/>
  <c r="CB107" i="11"/>
  <c r="CB108" i="11"/>
  <c r="CB109" i="11"/>
  <c r="CB110" i="11"/>
  <c r="CB111" i="11"/>
  <c r="CB112" i="11"/>
  <c r="CB113" i="11"/>
  <c r="CB114" i="11"/>
  <c r="CB115" i="11"/>
  <c r="CB116" i="11"/>
  <c r="CB117" i="11"/>
  <c r="CB118" i="11"/>
  <c r="CB119" i="11"/>
  <c r="CB120" i="11"/>
  <c r="CB121" i="11"/>
  <c r="CB122" i="11"/>
  <c r="CB123" i="11"/>
  <c r="CB124" i="11"/>
  <c r="CB125" i="11"/>
  <c r="CB126" i="11"/>
  <c r="CB127" i="11"/>
  <c r="CB128" i="11"/>
  <c r="CB129" i="11"/>
  <c r="CB130" i="11"/>
  <c r="CB131" i="11"/>
  <c r="CB132" i="11"/>
  <c r="CB133" i="11"/>
  <c r="CB134" i="11"/>
  <c r="CB135" i="11"/>
  <c r="CB136" i="11"/>
  <c r="CB137" i="11"/>
  <c r="CB138" i="11"/>
  <c r="CB139" i="11"/>
  <c r="CB140" i="11"/>
  <c r="CB141" i="11"/>
  <c r="CB142" i="11"/>
  <c r="CB143" i="11"/>
  <c r="CB144" i="11"/>
  <c r="CB145" i="11"/>
  <c r="CB146" i="11"/>
  <c r="CB147" i="11"/>
  <c r="CB148" i="11"/>
  <c r="CB149" i="11"/>
  <c r="CB150" i="11"/>
  <c r="CB151" i="11"/>
  <c r="CB152" i="11"/>
  <c r="CB153" i="11"/>
  <c r="CB154" i="11"/>
  <c r="CB155" i="11"/>
  <c r="CB156" i="11"/>
  <c r="CB157" i="11"/>
  <c r="CB158" i="11"/>
  <c r="CB159" i="11"/>
  <c r="CB160" i="11"/>
  <c r="CB161" i="11"/>
  <c r="CB162" i="11"/>
  <c r="CB163" i="11"/>
  <c r="CB164" i="11"/>
  <c r="CB165" i="11"/>
  <c r="CB166" i="11"/>
  <c r="CB167" i="11"/>
  <c r="CB5" i="11"/>
  <c r="CW5" i="11" s="1"/>
  <c r="CW160" i="11" l="1"/>
  <c r="CY160" i="11" s="1"/>
  <c r="CW148" i="11"/>
  <c r="CY148" i="11" s="1"/>
  <c r="CW144" i="11"/>
  <c r="CY144" i="11" s="1"/>
  <c r="CW132" i="11"/>
  <c r="CY132" i="11" s="1"/>
  <c r="CW120" i="11"/>
  <c r="CY120" i="11" s="1"/>
  <c r="CW116" i="11"/>
  <c r="CY116" i="11" s="1"/>
  <c r="CW104" i="11"/>
  <c r="CY104" i="11" s="1"/>
  <c r="CW92" i="11"/>
  <c r="CY92" i="11" s="1"/>
  <c r="CW84" i="11"/>
  <c r="CY84" i="11" s="1"/>
  <c r="CW76" i="11"/>
  <c r="CY76" i="11" s="1"/>
  <c r="CW64" i="11"/>
  <c r="CY64" i="11" s="1"/>
  <c r="CW52" i="11"/>
  <c r="CY52" i="11" s="1"/>
  <c r="CW44" i="11"/>
  <c r="CY44" i="11" s="1"/>
  <c r="CW32" i="11"/>
  <c r="CY32" i="11" s="1"/>
  <c r="CW12" i="11"/>
  <c r="CY12" i="11" s="1"/>
  <c r="CW167" i="11"/>
  <c r="CY167" i="11" s="1"/>
  <c r="CW159" i="11"/>
  <c r="CY159" i="11" s="1"/>
  <c r="CW166" i="11"/>
  <c r="CY166" i="11" s="1"/>
  <c r="CW158" i="11"/>
  <c r="CY158" i="11" s="1"/>
  <c r="CW154" i="11"/>
  <c r="CY154" i="11" s="1"/>
  <c r="CW146" i="11"/>
  <c r="CY146" i="11" s="1"/>
  <c r="CW165" i="11"/>
  <c r="CY165" i="11" s="1"/>
  <c r="CW161" i="11"/>
  <c r="CY161" i="11" s="1"/>
  <c r="CW157" i="11"/>
  <c r="CY157" i="11" s="1"/>
  <c r="CW153" i="11"/>
  <c r="CY153" i="11" s="1"/>
  <c r="CW149" i="11"/>
  <c r="CY149" i="11" s="1"/>
  <c r="CW145" i="11"/>
  <c r="CY145" i="11" s="1"/>
  <c r="CW141" i="11"/>
  <c r="CY141" i="11" s="1"/>
  <c r="CW137" i="11"/>
  <c r="CY137" i="11" s="1"/>
  <c r="CW133" i="11"/>
  <c r="CY133" i="11" s="1"/>
  <c r="CW129" i="11"/>
  <c r="CY129" i="11" s="1"/>
  <c r="CW125" i="11"/>
  <c r="CY125" i="11" s="1"/>
  <c r="CW121" i="11"/>
  <c r="CY121" i="11" s="1"/>
  <c r="CW117" i="11"/>
  <c r="CY117" i="11" s="1"/>
  <c r="CW113" i="11"/>
  <c r="CY113" i="11" s="1"/>
  <c r="CW109" i="11"/>
  <c r="CY109" i="11" s="1"/>
  <c r="CW105" i="11"/>
  <c r="CY105" i="11" s="1"/>
  <c r="CW101" i="11"/>
  <c r="CY101" i="11" s="1"/>
  <c r="CW97" i="11"/>
  <c r="CY97" i="11" s="1"/>
  <c r="CW93" i="11"/>
  <c r="CY93" i="11" s="1"/>
  <c r="CW89" i="11"/>
  <c r="CY89" i="11" s="1"/>
  <c r="CW85" i="11"/>
  <c r="CY85" i="11" s="1"/>
  <c r="CW81" i="11"/>
  <c r="CY81" i="11" s="1"/>
  <c r="CW77" i="11"/>
  <c r="CY77" i="11" s="1"/>
  <c r="CW73" i="11"/>
  <c r="CY73" i="11" s="1"/>
  <c r="CW69" i="11"/>
  <c r="CY69" i="11" s="1"/>
  <c r="CW65" i="11"/>
  <c r="CY65" i="11" s="1"/>
  <c r="CW61" i="11"/>
  <c r="CY61" i="11" s="1"/>
  <c r="CW57" i="11"/>
  <c r="CY57" i="11" s="1"/>
  <c r="CW53" i="11"/>
  <c r="CY53" i="11" s="1"/>
  <c r="CW49" i="11"/>
  <c r="CY49" i="11" s="1"/>
  <c r="CW45" i="11"/>
  <c r="CY45" i="11" s="1"/>
  <c r="CW41" i="11"/>
  <c r="CY41" i="11" s="1"/>
  <c r="CW37" i="11"/>
  <c r="CY37" i="11" s="1"/>
  <c r="CW33" i="11"/>
  <c r="CY33" i="11" s="1"/>
  <c r="CW29" i="11"/>
  <c r="CY29" i="11" s="1"/>
  <c r="CW25" i="11"/>
  <c r="CY25" i="11" s="1"/>
  <c r="CW21" i="11"/>
  <c r="CY21" i="11" s="1"/>
  <c r="CW17" i="11"/>
  <c r="CY17" i="11" s="1"/>
  <c r="CW13" i="11"/>
  <c r="CY13" i="11" s="1"/>
  <c r="CW9" i="11"/>
  <c r="CY9" i="11" s="1"/>
  <c r="CW164" i="11"/>
  <c r="CY164" i="11" s="1"/>
  <c r="CW152" i="11"/>
  <c r="CY152" i="11" s="1"/>
  <c r="CW140" i="11"/>
  <c r="CY140" i="11" s="1"/>
  <c r="CW128" i="11"/>
  <c r="CY128" i="11" s="1"/>
  <c r="CW112" i="11"/>
  <c r="CY112" i="11" s="1"/>
  <c r="CW100" i="11"/>
  <c r="CY100" i="11" s="1"/>
  <c r="CW88" i="11"/>
  <c r="CY88" i="11" s="1"/>
  <c r="CW72" i="11"/>
  <c r="CY72" i="11" s="1"/>
  <c r="CW60" i="11"/>
  <c r="CY60" i="11" s="1"/>
  <c r="CW48" i="11"/>
  <c r="CY48" i="11" s="1"/>
  <c r="CW36" i="11"/>
  <c r="CY36" i="11" s="1"/>
  <c r="CW24" i="11"/>
  <c r="CY24" i="11" s="1"/>
  <c r="CW8" i="11"/>
  <c r="CY8" i="11" s="1"/>
  <c r="CW155" i="11"/>
  <c r="CY155" i="11" s="1"/>
  <c r="CW151" i="11"/>
  <c r="CY151" i="11" s="1"/>
  <c r="CW147" i="11"/>
  <c r="CY147" i="11" s="1"/>
  <c r="CW143" i="11"/>
  <c r="CY143" i="11" s="1"/>
  <c r="CW139" i="11"/>
  <c r="CY139" i="11" s="1"/>
  <c r="CW135" i="11"/>
  <c r="CY135" i="11" s="1"/>
  <c r="CW131" i="11"/>
  <c r="CY131" i="11" s="1"/>
  <c r="CW127" i="11"/>
  <c r="CY127" i="11" s="1"/>
  <c r="CW123" i="11"/>
  <c r="CY123" i="11" s="1"/>
  <c r="CW119" i="11"/>
  <c r="CY119" i="11" s="1"/>
  <c r="CW115" i="11"/>
  <c r="CY115" i="11" s="1"/>
  <c r="CW111" i="11"/>
  <c r="CY111" i="11" s="1"/>
  <c r="CW107" i="11"/>
  <c r="CY107" i="11" s="1"/>
  <c r="CW103" i="11"/>
  <c r="CY103" i="11" s="1"/>
  <c r="CW99" i="11"/>
  <c r="CY99" i="11" s="1"/>
  <c r="CW95" i="11"/>
  <c r="CY95" i="11" s="1"/>
  <c r="CW91" i="11"/>
  <c r="CY91" i="11" s="1"/>
  <c r="CW87" i="11"/>
  <c r="CY87" i="11" s="1"/>
  <c r="CW83" i="11"/>
  <c r="CY83" i="11" s="1"/>
  <c r="CW79" i="11"/>
  <c r="CY79" i="11" s="1"/>
  <c r="CW75" i="11"/>
  <c r="CY75" i="11" s="1"/>
  <c r="CW71" i="11"/>
  <c r="CY71" i="11" s="1"/>
  <c r="CW67" i="11"/>
  <c r="CY67" i="11" s="1"/>
  <c r="CW63" i="11"/>
  <c r="CY63" i="11" s="1"/>
  <c r="CW59" i="11"/>
  <c r="CY59" i="11" s="1"/>
  <c r="CW55" i="11"/>
  <c r="CY55" i="11" s="1"/>
  <c r="CW51" i="11"/>
  <c r="CY51" i="11" s="1"/>
  <c r="CW47" i="11"/>
  <c r="CY47" i="11" s="1"/>
  <c r="CW43" i="11"/>
  <c r="CY43" i="11" s="1"/>
  <c r="CW39" i="11"/>
  <c r="CY39" i="11" s="1"/>
  <c r="CW35" i="11"/>
  <c r="CY35" i="11" s="1"/>
  <c r="CW31" i="11"/>
  <c r="CY31" i="11" s="1"/>
  <c r="CW27" i="11"/>
  <c r="CY27" i="11" s="1"/>
  <c r="CW23" i="11"/>
  <c r="CY23" i="11" s="1"/>
  <c r="CW19" i="11"/>
  <c r="CY19" i="11" s="1"/>
  <c r="CW15" i="11"/>
  <c r="CY15" i="11" s="1"/>
  <c r="CW11" i="11"/>
  <c r="CY11" i="11" s="1"/>
  <c r="CW7" i="11"/>
  <c r="CY7" i="11" s="1"/>
  <c r="CY5" i="11"/>
  <c r="CW156" i="11"/>
  <c r="CY156" i="11" s="1"/>
  <c r="CW136" i="11"/>
  <c r="CY136" i="11" s="1"/>
  <c r="CW124" i="11"/>
  <c r="CY124" i="11" s="1"/>
  <c r="CW108" i="11"/>
  <c r="CY108" i="11" s="1"/>
  <c r="CW96" i="11"/>
  <c r="CY96" i="11" s="1"/>
  <c r="CW80" i="11"/>
  <c r="CY80" i="11" s="1"/>
  <c r="CW68" i="11"/>
  <c r="CY68" i="11" s="1"/>
  <c r="CW56" i="11"/>
  <c r="CY56" i="11" s="1"/>
  <c r="CW40" i="11"/>
  <c r="CY40" i="11" s="1"/>
  <c r="CW28" i="11"/>
  <c r="CY28" i="11" s="1"/>
  <c r="CW20" i="11"/>
  <c r="CY20" i="11" s="1"/>
  <c r="CW16" i="11"/>
  <c r="CY16" i="11" s="1"/>
  <c r="CW163" i="11"/>
  <c r="CY163" i="11" s="1"/>
  <c r="CW162" i="11"/>
  <c r="CY162" i="11" s="1"/>
  <c r="CW150" i="11"/>
  <c r="CY150" i="11" s="1"/>
  <c r="CW142" i="11"/>
  <c r="CY142" i="11" s="1"/>
  <c r="CW138" i="11"/>
  <c r="CY138" i="11" s="1"/>
  <c r="CW134" i="11"/>
  <c r="CY134" i="11" s="1"/>
  <c r="CW130" i="11"/>
  <c r="CY130" i="11" s="1"/>
  <c r="CW126" i="11"/>
  <c r="CY126" i="11" s="1"/>
  <c r="CW122" i="11"/>
  <c r="CY122" i="11" s="1"/>
  <c r="CW118" i="11"/>
  <c r="CY118" i="11" s="1"/>
  <c r="CW114" i="11"/>
  <c r="CY114" i="11" s="1"/>
  <c r="CW110" i="11"/>
  <c r="CY110" i="11" s="1"/>
  <c r="CW106" i="11"/>
  <c r="CY106" i="11" s="1"/>
  <c r="CW102" i="11"/>
  <c r="CY102" i="11" s="1"/>
  <c r="CW98" i="11"/>
  <c r="CY98" i="11" s="1"/>
  <c r="CW94" i="11"/>
  <c r="CY94" i="11" s="1"/>
  <c r="CW90" i="11"/>
  <c r="CY90" i="11" s="1"/>
  <c r="CW86" i="11"/>
  <c r="CY86" i="11" s="1"/>
  <c r="CW82" i="11"/>
  <c r="CY82" i="11" s="1"/>
  <c r="CW78" i="11"/>
  <c r="CY78" i="11" s="1"/>
  <c r="CW74" i="11"/>
  <c r="CY74" i="11" s="1"/>
  <c r="CW70" i="11"/>
  <c r="CY70" i="11" s="1"/>
  <c r="CW66" i="11"/>
  <c r="CY66" i="11" s="1"/>
  <c r="CW62" i="11"/>
  <c r="CY62" i="11" s="1"/>
  <c r="CW58" i="11"/>
  <c r="CY58" i="11" s="1"/>
  <c r="CW54" i="11"/>
  <c r="CY54" i="11" s="1"/>
  <c r="CW50" i="11"/>
  <c r="CY50" i="11" s="1"/>
  <c r="CW46" i="11"/>
  <c r="CY46" i="11" s="1"/>
  <c r="CW42" i="11"/>
  <c r="CY42" i="11" s="1"/>
  <c r="CW38" i="11"/>
  <c r="CY38" i="11" s="1"/>
  <c r="CW34" i="11"/>
  <c r="CY34" i="11" s="1"/>
  <c r="CW30" i="11"/>
  <c r="CY30" i="11" s="1"/>
  <c r="CW26" i="11"/>
  <c r="CY26" i="11" s="1"/>
  <c r="CW22" i="11"/>
  <c r="CY22" i="11" s="1"/>
  <c r="CW18" i="11"/>
  <c r="CY18" i="11" s="1"/>
  <c r="CW14" i="11"/>
  <c r="CY14" i="11" s="1"/>
  <c r="CW10" i="11"/>
  <c r="CY10" i="11" s="1"/>
  <c r="CW6" i="11"/>
  <c r="CY6" i="11" s="1"/>
  <c r="CA198" i="11" l="1"/>
  <c r="BZ198" i="11"/>
  <c r="BY198" i="11"/>
  <c r="BX198" i="11"/>
  <c r="BW198" i="11"/>
  <c r="BV198" i="11"/>
  <c r="BU198" i="11"/>
  <c r="BT198" i="11"/>
  <c r="BS198" i="11"/>
  <c r="BR198" i="11"/>
  <c r="BQ198" i="11"/>
  <c r="BP198" i="11"/>
  <c r="BO198" i="11"/>
  <c r="BN198" i="11"/>
  <c r="BM198" i="11"/>
  <c r="BL198" i="11"/>
  <c r="BK198" i="11"/>
  <c r="BJ198" i="11"/>
  <c r="BI198" i="11"/>
  <c r="BH198" i="11"/>
  <c r="BG198" i="11"/>
  <c r="BF198" i="11"/>
  <c r="BE198" i="11"/>
  <c r="BD198" i="11"/>
  <c r="D2" i="7"/>
  <c r="G10" i="7"/>
  <c r="BY25" i="5" l="1"/>
  <c r="BY24" i="5"/>
  <c r="BY23" i="5"/>
  <c r="BY22" i="5"/>
  <c r="CC5" i="1"/>
  <c r="CC6" i="1"/>
  <c r="BY26" i="5" l="1"/>
  <c r="D3" i="7"/>
  <c r="D4" i="7"/>
  <c r="BY58" i="5" l="1"/>
  <c r="BY57" i="5"/>
  <c r="BY56" i="5"/>
  <c r="BY55" i="5"/>
  <c r="BW24" i="5"/>
  <c r="BW55" i="5"/>
  <c r="BW57" i="5"/>
  <c r="BW22" i="5"/>
  <c r="BW25" i="5"/>
  <c r="BW58" i="5"/>
  <c r="BW23" i="5"/>
  <c r="BW56" i="5"/>
  <c r="BY59" i="5" l="1"/>
  <c r="R17" i="24"/>
  <c r="S17" i="24" s="1"/>
  <c r="R18" i="24"/>
  <c r="S18" i="24" s="1"/>
  <c r="R20" i="24"/>
  <c r="S20" i="24" s="1"/>
  <c r="R19" i="24"/>
  <c r="S19" i="24" s="1"/>
  <c r="BW59" i="5"/>
  <c r="BW26" i="5"/>
  <c r="F10" i="7"/>
  <c r="C5" i="20"/>
  <c r="BY32" i="5" l="1"/>
  <c r="BY64" i="5"/>
  <c r="DA188" i="11"/>
  <c r="DA187" i="11"/>
  <c r="BW32" i="5"/>
  <c r="CB187" i="11"/>
  <c r="BW64" i="5"/>
  <c r="CB188" i="11"/>
  <c r="H4" i="7" l="1"/>
  <c r="E290" i="1"/>
  <c r="E289" i="1"/>
  <c r="E287" i="1"/>
  <c r="E286" i="1"/>
  <c r="E284" i="1"/>
  <c r="E283" i="1"/>
  <c r="E281" i="1"/>
  <c r="E280" i="1"/>
  <c r="E278" i="1"/>
  <c r="E277" i="1"/>
  <c r="E275" i="1"/>
  <c r="E274" i="1"/>
  <c r="E272" i="1"/>
  <c r="E271" i="1"/>
  <c r="E269" i="1"/>
  <c r="E268" i="1"/>
  <c r="E266" i="1"/>
  <c r="E265" i="1"/>
  <c r="E263" i="1"/>
  <c r="E262" i="1"/>
  <c r="E260" i="1"/>
  <c r="E259" i="1"/>
  <c r="E257" i="1"/>
  <c r="BX260" i="1" l="1"/>
  <c r="BT260" i="1"/>
  <c r="BP260" i="1"/>
  <c r="BZ260" i="1"/>
  <c r="BU260" i="1"/>
  <c r="BO260" i="1"/>
  <c r="BK260" i="1"/>
  <c r="BG260" i="1"/>
  <c r="BC260" i="1"/>
  <c r="AY260" i="1"/>
  <c r="AU260" i="1"/>
  <c r="AQ260" i="1"/>
  <c r="AM260" i="1"/>
  <c r="AI260" i="1"/>
  <c r="AE260" i="1"/>
  <c r="AA260" i="1"/>
  <c r="W260" i="1"/>
  <c r="S260" i="1"/>
  <c r="O260" i="1"/>
  <c r="K260" i="1"/>
  <c r="BY260" i="1"/>
  <c r="BS260" i="1"/>
  <c r="BN260" i="1"/>
  <c r="BJ260" i="1"/>
  <c r="BF260" i="1"/>
  <c r="BB260" i="1"/>
  <c r="AX260" i="1"/>
  <c r="AT260" i="1"/>
  <c r="AP260" i="1"/>
  <c r="AL260" i="1"/>
  <c r="AH260" i="1"/>
  <c r="AD260" i="1"/>
  <c r="Z260" i="1"/>
  <c r="V260" i="1"/>
  <c r="R260" i="1"/>
  <c r="N260" i="1"/>
  <c r="J260" i="1"/>
  <c r="CA260" i="1"/>
  <c r="BQ260" i="1"/>
  <c r="BH260" i="1"/>
  <c r="AZ260" i="1"/>
  <c r="AR260" i="1"/>
  <c r="AJ260" i="1"/>
  <c r="AB260" i="1"/>
  <c r="T260" i="1"/>
  <c r="L260" i="1"/>
  <c r="BW260" i="1"/>
  <c r="BM260" i="1"/>
  <c r="BE260" i="1"/>
  <c r="AW260" i="1"/>
  <c r="AO260" i="1"/>
  <c r="AG260" i="1"/>
  <c r="Y260" i="1"/>
  <c r="Q260" i="1"/>
  <c r="I260" i="1"/>
  <c r="BV260" i="1"/>
  <c r="BL260" i="1"/>
  <c r="BD260" i="1"/>
  <c r="AV260" i="1"/>
  <c r="AN260" i="1"/>
  <c r="AF260" i="1"/>
  <c r="X260" i="1"/>
  <c r="P260" i="1"/>
  <c r="H260" i="1"/>
  <c r="BA260" i="1"/>
  <c r="U260" i="1"/>
  <c r="AS260" i="1"/>
  <c r="M260" i="1"/>
  <c r="BR260" i="1"/>
  <c r="AK260" i="1"/>
  <c r="BI260" i="1"/>
  <c r="AC260" i="1"/>
  <c r="ET272" i="1"/>
  <c r="BT47" i="5" s="1"/>
  <c r="EP272" i="1"/>
  <c r="BP47" i="5" s="1"/>
  <c r="EL272" i="1"/>
  <c r="BL47" i="5" s="1"/>
  <c r="EH272" i="1"/>
  <c r="BH47" i="5" s="1"/>
  <c r="ED272" i="1"/>
  <c r="BD47" i="5" s="1"/>
  <c r="DZ272" i="1"/>
  <c r="AZ47" i="5" s="1"/>
  <c r="DV272" i="1"/>
  <c r="DR272" i="1"/>
  <c r="DN272" i="1"/>
  <c r="DJ272" i="1"/>
  <c r="DF272" i="1"/>
  <c r="DB272" i="1"/>
  <c r="CX272" i="1"/>
  <c r="CT272" i="1"/>
  <c r="CP272" i="1"/>
  <c r="CL272" i="1"/>
  <c r="CH272" i="1"/>
  <c r="CD272" i="1"/>
  <c r="ER272" i="1"/>
  <c r="BR47" i="5" s="1"/>
  <c r="EM272" i="1"/>
  <c r="BM47" i="5" s="1"/>
  <c r="EG272" i="1"/>
  <c r="BG47" i="5" s="1"/>
  <c r="EB272" i="1"/>
  <c r="BB47" i="5" s="1"/>
  <c r="DW272" i="1"/>
  <c r="DQ272" i="1"/>
  <c r="DL272" i="1"/>
  <c r="DG272" i="1"/>
  <c r="DA272" i="1"/>
  <c r="CV272" i="1"/>
  <c r="CQ272" i="1"/>
  <c r="CK272" i="1"/>
  <c r="CF272" i="1"/>
  <c r="EU272" i="1"/>
  <c r="BU47" i="5" s="1"/>
  <c r="EN272" i="1"/>
  <c r="BN47" i="5" s="1"/>
  <c r="EF272" i="1"/>
  <c r="BF47" i="5" s="1"/>
  <c r="DY272" i="1"/>
  <c r="AY47" i="5" s="1"/>
  <c r="DS272" i="1"/>
  <c r="DK272" i="1"/>
  <c r="DD272" i="1"/>
  <c r="CW272" i="1"/>
  <c r="CO272" i="1"/>
  <c r="CI272" i="1"/>
  <c r="CA272" i="1"/>
  <c r="BW272" i="1"/>
  <c r="BS272" i="1"/>
  <c r="BO272" i="1"/>
  <c r="BK272" i="1"/>
  <c r="BG272" i="1"/>
  <c r="BC272" i="1"/>
  <c r="AY272" i="1"/>
  <c r="AU272" i="1"/>
  <c r="AQ272" i="1"/>
  <c r="AM272" i="1"/>
  <c r="AI272" i="1"/>
  <c r="AE272" i="1"/>
  <c r="AA272" i="1"/>
  <c r="W272" i="1"/>
  <c r="S272" i="1"/>
  <c r="O272" i="1"/>
  <c r="K272" i="1"/>
  <c r="EQ272" i="1"/>
  <c r="BQ47" i="5" s="1"/>
  <c r="EI272" i="1"/>
  <c r="BI47" i="5" s="1"/>
  <c r="DX272" i="1"/>
  <c r="DO272" i="1"/>
  <c r="DE272" i="1"/>
  <c r="CU272" i="1"/>
  <c r="CM272" i="1"/>
  <c r="CC272" i="1"/>
  <c r="BX272" i="1"/>
  <c r="BR272" i="1"/>
  <c r="BM272" i="1"/>
  <c r="BH272" i="1"/>
  <c r="BB272" i="1"/>
  <c r="AW272" i="1"/>
  <c r="AR272" i="1"/>
  <c r="AL272" i="1"/>
  <c r="AG272" i="1"/>
  <c r="AB272" i="1"/>
  <c r="V272" i="1"/>
  <c r="Q272" i="1"/>
  <c r="L272" i="1"/>
  <c r="EV272" i="1"/>
  <c r="BV47" i="5" s="1"/>
  <c r="EJ272" i="1"/>
  <c r="BJ47" i="5" s="1"/>
  <c r="DU272" i="1"/>
  <c r="DI272" i="1"/>
  <c r="CY272" i="1"/>
  <c r="CJ272" i="1"/>
  <c r="BV272" i="1"/>
  <c r="BP272" i="1"/>
  <c r="BI272" i="1"/>
  <c r="BA272" i="1"/>
  <c r="AT272" i="1"/>
  <c r="AN272" i="1"/>
  <c r="AF272" i="1"/>
  <c r="Y272" i="1"/>
  <c r="R272" i="1"/>
  <c r="J272" i="1"/>
  <c r="ES272" i="1"/>
  <c r="BS47" i="5" s="1"/>
  <c r="EE272" i="1"/>
  <c r="BE47" i="5" s="1"/>
  <c r="DT272" i="1"/>
  <c r="DH272" i="1"/>
  <c r="CS272" i="1"/>
  <c r="CG272" i="1"/>
  <c r="BU272" i="1"/>
  <c r="BN272" i="1"/>
  <c r="BF272" i="1"/>
  <c r="AZ272" i="1"/>
  <c r="AS272" i="1"/>
  <c r="AK272" i="1"/>
  <c r="AD272" i="1"/>
  <c r="X272" i="1"/>
  <c r="P272" i="1"/>
  <c r="I272" i="1"/>
  <c r="EA272" i="1"/>
  <c r="BA47" i="5" s="1"/>
  <c r="CZ272" i="1"/>
  <c r="BY272" i="1"/>
  <c r="BJ272" i="1"/>
  <c r="AV272" i="1"/>
  <c r="AH272" i="1"/>
  <c r="T272" i="1"/>
  <c r="EO272" i="1"/>
  <c r="BO47" i="5" s="1"/>
  <c r="DP272" i="1"/>
  <c r="CR272" i="1"/>
  <c r="BT272" i="1"/>
  <c r="BE272" i="1"/>
  <c r="AP272" i="1"/>
  <c r="AC272" i="1"/>
  <c r="N272" i="1"/>
  <c r="EK272" i="1"/>
  <c r="BK47" i="5" s="1"/>
  <c r="DM272" i="1"/>
  <c r="CN272" i="1"/>
  <c r="BQ272" i="1"/>
  <c r="BD272" i="1"/>
  <c r="AO272" i="1"/>
  <c r="Z272" i="1"/>
  <c r="M272" i="1"/>
  <c r="EC272" i="1"/>
  <c r="BC47" i="5" s="1"/>
  <c r="AJ272" i="1"/>
  <c r="BZ272" i="1"/>
  <c r="U272" i="1"/>
  <c r="DC272" i="1"/>
  <c r="BL272" i="1"/>
  <c r="H272" i="1"/>
  <c r="CE272" i="1"/>
  <c r="AX272" i="1"/>
  <c r="BX262" i="1"/>
  <c r="BT262" i="1"/>
  <c r="BP262" i="1"/>
  <c r="BL262" i="1"/>
  <c r="BH262" i="1"/>
  <c r="BD262" i="1"/>
  <c r="AZ262" i="1"/>
  <c r="AV262" i="1"/>
  <c r="AR262" i="1"/>
  <c r="AN262" i="1"/>
  <c r="AJ262" i="1"/>
  <c r="AF262" i="1"/>
  <c r="AB262" i="1"/>
  <c r="X262" i="1"/>
  <c r="T262" i="1"/>
  <c r="P262" i="1"/>
  <c r="L262" i="1"/>
  <c r="H262" i="1"/>
  <c r="BW262" i="1"/>
  <c r="BR262" i="1"/>
  <c r="BM262" i="1"/>
  <c r="BG262" i="1"/>
  <c r="BB262" i="1"/>
  <c r="AW262" i="1"/>
  <c r="AQ262" i="1"/>
  <c r="AL262" i="1"/>
  <c r="AG262" i="1"/>
  <c r="AA262" i="1"/>
  <c r="V262" i="1"/>
  <c r="Q262" i="1"/>
  <c r="K262" i="1"/>
  <c r="CA262" i="1"/>
  <c r="BV262" i="1"/>
  <c r="BQ262" i="1"/>
  <c r="BK262" i="1"/>
  <c r="BF262" i="1"/>
  <c r="BA262" i="1"/>
  <c r="AU262" i="1"/>
  <c r="AP262" i="1"/>
  <c r="AK262" i="1"/>
  <c r="AE262" i="1"/>
  <c r="Z262" i="1"/>
  <c r="U262" i="1"/>
  <c r="O262" i="1"/>
  <c r="J262" i="1"/>
  <c r="BS262" i="1"/>
  <c r="BI262" i="1"/>
  <c r="AX262" i="1"/>
  <c r="AM262" i="1"/>
  <c r="AC262" i="1"/>
  <c r="R262" i="1"/>
  <c r="BZ262" i="1"/>
  <c r="BO262" i="1"/>
  <c r="BE262" i="1"/>
  <c r="AT262" i="1"/>
  <c r="AI262" i="1"/>
  <c r="Y262" i="1"/>
  <c r="N262" i="1"/>
  <c r="BY262" i="1"/>
  <c r="BN262" i="1"/>
  <c r="BC262" i="1"/>
  <c r="AS262" i="1"/>
  <c r="AH262" i="1"/>
  <c r="W262" i="1"/>
  <c r="M262" i="1"/>
  <c r="BJ262" i="1"/>
  <c r="S262" i="1"/>
  <c r="AY262" i="1"/>
  <c r="I262" i="1"/>
  <c r="AO262" i="1"/>
  <c r="BU262" i="1"/>
  <c r="AD262" i="1"/>
  <c r="CA274" i="1"/>
  <c r="BW274" i="1"/>
  <c r="BS274" i="1"/>
  <c r="BO274" i="1"/>
  <c r="BK274" i="1"/>
  <c r="BG274" i="1"/>
  <c r="BC274" i="1"/>
  <c r="AY274" i="1"/>
  <c r="AU274" i="1"/>
  <c r="AQ274" i="1"/>
  <c r="AM274" i="1"/>
  <c r="AI274" i="1"/>
  <c r="AE274" i="1"/>
  <c r="AA274" i="1"/>
  <c r="W274" i="1"/>
  <c r="S274" i="1"/>
  <c r="O274" i="1"/>
  <c r="BV274" i="1"/>
  <c r="BQ274" i="1"/>
  <c r="BL274" i="1"/>
  <c r="BF274" i="1"/>
  <c r="BA274" i="1"/>
  <c r="AV274" i="1"/>
  <c r="AP274" i="1"/>
  <c r="AK274" i="1"/>
  <c r="AF274" i="1"/>
  <c r="Z274" i="1"/>
  <c r="U274" i="1"/>
  <c r="P274" i="1"/>
  <c r="K274" i="1"/>
  <c r="BZ274" i="1"/>
  <c r="BT274" i="1"/>
  <c r="BM274" i="1"/>
  <c r="BE274" i="1"/>
  <c r="AX274" i="1"/>
  <c r="AR274" i="1"/>
  <c r="AJ274" i="1"/>
  <c r="AC274" i="1"/>
  <c r="V274" i="1"/>
  <c r="N274" i="1"/>
  <c r="I274" i="1"/>
  <c r="BX274" i="1"/>
  <c r="BN274" i="1"/>
  <c r="BD274" i="1"/>
  <c r="AT274" i="1"/>
  <c r="AL274" i="1"/>
  <c r="AB274" i="1"/>
  <c r="R274" i="1"/>
  <c r="J274" i="1"/>
  <c r="BU274" i="1"/>
  <c r="BJ274" i="1"/>
  <c r="BB274" i="1"/>
  <c r="AS274" i="1"/>
  <c r="AH274" i="1"/>
  <c r="Y274" i="1"/>
  <c r="Q274" i="1"/>
  <c r="H274" i="1"/>
  <c r="BY274" i="1"/>
  <c r="BH274" i="1"/>
  <c r="AN274" i="1"/>
  <c r="T274" i="1"/>
  <c r="BR274" i="1"/>
  <c r="AZ274" i="1"/>
  <c r="AG274" i="1"/>
  <c r="M274" i="1"/>
  <c r="BP274" i="1"/>
  <c r="AW274" i="1"/>
  <c r="AD274" i="1"/>
  <c r="L274" i="1"/>
  <c r="X274" i="1"/>
  <c r="BI274" i="1"/>
  <c r="AO274" i="1"/>
  <c r="J257" i="1"/>
  <c r="BX257" i="1"/>
  <c r="BT257" i="1"/>
  <c r="BP257" i="1"/>
  <c r="BL257" i="1"/>
  <c r="BH257" i="1"/>
  <c r="BD257" i="1"/>
  <c r="AZ257" i="1"/>
  <c r="AV257" i="1"/>
  <c r="AR257" i="1"/>
  <c r="AN257" i="1"/>
  <c r="AJ257" i="1"/>
  <c r="AF257" i="1"/>
  <c r="AB257" i="1"/>
  <c r="X257" i="1"/>
  <c r="T257" i="1"/>
  <c r="P257" i="1"/>
  <c r="L257" i="1"/>
  <c r="BW257" i="1"/>
  <c r="BR257" i="1"/>
  <c r="BM257" i="1"/>
  <c r="BG257" i="1"/>
  <c r="BB257" i="1"/>
  <c r="AW257" i="1"/>
  <c r="AQ257" i="1"/>
  <c r="AL257" i="1"/>
  <c r="AG257" i="1"/>
  <c r="AA257" i="1"/>
  <c r="V257" i="1"/>
  <c r="Q257" i="1"/>
  <c r="K257" i="1"/>
  <c r="CA257" i="1"/>
  <c r="BV257" i="1"/>
  <c r="BQ257" i="1"/>
  <c r="BK257" i="1"/>
  <c r="BF257" i="1"/>
  <c r="BA257" i="1"/>
  <c r="AU257" i="1"/>
  <c r="AP257" i="1"/>
  <c r="AK257" i="1"/>
  <c r="AE257" i="1"/>
  <c r="Z257" i="1"/>
  <c r="U257" i="1"/>
  <c r="O257" i="1"/>
  <c r="I257" i="1"/>
  <c r="BZ257" i="1"/>
  <c r="BU257" i="1"/>
  <c r="BO257" i="1"/>
  <c r="BJ257" i="1"/>
  <c r="BE257" i="1"/>
  <c r="AY257" i="1"/>
  <c r="AT257" i="1"/>
  <c r="AO257" i="1"/>
  <c r="AI257" i="1"/>
  <c r="AD257" i="1"/>
  <c r="Y257" i="1"/>
  <c r="S257" i="1"/>
  <c r="N257" i="1"/>
  <c r="H257" i="1"/>
  <c r="BY257" i="1"/>
  <c r="BC257" i="1"/>
  <c r="AH257" i="1"/>
  <c r="M257" i="1"/>
  <c r="BS257" i="1"/>
  <c r="AX257" i="1"/>
  <c r="AC257" i="1"/>
  <c r="BN257" i="1"/>
  <c r="AS257" i="1"/>
  <c r="W257" i="1"/>
  <c r="BI257" i="1"/>
  <c r="AM257" i="1"/>
  <c r="R257" i="1"/>
  <c r="BX263" i="1"/>
  <c r="BT263" i="1"/>
  <c r="BP263" i="1"/>
  <c r="BL263" i="1"/>
  <c r="BH263" i="1"/>
  <c r="BD263" i="1"/>
  <c r="AZ263" i="1"/>
  <c r="AV263" i="1"/>
  <c r="AR263" i="1"/>
  <c r="AN263" i="1"/>
  <c r="AJ263" i="1"/>
  <c r="AF263" i="1"/>
  <c r="AB263" i="1"/>
  <c r="X263" i="1"/>
  <c r="T263" i="1"/>
  <c r="P263" i="1"/>
  <c r="L263" i="1"/>
  <c r="H263" i="1"/>
  <c r="BZ263" i="1"/>
  <c r="BU263" i="1"/>
  <c r="BO263" i="1"/>
  <c r="BJ263" i="1"/>
  <c r="BE263" i="1"/>
  <c r="AY263" i="1"/>
  <c r="AT263" i="1"/>
  <c r="AO263" i="1"/>
  <c r="AI263" i="1"/>
  <c r="AD263" i="1"/>
  <c r="Y263" i="1"/>
  <c r="S263" i="1"/>
  <c r="N263" i="1"/>
  <c r="I263" i="1"/>
  <c r="BY263" i="1"/>
  <c r="BS263" i="1"/>
  <c r="BN263" i="1"/>
  <c r="BI263" i="1"/>
  <c r="BC263" i="1"/>
  <c r="AX263" i="1"/>
  <c r="AS263" i="1"/>
  <c r="AM263" i="1"/>
  <c r="AH263" i="1"/>
  <c r="AC263" i="1"/>
  <c r="W263" i="1"/>
  <c r="R263" i="1"/>
  <c r="M263" i="1"/>
  <c r="BV263" i="1"/>
  <c r="BK263" i="1"/>
  <c r="BA263" i="1"/>
  <c r="AP263" i="1"/>
  <c r="AE263" i="1"/>
  <c r="U263" i="1"/>
  <c r="J263" i="1"/>
  <c r="BR263" i="1"/>
  <c r="BG263" i="1"/>
  <c r="AW263" i="1"/>
  <c r="AL263" i="1"/>
  <c r="AA263" i="1"/>
  <c r="Q263" i="1"/>
  <c r="CA263" i="1"/>
  <c r="BQ263" i="1"/>
  <c r="BF263" i="1"/>
  <c r="AU263" i="1"/>
  <c r="AK263" i="1"/>
  <c r="Z263" i="1"/>
  <c r="O263" i="1"/>
  <c r="BW263" i="1"/>
  <c r="AG263" i="1"/>
  <c r="BM263" i="1"/>
  <c r="V263" i="1"/>
  <c r="BB263" i="1"/>
  <c r="K263" i="1"/>
  <c r="AQ263" i="1"/>
  <c r="CA269" i="1"/>
  <c r="BW269" i="1"/>
  <c r="BS269" i="1"/>
  <c r="BO269" i="1"/>
  <c r="BK269" i="1"/>
  <c r="BG269" i="1"/>
  <c r="BC269" i="1"/>
  <c r="AY269" i="1"/>
  <c r="AU269" i="1"/>
  <c r="AQ269" i="1"/>
  <c r="AM269" i="1"/>
  <c r="AI269" i="1"/>
  <c r="AE269" i="1"/>
  <c r="AA269" i="1"/>
  <c r="W269" i="1"/>
  <c r="S269" i="1"/>
  <c r="O269" i="1"/>
  <c r="K269" i="1"/>
  <c r="BX269" i="1"/>
  <c r="BR269" i="1"/>
  <c r="BM269" i="1"/>
  <c r="BH269" i="1"/>
  <c r="BB269" i="1"/>
  <c r="AW269" i="1"/>
  <c r="AR269" i="1"/>
  <c r="AL269" i="1"/>
  <c r="AG269" i="1"/>
  <c r="AB269" i="1"/>
  <c r="V269" i="1"/>
  <c r="Q269" i="1"/>
  <c r="L269" i="1"/>
  <c r="BY269" i="1"/>
  <c r="BQ269" i="1"/>
  <c r="BJ269" i="1"/>
  <c r="BD269" i="1"/>
  <c r="AV269" i="1"/>
  <c r="AO269" i="1"/>
  <c r="AH269" i="1"/>
  <c r="Z269" i="1"/>
  <c r="T269" i="1"/>
  <c r="M269" i="1"/>
  <c r="BV269" i="1"/>
  <c r="BP269" i="1"/>
  <c r="BI269" i="1"/>
  <c r="BA269" i="1"/>
  <c r="AT269" i="1"/>
  <c r="AN269" i="1"/>
  <c r="AF269" i="1"/>
  <c r="Y269" i="1"/>
  <c r="R269" i="1"/>
  <c r="J269" i="1"/>
  <c r="BZ269" i="1"/>
  <c r="BL269" i="1"/>
  <c r="AX269" i="1"/>
  <c r="AJ269" i="1"/>
  <c r="U269" i="1"/>
  <c r="H269" i="1"/>
  <c r="BU269" i="1"/>
  <c r="BF269" i="1"/>
  <c r="AS269" i="1"/>
  <c r="AD269" i="1"/>
  <c r="P269" i="1"/>
  <c r="BT269" i="1"/>
  <c r="BE269" i="1"/>
  <c r="AP269" i="1"/>
  <c r="AC269" i="1"/>
  <c r="N269" i="1"/>
  <c r="BN269" i="1"/>
  <c r="I269" i="1"/>
  <c r="AZ269" i="1"/>
  <c r="AK269" i="1"/>
  <c r="X269" i="1"/>
  <c r="BY275" i="1"/>
  <c r="BU275" i="1"/>
  <c r="BQ275" i="1"/>
  <c r="BM275" i="1"/>
  <c r="BI275" i="1"/>
  <c r="BE275" i="1"/>
  <c r="BA275" i="1"/>
  <c r="AW275" i="1"/>
  <c r="AS275" i="1"/>
  <c r="AO275" i="1"/>
  <c r="AK275" i="1"/>
  <c r="AG275" i="1"/>
  <c r="AC275" i="1"/>
  <c r="BW275" i="1"/>
  <c r="BR275" i="1"/>
  <c r="BL275" i="1"/>
  <c r="BG275" i="1"/>
  <c r="BB275" i="1"/>
  <c r="AV275" i="1"/>
  <c r="AQ275" i="1"/>
  <c r="AL275" i="1"/>
  <c r="AF275" i="1"/>
  <c r="AA275" i="1"/>
  <c r="W275" i="1"/>
  <c r="S275" i="1"/>
  <c r="O275" i="1"/>
  <c r="K275" i="1"/>
  <c r="CA275" i="1"/>
  <c r="BT275" i="1"/>
  <c r="BN275" i="1"/>
  <c r="BF275" i="1"/>
  <c r="AY275" i="1"/>
  <c r="AR275" i="1"/>
  <c r="AJ275" i="1"/>
  <c r="AD275" i="1"/>
  <c r="X275" i="1"/>
  <c r="R275" i="1"/>
  <c r="M275" i="1"/>
  <c r="H275" i="1"/>
  <c r="BX275" i="1"/>
  <c r="BO275" i="1"/>
  <c r="BD275" i="1"/>
  <c r="AU275" i="1"/>
  <c r="AM275" i="1"/>
  <c r="AB275" i="1"/>
  <c r="U275" i="1"/>
  <c r="N275" i="1"/>
  <c r="BS275" i="1"/>
  <c r="BH275" i="1"/>
  <c r="AT275" i="1"/>
  <c r="AH275" i="1"/>
  <c r="V275" i="1"/>
  <c r="L275" i="1"/>
  <c r="BP275" i="1"/>
  <c r="BC275" i="1"/>
  <c r="AP275" i="1"/>
  <c r="AE275" i="1"/>
  <c r="T275" i="1"/>
  <c r="J275" i="1"/>
  <c r="BV275" i="1"/>
  <c r="AX275" i="1"/>
  <c r="Y275" i="1"/>
  <c r="BK275" i="1"/>
  <c r="AN275" i="1"/>
  <c r="Q275" i="1"/>
  <c r="BJ275" i="1"/>
  <c r="AI275" i="1"/>
  <c r="P275" i="1"/>
  <c r="Z275" i="1"/>
  <c r="I275" i="1"/>
  <c r="BZ275" i="1"/>
  <c r="AZ275" i="1"/>
  <c r="CA266" i="1"/>
  <c r="BW266" i="1"/>
  <c r="BS266" i="1"/>
  <c r="BO266" i="1"/>
  <c r="BK266" i="1"/>
  <c r="BG266" i="1"/>
  <c r="BC266" i="1"/>
  <c r="AY266" i="1"/>
  <c r="AU266" i="1"/>
  <c r="AQ266" i="1"/>
  <c r="AM266" i="1"/>
  <c r="AI266" i="1"/>
  <c r="AE266" i="1"/>
  <c r="AA266" i="1"/>
  <c r="W266" i="1"/>
  <c r="S266" i="1"/>
  <c r="O266" i="1"/>
  <c r="K266" i="1"/>
  <c r="BX266" i="1"/>
  <c r="BR266" i="1"/>
  <c r="BM266" i="1"/>
  <c r="BH266" i="1"/>
  <c r="BB266" i="1"/>
  <c r="AW266" i="1"/>
  <c r="AR266" i="1"/>
  <c r="AL266" i="1"/>
  <c r="AG266" i="1"/>
  <c r="AB266" i="1"/>
  <c r="V266" i="1"/>
  <c r="Q266" i="1"/>
  <c r="L266" i="1"/>
  <c r="BZ266" i="1"/>
  <c r="BT266" i="1"/>
  <c r="BL266" i="1"/>
  <c r="BE266" i="1"/>
  <c r="AX266" i="1"/>
  <c r="AP266" i="1"/>
  <c r="AJ266" i="1"/>
  <c r="AC266" i="1"/>
  <c r="U266" i="1"/>
  <c r="N266" i="1"/>
  <c r="H266" i="1"/>
  <c r="BY266" i="1"/>
  <c r="BQ266" i="1"/>
  <c r="BJ266" i="1"/>
  <c r="BD266" i="1"/>
  <c r="AV266" i="1"/>
  <c r="AO266" i="1"/>
  <c r="AH266" i="1"/>
  <c r="Z266" i="1"/>
  <c r="T266" i="1"/>
  <c r="M266" i="1"/>
  <c r="BN266" i="1"/>
  <c r="AZ266" i="1"/>
  <c r="AK266" i="1"/>
  <c r="X266" i="1"/>
  <c r="I266" i="1"/>
  <c r="BV266" i="1"/>
  <c r="BI266" i="1"/>
  <c r="AT266" i="1"/>
  <c r="AF266" i="1"/>
  <c r="R266" i="1"/>
  <c r="BU266" i="1"/>
  <c r="BF266" i="1"/>
  <c r="AS266" i="1"/>
  <c r="AD266" i="1"/>
  <c r="P266" i="1"/>
  <c r="AN266" i="1"/>
  <c r="Y266" i="1"/>
  <c r="BP266" i="1"/>
  <c r="J266" i="1"/>
  <c r="BA266" i="1"/>
  <c r="CA268" i="1"/>
  <c r="BW268" i="1"/>
  <c r="BS268" i="1"/>
  <c r="BO268" i="1"/>
  <c r="BK268" i="1"/>
  <c r="BG268" i="1"/>
  <c r="BC268" i="1"/>
  <c r="AY268" i="1"/>
  <c r="AU268" i="1"/>
  <c r="AQ268" i="1"/>
  <c r="AM268" i="1"/>
  <c r="AI268" i="1"/>
  <c r="AE268" i="1"/>
  <c r="AA268" i="1"/>
  <c r="W268" i="1"/>
  <c r="S268" i="1"/>
  <c r="O268" i="1"/>
  <c r="K268" i="1"/>
  <c r="BZ268" i="1"/>
  <c r="BU268" i="1"/>
  <c r="BP268" i="1"/>
  <c r="BJ268" i="1"/>
  <c r="BE268" i="1"/>
  <c r="AZ268" i="1"/>
  <c r="AT268" i="1"/>
  <c r="AO268" i="1"/>
  <c r="AJ268" i="1"/>
  <c r="AD268" i="1"/>
  <c r="Y268" i="1"/>
  <c r="T268" i="1"/>
  <c r="N268" i="1"/>
  <c r="I268" i="1"/>
  <c r="BY268" i="1"/>
  <c r="BR268" i="1"/>
  <c r="BL268" i="1"/>
  <c r="BD268" i="1"/>
  <c r="AW268" i="1"/>
  <c r="AP268" i="1"/>
  <c r="AH268" i="1"/>
  <c r="AB268" i="1"/>
  <c r="U268" i="1"/>
  <c r="M268" i="1"/>
  <c r="BX268" i="1"/>
  <c r="BQ268" i="1"/>
  <c r="BI268" i="1"/>
  <c r="BB268" i="1"/>
  <c r="AV268" i="1"/>
  <c r="AN268" i="1"/>
  <c r="AG268" i="1"/>
  <c r="Z268" i="1"/>
  <c r="R268" i="1"/>
  <c r="L268" i="1"/>
  <c r="BM268" i="1"/>
  <c r="AX268" i="1"/>
  <c r="AK268" i="1"/>
  <c r="V268" i="1"/>
  <c r="H268" i="1"/>
  <c r="BV268" i="1"/>
  <c r="BH268" i="1"/>
  <c r="AS268" i="1"/>
  <c r="AF268" i="1"/>
  <c r="Q268" i="1"/>
  <c r="BT268" i="1"/>
  <c r="BF268" i="1"/>
  <c r="AR268" i="1"/>
  <c r="AC268" i="1"/>
  <c r="P268" i="1"/>
  <c r="X268" i="1"/>
  <c r="BN268" i="1"/>
  <c r="J268" i="1"/>
  <c r="BA268" i="1"/>
  <c r="AL268" i="1"/>
  <c r="CA259" i="1"/>
  <c r="BW259" i="1"/>
  <c r="BS259" i="1"/>
  <c r="BO259" i="1"/>
  <c r="BK259" i="1"/>
  <c r="BG259" i="1"/>
  <c r="BC259" i="1"/>
  <c r="AY259" i="1"/>
  <c r="AU259" i="1"/>
  <c r="AQ259" i="1"/>
  <c r="AM259" i="1"/>
  <c r="AI259" i="1"/>
  <c r="AE259" i="1"/>
  <c r="AA259" i="1"/>
  <c r="W259" i="1"/>
  <c r="S259" i="1"/>
  <c r="O259" i="1"/>
  <c r="K259" i="1"/>
  <c r="BZ259" i="1"/>
  <c r="BV259" i="1"/>
  <c r="BR259" i="1"/>
  <c r="BX259" i="1"/>
  <c r="BP259" i="1"/>
  <c r="BJ259" i="1"/>
  <c r="BE259" i="1"/>
  <c r="AZ259" i="1"/>
  <c r="AT259" i="1"/>
  <c r="AO259" i="1"/>
  <c r="AJ259" i="1"/>
  <c r="AD259" i="1"/>
  <c r="Y259" i="1"/>
  <c r="T259" i="1"/>
  <c r="N259" i="1"/>
  <c r="I259" i="1"/>
  <c r="BU259" i="1"/>
  <c r="BN259" i="1"/>
  <c r="BI259" i="1"/>
  <c r="BD259" i="1"/>
  <c r="AX259" i="1"/>
  <c r="AS259" i="1"/>
  <c r="AN259" i="1"/>
  <c r="AH259" i="1"/>
  <c r="AC259" i="1"/>
  <c r="X259" i="1"/>
  <c r="R259" i="1"/>
  <c r="M259" i="1"/>
  <c r="H259" i="1"/>
  <c r="BT259" i="1"/>
  <c r="BM259" i="1"/>
  <c r="BH259" i="1"/>
  <c r="BB259" i="1"/>
  <c r="AW259" i="1"/>
  <c r="AR259" i="1"/>
  <c r="AL259" i="1"/>
  <c r="AG259" i="1"/>
  <c r="AB259" i="1"/>
  <c r="V259" i="1"/>
  <c r="Q259" i="1"/>
  <c r="L259" i="1"/>
  <c r="BL259" i="1"/>
  <c r="AP259" i="1"/>
  <c r="U259" i="1"/>
  <c r="BF259" i="1"/>
  <c r="AK259" i="1"/>
  <c r="P259" i="1"/>
  <c r="BY259" i="1"/>
  <c r="BA259" i="1"/>
  <c r="AF259" i="1"/>
  <c r="J259" i="1"/>
  <c r="BQ259" i="1"/>
  <c r="AV259" i="1"/>
  <c r="Z259" i="1"/>
  <c r="CC259" i="1"/>
  <c r="CA265" i="1"/>
  <c r="BW265" i="1"/>
  <c r="BS265" i="1"/>
  <c r="BO265" i="1"/>
  <c r="BK265" i="1"/>
  <c r="BG265" i="1"/>
  <c r="BC265" i="1"/>
  <c r="AY265" i="1"/>
  <c r="AU265" i="1"/>
  <c r="AQ265" i="1"/>
  <c r="AM265" i="1"/>
  <c r="AI265" i="1"/>
  <c r="AE265" i="1"/>
  <c r="AA265" i="1"/>
  <c r="W265" i="1"/>
  <c r="BZ265" i="1"/>
  <c r="BU265" i="1"/>
  <c r="BP265" i="1"/>
  <c r="BJ265" i="1"/>
  <c r="BE265" i="1"/>
  <c r="AZ265" i="1"/>
  <c r="AT265" i="1"/>
  <c r="AO265" i="1"/>
  <c r="AJ265" i="1"/>
  <c r="AD265" i="1"/>
  <c r="Y265" i="1"/>
  <c r="T265" i="1"/>
  <c r="P265" i="1"/>
  <c r="L265" i="1"/>
  <c r="H265" i="1"/>
  <c r="BT265" i="1"/>
  <c r="BM265" i="1"/>
  <c r="BF265" i="1"/>
  <c r="AX265" i="1"/>
  <c r="AR265" i="1"/>
  <c r="AK265" i="1"/>
  <c r="AC265" i="1"/>
  <c r="V265" i="1"/>
  <c r="Q265" i="1"/>
  <c r="K265" i="1"/>
  <c r="BY265" i="1"/>
  <c r="BR265" i="1"/>
  <c r="BL265" i="1"/>
  <c r="BD265" i="1"/>
  <c r="AW265" i="1"/>
  <c r="AP265" i="1"/>
  <c r="AH265" i="1"/>
  <c r="AB265" i="1"/>
  <c r="U265" i="1"/>
  <c r="O265" i="1"/>
  <c r="J265" i="1"/>
  <c r="BN265" i="1"/>
  <c r="BA265" i="1"/>
  <c r="AL265" i="1"/>
  <c r="X265" i="1"/>
  <c r="M265" i="1"/>
  <c r="BX265" i="1"/>
  <c r="BI265" i="1"/>
  <c r="AV265" i="1"/>
  <c r="AG265" i="1"/>
  <c r="S265" i="1"/>
  <c r="I265" i="1"/>
  <c r="BV265" i="1"/>
  <c r="BH265" i="1"/>
  <c r="AS265" i="1"/>
  <c r="AF265" i="1"/>
  <c r="R265" i="1"/>
  <c r="BB265" i="1"/>
  <c r="AN265" i="1"/>
  <c r="Z265" i="1"/>
  <c r="BQ265" i="1"/>
  <c r="N265" i="1"/>
  <c r="ET271" i="1"/>
  <c r="BT14" i="5" s="1"/>
  <c r="EP271" i="1"/>
  <c r="BP14" i="5" s="1"/>
  <c r="EL271" i="1"/>
  <c r="BL14" i="5" s="1"/>
  <c r="EH271" i="1"/>
  <c r="BH14" i="5" s="1"/>
  <c r="ED271" i="1"/>
  <c r="BD14" i="5" s="1"/>
  <c r="DZ271" i="1"/>
  <c r="AZ14" i="5" s="1"/>
  <c r="DV271" i="1"/>
  <c r="DR271" i="1"/>
  <c r="DN271" i="1"/>
  <c r="DJ271" i="1"/>
  <c r="DF271" i="1"/>
  <c r="DB271" i="1"/>
  <c r="CX271" i="1"/>
  <c r="CT271" i="1"/>
  <c r="CP271" i="1"/>
  <c r="CL271" i="1"/>
  <c r="CH271" i="1"/>
  <c r="CD271" i="1"/>
  <c r="EU271" i="1"/>
  <c r="BU14" i="5" s="1"/>
  <c r="EO271" i="1"/>
  <c r="BO14" i="5" s="1"/>
  <c r="EJ271" i="1"/>
  <c r="BJ14" i="5" s="1"/>
  <c r="EE271" i="1"/>
  <c r="BE14" i="5" s="1"/>
  <c r="DY271" i="1"/>
  <c r="AY14" i="5" s="1"/>
  <c r="DT271" i="1"/>
  <c r="DO271" i="1"/>
  <c r="DI271" i="1"/>
  <c r="DD271" i="1"/>
  <c r="CY271" i="1"/>
  <c r="CS271" i="1"/>
  <c r="CN271" i="1"/>
  <c r="CI271" i="1"/>
  <c r="CC271" i="1"/>
  <c r="EV271" i="1"/>
  <c r="BV14" i="5" s="1"/>
  <c r="EN271" i="1"/>
  <c r="BN14" i="5" s="1"/>
  <c r="EG271" i="1"/>
  <c r="BG14" i="5" s="1"/>
  <c r="EA271" i="1"/>
  <c r="BA14" i="5" s="1"/>
  <c r="DS271" i="1"/>
  <c r="DL271" i="1"/>
  <c r="DE271" i="1"/>
  <c r="CW271" i="1"/>
  <c r="CQ271" i="1"/>
  <c r="CJ271" i="1"/>
  <c r="CA271" i="1"/>
  <c r="BW271" i="1"/>
  <c r="BS271" i="1"/>
  <c r="BO271" i="1"/>
  <c r="BK271" i="1"/>
  <c r="BG271" i="1"/>
  <c r="BC271" i="1"/>
  <c r="AY271" i="1"/>
  <c r="AU271" i="1"/>
  <c r="AQ271" i="1"/>
  <c r="AM271" i="1"/>
  <c r="AI271" i="1"/>
  <c r="AE271" i="1"/>
  <c r="AA271" i="1"/>
  <c r="W271" i="1"/>
  <c r="S271" i="1"/>
  <c r="O271" i="1"/>
  <c r="K271" i="1"/>
  <c r="EM271" i="1"/>
  <c r="BM14" i="5" s="1"/>
  <c r="EC271" i="1"/>
  <c r="BC14" i="5" s="1"/>
  <c r="DU271" i="1"/>
  <c r="DK271" i="1"/>
  <c r="DA271" i="1"/>
  <c r="CR271" i="1"/>
  <c r="CG271" i="1"/>
  <c r="BZ271" i="1"/>
  <c r="BU271" i="1"/>
  <c r="BP271" i="1"/>
  <c r="BJ271" i="1"/>
  <c r="BE271" i="1"/>
  <c r="AZ271" i="1"/>
  <c r="AT271" i="1"/>
  <c r="AO271" i="1"/>
  <c r="AJ271" i="1"/>
  <c r="AD271" i="1"/>
  <c r="Y271" i="1"/>
  <c r="T271" i="1"/>
  <c r="N271" i="1"/>
  <c r="I271" i="1"/>
  <c r="ER271" i="1"/>
  <c r="BR14" i="5" s="1"/>
  <c r="EF271" i="1"/>
  <c r="BF14" i="5" s="1"/>
  <c r="DQ271" i="1"/>
  <c r="DG271" i="1"/>
  <c r="CU271" i="1"/>
  <c r="CF271" i="1"/>
  <c r="BX271" i="1"/>
  <c r="BQ271" i="1"/>
  <c r="BI271" i="1"/>
  <c r="BB271" i="1"/>
  <c r="AV271" i="1"/>
  <c r="AN271" i="1"/>
  <c r="AG271" i="1"/>
  <c r="Z271" i="1"/>
  <c r="R271" i="1"/>
  <c r="L271" i="1"/>
  <c r="EQ271" i="1"/>
  <c r="BQ14" i="5" s="1"/>
  <c r="EB271" i="1"/>
  <c r="BB14" i="5" s="1"/>
  <c r="DP271" i="1"/>
  <c r="DC271" i="1"/>
  <c r="CO271" i="1"/>
  <c r="CE271" i="1"/>
  <c r="BV271" i="1"/>
  <c r="BN271" i="1"/>
  <c r="BH271" i="1"/>
  <c r="BA271" i="1"/>
  <c r="AS271" i="1"/>
  <c r="AL271" i="1"/>
  <c r="AF271" i="1"/>
  <c r="X271" i="1"/>
  <c r="Q271" i="1"/>
  <c r="J271" i="1"/>
  <c r="ES271" i="1"/>
  <c r="BS14" i="5" s="1"/>
  <c r="DW271" i="1"/>
  <c r="CV271" i="1"/>
  <c r="BY271" i="1"/>
  <c r="BL271" i="1"/>
  <c r="AW271" i="1"/>
  <c r="AH271" i="1"/>
  <c r="U271" i="1"/>
  <c r="EK271" i="1"/>
  <c r="BK14" i="5" s="1"/>
  <c r="DM271" i="1"/>
  <c r="CM271" i="1"/>
  <c r="BT271" i="1"/>
  <c r="BF271" i="1"/>
  <c r="AR271" i="1"/>
  <c r="AC271" i="1"/>
  <c r="P271" i="1"/>
  <c r="EI271" i="1"/>
  <c r="BI14" i="5" s="1"/>
  <c r="DH271" i="1"/>
  <c r="CK271" i="1"/>
  <c r="BR271" i="1"/>
  <c r="BD271" i="1"/>
  <c r="AP271" i="1"/>
  <c r="AB271" i="1"/>
  <c r="M271" i="1"/>
  <c r="DX271" i="1"/>
  <c r="AX271" i="1"/>
  <c r="CZ271" i="1"/>
  <c r="AK271" i="1"/>
  <c r="V271" i="1"/>
  <c r="BM271" i="1"/>
  <c r="H271" i="1"/>
  <c r="BY281" i="1"/>
  <c r="BU281" i="1"/>
  <c r="BQ281" i="1"/>
  <c r="BM281" i="1"/>
  <c r="BI281" i="1"/>
  <c r="BE281" i="1"/>
  <c r="BA281" i="1"/>
  <c r="AW281" i="1"/>
  <c r="AS281" i="1"/>
  <c r="AO281" i="1"/>
  <c r="AK281" i="1"/>
  <c r="AG281" i="1"/>
  <c r="AC281" i="1"/>
  <c r="Y281" i="1"/>
  <c r="U281" i="1"/>
  <c r="Q281" i="1"/>
  <c r="M281" i="1"/>
  <c r="I281" i="1"/>
  <c r="CA281" i="1"/>
  <c r="BW281" i="1"/>
  <c r="BS281" i="1"/>
  <c r="BO281" i="1"/>
  <c r="BK281" i="1"/>
  <c r="BG281" i="1"/>
  <c r="BC281" i="1"/>
  <c r="AY281" i="1"/>
  <c r="AU281" i="1"/>
  <c r="AQ281" i="1"/>
  <c r="AM281" i="1"/>
  <c r="AI281" i="1"/>
  <c r="AE281" i="1"/>
  <c r="AA281" i="1"/>
  <c r="W281" i="1"/>
  <c r="S281" i="1"/>
  <c r="O281" i="1"/>
  <c r="K281" i="1"/>
  <c r="BZ281" i="1"/>
  <c r="BR281" i="1"/>
  <c r="BJ281" i="1"/>
  <c r="BB281" i="1"/>
  <c r="AT281" i="1"/>
  <c r="AL281" i="1"/>
  <c r="AD281" i="1"/>
  <c r="V281" i="1"/>
  <c r="N281" i="1"/>
  <c r="BX281" i="1"/>
  <c r="BP281" i="1"/>
  <c r="BH281" i="1"/>
  <c r="AZ281" i="1"/>
  <c r="AR281" i="1"/>
  <c r="AJ281" i="1"/>
  <c r="AB281" i="1"/>
  <c r="T281" i="1"/>
  <c r="L281" i="1"/>
  <c r="BV281" i="1"/>
  <c r="BN281" i="1"/>
  <c r="BF281" i="1"/>
  <c r="AX281" i="1"/>
  <c r="AP281" i="1"/>
  <c r="AH281" i="1"/>
  <c r="Z281" i="1"/>
  <c r="R281" i="1"/>
  <c r="J281" i="1"/>
  <c r="BT281" i="1"/>
  <c r="BL281" i="1"/>
  <c r="BD281" i="1"/>
  <c r="AV281" i="1"/>
  <c r="AN281" i="1"/>
  <c r="AF281" i="1"/>
  <c r="X281" i="1"/>
  <c r="P281" i="1"/>
  <c r="H281" i="1"/>
  <c r="ES287" i="1"/>
  <c r="EO287" i="1"/>
  <c r="EK287" i="1"/>
  <c r="EG287" i="1"/>
  <c r="EC287" i="1"/>
  <c r="DY287" i="1"/>
  <c r="DU287" i="1"/>
  <c r="DQ287" i="1"/>
  <c r="DM287" i="1"/>
  <c r="DI287" i="1"/>
  <c r="DE287" i="1"/>
  <c r="DA287" i="1"/>
  <c r="CW287" i="1"/>
  <c r="CS287" i="1"/>
  <c r="CO287" i="1"/>
  <c r="CK287" i="1"/>
  <c r="CG287" i="1"/>
  <c r="CC287" i="1"/>
  <c r="EU287" i="1"/>
  <c r="EQ287" i="1"/>
  <c r="EM287" i="1"/>
  <c r="EI287" i="1"/>
  <c r="EE287" i="1"/>
  <c r="EA287" i="1"/>
  <c r="DW287" i="1"/>
  <c r="DS287" i="1"/>
  <c r="DO287" i="1"/>
  <c r="DK287" i="1"/>
  <c r="DG287" i="1"/>
  <c r="DC287" i="1"/>
  <c r="CY287" i="1"/>
  <c r="CU287" i="1"/>
  <c r="CQ287" i="1"/>
  <c r="CM287" i="1"/>
  <c r="CI287" i="1"/>
  <c r="CE287" i="1"/>
  <c r="EP287" i="1"/>
  <c r="EH287" i="1"/>
  <c r="DZ287" i="1"/>
  <c r="DR287" i="1"/>
  <c r="DJ287" i="1"/>
  <c r="DB287" i="1"/>
  <c r="CT287" i="1"/>
  <c r="CL287" i="1"/>
  <c r="CD287" i="1"/>
  <c r="ET287" i="1"/>
  <c r="EL287" i="1"/>
  <c r="ED287" i="1"/>
  <c r="DV287" i="1"/>
  <c r="DN287" i="1"/>
  <c r="DF287" i="1"/>
  <c r="CX287" i="1"/>
  <c r="CP287" i="1"/>
  <c r="CH287" i="1"/>
  <c r="EJ287" i="1"/>
  <c r="DT287" i="1"/>
  <c r="DD287" i="1"/>
  <c r="CN287" i="1"/>
  <c r="BY287" i="1"/>
  <c r="BU287" i="1"/>
  <c r="BQ287" i="1"/>
  <c r="BM287" i="1"/>
  <c r="BI287" i="1"/>
  <c r="BE287" i="1"/>
  <c r="BA287" i="1"/>
  <c r="AW287" i="1"/>
  <c r="AS287" i="1"/>
  <c r="AO287" i="1"/>
  <c r="AK287" i="1"/>
  <c r="AG287" i="1"/>
  <c r="AC287" i="1"/>
  <c r="Y287" i="1"/>
  <c r="U287" i="1"/>
  <c r="Q287" i="1"/>
  <c r="M287" i="1"/>
  <c r="I287" i="1"/>
  <c r="ER287" i="1"/>
  <c r="EB287" i="1"/>
  <c r="DL287" i="1"/>
  <c r="CV287" i="1"/>
  <c r="CF287" i="1"/>
  <c r="CA287" i="1"/>
  <c r="BW287" i="1"/>
  <c r="BS287" i="1"/>
  <c r="BO287" i="1"/>
  <c r="BK287" i="1"/>
  <c r="BG287" i="1"/>
  <c r="BC287" i="1"/>
  <c r="AY287" i="1"/>
  <c r="AU287" i="1"/>
  <c r="AQ287" i="1"/>
  <c r="AM287" i="1"/>
  <c r="AI287" i="1"/>
  <c r="AE287" i="1"/>
  <c r="AA287" i="1"/>
  <c r="W287" i="1"/>
  <c r="S287" i="1"/>
  <c r="O287" i="1"/>
  <c r="K287" i="1"/>
  <c r="EN287" i="1"/>
  <c r="DH287" i="1"/>
  <c r="BZ287" i="1"/>
  <c r="BR287" i="1"/>
  <c r="BJ287" i="1"/>
  <c r="BB287" i="1"/>
  <c r="AT287" i="1"/>
  <c r="AL287" i="1"/>
  <c r="AD287" i="1"/>
  <c r="V287" i="1"/>
  <c r="N287" i="1"/>
  <c r="DX287" i="1"/>
  <c r="CR287" i="1"/>
  <c r="BV287" i="1"/>
  <c r="BN287" i="1"/>
  <c r="BF287" i="1"/>
  <c r="AX287" i="1"/>
  <c r="AP287" i="1"/>
  <c r="AH287" i="1"/>
  <c r="Z287" i="1"/>
  <c r="R287" i="1"/>
  <c r="J287" i="1"/>
  <c r="DP287" i="1"/>
  <c r="BT287" i="1"/>
  <c r="BD287" i="1"/>
  <c r="AN287" i="1"/>
  <c r="X287" i="1"/>
  <c r="H287" i="1"/>
  <c r="CZ287" i="1"/>
  <c r="BP287" i="1"/>
  <c r="AZ287" i="1"/>
  <c r="AJ287" i="1"/>
  <c r="T287" i="1"/>
  <c r="EV287" i="1"/>
  <c r="CJ287" i="1"/>
  <c r="BL287" i="1"/>
  <c r="AV287" i="1"/>
  <c r="AF287" i="1"/>
  <c r="P287" i="1"/>
  <c r="EF287" i="1"/>
  <c r="BX287" i="1"/>
  <c r="BH287" i="1"/>
  <c r="AR287" i="1"/>
  <c r="AB287" i="1"/>
  <c r="L287" i="1"/>
  <c r="ES277" i="1"/>
  <c r="EO277" i="1"/>
  <c r="EK277" i="1"/>
  <c r="EG277" i="1"/>
  <c r="EC277" i="1"/>
  <c r="DY277" i="1"/>
  <c r="DU277" i="1"/>
  <c r="DQ277" i="1"/>
  <c r="DM277" i="1"/>
  <c r="DI277" i="1"/>
  <c r="DE277" i="1"/>
  <c r="DA277" i="1"/>
  <c r="CW277" i="1"/>
  <c r="CS277" i="1"/>
  <c r="CO277" i="1"/>
  <c r="CK277" i="1"/>
  <c r="CG277" i="1"/>
  <c r="CC277" i="1"/>
  <c r="EU277" i="1"/>
  <c r="EQ277" i="1"/>
  <c r="EM277" i="1"/>
  <c r="EI277" i="1"/>
  <c r="EE277" i="1"/>
  <c r="EA277" i="1"/>
  <c r="DW277" i="1"/>
  <c r="DS277" i="1"/>
  <c r="DO277" i="1"/>
  <c r="DK277" i="1"/>
  <c r="DG277" i="1"/>
  <c r="DC277" i="1"/>
  <c r="CY277" i="1"/>
  <c r="CU277" i="1"/>
  <c r="CQ277" i="1"/>
  <c r="CM277" i="1"/>
  <c r="CI277" i="1"/>
  <c r="CE277" i="1"/>
  <c r="ET277" i="1"/>
  <c r="EL277" i="1"/>
  <c r="ED277" i="1"/>
  <c r="DV277" i="1"/>
  <c r="DN277" i="1"/>
  <c r="DF277" i="1"/>
  <c r="CX277" i="1"/>
  <c r="CP277" i="1"/>
  <c r="CH277" i="1"/>
  <c r="EP277" i="1"/>
  <c r="EH277" i="1"/>
  <c r="DZ277" i="1"/>
  <c r="DR277" i="1"/>
  <c r="DJ277" i="1"/>
  <c r="DB277" i="1"/>
  <c r="CT277" i="1"/>
  <c r="CL277" i="1"/>
  <c r="CD277" i="1"/>
  <c r="CA277" i="1"/>
  <c r="BW277" i="1"/>
  <c r="BS277" i="1"/>
  <c r="BO277" i="1"/>
  <c r="BK277" i="1"/>
  <c r="BG277" i="1"/>
  <c r="BC277" i="1"/>
  <c r="AY277" i="1"/>
  <c r="AU277" i="1"/>
  <c r="AQ277" i="1"/>
  <c r="AM277" i="1"/>
  <c r="AI277" i="1"/>
  <c r="AE277" i="1"/>
  <c r="AA277" i="1"/>
  <c r="W277" i="1"/>
  <c r="S277" i="1"/>
  <c r="O277" i="1"/>
  <c r="K277" i="1"/>
  <c r="EV277" i="1"/>
  <c r="EF277" i="1"/>
  <c r="DP277" i="1"/>
  <c r="CZ277" i="1"/>
  <c r="CJ277" i="1"/>
  <c r="BV277" i="1"/>
  <c r="BQ277" i="1"/>
  <c r="BL277" i="1"/>
  <c r="BF277" i="1"/>
  <c r="BA277" i="1"/>
  <c r="AV277" i="1"/>
  <c r="AP277" i="1"/>
  <c r="AK277" i="1"/>
  <c r="AF277" i="1"/>
  <c r="Z277" i="1"/>
  <c r="U277" i="1"/>
  <c r="P277" i="1"/>
  <c r="J277" i="1"/>
  <c r="ER277" i="1"/>
  <c r="EB277" i="1"/>
  <c r="DL277" i="1"/>
  <c r="CV277" i="1"/>
  <c r="CF277" i="1"/>
  <c r="BZ277" i="1"/>
  <c r="BU277" i="1"/>
  <c r="BP277" i="1"/>
  <c r="BJ277" i="1"/>
  <c r="BE277" i="1"/>
  <c r="AZ277" i="1"/>
  <c r="AT277" i="1"/>
  <c r="AO277" i="1"/>
  <c r="AJ277" i="1"/>
  <c r="AD277" i="1"/>
  <c r="Y277" i="1"/>
  <c r="T277" i="1"/>
  <c r="N277" i="1"/>
  <c r="I277" i="1"/>
  <c r="EN277" i="1"/>
  <c r="DX277" i="1"/>
  <c r="DH277" i="1"/>
  <c r="CR277" i="1"/>
  <c r="BY277" i="1"/>
  <c r="BT277" i="1"/>
  <c r="BN277" i="1"/>
  <c r="BI277" i="1"/>
  <c r="BD277" i="1"/>
  <c r="AX277" i="1"/>
  <c r="AS277" i="1"/>
  <c r="AN277" i="1"/>
  <c r="AH277" i="1"/>
  <c r="AC277" i="1"/>
  <c r="X277" i="1"/>
  <c r="R277" i="1"/>
  <c r="M277" i="1"/>
  <c r="H277" i="1"/>
  <c r="EJ277" i="1"/>
  <c r="DT277" i="1"/>
  <c r="DD277" i="1"/>
  <c r="CN277" i="1"/>
  <c r="BX277" i="1"/>
  <c r="BR277" i="1"/>
  <c r="BM277" i="1"/>
  <c r="BH277" i="1"/>
  <c r="BB277" i="1"/>
  <c r="AW277" i="1"/>
  <c r="AR277" i="1"/>
  <c r="AL277" i="1"/>
  <c r="AG277" i="1"/>
  <c r="AB277" i="1"/>
  <c r="V277" i="1"/>
  <c r="Q277" i="1"/>
  <c r="L277" i="1"/>
  <c r="EU283" i="1"/>
  <c r="EQ283" i="1"/>
  <c r="EM283" i="1"/>
  <c r="EI283" i="1"/>
  <c r="EE283" i="1"/>
  <c r="EA283" i="1"/>
  <c r="DW283" i="1"/>
  <c r="DS283" i="1"/>
  <c r="DO283" i="1"/>
  <c r="DK283" i="1"/>
  <c r="DG283" i="1"/>
  <c r="DC283" i="1"/>
  <c r="CY283" i="1"/>
  <c r="CU283" i="1"/>
  <c r="CQ283" i="1"/>
  <c r="CM283" i="1"/>
  <c r="CI283" i="1"/>
  <c r="CE283" i="1"/>
  <c r="ES283" i="1"/>
  <c r="EO283" i="1"/>
  <c r="EK283" i="1"/>
  <c r="EG283" i="1"/>
  <c r="EC283" i="1"/>
  <c r="DY283" i="1"/>
  <c r="DU283" i="1"/>
  <c r="DQ283" i="1"/>
  <c r="DM283" i="1"/>
  <c r="DI283" i="1"/>
  <c r="DE283" i="1"/>
  <c r="DA283" i="1"/>
  <c r="CW283" i="1"/>
  <c r="CS283" i="1"/>
  <c r="CO283" i="1"/>
  <c r="CK283" i="1"/>
  <c r="CG283" i="1"/>
  <c r="CC283" i="1"/>
  <c r="EV283" i="1"/>
  <c r="EN283" i="1"/>
  <c r="EF283" i="1"/>
  <c r="DX283" i="1"/>
  <c r="DP283" i="1"/>
  <c r="DH283" i="1"/>
  <c r="CZ283" i="1"/>
  <c r="CR283" i="1"/>
  <c r="CJ283" i="1"/>
  <c r="ER283" i="1"/>
  <c r="EJ283" i="1"/>
  <c r="EB283" i="1"/>
  <c r="DT283" i="1"/>
  <c r="DL283" i="1"/>
  <c r="DD283" i="1"/>
  <c r="CV283" i="1"/>
  <c r="CN283" i="1"/>
  <c r="CF283" i="1"/>
  <c r="EH283" i="1"/>
  <c r="DR283" i="1"/>
  <c r="DB283" i="1"/>
  <c r="CL283" i="1"/>
  <c r="BY283" i="1"/>
  <c r="BU283" i="1"/>
  <c r="BQ283" i="1"/>
  <c r="BM283" i="1"/>
  <c r="BI283" i="1"/>
  <c r="BE283" i="1"/>
  <c r="BA283" i="1"/>
  <c r="AW283" i="1"/>
  <c r="AS283" i="1"/>
  <c r="AO283" i="1"/>
  <c r="AK283" i="1"/>
  <c r="AG283" i="1"/>
  <c r="AC283" i="1"/>
  <c r="Y283" i="1"/>
  <c r="U283" i="1"/>
  <c r="Q283" i="1"/>
  <c r="M283" i="1"/>
  <c r="I283" i="1"/>
  <c r="EP283" i="1"/>
  <c r="DZ283" i="1"/>
  <c r="DJ283" i="1"/>
  <c r="CT283" i="1"/>
  <c r="CD283" i="1"/>
  <c r="CA283" i="1"/>
  <c r="BW283" i="1"/>
  <c r="BS283" i="1"/>
  <c r="BO283" i="1"/>
  <c r="BK283" i="1"/>
  <c r="BG283" i="1"/>
  <c r="BC283" i="1"/>
  <c r="AY283" i="1"/>
  <c r="AU283" i="1"/>
  <c r="AQ283" i="1"/>
  <c r="AM283" i="1"/>
  <c r="AI283" i="1"/>
  <c r="AE283" i="1"/>
  <c r="AA283" i="1"/>
  <c r="W283" i="1"/>
  <c r="S283" i="1"/>
  <c r="O283" i="1"/>
  <c r="K283" i="1"/>
  <c r="DV283" i="1"/>
  <c r="CP283" i="1"/>
  <c r="BZ283" i="1"/>
  <c r="BR283" i="1"/>
  <c r="BJ283" i="1"/>
  <c r="BB283" i="1"/>
  <c r="AT283" i="1"/>
  <c r="AL283" i="1"/>
  <c r="AD283" i="1"/>
  <c r="V283" i="1"/>
  <c r="N283" i="1"/>
  <c r="ET283" i="1"/>
  <c r="DN283" i="1"/>
  <c r="CH283" i="1"/>
  <c r="BX283" i="1"/>
  <c r="BP283" i="1"/>
  <c r="BH283" i="1"/>
  <c r="AZ283" i="1"/>
  <c r="AR283" i="1"/>
  <c r="AJ283" i="1"/>
  <c r="AB283" i="1"/>
  <c r="T283" i="1"/>
  <c r="L283" i="1"/>
  <c r="EL283" i="1"/>
  <c r="DF283" i="1"/>
  <c r="BV283" i="1"/>
  <c r="BN283" i="1"/>
  <c r="BF283" i="1"/>
  <c r="AX283" i="1"/>
  <c r="AP283" i="1"/>
  <c r="AH283" i="1"/>
  <c r="Z283" i="1"/>
  <c r="R283" i="1"/>
  <c r="J283" i="1"/>
  <c r="ED283" i="1"/>
  <c r="CX283" i="1"/>
  <c r="BT283" i="1"/>
  <c r="BL283" i="1"/>
  <c r="BD283" i="1"/>
  <c r="AV283" i="1"/>
  <c r="AN283" i="1"/>
  <c r="AF283" i="1"/>
  <c r="X283" i="1"/>
  <c r="P283" i="1"/>
  <c r="H283" i="1"/>
  <c r="BY289" i="1"/>
  <c r="BU289" i="1"/>
  <c r="BQ289" i="1"/>
  <c r="BM289" i="1"/>
  <c r="BI289" i="1"/>
  <c r="BE289" i="1"/>
  <c r="BA289" i="1"/>
  <c r="AW289" i="1"/>
  <c r="AS289" i="1"/>
  <c r="AO289" i="1"/>
  <c r="AK289" i="1"/>
  <c r="AG289" i="1"/>
  <c r="AC289" i="1"/>
  <c r="Y289" i="1"/>
  <c r="U289" i="1"/>
  <c r="Q289" i="1"/>
  <c r="M289" i="1"/>
  <c r="I289" i="1"/>
  <c r="CA289" i="1"/>
  <c r="BW289" i="1"/>
  <c r="BS289" i="1"/>
  <c r="BO289" i="1"/>
  <c r="BK289" i="1"/>
  <c r="BG289" i="1"/>
  <c r="BC289" i="1"/>
  <c r="AY289" i="1"/>
  <c r="AU289" i="1"/>
  <c r="AQ289" i="1"/>
  <c r="AM289" i="1"/>
  <c r="AI289" i="1"/>
  <c r="AE289" i="1"/>
  <c r="AA289" i="1"/>
  <c r="W289" i="1"/>
  <c r="S289" i="1"/>
  <c r="O289" i="1"/>
  <c r="K289" i="1"/>
  <c r="BZ289" i="1"/>
  <c r="BR289" i="1"/>
  <c r="BJ289" i="1"/>
  <c r="BB289" i="1"/>
  <c r="AT289" i="1"/>
  <c r="AL289" i="1"/>
  <c r="AD289" i="1"/>
  <c r="V289" i="1"/>
  <c r="N289" i="1"/>
  <c r="BV289" i="1"/>
  <c r="BN289" i="1"/>
  <c r="BF289" i="1"/>
  <c r="AX289" i="1"/>
  <c r="AP289" i="1"/>
  <c r="AH289" i="1"/>
  <c r="Z289" i="1"/>
  <c r="R289" i="1"/>
  <c r="J289" i="1"/>
  <c r="BL289" i="1"/>
  <c r="AV289" i="1"/>
  <c r="AF289" i="1"/>
  <c r="P289" i="1"/>
  <c r="BX289" i="1"/>
  <c r="BH289" i="1"/>
  <c r="AR289" i="1"/>
  <c r="AB289" i="1"/>
  <c r="L289" i="1"/>
  <c r="BT289" i="1"/>
  <c r="BD289" i="1"/>
  <c r="AN289" i="1"/>
  <c r="X289" i="1"/>
  <c r="H289" i="1"/>
  <c r="BP289" i="1"/>
  <c r="AZ289" i="1"/>
  <c r="AJ289" i="1"/>
  <c r="T289" i="1"/>
  <c r="BY278" i="1"/>
  <c r="BU278" i="1"/>
  <c r="BQ278" i="1"/>
  <c r="BM278" i="1"/>
  <c r="BI278" i="1"/>
  <c r="BE278" i="1"/>
  <c r="BA278" i="1"/>
  <c r="AW278" i="1"/>
  <c r="AS278" i="1"/>
  <c r="AO278" i="1"/>
  <c r="AK278" i="1"/>
  <c r="AG278" i="1"/>
  <c r="AC278" i="1"/>
  <c r="Y278" i="1"/>
  <c r="U278" i="1"/>
  <c r="Q278" i="1"/>
  <c r="M278" i="1"/>
  <c r="CA278" i="1"/>
  <c r="BW278" i="1"/>
  <c r="BS278" i="1"/>
  <c r="BO278" i="1"/>
  <c r="BK278" i="1"/>
  <c r="BG278" i="1"/>
  <c r="BC278" i="1"/>
  <c r="AY278" i="1"/>
  <c r="AU278" i="1"/>
  <c r="AQ278" i="1"/>
  <c r="AM278" i="1"/>
  <c r="AI278" i="1"/>
  <c r="AE278" i="1"/>
  <c r="AA278" i="1"/>
  <c r="W278" i="1"/>
  <c r="S278" i="1"/>
  <c r="O278" i="1"/>
  <c r="K278" i="1"/>
  <c r="BZ278" i="1"/>
  <c r="BR278" i="1"/>
  <c r="BJ278" i="1"/>
  <c r="BB278" i="1"/>
  <c r="AT278" i="1"/>
  <c r="AL278" i="1"/>
  <c r="AD278" i="1"/>
  <c r="V278" i="1"/>
  <c r="N278" i="1"/>
  <c r="H278" i="1"/>
  <c r="BX278" i="1"/>
  <c r="BP278" i="1"/>
  <c r="BH278" i="1"/>
  <c r="AZ278" i="1"/>
  <c r="AR278" i="1"/>
  <c r="AJ278" i="1"/>
  <c r="AB278" i="1"/>
  <c r="T278" i="1"/>
  <c r="L278" i="1"/>
  <c r="BV278" i="1"/>
  <c r="BN278" i="1"/>
  <c r="BF278" i="1"/>
  <c r="AX278" i="1"/>
  <c r="AP278" i="1"/>
  <c r="AH278" i="1"/>
  <c r="Z278" i="1"/>
  <c r="R278" i="1"/>
  <c r="J278" i="1"/>
  <c r="BT278" i="1"/>
  <c r="BL278" i="1"/>
  <c r="BD278" i="1"/>
  <c r="AV278" i="1"/>
  <c r="AN278" i="1"/>
  <c r="AF278" i="1"/>
  <c r="X278" i="1"/>
  <c r="P278" i="1"/>
  <c r="I278" i="1"/>
  <c r="BY284" i="1"/>
  <c r="CA284" i="1"/>
  <c r="BW284" i="1"/>
  <c r="BS284" i="1"/>
  <c r="BO284" i="1"/>
  <c r="BK284" i="1"/>
  <c r="BZ284" i="1"/>
  <c r="BT284" i="1"/>
  <c r="BN284" i="1"/>
  <c r="BI284" i="1"/>
  <c r="BE284" i="1"/>
  <c r="BA284" i="1"/>
  <c r="AW284" i="1"/>
  <c r="AS284" i="1"/>
  <c r="AO284" i="1"/>
  <c r="AK284" i="1"/>
  <c r="AG284" i="1"/>
  <c r="AC284" i="1"/>
  <c r="Y284" i="1"/>
  <c r="U284" i="1"/>
  <c r="Q284" i="1"/>
  <c r="M284" i="1"/>
  <c r="I284" i="1"/>
  <c r="BV284" i="1"/>
  <c r="BQ284" i="1"/>
  <c r="BL284" i="1"/>
  <c r="BG284" i="1"/>
  <c r="BC284" i="1"/>
  <c r="AY284" i="1"/>
  <c r="AU284" i="1"/>
  <c r="AQ284" i="1"/>
  <c r="AM284" i="1"/>
  <c r="AI284" i="1"/>
  <c r="AE284" i="1"/>
  <c r="AA284" i="1"/>
  <c r="W284" i="1"/>
  <c r="S284" i="1"/>
  <c r="O284" i="1"/>
  <c r="K284" i="1"/>
  <c r="BU284" i="1"/>
  <c r="BJ284" i="1"/>
  <c r="BB284" i="1"/>
  <c r="AT284" i="1"/>
  <c r="AL284" i="1"/>
  <c r="AD284" i="1"/>
  <c r="V284" i="1"/>
  <c r="N284" i="1"/>
  <c r="BR284" i="1"/>
  <c r="BH284" i="1"/>
  <c r="AZ284" i="1"/>
  <c r="AR284" i="1"/>
  <c r="AJ284" i="1"/>
  <c r="AB284" i="1"/>
  <c r="T284" i="1"/>
  <c r="L284" i="1"/>
  <c r="BP284" i="1"/>
  <c r="BF284" i="1"/>
  <c r="AX284" i="1"/>
  <c r="AP284" i="1"/>
  <c r="AH284" i="1"/>
  <c r="Z284" i="1"/>
  <c r="R284" i="1"/>
  <c r="J284" i="1"/>
  <c r="BX284" i="1"/>
  <c r="BM284" i="1"/>
  <c r="BD284" i="1"/>
  <c r="AV284" i="1"/>
  <c r="AN284" i="1"/>
  <c r="AF284" i="1"/>
  <c r="X284" i="1"/>
  <c r="P284" i="1"/>
  <c r="H284" i="1"/>
  <c r="ES290" i="1"/>
  <c r="EO290" i="1"/>
  <c r="EK290" i="1"/>
  <c r="EG290" i="1"/>
  <c r="EC290" i="1"/>
  <c r="DY290" i="1"/>
  <c r="DU290" i="1"/>
  <c r="DQ290" i="1"/>
  <c r="DM290" i="1"/>
  <c r="DI290" i="1"/>
  <c r="DE290" i="1"/>
  <c r="DA290" i="1"/>
  <c r="CW290" i="1"/>
  <c r="CS290" i="1"/>
  <c r="CO290" i="1"/>
  <c r="CK290" i="1"/>
  <c r="CG290" i="1"/>
  <c r="CC290" i="1"/>
  <c r="EU290" i="1"/>
  <c r="EQ290" i="1"/>
  <c r="EM290" i="1"/>
  <c r="EI290" i="1"/>
  <c r="EE290" i="1"/>
  <c r="EA290" i="1"/>
  <c r="DW290" i="1"/>
  <c r="DS290" i="1"/>
  <c r="DO290" i="1"/>
  <c r="DK290" i="1"/>
  <c r="DG290" i="1"/>
  <c r="DC290" i="1"/>
  <c r="CY290" i="1"/>
  <c r="CU290" i="1"/>
  <c r="CQ290" i="1"/>
  <c r="CM290" i="1"/>
  <c r="CI290" i="1"/>
  <c r="CE290" i="1"/>
  <c r="EP290" i="1"/>
  <c r="EH290" i="1"/>
  <c r="DZ290" i="1"/>
  <c r="DR290" i="1"/>
  <c r="DJ290" i="1"/>
  <c r="DB290" i="1"/>
  <c r="CT290" i="1"/>
  <c r="CL290" i="1"/>
  <c r="CD290" i="1"/>
  <c r="ET290" i="1"/>
  <c r="EL290" i="1"/>
  <c r="ED290" i="1"/>
  <c r="DV290" i="1"/>
  <c r="DN290" i="1"/>
  <c r="DF290" i="1"/>
  <c r="CX290" i="1"/>
  <c r="CP290" i="1"/>
  <c r="CH290" i="1"/>
  <c r="EJ290" i="1"/>
  <c r="DT290" i="1"/>
  <c r="DD290" i="1"/>
  <c r="CN290" i="1"/>
  <c r="BY290" i="1"/>
  <c r="BU290" i="1"/>
  <c r="BQ290" i="1"/>
  <c r="BM290" i="1"/>
  <c r="BI290" i="1"/>
  <c r="BE290" i="1"/>
  <c r="BA290" i="1"/>
  <c r="AW290" i="1"/>
  <c r="AS290" i="1"/>
  <c r="AO290" i="1"/>
  <c r="AK290" i="1"/>
  <c r="AG290" i="1"/>
  <c r="AC290" i="1"/>
  <c r="Y290" i="1"/>
  <c r="U290" i="1"/>
  <c r="Q290" i="1"/>
  <c r="M290" i="1"/>
  <c r="I290" i="1"/>
  <c r="ER290" i="1"/>
  <c r="EB290" i="1"/>
  <c r="DL290" i="1"/>
  <c r="CV290" i="1"/>
  <c r="CF290" i="1"/>
  <c r="CA290" i="1"/>
  <c r="BW290" i="1"/>
  <c r="BS290" i="1"/>
  <c r="BO290" i="1"/>
  <c r="BK290" i="1"/>
  <c r="BG290" i="1"/>
  <c r="BC290" i="1"/>
  <c r="AY290" i="1"/>
  <c r="AU290" i="1"/>
  <c r="AQ290" i="1"/>
  <c r="AM290" i="1"/>
  <c r="AI290" i="1"/>
  <c r="AE290" i="1"/>
  <c r="AA290" i="1"/>
  <c r="W290" i="1"/>
  <c r="S290" i="1"/>
  <c r="O290" i="1"/>
  <c r="K290" i="1"/>
  <c r="DX290" i="1"/>
  <c r="CR290" i="1"/>
  <c r="BZ290" i="1"/>
  <c r="BR290" i="1"/>
  <c r="BJ290" i="1"/>
  <c r="BB290" i="1"/>
  <c r="AT290" i="1"/>
  <c r="AL290" i="1"/>
  <c r="AD290" i="1"/>
  <c r="V290" i="1"/>
  <c r="N290" i="1"/>
  <c r="EN290" i="1"/>
  <c r="DH290" i="1"/>
  <c r="BV290" i="1"/>
  <c r="BN290" i="1"/>
  <c r="BF290" i="1"/>
  <c r="AX290" i="1"/>
  <c r="AP290" i="1"/>
  <c r="AH290" i="1"/>
  <c r="Z290" i="1"/>
  <c r="R290" i="1"/>
  <c r="J290" i="1"/>
  <c r="CZ290" i="1"/>
  <c r="BT290" i="1"/>
  <c r="BD290" i="1"/>
  <c r="AN290" i="1"/>
  <c r="X290" i="1"/>
  <c r="H290" i="1"/>
  <c r="EV290" i="1"/>
  <c r="CJ290" i="1"/>
  <c r="BP290" i="1"/>
  <c r="AZ290" i="1"/>
  <c r="AJ290" i="1"/>
  <c r="T290" i="1"/>
  <c r="EF290" i="1"/>
  <c r="BL290" i="1"/>
  <c r="AV290" i="1"/>
  <c r="AF290" i="1"/>
  <c r="P290" i="1"/>
  <c r="DP290" i="1"/>
  <c r="BX290" i="1"/>
  <c r="BH290" i="1"/>
  <c r="AR290" i="1"/>
  <c r="AB290" i="1"/>
  <c r="L290" i="1"/>
  <c r="BY280" i="1"/>
  <c r="BU280" i="1"/>
  <c r="BQ280" i="1"/>
  <c r="BM280" i="1"/>
  <c r="BI280" i="1"/>
  <c r="BE280" i="1"/>
  <c r="BA280" i="1"/>
  <c r="AW280" i="1"/>
  <c r="AS280" i="1"/>
  <c r="AO280" i="1"/>
  <c r="AK280" i="1"/>
  <c r="AG280" i="1"/>
  <c r="AC280" i="1"/>
  <c r="Y280" i="1"/>
  <c r="U280" i="1"/>
  <c r="Q280" i="1"/>
  <c r="M280" i="1"/>
  <c r="I280" i="1"/>
  <c r="CA280" i="1"/>
  <c r="BW280" i="1"/>
  <c r="BS280" i="1"/>
  <c r="BO280" i="1"/>
  <c r="BK280" i="1"/>
  <c r="BG280" i="1"/>
  <c r="BC280" i="1"/>
  <c r="AY280" i="1"/>
  <c r="AU280" i="1"/>
  <c r="AQ280" i="1"/>
  <c r="AM280" i="1"/>
  <c r="AI280" i="1"/>
  <c r="AE280" i="1"/>
  <c r="AA280" i="1"/>
  <c r="W280" i="1"/>
  <c r="S280" i="1"/>
  <c r="O280" i="1"/>
  <c r="K280" i="1"/>
  <c r="BZ280" i="1"/>
  <c r="BR280" i="1"/>
  <c r="BJ280" i="1"/>
  <c r="BB280" i="1"/>
  <c r="AT280" i="1"/>
  <c r="AL280" i="1"/>
  <c r="AD280" i="1"/>
  <c r="V280" i="1"/>
  <c r="N280" i="1"/>
  <c r="BX280" i="1"/>
  <c r="BP280" i="1"/>
  <c r="BH280" i="1"/>
  <c r="AZ280" i="1"/>
  <c r="AR280" i="1"/>
  <c r="AJ280" i="1"/>
  <c r="AB280" i="1"/>
  <c r="T280" i="1"/>
  <c r="L280" i="1"/>
  <c r="BV280" i="1"/>
  <c r="BN280" i="1"/>
  <c r="BF280" i="1"/>
  <c r="AX280" i="1"/>
  <c r="AP280" i="1"/>
  <c r="AH280" i="1"/>
  <c r="Z280" i="1"/>
  <c r="R280" i="1"/>
  <c r="J280" i="1"/>
  <c r="BT280" i="1"/>
  <c r="BL280" i="1"/>
  <c r="BD280" i="1"/>
  <c r="AV280" i="1"/>
  <c r="AN280" i="1"/>
  <c r="AF280" i="1"/>
  <c r="X280" i="1"/>
  <c r="P280" i="1"/>
  <c r="H280" i="1"/>
  <c r="ES286" i="1"/>
  <c r="EO286" i="1"/>
  <c r="EK286" i="1"/>
  <c r="EG286" i="1"/>
  <c r="EC286" i="1"/>
  <c r="DY286" i="1"/>
  <c r="DU286" i="1"/>
  <c r="DQ286" i="1"/>
  <c r="DM286" i="1"/>
  <c r="DI286" i="1"/>
  <c r="DE286" i="1"/>
  <c r="DA286" i="1"/>
  <c r="CW286" i="1"/>
  <c r="CS286" i="1"/>
  <c r="CO286" i="1"/>
  <c r="CK286" i="1"/>
  <c r="CG286" i="1"/>
  <c r="CC286" i="1"/>
  <c r="EU286" i="1"/>
  <c r="EQ286" i="1"/>
  <c r="EM286" i="1"/>
  <c r="EI286" i="1"/>
  <c r="EE286" i="1"/>
  <c r="EA286" i="1"/>
  <c r="DW286" i="1"/>
  <c r="DS286" i="1"/>
  <c r="DO286" i="1"/>
  <c r="DK286" i="1"/>
  <c r="DG286" i="1"/>
  <c r="DC286" i="1"/>
  <c r="CY286" i="1"/>
  <c r="CU286" i="1"/>
  <c r="CQ286" i="1"/>
  <c r="CM286" i="1"/>
  <c r="CI286" i="1"/>
  <c r="CE286" i="1"/>
  <c r="EP286" i="1"/>
  <c r="EH286" i="1"/>
  <c r="DZ286" i="1"/>
  <c r="DR286" i="1"/>
  <c r="DJ286" i="1"/>
  <c r="DB286" i="1"/>
  <c r="CT286" i="1"/>
  <c r="CL286" i="1"/>
  <c r="CD286" i="1"/>
  <c r="ET286" i="1"/>
  <c r="EL286" i="1"/>
  <c r="ED286" i="1"/>
  <c r="DV286" i="1"/>
  <c r="DN286" i="1"/>
  <c r="DF286" i="1"/>
  <c r="CX286" i="1"/>
  <c r="CP286" i="1"/>
  <c r="CH286" i="1"/>
  <c r="ER286" i="1"/>
  <c r="EB286" i="1"/>
  <c r="DL286" i="1"/>
  <c r="CV286" i="1"/>
  <c r="CF286" i="1"/>
  <c r="BY286" i="1"/>
  <c r="BU286" i="1"/>
  <c r="BQ286" i="1"/>
  <c r="BM286" i="1"/>
  <c r="BI286" i="1"/>
  <c r="BE286" i="1"/>
  <c r="BA286" i="1"/>
  <c r="AW286" i="1"/>
  <c r="AS286" i="1"/>
  <c r="AO286" i="1"/>
  <c r="AK286" i="1"/>
  <c r="AG286" i="1"/>
  <c r="AC286" i="1"/>
  <c r="Y286" i="1"/>
  <c r="U286" i="1"/>
  <c r="Q286" i="1"/>
  <c r="M286" i="1"/>
  <c r="I286" i="1"/>
  <c r="EJ286" i="1"/>
  <c r="DT286" i="1"/>
  <c r="DD286" i="1"/>
  <c r="CN286" i="1"/>
  <c r="CA286" i="1"/>
  <c r="BW286" i="1"/>
  <c r="BS286" i="1"/>
  <c r="BO286" i="1"/>
  <c r="BK286" i="1"/>
  <c r="BG286" i="1"/>
  <c r="BC286" i="1"/>
  <c r="AY286" i="1"/>
  <c r="AU286" i="1"/>
  <c r="AQ286" i="1"/>
  <c r="AM286" i="1"/>
  <c r="AI286" i="1"/>
  <c r="AE286" i="1"/>
  <c r="AA286" i="1"/>
  <c r="W286" i="1"/>
  <c r="S286" i="1"/>
  <c r="O286" i="1"/>
  <c r="K286" i="1"/>
  <c r="EV286" i="1"/>
  <c r="DP286" i="1"/>
  <c r="CJ286" i="1"/>
  <c r="BZ286" i="1"/>
  <c r="BR286" i="1"/>
  <c r="BJ286" i="1"/>
  <c r="BB286" i="1"/>
  <c r="AT286" i="1"/>
  <c r="AL286" i="1"/>
  <c r="AD286" i="1"/>
  <c r="V286" i="1"/>
  <c r="N286" i="1"/>
  <c r="EF286" i="1"/>
  <c r="CZ286" i="1"/>
  <c r="BV286" i="1"/>
  <c r="BN286" i="1"/>
  <c r="BF286" i="1"/>
  <c r="AX286" i="1"/>
  <c r="AP286" i="1"/>
  <c r="AH286" i="1"/>
  <c r="Z286" i="1"/>
  <c r="R286" i="1"/>
  <c r="J286" i="1"/>
  <c r="DX286" i="1"/>
  <c r="BL286" i="1"/>
  <c r="AV286" i="1"/>
  <c r="AF286" i="1"/>
  <c r="P286" i="1"/>
  <c r="DH286" i="1"/>
  <c r="BX286" i="1"/>
  <c r="BH286" i="1"/>
  <c r="AR286" i="1"/>
  <c r="AB286" i="1"/>
  <c r="L286" i="1"/>
  <c r="CR286" i="1"/>
  <c r="BT286" i="1"/>
  <c r="BD286" i="1"/>
  <c r="AN286" i="1"/>
  <c r="X286" i="1"/>
  <c r="H286" i="1"/>
  <c r="EN286" i="1"/>
  <c r="BP286" i="1"/>
  <c r="AZ286" i="1"/>
  <c r="AJ286" i="1"/>
  <c r="T286" i="1"/>
  <c r="D236" i="11"/>
  <c r="D235" i="11"/>
  <c r="D233" i="11"/>
  <c r="D232" i="11"/>
  <c r="D230" i="11"/>
  <c r="D229" i="11"/>
  <c r="D227" i="11"/>
  <c r="D226" i="11"/>
  <c r="D224" i="11"/>
  <c r="D223" i="11"/>
  <c r="D221" i="11"/>
  <c r="D220" i="11"/>
  <c r="D218" i="11"/>
  <c r="D217" i="11"/>
  <c r="D215" i="11"/>
  <c r="D214" i="11"/>
  <c r="D212" i="11"/>
  <c r="D211" i="11"/>
  <c r="D209" i="11"/>
  <c r="D208" i="11"/>
  <c r="D206" i="11"/>
  <c r="D205" i="11"/>
  <c r="D203" i="11"/>
  <c r="D202" i="11"/>
  <c r="CO203" i="11" l="1"/>
  <c r="CS203" i="11"/>
  <c r="CT203" i="11"/>
  <c r="CK203" i="11"/>
  <c r="CP203" i="11"/>
  <c r="CL203" i="11"/>
  <c r="CS209" i="11"/>
  <c r="CL209" i="11"/>
  <c r="CT209" i="11"/>
  <c r="CK209" i="11"/>
  <c r="CP209" i="11"/>
  <c r="CO209" i="11"/>
  <c r="CL215" i="11"/>
  <c r="CS215" i="11"/>
  <c r="CT215" i="11"/>
  <c r="CP215" i="11"/>
  <c r="CK215" i="11"/>
  <c r="CO215" i="11"/>
  <c r="CP221" i="11"/>
  <c r="CL221" i="11"/>
  <c r="CT221" i="11"/>
  <c r="CO221" i="11"/>
  <c r="CK221" i="11"/>
  <c r="CS221" i="11"/>
  <c r="CT227" i="11"/>
  <c r="CO227" i="11"/>
  <c r="CK227" i="11"/>
  <c r="CS227" i="11"/>
  <c r="CL227" i="11"/>
  <c r="CP227" i="11"/>
  <c r="CT233" i="11"/>
  <c r="CS233" i="11"/>
  <c r="CK233" i="11"/>
  <c r="CO233" i="11"/>
  <c r="CL233" i="11"/>
  <c r="CP233" i="11"/>
  <c r="CS202" i="11"/>
  <c r="CT202" i="11"/>
  <c r="CL202" i="11"/>
  <c r="CO202" i="11"/>
  <c r="CP202" i="11"/>
  <c r="CK202" i="11"/>
  <c r="CS208" i="11"/>
  <c r="CL208" i="11"/>
  <c r="CT208" i="11"/>
  <c r="CP208" i="11"/>
  <c r="CK208" i="11"/>
  <c r="CO208" i="11"/>
  <c r="CS214" i="11"/>
  <c r="CP214" i="11"/>
  <c r="CK214" i="11"/>
  <c r="CO214" i="11"/>
  <c r="CT214" i="11"/>
  <c r="CL214" i="11"/>
  <c r="CT220" i="11"/>
  <c r="CO220" i="11"/>
  <c r="CS220" i="11"/>
  <c r="CP220" i="11"/>
  <c r="CK220" i="11"/>
  <c r="CL220" i="11"/>
  <c r="CS226" i="11"/>
  <c r="CL226" i="11"/>
  <c r="CO226" i="11"/>
  <c r="CT226" i="11"/>
  <c r="CP226" i="11"/>
  <c r="CK226" i="11"/>
  <c r="CL232" i="11"/>
  <c r="CP232" i="11"/>
  <c r="CK232" i="11"/>
  <c r="CS232" i="11"/>
  <c r="CO232" i="11"/>
  <c r="CT232" i="11"/>
  <c r="CL205" i="11"/>
  <c r="CP205" i="11"/>
  <c r="CK205" i="11"/>
  <c r="CT205" i="11"/>
  <c r="CS205" i="11"/>
  <c r="CO205" i="11"/>
  <c r="CP211" i="11"/>
  <c r="CK211" i="11"/>
  <c r="CT211" i="11"/>
  <c r="CO211" i="11"/>
  <c r="CL211" i="11"/>
  <c r="CS211" i="11"/>
  <c r="CO217" i="11"/>
  <c r="CP217" i="11"/>
  <c r="CT217" i="11"/>
  <c r="CK217" i="11"/>
  <c r="CS217" i="11"/>
  <c r="CL217" i="11"/>
  <c r="CS223" i="11"/>
  <c r="CT223" i="11"/>
  <c r="CK223" i="11"/>
  <c r="CO223" i="11"/>
  <c r="CL223" i="11"/>
  <c r="CP223" i="11"/>
  <c r="CP229" i="11"/>
  <c r="CL229" i="11"/>
  <c r="CS229" i="11"/>
  <c r="CT229" i="11"/>
  <c r="CK229" i="11"/>
  <c r="CO229" i="11"/>
  <c r="CP235" i="11"/>
  <c r="CL235" i="11"/>
  <c r="CO235" i="11"/>
  <c r="CK235" i="11"/>
  <c r="CS235" i="11"/>
  <c r="CT235" i="11"/>
  <c r="CO206" i="11"/>
  <c r="CS206" i="11"/>
  <c r="CP206" i="11"/>
  <c r="CT206" i="11"/>
  <c r="CL206" i="11"/>
  <c r="CK206" i="11"/>
  <c r="CT212" i="11"/>
  <c r="CL212" i="11"/>
  <c r="CO212" i="11"/>
  <c r="CS212" i="11"/>
  <c r="CP212" i="11"/>
  <c r="CK212" i="11"/>
  <c r="CL218" i="11"/>
  <c r="CT218" i="11"/>
  <c r="CP218" i="11"/>
  <c r="CK218" i="11"/>
  <c r="CS218" i="11"/>
  <c r="CO218" i="11"/>
  <c r="CP224" i="11"/>
  <c r="CL224" i="11"/>
  <c r="CT224" i="11"/>
  <c r="CO224" i="11"/>
  <c r="CK224" i="11"/>
  <c r="CS224" i="11"/>
  <c r="CT230" i="11"/>
  <c r="CO230" i="11"/>
  <c r="CK230" i="11"/>
  <c r="CS230" i="11"/>
  <c r="CP230" i="11"/>
  <c r="CL230" i="11"/>
  <c r="CT236" i="11"/>
  <c r="CS236" i="11"/>
  <c r="CO236" i="11"/>
  <c r="CK236" i="11"/>
  <c r="CP236" i="11"/>
  <c r="CL236" i="11"/>
  <c r="CH209" i="11"/>
  <c r="CG209" i="11"/>
  <c r="CH221" i="11"/>
  <c r="CG221" i="11"/>
  <c r="CG205" i="11"/>
  <c r="CH205" i="11"/>
  <c r="CH211" i="11"/>
  <c r="CG211" i="11"/>
  <c r="CG217" i="11"/>
  <c r="CH217" i="11"/>
  <c r="CH223" i="11"/>
  <c r="CG223" i="11"/>
  <c r="CG229" i="11"/>
  <c r="CH229" i="11"/>
  <c r="CH235" i="11"/>
  <c r="CG235" i="11"/>
  <c r="CH215" i="11"/>
  <c r="CG215" i="11"/>
  <c r="CH233" i="11"/>
  <c r="CG233" i="11"/>
  <c r="CG206" i="11"/>
  <c r="CH206" i="11"/>
  <c r="CH212" i="11"/>
  <c r="CG212" i="11"/>
  <c r="CG218" i="11"/>
  <c r="CH218" i="11"/>
  <c r="CH224" i="11"/>
  <c r="CG224" i="11"/>
  <c r="CG230" i="11"/>
  <c r="CH230" i="11"/>
  <c r="CH236" i="11"/>
  <c r="CG236" i="11"/>
  <c r="CG203" i="11"/>
  <c r="CH203" i="11"/>
  <c r="CG227" i="11"/>
  <c r="CH227" i="11"/>
  <c r="CG202" i="11"/>
  <c r="CH202" i="11"/>
  <c r="CH208" i="11"/>
  <c r="CG208" i="11"/>
  <c r="CG214" i="11"/>
  <c r="CH214" i="11"/>
  <c r="CH220" i="11"/>
  <c r="CG220" i="11"/>
  <c r="CG226" i="11"/>
  <c r="CH226" i="11"/>
  <c r="CH232" i="11"/>
  <c r="CG232" i="11"/>
  <c r="CC209" i="11"/>
  <c r="CX209" i="11"/>
  <c r="CW209" i="11"/>
  <c r="CD209" i="11"/>
  <c r="CX221" i="11"/>
  <c r="CW221" i="11"/>
  <c r="CD221" i="11"/>
  <c r="CC221" i="11"/>
  <c r="CD227" i="11"/>
  <c r="CC227" i="11"/>
  <c r="CX227" i="11"/>
  <c r="CW227" i="11"/>
  <c r="CX211" i="11"/>
  <c r="CW211" i="11"/>
  <c r="CD211" i="11"/>
  <c r="CC211" i="11"/>
  <c r="CX206" i="11"/>
  <c r="CW206" i="11"/>
  <c r="CC206" i="11"/>
  <c r="CD206" i="11"/>
  <c r="CX212" i="11"/>
  <c r="CW212" i="11"/>
  <c r="CC212" i="11"/>
  <c r="CD212" i="11"/>
  <c r="CX218" i="11"/>
  <c r="CW218" i="11"/>
  <c r="CC218" i="11"/>
  <c r="CD218" i="11"/>
  <c r="CX224" i="11"/>
  <c r="CW224" i="11"/>
  <c r="CC224" i="11"/>
  <c r="CD224" i="11"/>
  <c r="CX230" i="11"/>
  <c r="CW230" i="11"/>
  <c r="CC230" i="11"/>
  <c r="CD230" i="11"/>
  <c r="CX236" i="11"/>
  <c r="CW236" i="11"/>
  <c r="CC236" i="11"/>
  <c r="CD236" i="11"/>
  <c r="CD203" i="11"/>
  <c r="CC203" i="11"/>
  <c r="CW203" i="11"/>
  <c r="CX203" i="11"/>
  <c r="CC215" i="11"/>
  <c r="CW215" i="11"/>
  <c r="CX215" i="11"/>
  <c r="CD215" i="11"/>
  <c r="CC233" i="11"/>
  <c r="CX233" i="11"/>
  <c r="CW233" i="11"/>
  <c r="CD233" i="11"/>
  <c r="CX205" i="11"/>
  <c r="CW205" i="11"/>
  <c r="CD205" i="11"/>
  <c r="CC205" i="11"/>
  <c r="CX217" i="11"/>
  <c r="CW217" i="11"/>
  <c r="CD217" i="11"/>
  <c r="CC217" i="11"/>
  <c r="CX223" i="11"/>
  <c r="CW223" i="11"/>
  <c r="CD223" i="11"/>
  <c r="CC223" i="11"/>
  <c r="CX229" i="11"/>
  <c r="CW229" i="11"/>
  <c r="CD229" i="11"/>
  <c r="CC229" i="11"/>
  <c r="CX235" i="11"/>
  <c r="CW235" i="11"/>
  <c r="CD235" i="11"/>
  <c r="CC235" i="11"/>
  <c r="CX202" i="11"/>
  <c r="CW202" i="11"/>
  <c r="CD202" i="11"/>
  <c r="CC202" i="11"/>
  <c r="CX208" i="11"/>
  <c r="CW208" i="11"/>
  <c r="CD208" i="11"/>
  <c r="CC208" i="11"/>
  <c r="CD214" i="11"/>
  <c r="CX214" i="11"/>
  <c r="CW214" i="11"/>
  <c r="CC214" i="11"/>
  <c r="CX220" i="11"/>
  <c r="CW220" i="11"/>
  <c r="CD220" i="11"/>
  <c r="CC220" i="11"/>
  <c r="CC226" i="11"/>
  <c r="CX226" i="11"/>
  <c r="CW226" i="11"/>
  <c r="CD226" i="11"/>
  <c r="CX232" i="11"/>
  <c r="CW232" i="11"/>
  <c r="CC232" i="11"/>
  <c r="CD232" i="11"/>
  <c r="BX208" i="11"/>
  <c r="BT208" i="11"/>
  <c r="BP208" i="11"/>
  <c r="BL208" i="11"/>
  <c r="BH208" i="11"/>
  <c r="BD208" i="11"/>
  <c r="CA208" i="11"/>
  <c r="BW208" i="11"/>
  <c r="BS208" i="11"/>
  <c r="BO208" i="11"/>
  <c r="BK208" i="11"/>
  <c r="BG208" i="11"/>
  <c r="BZ208" i="11"/>
  <c r="BV208" i="11"/>
  <c r="BR208" i="11"/>
  <c r="BN208" i="11"/>
  <c r="BJ208" i="11"/>
  <c r="BF208" i="11"/>
  <c r="BQ208" i="11"/>
  <c r="BM208" i="11"/>
  <c r="BY208" i="11"/>
  <c r="BI208" i="11"/>
  <c r="BU208" i="11"/>
  <c r="BE208" i="11"/>
  <c r="CA232" i="11"/>
  <c r="BW232" i="11"/>
  <c r="BS232" i="11"/>
  <c r="BO232" i="11"/>
  <c r="BK232" i="11"/>
  <c r="BG232" i="11"/>
  <c r="BZ232" i="11"/>
  <c r="BV232" i="11"/>
  <c r="BR232" i="11"/>
  <c r="BN232" i="11"/>
  <c r="BJ232" i="11"/>
  <c r="BF232" i="11"/>
  <c r="BY232" i="11"/>
  <c r="BU232" i="11"/>
  <c r="BQ232" i="11"/>
  <c r="BM232" i="11"/>
  <c r="BI232" i="11"/>
  <c r="BE232" i="11"/>
  <c r="BP232" i="11"/>
  <c r="BL232" i="11"/>
  <c r="BX232" i="11"/>
  <c r="BH232" i="11"/>
  <c r="BT232" i="11"/>
  <c r="BD232" i="11"/>
  <c r="BX203" i="11"/>
  <c r="BT203" i="11"/>
  <c r="BP203" i="11"/>
  <c r="BL203" i="11"/>
  <c r="BH203" i="11"/>
  <c r="BD203" i="11"/>
  <c r="CA203" i="11"/>
  <c r="BW203" i="11"/>
  <c r="BS203" i="11"/>
  <c r="BO203" i="11"/>
  <c r="BK203" i="11"/>
  <c r="BG203" i="11"/>
  <c r="BZ203" i="11"/>
  <c r="BV203" i="11"/>
  <c r="BR203" i="11"/>
  <c r="BN203" i="11"/>
  <c r="BJ203" i="11"/>
  <c r="BF203" i="11"/>
  <c r="BY203" i="11"/>
  <c r="BI203" i="11"/>
  <c r="BU203" i="11"/>
  <c r="BE203" i="11"/>
  <c r="BQ203" i="11"/>
  <c r="BM203" i="11"/>
  <c r="BX209" i="11"/>
  <c r="BT209" i="11"/>
  <c r="BP209" i="11"/>
  <c r="BL209" i="11"/>
  <c r="BH209" i="11"/>
  <c r="BD209" i="11"/>
  <c r="CA209" i="11"/>
  <c r="BW209" i="11"/>
  <c r="BS209" i="11"/>
  <c r="BO209" i="11"/>
  <c r="BK209" i="11"/>
  <c r="BG209" i="11"/>
  <c r="BZ209" i="11"/>
  <c r="BV209" i="11"/>
  <c r="BR209" i="11"/>
  <c r="BN209" i="11"/>
  <c r="BJ209" i="11"/>
  <c r="BF209" i="11"/>
  <c r="BY209" i="11"/>
  <c r="BI209" i="11"/>
  <c r="BU209" i="11"/>
  <c r="BE209" i="11"/>
  <c r="BQ209" i="11"/>
  <c r="BM209" i="11"/>
  <c r="CA215" i="11"/>
  <c r="BZ215" i="11"/>
  <c r="BY215" i="11"/>
  <c r="BX215" i="11"/>
  <c r="BT215" i="11"/>
  <c r="BP215" i="11"/>
  <c r="BL215" i="11"/>
  <c r="BH215" i="11"/>
  <c r="BD215" i="11"/>
  <c r="BW215" i="11"/>
  <c r="BS215" i="11"/>
  <c r="BO215" i="11"/>
  <c r="BK215" i="11"/>
  <c r="BG215" i="11"/>
  <c r="BV215" i="11"/>
  <c r="BR215" i="11"/>
  <c r="BN215" i="11"/>
  <c r="BJ215" i="11"/>
  <c r="BF215" i="11"/>
  <c r="BI215" i="11"/>
  <c r="BU215" i="11"/>
  <c r="BE215" i="11"/>
  <c r="BQ215" i="11"/>
  <c r="BM215" i="11"/>
  <c r="CA221" i="11"/>
  <c r="BW221" i="11"/>
  <c r="BS221" i="11"/>
  <c r="BO221" i="11"/>
  <c r="BK221" i="11"/>
  <c r="BG221" i="11"/>
  <c r="BZ221" i="11"/>
  <c r="BV221" i="11"/>
  <c r="BR221" i="11"/>
  <c r="BN221" i="11"/>
  <c r="BJ221" i="11"/>
  <c r="BF221" i="11"/>
  <c r="BY221" i="11"/>
  <c r="BU221" i="11"/>
  <c r="BQ221" i="11"/>
  <c r="BM221" i="11"/>
  <c r="BI221" i="11"/>
  <c r="BE221" i="11"/>
  <c r="BX221" i="11"/>
  <c r="BH221" i="11"/>
  <c r="BT221" i="11"/>
  <c r="BD221" i="11"/>
  <c r="BP221" i="11"/>
  <c r="BL221" i="11"/>
  <c r="CA227" i="11"/>
  <c r="BW227" i="11"/>
  <c r="BS227" i="11"/>
  <c r="BO227" i="11"/>
  <c r="BK227" i="11"/>
  <c r="BG227" i="11"/>
  <c r="BZ227" i="11"/>
  <c r="BV227" i="11"/>
  <c r="BR227" i="11"/>
  <c r="BN227" i="11"/>
  <c r="BJ227" i="11"/>
  <c r="BF227" i="11"/>
  <c r="BY227" i="11"/>
  <c r="BU227" i="11"/>
  <c r="BQ227" i="11"/>
  <c r="BM227" i="11"/>
  <c r="BI227" i="11"/>
  <c r="BE227" i="11"/>
  <c r="BX227" i="11"/>
  <c r="BH227" i="11"/>
  <c r="BT227" i="11"/>
  <c r="BD227" i="11"/>
  <c r="BP227" i="11"/>
  <c r="BL227" i="11"/>
  <c r="CA233" i="11"/>
  <c r="BW233" i="11"/>
  <c r="BS233" i="11"/>
  <c r="BO233" i="11"/>
  <c r="BK233" i="11"/>
  <c r="BG233" i="11"/>
  <c r="BZ233" i="11"/>
  <c r="BV233" i="11"/>
  <c r="BR233" i="11"/>
  <c r="BN233" i="11"/>
  <c r="BJ233" i="11"/>
  <c r="BF233" i="11"/>
  <c r="BY233" i="11"/>
  <c r="BU233" i="11"/>
  <c r="BQ233" i="11"/>
  <c r="BM233" i="11"/>
  <c r="BI233" i="11"/>
  <c r="BE233" i="11"/>
  <c r="BX233" i="11"/>
  <c r="BH233" i="11"/>
  <c r="BT233" i="11"/>
  <c r="BD233" i="11"/>
  <c r="BP233" i="11"/>
  <c r="BL233" i="11"/>
  <c r="BX202" i="11"/>
  <c r="BT202" i="11"/>
  <c r="BP202" i="11"/>
  <c r="BL202" i="11"/>
  <c r="BH202" i="11"/>
  <c r="BD202" i="11"/>
  <c r="CA202" i="11"/>
  <c r="BW202" i="11"/>
  <c r="BS202" i="11"/>
  <c r="BO202" i="11"/>
  <c r="BK202" i="11"/>
  <c r="BG202" i="11"/>
  <c r="BZ202" i="11"/>
  <c r="BV202" i="11"/>
  <c r="BR202" i="11"/>
  <c r="BN202" i="11"/>
  <c r="BJ202" i="11"/>
  <c r="BF202" i="11"/>
  <c r="BQ202" i="11"/>
  <c r="BM202" i="11"/>
  <c r="BY202" i="11"/>
  <c r="BI202" i="11"/>
  <c r="BE202" i="11"/>
  <c r="BU202" i="11"/>
  <c r="CA220" i="11"/>
  <c r="BW220" i="11"/>
  <c r="BS220" i="11"/>
  <c r="BO220" i="11"/>
  <c r="BK220" i="11"/>
  <c r="BG220" i="11"/>
  <c r="BZ220" i="11"/>
  <c r="BV220" i="11"/>
  <c r="BR220" i="11"/>
  <c r="BN220" i="11"/>
  <c r="BJ220" i="11"/>
  <c r="BF220" i="11"/>
  <c r="BY220" i="11"/>
  <c r="BU220" i="11"/>
  <c r="BQ220" i="11"/>
  <c r="BM220" i="11"/>
  <c r="BI220" i="11"/>
  <c r="BE220" i="11"/>
  <c r="BP220" i="11"/>
  <c r="BL220" i="11"/>
  <c r="BX220" i="11"/>
  <c r="BH220" i="11"/>
  <c r="BT220" i="11"/>
  <c r="BD220" i="11"/>
  <c r="BX205" i="11"/>
  <c r="BT205" i="11"/>
  <c r="BP205" i="11"/>
  <c r="BL205" i="11"/>
  <c r="BH205" i="11"/>
  <c r="BD205" i="11"/>
  <c r="CA205" i="11"/>
  <c r="BW205" i="11"/>
  <c r="BS205" i="11"/>
  <c r="BO205" i="11"/>
  <c r="BK205" i="11"/>
  <c r="BG205" i="11"/>
  <c r="BZ205" i="11"/>
  <c r="BV205" i="11"/>
  <c r="BR205" i="11"/>
  <c r="BN205" i="11"/>
  <c r="BJ205" i="11"/>
  <c r="BF205" i="11"/>
  <c r="BQ205" i="11"/>
  <c r="BM205" i="11"/>
  <c r="BY205" i="11"/>
  <c r="BI205" i="11"/>
  <c r="BE205" i="11"/>
  <c r="BU205" i="11"/>
  <c r="BX211" i="11"/>
  <c r="BT211" i="11"/>
  <c r="BP211" i="11"/>
  <c r="BL211" i="11"/>
  <c r="BH211" i="11"/>
  <c r="BD211" i="11"/>
  <c r="CA211" i="11"/>
  <c r="BW211" i="11"/>
  <c r="BS211" i="11"/>
  <c r="BO211" i="11"/>
  <c r="BK211" i="11"/>
  <c r="BG211" i="11"/>
  <c r="BZ211" i="11"/>
  <c r="BV211" i="11"/>
  <c r="BR211" i="11"/>
  <c r="BN211" i="11"/>
  <c r="BJ211" i="11"/>
  <c r="BF211" i="11"/>
  <c r="BQ211" i="11"/>
  <c r="BM211" i="11"/>
  <c r="BY211" i="11"/>
  <c r="BI211" i="11"/>
  <c r="BU211" i="11"/>
  <c r="BE211" i="11"/>
  <c r="CA217" i="11"/>
  <c r="BW217" i="11"/>
  <c r="BS217" i="11"/>
  <c r="BO217" i="11"/>
  <c r="BK217" i="11"/>
  <c r="BG217" i="11"/>
  <c r="BZ217" i="11"/>
  <c r="BV217" i="11"/>
  <c r="BR217" i="11"/>
  <c r="BN217" i="11"/>
  <c r="BJ217" i="11"/>
  <c r="BF217" i="11"/>
  <c r="BY217" i="11"/>
  <c r="BU217" i="11"/>
  <c r="BQ217" i="11"/>
  <c r="BM217" i="11"/>
  <c r="BI217" i="11"/>
  <c r="BE217" i="11"/>
  <c r="BP217" i="11"/>
  <c r="BL217" i="11"/>
  <c r="BX217" i="11"/>
  <c r="BH217" i="11"/>
  <c r="BD217" i="11"/>
  <c r="BT217" i="11"/>
  <c r="CA223" i="11"/>
  <c r="BW223" i="11"/>
  <c r="BS223" i="11"/>
  <c r="BO223" i="11"/>
  <c r="BK223" i="11"/>
  <c r="BG223" i="11"/>
  <c r="BZ223" i="11"/>
  <c r="BV223" i="11"/>
  <c r="BR223" i="11"/>
  <c r="BN223" i="11"/>
  <c r="BJ223" i="11"/>
  <c r="BF223" i="11"/>
  <c r="BY223" i="11"/>
  <c r="BU223" i="11"/>
  <c r="BQ223" i="11"/>
  <c r="BM223" i="11"/>
  <c r="BI223" i="11"/>
  <c r="BE223" i="11"/>
  <c r="BP223" i="11"/>
  <c r="BL223" i="11"/>
  <c r="BX223" i="11"/>
  <c r="BH223" i="11"/>
  <c r="BT223" i="11"/>
  <c r="BD223" i="11"/>
  <c r="CA229" i="11"/>
  <c r="BW229" i="11"/>
  <c r="BS229" i="11"/>
  <c r="BO229" i="11"/>
  <c r="BK229" i="11"/>
  <c r="BG229" i="11"/>
  <c r="BZ229" i="11"/>
  <c r="BV229" i="11"/>
  <c r="BR229" i="11"/>
  <c r="BN229" i="11"/>
  <c r="BJ229" i="11"/>
  <c r="BF229" i="11"/>
  <c r="BY229" i="11"/>
  <c r="BU229" i="11"/>
  <c r="BQ229" i="11"/>
  <c r="BM229" i="11"/>
  <c r="BI229" i="11"/>
  <c r="BE229" i="11"/>
  <c r="BP229" i="11"/>
  <c r="BL229" i="11"/>
  <c r="BX229" i="11"/>
  <c r="BH229" i="11"/>
  <c r="BD229" i="11"/>
  <c r="BT229" i="11"/>
  <c r="CA235" i="11"/>
  <c r="BW235" i="11"/>
  <c r="BS235" i="11"/>
  <c r="BO235" i="11"/>
  <c r="BK235" i="11"/>
  <c r="BG235" i="11"/>
  <c r="BZ235" i="11"/>
  <c r="BV235" i="11"/>
  <c r="BR235" i="11"/>
  <c r="BN235" i="11"/>
  <c r="BJ235" i="11"/>
  <c r="BF235" i="11"/>
  <c r="BY235" i="11"/>
  <c r="BU235" i="11"/>
  <c r="BQ235" i="11"/>
  <c r="BM235" i="11"/>
  <c r="BI235" i="11"/>
  <c r="BE235" i="11"/>
  <c r="BP235" i="11"/>
  <c r="BL235" i="11"/>
  <c r="BX235" i="11"/>
  <c r="BH235" i="11"/>
  <c r="BT235" i="11"/>
  <c r="BD235" i="11"/>
  <c r="BX214" i="11"/>
  <c r="BT214" i="11"/>
  <c r="BP214" i="11"/>
  <c r="BL214" i="11"/>
  <c r="BH214" i="11"/>
  <c r="BD214" i="11"/>
  <c r="CA214" i="11"/>
  <c r="BW214" i="11"/>
  <c r="BS214" i="11"/>
  <c r="BO214" i="11"/>
  <c r="BK214" i="11"/>
  <c r="BG214" i="11"/>
  <c r="BZ214" i="11"/>
  <c r="BV214" i="11"/>
  <c r="BR214" i="11"/>
  <c r="BN214" i="11"/>
  <c r="BJ214" i="11"/>
  <c r="BF214" i="11"/>
  <c r="BQ214" i="11"/>
  <c r="BM214" i="11"/>
  <c r="BY214" i="11"/>
  <c r="BI214" i="11"/>
  <c r="BE214" i="11"/>
  <c r="BU214" i="11"/>
  <c r="CA226" i="11"/>
  <c r="BW226" i="11"/>
  <c r="BS226" i="11"/>
  <c r="BO226" i="11"/>
  <c r="BK226" i="11"/>
  <c r="BG226" i="11"/>
  <c r="BZ226" i="11"/>
  <c r="BV226" i="11"/>
  <c r="BR226" i="11"/>
  <c r="BN226" i="11"/>
  <c r="BJ226" i="11"/>
  <c r="BF226" i="11"/>
  <c r="BY226" i="11"/>
  <c r="BU226" i="11"/>
  <c r="BQ226" i="11"/>
  <c r="BM226" i="11"/>
  <c r="BI226" i="11"/>
  <c r="BE226" i="11"/>
  <c r="BP226" i="11"/>
  <c r="BL226" i="11"/>
  <c r="BX226" i="11"/>
  <c r="BH226" i="11"/>
  <c r="BT226" i="11"/>
  <c r="BD226" i="11"/>
  <c r="BX206" i="11"/>
  <c r="BT206" i="11"/>
  <c r="BP206" i="11"/>
  <c r="BL206" i="11"/>
  <c r="BH206" i="11"/>
  <c r="BD206" i="11"/>
  <c r="CA206" i="11"/>
  <c r="BW206" i="11"/>
  <c r="BS206" i="11"/>
  <c r="BO206" i="11"/>
  <c r="BK206" i="11"/>
  <c r="BG206" i="11"/>
  <c r="BZ206" i="11"/>
  <c r="BV206" i="11"/>
  <c r="BR206" i="11"/>
  <c r="BN206" i="11"/>
  <c r="BJ206" i="11"/>
  <c r="BF206" i="11"/>
  <c r="BY206" i="11"/>
  <c r="BI206" i="11"/>
  <c r="BU206" i="11"/>
  <c r="BE206" i="11"/>
  <c r="BQ206" i="11"/>
  <c r="BM206" i="11"/>
  <c r="BX212" i="11"/>
  <c r="BT212" i="11"/>
  <c r="BP212" i="11"/>
  <c r="BL212" i="11"/>
  <c r="BH212" i="11"/>
  <c r="BD212" i="11"/>
  <c r="CA212" i="11"/>
  <c r="BW212" i="11"/>
  <c r="BS212" i="11"/>
  <c r="BO212" i="11"/>
  <c r="BK212" i="11"/>
  <c r="BG212" i="11"/>
  <c r="BZ212" i="11"/>
  <c r="BV212" i="11"/>
  <c r="BR212" i="11"/>
  <c r="BN212" i="11"/>
  <c r="BJ212" i="11"/>
  <c r="BF212" i="11"/>
  <c r="BY212" i="11"/>
  <c r="BI212" i="11"/>
  <c r="BU212" i="11"/>
  <c r="BE212" i="11"/>
  <c r="BQ212" i="11"/>
  <c r="BM212" i="11"/>
  <c r="CA218" i="11"/>
  <c r="BW218" i="11"/>
  <c r="BS218" i="11"/>
  <c r="BO218" i="11"/>
  <c r="BK218" i="11"/>
  <c r="BG218" i="11"/>
  <c r="BZ218" i="11"/>
  <c r="BV218" i="11"/>
  <c r="BR218" i="11"/>
  <c r="BN218" i="11"/>
  <c r="BJ218" i="11"/>
  <c r="BF218" i="11"/>
  <c r="BY218" i="11"/>
  <c r="BU218" i="11"/>
  <c r="BQ218" i="11"/>
  <c r="BM218" i="11"/>
  <c r="BI218" i="11"/>
  <c r="BE218" i="11"/>
  <c r="BX218" i="11"/>
  <c r="BH218" i="11"/>
  <c r="BT218" i="11"/>
  <c r="BD218" i="11"/>
  <c r="BP218" i="11"/>
  <c r="BL218" i="11"/>
  <c r="CA224" i="11"/>
  <c r="BW224" i="11"/>
  <c r="BS224" i="11"/>
  <c r="BO224" i="11"/>
  <c r="BK224" i="11"/>
  <c r="BG224" i="11"/>
  <c r="BZ224" i="11"/>
  <c r="BV224" i="11"/>
  <c r="BR224" i="11"/>
  <c r="BN224" i="11"/>
  <c r="BJ224" i="11"/>
  <c r="BF224" i="11"/>
  <c r="BY224" i="11"/>
  <c r="BU224" i="11"/>
  <c r="BQ224" i="11"/>
  <c r="BM224" i="11"/>
  <c r="BI224" i="11"/>
  <c r="BE224" i="11"/>
  <c r="BX224" i="11"/>
  <c r="BH224" i="11"/>
  <c r="BT224" i="11"/>
  <c r="BD224" i="11"/>
  <c r="BP224" i="11"/>
  <c r="BL224" i="11"/>
  <c r="CA230" i="11"/>
  <c r="BW230" i="11"/>
  <c r="BS230" i="11"/>
  <c r="BO230" i="11"/>
  <c r="BK230" i="11"/>
  <c r="BG230" i="11"/>
  <c r="BZ230" i="11"/>
  <c r="BV230" i="11"/>
  <c r="BR230" i="11"/>
  <c r="BN230" i="11"/>
  <c r="BJ230" i="11"/>
  <c r="BF230" i="11"/>
  <c r="BY230" i="11"/>
  <c r="BU230" i="11"/>
  <c r="BQ230" i="11"/>
  <c r="BM230" i="11"/>
  <c r="BI230" i="11"/>
  <c r="BE230" i="11"/>
  <c r="BX230" i="11"/>
  <c r="BH230" i="11"/>
  <c r="BT230" i="11"/>
  <c r="BD230" i="11"/>
  <c r="BP230" i="11"/>
  <c r="BL230" i="11"/>
  <c r="CA236" i="11"/>
  <c r="BW236" i="11"/>
  <c r="BS236" i="11"/>
  <c r="BO236" i="11"/>
  <c r="BK236" i="11"/>
  <c r="BG236" i="11"/>
  <c r="BZ236" i="11"/>
  <c r="BV236" i="11"/>
  <c r="BR236" i="11"/>
  <c r="BN236" i="11"/>
  <c r="BJ236" i="11"/>
  <c r="BF236" i="11"/>
  <c r="BY236" i="11"/>
  <c r="BU236" i="11"/>
  <c r="BQ236" i="11"/>
  <c r="BM236" i="11"/>
  <c r="BI236" i="11"/>
  <c r="BE236" i="11"/>
  <c r="BX236" i="11"/>
  <c r="BH236" i="11"/>
  <c r="BT236" i="11"/>
  <c r="BD236" i="11"/>
  <c r="BP236" i="11"/>
  <c r="BL236" i="11"/>
  <c r="H202" i="11"/>
  <c r="K202" i="11"/>
  <c r="O202" i="11"/>
  <c r="S202" i="11"/>
  <c r="W202" i="11"/>
  <c r="AA202" i="11"/>
  <c r="AE202" i="11"/>
  <c r="AI202" i="11"/>
  <c r="AM202" i="11"/>
  <c r="AQ202" i="11"/>
  <c r="AU202" i="11"/>
  <c r="AY202" i="11"/>
  <c r="BC202" i="11"/>
  <c r="M202" i="11"/>
  <c r="U202" i="11"/>
  <c r="AC202" i="11"/>
  <c r="AO202" i="11"/>
  <c r="AW202" i="11"/>
  <c r="L202" i="11"/>
  <c r="P202" i="11"/>
  <c r="T202" i="11"/>
  <c r="X202" i="11"/>
  <c r="AB202" i="11"/>
  <c r="AF202" i="11"/>
  <c r="AJ202" i="11"/>
  <c r="AN202" i="11"/>
  <c r="AR202" i="11"/>
  <c r="AV202" i="11"/>
  <c r="AZ202" i="11"/>
  <c r="I202" i="11"/>
  <c r="Q202" i="11"/>
  <c r="Y202" i="11"/>
  <c r="AG202" i="11"/>
  <c r="AK202" i="11"/>
  <c r="AS202" i="11"/>
  <c r="BA202" i="11"/>
  <c r="N202" i="11"/>
  <c r="AD202" i="11"/>
  <c r="AT202" i="11"/>
  <c r="BB202" i="11"/>
  <c r="AP202" i="11"/>
  <c r="R202" i="11"/>
  <c r="AH202" i="11"/>
  <c r="AX202" i="11"/>
  <c r="V202" i="11"/>
  <c r="AL202" i="11"/>
  <c r="J202" i="11"/>
  <c r="Z202" i="11"/>
  <c r="BB208" i="11"/>
  <c r="AX208" i="11"/>
  <c r="AT208" i="11"/>
  <c r="AP208" i="11"/>
  <c r="AL208" i="11"/>
  <c r="AH208" i="11"/>
  <c r="AD208" i="11"/>
  <c r="BA208" i="11"/>
  <c r="AW208" i="11"/>
  <c r="AS208" i="11"/>
  <c r="AO208" i="11"/>
  <c r="AK208" i="11"/>
  <c r="AG208" i="11"/>
  <c r="AZ208" i="11"/>
  <c r="AR208" i="11"/>
  <c r="AJ208" i="11"/>
  <c r="AB208" i="11"/>
  <c r="X208" i="11"/>
  <c r="BC208" i="11"/>
  <c r="AU208" i="11"/>
  <c r="AM208" i="11"/>
  <c r="AE208" i="11"/>
  <c r="AA208" i="11"/>
  <c r="W208" i="11"/>
  <c r="S208" i="11"/>
  <c r="AN208" i="11"/>
  <c r="Z208" i="11"/>
  <c r="R208" i="11"/>
  <c r="P208" i="11"/>
  <c r="L208" i="11"/>
  <c r="H208" i="11"/>
  <c r="V208" i="11"/>
  <c r="Q208" i="11"/>
  <c r="J208" i="11"/>
  <c r="Y208" i="11"/>
  <c r="AY208" i="11"/>
  <c r="AI208" i="11"/>
  <c r="AC208" i="11"/>
  <c r="T208" i="11"/>
  <c r="O208" i="11"/>
  <c r="K208" i="11"/>
  <c r="AV208" i="11"/>
  <c r="AF208" i="11"/>
  <c r="N208" i="11"/>
  <c r="AQ208" i="11"/>
  <c r="U208" i="11"/>
  <c r="M208" i="11"/>
  <c r="I208" i="11"/>
  <c r="BB214" i="11"/>
  <c r="AX214" i="11"/>
  <c r="AT214" i="11"/>
  <c r="AP214" i="11"/>
  <c r="AL214" i="11"/>
  <c r="AH214" i="11"/>
  <c r="AD214" i="11"/>
  <c r="BA214" i="11"/>
  <c r="AW214" i="11"/>
  <c r="AS214" i="11"/>
  <c r="AO214" i="11"/>
  <c r="AK214" i="11"/>
  <c r="AG214" i="11"/>
  <c r="AV214" i="11"/>
  <c r="AN214" i="11"/>
  <c r="AF214" i="11"/>
  <c r="AB214" i="11"/>
  <c r="X214" i="11"/>
  <c r="AY214" i="11"/>
  <c r="AQ214" i="11"/>
  <c r="AI214" i="11"/>
  <c r="AA214" i="11"/>
  <c r="W214" i="11"/>
  <c r="S214" i="11"/>
  <c r="AR214" i="11"/>
  <c r="V214" i="11"/>
  <c r="T214" i="11"/>
  <c r="P214" i="11"/>
  <c r="L214" i="11"/>
  <c r="H214" i="11"/>
  <c r="N214" i="11"/>
  <c r="AU214" i="11"/>
  <c r="AE214" i="11"/>
  <c r="AC214" i="11"/>
  <c r="BC214" i="11"/>
  <c r="AM214" i="11"/>
  <c r="Y214" i="11"/>
  <c r="Q214" i="11"/>
  <c r="O214" i="11"/>
  <c r="K214" i="11"/>
  <c r="AZ214" i="11"/>
  <c r="AJ214" i="11"/>
  <c r="Z214" i="11"/>
  <c r="U214" i="11"/>
  <c r="J214" i="11"/>
  <c r="R214" i="11"/>
  <c r="M214" i="11"/>
  <c r="I214" i="11"/>
  <c r="BB220" i="11"/>
  <c r="AX220" i="11"/>
  <c r="AT220" i="11"/>
  <c r="AP220" i="11"/>
  <c r="AL220" i="11"/>
  <c r="AH220" i="11"/>
  <c r="AD220" i="11"/>
  <c r="BA220" i="11"/>
  <c r="AW220" i="11"/>
  <c r="AS220" i="11"/>
  <c r="AO220" i="11"/>
  <c r="AK220" i="11"/>
  <c r="AG220" i="11"/>
  <c r="AZ220" i="11"/>
  <c r="AR220" i="11"/>
  <c r="AJ220" i="11"/>
  <c r="AB220" i="11"/>
  <c r="X220" i="11"/>
  <c r="BC220" i="11"/>
  <c r="AU220" i="11"/>
  <c r="AM220" i="11"/>
  <c r="AE220" i="11"/>
  <c r="AA220" i="11"/>
  <c r="W220" i="11"/>
  <c r="S220" i="11"/>
  <c r="AV220" i="11"/>
  <c r="AF220" i="11"/>
  <c r="Z220" i="11"/>
  <c r="Q220" i="11"/>
  <c r="P220" i="11"/>
  <c r="L220" i="11"/>
  <c r="H220" i="11"/>
  <c r="J220" i="11"/>
  <c r="V220" i="11"/>
  <c r="AQ220" i="11"/>
  <c r="AC220" i="11"/>
  <c r="U220" i="11"/>
  <c r="O220" i="11"/>
  <c r="K220" i="11"/>
  <c r="AN220" i="11"/>
  <c r="R220" i="11"/>
  <c r="N220" i="11"/>
  <c r="AY220" i="11"/>
  <c r="AI220" i="11"/>
  <c r="Y220" i="11"/>
  <c r="T220" i="11"/>
  <c r="I220" i="11"/>
  <c r="M220" i="11"/>
  <c r="BC203" i="11"/>
  <c r="AY203" i="11"/>
  <c r="AU203" i="11"/>
  <c r="AQ203" i="11"/>
  <c r="AM203" i="11"/>
  <c r="AI203" i="11"/>
  <c r="AE203" i="11"/>
  <c r="BB203" i="11"/>
  <c r="AX203" i="11"/>
  <c r="AT203" i="11"/>
  <c r="AP203" i="11"/>
  <c r="AL203" i="11"/>
  <c r="AH203" i="11"/>
  <c r="AD203" i="11"/>
  <c r="BA203" i="11"/>
  <c r="AS203" i="11"/>
  <c r="AK203" i="11"/>
  <c r="AC203" i="11"/>
  <c r="Y203" i="11"/>
  <c r="AV203" i="11"/>
  <c r="AN203" i="11"/>
  <c r="AF203" i="11"/>
  <c r="AB203" i="11"/>
  <c r="X203" i="11"/>
  <c r="T203" i="11"/>
  <c r="P203" i="11"/>
  <c r="AO203" i="11"/>
  <c r="AA203" i="11"/>
  <c r="S203" i="11"/>
  <c r="Q203" i="11"/>
  <c r="M203" i="11"/>
  <c r="I203" i="11"/>
  <c r="W203" i="11"/>
  <c r="K203" i="11"/>
  <c r="AR203" i="11"/>
  <c r="Z203" i="11"/>
  <c r="AZ203" i="11"/>
  <c r="AJ203" i="11"/>
  <c r="V203" i="11"/>
  <c r="U203" i="11"/>
  <c r="L203" i="11"/>
  <c r="H203" i="11"/>
  <c r="AW203" i="11"/>
  <c r="AG203" i="11"/>
  <c r="R203" i="11"/>
  <c r="O203" i="11"/>
  <c r="N203" i="11"/>
  <c r="J203" i="11"/>
  <c r="BC209" i="11"/>
  <c r="AY209" i="11"/>
  <c r="AU209" i="11"/>
  <c r="AQ209" i="11"/>
  <c r="AM209" i="11"/>
  <c r="AI209" i="11"/>
  <c r="AE209" i="11"/>
  <c r="BB209" i="11"/>
  <c r="AX209" i="11"/>
  <c r="AT209" i="11"/>
  <c r="AP209" i="11"/>
  <c r="AL209" i="11"/>
  <c r="AH209" i="11"/>
  <c r="AD209" i="11"/>
  <c r="AW209" i="11"/>
  <c r="AO209" i="11"/>
  <c r="AG209" i="11"/>
  <c r="AC209" i="11"/>
  <c r="Y209" i="11"/>
  <c r="AZ209" i="11"/>
  <c r="AR209" i="11"/>
  <c r="AJ209" i="11"/>
  <c r="AB209" i="11"/>
  <c r="X209" i="11"/>
  <c r="T209" i="11"/>
  <c r="AS209" i="11"/>
  <c r="W209" i="11"/>
  <c r="U209" i="11"/>
  <c r="M209" i="11"/>
  <c r="I209" i="11"/>
  <c r="O209" i="11"/>
  <c r="S209" i="11"/>
  <c r="AN209" i="11"/>
  <c r="Z209" i="11"/>
  <c r="R209" i="11"/>
  <c r="P209" i="11"/>
  <c r="L209" i="11"/>
  <c r="H209" i="11"/>
  <c r="BA209" i="11"/>
  <c r="AK209" i="11"/>
  <c r="AA209" i="11"/>
  <c r="K209" i="11"/>
  <c r="AV209" i="11"/>
  <c r="AF209" i="11"/>
  <c r="V209" i="11"/>
  <c r="Q209" i="11"/>
  <c r="N209" i="11"/>
  <c r="J209" i="11"/>
  <c r="BC215" i="11"/>
  <c r="AY215" i="11"/>
  <c r="AU215" i="11"/>
  <c r="AQ215" i="11"/>
  <c r="AM215" i="11"/>
  <c r="AI215" i="11"/>
  <c r="AE215" i="11"/>
  <c r="BB215" i="11"/>
  <c r="AX215" i="11"/>
  <c r="AT215" i="11"/>
  <c r="AP215" i="11"/>
  <c r="AL215" i="11"/>
  <c r="AH215" i="11"/>
  <c r="AD215" i="11"/>
  <c r="BA215" i="11"/>
  <c r="AS215" i="11"/>
  <c r="AK215" i="11"/>
  <c r="AC215" i="11"/>
  <c r="Y215" i="11"/>
  <c r="AV215" i="11"/>
  <c r="AN215" i="11"/>
  <c r="AF215" i="11"/>
  <c r="AB215" i="11"/>
  <c r="X215" i="11"/>
  <c r="T215" i="11"/>
  <c r="AW215" i="11"/>
  <c r="AG215" i="11"/>
  <c r="AA215" i="11"/>
  <c r="R215" i="11"/>
  <c r="M215" i="11"/>
  <c r="I215" i="11"/>
  <c r="S215" i="11"/>
  <c r="K215" i="11"/>
  <c r="AJ215" i="11"/>
  <c r="U215" i="11"/>
  <c r="AR215" i="11"/>
  <c r="V215" i="11"/>
  <c r="P215" i="11"/>
  <c r="L215" i="11"/>
  <c r="H215" i="11"/>
  <c r="AO215" i="11"/>
  <c r="W215" i="11"/>
  <c r="Q215" i="11"/>
  <c r="O215" i="11"/>
  <c r="AZ215" i="11"/>
  <c r="Z215" i="11"/>
  <c r="N215" i="11"/>
  <c r="J215" i="11"/>
  <c r="BC221" i="11"/>
  <c r="AY221" i="11"/>
  <c r="AU221" i="11"/>
  <c r="AQ221" i="11"/>
  <c r="AM221" i="11"/>
  <c r="AI221" i="11"/>
  <c r="AE221" i="11"/>
  <c r="BB221" i="11"/>
  <c r="AX221" i="11"/>
  <c r="AT221" i="11"/>
  <c r="AP221" i="11"/>
  <c r="AL221" i="11"/>
  <c r="AH221" i="11"/>
  <c r="AD221" i="11"/>
  <c r="AW221" i="11"/>
  <c r="AO221" i="11"/>
  <c r="AG221" i="11"/>
  <c r="AC221" i="11"/>
  <c r="Y221" i="11"/>
  <c r="AZ221" i="11"/>
  <c r="AR221" i="11"/>
  <c r="AJ221" i="11"/>
  <c r="AB221" i="11"/>
  <c r="X221" i="11"/>
  <c r="T221" i="11"/>
  <c r="BA221" i="11"/>
  <c r="AK221" i="11"/>
  <c r="W221" i="11"/>
  <c r="V221" i="11"/>
  <c r="M221" i="11"/>
  <c r="I221" i="11"/>
  <c r="U221" i="11"/>
  <c r="O221" i="11"/>
  <c r="R221" i="11"/>
  <c r="AV221" i="11"/>
  <c r="AF221" i="11"/>
  <c r="Z221" i="11"/>
  <c r="S221" i="11"/>
  <c r="Q221" i="11"/>
  <c r="P221" i="11"/>
  <c r="L221" i="11"/>
  <c r="H221" i="11"/>
  <c r="AS221" i="11"/>
  <c r="AA221" i="11"/>
  <c r="K221" i="11"/>
  <c r="AN221" i="11"/>
  <c r="J221" i="11"/>
  <c r="N221" i="11"/>
  <c r="AZ205" i="11"/>
  <c r="AV205" i="11"/>
  <c r="AR205" i="11"/>
  <c r="AN205" i="11"/>
  <c r="AJ205" i="11"/>
  <c r="AF205" i="11"/>
  <c r="BC205" i="11"/>
  <c r="AY205" i="11"/>
  <c r="AU205" i="11"/>
  <c r="AQ205" i="11"/>
  <c r="AM205" i="11"/>
  <c r="AI205" i="11"/>
  <c r="AE205" i="11"/>
  <c r="AX205" i="11"/>
  <c r="AP205" i="11"/>
  <c r="AH205" i="11"/>
  <c r="Z205" i="11"/>
  <c r="V205" i="11"/>
  <c r="BA205" i="11"/>
  <c r="AS205" i="11"/>
  <c r="AK205" i="11"/>
  <c r="AC205" i="11"/>
  <c r="Y205" i="11"/>
  <c r="U205" i="11"/>
  <c r="Q205" i="11"/>
  <c r="AT205" i="11"/>
  <c r="AD205" i="11"/>
  <c r="X205" i="11"/>
  <c r="N205" i="11"/>
  <c r="J205" i="11"/>
  <c r="P205" i="11"/>
  <c r="H205" i="11"/>
  <c r="AW205" i="11"/>
  <c r="AG205" i="11"/>
  <c r="R205" i="11"/>
  <c r="AO205" i="11"/>
  <c r="AA205" i="11"/>
  <c r="S205" i="11"/>
  <c r="M205" i="11"/>
  <c r="I205" i="11"/>
  <c r="BB205" i="11"/>
  <c r="AL205" i="11"/>
  <c r="AB205" i="11"/>
  <c r="L205" i="11"/>
  <c r="W205" i="11"/>
  <c r="T205" i="11"/>
  <c r="O205" i="11"/>
  <c r="K205" i="11"/>
  <c r="AZ211" i="11"/>
  <c r="AV211" i="11"/>
  <c r="AR211" i="11"/>
  <c r="AN211" i="11"/>
  <c r="AJ211" i="11"/>
  <c r="AF211" i="11"/>
  <c r="BC211" i="11"/>
  <c r="AY211" i="11"/>
  <c r="AU211" i="11"/>
  <c r="AQ211" i="11"/>
  <c r="AM211" i="11"/>
  <c r="AI211" i="11"/>
  <c r="AE211" i="11"/>
  <c r="BB211" i="11"/>
  <c r="AT211" i="11"/>
  <c r="AL211" i="11"/>
  <c r="AD211" i="11"/>
  <c r="Z211" i="11"/>
  <c r="V211" i="11"/>
  <c r="AW211" i="11"/>
  <c r="AO211" i="11"/>
  <c r="AG211" i="11"/>
  <c r="AC211" i="11"/>
  <c r="Y211" i="11"/>
  <c r="U211" i="11"/>
  <c r="Q211" i="11"/>
  <c r="AX211" i="11"/>
  <c r="AH211" i="11"/>
  <c r="AB211" i="11"/>
  <c r="S211" i="11"/>
  <c r="N211" i="11"/>
  <c r="J211" i="11"/>
  <c r="R211" i="11"/>
  <c r="L211" i="11"/>
  <c r="AS211" i="11"/>
  <c r="W211" i="11"/>
  <c r="M211" i="11"/>
  <c r="I211" i="11"/>
  <c r="AP211" i="11"/>
  <c r="X211" i="11"/>
  <c r="T211" i="11"/>
  <c r="P211" i="11"/>
  <c r="H211" i="11"/>
  <c r="BA211" i="11"/>
  <c r="AK211" i="11"/>
  <c r="AA211" i="11"/>
  <c r="K211" i="11"/>
  <c r="O211" i="11"/>
  <c r="AZ217" i="11"/>
  <c r="AV217" i="11"/>
  <c r="AR217" i="11"/>
  <c r="AN217" i="11"/>
  <c r="AJ217" i="11"/>
  <c r="AF217" i="11"/>
  <c r="BC217" i="11"/>
  <c r="AY217" i="11"/>
  <c r="AU217" i="11"/>
  <c r="AQ217" i="11"/>
  <c r="AM217" i="11"/>
  <c r="AI217" i="11"/>
  <c r="AE217" i="11"/>
  <c r="AX217" i="11"/>
  <c r="AP217" i="11"/>
  <c r="AH217" i="11"/>
  <c r="Z217" i="11"/>
  <c r="BA217" i="11"/>
  <c r="AS217" i="11"/>
  <c r="AK217" i="11"/>
  <c r="AC217" i="11"/>
  <c r="Y217" i="11"/>
  <c r="U217" i="11"/>
  <c r="Q217" i="11"/>
  <c r="BB217" i="11"/>
  <c r="AL217" i="11"/>
  <c r="X217" i="11"/>
  <c r="N217" i="11"/>
  <c r="J217" i="11"/>
  <c r="AB217" i="11"/>
  <c r="P217" i="11"/>
  <c r="H217" i="11"/>
  <c r="AO217" i="11"/>
  <c r="W217" i="11"/>
  <c r="AW217" i="11"/>
  <c r="AG217" i="11"/>
  <c r="AA217" i="11"/>
  <c r="T217" i="11"/>
  <c r="R217" i="11"/>
  <c r="M217" i="11"/>
  <c r="I217" i="11"/>
  <c r="AT217" i="11"/>
  <c r="AD217" i="11"/>
  <c r="V217" i="11"/>
  <c r="L217" i="11"/>
  <c r="S217" i="11"/>
  <c r="K217" i="11"/>
  <c r="O217" i="11"/>
  <c r="BA206" i="11"/>
  <c r="AW206" i="11"/>
  <c r="AS206" i="11"/>
  <c r="AO206" i="11"/>
  <c r="AK206" i="11"/>
  <c r="AG206" i="11"/>
  <c r="AZ206" i="11"/>
  <c r="AV206" i="11"/>
  <c r="AR206" i="11"/>
  <c r="AN206" i="11"/>
  <c r="AJ206" i="11"/>
  <c r="AF206" i="11"/>
  <c r="BC206" i="11"/>
  <c r="AU206" i="11"/>
  <c r="AM206" i="11"/>
  <c r="AE206" i="11"/>
  <c r="AA206" i="11"/>
  <c r="W206" i="11"/>
  <c r="AX206" i="11"/>
  <c r="AP206" i="11"/>
  <c r="AH206" i="11"/>
  <c r="Z206" i="11"/>
  <c r="V206" i="11"/>
  <c r="R206" i="11"/>
  <c r="AY206" i="11"/>
  <c r="AI206" i="11"/>
  <c r="AC206" i="11"/>
  <c r="T206" i="11"/>
  <c r="O206" i="11"/>
  <c r="K206" i="11"/>
  <c r="U206" i="11"/>
  <c r="M206" i="11"/>
  <c r="BB206" i="11"/>
  <c r="AL206" i="11"/>
  <c r="AT206" i="11"/>
  <c r="AD206" i="11"/>
  <c r="X206" i="11"/>
  <c r="Q206" i="11"/>
  <c r="N206" i="11"/>
  <c r="J206" i="11"/>
  <c r="AQ206" i="11"/>
  <c r="Y206" i="11"/>
  <c r="S206" i="11"/>
  <c r="I206" i="11"/>
  <c r="AB206" i="11"/>
  <c r="P206" i="11"/>
  <c r="H206" i="11"/>
  <c r="L206" i="11"/>
  <c r="BA212" i="11"/>
  <c r="AW212" i="11"/>
  <c r="AS212" i="11"/>
  <c r="AO212" i="11"/>
  <c r="AK212" i="11"/>
  <c r="AG212" i="11"/>
  <c r="AZ212" i="11"/>
  <c r="AV212" i="11"/>
  <c r="AR212" i="11"/>
  <c r="AN212" i="11"/>
  <c r="AJ212" i="11"/>
  <c r="AF212" i="11"/>
  <c r="AY212" i="11"/>
  <c r="AQ212" i="11"/>
  <c r="AI212" i="11"/>
  <c r="AA212" i="11"/>
  <c r="W212" i="11"/>
  <c r="BB212" i="11"/>
  <c r="AT212" i="11"/>
  <c r="AL212" i="11"/>
  <c r="AD212" i="11"/>
  <c r="Z212" i="11"/>
  <c r="V212" i="11"/>
  <c r="R212" i="11"/>
  <c r="BC212" i="11"/>
  <c r="AM212" i="11"/>
  <c r="Y212" i="11"/>
  <c r="Q212" i="11"/>
  <c r="O212" i="11"/>
  <c r="K212" i="11"/>
  <c r="I212" i="11"/>
  <c r="X212" i="11"/>
  <c r="T212" i="11"/>
  <c r="P212" i="11"/>
  <c r="AX212" i="11"/>
  <c r="AH212" i="11"/>
  <c r="AB212" i="11"/>
  <c r="U212" i="11"/>
  <c r="S212" i="11"/>
  <c r="N212" i="11"/>
  <c r="J212" i="11"/>
  <c r="AU212" i="11"/>
  <c r="AE212" i="11"/>
  <c r="AC212" i="11"/>
  <c r="M212" i="11"/>
  <c r="AP212" i="11"/>
  <c r="L212" i="11"/>
  <c r="H212" i="11"/>
  <c r="BA218" i="11"/>
  <c r="AW218" i="11"/>
  <c r="AS218" i="11"/>
  <c r="AO218" i="11"/>
  <c r="AK218" i="11"/>
  <c r="AG218" i="11"/>
  <c r="AZ218" i="11"/>
  <c r="AV218" i="11"/>
  <c r="AR218" i="11"/>
  <c r="AN218" i="11"/>
  <c r="AJ218" i="11"/>
  <c r="AF218" i="11"/>
  <c r="BC218" i="11"/>
  <c r="AU218" i="11"/>
  <c r="AM218" i="11"/>
  <c r="AE218" i="11"/>
  <c r="AA218" i="11"/>
  <c r="W218" i="11"/>
  <c r="AX218" i="11"/>
  <c r="AP218" i="11"/>
  <c r="AH218" i="11"/>
  <c r="Z218" i="11"/>
  <c r="V218" i="11"/>
  <c r="R218" i="11"/>
  <c r="AQ218" i="11"/>
  <c r="AC218" i="11"/>
  <c r="U218" i="11"/>
  <c r="S218" i="11"/>
  <c r="O218" i="11"/>
  <c r="K218" i="11"/>
  <c r="T218" i="11"/>
  <c r="M218" i="11"/>
  <c r="AB218" i="11"/>
  <c r="Q218" i="11"/>
  <c r="BB218" i="11"/>
  <c r="AL218" i="11"/>
  <c r="X218" i="11"/>
  <c r="N218" i="11"/>
  <c r="J218" i="11"/>
  <c r="AY218" i="11"/>
  <c r="AI218" i="11"/>
  <c r="Y218" i="11"/>
  <c r="I218" i="11"/>
  <c r="AT218" i="11"/>
  <c r="AD218" i="11"/>
  <c r="P218" i="11"/>
  <c r="L218" i="11"/>
  <c r="H218" i="11"/>
  <c r="BC236" i="11"/>
  <c r="AY236" i="11"/>
  <c r="AU236" i="11"/>
  <c r="AQ236" i="11"/>
  <c r="AM236" i="11"/>
  <c r="AI236" i="11"/>
  <c r="AE236" i="11"/>
  <c r="AA236" i="11"/>
  <c r="BB236" i="11"/>
  <c r="AX236" i="11"/>
  <c r="AT236" i="11"/>
  <c r="AP236" i="11"/>
  <c r="AL236" i="11"/>
  <c r="AH236" i="11"/>
  <c r="AD236" i="11"/>
  <c r="Z236" i="11"/>
  <c r="V236" i="11"/>
  <c r="R236" i="11"/>
  <c r="U236" i="11"/>
  <c r="Q236" i="11"/>
  <c r="L236" i="11"/>
  <c r="H236" i="11"/>
  <c r="BA236" i="11"/>
  <c r="K236" i="11"/>
  <c r="AZ236" i="11"/>
  <c r="AV236" i="11"/>
  <c r="AR236" i="11"/>
  <c r="AN236" i="11"/>
  <c r="AJ236" i="11"/>
  <c r="AF236" i="11"/>
  <c r="AB236" i="11"/>
  <c r="X236" i="11"/>
  <c r="W236" i="11"/>
  <c r="T236" i="11"/>
  <c r="S236" i="11"/>
  <c r="P236" i="11"/>
  <c r="O236" i="11"/>
  <c r="N236" i="11"/>
  <c r="J236" i="11"/>
  <c r="AW236" i="11"/>
  <c r="AS236" i="11"/>
  <c r="AO236" i="11"/>
  <c r="AK236" i="11"/>
  <c r="AG236" i="11"/>
  <c r="AC236" i="11"/>
  <c r="Y236" i="11"/>
  <c r="M236" i="11"/>
  <c r="I236" i="11"/>
  <c r="AZ232" i="11"/>
  <c r="AV232" i="11"/>
  <c r="AR232" i="11"/>
  <c r="AN232" i="11"/>
  <c r="AJ232" i="11"/>
  <c r="AF232" i="11"/>
  <c r="AB232" i="11"/>
  <c r="X232" i="11"/>
  <c r="BC232" i="11"/>
  <c r="AY232" i="11"/>
  <c r="AU232" i="11"/>
  <c r="AQ232" i="11"/>
  <c r="AM232" i="11"/>
  <c r="AI232" i="11"/>
  <c r="AE232" i="11"/>
  <c r="AA232" i="11"/>
  <c r="W232" i="11"/>
  <c r="S232" i="11"/>
  <c r="O232" i="11"/>
  <c r="BB232" i="11"/>
  <c r="AX232" i="11"/>
  <c r="AT232" i="11"/>
  <c r="AP232" i="11"/>
  <c r="AL232" i="11"/>
  <c r="AH232" i="11"/>
  <c r="AD232" i="11"/>
  <c r="Z232" i="11"/>
  <c r="M232" i="11"/>
  <c r="I232" i="11"/>
  <c r="Y232" i="11"/>
  <c r="T232" i="11"/>
  <c r="P232" i="11"/>
  <c r="L232" i="11"/>
  <c r="BA232" i="11"/>
  <c r="AW232" i="11"/>
  <c r="AS232" i="11"/>
  <c r="AO232" i="11"/>
  <c r="AK232" i="11"/>
  <c r="AG232" i="11"/>
  <c r="AC232" i="11"/>
  <c r="H232" i="11"/>
  <c r="V232" i="11"/>
  <c r="R232" i="11"/>
  <c r="N232" i="11"/>
  <c r="J232" i="11"/>
  <c r="U232" i="11"/>
  <c r="Q232" i="11"/>
  <c r="K232" i="11"/>
  <c r="BA233" i="11"/>
  <c r="AW233" i="11"/>
  <c r="AS233" i="11"/>
  <c r="AO233" i="11"/>
  <c r="AK233" i="11"/>
  <c r="AG233" i="11"/>
  <c r="AC233" i="11"/>
  <c r="Y233" i="11"/>
  <c r="AZ233" i="11"/>
  <c r="AV233" i="11"/>
  <c r="AR233" i="11"/>
  <c r="AN233" i="11"/>
  <c r="AJ233" i="11"/>
  <c r="AF233" i="11"/>
  <c r="AB233" i="11"/>
  <c r="X233" i="11"/>
  <c r="T233" i="11"/>
  <c r="P233" i="11"/>
  <c r="W233" i="11"/>
  <c r="V233" i="11"/>
  <c r="S233" i="11"/>
  <c r="R233" i="11"/>
  <c r="O233" i="11"/>
  <c r="N233" i="11"/>
  <c r="J233" i="11"/>
  <c r="BB233" i="11"/>
  <c r="AX233" i="11"/>
  <c r="AT233" i="11"/>
  <c r="AP233" i="11"/>
  <c r="AL233" i="11"/>
  <c r="AH233" i="11"/>
  <c r="AD233" i="11"/>
  <c r="Z233" i="11"/>
  <c r="M233" i="11"/>
  <c r="I233" i="11"/>
  <c r="AY233" i="11"/>
  <c r="AU233" i="11"/>
  <c r="AQ233" i="11"/>
  <c r="AM233" i="11"/>
  <c r="AI233" i="11"/>
  <c r="AE233" i="11"/>
  <c r="AA233" i="11"/>
  <c r="U233" i="11"/>
  <c r="Q233" i="11"/>
  <c r="K233" i="11"/>
  <c r="BC233" i="11"/>
  <c r="L233" i="11"/>
  <c r="H233" i="11"/>
  <c r="BC230" i="11"/>
  <c r="AY230" i="11"/>
  <c r="AU230" i="11"/>
  <c r="AQ230" i="11"/>
  <c r="AM230" i="11"/>
  <c r="AI230" i="11"/>
  <c r="AE230" i="11"/>
  <c r="AA230" i="11"/>
  <c r="BB230" i="11"/>
  <c r="AX230" i="11"/>
  <c r="AT230" i="11"/>
  <c r="AP230" i="11"/>
  <c r="AL230" i="11"/>
  <c r="AH230" i="11"/>
  <c r="AD230" i="11"/>
  <c r="Z230" i="11"/>
  <c r="V230" i="11"/>
  <c r="R230" i="11"/>
  <c r="N230" i="11"/>
  <c r="BA230" i="11"/>
  <c r="AW230" i="11"/>
  <c r="AS230" i="11"/>
  <c r="AO230" i="11"/>
  <c r="AK230" i="11"/>
  <c r="AG230" i="11"/>
  <c r="AC230" i="11"/>
  <c r="Y230" i="11"/>
  <c r="T230" i="11"/>
  <c r="P230" i="11"/>
  <c r="L230" i="11"/>
  <c r="H230" i="11"/>
  <c r="U230" i="11"/>
  <c r="Q230" i="11"/>
  <c r="K230" i="11"/>
  <c r="AZ230" i="11"/>
  <c r="AV230" i="11"/>
  <c r="AR230" i="11"/>
  <c r="AN230" i="11"/>
  <c r="AJ230" i="11"/>
  <c r="AF230" i="11"/>
  <c r="AB230" i="11"/>
  <c r="X230" i="11"/>
  <c r="W230" i="11"/>
  <c r="S230" i="11"/>
  <c r="O230" i="11"/>
  <c r="M230" i="11"/>
  <c r="I230" i="11"/>
  <c r="J230" i="11"/>
  <c r="AZ226" i="11"/>
  <c r="AV226" i="11"/>
  <c r="AR226" i="11"/>
  <c r="AN226" i="11"/>
  <c r="AJ226" i="11"/>
  <c r="AF226" i="11"/>
  <c r="AB226" i="11"/>
  <c r="X226" i="11"/>
  <c r="BC226" i="11"/>
  <c r="AY226" i="11"/>
  <c r="AU226" i="11"/>
  <c r="AQ226" i="11"/>
  <c r="AM226" i="11"/>
  <c r="AI226" i="11"/>
  <c r="AE226" i="11"/>
  <c r="AA226" i="11"/>
  <c r="W226" i="11"/>
  <c r="S226" i="11"/>
  <c r="O226" i="11"/>
  <c r="V226" i="11"/>
  <c r="R226" i="11"/>
  <c r="N226" i="11"/>
  <c r="M226" i="11"/>
  <c r="I226" i="11"/>
  <c r="L226" i="11"/>
  <c r="H226" i="11"/>
  <c r="BB226" i="11"/>
  <c r="AW226" i="11"/>
  <c r="AS226" i="11"/>
  <c r="AO226" i="11"/>
  <c r="AK226" i="11"/>
  <c r="AG226" i="11"/>
  <c r="AC226" i="11"/>
  <c r="Y226" i="11"/>
  <c r="K226" i="11"/>
  <c r="BA226" i="11"/>
  <c r="AX226" i="11"/>
  <c r="AT226" i="11"/>
  <c r="AP226" i="11"/>
  <c r="AL226" i="11"/>
  <c r="AH226" i="11"/>
  <c r="AD226" i="11"/>
  <c r="Z226" i="11"/>
  <c r="U226" i="11"/>
  <c r="T226" i="11"/>
  <c r="Q226" i="11"/>
  <c r="P226" i="11"/>
  <c r="J226" i="11"/>
  <c r="BA227" i="11"/>
  <c r="AW227" i="11"/>
  <c r="AS227" i="11"/>
  <c r="AO227" i="11"/>
  <c r="AK227" i="11"/>
  <c r="AG227" i="11"/>
  <c r="AC227" i="11"/>
  <c r="Y227" i="11"/>
  <c r="AZ227" i="11"/>
  <c r="AV227" i="11"/>
  <c r="AR227" i="11"/>
  <c r="AN227" i="11"/>
  <c r="AJ227" i="11"/>
  <c r="AF227" i="11"/>
  <c r="AB227" i="11"/>
  <c r="X227" i="11"/>
  <c r="T227" i="11"/>
  <c r="P227" i="11"/>
  <c r="U227" i="11"/>
  <c r="Q227" i="11"/>
  <c r="J227" i="11"/>
  <c r="W227" i="11"/>
  <c r="V227" i="11"/>
  <c r="S227" i="11"/>
  <c r="R227" i="11"/>
  <c r="O227" i="11"/>
  <c r="N227" i="11"/>
  <c r="M227" i="11"/>
  <c r="I227" i="11"/>
  <c r="BC227" i="11"/>
  <c r="AY227" i="11"/>
  <c r="AU227" i="11"/>
  <c r="AQ227" i="11"/>
  <c r="AM227" i="11"/>
  <c r="AI227" i="11"/>
  <c r="AE227" i="11"/>
  <c r="AA227" i="11"/>
  <c r="BB227" i="11"/>
  <c r="L227" i="11"/>
  <c r="H227" i="11"/>
  <c r="K227" i="11"/>
  <c r="AX227" i="11"/>
  <c r="AT227" i="11"/>
  <c r="AP227" i="11"/>
  <c r="AL227" i="11"/>
  <c r="AH227" i="11"/>
  <c r="AD227" i="11"/>
  <c r="Z227" i="11"/>
  <c r="BB229" i="11"/>
  <c r="AX229" i="11"/>
  <c r="AT229" i="11"/>
  <c r="AP229" i="11"/>
  <c r="AL229" i="11"/>
  <c r="AH229" i="11"/>
  <c r="AD229" i="11"/>
  <c r="Z229" i="11"/>
  <c r="BA229" i="11"/>
  <c r="AW229" i="11"/>
  <c r="AS229" i="11"/>
  <c r="AO229" i="11"/>
  <c r="AK229" i="11"/>
  <c r="AG229" i="11"/>
  <c r="AC229" i="11"/>
  <c r="Y229" i="11"/>
  <c r="U229" i="11"/>
  <c r="Q229" i="11"/>
  <c r="AZ229" i="11"/>
  <c r="AV229" i="11"/>
  <c r="AR229" i="11"/>
  <c r="AN229" i="11"/>
  <c r="AJ229" i="11"/>
  <c r="AF229" i="11"/>
  <c r="AB229" i="11"/>
  <c r="X229" i="11"/>
  <c r="K229" i="11"/>
  <c r="J229" i="11"/>
  <c r="BC229" i="11"/>
  <c r="L229" i="11"/>
  <c r="H229" i="11"/>
  <c r="AY229" i="11"/>
  <c r="AU229" i="11"/>
  <c r="AQ229" i="11"/>
  <c r="AM229" i="11"/>
  <c r="AI229" i="11"/>
  <c r="AE229" i="11"/>
  <c r="AA229" i="11"/>
  <c r="W229" i="11"/>
  <c r="V229" i="11"/>
  <c r="T229" i="11"/>
  <c r="S229" i="11"/>
  <c r="R229" i="11"/>
  <c r="P229" i="11"/>
  <c r="O229" i="11"/>
  <c r="N229" i="11"/>
  <c r="M229" i="11"/>
  <c r="I229" i="11"/>
  <c r="BB235" i="11"/>
  <c r="AX235" i="11"/>
  <c r="AT235" i="11"/>
  <c r="AP235" i="11"/>
  <c r="AL235" i="11"/>
  <c r="AH235" i="11"/>
  <c r="AD235" i="11"/>
  <c r="Z235" i="11"/>
  <c r="BA235" i="11"/>
  <c r="AW235" i="11"/>
  <c r="AS235" i="11"/>
  <c r="AO235" i="11"/>
  <c r="AK235" i="11"/>
  <c r="AG235" i="11"/>
  <c r="AC235" i="11"/>
  <c r="Y235" i="11"/>
  <c r="U235" i="11"/>
  <c r="Q235" i="11"/>
  <c r="BC235" i="11"/>
  <c r="AY235" i="11"/>
  <c r="AU235" i="11"/>
  <c r="AQ235" i="11"/>
  <c r="AM235" i="11"/>
  <c r="AI235" i="11"/>
  <c r="AE235" i="11"/>
  <c r="AA235" i="11"/>
  <c r="K235" i="11"/>
  <c r="V235" i="11"/>
  <c r="N235" i="11"/>
  <c r="J235" i="11"/>
  <c r="W235" i="11"/>
  <c r="S235" i="11"/>
  <c r="R235" i="11"/>
  <c r="O235" i="11"/>
  <c r="AZ235" i="11"/>
  <c r="AV235" i="11"/>
  <c r="AR235" i="11"/>
  <c r="AN235" i="11"/>
  <c r="AJ235" i="11"/>
  <c r="AF235" i="11"/>
  <c r="AB235" i="11"/>
  <c r="X235" i="11"/>
  <c r="T235" i="11"/>
  <c r="P235" i="11"/>
  <c r="M235" i="11"/>
  <c r="I235" i="11"/>
  <c r="L235" i="11"/>
  <c r="H235" i="11"/>
  <c r="BB224" i="11"/>
  <c r="AX224" i="11"/>
  <c r="AT224" i="11"/>
  <c r="AP224" i="11"/>
  <c r="AL224" i="11"/>
  <c r="AH224" i="11"/>
  <c r="AD224" i="11"/>
  <c r="Z224" i="11"/>
  <c r="V224" i="11"/>
  <c r="R224" i="11"/>
  <c r="N224" i="11"/>
  <c r="J224" i="11"/>
  <c r="AF224" i="11"/>
  <c r="X224" i="11"/>
  <c r="L224" i="11"/>
  <c r="H224" i="11"/>
  <c r="AS224" i="11"/>
  <c r="AK224" i="11"/>
  <c r="AC224" i="11"/>
  <c r="U224" i="11"/>
  <c r="I224" i="11"/>
  <c r="BC224" i="11"/>
  <c r="AY224" i="11"/>
  <c r="AU224" i="11"/>
  <c r="AQ224" i="11"/>
  <c r="AM224" i="11"/>
  <c r="AI224" i="11"/>
  <c r="AE224" i="11"/>
  <c r="AA224" i="11"/>
  <c r="W224" i="11"/>
  <c r="S224" i="11"/>
  <c r="O224" i="11"/>
  <c r="K224" i="11"/>
  <c r="AZ224" i="11"/>
  <c r="AV224" i="11"/>
  <c r="AR224" i="11"/>
  <c r="AN224" i="11"/>
  <c r="AJ224" i="11"/>
  <c r="AB224" i="11"/>
  <c r="T224" i="11"/>
  <c r="P224" i="11"/>
  <c r="BA224" i="11"/>
  <c r="AW224" i="11"/>
  <c r="AO224" i="11"/>
  <c r="AG224" i="11"/>
  <c r="Y224" i="11"/>
  <c r="Q224" i="11"/>
  <c r="M224" i="11"/>
  <c r="BC223" i="11"/>
  <c r="AY223" i="11"/>
  <c r="AU223" i="11"/>
  <c r="AQ223" i="11"/>
  <c r="AM223" i="11"/>
  <c r="AI223" i="11"/>
  <c r="AE223" i="11"/>
  <c r="AA223" i="11"/>
  <c r="W223" i="11"/>
  <c r="S223" i="11"/>
  <c r="O223" i="11"/>
  <c r="K223" i="11"/>
  <c r="AK223" i="11"/>
  <c r="AC223" i="11"/>
  <c r="U223" i="11"/>
  <c r="Q223" i="11"/>
  <c r="AX223" i="11"/>
  <c r="AH223" i="11"/>
  <c r="Z223" i="11"/>
  <c r="R223" i="11"/>
  <c r="N223" i="11"/>
  <c r="AZ223" i="11"/>
  <c r="AV223" i="11"/>
  <c r="AR223" i="11"/>
  <c r="AN223" i="11"/>
  <c r="AJ223" i="11"/>
  <c r="AF223" i="11"/>
  <c r="AB223" i="11"/>
  <c r="X223" i="11"/>
  <c r="T223" i="11"/>
  <c r="P223" i="11"/>
  <c r="L223" i="11"/>
  <c r="H223" i="11"/>
  <c r="BA223" i="11"/>
  <c r="AW223" i="11"/>
  <c r="AS223" i="11"/>
  <c r="AO223" i="11"/>
  <c r="AG223" i="11"/>
  <c r="Y223" i="11"/>
  <c r="M223" i="11"/>
  <c r="I223" i="11"/>
  <c r="BB223" i="11"/>
  <c r="AT223" i="11"/>
  <c r="AP223" i="11"/>
  <c r="AL223" i="11"/>
  <c r="AD223" i="11"/>
  <c r="V223" i="11"/>
  <c r="J223" i="11"/>
  <c r="CM226" i="11" l="1"/>
  <c r="CM215" i="11"/>
  <c r="CQ205" i="11"/>
  <c r="CM230" i="11"/>
  <c r="DA224" i="11"/>
  <c r="DA235" i="11"/>
  <c r="DA227" i="11"/>
  <c r="DA233" i="11"/>
  <c r="DA218" i="11"/>
  <c r="DA212" i="11"/>
  <c r="DA217" i="11"/>
  <c r="DA205" i="11"/>
  <c r="DA215" i="11"/>
  <c r="DA220" i="11"/>
  <c r="DA223" i="11"/>
  <c r="DA229" i="11"/>
  <c r="DA230" i="11"/>
  <c r="DA206" i="11"/>
  <c r="DA208" i="11"/>
  <c r="DA209" i="11"/>
  <c r="DA214" i="11"/>
  <c r="DA211" i="11"/>
  <c r="CM214" i="11"/>
  <c r="DA226" i="11"/>
  <c r="DA221" i="11"/>
  <c r="DA203" i="11"/>
  <c r="DA236" i="11"/>
  <c r="DA232" i="11"/>
  <c r="CM212" i="11"/>
  <c r="CU235" i="11"/>
  <c r="CU223" i="11"/>
  <c r="CM208" i="11"/>
  <c r="CM221" i="11"/>
  <c r="CM209" i="11"/>
  <c r="CM224" i="11"/>
  <c r="CU229" i="11"/>
  <c r="CQ232" i="11"/>
  <c r="CM220" i="11"/>
  <c r="CU232" i="11"/>
  <c r="CQ215" i="11"/>
  <c r="CM235" i="11"/>
  <c r="CQ236" i="11"/>
  <c r="CU218" i="11"/>
  <c r="CQ212" i="11"/>
  <c r="CQ206" i="11"/>
  <c r="CQ235" i="11"/>
  <c r="CU217" i="11"/>
  <c r="CQ217" i="11"/>
  <c r="CU205" i="11"/>
  <c r="CM232" i="11"/>
  <c r="CU226" i="11"/>
  <c r="CU220" i="11"/>
  <c r="CM233" i="11"/>
  <c r="CU214" i="11"/>
  <c r="CP238" i="11"/>
  <c r="CS238" i="11"/>
  <c r="CU202" i="11"/>
  <c r="CQ203" i="11"/>
  <c r="CU236" i="11"/>
  <c r="CU230" i="11"/>
  <c r="CU224" i="11"/>
  <c r="CM218" i="11"/>
  <c r="CM217" i="11"/>
  <c r="CU211" i="11"/>
  <c r="CM211" i="11"/>
  <c r="CQ220" i="11"/>
  <c r="CQ214" i="11"/>
  <c r="CQ208" i="11"/>
  <c r="CO238" i="11"/>
  <c r="CQ202" i="11"/>
  <c r="CU233" i="11"/>
  <c r="CU227" i="11"/>
  <c r="CU221" i="11"/>
  <c r="CQ209" i="11"/>
  <c r="CM203" i="11"/>
  <c r="CM223" i="11"/>
  <c r="CM205" i="11"/>
  <c r="CQ226" i="11"/>
  <c r="CU208" i="11"/>
  <c r="CL238" i="11"/>
  <c r="CM227" i="11"/>
  <c r="CU209" i="11"/>
  <c r="CM236" i="11"/>
  <c r="CQ230" i="11"/>
  <c r="CQ224" i="11"/>
  <c r="CQ218" i="11"/>
  <c r="CU212" i="11"/>
  <c r="CM206" i="11"/>
  <c r="CU206" i="11"/>
  <c r="CQ229" i="11"/>
  <c r="CM229" i="11"/>
  <c r="CQ223" i="11"/>
  <c r="CQ211" i="11"/>
  <c r="CM202" i="11"/>
  <c r="CK238" i="11"/>
  <c r="CT238" i="11"/>
  <c r="CQ233" i="11"/>
  <c r="CQ227" i="11"/>
  <c r="CQ221" i="11"/>
  <c r="CU215" i="11"/>
  <c r="CU203" i="11"/>
  <c r="CI232" i="11"/>
  <c r="CI208" i="11"/>
  <c r="CI236" i="11"/>
  <c r="CI224" i="11"/>
  <c r="CI212" i="11"/>
  <c r="CI233" i="11"/>
  <c r="CI235" i="11"/>
  <c r="CI223" i="11"/>
  <c r="CI211" i="11"/>
  <c r="CI221" i="11"/>
  <c r="CI205" i="11"/>
  <c r="CI226" i="11"/>
  <c r="CI214" i="11"/>
  <c r="CI202" i="11"/>
  <c r="CI203" i="11"/>
  <c r="CI230" i="11"/>
  <c r="CI218" i="11"/>
  <c r="CI206" i="11"/>
  <c r="CI229" i="11"/>
  <c r="CI217" i="11"/>
  <c r="CG238" i="11"/>
  <c r="CI220" i="11"/>
  <c r="CH238" i="11"/>
  <c r="CI227" i="11"/>
  <c r="CI215" i="11"/>
  <c r="CI209" i="11"/>
  <c r="CE214" i="11"/>
  <c r="CY215" i="11"/>
  <c r="CE208" i="11"/>
  <c r="CE202" i="11"/>
  <c r="CE235" i="11"/>
  <c r="CE229" i="11"/>
  <c r="CE223" i="11"/>
  <c r="CE217" i="11"/>
  <c r="CE205" i="11"/>
  <c r="CY203" i="11"/>
  <c r="CE211" i="11"/>
  <c r="CE221" i="11"/>
  <c r="CY232" i="11"/>
  <c r="CY220" i="11"/>
  <c r="CY208" i="11"/>
  <c r="CY235" i="11"/>
  <c r="CY229" i="11"/>
  <c r="CY223" i="11"/>
  <c r="CY230" i="11"/>
  <c r="CY224" i="11"/>
  <c r="CY218" i="11"/>
  <c r="CY212" i="11"/>
  <c r="CY217" i="11"/>
  <c r="CY205" i="11"/>
  <c r="CY236" i="11"/>
  <c r="CY206" i="11"/>
  <c r="CY211" i="11"/>
  <c r="CY221" i="11"/>
  <c r="CE230" i="11"/>
  <c r="CE224" i="11"/>
  <c r="CE212" i="11"/>
  <c r="CE206" i="11"/>
  <c r="CY227" i="11"/>
  <c r="CY226" i="11"/>
  <c r="CY214" i="11"/>
  <c r="CW238" i="11"/>
  <c r="CY233" i="11"/>
  <c r="CE203" i="11"/>
  <c r="CE227" i="11"/>
  <c r="CY209" i="11"/>
  <c r="CC238" i="11"/>
  <c r="CE220" i="11"/>
  <c r="CE232" i="11"/>
  <c r="CD238" i="11"/>
  <c r="CE236" i="11"/>
  <c r="CE218" i="11"/>
  <c r="DA202" i="11"/>
  <c r="CE226" i="11"/>
  <c r="CY202" i="11"/>
  <c r="CX238" i="11"/>
  <c r="CE233" i="11"/>
  <c r="CE215" i="11"/>
  <c r="CE209" i="11"/>
  <c r="CB223" i="11"/>
  <c r="CB232" i="11"/>
  <c r="CB229" i="11"/>
  <c r="CB230" i="11"/>
  <c r="CB206" i="11"/>
  <c r="CB211" i="11"/>
  <c r="CB208" i="11"/>
  <c r="CB226" i="11"/>
  <c r="CB236" i="11"/>
  <c r="CB221" i="11"/>
  <c r="CB209" i="11"/>
  <c r="CB203" i="11"/>
  <c r="CB214" i="11"/>
  <c r="CB202" i="11"/>
  <c r="CB224" i="11"/>
  <c r="CB235" i="11"/>
  <c r="CB227" i="11"/>
  <c r="CB233" i="11"/>
  <c r="CB218" i="11"/>
  <c r="CB212" i="11"/>
  <c r="CB217" i="11"/>
  <c r="CB205" i="11"/>
  <c r="CB215" i="11"/>
  <c r="CB220" i="11"/>
  <c r="E256" i="1"/>
  <c r="CA256" i="1" l="1"/>
  <c r="DA256" i="1"/>
  <c r="DI256" i="1"/>
  <c r="DB256" i="1"/>
  <c r="DJ256" i="1"/>
  <c r="DC256" i="1"/>
  <c r="DK256" i="1"/>
  <c r="DD256" i="1"/>
  <c r="DL256" i="1"/>
  <c r="DF256" i="1"/>
  <c r="DG256" i="1"/>
  <c r="DE256" i="1"/>
  <c r="DH256" i="1"/>
  <c r="H256" i="1"/>
  <c r="BW256" i="1"/>
  <c r="BS256" i="1"/>
  <c r="BO256" i="1"/>
  <c r="BK256" i="1"/>
  <c r="BG256" i="1"/>
  <c r="BC256" i="1"/>
  <c r="AY256" i="1"/>
  <c r="AU256" i="1"/>
  <c r="AQ256" i="1"/>
  <c r="AM256" i="1"/>
  <c r="AI256" i="1"/>
  <c r="AE256" i="1"/>
  <c r="AA256" i="1"/>
  <c r="W256" i="1"/>
  <c r="S256" i="1"/>
  <c r="O256" i="1"/>
  <c r="I256" i="1"/>
  <c r="BY256" i="1"/>
  <c r="BT256" i="1"/>
  <c r="BN256" i="1"/>
  <c r="BI256" i="1"/>
  <c r="BD256" i="1"/>
  <c r="AX256" i="1"/>
  <c r="AS256" i="1"/>
  <c r="AN256" i="1"/>
  <c r="AH256" i="1"/>
  <c r="AC256" i="1"/>
  <c r="X256" i="1"/>
  <c r="R256" i="1"/>
  <c r="M256" i="1"/>
  <c r="BX256" i="1"/>
  <c r="BR256" i="1"/>
  <c r="BM256" i="1"/>
  <c r="BH256" i="1"/>
  <c r="BB256" i="1"/>
  <c r="AW256" i="1"/>
  <c r="AR256" i="1"/>
  <c r="AL256" i="1"/>
  <c r="AG256" i="1"/>
  <c r="AB256" i="1"/>
  <c r="V256" i="1"/>
  <c r="Q256" i="1"/>
  <c r="L256" i="1"/>
  <c r="K256" i="1"/>
  <c r="BV256" i="1"/>
  <c r="BQ256" i="1"/>
  <c r="BL256" i="1"/>
  <c r="BF256" i="1"/>
  <c r="BA256" i="1"/>
  <c r="AV256" i="1"/>
  <c r="AP256" i="1"/>
  <c r="AK256" i="1"/>
  <c r="AF256" i="1"/>
  <c r="Z256" i="1"/>
  <c r="U256" i="1"/>
  <c r="P256" i="1"/>
  <c r="BJ256" i="1"/>
  <c r="AO256" i="1"/>
  <c r="T256" i="1"/>
  <c r="BZ256" i="1"/>
  <c r="BE256" i="1"/>
  <c r="AJ256" i="1"/>
  <c r="N256" i="1"/>
  <c r="BU256" i="1"/>
  <c r="AZ256" i="1"/>
  <c r="AD256" i="1"/>
  <c r="J256" i="1"/>
  <c r="BP256" i="1"/>
  <c r="AT256" i="1"/>
  <c r="Y256" i="1"/>
  <c r="CM238" i="11"/>
  <c r="CQ238" i="11"/>
  <c r="CU238" i="11"/>
  <c r="CI238" i="11"/>
  <c r="CY238" i="11"/>
  <c r="CE238" i="11"/>
  <c r="CZ232" i="11" l="1"/>
  <c r="CZ220" i="11"/>
  <c r="CZ208" i="11"/>
  <c r="CZ229" i="11"/>
  <c r="CZ217" i="11"/>
  <c r="CZ205" i="11"/>
  <c r="CZ202" i="11"/>
  <c r="CZ226" i="11"/>
  <c r="CZ214" i="11"/>
  <c r="CZ223" i="11"/>
  <c r="CZ211" i="11"/>
  <c r="CZ235" i="11"/>
  <c r="CN235" i="11"/>
  <c r="CN223" i="11"/>
  <c r="CN211" i="11"/>
  <c r="CN202" i="11"/>
  <c r="CN232" i="11"/>
  <c r="CN220" i="11"/>
  <c r="CN208" i="11"/>
  <c r="CN229" i="11"/>
  <c r="CN217" i="11"/>
  <c r="CN205" i="11"/>
  <c r="CN226" i="11"/>
  <c r="CN214" i="11"/>
  <c r="CJ235" i="11"/>
  <c r="CJ223" i="11"/>
  <c r="CJ232" i="11"/>
  <c r="CJ220" i="11"/>
  <c r="CJ229" i="11"/>
  <c r="CJ226" i="11"/>
  <c r="CV229" i="11"/>
  <c r="CV217" i="11"/>
  <c r="CV205" i="11"/>
  <c r="CV226" i="11"/>
  <c r="CV214" i="11"/>
  <c r="CV235" i="11"/>
  <c r="CV223" i="11"/>
  <c r="CV211" i="11"/>
  <c r="CV202" i="11"/>
  <c r="CV232" i="11"/>
  <c r="CV208" i="11"/>
  <c r="CV220" i="11"/>
  <c r="CF235" i="11"/>
  <c r="CF223" i="11"/>
  <c r="CF232" i="11"/>
  <c r="CF220" i="11"/>
  <c r="CF229" i="11"/>
  <c r="CF226" i="11"/>
  <c r="CR202" i="11"/>
  <c r="CR226" i="11"/>
  <c r="CR214" i="11"/>
  <c r="CR235" i="11"/>
  <c r="CR223" i="11"/>
  <c r="CR211" i="11"/>
  <c r="CR232" i="11"/>
  <c r="CR220" i="11"/>
  <c r="CR208" i="11"/>
  <c r="CR217" i="11"/>
  <c r="CR229" i="11"/>
  <c r="CR205" i="11"/>
  <c r="BZ173" i="11"/>
  <c r="BU61" i="5" s="1"/>
  <c r="BV173" i="11"/>
  <c r="BQ61" i="5" s="1"/>
  <c r="BR173" i="11"/>
  <c r="BM61" i="5" s="1"/>
  <c r="BN173" i="11"/>
  <c r="BI61" i="5" s="1"/>
  <c r="BJ173" i="11"/>
  <c r="BE61" i="5" s="1"/>
  <c r="BF173" i="11"/>
  <c r="BA61" i="5" s="1"/>
  <c r="BY173" i="11"/>
  <c r="BT61" i="5" s="1"/>
  <c r="BU173" i="11"/>
  <c r="BP61" i="5" s="1"/>
  <c r="BQ173" i="11"/>
  <c r="BL61" i="5" s="1"/>
  <c r="BM173" i="11"/>
  <c r="BH61" i="5" s="1"/>
  <c r="BI173" i="11"/>
  <c r="BD61" i="5" s="1"/>
  <c r="BE173" i="11"/>
  <c r="AZ61" i="5" s="1"/>
  <c r="BX173" i="11"/>
  <c r="BS61" i="5" s="1"/>
  <c r="BT173" i="11"/>
  <c r="BO61" i="5" s="1"/>
  <c r="BP173" i="11"/>
  <c r="BK61" i="5" s="1"/>
  <c r="BL173" i="11"/>
  <c r="BG61" i="5" s="1"/>
  <c r="BH173" i="11"/>
  <c r="BC61" i="5" s="1"/>
  <c r="BD173" i="11"/>
  <c r="AY61" i="5" s="1"/>
  <c r="BS173" i="11"/>
  <c r="BN61" i="5" s="1"/>
  <c r="BO173" i="11"/>
  <c r="BJ61" i="5" s="1"/>
  <c r="BG173" i="11"/>
  <c r="BB61" i="5" s="1"/>
  <c r="CA173" i="11"/>
  <c r="BV61" i="5" s="1"/>
  <c r="BK173" i="11"/>
  <c r="BF61" i="5" s="1"/>
  <c r="BW173" i="11"/>
  <c r="BR61" i="5" s="1"/>
  <c r="BZ175" i="11"/>
  <c r="BU29" i="5" s="1"/>
  <c r="BV175" i="11"/>
  <c r="BQ29" i="5" s="1"/>
  <c r="BR175" i="11"/>
  <c r="BM29" i="5" s="1"/>
  <c r="BN175" i="11"/>
  <c r="BI29" i="5" s="1"/>
  <c r="BJ175" i="11"/>
  <c r="BE29" i="5" s="1"/>
  <c r="BF175" i="11"/>
  <c r="BA29" i="5" s="1"/>
  <c r="BY175" i="11"/>
  <c r="BT29" i="5" s="1"/>
  <c r="BU175" i="11"/>
  <c r="BP29" i="5" s="1"/>
  <c r="BQ175" i="11"/>
  <c r="BL29" i="5" s="1"/>
  <c r="BM175" i="11"/>
  <c r="BH29" i="5" s="1"/>
  <c r="BI175" i="11"/>
  <c r="BD29" i="5" s="1"/>
  <c r="BE175" i="11"/>
  <c r="AZ29" i="5" s="1"/>
  <c r="BX175" i="11"/>
  <c r="BS29" i="5" s="1"/>
  <c r="BT175" i="11"/>
  <c r="BO29" i="5" s="1"/>
  <c r="BP175" i="11"/>
  <c r="BK29" i="5" s="1"/>
  <c r="BL175" i="11"/>
  <c r="BG29" i="5" s="1"/>
  <c r="BH175" i="11"/>
  <c r="BC29" i="5" s="1"/>
  <c r="BD175" i="11"/>
  <c r="AY29" i="5" s="1"/>
  <c r="CA175" i="11"/>
  <c r="BV29" i="5" s="1"/>
  <c r="BK175" i="11"/>
  <c r="BF29" i="5" s="1"/>
  <c r="BG175" i="11"/>
  <c r="BB29" i="5" s="1"/>
  <c r="BO175" i="11"/>
  <c r="BJ29" i="5" s="1"/>
  <c r="BW175" i="11"/>
  <c r="BR29" i="5" s="1"/>
  <c r="BS175" i="11"/>
  <c r="BN29" i="5" s="1"/>
  <c r="H172" i="11"/>
  <c r="C28" i="5" s="1"/>
  <c r="BZ172" i="11"/>
  <c r="BU28" i="5" s="1"/>
  <c r="BV172" i="11"/>
  <c r="BQ28" i="5" s="1"/>
  <c r="BR172" i="11"/>
  <c r="BM28" i="5" s="1"/>
  <c r="BN172" i="11"/>
  <c r="BI28" i="5" s="1"/>
  <c r="BJ172" i="11"/>
  <c r="BE28" i="5" s="1"/>
  <c r="BF172" i="11"/>
  <c r="BA28" i="5" s="1"/>
  <c r="BY172" i="11"/>
  <c r="BT28" i="5" s="1"/>
  <c r="BU172" i="11"/>
  <c r="BP28" i="5" s="1"/>
  <c r="BQ172" i="11"/>
  <c r="BL28" i="5" s="1"/>
  <c r="BM172" i="11"/>
  <c r="BH28" i="5" s="1"/>
  <c r="BI172" i="11"/>
  <c r="BD28" i="5" s="1"/>
  <c r="BE172" i="11"/>
  <c r="AZ28" i="5" s="1"/>
  <c r="BX172" i="11"/>
  <c r="BS28" i="5" s="1"/>
  <c r="BT172" i="11"/>
  <c r="BO28" i="5" s="1"/>
  <c r="BP172" i="11"/>
  <c r="BK28" i="5" s="1"/>
  <c r="BL172" i="11"/>
  <c r="BG28" i="5" s="1"/>
  <c r="BH172" i="11"/>
  <c r="BC28" i="5" s="1"/>
  <c r="BD172" i="11"/>
  <c r="AY28" i="5" s="1"/>
  <c r="CA172" i="11"/>
  <c r="BV28" i="5" s="1"/>
  <c r="BK172" i="11"/>
  <c r="BF28" i="5" s="1"/>
  <c r="BW172" i="11"/>
  <c r="BR28" i="5" s="1"/>
  <c r="BO172" i="11"/>
  <c r="BJ28" i="5" s="1"/>
  <c r="BG172" i="11"/>
  <c r="BB28" i="5" s="1"/>
  <c r="BS172" i="11"/>
  <c r="BN28" i="5" s="1"/>
  <c r="Q41" i="24" l="1"/>
  <c r="Q39" i="24"/>
  <c r="Q40" i="24"/>
  <c r="Q49" i="24"/>
  <c r="Q38" i="24"/>
  <c r="EZ287" i="1" l="1"/>
  <c r="EZ286" i="1"/>
  <c r="EZ277" i="1"/>
  <c r="EZ290" i="1"/>
  <c r="EZ283" i="1"/>
  <c r="EW287" i="1"/>
  <c r="EW290" i="1"/>
  <c r="EW283" i="1"/>
  <c r="EW277" i="1"/>
  <c r="EW286" i="1"/>
  <c r="C9" i="20"/>
  <c r="C7" i="20"/>
  <c r="R46" i="24" l="1"/>
  <c r="EX277" i="1"/>
  <c r="EX286" i="1"/>
  <c r="EX287" i="1"/>
  <c r="EX283" i="1"/>
  <c r="EX290" i="1"/>
  <c r="I9" i="7" l="1"/>
  <c r="E10" i="7" l="1"/>
  <c r="H10" i="7"/>
  <c r="D10" i="7"/>
  <c r="BC198" i="11" l="1"/>
  <c r="BB198" i="11"/>
  <c r="BA198" i="11"/>
  <c r="AZ198" i="11"/>
  <c r="AY198" i="11"/>
  <c r="AX198" i="11"/>
  <c r="AW198" i="11"/>
  <c r="AV198" i="11"/>
  <c r="AU198" i="11"/>
  <c r="AT198" i="11"/>
  <c r="AS198" i="11"/>
  <c r="AR198" i="11"/>
  <c r="AX47" i="5"/>
  <c r="AW47" i="5"/>
  <c r="AV47" i="5"/>
  <c r="AU47" i="5"/>
  <c r="AT47" i="5"/>
  <c r="AS47" i="5"/>
  <c r="AR47" i="5"/>
  <c r="AQ47" i="5"/>
  <c r="AP47" i="5"/>
  <c r="AO47" i="5"/>
  <c r="AN47" i="5"/>
  <c r="AM47" i="5"/>
  <c r="AX14" i="5"/>
  <c r="AW14" i="5"/>
  <c r="AV14" i="5"/>
  <c r="AU14" i="5"/>
  <c r="AT14" i="5"/>
  <c r="AS14" i="5"/>
  <c r="AR14" i="5"/>
  <c r="AQ14" i="5"/>
  <c r="AP14" i="5"/>
  <c r="AO14" i="5"/>
  <c r="AN14" i="5"/>
  <c r="AM14" i="5"/>
  <c r="BC3" i="11"/>
  <c r="BB3" i="11"/>
  <c r="AY3" i="11"/>
  <c r="AX3" i="11"/>
  <c r="AW3" i="11"/>
  <c r="AV3" i="11"/>
  <c r="AU3" i="11"/>
  <c r="AT3" i="11"/>
  <c r="AS3" i="11"/>
  <c r="AZ3" i="11" l="1"/>
  <c r="BA3" i="11"/>
  <c r="AR3" i="11"/>
  <c r="B21" i="19" l="1"/>
  <c r="E13" i="24" l="1"/>
  <c r="E23" i="24" s="1"/>
  <c r="N21" i="19"/>
  <c r="C6" i="27"/>
  <c r="M6" i="27" s="1"/>
  <c r="M4" i="27"/>
  <c r="L4" i="23"/>
  <c r="H2" i="11" s="1"/>
  <c r="DJ4" i="11" s="1"/>
  <c r="H6" i="7"/>
  <c r="D6" i="7"/>
  <c r="F6" i="7"/>
  <c r="G6" i="7"/>
  <c r="E6" i="7"/>
  <c r="F23" i="7" s="1"/>
  <c r="W23" i="7" s="1"/>
  <c r="F13" i="24" l="1"/>
  <c r="F23" i="24" s="1"/>
  <c r="N4" i="27"/>
  <c r="Z21" i="19"/>
  <c r="E23" i="7"/>
  <c r="V23" i="7" s="1"/>
  <c r="D6" i="27"/>
  <c r="N6" i="27" s="1"/>
  <c r="B60" i="19"/>
  <c r="Q4" i="23"/>
  <c r="F100" i="7"/>
  <c r="F99" i="7" s="1"/>
  <c r="G100" i="7"/>
  <c r="G99" i="7" s="1"/>
  <c r="H100" i="7"/>
  <c r="H99" i="7" s="1"/>
  <c r="I100" i="7"/>
  <c r="I99" i="7" s="1"/>
  <c r="E100" i="7"/>
  <c r="E99" i="7" s="1"/>
  <c r="J80" i="7"/>
  <c r="J79" i="7"/>
  <c r="J78" i="7"/>
  <c r="J77" i="7"/>
  <c r="J81" i="7"/>
  <c r="J82" i="7"/>
  <c r="J83" i="7"/>
  <c r="J84" i="7"/>
  <c r="J85" i="7"/>
  <c r="J98" i="7"/>
  <c r="G13" i="24" l="1"/>
  <c r="G23" i="24" s="1"/>
  <c r="E6" i="27"/>
  <c r="O6" i="27" s="1"/>
  <c r="V4" i="23"/>
  <c r="AF2" i="11" s="1"/>
  <c r="DL4" i="11" s="1"/>
  <c r="C60" i="19"/>
  <c r="AL21" i="19"/>
  <c r="O4" i="27"/>
  <c r="T2" i="11"/>
  <c r="DK4" i="11" s="1"/>
  <c r="J100" i="7"/>
  <c r="DA2" i="1"/>
  <c r="CO2" i="1"/>
  <c r="CC2" i="1"/>
  <c r="FH4" i="1" s="1"/>
  <c r="AF2" i="1"/>
  <c r="T2" i="1"/>
  <c r="H2" i="1"/>
  <c r="AQ3" i="11"/>
  <c r="AP3" i="11"/>
  <c r="AO3" i="11"/>
  <c r="AN3" i="11"/>
  <c r="AM3" i="11"/>
  <c r="AK3" i="11"/>
  <c r="AJ3" i="11"/>
  <c r="AI3" i="11"/>
  <c r="AH3" i="11"/>
  <c r="AG3" i="11"/>
  <c r="AF3" i="11"/>
  <c r="AE3" i="11"/>
  <c r="AD3" i="11"/>
  <c r="AC3" i="11"/>
  <c r="AB3" i="11"/>
  <c r="AA3" i="11"/>
  <c r="Z3" i="11"/>
  <c r="Y3" i="11"/>
  <c r="X3" i="11"/>
  <c r="W3" i="11"/>
  <c r="V3" i="11"/>
  <c r="U3" i="11"/>
  <c r="T3" i="11"/>
  <c r="S3" i="11"/>
  <c r="R3" i="11"/>
  <c r="Q3" i="11"/>
  <c r="O3" i="11"/>
  <c r="N3" i="11"/>
  <c r="M3" i="11"/>
  <c r="L3" i="11"/>
  <c r="C2" i="5"/>
  <c r="BX62" i="5" s="1"/>
  <c r="AA1" i="5"/>
  <c r="O1" i="5"/>
  <c r="C1" i="5"/>
  <c r="FJ4" i="1" l="1"/>
  <c r="DC154" i="1"/>
  <c r="DK154" i="1"/>
  <c r="DG155" i="1"/>
  <c r="DC156" i="1"/>
  <c r="DK156" i="1"/>
  <c r="DG157" i="1"/>
  <c r="DC158" i="1"/>
  <c r="DK158" i="1"/>
  <c r="DG159" i="1"/>
  <c r="DC160" i="1"/>
  <c r="DK160" i="1"/>
  <c r="DG161" i="1"/>
  <c r="DC162" i="1"/>
  <c r="DK162" i="1"/>
  <c r="DG163" i="1"/>
  <c r="DC164" i="1"/>
  <c r="DK164" i="1"/>
  <c r="DG165" i="1"/>
  <c r="DC166" i="1"/>
  <c r="DK166" i="1"/>
  <c r="DG167" i="1"/>
  <c r="DC168" i="1"/>
  <c r="DK168" i="1"/>
  <c r="DG169" i="1"/>
  <c r="DC170" i="1"/>
  <c r="DK170" i="1"/>
  <c r="DG171" i="1"/>
  <c r="DC172" i="1"/>
  <c r="DK172" i="1"/>
  <c r="DG173" i="1"/>
  <c r="DC174" i="1"/>
  <c r="DK174" i="1"/>
  <c r="DG175" i="1"/>
  <c r="DC176" i="1"/>
  <c r="DK176" i="1"/>
  <c r="DG177" i="1"/>
  <c r="DC178" i="1"/>
  <c r="DK178" i="1"/>
  <c r="DG179" i="1"/>
  <c r="DC180" i="1"/>
  <c r="DK180" i="1"/>
  <c r="DG181" i="1"/>
  <c r="DC182" i="1"/>
  <c r="DK182" i="1"/>
  <c r="DG183" i="1"/>
  <c r="DC184" i="1"/>
  <c r="DK184" i="1"/>
  <c r="DG185" i="1"/>
  <c r="DC186" i="1"/>
  <c r="DK186" i="1"/>
  <c r="DG187" i="1"/>
  <c r="DC188" i="1"/>
  <c r="DK188" i="1"/>
  <c r="DG189" i="1"/>
  <c r="DC190" i="1"/>
  <c r="DK190" i="1"/>
  <c r="DG191" i="1"/>
  <c r="DC192" i="1"/>
  <c r="DD154" i="1"/>
  <c r="DL154" i="1"/>
  <c r="DH155" i="1"/>
  <c r="DD156" i="1"/>
  <c r="DL156" i="1"/>
  <c r="DH157" i="1"/>
  <c r="DD158" i="1"/>
  <c r="DL158" i="1"/>
  <c r="DH159" i="1"/>
  <c r="DD160" i="1"/>
  <c r="DL160" i="1"/>
  <c r="DH161" i="1"/>
  <c r="DD162" i="1"/>
  <c r="DL162" i="1"/>
  <c r="DH163" i="1"/>
  <c r="DD164" i="1"/>
  <c r="DL164" i="1"/>
  <c r="DH165" i="1"/>
  <c r="DD166" i="1"/>
  <c r="DL166" i="1"/>
  <c r="DH167" i="1"/>
  <c r="DD168" i="1"/>
  <c r="DL168" i="1"/>
  <c r="DH169" i="1"/>
  <c r="DD170" i="1"/>
  <c r="DL170" i="1"/>
  <c r="DH171" i="1"/>
  <c r="DD172" i="1"/>
  <c r="DL172" i="1"/>
  <c r="DH173" i="1"/>
  <c r="DD174" i="1"/>
  <c r="DL174" i="1"/>
  <c r="DH175" i="1"/>
  <c r="DD176" i="1"/>
  <c r="DL176" i="1"/>
  <c r="DH177" i="1"/>
  <c r="DD178" i="1"/>
  <c r="DL178" i="1"/>
  <c r="DH179" i="1"/>
  <c r="DD180" i="1"/>
  <c r="DL180" i="1"/>
  <c r="DH181" i="1"/>
  <c r="DD182" i="1"/>
  <c r="DL182" i="1"/>
  <c r="DH183" i="1"/>
  <c r="DD184" i="1"/>
  <c r="DL184" i="1"/>
  <c r="DH185" i="1"/>
  <c r="DD186" i="1"/>
  <c r="DL186" i="1"/>
  <c r="DH187" i="1"/>
  <c r="DD188" i="1"/>
  <c r="DL188" i="1"/>
  <c r="DH189" i="1"/>
  <c r="DD190" i="1"/>
  <c r="DL190" i="1"/>
  <c r="DH191" i="1"/>
  <c r="DF154" i="1"/>
  <c r="DB155" i="1"/>
  <c r="DJ155" i="1"/>
  <c r="DF156" i="1"/>
  <c r="DB157" i="1"/>
  <c r="DJ157" i="1"/>
  <c r="DF158" i="1"/>
  <c r="DB159" i="1"/>
  <c r="DJ159" i="1"/>
  <c r="DF160" i="1"/>
  <c r="DB161" i="1"/>
  <c r="DJ161" i="1"/>
  <c r="DF162" i="1"/>
  <c r="DB163" i="1"/>
  <c r="DJ163" i="1"/>
  <c r="DF164" i="1"/>
  <c r="DB165" i="1"/>
  <c r="DJ165" i="1"/>
  <c r="DF166" i="1"/>
  <c r="DB167" i="1"/>
  <c r="DJ167" i="1"/>
  <c r="DF168" i="1"/>
  <c r="DB169" i="1"/>
  <c r="DJ169" i="1"/>
  <c r="DF170" i="1"/>
  <c r="DB171" i="1"/>
  <c r="DJ171" i="1"/>
  <c r="DF172" i="1"/>
  <c r="DB173" i="1"/>
  <c r="DJ173" i="1"/>
  <c r="DF174" i="1"/>
  <c r="DB175" i="1"/>
  <c r="DJ175" i="1"/>
  <c r="DF176" i="1"/>
  <c r="DB177" i="1"/>
  <c r="DJ177" i="1"/>
  <c r="DF178" i="1"/>
  <c r="DB179" i="1"/>
  <c r="DJ179" i="1"/>
  <c r="DF180" i="1"/>
  <c r="DB181" i="1"/>
  <c r="DJ181" i="1"/>
  <c r="DF182" i="1"/>
  <c r="DB183" i="1"/>
  <c r="DJ183" i="1"/>
  <c r="DF184" i="1"/>
  <c r="DB185" i="1"/>
  <c r="DJ185" i="1"/>
  <c r="DF186" i="1"/>
  <c r="DB187" i="1"/>
  <c r="DJ187" i="1"/>
  <c r="DF188" i="1"/>
  <c r="DB189" i="1"/>
  <c r="DJ189" i="1"/>
  <c r="DF190" i="1"/>
  <c r="DB191" i="1"/>
  <c r="DJ191" i="1"/>
  <c r="DI154" i="1"/>
  <c r="DK155" i="1"/>
  <c r="DJ156" i="1"/>
  <c r="DL157" i="1"/>
  <c r="DA159" i="1"/>
  <c r="DA160" i="1"/>
  <c r="DC161" i="1"/>
  <c r="DB162" i="1"/>
  <c r="DD163" i="1"/>
  <c r="DE164" i="1"/>
  <c r="DE165" i="1"/>
  <c r="DG166" i="1"/>
  <c r="DF167" i="1"/>
  <c r="DH168" i="1"/>
  <c r="DI169" i="1"/>
  <c r="DI170" i="1"/>
  <c r="DK171" i="1"/>
  <c r="DJ172" i="1"/>
  <c r="DL173" i="1"/>
  <c r="DA175" i="1"/>
  <c r="DA176" i="1"/>
  <c r="DC177" i="1"/>
  <c r="DB178" i="1"/>
  <c r="DD179" i="1"/>
  <c r="DE180" i="1"/>
  <c r="DE181" i="1"/>
  <c r="DJ154" i="1"/>
  <c r="DL155" i="1"/>
  <c r="DA157" i="1"/>
  <c r="DA158" i="1"/>
  <c r="DC159" i="1"/>
  <c r="DB160" i="1"/>
  <c r="DD161" i="1"/>
  <c r="DE162" i="1"/>
  <c r="DE163" i="1"/>
  <c r="DG164" i="1"/>
  <c r="DF165" i="1"/>
  <c r="DH166" i="1"/>
  <c r="DI167" i="1"/>
  <c r="DI168" i="1"/>
  <c r="DK169" i="1"/>
  <c r="DJ170" i="1"/>
  <c r="DL171" i="1"/>
  <c r="DA173" i="1"/>
  <c r="DA174" i="1"/>
  <c r="DC175" i="1"/>
  <c r="DB176" i="1"/>
  <c r="DD177" i="1"/>
  <c r="DE178" i="1"/>
  <c r="DE179" i="1"/>
  <c r="DG180" i="1"/>
  <c r="DA154" i="1"/>
  <c r="DC155" i="1"/>
  <c r="DB156" i="1"/>
  <c r="DD157" i="1"/>
  <c r="DE158" i="1"/>
  <c r="DE159" i="1"/>
  <c r="DG160" i="1"/>
  <c r="DF161" i="1"/>
  <c r="DH162" i="1"/>
  <c r="DI163" i="1"/>
  <c r="DI164" i="1"/>
  <c r="DK165" i="1"/>
  <c r="DJ166" i="1"/>
  <c r="DL167" i="1"/>
  <c r="DA169" i="1"/>
  <c r="DA170" i="1"/>
  <c r="DC171" i="1"/>
  <c r="DB172" i="1"/>
  <c r="DD173" i="1"/>
  <c r="DE174" i="1"/>
  <c r="DE175" i="1"/>
  <c r="DG176" i="1"/>
  <c r="DF177" i="1"/>
  <c r="DH178" i="1"/>
  <c r="DI179" i="1"/>
  <c r="DI180" i="1"/>
  <c r="DK181" i="1"/>
  <c r="DJ182" i="1"/>
  <c r="DL183" i="1"/>
  <c r="DA185" i="1"/>
  <c r="DA186" i="1"/>
  <c r="DC187" i="1"/>
  <c r="DB188" i="1"/>
  <c r="DD189" i="1"/>
  <c r="DE190" i="1"/>
  <c r="DE191" i="1"/>
  <c r="DE192" i="1"/>
  <c r="DA193" i="1"/>
  <c r="DI193" i="1"/>
  <c r="DE194" i="1"/>
  <c r="DB154" i="1"/>
  <c r="DD155" i="1"/>
  <c r="DE156" i="1"/>
  <c r="DE157" i="1"/>
  <c r="DG158" i="1"/>
  <c r="DF159" i="1"/>
  <c r="DH160" i="1"/>
  <c r="DI161" i="1"/>
  <c r="DI162" i="1"/>
  <c r="DK163" i="1"/>
  <c r="DJ164" i="1"/>
  <c r="DL165" i="1"/>
  <c r="DA167" i="1"/>
  <c r="DA168" i="1"/>
  <c r="DC169" i="1"/>
  <c r="DB170" i="1"/>
  <c r="DD171" i="1"/>
  <c r="DE172" i="1"/>
  <c r="DE173" i="1"/>
  <c r="DG174" i="1"/>
  <c r="DF175" i="1"/>
  <c r="DH176" i="1"/>
  <c r="DI177" i="1"/>
  <c r="DI178" i="1"/>
  <c r="DK179" i="1"/>
  <c r="DJ180" i="1"/>
  <c r="DL181" i="1"/>
  <c r="DA183" i="1"/>
  <c r="DA184" i="1"/>
  <c r="DC185" i="1"/>
  <c r="DB186" i="1"/>
  <c r="DD187" i="1"/>
  <c r="DE188" i="1"/>
  <c r="DE189" i="1"/>
  <c r="DG190" i="1"/>
  <c r="DF191" i="1"/>
  <c r="DF192" i="1"/>
  <c r="DB193" i="1"/>
  <c r="DJ193" i="1"/>
  <c r="DF194" i="1"/>
  <c r="DF155" i="1"/>
  <c r="DI157" i="1"/>
  <c r="DK159" i="1"/>
  <c r="DL161" i="1"/>
  <c r="DA164" i="1"/>
  <c r="DB166" i="1"/>
  <c r="DE168" i="1"/>
  <c r="DG170" i="1"/>
  <c r="DH172" i="1"/>
  <c r="DI174" i="1"/>
  <c r="DJ176" i="1"/>
  <c r="DA179" i="1"/>
  <c r="DC181" i="1"/>
  <c r="DH182" i="1"/>
  <c r="DB184" i="1"/>
  <c r="DF185" i="1"/>
  <c r="DJ186" i="1"/>
  <c r="DG188" i="1"/>
  <c r="DK189" i="1"/>
  <c r="DC191" i="1"/>
  <c r="DG192" i="1"/>
  <c r="DE193" i="1"/>
  <c r="DC194" i="1"/>
  <c r="DA195" i="1"/>
  <c r="DI195" i="1"/>
  <c r="DE196" i="1"/>
  <c r="DA197" i="1"/>
  <c r="DI197" i="1"/>
  <c r="DE198" i="1"/>
  <c r="DA199" i="1"/>
  <c r="DI199" i="1"/>
  <c r="DE200" i="1"/>
  <c r="DA201" i="1"/>
  <c r="DI201" i="1"/>
  <c r="DE202" i="1"/>
  <c r="DA203" i="1"/>
  <c r="DI203" i="1"/>
  <c r="DE204" i="1"/>
  <c r="DA205" i="1"/>
  <c r="DI205" i="1"/>
  <c r="DE206" i="1"/>
  <c r="DA207" i="1"/>
  <c r="DI207" i="1"/>
  <c r="DE208" i="1"/>
  <c r="DA209" i="1"/>
  <c r="DI209" i="1"/>
  <c r="DE210" i="1"/>
  <c r="DA211" i="1"/>
  <c r="DI211" i="1"/>
  <c r="DE212" i="1"/>
  <c r="DA213" i="1"/>
  <c r="DI213" i="1"/>
  <c r="DE214" i="1"/>
  <c r="DA215" i="1"/>
  <c r="DI215" i="1"/>
  <c r="DE216" i="1"/>
  <c r="DA217" i="1"/>
  <c r="DI217" i="1"/>
  <c r="DE218" i="1"/>
  <c r="DA219" i="1"/>
  <c r="DI219" i="1"/>
  <c r="DE220" i="1"/>
  <c r="DA221" i="1"/>
  <c r="DI221" i="1"/>
  <c r="DE222" i="1"/>
  <c r="DA223" i="1"/>
  <c r="DI223" i="1"/>
  <c r="DE224" i="1"/>
  <c r="DA225" i="1"/>
  <c r="DI225" i="1"/>
  <c r="DE226" i="1"/>
  <c r="DA227" i="1"/>
  <c r="DI227" i="1"/>
  <c r="DE228" i="1"/>
  <c r="DA229" i="1"/>
  <c r="DI229" i="1"/>
  <c r="DE230" i="1"/>
  <c r="DA231" i="1"/>
  <c r="DI231" i="1"/>
  <c r="DE232" i="1"/>
  <c r="DA233" i="1"/>
  <c r="DI233" i="1"/>
  <c r="DE234" i="1"/>
  <c r="DA235" i="1"/>
  <c r="DI235" i="1"/>
  <c r="DE236" i="1"/>
  <c r="DA237" i="1"/>
  <c r="DI237" i="1"/>
  <c r="DE238" i="1"/>
  <c r="DA239" i="1"/>
  <c r="DI239" i="1"/>
  <c r="DE240" i="1"/>
  <c r="DA241" i="1"/>
  <c r="DI241" i="1"/>
  <c r="DE242" i="1"/>
  <c r="DA243" i="1"/>
  <c r="DI243" i="1"/>
  <c r="DE244" i="1"/>
  <c r="DA245" i="1"/>
  <c r="DI245" i="1"/>
  <c r="DE246" i="1"/>
  <c r="DA247" i="1"/>
  <c r="DI247" i="1"/>
  <c r="DE248" i="1"/>
  <c r="DA249" i="1"/>
  <c r="DI249" i="1"/>
  <c r="DE250" i="1"/>
  <c r="DA251" i="1"/>
  <c r="DI251" i="1"/>
  <c r="DE252" i="1"/>
  <c r="DA253" i="1"/>
  <c r="DI253" i="1"/>
  <c r="DE254" i="1"/>
  <c r="DI155" i="1"/>
  <c r="DK157" i="1"/>
  <c r="DL159" i="1"/>
  <c r="DA162" i="1"/>
  <c r="DB164" i="1"/>
  <c r="DE166" i="1"/>
  <c r="DG168" i="1"/>
  <c r="DH170" i="1"/>
  <c r="DI172" i="1"/>
  <c r="DJ174" i="1"/>
  <c r="DA177" i="1"/>
  <c r="DC179" i="1"/>
  <c r="DD181" i="1"/>
  <c r="DI182" i="1"/>
  <c r="DE184" i="1"/>
  <c r="DI185" i="1"/>
  <c r="DA187" i="1"/>
  <c r="DH188" i="1"/>
  <c r="DL189" i="1"/>
  <c r="DD191" i="1"/>
  <c r="DH192" i="1"/>
  <c r="DF193" i="1"/>
  <c r="DD194" i="1"/>
  <c r="DB195" i="1"/>
  <c r="DJ195" i="1"/>
  <c r="DF196" i="1"/>
  <c r="DB197" i="1"/>
  <c r="DJ197" i="1"/>
  <c r="DF198" i="1"/>
  <c r="DB199" i="1"/>
  <c r="DJ199" i="1"/>
  <c r="DF200" i="1"/>
  <c r="DB201" i="1"/>
  <c r="DJ201" i="1"/>
  <c r="DF202" i="1"/>
  <c r="DB203" i="1"/>
  <c r="DJ203" i="1"/>
  <c r="DF204" i="1"/>
  <c r="DB205" i="1"/>
  <c r="DJ205" i="1"/>
  <c r="DF206" i="1"/>
  <c r="DB207" i="1"/>
  <c r="DJ207" i="1"/>
  <c r="DF208" i="1"/>
  <c r="DB209" i="1"/>
  <c r="DJ209" i="1"/>
  <c r="DF210" i="1"/>
  <c r="DB211" i="1"/>
  <c r="DJ211" i="1"/>
  <c r="DF212" i="1"/>
  <c r="DB213" i="1"/>
  <c r="DJ213" i="1"/>
  <c r="DF214" i="1"/>
  <c r="DB215" i="1"/>
  <c r="DJ215" i="1"/>
  <c r="DF216" i="1"/>
  <c r="DB217" i="1"/>
  <c r="DJ217" i="1"/>
  <c r="DF218" i="1"/>
  <c r="DB219" i="1"/>
  <c r="DJ219" i="1"/>
  <c r="DF220" i="1"/>
  <c r="DB221" i="1"/>
  <c r="DJ221" i="1"/>
  <c r="DF222" i="1"/>
  <c r="DB223" i="1"/>
  <c r="DJ223" i="1"/>
  <c r="DF224" i="1"/>
  <c r="DB225" i="1"/>
  <c r="DJ225" i="1"/>
  <c r="DF226" i="1"/>
  <c r="DB227" i="1"/>
  <c r="DJ227" i="1"/>
  <c r="DF228" i="1"/>
  <c r="DB229" i="1"/>
  <c r="DJ229" i="1"/>
  <c r="DF230" i="1"/>
  <c r="DB231" i="1"/>
  <c r="DJ231" i="1"/>
  <c r="DF232" i="1"/>
  <c r="DB233" i="1"/>
  <c r="DJ233" i="1"/>
  <c r="DF234" i="1"/>
  <c r="DB235" i="1"/>
  <c r="DJ235" i="1"/>
  <c r="DF236" i="1"/>
  <c r="DB237" i="1"/>
  <c r="DJ237" i="1"/>
  <c r="DF238" i="1"/>
  <c r="DB239" i="1"/>
  <c r="DJ239" i="1"/>
  <c r="DF240" i="1"/>
  <c r="DB241" i="1"/>
  <c r="DJ241" i="1"/>
  <c r="DF242" i="1"/>
  <c r="DB243" i="1"/>
  <c r="DJ243" i="1"/>
  <c r="DF244" i="1"/>
  <c r="DB245" i="1"/>
  <c r="DJ245" i="1"/>
  <c r="DF246" i="1"/>
  <c r="DB247" i="1"/>
  <c r="DJ247" i="1"/>
  <c r="DF248" i="1"/>
  <c r="DB249" i="1"/>
  <c r="DJ249" i="1"/>
  <c r="DF250" i="1"/>
  <c r="DB251" i="1"/>
  <c r="DJ251" i="1"/>
  <c r="DF252" i="1"/>
  <c r="DB253" i="1"/>
  <c r="DJ253" i="1"/>
  <c r="DF254" i="1"/>
  <c r="DA156" i="1"/>
  <c r="DB158" i="1"/>
  <c r="DE160" i="1"/>
  <c r="DG162" i="1"/>
  <c r="DH164" i="1"/>
  <c r="DI166" i="1"/>
  <c r="DJ168" i="1"/>
  <c r="DA171" i="1"/>
  <c r="DC173" i="1"/>
  <c r="DD175" i="1"/>
  <c r="DE177" i="1"/>
  <c r="DF179" i="1"/>
  <c r="DF181" i="1"/>
  <c r="DC183" i="1"/>
  <c r="DG184" i="1"/>
  <c r="DK185" i="1"/>
  <c r="DE187" i="1"/>
  <c r="DI188" i="1"/>
  <c r="DA190" i="1"/>
  <c r="DI191" i="1"/>
  <c r="DI192" i="1"/>
  <c r="DG193" i="1"/>
  <c r="DG194" i="1"/>
  <c r="DC195" i="1"/>
  <c r="DK195" i="1"/>
  <c r="DG196" i="1"/>
  <c r="DC197" i="1"/>
  <c r="DK197" i="1"/>
  <c r="DG198" i="1"/>
  <c r="DC199" i="1"/>
  <c r="DK199" i="1"/>
  <c r="DG200" i="1"/>
  <c r="DC201" i="1"/>
  <c r="DK201" i="1"/>
  <c r="DG202" i="1"/>
  <c r="DC203" i="1"/>
  <c r="DK203" i="1"/>
  <c r="DG204" i="1"/>
  <c r="DC205" i="1"/>
  <c r="DK205" i="1"/>
  <c r="DG206" i="1"/>
  <c r="DC207" i="1"/>
  <c r="DK207" i="1"/>
  <c r="DG208" i="1"/>
  <c r="DC209" i="1"/>
  <c r="DK209" i="1"/>
  <c r="DG210" i="1"/>
  <c r="DC211" i="1"/>
  <c r="DK211" i="1"/>
  <c r="DG212" i="1"/>
  <c r="DC213" i="1"/>
  <c r="DK213" i="1"/>
  <c r="DG214" i="1"/>
  <c r="DC215" i="1"/>
  <c r="DK215" i="1"/>
  <c r="DG216" i="1"/>
  <c r="DC217" i="1"/>
  <c r="DK217" i="1"/>
  <c r="DG218" i="1"/>
  <c r="DC219" i="1"/>
  <c r="DK219" i="1"/>
  <c r="DG220" i="1"/>
  <c r="DC221" i="1"/>
  <c r="DK221" i="1"/>
  <c r="DG222" i="1"/>
  <c r="DC223" i="1"/>
  <c r="DK223" i="1"/>
  <c r="DG224" i="1"/>
  <c r="DC225" i="1"/>
  <c r="DK225" i="1"/>
  <c r="DG226" i="1"/>
  <c r="DC227" i="1"/>
  <c r="DK227" i="1"/>
  <c r="DG228" i="1"/>
  <c r="DC229" i="1"/>
  <c r="DK229" i="1"/>
  <c r="DG230" i="1"/>
  <c r="DC231" i="1"/>
  <c r="DK231" i="1"/>
  <c r="DG232" i="1"/>
  <c r="DC233" i="1"/>
  <c r="DK233" i="1"/>
  <c r="DG234" i="1"/>
  <c r="DC235" i="1"/>
  <c r="DK235" i="1"/>
  <c r="DG236" i="1"/>
  <c r="DC237" i="1"/>
  <c r="DK237" i="1"/>
  <c r="DG238" i="1"/>
  <c r="DC239" i="1"/>
  <c r="DK239" i="1"/>
  <c r="DG240" i="1"/>
  <c r="DC241" i="1"/>
  <c r="DK241" i="1"/>
  <c r="DG242" i="1"/>
  <c r="DC243" i="1"/>
  <c r="DK243" i="1"/>
  <c r="DG244" i="1"/>
  <c r="DC245" i="1"/>
  <c r="DK245" i="1"/>
  <c r="DG246" i="1"/>
  <c r="DC247" i="1"/>
  <c r="DK247" i="1"/>
  <c r="DG248" i="1"/>
  <c r="DC249" i="1"/>
  <c r="DK249" i="1"/>
  <c r="DG250" i="1"/>
  <c r="DC251" i="1"/>
  <c r="DK251" i="1"/>
  <c r="DG252" i="1"/>
  <c r="DC253" i="1"/>
  <c r="DK253" i="1"/>
  <c r="DG254" i="1"/>
  <c r="DE154" i="1"/>
  <c r="DG156" i="1"/>
  <c r="DH158" i="1"/>
  <c r="DI160" i="1"/>
  <c r="DJ162" i="1"/>
  <c r="DA165" i="1"/>
  <c r="DC167" i="1"/>
  <c r="DD169" i="1"/>
  <c r="DE171" i="1"/>
  <c r="DF173" i="1"/>
  <c r="DI175" i="1"/>
  <c r="DK177" i="1"/>
  <c r="DL179" i="1"/>
  <c r="DI181" i="1"/>
  <c r="DD183" i="1"/>
  <c r="DH184" i="1"/>
  <c r="DL185" i="1"/>
  <c r="DF187" i="1"/>
  <c r="DJ188" i="1"/>
  <c r="DB190" i="1"/>
  <c r="DK191" i="1"/>
  <c r="DJ192" i="1"/>
  <c r="DH193" i="1"/>
  <c r="DH194" i="1"/>
  <c r="DD195" i="1"/>
  <c r="DL195" i="1"/>
  <c r="DH196" i="1"/>
  <c r="DD197" i="1"/>
  <c r="DL197" i="1"/>
  <c r="DH198" i="1"/>
  <c r="DD199" i="1"/>
  <c r="DL199" i="1"/>
  <c r="DH200" i="1"/>
  <c r="DD201" i="1"/>
  <c r="DL201" i="1"/>
  <c r="DH202" i="1"/>
  <c r="DD203" i="1"/>
  <c r="DL203" i="1"/>
  <c r="DH204" i="1"/>
  <c r="DD205" i="1"/>
  <c r="DL205" i="1"/>
  <c r="DH206" i="1"/>
  <c r="DD207" i="1"/>
  <c r="DL207" i="1"/>
  <c r="DH208" i="1"/>
  <c r="DD209" i="1"/>
  <c r="DL209" i="1"/>
  <c r="DH210" i="1"/>
  <c r="DD211" i="1"/>
  <c r="DL211" i="1"/>
  <c r="DH212" i="1"/>
  <c r="DD213" i="1"/>
  <c r="DL213" i="1"/>
  <c r="DH214" i="1"/>
  <c r="DD215" i="1"/>
  <c r="DL215" i="1"/>
  <c r="DH216" i="1"/>
  <c r="DD217" i="1"/>
  <c r="DL217" i="1"/>
  <c r="DH218" i="1"/>
  <c r="DD219" i="1"/>
  <c r="DL219" i="1"/>
  <c r="DH220" i="1"/>
  <c r="DD221" i="1"/>
  <c r="DL221" i="1"/>
  <c r="DH222" i="1"/>
  <c r="DD223" i="1"/>
  <c r="DL223" i="1"/>
  <c r="DH224" i="1"/>
  <c r="DD225" i="1"/>
  <c r="DL225" i="1"/>
  <c r="DH226" i="1"/>
  <c r="DD227" i="1"/>
  <c r="DL227" i="1"/>
  <c r="DH228" i="1"/>
  <c r="DD229" i="1"/>
  <c r="DL229" i="1"/>
  <c r="DH230" i="1"/>
  <c r="DD231" i="1"/>
  <c r="DL231" i="1"/>
  <c r="DH232" i="1"/>
  <c r="DD233" i="1"/>
  <c r="DL233" i="1"/>
  <c r="DH234" i="1"/>
  <c r="DD235" i="1"/>
  <c r="DL235" i="1"/>
  <c r="DH236" i="1"/>
  <c r="DD237" i="1"/>
  <c r="DL237" i="1"/>
  <c r="DH238" i="1"/>
  <c r="DD239" i="1"/>
  <c r="DL239" i="1"/>
  <c r="DH240" i="1"/>
  <c r="DD241" i="1"/>
  <c r="DL241" i="1"/>
  <c r="DH242" i="1"/>
  <c r="DD243" i="1"/>
  <c r="DL243" i="1"/>
  <c r="DH244" i="1"/>
  <c r="DD245" i="1"/>
  <c r="DL245" i="1"/>
  <c r="DH246" i="1"/>
  <c r="DD247" i="1"/>
  <c r="DL247" i="1"/>
  <c r="DH248" i="1"/>
  <c r="DD249" i="1"/>
  <c r="DL249" i="1"/>
  <c r="DH250" i="1"/>
  <c r="DD251" i="1"/>
  <c r="DL251" i="1"/>
  <c r="DH252" i="1"/>
  <c r="DD253" i="1"/>
  <c r="DL253" i="1"/>
  <c r="DH254" i="1"/>
  <c r="DH154" i="1"/>
  <c r="DI156" i="1"/>
  <c r="DJ158" i="1"/>
  <c r="DA161" i="1"/>
  <c r="DC163" i="1"/>
  <c r="DD165" i="1"/>
  <c r="DE167" i="1"/>
  <c r="DF169" i="1"/>
  <c r="DI171" i="1"/>
  <c r="DK173" i="1"/>
  <c r="DL175" i="1"/>
  <c r="DA178" i="1"/>
  <c r="DB180" i="1"/>
  <c r="DB182" i="1"/>
  <c r="DF183" i="1"/>
  <c r="DJ184" i="1"/>
  <c r="DG186" i="1"/>
  <c r="DK187" i="1"/>
  <c r="DC189" i="1"/>
  <c r="DI190" i="1"/>
  <c r="DA192" i="1"/>
  <c r="DL192" i="1"/>
  <c r="DL193" i="1"/>
  <c r="DJ194" i="1"/>
  <c r="DF195" i="1"/>
  <c r="DB196" i="1"/>
  <c r="DJ196" i="1"/>
  <c r="DF197" i="1"/>
  <c r="DB198" i="1"/>
  <c r="DJ198" i="1"/>
  <c r="DF199" i="1"/>
  <c r="DB200" i="1"/>
  <c r="DJ200" i="1"/>
  <c r="DF201" i="1"/>
  <c r="DB202" i="1"/>
  <c r="DJ202" i="1"/>
  <c r="DF203" i="1"/>
  <c r="DB204" i="1"/>
  <c r="DJ204" i="1"/>
  <c r="DF205" i="1"/>
  <c r="DB206" i="1"/>
  <c r="DJ206" i="1"/>
  <c r="DF207" i="1"/>
  <c r="DB208" i="1"/>
  <c r="DJ208" i="1"/>
  <c r="DF209" i="1"/>
  <c r="DB210" i="1"/>
  <c r="DJ210" i="1"/>
  <c r="DF211" i="1"/>
  <c r="DB212" i="1"/>
  <c r="DJ212" i="1"/>
  <c r="DF213" i="1"/>
  <c r="DB214" i="1"/>
  <c r="DJ214" i="1"/>
  <c r="DF215" i="1"/>
  <c r="DB216" i="1"/>
  <c r="DJ216" i="1"/>
  <c r="DF217" i="1"/>
  <c r="DB218" i="1"/>
  <c r="DJ218" i="1"/>
  <c r="DF219" i="1"/>
  <c r="DB220" i="1"/>
  <c r="DJ220" i="1"/>
  <c r="DF221" i="1"/>
  <c r="DB222" i="1"/>
  <c r="DJ222" i="1"/>
  <c r="DF223" i="1"/>
  <c r="DB224" i="1"/>
  <c r="DJ224" i="1"/>
  <c r="DF225" i="1"/>
  <c r="DB226" i="1"/>
  <c r="DJ226" i="1"/>
  <c r="DF227" i="1"/>
  <c r="DB228" i="1"/>
  <c r="DJ228" i="1"/>
  <c r="DF229" i="1"/>
  <c r="DB230" i="1"/>
  <c r="DJ230" i="1"/>
  <c r="DF231" i="1"/>
  <c r="DB232" i="1"/>
  <c r="DJ232" i="1"/>
  <c r="DF233" i="1"/>
  <c r="DB234" i="1"/>
  <c r="DJ234" i="1"/>
  <c r="DF235" i="1"/>
  <c r="DB236" i="1"/>
  <c r="DJ236" i="1"/>
  <c r="DF237" i="1"/>
  <c r="DB238" i="1"/>
  <c r="DJ238" i="1"/>
  <c r="DF239" i="1"/>
  <c r="DB240" i="1"/>
  <c r="DJ240" i="1"/>
  <c r="DF241" i="1"/>
  <c r="DB242" i="1"/>
  <c r="DJ242" i="1"/>
  <c r="DF243" i="1"/>
  <c r="DB244" i="1"/>
  <c r="DJ244" i="1"/>
  <c r="DF245" i="1"/>
  <c r="DB246" i="1"/>
  <c r="DJ246" i="1"/>
  <c r="DF247" i="1"/>
  <c r="DB248" i="1"/>
  <c r="DJ248" i="1"/>
  <c r="DF249" i="1"/>
  <c r="DB250" i="1"/>
  <c r="DJ250" i="1"/>
  <c r="DF251" i="1"/>
  <c r="DB252" i="1"/>
  <c r="DJ252" i="1"/>
  <c r="DF253" i="1"/>
  <c r="DB254" i="1"/>
  <c r="DJ254" i="1"/>
  <c r="DA155" i="1"/>
  <c r="DC157" i="1"/>
  <c r="DD159" i="1"/>
  <c r="DE161" i="1"/>
  <c r="DF163" i="1"/>
  <c r="DI165" i="1"/>
  <c r="DK167" i="1"/>
  <c r="DL169" i="1"/>
  <c r="DA172" i="1"/>
  <c r="DB174" i="1"/>
  <c r="DE176" i="1"/>
  <c r="DG178" i="1"/>
  <c r="DH180" i="1"/>
  <c r="DE182" i="1"/>
  <c r="DI183" i="1"/>
  <c r="DD185" i="1"/>
  <c r="DH186" i="1"/>
  <c r="DL187" i="1"/>
  <c r="DF189" i="1"/>
  <c r="DJ190" i="1"/>
  <c r="DB192" i="1"/>
  <c r="DC193" i="1"/>
  <c r="DA194" i="1"/>
  <c r="DK194" i="1"/>
  <c r="DG195" i="1"/>
  <c r="DC196" i="1"/>
  <c r="DK196" i="1"/>
  <c r="DG197" i="1"/>
  <c r="DC198" i="1"/>
  <c r="DK198" i="1"/>
  <c r="DG199" i="1"/>
  <c r="DC200" i="1"/>
  <c r="DK200" i="1"/>
  <c r="DG201" i="1"/>
  <c r="DC202" i="1"/>
  <c r="DK202" i="1"/>
  <c r="DG203" i="1"/>
  <c r="DC204" i="1"/>
  <c r="DK204" i="1"/>
  <c r="DG205" i="1"/>
  <c r="DC206" i="1"/>
  <c r="DK206" i="1"/>
  <c r="DG207" i="1"/>
  <c r="DC208" i="1"/>
  <c r="DK208" i="1"/>
  <c r="DG209" i="1"/>
  <c r="DC210" i="1"/>
  <c r="DK210" i="1"/>
  <c r="DG211" i="1"/>
  <c r="DC212" i="1"/>
  <c r="DK212" i="1"/>
  <c r="DG213" i="1"/>
  <c r="DC214" i="1"/>
  <c r="DK214" i="1"/>
  <c r="DG215" i="1"/>
  <c r="DC216" i="1"/>
  <c r="DK216" i="1"/>
  <c r="DG217" i="1"/>
  <c r="DC218" i="1"/>
  <c r="DK218" i="1"/>
  <c r="DG219" i="1"/>
  <c r="DC220" i="1"/>
  <c r="DK220" i="1"/>
  <c r="DG221" i="1"/>
  <c r="DC222" i="1"/>
  <c r="DK222" i="1"/>
  <c r="DG223" i="1"/>
  <c r="DC224" i="1"/>
  <c r="DK224" i="1"/>
  <c r="DG225" i="1"/>
  <c r="DC226" i="1"/>
  <c r="DK226" i="1"/>
  <c r="DG227" i="1"/>
  <c r="DC228" i="1"/>
  <c r="DK228" i="1"/>
  <c r="DG229" i="1"/>
  <c r="DC230" i="1"/>
  <c r="DK230" i="1"/>
  <c r="DG231" i="1"/>
  <c r="DC232" i="1"/>
  <c r="DK232" i="1"/>
  <c r="DG233" i="1"/>
  <c r="DC234" i="1"/>
  <c r="DK234" i="1"/>
  <c r="DG235" i="1"/>
  <c r="DC236" i="1"/>
  <c r="DK236" i="1"/>
  <c r="DG237" i="1"/>
  <c r="DC238" i="1"/>
  <c r="DK238" i="1"/>
  <c r="DG239" i="1"/>
  <c r="DC240" i="1"/>
  <c r="DK240" i="1"/>
  <c r="DG241" i="1"/>
  <c r="DC242" i="1"/>
  <c r="DK242" i="1"/>
  <c r="DG243" i="1"/>
  <c r="DC244" i="1"/>
  <c r="DK244" i="1"/>
  <c r="DG245" i="1"/>
  <c r="DC246" i="1"/>
  <c r="DK246" i="1"/>
  <c r="DG247" i="1"/>
  <c r="DC248" i="1"/>
  <c r="DK248" i="1"/>
  <c r="DG249" i="1"/>
  <c r="DC250" i="1"/>
  <c r="DK250" i="1"/>
  <c r="DG251" i="1"/>
  <c r="DC252" i="1"/>
  <c r="DK252" i="1"/>
  <c r="DG253" i="1"/>
  <c r="DC254" i="1"/>
  <c r="DK254" i="1"/>
  <c r="DJ160" i="1"/>
  <c r="DE169" i="1"/>
  <c r="DL177" i="1"/>
  <c r="DI184" i="1"/>
  <c r="DH190" i="1"/>
  <c r="DI194" i="1"/>
  <c r="DE197" i="1"/>
  <c r="DA200" i="1"/>
  <c r="DI202" i="1"/>
  <c r="DE205" i="1"/>
  <c r="DA208" i="1"/>
  <c r="DI210" i="1"/>
  <c r="DE213" i="1"/>
  <c r="DA216" i="1"/>
  <c r="DI218" i="1"/>
  <c r="DE221" i="1"/>
  <c r="DA224" i="1"/>
  <c r="DI226" i="1"/>
  <c r="DE229" i="1"/>
  <c r="DA232" i="1"/>
  <c r="DI234" i="1"/>
  <c r="DE237" i="1"/>
  <c r="DA240" i="1"/>
  <c r="DI242" i="1"/>
  <c r="DE245" i="1"/>
  <c r="DA248" i="1"/>
  <c r="DI250" i="1"/>
  <c r="DE253" i="1"/>
  <c r="DK161" i="1"/>
  <c r="DE170" i="1"/>
  <c r="DJ178" i="1"/>
  <c r="DE185" i="1"/>
  <c r="DA191" i="1"/>
  <c r="DL194" i="1"/>
  <c r="DH197" i="1"/>
  <c r="DD200" i="1"/>
  <c r="DL202" i="1"/>
  <c r="DH205" i="1"/>
  <c r="DD208" i="1"/>
  <c r="DL210" i="1"/>
  <c r="DH213" i="1"/>
  <c r="DD216" i="1"/>
  <c r="DL218" i="1"/>
  <c r="DH221" i="1"/>
  <c r="DD224" i="1"/>
  <c r="DL226" i="1"/>
  <c r="DH229" i="1"/>
  <c r="DD232" i="1"/>
  <c r="DL234" i="1"/>
  <c r="DH237" i="1"/>
  <c r="DD240" i="1"/>
  <c r="DL242" i="1"/>
  <c r="DH245" i="1"/>
  <c r="DD248" i="1"/>
  <c r="DL250" i="1"/>
  <c r="DH253" i="1"/>
  <c r="DG154" i="1"/>
  <c r="DA163" i="1"/>
  <c r="DF171" i="1"/>
  <c r="DA180" i="1"/>
  <c r="DE186" i="1"/>
  <c r="DL191" i="1"/>
  <c r="DE195" i="1"/>
  <c r="DA198" i="1"/>
  <c r="DI200" i="1"/>
  <c r="DE203" i="1"/>
  <c r="DA206" i="1"/>
  <c r="DI208" i="1"/>
  <c r="DE211" i="1"/>
  <c r="DA214" i="1"/>
  <c r="DI216" i="1"/>
  <c r="DE219" i="1"/>
  <c r="DA222" i="1"/>
  <c r="DI224" i="1"/>
  <c r="DE227" i="1"/>
  <c r="DA230" i="1"/>
  <c r="DI232" i="1"/>
  <c r="DE235" i="1"/>
  <c r="DA238" i="1"/>
  <c r="DI240" i="1"/>
  <c r="DE243" i="1"/>
  <c r="DA246" i="1"/>
  <c r="DI248" i="1"/>
  <c r="DE251" i="1"/>
  <c r="DA254" i="1"/>
  <c r="DE155" i="1"/>
  <c r="DL163" i="1"/>
  <c r="DG172" i="1"/>
  <c r="DA181" i="1"/>
  <c r="DI186" i="1"/>
  <c r="DD192" i="1"/>
  <c r="DH195" i="1"/>
  <c r="DD198" i="1"/>
  <c r="DL200" i="1"/>
  <c r="DH203" i="1"/>
  <c r="DD206" i="1"/>
  <c r="DL208" i="1"/>
  <c r="DH211" i="1"/>
  <c r="DD214" i="1"/>
  <c r="DL216" i="1"/>
  <c r="DH219" i="1"/>
  <c r="DD222" i="1"/>
  <c r="DL224" i="1"/>
  <c r="DH227" i="1"/>
  <c r="DD230" i="1"/>
  <c r="DL232" i="1"/>
  <c r="DH235" i="1"/>
  <c r="DD238" i="1"/>
  <c r="DL240" i="1"/>
  <c r="DH243" i="1"/>
  <c r="DD246" i="1"/>
  <c r="DL248" i="1"/>
  <c r="DH251" i="1"/>
  <c r="DD254" i="1"/>
  <c r="DH156" i="1"/>
  <c r="DC165" i="1"/>
  <c r="DI173" i="1"/>
  <c r="DA182" i="1"/>
  <c r="DI187" i="1"/>
  <c r="DK192" i="1"/>
  <c r="DA196" i="1"/>
  <c r="DI198" i="1"/>
  <c r="DF157" i="1"/>
  <c r="DA166" i="1"/>
  <c r="DH174" i="1"/>
  <c r="DG182" i="1"/>
  <c r="DA188" i="1"/>
  <c r="DD193" i="1"/>
  <c r="DD196" i="1"/>
  <c r="DL198" i="1"/>
  <c r="DH201" i="1"/>
  <c r="DD204" i="1"/>
  <c r="DL206" i="1"/>
  <c r="DH209" i="1"/>
  <c r="DD212" i="1"/>
  <c r="DL214" i="1"/>
  <c r="DH217" i="1"/>
  <c r="DD220" i="1"/>
  <c r="DL222" i="1"/>
  <c r="DH225" i="1"/>
  <c r="DD228" i="1"/>
  <c r="DL230" i="1"/>
  <c r="DH233" i="1"/>
  <c r="DD236" i="1"/>
  <c r="DL238" i="1"/>
  <c r="DH241" i="1"/>
  <c r="DD244" i="1"/>
  <c r="DL246" i="1"/>
  <c r="DH249" i="1"/>
  <c r="DD252" i="1"/>
  <c r="DL254" i="1"/>
  <c r="DB168" i="1"/>
  <c r="DK183" i="1"/>
  <c r="DB194" i="1"/>
  <c r="DH199" i="1"/>
  <c r="DL204" i="1"/>
  <c r="DD210" i="1"/>
  <c r="DH215" i="1"/>
  <c r="DL220" i="1"/>
  <c r="DI158" i="1"/>
  <c r="DD167" i="1"/>
  <c r="DK175" i="1"/>
  <c r="DE183" i="1"/>
  <c r="DA189" i="1"/>
  <c r="DK193" i="1"/>
  <c r="DI196" i="1"/>
  <c r="DE199" i="1"/>
  <c r="DA202" i="1"/>
  <c r="DI204" i="1"/>
  <c r="DE207" i="1"/>
  <c r="DA210" i="1"/>
  <c r="DI212" i="1"/>
  <c r="DE215" i="1"/>
  <c r="DA218" i="1"/>
  <c r="DI220" i="1"/>
  <c r="DE223" i="1"/>
  <c r="DA226" i="1"/>
  <c r="DI228" i="1"/>
  <c r="DE231" i="1"/>
  <c r="DA234" i="1"/>
  <c r="DI236" i="1"/>
  <c r="DE239" i="1"/>
  <c r="DA242" i="1"/>
  <c r="DI244" i="1"/>
  <c r="DE247" i="1"/>
  <c r="DA250" i="1"/>
  <c r="DI252" i="1"/>
  <c r="DI159" i="1"/>
  <c r="DI176" i="1"/>
  <c r="DI189" i="1"/>
  <c r="DL196" i="1"/>
  <c r="DD202" i="1"/>
  <c r="DH207" i="1"/>
  <c r="DL212" i="1"/>
  <c r="DD218" i="1"/>
  <c r="DI214" i="1"/>
  <c r="DL228" i="1"/>
  <c r="DH239" i="1"/>
  <c r="DD250" i="1"/>
  <c r="DA228" i="1"/>
  <c r="DE217" i="1"/>
  <c r="DI230" i="1"/>
  <c r="DE241" i="1"/>
  <c r="DA252" i="1"/>
  <c r="DD226" i="1"/>
  <c r="DE249" i="1"/>
  <c r="DA220" i="1"/>
  <c r="DH231" i="1"/>
  <c r="DD242" i="1"/>
  <c r="DL252" i="1"/>
  <c r="DE209" i="1"/>
  <c r="DE201" i="1"/>
  <c r="DI222" i="1"/>
  <c r="DE233" i="1"/>
  <c r="DA244" i="1"/>
  <c r="DI254" i="1"/>
  <c r="DA204" i="1"/>
  <c r="DH223" i="1"/>
  <c r="DD234" i="1"/>
  <c r="DL244" i="1"/>
  <c r="DL236" i="1"/>
  <c r="DA212" i="1"/>
  <c r="DI206" i="1"/>
  <c r="DE225" i="1"/>
  <c r="DA236" i="1"/>
  <c r="DI246" i="1"/>
  <c r="DH247" i="1"/>
  <c r="DI238" i="1"/>
  <c r="FI4" i="1"/>
  <c r="CS154" i="1"/>
  <c r="CO155" i="1"/>
  <c r="CW155" i="1"/>
  <c r="CS156" i="1"/>
  <c r="CO157" i="1"/>
  <c r="CW157" i="1"/>
  <c r="CS158" i="1"/>
  <c r="CO159" i="1"/>
  <c r="CW159" i="1"/>
  <c r="CS160" i="1"/>
  <c r="CO161" i="1"/>
  <c r="CW161" i="1"/>
  <c r="CS162" i="1"/>
  <c r="CO163" i="1"/>
  <c r="CW163" i="1"/>
  <c r="CS164" i="1"/>
  <c r="CO165" i="1"/>
  <c r="CW165" i="1"/>
  <c r="CS166" i="1"/>
  <c r="CO167" i="1"/>
  <c r="CW167" i="1"/>
  <c r="CS168" i="1"/>
  <c r="CO169" i="1"/>
  <c r="CW169" i="1"/>
  <c r="CS170" i="1"/>
  <c r="CO171" i="1"/>
  <c r="CW171" i="1"/>
  <c r="CS172" i="1"/>
  <c r="CO173" i="1"/>
  <c r="CW173" i="1"/>
  <c r="CS174" i="1"/>
  <c r="CO175" i="1"/>
  <c r="CW175" i="1"/>
  <c r="CT154" i="1"/>
  <c r="CP155" i="1"/>
  <c r="CX155" i="1"/>
  <c r="CT156" i="1"/>
  <c r="CP157" i="1"/>
  <c r="CX157" i="1"/>
  <c r="CT158" i="1"/>
  <c r="CP159" i="1"/>
  <c r="CX159" i="1"/>
  <c r="CT160" i="1"/>
  <c r="CP161" i="1"/>
  <c r="CX161" i="1"/>
  <c r="CT162" i="1"/>
  <c r="CP163" i="1"/>
  <c r="CX163" i="1"/>
  <c r="CT164" i="1"/>
  <c r="CP165" i="1"/>
  <c r="CX165" i="1"/>
  <c r="CT166" i="1"/>
  <c r="CP167" i="1"/>
  <c r="CX167" i="1"/>
  <c r="CT168" i="1"/>
  <c r="CP169" i="1"/>
  <c r="CX169" i="1"/>
  <c r="CT170" i="1"/>
  <c r="CP171" i="1"/>
  <c r="CX171" i="1"/>
  <c r="CT172" i="1"/>
  <c r="CP173" i="1"/>
  <c r="CX173" i="1"/>
  <c r="CT174" i="1"/>
  <c r="CP175" i="1"/>
  <c r="CX175" i="1"/>
  <c r="CU154" i="1"/>
  <c r="CQ155" i="1"/>
  <c r="CY155" i="1"/>
  <c r="CU156" i="1"/>
  <c r="CQ157" i="1"/>
  <c r="CY157" i="1"/>
  <c r="CU158" i="1"/>
  <c r="CQ159" i="1"/>
  <c r="CY159" i="1"/>
  <c r="CU160" i="1"/>
  <c r="CQ161" i="1"/>
  <c r="CY161" i="1"/>
  <c r="CU162" i="1"/>
  <c r="CQ163" i="1"/>
  <c r="CY163" i="1"/>
  <c r="CU164" i="1"/>
  <c r="CQ165" i="1"/>
  <c r="CY165" i="1"/>
  <c r="CU166" i="1"/>
  <c r="CQ167" i="1"/>
  <c r="CY167" i="1"/>
  <c r="CU168" i="1"/>
  <c r="CQ169" i="1"/>
  <c r="CY169" i="1"/>
  <c r="CU170" i="1"/>
  <c r="CQ171" i="1"/>
  <c r="CY171" i="1"/>
  <c r="CU172" i="1"/>
  <c r="CQ173" i="1"/>
  <c r="CY173" i="1"/>
  <c r="CU174" i="1"/>
  <c r="CQ175" i="1"/>
  <c r="CY175" i="1"/>
  <c r="CV154" i="1"/>
  <c r="CR155" i="1"/>
  <c r="CZ155" i="1"/>
  <c r="CV156" i="1"/>
  <c r="CR157" i="1"/>
  <c r="CZ157" i="1"/>
  <c r="CV158" i="1"/>
  <c r="CR159" i="1"/>
  <c r="CZ159" i="1"/>
  <c r="CV160" i="1"/>
  <c r="CR161" i="1"/>
  <c r="CZ161" i="1"/>
  <c r="CV162" i="1"/>
  <c r="CR163" i="1"/>
  <c r="CZ163" i="1"/>
  <c r="CV164" i="1"/>
  <c r="CR165" i="1"/>
  <c r="CZ165" i="1"/>
  <c r="CV166" i="1"/>
  <c r="CR167" i="1"/>
  <c r="CZ167" i="1"/>
  <c r="CV168" i="1"/>
  <c r="CR169" i="1"/>
  <c r="CZ169" i="1"/>
  <c r="CV170" i="1"/>
  <c r="CR171" i="1"/>
  <c r="CZ171" i="1"/>
  <c r="CV172" i="1"/>
  <c r="CR173" i="1"/>
  <c r="CZ173" i="1"/>
  <c r="CV174" i="1"/>
  <c r="CR175" i="1"/>
  <c r="CZ175" i="1"/>
  <c r="CP154" i="1"/>
  <c r="CX154" i="1"/>
  <c r="CT155" i="1"/>
  <c r="CP156" i="1"/>
  <c r="CX156" i="1"/>
  <c r="CT157" i="1"/>
  <c r="CP158" i="1"/>
  <c r="CX158" i="1"/>
  <c r="CT159" i="1"/>
  <c r="CP160" i="1"/>
  <c r="CX160" i="1"/>
  <c r="CT161" i="1"/>
  <c r="CP162" i="1"/>
  <c r="CX162" i="1"/>
  <c r="CT163" i="1"/>
  <c r="CP164" i="1"/>
  <c r="CX164" i="1"/>
  <c r="CT165" i="1"/>
  <c r="CP166" i="1"/>
  <c r="CX166" i="1"/>
  <c r="CT167" i="1"/>
  <c r="CP168" i="1"/>
  <c r="CX168" i="1"/>
  <c r="CT169" i="1"/>
  <c r="CP170" i="1"/>
  <c r="CX170" i="1"/>
  <c r="CT171" i="1"/>
  <c r="CP172" i="1"/>
  <c r="CX172" i="1"/>
  <c r="CT173" i="1"/>
  <c r="CP174" i="1"/>
  <c r="CX174" i="1"/>
  <c r="CT175" i="1"/>
  <c r="CQ154" i="1"/>
  <c r="CY154" i="1"/>
  <c r="CU155" i="1"/>
  <c r="CQ156" i="1"/>
  <c r="CY156" i="1"/>
  <c r="CU157" i="1"/>
  <c r="CQ158" i="1"/>
  <c r="CY158" i="1"/>
  <c r="CU159" i="1"/>
  <c r="CQ160" i="1"/>
  <c r="CY160" i="1"/>
  <c r="CU161" i="1"/>
  <c r="CQ162" i="1"/>
  <c r="CY162" i="1"/>
  <c r="CU163" i="1"/>
  <c r="CQ164" i="1"/>
  <c r="CY164" i="1"/>
  <c r="CU165" i="1"/>
  <c r="CQ166" i="1"/>
  <c r="CY166" i="1"/>
  <c r="CU167" i="1"/>
  <c r="CQ168" i="1"/>
  <c r="CY168" i="1"/>
  <c r="CU169" i="1"/>
  <c r="CQ170" i="1"/>
  <c r="CY170" i="1"/>
  <c r="CU171" i="1"/>
  <c r="CQ172" i="1"/>
  <c r="CY172" i="1"/>
  <c r="CU173" i="1"/>
  <c r="CQ174" i="1"/>
  <c r="CY174" i="1"/>
  <c r="CU175" i="1"/>
  <c r="CQ176" i="1"/>
  <c r="CO154" i="1"/>
  <c r="CW156" i="1"/>
  <c r="CS159" i="1"/>
  <c r="CO162" i="1"/>
  <c r="CW164" i="1"/>
  <c r="CS167" i="1"/>
  <c r="CO170" i="1"/>
  <c r="CW172" i="1"/>
  <c r="CS175" i="1"/>
  <c r="CV176" i="1"/>
  <c r="CR177" i="1"/>
  <c r="CZ177" i="1"/>
  <c r="CV178" i="1"/>
  <c r="CR179" i="1"/>
  <c r="CZ179" i="1"/>
  <c r="CV180" i="1"/>
  <c r="CR181" i="1"/>
  <c r="CZ181" i="1"/>
  <c r="CV182" i="1"/>
  <c r="CR183" i="1"/>
  <c r="CZ183" i="1"/>
  <c r="CV184" i="1"/>
  <c r="CR185" i="1"/>
  <c r="CZ185" i="1"/>
  <c r="CV186" i="1"/>
  <c r="CR187" i="1"/>
  <c r="CZ187" i="1"/>
  <c r="CV188" i="1"/>
  <c r="CR189" i="1"/>
  <c r="CZ189" i="1"/>
  <c r="CV190" i="1"/>
  <c r="CR191" i="1"/>
  <c r="CZ191" i="1"/>
  <c r="CV192" i="1"/>
  <c r="CR193" i="1"/>
  <c r="CZ193" i="1"/>
  <c r="CV194" i="1"/>
  <c r="CR195" i="1"/>
  <c r="CZ195" i="1"/>
  <c r="CV196" i="1"/>
  <c r="CR197" i="1"/>
  <c r="CZ197" i="1"/>
  <c r="CV198" i="1"/>
  <c r="CR199" i="1"/>
  <c r="CZ199" i="1"/>
  <c r="CV200" i="1"/>
  <c r="CR201" i="1"/>
  <c r="CZ201" i="1"/>
  <c r="CV202" i="1"/>
  <c r="CR203" i="1"/>
  <c r="CZ203" i="1"/>
  <c r="CV204" i="1"/>
  <c r="CR205" i="1"/>
  <c r="CZ205" i="1"/>
  <c r="CV206" i="1"/>
  <c r="CR207" i="1"/>
  <c r="CZ207" i="1"/>
  <c r="CV208" i="1"/>
  <c r="CR209" i="1"/>
  <c r="CZ209" i="1"/>
  <c r="CV210" i="1"/>
  <c r="CR211" i="1"/>
  <c r="CZ211" i="1"/>
  <c r="CV212" i="1"/>
  <c r="CR213" i="1"/>
  <c r="CZ213" i="1"/>
  <c r="CV214" i="1"/>
  <c r="CR215" i="1"/>
  <c r="CZ215" i="1"/>
  <c r="CV216" i="1"/>
  <c r="CR217" i="1"/>
  <c r="CZ217" i="1"/>
  <c r="CV218" i="1"/>
  <c r="CR219" i="1"/>
  <c r="CZ219" i="1"/>
  <c r="CV220" i="1"/>
  <c r="CR221" i="1"/>
  <c r="CZ221" i="1"/>
  <c r="CV222" i="1"/>
  <c r="CR223" i="1"/>
  <c r="CZ223" i="1"/>
  <c r="CV224" i="1"/>
  <c r="CR225" i="1"/>
  <c r="CZ225" i="1"/>
  <c r="CV226" i="1"/>
  <c r="CR227" i="1"/>
  <c r="CZ227" i="1"/>
  <c r="CV228" i="1"/>
  <c r="CR229" i="1"/>
  <c r="CZ229" i="1"/>
  <c r="CV230" i="1"/>
  <c r="CR231" i="1"/>
  <c r="CZ231" i="1"/>
  <c r="CV232" i="1"/>
  <c r="CR233" i="1"/>
  <c r="CZ233" i="1"/>
  <c r="CV234" i="1"/>
  <c r="CR235" i="1"/>
  <c r="CZ235" i="1"/>
  <c r="CV236" i="1"/>
  <c r="CR237" i="1"/>
  <c r="CZ237" i="1"/>
  <c r="CV238" i="1"/>
  <c r="CR239" i="1"/>
  <c r="CZ239" i="1"/>
  <c r="CV240" i="1"/>
  <c r="CR241" i="1"/>
  <c r="CZ241" i="1"/>
  <c r="CV242" i="1"/>
  <c r="CR243" i="1"/>
  <c r="CZ243" i="1"/>
  <c r="CV244" i="1"/>
  <c r="CR245" i="1"/>
  <c r="CZ245" i="1"/>
  <c r="CV246" i="1"/>
  <c r="CR247" i="1"/>
  <c r="CZ247" i="1"/>
  <c r="CV248" i="1"/>
  <c r="CR249" i="1"/>
  <c r="CZ249" i="1"/>
  <c r="CV250" i="1"/>
  <c r="CR251" i="1"/>
  <c r="CZ251" i="1"/>
  <c r="CV252" i="1"/>
  <c r="CR253" i="1"/>
  <c r="CZ253" i="1"/>
  <c r="CR154" i="1"/>
  <c r="CZ156" i="1"/>
  <c r="CV159" i="1"/>
  <c r="CR162" i="1"/>
  <c r="CZ164" i="1"/>
  <c r="CV167" i="1"/>
  <c r="CR170" i="1"/>
  <c r="CZ172" i="1"/>
  <c r="CV175" i="1"/>
  <c r="CW176" i="1"/>
  <c r="CS177" i="1"/>
  <c r="CO178" i="1"/>
  <c r="CW178" i="1"/>
  <c r="CS179" i="1"/>
  <c r="CO180" i="1"/>
  <c r="CW180" i="1"/>
  <c r="CS181" i="1"/>
  <c r="CO182" i="1"/>
  <c r="CW182" i="1"/>
  <c r="CS183" i="1"/>
  <c r="CO184" i="1"/>
  <c r="CW184" i="1"/>
  <c r="CS185" i="1"/>
  <c r="CO186" i="1"/>
  <c r="CW186" i="1"/>
  <c r="CS187" i="1"/>
  <c r="CO188" i="1"/>
  <c r="CW188" i="1"/>
  <c r="CS189" i="1"/>
  <c r="CO190" i="1"/>
  <c r="CW190" i="1"/>
  <c r="CS191" i="1"/>
  <c r="CO192" i="1"/>
  <c r="CW192" i="1"/>
  <c r="CS193" i="1"/>
  <c r="CO194" i="1"/>
  <c r="CW194" i="1"/>
  <c r="CS195" i="1"/>
  <c r="CO196" i="1"/>
  <c r="CW196" i="1"/>
  <c r="CS197" i="1"/>
  <c r="CO198" i="1"/>
  <c r="CW198" i="1"/>
  <c r="CS199" i="1"/>
  <c r="CO200" i="1"/>
  <c r="CW200" i="1"/>
  <c r="CS201" i="1"/>
  <c r="CO202" i="1"/>
  <c r="CW202" i="1"/>
  <c r="CS203" i="1"/>
  <c r="CO204" i="1"/>
  <c r="CW204" i="1"/>
  <c r="CS205" i="1"/>
  <c r="CO206" i="1"/>
  <c r="CW206" i="1"/>
  <c r="CS207" i="1"/>
  <c r="CO208" i="1"/>
  <c r="CW208" i="1"/>
  <c r="CS209" i="1"/>
  <c r="CO210" i="1"/>
  <c r="CW210" i="1"/>
  <c r="CS211" i="1"/>
  <c r="CO212" i="1"/>
  <c r="CW212" i="1"/>
  <c r="CS213" i="1"/>
  <c r="CO214" i="1"/>
  <c r="CW214" i="1"/>
  <c r="CS215" i="1"/>
  <c r="CO216" i="1"/>
  <c r="CW216" i="1"/>
  <c r="CS217" i="1"/>
  <c r="CO218" i="1"/>
  <c r="CW218" i="1"/>
  <c r="CS219" i="1"/>
  <c r="CO220" i="1"/>
  <c r="CW220" i="1"/>
  <c r="CS221" i="1"/>
  <c r="CO222" i="1"/>
  <c r="CW222" i="1"/>
  <c r="CS223" i="1"/>
  <c r="CO224" i="1"/>
  <c r="CW224" i="1"/>
  <c r="CS225" i="1"/>
  <c r="CO226" i="1"/>
  <c r="CW226" i="1"/>
  <c r="CS227" i="1"/>
  <c r="CO228" i="1"/>
  <c r="CW228" i="1"/>
  <c r="CS229" i="1"/>
  <c r="CO230" i="1"/>
  <c r="CW230" i="1"/>
  <c r="CS231" i="1"/>
  <c r="CO232" i="1"/>
  <c r="CW232" i="1"/>
  <c r="CS233" i="1"/>
  <c r="CO234" i="1"/>
  <c r="CW234" i="1"/>
  <c r="CS235" i="1"/>
  <c r="CO236" i="1"/>
  <c r="CW236" i="1"/>
  <c r="CS237" i="1"/>
  <c r="CO238" i="1"/>
  <c r="CW238" i="1"/>
  <c r="CS239" i="1"/>
  <c r="CO240" i="1"/>
  <c r="CW240" i="1"/>
  <c r="CS241" i="1"/>
  <c r="CO242" i="1"/>
  <c r="CW242" i="1"/>
  <c r="CS243" i="1"/>
  <c r="CO244" i="1"/>
  <c r="CW244" i="1"/>
  <c r="CS245" i="1"/>
  <c r="CO246" i="1"/>
  <c r="CW246" i="1"/>
  <c r="CS247" i="1"/>
  <c r="CO248" i="1"/>
  <c r="CW248" i="1"/>
  <c r="CS249" i="1"/>
  <c r="CO250" i="1"/>
  <c r="CW250" i="1"/>
  <c r="CS251" i="1"/>
  <c r="CO252" i="1"/>
  <c r="CW252" i="1"/>
  <c r="CS253" i="1"/>
  <c r="CW154" i="1"/>
  <c r="CS157" i="1"/>
  <c r="CO160" i="1"/>
  <c r="CW162" i="1"/>
  <c r="CS165" i="1"/>
  <c r="CO168" i="1"/>
  <c r="CW170" i="1"/>
  <c r="CS173" i="1"/>
  <c r="CO176" i="1"/>
  <c r="CX176" i="1"/>
  <c r="CT177" i="1"/>
  <c r="CP178" i="1"/>
  <c r="CX178" i="1"/>
  <c r="CT179" i="1"/>
  <c r="CP180" i="1"/>
  <c r="CX180" i="1"/>
  <c r="CT181" i="1"/>
  <c r="CP182" i="1"/>
  <c r="CX182" i="1"/>
  <c r="CT183" i="1"/>
  <c r="CP184" i="1"/>
  <c r="CX184" i="1"/>
  <c r="CT185" i="1"/>
  <c r="CP186" i="1"/>
  <c r="CX186" i="1"/>
  <c r="CT187" i="1"/>
  <c r="CP188" i="1"/>
  <c r="CX188" i="1"/>
  <c r="CT189" i="1"/>
  <c r="CP190" i="1"/>
  <c r="CX190" i="1"/>
  <c r="CT191" i="1"/>
  <c r="CP192" i="1"/>
  <c r="CX192" i="1"/>
  <c r="CT193" i="1"/>
  <c r="CP194" i="1"/>
  <c r="CX194" i="1"/>
  <c r="CT195" i="1"/>
  <c r="CP196" i="1"/>
  <c r="CX196" i="1"/>
  <c r="CT197" i="1"/>
  <c r="CP198" i="1"/>
  <c r="CX198" i="1"/>
  <c r="CT199" i="1"/>
  <c r="CP200" i="1"/>
  <c r="CX200" i="1"/>
  <c r="CT201" i="1"/>
  <c r="CP202" i="1"/>
  <c r="CX202" i="1"/>
  <c r="CT203" i="1"/>
  <c r="CP204" i="1"/>
  <c r="CX204" i="1"/>
  <c r="CT205" i="1"/>
  <c r="CP206" i="1"/>
  <c r="CX206" i="1"/>
  <c r="CT207" i="1"/>
  <c r="CP208" i="1"/>
  <c r="CX208" i="1"/>
  <c r="CT209" i="1"/>
  <c r="CP210" i="1"/>
  <c r="CX210" i="1"/>
  <c r="CT211" i="1"/>
  <c r="CP212" i="1"/>
  <c r="CX212" i="1"/>
  <c r="CT213" i="1"/>
  <c r="CP214" i="1"/>
  <c r="CX214" i="1"/>
  <c r="CT215" i="1"/>
  <c r="CP216" i="1"/>
  <c r="CX216" i="1"/>
  <c r="CT217" i="1"/>
  <c r="CP218" i="1"/>
  <c r="CX218" i="1"/>
  <c r="CT219" i="1"/>
  <c r="CP220" i="1"/>
  <c r="CX220" i="1"/>
  <c r="CT221" i="1"/>
  <c r="CP222" i="1"/>
  <c r="CX222" i="1"/>
  <c r="CT223" i="1"/>
  <c r="CP224" i="1"/>
  <c r="CX224" i="1"/>
  <c r="CT225" i="1"/>
  <c r="CP226" i="1"/>
  <c r="CX226" i="1"/>
  <c r="CT227" i="1"/>
  <c r="CP228" i="1"/>
  <c r="CX228" i="1"/>
  <c r="CT229" i="1"/>
  <c r="CP230" i="1"/>
  <c r="CX230" i="1"/>
  <c r="CT231" i="1"/>
  <c r="CP232" i="1"/>
  <c r="CX232" i="1"/>
  <c r="CT233" i="1"/>
  <c r="CP234" i="1"/>
  <c r="CX234" i="1"/>
  <c r="CT235" i="1"/>
  <c r="CP236" i="1"/>
  <c r="CX236" i="1"/>
  <c r="CT237" i="1"/>
  <c r="CP238" i="1"/>
  <c r="CX238" i="1"/>
  <c r="CT239" i="1"/>
  <c r="CP240" i="1"/>
  <c r="CX240" i="1"/>
  <c r="CT241" i="1"/>
  <c r="CP242" i="1"/>
  <c r="CX242" i="1"/>
  <c r="CT243" i="1"/>
  <c r="CP244" i="1"/>
  <c r="CX244" i="1"/>
  <c r="CT245" i="1"/>
  <c r="CP246" i="1"/>
  <c r="CX246" i="1"/>
  <c r="CT247" i="1"/>
  <c r="CP248" i="1"/>
  <c r="CX248" i="1"/>
  <c r="CT249" i="1"/>
  <c r="CP250" i="1"/>
  <c r="CX250" i="1"/>
  <c r="CT251" i="1"/>
  <c r="CP252" i="1"/>
  <c r="CX252" i="1"/>
  <c r="CT253" i="1"/>
  <c r="CZ154" i="1"/>
  <c r="CV157" i="1"/>
  <c r="CR160" i="1"/>
  <c r="CZ162" i="1"/>
  <c r="CV165" i="1"/>
  <c r="CR168" i="1"/>
  <c r="CZ170" i="1"/>
  <c r="CV173" i="1"/>
  <c r="CP176" i="1"/>
  <c r="CY176" i="1"/>
  <c r="CU177" i="1"/>
  <c r="CQ178" i="1"/>
  <c r="CY178" i="1"/>
  <c r="CU179" i="1"/>
  <c r="CQ180" i="1"/>
  <c r="CY180" i="1"/>
  <c r="CU181" i="1"/>
  <c r="CQ182" i="1"/>
  <c r="CY182" i="1"/>
  <c r="CU183" i="1"/>
  <c r="CQ184" i="1"/>
  <c r="CY184" i="1"/>
  <c r="CU185" i="1"/>
  <c r="CQ186" i="1"/>
  <c r="CY186" i="1"/>
  <c r="CU187" i="1"/>
  <c r="CQ188" i="1"/>
  <c r="CY188" i="1"/>
  <c r="CU189" i="1"/>
  <c r="CQ190" i="1"/>
  <c r="CY190" i="1"/>
  <c r="CU191" i="1"/>
  <c r="CQ192" i="1"/>
  <c r="CY192" i="1"/>
  <c r="CU193" i="1"/>
  <c r="CQ194" i="1"/>
  <c r="CY194" i="1"/>
  <c r="CU195" i="1"/>
  <c r="CQ196" i="1"/>
  <c r="CY196" i="1"/>
  <c r="CU197" i="1"/>
  <c r="CQ198" i="1"/>
  <c r="CY198" i="1"/>
  <c r="CU199" i="1"/>
  <c r="CQ200" i="1"/>
  <c r="CY200" i="1"/>
  <c r="CU201" i="1"/>
  <c r="CQ202" i="1"/>
  <c r="CY202" i="1"/>
  <c r="CU203" i="1"/>
  <c r="CQ204" i="1"/>
  <c r="CY204" i="1"/>
  <c r="CU205" i="1"/>
  <c r="CQ206" i="1"/>
  <c r="CY206" i="1"/>
  <c r="CU207" i="1"/>
  <c r="CQ208" i="1"/>
  <c r="CY208" i="1"/>
  <c r="CU209" i="1"/>
  <c r="CQ210" i="1"/>
  <c r="CY210" i="1"/>
  <c r="CU211" i="1"/>
  <c r="CQ212" i="1"/>
  <c r="CY212" i="1"/>
  <c r="CU213" i="1"/>
  <c r="CQ214" i="1"/>
  <c r="CY214" i="1"/>
  <c r="CU215" i="1"/>
  <c r="CQ216" i="1"/>
  <c r="CY216" i="1"/>
  <c r="CU217" i="1"/>
  <c r="CQ218" i="1"/>
  <c r="CY218" i="1"/>
  <c r="CU219" i="1"/>
  <c r="CQ220" i="1"/>
  <c r="CY220" i="1"/>
  <c r="CU221" i="1"/>
  <c r="CQ222" i="1"/>
  <c r="CY222" i="1"/>
  <c r="CU223" i="1"/>
  <c r="CQ224" i="1"/>
  <c r="CY224" i="1"/>
  <c r="CU225" i="1"/>
  <c r="CQ226" i="1"/>
  <c r="CY226" i="1"/>
  <c r="CU227" i="1"/>
  <c r="CQ228" i="1"/>
  <c r="CY228" i="1"/>
  <c r="CU229" i="1"/>
  <c r="CQ230" i="1"/>
  <c r="CY230" i="1"/>
  <c r="CU231" i="1"/>
  <c r="CQ232" i="1"/>
  <c r="CY232" i="1"/>
  <c r="CU233" i="1"/>
  <c r="CQ234" i="1"/>
  <c r="CY234" i="1"/>
  <c r="CU235" i="1"/>
  <c r="CQ236" i="1"/>
  <c r="CY236" i="1"/>
  <c r="CU237" i="1"/>
  <c r="CQ238" i="1"/>
  <c r="CY238" i="1"/>
  <c r="CU239" i="1"/>
  <c r="CQ240" i="1"/>
  <c r="CY240" i="1"/>
  <c r="CU241" i="1"/>
  <c r="CQ242" i="1"/>
  <c r="CY242" i="1"/>
  <c r="CU243" i="1"/>
  <c r="CQ244" i="1"/>
  <c r="CY244" i="1"/>
  <c r="CU245" i="1"/>
  <c r="CQ246" i="1"/>
  <c r="CY246" i="1"/>
  <c r="CU247" i="1"/>
  <c r="CQ248" i="1"/>
  <c r="CY248" i="1"/>
  <c r="CU249" i="1"/>
  <c r="CQ250" i="1"/>
  <c r="CY250" i="1"/>
  <c r="CU251" i="1"/>
  <c r="CQ252" i="1"/>
  <c r="CY252" i="1"/>
  <c r="CU253" i="1"/>
  <c r="CV155" i="1"/>
  <c r="CR158" i="1"/>
  <c r="CZ160" i="1"/>
  <c r="CV163" i="1"/>
  <c r="CR166" i="1"/>
  <c r="CZ168" i="1"/>
  <c r="CV171" i="1"/>
  <c r="CR174" i="1"/>
  <c r="CS176" i="1"/>
  <c r="CO177" i="1"/>
  <c r="CW177" i="1"/>
  <c r="CS178" i="1"/>
  <c r="CO179" i="1"/>
  <c r="CW179" i="1"/>
  <c r="CS180" i="1"/>
  <c r="CO181" i="1"/>
  <c r="CW181" i="1"/>
  <c r="CS182" i="1"/>
  <c r="CO183" i="1"/>
  <c r="CW183" i="1"/>
  <c r="CS184" i="1"/>
  <c r="CO185" i="1"/>
  <c r="CW185" i="1"/>
  <c r="CS186" i="1"/>
  <c r="CO187" i="1"/>
  <c r="CW187" i="1"/>
  <c r="CS188" i="1"/>
  <c r="CO189" i="1"/>
  <c r="CW189" i="1"/>
  <c r="CS190" i="1"/>
  <c r="CO191" i="1"/>
  <c r="CW191" i="1"/>
  <c r="CS192" i="1"/>
  <c r="CO193" i="1"/>
  <c r="CW193" i="1"/>
  <c r="CS194" i="1"/>
  <c r="CO195" i="1"/>
  <c r="CW195" i="1"/>
  <c r="CS196" i="1"/>
  <c r="CO197" i="1"/>
  <c r="CW197" i="1"/>
  <c r="CS198" i="1"/>
  <c r="CO199" i="1"/>
  <c r="CW199" i="1"/>
  <c r="CS200" i="1"/>
  <c r="CO201" i="1"/>
  <c r="CW201" i="1"/>
  <c r="CS202" i="1"/>
  <c r="CO203" i="1"/>
  <c r="CW203" i="1"/>
  <c r="CS204" i="1"/>
  <c r="CO205" i="1"/>
  <c r="CW205" i="1"/>
  <c r="CS206" i="1"/>
  <c r="CO207" i="1"/>
  <c r="CW207" i="1"/>
  <c r="CS208" i="1"/>
  <c r="CO209" i="1"/>
  <c r="CW209" i="1"/>
  <c r="CS210" i="1"/>
  <c r="CO211" i="1"/>
  <c r="CW211" i="1"/>
  <c r="CS212" i="1"/>
  <c r="CO213" i="1"/>
  <c r="CW213" i="1"/>
  <c r="CS214" i="1"/>
  <c r="CO215" i="1"/>
  <c r="CW215" i="1"/>
  <c r="CS216" i="1"/>
  <c r="CO217" i="1"/>
  <c r="CW217" i="1"/>
  <c r="CS218" i="1"/>
  <c r="CO219" i="1"/>
  <c r="CW219" i="1"/>
  <c r="CS220" i="1"/>
  <c r="CO221" i="1"/>
  <c r="CW221" i="1"/>
  <c r="CS222" i="1"/>
  <c r="CO223" i="1"/>
  <c r="CW223" i="1"/>
  <c r="CS224" i="1"/>
  <c r="CO225" i="1"/>
  <c r="CW225" i="1"/>
  <c r="CS226" i="1"/>
  <c r="CO227" i="1"/>
  <c r="CW227" i="1"/>
  <c r="CS228" i="1"/>
  <c r="CO229" i="1"/>
  <c r="CW229" i="1"/>
  <c r="CS230" i="1"/>
  <c r="CO231" i="1"/>
  <c r="CW231" i="1"/>
  <c r="CS232" i="1"/>
  <c r="CO233" i="1"/>
  <c r="CW233" i="1"/>
  <c r="CS234" i="1"/>
  <c r="CO235" i="1"/>
  <c r="CW235" i="1"/>
  <c r="CS236" i="1"/>
  <c r="CO237" i="1"/>
  <c r="CW237" i="1"/>
  <c r="CS238" i="1"/>
  <c r="CO239" i="1"/>
  <c r="CW239" i="1"/>
  <c r="CS240" i="1"/>
  <c r="CO241" i="1"/>
  <c r="CW241" i="1"/>
  <c r="CS242" i="1"/>
  <c r="CO243" i="1"/>
  <c r="CW243" i="1"/>
  <c r="CS244" i="1"/>
  <c r="CO245" i="1"/>
  <c r="CW245" i="1"/>
  <c r="CS246" i="1"/>
  <c r="CO247" i="1"/>
  <c r="CW247" i="1"/>
  <c r="CS248" i="1"/>
  <c r="CO249" i="1"/>
  <c r="CW249" i="1"/>
  <c r="CS250" i="1"/>
  <c r="CO251" i="1"/>
  <c r="CW251" i="1"/>
  <c r="CS252" i="1"/>
  <c r="CO253" i="1"/>
  <c r="CW253" i="1"/>
  <c r="CO156" i="1"/>
  <c r="CW158" i="1"/>
  <c r="CS161" i="1"/>
  <c r="CO164" i="1"/>
  <c r="CW166" i="1"/>
  <c r="CS169" i="1"/>
  <c r="CO172" i="1"/>
  <c r="CW174" i="1"/>
  <c r="CT176" i="1"/>
  <c r="CP177" i="1"/>
  <c r="CX177" i="1"/>
  <c r="CT178" i="1"/>
  <c r="CP179" i="1"/>
  <c r="CX179" i="1"/>
  <c r="CT180" i="1"/>
  <c r="CP181" i="1"/>
  <c r="CX181" i="1"/>
  <c r="CT182" i="1"/>
  <c r="CP183" i="1"/>
  <c r="CX183" i="1"/>
  <c r="CT184" i="1"/>
  <c r="CP185" i="1"/>
  <c r="CX185" i="1"/>
  <c r="CT186" i="1"/>
  <c r="CP187" i="1"/>
  <c r="CX187" i="1"/>
  <c r="CT188" i="1"/>
  <c r="CP189" i="1"/>
  <c r="CX189" i="1"/>
  <c r="CT190" i="1"/>
  <c r="CP191" i="1"/>
  <c r="CX191" i="1"/>
  <c r="CT192" i="1"/>
  <c r="CP193" i="1"/>
  <c r="CX193" i="1"/>
  <c r="CT194" i="1"/>
  <c r="CP195" i="1"/>
  <c r="CX195" i="1"/>
  <c r="CT196" i="1"/>
  <c r="CP197" i="1"/>
  <c r="CX197" i="1"/>
  <c r="CT198" i="1"/>
  <c r="CP199" i="1"/>
  <c r="CX199" i="1"/>
  <c r="CT200" i="1"/>
  <c r="CP201" i="1"/>
  <c r="CX201" i="1"/>
  <c r="CT202" i="1"/>
  <c r="CP203" i="1"/>
  <c r="CX203" i="1"/>
  <c r="CT204" i="1"/>
  <c r="CP205" i="1"/>
  <c r="CX205" i="1"/>
  <c r="CT206" i="1"/>
  <c r="CP207" i="1"/>
  <c r="CX207" i="1"/>
  <c r="CT208" i="1"/>
  <c r="CP209" i="1"/>
  <c r="CX209" i="1"/>
  <c r="CT210" i="1"/>
  <c r="CP211" i="1"/>
  <c r="CX211" i="1"/>
  <c r="CT212" i="1"/>
  <c r="CP213" i="1"/>
  <c r="CX213" i="1"/>
  <c r="CT214" i="1"/>
  <c r="CP215" i="1"/>
  <c r="CX215" i="1"/>
  <c r="CT216" i="1"/>
  <c r="CP217" i="1"/>
  <c r="CX217" i="1"/>
  <c r="CT218" i="1"/>
  <c r="CP219" i="1"/>
  <c r="CX219" i="1"/>
  <c r="CT220" i="1"/>
  <c r="CP221" i="1"/>
  <c r="CX221" i="1"/>
  <c r="CT222" i="1"/>
  <c r="CP223" i="1"/>
  <c r="CX223" i="1"/>
  <c r="CT224" i="1"/>
  <c r="CP225" i="1"/>
  <c r="CX225" i="1"/>
  <c r="CT226" i="1"/>
  <c r="CP227" i="1"/>
  <c r="CX227" i="1"/>
  <c r="CT228" i="1"/>
  <c r="CP229" i="1"/>
  <c r="CX229" i="1"/>
  <c r="CT230" i="1"/>
  <c r="CP231" i="1"/>
  <c r="CX231" i="1"/>
  <c r="CT232" i="1"/>
  <c r="CP233" i="1"/>
  <c r="CX233" i="1"/>
  <c r="CT234" i="1"/>
  <c r="CP235" i="1"/>
  <c r="CX235" i="1"/>
  <c r="CT236" i="1"/>
  <c r="CP237" i="1"/>
  <c r="CX237" i="1"/>
  <c r="CT238" i="1"/>
  <c r="CP239" i="1"/>
  <c r="CX239" i="1"/>
  <c r="CT240" i="1"/>
  <c r="CP241" i="1"/>
  <c r="CX241" i="1"/>
  <c r="CT242" i="1"/>
  <c r="CP243" i="1"/>
  <c r="CX243" i="1"/>
  <c r="CT244" i="1"/>
  <c r="CP245" i="1"/>
  <c r="CX245" i="1"/>
  <c r="CT246" i="1"/>
  <c r="CP247" i="1"/>
  <c r="CX247" i="1"/>
  <c r="CT248" i="1"/>
  <c r="CP249" i="1"/>
  <c r="CX249" i="1"/>
  <c r="CT250" i="1"/>
  <c r="CP251" i="1"/>
  <c r="CX251" i="1"/>
  <c r="CT252" i="1"/>
  <c r="CP253" i="1"/>
  <c r="CX253" i="1"/>
  <c r="CZ158" i="1"/>
  <c r="CV169" i="1"/>
  <c r="CQ177" i="1"/>
  <c r="CY179" i="1"/>
  <c r="CU182" i="1"/>
  <c r="CQ185" i="1"/>
  <c r="CY187" i="1"/>
  <c r="CU190" i="1"/>
  <c r="CQ193" i="1"/>
  <c r="CY195" i="1"/>
  <c r="CU198" i="1"/>
  <c r="CQ201" i="1"/>
  <c r="CY203" i="1"/>
  <c r="CU206" i="1"/>
  <c r="CQ209" i="1"/>
  <c r="CY211" i="1"/>
  <c r="CU214" i="1"/>
  <c r="CQ217" i="1"/>
  <c r="CY219" i="1"/>
  <c r="CU222" i="1"/>
  <c r="CQ225" i="1"/>
  <c r="CY227" i="1"/>
  <c r="CU230" i="1"/>
  <c r="CQ233" i="1"/>
  <c r="CY235" i="1"/>
  <c r="CU238" i="1"/>
  <c r="CQ241" i="1"/>
  <c r="CY243" i="1"/>
  <c r="CU246" i="1"/>
  <c r="CQ249" i="1"/>
  <c r="CY251" i="1"/>
  <c r="CR156" i="1"/>
  <c r="CZ166" i="1"/>
  <c r="CQ179" i="1"/>
  <c r="CU184" i="1"/>
  <c r="CU192" i="1"/>
  <c r="CU200" i="1"/>
  <c r="CY205" i="1"/>
  <c r="CU216" i="1"/>
  <c r="CQ219" i="1"/>
  <c r="CU224" i="1"/>
  <c r="CU232" i="1"/>
  <c r="CU240" i="1"/>
  <c r="CY253" i="1"/>
  <c r="CV187" i="1"/>
  <c r="CR206" i="1"/>
  <c r="CR222" i="1"/>
  <c r="CZ232" i="1"/>
  <c r="CR246" i="1"/>
  <c r="CW160" i="1"/>
  <c r="CS171" i="1"/>
  <c r="CV177" i="1"/>
  <c r="CR180" i="1"/>
  <c r="CZ182" i="1"/>
  <c r="CV185" i="1"/>
  <c r="CR188" i="1"/>
  <c r="CZ190" i="1"/>
  <c r="CV193" i="1"/>
  <c r="CR196" i="1"/>
  <c r="CZ198" i="1"/>
  <c r="CV201" i="1"/>
  <c r="CR204" i="1"/>
  <c r="CZ206" i="1"/>
  <c r="CV209" i="1"/>
  <c r="CR212" i="1"/>
  <c r="CZ214" i="1"/>
  <c r="CV217" i="1"/>
  <c r="CR220" i="1"/>
  <c r="CZ222" i="1"/>
  <c r="CV225" i="1"/>
  <c r="CR228" i="1"/>
  <c r="CZ230" i="1"/>
  <c r="CV233" i="1"/>
  <c r="CR236" i="1"/>
  <c r="CZ238" i="1"/>
  <c r="CV241" i="1"/>
  <c r="CR244" i="1"/>
  <c r="CZ246" i="1"/>
  <c r="CV249" i="1"/>
  <c r="CR252" i="1"/>
  <c r="CU208" i="1"/>
  <c r="CQ227" i="1"/>
  <c r="CY245" i="1"/>
  <c r="CR182" i="1"/>
  <c r="CZ200" i="1"/>
  <c r="CZ216" i="1"/>
  <c r="CV243" i="1"/>
  <c r="CV161" i="1"/>
  <c r="CR172" i="1"/>
  <c r="CY177" i="1"/>
  <c r="CU180" i="1"/>
  <c r="CQ183" i="1"/>
  <c r="CY185" i="1"/>
  <c r="CU188" i="1"/>
  <c r="CQ191" i="1"/>
  <c r="CY193" i="1"/>
  <c r="CU196" i="1"/>
  <c r="CQ199" i="1"/>
  <c r="CY201" i="1"/>
  <c r="CU204" i="1"/>
  <c r="CQ207" i="1"/>
  <c r="CY209" i="1"/>
  <c r="CU212" i="1"/>
  <c r="CQ215" i="1"/>
  <c r="CY217" i="1"/>
  <c r="CU220" i="1"/>
  <c r="CQ223" i="1"/>
  <c r="CY225" i="1"/>
  <c r="CU228" i="1"/>
  <c r="CQ231" i="1"/>
  <c r="CY233" i="1"/>
  <c r="CU236" i="1"/>
  <c r="CQ239" i="1"/>
  <c r="CY241" i="1"/>
  <c r="CU244" i="1"/>
  <c r="CQ247" i="1"/>
  <c r="CY249" i="1"/>
  <c r="CU252" i="1"/>
  <c r="CQ235" i="1"/>
  <c r="CO158" i="1"/>
  <c r="CZ176" i="1"/>
  <c r="CZ192" i="1"/>
  <c r="CV203" i="1"/>
  <c r="CR214" i="1"/>
  <c r="CR230" i="1"/>
  <c r="CZ248" i="1"/>
  <c r="CS163" i="1"/>
  <c r="CO174" i="1"/>
  <c r="CR178" i="1"/>
  <c r="CZ180" i="1"/>
  <c r="CV183" i="1"/>
  <c r="CR186" i="1"/>
  <c r="CZ188" i="1"/>
  <c r="CV191" i="1"/>
  <c r="CR194" i="1"/>
  <c r="CZ196" i="1"/>
  <c r="CV199" i="1"/>
  <c r="CR202" i="1"/>
  <c r="CZ204" i="1"/>
  <c r="CV207" i="1"/>
  <c r="CR210" i="1"/>
  <c r="CZ212" i="1"/>
  <c r="CV215" i="1"/>
  <c r="CR218" i="1"/>
  <c r="CZ220" i="1"/>
  <c r="CV223" i="1"/>
  <c r="CR226" i="1"/>
  <c r="CZ228" i="1"/>
  <c r="CV231" i="1"/>
  <c r="CR234" i="1"/>
  <c r="CZ236" i="1"/>
  <c r="CV239" i="1"/>
  <c r="CR242" i="1"/>
  <c r="CZ244" i="1"/>
  <c r="CV247" i="1"/>
  <c r="CR250" i="1"/>
  <c r="CZ252" i="1"/>
  <c r="CR164" i="1"/>
  <c r="CZ174" i="1"/>
  <c r="CU178" i="1"/>
  <c r="CQ181" i="1"/>
  <c r="CY183" i="1"/>
  <c r="CU186" i="1"/>
  <c r="CQ189" i="1"/>
  <c r="CY191" i="1"/>
  <c r="CU194" i="1"/>
  <c r="CQ197" i="1"/>
  <c r="CU202" i="1"/>
  <c r="CQ205" i="1"/>
  <c r="CY207" i="1"/>
  <c r="CU210" i="1"/>
  <c r="CQ213" i="1"/>
  <c r="CY215" i="1"/>
  <c r="CU218" i="1"/>
  <c r="CQ221" i="1"/>
  <c r="CY223" i="1"/>
  <c r="CU226" i="1"/>
  <c r="CQ229" i="1"/>
  <c r="CY231" i="1"/>
  <c r="CQ237" i="1"/>
  <c r="CY239" i="1"/>
  <c r="CU242" i="1"/>
  <c r="CQ245" i="1"/>
  <c r="CY247" i="1"/>
  <c r="CQ253" i="1"/>
  <c r="CY199" i="1"/>
  <c r="CU234" i="1"/>
  <c r="CU250" i="1"/>
  <c r="CU176" i="1"/>
  <c r="CY181" i="1"/>
  <c r="CQ187" i="1"/>
  <c r="CQ195" i="1"/>
  <c r="CY197" i="1"/>
  <c r="CQ203" i="1"/>
  <c r="CY213" i="1"/>
  <c r="CY221" i="1"/>
  <c r="CY237" i="1"/>
  <c r="CQ251" i="1"/>
  <c r="CR190" i="1"/>
  <c r="CV211" i="1"/>
  <c r="CV227" i="1"/>
  <c r="CR238" i="1"/>
  <c r="CS155" i="1"/>
  <c r="CO166" i="1"/>
  <c r="CR176" i="1"/>
  <c r="CZ178" i="1"/>
  <c r="CV181" i="1"/>
  <c r="CR184" i="1"/>
  <c r="CZ186" i="1"/>
  <c r="CV189" i="1"/>
  <c r="CR192" i="1"/>
  <c r="CZ194" i="1"/>
  <c r="CV197" i="1"/>
  <c r="CR200" i="1"/>
  <c r="CZ202" i="1"/>
  <c r="CV205" i="1"/>
  <c r="CR208" i="1"/>
  <c r="CZ210" i="1"/>
  <c r="CV213" i="1"/>
  <c r="CR216" i="1"/>
  <c r="CZ218" i="1"/>
  <c r="CV221" i="1"/>
  <c r="CR224" i="1"/>
  <c r="CZ226" i="1"/>
  <c r="CV229" i="1"/>
  <c r="CR232" i="1"/>
  <c r="CZ234" i="1"/>
  <c r="CV237" i="1"/>
  <c r="CR240" i="1"/>
  <c r="CZ242" i="1"/>
  <c r="CV245" i="1"/>
  <c r="CR248" i="1"/>
  <c r="CZ250" i="1"/>
  <c r="CV253" i="1"/>
  <c r="CQ211" i="1"/>
  <c r="CY229" i="1"/>
  <c r="CQ243" i="1"/>
  <c r="CZ184" i="1"/>
  <c r="CR198" i="1"/>
  <c r="CV219" i="1"/>
  <c r="CZ240" i="1"/>
  <c r="CY189" i="1"/>
  <c r="CU248" i="1"/>
  <c r="CW168" i="1"/>
  <c r="CV179" i="1"/>
  <c r="CV195" i="1"/>
  <c r="CZ208" i="1"/>
  <c r="CZ224" i="1"/>
  <c r="CV235" i="1"/>
  <c r="CV251" i="1"/>
  <c r="BX33" i="5"/>
  <c r="BX65" i="5"/>
  <c r="H13" i="24"/>
  <c r="H23" i="24" s="1"/>
  <c r="C8" i="27"/>
  <c r="AX21" i="19"/>
  <c r="P4" i="27"/>
  <c r="F6" i="27"/>
  <c r="P6" i="27" s="1"/>
  <c r="D60" i="19"/>
  <c r="AM1" i="5"/>
  <c r="AA4" i="23"/>
  <c r="AR2" i="11" s="1"/>
  <c r="DM4" i="11" s="1"/>
  <c r="AR2" i="1"/>
  <c r="DM2" i="1"/>
  <c r="CO21" i="1"/>
  <c r="CS21" i="1"/>
  <c r="CW21" i="1"/>
  <c r="CO11" i="1"/>
  <c r="CS11" i="1"/>
  <c r="CW11" i="1"/>
  <c r="CU21" i="1"/>
  <c r="CQ11" i="1"/>
  <c r="CY11" i="1"/>
  <c r="CV21" i="1"/>
  <c r="CV11" i="1"/>
  <c r="CP21" i="1"/>
  <c r="CT21" i="1"/>
  <c r="CX21" i="1"/>
  <c r="CP11" i="1"/>
  <c r="CT11" i="1"/>
  <c r="CX11" i="1"/>
  <c r="CQ21" i="1"/>
  <c r="CY21" i="1"/>
  <c r="CU11" i="1"/>
  <c r="CR21" i="1"/>
  <c r="CZ21" i="1"/>
  <c r="CR11" i="1"/>
  <c r="CZ11" i="1"/>
  <c r="DA21" i="1"/>
  <c r="DE21" i="1"/>
  <c r="DI21" i="1"/>
  <c r="DA11" i="1"/>
  <c r="DE11" i="1"/>
  <c r="DI11" i="1"/>
  <c r="DC21" i="1"/>
  <c r="DK21" i="1"/>
  <c r="DG11" i="1"/>
  <c r="DD21" i="1"/>
  <c r="DL21" i="1"/>
  <c r="DD11" i="1"/>
  <c r="DL11" i="1"/>
  <c r="DB21" i="1"/>
  <c r="DF21" i="1"/>
  <c r="DJ21" i="1"/>
  <c r="DB11" i="1"/>
  <c r="DF11" i="1"/>
  <c r="DJ11" i="1"/>
  <c r="DG21" i="1"/>
  <c r="DC11" i="1"/>
  <c r="DK11" i="1"/>
  <c r="DH21" i="1"/>
  <c r="DH11" i="1"/>
  <c r="C14" i="27"/>
  <c r="C7" i="27"/>
  <c r="C13" i="27"/>
  <c r="EK266" i="1"/>
  <c r="BK44" i="5" s="1"/>
  <c r="ER266" i="1"/>
  <c r="BR44" i="5" s="1"/>
  <c r="EU266" i="1"/>
  <c r="BU44" i="5" s="1"/>
  <c r="EQ263" i="1"/>
  <c r="BQ43" i="5" s="1"/>
  <c r="EM260" i="1"/>
  <c r="BM42" i="5" s="1"/>
  <c r="EL266" i="1"/>
  <c r="BL44" i="5" s="1"/>
  <c r="ET260" i="1"/>
  <c r="BT42" i="5" s="1"/>
  <c r="DO266" i="1"/>
  <c r="AO44" i="5" s="1"/>
  <c r="DW260" i="1"/>
  <c r="AW42" i="5" s="1"/>
  <c r="DN266" i="1"/>
  <c r="AN44" i="5" s="1"/>
  <c r="DV260" i="1"/>
  <c r="AV42" i="5" s="1"/>
  <c r="DY266" i="1"/>
  <c r="AY44" i="5" s="1"/>
  <c r="EG260" i="1"/>
  <c r="BG42" i="5" s="1"/>
  <c r="EB266" i="1"/>
  <c r="BB44" i="5" s="1"/>
  <c r="EJ260" i="1"/>
  <c r="BJ42" i="5" s="1"/>
  <c r="ES260" i="1"/>
  <c r="BS42" i="5" s="1"/>
  <c r="EO266" i="1"/>
  <c r="BO44" i="5" s="1"/>
  <c r="EN260" i="1"/>
  <c r="BN42" i="5" s="1"/>
  <c r="EU263" i="1"/>
  <c r="BU43" i="5" s="1"/>
  <c r="EQ260" i="1"/>
  <c r="BQ42" i="5" s="1"/>
  <c r="EP266" i="1"/>
  <c r="BP44" i="5" s="1"/>
  <c r="EL263" i="1"/>
  <c r="BL43" i="5" s="1"/>
  <c r="DP263" i="1"/>
  <c r="AP43" i="5" s="1"/>
  <c r="DU263" i="1"/>
  <c r="AU43" i="5" s="1"/>
  <c r="DX266" i="1"/>
  <c r="AX44" i="5" s="1"/>
  <c r="DS266" i="1"/>
  <c r="AS44" i="5" s="1"/>
  <c r="DO263" i="1"/>
  <c r="AO43" i="5" s="1"/>
  <c r="DR266" i="1"/>
  <c r="AR44" i="5" s="1"/>
  <c r="DN263" i="1"/>
  <c r="AN43" i="5" s="1"/>
  <c r="EI263" i="1"/>
  <c r="BI43" i="5" s="1"/>
  <c r="ED260" i="1"/>
  <c r="BD42" i="5" s="1"/>
  <c r="DZ266" i="1"/>
  <c r="AZ44" i="5" s="1"/>
  <c r="EC266" i="1"/>
  <c r="BC44" i="5" s="1"/>
  <c r="DY263" i="1"/>
  <c r="AY43" i="5" s="1"/>
  <c r="EF266" i="1"/>
  <c r="BF44" i="5" s="1"/>
  <c r="EB263" i="1"/>
  <c r="BB43" i="5" s="1"/>
  <c r="EI260" i="1"/>
  <c r="BI42" i="5" s="1"/>
  <c r="EO263" i="1"/>
  <c r="BO43" i="5" s="1"/>
  <c r="ES263" i="1"/>
  <c r="BS43" i="5" s="1"/>
  <c r="DU260" i="1"/>
  <c r="AU42" i="5" s="1"/>
  <c r="DM263" i="1"/>
  <c r="AM43" i="5" s="1"/>
  <c r="DP266" i="1"/>
  <c r="AP44" i="5" s="1"/>
  <c r="EI266" i="1"/>
  <c r="BI44" i="5" s="1"/>
  <c r="EA260" i="1"/>
  <c r="BA42" i="5" s="1"/>
  <c r="ED263" i="1"/>
  <c r="BD43" i="5" s="1"/>
  <c r="DP260" i="1"/>
  <c r="AP42" i="5" s="1"/>
  <c r="EV263" i="1"/>
  <c r="BV43" i="5" s="1"/>
  <c r="EN266" i="1"/>
  <c r="BN44" i="5" s="1"/>
  <c r="EN263" i="1"/>
  <c r="BN43" i="5" s="1"/>
  <c r="EK263" i="1"/>
  <c r="BK43" i="5" s="1"/>
  <c r="ER263" i="1"/>
  <c r="BR43" i="5" s="1"/>
  <c r="EQ266" i="1"/>
  <c r="BQ44" i="5" s="1"/>
  <c r="EM263" i="1"/>
  <c r="BM43" i="5" s="1"/>
  <c r="ET263" i="1"/>
  <c r="BT43" i="5" s="1"/>
  <c r="EP260" i="1"/>
  <c r="BP42" i="5" s="1"/>
  <c r="DQ263" i="1"/>
  <c r="AQ43" i="5" s="1"/>
  <c r="DQ260" i="1"/>
  <c r="AQ42" i="5" s="1"/>
  <c r="DT263" i="1"/>
  <c r="AT43" i="5" s="1"/>
  <c r="DW263" i="1"/>
  <c r="AW43" i="5" s="1"/>
  <c r="DS260" i="1"/>
  <c r="AS42" i="5" s="1"/>
  <c r="DV263" i="1"/>
  <c r="AV43" i="5" s="1"/>
  <c r="DR260" i="1"/>
  <c r="AR42" i="5" s="1"/>
  <c r="EA266" i="1"/>
  <c r="BA44" i="5" s="1"/>
  <c r="EH260" i="1"/>
  <c r="BH42" i="5" s="1"/>
  <c r="EG263" i="1"/>
  <c r="BG43" i="5" s="1"/>
  <c r="EC260" i="1"/>
  <c r="BC42" i="5" s="1"/>
  <c r="EJ263" i="1"/>
  <c r="BJ43" i="5" s="1"/>
  <c r="EF260" i="1"/>
  <c r="BF42" i="5" s="1"/>
  <c r="EV266" i="1"/>
  <c r="BV44" i="5" s="1"/>
  <c r="EO260" i="1"/>
  <c r="BO42" i="5" s="1"/>
  <c r="EV260" i="1"/>
  <c r="BV42" i="5" s="1"/>
  <c r="EM266" i="1"/>
  <c r="BM44" i="5" s="1"/>
  <c r="EU260" i="1"/>
  <c r="BU42" i="5" s="1"/>
  <c r="ET266" i="1"/>
  <c r="BT44" i="5" s="1"/>
  <c r="EP263" i="1"/>
  <c r="BP43" i="5" s="1"/>
  <c r="EL260" i="1"/>
  <c r="BL42" i="5" s="1"/>
  <c r="DQ266" i="1"/>
  <c r="AQ44" i="5" s="1"/>
  <c r="DX260" i="1"/>
  <c r="AX42" i="5" s="1"/>
  <c r="DW266" i="1"/>
  <c r="AW44" i="5" s="1"/>
  <c r="DS263" i="1"/>
  <c r="AS43" i="5" s="1"/>
  <c r="DO260" i="1"/>
  <c r="AO42" i="5" s="1"/>
  <c r="DV266" i="1"/>
  <c r="AV44" i="5" s="1"/>
  <c r="DR263" i="1"/>
  <c r="AR43" i="5" s="1"/>
  <c r="DN260" i="1"/>
  <c r="AN42" i="5" s="1"/>
  <c r="EE266" i="1"/>
  <c r="BE44" i="5" s="1"/>
  <c r="DZ263" i="1"/>
  <c r="AZ43" i="5" s="1"/>
  <c r="EE263" i="1"/>
  <c r="BE43" i="5" s="1"/>
  <c r="EH266" i="1"/>
  <c r="BH44" i="5" s="1"/>
  <c r="DZ260" i="1"/>
  <c r="AZ42" i="5" s="1"/>
  <c r="EG266" i="1"/>
  <c r="BG44" i="5" s="1"/>
  <c r="EC263" i="1"/>
  <c r="BC43" i="5" s="1"/>
  <c r="DY260" i="1"/>
  <c r="AY42" i="5" s="1"/>
  <c r="EJ266" i="1"/>
  <c r="BJ44" i="5" s="1"/>
  <c r="EF263" i="1"/>
  <c r="BF43" i="5" s="1"/>
  <c r="EB260" i="1"/>
  <c r="BB42" i="5" s="1"/>
  <c r="EG274" i="1"/>
  <c r="EG289" i="1"/>
  <c r="DU274" i="1"/>
  <c r="DU289" i="1"/>
  <c r="EA274" i="1"/>
  <c r="EA289" i="1"/>
  <c r="EC274" i="1"/>
  <c r="EC289" i="1"/>
  <c r="EF274" i="1"/>
  <c r="EF289" i="1"/>
  <c r="DT274" i="1"/>
  <c r="DT289" i="1"/>
  <c r="DQ274" i="1"/>
  <c r="DQ289" i="1"/>
  <c r="DO274" i="1"/>
  <c r="DO289" i="1"/>
  <c r="DN274" i="1"/>
  <c r="DN289" i="1"/>
  <c r="ED274" i="1"/>
  <c r="ED289" i="1"/>
  <c r="EH274" i="1"/>
  <c r="EH289" i="1"/>
  <c r="DY274" i="1"/>
  <c r="DY289" i="1"/>
  <c r="EB274" i="1"/>
  <c r="EB289" i="1"/>
  <c r="ES274" i="1"/>
  <c r="ES289" i="1"/>
  <c r="EN274" i="1"/>
  <c r="EN289" i="1"/>
  <c r="EM274" i="1"/>
  <c r="EM289" i="1"/>
  <c r="ET274" i="1"/>
  <c r="ET289" i="1"/>
  <c r="DM274" i="1"/>
  <c r="DM289" i="1"/>
  <c r="DP274" i="1"/>
  <c r="DP289" i="1"/>
  <c r="DW274" i="1"/>
  <c r="DW289" i="1"/>
  <c r="DV274" i="1"/>
  <c r="DV289" i="1"/>
  <c r="EI274" i="1"/>
  <c r="EI289" i="1"/>
  <c r="EJ274" i="1"/>
  <c r="EJ289" i="1"/>
  <c r="ER274" i="1"/>
  <c r="ER289" i="1"/>
  <c r="EP274" i="1"/>
  <c r="EP289" i="1"/>
  <c r="DS274" i="1"/>
  <c r="DS289" i="1"/>
  <c r="DR274" i="1"/>
  <c r="DR289" i="1"/>
  <c r="EK274" i="1"/>
  <c r="EK289" i="1"/>
  <c r="EU274" i="1"/>
  <c r="EU289" i="1"/>
  <c r="EL274" i="1"/>
  <c r="EL289" i="1"/>
  <c r="EO274" i="1"/>
  <c r="EO289" i="1"/>
  <c r="EV274" i="1"/>
  <c r="EV289" i="1"/>
  <c r="EQ274" i="1"/>
  <c r="EQ289" i="1"/>
  <c r="DX274" i="1"/>
  <c r="DX289" i="1"/>
  <c r="EE274" i="1"/>
  <c r="EE289" i="1"/>
  <c r="DZ274" i="1"/>
  <c r="DZ289" i="1"/>
  <c r="H3" i="1"/>
  <c r="CC3" i="1" s="1"/>
  <c r="BX49" i="5"/>
  <c r="BX51" i="5"/>
  <c r="BX53" i="5"/>
  <c r="BX56" i="5"/>
  <c r="BX57" i="5"/>
  <c r="BX58" i="5"/>
  <c r="BX50" i="5"/>
  <c r="BX55" i="5"/>
  <c r="BX59" i="5"/>
  <c r="BX64" i="5"/>
  <c r="BX52" i="5"/>
  <c r="BX18" i="5"/>
  <c r="BX19" i="5"/>
  <c r="BX17" i="5"/>
  <c r="BX16" i="5"/>
  <c r="BX20" i="5"/>
  <c r="BX24" i="5"/>
  <c r="BX25" i="5"/>
  <c r="BX23" i="5"/>
  <c r="BX22" i="5"/>
  <c r="BX26" i="5"/>
  <c r="BX32" i="5"/>
  <c r="CO12" i="1"/>
  <c r="CS12" i="1"/>
  <c r="CW12" i="1"/>
  <c r="CO13" i="1"/>
  <c r="CS13" i="1"/>
  <c r="CW13" i="1"/>
  <c r="CO14" i="1"/>
  <c r="CS14" i="1"/>
  <c r="CW14" i="1"/>
  <c r="CP12" i="1"/>
  <c r="CP13" i="1"/>
  <c r="CP14" i="1"/>
  <c r="CQ12" i="1"/>
  <c r="CU12" i="1"/>
  <c r="CY12" i="1"/>
  <c r="CQ13" i="1"/>
  <c r="CU13" i="1"/>
  <c r="CY13" i="1"/>
  <c r="CQ14" i="1"/>
  <c r="CU14" i="1"/>
  <c r="CY14" i="1"/>
  <c r="CX12" i="1"/>
  <c r="CX13" i="1"/>
  <c r="CX14" i="1"/>
  <c r="CR12" i="1"/>
  <c r="CV12" i="1"/>
  <c r="CZ12" i="1"/>
  <c r="CR13" i="1"/>
  <c r="CV13" i="1"/>
  <c r="CZ13" i="1"/>
  <c r="CR14" i="1"/>
  <c r="CV14" i="1"/>
  <c r="CZ14" i="1"/>
  <c r="CT12" i="1"/>
  <c r="CT13" i="1"/>
  <c r="CT14" i="1"/>
  <c r="DA12" i="1"/>
  <c r="DE12" i="1"/>
  <c r="DI12" i="1"/>
  <c r="DA13" i="1"/>
  <c r="DE13" i="1"/>
  <c r="DI13" i="1"/>
  <c r="DA14" i="1"/>
  <c r="DE14" i="1"/>
  <c r="DI14" i="1"/>
  <c r="DF12" i="1"/>
  <c r="DB13" i="1"/>
  <c r="DB14" i="1"/>
  <c r="DC12" i="1"/>
  <c r="DG12" i="1"/>
  <c r="DK12" i="1"/>
  <c r="DC13" i="1"/>
  <c r="DG13" i="1"/>
  <c r="DK13" i="1"/>
  <c r="DC14" i="1"/>
  <c r="DG14" i="1"/>
  <c r="DK14" i="1"/>
  <c r="DJ12" i="1"/>
  <c r="DJ13" i="1"/>
  <c r="DJ14" i="1"/>
  <c r="DD12" i="1"/>
  <c r="DH12" i="1"/>
  <c r="DL12" i="1"/>
  <c r="DD13" i="1"/>
  <c r="DH13" i="1"/>
  <c r="DL13" i="1"/>
  <c r="DD14" i="1"/>
  <c r="DH14" i="1"/>
  <c r="DL14" i="1"/>
  <c r="DB12" i="1"/>
  <c r="DF13" i="1"/>
  <c r="DF14" i="1"/>
  <c r="EV269" i="1"/>
  <c r="BV45" i="5" s="1"/>
  <c r="EM269" i="1"/>
  <c r="BM45" i="5" s="1"/>
  <c r="ET269" i="1"/>
  <c r="BT45" i="5" s="1"/>
  <c r="DW269" i="1"/>
  <c r="AW45" i="5" s="1"/>
  <c r="DV269" i="1"/>
  <c r="AV45" i="5" s="1"/>
  <c r="EA269" i="1"/>
  <c r="BA45" i="5" s="1"/>
  <c r="EE269" i="1"/>
  <c r="BE45" i="5" s="1"/>
  <c r="EG269" i="1"/>
  <c r="BG45" i="5" s="1"/>
  <c r="EJ269" i="1"/>
  <c r="BJ45" i="5" s="1"/>
  <c r="EP269" i="1"/>
  <c r="BP45" i="5" s="1"/>
  <c r="DU269" i="1"/>
  <c r="AU45" i="5" s="1"/>
  <c r="DS269" i="1"/>
  <c r="AS45" i="5" s="1"/>
  <c r="DR269" i="1"/>
  <c r="AR45" i="5" s="1"/>
  <c r="EH269" i="1"/>
  <c r="BH45" i="5" s="1"/>
  <c r="EC269" i="1"/>
  <c r="BC45" i="5" s="1"/>
  <c r="EF269" i="1"/>
  <c r="BF45" i="5" s="1"/>
  <c r="ES269" i="1"/>
  <c r="BS45" i="5" s="1"/>
  <c r="EU269" i="1"/>
  <c r="BU45" i="5" s="1"/>
  <c r="EL269" i="1"/>
  <c r="BL45" i="5" s="1"/>
  <c r="DM269" i="1"/>
  <c r="AM45" i="5" s="1"/>
  <c r="DO269" i="1"/>
  <c r="AO45" i="5" s="1"/>
  <c r="DN269" i="1"/>
  <c r="AN45" i="5" s="1"/>
  <c r="EI269" i="1"/>
  <c r="BI45" i="5" s="1"/>
  <c r="ED269" i="1"/>
  <c r="BD45" i="5" s="1"/>
  <c r="DY269" i="1"/>
  <c r="AY45" i="5" s="1"/>
  <c r="EB269" i="1"/>
  <c r="BB45" i="5" s="1"/>
  <c r="EO269" i="1"/>
  <c r="BO45" i="5" s="1"/>
  <c r="EN269" i="1"/>
  <c r="BN45" i="5" s="1"/>
  <c r="EK269" i="1"/>
  <c r="BK45" i="5" s="1"/>
  <c r="ER269" i="1"/>
  <c r="BR45" i="5" s="1"/>
  <c r="EQ269" i="1"/>
  <c r="BQ45" i="5" s="1"/>
  <c r="DQ269" i="1"/>
  <c r="AQ45" i="5" s="1"/>
  <c r="DX269" i="1"/>
  <c r="AX45" i="5" s="1"/>
  <c r="DP269" i="1"/>
  <c r="AP45" i="5" s="1"/>
  <c r="DT269" i="1"/>
  <c r="AT45" i="5" s="1"/>
  <c r="DZ269" i="1"/>
  <c r="AZ45" i="5" s="1"/>
  <c r="EO268" i="1"/>
  <c r="BO12" i="5" s="1"/>
  <c r="EK268" i="1"/>
  <c r="BK12" i="5" s="1"/>
  <c r="EL268" i="1"/>
  <c r="BL12" i="5" s="1"/>
  <c r="DN268" i="1"/>
  <c r="AN12" i="5" s="1"/>
  <c r="EB268" i="1"/>
  <c r="BB12" i="5" s="1"/>
  <c r="EV268" i="1"/>
  <c r="BV12" i="5" s="1"/>
  <c r="EN268" i="1"/>
  <c r="BN12" i="5" s="1"/>
  <c r="EQ268" i="1"/>
  <c r="BQ12" i="5" s="1"/>
  <c r="EE268" i="1"/>
  <c r="BE12" i="5" s="1"/>
  <c r="EM268" i="1"/>
  <c r="BM12" i="5" s="1"/>
  <c r="ET268" i="1"/>
  <c r="BT12" i="5" s="1"/>
  <c r="DP268" i="1"/>
  <c r="AP12" i="5" s="1"/>
  <c r="DU268" i="1"/>
  <c r="AU12" i="5" s="1"/>
  <c r="DW268" i="1"/>
  <c r="AW12" i="5" s="1"/>
  <c r="DV268" i="1"/>
  <c r="AV12" i="5" s="1"/>
  <c r="EI268" i="1"/>
  <c r="BI12" i="5" s="1"/>
  <c r="DZ268" i="1"/>
  <c r="AZ12" i="5" s="1"/>
  <c r="EG268" i="1"/>
  <c r="BG12" i="5" s="1"/>
  <c r="EJ268" i="1"/>
  <c r="BJ12" i="5" s="1"/>
  <c r="ER268" i="1"/>
  <c r="BR12" i="5" s="1"/>
  <c r="EU268" i="1"/>
  <c r="BU12" i="5" s="1"/>
  <c r="DT268" i="1"/>
  <c r="AT12" i="5" s="1"/>
  <c r="DO268" i="1"/>
  <c r="AO12" i="5" s="1"/>
  <c r="DY268" i="1"/>
  <c r="AY12" i="5" s="1"/>
  <c r="DQ268" i="1"/>
  <c r="AQ12" i="5" s="1"/>
  <c r="EH268" i="1"/>
  <c r="BH12" i="5" s="1"/>
  <c r="ES268" i="1"/>
  <c r="BS12" i="5" s="1"/>
  <c r="EP268" i="1"/>
  <c r="BP12" i="5" s="1"/>
  <c r="DX268" i="1"/>
  <c r="AX12" i="5" s="1"/>
  <c r="DM268" i="1"/>
  <c r="AM12" i="5" s="1"/>
  <c r="DS268" i="1"/>
  <c r="AS12" i="5" s="1"/>
  <c r="DR268" i="1"/>
  <c r="AR12" i="5" s="1"/>
  <c r="EA268" i="1"/>
  <c r="BA12" i="5" s="1"/>
  <c r="ED268" i="1"/>
  <c r="BD12" i="5" s="1"/>
  <c r="EC268" i="1"/>
  <c r="BC12" i="5" s="1"/>
  <c r="EF268" i="1"/>
  <c r="BF12" i="5" s="1"/>
  <c r="CO254" i="1"/>
  <c r="CS254" i="1"/>
  <c r="CW254" i="1"/>
  <c r="CU254" i="1"/>
  <c r="CR254" i="1"/>
  <c r="CZ254" i="1"/>
  <c r="CP254" i="1"/>
  <c r="CT254" i="1"/>
  <c r="CX254" i="1"/>
  <c r="CQ254" i="1"/>
  <c r="CY254" i="1"/>
  <c r="CV254" i="1"/>
  <c r="DB6" i="1"/>
  <c r="DB259" i="1" s="1"/>
  <c r="DF6" i="1"/>
  <c r="DF259" i="1" s="1"/>
  <c r="DJ6" i="1"/>
  <c r="DJ259" i="1" s="1"/>
  <c r="DB7" i="1"/>
  <c r="DB262" i="1" s="1"/>
  <c r="DF7" i="1"/>
  <c r="DF262" i="1" s="1"/>
  <c r="DJ7" i="1"/>
  <c r="DJ262" i="1" s="1"/>
  <c r="DB8" i="1"/>
  <c r="DB265" i="1" s="1"/>
  <c r="DF8" i="1"/>
  <c r="DF265" i="1" s="1"/>
  <c r="DJ8" i="1"/>
  <c r="DJ265" i="1" s="1"/>
  <c r="DB9" i="1"/>
  <c r="DF9" i="1"/>
  <c r="DJ9" i="1"/>
  <c r="DB10" i="1"/>
  <c r="DF10" i="1"/>
  <c r="DJ10" i="1"/>
  <c r="DB15" i="1"/>
  <c r="DF15" i="1"/>
  <c r="DJ15" i="1"/>
  <c r="DB16" i="1"/>
  <c r="DB260" i="1" s="1"/>
  <c r="DF16" i="1"/>
  <c r="DJ16" i="1"/>
  <c r="DB17" i="1"/>
  <c r="DF17" i="1"/>
  <c r="DF263" i="1" s="1"/>
  <c r="AF43" i="5" s="1"/>
  <c r="DJ17" i="1"/>
  <c r="DB18" i="1"/>
  <c r="DF18" i="1"/>
  <c r="DJ18" i="1"/>
  <c r="DJ266" i="1" s="1"/>
  <c r="AJ44" i="5" s="1"/>
  <c r="DB19" i="1"/>
  <c r="DF19" i="1"/>
  <c r="DJ19" i="1"/>
  <c r="DB20" i="1"/>
  <c r="DF20" i="1"/>
  <c r="DJ20" i="1"/>
  <c r="DB22" i="1"/>
  <c r="DB284" i="1" s="1"/>
  <c r="DF22" i="1"/>
  <c r="DF284" i="1" s="1"/>
  <c r="DJ22" i="1"/>
  <c r="DJ284" i="1" s="1"/>
  <c r="DB23" i="1"/>
  <c r="DF23" i="1"/>
  <c r="DJ23" i="1"/>
  <c r="DB24" i="1"/>
  <c r="DF24" i="1"/>
  <c r="DJ24" i="1"/>
  <c r="DB25" i="1"/>
  <c r="DF25" i="1"/>
  <c r="DJ25" i="1"/>
  <c r="DB26" i="1"/>
  <c r="DF26" i="1"/>
  <c r="DJ26" i="1"/>
  <c r="DB27" i="1"/>
  <c r="DF27" i="1"/>
  <c r="DJ27" i="1"/>
  <c r="DB28" i="1"/>
  <c r="DF28" i="1"/>
  <c r="DJ28" i="1"/>
  <c r="DB29" i="1"/>
  <c r="DF29" i="1"/>
  <c r="DJ29" i="1"/>
  <c r="DB30" i="1"/>
  <c r="DF30" i="1"/>
  <c r="DJ30" i="1"/>
  <c r="DB31" i="1"/>
  <c r="DF31" i="1"/>
  <c r="DJ31" i="1"/>
  <c r="DB32" i="1"/>
  <c r="DF32" i="1"/>
  <c r="DJ32" i="1"/>
  <c r="DB33" i="1"/>
  <c r="DF33" i="1"/>
  <c r="DJ33" i="1"/>
  <c r="DB34" i="1"/>
  <c r="DF34" i="1"/>
  <c r="DJ34" i="1"/>
  <c r="DB35" i="1"/>
  <c r="DF35" i="1"/>
  <c r="DJ35" i="1"/>
  <c r="DB36" i="1"/>
  <c r="DF36" i="1"/>
  <c r="DJ36" i="1"/>
  <c r="DB37" i="1"/>
  <c r="DF37" i="1"/>
  <c r="DJ37" i="1"/>
  <c r="DB38" i="1"/>
  <c r="DF38" i="1"/>
  <c r="DJ38" i="1"/>
  <c r="DB39" i="1"/>
  <c r="DF39" i="1"/>
  <c r="DJ39" i="1"/>
  <c r="DB40" i="1"/>
  <c r="DF40" i="1"/>
  <c r="DJ40" i="1"/>
  <c r="DB41" i="1"/>
  <c r="DF41" i="1"/>
  <c r="DJ41" i="1"/>
  <c r="DB42" i="1"/>
  <c r="DF42" i="1"/>
  <c r="DJ42" i="1"/>
  <c r="DB43" i="1"/>
  <c r="DF43" i="1"/>
  <c r="DJ43" i="1"/>
  <c r="DB44" i="1"/>
  <c r="DF44" i="1"/>
  <c r="DJ44" i="1"/>
  <c r="DB45" i="1"/>
  <c r="DF45" i="1"/>
  <c r="DJ45" i="1"/>
  <c r="DB46" i="1"/>
  <c r="DF46" i="1"/>
  <c r="DJ46" i="1"/>
  <c r="DB47" i="1"/>
  <c r="DF47" i="1"/>
  <c r="DJ47" i="1"/>
  <c r="DB48" i="1"/>
  <c r="DF48" i="1"/>
  <c r="DJ48" i="1"/>
  <c r="DB49" i="1"/>
  <c r="DF49" i="1"/>
  <c r="DJ49" i="1"/>
  <c r="DB50" i="1"/>
  <c r="DF50" i="1"/>
  <c r="DJ50" i="1"/>
  <c r="DB51" i="1"/>
  <c r="DF51" i="1"/>
  <c r="DJ51" i="1"/>
  <c r="DB52" i="1"/>
  <c r="DF52" i="1"/>
  <c r="DJ52" i="1"/>
  <c r="DB53" i="1"/>
  <c r="DF53" i="1"/>
  <c r="DJ53" i="1"/>
  <c r="DB54" i="1"/>
  <c r="DF54" i="1"/>
  <c r="DJ54" i="1"/>
  <c r="DB55" i="1"/>
  <c r="DF55" i="1"/>
  <c r="DJ55" i="1"/>
  <c r="DB56" i="1"/>
  <c r="DF56" i="1"/>
  <c r="DJ56" i="1"/>
  <c r="DB57" i="1"/>
  <c r="DF57" i="1"/>
  <c r="DJ57" i="1"/>
  <c r="DB58" i="1"/>
  <c r="DF58" i="1"/>
  <c r="DJ58" i="1"/>
  <c r="DB59" i="1"/>
  <c r="DF59" i="1"/>
  <c r="DJ59" i="1"/>
  <c r="DB60" i="1"/>
  <c r="DF60" i="1"/>
  <c r="DJ60" i="1"/>
  <c r="DB61" i="1"/>
  <c r="DF61" i="1"/>
  <c r="DJ61" i="1"/>
  <c r="DB62" i="1"/>
  <c r="DC6" i="1"/>
  <c r="DC259" i="1" s="1"/>
  <c r="DG6" i="1"/>
  <c r="DG259" i="1" s="1"/>
  <c r="DK6" i="1"/>
  <c r="DK259" i="1" s="1"/>
  <c r="DC7" i="1"/>
  <c r="DC262" i="1" s="1"/>
  <c r="DG7" i="1"/>
  <c r="DG262" i="1" s="1"/>
  <c r="DK7" i="1"/>
  <c r="DK262" i="1" s="1"/>
  <c r="DC8" i="1"/>
  <c r="DC265" i="1" s="1"/>
  <c r="AC11" i="5" s="1"/>
  <c r="DG8" i="1"/>
  <c r="DG265" i="1" s="1"/>
  <c r="AG11" i="5" s="1"/>
  <c r="DK8" i="1"/>
  <c r="DK265" i="1" s="1"/>
  <c r="AK11" i="5" s="1"/>
  <c r="DC9" i="1"/>
  <c r="DG9" i="1"/>
  <c r="DG268" i="1" s="1"/>
  <c r="AG12" i="5" s="1"/>
  <c r="DK9" i="1"/>
  <c r="DC10" i="1"/>
  <c r="DG10" i="1"/>
  <c r="DK10" i="1"/>
  <c r="DC15" i="1"/>
  <c r="DG15" i="1"/>
  <c r="DK15" i="1"/>
  <c r="DC16" i="1"/>
  <c r="DG16" i="1"/>
  <c r="DK16" i="1"/>
  <c r="DK260" i="1" s="1"/>
  <c r="DC17" i="1"/>
  <c r="DG17" i="1"/>
  <c r="DK17" i="1"/>
  <c r="DC18" i="1"/>
  <c r="DC266" i="1" s="1"/>
  <c r="AC44" i="5" s="1"/>
  <c r="DG18" i="1"/>
  <c r="DK18" i="1"/>
  <c r="DC19" i="1"/>
  <c r="DG19" i="1"/>
  <c r="DG269" i="1" s="1"/>
  <c r="AG45" i="5" s="1"/>
  <c r="DK19" i="1"/>
  <c r="DC20" i="1"/>
  <c r="DG20" i="1"/>
  <c r="DK20" i="1"/>
  <c r="DC22" i="1"/>
  <c r="DC284" i="1" s="1"/>
  <c r="DG22" i="1"/>
  <c r="DG284" i="1" s="1"/>
  <c r="DK22" i="1"/>
  <c r="DK284" i="1" s="1"/>
  <c r="DC23" i="1"/>
  <c r="DG23" i="1"/>
  <c r="DK23" i="1"/>
  <c r="DC24" i="1"/>
  <c r="DG24" i="1"/>
  <c r="DK24" i="1"/>
  <c r="DC25" i="1"/>
  <c r="DG25" i="1"/>
  <c r="DK25" i="1"/>
  <c r="DC26" i="1"/>
  <c r="DG26" i="1"/>
  <c r="DK26" i="1"/>
  <c r="DC27" i="1"/>
  <c r="DG27" i="1"/>
  <c r="DK27" i="1"/>
  <c r="DC28" i="1"/>
  <c r="DG28" i="1"/>
  <c r="DK28" i="1"/>
  <c r="DC29" i="1"/>
  <c r="DG29" i="1"/>
  <c r="DK29" i="1"/>
  <c r="DC30" i="1"/>
  <c r="DG30" i="1"/>
  <c r="DK30" i="1"/>
  <c r="DC31" i="1"/>
  <c r="DG31" i="1"/>
  <c r="DK31" i="1"/>
  <c r="DC32" i="1"/>
  <c r="DG32" i="1"/>
  <c r="DK32" i="1"/>
  <c r="DC33" i="1"/>
  <c r="DG33" i="1"/>
  <c r="DK33" i="1"/>
  <c r="DC34" i="1"/>
  <c r="DG34" i="1"/>
  <c r="DK34" i="1"/>
  <c r="DC35" i="1"/>
  <c r="DG35" i="1"/>
  <c r="DK35" i="1"/>
  <c r="DC36" i="1"/>
  <c r="DG36" i="1"/>
  <c r="DK36" i="1"/>
  <c r="DC37" i="1"/>
  <c r="DG37" i="1"/>
  <c r="DK37" i="1"/>
  <c r="DC38" i="1"/>
  <c r="DG38" i="1"/>
  <c r="DK38" i="1"/>
  <c r="DC39" i="1"/>
  <c r="DG39" i="1"/>
  <c r="DK39" i="1"/>
  <c r="DC40" i="1"/>
  <c r="DG40" i="1"/>
  <c r="DK40" i="1"/>
  <c r="DC41" i="1"/>
  <c r="DG41" i="1"/>
  <c r="DK41" i="1"/>
  <c r="DC42" i="1"/>
  <c r="DG42" i="1"/>
  <c r="DK42" i="1"/>
  <c r="DC43" i="1"/>
  <c r="DG43" i="1"/>
  <c r="DK43" i="1"/>
  <c r="DC44" i="1"/>
  <c r="DG44" i="1"/>
  <c r="DK44" i="1"/>
  <c r="DC45" i="1"/>
  <c r="DG45" i="1"/>
  <c r="DK45" i="1"/>
  <c r="DC46" i="1"/>
  <c r="DG46" i="1"/>
  <c r="DK46" i="1"/>
  <c r="DC47" i="1"/>
  <c r="DG47" i="1"/>
  <c r="DK47" i="1"/>
  <c r="DC48" i="1"/>
  <c r="DG48" i="1"/>
  <c r="DK48" i="1"/>
  <c r="DC49" i="1"/>
  <c r="DG49" i="1"/>
  <c r="DK49" i="1"/>
  <c r="DC50" i="1"/>
  <c r="DG50" i="1"/>
  <c r="DK50" i="1"/>
  <c r="DC51" i="1"/>
  <c r="DG51" i="1"/>
  <c r="DK51" i="1"/>
  <c r="DC52" i="1"/>
  <c r="DG52" i="1"/>
  <c r="DK52" i="1"/>
  <c r="DC53" i="1"/>
  <c r="DG53" i="1"/>
  <c r="DK53" i="1"/>
  <c r="DC54" i="1"/>
  <c r="DG54" i="1"/>
  <c r="DK54" i="1"/>
  <c r="DC55" i="1"/>
  <c r="DG55" i="1"/>
  <c r="DK55" i="1"/>
  <c r="DC56" i="1"/>
  <c r="DG56" i="1"/>
  <c r="DK56" i="1"/>
  <c r="DC57" i="1"/>
  <c r="DG57" i="1"/>
  <c r="DK57" i="1"/>
  <c r="DC58" i="1"/>
  <c r="DG58" i="1"/>
  <c r="DK58" i="1"/>
  <c r="DC59" i="1"/>
  <c r="DG59" i="1"/>
  <c r="DK59" i="1"/>
  <c r="DC60" i="1"/>
  <c r="DG60" i="1"/>
  <c r="DK60" i="1"/>
  <c r="DC61" i="1"/>
  <c r="DG61" i="1"/>
  <c r="DK61" i="1"/>
  <c r="DH6" i="1"/>
  <c r="DH259" i="1" s="1"/>
  <c r="DD7" i="1"/>
  <c r="DD262" i="1" s="1"/>
  <c r="AD10" i="5" s="1"/>
  <c r="DL7" i="1"/>
  <c r="DL262" i="1" s="1"/>
  <c r="AL10" i="5" s="1"/>
  <c r="DH8" i="1"/>
  <c r="DH265" i="1" s="1"/>
  <c r="AH11" i="5" s="1"/>
  <c r="DD9" i="1"/>
  <c r="DL9" i="1"/>
  <c r="DH10" i="1"/>
  <c r="DD15" i="1"/>
  <c r="DL15" i="1"/>
  <c r="DH16" i="1"/>
  <c r="DD17" i="1"/>
  <c r="DL17" i="1"/>
  <c r="DH18" i="1"/>
  <c r="DD19" i="1"/>
  <c r="DL19" i="1"/>
  <c r="DH20" i="1"/>
  <c r="DD22" i="1"/>
  <c r="DD284" i="1" s="1"/>
  <c r="DL22" i="1"/>
  <c r="DL284" i="1" s="1"/>
  <c r="DH23" i="1"/>
  <c r="DD24" i="1"/>
  <c r="DL24" i="1"/>
  <c r="DH25" i="1"/>
  <c r="DD26" i="1"/>
  <c r="DL26" i="1"/>
  <c r="DH27" i="1"/>
  <c r="DD28" i="1"/>
  <c r="DL28" i="1"/>
  <c r="DH29" i="1"/>
  <c r="DD30" i="1"/>
  <c r="DL30" i="1"/>
  <c r="DH31" i="1"/>
  <c r="DD32" i="1"/>
  <c r="DL32" i="1"/>
  <c r="DH33" i="1"/>
  <c r="DD34" i="1"/>
  <c r="DL34" i="1"/>
  <c r="DH35" i="1"/>
  <c r="DD36" i="1"/>
  <c r="DL36" i="1"/>
  <c r="DH37" i="1"/>
  <c r="DD38" i="1"/>
  <c r="DL38" i="1"/>
  <c r="DH39" i="1"/>
  <c r="DD40" i="1"/>
  <c r="DL40" i="1"/>
  <c r="DH41" i="1"/>
  <c r="DD42" i="1"/>
  <c r="DL42" i="1"/>
  <c r="DH43" i="1"/>
  <c r="DD44" i="1"/>
  <c r="DL44" i="1"/>
  <c r="DH45" i="1"/>
  <c r="DD46" i="1"/>
  <c r="DL46" i="1"/>
  <c r="DH47" i="1"/>
  <c r="DD48" i="1"/>
  <c r="DL48" i="1"/>
  <c r="DH49" i="1"/>
  <c r="DD50" i="1"/>
  <c r="DL50" i="1"/>
  <c r="DH51" i="1"/>
  <c r="DD52" i="1"/>
  <c r="DL52" i="1"/>
  <c r="DH53" i="1"/>
  <c r="DD54" i="1"/>
  <c r="DL54" i="1"/>
  <c r="DH55" i="1"/>
  <c r="DD56" i="1"/>
  <c r="DL56" i="1"/>
  <c r="DH57" i="1"/>
  <c r="DD58" i="1"/>
  <c r="DL58" i="1"/>
  <c r="DH59" i="1"/>
  <c r="DD60" i="1"/>
  <c r="DL60" i="1"/>
  <c r="DH61" i="1"/>
  <c r="DC62" i="1"/>
  <c r="DG62" i="1"/>
  <c r="DK62" i="1"/>
  <c r="DC63" i="1"/>
  <c r="DG63" i="1"/>
  <c r="DK63" i="1"/>
  <c r="DC64" i="1"/>
  <c r="DG64" i="1"/>
  <c r="DK64" i="1"/>
  <c r="DC65" i="1"/>
  <c r="DG65" i="1"/>
  <c r="DK65" i="1"/>
  <c r="DC66" i="1"/>
  <c r="DG66" i="1"/>
  <c r="DK66" i="1"/>
  <c r="DC67" i="1"/>
  <c r="DG67" i="1"/>
  <c r="DK67" i="1"/>
  <c r="DC68" i="1"/>
  <c r="DG68" i="1"/>
  <c r="DK68" i="1"/>
  <c r="DC69" i="1"/>
  <c r="DG69" i="1"/>
  <c r="DK69" i="1"/>
  <c r="DC70" i="1"/>
  <c r="DG70" i="1"/>
  <c r="DK70" i="1"/>
  <c r="DC71" i="1"/>
  <c r="DG71" i="1"/>
  <c r="DK71" i="1"/>
  <c r="DC72" i="1"/>
  <c r="DG72" i="1"/>
  <c r="DK72" i="1"/>
  <c r="DC73" i="1"/>
  <c r="DG73" i="1"/>
  <c r="DK73" i="1"/>
  <c r="DC74" i="1"/>
  <c r="DG74" i="1"/>
  <c r="DK74" i="1"/>
  <c r="DC75" i="1"/>
  <c r="DG75" i="1"/>
  <c r="DK75" i="1"/>
  <c r="DC76" i="1"/>
  <c r="DG76" i="1"/>
  <c r="DK76" i="1"/>
  <c r="DC77" i="1"/>
  <c r="DG77" i="1"/>
  <c r="DK77" i="1"/>
  <c r="DC78" i="1"/>
  <c r="DG78" i="1"/>
  <c r="DK78" i="1"/>
  <c r="DC79" i="1"/>
  <c r="DG79" i="1"/>
  <c r="DK79" i="1"/>
  <c r="DC80" i="1"/>
  <c r="DG80" i="1"/>
  <c r="DK80" i="1"/>
  <c r="DC81" i="1"/>
  <c r="DG81" i="1"/>
  <c r="DK81" i="1"/>
  <c r="DC82" i="1"/>
  <c r="DG82" i="1"/>
  <c r="DK82" i="1"/>
  <c r="DC83" i="1"/>
  <c r="DG83" i="1"/>
  <c r="DK83" i="1"/>
  <c r="DC84" i="1"/>
  <c r="DG84" i="1"/>
  <c r="DK84" i="1"/>
  <c r="DC85" i="1"/>
  <c r="DG85" i="1"/>
  <c r="DK85" i="1"/>
  <c r="DC86" i="1"/>
  <c r="DG86" i="1"/>
  <c r="DK86" i="1"/>
  <c r="DC87" i="1"/>
  <c r="DG87" i="1"/>
  <c r="DK87" i="1"/>
  <c r="DC88" i="1"/>
  <c r="DG88" i="1"/>
  <c r="DK88" i="1"/>
  <c r="DC89" i="1"/>
  <c r="DG89" i="1"/>
  <c r="DK89" i="1"/>
  <c r="DC90" i="1"/>
  <c r="DG90" i="1"/>
  <c r="DK90" i="1"/>
  <c r="DC91" i="1"/>
  <c r="DG91" i="1"/>
  <c r="DK91" i="1"/>
  <c r="DC92" i="1"/>
  <c r="DG92" i="1"/>
  <c r="DK92" i="1"/>
  <c r="DC93" i="1"/>
  <c r="DG93" i="1"/>
  <c r="DK93" i="1"/>
  <c r="DC94" i="1"/>
  <c r="DG94" i="1"/>
  <c r="DK94" i="1"/>
  <c r="DC95" i="1"/>
  <c r="DG95" i="1"/>
  <c r="DK95" i="1"/>
  <c r="DC96" i="1"/>
  <c r="DG96" i="1"/>
  <c r="DK96" i="1"/>
  <c r="DC97" i="1"/>
  <c r="DG97" i="1"/>
  <c r="DK97" i="1"/>
  <c r="DC98" i="1"/>
  <c r="DG98" i="1"/>
  <c r="DK98" i="1"/>
  <c r="DC99" i="1"/>
  <c r="DG99" i="1"/>
  <c r="DK99" i="1"/>
  <c r="DC100" i="1"/>
  <c r="DG100" i="1"/>
  <c r="DK100" i="1"/>
  <c r="DC101" i="1"/>
  <c r="DG101" i="1"/>
  <c r="DK101" i="1"/>
  <c r="DC102" i="1"/>
  <c r="DG102" i="1"/>
  <c r="DK102" i="1"/>
  <c r="DC103" i="1"/>
  <c r="DG103" i="1"/>
  <c r="DK103" i="1"/>
  <c r="DC104" i="1"/>
  <c r="DG104" i="1"/>
  <c r="DK104" i="1"/>
  <c r="DC105" i="1"/>
  <c r="DG105" i="1"/>
  <c r="DK105" i="1"/>
  <c r="DC106" i="1"/>
  <c r="DG106" i="1"/>
  <c r="DK106" i="1"/>
  <c r="DC107" i="1"/>
  <c r="DG107" i="1"/>
  <c r="DK107" i="1"/>
  <c r="DC108" i="1"/>
  <c r="DG108" i="1"/>
  <c r="DK108" i="1"/>
  <c r="DC109" i="1"/>
  <c r="DG109" i="1"/>
  <c r="DK109" i="1"/>
  <c r="DC110" i="1"/>
  <c r="DG110" i="1"/>
  <c r="DK110" i="1"/>
  <c r="DC111" i="1"/>
  <c r="DG111" i="1"/>
  <c r="DK111" i="1"/>
  <c r="DC112" i="1"/>
  <c r="DG112" i="1"/>
  <c r="DK112" i="1"/>
  <c r="DC113" i="1"/>
  <c r="DG113" i="1"/>
  <c r="DK113" i="1"/>
  <c r="DC114" i="1"/>
  <c r="DG114" i="1"/>
  <c r="DK114" i="1"/>
  <c r="DC115" i="1"/>
  <c r="DG115" i="1"/>
  <c r="DK115" i="1"/>
  <c r="DC116" i="1"/>
  <c r="DG116" i="1"/>
  <c r="DK116" i="1"/>
  <c r="DC117" i="1"/>
  <c r="DG117" i="1"/>
  <c r="DK117" i="1"/>
  <c r="DC118" i="1"/>
  <c r="DG118" i="1"/>
  <c r="DK118" i="1"/>
  <c r="DC119" i="1"/>
  <c r="DG119" i="1"/>
  <c r="DK119" i="1"/>
  <c r="DC120" i="1"/>
  <c r="DG120" i="1"/>
  <c r="DK120" i="1"/>
  <c r="DC121" i="1"/>
  <c r="DG121" i="1"/>
  <c r="DK121" i="1"/>
  <c r="DC122" i="1"/>
  <c r="DG122" i="1"/>
  <c r="DK122" i="1"/>
  <c r="DC123" i="1"/>
  <c r="DG123" i="1"/>
  <c r="DK123" i="1"/>
  <c r="DC124" i="1"/>
  <c r="DG124" i="1"/>
  <c r="DK124" i="1"/>
  <c r="DC125" i="1"/>
  <c r="DG125" i="1"/>
  <c r="DK125" i="1"/>
  <c r="DC126" i="1"/>
  <c r="DG126" i="1"/>
  <c r="DK126" i="1"/>
  <c r="DC127" i="1"/>
  <c r="DG127" i="1"/>
  <c r="DK127" i="1"/>
  <c r="DC128" i="1"/>
  <c r="DG128" i="1"/>
  <c r="DK128" i="1"/>
  <c r="DC129" i="1"/>
  <c r="DG129" i="1"/>
  <c r="DK129" i="1"/>
  <c r="DC130" i="1"/>
  <c r="DG130" i="1"/>
  <c r="DK130" i="1"/>
  <c r="DC131" i="1"/>
  <c r="DG131" i="1"/>
  <c r="DK131" i="1"/>
  <c r="DC132" i="1"/>
  <c r="DG132" i="1"/>
  <c r="DK132" i="1"/>
  <c r="DC133" i="1"/>
  <c r="DG133" i="1"/>
  <c r="DK133" i="1"/>
  <c r="DC134" i="1"/>
  <c r="DG134" i="1"/>
  <c r="DK134" i="1"/>
  <c r="DC135" i="1"/>
  <c r="DG135" i="1"/>
  <c r="DK135" i="1"/>
  <c r="DC136" i="1"/>
  <c r="DG136" i="1"/>
  <c r="DK136" i="1"/>
  <c r="DC137" i="1"/>
  <c r="DG137" i="1"/>
  <c r="DK137" i="1"/>
  <c r="DC138" i="1"/>
  <c r="DG138" i="1"/>
  <c r="DK138" i="1"/>
  <c r="DC139" i="1"/>
  <c r="DG139" i="1"/>
  <c r="DK139" i="1"/>
  <c r="DC140" i="1"/>
  <c r="DG140" i="1"/>
  <c r="DK140" i="1"/>
  <c r="DC141" i="1"/>
  <c r="DG141" i="1"/>
  <c r="DK141" i="1"/>
  <c r="DC142" i="1"/>
  <c r="DG142" i="1"/>
  <c r="DK142" i="1"/>
  <c r="DC143" i="1"/>
  <c r="DG143" i="1"/>
  <c r="DK143" i="1"/>
  <c r="DC144" i="1"/>
  <c r="DG144" i="1"/>
  <c r="DK144" i="1"/>
  <c r="DC145" i="1"/>
  <c r="DG145" i="1"/>
  <c r="DK145" i="1"/>
  <c r="DC146" i="1"/>
  <c r="DG146" i="1"/>
  <c r="DK146" i="1"/>
  <c r="DC147" i="1"/>
  <c r="DG147" i="1"/>
  <c r="DK147" i="1"/>
  <c r="DC148" i="1"/>
  <c r="DG148" i="1"/>
  <c r="DK148" i="1"/>
  <c r="DC149" i="1"/>
  <c r="DG149" i="1"/>
  <c r="DK149" i="1"/>
  <c r="DC150" i="1"/>
  <c r="DG150" i="1"/>
  <c r="DK150" i="1"/>
  <c r="DC151" i="1"/>
  <c r="DG151" i="1"/>
  <c r="DK151" i="1"/>
  <c r="DC152" i="1"/>
  <c r="DG152" i="1"/>
  <c r="DK152" i="1"/>
  <c r="DC153" i="1"/>
  <c r="DG153" i="1"/>
  <c r="DK153" i="1"/>
  <c r="DD5" i="1"/>
  <c r="DH5" i="1"/>
  <c r="DL5" i="1"/>
  <c r="DL6" i="1"/>
  <c r="DL259" i="1" s="1"/>
  <c r="DD8" i="1"/>
  <c r="DD265" i="1" s="1"/>
  <c r="AD11" i="5" s="1"/>
  <c r="DH9" i="1"/>
  <c r="DL10" i="1"/>
  <c r="DD16" i="1"/>
  <c r="DD260" i="1" s="1"/>
  <c r="DH17" i="1"/>
  <c r="DH263" i="1" s="1"/>
  <c r="AH43" i="5" s="1"/>
  <c r="DL18" i="1"/>
  <c r="DD20" i="1"/>
  <c r="DH22" i="1"/>
  <c r="DH284" i="1" s="1"/>
  <c r="DL23" i="1"/>
  <c r="DD25" i="1"/>
  <c r="DH26" i="1"/>
  <c r="DL27" i="1"/>
  <c r="DD29" i="1"/>
  <c r="DD31" i="1"/>
  <c r="DL31" i="1"/>
  <c r="DL33" i="1"/>
  <c r="DD35" i="1"/>
  <c r="DH36" i="1"/>
  <c r="DL37" i="1"/>
  <c r="DD39" i="1"/>
  <c r="DH40" i="1"/>
  <c r="DL41" i="1"/>
  <c r="DD43" i="1"/>
  <c r="DH44" i="1"/>
  <c r="DL45" i="1"/>
  <c r="DD47" i="1"/>
  <c r="DL47" i="1"/>
  <c r="DL49" i="1"/>
  <c r="DD51" i="1"/>
  <c r="DH52" i="1"/>
  <c r="DL53" i="1"/>
  <c r="DD55" i="1"/>
  <c r="DH56" i="1"/>
  <c r="DL57" i="1"/>
  <c r="DD59" i="1"/>
  <c r="DH60" i="1"/>
  <c r="DL61" i="1"/>
  <c r="DI62" i="1"/>
  <c r="DE63" i="1"/>
  <c r="DA64" i="1"/>
  <c r="DI64" i="1"/>
  <c r="DE65" i="1"/>
  <c r="DA66" i="1"/>
  <c r="DI66" i="1"/>
  <c r="DE67" i="1"/>
  <c r="DA68" i="1"/>
  <c r="DI68" i="1"/>
  <c r="DE69" i="1"/>
  <c r="DA70" i="1"/>
  <c r="DI70" i="1"/>
  <c r="DE71" i="1"/>
  <c r="DA72" i="1"/>
  <c r="DI72" i="1"/>
  <c r="DE73" i="1"/>
  <c r="DA74" i="1"/>
  <c r="DI74" i="1"/>
  <c r="DE75" i="1"/>
  <c r="DA76" i="1"/>
  <c r="DI76" i="1"/>
  <c r="DE77" i="1"/>
  <c r="DA78" i="1"/>
  <c r="DI78" i="1"/>
  <c r="DE79" i="1"/>
  <c r="DE80" i="1"/>
  <c r="DA81" i="1"/>
  <c r="DI81" i="1"/>
  <c r="DE82" i="1"/>
  <c r="DA83" i="1"/>
  <c r="DI83" i="1"/>
  <c r="DE84" i="1"/>
  <c r="DA85" i="1"/>
  <c r="DI86" i="1"/>
  <c r="DE87" i="1"/>
  <c r="DA88" i="1"/>
  <c r="DI88" i="1"/>
  <c r="DE89" i="1"/>
  <c r="DA90" i="1"/>
  <c r="DI90" i="1"/>
  <c r="DE91" i="1"/>
  <c r="DA92" i="1"/>
  <c r="DI92" i="1"/>
  <c r="DE93" i="1"/>
  <c r="DA94" i="1"/>
  <c r="DI94" i="1"/>
  <c r="DE95" i="1"/>
  <c r="DA96" i="1"/>
  <c r="DI96" i="1"/>
  <c r="DE97" i="1"/>
  <c r="DA98" i="1"/>
  <c r="DI98" i="1"/>
  <c r="DE99" i="1"/>
  <c r="DA100" i="1"/>
  <c r="DI100" i="1"/>
  <c r="DE101" i="1"/>
  <c r="DA102" i="1"/>
  <c r="DI102" i="1"/>
  <c r="DE103" i="1"/>
  <c r="DA104" i="1"/>
  <c r="DI104" i="1"/>
  <c r="DE105" i="1"/>
  <c r="DA106" i="1"/>
  <c r="DI106" i="1"/>
  <c r="DE107" i="1"/>
  <c r="DA108" i="1"/>
  <c r="DI108" i="1"/>
  <c r="DE109" i="1"/>
  <c r="DA110" i="1"/>
  <c r="DI110" i="1"/>
  <c r="DE111" i="1"/>
  <c r="DA112" i="1"/>
  <c r="DI112" i="1"/>
  <c r="DI113" i="1"/>
  <c r="DE114" i="1"/>
  <c r="DA115" i="1"/>
  <c r="DI115" i="1"/>
  <c r="DE116" i="1"/>
  <c r="DA117" i="1"/>
  <c r="DI117" i="1"/>
  <c r="DE118" i="1"/>
  <c r="DA119" i="1"/>
  <c r="DI119" i="1"/>
  <c r="DE120" i="1"/>
  <c r="DA121" i="1"/>
  <c r="DI121" i="1"/>
  <c r="DE122" i="1"/>
  <c r="DA123" i="1"/>
  <c r="DI123" i="1"/>
  <c r="DE124" i="1"/>
  <c r="DA125" i="1"/>
  <c r="DI125" i="1"/>
  <c r="DE126" i="1"/>
  <c r="DA127" i="1"/>
  <c r="DI127" i="1"/>
  <c r="DE128" i="1"/>
  <c r="DA129" i="1"/>
  <c r="DI129" i="1"/>
  <c r="DE130" i="1"/>
  <c r="DA131" i="1"/>
  <c r="DI131" i="1"/>
  <c r="DE132" i="1"/>
  <c r="DE133" i="1"/>
  <c r="DA134" i="1"/>
  <c r="DI134" i="1"/>
  <c r="DE135" i="1"/>
  <c r="DA136" i="1"/>
  <c r="DI136" i="1"/>
  <c r="DE137" i="1"/>
  <c r="DA138" i="1"/>
  <c r="DI138" i="1"/>
  <c r="DE139" i="1"/>
  <c r="DA140" i="1"/>
  <c r="DI140" i="1"/>
  <c r="DE141" i="1"/>
  <c r="DA142" i="1"/>
  <c r="DI142" i="1"/>
  <c r="DE143" i="1"/>
  <c r="DA144" i="1"/>
  <c r="DI144" i="1"/>
  <c r="DE145" i="1"/>
  <c r="DA146" i="1"/>
  <c r="DI146" i="1"/>
  <c r="DE147" i="1"/>
  <c r="DA148" i="1"/>
  <c r="DI148" i="1"/>
  <c r="DE149" i="1"/>
  <c r="DA150" i="1"/>
  <c r="DI150" i="1"/>
  <c r="DE151" i="1"/>
  <c r="DA6" i="1"/>
  <c r="DI6" i="1"/>
  <c r="DI259" i="1" s="1"/>
  <c r="DE7" i="1"/>
  <c r="DE262" i="1" s="1"/>
  <c r="DA8" i="1"/>
  <c r="DI8" i="1"/>
  <c r="DI265" i="1" s="1"/>
  <c r="AI11" i="5" s="1"/>
  <c r="DE9" i="1"/>
  <c r="DA10" i="1"/>
  <c r="DI10" i="1"/>
  <c r="DE15" i="1"/>
  <c r="DA16" i="1"/>
  <c r="DI16" i="1"/>
  <c r="DE17" i="1"/>
  <c r="DA18" i="1"/>
  <c r="DI18" i="1"/>
  <c r="DE19" i="1"/>
  <c r="DA20" i="1"/>
  <c r="DI20" i="1"/>
  <c r="DE22" i="1"/>
  <c r="DE284" i="1" s="1"/>
  <c r="DA23" i="1"/>
  <c r="DI23" i="1"/>
  <c r="DE24" i="1"/>
  <c r="DA25" i="1"/>
  <c r="DI25" i="1"/>
  <c r="DE26" i="1"/>
  <c r="DA27" i="1"/>
  <c r="DI27" i="1"/>
  <c r="DE28" i="1"/>
  <c r="DA29" i="1"/>
  <c r="DI29" i="1"/>
  <c r="DE30" i="1"/>
  <c r="DA31" i="1"/>
  <c r="DI31" i="1"/>
  <c r="DE32" i="1"/>
  <c r="DA33" i="1"/>
  <c r="DI33" i="1"/>
  <c r="DE34" i="1"/>
  <c r="DA35" i="1"/>
  <c r="DI35" i="1"/>
  <c r="DE36" i="1"/>
  <c r="DA37" i="1"/>
  <c r="DI37" i="1"/>
  <c r="DE38" i="1"/>
  <c r="DA39" i="1"/>
  <c r="DI39" i="1"/>
  <c r="DE40" i="1"/>
  <c r="DA41" i="1"/>
  <c r="DI41" i="1"/>
  <c r="DE42" i="1"/>
  <c r="DA43" i="1"/>
  <c r="DI43" i="1"/>
  <c r="DE44" i="1"/>
  <c r="DA45" i="1"/>
  <c r="DI45" i="1"/>
  <c r="DE46" i="1"/>
  <c r="DA47" i="1"/>
  <c r="DI47" i="1"/>
  <c r="DE48" i="1"/>
  <c r="DA49" i="1"/>
  <c r="DI49" i="1"/>
  <c r="DE50" i="1"/>
  <c r="DA51" i="1"/>
  <c r="DI51" i="1"/>
  <c r="DE52" i="1"/>
  <c r="DA53" i="1"/>
  <c r="DI53" i="1"/>
  <c r="DE54" i="1"/>
  <c r="DA55" i="1"/>
  <c r="DI55" i="1"/>
  <c r="DE56" i="1"/>
  <c r="DA57" i="1"/>
  <c r="DI57" i="1"/>
  <c r="DE58" i="1"/>
  <c r="DA59" i="1"/>
  <c r="DI59" i="1"/>
  <c r="DE60" i="1"/>
  <c r="DA61" i="1"/>
  <c r="DI61" i="1"/>
  <c r="DD62" i="1"/>
  <c r="DH62" i="1"/>
  <c r="DL62" i="1"/>
  <c r="DD63" i="1"/>
  <c r="DH63" i="1"/>
  <c r="DL63" i="1"/>
  <c r="DD64" i="1"/>
  <c r="DH64" i="1"/>
  <c r="DL64" i="1"/>
  <c r="DD65" i="1"/>
  <c r="DH65" i="1"/>
  <c r="DL65" i="1"/>
  <c r="DD66" i="1"/>
  <c r="DH66" i="1"/>
  <c r="DL66" i="1"/>
  <c r="DD67" i="1"/>
  <c r="DH67" i="1"/>
  <c r="DL67" i="1"/>
  <c r="DD68" i="1"/>
  <c r="DH68" i="1"/>
  <c r="DL68" i="1"/>
  <c r="DD69" i="1"/>
  <c r="DH69" i="1"/>
  <c r="DL69" i="1"/>
  <c r="DD70" i="1"/>
  <c r="DH70" i="1"/>
  <c r="DL70" i="1"/>
  <c r="DD71" i="1"/>
  <c r="DH71" i="1"/>
  <c r="DL71" i="1"/>
  <c r="DD72" i="1"/>
  <c r="DH72" i="1"/>
  <c r="DL72" i="1"/>
  <c r="DD73" i="1"/>
  <c r="DH73" i="1"/>
  <c r="DL73" i="1"/>
  <c r="DD74" i="1"/>
  <c r="DH74" i="1"/>
  <c r="DL74" i="1"/>
  <c r="DD75" i="1"/>
  <c r="DH75" i="1"/>
  <c r="DL75" i="1"/>
  <c r="DD76" i="1"/>
  <c r="DH76" i="1"/>
  <c r="DL76" i="1"/>
  <c r="DD77" i="1"/>
  <c r="DH77" i="1"/>
  <c r="DL77" i="1"/>
  <c r="DD78" i="1"/>
  <c r="DH78" i="1"/>
  <c r="DL78" i="1"/>
  <c r="DD79" i="1"/>
  <c r="DH79" i="1"/>
  <c r="DL79" i="1"/>
  <c r="DD80" i="1"/>
  <c r="DH80" i="1"/>
  <c r="DL80" i="1"/>
  <c r="DD81" i="1"/>
  <c r="DH81" i="1"/>
  <c r="DL81" i="1"/>
  <c r="DD82" i="1"/>
  <c r="DH82" i="1"/>
  <c r="DL82" i="1"/>
  <c r="DD83" i="1"/>
  <c r="DH83" i="1"/>
  <c r="DL83" i="1"/>
  <c r="DD84" i="1"/>
  <c r="DH84" i="1"/>
  <c r="DL84" i="1"/>
  <c r="DD85" i="1"/>
  <c r="DH85" i="1"/>
  <c r="DL85" i="1"/>
  <c r="DD86" i="1"/>
  <c r="DH86" i="1"/>
  <c r="DL86" i="1"/>
  <c r="DD87" i="1"/>
  <c r="DH87" i="1"/>
  <c r="DL87" i="1"/>
  <c r="DD88" i="1"/>
  <c r="DH88" i="1"/>
  <c r="DL88" i="1"/>
  <c r="DD89" i="1"/>
  <c r="DH89" i="1"/>
  <c r="DL89" i="1"/>
  <c r="DD90" i="1"/>
  <c r="DH90" i="1"/>
  <c r="DL90" i="1"/>
  <c r="DD91" i="1"/>
  <c r="DH91" i="1"/>
  <c r="DL91" i="1"/>
  <c r="DD92" i="1"/>
  <c r="DH92" i="1"/>
  <c r="DL92" i="1"/>
  <c r="DD93" i="1"/>
  <c r="DH93" i="1"/>
  <c r="DL93" i="1"/>
  <c r="DD94" i="1"/>
  <c r="DH94" i="1"/>
  <c r="DL94" i="1"/>
  <c r="DD95" i="1"/>
  <c r="DH95" i="1"/>
  <c r="DL95" i="1"/>
  <c r="DD96" i="1"/>
  <c r="DH96" i="1"/>
  <c r="DL96" i="1"/>
  <c r="DD97" i="1"/>
  <c r="DH97" i="1"/>
  <c r="DL97" i="1"/>
  <c r="DD98" i="1"/>
  <c r="DH98" i="1"/>
  <c r="DL98" i="1"/>
  <c r="DD99" i="1"/>
  <c r="DH99" i="1"/>
  <c r="DL99" i="1"/>
  <c r="DD100" i="1"/>
  <c r="DH100" i="1"/>
  <c r="DL100" i="1"/>
  <c r="DD101" i="1"/>
  <c r="DH101" i="1"/>
  <c r="DL101" i="1"/>
  <c r="DD102" i="1"/>
  <c r="DH102" i="1"/>
  <c r="DL102" i="1"/>
  <c r="DD103" i="1"/>
  <c r="DH103" i="1"/>
  <c r="DL103" i="1"/>
  <c r="DD104" i="1"/>
  <c r="DH104" i="1"/>
  <c r="DL104" i="1"/>
  <c r="DD105" i="1"/>
  <c r="DH105" i="1"/>
  <c r="DL105" i="1"/>
  <c r="DD106" i="1"/>
  <c r="DH106" i="1"/>
  <c r="DL106" i="1"/>
  <c r="DD107" i="1"/>
  <c r="DH107" i="1"/>
  <c r="DL107" i="1"/>
  <c r="DD108" i="1"/>
  <c r="DH108" i="1"/>
  <c r="DL108" i="1"/>
  <c r="DD109" i="1"/>
  <c r="DH109" i="1"/>
  <c r="DL109" i="1"/>
  <c r="DD110" i="1"/>
  <c r="DH110" i="1"/>
  <c r="DL110" i="1"/>
  <c r="DD111" i="1"/>
  <c r="DH111" i="1"/>
  <c r="DL111" i="1"/>
  <c r="DD112" i="1"/>
  <c r="DH112" i="1"/>
  <c r="DL112" i="1"/>
  <c r="DD113" i="1"/>
  <c r="DH113" i="1"/>
  <c r="DL113" i="1"/>
  <c r="DD114" i="1"/>
  <c r="DH114" i="1"/>
  <c r="DL114" i="1"/>
  <c r="DD115" i="1"/>
  <c r="DH115" i="1"/>
  <c r="DL115" i="1"/>
  <c r="DD116" i="1"/>
  <c r="DH116" i="1"/>
  <c r="DL116" i="1"/>
  <c r="DD117" i="1"/>
  <c r="DH117" i="1"/>
  <c r="DL117" i="1"/>
  <c r="DD118" i="1"/>
  <c r="DH118" i="1"/>
  <c r="DL118" i="1"/>
  <c r="DD119" i="1"/>
  <c r="DH119" i="1"/>
  <c r="DL119" i="1"/>
  <c r="DD120" i="1"/>
  <c r="DH120" i="1"/>
  <c r="DL120" i="1"/>
  <c r="DD121" i="1"/>
  <c r="DH121" i="1"/>
  <c r="DL121" i="1"/>
  <c r="DD122" i="1"/>
  <c r="DH122" i="1"/>
  <c r="DL122" i="1"/>
  <c r="DD123" i="1"/>
  <c r="DH123" i="1"/>
  <c r="DL123" i="1"/>
  <c r="DD124" i="1"/>
  <c r="DH124" i="1"/>
  <c r="DL124" i="1"/>
  <c r="DD125" i="1"/>
  <c r="DH125" i="1"/>
  <c r="DL125" i="1"/>
  <c r="DD126" i="1"/>
  <c r="DH126" i="1"/>
  <c r="DL126" i="1"/>
  <c r="DD127" i="1"/>
  <c r="DH127" i="1"/>
  <c r="DL127" i="1"/>
  <c r="DD128" i="1"/>
  <c r="DH128" i="1"/>
  <c r="DL128" i="1"/>
  <c r="DD129" i="1"/>
  <c r="DH129" i="1"/>
  <c r="DL129" i="1"/>
  <c r="DD130" i="1"/>
  <c r="DH130" i="1"/>
  <c r="DL130" i="1"/>
  <c r="DD131" i="1"/>
  <c r="DH131" i="1"/>
  <c r="DL131" i="1"/>
  <c r="DD132" i="1"/>
  <c r="DH132" i="1"/>
  <c r="DL132" i="1"/>
  <c r="DD133" i="1"/>
  <c r="DH133" i="1"/>
  <c r="DL133" i="1"/>
  <c r="DD134" i="1"/>
  <c r="DH134" i="1"/>
  <c r="DL134" i="1"/>
  <c r="DD135" i="1"/>
  <c r="DH135" i="1"/>
  <c r="DL135" i="1"/>
  <c r="DD136" i="1"/>
  <c r="DH136" i="1"/>
  <c r="DL136" i="1"/>
  <c r="DD137" i="1"/>
  <c r="DH137" i="1"/>
  <c r="DL137" i="1"/>
  <c r="DD138" i="1"/>
  <c r="DH138" i="1"/>
  <c r="DL138" i="1"/>
  <c r="DD139" i="1"/>
  <c r="DH139" i="1"/>
  <c r="DL139" i="1"/>
  <c r="DD140" i="1"/>
  <c r="DH140" i="1"/>
  <c r="DL140" i="1"/>
  <c r="DD141" i="1"/>
  <c r="DH141" i="1"/>
  <c r="DL141" i="1"/>
  <c r="DD142" i="1"/>
  <c r="DH142" i="1"/>
  <c r="DL142" i="1"/>
  <c r="DD143" i="1"/>
  <c r="DH143" i="1"/>
  <c r="DL143" i="1"/>
  <c r="DD144" i="1"/>
  <c r="DH144" i="1"/>
  <c r="DL144" i="1"/>
  <c r="DD145" i="1"/>
  <c r="DH145" i="1"/>
  <c r="DL145" i="1"/>
  <c r="DD146" i="1"/>
  <c r="DH146" i="1"/>
  <c r="DL146" i="1"/>
  <c r="DD147" i="1"/>
  <c r="DH147" i="1"/>
  <c r="DL147" i="1"/>
  <c r="DD148" i="1"/>
  <c r="DH148" i="1"/>
  <c r="DL148" i="1"/>
  <c r="DD149" i="1"/>
  <c r="DH149" i="1"/>
  <c r="DL149" i="1"/>
  <c r="DD150" i="1"/>
  <c r="DH150" i="1"/>
  <c r="DL150" i="1"/>
  <c r="DD151" i="1"/>
  <c r="DH151" i="1"/>
  <c r="DL151" i="1"/>
  <c r="DD152" i="1"/>
  <c r="DH152" i="1"/>
  <c r="DL152" i="1"/>
  <c r="DD153" i="1"/>
  <c r="DH153" i="1"/>
  <c r="DL153" i="1"/>
  <c r="DE5" i="1"/>
  <c r="DI5" i="1"/>
  <c r="DA5" i="1"/>
  <c r="DD6" i="1"/>
  <c r="DD259" i="1" s="1"/>
  <c r="DH7" i="1"/>
  <c r="DH262" i="1" s="1"/>
  <c r="AH10" i="5" s="1"/>
  <c r="DL8" i="1"/>
  <c r="DL265" i="1" s="1"/>
  <c r="AL11" i="5" s="1"/>
  <c r="DD10" i="1"/>
  <c r="DD289" i="1" s="1"/>
  <c r="DH15" i="1"/>
  <c r="DL16" i="1"/>
  <c r="DD18" i="1"/>
  <c r="DH19" i="1"/>
  <c r="DH269" i="1" s="1"/>
  <c r="AH45" i="5" s="1"/>
  <c r="DL20" i="1"/>
  <c r="DD23" i="1"/>
  <c r="DH24" i="1"/>
  <c r="DL25" i="1"/>
  <c r="DD27" i="1"/>
  <c r="DH28" i="1"/>
  <c r="DL29" i="1"/>
  <c r="DH30" i="1"/>
  <c r="DH32" i="1"/>
  <c r="DD33" i="1"/>
  <c r="DH34" i="1"/>
  <c r="DL35" i="1"/>
  <c r="DD37" i="1"/>
  <c r="DH38" i="1"/>
  <c r="DL39" i="1"/>
  <c r="DD41" i="1"/>
  <c r="DH42" i="1"/>
  <c r="DL43" i="1"/>
  <c r="DD45" i="1"/>
  <c r="DH46" i="1"/>
  <c r="DH48" i="1"/>
  <c r="DD49" i="1"/>
  <c r="DH50" i="1"/>
  <c r="DL51" i="1"/>
  <c r="DD53" i="1"/>
  <c r="DH54" i="1"/>
  <c r="DL55" i="1"/>
  <c r="DD57" i="1"/>
  <c r="DH58" i="1"/>
  <c r="DL59" i="1"/>
  <c r="DD61" i="1"/>
  <c r="DE62" i="1"/>
  <c r="DA63" i="1"/>
  <c r="DI63" i="1"/>
  <c r="DE64" i="1"/>
  <c r="DA65" i="1"/>
  <c r="DI65" i="1"/>
  <c r="DE66" i="1"/>
  <c r="DA67" i="1"/>
  <c r="DI67" i="1"/>
  <c r="DE68" i="1"/>
  <c r="DA69" i="1"/>
  <c r="DI69" i="1"/>
  <c r="DE70" i="1"/>
  <c r="DA71" i="1"/>
  <c r="DI71" i="1"/>
  <c r="DE72" i="1"/>
  <c r="DA73" i="1"/>
  <c r="DI73" i="1"/>
  <c r="DE74" i="1"/>
  <c r="DA75" i="1"/>
  <c r="DI75" i="1"/>
  <c r="DE76" i="1"/>
  <c r="DA77" i="1"/>
  <c r="DI77" i="1"/>
  <c r="DE78" i="1"/>
  <c r="DA79" i="1"/>
  <c r="DI79" i="1"/>
  <c r="DA80" i="1"/>
  <c r="DI80" i="1"/>
  <c r="DE81" i="1"/>
  <c r="DA82" i="1"/>
  <c r="DI82" i="1"/>
  <c r="DE83" i="1"/>
  <c r="DA84" i="1"/>
  <c r="DI84" i="1"/>
  <c r="DE85" i="1"/>
  <c r="DI85" i="1"/>
  <c r="DA86" i="1"/>
  <c r="DE86" i="1"/>
  <c r="DA87" i="1"/>
  <c r="DI87" i="1"/>
  <c r="DE88" i="1"/>
  <c r="DA89" i="1"/>
  <c r="DI89" i="1"/>
  <c r="DE90" i="1"/>
  <c r="DA91" i="1"/>
  <c r="DI91" i="1"/>
  <c r="DE92" i="1"/>
  <c r="DA93" i="1"/>
  <c r="DI93" i="1"/>
  <c r="DE94" i="1"/>
  <c r="DA95" i="1"/>
  <c r="DI95" i="1"/>
  <c r="DE96" i="1"/>
  <c r="DA97" i="1"/>
  <c r="DI97" i="1"/>
  <c r="DE98" i="1"/>
  <c r="DA99" i="1"/>
  <c r="DI99" i="1"/>
  <c r="DE100" i="1"/>
  <c r="DA101" i="1"/>
  <c r="DI101" i="1"/>
  <c r="DE102" i="1"/>
  <c r="DA103" i="1"/>
  <c r="DI103" i="1"/>
  <c r="DE104" i="1"/>
  <c r="DA105" i="1"/>
  <c r="DI105" i="1"/>
  <c r="DE106" i="1"/>
  <c r="DA107" i="1"/>
  <c r="DI107" i="1"/>
  <c r="DE108" i="1"/>
  <c r="DA109" i="1"/>
  <c r="DI109" i="1"/>
  <c r="DE110" i="1"/>
  <c r="DA111" i="1"/>
  <c r="DI111" i="1"/>
  <c r="DE112" i="1"/>
  <c r="DA113" i="1"/>
  <c r="DE113" i="1"/>
  <c r="DA114" i="1"/>
  <c r="DI114" i="1"/>
  <c r="DE115" i="1"/>
  <c r="DA116" i="1"/>
  <c r="DI116" i="1"/>
  <c r="DE117" i="1"/>
  <c r="DA118" i="1"/>
  <c r="DI118" i="1"/>
  <c r="DE119" i="1"/>
  <c r="DA120" i="1"/>
  <c r="DI120" i="1"/>
  <c r="DE121" i="1"/>
  <c r="DA122" i="1"/>
  <c r="DI122" i="1"/>
  <c r="DE123" i="1"/>
  <c r="DA124" i="1"/>
  <c r="DI124" i="1"/>
  <c r="DE125" i="1"/>
  <c r="DA126" i="1"/>
  <c r="DI126" i="1"/>
  <c r="DE127" i="1"/>
  <c r="DA128" i="1"/>
  <c r="DI128" i="1"/>
  <c r="DE129" i="1"/>
  <c r="DA130" i="1"/>
  <c r="DI130" i="1"/>
  <c r="DE131" i="1"/>
  <c r="DA132" i="1"/>
  <c r="DI132" i="1"/>
  <c r="DA133" i="1"/>
  <c r="DI133" i="1"/>
  <c r="DE134" i="1"/>
  <c r="DA135" i="1"/>
  <c r="DI135" i="1"/>
  <c r="DE136" i="1"/>
  <c r="DA137" i="1"/>
  <c r="DI137" i="1"/>
  <c r="DE138" i="1"/>
  <c r="DA139" i="1"/>
  <c r="DI139" i="1"/>
  <c r="DE140" i="1"/>
  <c r="DA141" i="1"/>
  <c r="DI141" i="1"/>
  <c r="DE142" i="1"/>
  <c r="DA143" i="1"/>
  <c r="DI143" i="1"/>
  <c r="DE144" i="1"/>
  <c r="DA145" i="1"/>
  <c r="DI145" i="1"/>
  <c r="DE146" i="1"/>
  <c r="DA147" i="1"/>
  <c r="DI147" i="1"/>
  <c r="DE148" i="1"/>
  <c r="DA149" i="1"/>
  <c r="DI149" i="1"/>
  <c r="DE150" i="1"/>
  <c r="DA151" i="1"/>
  <c r="DE6" i="1"/>
  <c r="DE259" i="1" s="1"/>
  <c r="DA9" i="1"/>
  <c r="DI15" i="1"/>
  <c r="DE18" i="1"/>
  <c r="DE266" i="1" s="1"/>
  <c r="AE44" i="5" s="1"/>
  <c r="DA22" i="1"/>
  <c r="DI24" i="1"/>
  <c r="DE27" i="1"/>
  <c r="DA30" i="1"/>
  <c r="DI32" i="1"/>
  <c r="DE35" i="1"/>
  <c r="DA38" i="1"/>
  <c r="DI40" i="1"/>
  <c r="DE43" i="1"/>
  <c r="DA46" i="1"/>
  <c r="DI48" i="1"/>
  <c r="DE51" i="1"/>
  <c r="DA54" i="1"/>
  <c r="DI56" i="1"/>
  <c r="DE59" i="1"/>
  <c r="DA62" i="1"/>
  <c r="DF63" i="1"/>
  <c r="DJ64" i="1"/>
  <c r="DB66" i="1"/>
  <c r="DF67" i="1"/>
  <c r="DJ68" i="1"/>
  <c r="DB70" i="1"/>
  <c r="DF71" i="1"/>
  <c r="DJ72" i="1"/>
  <c r="DB74" i="1"/>
  <c r="DF75" i="1"/>
  <c r="DJ76" i="1"/>
  <c r="DB78" i="1"/>
  <c r="DF79" i="1"/>
  <c r="DJ80" i="1"/>
  <c r="DB82" i="1"/>
  <c r="DF83" i="1"/>
  <c r="DJ84" i="1"/>
  <c r="DB86" i="1"/>
  <c r="DF87" i="1"/>
  <c r="DJ88" i="1"/>
  <c r="DB90" i="1"/>
  <c r="DF91" i="1"/>
  <c r="DJ92" i="1"/>
  <c r="DB94" i="1"/>
  <c r="DF95" i="1"/>
  <c r="DJ96" i="1"/>
  <c r="DB98" i="1"/>
  <c r="DF99" i="1"/>
  <c r="DJ100" i="1"/>
  <c r="DB102" i="1"/>
  <c r="DF103" i="1"/>
  <c r="DJ104" i="1"/>
  <c r="DB106" i="1"/>
  <c r="DF107" i="1"/>
  <c r="DJ108" i="1"/>
  <c r="DB110" i="1"/>
  <c r="DF111" i="1"/>
  <c r="DJ112" i="1"/>
  <c r="DB114" i="1"/>
  <c r="DF115" i="1"/>
  <c r="DJ116" i="1"/>
  <c r="DB118" i="1"/>
  <c r="DF119" i="1"/>
  <c r="DJ120" i="1"/>
  <c r="DB122" i="1"/>
  <c r="DF123" i="1"/>
  <c r="DJ124" i="1"/>
  <c r="DB126" i="1"/>
  <c r="DF127" i="1"/>
  <c r="DJ128" i="1"/>
  <c r="DB130" i="1"/>
  <c r="DF131" i="1"/>
  <c r="DJ132" i="1"/>
  <c r="DB134" i="1"/>
  <c r="DF135" i="1"/>
  <c r="DJ136" i="1"/>
  <c r="DB138" i="1"/>
  <c r="DF139" i="1"/>
  <c r="DJ140" i="1"/>
  <c r="DB142" i="1"/>
  <c r="DF143" i="1"/>
  <c r="DJ144" i="1"/>
  <c r="DB146" i="1"/>
  <c r="DF147" i="1"/>
  <c r="DJ148" i="1"/>
  <c r="DB150" i="1"/>
  <c r="DF151" i="1"/>
  <c r="DB152" i="1"/>
  <c r="DJ152" i="1"/>
  <c r="DF153" i="1"/>
  <c r="DC5" i="1"/>
  <c r="DK5" i="1"/>
  <c r="DF77" i="1"/>
  <c r="DF81" i="1"/>
  <c r="DB84" i="1"/>
  <c r="DJ86" i="1"/>
  <c r="DF89" i="1"/>
  <c r="DB92" i="1"/>
  <c r="DJ94" i="1"/>
  <c r="DF97" i="1"/>
  <c r="DB100" i="1"/>
  <c r="DJ102" i="1"/>
  <c r="DF105" i="1"/>
  <c r="DB108" i="1"/>
  <c r="DJ110" i="1"/>
  <c r="DF113" i="1"/>
  <c r="DB116" i="1"/>
  <c r="DJ118" i="1"/>
  <c r="DF121" i="1"/>
  <c r="DB124" i="1"/>
  <c r="DJ126" i="1"/>
  <c r="DF129" i="1"/>
  <c r="DB132" i="1"/>
  <c r="DJ134" i="1"/>
  <c r="DF137" i="1"/>
  <c r="DB140" i="1"/>
  <c r="DJ142" i="1"/>
  <c r="DF145" i="1"/>
  <c r="DB148" i="1"/>
  <c r="DF149" i="1"/>
  <c r="DJ151" i="1"/>
  <c r="DB153" i="1"/>
  <c r="DG5" i="1"/>
  <c r="DA15" i="1"/>
  <c r="DE20" i="1"/>
  <c r="DI26" i="1"/>
  <c r="DA32" i="1"/>
  <c r="DE37" i="1"/>
  <c r="DI42" i="1"/>
  <c r="DA48" i="1"/>
  <c r="DE53" i="1"/>
  <c r="DI58" i="1"/>
  <c r="DB63" i="1"/>
  <c r="DJ65" i="1"/>
  <c r="DF68" i="1"/>
  <c r="DB71" i="1"/>
  <c r="DJ73" i="1"/>
  <c r="DF76" i="1"/>
  <c r="DB79" i="1"/>
  <c r="DJ81" i="1"/>
  <c r="DF84" i="1"/>
  <c r="DB87" i="1"/>
  <c r="DJ89" i="1"/>
  <c r="DF92" i="1"/>
  <c r="DB95" i="1"/>
  <c r="DJ97" i="1"/>
  <c r="DF100" i="1"/>
  <c r="DB103" i="1"/>
  <c r="DJ105" i="1"/>
  <c r="DF108" i="1"/>
  <c r="DB111" i="1"/>
  <c r="DJ113" i="1"/>
  <c r="DF116" i="1"/>
  <c r="DB119" i="1"/>
  <c r="DJ121" i="1"/>
  <c r="DF124" i="1"/>
  <c r="DB127" i="1"/>
  <c r="DJ129" i="1"/>
  <c r="DF132" i="1"/>
  <c r="DB135" i="1"/>
  <c r="DJ137" i="1"/>
  <c r="DF140" i="1"/>
  <c r="DB143" i="1"/>
  <c r="DJ145" i="1"/>
  <c r="DF148" i="1"/>
  <c r="DB151" i="1"/>
  <c r="DE153" i="1"/>
  <c r="DJ5" i="1"/>
  <c r="DA7" i="1"/>
  <c r="DI9" i="1"/>
  <c r="DE16" i="1"/>
  <c r="DA19" i="1"/>
  <c r="DI22" i="1"/>
  <c r="DI284" i="1" s="1"/>
  <c r="DE25" i="1"/>
  <c r="DA28" i="1"/>
  <c r="DI30" i="1"/>
  <c r="DE33" i="1"/>
  <c r="DA36" i="1"/>
  <c r="DI38" i="1"/>
  <c r="DE41" i="1"/>
  <c r="DA44" i="1"/>
  <c r="DI46" i="1"/>
  <c r="DE49" i="1"/>
  <c r="DA52" i="1"/>
  <c r="DI54" i="1"/>
  <c r="DE57" i="1"/>
  <c r="DA60" i="1"/>
  <c r="DF62" i="1"/>
  <c r="DJ63" i="1"/>
  <c r="DB65" i="1"/>
  <c r="DF66" i="1"/>
  <c r="DJ67" i="1"/>
  <c r="DB69" i="1"/>
  <c r="DF70" i="1"/>
  <c r="DJ71" i="1"/>
  <c r="DB73" i="1"/>
  <c r="DF74" i="1"/>
  <c r="DJ75" i="1"/>
  <c r="DB77" i="1"/>
  <c r="DF78" i="1"/>
  <c r="DJ79" i="1"/>
  <c r="DB81" i="1"/>
  <c r="DF82" i="1"/>
  <c r="DJ83" i="1"/>
  <c r="DB85" i="1"/>
  <c r="DF86" i="1"/>
  <c r="DJ87" i="1"/>
  <c r="DB89" i="1"/>
  <c r="DF90" i="1"/>
  <c r="DJ91" i="1"/>
  <c r="DB93" i="1"/>
  <c r="DF94" i="1"/>
  <c r="DJ95" i="1"/>
  <c r="DB97" i="1"/>
  <c r="DF98" i="1"/>
  <c r="DJ99" i="1"/>
  <c r="DB101" i="1"/>
  <c r="DF102" i="1"/>
  <c r="DJ103" i="1"/>
  <c r="DB105" i="1"/>
  <c r="DF106" i="1"/>
  <c r="DJ107" i="1"/>
  <c r="DB109" i="1"/>
  <c r="DF110" i="1"/>
  <c r="DJ111" i="1"/>
  <c r="DB113" i="1"/>
  <c r="DF114" i="1"/>
  <c r="DJ115" i="1"/>
  <c r="DB117" i="1"/>
  <c r="DF118" i="1"/>
  <c r="DJ119" i="1"/>
  <c r="DB121" i="1"/>
  <c r="DF122" i="1"/>
  <c r="DJ123" i="1"/>
  <c r="DB125" i="1"/>
  <c r="DF126" i="1"/>
  <c r="DJ127" i="1"/>
  <c r="DB129" i="1"/>
  <c r="DF130" i="1"/>
  <c r="DJ131" i="1"/>
  <c r="DB133" i="1"/>
  <c r="DF134" i="1"/>
  <c r="DJ135" i="1"/>
  <c r="DB137" i="1"/>
  <c r="DF138" i="1"/>
  <c r="DJ139" i="1"/>
  <c r="DB141" i="1"/>
  <c r="DF142" i="1"/>
  <c r="DJ143" i="1"/>
  <c r="DB145" i="1"/>
  <c r="DF146" i="1"/>
  <c r="DJ147" i="1"/>
  <c r="DB149" i="1"/>
  <c r="DF150" i="1"/>
  <c r="DI151" i="1"/>
  <c r="DE152" i="1"/>
  <c r="DA153" i="1"/>
  <c r="DI153" i="1"/>
  <c r="DF5" i="1"/>
  <c r="DI7" i="1"/>
  <c r="DI262" i="1" s="1"/>
  <c r="AI10" i="5" s="1"/>
  <c r="DE10" i="1"/>
  <c r="DA17" i="1"/>
  <c r="DI19" i="1"/>
  <c r="DI269" i="1" s="1"/>
  <c r="AI45" i="5" s="1"/>
  <c r="DE23" i="1"/>
  <c r="DA26" i="1"/>
  <c r="DI28" i="1"/>
  <c r="DE31" i="1"/>
  <c r="DA34" i="1"/>
  <c r="DI36" i="1"/>
  <c r="DE39" i="1"/>
  <c r="DA42" i="1"/>
  <c r="DI44" i="1"/>
  <c r="DE47" i="1"/>
  <c r="DA50" i="1"/>
  <c r="DI52" i="1"/>
  <c r="DE55" i="1"/>
  <c r="DA58" i="1"/>
  <c r="DI60" i="1"/>
  <c r="DJ62" i="1"/>
  <c r="DB64" i="1"/>
  <c r="DF65" i="1"/>
  <c r="DJ66" i="1"/>
  <c r="DB68" i="1"/>
  <c r="DF69" i="1"/>
  <c r="DJ70" i="1"/>
  <c r="DB72" i="1"/>
  <c r="DF73" i="1"/>
  <c r="DJ74" i="1"/>
  <c r="DB76" i="1"/>
  <c r="DJ78" i="1"/>
  <c r="DB80" i="1"/>
  <c r="DJ82" i="1"/>
  <c r="DF85" i="1"/>
  <c r="DB88" i="1"/>
  <c r="DJ90" i="1"/>
  <c r="DF93" i="1"/>
  <c r="DB96" i="1"/>
  <c r="DJ98" i="1"/>
  <c r="DF101" i="1"/>
  <c r="DB104" i="1"/>
  <c r="DJ106" i="1"/>
  <c r="DF109" i="1"/>
  <c r="DB112" i="1"/>
  <c r="DJ114" i="1"/>
  <c r="DF117" i="1"/>
  <c r="DB120" i="1"/>
  <c r="DJ122" i="1"/>
  <c r="DF125" i="1"/>
  <c r="DB128" i="1"/>
  <c r="DJ130" i="1"/>
  <c r="DF133" i="1"/>
  <c r="DB136" i="1"/>
  <c r="DJ138" i="1"/>
  <c r="DF141" i="1"/>
  <c r="DB144" i="1"/>
  <c r="DJ146" i="1"/>
  <c r="DJ150" i="1"/>
  <c r="DF152" i="1"/>
  <c r="DJ153" i="1"/>
  <c r="DE8" i="1"/>
  <c r="DE265" i="1" s="1"/>
  <c r="AE11" i="5" s="1"/>
  <c r="DI17" i="1"/>
  <c r="DA24" i="1"/>
  <c r="DE29" i="1"/>
  <c r="DI34" i="1"/>
  <c r="DA40" i="1"/>
  <c r="DE45" i="1"/>
  <c r="DI50" i="1"/>
  <c r="DA56" i="1"/>
  <c r="DE61" i="1"/>
  <c r="DF64" i="1"/>
  <c r="DB67" i="1"/>
  <c r="DJ69" i="1"/>
  <c r="DF72" i="1"/>
  <c r="DB75" i="1"/>
  <c r="DJ77" i="1"/>
  <c r="DF80" i="1"/>
  <c r="DB83" i="1"/>
  <c r="DJ85" i="1"/>
  <c r="DF88" i="1"/>
  <c r="DB91" i="1"/>
  <c r="DJ93" i="1"/>
  <c r="DF96" i="1"/>
  <c r="DB99" i="1"/>
  <c r="DJ101" i="1"/>
  <c r="DF104" i="1"/>
  <c r="DB107" i="1"/>
  <c r="DJ109" i="1"/>
  <c r="DF112" i="1"/>
  <c r="DB115" i="1"/>
  <c r="DJ117" i="1"/>
  <c r="DF120" i="1"/>
  <c r="DB123" i="1"/>
  <c r="DJ125" i="1"/>
  <c r="DF128" i="1"/>
  <c r="DB131" i="1"/>
  <c r="DJ133" i="1"/>
  <c r="DF136" i="1"/>
  <c r="DB139" i="1"/>
  <c r="DJ141" i="1"/>
  <c r="DF144" i="1"/>
  <c r="DB147" i="1"/>
  <c r="DJ149" i="1"/>
  <c r="DA152" i="1"/>
  <c r="DI152" i="1"/>
  <c r="DB5" i="1"/>
  <c r="CQ6" i="1"/>
  <c r="CQ259" i="1" s="1"/>
  <c r="CU6" i="1"/>
  <c r="CU259" i="1" s="1"/>
  <c r="CY6" i="1"/>
  <c r="CY259" i="1" s="1"/>
  <c r="CQ7" i="1"/>
  <c r="CQ262" i="1" s="1"/>
  <c r="CU7" i="1"/>
  <c r="CU262" i="1" s="1"/>
  <c r="CY7" i="1"/>
  <c r="CY262" i="1" s="1"/>
  <c r="CQ8" i="1"/>
  <c r="CQ265" i="1" s="1"/>
  <c r="CU8" i="1"/>
  <c r="CU265" i="1" s="1"/>
  <c r="CY8" i="1"/>
  <c r="CY265" i="1" s="1"/>
  <c r="CQ9" i="1"/>
  <c r="CU9" i="1"/>
  <c r="CY9" i="1"/>
  <c r="CQ10" i="1"/>
  <c r="CU10" i="1"/>
  <c r="CY10" i="1"/>
  <c r="CQ15" i="1"/>
  <c r="CU15" i="1"/>
  <c r="CY15" i="1"/>
  <c r="CQ16" i="1"/>
  <c r="CQ260" i="1" s="1"/>
  <c r="CU16" i="1"/>
  <c r="CY16" i="1"/>
  <c r="CQ17" i="1"/>
  <c r="CU17" i="1"/>
  <c r="CU263" i="1" s="1"/>
  <c r="U43" i="5" s="1"/>
  <c r="CY17" i="1"/>
  <c r="CQ18" i="1"/>
  <c r="CU18" i="1"/>
  <c r="CY18" i="1"/>
  <c r="CY266" i="1" s="1"/>
  <c r="Y44" i="5" s="1"/>
  <c r="CQ19" i="1"/>
  <c r="CU19" i="1"/>
  <c r="CY19" i="1"/>
  <c r="CQ20" i="1"/>
  <c r="CU20" i="1"/>
  <c r="CY20" i="1"/>
  <c r="CQ22" i="1"/>
  <c r="CQ284" i="1" s="1"/>
  <c r="CU22" i="1"/>
  <c r="CU284" i="1" s="1"/>
  <c r="CY22" i="1"/>
  <c r="CY284" i="1" s="1"/>
  <c r="CQ23" i="1"/>
  <c r="CU23" i="1"/>
  <c r="CY23" i="1"/>
  <c r="CQ24" i="1"/>
  <c r="CU24" i="1"/>
  <c r="CY24" i="1"/>
  <c r="CQ25" i="1"/>
  <c r="CU25" i="1"/>
  <c r="CY25" i="1"/>
  <c r="CQ26" i="1"/>
  <c r="CU26" i="1"/>
  <c r="CY26" i="1"/>
  <c r="CQ27" i="1"/>
  <c r="CU27" i="1"/>
  <c r="CY27" i="1"/>
  <c r="CQ28" i="1"/>
  <c r="CU28" i="1"/>
  <c r="CY28" i="1"/>
  <c r="CQ29" i="1"/>
  <c r="CU29" i="1"/>
  <c r="CY29" i="1"/>
  <c r="CQ30" i="1"/>
  <c r="CU30" i="1"/>
  <c r="CY30" i="1"/>
  <c r="CQ31" i="1"/>
  <c r="CU31" i="1"/>
  <c r="CY31" i="1"/>
  <c r="CQ32" i="1"/>
  <c r="CU32" i="1"/>
  <c r="CY32" i="1"/>
  <c r="CQ33" i="1"/>
  <c r="CU33" i="1"/>
  <c r="CY33" i="1"/>
  <c r="CQ34" i="1"/>
  <c r="CU34" i="1"/>
  <c r="CY34" i="1"/>
  <c r="CQ35" i="1"/>
  <c r="CU35" i="1"/>
  <c r="CY35" i="1"/>
  <c r="CQ36" i="1"/>
  <c r="CU36" i="1"/>
  <c r="CY36" i="1"/>
  <c r="CQ37" i="1"/>
  <c r="CU37" i="1"/>
  <c r="CY37" i="1"/>
  <c r="CQ38" i="1"/>
  <c r="CU38" i="1"/>
  <c r="CY38" i="1"/>
  <c r="CQ39" i="1"/>
  <c r="CU39" i="1"/>
  <c r="CY39" i="1"/>
  <c r="CQ40" i="1"/>
  <c r="CU40" i="1"/>
  <c r="CY40" i="1"/>
  <c r="CQ41" i="1"/>
  <c r="CU41" i="1"/>
  <c r="CY41" i="1"/>
  <c r="CQ42" i="1"/>
  <c r="CU42" i="1"/>
  <c r="CY42" i="1"/>
  <c r="CQ43" i="1"/>
  <c r="CU43" i="1"/>
  <c r="CY43" i="1"/>
  <c r="CQ44" i="1"/>
  <c r="CU44" i="1"/>
  <c r="CY44" i="1"/>
  <c r="CQ45" i="1"/>
  <c r="CU45" i="1"/>
  <c r="CY45" i="1"/>
  <c r="CQ46" i="1"/>
  <c r="CU46" i="1"/>
  <c r="CY46" i="1"/>
  <c r="CQ47" i="1"/>
  <c r="CU47" i="1"/>
  <c r="CY47" i="1"/>
  <c r="CQ48" i="1"/>
  <c r="CU48" i="1"/>
  <c r="CY48" i="1"/>
  <c r="CQ49" i="1"/>
  <c r="CU49" i="1"/>
  <c r="CY49" i="1"/>
  <c r="CQ50" i="1"/>
  <c r="CU50" i="1"/>
  <c r="CY50" i="1"/>
  <c r="CQ51" i="1"/>
  <c r="CU51" i="1"/>
  <c r="CY51" i="1"/>
  <c r="CQ52" i="1"/>
  <c r="CU52" i="1"/>
  <c r="CY52" i="1"/>
  <c r="CQ53" i="1"/>
  <c r="CU53" i="1"/>
  <c r="CY53" i="1"/>
  <c r="CQ54" i="1"/>
  <c r="CU54" i="1"/>
  <c r="CY54" i="1"/>
  <c r="CQ55" i="1"/>
  <c r="CU55" i="1"/>
  <c r="CY55" i="1"/>
  <c r="CQ56" i="1"/>
  <c r="CU56" i="1"/>
  <c r="CY56" i="1"/>
  <c r="CQ57" i="1"/>
  <c r="CU57" i="1"/>
  <c r="CY57" i="1"/>
  <c r="CQ58" i="1"/>
  <c r="CU58" i="1"/>
  <c r="CY58" i="1"/>
  <c r="CQ59" i="1"/>
  <c r="CU59" i="1"/>
  <c r="CY59" i="1"/>
  <c r="CQ60" i="1"/>
  <c r="CU60" i="1"/>
  <c r="CY60" i="1"/>
  <c r="CQ61" i="1"/>
  <c r="CU61" i="1"/>
  <c r="CY61" i="1"/>
  <c r="CQ62" i="1"/>
  <c r="CU62" i="1"/>
  <c r="CY62" i="1"/>
  <c r="CQ63" i="1"/>
  <c r="CU63" i="1"/>
  <c r="CY63" i="1"/>
  <c r="CQ64" i="1"/>
  <c r="CU64" i="1"/>
  <c r="CY64" i="1"/>
  <c r="CQ65" i="1"/>
  <c r="CU65" i="1"/>
  <c r="CY65" i="1"/>
  <c r="CQ66" i="1"/>
  <c r="CU66" i="1"/>
  <c r="CY66" i="1"/>
  <c r="CQ67" i="1"/>
  <c r="CU67" i="1"/>
  <c r="CY67" i="1"/>
  <c r="CQ68" i="1"/>
  <c r="CU68" i="1"/>
  <c r="CY68" i="1"/>
  <c r="CQ69" i="1"/>
  <c r="CU69" i="1"/>
  <c r="CY69" i="1"/>
  <c r="CQ70" i="1"/>
  <c r="CU70" i="1"/>
  <c r="CY70" i="1"/>
  <c r="CQ71" i="1"/>
  <c r="CU71" i="1"/>
  <c r="CY71" i="1"/>
  <c r="CQ72" i="1"/>
  <c r="CU72" i="1"/>
  <c r="CY72" i="1"/>
  <c r="CQ73" i="1"/>
  <c r="CU73" i="1"/>
  <c r="CY73" i="1"/>
  <c r="CQ74" i="1"/>
  <c r="CU74" i="1"/>
  <c r="CY74" i="1"/>
  <c r="CQ75" i="1"/>
  <c r="CU75" i="1"/>
  <c r="CY75" i="1"/>
  <c r="CQ76" i="1"/>
  <c r="CU76" i="1"/>
  <c r="CY76" i="1"/>
  <c r="CQ77" i="1"/>
  <c r="CU77" i="1"/>
  <c r="CY77" i="1"/>
  <c r="CQ78" i="1"/>
  <c r="CU78" i="1"/>
  <c r="CY78" i="1"/>
  <c r="CQ79" i="1"/>
  <c r="CU79" i="1"/>
  <c r="CY79" i="1"/>
  <c r="CQ80" i="1"/>
  <c r="CU80" i="1"/>
  <c r="CY80" i="1"/>
  <c r="CQ81" i="1"/>
  <c r="CU81" i="1"/>
  <c r="CY81" i="1"/>
  <c r="CQ82" i="1"/>
  <c r="CU82" i="1"/>
  <c r="CY82" i="1"/>
  <c r="CQ83" i="1"/>
  <c r="CU83" i="1"/>
  <c r="CY83" i="1"/>
  <c r="CQ84" i="1"/>
  <c r="CU84" i="1"/>
  <c r="CY84" i="1"/>
  <c r="CQ85" i="1"/>
  <c r="CU85" i="1"/>
  <c r="CY85" i="1"/>
  <c r="CQ86" i="1"/>
  <c r="CU86" i="1"/>
  <c r="CY86" i="1"/>
  <c r="CQ87" i="1"/>
  <c r="CU87" i="1"/>
  <c r="CY87" i="1"/>
  <c r="CQ88" i="1"/>
  <c r="CU88" i="1"/>
  <c r="CY88" i="1"/>
  <c r="CQ89" i="1"/>
  <c r="CU89" i="1"/>
  <c r="CY89" i="1"/>
  <c r="CQ90" i="1"/>
  <c r="CU90" i="1"/>
  <c r="CY90" i="1"/>
  <c r="CQ91" i="1"/>
  <c r="CU91" i="1"/>
  <c r="CY91" i="1"/>
  <c r="CQ92" i="1"/>
  <c r="CU92" i="1"/>
  <c r="CY92" i="1"/>
  <c r="CQ93" i="1"/>
  <c r="CU93" i="1"/>
  <c r="CY93" i="1"/>
  <c r="CQ94" i="1"/>
  <c r="CU94" i="1"/>
  <c r="CY94" i="1"/>
  <c r="CQ95" i="1"/>
  <c r="CU95" i="1"/>
  <c r="CY95" i="1"/>
  <c r="CQ96" i="1"/>
  <c r="CU96" i="1"/>
  <c r="CY96" i="1"/>
  <c r="CQ97" i="1"/>
  <c r="CU97" i="1"/>
  <c r="CY97" i="1"/>
  <c r="CQ98" i="1"/>
  <c r="CU98" i="1"/>
  <c r="CY98" i="1"/>
  <c r="CQ99" i="1"/>
  <c r="CU99" i="1"/>
  <c r="CY99" i="1"/>
  <c r="CQ100" i="1"/>
  <c r="CU100" i="1"/>
  <c r="CY100" i="1"/>
  <c r="CQ101" i="1"/>
  <c r="CU101" i="1"/>
  <c r="CY101" i="1"/>
  <c r="CQ102" i="1"/>
  <c r="CU102" i="1"/>
  <c r="CY102" i="1"/>
  <c r="CQ103" i="1"/>
  <c r="CU103" i="1"/>
  <c r="CY103" i="1"/>
  <c r="CQ104" i="1"/>
  <c r="CU104" i="1"/>
  <c r="CY104" i="1"/>
  <c r="CQ105" i="1"/>
  <c r="CU105" i="1"/>
  <c r="CY105" i="1"/>
  <c r="CQ106" i="1"/>
  <c r="CU106" i="1"/>
  <c r="CY106" i="1"/>
  <c r="CQ107" i="1"/>
  <c r="CU107" i="1"/>
  <c r="CY107" i="1"/>
  <c r="CQ108" i="1"/>
  <c r="CU108" i="1"/>
  <c r="CY108" i="1"/>
  <c r="CQ109" i="1"/>
  <c r="CU109" i="1"/>
  <c r="CY109" i="1"/>
  <c r="CQ110" i="1"/>
  <c r="CU110" i="1"/>
  <c r="CY110" i="1"/>
  <c r="CQ111" i="1"/>
  <c r="CU111" i="1"/>
  <c r="CY111" i="1"/>
  <c r="CQ112" i="1"/>
  <c r="CU112" i="1"/>
  <c r="CY112" i="1"/>
  <c r="CQ113" i="1"/>
  <c r="CU113" i="1"/>
  <c r="CY113" i="1"/>
  <c r="CQ114" i="1"/>
  <c r="CU114" i="1"/>
  <c r="CY114" i="1"/>
  <c r="CQ115" i="1"/>
  <c r="CU115" i="1"/>
  <c r="CY115" i="1"/>
  <c r="CQ116" i="1"/>
  <c r="CU116" i="1"/>
  <c r="CY116" i="1"/>
  <c r="CQ117" i="1"/>
  <c r="CU117" i="1"/>
  <c r="CY117" i="1"/>
  <c r="CQ118" i="1"/>
  <c r="CU118" i="1"/>
  <c r="CY118" i="1"/>
  <c r="CQ119" i="1"/>
  <c r="CU119" i="1"/>
  <c r="CY119" i="1"/>
  <c r="CQ120" i="1"/>
  <c r="CU120" i="1"/>
  <c r="CY120" i="1"/>
  <c r="CQ121" i="1"/>
  <c r="CU121" i="1"/>
  <c r="CY121" i="1"/>
  <c r="CQ122" i="1"/>
  <c r="CU122" i="1"/>
  <c r="CY122" i="1"/>
  <c r="CQ123" i="1"/>
  <c r="CU123" i="1"/>
  <c r="CY123" i="1"/>
  <c r="CQ124" i="1"/>
  <c r="CU124" i="1"/>
  <c r="CY124" i="1"/>
  <c r="CQ125" i="1"/>
  <c r="CU125" i="1"/>
  <c r="CY125" i="1"/>
  <c r="CQ126" i="1"/>
  <c r="CU126" i="1"/>
  <c r="CY126" i="1"/>
  <c r="CQ127" i="1"/>
  <c r="CU127" i="1"/>
  <c r="CY127" i="1"/>
  <c r="CQ128" i="1"/>
  <c r="CU128" i="1"/>
  <c r="CY128" i="1"/>
  <c r="CQ129" i="1"/>
  <c r="CU129" i="1"/>
  <c r="CY129" i="1"/>
  <c r="CQ130" i="1"/>
  <c r="CU130" i="1"/>
  <c r="CY130" i="1"/>
  <c r="CQ131" i="1"/>
  <c r="CU131" i="1"/>
  <c r="CY131" i="1"/>
  <c r="CQ132" i="1"/>
  <c r="CU132" i="1"/>
  <c r="CY132" i="1"/>
  <c r="CQ133" i="1"/>
  <c r="CU133" i="1"/>
  <c r="CY133" i="1"/>
  <c r="CQ134" i="1"/>
  <c r="CU134" i="1"/>
  <c r="CY134" i="1"/>
  <c r="CQ135" i="1"/>
  <c r="CU135" i="1"/>
  <c r="CY135" i="1"/>
  <c r="CQ136" i="1"/>
  <c r="CU136" i="1"/>
  <c r="CY136" i="1"/>
  <c r="CQ137" i="1"/>
  <c r="CU137" i="1"/>
  <c r="CY137" i="1"/>
  <c r="CQ138" i="1"/>
  <c r="CU138" i="1"/>
  <c r="CY138" i="1"/>
  <c r="CQ139" i="1"/>
  <c r="CU139" i="1"/>
  <c r="CY139" i="1"/>
  <c r="CQ140" i="1"/>
  <c r="CU140" i="1"/>
  <c r="CY140" i="1"/>
  <c r="CQ141" i="1"/>
  <c r="CU141" i="1"/>
  <c r="CY141" i="1"/>
  <c r="CQ142" i="1"/>
  <c r="CU142" i="1"/>
  <c r="CY142" i="1"/>
  <c r="CQ143" i="1"/>
  <c r="CU143" i="1"/>
  <c r="CY143" i="1"/>
  <c r="CQ144" i="1"/>
  <c r="CU144" i="1"/>
  <c r="CY144" i="1"/>
  <c r="CQ145" i="1"/>
  <c r="CU145" i="1"/>
  <c r="CY145" i="1"/>
  <c r="CQ146" i="1"/>
  <c r="CU146" i="1"/>
  <c r="CY146" i="1"/>
  <c r="CQ147" i="1"/>
  <c r="CU147" i="1"/>
  <c r="CY147" i="1"/>
  <c r="CQ148" i="1"/>
  <c r="CU148" i="1"/>
  <c r="CY148" i="1"/>
  <c r="CQ149" i="1"/>
  <c r="CU149" i="1"/>
  <c r="CY149" i="1"/>
  <c r="CQ150" i="1"/>
  <c r="CU150" i="1"/>
  <c r="CY150" i="1"/>
  <c r="CQ151" i="1"/>
  <c r="CU151" i="1"/>
  <c r="CY151" i="1"/>
  <c r="CQ152" i="1"/>
  <c r="CU152" i="1"/>
  <c r="CY152" i="1"/>
  <c r="CQ153" i="1"/>
  <c r="CU153" i="1"/>
  <c r="CY153" i="1"/>
  <c r="CR5" i="1"/>
  <c r="CV5" i="1"/>
  <c r="CZ5" i="1"/>
  <c r="CR6" i="1"/>
  <c r="CR259" i="1" s="1"/>
  <c r="CV6" i="1"/>
  <c r="CV259" i="1" s="1"/>
  <c r="CZ6" i="1"/>
  <c r="CZ259" i="1" s="1"/>
  <c r="CR7" i="1"/>
  <c r="CR262" i="1" s="1"/>
  <c r="R10" i="5" s="1"/>
  <c r="CV7" i="1"/>
  <c r="CV262" i="1" s="1"/>
  <c r="V10" i="5" s="1"/>
  <c r="CZ7" i="1"/>
  <c r="CZ262" i="1" s="1"/>
  <c r="Z10" i="5" s="1"/>
  <c r="CR8" i="1"/>
  <c r="CR265" i="1" s="1"/>
  <c r="R11" i="5" s="1"/>
  <c r="CV8" i="1"/>
  <c r="CV265" i="1" s="1"/>
  <c r="V11" i="5" s="1"/>
  <c r="CZ8" i="1"/>
  <c r="CZ265" i="1" s="1"/>
  <c r="Z11" i="5" s="1"/>
  <c r="CR9" i="1"/>
  <c r="CV9" i="1"/>
  <c r="CZ9" i="1"/>
  <c r="CR10" i="1"/>
  <c r="CV10" i="1"/>
  <c r="CZ10" i="1"/>
  <c r="CR15" i="1"/>
  <c r="CV15" i="1"/>
  <c r="CZ15" i="1"/>
  <c r="CR16" i="1"/>
  <c r="CR260" i="1" s="1"/>
  <c r="CV16" i="1"/>
  <c r="CZ16" i="1"/>
  <c r="CR17" i="1"/>
  <c r="CV17" i="1"/>
  <c r="CV263" i="1" s="1"/>
  <c r="V43" i="5" s="1"/>
  <c r="CZ17" i="1"/>
  <c r="CR18" i="1"/>
  <c r="CV18" i="1"/>
  <c r="CZ18" i="1"/>
  <c r="CZ266" i="1" s="1"/>
  <c r="Z44" i="5" s="1"/>
  <c r="CR19" i="1"/>
  <c r="CV19" i="1"/>
  <c r="CZ19" i="1"/>
  <c r="CR20" i="1"/>
  <c r="CV20" i="1"/>
  <c r="CZ20" i="1"/>
  <c r="CR22" i="1"/>
  <c r="CR284" i="1" s="1"/>
  <c r="CV22" i="1"/>
  <c r="CV284" i="1" s="1"/>
  <c r="CZ22" i="1"/>
  <c r="CZ284" i="1" s="1"/>
  <c r="CR23" i="1"/>
  <c r="CV23" i="1"/>
  <c r="CZ23" i="1"/>
  <c r="CR24" i="1"/>
  <c r="CV24" i="1"/>
  <c r="CZ24" i="1"/>
  <c r="CR25" i="1"/>
  <c r="CV25" i="1"/>
  <c r="CZ25" i="1"/>
  <c r="CR26" i="1"/>
  <c r="CV26" i="1"/>
  <c r="CZ26" i="1"/>
  <c r="CR27" i="1"/>
  <c r="CV27" i="1"/>
  <c r="CZ27" i="1"/>
  <c r="CR28" i="1"/>
  <c r="CV28" i="1"/>
  <c r="CZ28" i="1"/>
  <c r="CR29" i="1"/>
  <c r="CV29" i="1"/>
  <c r="CZ29" i="1"/>
  <c r="CR30" i="1"/>
  <c r="CV30" i="1"/>
  <c r="CZ30" i="1"/>
  <c r="CR31" i="1"/>
  <c r="CV31" i="1"/>
  <c r="CZ31" i="1"/>
  <c r="CR32" i="1"/>
  <c r="CV32" i="1"/>
  <c r="CZ32" i="1"/>
  <c r="CR33" i="1"/>
  <c r="CV33" i="1"/>
  <c r="CZ33" i="1"/>
  <c r="CR34" i="1"/>
  <c r="CV34" i="1"/>
  <c r="CZ34" i="1"/>
  <c r="CR35" i="1"/>
  <c r="CV35" i="1"/>
  <c r="CZ35" i="1"/>
  <c r="CR36" i="1"/>
  <c r="CV36" i="1"/>
  <c r="CZ36" i="1"/>
  <c r="CR37" i="1"/>
  <c r="CV37" i="1"/>
  <c r="CZ37" i="1"/>
  <c r="CR38" i="1"/>
  <c r="CV38" i="1"/>
  <c r="CZ38" i="1"/>
  <c r="CR39" i="1"/>
  <c r="CV39" i="1"/>
  <c r="CZ39" i="1"/>
  <c r="CR40" i="1"/>
  <c r="CV40" i="1"/>
  <c r="CZ40" i="1"/>
  <c r="CR41" i="1"/>
  <c r="CV41" i="1"/>
  <c r="CZ41" i="1"/>
  <c r="CR42" i="1"/>
  <c r="CV42" i="1"/>
  <c r="CZ42" i="1"/>
  <c r="CR43" i="1"/>
  <c r="CV43" i="1"/>
  <c r="CZ43" i="1"/>
  <c r="CR44" i="1"/>
  <c r="CV44" i="1"/>
  <c r="CZ44" i="1"/>
  <c r="CR45" i="1"/>
  <c r="CV45" i="1"/>
  <c r="CZ45" i="1"/>
  <c r="CR46" i="1"/>
  <c r="CV46" i="1"/>
  <c r="CZ46" i="1"/>
  <c r="CR47" i="1"/>
  <c r="CV47" i="1"/>
  <c r="CZ47" i="1"/>
  <c r="CR48" i="1"/>
  <c r="CV48" i="1"/>
  <c r="CZ48" i="1"/>
  <c r="CR49" i="1"/>
  <c r="CV49" i="1"/>
  <c r="CZ49" i="1"/>
  <c r="CR50" i="1"/>
  <c r="CV50" i="1"/>
  <c r="CZ50" i="1"/>
  <c r="CR51" i="1"/>
  <c r="CV51" i="1"/>
  <c r="CZ51" i="1"/>
  <c r="CR52" i="1"/>
  <c r="CV52" i="1"/>
  <c r="CZ52" i="1"/>
  <c r="CR53" i="1"/>
  <c r="CV53" i="1"/>
  <c r="CZ53" i="1"/>
  <c r="CR54" i="1"/>
  <c r="CV54" i="1"/>
  <c r="CZ54" i="1"/>
  <c r="CR55" i="1"/>
  <c r="CV55" i="1"/>
  <c r="CZ55" i="1"/>
  <c r="CR56" i="1"/>
  <c r="CV56" i="1"/>
  <c r="CZ56" i="1"/>
  <c r="CR57" i="1"/>
  <c r="CV57" i="1"/>
  <c r="CZ57" i="1"/>
  <c r="CR58" i="1"/>
  <c r="CV58" i="1"/>
  <c r="CZ58" i="1"/>
  <c r="CR59" i="1"/>
  <c r="CV59" i="1"/>
  <c r="CZ59" i="1"/>
  <c r="CR60" i="1"/>
  <c r="CV60" i="1"/>
  <c r="CZ60" i="1"/>
  <c r="CR61" i="1"/>
  <c r="CV61" i="1"/>
  <c r="CZ61" i="1"/>
  <c r="CR62" i="1"/>
  <c r="CV62" i="1"/>
  <c r="CZ62" i="1"/>
  <c r="CR63" i="1"/>
  <c r="CV63" i="1"/>
  <c r="CZ63" i="1"/>
  <c r="CR64" i="1"/>
  <c r="CV64" i="1"/>
  <c r="CZ64" i="1"/>
  <c r="CR65" i="1"/>
  <c r="CV65" i="1"/>
  <c r="CZ65" i="1"/>
  <c r="CR66" i="1"/>
  <c r="CV66" i="1"/>
  <c r="CZ66" i="1"/>
  <c r="CR67" i="1"/>
  <c r="CV67" i="1"/>
  <c r="CZ67" i="1"/>
  <c r="CR68" i="1"/>
  <c r="CV68" i="1"/>
  <c r="CZ68" i="1"/>
  <c r="CR69" i="1"/>
  <c r="CV69" i="1"/>
  <c r="CZ69" i="1"/>
  <c r="CR70" i="1"/>
  <c r="CV70" i="1"/>
  <c r="CZ70" i="1"/>
  <c r="CR71" i="1"/>
  <c r="CV71" i="1"/>
  <c r="CZ71" i="1"/>
  <c r="CR72" i="1"/>
  <c r="CV72" i="1"/>
  <c r="CZ72" i="1"/>
  <c r="CR73" i="1"/>
  <c r="CV73" i="1"/>
  <c r="CZ73" i="1"/>
  <c r="CR74" i="1"/>
  <c r="CV74" i="1"/>
  <c r="CZ74" i="1"/>
  <c r="CR75" i="1"/>
  <c r="CV75" i="1"/>
  <c r="CZ75" i="1"/>
  <c r="CR76" i="1"/>
  <c r="CV76" i="1"/>
  <c r="CZ76" i="1"/>
  <c r="CR77" i="1"/>
  <c r="CV77" i="1"/>
  <c r="CZ77" i="1"/>
  <c r="CR78" i="1"/>
  <c r="CV78" i="1"/>
  <c r="CZ78" i="1"/>
  <c r="CR79" i="1"/>
  <c r="CV79" i="1"/>
  <c r="CZ79" i="1"/>
  <c r="CR80" i="1"/>
  <c r="CV80" i="1"/>
  <c r="CZ80" i="1"/>
  <c r="CR81" i="1"/>
  <c r="CV81" i="1"/>
  <c r="CZ81" i="1"/>
  <c r="CR82" i="1"/>
  <c r="CV82" i="1"/>
  <c r="CZ82" i="1"/>
  <c r="CR83" i="1"/>
  <c r="CV83" i="1"/>
  <c r="CZ83" i="1"/>
  <c r="CR84" i="1"/>
  <c r="CV84" i="1"/>
  <c r="CZ84" i="1"/>
  <c r="CR85" i="1"/>
  <c r="CV85" i="1"/>
  <c r="CZ85" i="1"/>
  <c r="CR86" i="1"/>
  <c r="CV86" i="1"/>
  <c r="CZ86" i="1"/>
  <c r="CR87" i="1"/>
  <c r="CV87" i="1"/>
  <c r="CZ87" i="1"/>
  <c r="CR88" i="1"/>
  <c r="CV88" i="1"/>
  <c r="CZ88" i="1"/>
  <c r="CR89" i="1"/>
  <c r="CV89" i="1"/>
  <c r="CZ89" i="1"/>
  <c r="CR90" i="1"/>
  <c r="CV90" i="1"/>
  <c r="CZ90" i="1"/>
  <c r="CR91" i="1"/>
  <c r="CV91" i="1"/>
  <c r="CZ91" i="1"/>
  <c r="CR92" i="1"/>
  <c r="CV92" i="1"/>
  <c r="CZ92" i="1"/>
  <c r="CR93" i="1"/>
  <c r="CV93" i="1"/>
  <c r="CZ93" i="1"/>
  <c r="CR94" i="1"/>
  <c r="CV94" i="1"/>
  <c r="CZ94" i="1"/>
  <c r="CR95" i="1"/>
  <c r="CV95" i="1"/>
  <c r="CZ95" i="1"/>
  <c r="CR96" i="1"/>
  <c r="CV96" i="1"/>
  <c r="CZ96" i="1"/>
  <c r="CR97" i="1"/>
  <c r="CV97" i="1"/>
  <c r="CZ97" i="1"/>
  <c r="CR98" i="1"/>
  <c r="CV98" i="1"/>
  <c r="CZ98" i="1"/>
  <c r="CR99" i="1"/>
  <c r="CV99" i="1"/>
  <c r="CZ99" i="1"/>
  <c r="CR100" i="1"/>
  <c r="CV100" i="1"/>
  <c r="CZ100" i="1"/>
  <c r="CR101" i="1"/>
  <c r="CV101" i="1"/>
  <c r="CZ101" i="1"/>
  <c r="CR102" i="1"/>
  <c r="CV102" i="1"/>
  <c r="CZ102" i="1"/>
  <c r="CR103" i="1"/>
  <c r="CV103" i="1"/>
  <c r="CZ103" i="1"/>
  <c r="CR104" i="1"/>
  <c r="CV104" i="1"/>
  <c r="CZ104" i="1"/>
  <c r="CR105" i="1"/>
  <c r="CV105" i="1"/>
  <c r="CZ105" i="1"/>
  <c r="CR106" i="1"/>
  <c r="CV106" i="1"/>
  <c r="CZ106" i="1"/>
  <c r="CR107" i="1"/>
  <c r="CV107" i="1"/>
  <c r="CZ107" i="1"/>
  <c r="CR108" i="1"/>
  <c r="CV108" i="1"/>
  <c r="CZ108" i="1"/>
  <c r="CR109" i="1"/>
  <c r="CV109" i="1"/>
  <c r="CZ109" i="1"/>
  <c r="CR110" i="1"/>
  <c r="CV110" i="1"/>
  <c r="CZ110" i="1"/>
  <c r="CR111" i="1"/>
  <c r="CV111" i="1"/>
  <c r="CZ111" i="1"/>
  <c r="CR112" i="1"/>
  <c r="CV112" i="1"/>
  <c r="CZ112" i="1"/>
  <c r="CR113" i="1"/>
  <c r="CV113" i="1"/>
  <c r="CZ113" i="1"/>
  <c r="CR114" i="1"/>
  <c r="CV114" i="1"/>
  <c r="CZ114" i="1"/>
  <c r="CR115" i="1"/>
  <c r="CV115" i="1"/>
  <c r="CZ115" i="1"/>
  <c r="CR116" i="1"/>
  <c r="CV116" i="1"/>
  <c r="CZ116" i="1"/>
  <c r="CR117" i="1"/>
  <c r="CV117" i="1"/>
  <c r="CZ117" i="1"/>
  <c r="CR118" i="1"/>
  <c r="CV118" i="1"/>
  <c r="CZ118" i="1"/>
  <c r="CR119" i="1"/>
  <c r="CV119" i="1"/>
  <c r="CZ119" i="1"/>
  <c r="CR120" i="1"/>
  <c r="CV120" i="1"/>
  <c r="CZ120" i="1"/>
  <c r="CR121" i="1"/>
  <c r="CV121" i="1"/>
  <c r="CZ121" i="1"/>
  <c r="CR122" i="1"/>
  <c r="CV122" i="1"/>
  <c r="CZ122" i="1"/>
  <c r="CR123" i="1"/>
  <c r="CV123" i="1"/>
  <c r="CZ123" i="1"/>
  <c r="CR124" i="1"/>
  <c r="CV124" i="1"/>
  <c r="CZ124" i="1"/>
  <c r="CR125" i="1"/>
  <c r="CV125" i="1"/>
  <c r="CZ125" i="1"/>
  <c r="CR126" i="1"/>
  <c r="CV126" i="1"/>
  <c r="CZ126" i="1"/>
  <c r="CR127" i="1"/>
  <c r="CV127" i="1"/>
  <c r="CZ127" i="1"/>
  <c r="CR128" i="1"/>
  <c r="CV128" i="1"/>
  <c r="CZ128" i="1"/>
  <c r="CR129" i="1"/>
  <c r="CV129" i="1"/>
  <c r="CZ129" i="1"/>
  <c r="CR130" i="1"/>
  <c r="CV130" i="1"/>
  <c r="CZ130" i="1"/>
  <c r="CR131" i="1"/>
  <c r="CV131" i="1"/>
  <c r="CZ131" i="1"/>
  <c r="CR132" i="1"/>
  <c r="CV132" i="1"/>
  <c r="CZ132" i="1"/>
  <c r="CR133" i="1"/>
  <c r="CV133" i="1"/>
  <c r="CZ133" i="1"/>
  <c r="CR134" i="1"/>
  <c r="CV134" i="1"/>
  <c r="CZ134" i="1"/>
  <c r="CR135" i="1"/>
  <c r="CV135" i="1"/>
  <c r="CZ135" i="1"/>
  <c r="CR136" i="1"/>
  <c r="CV136" i="1"/>
  <c r="CZ136" i="1"/>
  <c r="CR137" i="1"/>
  <c r="CV137" i="1"/>
  <c r="CZ137" i="1"/>
  <c r="CR138" i="1"/>
  <c r="CV138" i="1"/>
  <c r="CZ138" i="1"/>
  <c r="CR139" i="1"/>
  <c r="CV139" i="1"/>
  <c r="CZ139" i="1"/>
  <c r="CR140" i="1"/>
  <c r="CV140" i="1"/>
  <c r="CZ140" i="1"/>
  <c r="CR141" i="1"/>
  <c r="CV141" i="1"/>
  <c r="CZ141" i="1"/>
  <c r="CR142" i="1"/>
  <c r="CV142" i="1"/>
  <c r="CZ142" i="1"/>
  <c r="CR143" i="1"/>
  <c r="CV143" i="1"/>
  <c r="CZ143" i="1"/>
  <c r="CR144" i="1"/>
  <c r="CV144" i="1"/>
  <c r="CZ144" i="1"/>
  <c r="CR145" i="1"/>
  <c r="CV145" i="1"/>
  <c r="CZ145" i="1"/>
  <c r="CR146" i="1"/>
  <c r="CV146" i="1"/>
  <c r="CZ146" i="1"/>
  <c r="CR147" i="1"/>
  <c r="CV147" i="1"/>
  <c r="CZ147" i="1"/>
  <c r="CR148" i="1"/>
  <c r="CV148" i="1"/>
  <c r="CZ148" i="1"/>
  <c r="CR149" i="1"/>
  <c r="CV149" i="1"/>
  <c r="CZ149" i="1"/>
  <c r="CR150" i="1"/>
  <c r="CV150" i="1"/>
  <c r="CZ150" i="1"/>
  <c r="CR151" i="1"/>
  <c r="CV151" i="1"/>
  <c r="CZ151" i="1"/>
  <c r="CR152" i="1"/>
  <c r="CV152" i="1"/>
  <c r="CZ152" i="1"/>
  <c r="CR153" i="1"/>
  <c r="CV153" i="1"/>
  <c r="CZ153" i="1"/>
  <c r="CS5" i="1"/>
  <c r="CW5" i="1"/>
  <c r="CO5" i="1"/>
  <c r="CT6" i="1"/>
  <c r="CT259" i="1" s="1"/>
  <c r="CP7" i="1"/>
  <c r="CP262" i="1" s="1"/>
  <c r="CX7" i="1"/>
  <c r="CX262" i="1" s="1"/>
  <c r="CT8" i="1"/>
  <c r="CT265" i="1" s="1"/>
  <c r="T11" i="5" s="1"/>
  <c r="CP9" i="1"/>
  <c r="CX9" i="1"/>
  <c r="CT10" i="1"/>
  <c r="CP15" i="1"/>
  <c r="CX15" i="1"/>
  <c r="CT16" i="1"/>
  <c r="CP17" i="1"/>
  <c r="CX17" i="1"/>
  <c r="CT18" i="1"/>
  <c r="CP19" i="1"/>
  <c r="CX19" i="1"/>
  <c r="CT20" i="1"/>
  <c r="CP22" i="1"/>
  <c r="CP284" i="1" s="1"/>
  <c r="CX22" i="1"/>
  <c r="CX284" i="1" s="1"/>
  <c r="CT23" i="1"/>
  <c r="CP24" i="1"/>
  <c r="CX24" i="1"/>
  <c r="CT25" i="1"/>
  <c r="CP26" i="1"/>
  <c r="CX26" i="1"/>
  <c r="CT27" i="1"/>
  <c r="CP28" i="1"/>
  <c r="CX28" i="1"/>
  <c r="CT29" i="1"/>
  <c r="CP30" i="1"/>
  <c r="CX30" i="1"/>
  <c r="CT31" i="1"/>
  <c r="CP32" i="1"/>
  <c r="CX32" i="1"/>
  <c r="CT33" i="1"/>
  <c r="CP34" i="1"/>
  <c r="CX34" i="1"/>
  <c r="CT35" i="1"/>
  <c r="CP36" i="1"/>
  <c r="CX36" i="1"/>
  <c r="CT37" i="1"/>
  <c r="CP38" i="1"/>
  <c r="CX38" i="1"/>
  <c r="CT39" i="1"/>
  <c r="CP40" i="1"/>
  <c r="CX40" i="1"/>
  <c r="CT41" i="1"/>
  <c r="CP42" i="1"/>
  <c r="CX42" i="1"/>
  <c r="CT43" i="1"/>
  <c r="CP44" i="1"/>
  <c r="CX44" i="1"/>
  <c r="CT45" i="1"/>
  <c r="CP46" i="1"/>
  <c r="CX46" i="1"/>
  <c r="CT47" i="1"/>
  <c r="CP48" i="1"/>
  <c r="CX48" i="1"/>
  <c r="CT49" i="1"/>
  <c r="CP50" i="1"/>
  <c r="CX50" i="1"/>
  <c r="CT51" i="1"/>
  <c r="CP52" i="1"/>
  <c r="CX52" i="1"/>
  <c r="CT53" i="1"/>
  <c r="CP54" i="1"/>
  <c r="CX54" i="1"/>
  <c r="CT55" i="1"/>
  <c r="CP56" i="1"/>
  <c r="CX56" i="1"/>
  <c r="CT57" i="1"/>
  <c r="CP58" i="1"/>
  <c r="CX58" i="1"/>
  <c r="CT59" i="1"/>
  <c r="CP60" i="1"/>
  <c r="CX60" i="1"/>
  <c r="CT61" i="1"/>
  <c r="CP62" i="1"/>
  <c r="CX62" i="1"/>
  <c r="CT63" i="1"/>
  <c r="CP64" i="1"/>
  <c r="CX64" i="1"/>
  <c r="CT65" i="1"/>
  <c r="CP66" i="1"/>
  <c r="CX66" i="1"/>
  <c r="CT67" i="1"/>
  <c r="CP68" i="1"/>
  <c r="CX68" i="1"/>
  <c r="CT69" i="1"/>
  <c r="CP70" i="1"/>
  <c r="CX70" i="1"/>
  <c r="CT71" i="1"/>
  <c r="CP72" i="1"/>
  <c r="CX72" i="1"/>
  <c r="CT73" i="1"/>
  <c r="CP74" i="1"/>
  <c r="CX74" i="1"/>
  <c r="CT75" i="1"/>
  <c r="CP76" i="1"/>
  <c r="CX76" i="1"/>
  <c r="CT77" i="1"/>
  <c r="CP78" i="1"/>
  <c r="CX78" i="1"/>
  <c r="CT79" i="1"/>
  <c r="CP80" i="1"/>
  <c r="CX80" i="1"/>
  <c r="CT81" i="1"/>
  <c r="CP82" i="1"/>
  <c r="CX82" i="1"/>
  <c r="CT83" i="1"/>
  <c r="CP84" i="1"/>
  <c r="CX84" i="1"/>
  <c r="CT85" i="1"/>
  <c r="CP86" i="1"/>
  <c r="CX86" i="1"/>
  <c r="CT87" i="1"/>
  <c r="CP88" i="1"/>
  <c r="CX88" i="1"/>
  <c r="CT89" i="1"/>
  <c r="CP90" i="1"/>
  <c r="CX90" i="1"/>
  <c r="CT91" i="1"/>
  <c r="CP92" i="1"/>
  <c r="CX92" i="1"/>
  <c r="CT93" i="1"/>
  <c r="CP94" i="1"/>
  <c r="CX94" i="1"/>
  <c r="CT95" i="1"/>
  <c r="CP96" i="1"/>
  <c r="CX96" i="1"/>
  <c r="CT97" i="1"/>
  <c r="CP98" i="1"/>
  <c r="CX98" i="1"/>
  <c r="CT99" i="1"/>
  <c r="CP100" i="1"/>
  <c r="CX100" i="1"/>
  <c r="CT101" i="1"/>
  <c r="CP102" i="1"/>
  <c r="CX102" i="1"/>
  <c r="CT103" i="1"/>
  <c r="CP104" i="1"/>
  <c r="CX104" i="1"/>
  <c r="CT105" i="1"/>
  <c r="CP106" i="1"/>
  <c r="CX106" i="1"/>
  <c r="CT107" i="1"/>
  <c r="CP108" i="1"/>
  <c r="CX108" i="1"/>
  <c r="CT109" i="1"/>
  <c r="CP110" i="1"/>
  <c r="CX110" i="1"/>
  <c r="CT111" i="1"/>
  <c r="CP112" i="1"/>
  <c r="CX112" i="1"/>
  <c r="CT113" i="1"/>
  <c r="CP114" i="1"/>
  <c r="CX114" i="1"/>
  <c r="CT115" i="1"/>
  <c r="CP116" i="1"/>
  <c r="CX116" i="1"/>
  <c r="CT117" i="1"/>
  <c r="CP118" i="1"/>
  <c r="CX118" i="1"/>
  <c r="CT119" i="1"/>
  <c r="CP120" i="1"/>
  <c r="CX120" i="1"/>
  <c r="CT121" i="1"/>
  <c r="CP122" i="1"/>
  <c r="CX122" i="1"/>
  <c r="CT123" i="1"/>
  <c r="CP124" i="1"/>
  <c r="CX124" i="1"/>
  <c r="CT125" i="1"/>
  <c r="CP126" i="1"/>
  <c r="CX126" i="1"/>
  <c r="CT127" i="1"/>
  <c r="CP128" i="1"/>
  <c r="CX128" i="1"/>
  <c r="CT129" i="1"/>
  <c r="CP130" i="1"/>
  <c r="CX130" i="1"/>
  <c r="CT131" i="1"/>
  <c r="CP132" i="1"/>
  <c r="CX132" i="1"/>
  <c r="CT133" i="1"/>
  <c r="CP134" i="1"/>
  <c r="CX134" i="1"/>
  <c r="CT135" i="1"/>
  <c r="CP136" i="1"/>
  <c r="CX136" i="1"/>
  <c r="CT137" i="1"/>
  <c r="CP138" i="1"/>
  <c r="CX138" i="1"/>
  <c r="CT139" i="1"/>
  <c r="CP140" i="1"/>
  <c r="CX140" i="1"/>
  <c r="CT141" i="1"/>
  <c r="CP142" i="1"/>
  <c r="CX142" i="1"/>
  <c r="CT143" i="1"/>
  <c r="CP144" i="1"/>
  <c r="CX144" i="1"/>
  <c r="CT145" i="1"/>
  <c r="CP146" i="1"/>
  <c r="CX146" i="1"/>
  <c r="CT147" i="1"/>
  <c r="CP148" i="1"/>
  <c r="CX148" i="1"/>
  <c r="CT149" i="1"/>
  <c r="CP150" i="1"/>
  <c r="CX150" i="1"/>
  <c r="CT151" i="1"/>
  <c r="CP152" i="1"/>
  <c r="CX152" i="1"/>
  <c r="CT153" i="1"/>
  <c r="CQ5" i="1"/>
  <c r="CY5" i="1"/>
  <c r="CX6" i="1"/>
  <c r="CX259" i="1" s="1"/>
  <c r="CP8" i="1"/>
  <c r="CP265" i="1" s="1"/>
  <c r="P11" i="5" s="1"/>
  <c r="CT9" i="1"/>
  <c r="CX10" i="1"/>
  <c r="CP16" i="1"/>
  <c r="CT17" i="1"/>
  <c r="CX18" i="1"/>
  <c r="CX266" i="1" s="1"/>
  <c r="CP20" i="1"/>
  <c r="CT22" i="1"/>
  <c r="CT284" i="1" s="1"/>
  <c r="CX23" i="1"/>
  <c r="CP25" i="1"/>
  <c r="CT26" i="1"/>
  <c r="CX27" i="1"/>
  <c r="CP29" i="1"/>
  <c r="CT30" i="1"/>
  <c r="CX31" i="1"/>
  <c r="CP33" i="1"/>
  <c r="CT34" i="1"/>
  <c r="CX35" i="1"/>
  <c r="CP37" i="1"/>
  <c r="CP39" i="1"/>
  <c r="CT40" i="1"/>
  <c r="CX41" i="1"/>
  <c r="CP43" i="1"/>
  <c r="CT44" i="1"/>
  <c r="CX45" i="1"/>
  <c r="CP47" i="1"/>
  <c r="CT48" i="1"/>
  <c r="CX49" i="1"/>
  <c r="CP51" i="1"/>
  <c r="CT52" i="1"/>
  <c r="CX53" i="1"/>
  <c r="CP55" i="1"/>
  <c r="CT56" i="1"/>
  <c r="CX57" i="1"/>
  <c r="CP59" i="1"/>
  <c r="CT60" i="1"/>
  <c r="CX61" i="1"/>
  <c r="CP63" i="1"/>
  <c r="CT64" i="1"/>
  <c r="CX65" i="1"/>
  <c r="CP67" i="1"/>
  <c r="CT68" i="1"/>
  <c r="CX69" i="1"/>
  <c r="CP71" i="1"/>
  <c r="CT72" i="1"/>
  <c r="CX73" i="1"/>
  <c r="CP75" i="1"/>
  <c r="CT76" i="1"/>
  <c r="CX77" i="1"/>
  <c r="CP79" i="1"/>
  <c r="CT80" i="1"/>
  <c r="CX81" i="1"/>
  <c r="CP83" i="1"/>
  <c r="CT84" i="1"/>
  <c r="CX85" i="1"/>
  <c r="CP87" i="1"/>
  <c r="CT88" i="1"/>
  <c r="CX89" i="1"/>
  <c r="CP91" i="1"/>
  <c r="CT92" i="1"/>
  <c r="CX93" i="1"/>
  <c r="CP95" i="1"/>
  <c r="CT96" i="1"/>
  <c r="CX97" i="1"/>
  <c r="CP99" i="1"/>
  <c r="CT100" i="1"/>
  <c r="CX101" i="1"/>
  <c r="CP103" i="1"/>
  <c r="CT104" i="1"/>
  <c r="CX105" i="1"/>
  <c r="CP107" i="1"/>
  <c r="CT108" i="1"/>
  <c r="CX109" i="1"/>
  <c r="CX111" i="1"/>
  <c r="CP113" i="1"/>
  <c r="CT114" i="1"/>
  <c r="CX115" i="1"/>
  <c r="CP117" i="1"/>
  <c r="CT118" i="1"/>
  <c r="CX119" i="1"/>
  <c r="CP121" i="1"/>
  <c r="CT122" i="1"/>
  <c r="CX123" i="1"/>
  <c r="CP125" i="1"/>
  <c r="CT126" i="1"/>
  <c r="CX127" i="1"/>
  <c r="CP129" i="1"/>
  <c r="CT130" i="1"/>
  <c r="CX131" i="1"/>
  <c r="CP133" i="1"/>
  <c r="CT134" i="1"/>
  <c r="CX135" i="1"/>
  <c r="CP137" i="1"/>
  <c r="CT138" i="1"/>
  <c r="CX139" i="1"/>
  <c r="CP141" i="1"/>
  <c r="CT142" i="1"/>
  <c r="CX143" i="1"/>
  <c r="CP145" i="1"/>
  <c r="CT146" i="1"/>
  <c r="CX147" i="1"/>
  <c r="CP149" i="1"/>
  <c r="CT150" i="1"/>
  <c r="CX151" i="1"/>
  <c r="CP153" i="1"/>
  <c r="CU5" i="1"/>
  <c r="CO7" i="1"/>
  <c r="CS8" i="1"/>
  <c r="CS265" i="1" s="1"/>
  <c r="S11" i="5" s="1"/>
  <c r="CW9" i="1"/>
  <c r="CW268" i="1" s="1"/>
  <c r="W12" i="5" s="1"/>
  <c r="CO15" i="1"/>
  <c r="CS16" i="1"/>
  <c r="CW17" i="1"/>
  <c r="CO19" i="1"/>
  <c r="CS20" i="1"/>
  <c r="CW22" i="1"/>
  <c r="CW284" i="1" s="1"/>
  <c r="CO24" i="1"/>
  <c r="CS25" i="1"/>
  <c r="CW26" i="1"/>
  <c r="CO28" i="1"/>
  <c r="CS29" i="1"/>
  <c r="CS31" i="1"/>
  <c r="CW32" i="1"/>
  <c r="CO34" i="1"/>
  <c r="CS35" i="1"/>
  <c r="CW36" i="1"/>
  <c r="CO38" i="1"/>
  <c r="CS39" i="1"/>
  <c r="CW40" i="1"/>
  <c r="CS41" i="1"/>
  <c r="CW42" i="1"/>
  <c r="CO44" i="1"/>
  <c r="CS45" i="1"/>
  <c r="CW46" i="1"/>
  <c r="CS47" i="1"/>
  <c r="CW48" i="1"/>
  <c r="CO50" i="1"/>
  <c r="CS51" i="1"/>
  <c r="CW52" i="1"/>
  <c r="CO54" i="1"/>
  <c r="CS55" i="1"/>
  <c r="CW56" i="1"/>
  <c r="CO58" i="1"/>
  <c r="CO60" i="1"/>
  <c r="CS61" i="1"/>
  <c r="CW62" i="1"/>
  <c r="CO64" i="1"/>
  <c r="CS65" i="1"/>
  <c r="CW66" i="1"/>
  <c r="CO68" i="1"/>
  <c r="CS69" i="1"/>
  <c r="CW70" i="1"/>
  <c r="CO72" i="1"/>
  <c r="CS73" i="1"/>
  <c r="CW74" i="1"/>
  <c r="CO76" i="1"/>
  <c r="CS77" i="1"/>
  <c r="CW78" i="1"/>
  <c r="CO80" i="1"/>
  <c r="CS81" i="1"/>
  <c r="CW82" i="1"/>
  <c r="CO84" i="1"/>
  <c r="CS85" i="1"/>
  <c r="CW86" i="1"/>
  <c r="CO88" i="1"/>
  <c r="CS89" i="1"/>
  <c r="CW90" i="1"/>
  <c r="CS91" i="1"/>
  <c r="CW92" i="1"/>
  <c r="CO94" i="1"/>
  <c r="CO96" i="1"/>
  <c r="CS97" i="1"/>
  <c r="CW98" i="1"/>
  <c r="CO100" i="1"/>
  <c r="CS101" i="1"/>
  <c r="CW102" i="1"/>
  <c r="CO104" i="1"/>
  <c r="CS105" i="1"/>
  <c r="CW106" i="1"/>
  <c r="CO108" i="1"/>
  <c r="CS109" i="1"/>
  <c r="CW110" i="1"/>
  <c r="CO112" i="1"/>
  <c r="CS113" i="1"/>
  <c r="CW114" i="1"/>
  <c r="CO116" i="1"/>
  <c r="CS117" i="1"/>
  <c r="CW118" i="1"/>
  <c r="CO120" i="1"/>
  <c r="CS121" i="1"/>
  <c r="CW122" i="1"/>
  <c r="CO124" i="1"/>
  <c r="CS125" i="1"/>
  <c r="CW126" i="1"/>
  <c r="CS127" i="1"/>
  <c r="CW128" i="1"/>
  <c r="CO130" i="1"/>
  <c r="CS131" i="1"/>
  <c r="CW132" i="1"/>
  <c r="CO134" i="1"/>
  <c r="CS135" i="1"/>
  <c r="CW136" i="1"/>
  <c r="CO138" i="1"/>
  <c r="CS139" i="1"/>
  <c r="CW140" i="1"/>
  <c r="CO142" i="1"/>
  <c r="CO144" i="1"/>
  <c r="CS145" i="1"/>
  <c r="CW146" i="1"/>
  <c r="CO148" i="1"/>
  <c r="CS149" i="1"/>
  <c r="CW150" i="1"/>
  <c r="CO152" i="1"/>
  <c r="CS153" i="1"/>
  <c r="CX5" i="1"/>
  <c r="CO6" i="1"/>
  <c r="CW6" i="1"/>
  <c r="CW259" i="1" s="1"/>
  <c r="CS7" i="1"/>
  <c r="CS262" i="1" s="1"/>
  <c r="S10" i="5" s="1"/>
  <c r="CO8" i="1"/>
  <c r="CW8" i="1"/>
  <c r="CW265" i="1" s="1"/>
  <c r="W11" i="5" s="1"/>
  <c r="CS9" i="1"/>
  <c r="CO10" i="1"/>
  <c r="CW10" i="1"/>
  <c r="CW289" i="1" s="1"/>
  <c r="CS15" i="1"/>
  <c r="CO16" i="1"/>
  <c r="CW16" i="1"/>
  <c r="CS17" i="1"/>
  <c r="CO18" i="1"/>
  <c r="CW18" i="1"/>
  <c r="CS19" i="1"/>
  <c r="CO20" i="1"/>
  <c r="CW20" i="1"/>
  <c r="CS22" i="1"/>
  <c r="CS284" i="1" s="1"/>
  <c r="CO23" i="1"/>
  <c r="CW23" i="1"/>
  <c r="CS24" i="1"/>
  <c r="CO25" i="1"/>
  <c r="CW25" i="1"/>
  <c r="CS26" i="1"/>
  <c r="CO27" i="1"/>
  <c r="CW27" i="1"/>
  <c r="CS28" i="1"/>
  <c r="CO29" i="1"/>
  <c r="CW29" i="1"/>
  <c r="CS30" i="1"/>
  <c r="CO31" i="1"/>
  <c r="CW31" i="1"/>
  <c r="CS32" i="1"/>
  <c r="CO33" i="1"/>
  <c r="CW33" i="1"/>
  <c r="CS34" i="1"/>
  <c r="CO35" i="1"/>
  <c r="CW35" i="1"/>
  <c r="CS36" i="1"/>
  <c r="CO37" i="1"/>
  <c r="CW37" i="1"/>
  <c r="CS38" i="1"/>
  <c r="CO39" i="1"/>
  <c r="CW39" i="1"/>
  <c r="CS40" i="1"/>
  <c r="CO41" i="1"/>
  <c r="CW41" i="1"/>
  <c r="CS42" i="1"/>
  <c r="CO43" i="1"/>
  <c r="CW43" i="1"/>
  <c r="CS44" i="1"/>
  <c r="CO45" i="1"/>
  <c r="CW45" i="1"/>
  <c r="CS46" i="1"/>
  <c r="CO47" i="1"/>
  <c r="CW47" i="1"/>
  <c r="CS48" i="1"/>
  <c r="CO49" i="1"/>
  <c r="CW49" i="1"/>
  <c r="CS50" i="1"/>
  <c r="CO51" i="1"/>
  <c r="CW51" i="1"/>
  <c r="CS52" i="1"/>
  <c r="CO53" i="1"/>
  <c r="CW53" i="1"/>
  <c r="CS54" i="1"/>
  <c r="CO55" i="1"/>
  <c r="CW55" i="1"/>
  <c r="CS56" i="1"/>
  <c r="CO57" i="1"/>
  <c r="CW57" i="1"/>
  <c r="CS58" i="1"/>
  <c r="CO59" i="1"/>
  <c r="CW59" i="1"/>
  <c r="CS60" i="1"/>
  <c r="CO61" i="1"/>
  <c r="CW61" i="1"/>
  <c r="CS62" i="1"/>
  <c r="CO63" i="1"/>
  <c r="CW63" i="1"/>
  <c r="CS64" i="1"/>
  <c r="CO65" i="1"/>
  <c r="CW65" i="1"/>
  <c r="CS66" i="1"/>
  <c r="CO67" i="1"/>
  <c r="CW67" i="1"/>
  <c r="CS68" i="1"/>
  <c r="CO69" i="1"/>
  <c r="CW69" i="1"/>
  <c r="CS70" i="1"/>
  <c r="CO71" i="1"/>
  <c r="CW71" i="1"/>
  <c r="CS72" i="1"/>
  <c r="CO73" i="1"/>
  <c r="CW73" i="1"/>
  <c r="CS74" i="1"/>
  <c r="CO75" i="1"/>
  <c r="CW75" i="1"/>
  <c r="CS76" i="1"/>
  <c r="CO77" i="1"/>
  <c r="CW77" i="1"/>
  <c r="CS78" i="1"/>
  <c r="CO79" i="1"/>
  <c r="CW79" i="1"/>
  <c r="CS80" i="1"/>
  <c r="CO81" i="1"/>
  <c r="CW81" i="1"/>
  <c r="CS82" i="1"/>
  <c r="CO83" i="1"/>
  <c r="CW83" i="1"/>
  <c r="CS84" i="1"/>
  <c r="CO85" i="1"/>
  <c r="CW85" i="1"/>
  <c r="CS86" i="1"/>
  <c r="CO87" i="1"/>
  <c r="CW87" i="1"/>
  <c r="CS88" i="1"/>
  <c r="CO89" i="1"/>
  <c r="CW89" i="1"/>
  <c r="CS90" i="1"/>
  <c r="CO91" i="1"/>
  <c r="CW91" i="1"/>
  <c r="CS92" i="1"/>
  <c r="CO93" i="1"/>
  <c r="CW93" i="1"/>
  <c r="CS94" i="1"/>
  <c r="CO95" i="1"/>
  <c r="CW95" i="1"/>
  <c r="CS96" i="1"/>
  <c r="CO97" i="1"/>
  <c r="CW97" i="1"/>
  <c r="CS98" i="1"/>
  <c r="CO99" i="1"/>
  <c r="CW99" i="1"/>
  <c r="CS100" i="1"/>
  <c r="CO101" i="1"/>
  <c r="CW101" i="1"/>
  <c r="CS102" i="1"/>
  <c r="CO103" i="1"/>
  <c r="CW103" i="1"/>
  <c r="CS104" i="1"/>
  <c r="CO105" i="1"/>
  <c r="CW105" i="1"/>
  <c r="CS106" i="1"/>
  <c r="CO107" i="1"/>
  <c r="CW107" i="1"/>
  <c r="CS108" i="1"/>
  <c r="CO109" i="1"/>
  <c r="CW109" i="1"/>
  <c r="CS110" i="1"/>
  <c r="CO111" i="1"/>
  <c r="CW111" i="1"/>
  <c r="CS112" i="1"/>
  <c r="CO113" i="1"/>
  <c r="CW113" i="1"/>
  <c r="CS114" i="1"/>
  <c r="CO115" i="1"/>
  <c r="CW115" i="1"/>
  <c r="CS116" i="1"/>
  <c r="CO117" i="1"/>
  <c r="CW117" i="1"/>
  <c r="CS118" i="1"/>
  <c r="CO119" i="1"/>
  <c r="CW119" i="1"/>
  <c r="CS120" i="1"/>
  <c r="CO121" i="1"/>
  <c r="CW121" i="1"/>
  <c r="CS122" i="1"/>
  <c r="CO123" i="1"/>
  <c r="CW123" i="1"/>
  <c r="CS124" i="1"/>
  <c r="CO125" i="1"/>
  <c r="CW125" i="1"/>
  <c r="CS126" i="1"/>
  <c r="CO127" i="1"/>
  <c r="CW127" i="1"/>
  <c r="CS128" i="1"/>
  <c r="CO129" i="1"/>
  <c r="CW129" i="1"/>
  <c r="CS130" i="1"/>
  <c r="CO131" i="1"/>
  <c r="CW131" i="1"/>
  <c r="CS132" i="1"/>
  <c r="CO133" i="1"/>
  <c r="CW133" i="1"/>
  <c r="CS134" i="1"/>
  <c r="CO135" i="1"/>
  <c r="CW135" i="1"/>
  <c r="CS136" i="1"/>
  <c r="CO137" i="1"/>
  <c r="CW137" i="1"/>
  <c r="CS138" i="1"/>
  <c r="CO139" i="1"/>
  <c r="CW139" i="1"/>
  <c r="CS140" i="1"/>
  <c r="CO141" i="1"/>
  <c r="CW141" i="1"/>
  <c r="CS142" i="1"/>
  <c r="CO143" i="1"/>
  <c r="CW143" i="1"/>
  <c r="CS144" i="1"/>
  <c r="CO145" i="1"/>
  <c r="CW145" i="1"/>
  <c r="CS146" i="1"/>
  <c r="CO147" i="1"/>
  <c r="CW147" i="1"/>
  <c r="CS148" i="1"/>
  <c r="CO149" i="1"/>
  <c r="CW149" i="1"/>
  <c r="CS150" i="1"/>
  <c r="CO151" i="1"/>
  <c r="CW151" i="1"/>
  <c r="CS152" i="1"/>
  <c r="CO153" i="1"/>
  <c r="CW153" i="1"/>
  <c r="CT5" i="1"/>
  <c r="CP6" i="1"/>
  <c r="CP259" i="1" s="1"/>
  <c r="CT7" i="1"/>
  <c r="CT262" i="1" s="1"/>
  <c r="CX8" i="1"/>
  <c r="CX265" i="1" s="1"/>
  <c r="X11" i="5" s="1"/>
  <c r="CP10" i="1"/>
  <c r="CT15" i="1"/>
  <c r="CX16" i="1"/>
  <c r="CP18" i="1"/>
  <c r="CP266" i="1" s="1"/>
  <c r="P44" i="5" s="1"/>
  <c r="CT19" i="1"/>
  <c r="CT269" i="1" s="1"/>
  <c r="T45" i="5" s="1"/>
  <c r="CX20" i="1"/>
  <c r="CP23" i="1"/>
  <c r="CT24" i="1"/>
  <c r="CX25" i="1"/>
  <c r="CP27" i="1"/>
  <c r="CT28" i="1"/>
  <c r="CX29" i="1"/>
  <c r="CP31" i="1"/>
  <c r="CT32" i="1"/>
  <c r="CX33" i="1"/>
  <c r="CP35" i="1"/>
  <c r="CT36" i="1"/>
  <c r="CX37" i="1"/>
  <c r="CT38" i="1"/>
  <c r="CX39" i="1"/>
  <c r="CP41" i="1"/>
  <c r="CT42" i="1"/>
  <c r="CX43" i="1"/>
  <c r="CP45" i="1"/>
  <c r="CT46" i="1"/>
  <c r="CX47" i="1"/>
  <c r="CP49" i="1"/>
  <c r="CT50" i="1"/>
  <c r="CX51" i="1"/>
  <c r="CP53" i="1"/>
  <c r="CT54" i="1"/>
  <c r="CX55" i="1"/>
  <c r="CP57" i="1"/>
  <c r="CT58" i="1"/>
  <c r="CX59" i="1"/>
  <c r="CP61" i="1"/>
  <c r="CT62" i="1"/>
  <c r="CX63" i="1"/>
  <c r="CP65" i="1"/>
  <c r="CT66" i="1"/>
  <c r="CX67" i="1"/>
  <c r="CP69" i="1"/>
  <c r="CT70" i="1"/>
  <c r="CX71" i="1"/>
  <c r="CP73" i="1"/>
  <c r="CT74" i="1"/>
  <c r="CX75" i="1"/>
  <c r="CP77" i="1"/>
  <c r="CT78" i="1"/>
  <c r="CX79" i="1"/>
  <c r="CP81" i="1"/>
  <c r="CT82" i="1"/>
  <c r="CX83" i="1"/>
  <c r="CP85" i="1"/>
  <c r="CT86" i="1"/>
  <c r="CX87" i="1"/>
  <c r="CP89" i="1"/>
  <c r="CT90" i="1"/>
  <c r="CX91" i="1"/>
  <c r="CP93" i="1"/>
  <c r="CT94" i="1"/>
  <c r="CX95" i="1"/>
  <c r="CP97" i="1"/>
  <c r="CT98" i="1"/>
  <c r="CX99" i="1"/>
  <c r="CP101" i="1"/>
  <c r="CT102" i="1"/>
  <c r="CX103" i="1"/>
  <c r="CP105" i="1"/>
  <c r="CT106" i="1"/>
  <c r="CX107" i="1"/>
  <c r="CP109" i="1"/>
  <c r="CT110" i="1"/>
  <c r="CP111" i="1"/>
  <c r="CT112" i="1"/>
  <c r="CX113" i="1"/>
  <c r="CP115" i="1"/>
  <c r="CT116" i="1"/>
  <c r="CX117" i="1"/>
  <c r="CP119" i="1"/>
  <c r="CT120" i="1"/>
  <c r="CX121" i="1"/>
  <c r="CP123" i="1"/>
  <c r="CT124" i="1"/>
  <c r="CX125" i="1"/>
  <c r="CP127" i="1"/>
  <c r="CT128" i="1"/>
  <c r="CX129" i="1"/>
  <c r="CP131" i="1"/>
  <c r="CT132" i="1"/>
  <c r="CX133" i="1"/>
  <c r="CP135" i="1"/>
  <c r="CT136" i="1"/>
  <c r="CX137" i="1"/>
  <c r="CP139" i="1"/>
  <c r="CT140" i="1"/>
  <c r="CX141" i="1"/>
  <c r="CP143" i="1"/>
  <c r="CT144" i="1"/>
  <c r="CX145" i="1"/>
  <c r="CP147" i="1"/>
  <c r="CT148" i="1"/>
  <c r="CX149" i="1"/>
  <c r="CP151" i="1"/>
  <c r="CT152" i="1"/>
  <c r="CX153" i="1"/>
  <c r="CS6" i="1"/>
  <c r="CS259" i="1" s="1"/>
  <c r="CW7" i="1"/>
  <c r="CW262" i="1" s="1"/>
  <c r="W10" i="5" s="1"/>
  <c r="CO9" i="1"/>
  <c r="CS10" i="1"/>
  <c r="CW15" i="1"/>
  <c r="CO17" i="1"/>
  <c r="CS18" i="1"/>
  <c r="CS266" i="1" s="1"/>
  <c r="CW19" i="1"/>
  <c r="CW269" i="1" s="1"/>
  <c r="W45" i="5" s="1"/>
  <c r="CO22" i="1"/>
  <c r="CS23" i="1"/>
  <c r="CW24" i="1"/>
  <c r="CO26" i="1"/>
  <c r="CS27" i="1"/>
  <c r="CW28" i="1"/>
  <c r="CO30" i="1"/>
  <c r="CW30" i="1"/>
  <c r="CO32" i="1"/>
  <c r="CS33" i="1"/>
  <c r="CW34" i="1"/>
  <c r="CO36" i="1"/>
  <c r="CS37" i="1"/>
  <c r="CW38" i="1"/>
  <c r="CO40" i="1"/>
  <c r="CO42" i="1"/>
  <c r="CS43" i="1"/>
  <c r="CW44" i="1"/>
  <c r="CO46" i="1"/>
  <c r="CO48" i="1"/>
  <c r="CS49" i="1"/>
  <c r="CW50" i="1"/>
  <c r="CO52" i="1"/>
  <c r="CS53" i="1"/>
  <c r="CW54" i="1"/>
  <c r="CO56" i="1"/>
  <c r="CS57" i="1"/>
  <c r="CW58" i="1"/>
  <c r="CS59" i="1"/>
  <c r="CW60" i="1"/>
  <c r="CO62" i="1"/>
  <c r="CS63" i="1"/>
  <c r="CW64" i="1"/>
  <c r="CO66" i="1"/>
  <c r="CS67" i="1"/>
  <c r="CW68" i="1"/>
  <c r="CO70" i="1"/>
  <c r="CS71" i="1"/>
  <c r="CW72" i="1"/>
  <c r="CO74" i="1"/>
  <c r="CS75" i="1"/>
  <c r="CW76" i="1"/>
  <c r="CO78" i="1"/>
  <c r="CS79" i="1"/>
  <c r="CW80" i="1"/>
  <c r="CO82" i="1"/>
  <c r="CS83" i="1"/>
  <c r="CW84" i="1"/>
  <c r="CO86" i="1"/>
  <c r="CS87" i="1"/>
  <c r="CW88" i="1"/>
  <c r="CO90" i="1"/>
  <c r="CO92" i="1"/>
  <c r="CS93" i="1"/>
  <c r="CW94" i="1"/>
  <c r="CS95" i="1"/>
  <c r="CW96" i="1"/>
  <c r="CO98" i="1"/>
  <c r="CS99" i="1"/>
  <c r="CW100" i="1"/>
  <c r="CO102" i="1"/>
  <c r="CS103" i="1"/>
  <c r="CW104" i="1"/>
  <c r="CO106" i="1"/>
  <c r="CS107" i="1"/>
  <c r="CW108" i="1"/>
  <c r="CO110" i="1"/>
  <c r="CS111" i="1"/>
  <c r="CW112" i="1"/>
  <c r="CO114" i="1"/>
  <c r="CS115" i="1"/>
  <c r="CW116" i="1"/>
  <c r="CO118" i="1"/>
  <c r="CS119" i="1"/>
  <c r="CW120" i="1"/>
  <c r="CO122" i="1"/>
  <c r="CS123" i="1"/>
  <c r="CW124" i="1"/>
  <c r="CO126" i="1"/>
  <c r="CO128" i="1"/>
  <c r="CS129" i="1"/>
  <c r="CW130" i="1"/>
  <c r="CO132" i="1"/>
  <c r="CS133" i="1"/>
  <c r="CW134" i="1"/>
  <c r="CO136" i="1"/>
  <c r="CS137" i="1"/>
  <c r="CW138" i="1"/>
  <c r="CO140" i="1"/>
  <c r="CS141" i="1"/>
  <c r="CW142" i="1"/>
  <c r="CS143" i="1"/>
  <c r="CW144" i="1"/>
  <c r="CO146" i="1"/>
  <c r="CS147" i="1"/>
  <c r="CW148" i="1"/>
  <c r="CO150" i="1"/>
  <c r="CS151" i="1"/>
  <c r="CW152" i="1"/>
  <c r="CP5" i="1"/>
  <c r="K3" i="11"/>
  <c r="J3" i="11"/>
  <c r="I3" i="11"/>
  <c r="P3" i="11"/>
  <c r="H3" i="11"/>
  <c r="AL3" i="11"/>
  <c r="G64" i="7"/>
  <c r="CD6" i="1"/>
  <c r="CD259" i="1" s="1"/>
  <c r="CE6" i="1"/>
  <c r="CF6" i="1"/>
  <c r="CF259" i="1" s="1"/>
  <c r="CG6" i="1"/>
  <c r="CG259" i="1" s="1"/>
  <c r="CH6" i="1"/>
  <c r="CH259" i="1" s="1"/>
  <c r="CI6" i="1"/>
  <c r="CI259" i="1" s="1"/>
  <c r="CJ6" i="1"/>
  <c r="CJ259" i="1" s="1"/>
  <c r="CK6" i="1"/>
  <c r="CK259" i="1" s="1"/>
  <c r="CL6" i="1"/>
  <c r="CL259" i="1" s="1"/>
  <c r="CM6" i="1"/>
  <c r="CM259" i="1" s="1"/>
  <c r="CN6" i="1"/>
  <c r="CC7" i="1"/>
  <c r="CD7" i="1"/>
  <c r="CD262" i="1" s="1"/>
  <c r="CE7" i="1"/>
  <c r="CE262" i="1" s="1"/>
  <c r="CF7" i="1"/>
  <c r="CF262" i="1" s="1"/>
  <c r="CG7" i="1"/>
  <c r="CH7" i="1"/>
  <c r="CH262" i="1" s="1"/>
  <c r="CI7" i="1"/>
  <c r="CI262" i="1" s="1"/>
  <c r="CJ7" i="1"/>
  <c r="CK7" i="1"/>
  <c r="CL7" i="1"/>
  <c r="CL262" i="1" s="1"/>
  <c r="CM7" i="1"/>
  <c r="CM262" i="1" s="1"/>
  <c r="CN7" i="1"/>
  <c r="CN262" i="1" s="1"/>
  <c r="CC8" i="1"/>
  <c r="CD8" i="1"/>
  <c r="CD265" i="1" s="1"/>
  <c r="D11" i="5" s="1"/>
  <c r="CE8" i="1"/>
  <c r="CE265" i="1" s="1"/>
  <c r="CF8" i="1"/>
  <c r="CF265" i="1" s="1"/>
  <c r="F11" i="5" s="1"/>
  <c r="CG8" i="1"/>
  <c r="CG265" i="1" s="1"/>
  <c r="CH8" i="1"/>
  <c r="CH265" i="1" s="1"/>
  <c r="H11" i="5" s="1"/>
  <c r="CI8" i="1"/>
  <c r="CI265" i="1" s="1"/>
  <c r="CJ8" i="1"/>
  <c r="CJ265" i="1" s="1"/>
  <c r="CK8" i="1"/>
  <c r="CK265" i="1" s="1"/>
  <c r="CL8" i="1"/>
  <c r="CL265" i="1" s="1"/>
  <c r="L11" i="5" s="1"/>
  <c r="CM8" i="1"/>
  <c r="CM265" i="1" s="1"/>
  <c r="CN8" i="1"/>
  <c r="CN265" i="1" s="1"/>
  <c r="N11" i="5" s="1"/>
  <c r="CC9" i="1"/>
  <c r="CD9" i="1"/>
  <c r="CD268" i="1" s="1"/>
  <c r="D12" i="5" s="1"/>
  <c r="CE9" i="1"/>
  <c r="CE268" i="1" s="1"/>
  <c r="E12" i="5" s="1"/>
  <c r="CF9" i="1"/>
  <c r="CG9" i="1"/>
  <c r="CG268" i="1" s="1"/>
  <c r="G12" i="5" s="1"/>
  <c r="CH9" i="1"/>
  <c r="CI9" i="1"/>
  <c r="CI268" i="1" s="1"/>
  <c r="I12" i="5" s="1"/>
  <c r="CJ9" i="1"/>
  <c r="CK9" i="1"/>
  <c r="CK268" i="1" s="1"/>
  <c r="K12" i="5" s="1"/>
  <c r="CL9" i="1"/>
  <c r="CM9" i="1"/>
  <c r="CM268" i="1" s="1"/>
  <c r="M12" i="5" s="1"/>
  <c r="CN9" i="1"/>
  <c r="CC10" i="1"/>
  <c r="CD10" i="1"/>
  <c r="CE10" i="1"/>
  <c r="CF10" i="1"/>
  <c r="CG10" i="1"/>
  <c r="CH10" i="1"/>
  <c r="CI10" i="1"/>
  <c r="CJ10" i="1"/>
  <c r="CK10" i="1"/>
  <c r="CK289" i="1" s="1"/>
  <c r="CL10" i="1"/>
  <c r="CM10" i="1"/>
  <c r="CN10" i="1"/>
  <c r="CC15" i="1"/>
  <c r="CD15" i="1"/>
  <c r="CE15" i="1"/>
  <c r="CF15" i="1"/>
  <c r="CG15" i="1"/>
  <c r="CH15" i="1"/>
  <c r="CI15" i="1"/>
  <c r="CJ15" i="1"/>
  <c r="CK15" i="1"/>
  <c r="CL15" i="1"/>
  <c r="CM15" i="1"/>
  <c r="CN15" i="1"/>
  <c r="CC16" i="1"/>
  <c r="CD16" i="1"/>
  <c r="CE16" i="1"/>
  <c r="CF16" i="1"/>
  <c r="CG16" i="1"/>
  <c r="CH16" i="1"/>
  <c r="CI16" i="1"/>
  <c r="CJ16" i="1"/>
  <c r="CK16" i="1"/>
  <c r="CL16" i="1"/>
  <c r="CM16" i="1"/>
  <c r="CN16" i="1"/>
  <c r="CC17" i="1"/>
  <c r="CD17" i="1"/>
  <c r="CE17" i="1"/>
  <c r="CF17" i="1"/>
  <c r="CG17" i="1"/>
  <c r="CH17" i="1"/>
  <c r="CI17" i="1"/>
  <c r="CJ17" i="1"/>
  <c r="CK17" i="1"/>
  <c r="CL17" i="1"/>
  <c r="CM17" i="1"/>
  <c r="CN17" i="1"/>
  <c r="CC18" i="1"/>
  <c r="CD18" i="1"/>
  <c r="CE18" i="1"/>
  <c r="CF18" i="1"/>
  <c r="CG18" i="1"/>
  <c r="CH18" i="1"/>
  <c r="CI18" i="1"/>
  <c r="CJ18" i="1"/>
  <c r="CK18" i="1"/>
  <c r="CL18" i="1"/>
  <c r="CM18" i="1"/>
  <c r="CN18" i="1"/>
  <c r="CC19" i="1"/>
  <c r="CD19" i="1"/>
  <c r="CE19" i="1"/>
  <c r="CF19" i="1"/>
  <c r="CG19" i="1"/>
  <c r="CH19" i="1"/>
  <c r="CI19" i="1"/>
  <c r="CJ19" i="1"/>
  <c r="CK19" i="1"/>
  <c r="CL19" i="1"/>
  <c r="CM19" i="1"/>
  <c r="CN19" i="1"/>
  <c r="CC20" i="1"/>
  <c r="CD20" i="1"/>
  <c r="CE20" i="1"/>
  <c r="CF20" i="1"/>
  <c r="CG20" i="1"/>
  <c r="CH20" i="1"/>
  <c r="CI20" i="1"/>
  <c r="CJ20" i="1"/>
  <c r="CK20" i="1"/>
  <c r="CL20" i="1"/>
  <c r="CM20" i="1"/>
  <c r="CN20" i="1"/>
  <c r="CC22" i="1"/>
  <c r="CD22" i="1"/>
  <c r="CD284" i="1" s="1"/>
  <c r="CE22" i="1"/>
  <c r="CE284" i="1" s="1"/>
  <c r="CF22" i="1"/>
  <c r="CF284" i="1" s="1"/>
  <c r="CG22" i="1"/>
  <c r="CG284" i="1" s="1"/>
  <c r="CH22" i="1"/>
  <c r="CH284" i="1" s="1"/>
  <c r="CI22" i="1"/>
  <c r="CI284" i="1" s="1"/>
  <c r="CJ22" i="1"/>
  <c r="CJ284" i="1" s="1"/>
  <c r="CK22" i="1"/>
  <c r="CK284" i="1" s="1"/>
  <c r="CL22" i="1"/>
  <c r="CL284" i="1" s="1"/>
  <c r="CM22" i="1"/>
  <c r="CM284" i="1" s="1"/>
  <c r="CN22" i="1"/>
  <c r="CN284" i="1" s="1"/>
  <c r="CC23" i="1"/>
  <c r="CD23" i="1"/>
  <c r="CE23" i="1"/>
  <c r="CF23" i="1"/>
  <c r="CG23" i="1"/>
  <c r="CH23" i="1"/>
  <c r="CI23" i="1"/>
  <c r="CJ23" i="1"/>
  <c r="CK23" i="1"/>
  <c r="CL23" i="1"/>
  <c r="CM23" i="1"/>
  <c r="CN23" i="1"/>
  <c r="CC24" i="1"/>
  <c r="CD24" i="1"/>
  <c r="CE24" i="1"/>
  <c r="CF24" i="1"/>
  <c r="CG24" i="1"/>
  <c r="CH24" i="1"/>
  <c r="CI24" i="1"/>
  <c r="CJ24" i="1"/>
  <c r="CK24" i="1"/>
  <c r="CL24" i="1"/>
  <c r="CM24" i="1"/>
  <c r="CN24" i="1"/>
  <c r="CC25" i="1"/>
  <c r="CD25" i="1"/>
  <c r="CE25" i="1"/>
  <c r="CF25" i="1"/>
  <c r="CG25" i="1"/>
  <c r="CH25" i="1"/>
  <c r="CI25" i="1"/>
  <c r="CJ25" i="1"/>
  <c r="CK25" i="1"/>
  <c r="CL25" i="1"/>
  <c r="CM25" i="1"/>
  <c r="CN25" i="1"/>
  <c r="CC26" i="1"/>
  <c r="CD26" i="1"/>
  <c r="CE26" i="1"/>
  <c r="CF26" i="1"/>
  <c r="CG26" i="1"/>
  <c r="CH26" i="1"/>
  <c r="CI26" i="1"/>
  <c r="CJ26" i="1"/>
  <c r="CK26" i="1"/>
  <c r="CL26" i="1"/>
  <c r="CM26" i="1"/>
  <c r="CN26" i="1"/>
  <c r="CC27" i="1"/>
  <c r="CD27" i="1"/>
  <c r="CE27" i="1"/>
  <c r="CF27" i="1"/>
  <c r="CG27" i="1"/>
  <c r="CH27" i="1"/>
  <c r="CI27" i="1"/>
  <c r="CJ27" i="1"/>
  <c r="CK27" i="1"/>
  <c r="CL27" i="1"/>
  <c r="CM27" i="1"/>
  <c r="CN27" i="1"/>
  <c r="CC28" i="1"/>
  <c r="CD28" i="1"/>
  <c r="CE28" i="1"/>
  <c r="CF28" i="1"/>
  <c r="CG28" i="1"/>
  <c r="CH28" i="1"/>
  <c r="CI28" i="1"/>
  <c r="CJ28" i="1"/>
  <c r="CK28" i="1"/>
  <c r="CL28" i="1"/>
  <c r="CM28" i="1"/>
  <c r="CN28" i="1"/>
  <c r="CC29" i="1"/>
  <c r="CD29" i="1"/>
  <c r="CE29" i="1"/>
  <c r="CF29" i="1"/>
  <c r="CG29" i="1"/>
  <c r="CH29" i="1"/>
  <c r="CI29" i="1"/>
  <c r="CJ29" i="1"/>
  <c r="CK29" i="1"/>
  <c r="CL29" i="1"/>
  <c r="CM29" i="1"/>
  <c r="CN29" i="1"/>
  <c r="CC30" i="1"/>
  <c r="CD30" i="1"/>
  <c r="CE30" i="1"/>
  <c r="CF30" i="1"/>
  <c r="CG30" i="1"/>
  <c r="CH30" i="1"/>
  <c r="CI30" i="1"/>
  <c r="CJ30" i="1"/>
  <c r="CK30" i="1"/>
  <c r="CL30" i="1"/>
  <c r="CM30" i="1"/>
  <c r="CN30" i="1"/>
  <c r="CC31" i="1"/>
  <c r="CD31" i="1"/>
  <c r="CE31" i="1"/>
  <c r="CF31" i="1"/>
  <c r="CG31" i="1"/>
  <c r="CH31" i="1"/>
  <c r="CI31" i="1"/>
  <c r="CJ31" i="1"/>
  <c r="CK31" i="1"/>
  <c r="CL31" i="1"/>
  <c r="CM31" i="1"/>
  <c r="CN31" i="1"/>
  <c r="CC32" i="1"/>
  <c r="CD32" i="1"/>
  <c r="CE32" i="1"/>
  <c r="CF32" i="1"/>
  <c r="CG32" i="1"/>
  <c r="CH32" i="1"/>
  <c r="CI32" i="1"/>
  <c r="CJ32" i="1"/>
  <c r="CK32" i="1"/>
  <c r="CL32" i="1"/>
  <c r="CM32" i="1"/>
  <c r="CN32" i="1"/>
  <c r="CC33" i="1"/>
  <c r="CD33" i="1"/>
  <c r="CE33" i="1"/>
  <c r="CF33" i="1"/>
  <c r="CG33" i="1"/>
  <c r="CH33" i="1"/>
  <c r="CI33" i="1"/>
  <c r="CJ33" i="1"/>
  <c r="CK33" i="1"/>
  <c r="CL33" i="1"/>
  <c r="CM33" i="1"/>
  <c r="CN33" i="1"/>
  <c r="CC34" i="1"/>
  <c r="CD34" i="1"/>
  <c r="CE34" i="1"/>
  <c r="CF34" i="1"/>
  <c r="CG34" i="1"/>
  <c r="CH34" i="1"/>
  <c r="CI34" i="1"/>
  <c r="CJ34" i="1"/>
  <c r="CK34" i="1"/>
  <c r="CL34" i="1"/>
  <c r="CM34" i="1"/>
  <c r="CN34" i="1"/>
  <c r="CC35" i="1"/>
  <c r="CD35" i="1"/>
  <c r="CE35" i="1"/>
  <c r="CF35" i="1"/>
  <c r="CG35" i="1"/>
  <c r="CH35" i="1"/>
  <c r="CI35" i="1"/>
  <c r="CJ35" i="1"/>
  <c r="CK35" i="1"/>
  <c r="CL35" i="1"/>
  <c r="CM35" i="1"/>
  <c r="CN35" i="1"/>
  <c r="CC36" i="1"/>
  <c r="CD36" i="1"/>
  <c r="CE36" i="1"/>
  <c r="CF36" i="1"/>
  <c r="CG36" i="1"/>
  <c r="CH36" i="1"/>
  <c r="CI36" i="1"/>
  <c r="CJ36" i="1"/>
  <c r="CK36" i="1"/>
  <c r="CL36" i="1"/>
  <c r="CM36" i="1"/>
  <c r="CN36" i="1"/>
  <c r="CC37" i="1"/>
  <c r="CD37" i="1"/>
  <c r="CE37" i="1"/>
  <c r="CF37" i="1"/>
  <c r="CG37" i="1"/>
  <c r="CH37" i="1"/>
  <c r="CI37" i="1"/>
  <c r="CJ37" i="1"/>
  <c r="CK37" i="1"/>
  <c r="CL37" i="1"/>
  <c r="CM37" i="1"/>
  <c r="CN37" i="1"/>
  <c r="CC38" i="1"/>
  <c r="CD38" i="1"/>
  <c r="CE38" i="1"/>
  <c r="CF38" i="1"/>
  <c r="CG38" i="1"/>
  <c r="CH38" i="1"/>
  <c r="CI38" i="1"/>
  <c r="CJ38" i="1"/>
  <c r="CK38" i="1"/>
  <c r="CL38" i="1"/>
  <c r="CM38" i="1"/>
  <c r="CN38" i="1"/>
  <c r="CC39" i="1"/>
  <c r="CD39" i="1"/>
  <c r="CE39" i="1"/>
  <c r="CF39" i="1"/>
  <c r="CG39" i="1"/>
  <c r="CH39" i="1"/>
  <c r="CI39" i="1"/>
  <c r="CJ39" i="1"/>
  <c r="CK39" i="1"/>
  <c r="CL39" i="1"/>
  <c r="CM39" i="1"/>
  <c r="CN39" i="1"/>
  <c r="CC40" i="1"/>
  <c r="CD40" i="1"/>
  <c r="CE40" i="1"/>
  <c r="CF40" i="1"/>
  <c r="CG40" i="1"/>
  <c r="CH40" i="1"/>
  <c r="CI40" i="1"/>
  <c r="CJ40" i="1"/>
  <c r="CK40" i="1"/>
  <c r="CL40" i="1"/>
  <c r="CM40" i="1"/>
  <c r="CN40" i="1"/>
  <c r="CC41" i="1"/>
  <c r="CD41" i="1"/>
  <c r="CE41" i="1"/>
  <c r="CF41" i="1"/>
  <c r="CG41" i="1"/>
  <c r="CH41" i="1"/>
  <c r="CI41" i="1"/>
  <c r="CJ41" i="1"/>
  <c r="CK41" i="1"/>
  <c r="CL41" i="1"/>
  <c r="CM41" i="1"/>
  <c r="CN41" i="1"/>
  <c r="CC42" i="1"/>
  <c r="CD42" i="1"/>
  <c r="CE42" i="1"/>
  <c r="CF42" i="1"/>
  <c r="CG42" i="1"/>
  <c r="CH42" i="1"/>
  <c r="CI42" i="1"/>
  <c r="CJ42" i="1"/>
  <c r="CK42" i="1"/>
  <c r="CL42" i="1"/>
  <c r="CM42" i="1"/>
  <c r="CN42" i="1"/>
  <c r="CC43" i="1"/>
  <c r="CD43" i="1"/>
  <c r="CE43" i="1"/>
  <c r="CF43" i="1"/>
  <c r="CG43" i="1"/>
  <c r="CH43" i="1"/>
  <c r="CI43" i="1"/>
  <c r="CJ43" i="1"/>
  <c r="CK43" i="1"/>
  <c r="CL43" i="1"/>
  <c r="CM43" i="1"/>
  <c r="CN43" i="1"/>
  <c r="CC44" i="1"/>
  <c r="CD44" i="1"/>
  <c r="CE44" i="1"/>
  <c r="CF44" i="1"/>
  <c r="CG44" i="1"/>
  <c r="CH44" i="1"/>
  <c r="CI44" i="1"/>
  <c r="CJ44" i="1"/>
  <c r="CK44" i="1"/>
  <c r="CL44" i="1"/>
  <c r="CM44" i="1"/>
  <c r="CN44" i="1"/>
  <c r="CC45" i="1"/>
  <c r="CD45" i="1"/>
  <c r="CE45" i="1"/>
  <c r="CF45" i="1"/>
  <c r="CG45" i="1"/>
  <c r="CH45" i="1"/>
  <c r="CI45" i="1"/>
  <c r="CJ45" i="1"/>
  <c r="CK45" i="1"/>
  <c r="CL45" i="1"/>
  <c r="CM45" i="1"/>
  <c r="CN45" i="1"/>
  <c r="CC46" i="1"/>
  <c r="CD46" i="1"/>
  <c r="CE46" i="1"/>
  <c r="CF46" i="1"/>
  <c r="CG46" i="1"/>
  <c r="CH46" i="1"/>
  <c r="CI46" i="1"/>
  <c r="CJ46" i="1"/>
  <c r="CK46" i="1"/>
  <c r="CL46" i="1"/>
  <c r="CM46" i="1"/>
  <c r="CN46" i="1"/>
  <c r="CC47" i="1"/>
  <c r="CD47" i="1"/>
  <c r="CE47" i="1"/>
  <c r="CF47" i="1"/>
  <c r="CG47" i="1"/>
  <c r="CH47" i="1"/>
  <c r="CI47" i="1"/>
  <c r="CJ47" i="1"/>
  <c r="CK47" i="1"/>
  <c r="CL47" i="1"/>
  <c r="CM47" i="1"/>
  <c r="CN47" i="1"/>
  <c r="CC48" i="1"/>
  <c r="CD48" i="1"/>
  <c r="CE48" i="1"/>
  <c r="CF48" i="1"/>
  <c r="CG48" i="1"/>
  <c r="CH48" i="1"/>
  <c r="CI48" i="1"/>
  <c r="CJ48" i="1"/>
  <c r="CK48" i="1"/>
  <c r="CL48" i="1"/>
  <c r="CM48" i="1"/>
  <c r="CN48" i="1"/>
  <c r="CC49" i="1"/>
  <c r="CD49" i="1"/>
  <c r="CE49" i="1"/>
  <c r="CF49" i="1"/>
  <c r="CG49" i="1"/>
  <c r="CH49" i="1"/>
  <c r="CI49" i="1"/>
  <c r="CJ49" i="1"/>
  <c r="CK49" i="1"/>
  <c r="CL49" i="1"/>
  <c r="CM49" i="1"/>
  <c r="CN49" i="1"/>
  <c r="CC50" i="1"/>
  <c r="CD50" i="1"/>
  <c r="CE50" i="1"/>
  <c r="CF50" i="1"/>
  <c r="CG50" i="1"/>
  <c r="CH50" i="1"/>
  <c r="CI50" i="1"/>
  <c r="CJ50" i="1"/>
  <c r="CK50" i="1"/>
  <c r="CL50" i="1"/>
  <c r="CM50" i="1"/>
  <c r="CN50" i="1"/>
  <c r="CC51" i="1"/>
  <c r="CD51" i="1"/>
  <c r="CE51" i="1"/>
  <c r="CF51" i="1"/>
  <c r="CG51" i="1"/>
  <c r="CH51" i="1"/>
  <c r="CI51" i="1"/>
  <c r="CJ51" i="1"/>
  <c r="CK51" i="1"/>
  <c r="CL51" i="1"/>
  <c r="CM51" i="1"/>
  <c r="CN51" i="1"/>
  <c r="CC52" i="1"/>
  <c r="CD52" i="1"/>
  <c r="CE52" i="1"/>
  <c r="CF52" i="1"/>
  <c r="CG52" i="1"/>
  <c r="CH52" i="1"/>
  <c r="CI52" i="1"/>
  <c r="CJ52" i="1"/>
  <c r="CK52" i="1"/>
  <c r="CL52" i="1"/>
  <c r="CM52" i="1"/>
  <c r="CN52" i="1"/>
  <c r="CC53" i="1"/>
  <c r="CD53" i="1"/>
  <c r="CE53" i="1"/>
  <c r="CF53" i="1"/>
  <c r="CG53" i="1"/>
  <c r="CH53" i="1"/>
  <c r="CI53" i="1"/>
  <c r="CJ53" i="1"/>
  <c r="CK53" i="1"/>
  <c r="CL53" i="1"/>
  <c r="CM53" i="1"/>
  <c r="CN53" i="1"/>
  <c r="CC54" i="1"/>
  <c r="CD54" i="1"/>
  <c r="CE54" i="1"/>
  <c r="CF54" i="1"/>
  <c r="CG54" i="1"/>
  <c r="CH54" i="1"/>
  <c r="CI54" i="1"/>
  <c r="CJ54" i="1"/>
  <c r="CK54" i="1"/>
  <c r="CL54" i="1"/>
  <c r="CM54" i="1"/>
  <c r="CN54" i="1"/>
  <c r="CC55" i="1"/>
  <c r="CD55" i="1"/>
  <c r="CE55" i="1"/>
  <c r="CF55" i="1"/>
  <c r="CG55" i="1"/>
  <c r="CH55" i="1"/>
  <c r="CI55" i="1"/>
  <c r="CJ55" i="1"/>
  <c r="CK55" i="1"/>
  <c r="CL55" i="1"/>
  <c r="CM55" i="1"/>
  <c r="CN55" i="1"/>
  <c r="CC56" i="1"/>
  <c r="CD56" i="1"/>
  <c r="CE56" i="1"/>
  <c r="CF56" i="1"/>
  <c r="CG56" i="1"/>
  <c r="CH56" i="1"/>
  <c r="CI56" i="1"/>
  <c r="CJ56" i="1"/>
  <c r="CK56" i="1"/>
  <c r="CL56" i="1"/>
  <c r="CM56" i="1"/>
  <c r="CN56" i="1"/>
  <c r="CC57" i="1"/>
  <c r="CD57" i="1"/>
  <c r="CE57" i="1"/>
  <c r="CF57" i="1"/>
  <c r="CG57" i="1"/>
  <c r="CH57" i="1"/>
  <c r="CI57" i="1"/>
  <c r="CJ57" i="1"/>
  <c r="CK57" i="1"/>
  <c r="CL57" i="1"/>
  <c r="CM57" i="1"/>
  <c r="CN57" i="1"/>
  <c r="CC58" i="1"/>
  <c r="CD58" i="1"/>
  <c r="CE58" i="1"/>
  <c r="CF58" i="1"/>
  <c r="CG58" i="1"/>
  <c r="CH58" i="1"/>
  <c r="CI58" i="1"/>
  <c r="CJ58" i="1"/>
  <c r="CK58" i="1"/>
  <c r="CL58" i="1"/>
  <c r="CM58" i="1"/>
  <c r="CN58" i="1"/>
  <c r="CC59" i="1"/>
  <c r="CD59" i="1"/>
  <c r="CE59" i="1"/>
  <c r="CF59" i="1"/>
  <c r="CG59" i="1"/>
  <c r="CH59" i="1"/>
  <c r="CI59" i="1"/>
  <c r="CJ59" i="1"/>
  <c r="CK59" i="1"/>
  <c r="CL59" i="1"/>
  <c r="CM59" i="1"/>
  <c r="CN59" i="1"/>
  <c r="CC60" i="1"/>
  <c r="CD60" i="1"/>
  <c r="CE60" i="1"/>
  <c r="CF60" i="1"/>
  <c r="CG60" i="1"/>
  <c r="CH60" i="1"/>
  <c r="CI60" i="1"/>
  <c r="CJ60" i="1"/>
  <c r="CK60" i="1"/>
  <c r="CL60" i="1"/>
  <c r="CM60" i="1"/>
  <c r="CN60" i="1"/>
  <c r="CC61" i="1"/>
  <c r="CD61" i="1"/>
  <c r="CE61" i="1"/>
  <c r="CF61" i="1"/>
  <c r="CG61" i="1"/>
  <c r="CH61" i="1"/>
  <c r="CI61" i="1"/>
  <c r="CJ61" i="1"/>
  <c r="CK61" i="1"/>
  <c r="CL61" i="1"/>
  <c r="CM61" i="1"/>
  <c r="CN61" i="1"/>
  <c r="CC62" i="1"/>
  <c r="CD62" i="1"/>
  <c r="CE62" i="1"/>
  <c r="CF62" i="1"/>
  <c r="CG62" i="1"/>
  <c r="CH62" i="1"/>
  <c r="CI62" i="1"/>
  <c r="CJ62" i="1"/>
  <c r="CK62" i="1"/>
  <c r="CL62" i="1"/>
  <c r="CM62" i="1"/>
  <c r="CN62" i="1"/>
  <c r="CC63" i="1"/>
  <c r="CD63" i="1"/>
  <c r="CE63" i="1"/>
  <c r="CF63" i="1"/>
  <c r="CG63" i="1"/>
  <c r="CH63" i="1"/>
  <c r="CI63" i="1"/>
  <c r="CJ63" i="1"/>
  <c r="CK63" i="1"/>
  <c r="CL63" i="1"/>
  <c r="CM63" i="1"/>
  <c r="CN63" i="1"/>
  <c r="CC64" i="1"/>
  <c r="CD64" i="1"/>
  <c r="CE64" i="1"/>
  <c r="CF64" i="1"/>
  <c r="CG64" i="1"/>
  <c r="CH64" i="1"/>
  <c r="CI64" i="1"/>
  <c r="CJ64" i="1"/>
  <c r="CK64" i="1"/>
  <c r="CL64" i="1"/>
  <c r="CM64" i="1"/>
  <c r="CN64" i="1"/>
  <c r="CC65" i="1"/>
  <c r="CD65" i="1"/>
  <c r="CE65" i="1"/>
  <c r="CF65" i="1"/>
  <c r="CG65" i="1"/>
  <c r="CH65" i="1"/>
  <c r="CI65" i="1"/>
  <c r="CJ65" i="1"/>
  <c r="CK65" i="1"/>
  <c r="CL65" i="1"/>
  <c r="CM65" i="1"/>
  <c r="CN65" i="1"/>
  <c r="CC66" i="1"/>
  <c r="CD66" i="1"/>
  <c r="CE66" i="1"/>
  <c r="CF66" i="1"/>
  <c r="CG66" i="1"/>
  <c r="CH66" i="1"/>
  <c r="CI66" i="1"/>
  <c r="CJ66" i="1"/>
  <c r="CK66" i="1"/>
  <c r="CL66" i="1"/>
  <c r="CM66" i="1"/>
  <c r="CN66" i="1"/>
  <c r="CC67" i="1"/>
  <c r="CD67" i="1"/>
  <c r="CE67" i="1"/>
  <c r="CF67" i="1"/>
  <c r="CG67" i="1"/>
  <c r="CH67" i="1"/>
  <c r="CI67" i="1"/>
  <c r="CJ67" i="1"/>
  <c r="CK67" i="1"/>
  <c r="CL67" i="1"/>
  <c r="CM67" i="1"/>
  <c r="CN67" i="1"/>
  <c r="CC68" i="1"/>
  <c r="CD68" i="1"/>
  <c r="CE68" i="1"/>
  <c r="CF68" i="1"/>
  <c r="CG68" i="1"/>
  <c r="CH68" i="1"/>
  <c r="CI68" i="1"/>
  <c r="CJ68" i="1"/>
  <c r="CK68" i="1"/>
  <c r="CL68" i="1"/>
  <c r="CM68" i="1"/>
  <c r="CN68" i="1"/>
  <c r="CC69" i="1"/>
  <c r="CD69" i="1"/>
  <c r="CE69" i="1"/>
  <c r="CF69" i="1"/>
  <c r="CG69" i="1"/>
  <c r="CH69" i="1"/>
  <c r="CI69" i="1"/>
  <c r="CJ69" i="1"/>
  <c r="CK69" i="1"/>
  <c r="CL69" i="1"/>
  <c r="CM69" i="1"/>
  <c r="CN69" i="1"/>
  <c r="CC70" i="1"/>
  <c r="CD70" i="1"/>
  <c r="CE70" i="1"/>
  <c r="CF70" i="1"/>
  <c r="CG70" i="1"/>
  <c r="CH70" i="1"/>
  <c r="CI70" i="1"/>
  <c r="CJ70" i="1"/>
  <c r="CK70" i="1"/>
  <c r="CL70" i="1"/>
  <c r="CM70" i="1"/>
  <c r="CN70" i="1"/>
  <c r="CC71" i="1"/>
  <c r="CD71" i="1"/>
  <c r="CE71" i="1"/>
  <c r="CF71" i="1"/>
  <c r="CG71" i="1"/>
  <c r="CH71" i="1"/>
  <c r="CI71" i="1"/>
  <c r="CJ71" i="1"/>
  <c r="CK71" i="1"/>
  <c r="CL71" i="1"/>
  <c r="CM71" i="1"/>
  <c r="CN71" i="1"/>
  <c r="CC72" i="1"/>
  <c r="CD72" i="1"/>
  <c r="CE72" i="1"/>
  <c r="CF72" i="1"/>
  <c r="CG72" i="1"/>
  <c r="CH72" i="1"/>
  <c r="CI72" i="1"/>
  <c r="CJ72" i="1"/>
  <c r="CK72" i="1"/>
  <c r="CL72" i="1"/>
  <c r="CM72" i="1"/>
  <c r="CN72" i="1"/>
  <c r="CC73" i="1"/>
  <c r="CD73" i="1"/>
  <c r="CE73" i="1"/>
  <c r="CF73" i="1"/>
  <c r="CG73" i="1"/>
  <c r="CH73" i="1"/>
  <c r="CI73" i="1"/>
  <c r="CJ73" i="1"/>
  <c r="CK73" i="1"/>
  <c r="CL73" i="1"/>
  <c r="CM73" i="1"/>
  <c r="CN73" i="1"/>
  <c r="CC74" i="1"/>
  <c r="CD74" i="1"/>
  <c r="CE74" i="1"/>
  <c r="CF74" i="1"/>
  <c r="CG74" i="1"/>
  <c r="CH74" i="1"/>
  <c r="CI74" i="1"/>
  <c r="CJ74" i="1"/>
  <c r="CK74" i="1"/>
  <c r="CL74" i="1"/>
  <c r="CM74" i="1"/>
  <c r="CN74" i="1"/>
  <c r="CC75" i="1"/>
  <c r="CD75" i="1"/>
  <c r="CE75" i="1"/>
  <c r="CF75" i="1"/>
  <c r="CG75" i="1"/>
  <c r="CH75" i="1"/>
  <c r="CI75" i="1"/>
  <c r="CJ75" i="1"/>
  <c r="CK75" i="1"/>
  <c r="CL75" i="1"/>
  <c r="CM75" i="1"/>
  <c r="CN75" i="1"/>
  <c r="CC76" i="1"/>
  <c r="CD76" i="1"/>
  <c r="CE76" i="1"/>
  <c r="CF76" i="1"/>
  <c r="CG76" i="1"/>
  <c r="CH76" i="1"/>
  <c r="CI76" i="1"/>
  <c r="CJ76" i="1"/>
  <c r="CK76" i="1"/>
  <c r="CL76" i="1"/>
  <c r="CM76" i="1"/>
  <c r="CN76" i="1"/>
  <c r="CC77" i="1"/>
  <c r="CD77" i="1"/>
  <c r="CE77" i="1"/>
  <c r="CF77" i="1"/>
  <c r="CG77" i="1"/>
  <c r="CH77" i="1"/>
  <c r="CI77" i="1"/>
  <c r="CJ77" i="1"/>
  <c r="CK77" i="1"/>
  <c r="CL77" i="1"/>
  <c r="CM77" i="1"/>
  <c r="CN77" i="1"/>
  <c r="CC78" i="1"/>
  <c r="CD78" i="1"/>
  <c r="CE78" i="1"/>
  <c r="CF78" i="1"/>
  <c r="CG78" i="1"/>
  <c r="CH78" i="1"/>
  <c r="CI78" i="1"/>
  <c r="CJ78" i="1"/>
  <c r="CK78" i="1"/>
  <c r="CL78" i="1"/>
  <c r="CM78" i="1"/>
  <c r="CN78" i="1"/>
  <c r="CC79" i="1"/>
  <c r="CD79" i="1"/>
  <c r="CE79" i="1"/>
  <c r="CF79" i="1"/>
  <c r="CG79" i="1"/>
  <c r="CH79" i="1"/>
  <c r="CI79" i="1"/>
  <c r="CJ79" i="1"/>
  <c r="CK79" i="1"/>
  <c r="CL79" i="1"/>
  <c r="CM79" i="1"/>
  <c r="CN79" i="1"/>
  <c r="CC80" i="1"/>
  <c r="CD80" i="1"/>
  <c r="CE80" i="1"/>
  <c r="CF80" i="1"/>
  <c r="CG80" i="1"/>
  <c r="CH80" i="1"/>
  <c r="CI80" i="1"/>
  <c r="CJ80" i="1"/>
  <c r="CK80" i="1"/>
  <c r="CL80" i="1"/>
  <c r="CM80" i="1"/>
  <c r="CN80" i="1"/>
  <c r="CC81" i="1"/>
  <c r="CD81" i="1"/>
  <c r="CE81" i="1"/>
  <c r="CF81" i="1"/>
  <c r="CG81" i="1"/>
  <c r="CH81" i="1"/>
  <c r="CI81" i="1"/>
  <c r="CJ81" i="1"/>
  <c r="CK81" i="1"/>
  <c r="CL81" i="1"/>
  <c r="CM81" i="1"/>
  <c r="CN81" i="1"/>
  <c r="CC82" i="1"/>
  <c r="CD82" i="1"/>
  <c r="CE82" i="1"/>
  <c r="CF82" i="1"/>
  <c r="CG82" i="1"/>
  <c r="CH82" i="1"/>
  <c r="CI82" i="1"/>
  <c r="CJ82" i="1"/>
  <c r="CK82" i="1"/>
  <c r="CL82" i="1"/>
  <c r="CM82" i="1"/>
  <c r="CN82" i="1"/>
  <c r="CC83" i="1"/>
  <c r="CD83" i="1"/>
  <c r="CE83" i="1"/>
  <c r="CF83" i="1"/>
  <c r="CG83" i="1"/>
  <c r="CH83" i="1"/>
  <c r="CI83" i="1"/>
  <c r="CJ83" i="1"/>
  <c r="CK83" i="1"/>
  <c r="CL83" i="1"/>
  <c r="CM83" i="1"/>
  <c r="CN83" i="1"/>
  <c r="CC84" i="1"/>
  <c r="CD84" i="1"/>
  <c r="CE84" i="1"/>
  <c r="CF84" i="1"/>
  <c r="CG84" i="1"/>
  <c r="CH84" i="1"/>
  <c r="CI84" i="1"/>
  <c r="CJ84" i="1"/>
  <c r="CK84" i="1"/>
  <c r="CL84" i="1"/>
  <c r="CM84" i="1"/>
  <c r="CN84" i="1"/>
  <c r="CC85" i="1"/>
  <c r="CD85" i="1"/>
  <c r="CE85" i="1"/>
  <c r="CF85" i="1"/>
  <c r="CG85" i="1"/>
  <c r="CH85" i="1"/>
  <c r="CI85" i="1"/>
  <c r="CJ85" i="1"/>
  <c r="CK85" i="1"/>
  <c r="CL85" i="1"/>
  <c r="CM85" i="1"/>
  <c r="CN85" i="1"/>
  <c r="CC86" i="1"/>
  <c r="CD86" i="1"/>
  <c r="CE86" i="1"/>
  <c r="CF86" i="1"/>
  <c r="CG86" i="1"/>
  <c r="CH86" i="1"/>
  <c r="CI86" i="1"/>
  <c r="CJ86" i="1"/>
  <c r="CK86" i="1"/>
  <c r="CL86" i="1"/>
  <c r="CM86" i="1"/>
  <c r="CN86" i="1"/>
  <c r="CC87" i="1"/>
  <c r="CD87" i="1"/>
  <c r="CE87" i="1"/>
  <c r="CF87" i="1"/>
  <c r="CG87" i="1"/>
  <c r="CH87" i="1"/>
  <c r="CI87" i="1"/>
  <c r="CJ87" i="1"/>
  <c r="CK87" i="1"/>
  <c r="CL87" i="1"/>
  <c r="CM87" i="1"/>
  <c r="CN87" i="1"/>
  <c r="CC88" i="1"/>
  <c r="CD88" i="1"/>
  <c r="CE88" i="1"/>
  <c r="CF88" i="1"/>
  <c r="CG88" i="1"/>
  <c r="CH88" i="1"/>
  <c r="CI88" i="1"/>
  <c r="CJ88" i="1"/>
  <c r="CK88" i="1"/>
  <c r="CL88" i="1"/>
  <c r="CM88" i="1"/>
  <c r="CN88" i="1"/>
  <c r="CC89" i="1"/>
  <c r="CD89" i="1"/>
  <c r="CE89" i="1"/>
  <c r="CF89" i="1"/>
  <c r="CG89" i="1"/>
  <c r="CH89" i="1"/>
  <c r="CI89" i="1"/>
  <c r="CJ89" i="1"/>
  <c r="CK89" i="1"/>
  <c r="CL89" i="1"/>
  <c r="CM89" i="1"/>
  <c r="CN89" i="1"/>
  <c r="CC90" i="1"/>
  <c r="CD90" i="1"/>
  <c r="CE90" i="1"/>
  <c r="CF90" i="1"/>
  <c r="CG90" i="1"/>
  <c r="CH90" i="1"/>
  <c r="CI90" i="1"/>
  <c r="CJ90" i="1"/>
  <c r="CK90" i="1"/>
  <c r="CL90" i="1"/>
  <c r="CM90" i="1"/>
  <c r="CN90" i="1"/>
  <c r="CC91" i="1"/>
  <c r="CD91" i="1"/>
  <c r="CE91" i="1"/>
  <c r="CF91" i="1"/>
  <c r="CG91" i="1"/>
  <c r="CH91" i="1"/>
  <c r="CI91" i="1"/>
  <c r="CJ91" i="1"/>
  <c r="CK91" i="1"/>
  <c r="CL91" i="1"/>
  <c r="CM91" i="1"/>
  <c r="CN91" i="1"/>
  <c r="CC92" i="1"/>
  <c r="CD92" i="1"/>
  <c r="CE92" i="1"/>
  <c r="CF92" i="1"/>
  <c r="CG92" i="1"/>
  <c r="CH92" i="1"/>
  <c r="CI92" i="1"/>
  <c r="CJ92" i="1"/>
  <c r="CK92" i="1"/>
  <c r="CL92" i="1"/>
  <c r="CM92" i="1"/>
  <c r="CN92" i="1"/>
  <c r="CC93" i="1"/>
  <c r="CD93" i="1"/>
  <c r="CE93" i="1"/>
  <c r="CF93" i="1"/>
  <c r="CG93" i="1"/>
  <c r="CH93" i="1"/>
  <c r="CI93" i="1"/>
  <c r="CJ93" i="1"/>
  <c r="CK93" i="1"/>
  <c r="CL93" i="1"/>
  <c r="CM93" i="1"/>
  <c r="CN93" i="1"/>
  <c r="CC94" i="1"/>
  <c r="CD94" i="1"/>
  <c r="CE94" i="1"/>
  <c r="CF94" i="1"/>
  <c r="CG94" i="1"/>
  <c r="CH94" i="1"/>
  <c r="CI94" i="1"/>
  <c r="CJ94" i="1"/>
  <c r="CK94" i="1"/>
  <c r="CL94" i="1"/>
  <c r="CM94" i="1"/>
  <c r="CN94" i="1"/>
  <c r="CC95" i="1"/>
  <c r="CD95" i="1"/>
  <c r="CE95" i="1"/>
  <c r="CF95" i="1"/>
  <c r="CG95" i="1"/>
  <c r="CH95" i="1"/>
  <c r="CI95" i="1"/>
  <c r="CJ95" i="1"/>
  <c r="CK95" i="1"/>
  <c r="CL95" i="1"/>
  <c r="CM95" i="1"/>
  <c r="CN95" i="1"/>
  <c r="CC96" i="1"/>
  <c r="CD96" i="1"/>
  <c r="CE96" i="1"/>
  <c r="CF96" i="1"/>
  <c r="CG96" i="1"/>
  <c r="CH96" i="1"/>
  <c r="CI96" i="1"/>
  <c r="CJ96" i="1"/>
  <c r="CK96" i="1"/>
  <c r="CL96" i="1"/>
  <c r="CM96" i="1"/>
  <c r="CN96" i="1"/>
  <c r="CC97" i="1"/>
  <c r="CD97" i="1"/>
  <c r="CE97" i="1"/>
  <c r="CF97" i="1"/>
  <c r="CG97" i="1"/>
  <c r="CH97" i="1"/>
  <c r="CI97" i="1"/>
  <c r="CJ97" i="1"/>
  <c r="CK97" i="1"/>
  <c r="CL97" i="1"/>
  <c r="CM97" i="1"/>
  <c r="CN97" i="1"/>
  <c r="CC98" i="1"/>
  <c r="CD98" i="1"/>
  <c r="CE98" i="1"/>
  <c r="CF98" i="1"/>
  <c r="CG98" i="1"/>
  <c r="CH98" i="1"/>
  <c r="CI98" i="1"/>
  <c r="CJ98" i="1"/>
  <c r="CK98" i="1"/>
  <c r="CL98" i="1"/>
  <c r="CM98" i="1"/>
  <c r="CN98" i="1"/>
  <c r="CC99" i="1"/>
  <c r="CD99" i="1"/>
  <c r="CE99" i="1"/>
  <c r="CF99" i="1"/>
  <c r="CG99" i="1"/>
  <c r="CH99" i="1"/>
  <c r="CI99" i="1"/>
  <c r="CJ99" i="1"/>
  <c r="CK99" i="1"/>
  <c r="CL99" i="1"/>
  <c r="CM99" i="1"/>
  <c r="CN99" i="1"/>
  <c r="CC100" i="1"/>
  <c r="CD100" i="1"/>
  <c r="CE100" i="1"/>
  <c r="CF100" i="1"/>
  <c r="CG100" i="1"/>
  <c r="CH100" i="1"/>
  <c r="CI100" i="1"/>
  <c r="CJ100" i="1"/>
  <c r="CK100" i="1"/>
  <c r="CL100" i="1"/>
  <c r="CM100" i="1"/>
  <c r="CN100" i="1"/>
  <c r="CC101" i="1"/>
  <c r="CD101" i="1"/>
  <c r="CE101" i="1"/>
  <c r="CF101" i="1"/>
  <c r="CG101" i="1"/>
  <c r="CH101" i="1"/>
  <c r="CI101" i="1"/>
  <c r="CJ101" i="1"/>
  <c r="CK101" i="1"/>
  <c r="CL101" i="1"/>
  <c r="CM101" i="1"/>
  <c r="CN101" i="1"/>
  <c r="CC102" i="1"/>
  <c r="CD102" i="1"/>
  <c r="CE102" i="1"/>
  <c r="CF102" i="1"/>
  <c r="CG102" i="1"/>
  <c r="CH102" i="1"/>
  <c r="CI102" i="1"/>
  <c r="CJ102" i="1"/>
  <c r="CK102" i="1"/>
  <c r="CL102" i="1"/>
  <c r="CM102" i="1"/>
  <c r="CN102" i="1"/>
  <c r="CC103" i="1"/>
  <c r="CD103" i="1"/>
  <c r="CE103" i="1"/>
  <c r="CF103" i="1"/>
  <c r="CG103" i="1"/>
  <c r="CH103" i="1"/>
  <c r="CI103" i="1"/>
  <c r="CJ103" i="1"/>
  <c r="CK103" i="1"/>
  <c r="CL103" i="1"/>
  <c r="CM103" i="1"/>
  <c r="CN103" i="1"/>
  <c r="CC104" i="1"/>
  <c r="CD104" i="1"/>
  <c r="CE104" i="1"/>
  <c r="CF104" i="1"/>
  <c r="CG104" i="1"/>
  <c r="CH104" i="1"/>
  <c r="CI104" i="1"/>
  <c r="CJ104" i="1"/>
  <c r="CK104" i="1"/>
  <c r="CL104" i="1"/>
  <c r="CM104" i="1"/>
  <c r="CN104" i="1"/>
  <c r="CC105" i="1"/>
  <c r="CD105" i="1"/>
  <c r="CE105" i="1"/>
  <c r="CF105" i="1"/>
  <c r="CG105" i="1"/>
  <c r="CH105" i="1"/>
  <c r="CI105" i="1"/>
  <c r="CJ105" i="1"/>
  <c r="CK105" i="1"/>
  <c r="CL105" i="1"/>
  <c r="CM105" i="1"/>
  <c r="CN105" i="1"/>
  <c r="CC106" i="1"/>
  <c r="CD106" i="1"/>
  <c r="CE106" i="1"/>
  <c r="CF106" i="1"/>
  <c r="CG106" i="1"/>
  <c r="CH106" i="1"/>
  <c r="CI106" i="1"/>
  <c r="CJ106" i="1"/>
  <c r="CK106" i="1"/>
  <c r="CL106" i="1"/>
  <c r="CM106" i="1"/>
  <c r="CN106" i="1"/>
  <c r="CC107" i="1"/>
  <c r="CD107" i="1"/>
  <c r="CE107" i="1"/>
  <c r="CF107" i="1"/>
  <c r="CG107" i="1"/>
  <c r="CH107" i="1"/>
  <c r="CI107" i="1"/>
  <c r="CJ107" i="1"/>
  <c r="CK107" i="1"/>
  <c r="CL107" i="1"/>
  <c r="CM107" i="1"/>
  <c r="CN107" i="1"/>
  <c r="CC108" i="1"/>
  <c r="CD108" i="1"/>
  <c r="CE108" i="1"/>
  <c r="CF108" i="1"/>
  <c r="CG108" i="1"/>
  <c r="CH108" i="1"/>
  <c r="CI108" i="1"/>
  <c r="CJ108" i="1"/>
  <c r="CK108" i="1"/>
  <c r="CL108" i="1"/>
  <c r="CM108" i="1"/>
  <c r="CN108" i="1"/>
  <c r="CC109" i="1"/>
  <c r="CD109" i="1"/>
  <c r="CE109" i="1"/>
  <c r="CF109" i="1"/>
  <c r="CG109" i="1"/>
  <c r="CH109" i="1"/>
  <c r="CI109" i="1"/>
  <c r="CJ109" i="1"/>
  <c r="CK109" i="1"/>
  <c r="CL109" i="1"/>
  <c r="CM109" i="1"/>
  <c r="CN109" i="1"/>
  <c r="CC110" i="1"/>
  <c r="CD110" i="1"/>
  <c r="CE110" i="1"/>
  <c r="CF110" i="1"/>
  <c r="CG110" i="1"/>
  <c r="CH110" i="1"/>
  <c r="CI110" i="1"/>
  <c r="CJ110" i="1"/>
  <c r="CK110" i="1"/>
  <c r="CL110" i="1"/>
  <c r="CM110" i="1"/>
  <c r="CN110" i="1"/>
  <c r="CC111" i="1"/>
  <c r="CD111" i="1"/>
  <c r="CE111" i="1"/>
  <c r="CF111" i="1"/>
  <c r="CG111" i="1"/>
  <c r="CH111" i="1"/>
  <c r="CI111" i="1"/>
  <c r="CJ111" i="1"/>
  <c r="CK111" i="1"/>
  <c r="CL111" i="1"/>
  <c r="CM111" i="1"/>
  <c r="CN111" i="1"/>
  <c r="CC112" i="1"/>
  <c r="CD112" i="1"/>
  <c r="CE112" i="1"/>
  <c r="CF112" i="1"/>
  <c r="CG112" i="1"/>
  <c r="CH112" i="1"/>
  <c r="CI112" i="1"/>
  <c r="CJ112" i="1"/>
  <c r="CK112" i="1"/>
  <c r="CL112" i="1"/>
  <c r="CM112" i="1"/>
  <c r="CN112" i="1"/>
  <c r="CC113" i="1"/>
  <c r="CD113" i="1"/>
  <c r="CE113" i="1"/>
  <c r="CF113" i="1"/>
  <c r="CG113" i="1"/>
  <c r="CH113" i="1"/>
  <c r="CI113" i="1"/>
  <c r="CJ113" i="1"/>
  <c r="CK113" i="1"/>
  <c r="CL113" i="1"/>
  <c r="CM113" i="1"/>
  <c r="CN113" i="1"/>
  <c r="CC114" i="1"/>
  <c r="CD114" i="1"/>
  <c r="CE114" i="1"/>
  <c r="CF114" i="1"/>
  <c r="CG114" i="1"/>
  <c r="CH114" i="1"/>
  <c r="CI114" i="1"/>
  <c r="CJ114" i="1"/>
  <c r="CK114" i="1"/>
  <c r="CL114" i="1"/>
  <c r="CM114" i="1"/>
  <c r="CN114" i="1"/>
  <c r="CC115" i="1"/>
  <c r="CD115" i="1"/>
  <c r="CE115" i="1"/>
  <c r="CF115" i="1"/>
  <c r="CG115" i="1"/>
  <c r="CH115" i="1"/>
  <c r="CI115" i="1"/>
  <c r="CJ115" i="1"/>
  <c r="CK115" i="1"/>
  <c r="CL115" i="1"/>
  <c r="CM115" i="1"/>
  <c r="CN115" i="1"/>
  <c r="CC116" i="1"/>
  <c r="CD116" i="1"/>
  <c r="CE116" i="1"/>
  <c r="CF116" i="1"/>
  <c r="CG116" i="1"/>
  <c r="CH116" i="1"/>
  <c r="CI116" i="1"/>
  <c r="CJ116" i="1"/>
  <c r="CK116" i="1"/>
  <c r="CL116" i="1"/>
  <c r="CM116" i="1"/>
  <c r="CN116" i="1"/>
  <c r="CC117" i="1"/>
  <c r="CD117" i="1"/>
  <c r="CE117" i="1"/>
  <c r="CF117" i="1"/>
  <c r="CG117" i="1"/>
  <c r="CH117" i="1"/>
  <c r="CI117" i="1"/>
  <c r="CJ117" i="1"/>
  <c r="CK117" i="1"/>
  <c r="CL117" i="1"/>
  <c r="CM117" i="1"/>
  <c r="CN117" i="1"/>
  <c r="CC118" i="1"/>
  <c r="CD118" i="1"/>
  <c r="CE118" i="1"/>
  <c r="CF118" i="1"/>
  <c r="CG118" i="1"/>
  <c r="CH118" i="1"/>
  <c r="CI118" i="1"/>
  <c r="CJ118" i="1"/>
  <c r="CK118" i="1"/>
  <c r="CL118" i="1"/>
  <c r="CM118" i="1"/>
  <c r="CN118" i="1"/>
  <c r="CC119" i="1"/>
  <c r="CD119" i="1"/>
  <c r="CE119" i="1"/>
  <c r="CF119" i="1"/>
  <c r="CG119" i="1"/>
  <c r="CH119" i="1"/>
  <c r="CI119" i="1"/>
  <c r="CJ119" i="1"/>
  <c r="CK119" i="1"/>
  <c r="CL119" i="1"/>
  <c r="CM119" i="1"/>
  <c r="CN119" i="1"/>
  <c r="CC120" i="1"/>
  <c r="CD120" i="1"/>
  <c r="CE120" i="1"/>
  <c r="CF120" i="1"/>
  <c r="CG120" i="1"/>
  <c r="CH120" i="1"/>
  <c r="CI120" i="1"/>
  <c r="CJ120" i="1"/>
  <c r="CK120" i="1"/>
  <c r="CL120" i="1"/>
  <c r="CM120" i="1"/>
  <c r="CN120" i="1"/>
  <c r="CC121" i="1"/>
  <c r="CD121" i="1"/>
  <c r="CE121" i="1"/>
  <c r="CF121" i="1"/>
  <c r="CG121" i="1"/>
  <c r="CH121" i="1"/>
  <c r="CI121" i="1"/>
  <c r="CJ121" i="1"/>
  <c r="CK121" i="1"/>
  <c r="CL121" i="1"/>
  <c r="CM121" i="1"/>
  <c r="CN121" i="1"/>
  <c r="CC122" i="1"/>
  <c r="CD122" i="1"/>
  <c r="CE122" i="1"/>
  <c r="CF122" i="1"/>
  <c r="CG122" i="1"/>
  <c r="CH122" i="1"/>
  <c r="CI122" i="1"/>
  <c r="CJ122" i="1"/>
  <c r="CK122" i="1"/>
  <c r="CL122" i="1"/>
  <c r="CM122" i="1"/>
  <c r="CN122" i="1"/>
  <c r="CC123" i="1"/>
  <c r="CD123" i="1"/>
  <c r="CE123" i="1"/>
  <c r="CF123" i="1"/>
  <c r="CG123" i="1"/>
  <c r="CH123" i="1"/>
  <c r="CI123" i="1"/>
  <c r="CJ123" i="1"/>
  <c r="CK123" i="1"/>
  <c r="CL123" i="1"/>
  <c r="CM123" i="1"/>
  <c r="CN123" i="1"/>
  <c r="CC124" i="1"/>
  <c r="CD124" i="1"/>
  <c r="CE124" i="1"/>
  <c r="CF124" i="1"/>
  <c r="CG124" i="1"/>
  <c r="CH124" i="1"/>
  <c r="CI124" i="1"/>
  <c r="CJ124" i="1"/>
  <c r="CK124" i="1"/>
  <c r="CL124" i="1"/>
  <c r="CM124" i="1"/>
  <c r="CN124" i="1"/>
  <c r="CC125" i="1"/>
  <c r="CD125" i="1"/>
  <c r="CE125" i="1"/>
  <c r="CF125" i="1"/>
  <c r="CG125" i="1"/>
  <c r="CH125" i="1"/>
  <c r="CI125" i="1"/>
  <c r="CJ125" i="1"/>
  <c r="CK125" i="1"/>
  <c r="CL125" i="1"/>
  <c r="CM125" i="1"/>
  <c r="CN125" i="1"/>
  <c r="CC126" i="1"/>
  <c r="CD126" i="1"/>
  <c r="CE126" i="1"/>
  <c r="CF126" i="1"/>
  <c r="CG126" i="1"/>
  <c r="CH126" i="1"/>
  <c r="CI126" i="1"/>
  <c r="CJ126" i="1"/>
  <c r="CK126" i="1"/>
  <c r="CL126" i="1"/>
  <c r="CM126" i="1"/>
  <c r="CN126" i="1"/>
  <c r="CC127" i="1"/>
  <c r="CD127" i="1"/>
  <c r="CE127" i="1"/>
  <c r="CF127" i="1"/>
  <c r="CG127" i="1"/>
  <c r="CH127" i="1"/>
  <c r="CI127" i="1"/>
  <c r="CJ127" i="1"/>
  <c r="CK127" i="1"/>
  <c r="CL127" i="1"/>
  <c r="CM127" i="1"/>
  <c r="CN127" i="1"/>
  <c r="CC128" i="1"/>
  <c r="CD128" i="1"/>
  <c r="CE128" i="1"/>
  <c r="CF128" i="1"/>
  <c r="CG128" i="1"/>
  <c r="CH128" i="1"/>
  <c r="CI128" i="1"/>
  <c r="CJ128" i="1"/>
  <c r="CK128" i="1"/>
  <c r="CL128" i="1"/>
  <c r="CM128" i="1"/>
  <c r="CN128" i="1"/>
  <c r="CC129" i="1"/>
  <c r="CD129" i="1"/>
  <c r="CE129" i="1"/>
  <c r="CF129" i="1"/>
  <c r="CG129" i="1"/>
  <c r="CH129" i="1"/>
  <c r="CI129" i="1"/>
  <c r="CJ129" i="1"/>
  <c r="CK129" i="1"/>
  <c r="CL129" i="1"/>
  <c r="CM129" i="1"/>
  <c r="CN129" i="1"/>
  <c r="CC130" i="1"/>
  <c r="CD130" i="1"/>
  <c r="CE130" i="1"/>
  <c r="CF130" i="1"/>
  <c r="CG130" i="1"/>
  <c r="CH130" i="1"/>
  <c r="CI130" i="1"/>
  <c r="CJ130" i="1"/>
  <c r="CK130" i="1"/>
  <c r="CL130" i="1"/>
  <c r="CM130" i="1"/>
  <c r="CN130" i="1"/>
  <c r="CC131" i="1"/>
  <c r="CD131" i="1"/>
  <c r="CE131" i="1"/>
  <c r="CF131" i="1"/>
  <c r="CG131" i="1"/>
  <c r="CH131" i="1"/>
  <c r="CI131" i="1"/>
  <c r="CJ131" i="1"/>
  <c r="CK131" i="1"/>
  <c r="CL131" i="1"/>
  <c r="CM131" i="1"/>
  <c r="CN131" i="1"/>
  <c r="CC132" i="1"/>
  <c r="CD132" i="1"/>
  <c r="CE132" i="1"/>
  <c r="CF132" i="1"/>
  <c r="CG132" i="1"/>
  <c r="CH132" i="1"/>
  <c r="CI132" i="1"/>
  <c r="CJ132" i="1"/>
  <c r="CK132" i="1"/>
  <c r="CL132" i="1"/>
  <c r="CM132" i="1"/>
  <c r="CN132" i="1"/>
  <c r="CC133" i="1"/>
  <c r="CD133" i="1"/>
  <c r="CE133" i="1"/>
  <c r="CF133" i="1"/>
  <c r="CG133" i="1"/>
  <c r="CH133" i="1"/>
  <c r="CI133" i="1"/>
  <c r="CJ133" i="1"/>
  <c r="CK133" i="1"/>
  <c r="CL133" i="1"/>
  <c r="CM133" i="1"/>
  <c r="CN133" i="1"/>
  <c r="CC134" i="1"/>
  <c r="CD134" i="1"/>
  <c r="CE134" i="1"/>
  <c r="CF134" i="1"/>
  <c r="CG134" i="1"/>
  <c r="CH134" i="1"/>
  <c r="CI134" i="1"/>
  <c r="CJ134" i="1"/>
  <c r="CK134" i="1"/>
  <c r="CL134" i="1"/>
  <c r="CM134" i="1"/>
  <c r="CN134" i="1"/>
  <c r="CC135" i="1"/>
  <c r="CD135" i="1"/>
  <c r="CE135" i="1"/>
  <c r="CF135" i="1"/>
  <c r="CG135" i="1"/>
  <c r="CH135" i="1"/>
  <c r="CI135" i="1"/>
  <c r="CJ135" i="1"/>
  <c r="CK135" i="1"/>
  <c r="CL135" i="1"/>
  <c r="CM135" i="1"/>
  <c r="CN135" i="1"/>
  <c r="CC136" i="1"/>
  <c r="CD136" i="1"/>
  <c r="CE136" i="1"/>
  <c r="CF136" i="1"/>
  <c r="CG136" i="1"/>
  <c r="CH136" i="1"/>
  <c r="CI136" i="1"/>
  <c r="CJ136" i="1"/>
  <c r="CK136" i="1"/>
  <c r="CL136" i="1"/>
  <c r="CM136" i="1"/>
  <c r="CN136" i="1"/>
  <c r="CC137" i="1"/>
  <c r="CD137" i="1"/>
  <c r="CE137" i="1"/>
  <c r="CF137" i="1"/>
  <c r="CG137" i="1"/>
  <c r="CH137" i="1"/>
  <c r="CI137" i="1"/>
  <c r="CJ137" i="1"/>
  <c r="CK137" i="1"/>
  <c r="CL137" i="1"/>
  <c r="CM137" i="1"/>
  <c r="CN137" i="1"/>
  <c r="CC138" i="1"/>
  <c r="CD138" i="1"/>
  <c r="CE138" i="1"/>
  <c r="CF138" i="1"/>
  <c r="CG138" i="1"/>
  <c r="CH138" i="1"/>
  <c r="CI138" i="1"/>
  <c r="CJ138" i="1"/>
  <c r="CK138" i="1"/>
  <c r="CL138" i="1"/>
  <c r="CM138" i="1"/>
  <c r="CN138" i="1"/>
  <c r="CC139" i="1"/>
  <c r="CD139" i="1"/>
  <c r="CE139" i="1"/>
  <c r="CF139" i="1"/>
  <c r="CG139" i="1"/>
  <c r="CH139" i="1"/>
  <c r="CI139" i="1"/>
  <c r="CJ139" i="1"/>
  <c r="CK139" i="1"/>
  <c r="CL139" i="1"/>
  <c r="CM139" i="1"/>
  <c r="CN139" i="1"/>
  <c r="CC140" i="1"/>
  <c r="CD140" i="1"/>
  <c r="CE140" i="1"/>
  <c r="CF140" i="1"/>
  <c r="CG140" i="1"/>
  <c r="CH140" i="1"/>
  <c r="CI140" i="1"/>
  <c r="CJ140" i="1"/>
  <c r="CK140" i="1"/>
  <c r="CL140" i="1"/>
  <c r="CM140" i="1"/>
  <c r="CN140" i="1"/>
  <c r="CC141" i="1"/>
  <c r="CD141" i="1"/>
  <c r="CE141" i="1"/>
  <c r="CF141" i="1"/>
  <c r="CG141" i="1"/>
  <c r="CH141" i="1"/>
  <c r="CI141" i="1"/>
  <c r="CJ141" i="1"/>
  <c r="CK141" i="1"/>
  <c r="CL141" i="1"/>
  <c r="CM141" i="1"/>
  <c r="CN141" i="1"/>
  <c r="CC142" i="1"/>
  <c r="CD142" i="1"/>
  <c r="CE142" i="1"/>
  <c r="CF142" i="1"/>
  <c r="CG142" i="1"/>
  <c r="CH142" i="1"/>
  <c r="CI142" i="1"/>
  <c r="CJ142" i="1"/>
  <c r="CK142" i="1"/>
  <c r="CL142" i="1"/>
  <c r="CM142" i="1"/>
  <c r="CN142" i="1"/>
  <c r="CC143" i="1"/>
  <c r="CD143" i="1"/>
  <c r="CE143" i="1"/>
  <c r="CF143" i="1"/>
  <c r="CG143" i="1"/>
  <c r="CH143" i="1"/>
  <c r="CI143" i="1"/>
  <c r="CJ143" i="1"/>
  <c r="CK143" i="1"/>
  <c r="CL143" i="1"/>
  <c r="CM143" i="1"/>
  <c r="CN143" i="1"/>
  <c r="CC144" i="1"/>
  <c r="CD144" i="1"/>
  <c r="CE144" i="1"/>
  <c r="CF144" i="1"/>
  <c r="CG144" i="1"/>
  <c r="CH144" i="1"/>
  <c r="CI144" i="1"/>
  <c r="CJ144" i="1"/>
  <c r="CK144" i="1"/>
  <c r="CL144" i="1"/>
  <c r="CM144" i="1"/>
  <c r="CN144" i="1"/>
  <c r="CC145" i="1"/>
  <c r="CD145" i="1"/>
  <c r="CE145" i="1"/>
  <c r="CF145" i="1"/>
  <c r="CG145" i="1"/>
  <c r="CH145" i="1"/>
  <c r="CI145" i="1"/>
  <c r="CJ145" i="1"/>
  <c r="CK145" i="1"/>
  <c r="CL145" i="1"/>
  <c r="CM145" i="1"/>
  <c r="CN145" i="1"/>
  <c r="CC146" i="1"/>
  <c r="CD146" i="1"/>
  <c r="CE146" i="1"/>
  <c r="CF146" i="1"/>
  <c r="CG146" i="1"/>
  <c r="CH146" i="1"/>
  <c r="CI146" i="1"/>
  <c r="CJ146" i="1"/>
  <c r="CK146" i="1"/>
  <c r="CL146" i="1"/>
  <c r="CM146" i="1"/>
  <c r="CN146" i="1"/>
  <c r="CC147" i="1"/>
  <c r="CD147" i="1"/>
  <c r="CE147" i="1"/>
  <c r="CF147" i="1"/>
  <c r="CG147" i="1"/>
  <c r="CH147" i="1"/>
  <c r="CI147" i="1"/>
  <c r="CJ147" i="1"/>
  <c r="CK147" i="1"/>
  <c r="CL147" i="1"/>
  <c r="CM147" i="1"/>
  <c r="CN147" i="1"/>
  <c r="CC148" i="1"/>
  <c r="CD148" i="1"/>
  <c r="CE148" i="1"/>
  <c r="CF148" i="1"/>
  <c r="CG148" i="1"/>
  <c r="CH148" i="1"/>
  <c r="CI148" i="1"/>
  <c r="CJ148" i="1"/>
  <c r="CK148" i="1"/>
  <c r="CL148" i="1"/>
  <c r="CM148" i="1"/>
  <c r="CN148" i="1"/>
  <c r="CC149" i="1"/>
  <c r="CD149" i="1"/>
  <c r="CE149" i="1"/>
  <c r="CF149" i="1"/>
  <c r="CG149" i="1"/>
  <c r="CH149" i="1"/>
  <c r="CI149" i="1"/>
  <c r="CJ149" i="1"/>
  <c r="CK149" i="1"/>
  <c r="CL149" i="1"/>
  <c r="CM149" i="1"/>
  <c r="CN149" i="1"/>
  <c r="CC150" i="1"/>
  <c r="CD150" i="1"/>
  <c r="CE150" i="1"/>
  <c r="CF150" i="1"/>
  <c r="CG150" i="1"/>
  <c r="CH150" i="1"/>
  <c r="CI150" i="1"/>
  <c r="CJ150" i="1"/>
  <c r="CK150" i="1"/>
  <c r="CL150" i="1"/>
  <c r="CM150" i="1"/>
  <c r="CN150" i="1"/>
  <c r="CC151" i="1"/>
  <c r="CD151" i="1"/>
  <c r="CE151" i="1"/>
  <c r="CF151" i="1"/>
  <c r="CG151" i="1"/>
  <c r="CH151" i="1"/>
  <c r="CI151" i="1"/>
  <c r="CJ151" i="1"/>
  <c r="CK151" i="1"/>
  <c r="CL151" i="1"/>
  <c r="CM151" i="1"/>
  <c r="CN151" i="1"/>
  <c r="CC152" i="1"/>
  <c r="CD152" i="1"/>
  <c r="CE152" i="1"/>
  <c r="CF152" i="1"/>
  <c r="CG152" i="1"/>
  <c r="CH152" i="1"/>
  <c r="CI152" i="1"/>
  <c r="CJ152" i="1"/>
  <c r="CK152" i="1"/>
  <c r="CL152" i="1"/>
  <c r="CM152" i="1"/>
  <c r="CN152" i="1"/>
  <c r="CC153" i="1"/>
  <c r="CD153" i="1"/>
  <c r="CE153" i="1"/>
  <c r="CF153" i="1"/>
  <c r="CG153" i="1"/>
  <c r="CH153" i="1"/>
  <c r="CI153" i="1"/>
  <c r="CJ153" i="1"/>
  <c r="CK153" i="1"/>
  <c r="CL153" i="1"/>
  <c r="CM153" i="1"/>
  <c r="CN153" i="1"/>
  <c r="CD5" i="1"/>
  <c r="CE5" i="1"/>
  <c r="CF5" i="1"/>
  <c r="CG5" i="1"/>
  <c r="CH5" i="1"/>
  <c r="CI5" i="1"/>
  <c r="CJ5" i="1"/>
  <c r="CK5" i="1"/>
  <c r="CL5" i="1"/>
  <c r="CM5" i="1"/>
  <c r="CN5" i="1"/>
  <c r="AK175" i="11"/>
  <c r="AF29" i="5" s="1"/>
  <c r="K172" i="11"/>
  <c r="F28" i="5" s="1"/>
  <c r="D47" i="5"/>
  <c r="E47" i="5"/>
  <c r="F47" i="5"/>
  <c r="G47" i="5"/>
  <c r="H47" i="5"/>
  <c r="I47" i="5"/>
  <c r="J47" i="5"/>
  <c r="K47" i="5"/>
  <c r="L47" i="5"/>
  <c r="M47" i="5"/>
  <c r="N47" i="5"/>
  <c r="O47" i="5"/>
  <c r="P47" i="5"/>
  <c r="Q47" i="5"/>
  <c r="R47" i="5"/>
  <c r="S47" i="5"/>
  <c r="T47" i="5"/>
  <c r="U47" i="5"/>
  <c r="V47" i="5"/>
  <c r="W47" i="5"/>
  <c r="X47" i="5"/>
  <c r="Y47" i="5"/>
  <c r="Z47" i="5"/>
  <c r="AA47" i="5"/>
  <c r="AB47" i="5"/>
  <c r="AC47" i="5"/>
  <c r="AD47" i="5"/>
  <c r="AE47" i="5"/>
  <c r="AF47" i="5"/>
  <c r="AG47" i="5"/>
  <c r="AH47" i="5"/>
  <c r="AI47" i="5"/>
  <c r="AJ47" i="5"/>
  <c r="AK47" i="5"/>
  <c r="AL47" i="5"/>
  <c r="I59" i="7"/>
  <c r="H59" i="7"/>
  <c r="G16" i="7" s="1"/>
  <c r="G59" i="7"/>
  <c r="G58" i="7" s="1"/>
  <c r="F15" i="7" s="1"/>
  <c r="F59" i="7"/>
  <c r="E59" i="7"/>
  <c r="M252" i="14"/>
  <c r="N252" i="14"/>
  <c r="M100" i="14"/>
  <c r="N100" i="14"/>
  <c r="M99" i="14"/>
  <c r="N99" i="14"/>
  <c r="M98" i="14"/>
  <c r="N98" i="14"/>
  <c r="M97" i="14"/>
  <c r="N97" i="14"/>
  <c r="M96" i="14"/>
  <c r="N96" i="14"/>
  <c r="M95" i="14"/>
  <c r="N95" i="14"/>
  <c r="M94" i="14"/>
  <c r="N94" i="14"/>
  <c r="M93" i="14"/>
  <c r="N93" i="14"/>
  <c r="M92" i="14"/>
  <c r="N92" i="14"/>
  <c r="M91" i="14"/>
  <c r="N91" i="14"/>
  <c r="M90" i="14"/>
  <c r="N90" i="14"/>
  <c r="M89" i="14"/>
  <c r="N89" i="14"/>
  <c r="M88" i="14"/>
  <c r="N88" i="14"/>
  <c r="M87" i="14"/>
  <c r="N87" i="14"/>
  <c r="M86" i="14"/>
  <c r="N86" i="14"/>
  <c r="M85" i="14"/>
  <c r="N85" i="14"/>
  <c r="M84" i="14"/>
  <c r="N84" i="14"/>
  <c r="M83" i="14"/>
  <c r="N83" i="14"/>
  <c r="M82" i="14"/>
  <c r="N82" i="14"/>
  <c r="M81" i="14"/>
  <c r="N81" i="14"/>
  <c r="M80" i="14"/>
  <c r="N80" i="14"/>
  <c r="M79" i="14"/>
  <c r="N79" i="14"/>
  <c r="M78" i="14"/>
  <c r="N78" i="14"/>
  <c r="M77" i="14"/>
  <c r="N77" i="14"/>
  <c r="M76" i="14"/>
  <c r="N76" i="14"/>
  <c r="M75" i="14"/>
  <c r="N75" i="14"/>
  <c r="M74" i="14"/>
  <c r="N74" i="14"/>
  <c r="M73" i="14"/>
  <c r="N73" i="14"/>
  <c r="M72" i="14"/>
  <c r="N72" i="14"/>
  <c r="M71" i="14"/>
  <c r="N71" i="14"/>
  <c r="M70" i="14"/>
  <c r="N70" i="14"/>
  <c r="M69" i="14"/>
  <c r="N69" i="14"/>
  <c r="M68" i="14"/>
  <c r="N68" i="14"/>
  <c r="M67" i="14"/>
  <c r="N67" i="14"/>
  <c r="M66" i="14"/>
  <c r="N66" i="14"/>
  <c r="M63" i="14"/>
  <c r="N63" i="14"/>
  <c r="M62" i="14"/>
  <c r="N62" i="14"/>
  <c r="M61" i="14"/>
  <c r="N61" i="14"/>
  <c r="M60" i="14"/>
  <c r="N60" i="14"/>
  <c r="M59" i="14"/>
  <c r="N59" i="14"/>
  <c r="M58" i="14"/>
  <c r="N58" i="14"/>
  <c r="M57" i="14"/>
  <c r="N57" i="14"/>
  <c r="M56" i="14"/>
  <c r="N56" i="14"/>
  <c r="M55" i="14"/>
  <c r="N55" i="14"/>
  <c r="M54" i="14"/>
  <c r="N54" i="14"/>
  <c r="M53" i="14"/>
  <c r="N53" i="14"/>
  <c r="M52" i="14"/>
  <c r="N52" i="14"/>
  <c r="M51" i="14"/>
  <c r="N51" i="14"/>
  <c r="M50" i="14"/>
  <c r="N50" i="14"/>
  <c r="M49" i="14"/>
  <c r="N49" i="14"/>
  <c r="M48" i="14"/>
  <c r="N48" i="14"/>
  <c r="M47" i="14"/>
  <c r="N47" i="14"/>
  <c r="M46" i="14"/>
  <c r="N46" i="14"/>
  <c r="M45" i="14"/>
  <c r="N45" i="14"/>
  <c r="M44" i="14"/>
  <c r="N44" i="14"/>
  <c r="M43" i="14"/>
  <c r="N43" i="14"/>
  <c r="M42" i="14"/>
  <c r="N42" i="14"/>
  <c r="M41" i="14"/>
  <c r="N41" i="14"/>
  <c r="M40" i="14"/>
  <c r="N40" i="14"/>
  <c r="M39" i="14"/>
  <c r="N39" i="14"/>
  <c r="M38" i="14"/>
  <c r="N38" i="14"/>
  <c r="M37" i="14"/>
  <c r="N37" i="14"/>
  <c r="M36" i="14"/>
  <c r="N36" i="14"/>
  <c r="M35" i="14"/>
  <c r="N35" i="14"/>
  <c r="M34" i="14"/>
  <c r="N34" i="14"/>
  <c r="F64" i="7"/>
  <c r="E64" i="7"/>
  <c r="T64" i="7" s="1"/>
  <c r="AQ198" i="11"/>
  <c r="AP198" i="11"/>
  <c r="AO198" i="11"/>
  <c r="AN198" i="11"/>
  <c r="AM198" i="11"/>
  <c r="AL198" i="11"/>
  <c r="AK198" i="11"/>
  <c r="AJ198" i="11"/>
  <c r="AI198" i="11"/>
  <c r="AH198" i="11"/>
  <c r="AG198" i="11"/>
  <c r="AF198" i="11"/>
  <c r="AL14" i="5"/>
  <c r="AK14" i="5"/>
  <c r="AJ14" i="5"/>
  <c r="AI14" i="5"/>
  <c r="AH14" i="5"/>
  <c r="AG14" i="5"/>
  <c r="AF14" i="5"/>
  <c r="AE14" i="5"/>
  <c r="AD14" i="5"/>
  <c r="AC14" i="5"/>
  <c r="AB14" i="5"/>
  <c r="AA14" i="5"/>
  <c r="Z14" i="5"/>
  <c r="Y14" i="5"/>
  <c r="X14" i="5"/>
  <c r="W14" i="5"/>
  <c r="V14" i="5"/>
  <c r="U14" i="5"/>
  <c r="T14" i="5"/>
  <c r="S14" i="5"/>
  <c r="R14" i="5"/>
  <c r="Q14" i="5"/>
  <c r="P14" i="5"/>
  <c r="O14" i="5"/>
  <c r="N14" i="5"/>
  <c r="M14" i="5"/>
  <c r="L14" i="5"/>
  <c r="K14" i="5"/>
  <c r="J14" i="5"/>
  <c r="I14" i="5"/>
  <c r="H14" i="5"/>
  <c r="G14" i="5"/>
  <c r="F14" i="5"/>
  <c r="E14" i="5"/>
  <c r="D14" i="5"/>
  <c r="M258" i="14"/>
  <c r="M65" i="14"/>
  <c r="M64" i="14"/>
  <c r="M33" i="14"/>
  <c r="M32" i="14"/>
  <c r="M31" i="14"/>
  <c r="M30" i="14"/>
  <c r="M29" i="14"/>
  <c r="M28" i="14"/>
  <c r="M27" i="14"/>
  <c r="M26" i="14"/>
  <c r="M25" i="14"/>
  <c r="M24" i="14"/>
  <c r="M23" i="14"/>
  <c r="M22" i="14"/>
  <c r="M21" i="14"/>
  <c r="M20" i="14"/>
  <c r="M19" i="14"/>
  <c r="M18" i="14"/>
  <c r="M17" i="14"/>
  <c r="M16" i="14"/>
  <c r="M15" i="14"/>
  <c r="M14" i="14"/>
  <c r="M13" i="14"/>
  <c r="M12" i="14"/>
  <c r="M11" i="14"/>
  <c r="M10" i="14"/>
  <c r="M9" i="14"/>
  <c r="M8" i="14"/>
  <c r="M7" i="14"/>
  <c r="M6" i="14"/>
  <c r="M5" i="14"/>
  <c r="M4" i="14"/>
  <c r="M3" i="14"/>
  <c r="N259" i="14"/>
  <c r="N65" i="14"/>
  <c r="N64" i="14"/>
  <c r="N33" i="14"/>
  <c r="N32" i="14"/>
  <c r="N31" i="14"/>
  <c r="N30" i="14"/>
  <c r="N29" i="14"/>
  <c r="N28" i="14"/>
  <c r="N27" i="14"/>
  <c r="N26" i="14"/>
  <c r="N25" i="14"/>
  <c r="N24" i="14"/>
  <c r="N23" i="14"/>
  <c r="N22" i="14"/>
  <c r="N21" i="14"/>
  <c r="N20" i="14"/>
  <c r="N19" i="14"/>
  <c r="N18" i="14"/>
  <c r="N17" i="14"/>
  <c r="N16" i="14"/>
  <c r="N15" i="14"/>
  <c r="N14" i="14"/>
  <c r="N13" i="14"/>
  <c r="N12" i="14"/>
  <c r="N11" i="14"/>
  <c r="N10" i="14"/>
  <c r="N9" i="14"/>
  <c r="N8" i="14"/>
  <c r="N7" i="14"/>
  <c r="N6" i="14"/>
  <c r="N5" i="14"/>
  <c r="N4" i="14"/>
  <c r="N3" i="14"/>
  <c r="J43" i="7"/>
  <c r="J42" i="7"/>
  <c r="AE198" i="11"/>
  <c r="AD198" i="11"/>
  <c r="AC198" i="11"/>
  <c r="AB198" i="11"/>
  <c r="AA198" i="11"/>
  <c r="Z198" i="11"/>
  <c r="Y198" i="11"/>
  <c r="X198" i="11"/>
  <c r="W198" i="11"/>
  <c r="L198" i="11"/>
  <c r="K198" i="11"/>
  <c r="J198" i="11"/>
  <c r="I198" i="11"/>
  <c r="H198" i="11"/>
  <c r="M198" i="11"/>
  <c r="J76" i="7"/>
  <c r="J75" i="7"/>
  <c r="J74" i="7"/>
  <c r="J73" i="7"/>
  <c r="J72" i="7"/>
  <c r="J71" i="7"/>
  <c r="J70" i="7"/>
  <c r="J69" i="7"/>
  <c r="J66" i="7"/>
  <c r="J65" i="7"/>
  <c r="J57" i="7"/>
  <c r="J56" i="7"/>
  <c r="J55" i="7"/>
  <c r="J54" i="7"/>
  <c r="J53" i="7"/>
  <c r="J44" i="7"/>
  <c r="J41" i="7"/>
  <c r="J40" i="7"/>
  <c r="J39" i="7"/>
  <c r="J37" i="7"/>
  <c r="J36" i="7"/>
  <c r="J35" i="7"/>
  <c r="J34" i="7"/>
  <c r="J33" i="7"/>
  <c r="J32" i="7"/>
  <c r="J31" i="7"/>
  <c r="J30" i="7"/>
  <c r="J29" i="7"/>
  <c r="J28" i="7"/>
  <c r="J25" i="7"/>
  <c r="I13" i="7"/>
  <c r="I8" i="7"/>
  <c r="I10" i="7" s="1"/>
  <c r="I12" i="7"/>
  <c r="O198" i="11"/>
  <c r="N198" i="11"/>
  <c r="P198" i="11"/>
  <c r="Q198" i="11"/>
  <c r="R198" i="11"/>
  <c r="S198" i="11"/>
  <c r="T198" i="11"/>
  <c r="U198" i="11"/>
  <c r="V198" i="11"/>
  <c r="DD275" i="1" l="1"/>
  <c r="DC275" i="1"/>
  <c r="DA275" i="1"/>
  <c r="CR275" i="1"/>
  <c r="CQ275" i="1"/>
  <c r="CO275" i="1"/>
  <c r="CJ275" i="1"/>
  <c r="CN293" i="1"/>
  <c r="CM275" i="1"/>
  <c r="CE275" i="1"/>
  <c r="CD275" i="1"/>
  <c r="CJ293" i="1"/>
  <c r="CI275" i="1"/>
  <c r="CM293" i="1"/>
  <c r="CL275" i="1"/>
  <c r="CH275" i="1"/>
  <c r="CK275" i="1"/>
  <c r="CG275" i="1"/>
  <c r="CC275" i="1"/>
  <c r="CQ293" i="1"/>
  <c r="DK293" i="1"/>
  <c r="DH278" i="1"/>
  <c r="DL275" i="1"/>
  <c r="DK275" i="1"/>
  <c r="DI275" i="1"/>
  <c r="CZ275" i="1"/>
  <c r="CY275" i="1"/>
  <c r="CW275" i="1"/>
  <c r="CN275" i="1"/>
  <c r="CF275" i="1"/>
  <c r="DB275" i="1"/>
  <c r="DH275" i="1"/>
  <c r="DJ275" i="1"/>
  <c r="DG275" i="1"/>
  <c r="DF275" i="1"/>
  <c r="DE275" i="1"/>
  <c r="CT275" i="1"/>
  <c r="CV275" i="1"/>
  <c r="CX275" i="1"/>
  <c r="CU275" i="1"/>
  <c r="CP275" i="1"/>
  <c r="CS275" i="1"/>
  <c r="CH293" i="1"/>
  <c r="DH293" i="1"/>
  <c r="FJ188" i="1"/>
  <c r="AI186" i="38" s="1"/>
  <c r="DD293" i="1"/>
  <c r="CL293" i="1"/>
  <c r="CU293" i="1"/>
  <c r="DJ293" i="1"/>
  <c r="DA293" i="1"/>
  <c r="CK293" i="1"/>
  <c r="DI293" i="1"/>
  <c r="FJ189" i="1"/>
  <c r="AI187" i="38" s="1"/>
  <c r="FJ166" i="1"/>
  <c r="AI164" i="38" s="1"/>
  <c r="FJ180" i="1"/>
  <c r="AI178" i="38" s="1"/>
  <c r="DE293" i="1"/>
  <c r="FJ210" i="1"/>
  <c r="AI208" i="38" s="1"/>
  <c r="CI293" i="1"/>
  <c r="CP293" i="1"/>
  <c r="CY293" i="1"/>
  <c r="CO293" i="1"/>
  <c r="CZ293" i="1"/>
  <c r="DB293" i="1"/>
  <c r="FJ250" i="1"/>
  <c r="AI248" i="38" s="1"/>
  <c r="FJ163" i="1"/>
  <c r="AI161" i="38" s="1"/>
  <c r="CT293" i="1"/>
  <c r="CX293" i="1"/>
  <c r="CW293" i="1"/>
  <c r="CV293" i="1"/>
  <c r="FJ236" i="1"/>
  <c r="AI234" i="38" s="1"/>
  <c r="FJ204" i="1"/>
  <c r="AI202" i="38" s="1"/>
  <c r="FJ226" i="1"/>
  <c r="AI224" i="38" s="1"/>
  <c r="FJ181" i="1"/>
  <c r="AI179" i="38" s="1"/>
  <c r="FJ191" i="1"/>
  <c r="AI189" i="38" s="1"/>
  <c r="CG293" i="1"/>
  <c r="CS293" i="1"/>
  <c r="CR293" i="1"/>
  <c r="DF293" i="1"/>
  <c r="DG293" i="1"/>
  <c r="DC293" i="1"/>
  <c r="DL293" i="1"/>
  <c r="FI166" i="1"/>
  <c r="FI156" i="1"/>
  <c r="FI249" i="1"/>
  <c r="FI233" i="1"/>
  <c r="FI217" i="1"/>
  <c r="FI201" i="1"/>
  <c r="FI185" i="1"/>
  <c r="FI248" i="1"/>
  <c r="FI232" i="1"/>
  <c r="FI216" i="1"/>
  <c r="FI200" i="1"/>
  <c r="FI184" i="1"/>
  <c r="FI171" i="1"/>
  <c r="FI155" i="1"/>
  <c r="FJ244" i="1"/>
  <c r="AI242" i="38" s="1"/>
  <c r="FJ220" i="1"/>
  <c r="AI218" i="38" s="1"/>
  <c r="FJ242" i="1"/>
  <c r="AI240" i="38" s="1"/>
  <c r="FJ238" i="1"/>
  <c r="AI236" i="38" s="1"/>
  <c r="FJ240" i="1"/>
  <c r="AI238" i="38" s="1"/>
  <c r="FJ172" i="1"/>
  <c r="AI170" i="38" s="1"/>
  <c r="FJ155" i="1"/>
  <c r="AI153" i="38" s="1"/>
  <c r="FJ243" i="1"/>
  <c r="AI241" i="38" s="1"/>
  <c r="FJ227" i="1"/>
  <c r="AI225" i="38" s="1"/>
  <c r="FJ211" i="1"/>
  <c r="AI209" i="38" s="1"/>
  <c r="FJ195" i="1"/>
  <c r="AI193" i="38" s="1"/>
  <c r="FJ170" i="1"/>
  <c r="AI168" i="38" s="1"/>
  <c r="FI243" i="1"/>
  <c r="FI227" i="1"/>
  <c r="FI211" i="1"/>
  <c r="FI195" i="1"/>
  <c r="FI179" i="1"/>
  <c r="FI242" i="1"/>
  <c r="FI226" i="1"/>
  <c r="FI210" i="1"/>
  <c r="FI194" i="1"/>
  <c r="FI178" i="1"/>
  <c r="FI165" i="1"/>
  <c r="FJ212" i="1"/>
  <c r="AI210" i="38" s="1"/>
  <c r="FJ218" i="1"/>
  <c r="AI216" i="38" s="1"/>
  <c r="FJ182" i="1"/>
  <c r="AI180" i="38" s="1"/>
  <c r="FJ214" i="1"/>
  <c r="AI212" i="38" s="1"/>
  <c r="FJ216" i="1"/>
  <c r="AI214" i="38" s="1"/>
  <c r="FJ253" i="1"/>
  <c r="AI251" i="38" s="1"/>
  <c r="FJ237" i="1"/>
  <c r="AI235" i="38" s="1"/>
  <c r="FJ221" i="1"/>
  <c r="AI219" i="38" s="1"/>
  <c r="FJ205" i="1"/>
  <c r="AI203" i="38" s="1"/>
  <c r="FJ186" i="1"/>
  <c r="AI184" i="38" s="1"/>
  <c r="FJ169" i="1"/>
  <c r="AI167" i="38" s="1"/>
  <c r="FI172" i="1"/>
  <c r="FI253" i="1"/>
  <c r="FI237" i="1"/>
  <c r="FI221" i="1"/>
  <c r="FI205" i="1"/>
  <c r="FI189" i="1"/>
  <c r="FI168" i="1"/>
  <c r="FI252" i="1"/>
  <c r="FI236" i="1"/>
  <c r="FI220" i="1"/>
  <c r="FI204" i="1"/>
  <c r="FI188" i="1"/>
  <c r="FI154" i="1"/>
  <c r="FI175" i="1"/>
  <c r="FI159" i="1"/>
  <c r="FJ194" i="1"/>
  <c r="AI192" i="38" s="1"/>
  <c r="FJ247" i="1"/>
  <c r="AI245" i="38" s="1"/>
  <c r="FJ231" i="1"/>
  <c r="AI229" i="38" s="1"/>
  <c r="FJ215" i="1"/>
  <c r="AI213" i="38" s="1"/>
  <c r="FJ199" i="1"/>
  <c r="AI197" i="38" s="1"/>
  <c r="FJ168" i="1"/>
  <c r="AI166" i="38" s="1"/>
  <c r="FJ193" i="1"/>
  <c r="AI191" i="38" s="1"/>
  <c r="FJ185" i="1"/>
  <c r="AI183" i="38" s="1"/>
  <c r="FI247" i="1"/>
  <c r="FI231" i="1"/>
  <c r="FI215" i="1"/>
  <c r="FI199" i="1"/>
  <c r="FI183" i="1"/>
  <c r="FI246" i="1"/>
  <c r="FI230" i="1"/>
  <c r="FI214" i="1"/>
  <c r="FI198" i="1"/>
  <c r="FI182" i="1"/>
  <c r="FI169" i="1"/>
  <c r="FJ252" i="1"/>
  <c r="AI250" i="38" s="1"/>
  <c r="FJ234" i="1"/>
  <c r="AI232" i="38" s="1"/>
  <c r="FJ230" i="1"/>
  <c r="AI228" i="38" s="1"/>
  <c r="FJ232" i="1"/>
  <c r="AI230" i="38" s="1"/>
  <c r="FJ190" i="1"/>
  <c r="AI188" i="38" s="1"/>
  <c r="FJ162" i="1"/>
  <c r="AI160" i="38" s="1"/>
  <c r="FJ241" i="1"/>
  <c r="AI239" i="38" s="1"/>
  <c r="FJ225" i="1"/>
  <c r="AI223" i="38" s="1"/>
  <c r="FJ209" i="1"/>
  <c r="AI207" i="38" s="1"/>
  <c r="FJ164" i="1"/>
  <c r="AI162" i="38" s="1"/>
  <c r="FJ184" i="1"/>
  <c r="AI182" i="38" s="1"/>
  <c r="FJ167" i="1"/>
  <c r="AI165" i="38" s="1"/>
  <c r="FI174" i="1"/>
  <c r="FI158" i="1"/>
  <c r="FI241" i="1"/>
  <c r="FI225" i="1"/>
  <c r="FI209" i="1"/>
  <c r="FI193" i="1"/>
  <c r="FI177" i="1"/>
  <c r="FI240" i="1"/>
  <c r="FI224" i="1"/>
  <c r="FI208" i="1"/>
  <c r="FI192" i="1"/>
  <c r="FI170" i="1"/>
  <c r="FI163" i="1"/>
  <c r="FJ206" i="1"/>
  <c r="AI204" i="38" s="1"/>
  <c r="FJ208" i="1"/>
  <c r="AI206" i="38" s="1"/>
  <c r="FJ177" i="1"/>
  <c r="AI175" i="38" s="1"/>
  <c r="FJ251" i="1"/>
  <c r="AI249" i="38" s="1"/>
  <c r="FJ235" i="1"/>
  <c r="AI233" i="38" s="1"/>
  <c r="FJ219" i="1"/>
  <c r="AI217" i="38" s="1"/>
  <c r="FJ203" i="1"/>
  <c r="AI201" i="38" s="1"/>
  <c r="FJ179" i="1"/>
  <c r="AI177" i="38" s="1"/>
  <c r="FJ183" i="1"/>
  <c r="AI181" i="38" s="1"/>
  <c r="FI164" i="1"/>
  <c r="FI251" i="1"/>
  <c r="FI235" i="1"/>
  <c r="FI219" i="1"/>
  <c r="FI203" i="1"/>
  <c r="FI187" i="1"/>
  <c r="FI160" i="1"/>
  <c r="FI250" i="1"/>
  <c r="FI234" i="1"/>
  <c r="FI218" i="1"/>
  <c r="FI202" i="1"/>
  <c r="FI186" i="1"/>
  <c r="FI173" i="1"/>
  <c r="FI157" i="1"/>
  <c r="FJ246" i="1"/>
  <c r="AI244" i="38" s="1"/>
  <c r="FJ248" i="1"/>
  <c r="AI246" i="38" s="1"/>
  <c r="FJ156" i="1"/>
  <c r="AI154" i="38" s="1"/>
  <c r="FJ245" i="1"/>
  <c r="AI243" i="38" s="1"/>
  <c r="FJ229" i="1"/>
  <c r="AI227" i="38" s="1"/>
  <c r="FJ213" i="1"/>
  <c r="AI211" i="38" s="1"/>
  <c r="FJ197" i="1"/>
  <c r="AI195" i="38" s="1"/>
  <c r="FJ158" i="1"/>
  <c r="AI156" i="38" s="1"/>
  <c r="FJ160" i="1"/>
  <c r="AI158" i="38" s="1"/>
  <c r="FK4" i="1"/>
  <c r="DS154" i="1"/>
  <c r="DO155" i="1"/>
  <c r="DW155" i="1"/>
  <c r="DS156" i="1"/>
  <c r="DO157" i="1"/>
  <c r="DW157" i="1"/>
  <c r="DS158" i="1"/>
  <c r="DO159" i="1"/>
  <c r="DW159" i="1"/>
  <c r="DS160" i="1"/>
  <c r="DO161" i="1"/>
  <c r="DW161" i="1"/>
  <c r="DS162" i="1"/>
  <c r="DO163" i="1"/>
  <c r="DW163" i="1"/>
  <c r="DS164" i="1"/>
  <c r="DO165" i="1"/>
  <c r="DW165" i="1"/>
  <c r="DS166" i="1"/>
  <c r="DO167" i="1"/>
  <c r="DW167" i="1"/>
  <c r="DS168" i="1"/>
  <c r="DO169" i="1"/>
  <c r="DW169" i="1"/>
  <c r="DS170" i="1"/>
  <c r="DO171" i="1"/>
  <c r="DT154" i="1"/>
  <c r="DP155" i="1"/>
  <c r="DX155" i="1"/>
  <c r="DT156" i="1"/>
  <c r="DP157" i="1"/>
  <c r="DX157" i="1"/>
  <c r="DT158" i="1"/>
  <c r="DP159" i="1"/>
  <c r="DX159" i="1"/>
  <c r="DT160" i="1"/>
  <c r="DP161" i="1"/>
  <c r="DX161" i="1"/>
  <c r="DT162" i="1"/>
  <c r="DP163" i="1"/>
  <c r="DX163" i="1"/>
  <c r="DT164" i="1"/>
  <c r="DP165" i="1"/>
  <c r="DX165" i="1"/>
  <c r="DT166" i="1"/>
  <c r="DP167" i="1"/>
  <c r="DX167" i="1"/>
  <c r="DT168" i="1"/>
  <c r="DP169" i="1"/>
  <c r="DX169" i="1"/>
  <c r="DT170" i="1"/>
  <c r="DP171" i="1"/>
  <c r="DM154" i="1"/>
  <c r="DU154" i="1"/>
  <c r="DQ155" i="1"/>
  <c r="DM156" i="1"/>
  <c r="DU156" i="1"/>
  <c r="DQ157" i="1"/>
  <c r="DM158" i="1"/>
  <c r="DU158" i="1"/>
  <c r="DQ159" i="1"/>
  <c r="DM160" i="1"/>
  <c r="DU160" i="1"/>
  <c r="DQ161" i="1"/>
  <c r="DM162" i="1"/>
  <c r="DU162" i="1"/>
  <c r="DQ163" i="1"/>
  <c r="DM164" i="1"/>
  <c r="DU164" i="1"/>
  <c r="DQ165" i="1"/>
  <c r="DM166" i="1"/>
  <c r="DU166" i="1"/>
  <c r="DQ167" i="1"/>
  <c r="DM168" i="1"/>
  <c r="DU168" i="1"/>
  <c r="DQ169" i="1"/>
  <c r="DM170" i="1"/>
  <c r="DU170" i="1"/>
  <c r="DQ171" i="1"/>
  <c r="DM172" i="1"/>
  <c r="DU172" i="1"/>
  <c r="DQ173" i="1"/>
  <c r="DM174" i="1"/>
  <c r="DU174" i="1"/>
  <c r="DQ175" i="1"/>
  <c r="DM176" i="1"/>
  <c r="DU176" i="1"/>
  <c r="DQ177" i="1"/>
  <c r="DM178" i="1"/>
  <c r="DU178" i="1"/>
  <c r="DQ179" i="1"/>
  <c r="DM180" i="1"/>
  <c r="DU180" i="1"/>
  <c r="DQ181" i="1"/>
  <c r="DM182" i="1"/>
  <c r="DU182" i="1"/>
  <c r="DQ183" i="1"/>
  <c r="DM184" i="1"/>
  <c r="DU184" i="1"/>
  <c r="DQ185" i="1"/>
  <c r="DM186" i="1"/>
  <c r="DU186" i="1"/>
  <c r="DQ187" i="1"/>
  <c r="DM188" i="1"/>
  <c r="DU188" i="1"/>
  <c r="DQ189" i="1"/>
  <c r="DM190" i="1"/>
  <c r="DU190" i="1"/>
  <c r="DQ191" i="1"/>
  <c r="DM192" i="1"/>
  <c r="DU192" i="1"/>
  <c r="DQ193" i="1"/>
  <c r="DM194" i="1"/>
  <c r="DU194" i="1"/>
  <c r="DQ195" i="1"/>
  <c r="DM196" i="1"/>
  <c r="DU196" i="1"/>
  <c r="DQ197" i="1"/>
  <c r="DM198" i="1"/>
  <c r="DU198" i="1"/>
  <c r="DQ199" i="1"/>
  <c r="DM200" i="1"/>
  <c r="DU200" i="1"/>
  <c r="DQ201" i="1"/>
  <c r="DM202" i="1"/>
  <c r="DU202" i="1"/>
  <c r="DQ203" i="1"/>
  <c r="DM204" i="1"/>
  <c r="DU204" i="1"/>
  <c r="DQ205" i="1"/>
  <c r="DM206" i="1"/>
  <c r="DU206" i="1"/>
  <c r="DQ207" i="1"/>
  <c r="DM208" i="1"/>
  <c r="DU208" i="1"/>
  <c r="DQ209" i="1"/>
  <c r="DM210" i="1"/>
  <c r="DU210" i="1"/>
  <c r="DQ211" i="1"/>
  <c r="DM212" i="1"/>
  <c r="DU212" i="1"/>
  <c r="DQ213" i="1"/>
  <c r="DM214" i="1"/>
  <c r="DU214" i="1"/>
  <c r="DQ215" i="1"/>
  <c r="DM216" i="1"/>
  <c r="DU216" i="1"/>
  <c r="DQ217" i="1"/>
  <c r="DM218" i="1"/>
  <c r="DU218" i="1"/>
  <c r="DQ219" i="1"/>
  <c r="DM220" i="1"/>
  <c r="DU220" i="1"/>
  <c r="DQ221" i="1"/>
  <c r="DM222" i="1"/>
  <c r="DU222" i="1"/>
  <c r="DQ223" i="1"/>
  <c r="DM224" i="1"/>
  <c r="DU224" i="1"/>
  <c r="DQ225" i="1"/>
  <c r="DM226" i="1"/>
  <c r="DU226" i="1"/>
  <c r="DQ227" i="1"/>
  <c r="DM228" i="1"/>
  <c r="DU228" i="1"/>
  <c r="DQ229" i="1"/>
  <c r="DM230" i="1"/>
  <c r="DU230" i="1"/>
  <c r="DQ231" i="1"/>
  <c r="DN154" i="1"/>
  <c r="DV154" i="1"/>
  <c r="DR155" i="1"/>
  <c r="DN156" i="1"/>
  <c r="DV156" i="1"/>
  <c r="DR157" i="1"/>
  <c r="DN158" i="1"/>
  <c r="DV158" i="1"/>
  <c r="DR159" i="1"/>
  <c r="DN160" i="1"/>
  <c r="DV160" i="1"/>
  <c r="DR161" i="1"/>
  <c r="DN162" i="1"/>
  <c r="DV162" i="1"/>
  <c r="DR163" i="1"/>
  <c r="DN164" i="1"/>
  <c r="DV164" i="1"/>
  <c r="DR165" i="1"/>
  <c r="DN166" i="1"/>
  <c r="DV166" i="1"/>
  <c r="DR167" i="1"/>
  <c r="DN168" i="1"/>
  <c r="DV168" i="1"/>
  <c r="DR169" i="1"/>
  <c r="DN170" i="1"/>
  <c r="DV170" i="1"/>
  <c r="DR171" i="1"/>
  <c r="DN172" i="1"/>
  <c r="DV172" i="1"/>
  <c r="DR173" i="1"/>
  <c r="DN174" i="1"/>
  <c r="DV174" i="1"/>
  <c r="DR175" i="1"/>
  <c r="DN176" i="1"/>
  <c r="DV176" i="1"/>
  <c r="DR177" i="1"/>
  <c r="DN178" i="1"/>
  <c r="DV178" i="1"/>
  <c r="DR179" i="1"/>
  <c r="DN180" i="1"/>
  <c r="DV180" i="1"/>
  <c r="DR181" i="1"/>
  <c r="DN182" i="1"/>
  <c r="DV182" i="1"/>
  <c r="DR183" i="1"/>
  <c r="DN184" i="1"/>
  <c r="DV184" i="1"/>
  <c r="DR185" i="1"/>
  <c r="DN186" i="1"/>
  <c r="DV186" i="1"/>
  <c r="DR187" i="1"/>
  <c r="DN188" i="1"/>
  <c r="DV188" i="1"/>
  <c r="DR189" i="1"/>
  <c r="DN190" i="1"/>
  <c r="DV190" i="1"/>
  <c r="DR191" i="1"/>
  <c r="DN192" i="1"/>
  <c r="DV192" i="1"/>
  <c r="DR193" i="1"/>
  <c r="DN194" i="1"/>
  <c r="DV194" i="1"/>
  <c r="DR195" i="1"/>
  <c r="DN196" i="1"/>
  <c r="DV196" i="1"/>
  <c r="DR197" i="1"/>
  <c r="DN198" i="1"/>
  <c r="DV198" i="1"/>
  <c r="DR199" i="1"/>
  <c r="DN200" i="1"/>
  <c r="DV200" i="1"/>
  <c r="DR201" i="1"/>
  <c r="DN202" i="1"/>
  <c r="DV202" i="1"/>
  <c r="DR203" i="1"/>
  <c r="DN204" i="1"/>
  <c r="DV204" i="1"/>
  <c r="DR205" i="1"/>
  <c r="DN206" i="1"/>
  <c r="DV206" i="1"/>
  <c r="DR207" i="1"/>
  <c r="DN208" i="1"/>
  <c r="DV208" i="1"/>
  <c r="DR209" i="1"/>
  <c r="DN210" i="1"/>
  <c r="DV210" i="1"/>
  <c r="DR211" i="1"/>
  <c r="DN212" i="1"/>
  <c r="DV212" i="1"/>
  <c r="DR213" i="1"/>
  <c r="DN214" i="1"/>
  <c r="DV214" i="1"/>
  <c r="DR215" i="1"/>
  <c r="DN216" i="1"/>
  <c r="DV216" i="1"/>
  <c r="DR217" i="1"/>
  <c r="DN218" i="1"/>
  <c r="DV218" i="1"/>
  <c r="DR219" i="1"/>
  <c r="DN220" i="1"/>
  <c r="DV220" i="1"/>
  <c r="DR221" i="1"/>
  <c r="DN222" i="1"/>
  <c r="DV222" i="1"/>
  <c r="DR223" i="1"/>
  <c r="DN224" i="1"/>
  <c r="DO154" i="1"/>
  <c r="DW154" i="1"/>
  <c r="DS155" i="1"/>
  <c r="DO156" i="1"/>
  <c r="DW156" i="1"/>
  <c r="DS157" i="1"/>
  <c r="DO158" i="1"/>
  <c r="DW158" i="1"/>
  <c r="DS159" i="1"/>
  <c r="DO160" i="1"/>
  <c r="DP154" i="1"/>
  <c r="DX154" i="1"/>
  <c r="DT155" i="1"/>
  <c r="DP156" i="1"/>
  <c r="DX156" i="1"/>
  <c r="DT157" i="1"/>
  <c r="DP158" i="1"/>
  <c r="DX158" i="1"/>
  <c r="DT159" i="1"/>
  <c r="DP160" i="1"/>
  <c r="DX160" i="1"/>
  <c r="DT161" i="1"/>
  <c r="DP162" i="1"/>
  <c r="DX162" i="1"/>
  <c r="DT163" i="1"/>
  <c r="DP164" i="1"/>
  <c r="DX164" i="1"/>
  <c r="DT165" i="1"/>
  <c r="DP166" i="1"/>
  <c r="DX166" i="1"/>
  <c r="DT167" i="1"/>
  <c r="DP168" i="1"/>
  <c r="DX168" i="1"/>
  <c r="DT169" i="1"/>
  <c r="DP170" i="1"/>
  <c r="DX170" i="1"/>
  <c r="DT171" i="1"/>
  <c r="DP172" i="1"/>
  <c r="DX172" i="1"/>
  <c r="DT173" i="1"/>
  <c r="DP174" i="1"/>
  <c r="DX174" i="1"/>
  <c r="DT175" i="1"/>
  <c r="DP176" i="1"/>
  <c r="DX176" i="1"/>
  <c r="DT177" i="1"/>
  <c r="DP178" i="1"/>
  <c r="DX178" i="1"/>
  <c r="DT179" i="1"/>
  <c r="DP180" i="1"/>
  <c r="DX180" i="1"/>
  <c r="DT181" i="1"/>
  <c r="DP182" i="1"/>
  <c r="DX182" i="1"/>
  <c r="DT183" i="1"/>
  <c r="DP184" i="1"/>
  <c r="DX184" i="1"/>
  <c r="DT185" i="1"/>
  <c r="DP186" i="1"/>
  <c r="DX186" i="1"/>
  <c r="DT187" i="1"/>
  <c r="DP188" i="1"/>
  <c r="DX188" i="1"/>
  <c r="DT189" i="1"/>
  <c r="DP190" i="1"/>
  <c r="DX190" i="1"/>
  <c r="DT191" i="1"/>
  <c r="DP192" i="1"/>
  <c r="DX192" i="1"/>
  <c r="DT193" i="1"/>
  <c r="DP194" i="1"/>
  <c r="DX194" i="1"/>
  <c r="DT195" i="1"/>
  <c r="DP196" i="1"/>
  <c r="DX196" i="1"/>
  <c r="DT197" i="1"/>
  <c r="DP198" i="1"/>
  <c r="DX198" i="1"/>
  <c r="DT199" i="1"/>
  <c r="DP200" i="1"/>
  <c r="DX200" i="1"/>
  <c r="DT201" i="1"/>
  <c r="DP202" i="1"/>
  <c r="DX202" i="1"/>
  <c r="DT203" i="1"/>
  <c r="DP204" i="1"/>
  <c r="DX204" i="1"/>
  <c r="DT205" i="1"/>
  <c r="DP206" i="1"/>
  <c r="DX206" i="1"/>
  <c r="DT207" i="1"/>
  <c r="DP208" i="1"/>
  <c r="DX208" i="1"/>
  <c r="DT209" i="1"/>
  <c r="DP210" i="1"/>
  <c r="DX210" i="1"/>
  <c r="DT211" i="1"/>
  <c r="DP212" i="1"/>
  <c r="DX212" i="1"/>
  <c r="DT213" i="1"/>
  <c r="DP214" i="1"/>
  <c r="DX214" i="1"/>
  <c r="DT215" i="1"/>
  <c r="DP216" i="1"/>
  <c r="DX216" i="1"/>
  <c r="DT217" i="1"/>
  <c r="DP218" i="1"/>
  <c r="DX218" i="1"/>
  <c r="DT219" i="1"/>
  <c r="DP220" i="1"/>
  <c r="DX220" i="1"/>
  <c r="DT221" i="1"/>
  <c r="DP222" i="1"/>
  <c r="DX222" i="1"/>
  <c r="DT223" i="1"/>
  <c r="DP224" i="1"/>
  <c r="DX224" i="1"/>
  <c r="DT225" i="1"/>
  <c r="DP226" i="1"/>
  <c r="DX226" i="1"/>
  <c r="DT227" i="1"/>
  <c r="DP228" i="1"/>
  <c r="DX228" i="1"/>
  <c r="DT229" i="1"/>
  <c r="DP230" i="1"/>
  <c r="DX230" i="1"/>
  <c r="DT231" i="1"/>
  <c r="DQ156" i="1"/>
  <c r="DM159" i="1"/>
  <c r="DN161" i="1"/>
  <c r="DM163" i="1"/>
  <c r="DW164" i="1"/>
  <c r="DR166" i="1"/>
  <c r="DQ168" i="1"/>
  <c r="DO170" i="1"/>
  <c r="DV171" i="1"/>
  <c r="DW172" i="1"/>
  <c r="DW173" i="1"/>
  <c r="DM175" i="1"/>
  <c r="DX175" i="1"/>
  <c r="DN177" i="1"/>
  <c r="DO178" i="1"/>
  <c r="DO179" i="1"/>
  <c r="DQ180" i="1"/>
  <c r="DP181" i="1"/>
  <c r="DR182" i="1"/>
  <c r="DS183" i="1"/>
  <c r="DS184" i="1"/>
  <c r="DU185" i="1"/>
  <c r="DT186" i="1"/>
  <c r="DR156" i="1"/>
  <c r="DN159" i="1"/>
  <c r="DS161" i="1"/>
  <c r="DN163" i="1"/>
  <c r="DM165" i="1"/>
  <c r="DW166" i="1"/>
  <c r="DR168" i="1"/>
  <c r="DQ170" i="1"/>
  <c r="DW171" i="1"/>
  <c r="DM173" i="1"/>
  <c r="DX173" i="1"/>
  <c r="DN175" i="1"/>
  <c r="DO176" i="1"/>
  <c r="DO177" i="1"/>
  <c r="DQ178" i="1"/>
  <c r="DP179" i="1"/>
  <c r="DR180" i="1"/>
  <c r="DS181" i="1"/>
  <c r="DS182" i="1"/>
  <c r="DU183" i="1"/>
  <c r="DT184" i="1"/>
  <c r="DV185" i="1"/>
  <c r="DW186" i="1"/>
  <c r="DW187" i="1"/>
  <c r="DM189" i="1"/>
  <c r="DX189" i="1"/>
  <c r="DN191" i="1"/>
  <c r="DO192" i="1"/>
  <c r="DO193" i="1"/>
  <c r="DQ194" i="1"/>
  <c r="DP195" i="1"/>
  <c r="DR196" i="1"/>
  <c r="DS197" i="1"/>
  <c r="DS198" i="1"/>
  <c r="DU199" i="1"/>
  <c r="DT200" i="1"/>
  <c r="DV201" i="1"/>
  <c r="DW202" i="1"/>
  <c r="DW203" i="1"/>
  <c r="DM205" i="1"/>
  <c r="DX205" i="1"/>
  <c r="DN207" i="1"/>
  <c r="DO208" i="1"/>
  <c r="DO209" i="1"/>
  <c r="DQ210" i="1"/>
  <c r="DP211" i="1"/>
  <c r="DR212" i="1"/>
  <c r="DS213" i="1"/>
  <c r="DS214" i="1"/>
  <c r="DU215" i="1"/>
  <c r="DT216" i="1"/>
  <c r="DV217" i="1"/>
  <c r="DW218" i="1"/>
  <c r="DW219" i="1"/>
  <c r="DM221" i="1"/>
  <c r="DX221" i="1"/>
  <c r="DN223" i="1"/>
  <c r="DO224" i="1"/>
  <c r="DN225" i="1"/>
  <c r="DX225" i="1"/>
  <c r="DW226" i="1"/>
  <c r="DV227" i="1"/>
  <c r="DT228" i="1"/>
  <c r="DS229" i="1"/>
  <c r="DR230" i="1"/>
  <c r="DP231" i="1"/>
  <c r="DN232" i="1"/>
  <c r="DV232" i="1"/>
  <c r="DR233" i="1"/>
  <c r="DN234" i="1"/>
  <c r="DV234" i="1"/>
  <c r="DR235" i="1"/>
  <c r="DN236" i="1"/>
  <c r="DV236" i="1"/>
  <c r="DR237" i="1"/>
  <c r="DN238" i="1"/>
  <c r="DV238" i="1"/>
  <c r="DR239" i="1"/>
  <c r="DN240" i="1"/>
  <c r="DV240" i="1"/>
  <c r="DR241" i="1"/>
  <c r="DN242" i="1"/>
  <c r="DQ154" i="1"/>
  <c r="DM157" i="1"/>
  <c r="DU159" i="1"/>
  <c r="DU161" i="1"/>
  <c r="DS163" i="1"/>
  <c r="DN165" i="1"/>
  <c r="DM167" i="1"/>
  <c r="DW168" i="1"/>
  <c r="DR170" i="1"/>
  <c r="DX171" i="1"/>
  <c r="DN173" i="1"/>
  <c r="DO174" i="1"/>
  <c r="DO175" i="1"/>
  <c r="DQ176" i="1"/>
  <c r="DP177" i="1"/>
  <c r="DR178" i="1"/>
  <c r="DS179" i="1"/>
  <c r="DS180" i="1"/>
  <c r="DU181" i="1"/>
  <c r="DT182" i="1"/>
  <c r="DV183" i="1"/>
  <c r="DW184" i="1"/>
  <c r="DW185" i="1"/>
  <c r="DM187" i="1"/>
  <c r="DX187" i="1"/>
  <c r="DN189" i="1"/>
  <c r="DO190" i="1"/>
  <c r="DO191" i="1"/>
  <c r="DQ192" i="1"/>
  <c r="DP193" i="1"/>
  <c r="DR194" i="1"/>
  <c r="DS195" i="1"/>
  <c r="DS196" i="1"/>
  <c r="DU197" i="1"/>
  <c r="DT198" i="1"/>
  <c r="DV199" i="1"/>
  <c r="DW200" i="1"/>
  <c r="DW201" i="1"/>
  <c r="DM203" i="1"/>
  <c r="DX203" i="1"/>
  <c r="DN205" i="1"/>
  <c r="DO206" i="1"/>
  <c r="DO207" i="1"/>
  <c r="DQ208" i="1"/>
  <c r="DP209" i="1"/>
  <c r="DR210" i="1"/>
  <c r="DS211" i="1"/>
  <c r="DS212" i="1"/>
  <c r="DU213" i="1"/>
  <c r="DT214" i="1"/>
  <c r="DV215" i="1"/>
  <c r="DW216" i="1"/>
  <c r="DW217" i="1"/>
  <c r="DM219" i="1"/>
  <c r="DX219" i="1"/>
  <c r="DN221" i="1"/>
  <c r="DO222" i="1"/>
  <c r="DO223" i="1"/>
  <c r="DQ224" i="1"/>
  <c r="DO225" i="1"/>
  <c r="DN226" i="1"/>
  <c r="DM227" i="1"/>
  <c r="DW227" i="1"/>
  <c r="DV228" i="1"/>
  <c r="DU229" i="1"/>
  <c r="DS230" i="1"/>
  <c r="DR231" i="1"/>
  <c r="DO232" i="1"/>
  <c r="DW232" i="1"/>
  <c r="DS233" i="1"/>
  <c r="DO234" i="1"/>
  <c r="DW234" i="1"/>
  <c r="DS235" i="1"/>
  <c r="DO236" i="1"/>
  <c r="DW236" i="1"/>
  <c r="DS237" i="1"/>
  <c r="DO238" i="1"/>
  <c r="DW238" i="1"/>
  <c r="DS239" i="1"/>
  <c r="DO240" i="1"/>
  <c r="DW240" i="1"/>
  <c r="DS241" i="1"/>
  <c r="DO242" i="1"/>
  <c r="DW242" i="1"/>
  <c r="DS243" i="1"/>
  <c r="DO244" i="1"/>
  <c r="DW244" i="1"/>
  <c r="DS245" i="1"/>
  <c r="DO246" i="1"/>
  <c r="DW246" i="1"/>
  <c r="DS247" i="1"/>
  <c r="DO248" i="1"/>
  <c r="DW248" i="1"/>
  <c r="DS249" i="1"/>
  <c r="DO250" i="1"/>
  <c r="DW250" i="1"/>
  <c r="DS251" i="1"/>
  <c r="DO252" i="1"/>
  <c r="DW252" i="1"/>
  <c r="DS253" i="1"/>
  <c r="DR154" i="1"/>
  <c r="DN157" i="1"/>
  <c r="DV159" i="1"/>
  <c r="DV161" i="1"/>
  <c r="DU163" i="1"/>
  <c r="DS165" i="1"/>
  <c r="DN167" i="1"/>
  <c r="DM169" i="1"/>
  <c r="DW170" i="1"/>
  <c r="DO172" i="1"/>
  <c r="DO173" i="1"/>
  <c r="DQ174" i="1"/>
  <c r="DP175" i="1"/>
  <c r="DR176" i="1"/>
  <c r="DS177" i="1"/>
  <c r="DS178" i="1"/>
  <c r="DU179" i="1"/>
  <c r="DT180" i="1"/>
  <c r="DV181" i="1"/>
  <c r="DW182" i="1"/>
  <c r="DW183" i="1"/>
  <c r="DM185" i="1"/>
  <c r="DX185" i="1"/>
  <c r="DN187" i="1"/>
  <c r="DO188" i="1"/>
  <c r="DO189" i="1"/>
  <c r="DQ190" i="1"/>
  <c r="DP191" i="1"/>
  <c r="DR192" i="1"/>
  <c r="DS193" i="1"/>
  <c r="DS194" i="1"/>
  <c r="DU195" i="1"/>
  <c r="DT196" i="1"/>
  <c r="DV197" i="1"/>
  <c r="DW198" i="1"/>
  <c r="DW199" i="1"/>
  <c r="DM201" i="1"/>
  <c r="DX201" i="1"/>
  <c r="DN203" i="1"/>
  <c r="DO204" i="1"/>
  <c r="DO205" i="1"/>
  <c r="DQ206" i="1"/>
  <c r="DP207" i="1"/>
  <c r="DR208" i="1"/>
  <c r="DS209" i="1"/>
  <c r="DS210" i="1"/>
  <c r="DU211" i="1"/>
  <c r="DT212" i="1"/>
  <c r="DV213" i="1"/>
  <c r="DW214" i="1"/>
  <c r="DW215" i="1"/>
  <c r="DM217" i="1"/>
  <c r="DX217" i="1"/>
  <c r="DN219" i="1"/>
  <c r="DO220" i="1"/>
  <c r="DO221" i="1"/>
  <c r="DQ222" i="1"/>
  <c r="DP223" i="1"/>
  <c r="DR224" i="1"/>
  <c r="DP225" i="1"/>
  <c r="DO226" i="1"/>
  <c r="DN227" i="1"/>
  <c r="DX227" i="1"/>
  <c r="DW228" i="1"/>
  <c r="DV229" i="1"/>
  <c r="DT230" i="1"/>
  <c r="DS231" i="1"/>
  <c r="DP232" i="1"/>
  <c r="DX232" i="1"/>
  <c r="DT233" i="1"/>
  <c r="DP234" i="1"/>
  <c r="DX234" i="1"/>
  <c r="DT235" i="1"/>
  <c r="DP236" i="1"/>
  <c r="DX236" i="1"/>
  <c r="DT237" i="1"/>
  <c r="DP238" i="1"/>
  <c r="DX238" i="1"/>
  <c r="DT239" i="1"/>
  <c r="DP240" i="1"/>
  <c r="DX240" i="1"/>
  <c r="DT241" i="1"/>
  <c r="DP242" i="1"/>
  <c r="DX242" i="1"/>
  <c r="DT243" i="1"/>
  <c r="DP244" i="1"/>
  <c r="DX244" i="1"/>
  <c r="DT245" i="1"/>
  <c r="DP246" i="1"/>
  <c r="DX246" i="1"/>
  <c r="DT247" i="1"/>
  <c r="DP248" i="1"/>
  <c r="DX248" i="1"/>
  <c r="DT249" i="1"/>
  <c r="DP250" i="1"/>
  <c r="DX250" i="1"/>
  <c r="DT251" i="1"/>
  <c r="DP252" i="1"/>
  <c r="DX252" i="1"/>
  <c r="DT253" i="1"/>
  <c r="DM155" i="1"/>
  <c r="DU157" i="1"/>
  <c r="DQ160" i="1"/>
  <c r="DO162" i="1"/>
  <c r="DV163" i="1"/>
  <c r="DU165" i="1"/>
  <c r="DS167" i="1"/>
  <c r="DN169" i="1"/>
  <c r="DM171" i="1"/>
  <c r="DQ172" i="1"/>
  <c r="DP173" i="1"/>
  <c r="DR174" i="1"/>
  <c r="DS175" i="1"/>
  <c r="DS176" i="1"/>
  <c r="DU177" i="1"/>
  <c r="DT178" i="1"/>
  <c r="DV179" i="1"/>
  <c r="DW180" i="1"/>
  <c r="DW181" i="1"/>
  <c r="DM183" i="1"/>
  <c r="DX183" i="1"/>
  <c r="DN185" i="1"/>
  <c r="DO186" i="1"/>
  <c r="DO187" i="1"/>
  <c r="DQ188" i="1"/>
  <c r="DP189" i="1"/>
  <c r="DR190" i="1"/>
  <c r="DS191" i="1"/>
  <c r="DS192" i="1"/>
  <c r="DU193" i="1"/>
  <c r="DT194" i="1"/>
  <c r="DV195" i="1"/>
  <c r="DW196" i="1"/>
  <c r="DW197" i="1"/>
  <c r="DM199" i="1"/>
  <c r="DX199" i="1"/>
  <c r="DN201" i="1"/>
  <c r="DO202" i="1"/>
  <c r="DO203" i="1"/>
  <c r="DQ204" i="1"/>
  <c r="DP205" i="1"/>
  <c r="DR206" i="1"/>
  <c r="DS207" i="1"/>
  <c r="DS208" i="1"/>
  <c r="DU209" i="1"/>
  <c r="DT210" i="1"/>
  <c r="DV211" i="1"/>
  <c r="DW212" i="1"/>
  <c r="DW213" i="1"/>
  <c r="DM215" i="1"/>
  <c r="DX215" i="1"/>
  <c r="DN217" i="1"/>
  <c r="DO218" i="1"/>
  <c r="DO219" i="1"/>
  <c r="DN155" i="1"/>
  <c r="DV157" i="1"/>
  <c r="DR160" i="1"/>
  <c r="DQ162" i="1"/>
  <c r="DO164" i="1"/>
  <c r="DV165" i="1"/>
  <c r="DU167" i="1"/>
  <c r="DS169" i="1"/>
  <c r="DN171" i="1"/>
  <c r="DR172" i="1"/>
  <c r="DS173" i="1"/>
  <c r="DS174" i="1"/>
  <c r="DU175" i="1"/>
  <c r="DT176" i="1"/>
  <c r="DV177" i="1"/>
  <c r="DW178" i="1"/>
  <c r="DW179" i="1"/>
  <c r="DM181" i="1"/>
  <c r="DX181" i="1"/>
  <c r="DN183" i="1"/>
  <c r="DO184" i="1"/>
  <c r="DO185" i="1"/>
  <c r="DQ186" i="1"/>
  <c r="DP187" i="1"/>
  <c r="DR188" i="1"/>
  <c r="DS189" i="1"/>
  <c r="DS190" i="1"/>
  <c r="DU191" i="1"/>
  <c r="DT192" i="1"/>
  <c r="DV193" i="1"/>
  <c r="DW194" i="1"/>
  <c r="DW195" i="1"/>
  <c r="DM197" i="1"/>
  <c r="DX197" i="1"/>
  <c r="DN199" i="1"/>
  <c r="DO200" i="1"/>
  <c r="DO201" i="1"/>
  <c r="DQ202" i="1"/>
  <c r="DP203" i="1"/>
  <c r="DR204" i="1"/>
  <c r="DS205" i="1"/>
  <c r="DS206" i="1"/>
  <c r="DU207" i="1"/>
  <c r="DT208" i="1"/>
  <c r="DV209" i="1"/>
  <c r="DW210" i="1"/>
  <c r="DW211" i="1"/>
  <c r="DM213" i="1"/>
  <c r="DX213" i="1"/>
  <c r="DN215" i="1"/>
  <c r="DO216" i="1"/>
  <c r="DO217" i="1"/>
  <c r="DQ218" i="1"/>
  <c r="DP219" i="1"/>
  <c r="DR220" i="1"/>
  <c r="DS221" i="1"/>
  <c r="DS222" i="1"/>
  <c r="DU223" i="1"/>
  <c r="DT224" i="1"/>
  <c r="DS225" i="1"/>
  <c r="DR226" i="1"/>
  <c r="DP227" i="1"/>
  <c r="DO228" i="1"/>
  <c r="DN229" i="1"/>
  <c r="DX229" i="1"/>
  <c r="DW230" i="1"/>
  <c r="DV231" i="1"/>
  <c r="DR232" i="1"/>
  <c r="DN233" i="1"/>
  <c r="DV233" i="1"/>
  <c r="DR234" i="1"/>
  <c r="DN235" i="1"/>
  <c r="DV235" i="1"/>
  <c r="DR236" i="1"/>
  <c r="DN237" i="1"/>
  <c r="DV237" i="1"/>
  <c r="DR238" i="1"/>
  <c r="DN239" i="1"/>
  <c r="DV239" i="1"/>
  <c r="DR240" i="1"/>
  <c r="DN241" i="1"/>
  <c r="DV241" i="1"/>
  <c r="DR242" i="1"/>
  <c r="DN243" i="1"/>
  <c r="DV243" i="1"/>
  <c r="DR244" i="1"/>
  <c r="DN245" i="1"/>
  <c r="DV245" i="1"/>
  <c r="DR246" i="1"/>
  <c r="DN247" i="1"/>
  <c r="DV247" i="1"/>
  <c r="DR248" i="1"/>
  <c r="DN249" i="1"/>
  <c r="DV249" i="1"/>
  <c r="DR250" i="1"/>
  <c r="DN251" i="1"/>
  <c r="DV251" i="1"/>
  <c r="DR252" i="1"/>
  <c r="DN253" i="1"/>
  <c r="DV253" i="1"/>
  <c r="DR162" i="1"/>
  <c r="DU169" i="1"/>
  <c r="DW162" i="1"/>
  <c r="DV169" i="1"/>
  <c r="DU155" i="1"/>
  <c r="DQ164" i="1"/>
  <c r="DS171" i="1"/>
  <c r="DV175" i="1"/>
  <c r="DX179" i="1"/>
  <c r="DQ184" i="1"/>
  <c r="DV187" i="1"/>
  <c r="DW190" i="1"/>
  <c r="DW193" i="1"/>
  <c r="DQ196" i="1"/>
  <c r="DP199" i="1"/>
  <c r="DR202" i="1"/>
  <c r="DW204" i="1"/>
  <c r="DW207" i="1"/>
  <c r="DM211" i="1"/>
  <c r="DP213" i="1"/>
  <c r="DR216" i="1"/>
  <c r="DS219" i="1"/>
  <c r="DU221" i="1"/>
  <c r="DV223" i="1"/>
  <c r="DU225" i="1"/>
  <c r="DR227" i="1"/>
  <c r="DO229" i="1"/>
  <c r="DM231" i="1"/>
  <c r="DS232" i="1"/>
  <c r="DW233" i="1"/>
  <c r="DO235" i="1"/>
  <c r="DS236" i="1"/>
  <c r="DW237" i="1"/>
  <c r="DO239" i="1"/>
  <c r="DS240" i="1"/>
  <c r="DW241" i="1"/>
  <c r="DM243" i="1"/>
  <c r="DM244" i="1"/>
  <c r="DO245" i="1"/>
  <c r="DN246" i="1"/>
  <c r="DP247" i="1"/>
  <c r="DQ248" i="1"/>
  <c r="DQ249" i="1"/>
  <c r="DS250" i="1"/>
  <c r="DR251" i="1"/>
  <c r="DT252" i="1"/>
  <c r="DU253" i="1"/>
  <c r="DV155" i="1"/>
  <c r="DR164" i="1"/>
  <c r="DU171" i="1"/>
  <c r="DW175" i="1"/>
  <c r="DO180" i="1"/>
  <c r="DR184" i="1"/>
  <c r="DS188" i="1"/>
  <c r="DM191" i="1"/>
  <c r="DX193" i="1"/>
  <c r="DN197" i="1"/>
  <c r="DS199" i="1"/>
  <c r="DS202" i="1"/>
  <c r="DU205" i="1"/>
  <c r="DX207" i="1"/>
  <c r="DN211" i="1"/>
  <c r="DO214" i="1"/>
  <c r="DS216" i="1"/>
  <c r="DU219" i="1"/>
  <c r="DV221" i="1"/>
  <c r="DW223" i="1"/>
  <c r="DV225" i="1"/>
  <c r="DS227" i="1"/>
  <c r="DP229" i="1"/>
  <c r="DN231" i="1"/>
  <c r="DT232" i="1"/>
  <c r="DX233" i="1"/>
  <c r="DP235" i="1"/>
  <c r="DT236" i="1"/>
  <c r="DX237" i="1"/>
  <c r="DP239" i="1"/>
  <c r="DT240" i="1"/>
  <c r="DX241" i="1"/>
  <c r="DO243" i="1"/>
  <c r="DN244" i="1"/>
  <c r="DP245" i="1"/>
  <c r="DQ246" i="1"/>
  <c r="DQ247" i="1"/>
  <c r="DS248" i="1"/>
  <c r="DR249" i="1"/>
  <c r="DT250" i="1"/>
  <c r="DU251" i="1"/>
  <c r="DU252" i="1"/>
  <c r="DW253" i="1"/>
  <c r="DR158" i="1"/>
  <c r="DQ166" i="1"/>
  <c r="DT172" i="1"/>
  <c r="DM177" i="1"/>
  <c r="DO181" i="1"/>
  <c r="DS185" i="1"/>
  <c r="DW188" i="1"/>
  <c r="DW191" i="1"/>
  <c r="DM195" i="1"/>
  <c r="DP197" i="1"/>
  <c r="DR200" i="1"/>
  <c r="DS203" i="1"/>
  <c r="DW205" i="1"/>
  <c r="DM209" i="1"/>
  <c r="DX211" i="1"/>
  <c r="DR214" i="1"/>
  <c r="DS217" i="1"/>
  <c r="DQ220" i="1"/>
  <c r="DR222" i="1"/>
  <c r="DS224" i="1"/>
  <c r="DQ226" i="1"/>
  <c r="DN228" i="1"/>
  <c r="DW229" i="1"/>
  <c r="DU231" i="1"/>
  <c r="DM233" i="1"/>
  <c r="DQ234" i="1"/>
  <c r="DU235" i="1"/>
  <c r="DM237" i="1"/>
  <c r="DQ238" i="1"/>
  <c r="DU239" i="1"/>
  <c r="DM241" i="1"/>
  <c r="DQ242" i="1"/>
  <c r="DQ243" i="1"/>
  <c r="DS244" i="1"/>
  <c r="DR245" i="1"/>
  <c r="DT246" i="1"/>
  <c r="DU247" i="1"/>
  <c r="DU248" i="1"/>
  <c r="DW249" i="1"/>
  <c r="DV250" i="1"/>
  <c r="DX251" i="1"/>
  <c r="DM253" i="1"/>
  <c r="DW160" i="1"/>
  <c r="DV167" i="1"/>
  <c r="DU173" i="1"/>
  <c r="DW177" i="1"/>
  <c r="DO182" i="1"/>
  <c r="DR186" i="1"/>
  <c r="DU189" i="1"/>
  <c r="DX191" i="1"/>
  <c r="DN195" i="1"/>
  <c r="DO198" i="1"/>
  <c r="DS200" i="1"/>
  <c r="DU203" i="1"/>
  <c r="DT206" i="1"/>
  <c r="DN209" i="1"/>
  <c r="DO212" i="1"/>
  <c r="DO215" i="1"/>
  <c r="DU217" i="1"/>
  <c r="DS220" i="1"/>
  <c r="DT222" i="1"/>
  <c r="DV224" i="1"/>
  <c r="DS226" i="1"/>
  <c r="DQ228" i="1"/>
  <c r="DN230" i="1"/>
  <c r="DW231" i="1"/>
  <c r="DO233" i="1"/>
  <c r="DS234" i="1"/>
  <c r="DW235" i="1"/>
  <c r="DO237" i="1"/>
  <c r="DS238" i="1"/>
  <c r="DW239" i="1"/>
  <c r="DO241" i="1"/>
  <c r="DS242" i="1"/>
  <c r="DR243" i="1"/>
  <c r="DT244" i="1"/>
  <c r="DU245" i="1"/>
  <c r="DU246" i="1"/>
  <c r="DW247" i="1"/>
  <c r="DV248" i="1"/>
  <c r="DX249" i="1"/>
  <c r="DM251" i="1"/>
  <c r="DM252" i="1"/>
  <c r="DO253" i="1"/>
  <c r="DO166" i="1"/>
  <c r="DM179" i="1"/>
  <c r="DS187" i="1"/>
  <c r="DM193" i="1"/>
  <c r="DR198" i="1"/>
  <c r="DS204" i="1"/>
  <c r="DX209" i="1"/>
  <c r="DS215" i="1"/>
  <c r="DW220" i="1"/>
  <c r="DM225" i="1"/>
  <c r="DS228" i="1"/>
  <c r="DM232" i="1"/>
  <c r="DU234" i="1"/>
  <c r="DQ237" i="1"/>
  <c r="DM240" i="1"/>
  <c r="DU242" i="1"/>
  <c r="DV244" i="1"/>
  <c r="DM247" i="1"/>
  <c r="DO249" i="1"/>
  <c r="DP251" i="1"/>
  <c r="DQ253" i="1"/>
  <c r="DO168" i="1"/>
  <c r="DN179" i="1"/>
  <c r="DU187" i="1"/>
  <c r="DN193" i="1"/>
  <c r="DO199" i="1"/>
  <c r="DT204" i="1"/>
  <c r="DO210" i="1"/>
  <c r="DQ216" i="1"/>
  <c r="DP221" i="1"/>
  <c r="DR225" i="1"/>
  <c r="DM229" i="1"/>
  <c r="DQ232" i="1"/>
  <c r="DM235" i="1"/>
  <c r="DU237" i="1"/>
  <c r="DQ240" i="1"/>
  <c r="DV242" i="1"/>
  <c r="DM245" i="1"/>
  <c r="DO247" i="1"/>
  <c r="DP249" i="1"/>
  <c r="DQ251" i="1"/>
  <c r="DR253" i="1"/>
  <c r="DS172" i="1"/>
  <c r="DN181" i="1"/>
  <c r="DT188" i="1"/>
  <c r="DO194" i="1"/>
  <c r="DQ200" i="1"/>
  <c r="DV205" i="1"/>
  <c r="DO211" i="1"/>
  <c r="DP217" i="1"/>
  <c r="DW221" i="1"/>
  <c r="DW225" i="1"/>
  <c r="DR229" i="1"/>
  <c r="DU232" i="1"/>
  <c r="DQ235" i="1"/>
  <c r="DM238" i="1"/>
  <c r="DU240" i="1"/>
  <c r="DP243" i="1"/>
  <c r="DQ245" i="1"/>
  <c r="DR247" i="1"/>
  <c r="DU249" i="1"/>
  <c r="DW251" i="1"/>
  <c r="DX253" i="1"/>
  <c r="DV173" i="1"/>
  <c r="DQ182" i="1"/>
  <c r="DV189" i="1"/>
  <c r="DO195" i="1"/>
  <c r="DP201" i="1"/>
  <c r="DW206" i="1"/>
  <c r="DQ212" i="1"/>
  <c r="DR218" i="1"/>
  <c r="DW222" i="1"/>
  <c r="DT226" i="1"/>
  <c r="DO230" i="1"/>
  <c r="DP233" i="1"/>
  <c r="DX235" i="1"/>
  <c r="DT238" i="1"/>
  <c r="DP241" i="1"/>
  <c r="DU243" i="1"/>
  <c r="DW245" i="1"/>
  <c r="DX247" i="1"/>
  <c r="DM250" i="1"/>
  <c r="DN252" i="1"/>
  <c r="DW174" i="1"/>
  <c r="DP183" i="1"/>
  <c r="DT190" i="1"/>
  <c r="DO196" i="1"/>
  <c r="DU201" i="1"/>
  <c r="DV207" i="1"/>
  <c r="DO213" i="1"/>
  <c r="DT218" i="1"/>
  <c r="DS223" i="1"/>
  <c r="DO227" i="1"/>
  <c r="DV230" i="1"/>
  <c r="DU233" i="1"/>
  <c r="DQ236" i="1"/>
  <c r="DM239" i="1"/>
  <c r="DU241" i="1"/>
  <c r="DX243" i="1"/>
  <c r="DM246" i="1"/>
  <c r="DN248" i="1"/>
  <c r="DQ250" i="1"/>
  <c r="DS252" i="1"/>
  <c r="DQ158" i="1"/>
  <c r="DW176" i="1"/>
  <c r="DP185" i="1"/>
  <c r="DV191" i="1"/>
  <c r="DO197" i="1"/>
  <c r="DT202" i="1"/>
  <c r="DW208" i="1"/>
  <c r="DQ214" i="1"/>
  <c r="DV219" i="1"/>
  <c r="DX223" i="1"/>
  <c r="DU227" i="1"/>
  <c r="DO231" i="1"/>
  <c r="DM234" i="1"/>
  <c r="DU236" i="1"/>
  <c r="DQ239" i="1"/>
  <c r="DM242" i="1"/>
  <c r="DQ244" i="1"/>
  <c r="DS246" i="1"/>
  <c r="DT248" i="1"/>
  <c r="DU250" i="1"/>
  <c r="DV252" i="1"/>
  <c r="DX195" i="1"/>
  <c r="DS218" i="1"/>
  <c r="DQ233" i="1"/>
  <c r="DW243" i="1"/>
  <c r="DQ252" i="1"/>
  <c r="DM161" i="1"/>
  <c r="DQ198" i="1"/>
  <c r="DT220" i="1"/>
  <c r="DT234" i="1"/>
  <c r="DU244" i="1"/>
  <c r="DP253" i="1"/>
  <c r="DT174" i="1"/>
  <c r="DS201" i="1"/>
  <c r="DM223" i="1"/>
  <c r="DM236" i="1"/>
  <c r="DX245" i="1"/>
  <c r="DX177" i="1"/>
  <c r="DV203" i="1"/>
  <c r="DW224" i="1"/>
  <c r="DP237" i="1"/>
  <c r="DV246" i="1"/>
  <c r="DO183" i="1"/>
  <c r="DM248" i="1"/>
  <c r="DS186" i="1"/>
  <c r="DW209" i="1"/>
  <c r="DR228" i="1"/>
  <c r="DX239" i="1"/>
  <c r="DM249" i="1"/>
  <c r="DW192" i="1"/>
  <c r="DT242" i="1"/>
  <c r="DW189" i="1"/>
  <c r="DN213" i="1"/>
  <c r="DQ230" i="1"/>
  <c r="DQ241" i="1"/>
  <c r="DN250" i="1"/>
  <c r="DP215" i="1"/>
  <c r="DX231" i="1"/>
  <c r="DO251" i="1"/>
  <c r="DM207" i="1"/>
  <c r="DV226" i="1"/>
  <c r="DU238" i="1"/>
  <c r="FI245" i="1"/>
  <c r="FI229" i="1"/>
  <c r="FI213" i="1"/>
  <c r="FI197" i="1"/>
  <c r="FI181" i="1"/>
  <c r="FI244" i="1"/>
  <c r="FI228" i="1"/>
  <c r="FI212" i="1"/>
  <c r="FI196" i="1"/>
  <c r="FI180" i="1"/>
  <c r="FI167" i="1"/>
  <c r="FJ196" i="1"/>
  <c r="AI194" i="38" s="1"/>
  <c r="FJ222" i="1"/>
  <c r="AI220" i="38" s="1"/>
  <c r="FJ224" i="1"/>
  <c r="AI222" i="38" s="1"/>
  <c r="FJ192" i="1"/>
  <c r="AI190" i="38" s="1"/>
  <c r="FJ171" i="1"/>
  <c r="AI169" i="38" s="1"/>
  <c r="FJ187" i="1"/>
  <c r="AI185" i="38" s="1"/>
  <c r="FJ239" i="1"/>
  <c r="AI237" i="38" s="1"/>
  <c r="FJ223" i="1"/>
  <c r="AI221" i="38" s="1"/>
  <c r="FJ207" i="1"/>
  <c r="AI205" i="38" s="1"/>
  <c r="FJ174" i="1"/>
  <c r="AI172" i="38" s="1"/>
  <c r="FJ157" i="1"/>
  <c r="AI155" i="38" s="1"/>
  <c r="FJ176" i="1"/>
  <c r="AI174" i="38" s="1"/>
  <c r="FJ159" i="1"/>
  <c r="AI157" i="38" s="1"/>
  <c r="FI239" i="1"/>
  <c r="FI223" i="1"/>
  <c r="FI207" i="1"/>
  <c r="FI191" i="1"/>
  <c r="FI176" i="1"/>
  <c r="FI238" i="1"/>
  <c r="FI222" i="1"/>
  <c r="FI206" i="1"/>
  <c r="FI190" i="1"/>
  <c r="FI162" i="1"/>
  <c r="FI161" i="1"/>
  <c r="FJ228" i="1"/>
  <c r="AI226" i="38" s="1"/>
  <c r="FJ202" i="1"/>
  <c r="AI200" i="38" s="1"/>
  <c r="FJ198" i="1"/>
  <c r="AI196" i="38" s="1"/>
  <c r="FJ200" i="1"/>
  <c r="AI198" i="38" s="1"/>
  <c r="FJ178" i="1"/>
  <c r="AI176" i="38" s="1"/>
  <c r="FJ161" i="1"/>
  <c r="AI159" i="38" s="1"/>
  <c r="FJ165" i="1"/>
  <c r="AI163" i="38" s="1"/>
  <c r="FJ249" i="1"/>
  <c r="AI247" i="38" s="1"/>
  <c r="FJ233" i="1"/>
  <c r="AI231" i="38" s="1"/>
  <c r="FJ217" i="1"/>
  <c r="AI215" i="38" s="1"/>
  <c r="FJ201" i="1"/>
  <c r="AI199" i="38" s="1"/>
  <c r="FJ154" i="1"/>
  <c r="AI152" i="38" s="1"/>
  <c r="FJ173" i="1"/>
  <c r="AI171" i="38" s="1"/>
  <c r="FJ175" i="1"/>
  <c r="AI173" i="38" s="1"/>
  <c r="I13" i="24"/>
  <c r="I23" i="24" s="1"/>
  <c r="FI118" i="1"/>
  <c r="AH116" i="38" s="1"/>
  <c r="FI102" i="1"/>
  <c r="AH100" i="38" s="1"/>
  <c r="FI86" i="1"/>
  <c r="AH84" i="38" s="1"/>
  <c r="FI70" i="1"/>
  <c r="AH68" i="38" s="1"/>
  <c r="FI32" i="1"/>
  <c r="AH30" i="38" s="1"/>
  <c r="FI22" i="1"/>
  <c r="AH20" i="38" s="1"/>
  <c r="FI153" i="1"/>
  <c r="AH151" i="38" s="1"/>
  <c r="FI137" i="1"/>
  <c r="AH135" i="38" s="1"/>
  <c r="FI120" i="1"/>
  <c r="AH118" i="38" s="1"/>
  <c r="FI42" i="1"/>
  <c r="AH40" i="38" s="1"/>
  <c r="FI26" i="1"/>
  <c r="AH24" i="38" s="1"/>
  <c r="FJ40" i="1"/>
  <c r="AI38" i="38" s="1"/>
  <c r="FJ58" i="1"/>
  <c r="AI56" i="38" s="1"/>
  <c r="FI150" i="1"/>
  <c r="AH148" i="38" s="1"/>
  <c r="FI140" i="1"/>
  <c r="AH138" i="38" s="1"/>
  <c r="FI92" i="1"/>
  <c r="AH90" i="38" s="1"/>
  <c r="FI121" i="1"/>
  <c r="AH119" i="38" s="1"/>
  <c r="FI152" i="1"/>
  <c r="AH150" i="38" s="1"/>
  <c r="FJ24" i="1"/>
  <c r="AI22" i="38" s="1"/>
  <c r="FJ17" i="1"/>
  <c r="AI15" i="38" s="1"/>
  <c r="FJ36" i="1"/>
  <c r="AI34" i="38" s="1"/>
  <c r="FI85" i="1"/>
  <c r="AH83" i="38" s="1"/>
  <c r="FI69" i="1"/>
  <c r="AH67" i="38" s="1"/>
  <c r="FI20" i="1"/>
  <c r="AH18" i="38" s="1"/>
  <c r="FI101" i="1"/>
  <c r="AH99" i="38" s="1"/>
  <c r="FI146" i="1"/>
  <c r="AH144" i="38" s="1"/>
  <c r="FI136" i="1"/>
  <c r="AH134" i="38" s="1"/>
  <c r="FI114" i="1"/>
  <c r="AH112" i="38" s="1"/>
  <c r="FI98" i="1"/>
  <c r="AH96" i="38" s="1"/>
  <c r="FI82" i="1"/>
  <c r="AH80" i="38" s="1"/>
  <c r="FI66" i="1"/>
  <c r="AH64" i="38" s="1"/>
  <c r="FI56" i="1"/>
  <c r="AH54" i="38" s="1"/>
  <c r="FI17" i="1"/>
  <c r="AH15" i="38" s="1"/>
  <c r="FI143" i="1"/>
  <c r="AH141" i="38" s="1"/>
  <c r="FI127" i="1"/>
  <c r="AH125" i="38" s="1"/>
  <c r="FI111" i="1"/>
  <c r="AH109" i="38" s="1"/>
  <c r="FI95" i="1"/>
  <c r="AH93" i="38" s="1"/>
  <c r="FI79" i="1"/>
  <c r="AH77" i="38" s="1"/>
  <c r="FI63" i="1"/>
  <c r="AH61" i="38" s="1"/>
  <c r="FI47" i="1"/>
  <c r="AH45" i="38" s="1"/>
  <c r="FI31" i="1"/>
  <c r="AH29" i="38" s="1"/>
  <c r="FI10" i="1"/>
  <c r="AH8" i="38" s="1"/>
  <c r="FJ152" i="1"/>
  <c r="AI150" i="38" s="1"/>
  <c r="FJ42" i="1"/>
  <c r="AI40" i="38" s="1"/>
  <c r="FJ60" i="1"/>
  <c r="AI58" i="38" s="1"/>
  <c r="FJ28" i="1"/>
  <c r="AI26" i="38" s="1"/>
  <c r="FJ32" i="1"/>
  <c r="AI30" i="38" s="1"/>
  <c r="FJ145" i="1"/>
  <c r="AI143" i="38" s="1"/>
  <c r="FJ95" i="1"/>
  <c r="AI93" i="38" s="1"/>
  <c r="FJ47" i="1"/>
  <c r="AI45" i="38" s="1"/>
  <c r="FJ23" i="1"/>
  <c r="AI21" i="38" s="1"/>
  <c r="FJ10" i="1"/>
  <c r="AI8" i="38" s="1"/>
  <c r="FJ254" i="1"/>
  <c r="AI252" i="38" s="1"/>
  <c r="FI254" i="1"/>
  <c r="AH252" i="38" s="1"/>
  <c r="FI145" i="1"/>
  <c r="AH143" i="38" s="1"/>
  <c r="FH5" i="1"/>
  <c r="AG3" i="38" s="1"/>
  <c r="FH153" i="1"/>
  <c r="AG151" i="38" s="1"/>
  <c r="FH152" i="1"/>
  <c r="AG150" i="38" s="1"/>
  <c r="FH151" i="1"/>
  <c r="AG149" i="38" s="1"/>
  <c r="FH150" i="1"/>
  <c r="AG148" i="38" s="1"/>
  <c r="FH149" i="1"/>
  <c r="AG147" i="38" s="1"/>
  <c r="FH148" i="1"/>
  <c r="AG146" i="38" s="1"/>
  <c r="FH147" i="1"/>
  <c r="AG145" i="38" s="1"/>
  <c r="FH146" i="1"/>
  <c r="AG144" i="38" s="1"/>
  <c r="FH145" i="1"/>
  <c r="AG143" i="38" s="1"/>
  <c r="FH144" i="1"/>
  <c r="AG142" i="38" s="1"/>
  <c r="FH143" i="1"/>
  <c r="AG141" i="38" s="1"/>
  <c r="FH142" i="1"/>
  <c r="AG140" i="38" s="1"/>
  <c r="FH141" i="1"/>
  <c r="AG139" i="38" s="1"/>
  <c r="FH140" i="1"/>
  <c r="AG138" i="38" s="1"/>
  <c r="FH139" i="1"/>
  <c r="AG137" i="38" s="1"/>
  <c r="FH138" i="1"/>
  <c r="AG136" i="38" s="1"/>
  <c r="FH137" i="1"/>
  <c r="AG135" i="38" s="1"/>
  <c r="FH136" i="1"/>
  <c r="AG134" i="38" s="1"/>
  <c r="FH135" i="1"/>
  <c r="AG133" i="38" s="1"/>
  <c r="FH134" i="1"/>
  <c r="AG132" i="38" s="1"/>
  <c r="FH133" i="1"/>
  <c r="AG131" i="38" s="1"/>
  <c r="FH132" i="1"/>
  <c r="AG130" i="38" s="1"/>
  <c r="FH131" i="1"/>
  <c r="AG129" i="38" s="1"/>
  <c r="FH130" i="1"/>
  <c r="AG128" i="38" s="1"/>
  <c r="FH129" i="1"/>
  <c r="AG127" i="38" s="1"/>
  <c r="FH128" i="1"/>
  <c r="AG126" i="38" s="1"/>
  <c r="FH127" i="1"/>
  <c r="AG125" i="38" s="1"/>
  <c r="FH126" i="1"/>
  <c r="AG124" i="38" s="1"/>
  <c r="FH125" i="1"/>
  <c r="AG123" i="38" s="1"/>
  <c r="FH124" i="1"/>
  <c r="AG122" i="38" s="1"/>
  <c r="FH123" i="1"/>
  <c r="AG121" i="38" s="1"/>
  <c r="FH122" i="1"/>
  <c r="AG120" i="38" s="1"/>
  <c r="FH121" i="1"/>
  <c r="AG119" i="38" s="1"/>
  <c r="FH120" i="1"/>
  <c r="AG118" i="38" s="1"/>
  <c r="FH119" i="1"/>
  <c r="AG117" i="38" s="1"/>
  <c r="FH118" i="1"/>
  <c r="AG116" i="38" s="1"/>
  <c r="FH117" i="1"/>
  <c r="AG115" i="38" s="1"/>
  <c r="FH116" i="1"/>
  <c r="AG114" i="38" s="1"/>
  <c r="FH115" i="1"/>
  <c r="AG113" i="38" s="1"/>
  <c r="FH114" i="1"/>
  <c r="AG112" i="38" s="1"/>
  <c r="FH113" i="1"/>
  <c r="AG111" i="38" s="1"/>
  <c r="FH112" i="1"/>
  <c r="AG110" i="38" s="1"/>
  <c r="FH111" i="1"/>
  <c r="AG109" i="38" s="1"/>
  <c r="FH110" i="1"/>
  <c r="AG108" i="38" s="1"/>
  <c r="FH109" i="1"/>
  <c r="AG107" i="38" s="1"/>
  <c r="FH108" i="1"/>
  <c r="AG106" i="38" s="1"/>
  <c r="FH107" i="1"/>
  <c r="AG105" i="38" s="1"/>
  <c r="FH106" i="1"/>
  <c r="AG104" i="38" s="1"/>
  <c r="FH105" i="1"/>
  <c r="AG103" i="38" s="1"/>
  <c r="FH104" i="1"/>
  <c r="AG102" i="38" s="1"/>
  <c r="FH103" i="1"/>
  <c r="AG101" i="38" s="1"/>
  <c r="FH102" i="1"/>
  <c r="AG100" i="38" s="1"/>
  <c r="FH101" i="1"/>
  <c r="AG99" i="38" s="1"/>
  <c r="FH100" i="1"/>
  <c r="AG98" i="38" s="1"/>
  <c r="FH99" i="1"/>
  <c r="AG97" i="38" s="1"/>
  <c r="FH98" i="1"/>
  <c r="AG96" i="38" s="1"/>
  <c r="FH97" i="1"/>
  <c r="AG95" i="38" s="1"/>
  <c r="FH96" i="1"/>
  <c r="AG94" i="38" s="1"/>
  <c r="FH95" i="1"/>
  <c r="AG93" i="38" s="1"/>
  <c r="FH94" i="1"/>
  <c r="AG92" i="38" s="1"/>
  <c r="FH93" i="1"/>
  <c r="AG91" i="38" s="1"/>
  <c r="FH92" i="1"/>
  <c r="AG90" i="38" s="1"/>
  <c r="FH91" i="1"/>
  <c r="AG89" i="38" s="1"/>
  <c r="FH90" i="1"/>
  <c r="AG88" i="38" s="1"/>
  <c r="FH89" i="1"/>
  <c r="AG87" i="38" s="1"/>
  <c r="FH88" i="1"/>
  <c r="AG86" i="38" s="1"/>
  <c r="FH87" i="1"/>
  <c r="AG85" i="38" s="1"/>
  <c r="FH86" i="1"/>
  <c r="AG84" i="38" s="1"/>
  <c r="FH85" i="1"/>
  <c r="AG83" i="38" s="1"/>
  <c r="FH84" i="1"/>
  <c r="AG82" i="38" s="1"/>
  <c r="FH83" i="1"/>
  <c r="AG81" i="38" s="1"/>
  <c r="FH82" i="1"/>
  <c r="AG80" i="38" s="1"/>
  <c r="FH81" i="1"/>
  <c r="AG79" i="38" s="1"/>
  <c r="FH80" i="1"/>
  <c r="AG78" i="38" s="1"/>
  <c r="FH79" i="1"/>
  <c r="AG77" i="38" s="1"/>
  <c r="FH78" i="1"/>
  <c r="AG76" i="38" s="1"/>
  <c r="FH77" i="1"/>
  <c r="AG75" i="38" s="1"/>
  <c r="FH76" i="1"/>
  <c r="AG74" i="38" s="1"/>
  <c r="FH75" i="1"/>
  <c r="AG73" i="38" s="1"/>
  <c r="FH74" i="1"/>
  <c r="AG72" i="38" s="1"/>
  <c r="FH73" i="1"/>
  <c r="AG71" i="38" s="1"/>
  <c r="FH72" i="1"/>
  <c r="AG70" i="38" s="1"/>
  <c r="FH71" i="1"/>
  <c r="AG69" i="38" s="1"/>
  <c r="FH70" i="1"/>
  <c r="AG68" i="38" s="1"/>
  <c r="FH69" i="1"/>
  <c r="AG67" i="38" s="1"/>
  <c r="FH68" i="1"/>
  <c r="AG66" i="38" s="1"/>
  <c r="FH67" i="1"/>
  <c r="AG65" i="38" s="1"/>
  <c r="FH66" i="1"/>
  <c r="AG64" i="38" s="1"/>
  <c r="FH65" i="1"/>
  <c r="AG63" i="38" s="1"/>
  <c r="FH64" i="1"/>
  <c r="AG62" i="38" s="1"/>
  <c r="FH63" i="1"/>
  <c r="AG61" i="38" s="1"/>
  <c r="FH62" i="1"/>
  <c r="AG60" i="38" s="1"/>
  <c r="FH61" i="1"/>
  <c r="AG59" i="38" s="1"/>
  <c r="FH60" i="1"/>
  <c r="AG58" i="38" s="1"/>
  <c r="FH59" i="1"/>
  <c r="AG57" i="38" s="1"/>
  <c r="FH58" i="1"/>
  <c r="AG56" i="38" s="1"/>
  <c r="FH57" i="1"/>
  <c r="AG55" i="38" s="1"/>
  <c r="FH56" i="1"/>
  <c r="AG54" i="38" s="1"/>
  <c r="FH55" i="1"/>
  <c r="AG53" i="38" s="1"/>
  <c r="FH54" i="1"/>
  <c r="AG52" i="38" s="1"/>
  <c r="FH53" i="1"/>
  <c r="AG51" i="38" s="1"/>
  <c r="FH52" i="1"/>
  <c r="AG50" i="38" s="1"/>
  <c r="FH51" i="1"/>
  <c r="AG49" i="38" s="1"/>
  <c r="FH50" i="1"/>
  <c r="AG48" i="38" s="1"/>
  <c r="FH49" i="1"/>
  <c r="AG47" i="38" s="1"/>
  <c r="FH48" i="1"/>
  <c r="AG46" i="38" s="1"/>
  <c r="FH47" i="1"/>
  <c r="AG45" i="38" s="1"/>
  <c r="FH46" i="1"/>
  <c r="AG44" i="38" s="1"/>
  <c r="FH45" i="1"/>
  <c r="AG43" i="38" s="1"/>
  <c r="FH44" i="1"/>
  <c r="AG42" i="38" s="1"/>
  <c r="FH43" i="1"/>
  <c r="AG41" i="38" s="1"/>
  <c r="FH42" i="1"/>
  <c r="AG40" i="38" s="1"/>
  <c r="FH41" i="1"/>
  <c r="AG39" i="38" s="1"/>
  <c r="FH40" i="1"/>
  <c r="AG38" i="38" s="1"/>
  <c r="FH39" i="1"/>
  <c r="AG37" i="38" s="1"/>
  <c r="FH38" i="1"/>
  <c r="AG36" i="38" s="1"/>
  <c r="FH37" i="1"/>
  <c r="AG35" i="38" s="1"/>
  <c r="FH36" i="1"/>
  <c r="AG34" i="38" s="1"/>
  <c r="FH35" i="1"/>
  <c r="AG33" i="38" s="1"/>
  <c r="FH34" i="1"/>
  <c r="AG32" i="38" s="1"/>
  <c r="FH33" i="1"/>
  <c r="AG31" i="38" s="1"/>
  <c r="FH32" i="1"/>
  <c r="AG30" i="38" s="1"/>
  <c r="FH31" i="1"/>
  <c r="AG29" i="38" s="1"/>
  <c r="FH30" i="1"/>
  <c r="AG28" i="38" s="1"/>
  <c r="FH29" i="1"/>
  <c r="AG27" i="38" s="1"/>
  <c r="FH28" i="1"/>
  <c r="AG26" i="38" s="1"/>
  <c r="FH27" i="1"/>
  <c r="AG25" i="38" s="1"/>
  <c r="FI151" i="1"/>
  <c r="AH149" i="38" s="1"/>
  <c r="FI135" i="1"/>
  <c r="AH133" i="38" s="1"/>
  <c r="FI119" i="1"/>
  <c r="AH117" i="38" s="1"/>
  <c r="FI103" i="1"/>
  <c r="AH101" i="38" s="1"/>
  <c r="FI87" i="1"/>
  <c r="AH85" i="38" s="1"/>
  <c r="FI71" i="1"/>
  <c r="AH69" i="38" s="1"/>
  <c r="FI55" i="1"/>
  <c r="AH53" i="38" s="1"/>
  <c r="FI39" i="1"/>
  <c r="AH37" i="38" s="1"/>
  <c r="FI23" i="1"/>
  <c r="AH21" i="38" s="1"/>
  <c r="FI148" i="1"/>
  <c r="AH146" i="38" s="1"/>
  <c r="FI142" i="1"/>
  <c r="AH140" i="38" s="1"/>
  <c r="FI116" i="1"/>
  <c r="AH114" i="38" s="1"/>
  <c r="FI100" i="1"/>
  <c r="AH98" i="38" s="1"/>
  <c r="CE259" i="1"/>
  <c r="E9" i="5" s="1"/>
  <c r="FH6" i="1"/>
  <c r="AG4" i="38" s="1"/>
  <c r="FI129" i="1"/>
  <c r="AH127" i="38" s="1"/>
  <c r="FI113" i="1"/>
  <c r="AH111" i="38" s="1"/>
  <c r="FI105" i="1"/>
  <c r="AH103" i="38" s="1"/>
  <c r="FI97" i="1"/>
  <c r="AH95" i="38" s="1"/>
  <c r="FI89" i="1"/>
  <c r="AH87" i="38" s="1"/>
  <c r="FI81" i="1"/>
  <c r="AH79" i="38" s="1"/>
  <c r="FI128" i="1"/>
  <c r="AH126" i="38" s="1"/>
  <c r="FI122" i="1"/>
  <c r="AH120" i="38" s="1"/>
  <c r="FI106" i="1"/>
  <c r="AH104" i="38" s="1"/>
  <c r="FI90" i="1"/>
  <c r="AH88" i="38" s="1"/>
  <c r="FI74" i="1"/>
  <c r="AH72" i="38" s="1"/>
  <c r="FI48" i="1"/>
  <c r="AH46" i="38" s="1"/>
  <c r="FI36" i="1"/>
  <c r="AH34" i="38" s="1"/>
  <c r="FI147" i="1"/>
  <c r="AH145" i="38" s="1"/>
  <c r="FI139" i="1"/>
  <c r="AH137" i="38" s="1"/>
  <c r="FI131" i="1"/>
  <c r="AH129" i="38" s="1"/>
  <c r="FI123" i="1"/>
  <c r="AH121" i="38" s="1"/>
  <c r="FI115" i="1"/>
  <c r="AH113" i="38" s="1"/>
  <c r="FI107" i="1"/>
  <c r="AH105" i="38" s="1"/>
  <c r="FI99" i="1"/>
  <c r="AH97" i="38" s="1"/>
  <c r="FI91" i="1"/>
  <c r="AH89" i="38" s="1"/>
  <c r="FI83" i="1"/>
  <c r="AH81" i="38" s="1"/>
  <c r="FI75" i="1"/>
  <c r="AH73" i="38" s="1"/>
  <c r="FI67" i="1"/>
  <c r="AH65" i="38" s="1"/>
  <c r="FI59" i="1"/>
  <c r="AH57" i="38" s="1"/>
  <c r="FI51" i="1"/>
  <c r="AH49" i="38" s="1"/>
  <c r="FI43" i="1"/>
  <c r="AH41" i="38" s="1"/>
  <c r="FI35" i="1"/>
  <c r="AH33" i="38" s="1"/>
  <c r="FI27" i="1"/>
  <c r="AH25" i="38" s="1"/>
  <c r="FI18" i="1"/>
  <c r="AH16" i="38" s="1"/>
  <c r="FI6" i="1"/>
  <c r="AH4" i="38" s="1"/>
  <c r="FI134" i="1"/>
  <c r="AH132" i="38" s="1"/>
  <c r="FI124" i="1"/>
  <c r="AH122" i="38" s="1"/>
  <c r="FI108" i="1"/>
  <c r="AH106" i="38" s="1"/>
  <c r="FI76" i="1"/>
  <c r="AH74" i="38" s="1"/>
  <c r="FI60" i="1"/>
  <c r="AH58" i="38" s="1"/>
  <c r="FI54" i="1"/>
  <c r="AH52" i="38" s="1"/>
  <c r="FI44" i="1"/>
  <c r="AH42" i="38" s="1"/>
  <c r="FI34" i="1"/>
  <c r="AH32" i="38" s="1"/>
  <c r="FI28" i="1"/>
  <c r="AH26" i="38" s="1"/>
  <c r="FI7" i="1"/>
  <c r="AH5" i="38" s="1"/>
  <c r="FI5" i="1"/>
  <c r="AH3" i="38" s="1"/>
  <c r="FJ26" i="1"/>
  <c r="AI24" i="38" s="1"/>
  <c r="FJ153" i="1"/>
  <c r="AI151" i="38" s="1"/>
  <c r="FJ44" i="1"/>
  <c r="AI42" i="38" s="1"/>
  <c r="FJ7" i="1"/>
  <c r="AI5" i="38" s="1"/>
  <c r="FJ54" i="1"/>
  <c r="AI52" i="38" s="1"/>
  <c r="FJ22" i="1"/>
  <c r="AI20" i="38" s="1"/>
  <c r="FJ149" i="1"/>
  <c r="AI147" i="38" s="1"/>
  <c r="FJ141" i="1"/>
  <c r="AI139" i="38" s="1"/>
  <c r="FJ133" i="1"/>
  <c r="AI131" i="38" s="1"/>
  <c r="FJ128" i="1"/>
  <c r="AI126" i="38" s="1"/>
  <c r="FJ120" i="1"/>
  <c r="AI118" i="38" s="1"/>
  <c r="FJ107" i="1"/>
  <c r="AI105" i="38" s="1"/>
  <c r="FJ99" i="1"/>
  <c r="AI97" i="38" s="1"/>
  <c r="FJ91" i="1"/>
  <c r="AI89" i="38" s="1"/>
  <c r="FJ86" i="1"/>
  <c r="AI84" i="38" s="1"/>
  <c r="FJ84" i="1"/>
  <c r="AI82" i="38" s="1"/>
  <c r="FJ79" i="1"/>
  <c r="AI77" i="38" s="1"/>
  <c r="FJ71" i="1"/>
  <c r="AI69" i="38" s="1"/>
  <c r="FJ63" i="1"/>
  <c r="AI61" i="38" s="1"/>
  <c r="FJ59" i="1"/>
  <c r="AI57" i="38" s="1"/>
  <c r="FJ51" i="1"/>
  <c r="AI49" i="38" s="1"/>
  <c r="FJ43" i="1"/>
  <c r="AI41" i="38" s="1"/>
  <c r="FJ35" i="1"/>
  <c r="AI33" i="38" s="1"/>
  <c r="FJ27" i="1"/>
  <c r="AI25" i="38" s="1"/>
  <c r="FJ18" i="1"/>
  <c r="AI16" i="38" s="1"/>
  <c r="FJ6" i="1"/>
  <c r="AI4" i="38" s="1"/>
  <c r="FJ144" i="1"/>
  <c r="AI142" i="38" s="1"/>
  <c r="FJ136" i="1"/>
  <c r="AI134" i="38" s="1"/>
  <c r="FJ125" i="1"/>
  <c r="AI123" i="38" s="1"/>
  <c r="FJ117" i="1"/>
  <c r="AI115" i="38" s="1"/>
  <c r="FJ106" i="1"/>
  <c r="AI104" i="38" s="1"/>
  <c r="FJ98" i="1"/>
  <c r="AI96" i="38" s="1"/>
  <c r="FJ90" i="1"/>
  <c r="AI88" i="38" s="1"/>
  <c r="FJ81" i="1"/>
  <c r="AI79" i="38" s="1"/>
  <c r="FJ78" i="1"/>
  <c r="AI76" i="38" s="1"/>
  <c r="FJ70" i="1"/>
  <c r="AI68" i="38" s="1"/>
  <c r="FJ13" i="1"/>
  <c r="AI11" i="38" s="1"/>
  <c r="FI13" i="1"/>
  <c r="AH11" i="38" s="1"/>
  <c r="FJ21" i="1"/>
  <c r="AI19" i="38" s="1"/>
  <c r="FI21" i="1"/>
  <c r="AH19" i="38" s="1"/>
  <c r="FH26" i="1"/>
  <c r="AG24" i="38" s="1"/>
  <c r="FH25" i="1"/>
  <c r="AG23" i="38" s="1"/>
  <c r="FH24" i="1"/>
  <c r="AG22" i="38" s="1"/>
  <c r="FH23" i="1"/>
  <c r="AG21" i="38" s="1"/>
  <c r="CC284" i="1"/>
  <c r="FH22" i="1"/>
  <c r="AG20" i="38" s="1"/>
  <c r="CC278" i="1"/>
  <c r="FH20" i="1"/>
  <c r="AG18" i="38" s="1"/>
  <c r="FH19" i="1"/>
  <c r="AG17" i="38" s="1"/>
  <c r="FH18" i="1"/>
  <c r="AG16" i="38" s="1"/>
  <c r="FH17" i="1"/>
  <c r="AG15" i="38" s="1"/>
  <c r="FH16" i="1"/>
  <c r="AG14" i="38" s="1"/>
  <c r="FH15" i="1"/>
  <c r="AG13" i="38" s="1"/>
  <c r="CC289" i="1"/>
  <c r="FH10" i="1"/>
  <c r="AG8" i="38" s="1"/>
  <c r="CC268" i="1"/>
  <c r="C12" i="5" s="1"/>
  <c r="FH9" i="1"/>
  <c r="AG7" i="38" s="1"/>
  <c r="CC265" i="1"/>
  <c r="C11" i="5" s="1"/>
  <c r="FH8" i="1"/>
  <c r="AG6" i="38" s="1"/>
  <c r="FH7" i="1"/>
  <c r="AG5" i="38" s="1"/>
  <c r="FI132" i="1"/>
  <c r="AH130" i="38" s="1"/>
  <c r="FI126" i="1"/>
  <c r="AH124" i="38" s="1"/>
  <c r="FI110" i="1"/>
  <c r="AH108" i="38" s="1"/>
  <c r="FI78" i="1"/>
  <c r="AH76" i="38" s="1"/>
  <c r="FI62" i="1"/>
  <c r="AH60" i="38" s="1"/>
  <c r="FI52" i="1"/>
  <c r="AH50" i="38" s="1"/>
  <c r="FI46" i="1"/>
  <c r="AH44" i="38" s="1"/>
  <c r="FI40" i="1"/>
  <c r="AH38" i="38" s="1"/>
  <c r="FI30" i="1"/>
  <c r="AH28" i="38" s="1"/>
  <c r="FI9" i="1"/>
  <c r="AH7" i="38" s="1"/>
  <c r="FI149" i="1"/>
  <c r="AH147" i="38" s="1"/>
  <c r="FI141" i="1"/>
  <c r="AH139" i="38" s="1"/>
  <c r="FI133" i="1"/>
  <c r="AH131" i="38" s="1"/>
  <c r="FI125" i="1"/>
  <c r="AH123" i="38" s="1"/>
  <c r="FI117" i="1"/>
  <c r="AH115" i="38" s="1"/>
  <c r="FI109" i="1"/>
  <c r="AH107" i="38" s="1"/>
  <c r="FI93" i="1"/>
  <c r="AH91" i="38" s="1"/>
  <c r="FI77" i="1"/>
  <c r="AH75" i="38" s="1"/>
  <c r="FI61" i="1"/>
  <c r="AH59" i="38" s="1"/>
  <c r="FI53" i="1"/>
  <c r="AH51" i="38" s="1"/>
  <c r="FI45" i="1"/>
  <c r="AH43" i="38" s="1"/>
  <c r="FI37" i="1"/>
  <c r="AH35" i="38" s="1"/>
  <c r="FI29" i="1"/>
  <c r="AH27" i="38" s="1"/>
  <c r="FI8" i="1"/>
  <c r="AH6" i="38" s="1"/>
  <c r="FI144" i="1"/>
  <c r="AH142" i="38" s="1"/>
  <c r="FI138" i="1"/>
  <c r="AH136" i="38" s="1"/>
  <c r="FI112" i="1"/>
  <c r="AH110" i="38" s="1"/>
  <c r="FI96" i="1"/>
  <c r="AH94" i="38" s="1"/>
  <c r="FI80" i="1"/>
  <c r="AH78" i="38" s="1"/>
  <c r="FI64" i="1"/>
  <c r="AH62" i="38" s="1"/>
  <c r="FI58" i="1"/>
  <c r="AH56" i="38" s="1"/>
  <c r="FI38" i="1"/>
  <c r="AH36" i="38" s="1"/>
  <c r="FI15" i="1"/>
  <c r="AH13" i="38" s="1"/>
  <c r="FJ56" i="1"/>
  <c r="AI54" i="38" s="1"/>
  <c r="FJ34" i="1"/>
  <c r="AI32" i="38" s="1"/>
  <c r="FJ52" i="1"/>
  <c r="AI50" i="38" s="1"/>
  <c r="FJ19" i="1"/>
  <c r="AI17" i="38" s="1"/>
  <c r="FJ15" i="1"/>
  <c r="AI13" i="38" s="1"/>
  <c r="FJ62" i="1"/>
  <c r="AI60" i="38" s="1"/>
  <c r="FJ30" i="1"/>
  <c r="AI28" i="38" s="1"/>
  <c r="FJ151" i="1"/>
  <c r="AI149" i="38" s="1"/>
  <c r="FJ143" i="1"/>
  <c r="AI141" i="38" s="1"/>
  <c r="FJ135" i="1"/>
  <c r="AI133" i="38" s="1"/>
  <c r="FJ130" i="1"/>
  <c r="AI128" i="38" s="1"/>
  <c r="FJ122" i="1"/>
  <c r="AI120" i="38" s="1"/>
  <c r="FJ114" i="1"/>
  <c r="AI112" i="38" s="1"/>
  <c r="FJ109" i="1"/>
  <c r="AI107" i="38" s="1"/>
  <c r="FJ101" i="1"/>
  <c r="AI99" i="38" s="1"/>
  <c r="FJ93" i="1"/>
  <c r="AI91" i="38" s="1"/>
  <c r="FJ73" i="1"/>
  <c r="AI71" i="38" s="1"/>
  <c r="FJ65" i="1"/>
  <c r="AI63" i="38" s="1"/>
  <c r="FJ5" i="1"/>
  <c r="AI3" i="38" s="1"/>
  <c r="FJ61" i="1"/>
  <c r="AI59" i="38" s="1"/>
  <c r="FJ53" i="1"/>
  <c r="AI51" i="38" s="1"/>
  <c r="FJ45" i="1"/>
  <c r="AI43" i="38" s="1"/>
  <c r="FJ37" i="1"/>
  <c r="AI35" i="38" s="1"/>
  <c r="FJ29" i="1"/>
  <c r="AI27" i="38" s="1"/>
  <c r="FJ20" i="1"/>
  <c r="AI18" i="38" s="1"/>
  <c r="FJ8" i="1"/>
  <c r="AI6" i="38" s="1"/>
  <c r="FJ146" i="1"/>
  <c r="AI144" i="38" s="1"/>
  <c r="FJ138" i="1"/>
  <c r="AI136" i="38" s="1"/>
  <c r="FJ127" i="1"/>
  <c r="AI125" i="38" s="1"/>
  <c r="FJ119" i="1"/>
  <c r="AI117" i="38" s="1"/>
  <c r="FJ108" i="1"/>
  <c r="AI106" i="38" s="1"/>
  <c r="FJ100" i="1"/>
  <c r="AI98" i="38" s="1"/>
  <c r="FJ92" i="1"/>
  <c r="AI90" i="38" s="1"/>
  <c r="FJ83" i="1"/>
  <c r="AI81" i="38" s="1"/>
  <c r="FJ72" i="1"/>
  <c r="AI70" i="38" s="1"/>
  <c r="FJ64" i="1"/>
  <c r="AI62" i="38" s="1"/>
  <c r="FJ14" i="1"/>
  <c r="AI12" i="38" s="1"/>
  <c r="FI14" i="1"/>
  <c r="AH12" i="38" s="1"/>
  <c r="FJ11" i="1"/>
  <c r="AI9" i="38" s="1"/>
  <c r="FI11" i="1"/>
  <c r="AH9" i="38" s="1"/>
  <c r="FI94" i="1"/>
  <c r="AH92" i="38" s="1"/>
  <c r="FI84" i="1"/>
  <c r="AH82" i="38" s="1"/>
  <c r="FI68" i="1"/>
  <c r="AH66" i="38" s="1"/>
  <c r="FI19" i="1"/>
  <c r="AH17" i="38" s="1"/>
  <c r="FJ38" i="1"/>
  <c r="AI36" i="38" s="1"/>
  <c r="FJ137" i="1"/>
  <c r="AI135" i="38" s="1"/>
  <c r="FJ132" i="1"/>
  <c r="AI130" i="38" s="1"/>
  <c r="FJ124" i="1"/>
  <c r="AI122" i="38" s="1"/>
  <c r="FJ116" i="1"/>
  <c r="AI114" i="38" s="1"/>
  <c r="FJ111" i="1"/>
  <c r="AI109" i="38" s="1"/>
  <c r="FJ103" i="1"/>
  <c r="AI101" i="38" s="1"/>
  <c r="FJ87" i="1"/>
  <c r="AI85" i="38" s="1"/>
  <c r="FJ80" i="1"/>
  <c r="AI78" i="38" s="1"/>
  <c r="FJ75" i="1"/>
  <c r="AI73" i="38" s="1"/>
  <c r="FJ67" i="1"/>
  <c r="AI65" i="38" s="1"/>
  <c r="FJ55" i="1"/>
  <c r="AI53" i="38" s="1"/>
  <c r="FJ39" i="1"/>
  <c r="AI37" i="38" s="1"/>
  <c r="FJ31" i="1"/>
  <c r="AI29" i="38" s="1"/>
  <c r="FJ148" i="1"/>
  <c r="AI146" i="38" s="1"/>
  <c r="FJ140" i="1"/>
  <c r="AI138" i="38" s="1"/>
  <c r="FJ129" i="1"/>
  <c r="AI127" i="38" s="1"/>
  <c r="FJ121" i="1"/>
  <c r="AI119" i="38" s="1"/>
  <c r="FJ110" i="1"/>
  <c r="AI108" i="38" s="1"/>
  <c r="FJ102" i="1"/>
  <c r="AI100" i="38" s="1"/>
  <c r="FJ94" i="1"/>
  <c r="AI92" i="38" s="1"/>
  <c r="FJ85" i="1"/>
  <c r="AI83" i="38" s="1"/>
  <c r="FJ74" i="1"/>
  <c r="AI72" i="38" s="1"/>
  <c r="FJ66" i="1"/>
  <c r="AI64" i="38" s="1"/>
  <c r="FI73" i="1"/>
  <c r="AH71" i="38" s="1"/>
  <c r="FI65" i="1"/>
  <c r="AH63" i="38" s="1"/>
  <c r="FI57" i="1"/>
  <c r="AH55" i="38" s="1"/>
  <c r="FI49" i="1"/>
  <c r="AH47" i="38" s="1"/>
  <c r="FI41" i="1"/>
  <c r="AH39" i="38" s="1"/>
  <c r="FI33" i="1"/>
  <c r="AH31" i="38" s="1"/>
  <c r="FI25" i="1"/>
  <c r="AH23" i="38" s="1"/>
  <c r="FI16" i="1"/>
  <c r="AH14" i="38" s="1"/>
  <c r="FI130" i="1"/>
  <c r="AH128" i="38" s="1"/>
  <c r="FI104" i="1"/>
  <c r="AH102" i="38" s="1"/>
  <c r="FI88" i="1"/>
  <c r="AH86" i="38" s="1"/>
  <c r="FI72" i="1"/>
  <c r="AH70" i="38" s="1"/>
  <c r="FI50" i="1"/>
  <c r="AH48" i="38" s="1"/>
  <c r="FI24" i="1"/>
  <c r="AH22" i="38" s="1"/>
  <c r="FJ50" i="1"/>
  <c r="AI48" i="38" s="1"/>
  <c r="FJ48" i="1"/>
  <c r="AI46" i="38" s="1"/>
  <c r="FJ46" i="1"/>
  <c r="AI44" i="38" s="1"/>
  <c r="FJ9" i="1"/>
  <c r="AI7" i="38" s="1"/>
  <c r="FJ147" i="1"/>
  <c r="AI145" i="38" s="1"/>
  <c r="FJ139" i="1"/>
  <c r="AI137" i="38" s="1"/>
  <c r="FJ126" i="1"/>
  <c r="AI124" i="38" s="1"/>
  <c r="FJ118" i="1"/>
  <c r="AI116" i="38" s="1"/>
  <c r="FJ113" i="1"/>
  <c r="AI111" i="38" s="1"/>
  <c r="FJ105" i="1"/>
  <c r="AI103" i="38" s="1"/>
  <c r="FJ97" i="1"/>
  <c r="AI95" i="38" s="1"/>
  <c r="FJ89" i="1"/>
  <c r="AI87" i="38" s="1"/>
  <c r="FJ82" i="1"/>
  <c r="AI80" i="38" s="1"/>
  <c r="FJ77" i="1"/>
  <c r="AI75" i="38" s="1"/>
  <c r="FJ69" i="1"/>
  <c r="AI67" i="38" s="1"/>
  <c r="FJ57" i="1"/>
  <c r="AI55" i="38" s="1"/>
  <c r="FJ49" i="1"/>
  <c r="AI47" i="38" s="1"/>
  <c r="FJ41" i="1"/>
  <c r="AI39" i="38" s="1"/>
  <c r="FJ33" i="1"/>
  <c r="AI31" i="38" s="1"/>
  <c r="FJ25" i="1"/>
  <c r="AI23" i="38" s="1"/>
  <c r="FJ16" i="1"/>
  <c r="AI14" i="38" s="1"/>
  <c r="FJ150" i="1"/>
  <c r="AI148" i="38" s="1"/>
  <c r="FJ142" i="1"/>
  <c r="AI140" i="38" s="1"/>
  <c r="FJ134" i="1"/>
  <c r="AI132" i="38" s="1"/>
  <c r="FJ131" i="1"/>
  <c r="AI129" i="38" s="1"/>
  <c r="FJ123" i="1"/>
  <c r="AI121" i="38" s="1"/>
  <c r="FJ115" i="1"/>
  <c r="AI113" i="38" s="1"/>
  <c r="FJ112" i="1"/>
  <c r="AI110" i="38" s="1"/>
  <c r="FJ104" i="1"/>
  <c r="AI102" i="38" s="1"/>
  <c r="FJ96" i="1"/>
  <c r="AI94" i="38" s="1"/>
  <c r="FJ88" i="1"/>
  <c r="AI86" i="38" s="1"/>
  <c r="FJ76" i="1"/>
  <c r="AI74" i="38" s="1"/>
  <c r="FJ68" i="1"/>
  <c r="AI66" i="38" s="1"/>
  <c r="FJ12" i="1"/>
  <c r="AI10" i="38" s="1"/>
  <c r="FI12" i="1"/>
  <c r="AH10" i="38" s="1"/>
  <c r="DA268" i="1"/>
  <c r="AA12" i="5" s="1"/>
  <c r="CO259" i="1"/>
  <c r="O9" i="5" s="1"/>
  <c r="CO262" i="1"/>
  <c r="O10" i="5" s="1"/>
  <c r="DA262" i="1"/>
  <c r="AA10" i="5" s="1"/>
  <c r="DA284" i="1"/>
  <c r="DA259" i="1"/>
  <c r="AA9" i="5" s="1"/>
  <c r="CO265" i="1"/>
  <c r="O11" i="5" s="1"/>
  <c r="DA269" i="1"/>
  <c r="AA45" i="5" s="1"/>
  <c r="DA265" i="1"/>
  <c r="AA11" i="5" s="1"/>
  <c r="CO284" i="1"/>
  <c r="CP256" i="1"/>
  <c r="P8" i="5" s="1"/>
  <c r="CO281" i="1"/>
  <c r="CX281" i="1"/>
  <c r="CL256" i="1"/>
  <c r="CW281" i="1"/>
  <c r="CV281" i="1"/>
  <c r="CU281" i="1"/>
  <c r="DI281" i="1"/>
  <c r="DA281" i="1"/>
  <c r="AJ8" i="5"/>
  <c r="DE281" i="1"/>
  <c r="DL281" i="1"/>
  <c r="DF281" i="1"/>
  <c r="CY281" i="1"/>
  <c r="CS281" i="1"/>
  <c r="CR281" i="1"/>
  <c r="CQ281" i="1"/>
  <c r="DI257" i="1"/>
  <c r="AI41" i="5" s="1"/>
  <c r="DH281" i="1"/>
  <c r="DD281" i="1"/>
  <c r="DK281" i="1"/>
  <c r="DB281" i="1"/>
  <c r="CS257" i="1"/>
  <c r="S41" i="5" s="1"/>
  <c r="CZ281" i="1"/>
  <c r="DC281" i="1"/>
  <c r="DJ281" i="1"/>
  <c r="CH256" i="1"/>
  <c r="CQ256" i="1"/>
  <c r="Q8" i="5" s="1"/>
  <c r="CP281" i="1"/>
  <c r="CT281" i="1"/>
  <c r="DG281" i="1"/>
  <c r="CM281" i="1"/>
  <c r="CI281" i="1"/>
  <c r="CL281" i="1"/>
  <c r="CH281" i="1"/>
  <c r="CD281" i="1"/>
  <c r="CK281" i="1"/>
  <c r="CG281" i="1"/>
  <c r="CC281" i="1"/>
  <c r="CE281" i="1"/>
  <c r="CN281" i="1"/>
  <c r="CJ281" i="1"/>
  <c r="CF281" i="1"/>
  <c r="F101" i="7"/>
  <c r="U64" i="7"/>
  <c r="G101" i="7"/>
  <c r="V64" i="7"/>
  <c r="H36" i="23"/>
  <c r="H37" i="23" s="1"/>
  <c r="G32" i="23"/>
  <c r="DM21" i="1"/>
  <c r="DQ11" i="1"/>
  <c r="DW11" i="1"/>
  <c r="DN21" i="1"/>
  <c r="DR11" i="1"/>
  <c r="DS11" i="1"/>
  <c r="DM13" i="1"/>
  <c r="DQ14" i="1"/>
  <c r="DR14" i="1"/>
  <c r="DO13" i="1"/>
  <c r="DS14" i="1"/>
  <c r="DV14" i="1"/>
  <c r="DP13" i="1"/>
  <c r="DT14" i="1"/>
  <c r="DN14" i="1"/>
  <c r="DS254" i="1"/>
  <c r="DR254" i="1"/>
  <c r="DT254" i="1"/>
  <c r="DQ21" i="1"/>
  <c r="DU11" i="1"/>
  <c r="DP21" i="1"/>
  <c r="DR21" i="1"/>
  <c r="DV11" i="1"/>
  <c r="DT21" i="1"/>
  <c r="DM12" i="1"/>
  <c r="DQ13" i="1"/>
  <c r="DU14" i="1"/>
  <c r="DO12" i="1"/>
  <c r="DO275" i="1" s="1"/>
  <c r="DS13" i="1"/>
  <c r="DW14" i="1"/>
  <c r="DP12" i="1"/>
  <c r="DT13" i="1"/>
  <c r="DX14" i="1"/>
  <c r="DM254" i="1"/>
  <c r="DP254" i="1"/>
  <c r="DV254" i="1"/>
  <c r="DU21" i="1"/>
  <c r="DS21" i="1"/>
  <c r="DX21" i="1"/>
  <c r="DV21" i="1"/>
  <c r="DO21" i="1"/>
  <c r="DP11" i="1"/>
  <c r="DQ12" i="1"/>
  <c r="DU13" i="1"/>
  <c r="DR12" i="1"/>
  <c r="DS12" i="1"/>
  <c r="DW13" i="1"/>
  <c r="DV12" i="1"/>
  <c r="DT12" i="1"/>
  <c r="DX13" i="1"/>
  <c r="DN12" i="1"/>
  <c r="DQ254" i="1"/>
  <c r="DX254" i="1"/>
  <c r="DO254" i="1"/>
  <c r="DM11" i="1"/>
  <c r="DO11" i="1"/>
  <c r="DT11" i="1"/>
  <c r="DN11" i="1"/>
  <c r="DW21" i="1"/>
  <c r="DX11" i="1"/>
  <c r="DU12" i="1"/>
  <c r="DM14" i="1"/>
  <c r="DR13" i="1"/>
  <c r="DW12" i="1"/>
  <c r="DO14" i="1"/>
  <c r="DV13" i="1"/>
  <c r="DX12" i="1"/>
  <c r="DP14" i="1"/>
  <c r="DN13" i="1"/>
  <c r="DU254" i="1"/>
  <c r="DN254" i="1"/>
  <c r="DW254" i="1"/>
  <c r="DN7" i="1"/>
  <c r="DN262" i="1" s="1"/>
  <c r="AN10" i="5" s="1"/>
  <c r="DR8" i="1"/>
  <c r="DR265" i="1" s="1"/>
  <c r="AR11" i="5" s="1"/>
  <c r="DV9" i="1"/>
  <c r="DN15" i="1"/>
  <c r="DR16" i="1"/>
  <c r="DV17" i="1"/>
  <c r="DN19" i="1"/>
  <c r="DR20" i="1"/>
  <c r="DV22" i="1"/>
  <c r="DV284" i="1" s="1"/>
  <c r="DN24" i="1"/>
  <c r="DR25" i="1"/>
  <c r="DV26" i="1"/>
  <c r="DN28" i="1"/>
  <c r="DR29" i="1"/>
  <c r="DV30" i="1"/>
  <c r="DN32" i="1"/>
  <c r="DR33" i="1"/>
  <c r="DV34" i="1"/>
  <c r="DN36" i="1"/>
  <c r="DR37" i="1"/>
  <c r="DV38" i="1"/>
  <c r="DN40" i="1"/>
  <c r="DR41" i="1"/>
  <c r="DV42" i="1"/>
  <c r="DN44" i="1"/>
  <c r="DR45" i="1"/>
  <c r="DV46" i="1"/>
  <c r="DN48" i="1"/>
  <c r="DR49" i="1"/>
  <c r="DV50" i="1"/>
  <c r="DN52" i="1"/>
  <c r="DR53" i="1"/>
  <c r="DV54" i="1"/>
  <c r="DN56" i="1"/>
  <c r="DR57" i="1"/>
  <c r="DV58" i="1"/>
  <c r="DN60" i="1"/>
  <c r="DR61" i="1"/>
  <c r="DV62" i="1"/>
  <c r="DN64" i="1"/>
  <c r="DR65" i="1"/>
  <c r="DV66" i="1"/>
  <c r="DN68" i="1"/>
  <c r="DR69" i="1"/>
  <c r="DV70" i="1"/>
  <c r="DN72" i="1"/>
  <c r="DR73" i="1"/>
  <c r="DV74" i="1"/>
  <c r="DN76" i="1"/>
  <c r="DR77" i="1"/>
  <c r="DV78" i="1"/>
  <c r="DN80" i="1"/>
  <c r="DR81" i="1"/>
  <c r="DV82" i="1"/>
  <c r="DN84" i="1"/>
  <c r="DR85" i="1"/>
  <c r="DV86" i="1"/>
  <c r="DN88" i="1"/>
  <c r="DR89" i="1"/>
  <c r="DV90" i="1"/>
  <c r="DN92" i="1"/>
  <c r="DO7" i="1"/>
  <c r="DO262" i="1" s="1"/>
  <c r="AO10" i="5" s="1"/>
  <c r="DS8" i="1"/>
  <c r="DS265" i="1" s="1"/>
  <c r="AS11" i="5" s="1"/>
  <c r="DW9" i="1"/>
  <c r="DW278" i="1" s="1"/>
  <c r="DO15" i="1"/>
  <c r="DS16" i="1"/>
  <c r="DW17" i="1"/>
  <c r="DO19" i="1"/>
  <c r="DS20" i="1"/>
  <c r="DW22" i="1"/>
  <c r="DW284" i="1" s="1"/>
  <c r="DO24" i="1"/>
  <c r="DS25" i="1"/>
  <c r="DW26" i="1"/>
  <c r="DO28" i="1"/>
  <c r="DS29" i="1"/>
  <c r="DW30" i="1"/>
  <c r="DO32" i="1"/>
  <c r="DS33" i="1"/>
  <c r="DW34" i="1"/>
  <c r="DO36" i="1"/>
  <c r="DS37" i="1"/>
  <c r="DW38" i="1"/>
  <c r="DO40" i="1"/>
  <c r="DS41" i="1"/>
  <c r="DW42" i="1"/>
  <c r="DO44" i="1"/>
  <c r="DS45" i="1"/>
  <c r="DW46" i="1"/>
  <c r="DO48" i="1"/>
  <c r="DS49" i="1"/>
  <c r="DW50" i="1"/>
  <c r="DO52" i="1"/>
  <c r="DS53" i="1"/>
  <c r="DW54" i="1"/>
  <c r="DO56" i="1"/>
  <c r="DS57" i="1"/>
  <c r="DW58" i="1"/>
  <c r="DO60" i="1"/>
  <c r="DS61" i="1"/>
  <c r="DW62" i="1"/>
  <c r="DO64" i="1"/>
  <c r="DS65" i="1"/>
  <c r="DW66" i="1"/>
  <c r="DO68" i="1"/>
  <c r="DS69" i="1"/>
  <c r="DW70" i="1"/>
  <c r="DO72" i="1"/>
  <c r="DS73" i="1"/>
  <c r="DW74" i="1"/>
  <c r="DO76" i="1"/>
  <c r="DS77" i="1"/>
  <c r="DW78" i="1"/>
  <c r="DO80" i="1"/>
  <c r="DS81" i="1"/>
  <c r="DW82" i="1"/>
  <c r="DO84" i="1"/>
  <c r="DS85" i="1"/>
  <c r="DW86" i="1"/>
  <c r="DO88" i="1"/>
  <c r="DS89" i="1"/>
  <c r="DW90" i="1"/>
  <c r="DO92" i="1"/>
  <c r="DP8" i="1"/>
  <c r="DP265" i="1" s="1"/>
  <c r="AP11" i="5" s="1"/>
  <c r="DX10" i="1"/>
  <c r="DT17" i="1"/>
  <c r="DP20" i="1"/>
  <c r="DX23" i="1"/>
  <c r="DT26" i="1"/>
  <c r="DP29" i="1"/>
  <c r="DX31" i="1"/>
  <c r="DT34" i="1"/>
  <c r="DP37" i="1"/>
  <c r="DX39" i="1"/>
  <c r="DT42" i="1"/>
  <c r="DP45" i="1"/>
  <c r="DX47" i="1"/>
  <c r="DT50" i="1"/>
  <c r="DP53" i="1"/>
  <c r="DX55" i="1"/>
  <c r="DT58" i="1"/>
  <c r="DP61" i="1"/>
  <c r="DX63" i="1"/>
  <c r="DT66" i="1"/>
  <c r="DP69" i="1"/>
  <c r="DX71" i="1"/>
  <c r="DT74" i="1"/>
  <c r="DP77" i="1"/>
  <c r="DX79" i="1"/>
  <c r="DT82" i="1"/>
  <c r="DP85" i="1"/>
  <c r="DX87" i="1"/>
  <c r="DT90" i="1"/>
  <c r="DV92" i="1"/>
  <c r="DN6" i="1"/>
  <c r="DN259" i="1" s="1"/>
  <c r="AN9" i="5" s="1"/>
  <c r="DR7" i="1"/>
  <c r="DR262" i="1" s="1"/>
  <c r="AR10" i="5" s="1"/>
  <c r="DV8" i="1"/>
  <c r="DV265" i="1" s="1"/>
  <c r="AV11" i="5" s="1"/>
  <c r="DN10" i="1"/>
  <c r="DR15" i="1"/>
  <c r="DV16" i="1"/>
  <c r="DN18" i="1"/>
  <c r="DR19" i="1"/>
  <c r="DV20" i="1"/>
  <c r="DN23" i="1"/>
  <c r="DR24" i="1"/>
  <c r="DV25" i="1"/>
  <c r="DN27" i="1"/>
  <c r="DR28" i="1"/>
  <c r="DV29" i="1"/>
  <c r="DN31" i="1"/>
  <c r="DR32" i="1"/>
  <c r="DV33" i="1"/>
  <c r="DN35" i="1"/>
  <c r="DR36" i="1"/>
  <c r="DV37" i="1"/>
  <c r="DN39" i="1"/>
  <c r="DR40" i="1"/>
  <c r="DV41" i="1"/>
  <c r="DN43" i="1"/>
  <c r="DR44" i="1"/>
  <c r="DV45" i="1"/>
  <c r="DN47" i="1"/>
  <c r="DR48" i="1"/>
  <c r="DV49" i="1"/>
  <c r="DN51" i="1"/>
  <c r="DR52" i="1"/>
  <c r="DV53" i="1"/>
  <c r="DN55" i="1"/>
  <c r="DR56" i="1"/>
  <c r="DV57" i="1"/>
  <c r="DN59" i="1"/>
  <c r="DR60" i="1"/>
  <c r="DV61" i="1"/>
  <c r="DN63" i="1"/>
  <c r="DR64" i="1"/>
  <c r="DV65" i="1"/>
  <c r="DN67" i="1"/>
  <c r="DR68" i="1"/>
  <c r="DV69" i="1"/>
  <c r="DN71" i="1"/>
  <c r="DR72" i="1"/>
  <c r="DV73" i="1"/>
  <c r="DN75" i="1"/>
  <c r="DR76" i="1"/>
  <c r="DV77" i="1"/>
  <c r="DN79" i="1"/>
  <c r="DR80" i="1"/>
  <c r="DV81" i="1"/>
  <c r="DN83" i="1"/>
  <c r="DR84" i="1"/>
  <c r="DV85" i="1"/>
  <c r="DN87" i="1"/>
  <c r="DR88" i="1"/>
  <c r="DV89" i="1"/>
  <c r="DN91" i="1"/>
  <c r="DO6" i="1"/>
  <c r="DO259" i="1" s="1"/>
  <c r="AO9" i="5" s="1"/>
  <c r="DS7" i="1"/>
  <c r="DS262" i="1" s="1"/>
  <c r="AS10" i="5" s="1"/>
  <c r="DW8" i="1"/>
  <c r="DW265" i="1" s="1"/>
  <c r="AW11" i="5" s="1"/>
  <c r="DO10" i="1"/>
  <c r="DS15" i="1"/>
  <c r="DW16" i="1"/>
  <c r="DO18" i="1"/>
  <c r="DS19" i="1"/>
  <c r="DW20" i="1"/>
  <c r="DO23" i="1"/>
  <c r="DS24" i="1"/>
  <c r="DW25" i="1"/>
  <c r="DO27" i="1"/>
  <c r="DS28" i="1"/>
  <c r="DW29" i="1"/>
  <c r="DO31" i="1"/>
  <c r="DS32" i="1"/>
  <c r="DW33" i="1"/>
  <c r="DO35" i="1"/>
  <c r="DS36" i="1"/>
  <c r="DW37" i="1"/>
  <c r="DO39" i="1"/>
  <c r="DS40" i="1"/>
  <c r="DW41" i="1"/>
  <c r="DO43" i="1"/>
  <c r="DS44" i="1"/>
  <c r="DW45" i="1"/>
  <c r="DO47" i="1"/>
  <c r="DS48" i="1"/>
  <c r="DW49" i="1"/>
  <c r="DO51" i="1"/>
  <c r="DS52" i="1"/>
  <c r="DW53" i="1"/>
  <c r="DO55" i="1"/>
  <c r="DS56" i="1"/>
  <c r="DW57" i="1"/>
  <c r="DO59" i="1"/>
  <c r="DS60" i="1"/>
  <c r="DW61" i="1"/>
  <c r="DO63" i="1"/>
  <c r="DS64" i="1"/>
  <c r="DW65" i="1"/>
  <c r="DO67" i="1"/>
  <c r="DS68" i="1"/>
  <c r="DW69" i="1"/>
  <c r="DO71" i="1"/>
  <c r="DS72" i="1"/>
  <c r="DW73" i="1"/>
  <c r="DO75" i="1"/>
  <c r="DS76" i="1"/>
  <c r="DW77" i="1"/>
  <c r="DO79" i="1"/>
  <c r="DS80" i="1"/>
  <c r="DW81" i="1"/>
  <c r="DO83" i="1"/>
  <c r="DS84" i="1"/>
  <c r="DW85" i="1"/>
  <c r="DO87" i="1"/>
  <c r="DS88" i="1"/>
  <c r="DW89" i="1"/>
  <c r="DO91" i="1"/>
  <c r="DP6" i="1"/>
  <c r="DP259" i="1" s="1"/>
  <c r="AP9" i="5" s="1"/>
  <c r="DX8" i="1"/>
  <c r="DX265" i="1" s="1"/>
  <c r="AX11" i="5" s="1"/>
  <c r="DT15" i="1"/>
  <c r="DP18" i="1"/>
  <c r="DX20" i="1"/>
  <c r="DT24" i="1"/>
  <c r="DP27" i="1"/>
  <c r="DX29" i="1"/>
  <c r="DT32" i="1"/>
  <c r="DP35" i="1"/>
  <c r="DX37" i="1"/>
  <c r="DT40" i="1"/>
  <c r="DP43" i="1"/>
  <c r="DX45" i="1"/>
  <c r="DT48" i="1"/>
  <c r="DP51" i="1"/>
  <c r="DX53" i="1"/>
  <c r="DT56" i="1"/>
  <c r="DP59" i="1"/>
  <c r="DX61" i="1"/>
  <c r="DT64" i="1"/>
  <c r="DP67" i="1"/>
  <c r="DX69" i="1"/>
  <c r="DT72" i="1"/>
  <c r="DP75" i="1"/>
  <c r="DX77" i="1"/>
  <c r="DR6" i="1"/>
  <c r="DR259" i="1" s="1"/>
  <c r="AR9" i="5" s="1"/>
  <c r="DV7" i="1"/>
  <c r="DV262" i="1" s="1"/>
  <c r="AV10" i="5" s="1"/>
  <c r="DN9" i="1"/>
  <c r="DR10" i="1"/>
  <c r="DV15" i="1"/>
  <c r="DN17" i="1"/>
  <c r="DR18" i="1"/>
  <c r="DV19" i="1"/>
  <c r="DN22" i="1"/>
  <c r="DN284" i="1" s="1"/>
  <c r="DR23" i="1"/>
  <c r="DV24" i="1"/>
  <c r="DN26" i="1"/>
  <c r="DR27" i="1"/>
  <c r="DV28" i="1"/>
  <c r="DN30" i="1"/>
  <c r="DR31" i="1"/>
  <c r="DV32" i="1"/>
  <c r="DN34" i="1"/>
  <c r="DR35" i="1"/>
  <c r="DV36" i="1"/>
  <c r="DN38" i="1"/>
  <c r="DR39" i="1"/>
  <c r="DV40" i="1"/>
  <c r="DN42" i="1"/>
  <c r="DR43" i="1"/>
  <c r="DV44" i="1"/>
  <c r="DN46" i="1"/>
  <c r="DR47" i="1"/>
  <c r="DV48" i="1"/>
  <c r="DN50" i="1"/>
  <c r="DR51" i="1"/>
  <c r="DV52" i="1"/>
  <c r="DN54" i="1"/>
  <c r="DR55" i="1"/>
  <c r="DV56" i="1"/>
  <c r="DN58" i="1"/>
  <c r="DR59" i="1"/>
  <c r="DV60" i="1"/>
  <c r="DN62" i="1"/>
  <c r="DR63" i="1"/>
  <c r="DV64" i="1"/>
  <c r="DN66" i="1"/>
  <c r="DR67" i="1"/>
  <c r="DV68" i="1"/>
  <c r="DN70" i="1"/>
  <c r="DR71" i="1"/>
  <c r="DV72" i="1"/>
  <c r="DN74" i="1"/>
  <c r="DR75" i="1"/>
  <c r="DV76" i="1"/>
  <c r="DN78" i="1"/>
  <c r="DR79" i="1"/>
  <c r="DV80" i="1"/>
  <c r="DN82" i="1"/>
  <c r="DR83" i="1"/>
  <c r="DV84" i="1"/>
  <c r="DN86" i="1"/>
  <c r="DR87" i="1"/>
  <c r="DV88" i="1"/>
  <c r="DN90" i="1"/>
  <c r="DR91" i="1"/>
  <c r="DS6" i="1"/>
  <c r="DS259" i="1" s="1"/>
  <c r="AS9" i="5" s="1"/>
  <c r="DW7" i="1"/>
  <c r="DW262" i="1" s="1"/>
  <c r="AW10" i="5" s="1"/>
  <c r="DO9" i="1"/>
  <c r="DS10" i="1"/>
  <c r="DW15" i="1"/>
  <c r="DO17" i="1"/>
  <c r="DS18" i="1"/>
  <c r="DW19" i="1"/>
  <c r="DO22" i="1"/>
  <c r="DO284" i="1" s="1"/>
  <c r="DS23" i="1"/>
  <c r="DW24" i="1"/>
  <c r="DO26" i="1"/>
  <c r="DS27" i="1"/>
  <c r="DW28" i="1"/>
  <c r="DO30" i="1"/>
  <c r="DS31" i="1"/>
  <c r="DW32" i="1"/>
  <c r="DO34" i="1"/>
  <c r="DS35" i="1"/>
  <c r="DW36" i="1"/>
  <c r="DO38" i="1"/>
  <c r="DS39" i="1"/>
  <c r="DW40" i="1"/>
  <c r="DO42" i="1"/>
  <c r="DS43" i="1"/>
  <c r="DW44" i="1"/>
  <c r="DO46" i="1"/>
  <c r="DS47" i="1"/>
  <c r="DW48" i="1"/>
  <c r="DO50" i="1"/>
  <c r="DS51" i="1"/>
  <c r="DW52" i="1"/>
  <c r="DO54" i="1"/>
  <c r="DS55" i="1"/>
  <c r="DW56" i="1"/>
  <c r="DO58" i="1"/>
  <c r="DS59" i="1"/>
  <c r="DW60" i="1"/>
  <c r="DO62" i="1"/>
  <c r="DS63" i="1"/>
  <c r="DW64" i="1"/>
  <c r="DO66" i="1"/>
  <c r="DS67" i="1"/>
  <c r="DW68" i="1"/>
  <c r="DO70" i="1"/>
  <c r="DS71" i="1"/>
  <c r="DW72" i="1"/>
  <c r="DO74" i="1"/>
  <c r="DS75" i="1"/>
  <c r="DW76" i="1"/>
  <c r="DO78" i="1"/>
  <c r="DS79" i="1"/>
  <c r="DW80" i="1"/>
  <c r="DO82" i="1"/>
  <c r="DS83" i="1"/>
  <c r="DW84" i="1"/>
  <c r="DO86" i="1"/>
  <c r="DS87" i="1"/>
  <c r="DW88" i="1"/>
  <c r="DO90" i="1"/>
  <c r="DS91" i="1"/>
  <c r="DX6" i="1"/>
  <c r="DX259" i="1" s="1"/>
  <c r="AX9" i="5" s="1"/>
  <c r="DT9" i="1"/>
  <c r="DP16" i="1"/>
  <c r="DX18" i="1"/>
  <c r="DT22" i="1"/>
  <c r="DT284" i="1" s="1"/>
  <c r="DP25" i="1"/>
  <c r="DX27" i="1"/>
  <c r="DT30" i="1"/>
  <c r="DP33" i="1"/>
  <c r="DX35" i="1"/>
  <c r="DT38" i="1"/>
  <c r="DP41" i="1"/>
  <c r="DX43" i="1"/>
  <c r="DT46" i="1"/>
  <c r="DP49" i="1"/>
  <c r="DX51" i="1"/>
  <c r="DT54" i="1"/>
  <c r="DP57" i="1"/>
  <c r="DX59" i="1"/>
  <c r="DV6" i="1"/>
  <c r="DV259" i="1" s="1"/>
  <c r="AV9" i="5" s="1"/>
  <c r="DN8" i="1"/>
  <c r="DN265" i="1" s="1"/>
  <c r="AN11" i="5" s="1"/>
  <c r="DR9" i="1"/>
  <c r="DV10" i="1"/>
  <c r="DN16" i="1"/>
  <c r="DR17" i="1"/>
  <c r="DV18" i="1"/>
  <c r="DN20" i="1"/>
  <c r="DR22" i="1"/>
  <c r="DR284" i="1" s="1"/>
  <c r="DV23" i="1"/>
  <c r="DN25" i="1"/>
  <c r="DR26" i="1"/>
  <c r="DV27" i="1"/>
  <c r="DN29" i="1"/>
  <c r="DR30" i="1"/>
  <c r="DV31" i="1"/>
  <c r="DN33" i="1"/>
  <c r="DR34" i="1"/>
  <c r="DV35" i="1"/>
  <c r="DN37" i="1"/>
  <c r="DR38" i="1"/>
  <c r="DV39" i="1"/>
  <c r="DN41" i="1"/>
  <c r="DR42" i="1"/>
  <c r="DV43" i="1"/>
  <c r="DN45" i="1"/>
  <c r="DR46" i="1"/>
  <c r="DV47" i="1"/>
  <c r="DN49" i="1"/>
  <c r="DR50" i="1"/>
  <c r="DV51" i="1"/>
  <c r="DN53" i="1"/>
  <c r="DR54" i="1"/>
  <c r="DV55" i="1"/>
  <c r="DN57" i="1"/>
  <c r="DR58" i="1"/>
  <c r="DV59" i="1"/>
  <c r="DN61" i="1"/>
  <c r="DR62" i="1"/>
  <c r="DV63" i="1"/>
  <c r="DN65" i="1"/>
  <c r="DR66" i="1"/>
  <c r="DV67" i="1"/>
  <c r="DN69" i="1"/>
  <c r="DR70" i="1"/>
  <c r="DV71" i="1"/>
  <c r="DN73" i="1"/>
  <c r="DR74" i="1"/>
  <c r="DV75" i="1"/>
  <c r="DN77" i="1"/>
  <c r="DR78" i="1"/>
  <c r="DV79" i="1"/>
  <c r="DN81" i="1"/>
  <c r="DR82" i="1"/>
  <c r="DV83" i="1"/>
  <c r="DN85" i="1"/>
  <c r="DR86" i="1"/>
  <c r="DV87" i="1"/>
  <c r="DN89" i="1"/>
  <c r="DR90" i="1"/>
  <c r="DV91" i="1"/>
  <c r="DW6" i="1"/>
  <c r="DW259" i="1" s="1"/>
  <c r="AW9" i="5" s="1"/>
  <c r="DO8" i="1"/>
  <c r="DO265" i="1" s="1"/>
  <c r="AO11" i="5" s="1"/>
  <c r="DS9" i="1"/>
  <c r="DW10" i="1"/>
  <c r="DO16" i="1"/>
  <c r="DS17" i="1"/>
  <c r="DW18" i="1"/>
  <c r="DO20" i="1"/>
  <c r="DS22" i="1"/>
  <c r="DS284" i="1" s="1"/>
  <c r="DW23" i="1"/>
  <c r="DO25" i="1"/>
  <c r="DS26" i="1"/>
  <c r="DW27" i="1"/>
  <c r="DO29" i="1"/>
  <c r="DS30" i="1"/>
  <c r="DW31" i="1"/>
  <c r="DO33" i="1"/>
  <c r="DS34" i="1"/>
  <c r="DW35" i="1"/>
  <c r="DO37" i="1"/>
  <c r="DS38" i="1"/>
  <c r="DW39" i="1"/>
  <c r="DO41" i="1"/>
  <c r="DS42" i="1"/>
  <c r="DW43" i="1"/>
  <c r="DO45" i="1"/>
  <c r="DS46" i="1"/>
  <c r="DW47" i="1"/>
  <c r="DO49" i="1"/>
  <c r="DS50" i="1"/>
  <c r="DW51" i="1"/>
  <c r="DO53" i="1"/>
  <c r="DS54" i="1"/>
  <c r="DW55" i="1"/>
  <c r="DO57" i="1"/>
  <c r="DS58" i="1"/>
  <c r="DW59" i="1"/>
  <c r="DO61" i="1"/>
  <c r="DS62" i="1"/>
  <c r="DW63" i="1"/>
  <c r="DO65" i="1"/>
  <c r="DS66" i="1"/>
  <c r="DW67" i="1"/>
  <c r="DO69" i="1"/>
  <c r="DS70" i="1"/>
  <c r="DW71" i="1"/>
  <c r="DO73" i="1"/>
  <c r="DS74" i="1"/>
  <c r="DW75" i="1"/>
  <c r="DO77" i="1"/>
  <c r="DS78" i="1"/>
  <c r="DW79" i="1"/>
  <c r="DO81" i="1"/>
  <c r="DS82" i="1"/>
  <c r="DW83" i="1"/>
  <c r="DO85" i="1"/>
  <c r="DS86" i="1"/>
  <c r="DW87" i="1"/>
  <c r="DO89" i="1"/>
  <c r="DS90" i="1"/>
  <c r="DW91" i="1"/>
  <c r="DT7" i="1"/>
  <c r="DT262" i="1" s="1"/>
  <c r="AT10" i="5" s="1"/>
  <c r="DP10" i="1"/>
  <c r="DX16" i="1"/>
  <c r="DT19" i="1"/>
  <c r="DP23" i="1"/>
  <c r="DX25" i="1"/>
  <c r="DT28" i="1"/>
  <c r="DP31" i="1"/>
  <c r="DX33" i="1"/>
  <c r="DT36" i="1"/>
  <c r="DP39" i="1"/>
  <c r="DX41" i="1"/>
  <c r="DT44" i="1"/>
  <c r="DP47" i="1"/>
  <c r="DX49" i="1"/>
  <c r="DT52" i="1"/>
  <c r="DP55" i="1"/>
  <c r="DX57" i="1"/>
  <c r="DT60" i="1"/>
  <c r="DP63" i="1"/>
  <c r="DX65" i="1"/>
  <c r="DT68" i="1"/>
  <c r="DP71" i="1"/>
  <c r="DX73" i="1"/>
  <c r="DT76" i="1"/>
  <c r="DP79" i="1"/>
  <c r="DT62" i="1"/>
  <c r="DP73" i="1"/>
  <c r="DP81" i="1"/>
  <c r="DT84" i="1"/>
  <c r="DT88" i="1"/>
  <c r="DX91" i="1"/>
  <c r="DV93" i="1"/>
  <c r="DN95" i="1"/>
  <c r="DR96" i="1"/>
  <c r="DV97" i="1"/>
  <c r="DN99" i="1"/>
  <c r="DR100" i="1"/>
  <c r="DV101" i="1"/>
  <c r="DN103" i="1"/>
  <c r="DR104" i="1"/>
  <c r="DV105" i="1"/>
  <c r="DN107" i="1"/>
  <c r="DR108" i="1"/>
  <c r="DV109" i="1"/>
  <c r="DN111" i="1"/>
  <c r="DR112" i="1"/>
  <c r="DV113" i="1"/>
  <c r="DN115" i="1"/>
  <c r="DR116" i="1"/>
  <c r="DV117" i="1"/>
  <c r="DN119" i="1"/>
  <c r="DR120" i="1"/>
  <c r="DV121" i="1"/>
  <c r="DN123" i="1"/>
  <c r="DR124" i="1"/>
  <c r="DV125" i="1"/>
  <c r="DN127" i="1"/>
  <c r="DR128" i="1"/>
  <c r="DV129" i="1"/>
  <c r="DN131" i="1"/>
  <c r="DR132" i="1"/>
  <c r="DV133" i="1"/>
  <c r="DN135" i="1"/>
  <c r="DR136" i="1"/>
  <c r="DV137" i="1"/>
  <c r="DN139" i="1"/>
  <c r="DR140" i="1"/>
  <c r="DV141" i="1"/>
  <c r="DN143" i="1"/>
  <c r="DR144" i="1"/>
  <c r="DV145" i="1"/>
  <c r="DN147" i="1"/>
  <c r="DR148" i="1"/>
  <c r="DV149" i="1"/>
  <c r="DN151" i="1"/>
  <c r="DR152" i="1"/>
  <c r="DV153" i="1"/>
  <c r="DQ6" i="1"/>
  <c r="DQ259" i="1" s="1"/>
  <c r="AQ9" i="5" s="1"/>
  <c r="DM9" i="1"/>
  <c r="DU15" i="1"/>
  <c r="DQ18" i="1"/>
  <c r="DM22" i="1"/>
  <c r="DU24" i="1"/>
  <c r="DQ27" i="1"/>
  <c r="DM30" i="1"/>
  <c r="DU32" i="1"/>
  <c r="DQ35" i="1"/>
  <c r="DM38" i="1"/>
  <c r="DU40" i="1"/>
  <c r="DQ43" i="1"/>
  <c r="DP65" i="1"/>
  <c r="DX75" i="1"/>
  <c r="DX81" i="1"/>
  <c r="DX85" i="1"/>
  <c r="DP89" i="1"/>
  <c r="DR92" i="1"/>
  <c r="DN94" i="1"/>
  <c r="DR95" i="1"/>
  <c r="DV96" i="1"/>
  <c r="DN98" i="1"/>
  <c r="DR99" i="1"/>
  <c r="DV100" i="1"/>
  <c r="DN102" i="1"/>
  <c r="DR103" i="1"/>
  <c r="DV104" i="1"/>
  <c r="DN106" i="1"/>
  <c r="DR107" i="1"/>
  <c r="DV108" i="1"/>
  <c r="DN110" i="1"/>
  <c r="DR111" i="1"/>
  <c r="DV112" i="1"/>
  <c r="DN114" i="1"/>
  <c r="DR115" i="1"/>
  <c r="DV116" i="1"/>
  <c r="DN118" i="1"/>
  <c r="DR119" i="1"/>
  <c r="DV120" i="1"/>
  <c r="DN122" i="1"/>
  <c r="DR123" i="1"/>
  <c r="DV124" i="1"/>
  <c r="DN126" i="1"/>
  <c r="DR127" i="1"/>
  <c r="DV128" i="1"/>
  <c r="DN130" i="1"/>
  <c r="DR131" i="1"/>
  <c r="DV132" i="1"/>
  <c r="DN134" i="1"/>
  <c r="DR135" i="1"/>
  <c r="DV136" i="1"/>
  <c r="DN138" i="1"/>
  <c r="DR139" i="1"/>
  <c r="DV140" i="1"/>
  <c r="DN142" i="1"/>
  <c r="DR143" i="1"/>
  <c r="DV144" i="1"/>
  <c r="DN146" i="1"/>
  <c r="DR147" i="1"/>
  <c r="DV148" i="1"/>
  <c r="DN150" i="1"/>
  <c r="DR151" i="1"/>
  <c r="DV152" i="1"/>
  <c r="DO5" i="1"/>
  <c r="DM7" i="1"/>
  <c r="DU9" i="1"/>
  <c r="DQ16" i="1"/>
  <c r="DM19" i="1"/>
  <c r="DU22" i="1"/>
  <c r="DU284" i="1" s="1"/>
  <c r="DQ25" i="1"/>
  <c r="DM28" i="1"/>
  <c r="DU30" i="1"/>
  <c r="DQ33" i="1"/>
  <c r="DM36" i="1"/>
  <c r="DU38" i="1"/>
  <c r="DQ41" i="1"/>
  <c r="DM44" i="1"/>
  <c r="DU46" i="1"/>
  <c r="DQ49" i="1"/>
  <c r="DM52" i="1"/>
  <c r="DU54" i="1"/>
  <c r="DQ57" i="1"/>
  <c r="DM60" i="1"/>
  <c r="DU62" i="1"/>
  <c r="DQ65" i="1"/>
  <c r="DM68" i="1"/>
  <c r="DU70" i="1"/>
  <c r="DQ73" i="1"/>
  <c r="DM76" i="1"/>
  <c r="DU78" i="1"/>
  <c r="DQ81" i="1"/>
  <c r="DM84" i="1"/>
  <c r="DU86" i="1"/>
  <c r="DQ89" i="1"/>
  <c r="DM92" i="1"/>
  <c r="DS93" i="1"/>
  <c r="DW94" i="1"/>
  <c r="DO96" i="1"/>
  <c r="DS97" i="1"/>
  <c r="DW98" i="1"/>
  <c r="DO100" i="1"/>
  <c r="DS101" i="1"/>
  <c r="DW102" i="1"/>
  <c r="DO104" i="1"/>
  <c r="DS105" i="1"/>
  <c r="DW106" i="1"/>
  <c r="DO108" i="1"/>
  <c r="DS109" i="1"/>
  <c r="DW110" i="1"/>
  <c r="DO112" i="1"/>
  <c r="DS113" i="1"/>
  <c r="DW114" i="1"/>
  <c r="DO116" i="1"/>
  <c r="DS117" i="1"/>
  <c r="DW118" i="1"/>
  <c r="DO120" i="1"/>
  <c r="DS121" i="1"/>
  <c r="DW122" i="1"/>
  <c r="DO124" i="1"/>
  <c r="DS125" i="1"/>
  <c r="DW126" i="1"/>
  <c r="DO128" i="1"/>
  <c r="DS129" i="1"/>
  <c r="DW130" i="1"/>
  <c r="DO132" i="1"/>
  <c r="DS133" i="1"/>
  <c r="DW134" i="1"/>
  <c r="DO136" i="1"/>
  <c r="DS137" i="1"/>
  <c r="DW138" i="1"/>
  <c r="DO140" i="1"/>
  <c r="DS141" i="1"/>
  <c r="DW142" i="1"/>
  <c r="DO144" i="1"/>
  <c r="DS145" i="1"/>
  <c r="DW146" i="1"/>
  <c r="DO148" i="1"/>
  <c r="DS149" i="1"/>
  <c r="DW150" i="1"/>
  <c r="DO152" i="1"/>
  <c r="DS153" i="1"/>
  <c r="DX5" i="1"/>
  <c r="DP15" i="1"/>
  <c r="DT20" i="1"/>
  <c r="DX26" i="1"/>
  <c r="DP32" i="1"/>
  <c r="DT37" i="1"/>
  <c r="DX42" i="1"/>
  <c r="DP48" i="1"/>
  <c r="DT53" i="1"/>
  <c r="DX58" i="1"/>
  <c r="DP64" i="1"/>
  <c r="DT69" i="1"/>
  <c r="DX74" i="1"/>
  <c r="DP80" i="1"/>
  <c r="DT85" i="1"/>
  <c r="DX90" i="1"/>
  <c r="DP94" i="1"/>
  <c r="DX96" i="1"/>
  <c r="DT99" i="1"/>
  <c r="DP102" i="1"/>
  <c r="DX104" i="1"/>
  <c r="DT107" i="1"/>
  <c r="DP110" i="1"/>
  <c r="DX112" i="1"/>
  <c r="DT115" i="1"/>
  <c r="DP118" i="1"/>
  <c r="DX120" i="1"/>
  <c r="DT123" i="1"/>
  <c r="DP126" i="1"/>
  <c r="DX128" i="1"/>
  <c r="DT131" i="1"/>
  <c r="DP134" i="1"/>
  <c r="DX136" i="1"/>
  <c r="DT139" i="1"/>
  <c r="DP142" i="1"/>
  <c r="DX144" i="1"/>
  <c r="DT147" i="1"/>
  <c r="DP150" i="1"/>
  <c r="DX152" i="1"/>
  <c r="DX7" i="1"/>
  <c r="DX262" i="1" s="1"/>
  <c r="AX10" i="5" s="1"/>
  <c r="DT23" i="1"/>
  <c r="DT35" i="1"/>
  <c r="DX67" i="1"/>
  <c r="DT78" i="1"/>
  <c r="DP83" i="1"/>
  <c r="DT86" i="1"/>
  <c r="DX89" i="1"/>
  <c r="DN93" i="1"/>
  <c r="DR94" i="1"/>
  <c r="DV95" i="1"/>
  <c r="DN97" i="1"/>
  <c r="DR98" i="1"/>
  <c r="DV99" i="1"/>
  <c r="DN101" i="1"/>
  <c r="DR102" i="1"/>
  <c r="DV103" i="1"/>
  <c r="DN105" i="1"/>
  <c r="DR106" i="1"/>
  <c r="DV107" i="1"/>
  <c r="DN109" i="1"/>
  <c r="DR110" i="1"/>
  <c r="DV111" i="1"/>
  <c r="DN113" i="1"/>
  <c r="DR114" i="1"/>
  <c r="DV115" i="1"/>
  <c r="DN117" i="1"/>
  <c r="DR118" i="1"/>
  <c r="DV119" i="1"/>
  <c r="DN121" i="1"/>
  <c r="DR122" i="1"/>
  <c r="DV123" i="1"/>
  <c r="DN125" i="1"/>
  <c r="DR126" i="1"/>
  <c r="DV127" i="1"/>
  <c r="DN129" i="1"/>
  <c r="DR130" i="1"/>
  <c r="DV131" i="1"/>
  <c r="DN133" i="1"/>
  <c r="DR134" i="1"/>
  <c r="DV135" i="1"/>
  <c r="DN137" i="1"/>
  <c r="DR138" i="1"/>
  <c r="DV139" i="1"/>
  <c r="DN141" i="1"/>
  <c r="DR142" i="1"/>
  <c r="DV143" i="1"/>
  <c r="DN145" i="1"/>
  <c r="DR146" i="1"/>
  <c r="DV147" i="1"/>
  <c r="DN149" i="1"/>
  <c r="DR150" i="1"/>
  <c r="DV151" i="1"/>
  <c r="DN153" i="1"/>
  <c r="DS5" i="1"/>
  <c r="DU7" i="1"/>
  <c r="DU262" i="1" s="1"/>
  <c r="AU10" i="5" s="1"/>
  <c r="DQ10" i="1"/>
  <c r="DM17" i="1"/>
  <c r="DU19" i="1"/>
  <c r="DQ23" i="1"/>
  <c r="DM26" i="1"/>
  <c r="DU28" i="1"/>
  <c r="DQ31" i="1"/>
  <c r="DM34" i="1"/>
  <c r="DU36" i="1"/>
  <c r="DQ39" i="1"/>
  <c r="DM42" i="1"/>
  <c r="DU44" i="1"/>
  <c r="DQ47" i="1"/>
  <c r="DM50" i="1"/>
  <c r="DU52" i="1"/>
  <c r="DQ55" i="1"/>
  <c r="DM58" i="1"/>
  <c r="DU60" i="1"/>
  <c r="DQ63" i="1"/>
  <c r="DM66" i="1"/>
  <c r="DU68" i="1"/>
  <c r="DQ71" i="1"/>
  <c r="DM74" i="1"/>
  <c r="DU76" i="1"/>
  <c r="DQ79" i="1"/>
  <c r="DM82" i="1"/>
  <c r="DU84" i="1"/>
  <c r="DQ87" i="1"/>
  <c r="DM90" i="1"/>
  <c r="DS92" i="1"/>
  <c r="DW93" i="1"/>
  <c r="DO95" i="1"/>
  <c r="DS96" i="1"/>
  <c r="DW97" i="1"/>
  <c r="DO99" i="1"/>
  <c r="DS100" i="1"/>
  <c r="DW101" i="1"/>
  <c r="DO103" i="1"/>
  <c r="DS104" i="1"/>
  <c r="DW105" i="1"/>
  <c r="DO107" i="1"/>
  <c r="DS108" i="1"/>
  <c r="DW109" i="1"/>
  <c r="DO111" i="1"/>
  <c r="DS112" i="1"/>
  <c r="DW113" i="1"/>
  <c r="DO115" i="1"/>
  <c r="DS116" i="1"/>
  <c r="DW117" i="1"/>
  <c r="DO119" i="1"/>
  <c r="DS120" i="1"/>
  <c r="DW121" i="1"/>
  <c r="DO123" i="1"/>
  <c r="DS124" i="1"/>
  <c r="DW125" i="1"/>
  <c r="DO127" i="1"/>
  <c r="DS128" i="1"/>
  <c r="DW129" i="1"/>
  <c r="DO131" i="1"/>
  <c r="DS132" i="1"/>
  <c r="DW133" i="1"/>
  <c r="DO135" i="1"/>
  <c r="DS136" i="1"/>
  <c r="DW137" i="1"/>
  <c r="DO139" i="1"/>
  <c r="DS140" i="1"/>
  <c r="DW141" i="1"/>
  <c r="DO143" i="1"/>
  <c r="DS144" i="1"/>
  <c r="DW145" i="1"/>
  <c r="DO147" i="1"/>
  <c r="DS148" i="1"/>
  <c r="DW149" i="1"/>
  <c r="DO151" i="1"/>
  <c r="DS152" i="1"/>
  <c r="DW153" i="1"/>
  <c r="DP7" i="1"/>
  <c r="DP262" i="1" s="1"/>
  <c r="AP10" i="5" s="1"/>
  <c r="DT70" i="1"/>
  <c r="DT80" i="1"/>
  <c r="DX83" i="1"/>
  <c r="DP87" i="1"/>
  <c r="DP91" i="1"/>
  <c r="DR93" i="1"/>
  <c r="DV94" i="1"/>
  <c r="DN96" i="1"/>
  <c r="DR97" i="1"/>
  <c r="DV98" i="1"/>
  <c r="DN100" i="1"/>
  <c r="DR101" i="1"/>
  <c r="DV102" i="1"/>
  <c r="DN104" i="1"/>
  <c r="DR105" i="1"/>
  <c r="DV106" i="1"/>
  <c r="DN108" i="1"/>
  <c r="DR109" i="1"/>
  <c r="DV110" i="1"/>
  <c r="DN112" i="1"/>
  <c r="DR113" i="1"/>
  <c r="DV114" i="1"/>
  <c r="DN116" i="1"/>
  <c r="DR117" i="1"/>
  <c r="DV118" i="1"/>
  <c r="DN120" i="1"/>
  <c r="DR121" i="1"/>
  <c r="DV122" i="1"/>
  <c r="DN124" i="1"/>
  <c r="DR125" i="1"/>
  <c r="DV126" i="1"/>
  <c r="DN128" i="1"/>
  <c r="DR129" i="1"/>
  <c r="DV130" i="1"/>
  <c r="DN132" i="1"/>
  <c r="DR133" i="1"/>
  <c r="DV134" i="1"/>
  <c r="DN136" i="1"/>
  <c r="DR137" i="1"/>
  <c r="DV138" i="1"/>
  <c r="DN140" i="1"/>
  <c r="DR141" i="1"/>
  <c r="DV142" i="1"/>
  <c r="DN144" i="1"/>
  <c r="DR145" i="1"/>
  <c r="DV146" i="1"/>
  <c r="DN148" i="1"/>
  <c r="DR149" i="1"/>
  <c r="DV150" i="1"/>
  <c r="DN152" i="1"/>
  <c r="DR153" i="1"/>
  <c r="DW5" i="1"/>
  <c r="DQ8" i="1"/>
  <c r="DQ265" i="1" s="1"/>
  <c r="AQ11" i="5" s="1"/>
  <c r="DM15" i="1"/>
  <c r="DU17" i="1"/>
  <c r="DQ20" i="1"/>
  <c r="DM24" i="1"/>
  <c r="DU26" i="1"/>
  <c r="DQ29" i="1"/>
  <c r="DM32" i="1"/>
  <c r="DU34" i="1"/>
  <c r="DQ37" i="1"/>
  <c r="DM40" i="1"/>
  <c r="DU42" i="1"/>
  <c r="DQ45" i="1"/>
  <c r="DM48" i="1"/>
  <c r="DU50" i="1"/>
  <c r="DQ53" i="1"/>
  <c r="DM56" i="1"/>
  <c r="DU58" i="1"/>
  <c r="DQ61" i="1"/>
  <c r="DM64" i="1"/>
  <c r="DU66" i="1"/>
  <c r="DQ69" i="1"/>
  <c r="DM72" i="1"/>
  <c r="DU74" i="1"/>
  <c r="DQ77" i="1"/>
  <c r="DM80" i="1"/>
  <c r="DU82" i="1"/>
  <c r="DQ85" i="1"/>
  <c r="DM88" i="1"/>
  <c r="DU90" i="1"/>
  <c r="DW92" i="1"/>
  <c r="DO94" i="1"/>
  <c r="DS95" i="1"/>
  <c r="DW96" i="1"/>
  <c r="DO98" i="1"/>
  <c r="DS99" i="1"/>
  <c r="DW100" i="1"/>
  <c r="DO102" i="1"/>
  <c r="DS103" i="1"/>
  <c r="DW104" i="1"/>
  <c r="DO106" i="1"/>
  <c r="DS107" i="1"/>
  <c r="DW108" i="1"/>
  <c r="DO110" i="1"/>
  <c r="DS111" i="1"/>
  <c r="DW112" i="1"/>
  <c r="DO114" i="1"/>
  <c r="DS115" i="1"/>
  <c r="DW116" i="1"/>
  <c r="DO118" i="1"/>
  <c r="DS119" i="1"/>
  <c r="DW120" i="1"/>
  <c r="DO122" i="1"/>
  <c r="DS123" i="1"/>
  <c r="DW124" i="1"/>
  <c r="DO126" i="1"/>
  <c r="DS127" i="1"/>
  <c r="DW128" i="1"/>
  <c r="DO130" i="1"/>
  <c r="DS131" i="1"/>
  <c r="DW132" i="1"/>
  <c r="DO134" i="1"/>
  <c r="DS135" i="1"/>
  <c r="DW136" i="1"/>
  <c r="DO138" i="1"/>
  <c r="DS139" i="1"/>
  <c r="DW140" i="1"/>
  <c r="DO142" i="1"/>
  <c r="DS143" i="1"/>
  <c r="DW144" i="1"/>
  <c r="DO146" i="1"/>
  <c r="DS147" i="1"/>
  <c r="DW148" i="1"/>
  <c r="DO150" i="1"/>
  <c r="DS151" i="1"/>
  <c r="DW152" i="1"/>
  <c r="DP5" i="1"/>
  <c r="DT8" i="1"/>
  <c r="DT265" i="1" s="1"/>
  <c r="AT11" i="5" s="1"/>
  <c r="DX17" i="1"/>
  <c r="DX263" i="1" s="1"/>
  <c r="AX43" i="5" s="1"/>
  <c r="DP24" i="1"/>
  <c r="DT29" i="1"/>
  <c r="DX34" i="1"/>
  <c r="DP40" i="1"/>
  <c r="DT45" i="1"/>
  <c r="DX50" i="1"/>
  <c r="DP56" i="1"/>
  <c r="DT61" i="1"/>
  <c r="DX66" i="1"/>
  <c r="DP72" i="1"/>
  <c r="DT77" i="1"/>
  <c r="DX82" i="1"/>
  <c r="DP88" i="1"/>
  <c r="DX92" i="1"/>
  <c r="DT95" i="1"/>
  <c r="DP98" i="1"/>
  <c r="DX100" i="1"/>
  <c r="DT103" i="1"/>
  <c r="DP106" i="1"/>
  <c r="DX108" i="1"/>
  <c r="DT111" i="1"/>
  <c r="DP114" i="1"/>
  <c r="DX116" i="1"/>
  <c r="DT119" i="1"/>
  <c r="DP122" i="1"/>
  <c r="DX124" i="1"/>
  <c r="DT127" i="1"/>
  <c r="DP130" i="1"/>
  <c r="DX132" i="1"/>
  <c r="DT135" i="1"/>
  <c r="DP138" i="1"/>
  <c r="DX140" i="1"/>
  <c r="DT143" i="1"/>
  <c r="DP146" i="1"/>
  <c r="DX148" i="1"/>
  <c r="DT151" i="1"/>
  <c r="DQ5" i="1"/>
  <c r="DP17" i="1"/>
  <c r="DX28" i="1"/>
  <c r="DM46" i="1"/>
  <c r="DU56" i="1"/>
  <c r="DQ67" i="1"/>
  <c r="DM78" i="1"/>
  <c r="DU88" i="1"/>
  <c r="DW95" i="1"/>
  <c r="DO101" i="1"/>
  <c r="DS106" i="1"/>
  <c r="DW111" i="1"/>
  <c r="DO117" i="1"/>
  <c r="DS122" i="1"/>
  <c r="DW127" i="1"/>
  <c r="DO133" i="1"/>
  <c r="DS138" i="1"/>
  <c r="DW143" i="1"/>
  <c r="DO149" i="1"/>
  <c r="DT5" i="1"/>
  <c r="DX22" i="1"/>
  <c r="DX284" i="1" s="1"/>
  <c r="DT33" i="1"/>
  <c r="DP44" i="1"/>
  <c r="DX54" i="1"/>
  <c r="DT65" i="1"/>
  <c r="DP76" i="1"/>
  <c r="DX86" i="1"/>
  <c r="DX94" i="1"/>
  <c r="DP100" i="1"/>
  <c r="DT105" i="1"/>
  <c r="DX110" i="1"/>
  <c r="DP116" i="1"/>
  <c r="DT121" i="1"/>
  <c r="DX126" i="1"/>
  <c r="DP132" i="1"/>
  <c r="DT137" i="1"/>
  <c r="DX142" i="1"/>
  <c r="DP148" i="1"/>
  <c r="DT153" i="1"/>
  <c r="DP26" i="1"/>
  <c r="DP42" i="1"/>
  <c r="DX52" i="1"/>
  <c r="DX64" i="1"/>
  <c r="DT75" i="1"/>
  <c r="DP86" i="1"/>
  <c r="DP95" i="1"/>
  <c r="DT100" i="1"/>
  <c r="DX105" i="1"/>
  <c r="DP111" i="1"/>
  <c r="DT116" i="1"/>
  <c r="DX121" i="1"/>
  <c r="DP127" i="1"/>
  <c r="DT132" i="1"/>
  <c r="DX137" i="1"/>
  <c r="DX143" i="1"/>
  <c r="DP149" i="1"/>
  <c r="DU5" i="1"/>
  <c r="DM10" i="1"/>
  <c r="DQ19" i="1"/>
  <c r="DU25" i="1"/>
  <c r="DM31" i="1"/>
  <c r="DQ36" i="1"/>
  <c r="DU41" i="1"/>
  <c r="DM47" i="1"/>
  <c r="DQ52" i="1"/>
  <c r="DU57" i="1"/>
  <c r="DM63" i="1"/>
  <c r="DQ68" i="1"/>
  <c r="DU73" i="1"/>
  <c r="DM79" i="1"/>
  <c r="DQ84" i="1"/>
  <c r="DU89" i="1"/>
  <c r="DU93" i="1"/>
  <c r="DQ96" i="1"/>
  <c r="DM99" i="1"/>
  <c r="DU101" i="1"/>
  <c r="DQ104" i="1"/>
  <c r="DM107" i="1"/>
  <c r="DU109" i="1"/>
  <c r="DQ112" i="1"/>
  <c r="DM115" i="1"/>
  <c r="DU117" i="1"/>
  <c r="DQ120" i="1"/>
  <c r="DM123" i="1"/>
  <c r="DU125" i="1"/>
  <c r="DQ128" i="1"/>
  <c r="DM131" i="1"/>
  <c r="DU133" i="1"/>
  <c r="DQ136" i="1"/>
  <c r="DM139" i="1"/>
  <c r="DU141" i="1"/>
  <c r="DQ144" i="1"/>
  <c r="DM147" i="1"/>
  <c r="DU149" i="1"/>
  <c r="DQ152" i="1"/>
  <c r="DT6" i="1"/>
  <c r="DT259" i="1" s="1"/>
  <c r="AT9" i="5" s="1"/>
  <c r="DP22" i="1"/>
  <c r="DP284" i="1" s="1"/>
  <c r="DT31" i="1"/>
  <c r="DT43" i="1"/>
  <c r="DP54" i="1"/>
  <c r="DT63" i="1"/>
  <c r="DP74" i="1"/>
  <c r="DX84" i="1"/>
  <c r="DP93" i="1"/>
  <c r="DT98" i="1"/>
  <c r="DX103" i="1"/>
  <c r="DP109" i="1"/>
  <c r="DT114" i="1"/>
  <c r="DX119" i="1"/>
  <c r="DP125" i="1"/>
  <c r="DT130" i="1"/>
  <c r="DX135" i="1"/>
  <c r="DT140" i="1"/>
  <c r="DX145" i="1"/>
  <c r="DP151" i="1"/>
  <c r="DM20" i="1"/>
  <c r="DQ42" i="1"/>
  <c r="DU63" i="1"/>
  <c r="DM85" i="1"/>
  <c r="DQ99" i="1"/>
  <c r="DM110" i="1"/>
  <c r="DU120" i="1"/>
  <c r="DQ131" i="1"/>
  <c r="DM142" i="1"/>
  <c r="DU152" i="1"/>
  <c r="DM41" i="1"/>
  <c r="DU83" i="1"/>
  <c r="DM112" i="1"/>
  <c r="DQ133" i="1"/>
  <c r="DV5" i="1"/>
  <c r="DU27" i="1"/>
  <c r="DM49" i="1"/>
  <c r="DQ70" i="1"/>
  <c r="DU91" i="1"/>
  <c r="DU102" i="1"/>
  <c r="DQ113" i="1"/>
  <c r="DM124" i="1"/>
  <c r="DU134" i="1"/>
  <c r="DQ145" i="1"/>
  <c r="DM8" i="1"/>
  <c r="DQ34" i="1"/>
  <c r="DU55" i="1"/>
  <c r="DM77" i="1"/>
  <c r="DQ95" i="1"/>
  <c r="DM106" i="1"/>
  <c r="DU116" i="1"/>
  <c r="DQ127" i="1"/>
  <c r="DM138" i="1"/>
  <c r="DU148" i="1"/>
  <c r="DU35" i="1"/>
  <c r="DQ78" i="1"/>
  <c r="DM104" i="1"/>
  <c r="DQ125" i="1"/>
  <c r="DU146" i="1"/>
  <c r="DU48" i="1"/>
  <c r="DQ59" i="1"/>
  <c r="DM70" i="1"/>
  <c r="DU80" i="1"/>
  <c r="DQ91" i="1"/>
  <c r="DO97" i="1"/>
  <c r="DS102" i="1"/>
  <c r="DW107" i="1"/>
  <c r="DO113" i="1"/>
  <c r="DS118" i="1"/>
  <c r="DW123" i="1"/>
  <c r="DO129" i="1"/>
  <c r="DS134" i="1"/>
  <c r="DW139" i="1"/>
  <c r="DO145" i="1"/>
  <c r="DS150" i="1"/>
  <c r="DX9" i="1"/>
  <c r="DT25" i="1"/>
  <c r="DP36" i="1"/>
  <c r="DX46" i="1"/>
  <c r="DT57" i="1"/>
  <c r="DP68" i="1"/>
  <c r="DX78" i="1"/>
  <c r="DT89" i="1"/>
  <c r="DP96" i="1"/>
  <c r="DT101" i="1"/>
  <c r="DX106" i="1"/>
  <c r="DP112" i="1"/>
  <c r="DT117" i="1"/>
  <c r="DX122" i="1"/>
  <c r="DP128" i="1"/>
  <c r="DT133" i="1"/>
  <c r="DX138" i="1"/>
  <c r="DP144" i="1"/>
  <c r="DT149" i="1"/>
  <c r="DM5" i="1"/>
  <c r="DX32" i="1"/>
  <c r="DX44" i="1"/>
  <c r="DX56" i="1"/>
  <c r="DT67" i="1"/>
  <c r="DP78" i="1"/>
  <c r="DP90" i="1"/>
  <c r="DT96" i="1"/>
  <c r="DX101" i="1"/>
  <c r="DP107" i="1"/>
  <c r="DT112" i="1"/>
  <c r="DX117" i="1"/>
  <c r="DP123" i="1"/>
  <c r="DT128" i="1"/>
  <c r="DX133" i="1"/>
  <c r="DP139" i="1"/>
  <c r="DP145" i="1"/>
  <c r="DT150" i="1"/>
  <c r="DM6" i="1"/>
  <c r="DQ15" i="1"/>
  <c r="DU20" i="1"/>
  <c r="DM27" i="1"/>
  <c r="DQ32" i="1"/>
  <c r="DU37" i="1"/>
  <c r="DM43" i="1"/>
  <c r="DQ48" i="1"/>
  <c r="DU53" i="1"/>
  <c r="DM59" i="1"/>
  <c r="DQ64" i="1"/>
  <c r="DU69" i="1"/>
  <c r="DM75" i="1"/>
  <c r="DQ80" i="1"/>
  <c r="DU85" i="1"/>
  <c r="DM91" i="1"/>
  <c r="DQ94" i="1"/>
  <c r="DM97" i="1"/>
  <c r="DU99" i="1"/>
  <c r="DQ102" i="1"/>
  <c r="DM105" i="1"/>
  <c r="DU107" i="1"/>
  <c r="DQ110" i="1"/>
  <c r="DM113" i="1"/>
  <c r="DU115" i="1"/>
  <c r="DQ118" i="1"/>
  <c r="DM121" i="1"/>
  <c r="DU123" i="1"/>
  <c r="DQ126" i="1"/>
  <c r="DM129" i="1"/>
  <c r="DU131" i="1"/>
  <c r="DQ134" i="1"/>
  <c r="DM137" i="1"/>
  <c r="DU139" i="1"/>
  <c r="DQ142" i="1"/>
  <c r="DM145" i="1"/>
  <c r="DU147" i="1"/>
  <c r="DQ150" i="1"/>
  <c r="DM153" i="1"/>
  <c r="DP9" i="1"/>
  <c r="DX24" i="1"/>
  <c r="DP34" i="1"/>
  <c r="DP46" i="1"/>
  <c r="DT55" i="1"/>
  <c r="DP66" i="1"/>
  <c r="DX76" i="1"/>
  <c r="DT87" i="1"/>
  <c r="DT94" i="1"/>
  <c r="DX99" i="1"/>
  <c r="DP105" i="1"/>
  <c r="DT110" i="1"/>
  <c r="DX115" i="1"/>
  <c r="DP121" i="1"/>
  <c r="DT126" i="1"/>
  <c r="DX131" i="1"/>
  <c r="DP137" i="1"/>
  <c r="DX141" i="1"/>
  <c r="DP147" i="1"/>
  <c r="DT152" i="1"/>
  <c r="DQ26" i="1"/>
  <c r="DU47" i="1"/>
  <c r="DM69" i="1"/>
  <c r="DQ90" i="1"/>
  <c r="DM102" i="1"/>
  <c r="DU112" i="1"/>
  <c r="DQ123" i="1"/>
  <c r="DM134" i="1"/>
  <c r="DU144" i="1"/>
  <c r="DN5" i="1"/>
  <c r="DU51" i="1"/>
  <c r="DQ93" i="1"/>
  <c r="DQ117" i="1"/>
  <c r="DU138" i="1"/>
  <c r="DU6" i="1"/>
  <c r="DU259" i="1" s="1"/>
  <c r="AU9" i="5" s="1"/>
  <c r="DM33" i="1"/>
  <c r="DQ54" i="1"/>
  <c r="DU75" i="1"/>
  <c r="DU94" i="1"/>
  <c r="DQ105" i="1"/>
  <c r="DM116" i="1"/>
  <c r="DU126" i="1"/>
  <c r="DQ137" i="1"/>
  <c r="DM148" i="1"/>
  <c r="DQ17" i="1"/>
  <c r="DU39" i="1"/>
  <c r="DM61" i="1"/>
  <c r="DQ82" i="1"/>
  <c r="DM98" i="1"/>
  <c r="DU108" i="1"/>
  <c r="DQ119" i="1"/>
  <c r="DM130" i="1"/>
  <c r="DU140" i="1"/>
  <c r="DQ151" i="1"/>
  <c r="DQ46" i="1"/>
  <c r="DM89" i="1"/>
  <c r="DQ109" i="1"/>
  <c r="DU130" i="1"/>
  <c r="DM152" i="1"/>
  <c r="DQ51" i="1"/>
  <c r="DM62" i="1"/>
  <c r="DU72" i="1"/>
  <c r="DQ83" i="1"/>
  <c r="DO93" i="1"/>
  <c r="DS98" i="1"/>
  <c r="DW103" i="1"/>
  <c r="DO109" i="1"/>
  <c r="DS114" i="1"/>
  <c r="DW119" i="1"/>
  <c r="DO125" i="1"/>
  <c r="DS130" i="1"/>
  <c r="DW135" i="1"/>
  <c r="DO141" i="1"/>
  <c r="DS146" i="1"/>
  <c r="DW151" i="1"/>
  <c r="DT16" i="1"/>
  <c r="DP28" i="1"/>
  <c r="DX38" i="1"/>
  <c r="DT49" i="1"/>
  <c r="DP60" i="1"/>
  <c r="DX70" i="1"/>
  <c r="DT81" i="1"/>
  <c r="DP92" i="1"/>
  <c r="DT97" i="1"/>
  <c r="DX102" i="1"/>
  <c r="DP108" i="1"/>
  <c r="DT113" i="1"/>
  <c r="DX118" i="1"/>
  <c r="DP124" i="1"/>
  <c r="DT129" i="1"/>
  <c r="DX134" i="1"/>
  <c r="DP140" i="1"/>
  <c r="DT145" i="1"/>
  <c r="DX150" i="1"/>
  <c r="DT10" i="1"/>
  <c r="DP38" i="1"/>
  <c r="DT47" i="1"/>
  <c r="DT59" i="1"/>
  <c r="DP70" i="1"/>
  <c r="DX80" i="1"/>
  <c r="DT92" i="1"/>
  <c r="DX97" i="1"/>
  <c r="DP103" i="1"/>
  <c r="DT108" i="1"/>
  <c r="DX113" i="1"/>
  <c r="DP119" i="1"/>
  <c r="DT124" i="1"/>
  <c r="DX129" i="1"/>
  <c r="DP135" i="1"/>
  <c r="DP141" i="1"/>
  <c r="DT146" i="1"/>
  <c r="DX151" i="1"/>
  <c r="DQ7" i="1"/>
  <c r="DQ262" i="1" s="1"/>
  <c r="AQ10" i="5" s="1"/>
  <c r="DU16" i="1"/>
  <c r="DM23" i="1"/>
  <c r="DQ28" i="1"/>
  <c r="DU33" i="1"/>
  <c r="DM39" i="1"/>
  <c r="DQ44" i="1"/>
  <c r="DU49" i="1"/>
  <c r="DM55" i="1"/>
  <c r="DQ60" i="1"/>
  <c r="DU65" i="1"/>
  <c r="DM71" i="1"/>
  <c r="DQ76" i="1"/>
  <c r="DU81" i="1"/>
  <c r="DM87" i="1"/>
  <c r="DQ92" i="1"/>
  <c r="DM95" i="1"/>
  <c r="DU97" i="1"/>
  <c r="DQ100" i="1"/>
  <c r="DM103" i="1"/>
  <c r="DU105" i="1"/>
  <c r="DQ108" i="1"/>
  <c r="DM111" i="1"/>
  <c r="DU113" i="1"/>
  <c r="DQ116" i="1"/>
  <c r="DM119" i="1"/>
  <c r="DU121" i="1"/>
  <c r="DQ124" i="1"/>
  <c r="DM127" i="1"/>
  <c r="DU129" i="1"/>
  <c r="DQ132" i="1"/>
  <c r="DM135" i="1"/>
  <c r="DU137" i="1"/>
  <c r="DQ140" i="1"/>
  <c r="DM143" i="1"/>
  <c r="DU145" i="1"/>
  <c r="DQ148" i="1"/>
  <c r="DM151" i="1"/>
  <c r="DU153" i="1"/>
  <c r="DX15" i="1"/>
  <c r="DT27" i="1"/>
  <c r="DX36" i="1"/>
  <c r="DX48" i="1"/>
  <c r="DP58" i="1"/>
  <c r="DX68" i="1"/>
  <c r="DT79" i="1"/>
  <c r="DX88" i="1"/>
  <c r="DX95" i="1"/>
  <c r="DP101" i="1"/>
  <c r="DT106" i="1"/>
  <c r="DX111" i="1"/>
  <c r="DP117" i="1"/>
  <c r="DT122" i="1"/>
  <c r="DX127" i="1"/>
  <c r="DP133" i="1"/>
  <c r="DT138" i="1"/>
  <c r="DP143" i="1"/>
  <c r="DT148" i="1"/>
  <c r="DX153" i="1"/>
  <c r="DU31" i="1"/>
  <c r="DM53" i="1"/>
  <c r="DQ74" i="1"/>
  <c r="DM94" i="1"/>
  <c r="DU104" i="1"/>
  <c r="DQ115" i="1"/>
  <c r="DM126" i="1"/>
  <c r="DU136" i="1"/>
  <c r="DQ147" i="1"/>
  <c r="DU18" i="1"/>
  <c r="DU266" i="1" s="1"/>
  <c r="AU44" i="5" s="1"/>
  <c r="DQ62" i="1"/>
  <c r="DU98" i="1"/>
  <c r="DU122" i="1"/>
  <c r="DM144" i="1"/>
  <c r="DM16" i="1"/>
  <c r="DQ38" i="1"/>
  <c r="DU59" i="1"/>
  <c r="DM81" i="1"/>
  <c r="DQ97" i="1"/>
  <c r="DM108" i="1"/>
  <c r="DU118" i="1"/>
  <c r="DQ129" i="1"/>
  <c r="DM140" i="1"/>
  <c r="DU150" i="1"/>
  <c r="DU23" i="1"/>
  <c r="DM45" i="1"/>
  <c r="DQ66" i="1"/>
  <c r="DU87" i="1"/>
  <c r="DU100" i="1"/>
  <c r="DQ111" i="1"/>
  <c r="DM122" i="1"/>
  <c r="DU132" i="1"/>
  <c r="DQ143" i="1"/>
  <c r="DQ9" i="1"/>
  <c r="DM57" i="1"/>
  <c r="DM96" i="1"/>
  <c r="DU114" i="1"/>
  <c r="DM136" i="1"/>
  <c r="DM54" i="1"/>
  <c r="DU64" i="1"/>
  <c r="DQ75" i="1"/>
  <c r="DM86" i="1"/>
  <c r="DS94" i="1"/>
  <c r="DW99" i="1"/>
  <c r="DO105" i="1"/>
  <c r="DS110" i="1"/>
  <c r="DW115" i="1"/>
  <c r="DO121" i="1"/>
  <c r="DS126" i="1"/>
  <c r="DW131" i="1"/>
  <c r="DO137" i="1"/>
  <c r="DS142" i="1"/>
  <c r="DW147" i="1"/>
  <c r="DO153" i="1"/>
  <c r="DP19" i="1"/>
  <c r="DX30" i="1"/>
  <c r="DT41" i="1"/>
  <c r="DP52" i="1"/>
  <c r="DX62" i="1"/>
  <c r="DT73" i="1"/>
  <c r="DP84" i="1"/>
  <c r="DT93" i="1"/>
  <c r="DX98" i="1"/>
  <c r="DP104" i="1"/>
  <c r="DT109" i="1"/>
  <c r="DX114" i="1"/>
  <c r="DP120" i="1"/>
  <c r="DT125" i="1"/>
  <c r="DX130" i="1"/>
  <c r="DP136" i="1"/>
  <c r="DT141" i="1"/>
  <c r="DX146" i="1"/>
  <c r="DP152" i="1"/>
  <c r="DX19" i="1"/>
  <c r="DX40" i="1"/>
  <c r="DP50" i="1"/>
  <c r="DP62" i="1"/>
  <c r="DX72" i="1"/>
  <c r="DT83" i="1"/>
  <c r="DX93" i="1"/>
  <c r="DP99" i="1"/>
  <c r="DT104" i="1"/>
  <c r="DX109" i="1"/>
  <c r="DP115" i="1"/>
  <c r="DT120" i="1"/>
  <c r="DX125" i="1"/>
  <c r="DP131" i="1"/>
  <c r="DT136" i="1"/>
  <c r="DT142" i="1"/>
  <c r="DX147" i="1"/>
  <c r="DP153" i="1"/>
  <c r="DU8" i="1"/>
  <c r="DU265" i="1" s="1"/>
  <c r="AU11" i="5" s="1"/>
  <c r="DM18" i="1"/>
  <c r="DQ24" i="1"/>
  <c r="DU29" i="1"/>
  <c r="DM35" i="1"/>
  <c r="DQ40" i="1"/>
  <c r="DU45" i="1"/>
  <c r="DM51" i="1"/>
  <c r="DQ56" i="1"/>
  <c r="DU61" i="1"/>
  <c r="DM67" i="1"/>
  <c r="DQ72" i="1"/>
  <c r="DU77" i="1"/>
  <c r="DM83" i="1"/>
  <c r="DQ88" i="1"/>
  <c r="DM93" i="1"/>
  <c r="DU95" i="1"/>
  <c r="DQ98" i="1"/>
  <c r="DM101" i="1"/>
  <c r="DU103" i="1"/>
  <c r="DQ106" i="1"/>
  <c r="DM109" i="1"/>
  <c r="DU111" i="1"/>
  <c r="DQ114" i="1"/>
  <c r="DM117" i="1"/>
  <c r="DU119" i="1"/>
  <c r="DQ122" i="1"/>
  <c r="DM125" i="1"/>
  <c r="DU127" i="1"/>
  <c r="DQ130" i="1"/>
  <c r="DM133" i="1"/>
  <c r="DU135" i="1"/>
  <c r="DQ138" i="1"/>
  <c r="DM141" i="1"/>
  <c r="DU143" i="1"/>
  <c r="DQ146" i="1"/>
  <c r="DM149" i="1"/>
  <c r="DU151" i="1"/>
  <c r="DR5" i="1"/>
  <c r="DT18" i="1"/>
  <c r="DT266" i="1" s="1"/>
  <c r="AT44" i="5" s="1"/>
  <c r="DP30" i="1"/>
  <c r="DT39" i="1"/>
  <c r="DT51" i="1"/>
  <c r="DX60" i="1"/>
  <c r="DT71" i="1"/>
  <c r="DP82" i="1"/>
  <c r="DT91" i="1"/>
  <c r="DP97" i="1"/>
  <c r="DT102" i="1"/>
  <c r="DX107" i="1"/>
  <c r="DP113" i="1"/>
  <c r="DT118" i="1"/>
  <c r="DX123" i="1"/>
  <c r="DP129" i="1"/>
  <c r="DT134" i="1"/>
  <c r="DX139" i="1"/>
  <c r="DT144" i="1"/>
  <c r="DX149" i="1"/>
  <c r="DU10" i="1"/>
  <c r="DM37" i="1"/>
  <c r="DQ58" i="1"/>
  <c r="DU79" i="1"/>
  <c r="DU96" i="1"/>
  <c r="DQ107" i="1"/>
  <c r="DM118" i="1"/>
  <c r="DU128" i="1"/>
  <c r="DQ139" i="1"/>
  <c r="DM150" i="1"/>
  <c r="DQ30" i="1"/>
  <c r="DM73" i="1"/>
  <c r="DU106" i="1"/>
  <c r="DM128" i="1"/>
  <c r="DQ149" i="1"/>
  <c r="DQ22" i="1"/>
  <c r="DQ284" i="1" s="1"/>
  <c r="DU43" i="1"/>
  <c r="DM65" i="1"/>
  <c r="DQ86" i="1"/>
  <c r="DM100" i="1"/>
  <c r="DU110" i="1"/>
  <c r="DQ121" i="1"/>
  <c r="DM132" i="1"/>
  <c r="DU142" i="1"/>
  <c r="DQ153" i="1"/>
  <c r="DM29" i="1"/>
  <c r="DQ50" i="1"/>
  <c r="DU71" i="1"/>
  <c r="DU92" i="1"/>
  <c r="DQ103" i="1"/>
  <c r="DM114" i="1"/>
  <c r="DU124" i="1"/>
  <c r="DQ135" i="1"/>
  <c r="DM146" i="1"/>
  <c r="DM25" i="1"/>
  <c r="DU67" i="1"/>
  <c r="DQ101" i="1"/>
  <c r="DM120" i="1"/>
  <c r="DQ141" i="1"/>
  <c r="BJ21" i="19"/>
  <c r="Q4" i="27"/>
  <c r="DY2" i="1"/>
  <c r="AY1" i="5"/>
  <c r="AF4" i="23"/>
  <c r="BD2" i="11" s="1"/>
  <c r="DN4" i="11" s="1"/>
  <c r="E60" i="19"/>
  <c r="G6" i="27"/>
  <c r="Q6" i="27" s="1"/>
  <c r="BD2" i="1"/>
  <c r="CO266" i="1"/>
  <c r="O44" i="5" s="1"/>
  <c r="AB8" i="5"/>
  <c r="DI263" i="1"/>
  <c r="AI43" i="5" s="1"/>
  <c r="AK8" i="5"/>
  <c r="CW260" i="1"/>
  <c r="W42" i="5" s="1"/>
  <c r="CT263" i="1"/>
  <c r="T43" i="5" s="1"/>
  <c r="CZ269" i="1"/>
  <c r="Z45" i="5" s="1"/>
  <c r="CY269" i="1"/>
  <c r="Y45" i="5" s="1"/>
  <c r="DD266" i="1"/>
  <c r="AD44" i="5" s="1"/>
  <c r="DC269" i="1"/>
  <c r="AC45" i="5" s="1"/>
  <c r="DK263" i="1"/>
  <c r="AK43" i="5" s="1"/>
  <c r="DG260" i="1"/>
  <c r="AG42" i="5" s="1"/>
  <c r="DJ269" i="1"/>
  <c r="AJ45" i="5" s="1"/>
  <c r="CF266" i="1"/>
  <c r="F44" i="5" s="1"/>
  <c r="CF263" i="1"/>
  <c r="F43" i="5" s="1"/>
  <c r="CX269" i="1"/>
  <c r="X45" i="5" s="1"/>
  <c r="CP263" i="1"/>
  <c r="P43" i="5" s="1"/>
  <c r="DL263" i="1"/>
  <c r="AL43" i="5" s="1"/>
  <c r="CE260" i="1"/>
  <c r="E42" i="5" s="1"/>
  <c r="DF266" i="1"/>
  <c r="AF44" i="5" s="1"/>
  <c r="DB263" i="1"/>
  <c r="AB43" i="5" s="1"/>
  <c r="CF269" i="1"/>
  <c r="F45" i="5" s="1"/>
  <c r="CO263" i="1"/>
  <c r="O43" i="5" s="1"/>
  <c r="DE260" i="1"/>
  <c r="AE42" i="5" s="1"/>
  <c r="DE269" i="1"/>
  <c r="AE45" i="5" s="1"/>
  <c r="DI260" i="1"/>
  <c r="AI42" i="5" s="1"/>
  <c r="DD263" i="1"/>
  <c r="AD43" i="5" s="1"/>
  <c r="CN269" i="1"/>
  <c r="N45" i="5" s="1"/>
  <c r="CF260" i="1"/>
  <c r="F42" i="5" s="1"/>
  <c r="DE263" i="1"/>
  <c r="AE43" i="5" s="1"/>
  <c r="CE269" i="1"/>
  <c r="E45" i="5" s="1"/>
  <c r="CE266" i="1"/>
  <c r="E44" i="5" s="1"/>
  <c r="CE263" i="1"/>
  <c r="E43" i="5" s="1"/>
  <c r="CP269" i="1"/>
  <c r="P45" i="5" s="1"/>
  <c r="CL269" i="1"/>
  <c r="L45" i="5" s="1"/>
  <c r="CD269" i="1"/>
  <c r="D45" i="5" s="1"/>
  <c r="CL266" i="1"/>
  <c r="L44" i="5" s="1"/>
  <c r="CD266" i="1"/>
  <c r="D44" i="5" s="1"/>
  <c r="CL263" i="1"/>
  <c r="L43" i="5" s="1"/>
  <c r="CH263" i="1"/>
  <c r="H43" i="5" s="1"/>
  <c r="CD263" i="1"/>
  <c r="D43" i="5" s="1"/>
  <c r="CL260" i="1"/>
  <c r="L42" i="5" s="1"/>
  <c r="CH260" i="1"/>
  <c r="H42" i="5" s="1"/>
  <c r="CD260" i="1"/>
  <c r="D42" i="5" s="1"/>
  <c r="CX260" i="1"/>
  <c r="X42" i="5" s="1"/>
  <c r="CW266" i="1"/>
  <c r="W44" i="5" s="1"/>
  <c r="CW263" i="1"/>
  <c r="W43" i="5" s="1"/>
  <c r="CV269" i="1"/>
  <c r="V45" i="5" s="1"/>
  <c r="CR266" i="1"/>
  <c r="R44" i="5" s="1"/>
  <c r="CZ260" i="1"/>
  <c r="Z42" i="5" s="1"/>
  <c r="CU269" i="1"/>
  <c r="U45" i="5" s="1"/>
  <c r="CQ266" i="1"/>
  <c r="Q44" i="5" s="1"/>
  <c r="CY260" i="1"/>
  <c r="Y42" i="5" s="1"/>
  <c r="DA263" i="1"/>
  <c r="AA43" i="5" s="1"/>
  <c r="DL260" i="1"/>
  <c r="AL42" i="5" s="1"/>
  <c r="DI266" i="1"/>
  <c r="AI44" i="5" s="1"/>
  <c r="DA260" i="1"/>
  <c r="AA42" i="5" s="1"/>
  <c r="DL266" i="1"/>
  <c r="AL44" i="5" s="1"/>
  <c r="DH260" i="1"/>
  <c r="AH42" i="5" s="1"/>
  <c r="DK266" i="1"/>
  <c r="AK44" i="5" s="1"/>
  <c r="DG263" i="1"/>
  <c r="AG43" i="5" s="1"/>
  <c r="DC260" i="1"/>
  <c r="AC42" i="5" s="1"/>
  <c r="DF269" i="1"/>
  <c r="AF45" i="5" s="1"/>
  <c r="DB266" i="1"/>
  <c r="AB44" i="5" s="1"/>
  <c r="DJ260" i="1"/>
  <c r="AJ42" i="5" s="1"/>
  <c r="CC256" i="1"/>
  <c r="C8" i="5" s="1"/>
  <c r="CK269" i="1"/>
  <c r="K45" i="5" s="1"/>
  <c r="CG269" i="1"/>
  <c r="G45" i="5" s="1"/>
  <c r="CC269" i="1"/>
  <c r="C45" i="5" s="1"/>
  <c r="CC266" i="1"/>
  <c r="CK263" i="1"/>
  <c r="K43" i="5" s="1"/>
  <c r="CC263" i="1"/>
  <c r="CK260" i="1"/>
  <c r="K42" i="5" s="1"/>
  <c r="CG260" i="1"/>
  <c r="G42" i="5" s="1"/>
  <c r="CC260" i="1"/>
  <c r="CY256" i="1"/>
  <c r="Y8" i="5" s="1"/>
  <c r="CX263" i="1"/>
  <c r="X43" i="5" s="1"/>
  <c r="CZ263" i="1"/>
  <c r="Z43" i="5" s="1"/>
  <c r="CZ256" i="1"/>
  <c r="Z8" i="5" s="1"/>
  <c r="CY263" i="1"/>
  <c r="Y43" i="5" s="1"/>
  <c r="DA266" i="1"/>
  <c r="AA44" i="5" s="1"/>
  <c r="DH266" i="1"/>
  <c r="AH44" i="5" s="1"/>
  <c r="DK269" i="1"/>
  <c r="AK45" i="5" s="1"/>
  <c r="DG266" i="1"/>
  <c r="AG44" i="5" s="1"/>
  <c r="DC263" i="1"/>
  <c r="AC43" i="5" s="1"/>
  <c r="DB269" i="1"/>
  <c r="AB45" i="5" s="1"/>
  <c r="DJ263" i="1"/>
  <c r="AJ43" i="5" s="1"/>
  <c r="DF260" i="1"/>
  <c r="AF42" i="5" s="1"/>
  <c r="CJ269" i="1"/>
  <c r="J45" i="5" s="1"/>
  <c r="CJ263" i="1"/>
  <c r="J43" i="5" s="1"/>
  <c r="CI263" i="1"/>
  <c r="I43" i="5" s="1"/>
  <c r="CI269" i="1"/>
  <c r="I45" i="5" s="1"/>
  <c r="CI266" i="1"/>
  <c r="I44" i="5" s="1"/>
  <c r="CI260" i="1"/>
  <c r="I42" i="5" s="1"/>
  <c r="CJ260" i="1"/>
  <c r="J42" i="5" s="1"/>
  <c r="CS274" i="1"/>
  <c r="CS289" i="1"/>
  <c r="DE274" i="1"/>
  <c r="DE289" i="1"/>
  <c r="CG274" i="1"/>
  <c r="CG289" i="1"/>
  <c r="CX274" i="1"/>
  <c r="CX289" i="1"/>
  <c r="DG274" i="1"/>
  <c r="DG289" i="1"/>
  <c r="CN274" i="1"/>
  <c r="CN289" i="1"/>
  <c r="CJ274" i="1"/>
  <c r="CJ289" i="1"/>
  <c r="CF274" i="1"/>
  <c r="CF289" i="1"/>
  <c r="CP274" i="1"/>
  <c r="CP289" i="1"/>
  <c r="CT274" i="1"/>
  <c r="CT289" i="1"/>
  <c r="CZ274" i="1"/>
  <c r="CZ289" i="1"/>
  <c r="CY274" i="1"/>
  <c r="CY289" i="1"/>
  <c r="DI274" i="1"/>
  <c r="DI289" i="1"/>
  <c r="DC274" i="1"/>
  <c r="DC289" i="1"/>
  <c r="DJ274" i="1"/>
  <c r="DJ289" i="1"/>
  <c r="CM274" i="1"/>
  <c r="CM289" i="1"/>
  <c r="CI274" i="1"/>
  <c r="CI289" i="1"/>
  <c r="CE274" i="1"/>
  <c r="CE289" i="1"/>
  <c r="CO274" i="1"/>
  <c r="CO289" i="1"/>
  <c r="CU274" i="1"/>
  <c r="CU289" i="1"/>
  <c r="DA274" i="1"/>
  <c r="DA289" i="1"/>
  <c r="DL274" i="1"/>
  <c r="DL289" i="1"/>
  <c r="DH274" i="1"/>
  <c r="DH289" i="1"/>
  <c r="DF274" i="1"/>
  <c r="DF289" i="1"/>
  <c r="CL274" i="1"/>
  <c r="CL289" i="1"/>
  <c r="CH274" i="1"/>
  <c r="CH289" i="1"/>
  <c r="CD274" i="1"/>
  <c r="CD289" i="1"/>
  <c r="CR274" i="1"/>
  <c r="CR289" i="1"/>
  <c r="CQ274" i="1"/>
  <c r="CQ289" i="1"/>
  <c r="DK274" i="1"/>
  <c r="DK289" i="1"/>
  <c r="DB274" i="1"/>
  <c r="DB289" i="1"/>
  <c r="CV274" i="1"/>
  <c r="CV289" i="1"/>
  <c r="CN260" i="1"/>
  <c r="N42" i="5" s="1"/>
  <c r="CS263" i="1"/>
  <c r="S43" i="5" s="1"/>
  <c r="CS260" i="1"/>
  <c r="S42" i="5" s="1"/>
  <c r="CV260" i="1"/>
  <c r="V42" i="5" s="1"/>
  <c r="CQ269" i="1"/>
  <c r="Q45" i="5" s="1"/>
  <c r="CU260" i="1"/>
  <c r="U42" i="5" s="1"/>
  <c r="CM266" i="1"/>
  <c r="M44" i="5" s="1"/>
  <c r="CM263" i="1"/>
  <c r="M43" i="5" s="1"/>
  <c r="CM260" i="1"/>
  <c r="M42" i="5" s="1"/>
  <c r="CS269" i="1"/>
  <c r="S45" i="5" s="1"/>
  <c r="CO269" i="1"/>
  <c r="O45" i="5" s="1"/>
  <c r="CT260" i="1"/>
  <c r="T42" i="5" s="1"/>
  <c r="CV266" i="1"/>
  <c r="V44" i="5" s="1"/>
  <c r="CR263" i="1"/>
  <c r="R43" i="5" s="1"/>
  <c r="CU266" i="1"/>
  <c r="U44" i="5" s="1"/>
  <c r="CQ263" i="1"/>
  <c r="Q43" i="5" s="1"/>
  <c r="CO260" i="1"/>
  <c r="O42" i="5" s="1"/>
  <c r="CP260" i="1"/>
  <c r="P42" i="5" s="1"/>
  <c r="CT266" i="1"/>
  <c r="T44" i="5" s="1"/>
  <c r="CO256" i="1"/>
  <c r="O8" i="5" s="1"/>
  <c r="AD8" i="5"/>
  <c r="CN256" i="1"/>
  <c r="CJ256" i="1"/>
  <c r="CF256" i="1"/>
  <c r="AG8" i="5"/>
  <c r="AC8" i="5"/>
  <c r="AI8" i="5"/>
  <c r="AH8" i="5"/>
  <c r="O4" i="14"/>
  <c r="BX14" i="5"/>
  <c r="BX47" i="5"/>
  <c r="BY47" i="5"/>
  <c r="BY14" i="5"/>
  <c r="CK280" i="1"/>
  <c r="CK274" i="1"/>
  <c r="CC280" i="1"/>
  <c r="CC274" i="1"/>
  <c r="CW280" i="1"/>
  <c r="CW274" i="1"/>
  <c r="DD280" i="1"/>
  <c r="DD274" i="1"/>
  <c r="BV67" i="5"/>
  <c r="O6" i="14"/>
  <c r="O10" i="14"/>
  <c r="O14" i="14"/>
  <c r="O18" i="14"/>
  <c r="O22" i="14"/>
  <c r="O26" i="14"/>
  <c r="O30" i="14"/>
  <c r="O64" i="14"/>
  <c r="CT257" i="1"/>
  <c r="T41" i="5" s="1"/>
  <c r="CJ257" i="1"/>
  <c r="J41" i="5" s="1"/>
  <c r="CK257" i="1"/>
  <c r="K41" i="5" s="1"/>
  <c r="CG257" i="1"/>
  <c r="G41" i="5" s="1"/>
  <c r="CC257" i="1"/>
  <c r="CF257" i="1"/>
  <c r="F41" i="5" s="1"/>
  <c r="CN257" i="1"/>
  <c r="N41" i="5" s="1"/>
  <c r="O37" i="14"/>
  <c r="O53" i="14"/>
  <c r="O67" i="14"/>
  <c r="O71" i="14"/>
  <c r="O83" i="14"/>
  <c r="O99" i="14"/>
  <c r="CM257" i="1"/>
  <c r="M41" i="5" s="1"/>
  <c r="CI257" i="1"/>
  <c r="I41" i="5" s="1"/>
  <c r="CE257" i="1"/>
  <c r="E41" i="5" s="1"/>
  <c r="CL257" i="1"/>
  <c r="L41" i="5" s="1"/>
  <c r="CH257" i="1"/>
  <c r="H41" i="5" s="1"/>
  <c r="CD257" i="1"/>
  <c r="D41" i="5" s="1"/>
  <c r="DA257" i="1"/>
  <c r="AA41" i="5" s="1"/>
  <c r="CP257" i="1"/>
  <c r="P41" i="5" s="1"/>
  <c r="CR257" i="1"/>
  <c r="R41" i="5" s="1"/>
  <c r="CQ257" i="1"/>
  <c r="Q41" i="5" s="1"/>
  <c r="DH257" i="1"/>
  <c r="AH41" i="5" s="1"/>
  <c r="DL257" i="1"/>
  <c r="AL41" i="5" s="1"/>
  <c r="DK257" i="1"/>
  <c r="AK41" i="5" s="1"/>
  <c r="DB257" i="1"/>
  <c r="AB41" i="5" s="1"/>
  <c r="CZ257" i="1"/>
  <c r="Z41" i="5" s="1"/>
  <c r="CY257" i="1"/>
  <c r="Y41" i="5" s="1"/>
  <c r="DC257" i="1"/>
  <c r="AC41" i="5" s="1"/>
  <c r="DJ257" i="1"/>
  <c r="AJ41" i="5" s="1"/>
  <c r="DE257" i="1"/>
  <c r="AE41" i="5" s="1"/>
  <c r="CO257" i="1"/>
  <c r="O41" i="5" s="1"/>
  <c r="DD257" i="1"/>
  <c r="AD41" i="5" s="1"/>
  <c r="DG257" i="1"/>
  <c r="AG41" i="5" s="1"/>
  <c r="CW257" i="1"/>
  <c r="W41" i="5" s="1"/>
  <c r="CX257" i="1"/>
  <c r="X41" i="5" s="1"/>
  <c r="CV257" i="1"/>
  <c r="V41" i="5" s="1"/>
  <c r="CU257" i="1"/>
  <c r="U41" i="5" s="1"/>
  <c r="DF257" i="1"/>
  <c r="AF41" i="5" s="1"/>
  <c r="CR256" i="1"/>
  <c r="R8" i="5" s="1"/>
  <c r="AF8" i="5"/>
  <c r="AL8" i="5"/>
  <c r="CS256" i="1"/>
  <c r="S8" i="5" s="1"/>
  <c r="CK256" i="1"/>
  <c r="CG256" i="1"/>
  <c r="CT256" i="1"/>
  <c r="T8" i="5" s="1"/>
  <c r="CX256" i="1"/>
  <c r="X8" i="5" s="1"/>
  <c r="CU256" i="1"/>
  <c r="U8" i="5" s="1"/>
  <c r="CW256" i="1"/>
  <c r="W8" i="5" s="1"/>
  <c r="CV256" i="1"/>
  <c r="V8" i="5" s="1"/>
  <c r="AA8" i="5"/>
  <c r="CM256" i="1"/>
  <c r="CI256" i="1"/>
  <c r="CE256" i="1"/>
  <c r="E8" i="5" s="1"/>
  <c r="AE8" i="5"/>
  <c r="CN278" i="1"/>
  <c r="CJ278" i="1"/>
  <c r="CF278" i="1"/>
  <c r="CX278" i="1"/>
  <c r="CW278" i="1"/>
  <c r="CP278" i="1"/>
  <c r="DE278" i="1"/>
  <c r="CN263" i="1"/>
  <c r="N43" i="5" s="1"/>
  <c r="CQ278" i="1"/>
  <c r="DB278" i="1"/>
  <c r="CH269" i="1"/>
  <c r="H45" i="5" s="1"/>
  <c r="CH266" i="1"/>
  <c r="H44" i="5" s="1"/>
  <c r="DD278" i="1"/>
  <c r="DL269" i="1"/>
  <c r="AL45" i="5" s="1"/>
  <c r="DG278" i="1"/>
  <c r="CN266" i="1"/>
  <c r="N44" i="5" s="1"/>
  <c r="CJ266" i="1"/>
  <c r="J44" i="5" s="1"/>
  <c r="CG263" i="1"/>
  <c r="G43" i="5" s="1"/>
  <c r="CT278" i="1"/>
  <c r="CV278" i="1"/>
  <c r="R42" i="5"/>
  <c r="CR269" i="1"/>
  <c r="R45" i="5" s="1"/>
  <c r="CU278" i="1"/>
  <c r="DL278" i="1"/>
  <c r="DI278" i="1"/>
  <c r="DF278" i="1"/>
  <c r="CM278" i="1"/>
  <c r="CI278" i="1"/>
  <c r="CE278" i="1"/>
  <c r="CM269" i="1"/>
  <c r="M45" i="5" s="1"/>
  <c r="CO278" i="1"/>
  <c r="CS278" i="1"/>
  <c r="CR278" i="1"/>
  <c r="DA278" i="1"/>
  <c r="DK278" i="1"/>
  <c r="CL278" i="1"/>
  <c r="CH278" i="1"/>
  <c r="CD278" i="1"/>
  <c r="CK278" i="1"/>
  <c r="CG278" i="1"/>
  <c r="CK266" i="1"/>
  <c r="K44" i="5" s="1"/>
  <c r="CG266" i="1"/>
  <c r="G44" i="5" s="1"/>
  <c r="CZ278" i="1"/>
  <c r="CY278" i="1"/>
  <c r="AD42" i="5"/>
  <c r="DD269" i="1"/>
  <c r="AD45" i="5" s="1"/>
  <c r="DC278" i="1"/>
  <c r="DJ278" i="1"/>
  <c r="CM280" i="1"/>
  <c r="CI280" i="1"/>
  <c r="CE280" i="1"/>
  <c r="CN268" i="1"/>
  <c r="N12" i="5" s="1"/>
  <c r="J9" i="5"/>
  <c r="CJ268" i="1"/>
  <c r="J12" i="5" s="1"/>
  <c r="F9" i="5"/>
  <c r="CF268" i="1"/>
  <c r="F12" i="5" s="1"/>
  <c r="K11" i="5"/>
  <c r="CK262" i="1"/>
  <c r="K10" i="5" s="1"/>
  <c r="G11" i="5"/>
  <c r="CG262" i="1"/>
  <c r="G10" i="5" s="1"/>
  <c r="CC262" i="1"/>
  <c r="CC293" i="1"/>
  <c r="CS280" i="1"/>
  <c r="CX280" i="1"/>
  <c r="Z9" i="5"/>
  <c r="CZ268" i="1"/>
  <c r="Z12" i="5" s="1"/>
  <c r="Y9" i="5"/>
  <c r="CY268" i="1"/>
  <c r="Y12" i="5" s="1"/>
  <c r="DE280" i="1"/>
  <c r="AD9" i="5"/>
  <c r="DD268" i="1"/>
  <c r="AD12" i="5" s="1"/>
  <c r="DG280" i="1"/>
  <c r="AC9" i="5"/>
  <c r="DC268" i="1"/>
  <c r="AC12" i="5" s="1"/>
  <c r="AJ9" i="5"/>
  <c r="DJ268" i="1"/>
  <c r="AJ12" i="5" s="1"/>
  <c r="CL280" i="1"/>
  <c r="CH280" i="1"/>
  <c r="CD280" i="1"/>
  <c r="J11" i="5"/>
  <c r="CJ262" i="1"/>
  <c r="J10" i="5" s="1"/>
  <c r="CO268" i="1"/>
  <c r="O12" i="5" s="1"/>
  <c r="CP280" i="1"/>
  <c r="T9" i="5"/>
  <c r="CT268" i="1"/>
  <c r="T12" i="5" s="1"/>
  <c r="CT280" i="1"/>
  <c r="CZ280" i="1"/>
  <c r="V9" i="5"/>
  <c r="CV268" i="1"/>
  <c r="V12" i="5" s="1"/>
  <c r="CY280" i="1"/>
  <c r="U9" i="5"/>
  <c r="CU268" i="1"/>
  <c r="U12" i="5" s="1"/>
  <c r="DI280" i="1"/>
  <c r="DC280" i="1"/>
  <c r="DJ280" i="1"/>
  <c r="AF9" i="5"/>
  <c r="DF268" i="1"/>
  <c r="AF12" i="5" s="1"/>
  <c r="CD256" i="1"/>
  <c r="CD293" i="1"/>
  <c r="CG280" i="1"/>
  <c r="L9" i="5"/>
  <c r="CL268" i="1"/>
  <c r="L12" i="5" s="1"/>
  <c r="H9" i="5"/>
  <c r="CH268" i="1"/>
  <c r="H12" i="5" s="1"/>
  <c r="N10" i="5"/>
  <c r="CN259" i="1"/>
  <c r="N9" i="5" s="1"/>
  <c r="CO280" i="1"/>
  <c r="X9" i="5"/>
  <c r="CX268" i="1"/>
  <c r="X12" i="5" s="1"/>
  <c r="CV280" i="1"/>
  <c r="R9" i="5"/>
  <c r="CR268" i="1"/>
  <c r="R12" i="5" s="1"/>
  <c r="CU280" i="1"/>
  <c r="Q9" i="5"/>
  <c r="CQ268" i="1"/>
  <c r="Q12" i="5" s="1"/>
  <c r="DA280" i="1"/>
  <c r="DL280" i="1"/>
  <c r="DH280" i="1"/>
  <c r="AK9" i="5"/>
  <c r="DK268" i="1"/>
  <c r="AK12" i="5" s="1"/>
  <c r="DF280" i="1"/>
  <c r="AB9" i="5"/>
  <c r="DB268" i="1"/>
  <c r="AB12" i="5" s="1"/>
  <c r="CN280" i="1"/>
  <c r="CJ280" i="1"/>
  <c r="CF280" i="1"/>
  <c r="S9" i="5"/>
  <c r="CS268" i="1"/>
  <c r="S12" i="5" s="1"/>
  <c r="P9" i="5"/>
  <c r="CP268" i="1"/>
  <c r="P12" i="5" s="1"/>
  <c r="CR280" i="1"/>
  <c r="CQ280" i="1"/>
  <c r="AI9" i="5"/>
  <c r="DI268" i="1"/>
  <c r="AI12" i="5" s="1"/>
  <c r="AE9" i="5"/>
  <c r="DE268" i="1"/>
  <c r="AE12" i="5" s="1"/>
  <c r="AH9" i="5"/>
  <c r="DH268" i="1"/>
  <c r="AH12" i="5" s="1"/>
  <c r="AL9" i="5"/>
  <c r="DL268" i="1"/>
  <c r="AL12" i="5" s="1"/>
  <c r="DK280" i="1"/>
  <c r="DB280" i="1"/>
  <c r="O25" i="14"/>
  <c r="O27" i="14"/>
  <c r="O5" i="14"/>
  <c r="O29" i="14"/>
  <c r="O74" i="14"/>
  <c r="O28" i="14"/>
  <c r="O32" i="14"/>
  <c r="O35" i="14"/>
  <c r="O9" i="14"/>
  <c r="O17" i="14"/>
  <c r="O21" i="14"/>
  <c r="O48" i="14"/>
  <c r="O60" i="14"/>
  <c r="O66" i="14"/>
  <c r="O98" i="14"/>
  <c r="O51" i="14"/>
  <c r="O85" i="14"/>
  <c r="O252" i="14"/>
  <c r="O12" i="14"/>
  <c r="O16" i="14"/>
  <c r="O20" i="14"/>
  <c r="O36" i="14"/>
  <c r="O38" i="14"/>
  <c r="O40" i="14"/>
  <c r="O49" i="14"/>
  <c r="O72" i="14"/>
  <c r="O87" i="14"/>
  <c r="O91" i="14"/>
  <c r="O95" i="14"/>
  <c r="O7" i="14"/>
  <c r="O19" i="14"/>
  <c r="O65" i="14"/>
  <c r="O82" i="14"/>
  <c r="O84" i="14"/>
  <c r="O88" i="14"/>
  <c r="O90" i="14"/>
  <c r="O96" i="14"/>
  <c r="O44" i="14"/>
  <c r="O75" i="14"/>
  <c r="O79" i="14"/>
  <c r="O86" i="14"/>
  <c r="O57" i="14"/>
  <c r="O61" i="14"/>
  <c r="O70" i="14"/>
  <c r="O94" i="14"/>
  <c r="M257" i="14"/>
  <c r="M260" i="14" s="1"/>
  <c r="O11" i="14"/>
  <c r="O15" i="14"/>
  <c r="O13" i="14"/>
  <c r="O23" i="14"/>
  <c r="O33" i="14"/>
  <c r="O41" i="14"/>
  <c r="O45" i="14"/>
  <c r="O52" i="14"/>
  <c r="O54" i="14"/>
  <c r="O56" i="14"/>
  <c r="O69" i="14"/>
  <c r="O78" i="14"/>
  <c r="O93" i="14"/>
  <c r="O97" i="14"/>
  <c r="O100" i="14"/>
  <c r="A25" i="7"/>
  <c r="A66" i="7"/>
  <c r="A28" i="7"/>
  <c r="A31" i="7"/>
  <c r="A34" i="7"/>
  <c r="A75" i="7"/>
  <c r="A69" i="7"/>
  <c r="A72" i="7"/>
  <c r="I9" i="5"/>
  <c r="M9" i="5"/>
  <c r="O8" i="14"/>
  <c r="N257" i="14"/>
  <c r="N260" i="14" s="1"/>
  <c r="O31" i="14"/>
  <c r="O34" i="14"/>
  <c r="O47" i="14"/>
  <c r="O50" i="14"/>
  <c r="O63" i="14"/>
  <c r="O68" i="14"/>
  <c r="O81" i="14"/>
  <c r="O39" i="14"/>
  <c r="O42" i="14"/>
  <c r="O55" i="14"/>
  <c r="O58" i="14"/>
  <c r="O73" i="14"/>
  <c r="O76" i="14"/>
  <c r="O89" i="14"/>
  <c r="O92" i="14"/>
  <c r="O24" i="14"/>
  <c r="O43" i="14"/>
  <c r="O46" i="14"/>
  <c r="O59" i="14"/>
  <c r="O62" i="14"/>
  <c r="O77" i="14"/>
  <c r="O80" i="14"/>
  <c r="CB198" i="11"/>
  <c r="EZ271" i="1"/>
  <c r="EZ272" i="1"/>
  <c r="C47" i="5"/>
  <c r="BW47" i="5" s="1"/>
  <c r="EW272" i="1"/>
  <c r="C9" i="5"/>
  <c r="C14" i="5"/>
  <c r="BW14" i="5" s="1"/>
  <c r="EW271" i="1"/>
  <c r="H169" i="11"/>
  <c r="BZ169" i="11"/>
  <c r="BZ193" i="11" s="1"/>
  <c r="BU34" i="5" s="1"/>
  <c r="BV169" i="11"/>
  <c r="BV193" i="11" s="1"/>
  <c r="BQ34" i="5" s="1"/>
  <c r="BR169" i="11"/>
  <c r="BR193" i="11" s="1"/>
  <c r="BM34" i="5" s="1"/>
  <c r="BN169" i="11"/>
  <c r="BN193" i="11" s="1"/>
  <c r="BI34" i="5" s="1"/>
  <c r="BJ169" i="11"/>
  <c r="BJ193" i="11" s="1"/>
  <c r="BE34" i="5" s="1"/>
  <c r="BF169" i="11"/>
  <c r="BF193" i="11" s="1"/>
  <c r="BA34" i="5" s="1"/>
  <c r="BY169" i="11"/>
  <c r="BY193" i="11" s="1"/>
  <c r="BT34" i="5" s="1"/>
  <c r="BU169" i="11"/>
  <c r="BU193" i="11" s="1"/>
  <c r="BP34" i="5" s="1"/>
  <c r="BQ169" i="11"/>
  <c r="BQ193" i="11" s="1"/>
  <c r="BL34" i="5" s="1"/>
  <c r="BM169" i="11"/>
  <c r="BM193" i="11" s="1"/>
  <c r="BH34" i="5" s="1"/>
  <c r="BI169" i="11"/>
  <c r="BI193" i="11" s="1"/>
  <c r="BD34" i="5" s="1"/>
  <c r="BE169" i="11"/>
  <c r="BE193" i="11" s="1"/>
  <c r="AZ34" i="5" s="1"/>
  <c r="BX169" i="11"/>
  <c r="BX193" i="11" s="1"/>
  <c r="BS34" i="5" s="1"/>
  <c r="BH169" i="11"/>
  <c r="BH193" i="11" s="1"/>
  <c r="BC34" i="5" s="1"/>
  <c r="BT169" i="11"/>
  <c r="BT193" i="11" s="1"/>
  <c r="BO34" i="5" s="1"/>
  <c r="BP169" i="11"/>
  <c r="BP193" i="11" s="1"/>
  <c r="BK34" i="5" s="1"/>
  <c r="BL169" i="11"/>
  <c r="BL193" i="11" s="1"/>
  <c r="BG34" i="5" s="1"/>
  <c r="BD169" i="11"/>
  <c r="BD193" i="11" s="1"/>
  <c r="AY34" i="5" s="1"/>
  <c r="CA169" i="11"/>
  <c r="CA193" i="11" s="1"/>
  <c r="BV34" i="5" s="1"/>
  <c r="BK169" i="11"/>
  <c r="BK193" i="11" s="1"/>
  <c r="BF34" i="5" s="1"/>
  <c r="BW169" i="11"/>
  <c r="BW193" i="11" s="1"/>
  <c r="BR34" i="5" s="1"/>
  <c r="BO169" i="11"/>
  <c r="BO193" i="11" s="1"/>
  <c r="BJ34" i="5" s="1"/>
  <c r="BG169" i="11"/>
  <c r="BG193" i="11" s="1"/>
  <c r="BB34" i="5" s="1"/>
  <c r="BS169" i="11"/>
  <c r="BS193" i="11" s="1"/>
  <c r="BN34" i="5" s="1"/>
  <c r="AJ170" i="11"/>
  <c r="BZ170" i="11"/>
  <c r="BZ194" i="11" s="1"/>
  <c r="BU66" i="5" s="1"/>
  <c r="BV170" i="11"/>
  <c r="BV194" i="11" s="1"/>
  <c r="BQ66" i="5" s="1"/>
  <c r="BR170" i="11"/>
  <c r="BR194" i="11" s="1"/>
  <c r="BM66" i="5" s="1"/>
  <c r="BN170" i="11"/>
  <c r="BN194" i="11" s="1"/>
  <c r="BI66" i="5" s="1"/>
  <c r="BJ170" i="11"/>
  <c r="BJ194" i="11" s="1"/>
  <c r="BE66" i="5" s="1"/>
  <c r="BF170" i="11"/>
  <c r="BF194" i="11" s="1"/>
  <c r="BA66" i="5" s="1"/>
  <c r="BY170" i="11"/>
  <c r="BY194" i="11" s="1"/>
  <c r="BT66" i="5" s="1"/>
  <c r="BU170" i="11"/>
  <c r="BU194" i="11" s="1"/>
  <c r="BP66" i="5" s="1"/>
  <c r="BQ170" i="11"/>
  <c r="BQ194" i="11" s="1"/>
  <c r="BL66" i="5" s="1"/>
  <c r="BM170" i="11"/>
  <c r="BM194" i="11" s="1"/>
  <c r="BH66" i="5" s="1"/>
  <c r="BI170" i="11"/>
  <c r="BI194" i="11" s="1"/>
  <c r="BD66" i="5" s="1"/>
  <c r="BE170" i="11"/>
  <c r="BE194" i="11" s="1"/>
  <c r="AZ66" i="5" s="1"/>
  <c r="BX170" i="11"/>
  <c r="BX194" i="11" s="1"/>
  <c r="BS66" i="5" s="1"/>
  <c r="BT170" i="11"/>
  <c r="BT194" i="11" s="1"/>
  <c r="BO66" i="5" s="1"/>
  <c r="BP170" i="11"/>
  <c r="BP194" i="11" s="1"/>
  <c r="BK66" i="5" s="1"/>
  <c r="BL170" i="11"/>
  <c r="BL194" i="11" s="1"/>
  <c r="BG66" i="5" s="1"/>
  <c r="BH170" i="11"/>
  <c r="BH194" i="11" s="1"/>
  <c r="BC66" i="5" s="1"/>
  <c r="BD170" i="11"/>
  <c r="BD194" i="11" s="1"/>
  <c r="AY66" i="5" s="1"/>
  <c r="BS170" i="11"/>
  <c r="BS194" i="11" s="1"/>
  <c r="BN66" i="5" s="1"/>
  <c r="BO170" i="11"/>
  <c r="BO194" i="11" s="1"/>
  <c r="BJ66" i="5" s="1"/>
  <c r="BG170" i="11"/>
  <c r="BG194" i="11" s="1"/>
  <c r="BB66" i="5" s="1"/>
  <c r="CA170" i="11"/>
  <c r="CA194" i="11" s="1"/>
  <c r="BV66" i="5" s="1"/>
  <c r="BK170" i="11"/>
  <c r="BK194" i="11" s="1"/>
  <c r="BF66" i="5" s="1"/>
  <c r="BW170" i="11"/>
  <c r="BW194" i="11" s="1"/>
  <c r="BR66" i="5" s="1"/>
  <c r="O3" i="14"/>
  <c r="G9" i="5"/>
  <c r="K9" i="5"/>
  <c r="W9" i="5"/>
  <c r="D9" i="5"/>
  <c r="AG9" i="5"/>
  <c r="CE293" i="1"/>
  <c r="G19" i="7"/>
  <c r="F10" i="5"/>
  <c r="CF293" i="1"/>
  <c r="AB42" i="5"/>
  <c r="AP170" i="11"/>
  <c r="V170" i="11"/>
  <c r="AE170" i="11"/>
  <c r="Q42" i="5"/>
  <c r="AK42" i="5"/>
  <c r="AP172" i="11"/>
  <c r="AK28" i="5" s="1"/>
  <c r="BC172" i="11"/>
  <c r="AX28" i="5" s="1"/>
  <c r="AY172" i="11"/>
  <c r="AT28" i="5" s="1"/>
  <c r="AU172" i="11"/>
  <c r="AP28" i="5" s="1"/>
  <c r="BA172" i="11"/>
  <c r="AV28" i="5" s="1"/>
  <c r="AW172" i="11"/>
  <c r="AR28" i="5" s="1"/>
  <c r="AS172" i="11"/>
  <c r="AN28" i="5" s="1"/>
  <c r="AX172" i="11"/>
  <c r="AS28" i="5" s="1"/>
  <c r="AV172" i="11"/>
  <c r="AQ28" i="5" s="1"/>
  <c r="BB172" i="11"/>
  <c r="AW28" i="5" s="1"/>
  <c r="AT172" i="11"/>
  <c r="AO28" i="5" s="1"/>
  <c r="AZ172" i="11"/>
  <c r="AU28" i="5" s="1"/>
  <c r="AR172" i="11"/>
  <c r="AM28" i="5" s="1"/>
  <c r="AB173" i="11"/>
  <c r="W61" i="5" s="1"/>
  <c r="BC173" i="11"/>
  <c r="AX61" i="5" s="1"/>
  <c r="AY173" i="11"/>
  <c r="AT61" i="5" s="1"/>
  <c r="AU173" i="11"/>
  <c r="AP61" i="5" s="1"/>
  <c r="BA173" i="11"/>
  <c r="AV61" i="5" s="1"/>
  <c r="AW173" i="11"/>
  <c r="AR61" i="5" s="1"/>
  <c r="AS173" i="11"/>
  <c r="AN61" i="5" s="1"/>
  <c r="BB173" i="11"/>
  <c r="AW61" i="5" s="1"/>
  <c r="AT173" i="11"/>
  <c r="AO61" i="5" s="1"/>
  <c r="AZ173" i="11"/>
  <c r="AU61" i="5" s="1"/>
  <c r="AR173" i="11"/>
  <c r="AM61" i="5" s="1"/>
  <c r="AX173" i="11"/>
  <c r="AS61" i="5" s="1"/>
  <c r="AV173" i="11"/>
  <c r="AQ61" i="5" s="1"/>
  <c r="T169" i="11"/>
  <c r="BC169" i="11"/>
  <c r="AY169" i="11"/>
  <c r="AU169" i="11"/>
  <c r="BA169" i="11"/>
  <c r="AW169" i="11"/>
  <c r="AS169" i="11"/>
  <c r="AX169" i="11"/>
  <c r="AV169" i="11"/>
  <c r="BB169" i="11"/>
  <c r="AT169" i="11"/>
  <c r="AZ169" i="11"/>
  <c r="AR169" i="11"/>
  <c r="AI175" i="11"/>
  <c r="AD29" i="5" s="1"/>
  <c r="BC175" i="11"/>
  <c r="AX29" i="5" s="1"/>
  <c r="AY175" i="11"/>
  <c r="AT29" i="5" s="1"/>
  <c r="AU175" i="11"/>
  <c r="AP29" i="5" s="1"/>
  <c r="BA175" i="11"/>
  <c r="AV29" i="5" s="1"/>
  <c r="AW175" i="11"/>
  <c r="AR29" i="5" s="1"/>
  <c r="AS175" i="11"/>
  <c r="AN29" i="5" s="1"/>
  <c r="AX175" i="11"/>
  <c r="AS29" i="5" s="1"/>
  <c r="AV175" i="11"/>
  <c r="AQ29" i="5" s="1"/>
  <c r="BB175" i="11"/>
  <c r="AW29" i="5" s="1"/>
  <c r="AT175" i="11"/>
  <c r="AO29" i="5" s="1"/>
  <c r="AZ175" i="11"/>
  <c r="AU29" i="5" s="1"/>
  <c r="AR175" i="11"/>
  <c r="AM29" i="5" s="1"/>
  <c r="Z172" i="11"/>
  <c r="U28" i="5" s="1"/>
  <c r="AQ170" i="11"/>
  <c r="BC170" i="11"/>
  <c r="AY170" i="11"/>
  <c r="AU170" i="11"/>
  <c r="AU194" i="11" s="1"/>
  <c r="AP66" i="5" s="1"/>
  <c r="BA170" i="11"/>
  <c r="AW170" i="11"/>
  <c r="AS170" i="11"/>
  <c r="BB170" i="11"/>
  <c r="BB194" i="11" s="1"/>
  <c r="AW66" i="5" s="1"/>
  <c r="AT170" i="11"/>
  <c r="AZ170" i="11"/>
  <c r="AR170" i="11"/>
  <c r="AX170" i="11"/>
  <c r="AX194" i="11" s="1"/>
  <c r="AS66" i="5" s="1"/>
  <c r="AV170" i="11"/>
  <c r="AE10" i="5"/>
  <c r="S44" i="5"/>
  <c r="AG10" i="5"/>
  <c r="X44" i="5"/>
  <c r="AF11" i="5"/>
  <c r="AK10" i="5"/>
  <c r="AC10" i="5"/>
  <c r="Y11" i="5"/>
  <c r="U11" i="5"/>
  <c r="Q11" i="5"/>
  <c r="M11" i="5"/>
  <c r="I11" i="5"/>
  <c r="E11" i="5"/>
  <c r="AJ11" i="5"/>
  <c r="AB11" i="5"/>
  <c r="U10" i="5"/>
  <c r="AF10" i="5"/>
  <c r="X10" i="5"/>
  <c r="T10" i="5"/>
  <c r="L10" i="5"/>
  <c r="H10" i="5"/>
  <c r="D10" i="5"/>
  <c r="Y10" i="5"/>
  <c r="Q10" i="5"/>
  <c r="M10" i="5"/>
  <c r="I10" i="5"/>
  <c r="E10" i="5"/>
  <c r="AJ10" i="5"/>
  <c r="AB10" i="5"/>
  <c r="P10" i="5"/>
  <c r="E58" i="7"/>
  <c r="D16" i="7"/>
  <c r="I58" i="7"/>
  <c r="H15" i="7" s="1"/>
  <c r="I32" i="23" s="1"/>
  <c r="H16" i="7"/>
  <c r="F16" i="7"/>
  <c r="F58" i="7"/>
  <c r="E15" i="7" s="1"/>
  <c r="E16" i="7"/>
  <c r="AI170" i="11"/>
  <c r="AD170" i="11"/>
  <c r="X170" i="11"/>
  <c r="AM170" i="11"/>
  <c r="H170" i="11"/>
  <c r="AN170" i="11"/>
  <c r="AH170" i="11"/>
  <c r="W170" i="11"/>
  <c r="T172" i="11"/>
  <c r="O28" i="5" s="1"/>
  <c r="AL172" i="11"/>
  <c r="AG28" i="5" s="1"/>
  <c r="L172" i="11"/>
  <c r="G28" i="5" s="1"/>
  <c r="AA172" i="11"/>
  <c r="V28" i="5" s="1"/>
  <c r="S172" i="11"/>
  <c r="N28" i="5" s="1"/>
  <c r="AH172" i="11"/>
  <c r="AC28" i="5" s="1"/>
  <c r="O172" i="11"/>
  <c r="J28" i="5" s="1"/>
  <c r="W172" i="11"/>
  <c r="R28" i="5" s="1"/>
  <c r="AD172" i="11"/>
  <c r="Y28" i="5" s="1"/>
  <c r="AN172" i="11"/>
  <c r="AI28" i="5" s="1"/>
  <c r="AJ172" i="11"/>
  <c r="AE28" i="5" s="1"/>
  <c r="AF172" i="11"/>
  <c r="AA28" i="5" s="1"/>
  <c r="AB172" i="11"/>
  <c r="W28" i="5" s="1"/>
  <c r="X172" i="11"/>
  <c r="S28" i="5" s="1"/>
  <c r="U172" i="11"/>
  <c r="P28" i="5" s="1"/>
  <c r="Q172" i="11"/>
  <c r="L28" i="5" s="1"/>
  <c r="M172" i="11"/>
  <c r="H28" i="5" s="1"/>
  <c r="AQ172" i="11"/>
  <c r="AL28" i="5" s="1"/>
  <c r="AI172" i="11"/>
  <c r="AD28" i="5" s="1"/>
  <c r="AO172" i="11"/>
  <c r="AJ28" i="5" s="1"/>
  <c r="AK172" i="11"/>
  <c r="AF28" i="5" s="1"/>
  <c r="AG172" i="11"/>
  <c r="AB28" i="5" s="1"/>
  <c r="AC172" i="11"/>
  <c r="X28" i="5" s="1"/>
  <c r="Y172" i="11"/>
  <c r="T28" i="5" s="1"/>
  <c r="V172" i="11"/>
  <c r="Q28" i="5" s="1"/>
  <c r="R172" i="11"/>
  <c r="M28" i="5" s="1"/>
  <c r="N172" i="11"/>
  <c r="I28" i="5" s="1"/>
  <c r="J172" i="11"/>
  <c r="E28" i="5" s="1"/>
  <c r="AM172" i="11"/>
  <c r="AH28" i="5" s="1"/>
  <c r="I172" i="11"/>
  <c r="D28" i="5" s="1"/>
  <c r="P172" i="11"/>
  <c r="K28" i="5" s="1"/>
  <c r="AE172" i="11"/>
  <c r="Z28" i="5" s="1"/>
  <c r="AO170" i="11"/>
  <c r="AL170" i="11"/>
  <c r="AK170" i="11"/>
  <c r="AG170" i="11"/>
  <c r="AC170" i="11"/>
  <c r="AB170" i="11"/>
  <c r="U170" i="11"/>
  <c r="T170" i="11"/>
  <c r="AA170" i="11"/>
  <c r="Z170" i="11"/>
  <c r="Y170" i="11"/>
  <c r="S170" i="11"/>
  <c r="R170" i="11"/>
  <c r="Q170" i="11"/>
  <c r="N170" i="11"/>
  <c r="AF170" i="11"/>
  <c r="P170" i="11"/>
  <c r="O170" i="11"/>
  <c r="I170" i="11"/>
  <c r="K170" i="11"/>
  <c r="G23" i="7"/>
  <c r="X23" i="7" s="1"/>
  <c r="E101" i="7"/>
  <c r="J59" i="7"/>
  <c r="H58" i="7"/>
  <c r="M170" i="11"/>
  <c r="L170" i="11"/>
  <c r="J170" i="11"/>
  <c r="AP173" i="11"/>
  <c r="AK61" i="5" s="1"/>
  <c r="AJ173" i="11"/>
  <c r="AE61" i="5" s="1"/>
  <c r="AB169" i="11"/>
  <c r="L169" i="11"/>
  <c r="AN169" i="11"/>
  <c r="X169" i="11"/>
  <c r="AF169" i="11"/>
  <c r="P169" i="11"/>
  <c r="S173" i="11"/>
  <c r="N61" i="5" s="1"/>
  <c r="Y173" i="11"/>
  <c r="T61" i="5" s="1"/>
  <c r="AA173" i="11"/>
  <c r="V61" i="5" s="1"/>
  <c r="AO173" i="11"/>
  <c r="AJ61" i="5" s="1"/>
  <c r="V173" i="11"/>
  <c r="Q61" i="5" s="1"/>
  <c r="AI173" i="11"/>
  <c r="AD61" i="5" s="1"/>
  <c r="AK173" i="11"/>
  <c r="AF61" i="5" s="1"/>
  <c r="AD173" i="11"/>
  <c r="Y61" i="5" s="1"/>
  <c r="AH173" i="11"/>
  <c r="AC61" i="5" s="1"/>
  <c r="AL173" i="11"/>
  <c r="AG61" i="5" s="1"/>
  <c r="AM173" i="11"/>
  <c r="AH61" i="5" s="1"/>
  <c r="AN173" i="11"/>
  <c r="AI61" i="5" s="1"/>
  <c r="I64" i="7"/>
  <c r="I23" i="7"/>
  <c r="Z23" i="7" s="1"/>
  <c r="AQ175" i="11"/>
  <c r="AL29" i="5" s="1"/>
  <c r="AF175" i="11"/>
  <c r="AA29" i="5" s="1"/>
  <c r="P175" i="11"/>
  <c r="K29" i="5" s="1"/>
  <c r="AD175" i="11"/>
  <c r="Y29" i="5" s="1"/>
  <c r="N175" i="11"/>
  <c r="I29" i="5" s="1"/>
  <c r="S175" i="11"/>
  <c r="N29" i="5" s="1"/>
  <c r="AJ169" i="11"/>
  <c r="U175" i="11"/>
  <c r="P29" i="5" s="1"/>
  <c r="AF173" i="11"/>
  <c r="AA61" i="5" s="1"/>
  <c r="U173" i="11"/>
  <c r="P61" i="5" s="1"/>
  <c r="Q173" i="11"/>
  <c r="L61" i="5" s="1"/>
  <c r="M173" i="11"/>
  <c r="H61" i="5" s="1"/>
  <c r="K175" i="11"/>
  <c r="F29" i="5" s="1"/>
  <c r="V175" i="11"/>
  <c r="Q29" i="5" s="1"/>
  <c r="AA175" i="11"/>
  <c r="V29" i="5" s="1"/>
  <c r="AL175" i="11"/>
  <c r="AG29" i="5" s="1"/>
  <c r="AQ169" i="11"/>
  <c r="AO169" i="11"/>
  <c r="AM169" i="11"/>
  <c r="AK169" i="11"/>
  <c r="AI169" i="11"/>
  <c r="AG169" i="11"/>
  <c r="AE169" i="11"/>
  <c r="AC169" i="11"/>
  <c r="AA169" i="11"/>
  <c r="Y169" i="11"/>
  <c r="W169" i="11"/>
  <c r="U169" i="11"/>
  <c r="S169" i="11"/>
  <c r="Q169" i="11"/>
  <c r="O169" i="11"/>
  <c r="M169" i="11"/>
  <c r="K169" i="11"/>
  <c r="I169" i="11"/>
  <c r="AO175" i="11"/>
  <c r="AJ29" i="5" s="1"/>
  <c r="AJ175" i="11"/>
  <c r="AE29" i="5" s="1"/>
  <c r="AG175" i="11"/>
  <c r="AB29" i="5" s="1"/>
  <c r="AB175" i="11"/>
  <c r="W29" i="5" s="1"/>
  <c r="Y175" i="11"/>
  <c r="T29" i="5" s="1"/>
  <c r="T175" i="11"/>
  <c r="O29" i="5" s="1"/>
  <c r="Q175" i="11"/>
  <c r="L29" i="5" s="1"/>
  <c r="L175" i="11"/>
  <c r="G29" i="5" s="1"/>
  <c r="I175" i="11"/>
  <c r="D29" i="5" s="1"/>
  <c r="H175" i="11"/>
  <c r="C29" i="5" s="1"/>
  <c r="AP175" i="11"/>
  <c r="AK29" i="5" s="1"/>
  <c r="AM175" i="11"/>
  <c r="AH29" i="5" s="1"/>
  <c r="AH175" i="11"/>
  <c r="AC29" i="5" s="1"/>
  <c r="AE175" i="11"/>
  <c r="Z29" i="5" s="1"/>
  <c r="Z175" i="11"/>
  <c r="U29" i="5" s="1"/>
  <c r="W175" i="11"/>
  <c r="R29" i="5" s="1"/>
  <c r="R175" i="11"/>
  <c r="M29" i="5" s="1"/>
  <c r="O175" i="11"/>
  <c r="J29" i="5" s="1"/>
  <c r="J175" i="11"/>
  <c r="E29" i="5" s="1"/>
  <c r="H23" i="7"/>
  <c r="Y23" i="7" s="1"/>
  <c r="H64" i="7"/>
  <c r="J169" i="11"/>
  <c r="N169" i="11"/>
  <c r="R169" i="11"/>
  <c r="V169" i="11"/>
  <c r="Z169" i="11"/>
  <c r="AD169" i="11"/>
  <c r="AH169" i="11"/>
  <c r="AL169" i="11"/>
  <c r="AP169" i="11"/>
  <c r="M175" i="11"/>
  <c r="H29" i="5" s="1"/>
  <c r="X175" i="11"/>
  <c r="S29" i="5" s="1"/>
  <c r="AC175" i="11"/>
  <c r="X29" i="5" s="1"/>
  <c r="AN175" i="11"/>
  <c r="AI29" i="5" s="1"/>
  <c r="AQ173" i="11"/>
  <c r="AL61" i="5" s="1"/>
  <c r="K173" i="11"/>
  <c r="F61" i="5" s="1"/>
  <c r="I173" i="11"/>
  <c r="D61" i="5" s="1"/>
  <c r="H173" i="11"/>
  <c r="C61" i="5" s="1"/>
  <c r="J173" i="11"/>
  <c r="E61" i="5" s="1"/>
  <c r="O173" i="11"/>
  <c r="J61" i="5" s="1"/>
  <c r="R173" i="11"/>
  <c r="M61" i="5" s="1"/>
  <c r="T173" i="11"/>
  <c r="O61" i="5" s="1"/>
  <c r="X173" i="11"/>
  <c r="S61" i="5" s="1"/>
  <c r="AC173" i="11"/>
  <c r="X61" i="5" s="1"/>
  <c r="AE173" i="11"/>
  <c r="Z61" i="5" s="1"/>
  <c r="L173" i="11"/>
  <c r="G61" i="5" s="1"/>
  <c r="P173" i="11"/>
  <c r="K61" i="5" s="1"/>
  <c r="W173" i="11"/>
  <c r="R61" i="5" s="1"/>
  <c r="Z173" i="11"/>
  <c r="U61" i="5" s="1"/>
  <c r="AG173" i="11"/>
  <c r="AB61" i="5" s="1"/>
  <c r="N173" i="11"/>
  <c r="I61" i="5" s="1"/>
  <c r="DM278" i="1" l="1"/>
  <c r="DN278" i="1"/>
  <c r="DW275" i="1"/>
  <c r="DV275" i="1"/>
  <c r="DV278" i="1"/>
  <c r="DX275" i="1"/>
  <c r="DN275" i="1"/>
  <c r="DQ275" i="1"/>
  <c r="DP275" i="1"/>
  <c r="DQ278" i="1"/>
  <c r="DP278" i="1"/>
  <c r="DX278" i="1"/>
  <c r="DS278" i="1"/>
  <c r="DS275" i="1"/>
  <c r="AH46" i="5"/>
  <c r="DU278" i="1"/>
  <c r="DR278" i="1"/>
  <c r="DT278" i="1"/>
  <c r="DO278" i="1"/>
  <c r="DU275" i="1"/>
  <c r="DT275" i="1"/>
  <c r="DR275" i="1"/>
  <c r="DM275" i="1"/>
  <c r="FK161" i="1"/>
  <c r="AJ159" i="38" s="1"/>
  <c r="DV293" i="1"/>
  <c r="DR293" i="1"/>
  <c r="DS293" i="1"/>
  <c r="FK207" i="1"/>
  <c r="AJ205" i="38" s="1"/>
  <c r="DU293" i="1"/>
  <c r="DQ293" i="1"/>
  <c r="DO293" i="1"/>
  <c r="FK242" i="1"/>
  <c r="AJ240" i="38" s="1"/>
  <c r="DP293" i="1"/>
  <c r="DM293" i="1"/>
  <c r="DX293" i="1"/>
  <c r="DW293" i="1"/>
  <c r="FK211" i="1"/>
  <c r="AJ209" i="38" s="1"/>
  <c r="DN293" i="1"/>
  <c r="DT293" i="1"/>
  <c r="FK246" i="1"/>
  <c r="AJ244" i="38" s="1"/>
  <c r="FK193" i="1"/>
  <c r="AJ191" i="38" s="1"/>
  <c r="AH188" i="38"/>
  <c r="AH226" i="38"/>
  <c r="AH211" i="38"/>
  <c r="FK248" i="1"/>
  <c r="AJ246" i="38" s="1"/>
  <c r="FK236" i="1"/>
  <c r="AJ234" i="38" s="1"/>
  <c r="FK241" i="1"/>
  <c r="AJ239" i="38" s="1"/>
  <c r="FK199" i="1"/>
  <c r="AJ197" i="38" s="1"/>
  <c r="FK165" i="1"/>
  <c r="AJ163" i="38" s="1"/>
  <c r="FK175" i="1"/>
  <c r="AJ173" i="38" s="1"/>
  <c r="FK163" i="1"/>
  <c r="AJ161" i="38" s="1"/>
  <c r="FK224" i="1"/>
  <c r="AJ222" i="38" s="1"/>
  <c r="FK208" i="1"/>
  <c r="AJ206" i="38" s="1"/>
  <c r="FK192" i="1"/>
  <c r="AJ190" i="38" s="1"/>
  <c r="FK176" i="1"/>
  <c r="AJ174" i="38" s="1"/>
  <c r="FK160" i="1"/>
  <c r="AJ158" i="38" s="1"/>
  <c r="AH155" i="38"/>
  <c r="AH216" i="38"/>
  <c r="AH223" i="38"/>
  <c r="AH186" i="38"/>
  <c r="AH208" i="38"/>
  <c r="AH174" i="38"/>
  <c r="AH237" i="38"/>
  <c r="AH165" i="38"/>
  <c r="FK223" i="1"/>
  <c r="AJ221" i="38" s="1"/>
  <c r="FK250" i="1"/>
  <c r="AJ248" i="38" s="1"/>
  <c r="FK235" i="1"/>
  <c r="AJ233" i="38" s="1"/>
  <c r="FK247" i="1"/>
  <c r="AJ245" i="38" s="1"/>
  <c r="FK225" i="1"/>
  <c r="AJ223" i="38" s="1"/>
  <c r="FK179" i="1"/>
  <c r="AJ177" i="38" s="1"/>
  <c r="FK209" i="1"/>
  <c r="AJ207" i="38" s="1"/>
  <c r="FK215" i="1"/>
  <c r="AJ213" i="38" s="1"/>
  <c r="FK185" i="1"/>
  <c r="AJ183" i="38" s="1"/>
  <c r="FK157" i="1"/>
  <c r="AJ155" i="38" s="1"/>
  <c r="FK218" i="1"/>
  <c r="AJ216" i="38" s="1"/>
  <c r="FK202" i="1"/>
  <c r="AJ200" i="38" s="1"/>
  <c r="FK186" i="1"/>
  <c r="AJ184" i="38" s="1"/>
  <c r="FK170" i="1"/>
  <c r="AJ168" i="38" s="1"/>
  <c r="FK154" i="1"/>
  <c r="AJ152" i="38" s="1"/>
  <c r="AH185" i="38"/>
  <c r="AH249" i="38"/>
  <c r="AH157" i="38"/>
  <c r="AH202" i="38"/>
  <c r="AH235" i="38"/>
  <c r="AH193" i="38"/>
  <c r="AH182" i="38"/>
  <c r="AH246" i="38"/>
  <c r="AH231" i="38"/>
  <c r="AH178" i="38"/>
  <c r="AH242" i="38"/>
  <c r="AH227" i="38"/>
  <c r="FK239" i="1"/>
  <c r="AJ237" i="38" s="1"/>
  <c r="FK191" i="1"/>
  <c r="AJ189" i="38" s="1"/>
  <c r="FK171" i="1"/>
  <c r="AJ169" i="38" s="1"/>
  <c r="FK155" i="1"/>
  <c r="AJ153" i="38" s="1"/>
  <c r="FK201" i="1"/>
  <c r="AJ199" i="38" s="1"/>
  <c r="FK159" i="1"/>
  <c r="AJ157" i="38" s="1"/>
  <c r="FK228" i="1"/>
  <c r="AJ226" i="38" s="1"/>
  <c r="FK212" i="1"/>
  <c r="AJ210" i="38" s="1"/>
  <c r="FK196" i="1"/>
  <c r="AJ194" i="38" s="1"/>
  <c r="FK180" i="1"/>
  <c r="AJ178" i="38" s="1"/>
  <c r="FK164" i="1"/>
  <c r="AJ162" i="38" s="1"/>
  <c r="AH171" i="38"/>
  <c r="AH232" i="38"/>
  <c r="AH162" i="38"/>
  <c r="AH190" i="38"/>
  <c r="AH175" i="38"/>
  <c r="AH239" i="38"/>
  <c r="AH212" i="38"/>
  <c r="AH197" i="38"/>
  <c r="AH166" i="38"/>
  <c r="AH163" i="38"/>
  <c r="AH198" i="38"/>
  <c r="AH204" i="38"/>
  <c r="AH189" i="38"/>
  <c r="FK249" i="1"/>
  <c r="AJ247" i="38" s="1"/>
  <c r="FK238" i="1"/>
  <c r="AJ236" i="38" s="1"/>
  <c r="FK229" i="1"/>
  <c r="AJ227" i="38" s="1"/>
  <c r="FK237" i="1"/>
  <c r="AJ235" i="38" s="1"/>
  <c r="FK177" i="1"/>
  <c r="AJ175" i="38" s="1"/>
  <c r="FK244" i="1"/>
  <c r="AJ242" i="38" s="1"/>
  <c r="FK181" i="1"/>
  <c r="AJ179" i="38" s="1"/>
  <c r="FK217" i="1"/>
  <c r="AJ215" i="38" s="1"/>
  <c r="FK187" i="1"/>
  <c r="AJ185" i="38" s="1"/>
  <c r="FK173" i="1"/>
  <c r="AJ171" i="38" s="1"/>
  <c r="FK222" i="1"/>
  <c r="AJ220" i="38" s="1"/>
  <c r="FK206" i="1"/>
  <c r="AJ204" i="38" s="1"/>
  <c r="FK190" i="1"/>
  <c r="AJ188" i="38" s="1"/>
  <c r="FK174" i="1"/>
  <c r="AJ172" i="38" s="1"/>
  <c r="FK158" i="1"/>
  <c r="AJ156" i="38" s="1"/>
  <c r="AH201" i="38"/>
  <c r="AH206" i="38"/>
  <c r="AH173" i="38"/>
  <c r="AH218" i="38"/>
  <c r="AH187" i="38"/>
  <c r="AH251" i="38"/>
  <c r="AH224" i="38"/>
  <c r="AH209" i="38"/>
  <c r="AH183" i="38"/>
  <c r="AH247" i="38"/>
  <c r="FL4" i="1"/>
  <c r="EA154" i="1"/>
  <c r="EI154" i="1"/>
  <c r="EE155" i="1"/>
  <c r="EA156" i="1"/>
  <c r="EI156" i="1"/>
  <c r="EE157" i="1"/>
  <c r="EA158" i="1"/>
  <c r="EI158" i="1"/>
  <c r="EE159" i="1"/>
  <c r="EA160" i="1"/>
  <c r="EI160" i="1"/>
  <c r="EE161" i="1"/>
  <c r="EA162" i="1"/>
  <c r="EI162" i="1"/>
  <c r="EE163" i="1"/>
  <c r="EA164" i="1"/>
  <c r="EI164" i="1"/>
  <c r="EE165" i="1"/>
  <c r="EA166" i="1"/>
  <c r="EI166" i="1"/>
  <c r="EE167" i="1"/>
  <c r="EA168" i="1"/>
  <c r="EI168" i="1"/>
  <c r="EE169" i="1"/>
  <c r="EA170" i="1"/>
  <c r="EI170" i="1"/>
  <c r="EE171" i="1"/>
  <c r="EA172" i="1"/>
  <c r="EI172" i="1"/>
  <c r="EE173" i="1"/>
  <c r="EA174" i="1"/>
  <c r="EI174" i="1"/>
  <c r="EE175" i="1"/>
  <c r="EA176" i="1"/>
  <c r="EI176" i="1"/>
  <c r="EE177" i="1"/>
  <c r="EA178" i="1"/>
  <c r="EI178" i="1"/>
  <c r="EE179" i="1"/>
  <c r="EA180" i="1"/>
  <c r="EI180" i="1"/>
  <c r="EE181" i="1"/>
  <c r="EA182" i="1"/>
  <c r="EI182" i="1"/>
  <c r="EE183" i="1"/>
  <c r="EA184" i="1"/>
  <c r="EI184" i="1"/>
  <c r="EE185" i="1"/>
  <c r="EA186" i="1"/>
  <c r="EI186" i="1"/>
  <c r="EE187" i="1"/>
  <c r="EA188" i="1"/>
  <c r="EB154" i="1"/>
  <c r="EJ154" i="1"/>
  <c r="EF155" i="1"/>
  <c r="EB156" i="1"/>
  <c r="EJ156" i="1"/>
  <c r="EF157" i="1"/>
  <c r="EB158" i="1"/>
  <c r="EJ158" i="1"/>
  <c r="EF159" i="1"/>
  <c r="EB160" i="1"/>
  <c r="EJ160" i="1"/>
  <c r="EF161" i="1"/>
  <c r="EB162" i="1"/>
  <c r="EJ162" i="1"/>
  <c r="EF163" i="1"/>
  <c r="EB164" i="1"/>
  <c r="EJ164" i="1"/>
  <c r="EF165" i="1"/>
  <c r="EB166" i="1"/>
  <c r="EJ166" i="1"/>
  <c r="EF167" i="1"/>
  <c r="EB168" i="1"/>
  <c r="EJ168" i="1"/>
  <c r="EF169" i="1"/>
  <c r="EB170" i="1"/>
  <c r="EJ170" i="1"/>
  <c r="EF171" i="1"/>
  <c r="EB172" i="1"/>
  <c r="EJ172" i="1"/>
  <c r="EF173" i="1"/>
  <c r="EB174" i="1"/>
  <c r="EJ174" i="1"/>
  <c r="EF175" i="1"/>
  <c r="EB176" i="1"/>
  <c r="EJ176" i="1"/>
  <c r="EF177" i="1"/>
  <c r="EB178" i="1"/>
  <c r="EJ178" i="1"/>
  <c r="EF179" i="1"/>
  <c r="EB180" i="1"/>
  <c r="EJ180" i="1"/>
  <c r="EF181" i="1"/>
  <c r="EB182" i="1"/>
  <c r="EJ182" i="1"/>
  <c r="EF183" i="1"/>
  <c r="EB184" i="1"/>
  <c r="EJ184" i="1"/>
  <c r="EF185" i="1"/>
  <c r="EB186" i="1"/>
  <c r="EJ186" i="1"/>
  <c r="EF187" i="1"/>
  <c r="EB188" i="1"/>
  <c r="EC154" i="1"/>
  <c r="DY155" i="1"/>
  <c r="EG155" i="1"/>
  <c r="EC156" i="1"/>
  <c r="DY157" i="1"/>
  <c r="EG157" i="1"/>
  <c r="EC158" i="1"/>
  <c r="DY159" i="1"/>
  <c r="EG159" i="1"/>
  <c r="EC160" i="1"/>
  <c r="DY161" i="1"/>
  <c r="EG161" i="1"/>
  <c r="EC162" i="1"/>
  <c r="DY163" i="1"/>
  <c r="EG163" i="1"/>
  <c r="EC164" i="1"/>
  <c r="DY165" i="1"/>
  <c r="EG165" i="1"/>
  <c r="EC166" i="1"/>
  <c r="DY167" i="1"/>
  <c r="EG167" i="1"/>
  <c r="EC168" i="1"/>
  <c r="DY169" i="1"/>
  <c r="EG169" i="1"/>
  <c r="EC170" i="1"/>
  <c r="DY171" i="1"/>
  <c r="EG171" i="1"/>
  <c r="EC172" i="1"/>
  <c r="DY173" i="1"/>
  <c r="EG173" i="1"/>
  <c r="EC174" i="1"/>
  <c r="DY175" i="1"/>
  <c r="EG175" i="1"/>
  <c r="EC176" i="1"/>
  <c r="DY177" i="1"/>
  <c r="EG177" i="1"/>
  <c r="EC178" i="1"/>
  <c r="DY179" i="1"/>
  <c r="EG179" i="1"/>
  <c r="EC180" i="1"/>
  <c r="DY181" i="1"/>
  <c r="EG181" i="1"/>
  <c r="EC182" i="1"/>
  <c r="DY183" i="1"/>
  <c r="EG183" i="1"/>
  <c r="EC184" i="1"/>
  <c r="DY185" i="1"/>
  <c r="EG185" i="1"/>
  <c r="EC186" i="1"/>
  <c r="DY187" i="1"/>
  <c r="EG187" i="1"/>
  <c r="EC188" i="1"/>
  <c r="ED154" i="1"/>
  <c r="DZ155" i="1"/>
  <c r="EH155" i="1"/>
  <c r="ED156" i="1"/>
  <c r="DZ157" i="1"/>
  <c r="EH157" i="1"/>
  <c r="ED158" i="1"/>
  <c r="DZ159" i="1"/>
  <c r="EH159" i="1"/>
  <c r="ED160" i="1"/>
  <c r="DZ161" i="1"/>
  <c r="EH161" i="1"/>
  <c r="ED162" i="1"/>
  <c r="DZ163" i="1"/>
  <c r="EH163" i="1"/>
  <c r="ED164" i="1"/>
  <c r="DZ165" i="1"/>
  <c r="EH165" i="1"/>
  <c r="ED166" i="1"/>
  <c r="DZ167" i="1"/>
  <c r="EH167" i="1"/>
  <c r="ED168" i="1"/>
  <c r="DZ169" i="1"/>
  <c r="EH169" i="1"/>
  <c r="ED170" i="1"/>
  <c r="DZ171" i="1"/>
  <c r="EH171" i="1"/>
  <c r="ED172" i="1"/>
  <c r="DZ173" i="1"/>
  <c r="EH173" i="1"/>
  <c r="ED174" i="1"/>
  <c r="DZ175" i="1"/>
  <c r="EH175" i="1"/>
  <c r="ED176" i="1"/>
  <c r="DZ177" i="1"/>
  <c r="EH177" i="1"/>
  <c r="ED178" i="1"/>
  <c r="DZ179" i="1"/>
  <c r="EH179" i="1"/>
  <c r="ED180" i="1"/>
  <c r="DZ181" i="1"/>
  <c r="EH181" i="1"/>
  <c r="ED182" i="1"/>
  <c r="DZ183" i="1"/>
  <c r="EH183" i="1"/>
  <c r="ED184" i="1"/>
  <c r="DZ185" i="1"/>
  <c r="EH185" i="1"/>
  <c r="ED186" i="1"/>
  <c r="DZ187" i="1"/>
  <c r="EH187" i="1"/>
  <c r="ED188" i="1"/>
  <c r="EB155" i="1"/>
  <c r="EF156" i="1"/>
  <c r="EJ157" i="1"/>
  <c r="EB159" i="1"/>
  <c r="EF160" i="1"/>
  <c r="EJ161" i="1"/>
  <c r="EB163" i="1"/>
  <c r="EF164" i="1"/>
  <c r="EJ165" i="1"/>
  <c r="EB167" i="1"/>
  <c r="EF168" i="1"/>
  <c r="EJ169" i="1"/>
  <c r="EB171" i="1"/>
  <c r="EF172" i="1"/>
  <c r="EJ173" i="1"/>
  <c r="EB175" i="1"/>
  <c r="EF176" i="1"/>
  <c r="EJ177" i="1"/>
  <c r="EB179" i="1"/>
  <c r="EF180" i="1"/>
  <c r="EJ181" i="1"/>
  <c r="EB183" i="1"/>
  <c r="EF184" i="1"/>
  <c r="EJ185" i="1"/>
  <c r="EB187" i="1"/>
  <c r="EF188" i="1"/>
  <c r="EB189" i="1"/>
  <c r="EJ189" i="1"/>
  <c r="EF190" i="1"/>
  <c r="EB191" i="1"/>
  <c r="EJ191" i="1"/>
  <c r="EF192" i="1"/>
  <c r="EB193" i="1"/>
  <c r="EJ193" i="1"/>
  <c r="EF194" i="1"/>
  <c r="EB195" i="1"/>
  <c r="EJ195" i="1"/>
  <c r="EF196" i="1"/>
  <c r="EB197" i="1"/>
  <c r="EJ197" i="1"/>
  <c r="EF198" i="1"/>
  <c r="EB199" i="1"/>
  <c r="EJ199" i="1"/>
  <c r="EF200" i="1"/>
  <c r="EB201" i="1"/>
  <c r="EJ201" i="1"/>
  <c r="EF202" i="1"/>
  <c r="EB203" i="1"/>
  <c r="EJ203" i="1"/>
  <c r="EF204" i="1"/>
  <c r="EB205" i="1"/>
  <c r="EJ205" i="1"/>
  <c r="EF206" i="1"/>
  <c r="EB207" i="1"/>
  <c r="EJ207" i="1"/>
  <c r="EF208" i="1"/>
  <c r="EB209" i="1"/>
  <c r="EJ209" i="1"/>
  <c r="EF210" i="1"/>
  <c r="EB211" i="1"/>
  <c r="EJ211" i="1"/>
  <c r="EF212" i="1"/>
  <c r="EB213" i="1"/>
  <c r="EJ213" i="1"/>
  <c r="EF214" i="1"/>
  <c r="EB215" i="1"/>
  <c r="EJ215" i="1"/>
  <c r="EF216" i="1"/>
  <c r="EB217" i="1"/>
  <c r="EJ217" i="1"/>
  <c r="EF218" i="1"/>
  <c r="EB219" i="1"/>
  <c r="EJ219" i="1"/>
  <c r="EF220" i="1"/>
  <c r="EB221" i="1"/>
  <c r="EJ221" i="1"/>
  <c r="DY154" i="1"/>
  <c r="EC155" i="1"/>
  <c r="EG156" i="1"/>
  <c r="DY158" i="1"/>
  <c r="EC159" i="1"/>
  <c r="EG160" i="1"/>
  <c r="DY162" i="1"/>
  <c r="EC163" i="1"/>
  <c r="EG164" i="1"/>
  <c r="DY166" i="1"/>
  <c r="EC167" i="1"/>
  <c r="EG168" i="1"/>
  <c r="DY170" i="1"/>
  <c r="EC171" i="1"/>
  <c r="EG172" i="1"/>
  <c r="DY174" i="1"/>
  <c r="EC175" i="1"/>
  <c r="EG176" i="1"/>
  <c r="DY178" i="1"/>
  <c r="EC179" i="1"/>
  <c r="EG180" i="1"/>
  <c r="DY182" i="1"/>
  <c r="EC183" i="1"/>
  <c r="EG184" i="1"/>
  <c r="DY186" i="1"/>
  <c r="EC187" i="1"/>
  <c r="EG188" i="1"/>
  <c r="EC189" i="1"/>
  <c r="DY190" i="1"/>
  <c r="EG190" i="1"/>
  <c r="EC191" i="1"/>
  <c r="DY192" i="1"/>
  <c r="EG192" i="1"/>
  <c r="EC193" i="1"/>
  <c r="DY194" i="1"/>
  <c r="EG194" i="1"/>
  <c r="EC195" i="1"/>
  <c r="DY196" i="1"/>
  <c r="EG196" i="1"/>
  <c r="EC197" i="1"/>
  <c r="DY198" i="1"/>
  <c r="EG198" i="1"/>
  <c r="EC199" i="1"/>
  <c r="DY200" i="1"/>
  <c r="EG200" i="1"/>
  <c r="EC201" i="1"/>
  <c r="DY202" i="1"/>
  <c r="EG202" i="1"/>
  <c r="EC203" i="1"/>
  <c r="DY204" i="1"/>
  <c r="EG204" i="1"/>
  <c r="EC205" i="1"/>
  <c r="DY206" i="1"/>
  <c r="EG206" i="1"/>
  <c r="EC207" i="1"/>
  <c r="DY208" i="1"/>
  <c r="EG208" i="1"/>
  <c r="EC209" i="1"/>
  <c r="DY210" i="1"/>
  <c r="EG210" i="1"/>
  <c r="EC211" i="1"/>
  <c r="DY212" i="1"/>
  <c r="EG212" i="1"/>
  <c r="EC213" i="1"/>
  <c r="DY214" i="1"/>
  <c r="EG214" i="1"/>
  <c r="EC215" i="1"/>
  <c r="DY216" i="1"/>
  <c r="EG216" i="1"/>
  <c r="EC217" i="1"/>
  <c r="DY218" i="1"/>
  <c r="EG218" i="1"/>
  <c r="EC219" i="1"/>
  <c r="DY220" i="1"/>
  <c r="EG220" i="1"/>
  <c r="EC221" i="1"/>
  <c r="DY222" i="1"/>
  <c r="DZ154" i="1"/>
  <c r="ED155" i="1"/>
  <c r="EH156" i="1"/>
  <c r="DZ158" i="1"/>
  <c r="ED159" i="1"/>
  <c r="EH160" i="1"/>
  <c r="DZ162" i="1"/>
  <c r="ED163" i="1"/>
  <c r="EH164" i="1"/>
  <c r="DZ166" i="1"/>
  <c r="ED167" i="1"/>
  <c r="EH168" i="1"/>
  <c r="DZ170" i="1"/>
  <c r="ED171" i="1"/>
  <c r="EH172" i="1"/>
  <c r="DZ174" i="1"/>
  <c r="ED175" i="1"/>
  <c r="EH176" i="1"/>
  <c r="DZ178" i="1"/>
  <c r="ED179" i="1"/>
  <c r="EH180" i="1"/>
  <c r="DZ182" i="1"/>
  <c r="ED183" i="1"/>
  <c r="EH184" i="1"/>
  <c r="DZ186" i="1"/>
  <c r="ED187" i="1"/>
  <c r="EH188" i="1"/>
  <c r="ED189" i="1"/>
  <c r="DZ190" i="1"/>
  <c r="EH190" i="1"/>
  <c r="ED191" i="1"/>
  <c r="DZ192" i="1"/>
  <c r="EH192" i="1"/>
  <c r="ED193" i="1"/>
  <c r="DZ194" i="1"/>
  <c r="EH194" i="1"/>
  <c r="ED195" i="1"/>
  <c r="DZ196" i="1"/>
  <c r="EH196" i="1"/>
  <c r="ED197" i="1"/>
  <c r="DZ198" i="1"/>
  <c r="EH198" i="1"/>
  <c r="ED199" i="1"/>
  <c r="DZ200" i="1"/>
  <c r="EH200" i="1"/>
  <c r="ED201" i="1"/>
  <c r="DZ202" i="1"/>
  <c r="EH202" i="1"/>
  <c r="ED203" i="1"/>
  <c r="DZ204" i="1"/>
  <c r="EH204" i="1"/>
  <c r="ED205" i="1"/>
  <c r="DZ206" i="1"/>
  <c r="EH206" i="1"/>
  <c r="ED207" i="1"/>
  <c r="DZ208" i="1"/>
  <c r="EH208" i="1"/>
  <c r="ED209" i="1"/>
  <c r="DZ210" i="1"/>
  <c r="EH210" i="1"/>
  <c r="ED211" i="1"/>
  <c r="DZ212" i="1"/>
  <c r="EH212" i="1"/>
  <c r="ED213" i="1"/>
  <c r="DZ214" i="1"/>
  <c r="EH214" i="1"/>
  <c r="ED215" i="1"/>
  <c r="DZ216" i="1"/>
  <c r="EH216" i="1"/>
  <c r="ED217" i="1"/>
  <c r="DZ218" i="1"/>
  <c r="EH218" i="1"/>
  <c r="EH154" i="1"/>
  <c r="DZ156" i="1"/>
  <c r="ED157" i="1"/>
  <c r="EH158" i="1"/>
  <c r="DZ160" i="1"/>
  <c r="ED161" i="1"/>
  <c r="EH162" i="1"/>
  <c r="DZ164" i="1"/>
  <c r="ED165" i="1"/>
  <c r="EH166" i="1"/>
  <c r="DZ168" i="1"/>
  <c r="ED169" i="1"/>
  <c r="EH170" i="1"/>
  <c r="DZ172" i="1"/>
  <c r="ED173" i="1"/>
  <c r="EH174" i="1"/>
  <c r="DZ176" i="1"/>
  <c r="ED177" i="1"/>
  <c r="EH178" i="1"/>
  <c r="DZ180" i="1"/>
  <c r="ED181" i="1"/>
  <c r="EH182" i="1"/>
  <c r="DZ184" i="1"/>
  <c r="ED185" i="1"/>
  <c r="EH186" i="1"/>
  <c r="DZ188" i="1"/>
  <c r="DZ189" i="1"/>
  <c r="EH189" i="1"/>
  <c r="ED190" i="1"/>
  <c r="DZ191" i="1"/>
  <c r="EH191" i="1"/>
  <c r="ED192" i="1"/>
  <c r="DZ193" i="1"/>
  <c r="EH193" i="1"/>
  <c r="ED194" i="1"/>
  <c r="DZ195" i="1"/>
  <c r="EH195" i="1"/>
  <c r="ED196" i="1"/>
  <c r="DZ197" i="1"/>
  <c r="EH197" i="1"/>
  <c r="ED198" i="1"/>
  <c r="DZ199" i="1"/>
  <c r="EH199" i="1"/>
  <c r="ED200" i="1"/>
  <c r="DZ201" i="1"/>
  <c r="EH201" i="1"/>
  <c r="ED202" i="1"/>
  <c r="DZ203" i="1"/>
  <c r="EH203" i="1"/>
  <c r="ED204" i="1"/>
  <c r="DZ205" i="1"/>
  <c r="EH205" i="1"/>
  <c r="ED206" i="1"/>
  <c r="DZ207" i="1"/>
  <c r="EH207" i="1"/>
  <c r="ED208" i="1"/>
  <c r="DZ209" i="1"/>
  <c r="EH209" i="1"/>
  <c r="ED210" i="1"/>
  <c r="DZ211" i="1"/>
  <c r="EH211" i="1"/>
  <c r="ED212" i="1"/>
  <c r="DZ213" i="1"/>
  <c r="EH213" i="1"/>
  <c r="ED214" i="1"/>
  <c r="DZ215" i="1"/>
  <c r="EH215" i="1"/>
  <c r="ED216" i="1"/>
  <c r="DZ217" i="1"/>
  <c r="EF154" i="1"/>
  <c r="EB157" i="1"/>
  <c r="EJ159" i="1"/>
  <c r="EF162" i="1"/>
  <c r="EB165" i="1"/>
  <c r="EJ167" i="1"/>
  <c r="EF170" i="1"/>
  <c r="EB173" i="1"/>
  <c r="EJ175" i="1"/>
  <c r="EF178" i="1"/>
  <c r="EB181" i="1"/>
  <c r="EJ183" i="1"/>
  <c r="EF186" i="1"/>
  <c r="EJ188" i="1"/>
  <c r="EB190" i="1"/>
  <c r="EF191" i="1"/>
  <c r="EJ192" i="1"/>
  <c r="EB194" i="1"/>
  <c r="EF195" i="1"/>
  <c r="EJ196" i="1"/>
  <c r="EB198" i="1"/>
  <c r="EF199" i="1"/>
  <c r="EJ200" i="1"/>
  <c r="EB202" i="1"/>
  <c r="EF203" i="1"/>
  <c r="EJ204" i="1"/>
  <c r="EB206" i="1"/>
  <c r="EF207" i="1"/>
  <c r="EJ208" i="1"/>
  <c r="EB210" i="1"/>
  <c r="EF211" i="1"/>
  <c r="EJ212" i="1"/>
  <c r="EB214" i="1"/>
  <c r="EF215" i="1"/>
  <c r="EJ216" i="1"/>
  <c r="EA218" i="1"/>
  <c r="DZ219" i="1"/>
  <c r="DZ220" i="1"/>
  <c r="EJ220" i="1"/>
  <c r="EH221" i="1"/>
  <c r="EF222" i="1"/>
  <c r="EB223" i="1"/>
  <c r="EJ223" i="1"/>
  <c r="EF224" i="1"/>
  <c r="EB225" i="1"/>
  <c r="EJ225" i="1"/>
  <c r="EF226" i="1"/>
  <c r="EB227" i="1"/>
  <c r="EJ227" i="1"/>
  <c r="EF228" i="1"/>
  <c r="EB229" i="1"/>
  <c r="EJ229" i="1"/>
  <c r="EF230" i="1"/>
  <c r="EB231" i="1"/>
  <c r="EJ231" i="1"/>
  <c r="EF232" i="1"/>
  <c r="EB233" i="1"/>
  <c r="EJ233" i="1"/>
  <c r="EF234" i="1"/>
  <c r="EB235" i="1"/>
  <c r="EJ235" i="1"/>
  <c r="EF236" i="1"/>
  <c r="EB237" i="1"/>
  <c r="EJ237" i="1"/>
  <c r="EF238" i="1"/>
  <c r="EB239" i="1"/>
  <c r="EJ239" i="1"/>
  <c r="EF240" i="1"/>
  <c r="EB241" i="1"/>
  <c r="EJ241" i="1"/>
  <c r="EF242" i="1"/>
  <c r="EB243" i="1"/>
  <c r="EJ243" i="1"/>
  <c r="EF244" i="1"/>
  <c r="EB245" i="1"/>
  <c r="EJ245" i="1"/>
  <c r="EF246" i="1"/>
  <c r="EB247" i="1"/>
  <c r="EG154" i="1"/>
  <c r="EC157" i="1"/>
  <c r="DY160" i="1"/>
  <c r="EG162" i="1"/>
  <c r="EC165" i="1"/>
  <c r="DY168" i="1"/>
  <c r="EG170" i="1"/>
  <c r="EC173" i="1"/>
  <c r="DY176" i="1"/>
  <c r="EG178" i="1"/>
  <c r="EC181" i="1"/>
  <c r="DY184" i="1"/>
  <c r="EG186" i="1"/>
  <c r="DY189" i="1"/>
  <c r="EC190" i="1"/>
  <c r="EG191" i="1"/>
  <c r="DY193" i="1"/>
  <c r="EC194" i="1"/>
  <c r="EG195" i="1"/>
  <c r="DY197" i="1"/>
  <c r="EC198" i="1"/>
  <c r="EG199" i="1"/>
  <c r="DY201" i="1"/>
  <c r="EC202" i="1"/>
  <c r="EG203" i="1"/>
  <c r="DY205" i="1"/>
  <c r="EC206" i="1"/>
  <c r="EG207" i="1"/>
  <c r="DY209" i="1"/>
  <c r="EC210" i="1"/>
  <c r="EG211" i="1"/>
  <c r="DY213" i="1"/>
  <c r="EC214" i="1"/>
  <c r="EG215" i="1"/>
  <c r="DY217" i="1"/>
  <c r="EB218" i="1"/>
  <c r="EA219" i="1"/>
  <c r="EA220" i="1"/>
  <c r="DY221" i="1"/>
  <c r="EI221" i="1"/>
  <c r="EG222" i="1"/>
  <c r="EC223" i="1"/>
  <c r="DY224" i="1"/>
  <c r="EG224" i="1"/>
  <c r="EC225" i="1"/>
  <c r="DY226" i="1"/>
  <c r="EG226" i="1"/>
  <c r="EC227" i="1"/>
  <c r="DY228" i="1"/>
  <c r="EG228" i="1"/>
  <c r="EC229" i="1"/>
  <c r="DY230" i="1"/>
  <c r="EG230" i="1"/>
  <c r="EC231" i="1"/>
  <c r="DY232" i="1"/>
  <c r="EG232" i="1"/>
  <c r="EC233" i="1"/>
  <c r="DY234" i="1"/>
  <c r="EG234" i="1"/>
  <c r="EC235" i="1"/>
  <c r="DY236" i="1"/>
  <c r="EG236" i="1"/>
  <c r="EC237" i="1"/>
  <c r="DY238" i="1"/>
  <c r="EG238" i="1"/>
  <c r="EC239" i="1"/>
  <c r="DY240" i="1"/>
  <c r="EG240" i="1"/>
  <c r="EC241" i="1"/>
  <c r="DY242" i="1"/>
  <c r="EG242" i="1"/>
  <c r="EC243" i="1"/>
  <c r="DY244" i="1"/>
  <c r="EG244" i="1"/>
  <c r="EC245" i="1"/>
  <c r="DY246" i="1"/>
  <c r="EG246" i="1"/>
  <c r="EC247" i="1"/>
  <c r="EA155" i="1"/>
  <c r="EI157" i="1"/>
  <c r="EE160" i="1"/>
  <c r="EA163" i="1"/>
  <c r="EI165" i="1"/>
  <c r="EE168" i="1"/>
  <c r="EA171" i="1"/>
  <c r="EI173" i="1"/>
  <c r="EE176" i="1"/>
  <c r="EA179" i="1"/>
  <c r="EI181" i="1"/>
  <c r="EE184" i="1"/>
  <c r="EA187" i="1"/>
  <c r="EA189" i="1"/>
  <c r="EE190" i="1"/>
  <c r="EI191" i="1"/>
  <c r="EA193" i="1"/>
  <c r="EE194" i="1"/>
  <c r="EI195" i="1"/>
  <c r="EA197" i="1"/>
  <c r="EE198" i="1"/>
  <c r="EI199" i="1"/>
  <c r="EA201" i="1"/>
  <c r="EE202" i="1"/>
  <c r="EI203" i="1"/>
  <c r="EA205" i="1"/>
  <c r="EE206" i="1"/>
  <c r="EI207" i="1"/>
  <c r="EA209" i="1"/>
  <c r="EE210" i="1"/>
  <c r="EI211" i="1"/>
  <c r="EA213" i="1"/>
  <c r="EE214" i="1"/>
  <c r="EI215" i="1"/>
  <c r="EA217" i="1"/>
  <c r="EC218" i="1"/>
  <c r="ED219" i="1"/>
  <c r="EB220" i="1"/>
  <c r="DZ221" i="1"/>
  <c r="DZ222" i="1"/>
  <c r="EH222" i="1"/>
  <c r="ED223" i="1"/>
  <c r="DZ224" i="1"/>
  <c r="EH224" i="1"/>
  <c r="ED225" i="1"/>
  <c r="DZ226" i="1"/>
  <c r="EH226" i="1"/>
  <c r="ED227" i="1"/>
  <c r="DZ228" i="1"/>
  <c r="EH228" i="1"/>
  <c r="ED229" i="1"/>
  <c r="DZ230" i="1"/>
  <c r="EH230" i="1"/>
  <c r="ED231" i="1"/>
  <c r="DZ232" i="1"/>
  <c r="EH232" i="1"/>
  <c r="ED233" i="1"/>
  <c r="DZ234" i="1"/>
  <c r="EH234" i="1"/>
  <c r="ED235" i="1"/>
  <c r="DZ236" i="1"/>
  <c r="EH236" i="1"/>
  <c r="ED237" i="1"/>
  <c r="DZ238" i="1"/>
  <c r="EH238" i="1"/>
  <c r="ED239" i="1"/>
  <c r="DZ240" i="1"/>
  <c r="EH240" i="1"/>
  <c r="ED241" i="1"/>
  <c r="DZ242" i="1"/>
  <c r="EH242" i="1"/>
  <c r="ED243" i="1"/>
  <c r="DZ244" i="1"/>
  <c r="EI155" i="1"/>
  <c r="EE158" i="1"/>
  <c r="EA161" i="1"/>
  <c r="EI163" i="1"/>
  <c r="EE166" i="1"/>
  <c r="EA169" i="1"/>
  <c r="EI171" i="1"/>
  <c r="EE174" i="1"/>
  <c r="EA177" i="1"/>
  <c r="EI179" i="1"/>
  <c r="EE182" i="1"/>
  <c r="EA185" i="1"/>
  <c r="EI187" i="1"/>
  <c r="EE189" i="1"/>
  <c r="EI190" i="1"/>
  <c r="EA192" i="1"/>
  <c r="EE193" i="1"/>
  <c r="EI194" i="1"/>
  <c r="EA196" i="1"/>
  <c r="EE197" i="1"/>
  <c r="EI198" i="1"/>
  <c r="EA200" i="1"/>
  <c r="EE201" i="1"/>
  <c r="EI202" i="1"/>
  <c r="EA204" i="1"/>
  <c r="EE205" i="1"/>
  <c r="EI206" i="1"/>
  <c r="EA208" i="1"/>
  <c r="EE209" i="1"/>
  <c r="EI210" i="1"/>
  <c r="EA212" i="1"/>
  <c r="EE213" i="1"/>
  <c r="EI214" i="1"/>
  <c r="EA216" i="1"/>
  <c r="EE217" i="1"/>
  <c r="ED218" i="1"/>
  <c r="EE219" i="1"/>
  <c r="EC220" i="1"/>
  <c r="EA221" i="1"/>
  <c r="EA222" i="1"/>
  <c r="EI222" i="1"/>
  <c r="EE223" i="1"/>
  <c r="EA224" i="1"/>
  <c r="EI224" i="1"/>
  <c r="EE225" i="1"/>
  <c r="EA226" i="1"/>
  <c r="EI226" i="1"/>
  <c r="EE227" i="1"/>
  <c r="EA228" i="1"/>
  <c r="EI228" i="1"/>
  <c r="EE229" i="1"/>
  <c r="EA230" i="1"/>
  <c r="EI230" i="1"/>
  <c r="EE231" i="1"/>
  <c r="EA232" i="1"/>
  <c r="EI232" i="1"/>
  <c r="EE233" i="1"/>
  <c r="EA234" i="1"/>
  <c r="EI234" i="1"/>
  <c r="EE235" i="1"/>
  <c r="EA236" i="1"/>
  <c r="EI236" i="1"/>
  <c r="EE237" i="1"/>
  <c r="EA238" i="1"/>
  <c r="EI238" i="1"/>
  <c r="EE239" i="1"/>
  <c r="EA240" i="1"/>
  <c r="EI240" i="1"/>
  <c r="EE241" i="1"/>
  <c r="EA242" i="1"/>
  <c r="EI242" i="1"/>
  <c r="EE243" i="1"/>
  <c r="EA244" i="1"/>
  <c r="EI244" i="1"/>
  <c r="EE245" i="1"/>
  <c r="EA246" i="1"/>
  <c r="EI246" i="1"/>
  <c r="EA159" i="1"/>
  <c r="EE164" i="1"/>
  <c r="EI169" i="1"/>
  <c r="EA175" i="1"/>
  <c r="EE180" i="1"/>
  <c r="EI185" i="1"/>
  <c r="EI189" i="1"/>
  <c r="EE192" i="1"/>
  <c r="EA195" i="1"/>
  <c r="EI197" i="1"/>
  <c r="EE200" i="1"/>
  <c r="EA203" i="1"/>
  <c r="EI205" i="1"/>
  <c r="EE208" i="1"/>
  <c r="EA211" i="1"/>
  <c r="EI213" i="1"/>
  <c r="EE216" i="1"/>
  <c r="EJ218" i="1"/>
  <c r="EH220" i="1"/>
  <c r="ED222" i="1"/>
  <c r="EH223" i="1"/>
  <c r="DZ225" i="1"/>
  <c r="ED226" i="1"/>
  <c r="EH227" i="1"/>
  <c r="DZ229" i="1"/>
  <c r="ED230" i="1"/>
  <c r="EH231" i="1"/>
  <c r="DZ233" i="1"/>
  <c r="ED234" i="1"/>
  <c r="EH235" i="1"/>
  <c r="DZ237" i="1"/>
  <c r="ED238" i="1"/>
  <c r="EH239" i="1"/>
  <c r="DZ241" i="1"/>
  <c r="ED242" i="1"/>
  <c r="EH243" i="1"/>
  <c r="DY245" i="1"/>
  <c r="DZ246" i="1"/>
  <c r="DZ247" i="1"/>
  <c r="EJ247" i="1"/>
  <c r="EF248" i="1"/>
  <c r="EB249" i="1"/>
  <c r="EJ249" i="1"/>
  <c r="EF250" i="1"/>
  <c r="EB251" i="1"/>
  <c r="EJ251" i="1"/>
  <c r="EF252" i="1"/>
  <c r="EB253" i="1"/>
  <c r="EJ253" i="1"/>
  <c r="EE154" i="1"/>
  <c r="EI159" i="1"/>
  <c r="EA165" i="1"/>
  <c r="EE170" i="1"/>
  <c r="EI175" i="1"/>
  <c r="EA181" i="1"/>
  <c r="EE186" i="1"/>
  <c r="EA190" i="1"/>
  <c r="EI192" i="1"/>
  <c r="EE195" i="1"/>
  <c r="EA198" i="1"/>
  <c r="EI200" i="1"/>
  <c r="EE203" i="1"/>
  <c r="EA206" i="1"/>
  <c r="EI208" i="1"/>
  <c r="EE211" i="1"/>
  <c r="EA214" i="1"/>
  <c r="EI216" i="1"/>
  <c r="DY219" i="1"/>
  <c r="EI220" i="1"/>
  <c r="EE222" i="1"/>
  <c r="EI223" i="1"/>
  <c r="EA225" i="1"/>
  <c r="EE226" i="1"/>
  <c r="EI227" i="1"/>
  <c r="EA229" i="1"/>
  <c r="EE230" i="1"/>
  <c r="EI231" i="1"/>
  <c r="EA233" i="1"/>
  <c r="EE234" i="1"/>
  <c r="EI235" i="1"/>
  <c r="EA237" i="1"/>
  <c r="EE238" i="1"/>
  <c r="EI239" i="1"/>
  <c r="EA241" i="1"/>
  <c r="EE242" i="1"/>
  <c r="EI243" i="1"/>
  <c r="DZ245" i="1"/>
  <c r="EB246" i="1"/>
  <c r="EA247" i="1"/>
  <c r="DY248" i="1"/>
  <c r="EG248" i="1"/>
  <c r="EC249" i="1"/>
  <c r="DY250" i="1"/>
  <c r="EG250" i="1"/>
  <c r="EC251" i="1"/>
  <c r="DY252" i="1"/>
  <c r="EG252" i="1"/>
  <c r="EC253" i="1"/>
  <c r="DY153" i="1"/>
  <c r="EJ155" i="1"/>
  <c r="EB161" i="1"/>
  <c r="EF166" i="1"/>
  <c r="EJ171" i="1"/>
  <c r="EB177" i="1"/>
  <c r="EF182" i="1"/>
  <c r="EJ187" i="1"/>
  <c r="EJ190" i="1"/>
  <c r="EF193" i="1"/>
  <c r="EB196" i="1"/>
  <c r="EJ198" i="1"/>
  <c r="EF201" i="1"/>
  <c r="EB204" i="1"/>
  <c r="EJ206" i="1"/>
  <c r="EF209" i="1"/>
  <c r="EB212" i="1"/>
  <c r="EJ214" i="1"/>
  <c r="EF217" i="1"/>
  <c r="EF219" i="1"/>
  <c r="ED221" i="1"/>
  <c r="EJ222" i="1"/>
  <c r="EB224" i="1"/>
  <c r="EF225" i="1"/>
  <c r="EJ226" i="1"/>
  <c r="EB228" i="1"/>
  <c r="EF229" i="1"/>
  <c r="EJ230" i="1"/>
  <c r="EB232" i="1"/>
  <c r="EF233" i="1"/>
  <c r="EJ234" i="1"/>
  <c r="EB236" i="1"/>
  <c r="EF237" i="1"/>
  <c r="EJ238" i="1"/>
  <c r="EB240" i="1"/>
  <c r="EF241" i="1"/>
  <c r="EJ242" i="1"/>
  <c r="EB244" i="1"/>
  <c r="EA245" i="1"/>
  <c r="EC246" i="1"/>
  <c r="ED247" i="1"/>
  <c r="DZ248" i="1"/>
  <c r="EH248" i="1"/>
  <c r="ED249" i="1"/>
  <c r="DZ250" i="1"/>
  <c r="EH250" i="1"/>
  <c r="ED251" i="1"/>
  <c r="DZ252" i="1"/>
  <c r="EH252" i="1"/>
  <c r="ED253" i="1"/>
  <c r="DY156" i="1"/>
  <c r="EC161" i="1"/>
  <c r="EG166" i="1"/>
  <c r="DY172" i="1"/>
  <c r="EC177" i="1"/>
  <c r="EG182" i="1"/>
  <c r="DY188" i="1"/>
  <c r="DY191" i="1"/>
  <c r="EG193" i="1"/>
  <c r="EC196" i="1"/>
  <c r="DY199" i="1"/>
  <c r="EG201" i="1"/>
  <c r="EC204" i="1"/>
  <c r="DY207" i="1"/>
  <c r="EG209" i="1"/>
  <c r="EC212" i="1"/>
  <c r="DY215" i="1"/>
  <c r="EG217" i="1"/>
  <c r="EG219" i="1"/>
  <c r="EE221" i="1"/>
  <c r="DY223" i="1"/>
  <c r="EC224" i="1"/>
  <c r="EG225" i="1"/>
  <c r="DY227" i="1"/>
  <c r="EC228" i="1"/>
  <c r="EG229" i="1"/>
  <c r="DY231" i="1"/>
  <c r="EC232" i="1"/>
  <c r="EG233" i="1"/>
  <c r="DY235" i="1"/>
  <c r="EC236" i="1"/>
  <c r="EG237" i="1"/>
  <c r="DY239" i="1"/>
  <c r="EC240" i="1"/>
  <c r="EG241" i="1"/>
  <c r="DY243" i="1"/>
  <c r="EC244" i="1"/>
  <c r="ED245" i="1"/>
  <c r="ED246" i="1"/>
  <c r="EE247" i="1"/>
  <c r="EA248" i="1"/>
  <c r="EI248" i="1"/>
  <c r="EE249" i="1"/>
  <c r="EA250" i="1"/>
  <c r="EI250" i="1"/>
  <c r="EE251" i="1"/>
  <c r="EA252" i="1"/>
  <c r="EI252" i="1"/>
  <c r="EE253" i="1"/>
  <c r="EE156" i="1"/>
  <c r="EI161" i="1"/>
  <c r="EA167" i="1"/>
  <c r="EE172" i="1"/>
  <c r="EI177" i="1"/>
  <c r="EA183" i="1"/>
  <c r="EE188" i="1"/>
  <c r="EA191" i="1"/>
  <c r="EI193" i="1"/>
  <c r="EE196" i="1"/>
  <c r="EA199" i="1"/>
  <c r="EI201" i="1"/>
  <c r="EE204" i="1"/>
  <c r="EA207" i="1"/>
  <c r="EI209" i="1"/>
  <c r="EE212" i="1"/>
  <c r="EA215" i="1"/>
  <c r="EH217" i="1"/>
  <c r="EH219" i="1"/>
  <c r="EF221" i="1"/>
  <c r="DZ223" i="1"/>
  <c r="ED224" i="1"/>
  <c r="EH225" i="1"/>
  <c r="DZ227" i="1"/>
  <c r="ED228" i="1"/>
  <c r="EH229" i="1"/>
  <c r="DZ231" i="1"/>
  <c r="ED232" i="1"/>
  <c r="EH233" i="1"/>
  <c r="DZ235" i="1"/>
  <c r="ED236" i="1"/>
  <c r="EH237" i="1"/>
  <c r="DZ239" i="1"/>
  <c r="ED240" i="1"/>
  <c r="EH241" i="1"/>
  <c r="DZ243" i="1"/>
  <c r="ED244" i="1"/>
  <c r="EF245" i="1"/>
  <c r="EE246" i="1"/>
  <c r="EF247" i="1"/>
  <c r="EB248" i="1"/>
  <c r="EJ248" i="1"/>
  <c r="EF249" i="1"/>
  <c r="EB250" i="1"/>
  <c r="EJ250" i="1"/>
  <c r="EF251" i="1"/>
  <c r="EB252" i="1"/>
  <c r="EJ252" i="1"/>
  <c r="EF253" i="1"/>
  <c r="EA157" i="1"/>
  <c r="EE162" i="1"/>
  <c r="EI167" i="1"/>
  <c r="EA173" i="1"/>
  <c r="EE178" i="1"/>
  <c r="EI183" i="1"/>
  <c r="EI188" i="1"/>
  <c r="EE191" i="1"/>
  <c r="EA194" i="1"/>
  <c r="EI196" i="1"/>
  <c r="EE199" i="1"/>
  <c r="EA202" i="1"/>
  <c r="EI204" i="1"/>
  <c r="EE207" i="1"/>
  <c r="EA210" i="1"/>
  <c r="EI212" i="1"/>
  <c r="EE215" i="1"/>
  <c r="EI217" i="1"/>
  <c r="EI219" i="1"/>
  <c r="EG221" i="1"/>
  <c r="EA223" i="1"/>
  <c r="EE224" i="1"/>
  <c r="EI225" i="1"/>
  <c r="EA227" i="1"/>
  <c r="EE228" i="1"/>
  <c r="EI229" i="1"/>
  <c r="EA231" i="1"/>
  <c r="EE232" i="1"/>
  <c r="EI233" i="1"/>
  <c r="EA235" i="1"/>
  <c r="EE236" i="1"/>
  <c r="EI237" i="1"/>
  <c r="EA239" i="1"/>
  <c r="EE240" i="1"/>
  <c r="EI241" i="1"/>
  <c r="EA243" i="1"/>
  <c r="EE244" i="1"/>
  <c r="EG245" i="1"/>
  <c r="EH246" i="1"/>
  <c r="EG247" i="1"/>
  <c r="EC248" i="1"/>
  <c r="DY249" i="1"/>
  <c r="EG249" i="1"/>
  <c r="EC250" i="1"/>
  <c r="DY251" i="1"/>
  <c r="EG251" i="1"/>
  <c r="EC252" i="1"/>
  <c r="DY253" i="1"/>
  <c r="EG253" i="1"/>
  <c r="EF158" i="1"/>
  <c r="EJ179" i="1"/>
  <c r="EJ194" i="1"/>
  <c r="EF205" i="1"/>
  <c r="EB216" i="1"/>
  <c r="EF223" i="1"/>
  <c r="EJ228" i="1"/>
  <c r="EB234" i="1"/>
  <c r="EF239" i="1"/>
  <c r="EH244" i="1"/>
  <c r="ED248" i="1"/>
  <c r="DZ251" i="1"/>
  <c r="EH253" i="1"/>
  <c r="EG158" i="1"/>
  <c r="DY180" i="1"/>
  <c r="DY195" i="1"/>
  <c r="EG205" i="1"/>
  <c r="EC216" i="1"/>
  <c r="EG223" i="1"/>
  <c r="DY229" i="1"/>
  <c r="EC234" i="1"/>
  <c r="EG239" i="1"/>
  <c r="EJ244" i="1"/>
  <c r="EE248" i="1"/>
  <c r="EA251" i="1"/>
  <c r="EI253" i="1"/>
  <c r="EJ163" i="1"/>
  <c r="EB185" i="1"/>
  <c r="EF197" i="1"/>
  <c r="EB208" i="1"/>
  <c r="EE218" i="1"/>
  <c r="EJ224" i="1"/>
  <c r="EB230" i="1"/>
  <c r="EF235" i="1"/>
  <c r="EJ240" i="1"/>
  <c r="EH245" i="1"/>
  <c r="DZ249" i="1"/>
  <c r="EH251" i="1"/>
  <c r="DY164" i="1"/>
  <c r="EC185" i="1"/>
  <c r="EG197" i="1"/>
  <c r="EC208" i="1"/>
  <c r="EI218" i="1"/>
  <c r="DY225" i="1"/>
  <c r="EC230" i="1"/>
  <c r="EG235" i="1"/>
  <c r="DY241" i="1"/>
  <c r="EI245" i="1"/>
  <c r="EA249" i="1"/>
  <c r="EI251" i="1"/>
  <c r="EB169" i="1"/>
  <c r="EF189" i="1"/>
  <c r="EB200" i="1"/>
  <c r="EJ210" i="1"/>
  <c r="ED220" i="1"/>
  <c r="EB226" i="1"/>
  <c r="EF231" i="1"/>
  <c r="EJ236" i="1"/>
  <c r="EB242" i="1"/>
  <c r="EJ246" i="1"/>
  <c r="EH249" i="1"/>
  <c r="ED252" i="1"/>
  <c r="EC169" i="1"/>
  <c r="EG189" i="1"/>
  <c r="EC200" i="1"/>
  <c r="DY211" i="1"/>
  <c r="EE220" i="1"/>
  <c r="EC226" i="1"/>
  <c r="EG231" i="1"/>
  <c r="DY237" i="1"/>
  <c r="EC242" i="1"/>
  <c r="DY247" i="1"/>
  <c r="EI249" i="1"/>
  <c r="EE252" i="1"/>
  <c r="EF213" i="1"/>
  <c r="EB238" i="1"/>
  <c r="DZ253" i="1"/>
  <c r="EG213" i="1"/>
  <c r="EC238" i="1"/>
  <c r="EA253" i="1"/>
  <c r="EF174" i="1"/>
  <c r="EB222" i="1"/>
  <c r="EF243" i="1"/>
  <c r="EG174" i="1"/>
  <c r="EC222" i="1"/>
  <c r="EG243" i="1"/>
  <c r="EC192" i="1"/>
  <c r="EG227" i="1"/>
  <c r="EI247" i="1"/>
  <c r="EJ202" i="1"/>
  <c r="EJ232" i="1"/>
  <c r="ED250" i="1"/>
  <c r="EB192" i="1"/>
  <c r="DY203" i="1"/>
  <c r="EF227" i="1"/>
  <c r="DY233" i="1"/>
  <c r="EE250" i="1"/>
  <c r="EH247" i="1"/>
  <c r="AH220" i="38"/>
  <c r="AH194" i="38"/>
  <c r="AH179" i="38"/>
  <c r="AH243" i="38"/>
  <c r="FK240" i="1"/>
  <c r="AJ238" i="38" s="1"/>
  <c r="FK252" i="1"/>
  <c r="AJ250" i="38" s="1"/>
  <c r="FK243" i="1"/>
  <c r="AJ241" i="38" s="1"/>
  <c r="FK197" i="1"/>
  <c r="AJ195" i="38" s="1"/>
  <c r="FK203" i="1"/>
  <c r="AJ201" i="38" s="1"/>
  <c r="FK167" i="1"/>
  <c r="AJ165" i="38" s="1"/>
  <c r="FK189" i="1"/>
  <c r="AJ187" i="38" s="1"/>
  <c r="FK216" i="1"/>
  <c r="AJ214" i="38" s="1"/>
  <c r="FK200" i="1"/>
  <c r="AJ198" i="38" s="1"/>
  <c r="FK184" i="1"/>
  <c r="AJ182" i="38" s="1"/>
  <c r="FK168" i="1"/>
  <c r="AJ166" i="38" s="1"/>
  <c r="AH191" i="38"/>
  <c r="AH156" i="38"/>
  <c r="AH167" i="38"/>
  <c r="AH228" i="38"/>
  <c r="AH213" i="38"/>
  <c r="AH176" i="38"/>
  <c r="AH240" i="38"/>
  <c r="AH214" i="38"/>
  <c r="AH154" i="38"/>
  <c r="AH159" i="38"/>
  <c r="AH205" i="38"/>
  <c r="FK245" i="1"/>
  <c r="AJ243" i="38" s="1"/>
  <c r="FK251" i="1"/>
  <c r="AJ249" i="38" s="1"/>
  <c r="FK253" i="1"/>
  <c r="AJ251" i="38" s="1"/>
  <c r="FK231" i="1"/>
  <c r="AJ229" i="38" s="1"/>
  <c r="FK213" i="1"/>
  <c r="AJ211" i="38" s="1"/>
  <c r="FK227" i="1"/>
  <c r="AJ225" i="38" s="1"/>
  <c r="FK219" i="1"/>
  <c r="AJ217" i="38" s="1"/>
  <c r="FK205" i="1"/>
  <c r="AJ203" i="38" s="1"/>
  <c r="FK226" i="1"/>
  <c r="AJ224" i="38" s="1"/>
  <c r="FK210" i="1"/>
  <c r="AJ208" i="38" s="1"/>
  <c r="FK194" i="1"/>
  <c r="AJ192" i="38" s="1"/>
  <c r="FK178" i="1"/>
  <c r="AJ176" i="38" s="1"/>
  <c r="FK162" i="1"/>
  <c r="AJ160" i="38" s="1"/>
  <c r="AH184" i="38"/>
  <c r="AH248" i="38"/>
  <c r="AH217" i="38"/>
  <c r="AH172" i="38"/>
  <c r="AH244" i="38"/>
  <c r="AH152" i="38"/>
  <c r="AH234" i="38"/>
  <c r="AH170" i="38"/>
  <c r="AH225" i="38"/>
  <c r="AH153" i="38"/>
  <c r="AH199" i="38"/>
  <c r="AH210" i="38"/>
  <c r="AH195" i="38"/>
  <c r="FK233" i="1"/>
  <c r="AJ231" i="38" s="1"/>
  <c r="FK195" i="1"/>
  <c r="AJ193" i="38" s="1"/>
  <c r="FK221" i="1"/>
  <c r="AJ219" i="38" s="1"/>
  <c r="FK220" i="1"/>
  <c r="AJ218" i="38" s="1"/>
  <c r="FK204" i="1"/>
  <c r="AJ202" i="38" s="1"/>
  <c r="FK188" i="1"/>
  <c r="AJ186" i="38" s="1"/>
  <c r="FK172" i="1"/>
  <c r="AJ170" i="38" s="1"/>
  <c r="FK156" i="1"/>
  <c r="AJ154" i="38" s="1"/>
  <c r="AH161" i="38"/>
  <c r="AH222" i="38"/>
  <c r="AH207" i="38"/>
  <c r="AH180" i="38"/>
  <c r="AH229" i="38"/>
  <c r="AH203" i="38"/>
  <c r="AH192" i="38"/>
  <c r="AH164" i="38"/>
  <c r="AH160" i="38"/>
  <c r="AH236" i="38"/>
  <c r="AH221" i="38"/>
  <c r="FK234" i="1"/>
  <c r="AJ232" i="38" s="1"/>
  <c r="FK232" i="1"/>
  <c r="AJ230" i="38" s="1"/>
  <c r="FK183" i="1"/>
  <c r="AJ181" i="38" s="1"/>
  <c r="FK169" i="1"/>
  <c r="AJ167" i="38" s="1"/>
  <c r="FK230" i="1"/>
  <c r="AJ228" i="38" s="1"/>
  <c r="FK214" i="1"/>
  <c r="AJ212" i="38" s="1"/>
  <c r="FK198" i="1"/>
  <c r="AJ196" i="38" s="1"/>
  <c r="FK182" i="1"/>
  <c r="AJ180" i="38" s="1"/>
  <c r="FK166" i="1"/>
  <c r="AJ164" i="38" s="1"/>
  <c r="AH200" i="38"/>
  <c r="AH158" i="38"/>
  <c r="AH233" i="38"/>
  <c r="AH168" i="38"/>
  <c r="AH238" i="38"/>
  <c r="AH196" i="38"/>
  <c r="AH181" i="38"/>
  <c r="AH245" i="38"/>
  <c r="AH250" i="38"/>
  <c r="AH219" i="38"/>
  <c r="AH177" i="38"/>
  <c r="AH241" i="38"/>
  <c r="AH169" i="38"/>
  <c r="AH230" i="38"/>
  <c r="AH215" i="38"/>
  <c r="J13" i="24"/>
  <c r="J23" i="24" s="1"/>
  <c r="AI443" i="38"/>
  <c r="AI419" i="38"/>
  <c r="AI420" i="38"/>
  <c r="AI426" i="38"/>
  <c r="AI445" i="38"/>
  <c r="AI446" i="38"/>
  <c r="AI418" i="38"/>
  <c r="AI424" i="38"/>
  <c r="AI432" i="38"/>
  <c r="AJ423" i="38"/>
  <c r="AJ442" i="38"/>
  <c r="AJ447" i="38"/>
  <c r="AJ435" i="38"/>
  <c r="AJ440" i="38"/>
  <c r="AJ446" i="38"/>
  <c r="AJ444" i="38"/>
  <c r="AJ419" i="38"/>
  <c r="AI439" i="38"/>
  <c r="AI425" i="38"/>
  <c r="AJ436" i="38"/>
  <c r="AJ424" i="38"/>
  <c r="AJ421" i="38"/>
  <c r="AI448" i="38"/>
  <c r="AI422" i="38"/>
  <c r="AI431" i="38"/>
  <c r="AI442" i="38"/>
  <c r="AI440" i="38"/>
  <c r="AI444" i="38"/>
  <c r="AI434" i="38"/>
  <c r="AI435" i="38"/>
  <c r="AI416" i="38"/>
  <c r="AJ439" i="38"/>
  <c r="AJ437" i="38"/>
  <c r="AJ426" i="38"/>
  <c r="AJ416" i="38"/>
  <c r="AJ427" i="38"/>
  <c r="AJ422" i="38"/>
  <c r="AJ441" i="38"/>
  <c r="AJ418" i="38"/>
  <c r="AI437" i="38"/>
  <c r="AI430" i="38"/>
  <c r="AI449" i="38"/>
  <c r="AJ432" i="38"/>
  <c r="AJ448" i="38"/>
  <c r="AI447" i="38"/>
  <c r="AI428" i="38"/>
  <c r="AI423" i="38"/>
  <c r="AI436" i="38"/>
  <c r="AI427" i="38"/>
  <c r="AI417" i="38"/>
  <c r="AI421" i="38"/>
  <c r="AI438" i="38"/>
  <c r="AJ420" i="38"/>
  <c r="AJ425" i="38"/>
  <c r="AJ428" i="38"/>
  <c r="AJ449" i="38"/>
  <c r="AJ429" i="38"/>
  <c r="AJ443" i="38"/>
  <c r="AJ445" i="38"/>
  <c r="AJ438" i="38"/>
  <c r="AJ434" i="38"/>
  <c r="AI433" i="38"/>
  <c r="AI441" i="38"/>
  <c r="AI429" i="38"/>
  <c r="AJ430" i="38"/>
  <c r="AJ431" i="38"/>
  <c r="AJ433" i="38"/>
  <c r="AJ417" i="38"/>
  <c r="Z46" i="5"/>
  <c r="M46" i="5"/>
  <c r="S46" i="5"/>
  <c r="X46" i="5"/>
  <c r="U46" i="5"/>
  <c r="AG46" i="5"/>
  <c r="AE46" i="5"/>
  <c r="U193" i="11"/>
  <c r="P34" i="5" s="1"/>
  <c r="AI193" i="11"/>
  <c r="AD34" i="5" s="1"/>
  <c r="AA193" i="11"/>
  <c r="V34" i="5" s="1"/>
  <c r="AL193" i="11"/>
  <c r="AG34" i="5" s="1"/>
  <c r="V193" i="11"/>
  <c r="Q34" i="5" s="1"/>
  <c r="Y194" i="11"/>
  <c r="T66" i="5" s="1"/>
  <c r="AD193" i="11"/>
  <c r="Y34" i="5" s="1"/>
  <c r="S193" i="11"/>
  <c r="N34" i="5" s="1"/>
  <c r="AB194" i="11"/>
  <c r="W66" i="5" s="1"/>
  <c r="AR194" i="11"/>
  <c r="AM66" i="5" s="1"/>
  <c r="AS194" i="11"/>
  <c r="AN66" i="5" s="1"/>
  <c r="AY194" i="11"/>
  <c r="AT66" i="5" s="1"/>
  <c r="AT193" i="11"/>
  <c r="AO34" i="5" s="1"/>
  <c r="AS193" i="11"/>
  <c r="AN34" i="5" s="1"/>
  <c r="AQ193" i="11"/>
  <c r="AL34" i="5" s="1"/>
  <c r="R193" i="11"/>
  <c r="M34" i="5" s="1"/>
  <c r="K193" i="11"/>
  <c r="F34" i="5" s="1"/>
  <c r="N193" i="11"/>
  <c r="I34" i="5" s="1"/>
  <c r="AV194" i="11"/>
  <c r="AQ66" i="5" s="1"/>
  <c r="AT194" i="11"/>
  <c r="AO66" i="5" s="1"/>
  <c r="BA194" i="11"/>
  <c r="AV66" i="5" s="1"/>
  <c r="AB193" i="11"/>
  <c r="W34" i="5" s="1"/>
  <c r="J194" i="11"/>
  <c r="E66" i="5" s="1"/>
  <c r="N194" i="11"/>
  <c r="I66" i="5" s="1"/>
  <c r="R194" i="11"/>
  <c r="M66" i="5" s="1"/>
  <c r="AO194" i="11"/>
  <c r="AJ66" i="5" s="1"/>
  <c r="AH194" i="11"/>
  <c r="AC66" i="5" s="1"/>
  <c r="AY193" i="11"/>
  <c r="AT34" i="5" s="1"/>
  <c r="V194" i="11"/>
  <c r="Q66" i="5" s="1"/>
  <c r="AP194" i="11"/>
  <c r="AK66" i="5" s="1"/>
  <c r="O194" i="11"/>
  <c r="J66" i="5" s="1"/>
  <c r="AP193" i="11"/>
  <c r="AK34" i="5" s="1"/>
  <c r="Z193" i="11"/>
  <c r="U34" i="5" s="1"/>
  <c r="J193" i="11"/>
  <c r="E34" i="5" s="1"/>
  <c r="I193" i="11"/>
  <c r="D34" i="5" s="1"/>
  <c r="Q193" i="11"/>
  <c r="L34" i="5" s="1"/>
  <c r="Y193" i="11"/>
  <c r="T34" i="5" s="1"/>
  <c r="AG193" i="11"/>
  <c r="AB34" i="5" s="1"/>
  <c r="AO193" i="11"/>
  <c r="AJ34" i="5" s="1"/>
  <c r="AJ193" i="11"/>
  <c r="AE34" i="5" s="1"/>
  <c r="P193" i="11"/>
  <c r="K34" i="5" s="1"/>
  <c r="L193" i="11"/>
  <c r="G34" i="5" s="1"/>
  <c r="AA194" i="11"/>
  <c r="V66" i="5" s="1"/>
  <c r="U194" i="11"/>
  <c r="P66" i="5" s="1"/>
  <c r="AC194" i="11"/>
  <c r="X66" i="5" s="1"/>
  <c r="W194" i="11"/>
  <c r="R66" i="5" s="1"/>
  <c r="AM194" i="11"/>
  <c r="AH66" i="5" s="1"/>
  <c r="AI194" i="11"/>
  <c r="AD66" i="5" s="1"/>
  <c r="AZ193" i="11"/>
  <c r="AU34" i="5" s="1"/>
  <c r="AX193" i="11"/>
  <c r="AS34" i="5" s="1"/>
  <c r="AU193" i="11"/>
  <c r="AP34" i="5" s="1"/>
  <c r="AE194" i="11"/>
  <c r="Z66" i="5" s="1"/>
  <c r="H193" i="11"/>
  <c r="C34" i="5" s="1"/>
  <c r="AF193" i="11"/>
  <c r="AA34" i="5" s="1"/>
  <c r="M194" i="11"/>
  <c r="H66" i="5" s="1"/>
  <c r="AK194" i="11"/>
  <c r="AF66" i="5" s="1"/>
  <c r="AH193" i="11"/>
  <c r="AC34" i="5" s="1"/>
  <c r="M193" i="11"/>
  <c r="H34" i="5" s="1"/>
  <c r="AC193" i="11"/>
  <c r="X34" i="5" s="1"/>
  <c r="AK193" i="11"/>
  <c r="AF34" i="5" s="1"/>
  <c r="X193" i="11"/>
  <c r="S34" i="5" s="1"/>
  <c r="K194" i="11"/>
  <c r="F66" i="5" s="1"/>
  <c r="P194" i="11"/>
  <c r="K66" i="5" s="1"/>
  <c r="T194" i="11"/>
  <c r="O66" i="5" s="1"/>
  <c r="AG194" i="11"/>
  <c r="AB66" i="5" s="1"/>
  <c r="H194" i="11"/>
  <c r="C66" i="5" s="1"/>
  <c r="X194" i="11"/>
  <c r="S66" i="5" s="1"/>
  <c r="AZ194" i="11"/>
  <c r="AU66" i="5" s="1"/>
  <c r="AW194" i="11"/>
  <c r="AR66" i="5" s="1"/>
  <c r="BC194" i="11"/>
  <c r="AX66" i="5" s="1"/>
  <c r="BB193" i="11"/>
  <c r="AW34" i="5" s="1"/>
  <c r="AW193" i="11"/>
  <c r="AR34" i="5" s="1"/>
  <c r="BC193" i="11"/>
  <c r="AX34" i="5" s="1"/>
  <c r="AF194" i="11"/>
  <c r="AA66" i="5" s="1"/>
  <c r="O193" i="11"/>
  <c r="J34" i="5" s="1"/>
  <c r="W193" i="11"/>
  <c r="R34" i="5" s="1"/>
  <c r="AE193" i="11"/>
  <c r="Z34" i="5" s="1"/>
  <c r="AM193" i="11"/>
  <c r="AH34" i="5" s="1"/>
  <c r="AN193" i="11"/>
  <c r="AI34" i="5" s="1"/>
  <c r="L194" i="11"/>
  <c r="G66" i="5" s="1"/>
  <c r="I194" i="11"/>
  <c r="D66" i="5" s="1"/>
  <c r="Q194" i="11"/>
  <c r="L66" i="5" s="1"/>
  <c r="S194" i="11"/>
  <c r="N66" i="5" s="1"/>
  <c r="Z194" i="11"/>
  <c r="U66" i="5" s="1"/>
  <c r="AL194" i="11"/>
  <c r="AG66" i="5" s="1"/>
  <c r="AN194" i="11"/>
  <c r="AI66" i="5" s="1"/>
  <c r="AD194" i="11"/>
  <c r="Y66" i="5" s="1"/>
  <c r="AQ194" i="11"/>
  <c r="AL66" i="5" s="1"/>
  <c r="AR193" i="11"/>
  <c r="AM34" i="5" s="1"/>
  <c r="AV193" i="11"/>
  <c r="AQ34" i="5" s="1"/>
  <c r="BA193" i="11"/>
  <c r="AV34" i="5" s="1"/>
  <c r="T193" i="11"/>
  <c r="O34" i="5" s="1"/>
  <c r="AJ194" i="11"/>
  <c r="AE66" i="5" s="1"/>
  <c r="AG417" i="38"/>
  <c r="AG434" i="38"/>
  <c r="AG449" i="38"/>
  <c r="AG440" i="38"/>
  <c r="AG431" i="38"/>
  <c r="AG443" i="38"/>
  <c r="AG428" i="38"/>
  <c r="AG430" i="38"/>
  <c r="AG416" i="38"/>
  <c r="AH421" i="38"/>
  <c r="AH432" i="38"/>
  <c r="AH426" i="38"/>
  <c r="AH439" i="38"/>
  <c r="AH418" i="38"/>
  <c r="AH430" i="38"/>
  <c r="AH447" i="38"/>
  <c r="AH434" i="38"/>
  <c r="AG420" i="38"/>
  <c r="AG423" i="38"/>
  <c r="AG437" i="38"/>
  <c r="AG427" i="38"/>
  <c r="AG445" i="38"/>
  <c r="AG425" i="38"/>
  <c r="AG448" i="38"/>
  <c r="AG429" i="38"/>
  <c r="AH422" i="38"/>
  <c r="AH431" i="38"/>
  <c r="AH423" i="38"/>
  <c r="AH425" i="38"/>
  <c r="AH440" i="38"/>
  <c r="AH424" i="38"/>
  <c r="AH429" i="38"/>
  <c r="AH436" i="38"/>
  <c r="AH449" i="38"/>
  <c r="AK428" i="38"/>
  <c r="AK426" i="38"/>
  <c r="AK445" i="38"/>
  <c r="AK431" i="38"/>
  <c r="AK433" i="38"/>
  <c r="AK416" i="38"/>
  <c r="AK421" i="38"/>
  <c r="AK438" i="38"/>
  <c r="AL422" i="38"/>
  <c r="AL435" i="38"/>
  <c r="AL419" i="38"/>
  <c r="AL431" i="38"/>
  <c r="AL428" i="38"/>
  <c r="AL425" i="38"/>
  <c r="AL444" i="38"/>
  <c r="AL449" i="38"/>
  <c r="AL448" i="38"/>
  <c r="AM426" i="38"/>
  <c r="AM429" i="38"/>
  <c r="AM430" i="38"/>
  <c r="AM417" i="38"/>
  <c r="AM436" i="38"/>
  <c r="AM434" i="38"/>
  <c r="AM428" i="38"/>
  <c r="AM422" i="38"/>
  <c r="AN424" i="38"/>
  <c r="AN445" i="38"/>
  <c r="AN447" i="38"/>
  <c r="AN435" i="38"/>
  <c r="AN423" i="38"/>
  <c r="AN428" i="38"/>
  <c r="AN446" i="38"/>
  <c r="AN422" i="38"/>
  <c r="AN442" i="38"/>
  <c r="AO433" i="38"/>
  <c r="AO427" i="38"/>
  <c r="AO421" i="38"/>
  <c r="AO434" i="38"/>
  <c r="AO441" i="38"/>
  <c r="AO449" i="38"/>
  <c r="AO445" i="38"/>
  <c r="AO432" i="38"/>
  <c r="AP426" i="38"/>
  <c r="AP439" i="38"/>
  <c r="AP419" i="38"/>
  <c r="AP445" i="38"/>
  <c r="AP416" i="38"/>
  <c r="AP444" i="38"/>
  <c r="AP417" i="38"/>
  <c r="AP440" i="38"/>
  <c r="AP431" i="38"/>
  <c r="AQ422" i="38"/>
  <c r="AQ429" i="38"/>
  <c r="AQ439" i="38"/>
  <c r="AQ425" i="38"/>
  <c r="AQ443" i="38"/>
  <c r="AQ447" i="38"/>
  <c r="AQ431" i="38"/>
  <c r="AQ449" i="38"/>
  <c r="AG436" i="38"/>
  <c r="AG446" i="38"/>
  <c r="AG424" i="38"/>
  <c r="AG419" i="38"/>
  <c r="AG426" i="38"/>
  <c r="AG441" i="38"/>
  <c r="AG435" i="38"/>
  <c r="AG432" i="38"/>
  <c r="AH438" i="38"/>
  <c r="AH448" i="38"/>
  <c r="AH444" i="38"/>
  <c r="AH441" i="38"/>
  <c r="AH435" i="38"/>
  <c r="AH419" i="38"/>
  <c r="AH445" i="38"/>
  <c r="AH443" i="38"/>
  <c r="AH416" i="38"/>
  <c r="AK444" i="38"/>
  <c r="AK419" i="38"/>
  <c r="AK432" i="38"/>
  <c r="AK434" i="38"/>
  <c r="AK420" i="38"/>
  <c r="AK439" i="38"/>
  <c r="AK437" i="38"/>
  <c r="AK449" i="38"/>
  <c r="AL438" i="38"/>
  <c r="AL416" i="38"/>
  <c r="AL446" i="38"/>
  <c r="AL434" i="38"/>
  <c r="AL439" i="38"/>
  <c r="AL441" i="38"/>
  <c r="AL423" i="38"/>
  <c r="AL440" i="38"/>
  <c r="AL447" i="38"/>
  <c r="AM442" i="38"/>
  <c r="AM444" i="38"/>
  <c r="AM446" i="38"/>
  <c r="AM448" i="38"/>
  <c r="AM420" i="38"/>
  <c r="AM424" i="38"/>
  <c r="AM437" i="38"/>
  <c r="AM432" i="38"/>
  <c r="AN440" i="38"/>
  <c r="AN448" i="38"/>
  <c r="AN418" i="38"/>
  <c r="AN434" i="38"/>
  <c r="AN437" i="38"/>
  <c r="AN444" i="38"/>
  <c r="AN421" i="38"/>
  <c r="AN426" i="38"/>
  <c r="AN433" i="38"/>
  <c r="AO420" i="38"/>
  <c r="AO416" i="38"/>
  <c r="AO437" i="38"/>
  <c r="AO435" i="38"/>
  <c r="AO428" i="38"/>
  <c r="AO446" i="38"/>
  <c r="AO419" i="38"/>
  <c r="AO448" i="38"/>
  <c r="AP442" i="38"/>
  <c r="AP424" i="38"/>
  <c r="AP430" i="38"/>
  <c r="AP449" i="38"/>
  <c r="AP438" i="38"/>
  <c r="AP448" i="38"/>
  <c r="AP433" i="38"/>
  <c r="AP435" i="38"/>
  <c r="AP443" i="38"/>
  <c r="AQ438" i="38"/>
  <c r="AQ424" i="38"/>
  <c r="AQ426" i="38"/>
  <c r="AQ437" i="38"/>
  <c r="AQ430" i="38"/>
  <c r="AQ433" i="38"/>
  <c r="AQ418" i="38"/>
  <c r="AQ416" i="38"/>
  <c r="AK425" i="38"/>
  <c r="AK446" i="38"/>
  <c r="AK418" i="38"/>
  <c r="AK422" i="38"/>
  <c r="AK435" i="38"/>
  <c r="AK436" i="38"/>
  <c r="AK442" i="38"/>
  <c r="AK424" i="38"/>
  <c r="AK427" i="38"/>
  <c r="AG421" i="38"/>
  <c r="AG444" i="38"/>
  <c r="AH427" i="38"/>
  <c r="AH446" i="38"/>
  <c r="AK423" i="38"/>
  <c r="AK430" i="38"/>
  <c r="AL421" i="38"/>
  <c r="AL445" i="38"/>
  <c r="AL426" i="38"/>
  <c r="AL430" i="38"/>
  <c r="AM423" i="38"/>
  <c r="AM427" i="38"/>
  <c r="AM438" i="38"/>
  <c r="AM416" i="38"/>
  <c r="AM449" i="38"/>
  <c r="AN438" i="38"/>
  <c r="AN425" i="38"/>
  <c r="AN431" i="38"/>
  <c r="AN436" i="38"/>
  <c r="AO436" i="38"/>
  <c r="AO424" i="38"/>
  <c r="AO444" i="38"/>
  <c r="AO422" i="38"/>
  <c r="AP425" i="38"/>
  <c r="AP446" i="38"/>
  <c r="AP421" i="38"/>
  <c r="AP423" i="38"/>
  <c r="AQ419" i="38"/>
  <c r="AQ441" i="38"/>
  <c r="AQ432" i="38"/>
  <c r="AQ440" i="38"/>
  <c r="AQ421" i="38"/>
  <c r="AM431" i="38"/>
  <c r="AN419" i="38"/>
  <c r="AO431" i="38"/>
  <c r="AP420" i="38"/>
  <c r="AP428" i="38"/>
  <c r="AQ446" i="38"/>
  <c r="AG439" i="38"/>
  <c r="AH437" i="38"/>
  <c r="AK417" i="38"/>
  <c r="AL420" i="38"/>
  <c r="AL433" i="38"/>
  <c r="AM418" i="38"/>
  <c r="AN432" i="38"/>
  <c r="AO417" i="38"/>
  <c r="AO429" i="38"/>
  <c r="AP427" i="38"/>
  <c r="AQ417" i="38"/>
  <c r="AQ428" i="38"/>
  <c r="AG442" i="38"/>
  <c r="AG447" i="38"/>
  <c r="AH442" i="38"/>
  <c r="AH420" i="38"/>
  <c r="AK429" i="38"/>
  <c r="AK443" i="38"/>
  <c r="AL437" i="38"/>
  <c r="AL432" i="38"/>
  <c r="AL442" i="38"/>
  <c r="AL429" i="38"/>
  <c r="AM439" i="38"/>
  <c r="AM443" i="38"/>
  <c r="AM421" i="38"/>
  <c r="AM441" i="38"/>
  <c r="AM445" i="38"/>
  <c r="AN441" i="38"/>
  <c r="AN420" i="38"/>
  <c r="AN416" i="38"/>
  <c r="AN439" i="38"/>
  <c r="AO426" i="38"/>
  <c r="AO440" i="38"/>
  <c r="AO442" i="38"/>
  <c r="AO443" i="38"/>
  <c r="AP441" i="38"/>
  <c r="AP429" i="38"/>
  <c r="AP437" i="38"/>
  <c r="AP436" i="38"/>
  <c r="AQ435" i="38"/>
  <c r="AQ423" i="38"/>
  <c r="AQ427" i="38"/>
  <c r="AQ420" i="38"/>
  <c r="AQ448" i="38"/>
  <c r="AG433" i="38"/>
  <c r="AG422" i="38"/>
  <c r="AG438" i="38"/>
  <c r="AH428" i="38"/>
  <c r="AH417" i="38"/>
  <c r="AK448" i="38"/>
  <c r="AK440" i="38"/>
  <c r="AL436" i="38"/>
  <c r="AL417" i="38"/>
  <c r="AL443" i="38"/>
  <c r="AL418" i="38"/>
  <c r="AM440" i="38"/>
  <c r="AM447" i="38"/>
  <c r="AM419" i="38"/>
  <c r="AN427" i="38"/>
  <c r="AN449" i="38"/>
  <c r="AN430" i="38"/>
  <c r="AO425" i="38"/>
  <c r="AO430" i="38"/>
  <c r="AO418" i="38"/>
  <c r="AO447" i="38"/>
  <c r="AP432" i="38"/>
  <c r="AP418" i="38"/>
  <c r="AQ436" i="38"/>
  <c r="AQ442" i="38"/>
  <c r="AQ434" i="38"/>
  <c r="AG418" i="38"/>
  <c r="AH433" i="38"/>
  <c r="AK441" i="38"/>
  <c r="AK447" i="38"/>
  <c r="AL427" i="38"/>
  <c r="AL424" i="38"/>
  <c r="AM425" i="38"/>
  <c r="AM433" i="38"/>
  <c r="AM435" i="38"/>
  <c r="AN443" i="38"/>
  <c r="AN417" i="38"/>
  <c r="AN429" i="38"/>
  <c r="AO439" i="38"/>
  <c r="AO438" i="38"/>
  <c r="AO423" i="38"/>
  <c r="AP447" i="38"/>
  <c r="AP434" i="38"/>
  <c r="AP422" i="38"/>
  <c r="AQ444" i="38"/>
  <c r="AQ445" i="38"/>
  <c r="D46" i="5"/>
  <c r="R46" i="5"/>
  <c r="E46" i="5"/>
  <c r="AI46" i="5"/>
  <c r="AD46" i="5"/>
  <c r="AL46" i="5"/>
  <c r="FK69" i="1"/>
  <c r="AJ67" i="38" s="1"/>
  <c r="FJ255" i="1"/>
  <c r="FI255" i="1"/>
  <c r="FK25" i="1"/>
  <c r="AJ23" i="38" s="1"/>
  <c r="FK114" i="1"/>
  <c r="AJ112" i="38" s="1"/>
  <c r="FK132" i="1"/>
  <c r="AJ130" i="38" s="1"/>
  <c r="FK118" i="1"/>
  <c r="AJ116" i="38" s="1"/>
  <c r="FK117" i="1"/>
  <c r="AJ115" i="38" s="1"/>
  <c r="FK35" i="1"/>
  <c r="AJ33" i="38" s="1"/>
  <c r="FK96" i="1"/>
  <c r="AJ94" i="38" s="1"/>
  <c r="FK108" i="1"/>
  <c r="AJ106" i="38" s="1"/>
  <c r="FK94" i="1"/>
  <c r="AJ92" i="38" s="1"/>
  <c r="FK143" i="1"/>
  <c r="AJ141" i="38" s="1"/>
  <c r="FK23" i="1"/>
  <c r="AJ21" i="38" s="1"/>
  <c r="FK152" i="1"/>
  <c r="AJ150" i="38" s="1"/>
  <c r="FK61" i="1"/>
  <c r="AJ59" i="38" s="1"/>
  <c r="FK129" i="1"/>
  <c r="AJ127" i="38" s="1"/>
  <c r="FK97" i="1"/>
  <c r="AJ95" i="38" s="1"/>
  <c r="FK59" i="1"/>
  <c r="AJ57" i="38" s="1"/>
  <c r="FK110" i="1"/>
  <c r="AJ108" i="38" s="1"/>
  <c r="FK31" i="1"/>
  <c r="AJ29" i="38" s="1"/>
  <c r="FK32" i="1"/>
  <c r="AJ30" i="38" s="1"/>
  <c r="FK90" i="1"/>
  <c r="AJ88" i="38" s="1"/>
  <c r="FK26" i="1"/>
  <c r="AJ24" i="38" s="1"/>
  <c r="FH255" i="1"/>
  <c r="FK120" i="1"/>
  <c r="AJ118" i="38" s="1"/>
  <c r="FK29" i="1"/>
  <c r="AJ27" i="38" s="1"/>
  <c r="FK54" i="1"/>
  <c r="AJ52" i="38" s="1"/>
  <c r="FK57" i="1"/>
  <c r="AJ55" i="38" s="1"/>
  <c r="FK16" i="1"/>
  <c r="AJ14" i="38" s="1"/>
  <c r="FK81" i="1"/>
  <c r="AJ79" i="38" s="1"/>
  <c r="FK55" i="1"/>
  <c r="AJ53" i="38" s="1"/>
  <c r="FK254" i="1"/>
  <c r="AJ252" i="38" s="1"/>
  <c r="FK89" i="1"/>
  <c r="AJ87" i="38" s="1"/>
  <c r="FK146" i="1"/>
  <c r="AJ144" i="38" s="1"/>
  <c r="FK65" i="1"/>
  <c r="AJ63" i="38" s="1"/>
  <c r="FK128" i="1"/>
  <c r="AJ126" i="38" s="1"/>
  <c r="FK150" i="1"/>
  <c r="AJ148" i="38" s="1"/>
  <c r="FK37" i="1"/>
  <c r="AJ35" i="38" s="1"/>
  <c r="FK125" i="1"/>
  <c r="AJ123" i="38" s="1"/>
  <c r="FK93" i="1"/>
  <c r="AJ91" i="38" s="1"/>
  <c r="FK51" i="1"/>
  <c r="AJ49" i="38" s="1"/>
  <c r="FK122" i="1"/>
  <c r="AJ120" i="38" s="1"/>
  <c r="FK140" i="1"/>
  <c r="AJ138" i="38" s="1"/>
  <c r="FK126" i="1"/>
  <c r="AJ124" i="38" s="1"/>
  <c r="FK151" i="1"/>
  <c r="AJ149" i="38" s="1"/>
  <c r="FK119" i="1"/>
  <c r="AJ117" i="38" s="1"/>
  <c r="FK39" i="1"/>
  <c r="AJ37" i="38" s="1"/>
  <c r="FK137" i="1"/>
  <c r="AJ135" i="38" s="1"/>
  <c r="FK105" i="1"/>
  <c r="AJ103" i="38" s="1"/>
  <c r="FK75" i="1"/>
  <c r="AJ73" i="38" s="1"/>
  <c r="FK6" i="1"/>
  <c r="AJ4" i="38" s="1"/>
  <c r="FK104" i="1"/>
  <c r="AJ102" i="38" s="1"/>
  <c r="FK138" i="1"/>
  <c r="AJ136" i="38" s="1"/>
  <c r="FK8" i="1"/>
  <c r="AJ6" i="38" s="1"/>
  <c r="FK49" i="1"/>
  <c r="AJ47" i="38" s="1"/>
  <c r="FK112" i="1"/>
  <c r="AJ110" i="38" s="1"/>
  <c r="FK142" i="1"/>
  <c r="AJ140" i="38" s="1"/>
  <c r="FK20" i="1"/>
  <c r="AJ18" i="38" s="1"/>
  <c r="FK123" i="1"/>
  <c r="AJ121" i="38" s="1"/>
  <c r="FK47" i="1"/>
  <c r="AJ45" i="38" s="1"/>
  <c r="FK46" i="1"/>
  <c r="AJ44" i="38" s="1"/>
  <c r="FK72" i="1"/>
  <c r="AJ70" i="38" s="1"/>
  <c r="FK40" i="1"/>
  <c r="AJ38" i="38" s="1"/>
  <c r="FK66" i="1"/>
  <c r="AJ64" i="38" s="1"/>
  <c r="FK34" i="1"/>
  <c r="AJ32" i="38" s="1"/>
  <c r="FK84" i="1"/>
  <c r="AJ82" i="38" s="1"/>
  <c r="FK52" i="1"/>
  <c r="AJ50" i="38" s="1"/>
  <c r="FK19" i="1"/>
  <c r="AJ17" i="38" s="1"/>
  <c r="FK22" i="1"/>
  <c r="AJ20" i="38" s="1"/>
  <c r="FK11" i="1"/>
  <c r="AJ9" i="38" s="1"/>
  <c r="FK13" i="1"/>
  <c r="AJ11" i="38" s="1"/>
  <c r="FK133" i="1"/>
  <c r="AJ131" i="38" s="1"/>
  <c r="FK101" i="1"/>
  <c r="AJ99" i="38" s="1"/>
  <c r="FK67" i="1"/>
  <c r="AJ65" i="38" s="1"/>
  <c r="FK86" i="1"/>
  <c r="AJ84" i="38" s="1"/>
  <c r="FK136" i="1"/>
  <c r="AJ134" i="38" s="1"/>
  <c r="FK45" i="1"/>
  <c r="AJ43" i="38" s="1"/>
  <c r="FK144" i="1"/>
  <c r="AJ142" i="38" s="1"/>
  <c r="FK53" i="1"/>
  <c r="AJ51" i="38" s="1"/>
  <c r="FK127" i="1"/>
  <c r="AJ125" i="38" s="1"/>
  <c r="FK95" i="1"/>
  <c r="AJ93" i="38" s="1"/>
  <c r="FK62" i="1"/>
  <c r="AJ60" i="38" s="1"/>
  <c r="FK98" i="1"/>
  <c r="AJ96" i="38" s="1"/>
  <c r="FK116" i="1"/>
  <c r="AJ114" i="38" s="1"/>
  <c r="FK102" i="1"/>
  <c r="AJ100" i="38" s="1"/>
  <c r="FK145" i="1"/>
  <c r="AJ143" i="38" s="1"/>
  <c r="FK113" i="1"/>
  <c r="AJ111" i="38" s="1"/>
  <c r="FK91" i="1"/>
  <c r="AJ89" i="38" s="1"/>
  <c r="FK27" i="1"/>
  <c r="AJ25" i="38" s="1"/>
  <c r="FK77" i="1"/>
  <c r="AJ75" i="38" s="1"/>
  <c r="FK85" i="1"/>
  <c r="AJ83" i="38" s="1"/>
  <c r="FK131" i="1"/>
  <c r="AJ129" i="38" s="1"/>
  <c r="FK99" i="1"/>
  <c r="AJ97" i="38" s="1"/>
  <c r="FK63" i="1"/>
  <c r="AJ61" i="38" s="1"/>
  <c r="FK78" i="1"/>
  <c r="AJ76" i="38" s="1"/>
  <c r="FK80" i="1"/>
  <c r="AJ78" i="38" s="1"/>
  <c r="FK48" i="1"/>
  <c r="AJ46" i="38" s="1"/>
  <c r="FK15" i="1"/>
  <c r="AJ13" i="38" s="1"/>
  <c r="FK74" i="1"/>
  <c r="AJ72" i="38" s="1"/>
  <c r="FK42" i="1"/>
  <c r="AJ40" i="38" s="1"/>
  <c r="FK92" i="1"/>
  <c r="AJ90" i="38" s="1"/>
  <c r="FK60" i="1"/>
  <c r="AJ58" i="38" s="1"/>
  <c r="FK28" i="1"/>
  <c r="AJ26" i="38" s="1"/>
  <c r="FK30" i="1"/>
  <c r="AJ28" i="38" s="1"/>
  <c r="FK14" i="1"/>
  <c r="AJ12" i="38" s="1"/>
  <c r="FK100" i="1"/>
  <c r="AJ98" i="38" s="1"/>
  <c r="FK73" i="1"/>
  <c r="AJ71" i="38" s="1"/>
  <c r="FK141" i="1"/>
  <c r="AJ139" i="38" s="1"/>
  <c r="FK109" i="1"/>
  <c r="AJ107" i="38" s="1"/>
  <c r="FK83" i="1"/>
  <c r="AJ81" i="38" s="1"/>
  <c r="FK18" i="1"/>
  <c r="AJ16" i="38" s="1"/>
  <c r="FK135" i="1"/>
  <c r="AJ133" i="38" s="1"/>
  <c r="FK103" i="1"/>
  <c r="AJ101" i="38" s="1"/>
  <c r="FK71" i="1"/>
  <c r="AJ69" i="38" s="1"/>
  <c r="FK130" i="1"/>
  <c r="AJ128" i="38" s="1"/>
  <c r="FK148" i="1"/>
  <c r="AJ146" i="38" s="1"/>
  <c r="FK33" i="1"/>
  <c r="AJ31" i="38" s="1"/>
  <c r="FK134" i="1"/>
  <c r="AJ132" i="38" s="1"/>
  <c r="FK153" i="1"/>
  <c r="AJ151" i="38" s="1"/>
  <c r="FK121" i="1"/>
  <c r="AJ119" i="38" s="1"/>
  <c r="FK43" i="1"/>
  <c r="AJ41" i="38" s="1"/>
  <c r="FK5" i="1"/>
  <c r="AJ3" i="38" s="1"/>
  <c r="FK41" i="1"/>
  <c r="AJ39" i="38" s="1"/>
  <c r="FK139" i="1"/>
  <c r="AJ137" i="38" s="1"/>
  <c r="FK107" i="1"/>
  <c r="AJ105" i="38" s="1"/>
  <c r="FK79" i="1"/>
  <c r="AJ77" i="38" s="1"/>
  <c r="FK10" i="1"/>
  <c r="AJ8" i="38" s="1"/>
  <c r="FK88" i="1"/>
  <c r="AJ86" i="38" s="1"/>
  <c r="FK56" i="1"/>
  <c r="AJ54" i="38" s="1"/>
  <c r="FK24" i="1"/>
  <c r="AJ22" i="38" s="1"/>
  <c r="FK82" i="1"/>
  <c r="AJ80" i="38" s="1"/>
  <c r="FK50" i="1"/>
  <c r="AJ48" i="38" s="1"/>
  <c r="FK17" i="1"/>
  <c r="AJ15" i="38" s="1"/>
  <c r="FK68" i="1"/>
  <c r="AJ66" i="38" s="1"/>
  <c r="FK36" i="1"/>
  <c r="AJ34" i="38" s="1"/>
  <c r="FK38" i="1"/>
  <c r="AJ36" i="38" s="1"/>
  <c r="FK12" i="1"/>
  <c r="AJ10" i="38" s="1"/>
  <c r="FK21" i="1"/>
  <c r="AJ19" i="38" s="1"/>
  <c r="FK149" i="1"/>
  <c r="AJ147" i="38" s="1"/>
  <c r="FK111" i="1"/>
  <c r="AJ109" i="38" s="1"/>
  <c r="FK87" i="1"/>
  <c r="AJ85" i="38" s="1"/>
  <c r="FK70" i="1"/>
  <c r="AJ68" i="38" s="1"/>
  <c r="FK106" i="1"/>
  <c r="AJ104" i="38" s="1"/>
  <c r="FK124" i="1"/>
  <c r="AJ122" i="38" s="1"/>
  <c r="FK147" i="1"/>
  <c r="AJ145" i="38" s="1"/>
  <c r="FK115" i="1"/>
  <c r="AJ113" i="38" s="1"/>
  <c r="FK64" i="1"/>
  <c r="AJ62" i="38" s="1"/>
  <c r="FK58" i="1"/>
  <c r="AJ56" i="38" s="1"/>
  <c r="FK76" i="1"/>
  <c r="AJ74" i="38" s="1"/>
  <c r="FK44" i="1"/>
  <c r="AJ42" i="38" s="1"/>
  <c r="FK7" i="1"/>
  <c r="AJ5" i="38" s="1"/>
  <c r="FK9" i="1"/>
  <c r="AJ7" i="38" s="1"/>
  <c r="AJ46" i="5"/>
  <c r="Y46" i="5"/>
  <c r="V46" i="5"/>
  <c r="DM262" i="1"/>
  <c r="AM10" i="5" s="1"/>
  <c r="DR281" i="1"/>
  <c r="DO281" i="1"/>
  <c r="DW280" i="1"/>
  <c r="AW13" i="5" s="1"/>
  <c r="DS280" i="1"/>
  <c r="AS13" i="5" s="1"/>
  <c r="O46" i="5"/>
  <c r="T46" i="5"/>
  <c r="DM259" i="1"/>
  <c r="AM9" i="5" s="1"/>
  <c r="DM265" i="1"/>
  <c r="AM11" i="5" s="1"/>
  <c r="DM284" i="1"/>
  <c r="DM266" i="1"/>
  <c r="AM44" i="5" s="1"/>
  <c r="AB46" i="5"/>
  <c r="DO257" i="1"/>
  <c r="AO41" i="5" s="1"/>
  <c r="AC46" i="5"/>
  <c r="AK46" i="5"/>
  <c r="DU257" i="1"/>
  <c r="AU41" i="5" s="1"/>
  <c r="DM281" i="1"/>
  <c r="DT280" i="1"/>
  <c r="AT13" i="5" s="1"/>
  <c r="DX257" i="1"/>
  <c r="AX41" i="5" s="1"/>
  <c r="DN257" i="1"/>
  <c r="AN41" i="5" s="1"/>
  <c r="DN281" i="1"/>
  <c r="AN46" i="5" s="1"/>
  <c r="DV280" i="1"/>
  <c r="AV13" i="5" s="1"/>
  <c r="DR280" i="1"/>
  <c r="AR13" i="5" s="1"/>
  <c r="DV257" i="1"/>
  <c r="AV41" i="5" s="1"/>
  <c r="DT281" i="1"/>
  <c r="AT46" i="5" s="1"/>
  <c r="DW281" i="1"/>
  <c r="AA46" i="5"/>
  <c r="AF46" i="5"/>
  <c r="P46" i="5"/>
  <c r="DP280" i="1"/>
  <c r="AP13" i="5" s="1"/>
  <c r="DX280" i="1"/>
  <c r="AX13" i="5" s="1"/>
  <c r="DX281" i="1"/>
  <c r="DM280" i="1"/>
  <c r="AM13" i="5" s="1"/>
  <c r="DP257" i="1"/>
  <c r="AP41" i="5" s="1"/>
  <c r="DO280" i="1"/>
  <c r="AO13" i="5" s="1"/>
  <c r="DS257" i="1"/>
  <c r="AS41" i="5" s="1"/>
  <c r="DV281" i="1"/>
  <c r="DP281" i="1"/>
  <c r="DQ281" i="1"/>
  <c r="DW257" i="1"/>
  <c r="AW41" i="5" s="1"/>
  <c r="Q46" i="5"/>
  <c r="W46" i="5"/>
  <c r="N46" i="5"/>
  <c r="DQ280" i="1"/>
  <c r="AQ13" i="5" s="1"/>
  <c r="DU281" i="1"/>
  <c r="DU280" i="1"/>
  <c r="AU13" i="5" s="1"/>
  <c r="DS281" i="1"/>
  <c r="DN280" i="1"/>
  <c r="AN13" i="5" s="1"/>
  <c r="DR257" i="1"/>
  <c r="AR41" i="5" s="1"/>
  <c r="K46" i="5"/>
  <c r="I46" i="5"/>
  <c r="J46" i="5"/>
  <c r="H46" i="5"/>
  <c r="L46" i="5"/>
  <c r="G46" i="5"/>
  <c r="F46" i="5"/>
  <c r="BX28" i="5"/>
  <c r="BX30" i="5"/>
  <c r="M21" i="27" s="1"/>
  <c r="BX29" i="5"/>
  <c r="BX63" i="5"/>
  <c r="BX61" i="5"/>
  <c r="M28" i="27" s="1"/>
  <c r="C46" i="5"/>
  <c r="BX45" i="5"/>
  <c r="BX43" i="5"/>
  <c r="DQ257" i="1"/>
  <c r="AQ41" i="5" s="1"/>
  <c r="I101" i="7"/>
  <c r="X64" i="7"/>
  <c r="H101" i="7"/>
  <c r="W64" i="7"/>
  <c r="I36" i="23"/>
  <c r="I37" i="23" s="1"/>
  <c r="G36" i="23"/>
  <c r="G37" i="23" s="1"/>
  <c r="F36" i="23"/>
  <c r="F37" i="23" s="1"/>
  <c r="F32" i="23"/>
  <c r="F33" i="23" s="1"/>
  <c r="E36" i="23"/>
  <c r="E37" i="23" s="1"/>
  <c r="D15" i="7"/>
  <c r="DT260" i="1"/>
  <c r="AT42" i="5" s="1"/>
  <c r="DT257" i="1"/>
  <c r="AT41" i="5" s="1"/>
  <c r="DM256" i="1"/>
  <c r="DV256" i="1"/>
  <c r="DP256" i="1"/>
  <c r="DX256" i="1"/>
  <c r="R4" i="27"/>
  <c r="BP2" i="1"/>
  <c r="K40" i="27"/>
  <c r="AK4" i="23"/>
  <c r="BP2" i="11" s="1"/>
  <c r="DO4" i="11" s="1"/>
  <c r="F60" i="19"/>
  <c r="H6" i="27"/>
  <c r="R6" i="27" s="1"/>
  <c r="BK1" i="5"/>
  <c r="EK2" i="1"/>
  <c r="DU256" i="1"/>
  <c r="DQ256" i="1"/>
  <c r="DW256" i="1"/>
  <c r="DY21" i="1"/>
  <c r="EC11" i="1"/>
  <c r="EE11" i="1"/>
  <c r="DZ21" i="1"/>
  <c r="ED11" i="1"/>
  <c r="EI11" i="1"/>
  <c r="DY13" i="1"/>
  <c r="EC14" i="1"/>
  <c r="EH13" i="1"/>
  <c r="EI12" i="1"/>
  <c r="EA14" i="1"/>
  <c r="ED13" i="1"/>
  <c r="EJ12" i="1"/>
  <c r="EB14" i="1"/>
  <c r="DZ14" i="1"/>
  <c r="EA254" i="1"/>
  <c r="ED254" i="1"/>
  <c r="EJ254" i="1"/>
  <c r="EJ6" i="1"/>
  <c r="EJ259" i="1" s="1"/>
  <c r="BJ9" i="5" s="1"/>
  <c r="EB8" i="1"/>
  <c r="EB265" i="1" s="1"/>
  <c r="BB11" i="5" s="1"/>
  <c r="EF9" i="1"/>
  <c r="EJ10" i="1"/>
  <c r="EB16" i="1"/>
  <c r="EF17" i="1"/>
  <c r="EJ18" i="1"/>
  <c r="EB20" i="1"/>
  <c r="EF22" i="1"/>
  <c r="EF284" i="1" s="1"/>
  <c r="EJ23" i="1"/>
  <c r="EB25" i="1"/>
  <c r="EF26" i="1"/>
  <c r="EJ27" i="1"/>
  <c r="EB29" i="1"/>
  <c r="EF30" i="1"/>
  <c r="EJ31" i="1"/>
  <c r="EB33" i="1"/>
  <c r="EF34" i="1"/>
  <c r="EJ35" i="1"/>
  <c r="EB37" i="1"/>
  <c r="EF38" i="1"/>
  <c r="EJ39" i="1"/>
  <c r="EB41" i="1"/>
  <c r="EF42" i="1"/>
  <c r="EJ43" i="1"/>
  <c r="EB45" i="1"/>
  <c r="EF46" i="1"/>
  <c r="EJ47" i="1"/>
  <c r="EB49" i="1"/>
  <c r="EC21" i="1"/>
  <c r="EG11" i="1"/>
  <c r="EF21" i="1"/>
  <c r="ED21" i="1"/>
  <c r="EH11" i="1"/>
  <c r="EB21" i="1"/>
  <c r="DY12" i="1"/>
  <c r="EC13" i="1"/>
  <c r="EG14" i="1"/>
  <c r="ED14" i="1"/>
  <c r="EA13" i="1"/>
  <c r="EE14" i="1"/>
  <c r="EH14" i="1"/>
  <c r="EB13" i="1"/>
  <c r="EF14" i="1"/>
  <c r="DY254" i="1"/>
  <c r="EI254" i="1"/>
  <c r="EH254" i="1"/>
  <c r="EB7" i="1"/>
  <c r="EB262" i="1" s="1"/>
  <c r="BB10" i="5" s="1"/>
  <c r="EF8" i="1"/>
  <c r="EF265" i="1" s="1"/>
  <c r="BF11" i="5" s="1"/>
  <c r="EJ9" i="1"/>
  <c r="EB15" i="1"/>
  <c r="EF16" i="1"/>
  <c r="EJ17" i="1"/>
  <c r="EB19" i="1"/>
  <c r="EF20" i="1"/>
  <c r="EJ22" i="1"/>
  <c r="EJ284" i="1" s="1"/>
  <c r="EB24" i="1"/>
  <c r="EF25" i="1"/>
  <c r="EJ26" i="1"/>
  <c r="EB28" i="1"/>
  <c r="EF29" i="1"/>
  <c r="EJ30" i="1"/>
  <c r="EB32" i="1"/>
  <c r="EF33" i="1"/>
  <c r="EJ34" i="1"/>
  <c r="EB36" i="1"/>
  <c r="EF37" i="1"/>
  <c r="EJ38" i="1"/>
  <c r="EB40" i="1"/>
  <c r="EF41" i="1"/>
  <c r="EJ42" i="1"/>
  <c r="EB44" i="1"/>
  <c r="EF45" i="1"/>
  <c r="EJ46" i="1"/>
  <c r="EB48" i="1"/>
  <c r="EF49" i="1"/>
  <c r="EG21" i="1"/>
  <c r="EA21" i="1"/>
  <c r="EB11" i="1"/>
  <c r="EH21" i="1"/>
  <c r="EE21" i="1"/>
  <c r="EJ21" i="1"/>
  <c r="EC12" i="1"/>
  <c r="EG13" i="1"/>
  <c r="DZ12" i="1"/>
  <c r="EA12" i="1"/>
  <c r="EE13" i="1"/>
  <c r="EI14" i="1"/>
  <c r="EB12" i="1"/>
  <c r="EF13" i="1"/>
  <c r="EJ14" i="1"/>
  <c r="EC254" i="1"/>
  <c r="EF254" i="1"/>
  <c r="EE254" i="1"/>
  <c r="EB6" i="1"/>
  <c r="EB259" i="1" s="1"/>
  <c r="BB9" i="5" s="1"/>
  <c r="EF7" i="1"/>
  <c r="EF262" i="1" s="1"/>
  <c r="BF10" i="5" s="1"/>
  <c r="EJ8" i="1"/>
  <c r="EJ265" i="1" s="1"/>
  <c r="BJ11" i="5" s="1"/>
  <c r="EB10" i="1"/>
  <c r="EF15" i="1"/>
  <c r="EJ16" i="1"/>
  <c r="EB18" i="1"/>
  <c r="EF19" i="1"/>
  <c r="EJ20" i="1"/>
  <c r="EB23" i="1"/>
  <c r="EF24" i="1"/>
  <c r="EJ25" i="1"/>
  <c r="EB27" i="1"/>
  <c r="EF28" i="1"/>
  <c r="EJ29" i="1"/>
  <c r="EB31" i="1"/>
  <c r="EF32" i="1"/>
  <c r="EJ33" i="1"/>
  <c r="EB35" i="1"/>
  <c r="EF36" i="1"/>
  <c r="EJ37" i="1"/>
  <c r="EB39" i="1"/>
  <c r="EF40" i="1"/>
  <c r="EJ41" i="1"/>
  <c r="EB43" i="1"/>
  <c r="EF44" i="1"/>
  <c r="EJ45" i="1"/>
  <c r="EB47" i="1"/>
  <c r="EF48" i="1"/>
  <c r="DY11" i="1"/>
  <c r="EI21" i="1"/>
  <c r="EJ11" i="1"/>
  <c r="DZ11" i="1"/>
  <c r="EA11" i="1"/>
  <c r="EF11" i="1"/>
  <c r="EG12" i="1"/>
  <c r="DY14" i="1"/>
  <c r="DZ13" i="1"/>
  <c r="EE12" i="1"/>
  <c r="EI13" i="1"/>
  <c r="ED12" i="1"/>
  <c r="EF12" i="1"/>
  <c r="EJ13" i="1"/>
  <c r="EH12" i="1"/>
  <c r="EG254" i="1"/>
  <c r="DZ254" i="1"/>
  <c r="EB254" i="1"/>
  <c r="EF6" i="1"/>
  <c r="EF259" i="1" s="1"/>
  <c r="BF9" i="5" s="1"/>
  <c r="EJ7" i="1"/>
  <c r="EJ262" i="1" s="1"/>
  <c r="BJ10" i="5" s="1"/>
  <c r="EB9" i="1"/>
  <c r="EB278" i="1" s="1"/>
  <c r="EF10" i="1"/>
  <c r="EJ15" i="1"/>
  <c r="EB17" i="1"/>
  <c r="EF18" i="1"/>
  <c r="EJ19" i="1"/>
  <c r="EB22" i="1"/>
  <c r="EB284" i="1" s="1"/>
  <c r="EF23" i="1"/>
  <c r="EJ24" i="1"/>
  <c r="EB26" i="1"/>
  <c r="EF27" i="1"/>
  <c r="EJ28" i="1"/>
  <c r="EB30" i="1"/>
  <c r="EF31" i="1"/>
  <c r="EJ32" i="1"/>
  <c r="EB34" i="1"/>
  <c r="EF35" i="1"/>
  <c r="EJ36" i="1"/>
  <c r="EB38" i="1"/>
  <c r="EF39" i="1"/>
  <c r="EJ40" i="1"/>
  <c r="EB42" i="1"/>
  <c r="EF43" i="1"/>
  <c r="EJ44" i="1"/>
  <c r="EB46" i="1"/>
  <c r="EF47" i="1"/>
  <c r="EJ48" i="1"/>
  <c r="EJ49" i="1"/>
  <c r="EB51" i="1"/>
  <c r="EF52" i="1"/>
  <c r="EJ53" i="1"/>
  <c r="EB55" i="1"/>
  <c r="EF56" i="1"/>
  <c r="EJ57" i="1"/>
  <c r="EB59" i="1"/>
  <c r="EF60" i="1"/>
  <c r="EJ61" i="1"/>
  <c r="EB63" i="1"/>
  <c r="EF64" i="1"/>
  <c r="DY6" i="1"/>
  <c r="EC7" i="1"/>
  <c r="EC262" i="1" s="1"/>
  <c r="BC10" i="5" s="1"/>
  <c r="EG8" i="1"/>
  <c r="EG265" i="1" s="1"/>
  <c r="BG11" i="5" s="1"/>
  <c r="DY10" i="1"/>
  <c r="EC15" i="1"/>
  <c r="EG16" i="1"/>
  <c r="DY18" i="1"/>
  <c r="EC19" i="1"/>
  <c r="EG20" i="1"/>
  <c r="DY23" i="1"/>
  <c r="EC24" i="1"/>
  <c r="EG25" i="1"/>
  <c r="DY27" i="1"/>
  <c r="EC28" i="1"/>
  <c r="EG29" i="1"/>
  <c r="DY31" i="1"/>
  <c r="EC32" i="1"/>
  <c r="EG33" i="1"/>
  <c r="DY35" i="1"/>
  <c r="EC36" i="1"/>
  <c r="EG37" i="1"/>
  <c r="DY39" i="1"/>
  <c r="EC40" i="1"/>
  <c r="EG41" i="1"/>
  <c r="DY43" i="1"/>
  <c r="EC44" i="1"/>
  <c r="EG45" i="1"/>
  <c r="DY47" i="1"/>
  <c r="EC48" i="1"/>
  <c r="EG49" i="1"/>
  <c r="DY51" i="1"/>
  <c r="EC52" i="1"/>
  <c r="EG53" i="1"/>
  <c r="DY55" i="1"/>
  <c r="EC56" i="1"/>
  <c r="EG57" i="1"/>
  <c r="DY59" i="1"/>
  <c r="EC60" i="1"/>
  <c r="EG61" i="1"/>
  <c r="DY63" i="1"/>
  <c r="EC64" i="1"/>
  <c r="EG65" i="1"/>
  <c r="DZ8" i="1"/>
  <c r="DZ265" i="1" s="1"/>
  <c r="AZ11" i="5" s="1"/>
  <c r="EH10" i="1"/>
  <c r="ED17" i="1"/>
  <c r="DZ20" i="1"/>
  <c r="EH23" i="1"/>
  <c r="ED26" i="1"/>
  <c r="DZ29" i="1"/>
  <c r="EH31" i="1"/>
  <c r="ED34" i="1"/>
  <c r="DZ37" i="1"/>
  <c r="EH39" i="1"/>
  <c r="ED42" i="1"/>
  <c r="DZ45" i="1"/>
  <c r="EH47" i="1"/>
  <c r="ED50" i="1"/>
  <c r="DZ53" i="1"/>
  <c r="EH55" i="1"/>
  <c r="ED58" i="1"/>
  <c r="DZ61" i="1"/>
  <c r="EH63" i="1"/>
  <c r="DZ66" i="1"/>
  <c r="ED67" i="1"/>
  <c r="EH68" i="1"/>
  <c r="DZ70" i="1"/>
  <c r="ED71" i="1"/>
  <c r="EH72" i="1"/>
  <c r="EB50" i="1"/>
  <c r="EF51" i="1"/>
  <c r="EJ52" i="1"/>
  <c r="EB54" i="1"/>
  <c r="EF55" i="1"/>
  <c r="EJ56" i="1"/>
  <c r="EB58" i="1"/>
  <c r="EF59" i="1"/>
  <c r="EJ60" i="1"/>
  <c r="EB62" i="1"/>
  <c r="EF63" i="1"/>
  <c r="EJ64" i="1"/>
  <c r="EC6" i="1"/>
  <c r="EC259" i="1" s="1"/>
  <c r="BC9" i="5" s="1"/>
  <c r="EG7" i="1"/>
  <c r="EG262" i="1" s="1"/>
  <c r="BG10" i="5" s="1"/>
  <c r="DY9" i="1"/>
  <c r="EC10" i="1"/>
  <c r="EG15" i="1"/>
  <c r="DY17" i="1"/>
  <c r="EC18" i="1"/>
  <c r="EG19" i="1"/>
  <c r="DY22" i="1"/>
  <c r="EC23" i="1"/>
  <c r="EG24" i="1"/>
  <c r="DY26" i="1"/>
  <c r="EC27" i="1"/>
  <c r="EG28" i="1"/>
  <c r="DY30" i="1"/>
  <c r="EC31" i="1"/>
  <c r="EG32" i="1"/>
  <c r="DY34" i="1"/>
  <c r="EC35" i="1"/>
  <c r="EG36" i="1"/>
  <c r="DY38" i="1"/>
  <c r="EC39" i="1"/>
  <c r="EG40" i="1"/>
  <c r="DY42" i="1"/>
  <c r="EC43" i="1"/>
  <c r="EG44" i="1"/>
  <c r="DY46" i="1"/>
  <c r="EC47" i="1"/>
  <c r="EG48" i="1"/>
  <c r="DY50" i="1"/>
  <c r="EC51" i="1"/>
  <c r="EG52" i="1"/>
  <c r="DY54" i="1"/>
  <c r="EC55" i="1"/>
  <c r="EG56" i="1"/>
  <c r="DY58" i="1"/>
  <c r="EC59" i="1"/>
  <c r="EG60" i="1"/>
  <c r="DY62" i="1"/>
  <c r="EC63" i="1"/>
  <c r="EG64" i="1"/>
  <c r="DZ6" i="1"/>
  <c r="DZ259" i="1" s="1"/>
  <c r="AZ9" i="5" s="1"/>
  <c r="EH8" i="1"/>
  <c r="EH265" i="1" s="1"/>
  <c r="BH11" i="5" s="1"/>
  <c r="ED15" i="1"/>
  <c r="DZ18" i="1"/>
  <c r="EH20" i="1"/>
  <c r="ED24" i="1"/>
  <c r="DZ27" i="1"/>
  <c r="EH29" i="1"/>
  <c r="ED32" i="1"/>
  <c r="DZ35" i="1"/>
  <c r="EH37" i="1"/>
  <c r="ED40" i="1"/>
  <c r="DZ43" i="1"/>
  <c r="EH45" i="1"/>
  <c r="ED48" i="1"/>
  <c r="DZ51" i="1"/>
  <c r="EH53" i="1"/>
  <c r="ED56" i="1"/>
  <c r="DZ59" i="1"/>
  <c r="EH61" i="1"/>
  <c r="ED64" i="1"/>
  <c r="ED66" i="1"/>
  <c r="EH67" i="1"/>
  <c r="DZ69" i="1"/>
  <c r="ED70" i="1"/>
  <c r="EH71" i="1"/>
  <c r="DZ73" i="1"/>
  <c r="ED74" i="1"/>
  <c r="EH75" i="1"/>
  <c r="DZ77" i="1"/>
  <c r="ED78" i="1"/>
  <c r="EH79" i="1"/>
  <c r="EF50" i="1"/>
  <c r="EJ51" i="1"/>
  <c r="EB53" i="1"/>
  <c r="EF54" i="1"/>
  <c r="EJ55" i="1"/>
  <c r="EB57" i="1"/>
  <c r="EF58" i="1"/>
  <c r="EJ59" i="1"/>
  <c r="EB61" i="1"/>
  <c r="EF62" i="1"/>
  <c r="EJ63" i="1"/>
  <c r="EB65" i="1"/>
  <c r="EG6" i="1"/>
  <c r="EG259" i="1" s="1"/>
  <c r="BG9" i="5" s="1"/>
  <c r="DY8" i="1"/>
  <c r="EC9" i="1"/>
  <c r="EG10" i="1"/>
  <c r="DY16" i="1"/>
  <c r="EC17" i="1"/>
  <c r="EG18" i="1"/>
  <c r="DY20" i="1"/>
  <c r="EC22" i="1"/>
  <c r="EC284" i="1" s="1"/>
  <c r="EG23" i="1"/>
  <c r="DY25" i="1"/>
  <c r="EC26" i="1"/>
  <c r="EG27" i="1"/>
  <c r="DY29" i="1"/>
  <c r="EC30" i="1"/>
  <c r="EG31" i="1"/>
  <c r="DY33" i="1"/>
  <c r="EC34" i="1"/>
  <c r="EG35" i="1"/>
  <c r="DY37" i="1"/>
  <c r="EC38" i="1"/>
  <c r="EG39" i="1"/>
  <c r="DY41" i="1"/>
  <c r="EC42" i="1"/>
  <c r="EG43" i="1"/>
  <c r="DY45" i="1"/>
  <c r="EC46" i="1"/>
  <c r="EG47" i="1"/>
  <c r="DY49" i="1"/>
  <c r="EC50" i="1"/>
  <c r="EG51" i="1"/>
  <c r="DY53" i="1"/>
  <c r="EC54" i="1"/>
  <c r="EG55" i="1"/>
  <c r="DY57" i="1"/>
  <c r="EC58" i="1"/>
  <c r="EG59" i="1"/>
  <c r="DY61" i="1"/>
  <c r="EC62" i="1"/>
  <c r="EG63" i="1"/>
  <c r="DY65" i="1"/>
  <c r="EH6" i="1"/>
  <c r="EH259" i="1" s="1"/>
  <c r="BH9" i="5" s="1"/>
  <c r="ED9" i="1"/>
  <c r="DZ16" i="1"/>
  <c r="EH18" i="1"/>
  <c r="ED22" i="1"/>
  <c r="ED284" i="1" s="1"/>
  <c r="DZ25" i="1"/>
  <c r="EH27" i="1"/>
  <c r="ED30" i="1"/>
  <c r="DZ33" i="1"/>
  <c r="EH35" i="1"/>
  <c r="ED38" i="1"/>
  <c r="DZ41" i="1"/>
  <c r="EH43" i="1"/>
  <c r="ED46" i="1"/>
  <c r="DZ49" i="1"/>
  <c r="EH51" i="1"/>
  <c r="ED54" i="1"/>
  <c r="DZ57" i="1"/>
  <c r="EH59" i="1"/>
  <c r="ED62" i="1"/>
  <c r="DZ65" i="1"/>
  <c r="EH66" i="1"/>
  <c r="DZ68" i="1"/>
  <c r="ED69" i="1"/>
  <c r="EH70" i="1"/>
  <c r="DZ72" i="1"/>
  <c r="EJ50" i="1"/>
  <c r="EB52" i="1"/>
  <c r="EF53" i="1"/>
  <c r="EJ54" i="1"/>
  <c r="EB56" i="1"/>
  <c r="EF57" i="1"/>
  <c r="EJ58" i="1"/>
  <c r="EB60" i="1"/>
  <c r="EF61" i="1"/>
  <c r="EJ62" i="1"/>
  <c r="EB64" i="1"/>
  <c r="EF65" i="1"/>
  <c r="DY7" i="1"/>
  <c r="EC8" i="1"/>
  <c r="EC265" i="1" s="1"/>
  <c r="BC11" i="5" s="1"/>
  <c r="EG9" i="1"/>
  <c r="DY15" i="1"/>
  <c r="EC16" i="1"/>
  <c r="EG17" i="1"/>
  <c r="DY19" i="1"/>
  <c r="EC20" i="1"/>
  <c r="EG22" i="1"/>
  <c r="EG284" i="1" s="1"/>
  <c r="DY24" i="1"/>
  <c r="EC25" i="1"/>
  <c r="EG26" i="1"/>
  <c r="DY28" i="1"/>
  <c r="EC29" i="1"/>
  <c r="EG30" i="1"/>
  <c r="DY32" i="1"/>
  <c r="EC33" i="1"/>
  <c r="EG34" i="1"/>
  <c r="DY36" i="1"/>
  <c r="EC37" i="1"/>
  <c r="EG38" i="1"/>
  <c r="DY40" i="1"/>
  <c r="EC41" i="1"/>
  <c r="EG42" i="1"/>
  <c r="DY44" i="1"/>
  <c r="EC45" i="1"/>
  <c r="EG46" i="1"/>
  <c r="DY48" i="1"/>
  <c r="EC49" i="1"/>
  <c r="EG50" i="1"/>
  <c r="DY52" i="1"/>
  <c r="EC53" i="1"/>
  <c r="EG54" i="1"/>
  <c r="DY56" i="1"/>
  <c r="EC57" i="1"/>
  <c r="EG58" i="1"/>
  <c r="DY60" i="1"/>
  <c r="EC61" i="1"/>
  <c r="EG62" i="1"/>
  <c r="DY64" i="1"/>
  <c r="EC65" i="1"/>
  <c r="ED7" i="1"/>
  <c r="ED262" i="1" s="1"/>
  <c r="BD10" i="5" s="1"/>
  <c r="DZ10" i="1"/>
  <c r="EH16" i="1"/>
  <c r="ED19" i="1"/>
  <c r="DZ23" i="1"/>
  <c r="EH25" i="1"/>
  <c r="ED28" i="1"/>
  <c r="DZ31" i="1"/>
  <c r="EH33" i="1"/>
  <c r="ED36" i="1"/>
  <c r="DZ39" i="1"/>
  <c r="EH41" i="1"/>
  <c r="ED44" i="1"/>
  <c r="DZ47" i="1"/>
  <c r="EH49" i="1"/>
  <c r="ED52" i="1"/>
  <c r="DZ55" i="1"/>
  <c r="EH57" i="1"/>
  <c r="ED60" i="1"/>
  <c r="ED68" i="1"/>
  <c r="ED73" i="1"/>
  <c r="DZ75" i="1"/>
  <c r="EH76" i="1"/>
  <c r="EH78" i="1"/>
  <c r="ED80" i="1"/>
  <c r="EH81" i="1"/>
  <c r="DZ83" i="1"/>
  <c r="ED84" i="1"/>
  <c r="EH85" i="1"/>
  <c r="DZ87" i="1"/>
  <c r="ED88" i="1"/>
  <c r="EH89" i="1"/>
  <c r="DZ91" i="1"/>
  <c r="ED92" i="1"/>
  <c r="EH93" i="1"/>
  <c r="DZ95" i="1"/>
  <c r="ED96" i="1"/>
  <c r="EH97" i="1"/>
  <c r="DZ99" i="1"/>
  <c r="ED100" i="1"/>
  <c r="EH101" i="1"/>
  <c r="DZ103" i="1"/>
  <c r="ED104" i="1"/>
  <c r="EH105" i="1"/>
  <c r="DZ107" i="1"/>
  <c r="ED108" i="1"/>
  <c r="EH109" i="1"/>
  <c r="DZ111" i="1"/>
  <c r="ED112" i="1"/>
  <c r="EH113" i="1"/>
  <c r="DZ115" i="1"/>
  <c r="ED116" i="1"/>
  <c r="EH117" i="1"/>
  <c r="DZ119" i="1"/>
  <c r="ED120" i="1"/>
  <c r="EH121" i="1"/>
  <c r="DZ123" i="1"/>
  <c r="ED124" i="1"/>
  <c r="EH125" i="1"/>
  <c r="DZ127" i="1"/>
  <c r="ED128" i="1"/>
  <c r="EH129" i="1"/>
  <c r="DZ131" i="1"/>
  <c r="ED132" i="1"/>
  <c r="EH133" i="1"/>
  <c r="DZ135" i="1"/>
  <c r="ED136" i="1"/>
  <c r="EH137" i="1"/>
  <c r="DZ139" i="1"/>
  <c r="ED140" i="1"/>
  <c r="EH141" i="1"/>
  <c r="DZ143" i="1"/>
  <c r="ED144" i="1"/>
  <c r="EH145" i="1"/>
  <c r="DZ147" i="1"/>
  <c r="ED148" i="1"/>
  <c r="EH149" i="1"/>
  <c r="DZ151" i="1"/>
  <c r="ED152" i="1"/>
  <c r="EH153" i="1"/>
  <c r="EA6" i="1"/>
  <c r="EA259" i="1" s="1"/>
  <c r="BA9" i="5" s="1"/>
  <c r="EI8" i="1"/>
  <c r="EI265" i="1" s="1"/>
  <c r="BI11" i="5" s="1"/>
  <c r="EE15" i="1"/>
  <c r="EA18" i="1"/>
  <c r="EI20" i="1"/>
  <c r="EE24" i="1"/>
  <c r="EA27" i="1"/>
  <c r="EI29" i="1"/>
  <c r="EE32" i="1"/>
  <c r="EA35" i="1"/>
  <c r="EI37" i="1"/>
  <c r="EE40" i="1"/>
  <c r="EA43" i="1"/>
  <c r="EI45" i="1"/>
  <c r="EE48" i="1"/>
  <c r="EA51" i="1"/>
  <c r="EI53" i="1"/>
  <c r="EE56" i="1"/>
  <c r="EA59" i="1"/>
  <c r="EI61" i="1"/>
  <c r="EE64" i="1"/>
  <c r="EE66" i="1"/>
  <c r="EI67" i="1"/>
  <c r="DZ63" i="1"/>
  <c r="EH69" i="1"/>
  <c r="EH73" i="1"/>
  <c r="ED75" i="1"/>
  <c r="ED77" i="1"/>
  <c r="DZ79" i="1"/>
  <c r="EH80" i="1"/>
  <c r="DZ82" i="1"/>
  <c r="ED83" i="1"/>
  <c r="EH84" i="1"/>
  <c r="DZ86" i="1"/>
  <c r="ED87" i="1"/>
  <c r="EH88" i="1"/>
  <c r="DZ90" i="1"/>
  <c r="ED91" i="1"/>
  <c r="EH92" i="1"/>
  <c r="DZ94" i="1"/>
  <c r="ED95" i="1"/>
  <c r="EH96" i="1"/>
  <c r="DZ98" i="1"/>
  <c r="ED99" i="1"/>
  <c r="EH100" i="1"/>
  <c r="DZ102" i="1"/>
  <c r="ED103" i="1"/>
  <c r="EH104" i="1"/>
  <c r="DZ106" i="1"/>
  <c r="ED107" i="1"/>
  <c r="EH108" i="1"/>
  <c r="DZ110" i="1"/>
  <c r="ED111" i="1"/>
  <c r="EH112" i="1"/>
  <c r="DZ114" i="1"/>
  <c r="ED115" i="1"/>
  <c r="EH116" i="1"/>
  <c r="DZ118" i="1"/>
  <c r="ED119" i="1"/>
  <c r="EH120" i="1"/>
  <c r="DZ122" i="1"/>
  <c r="ED123" i="1"/>
  <c r="EH124" i="1"/>
  <c r="DZ126" i="1"/>
  <c r="ED127" i="1"/>
  <c r="EH128" i="1"/>
  <c r="DZ130" i="1"/>
  <c r="ED131" i="1"/>
  <c r="EH132" i="1"/>
  <c r="DZ134" i="1"/>
  <c r="ED135" i="1"/>
  <c r="EH136" i="1"/>
  <c r="DZ138" i="1"/>
  <c r="ED139" i="1"/>
  <c r="EH140" i="1"/>
  <c r="DZ142" i="1"/>
  <c r="ED143" i="1"/>
  <c r="EH144" i="1"/>
  <c r="DZ146" i="1"/>
  <c r="ED147" i="1"/>
  <c r="EH148" i="1"/>
  <c r="DZ150" i="1"/>
  <c r="ED151" i="1"/>
  <c r="EH152" i="1"/>
  <c r="EA5" i="1"/>
  <c r="EI6" i="1"/>
  <c r="EI259" i="1" s="1"/>
  <c r="BI9" i="5" s="1"/>
  <c r="EE9" i="1"/>
  <c r="EA16" i="1"/>
  <c r="EI18" i="1"/>
  <c r="EE22" i="1"/>
  <c r="EE284" i="1" s="1"/>
  <c r="EA25" i="1"/>
  <c r="EI27" i="1"/>
  <c r="EE30" i="1"/>
  <c r="EA33" i="1"/>
  <c r="EI35" i="1"/>
  <c r="EE38" i="1"/>
  <c r="EA41" i="1"/>
  <c r="EI43" i="1"/>
  <c r="EE46" i="1"/>
  <c r="EA49" i="1"/>
  <c r="EI51" i="1"/>
  <c r="EH65" i="1"/>
  <c r="DZ71" i="1"/>
  <c r="DZ74" i="1"/>
  <c r="DZ76" i="1"/>
  <c r="EH77" i="1"/>
  <c r="ED79" i="1"/>
  <c r="DZ81" i="1"/>
  <c r="ED82" i="1"/>
  <c r="EH83" i="1"/>
  <c r="DZ85" i="1"/>
  <c r="ED86" i="1"/>
  <c r="EH87" i="1"/>
  <c r="DZ89" i="1"/>
  <c r="ED90" i="1"/>
  <c r="EH91" i="1"/>
  <c r="DZ93" i="1"/>
  <c r="ED94" i="1"/>
  <c r="EH95" i="1"/>
  <c r="DZ97" i="1"/>
  <c r="ED98" i="1"/>
  <c r="EH99" i="1"/>
  <c r="DZ101" i="1"/>
  <c r="ED102" i="1"/>
  <c r="EH103" i="1"/>
  <c r="DZ105" i="1"/>
  <c r="ED106" i="1"/>
  <c r="EH107" i="1"/>
  <c r="DZ109" i="1"/>
  <c r="ED110" i="1"/>
  <c r="EH111" i="1"/>
  <c r="DZ113" i="1"/>
  <c r="ED114" i="1"/>
  <c r="EH115" i="1"/>
  <c r="DZ117" i="1"/>
  <c r="ED118" i="1"/>
  <c r="EH119" i="1"/>
  <c r="DZ121" i="1"/>
  <c r="ED122" i="1"/>
  <c r="EH123" i="1"/>
  <c r="DZ125" i="1"/>
  <c r="ED126" i="1"/>
  <c r="EH127" i="1"/>
  <c r="DZ129" i="1"/>
  <c r="ED130" i="1"/>
  <c r="EH131" i="1"/>
  <c r="DZ133" i="1"/>
  <c r="ED134" i="1"/>
  <c r="EH135" i="1"/>
  <c r="DZ137" i="1"/>
  <c r="ED138" i="1"/>
  <c r="EH139" i="1"/>
  <c r="DZ141" i="1"/>
  <c r="ED142" i="1"/>
  <c r="EH143" i="1"/>
  <c r="DZ145" i="1"/>
  <c r="ED146" i="1"/>
  <c r="EH147" i="1"/>
  <c r="DZ149" i="1"/>
  <c r="ED150" i="1"/>
  <c r="EH151" i="1"/>
  <c r="DZ153" i="1"/>
  <c r="EE5" i="1"/>
  <c r="EE7" i="1"/>
  <c r="EE262" i="1" s="1"/>
  <c r="BE10" i="5" s="1"/>
  <c r="EA10" i="1"/>
  <c r="EI16" i="1"/>
  <c r="EE19" i="1"/>
  <c r="EA23" i="1"/>
  <c r="EI25" i="1"/>
  <c r="EE28" i="1"/>
  <c r="EA31" i="1"/>
  <c r="EI33" i="1"/>
  <c r="EE36" i="1"/>
  <c r="EA39" i="1"/>
  <c r="EI41" i="1"/>
  <c r="EE44" i="1"/>
  <c r="EA47" i="1"/>
  <c r="EI49" i="1"/>
  <c r="EE52" i="1"/>
  <c r="EA55" i="1"/>
  <c r="EI57" i="1"/>
  <c r="DZ67" i="1"/>
  <c r="ED72" i="1"/>
  <c r="EH74" i="1"/>
  <c r="ED76" i="1"/>
  <c r="DZ78" i="1"/>
  <c r="DZ80" i="1"/>
  <c r="ED81" i="1"/>
  <c r="EH82" i="1"/>
  <c r="DZ84" i="1"/>
  <c r="ED85" i="1"/>
  <c r="EH86" i="1"/>
  <c r="DZ88" i="1"/>
  <c r="ED89" i="1"/>
  <c r="EH90" i="1"/>
  <c r="DZ92" i="1"/>
  <c r="ED93" i="1"/>
  <c r="EH94" i="1"/>
  <c r="DZ96" i="1"/>
  <c r="ED97" i="1"/>
  <c r="EH98" i="1"/>
  <c r="DZ100" i="1"/>
  <c r="ED101" i="1"/>
  <c r="EH102" i="1"/>
  <c r="DZ104" i="1"/>
  <c r="ED105" i="1"/>
  <c r="EH106" i="1"/>
  <c r="DZ108" i="1"/>
  <c r="ED109" i="1"/>
  <c r="EH110" i="1"/>
  <c r="DZ112" i="1"/>
  <c r="ED113" i="1"/>
  <c r="EH114" i="1"/>
  <c r="DZ116" i="1"/>
  <c r="ED117" i="1"/>
  <c r="EH118" i="1"/>
  <c r="DZ120" i="1"/>
  <c r="ED121" i="1"/>
  <c r="EH122" i="1"/>
  <c r="DZ124" i="1"/>
  <c r="ED125" i="1"/>
  <c r="EH126" i="1"/>
  <c r="DZ128" i="1"/>
  <c r="ED129" i="1"/>
  <c r="EH130" i="1"/>
  <c r="DZ132" i="1"/>
  <c r="ED133" i="1"/>
  <c r="EH134" i="1"/>
  <c r="DZ136" i="1"/>
  <c r="ED137" i="1"/>
  <c r="EH138" i="1"/>
  <c r="DZ140" i="1"/>
  <c r="ED141" i="1"/>
  <c r="EH142" i="1"/>
  <c r="DZ144" i="1"/>
  <c r="ED145" i="1"/>
  <c r="EH146" i="1"/>
  <c r="DZ148" i="1"/>
  <c r="ED149" i="1"/>
  <c r="EH150" i="1"/>
  <c r="DZ152" i="1"/>
  <c r="ED153" i="1"/>
  <c r="EI5" i="1"/>
  <c r="EA8" i="1"/>
  <c r="EA265" i="1" s="1"/>
  <c r="BA11" i="5" s="1"/>
  <c r="EI10" i="1"/>
  <c r="EE17" i="1"/>
  <c r="EA20" i="1"/>
  <c r="EI23" i="1"/>
  <c r="EE26" i="1"/>
  <c r="EA29" i="1"/>
  <c r="EI31" i="1"/>
  <c r="EE34" i="1"/>
  <c r="EA37" i="1"/>
  <c r="EI39" i="1"/>
  <c r="EE42" i="1"/>
  <c r="EA45" i="1"/>
  <c r="EI47" i="1"/>
  <c r="EE50" i="1"/>
  <c r="EA53" i="1"/>
  <c r="EE54" i="1"/>
  <c r="EI59" i="1"/>
  <c r="EA63" i="1"/>
  <c r="EA66" i="1"/>
  <c r="EA68" i="1"/>
  <c r="EE69" i="1"/>
  <c r="EI70" i="1"/>
  <c r="EA72" i="1"/>
  <c r="EE73" i="1"/>
  <c r="EI74" i="1"/>
  <c r="EA76" i="1"/>
  <c r="EE77" i="1"/>
  <c r="EI78" i="1"/>
  <c r="EA80" i="1"/>
  <c r="EE81" i="1"/>
  <c r="EI82" i="1"/>
  <c r="EA84" i="1"/>
  <c r="EE85" i="1"/>
  <c r="EI86" i="1"/>
  <c r="EA88" i="1"/>
  <c r="EE89" i="1"/>
  <c r="EI90" i="1"/>
  <c r="EA92" i="1"/>
  <c r="EE93" i="1"/>
  <c r="EI94" i="1"/>
  <c r="EA96" i="1"/>
  <c r="EE97" i="1"/>
  <c r="EI98" i="1"/>
  <c r="EA100" i="1"/>
  <c r="EE101" i="1"/>
  <c r="EI55" i="1"/>
  <c r="EE60" i="1"/>
  <c r="EI63" i="1"/>
  <c r="EI66" i="1"/>
  <c r="EE68" i="1"/>
  <c r="EI69" i="1"/>
  <c r="EA71" i="1"/>
  <c r="EE72" i="1"/>
  <c r="EI73" i="1"/>
  <c r="EA75" i="1"/>
  <c r="EE76" i="1"/>
  <c r="EI77" i="1"/>
  <c r="EA79" i="1"/>
  <c r="EE80" i="1"/>
  <c r="EI81" i="1"/>
  <c r="EA83" i="1"/>
  <c r="EE84" i="1"/>
  <c r="EI85" i="1"/>
  <c r="EA87" i="1"/>
  <c r="EE88" i="1"/>
  <c r="EI89" i="1"/>
  <c r="EA91" i="1"/>
  <c r="EE92" i="1"/>
  <c r="EI93" i="1"/>
  <c r="EA95" i="1"/>
  <c r="EE96" i="1"/>
  <c r="EI97" i="1"/>
  <c r="EA99" i="1"/>
  <c r="EE100" i="1"/>
  <c r="EI101" i="1"/>
  <c r="EA103" i="1"/>
  <c r="EE104" i="1"/>
  <c r="EI105" i="1"/>
  <c r="EA107" i="1"/>
  <c r="EE108" i="1"/>
  <c r="EI109" i="1"/>
  <c r="EA111" i="1"/>
  <c r="EE112" i="1"/>
  <c r="EI113" i="1"/>
  <c r="EA115" i="1"/>
  <c r="EE116" i="1"/>
  <c r="EI117" i="1"/>
  <c r="EA119" i="1"/>
  <c r="EE120" i="1"/>
  <c r="EI121" i="1"/>
  <c r="EA123" i="1"/>
  <c r="EE124" i="1"/>
  <c r="EI125" i="1"/>
  <c r="EA127" i="1"/>
  <c r="EE128" i="1"/>
  <c r="EI129" i="1"/>
  <c r="EA131" i="1"/>
  <c r="EE132" i="1"/>
  <c r="EI133" i="1"/>
  <c r="EA135" i="1"/>
  <c r="EE136" i="1"/>
  <c r="EI137" i="1"/>
  <c r="EA139" i="1"/>
  <c r="EE140" i="1"/>
  <c r="EI141" i="1"/>
  <c r="EA143" i="1"/>
  <c r="EE144" i="1"/>
  <c r="EI145" i="1"/>
  <c r="EA147" i="1"/>
  <c r="EE148" i="1"/>
  <c r="EI149" i="1"/>
  <c r="EA151" i="1"/>
  <c r="EE152" i="1"/>
  <c r="EI153" i="1"/>
  <c r="ED6" i="1"/>
  <c r="ED259" i="1" s="1"/>
  <c r="BD9" i="5" s="1"/>
  <c r="EH15" i="1"/>
  <c r="DZ22" i="1"/>
  <c r="DZ284" i="1" s="1"/>
  <c r="ED27" i="1"/>
  <c r="EH32" i="1"/>
  <c r="DZ38" i="1"/>
  <c r="ED43" i="1"/>
  <c r="EH48" i="1"/>
  <c r="DZ54" i="1"/>
  <c r="ED59" i="1"/>
  <c r="EH64" i="1"/>
  <c r="EJ67" i="1"/>
  <c r="EF70" i="1"/>
  <c r="EB73" i="1"/>
  <c r="EJ75" i="1"/>
  <c r="EF78" i="1"/>
  <c r="EB81" i="1"/>
  <c r="EJ83" i="1"/>
  <c r="EA57" i="1"/>
  <c r="EA61" i="1"/>
  <c r="EA65" i="1"/>
  <c r="EA67" i="1"/>
  <c r="EI68" i="1"/>
  <c r="EA70" i="1"/>
  <c r="EE71" i="1"/>
  <c r="EI72" i="1"/>
  <c r="EA74" i="1"/>
  <c r="EE75" i="1"/>
  <c r="EI76" i="1"/>
  <c r="EA78" i="1"/>
  <c r="EE79" i="1"/>
  <c r="EI80" i="1"/>
  <c r="EA82" i="1"/>
  <c r="EE83" i="1"/>
  <c r="EI84" i="1"/>
  <c r="EA86" i="1"/>
  <c r="EE87" i="1"/>
  <c r="EI88" i="1"/>
  <c r="EA90" i="1"/>
  <c r="EE91" i="1"/>
  <c r="EI92" i="1"/>
  <c r="EA94" i="1"/>
  <c r="EE95" i="1"/>
  <c r="EI96" i="1"/>
  <c r="EA98" i="1"/>
  <c r="EE99" i="1"/>
  <c r="EI100" i="1"/>
  <c r="EA102" i="1"/>
  <c r="EE103" i="1"/>
  <c r="EI104" i="1"/>
  <c r="EA106" i="1"/>
  <c r="EE107" i="1"/>
  <c r="EI108" i="1"/>
  <c r="EA110" i="1"/>
  <c r="EE111" i="1"/>
  <c r="EI112" i="1"/>
  <c r="EA114" i="1"/>
  <c r="EE115" i="1"/>
  <c r="EI116" i="1"/>
  <c r="EA118" i="1"/>
  <c r="EE119" i="1"/>
  <c r="EI120" i="1"/>
  <c r="EA122" i="1"/>
  <c r="EE123" i="1"/>
  <c r="EI124" i="1"/>
  <c r="EA126" i="1"/>
  <c r="EE127" i="1"/>
  <c r="EI128" i="1"/>
  <c r="EA130" i="1"/>
  <c r="EE131" i="1"/>
  <c r="EI132" i="1"/>
  <c r="EA134" i="1"/>
  <c r="EE135" i="1"/>
  <c r="EI136" i="1"/>
  <c r="EA138" i="1"/>
  <c r="EE58" i="1"/>
  <c r="EE62" i="1"/>
  <c r="EI65" i="1"/>
  <c r="EE67" i="1"/>
  <c r="EA69" i="1"/>
  <c r="EE70" i="1"/>
  <c r="EI71" i="1"/>
  <c r="EA73" i="1"/>
  <c r="EE74" i="1"/>
  <c r="EI75" i="1"/>
  <c r="EA77" i="1"/>
  <c r="EE78" i="1"/>
  <c r="EI79" i="1"/>
  <c r="EA81" i="1"/>
  <c r="EE82" i="1"/>
  <c r="EI83" i="1"/>
  <c r="EA85" i="1"/>
  <c r="EE86" i="1"/>
  <c r="EI87" i="1"/>
  <c r="EA89" i="1"/>
  <c r="EE90" i="1"/>
  <c r="EI91" i="1"/>
  <c r="EA93" i="1"/>
  <c r="EE94" i="1"/>
  <c r="EI95" i="1"/>
  <c r="EA97" i="1"/>
  <c r="EE98" i="1"/>
  <c r="EI99" i="1"/>
  <c r="EA101" i="1"/>
  <c r="EE102" i="1"/>
  <c r="EI103" i="1"/>
  <c r="EA105" i="1"/>
  <c r="EE106" i="1"/>
  <c r="EI107" i="1"/>
  <c r="EA109" i="1"/>
  <c r="EE110" i="1"/>
  <c r="EI111" i="1"/>
  <c r="EA113" i="1"/>
  <c r="EE114" i="1"/>
  <c r="EI115" i="1"/>
  <c r="EA117" i="1"/>
  <c r="EE118" i="1"/>
  <c r="EI119" i="1"/>
  <c r="EA121" i="1"/>
  <c r="EE122" i="1"/>
  <c r="EI123" i="1"/>
  <c r="EA125" i="1"/>
  <c r="EE126" i="1"/>
  <c r="EI127" i="1"/>
  <c r="EA129" i="1"/>
  <c r="EE130" i="1"/>
  <c r="EI131" i="1"/>
  <c r="EA133" i="1"/>
  <c r="EE134" i="1"/>
  <c r="EI135" i="1"/>
  <c r="EA137" i="1"/>
  <c r="EE138" i="1"/>
  <c r="EI139" i="1"/>
  <c r="EA141" i="1"/>
  <c r="EE142" i="1"/>
  <c r="EI143" i="1"/>
  <c r="EA145" i="1"/>
  <c r="EE146" i="1"/>
  <c r="EI147" i="1"/>
  <c r="EA149" i="1"/>
  <c r="EE150" i="1"/>
  <c r="EI151" i="1"/>
  <c r="EA153" i="1"/>
  <c r="EF5" i="1"/>
  <c r="DZ9" i="1"/>
  <c r="ED18" i="1"/>
  <c r="ED266" i="1" s="1"/>
  <c r="BD44" i="5" s="1"/>
  <c r="EH24" i="1"/>
  <c r="DZ30" i="1"/>
  <c r="ED35" i="1"/>
  <c r="EH40" i="1"/>
  <c r="DZ46" i="1"/>
  <c r="ED51" i="1"/>
  <c r="EH56" i="1"/>
  <c r="DZ62" i="1"/>
  <c r="EF66" i="1"/>
  <c r="EB69" i="1"/>
  <c r="EJ71" i="1"/>
  <c r="EF74" i="1"/>
  <c r="EB77" i="1"/>
  <c r="EJ79" i="1"/>
  <c r="EI102" i="1"/>
  <c r="EA108" i="1"/>
  <c r="EE113" i="1"/>
  <c r="EI118" i="1"/>
  <c r="EA124" i="1"/>
  <c r="EE129" i="1"/>
  <c r="EI134" i="1"/>
  <c r="EE139" i="1"/>
  <c r="EA142" i="1"/>
  <c r="EI144" i="1"/>
  <c r="EE147" i="1"/>
  <c r="EA150" i="1"/>
  <c r="EI152" i="1"/>
  <c r="EH7" i="1"/>
  <c r="EH262" i="1" s="1"/>
  <c r="BH10" i="5" s="1"/>
  <c r="ED23" i="1"/>
  <c r="DZ34" i="1"/>
  <c r="EH44" i="1"/>
  <c r="ED55" i="1"/>
  <c r="EJ65" i="1"/>
  <c r="EB71" i="1"/>
  <c r="EF76" i="1"/>
  <c r="EJ81" i="1"/>
  <c r="EB85" i="1"/>
  <c r="EJ87" i="1"/>
  <c r="EF90" i="1"/>
  <c r="EB93" i="1"/>
  <c r="EJ95" i="1"/>
  <c r="EF98" i="1"/>
  <c r="EB101" i="1"/>
  <c r="EJ103" i="1"/>
  <c r="EF106" i="1"/>
  <c r="EB109" i="1"/>
  <c r="EJ111" i="1"/>
  <c r="EF114" i="1"/>
  <c r="EB117" i="1"/>
  <c r="EJ119" i="1"/>
  <c r="EF122" i="1"/>
  <c r="EB125" i="1"/>
  <c r="EJ127" i="1"/>
  <c r="EF130" i="1"/>
  <c r="EB133" i="1"/>
  <c r="EJ135" i="1"/>
  <c r="EF138" i="1"/>
  <c r="EB141" i="1"/>
  <c r="EJ143" i="1"/>
  <c r="EF146" i="1"/>
  <c r="EB149" i="1"/>
  <c r="EJ151" i="1"/>
  <c r="EG5" i="1"/>
  <c r="EE10" i="1"/>
  <c r="EI19" i="1"/>
  <c r="EA26" i="1"/>
  <c r="EE31" i="1"/>
  <c r="EI36" i="1"/>
  <c r="EA42" i="1"/>
  <c r="EE47" i="1"/>
  <c r="EI52" i="1"/>
  <c r="EA58" i="1"/>
  <c r="EE63" i="1"/>
  <c r="EC67" i="1"/>
  <c r="DY70" i="1"/>
  <c r="EG72" i="1"/>
  <c r="EC75" i="1"/>
  <c r="DY78" i="1"/>
  <c r="EG80" i="1"/>
  <c r="EC83" i="1"/>
  <c r="DY86" i="1"/>
  <c r="EG88" i="1"/>
  <c r="EC91" i="1"/>
  <c r="DY94" i="1"/>
  <c r="EG96" i="1"/>
  <c r="EC99" i="1"/>
  <c r="DY102" i="1"/>
  <c r="EG104" i="1"/>
  <c r="EC107" i="1"/>
  <c r="DY110" i="1"/>
  <c r="EG112" i="1"/>
  <c r="EC115" i="1"/>
  <c r="DY118" i="1"/>
  <c r="EG120" i="1"/>
  <c r="EC123" i="1"/>
  <c r="DY126" i="1"/>
  <c r="EG128" i="1"/>
  <c r="EC131" i="1"/>
  <c r="DY134" i="1"/>
  <c r="EG136" i="1"/>
  <c r="EC139" i="1"/>
  <c r="DY142" i="1"/>
  <c r="EG144" i="1"/>
  <c r="EC147" i="1"/>
  <c r="DY150" i="1"/>
  <c r="EG152" i="1"/>
  <c r="DZ7" i="1"/>
  <c r="DZ262" i="1" s="1"/>
  <c r="AZ10" i="5" s="1"/>
  <c r="EH22" i="1"/>
  <c r="EH284" i="1" s="1"/>
  <c r="ED33" i="1"/>
  <c r="DZ44" i="1"/>
  <c r="EH54" i="1"/>
  <c r="ED65" i="1"/>
  <c r="EJ70" i="1"/>
  <c r="EB76" i="1"/>
  <c r="EF81" i="1"/>
  <c r="EJ86" i="1"/>
  <c r="EB92" i="1"/>
  <c r="EF97" i="1"/>
  <c r="EJ102" i="1"/>
  <c r="EB108" i="1"/>
  <c r="EF113" i="1"/>
  <c r="EJ118" i="1"/>
  <c r="EB124" i="1"/>
  <c r="EF129" i="1"/>
  <c r="EJ134" i="1"/>
  <c r="EB140" i="1"/>
  <c r="EF145" i="1"/>
  <c r="EJ150" i="1"/>
  <c r="DZ15" i="1"/>
  <c r="ED37" i="1"/>
  <c r="EH58" i="1"/>
  <c r="EJ72" i="1"/>
  <c r="EF83" i="1"/>
  <c r="EF95" i="1"/>
  <c r="EB106" i="1"/>
  <c r="EJ116" i="1"/>
  <c r="EF127" i="1"/>
  <c r="EB138" i="1"/>
  <c r="EJ148" i="1"/>
  <c r="EI9" i="1"/>
  <c r="EE25" i="1"/>
  <c r="EA36" i="1"/>
  <c r="EI46" i="1"/>
  <c r="EE57" i="1"/>
  <c r="DY67" i="1"/>
  <c r="EC72" i="1"/>
  <c r="EG77" i="1"/>
  <c r="DY83" i="1"/>
  <c r="EC88" i="1"/>
  <c r="EG93" i="1"/>
  <c r="DY99" i="1"/>
  <c r="EC104" i="1"/>
  <c r="EG109" i="1"/>
  <c r="DY115" i="1"/>
  <c r="EC120" i="1"/>
  <c r="EG125" i="1"/>
  <c r="DY131" i="1"/>
  <c r="EC136" i="1"/>
  <c r="EG141" i="1"/>
  <c r="DY147" i="1"/>
  <c r="EC152" i="1"/>
  <c r="DZ24" i="1"/>
  <c r="ED45" i="1"/>
  <c r="EB66" i="1"/>
  <c r="EJ76" i="1"/>
  <c r="EF87" i="1"/>
  <c r="EJ96" i="1"/>
  <c r="EF107" i="1"/>
  <c r="EB118" i="1"/>
  <c r="EJ128" i="1"/>
  <c r="EF139" i="1"/>
  <c r="EB150" i="1"/>
  <c r="EA40" i="1"/>
  <c r="EC74" i="1"/>
  <c r="EG95" i="1"/>
  <c r="DY117" i="1"/>
  <c r="EC138" i="1"/>
  <c r="EI26" i="1"/>
  <c r="EG99" i="1"/>
  <c r="EC142" i="1"/>
  <c r="EI42" i="1"/>
  <c r="EG75" i="1"/>
  <c r="DY97" i="1"/>
  <c r="EC118" i="1"/>
  <c r="EA104" i="1"/>
  <c r="EE109" i="1"/>
  <c r="EI114" i="1"/>
  <c r="EA120" i="1"/>
  <c r="EE125" i="1"/>
  <c r="EI130" i="1"/>
  <c r="EA136" i="1"/>
  <c r="EA140" i="1"/>
  <c r="EI142" i="1"/>
  <c r="EE145" i="1"/>
  <c r="EA148" i="1"/>
  <c r="EI150" i="1"/>
  <c r="EE153" i="1"/>
  <c r="ED10" i="1"/>
  <c r="DZ26" i="1"/>
  <c r="EH36" i="1"/>
  <c r="ED47" i="1"/>
  <c r="DZ58" i="1"/>
  <c r="EB67" i="1"/>
  <c r="EF72" i="1"/>
  <c r="EJ77" i="1"/>
  <c r="EF82" i="1"/>
  <c r="EJ85" i="1"/>
  <c r="EF88" i="1"/>
  <c r="EB91" i="1"/>
  <c r="EJ93" i="1"/>
  <c r="EF96" i="1"/>
  <c r="EB99" i="1"/>
  <c r="EJ101" i="1"/>
  <c r="EF104" i="1"/>
  <c r="EB107" i="1"/>
  <c r="EJ109" i="1"/>
  <c r="EF112" i="1"/>
  <c r="EB115" i="1"/>
  <c r="EJ117" i="1"/>
  <c r="EF120" i="1"/>
  <c r="EB123" i="1"/>
  <c r="EJ125" i="1"/>
  <c r="EF128" i="1"/>
  <c r="EB131" i="1"/>
  <c r="EJ133" i="1"/>
  <c r="EF136" i="1"/>
  <c r="EB139" i="1"/>
  <c r="EJ141" i="1"/>
  <c r="EF144" i="1"/>
  <c r="EB147" i="1"/>
  <c r="EJ149" i="1"/>
  <c r="EF152" i="1"/>
  <c r="EE6" i="1"/>
  <c r="EE259" i="1" s="1"/>
  <c r="BE9" i="5" s="1"/>
  <c r="EI15" i="1"/>
  <c r="EA22" i="1"/>
  <c r="EA284" i="1" s="1"/>
  <c r="EE27" i="1"/>
  <c r="EI32" i="1"/>
  <c r="EA38" i="1"/>
  <c r="EE43" i="1"/>
  <c r="EI48" i="1"/>
  <c r="EA54" i="1"/>
  <c r="EE59" i="1"/>
  <c r="EI64" i="1"/>
  <c r="DY68" i="1"/>
  <c r="EG70" i="1"/>
  <c r="EC73" i="1"/>
  <c r="DY76" i="1"/>
  <c r="EG78" i="1"/>
  <c r="EC81" i="1"/>
  <c r="DY84" i="1"/>
  <c r="EG86" i="1"/>
  <c r="EC89" i="1"/>
  <c r="DY92" i="1"/>
  <c r="EG94" i="1"/>
  <c r="EC97" i="1"/>
  <c r="DY100" i="1"/>
  <c r="EG102" i="1"/>
  <c r="EC105" i="1"/>
  <c r="DY108" i="1"/>
  <c r="EG110" i="1"/>
  <c r="EC113" i="1"/>
  <c r="DY116" i="1"/>
  <c r="EG118" i="1"/>
  <c r="EC121" i="1"/>
  <c r="DY124" i="1"/>
  <c r="EG126" i="1"/>
  <c r="EC129" i="1"/>
  <c r="DY132" i="1"/>
  <c r="EG134" i="1"/>
  <c r="EC137" i="1"/>
  <c r="DY140" i="1"/>
  <c r="EG142" i="1"/>
  <c r="EC145" i="1"/>
  <c r="DY148" i="1"/>
  <c r="EG150" i="1"/>
  <c r="EC153" i="1"/>
  <c r="EH9" i="1"/>
  <c r="ED25" i="1"/>
  <c r="DZ36" i="1"/>
  <c r="EH46" i="1"/>
  <c r="ED57" i="1"/>
  <c r="EJ66" i="1"/>
  <c r="EB72" i="1"/>
  <c r="EF77" i="1"/>
  <c r="EJ82" i="1"/>
  <c r="EB88" i="1"/>
  <c r="EF93" i="1"/>
  <c r="EJ98" i="1"/>
  <c r="EB104" i="1"/>
  <c r="EF109" i="1"/>
  <c r="EJ114" i="1"/>
  <c r="EB120" i="1"/>
  <c r="EF125" i="1"/>
  <c r="EJ130" i="1"/>
  <c r="EB136" i="1"/>
  <c r="EF141" i="1"/>
  <c r="EJ146" i="1"/>
  <c r="EB152" i="1"/>
  <c r="ED20" i="1"/>
  <c r="EH42" i="1"/>
  <c r="DZ64" i="1"/>
  <c r="EF75" i="1"/>
  <c r="EB86" i="1"/>
  <c r="EB98" i="1"/>
  <c r="EJ108" i="1"/>
  <c r="EF119" i="1"/>
  <c r="EB130" i="1"/>
  <c r="EJ140" i="1"/>
  <c r="EF151" i="1"/>
  <c r="EE16" i="1"/>
  <c r="EA28" i="1"/>
  <c r="EI38" i="1"/>
  <c r="EE49" i="1"/>
  <c r="EA60" i="1"/>
  <c r="EC68" i="1"/>
  <c r="EG73" i="1"/>
  <c r="DY79" i="1"/>
  <c r="EC84" i="1"/>
  <c r="EG89" i="1"/>
  <c r="DY95" i="1"/>
  <c r="EC100" i="1"/>
  <c r="EG105" i="1"/>
  <c r="DY111" i="1"/>
  <c r="EC116" i="1"/>
  <c r="EG121" i="1"/>
  <c r="DY127" i="1"/>
  <c r="EC132" i="1"/>
  <c r="EG137" i="1"/>
  <c r="DY143" i="1"/>
  <c r="EC148" i="1"/>
  <c r="EG153" i="1"/>
  <c r="ED29" i="1"/>
  <c r="EH50" i="1"/>
  <c r="EJ68" i="1"/>
  <c r="EF79" i="1"/>
  <c r="EB90" i="1"/>
  <c r="EF99" i="1"/>
  <c r="EB110" i="1"/>
  <c r="EJ120" i="1"/>
  <c r="EF131" i="1"/>
  <c r="EB142" i="1"/>
  <c r="EJ152" i="1"/>
  <c r="EE105" i="1"/>
  <c r="EI110" i="1"/>
  <c r="EA116" i="1"/>
  <c r="EE121" i="1"/>
  <c r="EI126" i="1"/>
  <c r="EA132" i="1"/>
  <c r="EE137" i="1"/>
  <c r="EI140" i="1"/>
  <c r="EE143" i="1"/>
  <c r="EA146" i="1"/>
  <c r="EI148" i="1"/>
  <c r="EE151" i="1"/>
  <c r="EB5" i="1"/>
  <c r="DZ17" i="1"/>
  <c r="EH28" i="1"/>
  <c r="ED39" i="1"/>
  <c r="DZ50" i="1"/>
  <c r="EH60" i="1"/>
  <c r="EF68" i="1"/>
  <c r="EJ73" i="1"/>
  <c r="EB79" i="1"/>
  <c r="EB83" i="1"/>
  <c r="EF86" i="1"/>
  <c r="EB89" i="1"/>
  <c r="EJ91" i="1"/>
  <c r="EF94" i="1"/>
  <c r="EB97" i="1"/>
  <c r="EJ99" i="1"/>
  <c r="EF102" i="1"/>
  <c r="EB105" i="1"/>
  <c r="EJ107" i="1"/>
  <c r="EF110" i="1"/>
  <c r="EB113" i="1"/>
  <c r="EJ115" i="1"/>
  <c r="EF118" i="1"/>
  <c r="EB121" i="1"/>
  <c r="EJ123" i="1"/>
  <c r="EF126" i="1"/>
  <c r="EB129" i="1"/>
  <c r="EJ131" i="1"/>
  <c r="EF134" i="1"/>
  <c r="EB137" i="1"/>
  <c r="EJ139" i="1"/>
  <c r="EF142" i="1"/>
  <c r="EB145" i="1"/>
  <c r="EJ147" i="1"/>
  <c r="EF150" i="1"/>
  <c r="EB153" i="1"/>
  <c r="EI7" i="1"/>
  <c r="EI262" i="1" s="1"/>
  <c r="BI10" i="5" s="1"/>
  <c r="EA17" i="1"/>
  <c r="EA263" i="1" s="1"/>
  <c r="BA43" i="5" s="1"/>
  <c r="EE23" i="1"/>
  <c r="EI28" i="1"/>
  <c r="EA34" i="1"/>
  <c r="EE39" i="1"/>
  <c r="EI44" i="1"/>
  <c r="EA50" i="1"/>
  <c r="EE55" i="1"/>
  <c r="EI60" i="1"/>
  <c r="DY66" i="1"/>
  <c r="EG68" i="1"/>
  <c r="EC71" i="1"/>
  <c r="DY74" i="1"/>
  <c r="EG76" i="1"/>
  <c r="EC79" i="1"/>
  <c r="DY82" i="1"/>
  <c r="EG84" i="1"/>
  <c r="EC87" i="1"/>
  <c r="DY90" i="1"/>
  <c r="EG92" i="1"/>
  <c r="EC95" i="1"/>
  <c r="DY98" i="1"/>
  <c r="EG100" i="1"/>
  <c r="EC103" i="1"/>
  <c r="DY106" i="1"/>
  <c r="EG108" i="1"/>
  <c r="EC111" i="1"/>
  <c r="DY114" i="1"/>
  <c r="EG116" i="1"/>
  <c r="EC119" i="1"/>
  <c r="DY122" i="1"/>
  <c r="EG124" i="1"/>
  <c r="EC127" i="1"/>
  <c r="DY130" i="1"/>
  <c r="EG132" i="1"/>
  <c r="EC135" i="1"/>
  <c r="DY138" i="1"/>
  <c r="EG140" i="1"/>
  <c r="EC143" i="1"/>
  <c r="DY146" i="1"/>
  <c r="EG148" i="1"/>
  <c r="EC151" i="1"/>
  <c r="DZ5" i="1"/>
  <c r="ED16" i="1"/>
  <c r="DZ28" i="1"/>
  <c r="EH38" i="1"/>
  <c r="ED49" i="1"/>
  <c r="DZ60" i="1"/>
  <c r="EB68" i="1"/>
  <c r="EF73" i="1"/>
  <c r="EJ78" i="1"/>
  <c r="EB84" i="1"/>
  <c r="EF89" i="1"/>
  <c r="EJ94" i="1"/>
  <c r="EB100" i="1"/>
  <c r="EF105" i="1"/>
  <c r="EJ110" i="1"/>
  <c r="EB116" i="1"/>
  <c r="EF121" i="1"/>
  <c r="EJ126" i="1"/>
  <c r="EB132" i="1"/>
  <c r="EF137" i="1"/>
  <c r="EJ142" i="1"/>
  <c r="EB148" i="1"/>
  <c r="EF153" i="1"/>
  <c r="EH26" i="1"/>
  <c r="DZ48" i="1"/>
  <c r="EF67" i="1"/>
  <c r="EB78" i="1"/>
  <c r="EJ88" i="1"/>
  <c r="EJ100" i="1"/>
  <c r="EF111" i="1"/>
  <c r="EB122" i="1"/>
  <c r="EJ132" i="1"/>
  <c r="EF143" i="1"/>
  <c r="EC5" i="1"/>
  <c r="EA19" i="1"/>
  <c r="EI30" i="1"/>
  <c r="EE41" i="1"/>
  <c r="EA52" i="1"/>
  <c r="EI62" i="1"/>
  <c r="EG69" i="1"/>
  <c r="DY75" i="1"/>
  <c r="EC80" i="1"/>
  <c r="EG85" i="1"/>
  <c r="DY91" i="1"/>
  <c r="EC96" i="1"/>
  <c r="EG101" i="1"/>
  <c r="DY107" i="1"/>
  <c r="EC112" i="1"/>
  <c r="EG117" i="1"/>
  <c r="DY123" i="1"/>
  <c r="EC128" i="1"/>
  <c r="EI106" i="1"/>
  <c r="EA112" i="1"/>
  <c r="EE117" i="1"/>
  <c r="EI122" i="1"/>
  <c r="EA128" i="1"/>
  <c r="EE133" i="1"/>
  <c r="EI138" i="1"/>
  <c r="EE141" i="1"/>
  <c r="EA144" i="1"/>
  <c r="EI146" i="1"/>
  <c r="EE149" i="1"/>
  <c r="EA152" i="1"/>
  <c r="EJ5" i="1"/>
  <c r="EH19" i="1"/>
  <c r="ED31" i="1"/>
  <c r="DZ42" i="1"/>
  <c r="EH52" i="1"/>
  <c r="ED63" i="1"/>
  <c r="EJ69" i="1"/>
  <c r="EB75" i="1"/>
  <c r="EF80" i="1"/>
  <c r="EF84" i="1"/>
  <c r="EB87" i="1"/>
  <c r="EJ89" i="1"/>
  <c r="EF92" i="1"/>
  <c r="EB95" i="1"/>
  <c r="EJ97" i="1"/>
  <c r="EF100" i="1"/>
  <c r="EB103" i="1"/>
  <c r="EJ105" i="1"/>
  <c r="EF108" i="1"/>
  <c r="EB111" i="1"/>
  <c r="EJ113" i="1"/>
  <c r="EF116" i="1"/>
  <c r="EB119" i="1"/>
  <c r="EJ121" i="1"/>
  <c r="EF124" i="1"/>
  <c r="EB127" i="1"/>
  <c r="EJ129" i="1"/>
  <c r="EF132" i="1"/>
  <c r="EB135" i="1"/>
  <c r="EJ137" i="1"/>
  <c r="EF140" i="1"/>
  <c r="EB143" i="1"/>
  <c r="EJ145" i="1"/>
  <c r="EF148" i="1"/>
  <c r="EB151" i="1"/>
  <c r="EJ153" i="1"/>
  <c r="EA9" i="1"/>
  <c r="EE18" i="1"/>
  <c r="EI24" i="1"/>
  <c r="EA30" i="1"/>
  <c r="EE35" i="1"/>
  <c r="EI40" i="1"/>
  <c r="EA46" i="1"/>
  <c r="EE51" i="1"/>
  <c r="EI56" i="1"/>
  <c r="EA62" i="1"/>
  <c r="EG66" i="1"/>
  <c r="EC69" i="1"/>
  <c r="DY72" i="1"/>
  <c r="EG74" i="1"/>
  <c r="EC77" i="1"/>
  <c r="DY80" i="1"/>
  <c r="EG82" i="1"/>
  <c r="EC85" i="1"/>
  <c r="DY88" i="1"/>
  <c r="EG90" i="1"/>
  <c r="EC93" i="1"/>
  <c r="DY96" i="1"/>
  <c r="EG98" i="1"/>
  <c r="EC101" i="1"/>
  <c r="DY104" i="1"/>
  <c r="EG106" i="1"/>
  <c r="EC109" i="1"/>
  <c r="DY112" i="1"/>
  <c r="EG114" i="1"/>
  <c r="EC117" i="1"/>
  <c r="DY120" i="1"/>
  <c r="EG122" i="1"/>
  <c r="EC125" i="1"/>
  <c r="DY128" i="1"/>
  <c r="EG130" i="1"/>
  <c r="EC133" i="1"/>
  <c r="DY136" i="1"/>
  <c r="EG138" i="1"/>
  <c r="EC141" i="1"/>
  <c r="DY144" i="1"/>
  <c r="EG146" i="1"/>
  <c r="EC149" i="1"/>
  <c r="DY152" i="1"/>
  <c r="EH5" i="1"/>
  <c r="DZ19" i="1"/>
  <c r="EH30" i="1"/>
  <c r="ED41" i="1"/>
  <c r="DZ52" i="1"/>
  <c r="EH62" i="1"/>
  <c r="EF69" i="1"/>
  <c r="EJ74" i="1"/>
  <c r="EB80" i="1"/>
  <c r="EF85" i="1"/>
  <c r="EJ90" i="1"/>
  <c r="EB96" i="1"/>
  <c r="EF101" i="1"/>
  <c r="EJ106" i="1"/>
  <c r="EB112" i="1"/>
  <c r="EF117" i="1"/>
  <c r="EJ122" i="1"/>
  <c r="EB128" i="1"/>
  <c r="EF133" i="1"/>
  <c r="EJ138" i="1"/>
  <c r="EB144" i="1"/>
  <c r="EF149" i="1"/>
  <c r="DY5" i="1"/>
  <c r="DZ32" i="1"/>
  <c r="ED53" i="1"/>
  <c r="EB70" i="1"/>
  <c r="EJ80" i="1"/>
  <c r="EJ92" i="1"/>
  <c r="EF103" i="1"/>
  <c r="EB114" i="1"/>
  <c r="EJ124" i="1"/>
  <c r="EF135" i="1"/>
  <c r="EB146" i="1"/>
  <c r="EA7" i="1"/>
  <c r="EA262" i="1" s="1"/>
  <c r="BA10" i="5" s="1"/>
  <c r="EI22" i="1"/>
  <c r="EI284" i="1" s="1"/>
  <c r="EE33" i="1"/>
  <c r="EA44" i="1"/>
  <c r="EI54" i="1"/>
  <c r="EE65" i="1"/>
  <c r="DY71" i="1"/>
  <c r="EC76" i="1"/>
  <c r="EG81" i="1"/>
  <c r="DY87" i="1"/>
  <c r="EC92" i="1"/>
  <c r="EG97" i="1"/>
  <c r="DY103" i="1"/>
  <c r="EC108" i="1"/>
  <c r="EG113" i="1"/>
  <c r="DY119" i="1"/>
  <c r="EC124" i="1"/>
  <c r="EG129" i="1"/>
  <c r="DY135" i="1"/>
  <c r="EC140" i="1"/>
  <c r="EG145" i="1"/>
  <c r="DY151" i="1"/>
  <c r="EH17" i="1"/>
  <c r="EH263" i="1" s="1"/>
  <c r="BH43" i="5" s="1"/>
  <c r="DZ40" i="1"/>
  <c r="ED61" i="1"/>
  <c r="EB74" i="1"/>
  <c r="EJ84" i="1"/>
  <c r="EB94" i="1"/>
  <c r="EJ104" i="1"/>
  <c r="EF115" i="1"/>
  <c r="EB126" i="1"/>
  <c r="EJ136" i="1"/>
  <c r="EF147" i="1"/>
  <c r="EE29" i="1"/>
  <c r="EG133" i="1"/>
  <c r="ED8" i="1"/>
  <c r="ED265" i="1" s="1"/>
  <c r="BD11" i="5" s="1"/>
  <c r="EB82" i="1"/>
  <c r="EF123" i="1"/>
  <c r="EI50" i="1"/>
  <c r="DY85" i="1"/>
  <c r="EG111" i="1"/>
  <c r="EG143" i="1"/>
  <c r="EC78" i="1"/>
  <c r="EG131" i="1"/>
  <c r="EE53" i="1"/>
  <c r="EC86" i="1"/>
  <c r="DY113" i="1"/>
  <c r="EG139" i="1"/>
  <c r="EA24" i="1"/>
  <c r="EC66" i="1"/>
  <c r="EG87" i="1"/>
  <c r="DY109" i="1"/>
  <c r="EC130" i="1"/>
  <c r="EG151" i="1"/>
  <c r="EI58" i="1"/>
  <c r="DY105" i="1"/>
  <c r="EG147" i="1"/>
  <c r="DY139" i="1"/>
  <c r="EH34" i="1"/>
  <c r="EF91" i="1"/>
  <c r="EB134" i="1"/>
  <c r="EE61" i="1"/>
  <c r="EC90" i="1"/>
  <c r="EC122" i="1"/>
  <c r="DY149" i="1"/>
  <c r="DY89" i="1"/>
  <c r="EA64" i="1"/>
  <c r="EG91" i="1"/>
  <c r="EG123" i="1"/>
  <c r="DY145" i="1"/>
  <c r="EI34" i="1"/>
  <c r="EG71" i="1"/>
  <c r="DY93" i="1"/>
  <c r="EC114" i="1"/>
  <c r="EG135" i="1"/>
  <c r="EA15" i="1"/>
  <c r="DY73" i="1"/>
  <c r="EG115" i="1"/>
  <c r="EC144" i="1"/>
  <c r="DZ56" i="1"/>
  <c r="EB102" i="1"/>
  <c r="EJ144" i="1"/>
  <c r="DY69" i="1"/>
  <c r="DY101" i="1"/>
  <c r="EG127" i="1"/>
  <c r="ED5" i="1"/>
  <c r="EC110" i="1"/>
  <c r="EE20" i="1"/>
  <c r="EC70" i="1"/>
  <c r="EC102" i="1"/>
  <c r="DY129" i="1"/>
  <c r="EC150" i="1"/>
  <c r="EE45" i="1"/>
  <c r="DY77" i="1"/>
  <c r="EC98" i="1"/>
  <c r="EG119" i="1"/>
  <c r="DY141" i="1"/>
  <c r="EE37" i="1"/>
  <c r="EG83" i="1"/>
  <c r="EC126" i="1"/>
  <c r="EG149" i="1"/>
  <c r="EF71" i="1"/>
  <c r="EJ112" i="1"/>
  <c r="EI17" i="1"/>
  <c r="EG79" i="1"/>
  <c r="EC106" i="1"/>
  <c r="DY133" i="1"/>
  <c r="EG67" i="1"/>
  <c r="DY121" i="1"/>
  <c r="EA32" i="1"/>
  <c r="DY81" i="1"/>
  <c r="EG107" i="1"/>
  <c r="EC134" i="1"/>
  <c r="EE8" i="1"/>
  <c r="EE265" i="1" s="1"/>
  <c r="BE11" i="5" s="1"/>
  <c r="EA56" i="1"/>
  <c r="EC82" i="1"/>
  <c r="EG103" i="1"/>
  <c r="DY125" i="1"/>
  <c r="EC146" i="1"/>
  <c r="EA48" i="1"/>
  <c r="EC94" i="1"/>
  <c r="DY137" i="1"/>
  <c r="DM260" i="1"/>
  <c r="AM42" i="5" s="1"/>
  <c r="DM257" i="1"/>
  <c r="AM41" i="5" s="1"/>
  <c r="DN256" i="1"/>
  <c r="DT256" i="1"/>
  <c r="DO256" i="1"/>
  <c r="DR256" i="1"/>
  <c r="DS256" i="1"/>
  <c r="R13" i="5"/>
  <c r="O13" i="5"/>
  <c r="AJ13" i="5"/>
  <c r="Z13" i="5"/>
  <c r="P13" i="5"/>
  <c r="AG13" i="5"/>
  <c r="X13" i="5"/>
  <c r="BY30" i="5"/>
  <c r="N21" i="27" s="1"/>
  <c r="BY61" i="5"/>
  <c r="N28" i="27" s="1"/>
  <c r="BY63" i="5"/>
  <c r="N27" i="27" s="1"/>
  <c r="BY29" i="5"/>
  <c r="BY28" i="5"/>
  <c r="J13" i="5"/>
  <c r="AF13" i="5"/>
  <c r="AL13" i="5"/>
  <c r="U13" i="5"/>
  <c r="AI13" i="5"/>
  <c r="AB13" i="5"/>
  <c r="D13" i="5"/>
  <c r="S13" i="5"/>
  <c r="E13" i="5"/>
  <c r="Q13" i="5"/>
  <c r="G13" i="5"/>
  <c r="L13" i="5"/>
  <c r="M13" i="5"/>
  <c r="F13" i="5"/>
  <c r="AC13" i="5"/>
  <c r="AH13" i="5"/>
  <c r="V13" i="5"/>
  <c r="Y13" i="5"/>
  <c r="T13" i="5"/>
  <c r="AK13" i="5"/>
  <c r="H13" i="5"/>
  <c r="I13" i="5"/>
  <c r="N13" i="5"/>
  <c r="AA13" i="5"/>
  <c r="AE13" i="5"/>
  <c r="BY45" i="5"/>
  <c r="BY43" i="5"/>
  <c r="EW289" i="1"/>
  <c r="EZ289" i="1"/>
  <c r="R47" i="24" s="1"/>
  <c r="BY11" i="5"/>
  <c r="EZ274" i="1"/>
  <c r="C13" i="5"/>
  <c r="BX11" i="5"/>
  <c r="BY44" i="5"/>
  <c r="T35" i="5"/>
  <c r="BY8" i="5"/>
  <c r="BY42" i="5"/>
  <c r="BY12" i="5"/>
  <c r="BY34" i="5"/>
  <c r="BX31" i="5"/>
  <c r="BY66" i="5"/>
  <c r="BY10" i="5"/>
  <c r="BY9" i="5"/>
  <c r="BX12" i="5"/>
  <c r="BY41" i="5"/>
  <c r="BY31" i="5"/>
  <c r="T67" i="5"/>
  <c r="BX42" i="5"/>
  <c r="BX10" i="5"/>
  <c r="BX9" i="5"/>
  <c r="BX44" i="5"/>
  <c r="BX41" i="5"/>
  <c r="I33" i="23"/>
  <c r="G33" i="23"/>
  <c r="K13" i="5"/>
  <c r="Q67" i="5"/>
  <c r="Q35" i="5"/>
  <c r="N67" i="5"/>
  <c r="EW274" i="1"/>
  <c r="R32" i="27"/>
  <c r="C23" i="20"/>
  <c r="AU67" i="5"/>
  <c r="AD13" i="5"/>
  <c r="W13" i="5"/>
  <c r="AF67" i="5"/>
  <c r="AU35" i="5"/>
  <c r="AF35" i="5"/>
  <c r="BV35" i="5"/>
  <c r="CC292" i="1"/>
  <c r="CC294" i="1" s="1"/>
  <c r="C10" i="5"/>
  <c r="EZ269" i="1"/>
  <c r="BW45" i="5"/>
  <c r="EW269" i="1"/>
  <c r="EW268" i="1"/>
  <c r="BW12" i="5"/>
  <c r="EZ268" i="1"/>
  <c r="CD292" i="1"/>
  <c r="CD294" i="1" s="1"/>
  <c r="O257" i="14"/>
  <c r="E18" i="7"/>
  <c r="F60" i="7"/>
  <c r="G60" i="7"/>
  <c r="DA175" i="11"/>
  <c r="DA184" i="11"/>
  <c r="DA191" i="11"/>
  <c r="DA190" i="11"/>
  <c r="DA181" i="11"/>
  <c r="DA172" i="11"/>
  <c r="DA170" i="11"/>
  <c r="DA182" i="11"/>
  <c r="DA173" i="11"/>
  <c r="DA169" i="11"/>
  <c r="BG197" i="11"/>
  <c r="BG199" i="11" s="1"/>
  <c r="BI197" i="11"/>
  <c r="BI199" i="11" s="1"/>
  <c r="BY197" i="11"/>
  <c r="BY199" i="11" s="1"/>
  <c r="BR197" i="11"/>
  <c r="BR199" i="11" s="1"/>
  <c r="CB191" i="11"/>
  <c r="CB190" i="11"/>
  <c r="BW30" i="5"/>
  <c r="CB181" i="11"/>
  <c r="BW63" i="5"/>
  <c r="CB182" i="11"/>
  <c r="BW61" i="5"/>
  <c r="CB173" i="11"/>
  <c r="BW29" i="5"/>
  <c r="CB175" i="11"/>
  <c r="CB184" i="11"/>
  <c r="BW28" i="5"/>
  <c r="CB172" i="11"/>
  <c r="CB170" i="11"/>
  <c r="CB169" i="11"/>
  <c r="C44" i="5"/>
  <c r="C42" i="5"/>
  <c r="C43" i="5"/>
  <c r="C41" i="5"/>
  <c r="CA197" i="11"/>
  <c r="CA199" i="11" s="1"/>
  <c r="BT197" i="11"/>
  <c r="BT199" i="11" s="1"/>
  <c r="BO197" i="11"/>
  <c r="BO199" i="11" s="1"/>
  <c r="BD197" i="11"/>
  <c r="BD199" i="11" s="1"/>
  <c r="BH197" i="11"/>
  <c r="BH199" i="11" s="1"/>
  <c r="BM197" i="11"/>
  <c r="BM199" i="11" s="1"/>
  <c r="BF197" i="11"/>
  <c r="BF199" i="11" s="1"/>
  <c r="BV197" i="11"/>
  <c r="BV199" i="11" s="1"/>
  <c r="BW197" i="11"/>
  <c r="BW199" i="11" s="1"/>
  <c r="BL197" i="11"/>
  <c r="BL199" i="11" s="1"/>
  <c r="BX197" i="11"/>
  <c r="BX199" i="11" s="1"/>
  <c r="BQ197" i="11"/>
  <c r="BQ199" i="11" s="1"/>
  <c r="BJ197" i="11"/>
  <c r="BJ199" i="11" s="1"/>
  <c r="BZ197" i="11"/>
  <c r="BZ199" i="11" s="1"/>
  <c r="BS197" i="11"/>
  <c r="BS199" i="11" s="1"/>
  <c r="BK197" i="11"/>
  <c r="BK199" i="11" s="1"/>
  <c r="BP197" i="11"/>
  <c r="BP199" i="11" s="1"/>
  <c r="BE197" i="11"/>
  <c r="BE199" i="11" s="1"/>
  <c r="BU197" i="11"/>
  <c r="BU199" i="11" s="1"/>
  <c r="BN197" i="11"/>
  <c r="BN199" i="11" s="1"/>
  <c r="E19" i="7"/>
  <c r="H19" i="7"/>
  <c r="H18" i="7"/>
  <c r="F19" i="7"/>
  <c r="F18" i="7"/>
  <c r="D19" i="7"/>
  <c r="CP292" i="1"/>
  <c r="CP294" i="1" s="1"/>
  <c r="H8" i="5"/>
  <c r="CH292" i="1"/>
  <c r="CH294" i="1" s="1"/>
  <c r="DB292" i="1"/>
  <c r="DB294" i="1" s="1"/>
  <c r="CS292" i="1"/>
  <c r="CS294" i="1" s="1"/>
  <c r="DG292" i="1"/>
  <c r="DG294" i="1" s="1"/>
  <c r="F8" i="5"/>
  <c r="CF292" i="1"/>
  <c r="CF294" i="1" s="1"/>
  <c r="CV292" i="1"/>
  <c r="CV294" i="1" s="1"/>
  <c r="CE292" i="1"/>
  <c r="CE294" i="1" s="1"/>
  <c r="DK292" i="1"/>
  <c r="DK294" i="1" s="1"/>
  <c r="CQ292" i="1"/>
  <c r="CQ294" i="1" s="1"/>
  <c r="L8" i="5"/>
  <c r="CL292" i="1"/>
  <c r="CL294" i="1" s="1"/>
  <c r="DF292" i="1"/>
  <c r="DF294" i="1" s="1"/>
  <c r="CT292" i="1"/>
  <c r="CT294" i="1" s="1"/>
  <c r="G8" i="5"/>
  <c r="CG292" i="1"/>
  <c r="CG294" i="1" s="1"/>
  <c r="DA292" i="1"/>
  <c r="DA294" i="1" s="1"/>
  <c r="DC292" i="1"/>
  <c r="DC294" i="1" s="1"/>
  <c r="K8" i="5"/>
  <c r="CK292" i="1"/>
  <c r="CK294" i="1" s="1"/>
  <c r="J8" i="5"/>
  <c r="CJ292" i="1"/>
  <c r="CJ294" i="1" s="1"/>
  <c r="DD292" i="1"/>
  <c r="DD294" i="1" s="1"/>
  <c r="DI292" i="1"/>
  <c r="DI294" i="1" s="1"/>
  <c r="DE292" i="1"/>
  <c r="DE294" i="1" s="1"/>
  <c r="M8" i="5"/>
  <c r="CM292" i="1"/>
  <c r="CM294" i="1" s="1"/>
  <c r="CW292" i="1"/>
  <c r="CW294" i="1" s="1"/>
  <c r="N8" i="5"/>
  <c r="CN292" i="1"/>
  <c r="CN294" i="1" s="1"/>
  <c r="DH292" i="1"/>
  <c r="DH294" i="1" s="1"/>
  <c r="CU292" i="1"/>
  <c r="CU294" i="1" s="1"/>
  <c r="CY292" i="1"/>
  <c r="CY294" i="1" s="1"/>
  <c r="D8" i="5"/>
  <c r="CX292" i="1"/>
  <c r="CX294" i="1" s="1"/>
  <c r="CZ292" i="1"/>
  <c r="CZ294" i="1" s="1"/>
  <c r="I8" i="5"/>
  <c r="CI292" i="1"/>
  <c r="CI294" i="1" s="1"/>
  <c r="CR292" i="1"/>
  <c r="CR294" i="1" s="1"/>
  <c r="DL292" i="1"/>
  <c r="DL294" i="1" s="1"/>
  <c r="DJ292" i="1"/>
  <c r="DJ294" i="1" s="1"/>
  <c r="CO292" i="1"/>
  <c r="CO294" i="1" s="1"/>
  <c r="I60" i="7"/>
  <c r="H60" i="7"/>
  <c r="G15" i="7"/>
  <c r="Q50" i="27" s="1"/>
  <c r="E60" i="7"/>
  <c r="J99" i="7"/>
  <c r="I16" i="7"/>
  <c r="I19" i="7" s="1"/>
  <c r="J58" i="7"/>
  <c r="AU46" i="5" l="1"/>
  <c r="AV46" i="5"/>
  <c r="BY46" i="5"/>
  <c r="AX46" i="5"/>
  <c r="AP46" i="5"/>
  <c r="AW46" i="5"/>
  <c r="AR46" i="5"/>
  <c r="EG278" i="1"/>
  <c r="AS46" i="5"/>
  <c r="AQ46" i="5"/>
  <c r="AO46" i="5"/>
  <c r="EA278" i="1"/>
  <c r="EH278" i="1"/>
  <c r="EF275" i="1"/>
  <c r="DY275" i="1"/>
  <c r="EI275" i="1"/>
  <c r="EI278" i="1"/>
  <c r="ED275" i="1"/>
  <c r="EC275" i="1"/>
  <c r="EF278" i="1"/>
  <c r="EJ275" i="1"/>
  <c r="DZ278" i="1"/>
  <c r="EE278" i="1"/>
  <c r="ED278" i="1"/>
  <c r="EC278" i="1"/>
  <c r="EH275" i="1"/>
  <c r="EG275" i="1"/>
  <c r="EA275" i="1"/>
  <c r="EJ278" i="1"/>
  <c r="DY278" i="1"/>
  <c r="EE275" i="1"/>
  <c r="EB275" i="1"/>
  <c r="DZ275" i="1"/>
  <c r="ED293" i="1"/>
  <c r="DY293" i="1"/>
  <c r="EF293" i="1"/>
  <c r="EC293" i="1"/>
  <c r="EB293" i="1"/>
  <c r="EI293" i="1"/>
  <c r="EE293" i="1"/>
  <c r="FL211" i="1"/>
  <c r="AK209" i="38" s="1"/>
  <c r="DZ293" i="1"/>
  <c r="FL243" i="1"/>
  <c r="AK241" i="38" s="1"/>
  <c r="FL172" i="1"/>
  <c r="AK170" i="38" s="1"/>
  <c r="FL252" i="1"/>
  <c r="AK250" i="38" s="1"/>
  <c r="FL184" i="1"/>
  <c r="AK182" i="38" s="1"/>
  <c r="FL216" i="1"/>
  <c r="AK214" i="38" s="1"/>
  <c r="FL159" i="1"/>
  <c r="AK157" i="38" s="1"/>
  <c r="EJ293" i="1"/>
  <c r="FL195" i="1"/>
  <c r="AK193" i="38" s="1"/>
  <c r="EA293" i="1"/>
  <c r="EH293" i="1"/>
  <c r="EG293" i="1"/>
  <c r="FL237" i="1"/>
  <c r="AK235" i="38" s="1"/>
  <c r="FL223" i="1"/>
  <c r="FL236" i="1"/>
  <c r="FL209" i="1"/>
  <c r="AK207" i="38" s="1"/>
  <c r="FL222" i="1"/>
  <c r="FL206" i="1"/>
  <c r="AK204" i="38" s="1"/>
  <c r="FL190" i="1"/>
  <c r="AK188" i="38" s="1"/>
  <c r="FL170" i="1"/>
  <c r="FL181" i="1"/>
  <c r="FL165" i="1"/>
  <c r="AK163" i="38" s="1"/>
  <c r="FL233" i="1"/>
  <c r="AK231" i="38" s="1"/>
  <c r="FL247" i="1"/>
  <c r="FL231" i="1"/>
  <c r="FL199" i="1"/>
  <c r="FL240" i="1"/>
  <c r="FL224" i="1"/>
  <c r="FL217" i="1"/>
  <c r="FL160" i="1"/>
  <c r="FL210" i="1"/>
  <c r="AK208" i="38" s="1"/>
  <c r="FL194" i="1"/>
  <c r="AK192" i="38" s="1"/>
  <c r="FL178" i="1"/>
  <c r="AK176" i="38" s="1"/>
  <c r="FL185" i="1"/>
  <c r="AK183" i="38" s="1"/>
  <c r="FL169" i="1"/>
  <c r="AK167" i="38" s="1"/>
  <c r="FL249" i="1"/>
  <c r="FL246" i="1"/>
  <c r="FL175" i="1"/>
  <c r="FL241" i="1"/>
  <c r="FL164" i="1"/>
  <c r="AK162" i="38" s="1"/>
  <c r="FL180" i="1"/>
  <c r="AK178" i="38" s="1"/>
  <c r="FL253" i="1"/>
  <c r="AK251" i="38" s="1"/>
  <c r="FL234" i="1"/>
  <c r="AK232" i="38" s="1"/>
  <c r="FL205" i="1"/>
  <c r="AK203" i="38" s="1"/>
  <c r="FL220" i="1"/>
  <c r="AK218" i="38" s="1"/>
  <c r="FL204" i="1"/>
  <c r="AK202" i="38" s="1"/>
  <c r="FL166" i="1"/>
  <c r="AK164" i="38" s="1"/>
  <c r="FL179" i="1"/>
  <c r="FL163" i="1"/>
  <c r="FL197" i="1"/>
  <c r="FL158" i="1"/>
  <c r="FL203" i="1"/>
  <c r="FL239" i="1"/>
  <c r="AK237" i="38" s="1"/>
  <c r="FL215" i="1"/>
  <c r="FL156" i="1"/>
  <c r="AK154" i="38" s="1"/>
  <c r="FL250" i="1"/>
  <c r="FL245" i="1"/>
  <c r="AK243" i="38" s="1"/>
  <c r="FL244" i="1"/>
  <c r="AK242" i="38" s="1"/>
  <c r="FL228" i="1"/>
  <c r="AK226" i="38" s="1"/>
  <c r="FL193" i="1"/>
  <c r="FL176" i="1"/>
  <c r="AK174" i="38" s="1"/>
  <c r="FL214" i="1"/>
  <c r="AK212" i="38" s="1"/>
  <c r="FL198" i="1"/>
  <c r="FL186" i="1"/>
  <c r="FL154" i="1"/>
  <c r="AK152" i="38" s="1"/>
  <c r="FL173" i="1"/>
  <c r="AK171" i="38" s="1"/>
  <c r="FL157" i="1"/>
  <c r="AK155" i="38" s="1"/>
  <c r="FL230" i="1"/>
  <c r="AK228" i="38" s="1"/>
  <c r="FL200" i="1"/>
  <c r="AK198" i="38" s="1"/>
  <c r="FL227" i="1"/>
  <c r="FL191" i="1"/>
  <c r="AK189" i="38" s="1"/>
  <c r="FL219" i="1"/>
  <c r="FL238" i="1"/>
  <c r="AK236" i="38" s="1"/>
  <c r="FL213" i="1"/>
  <c r="AK211" i="38" s="1"/>
  <c r="FL208" i="1"/>
  <c r="FL192" i="1"/>
  <c r="FL174" i="1"/>
  <c r="FL183" i="1"/>
  <c r="AK181" i="38" s="1"/>
  <c r="FL167" i="1"/>
  <c r="AK165" i="38" s="1"/>
  <c r="FM4" i="1"/>
  <c r="EK154" i="1"/>
  <c r="ES154" i="1"/>
  <c r="EO155" i="1"/>
  <c r="EK156" i="1"/>
  <c r="ES156" i="1"/>
  <c r="EO157" i="1"/>
  <c r="EK158" i="1"/>
  <c r="ES158" i="1"/>
  <c r="EO159" i="1"/>
  <c r="EK160" i="1"/>
  <c r="ES160" i="1"/>
  <c r="EO161" i="1"/>
  <c r="EK162" i="1"/>
  <c r="ES162" i="1"/>
  <c r="EO163" i="1"/>
  <c r="EK164" i="1"/>
  <c r="ES164" i="1"/>
  <c r="EO165" i="1"/>
  <c r="EK166" i="1"/>
  <c r="ES166" i="1"/>
  <c r="EO167" i="1"/>
  <c r="EK168" i="1"/>
  <c r="ES168" i="1"/>
  <c r="EO169" i="1"/>
  <c r="EK170" i="1"/>
  <c r="ES170" i="1"/>
  <c r="EO171" i="1"/>
  <c r="EK172" i="1"/>
  <c r="ES172" i="1"/>
  <c r="EO173" i="1"/>
  <c r="EK174" i="1"/>
  <c r="ES174" i="1"/>
  <c r="EO175" i="1"/>
  <c r="EK176" i="1"/>
  <c r="ES176" i="1"/>
  <c r="EO177" i="1"/>
  <c r="EK178" i="1"/>
  <c r="ES178" i="1"/>
  <c r="EO179" i="1"/>
  <c r="EK180" i="1"/>
  <c r="ES180" i="1"/>
  <c r="EO181" i="1"/>
  <c r="EK182" i="1"/>
  <c r="ES182" i="1"/>
  <c r="EO183" i="1"/>
  <c r="EK184" i="1"/>
  <c r="ES184" i="1"/>
  <c r="EO185" i="1"/>
  <c r="EK186" i="1"/>
  <c r="ES186" i="1"/>
  <c r="EO187" i="1"/>
  <c r="EK188" i="1"/>
  <c r="ES188" i="1"/>
  <c r="EO189" i="1"/>
  <c r="EK190" i="1"/>
  <c r="ES190" i="1"/>
  <c r="EO191" i="1"/>
  <c r="EK192" i="1"/>
  <c r="ES192" i="1"/>
  <c r="EO193" i="1"/>
  <c r="EK194" i="1"/>
  <c r="ES194" i="1"/>
  <c r="EO195" i="1"/>
  <c r="EK196" i="1"/>
  <c r="ES196" i="1"/>
  <c r="EO197" i="1"/>
  <c r="EK198" i="1"/>
  <c r="ES198" i="1"/>
  <c r="EO199" i="1"/>
  <c r="EK200" i="1"/>
  <c r="ES200" i="1"/>
  <c r="EO201" i="1"/>
  <c r="EK202" i="1"/>
  <c r="ES202" i="1"/>
  <c r="EO203" i="1"/>
  <c r="EK204" i="1"/>
  <c r="ES204" i="1"/>
  <c r="EO205" i="1"/>
  <c r="EK206" i="1"/>
  <c r="ES206" i="1"/>
  <c r="EO207" i="1"/>
  <c r="EK208" i="1"/>
  <c r="ES208" i="1"/>
  <c r="EO209" i="1"/>
  <c r="EK210" i="1"/>
  <c r="EL154" i="1"/>
  <c r="ET154" i="1"/>
  <c r="EP155" i="1"/>
  <c r="EL156" i="1"/>
  <c r="ET156" i="1"/>
  <c r="EP157" i="1"/>
  <c r="EL158" i="1"/>
  <c r="ET158" i="1"/>
  <c r="EP159" i="1"/>
  <c r="EL160" i="1"/>
  <c r="ET160" i="1"/>
  <c r="EP161" i="1"/>
  <c r="EL162" i="1"/>
  <c r="ET162" i="1"/>
  <c r="EP163" i="1"/>
  <c r="EL164" i="1"/>
  <c r="ET164" i="1"/>
  <c r="EP165" i="1"/>
  <c r="EL166" i="1"/>
  <c r="ET166" i="1"/>
  <c r="EP167" i="1"/>
  <c r="EL168" i="1"/>
  <c r="ET168" i="1"/>
  <c r="EP169" i="1"/>
  <c r="EL170" i="1"/>
  <c r="ET170" i="1"/>
  <c r="EP171" i="1"/>
  <c r="EL172" i="1"/>
  <c r="ET172" i="1"/>
  <c r="EP173" i="1"/>
  <c r="EL174" i="1"/>
  <c r="ET174" i="1"/>
  <c r="EP175" i="1"/>
  <c r="EL176" i="1"/>
  <c r="ET176" i="1"/>
  <c r="EP177" i="1"/>
  <c r="EL178" i="1"/>
  <c r="ET178" i="1"/>
  <c r="EP179" i="1"/>
  <c r="EL180" i="1"/>
  <c r="ET180" i="1"/>
  <c r="EP181" i="1"/>
  <c r="EL182" i="1"/>
  <c r="ET182" i="1"/>
  <c r="EP183" i="1"/>
  <c r="EL184" i="1"/>
  <c r="ET184" i="1"/>
  <c r="EP185" i="1"/>
  <c r="EL186" i="1"/>
  <c r="ET186" i="1"/>
  <c r="EP187" i="1"/>
  <c r="EL188" i="1"/>
  <c r="ET188" i="1"/>
  <c r="EP189" i="1"/>
  <c r="EL190" i="1"/>
  <c r="ET190" i="1"/>
  <c r="EP191" i="1"/>
  <c r="EL192" i="1"/>
  <c r="ET192" i="1"/>
  <c r="EP193" i="1"/>
  <c r="EL194" i="1"/>
  <c r="ET194" i="1"/>
  <c r="EP195" i="1"/>
  <c r="EL196" i="1"/>
  <c r="ET196" i="1"/>
  <c r="EP197" i="1"/>
  <c r="EL198" i="1"/>
  <c r="ET198" i="1"/>
  <c r="EP199" i="1"/>
  <c r="EL200" i="1"/>
  <c r="ET200" i="1"/>
  <c r="EP201" i="1"/>
  <c r="EL202" i="1"/>
  <c r="ET202" i="1"/>
  <c r="EP203" i="1"/>
  <c r="EL204" i="1"/>
  <c r="ET204" i="1"/>
  <c r="EP205" i="1"/>
  <c r="EL206" i="1"/>
  <c r="ET206" i="1"/>
  <c r="EP207" i="1"/>
  <c r="EL208" i="1"/>
  <c r="ET208" i="1"/>
  <c r="EP209" i="1"/>
  <c r="EL210" i="1"/>
  <c r="EM154" i="1"/>
  <c r="EU154" i="1"/>
  <c r="EQ155" i="1"/>
  <c r="EM156" i="1"/>
  <c r="EU156" i="1"/>
  <c r="EQ157" i="1"/>
  <c r="EM158" i="1"/>
  <c r="EU158" i="1"/>
  <c r="EQ159" i="1"/>
  <c r="EM160" i="1"/>
  <c r="EU160" i="1"/>
  <c r="EQ161" i="1"/>
  <c r="EM162" i="1"/>
  <c r="EU162" i="1"/>
  <c r="EQ163" i="1"/>
  <c r="EM164" i="1"/>
  <c r="EU164" i="1"/>
  <c r="EQ165" i="1"/>
  <c r="EM166" i="1"/>
  <c r="EU166" i="1"/>
  <c r="EQ167" i="1"/>
  <c r="EM168" i="1"/>
  <c r="EU168" i="1"/>
  <c r="EQ169" i="1"/>
  <c r="EM170" i="1"/>
  <c r="EU170" i="1"/>
  <c r="EQ171" i="1"/>
  <c r="EM172" i="1"/>
  <c r="EU172" i="1"/>
  <c r="EQ173" i="1"/>
  <c r="EM174" i="1"/>
  <c r="EU174" i="1"/>
  <c r="EQ175" i="1"/>
  <c r="EM176" i="1"/>
  <c r="EU176" i="1"/>
  <c r="EQ177" i="1"/>
  <c r="EM178" i="1"/>
  <c r="EU178" i="1"/>
  <c r="EQ179" i="1"/>
  <c r="EM180" i="1"/>
  <c r="EU180" i="1"/>
  <c r="EQ181" i="1"/>
  <c r="EM182" i="1"/>
  <c r="EU182" i="1"/>
  <c r="EQ183" i="1"/>
  <c r="EM184" i="1"/>
  <c r="EU184" i="1"/>
  <c r="EQ185" i="1"/>
  <c r="EM186" i="1"/>
  <c r="EU186" i="1"/>
  <c r="EQ187" i="1"/>
  <c r="EM188" i="1"/>
  <c r="EU188" i="1"/>
  <c r="EQ189" i="1"/>
  <c r="EM190" i="1"/>
  <c r="EU190" i="1"/>
  <c r="EQ191" i="1"/>
  <c r="EM192" i="1"/>
  <c r="EU192" i="1"/>
  <c r="EQ193" i="1"/>
  <c r="EM194" i="1"/>
  <c r="EU194" i="1"/>
  <c r="EQ195" i="1"/>
  <c r="EM196" i="1"/>
  <c r="EU196" i="1"/>
  <c r="EQ197" i="1"/>
  <c r="EM198" i="1"/>
  <c r="EU198" i="1"/>
  <c r="EQ199" i="1"/>
  <c r="EM200" i="1"/>
  <c r="EU200" i="1"/>
  <c r="EQ201" i="1"/>
  <c r="EM202" i="1"/>
  <c r="EU202" i="1"/>
  <c r="EQ203" i="1"/>
  <c r="EM204" i="1"/>
  <c r="EU204" i="1"/>
  <c r="EQ205" i="1"/>
  <c r="EM206" i="1"/>
  <c r="EU206" i="1"/>
  <c r="EQ207" i="1"/>
  <c r="EM208" i="1"/>
  <c r="EU208" i="1"/>
  <c r="EQ209" i="1"/>
  <c r="EM210" i="1"/>
  <c r="EP154" i="1"/>
  <c r="EL155" i="1"/>
  <c r="ET155" i="1"/>
  <c r="EP156" i="1"/>
  <c r="EL157" i="1"/>
  <c r="ET157" i="1"/>
  <c r="EP158" i="1"/>
  <c r="EL159" i="1"/>
  <c r="ET159" i="1"/>
  <c r="EP160" i="1"/>
  <c r="EL161" i="1"/>
  <c r="ET161" i="1"/>
  <c r="EP162" i="1"/>
  <c r="EL163" i="1"/>
  <c r="ET163" i="1"/>
  <c r="EP164" i="1"/>
  <c r="EL165" i="1"/>
  <c r="ET165" i="1"/>
  <c r="EP166" i="1"/>
  <c r="EL167" i="1"/>
  <c r="ET167" i="1"/>
  <c r="EP168" i="1"/>
  <c r="EL169" i="1"/>
  <c r="ET169" i="1"/>
  <c r="EP170" i="1"/>
  <c r="EL171" i="1"/>
  <c r="ET171" i="1"/>
  <c r="EP172" i="1"/>
  <c r="EL173" i="1"/>
  <c r="ET173" i="1"/>
  <c r="EP174" i="1"/>
  <c r="EL175" i="1"/>
  <c r="ET175" i="1"/>
  <c r="EP176" i="1"/>
  <c r="EL177" i="1"/>
  <c r="ET177" i="1"/>
  <c r="EP178" i="1"/>
  <c r="EL179" i="1"/>
  <c r="ET179" i="1"/>
  <c r="EP180" i="1"/>
  <c r="EL181" i="1"/>
  <c r="ET181" i="1"/>
  <c r="EP182" i="1"/>
  <c r="EL183" i="1"/>
  <c r="ET183" i="1"/>
  <c r="EP184" i="1"/>
  <c r="EL185" i="1"/>
  <c r="ET185" i="1"/>
  <c r="EP186" i="1"/>
  <c r="EL187" i="1"/>
  <c r="ET187" i="1"/>
  <c r="EP188" i="1"/>
  <c r="EL189" i="1"/>
  <c r="ET189" i="1"/>
  <c r="EP190" i="1"/>
  <c r="EL191" i="1"/>
  <c r="ET191" i="1"/>
  <c r="EP192" i="1"/>
  <c r="EL193" i="1"/>
  <c r="ET193" i="1"/>
  <c r="EP194" i="1"/>
  <c r="EL195" i="1"/>
  <c r="ET195" i="1"/>
  <c r="EP196" i="1"/>
  <c r="EL197" i="1"/>
  <c r="ET197" i="1"/>
  <c r="EP198" i="1"/>
  <c r="EL199" i="1"/>
  <c r="ET199" i="1"/>
  <c r="EP200" i="1"/>
  <c r="EL201" i="1"/>
  <c r="ET201" i="1"/>
  <c r="EP202" i="1"/>
  <c r="EL203" i="1"/>
  <c r="ET203" i="1"/>
  <c r="EP204" i="1"/>
  <c r="EL205" i="1"/>
  <c r="ET205" i="1"/>
  <c r="EP206" i="1"/>
  <c r="EL207" i="1"/>
  <c r="ET207" i="1"/>
  <c r="EP208" i="1"/>
  <c r="EL209" i="1"/>
  <c r="ET209" i="1"/>
  <c r="EP210" i="1"/>
  <c r="EQ154" i="1"/>
  <c r="EM155" i="1"/>
  <c r="EU155" i="1"/>
  <c r="EQ156" i="1"/>
  <c r="EM157" i="1"/>
  <c r="EU157" i="1"/>
  <c r="EQ158" i="1"/>
  <c r="EM159" i="1"/>
  <c r="EU159" i="1"/>
  <c r="EQ160" i="1"/>
  <c r="EM161" i="1"/>
  <c r="EU161" i="1"/>
  <c r="EQ162" i="1"/>
  <c r="EM163" i="1"/>
  <c r="EU163" i="1"/>
  <c r="EQ164" i="1"/>
  <c r="EM165" i="1"/>
  <c r="EU165" i="1"/>
  <c r="EQ166" i="1"/>
  <c r="EM167" i="1"/>
  <c r="EU167" i="1"/>
  <c r="EQ168" i="1"/>
  <c r="EM169" i="1"/>
  <c r="EU169" i="1"/>
  <c r="EQ170" i="1"/>
  <c r="EM171" i="1"/>
  <c r="EU171" i="1"/>
  <c r="EQ172" i="1"/>
  <c r="EM173" i="1"/>
  <c r="EU173" i="1"/>
  <c r="EQ174" i="1"/>
  <c r="EM175" i="1"/>
  <c r="EU175" i="1"/>
  <c r="EQ176" i="1"/>
  <c r="EM177" i="1"/>
  <c r="EU177" i="1"/>
  <c r="EQ178" i="1"/>
  <c r="EM179" i="1"/>
  <c r="EU179" i="1"/>
  <c r="EQ180" i="1"/>
  <c r="EM181" i="1"/>
  <c r="EU181" i="1"/>
  <c r="EQ182" i="1"/>
  <c r="EM183" i="1"/>
  <c r="EU183" i="1"/>
  <c r="EQ184" i="1"/>
  <c r="EM185" i="1"/>
  <c r="EU185" i="1"/>
  <c r="EQ186" i="1"/>
  <c r="EM187" i="1"/>
  <c r="EU187" i="1"/>
  <c r="EQ188" i="1"/>
  <c r="EM189" i="1"/>
  <c r="EU189" i="1"/>
  <c r="EQ190" i="1"/>
  <c r="EM191" i="1"/>
  <c r="EU191" i="1"/>
  <c r="EQ192" i="1"/>
  <c r="EM193" i="1"/>
  <c r="EU193" i="1"/>
  <c r="EQ194" i="1"/>
  <c r="EM195" i="1"/>
  <c r="EU195" i="1"/>
  <c r="EQ196" i="1"/>
  <c r="EM197" i="1"/>
  <c r="EU197" i="1"/>
  <c r="EQ198" i="1"/>
  <c r="EM199" i="1"/>
  <c r="EU199" i="1"/>
  <c r="EQ200" i="1"/>
  <c r="EM201" i="1"/>
  <c r="EU201" i="1"/>
  <c r="EQ202" i="1"/>
  <c r="EM203" i="1"/>
  <c r="EU203" i="1"/>
  <c r="EQ204" i="1"/>
  <c r="EM205" i="1"/>
  <c r="EU205" i="1"/>
  <c r="EQ206" i="1"/>
  <c r="EM207" i="1"/>
  <c r="EU207" i="1"/>
  <c r="EQ208" i="1"/>
  <c r="EM209" i="1"/>
  <c r="EU209" i="1"/>
  <c r="EQ210" i="1"/>
  <c r="EN154" i="1"/>
  <c r="EV155" i="1"/>
  <c r="ES157" i="1"/>
  <c r="ER159" i="1"/>
  <c r="EN161" i="1"/>
  <c r="EK163" i="1"/>
  <c r="EV164" i="1"/>
  <c r="ER166" i="1"/>
  <c r="EO168" i="1"/>
  <c r="EN170" i="1"/>
  <c r="EV171" i="1"/>
  <c r="ES173" i="1"/>
  <c r="ER175" i="1"/>
  <c r="EN177" i="1"/>
  <c r="EK179" i="1"/>
  <c r="EV180" i="1"/>
  <c r="ER182" i="1"/>
  <c r="EO184" i="1"/>
  <c r="EN186" i="1"/>
  <c r="EV187" i="1"/>
  <c r="ES189" i="1"/>
  <c r="ER191" i="1"/>
  <c r="EN193" i="1"/>
  <c r="EK195" i="1"/>
  <c r="EV196" i="1"/>
  <c r="ER198" i="1"/>
  <c r="EO200" i="1"/>
  <c r="EN202" i="1"/>
  <c r="EV203" i="1"/>
  <c r="ES205" i="1"/>
  <c r="ER207" i="1"/>
  <c r="EN209" i="1"/>
  <c r="ET210" i="1"/>
  <c r="EP211" i="1"/>
  <c r="EL212" i="1"/>
  <c r="ET212" i="1"/>
  <c r="EP213" i="1"/>
  <c r="EL214" i="1"/>
  <c r="ET214" i="1"/>
  <c r="EP215" i="1"/>
  <c r="EL216" i="1"/>
  <c r="ET216" i="1"/>
  <c r="EP217" i="1"/>
  <c r="EL218" i="1"/>
  <c r="ET218" i="1"/>
  <c r="EP219" i="1"/>
  <c r="EL220" i="1"/>
  <c r="ET220" i="1"/>
  <c r="EP221" i="1"/>
  <c r="EL222" i="1"/>
  <c r="ET222" i="1"/>
  <c r="EP223" i="1"/>
  <c r="EL224" i="1"/>
  <c r="ET224" i="1"/>
  <c r="EP225" i="1"/>
  <c r="EL226" i="1"/>
  <c r="ET226" i="1"/>
  <c r="EP227" i="1"/>
  <c r="EL228" i="1"/>
  <c r="ET228" i="1"/>
  <c r="EP229" i="1"/>
  <c r="EL230" i="1"/>
  <c r="ET230" i="1"/>
  <c r="EP231" i="1"/>
  <c r="EL232" i="1"/>
  <c r="ET232" i="1"/>
  <c r="EP233" i="1"/>
  <c r="EL234" i="1"/>
  <c r="ET234" i="1"/>
  <c r="EP235" i="1"/>
  <c r="EL236" i="1"/>
  <c r="ET236" i="1"/>
  <c r="EP237" i="1"/>
  <c r="EL238" i="1"/>
  <c r="ET238" i="1"/>
  <c r="EP239" i="1"/>
  <c r="EL240" i="1"/>
  <c r="ET240" i="1"/>
  <c r="EP241" i="1"/>
  <c r="EL242" i="1"/>
  <c r="ET242" i="1"/>
  <c r="EP243" i="1"/>
  <c r="EL244" i="1"/>
  <c r="ET244" i="1"/>
  <c r="EP245" i="1"/>
  <c r="EO154" i="1"/>
  <c r="EN156" i="1"/>
  <c r="EV157" i="1"/>
  <c r="ES159" i="1"/>
  <c r="ER161" i="1"/>
  <c r="EN163" i="1"/>
  <c r="EK165" i="1"/>
  <c r="EV166" i="1"/>
  <c r="ER168" i="1"/>
  <c r="EO170" i="1"/>
  <c r="EN172" i="1"/>
  <c r="EV173" i="1"/>
  <c r="ES175" i="1"/>
  <c r="ER177" i="1"/>
  <c r="EN179" i="1"/>
  <c r="EK181" i="1"/>
  <c r="EV182" i="1"/>
  <c r="ER184" i="1"/>
  <c r="EO186" i="1"/>
  <c r="EN188" i="1"/>
  <c r="EV189" i="1"/>
  <c r="ES191" i="1"/>
  <c r="ER193" i="1"/>
  <c r="EN195" i="1"/>
  <c r="EK197" i="1"/>
  <c r="EV198" i="1"/>
  <c r="ER200" i="1"/>
  <c r="EO202" i="1"/>
  <c r="EN204" i="1"/>
  <c r="EV205" i="1"/>
  <c r="ES207" i="1"/>
  <c r="ER209" i="1"/>
  <c r="EU210" i="1"/>
  <c r="EQ211" i="1"/>
  <c r="EM212" i="1"/>
  <c r="EU212" i="1"/>
  <c r="EQ213" i="1"/>
  <c r="EM214" i="1"/>
  <c r="EU214" i="1"/>
  <c r="EQ215" i="1"/>
  <c r="EM216" i="1"/>
  <c r="EU216" i="1"/>
  <c r="EQ217" i="1"/>
  <c r="EM218" i="1"/>
  <c r="EU218" i="1"/>
  <c r="EQ219" i="1"/>
  <c r="EM220" i="1"/>
  <c r="EU220" i="1"/>
  <c r="EQ221" i="1"/>
  <c r="EM222" i="1"/>
  <c r="EU222" i="1"/>
  <c r="EQ223" i="1"/>
  <c r="EM224" i="1"/>
  <c r="EU224" i="1"/>
  <c r="EQ225" i="1"/>
  <c r="EM226" i="1"/>
  <c r="EU226" i="1"/>
  <c r="EQ227" i="1"/>
  <c r="EM228" i="1"/>
  <c r="EU228" i="1"/>
  <c r="EQ229" i="1"/>
  <c r="EM230" i="1"/>
  <c r="EU230" i="1"/>
  <c r="EQ231" i="1"/>
  <c r="EM232" i="1"/>
  <c r="EU232" i="1"/>
  <c r="EQ233" i="1"/>
  <c r="EM234" i="1"/>
  <c r="EU234" i="1"/>
  <c r="EQ235" i="1"/>
  <c r="EM236" i="1"/>
  <c r="EU236" i="1"/>
  <c r="EQ237" i="1"/>
  <c r="EM238" i="1"/>
  <c r="EU238" i="1"/>
  <c r="EQ239" i="1"/>
  <c r="EM240" i="1"/>
  <c r="EU240" i="1"/>
  <c r="EQ241" i="1"/>
  <c r="EM242" i="1"/>
  <c r="EU242" i="1"/>
  <c r="EQ243" i="1"/>
  <c r="EM244" i="1"/>
  <c r="EU244" i="1"/>
  <c r="EQ245" i="1"/>
  <c r="EM246" i="1"/>
  <c r="ER154" i="1"/>
  <c r="EO156" i="1"/>
  <c r="EN158" i="1"/>
  <c r="EV159" i="1"/>
  <c r="ES161" i="1"/>
  <c r="ER163" i="1"/>
  <c r="EN165" i="1"/>
  <c r="EK167" i="1"/>
  <c r="EV168" i="1"/>
  <c r="ER170" i="1"/>
  <c r="EO172" i="1"/>
  <c r="EN174" i="1"/>
  <c r="EV175" i="1"/>
  <c r="ES177" i="1"/>
  <c r="ER179" i="1"/>
  <c r="EN181" i="1"/>
  <c r="EK183" i="1"/>
  <c r="EV184" i="1"/>
  <c r="ER186" i="1"/>
  <c r="EO188" i="1"/>
  <c r="EN190" i="1"/>
  <c r="EV191" i="1"/>
  <c r="ES193" i="1"/>
  <c r="ER195" i="1"/>
  <c r="EN197" i="1"/>
  <c r="EK199" i="1"/>
  <c r="EV200" i="1"/>
  <c r="ER202" i="1"/>
  <c r="EO204" i="1"/>
  <c r="EN206" i="1"/>
  <c r="EV207" i="1"/>
  <c r="ES209" i="1"/>
  <c r="EV210" i="1"/>
  <c r="ER211" i="1"/>
  <c r="EN212" i="1"/>
  <c r="EV212" i="1"/>
  <c r="ER213" i="1"/>
  <c r="EN214" i="1"/>
  <c r="EV214" i="1"/>
  <c r="ER215" i="1"/>
  <c r="EN216" i="1"/>
  <c r="EV216" i="1"/>
  <c r="ER217" i="1"/>
  <c r="EN218" i="1"/>
  <c r="EV218" i="1"/>
  <c r="ER219" i="1"/>
  <c r="EN220" i="1"/>
  <c r="EV220" i="1"/>
  <c r="ER221" i="1"/>
  <c r="EN222" i="1"/>
  <c r="EV222" i="1"/>
  <c r="ER223" i="1"/>
  <c r="EN224" i="1"/>
  <c r="EV224" i="1"/>
  <c r="ER225" i="1"/>
  <c r="EN226" i="1"/>
  <c r="EV226" i="1"/>
  <c r="ER227" i="1"/>
  <c r="EN228" i="1"/>
  <c r="EV228" i="1"/>
  <c r="ER229" i="1"/>
  <c r="EN230" i="1"/>
  <c r="EV230" i="1"/>
  <c r="ER231" i="1"/>
  <c r="EN232" i="1"/>
  <c r="EV232" i="1"/>
  <c r="ER233" i="1"/>
  <c r="EN234" i="1"/>
  <c r="EV234" i="1"/>
  <c r="ER235" i="1"/>
  <c r="EN236" i="1"/>
  <c r="EV236" i="1"/>
  <c r="ER237" i="1"/>
  <c r="EN238" i="1"/>
  <c r="EV238" i="1"/>
  <c r="ER239" i="1"/>
  <c r="EN240" i="1"/>
  <c r="EV240" i="1"/>
  <c r="ER241" i="1"/>
  <c r="EN242" i="1"/>
  <c r="EV242" i="1"/>
  <c r="ER243" i="1"/>
  <c r="EN244" i="1"/>
  <c r="EV244" i="1"/>
  <c r="ER245" i="1"/>
  <c r="EV154" i="1"/>
  <c r="ER156" i="1"/>
  <c r="EO158" i="1"/>
  <c r="EN160" i="1"/>
  <c r="EV161" i="1"/>
  <c r="ES163" i="1"/>
  <c r="ER165" i="1"/>
  <c r="EN167" i="1"/>
  <c r="EK169" i="1"/>
  <c r="EV170" i="1"/>
  <c r="ER172" i="1"/>
  <c r="EO174" i="1"/>
  <c r="EN176" i="1"/>
  <c r="EV177" i="1"/>
  <c r="ES179" i="1"/>
  <c r="ER181" i="1"/>
  <c r="EN183" i="1"/>
  <c r="EK185" i="1"/>
  <c r="EV186" i="1"/>
  <c r="ER188" i="1"/>
  <c r="EO190" i="1"/>
  <c r="EN192" i="1"/>
  <c r="EV193" i="1"/>
  <c r="ES195" i="1"/>
  <c r="ER197" i="1"/>
  <c r="EN199" i="1"/>
  <c r="EK201" i="1"/>
  <c r="EV202" i="1"/>
  <c r="ER204" i="1"/>
  <c r="EO206" i="1"/>
  <c r="EN208" i="1"/>
  <c r="EV209" i="1"/>
  <c r="EK211" i="1"/>
  <c r="ES211" i="1"/>
  <c r="EO212" i="1"/>
  <c r="EK213" i="1"/>
  <c r="ES213" i="1"/>
  <c r="EO214" i="1"/>
  <c r="EK215" i="1"/>
  <c r="ES215" i="1"/>
  <c r="EO216" i="1"/>
  <c r="EK217" i="1"/>
  <c r="ES217" i="1"/>
  <c r="EO218" i="1"/>
  <c r="EK219" i="1"/>
  <c r="ES219" i="1"/>
  <c r="EO220" i="1"/>
  <c r="EK221" i="1"/>
  <c r="ES221" i="1"/>
  <c r="EO222" i="1"/>
  <c r="EK223" i="1"/>
  <c r="ES223" i="1"/>
  <c r="EO224" i="1"/>
  <c r="EK225" i="1"/>
  <c r="ES225" i="1"/>
  <c r="EO226" i="1"/>
  <c r="EK227" i="1"/>
  <c r="ES227" i="1"/>
  <c r="EO228" i="1"/>
  <c r="EK229" i="1"/>
  <c r="ES229" i="1"/>
  <c r="EO230" i="1"/>
  <c r="EK231" i="1"/>
  <c r="ES231" i="1"/>
  <c r="EO232" i="1"/>
  <c r="EK233" i="1"/>
  <c r="ES233" i="1"/>
  <c r="EO234" i="1"/>
  <c r="EK235" i="1"/>
  <c r="ES235" i="1"/>
  <c r="EO236" i="1"/>
  <c r="EK237" i="1"/>
  <c r="ES237" i="1"/>
  <c r="EO238" i="1"/>
  <c r="EK239" i="1"/>
  <c r="ES239" i="1"/>
  <c r="EO240" i="1"/>
  <c r="EK241" i="1"/>
  <c r="ES241" i="1"/>
  <c r="EO242" i="1"/>
  <c r="EK243" i="1"/>
  <c r="ES243" i="1"/>
  <c r="EO244" i="1"/>
  <c r="EK245" i="1"/>
  <c r="ES245" i="1"/>
  <c r="EK155" i="1"/>
  <c r="EV156" i="1"/>
  <c r="ER158" i="1"/>
  <c r="EO160" i="1"/>
  <c r="EN162" i="1"/>
  <c r="EV163" i="1"/>
  <c r="ES165" i="1"/>
  <c r="ER167" i="1"/>
  <c r="EN169" i="1"/>
  <c r="EK171" i="1"/>
  <c r="EV172" i="1"/>
  <c r="ER174" i="1"/>
  <c r="EO176" i="1"/>
  <c r="EN178" i="1"/>
  <c r="EV179" i="1"/>
  <c r="ES181" i="1"/>
  <c r="ER183" i="1"/>
  <c r="EN185" i="1"/>
  <c r="EK187" i="1"/>
  <c r="EV188" i="1"/>
  <c r="ER190" i="1"/>
  <c r="EO192" i="1"/>
  <c r="EN194" i="1"/>
  <c r="EV195" i="1"/>
  <c r="ES197" i="1"/>
  <c r="ER199" i="1"/>
  <c r="EN201" i="1"/>
  <c r="EK203" i="1"/>
  <c r="EV204" i="1"/>
  <c r="ER206" i="1"/>
  <c r="EO208" i="1"/>
  <c r="EN210" i="1"/>
  <c r="EL211" i="1"/>
  <c r="ET211" i="1"/>
  <c r="EP212" i="1"/>
  <c r="EL213" i="1"/>
  <c r="ET213" i="1"/>
  <c r="EP214" i="1"/>
  <c r="EL215" i="1"/>
  <c r="ET215" i="1"/>
  <c r="EP216" i="1"/>
  <c r="EL217" i="1"/>
  <c r="ET217" i="1"/>
  <c r="EP218" i="1"/>
  <c r="EL219" i="1"/>
  <c r="ET219" i="1"/>
  <c r="EP220" i="1"/>
  <c r="EL221" i="1"/>
  <c r="ET221" i="1"/>
  <c r="EP222" i="1"/>
  <c r="EL223" i="1"/>
  <c r="ET223" i="1"/>
  <c r="EP224" i="1"/>
  <c r="EL225" i="1"/>
  <c r="ET225" i="1"/>
  <c r="EP226" i="1"/>
  <c r="EL227" i="1"/>
  <c r="ET227" i="1"/>
  <c r="EP228" i="1"/>
  <c r="EL229" i="1"/>
  <c r="ET229" i="1"/>
  <c r="EP230" i="1"/>
  <c r="EL231" i="1"/>
  <c r="ET231" i="1"/>
  <c r="EP232" i="1"/>
  <c r="EL233" i="1"/>
  <c r="ET233" i="1"/>
  <c r="EP234" i="1"/>
  <c r="EL235" i="1"/>
  <c r="ET235" i="1"/>
  <c r="EP236" i="1"/>
  <c r="EL237" i="1"/>
  <c r="ET237" i="1"/>
  <c r="EP238" i="1"/>
  <c r="EL239" i="1"/>
  <c r="ET239" i="1"/>
  <c r="EP240" i="1"/>
  <c r="EL241" i="1"/>
  <c r="ET241" i="1"/>
  <c r="EP242" i="1"/>
  <c r="EL243" i="1"/>
  <c r="ET243" i="1"/>
  <c r="EP244" i="1"/>
  <c r="EL245" i="1"/>
  <c r="ET245" i="1"/>
  <c r="ES155" i="1"/>
  <c r="ER157" i="1"/>
  <c r="EN159" i="1"/>
  <c r="EK161" i="1"/>
  <c r="EV162" i="1"/>
  <c r="ER164" i="1"/>
  <c r="EO166" i="1"/>
  <c r="EN168" i="1"/>
  <c r="EV169" i="1"/>
  <c r="ES171" i="1"/>
  <c r="ER173" i="1"/>
  <c r="EN175" i="1"/>
  <c r="EK177" i="1"/>
  <c r="EV178" i="1"/>
  <c r="ER180" i="1"/>
  <c r="EO182" i="1"/>
  <c r="EN184" i="1"/>
  <c r="EV185" i="1"/>
  <c r="ES187" i="1"/>
  <c r="ER189" i="1"/>
  <c r="EN191" i="1"/>
  <c r="EK193" i="1"/>
  <c r="EV194" i="1"/>
  <c r="ER196" i="1"/>
  <c r="EO198" i="1"/>
  <c r="EN200" i="1"/>
  <c r="EV201" i="1"/>
  <c r="ES203" i="1"/>
  <c r="ER205" i="1"/>
  <c r="EN207" i="1"/>
  <c r="EK209" i="1"/>
  <c r="ES210" i="1"/>
  <c r="EO211" i="1"/>
  <c r="EK212" i="1"/>
  <c r="ES212" i="1"/>
  <c r="EO213" i="1"/>
  <c r="EK214" i="1"/>
  <c r="ES214" i="1"/>
  <c r="EO215" i="1"/>
  <c r="EK216" i="1"/>
  <c r="ES216" i="1"/>
  <c r="EO217" i="1"/>
  <c r="EK218" i="1"/>
  <c r="ES218" i="1"/>
  <c r="EO219" i="1"/>
  <c r="EK220" i="1"/>
  <c r="ES220" i="1"/>
  <c r="EO221" i="1"/>
  <c r="EK222" i="1"/>
  <c r="ES222" i="1"/>
  <c r="EO223" i="1"/>
  <c r="EK224" i="1"/>
  <c r="ES224" i="1"/>
  <c r="EO225" i="1"/>
  <c r="EK226" i="1"/>
  <c r="ES226" i="1"/>
  <c r="EO227" i="1"/>
  <c r="EK228" i="1"/>
  <c r="ES228" i="1"/>
  <c r="EO229" i="1"/>
  <c r="EK230" i="1"/>
  <c r="ES230" i="1"/>
  <c r="EO231" i="1"/>
  <c r="EK232" i="1"/>
  <c r="ES232" i="1"/>
  <c r="EO233" i="1"/>
  <c r="EK234" i="1"/>
  <c r="ES234" i="1"/>
  <c r="EO235" i="1"/>
  <c r="EK236" i="1"/>
  <c r="ES236" i="1"/>
  <c r="EO237" i="1"/>
  <c r="EK238" i="1"/>
  <c r="ES238" i="1"/>
  <c r="EO239" i="1"/>
  <c r="EK240" i="1"/>
  <c r="ES240" i="1"/>
  <c r="EO241" i="1"/>
  <c r="EK242" i="1"/>
  <c r="ES242" i="1"/>
  <c r="EO243" i="1"/>
  <c r="EK244" i="1"/>
  <c r="ES244" i="1"/>
  <c r="EO245" i="1"/>
  <c r="EK246" i="1"/>
  <c r="EN155" i="1"/>
  <c r="ER155" i="1"/>
  <c r="EK157" i="1"/>
  <c r="EN164" i="1"/>
  <c r="EN171" i="1"/>
  <c r="EO178" i="1"/>
  <c r="ER185" i="1"/>
  <c r="ER192" i="1"/>
  <c r="ES199" i="1"/>
  <c r="EV206" i="1"/>
  <c r="EU211" i="1"/>
  <c r="EQ214" i="1"/>
  <c r="EM217" i="1"/>
  <c r="EU219" i="1"/>
  <c r="EQ222" i="1"/>
  <c r="EM225" i="1"/>
  <c r="EU227" i="1"/>
  <c r="EQ230" i="1"/>
  <c r="EM233" i="1"/>
  <c r="EU235" i="1"/>
  <c r="EQ238" i="1"/>
  <c r="EM241" i="1"/>
  <c r="EU243" i="1"/>
  <c r="EL246" i="1"/>
  <c r="EU246" i="1"/>
  <c r="EQ247" i="1"/>
  <c r="EM248" i="1"/>
  <c r="EU248" i="1"/>
  <c r="EQ249" i="1"/>
  <c r="EM250" i="1"/>
  <c r="EU250" i="1"/>
  <c r="EQ251" i="1"/>
  <c r="EM252" i="1"/>
  <c r="EU252" i="1"/>
  <c r="EQ253" i="1"/>
  <c r="EN157" i="1"/>
  <c r="EO164" i="1"/>
  <c r="ER171" i="1"/>
  <c r="ER178" i="1"/>
  <c r="ES185" i="1"/>
  <c r="EV192" i="1"/>
  <c r="EV199" i="1"/>
  <c r="EK207" i="1"/>
  <c r="EV211" i="1"/>
  <c r="ER214" i="1"/>
  <c r="EN217" i="1"/>
  <c r="EV219" i="1"/>
  <c r="ER222" i="1"/>
  <c r="EN225" i="1"/>
  <c r="EV227" i="1"/>
  <c r="ER230" i="1"/>
  <c r="EN233" i="1"/>
  <c r="EV235" i="1"/>
  <c r="ER238" i="1"/>
  <c r="EN241" i="1"/>
  <c r="EV243" i="1"/>
  <c r="EN246" i="1"/>
  <c r="EV246" i="1"/>
  <c r="ER247" i="1"/>
  <c r="EN248" i="1"/>
  <c r="EV248" i="1"/>
  <c r="ER249" i="1"/>
  <c r="EN250" i="1"/>
  <c r="EV250" i="1"/>
  <c r="ER251" i="1"/>
  <c r="EN252" i="1"/>
  <c r="EV252" i="1"/>
  <c r="ER253" i="1"/>
  <c r="EV158" i="1"/>
  <c r="EV165" i="1"/>
  <c r="EK173" i="1"/>
  <c r="EN180" i="1"/>
  <c r="EN187" i="1"/>
  <c r="EO194" i="1"/>
  <c r="ER201" i="1"/>
  <c r="ER208" i="1"/>
  <c r="EQ212" i="1"/>
  <c r="EM215" i="1"/>
  <c r="EU217" i="1"/>
  <c r="EQ220" i="1"/>
  <c r="EM223" i="1"/>
  <c r="EU225" i="1"/>
  <c r="EQ228" i="1"/>
  <c r="EM231" i="1"/>
  <c r="EU233" i="1"/>
  <c r="EQ236" i="1"/>
  <c r="EM239" i="1"/>
  <c r="EU241" i="1"/>
  <c r="EQ244" i="1"/>
  <c r="EO246" i="1"/>
  <c r="EK247" i="1"/>
  <c r="ES247" i="1"/>
  <c r="EO248" i="1"/>
  <c r="EK249" i="1"/>
  <c r="ES249" i="1"/>
  <c r="EO250" i="1"/>
  <c r="EK251" i="1"/>
  <c r="ES251" i="1"/>
  <c r="EO252" i="1"/>
  <c r="EK253" i="1"/>
  <c r="ES253" i="1"/>
  <c r="EK159" i="1"/>
  <c r="EN166" i="1"/>
  <c r="EN173" i="1"/>
  <c r="EO180" i="1"/>
  <c r="ER187" i="1"/>
  <c r="ER194" i="1"/>
  <c r="ES201" i="1"/>
  <c r="EV208" i="1"/>
  <c r="ER212" i="1"/>
  <c r="EN215" i="1"/>
  <c r="EV217" i="1"/>
  <c r="ER220" i="1"/>
  <c r="EN223" i="1"/>
  <c r="EV225" i="1"/>
  <c r="ER228" i="1"/>
  <c r="EN231" i="1"/>
  <c r="EV233" i="1"/>
  <c r="ER236" i="1"/>
  <c r="EN239" i="1"/>
  <c r="EV241" i="1"/>
  <c r="ER244" i="1"/>
  <c r="EP246" i="1"/>
  <c r="EL247" i="1"/>
  <c r="ET247" i="1"/>
  <c r="EP248" i="1"/>
  <c r="EL249" i="1"/>
  <c r="ET249" i="1"/>
  <c r="EP250" i="1"/>
  <c r="EL251" i="1"/>
  <c r="ET251" i="1"/>
  <c r="EP252" i="1"/>
  <c r="EL253" i="1"/>
  <c r="ET253" i="1"/>
  <c r="EV160" i="1"/>
  <c r="EK175" i="1"/>
  <c r="EN189" i="1"/>
  <c r="ER203" i="1"/>
  <c r="EN213" i="1"/>
  <c r="ER218" i="1"/>
  <c r="EV223" i="1"/>
  <c r="EN229" i="1"/>
  <c r="ER234" i="1"/>
  <c r="EV239" i="1"/>
  <c r="EN245" i="1"/>
  <c r="EN247" i="1"/>
  <c r="ER248" i="1"/>
  <c r="EV249" i="1"/>
  <c r="EN251" i="1"/>
  <c r="ER252" i="1"/>
  <c r="EV253" i="1"/>
  <c r="EO162" i="1"/>
  <c r="ER176" i="1"/>
  <c r="EV190" i="1"/>
  <c r="EK205" i="1"/>
  <c r="EU213" i="1"/>
  <c r="EM219" i="1"/>
  <c r="EQ224" i="1"/>
  <c r="EU229" i="1"/>
  <c r="EM235" i="1"/>
  <c r="EQ240" i="1"/>
  <c r="EU245" i="1"/>
  <c r="EO247" i="1"/>
  <c r="ES248" i="1"/>
  <c r="EK250" i="1"/>
  <c r="EO251" i="1"/>
  <c r="ES252" i="1"/>
  <c r="ER162" i="1"/>
  <c r="EV176" i="1"/>
  <c r="EK191" i="1"/>
  <c r="EN205" i="1"/>
  <c r="EV213" i="1"/>
  <c r="EN219" i="1"/>
  <c r="ER224" i="1"/>
  <c r="EV229" i="1"/>
  <c r="EN235" i="1"/>
  <c r="ER240" i="1"/>
  <c r="EV245" i="1"/>
  <c r="EP247" i="1"/>
  <c r="ET248" i="1"/>
  <c r="EL250" i="1"/>
  <c r="EP251" i="1"/>
  <c r="ET252" i="1"/>
  <c r="ES169" i="1"/>
  <c r="EV183" i="1"/>
  <c r="EN198" i="1"/>
  <c r="EN211" i="1"/>
  <c r="ER216" i="1"/>
  <c r="EV221" i="1"/>
  <c r="EN227" i="1"/>
  <c r="ER232" i="1"/>
  <c r="EV237" i="1"/>
  <c r="EN243" i="1"/>
  <c r="ET246" i="1"/>
  <c r="EL248" i="1"/>
  <c r="EP249" i="1"/>
  <c r="ET250" i="1"/>
  <c r="EL252" i="1"/>
  <c r="EP253" i="1"/>
  <c r="EV167" i="1"/>
  <c r="EO196" i="1"/>
  <c r="EV215" i="1"/>
  <c r="ER226" i="1"/>
  <c r="EN237" i="1"/>
  <c r="ER246" i="1"/>
  <c r="EN249" i="1"/>
  <c r="EV251" i="1"/>
  <c r="ER169" i="1"/>
  <c r="EV197" i="1"/>
  <c r="EQ216" i="1"/>
  <c r="EM227" i="1"/>
  <c r="EU237" i="1"/>
  <c r="ES246" i="1"/>
  <c r="EO249" i="1"/>
  <c r="EK252" i="1"/>
  <c r="EV174" i="1"/>
  <c r="EN203" i="1"/>
  <c r="EQ218" i="1"/>
  <c r="EM229" i="1"/>
  <c r="EU239" i="1"/>
  <c r="EM247" i="1"/>
  <c r="EU249" i="1"/>
  <c r="EQ252" i="1"/>
  <c r="EV181" i="1"/>
  <c r="EO210" i="1"/>
  <c r="EM221" i="1"/>
  <c r="EU231" i="1"/>
  <c r="EQ242" i="1"/>
  <c r="EU247" i="1"/>
  <c r="EQ250" i="1"/>
  <c r="EM253" i="1"/>
  <c r="ER160" i="1"/>
  <c r="EM213" i="1"/>
  <c r="EQ234" i="1"/>
  <c r="EQ248" i="1"/>
  <c r="EU253" i="1"/>
  <c r="ES167" i="1"/>
  <c r="EU215" i="1"/>
  <c r="EM237" i="1"/>
  <c r="EM249" i="1"/>
  <c r="EN182" i="1"/>
  <c r="EN221" i="1"/>
  <c r="ER242" i="1"/>
  <c r="ER250" i="1"/>
  <c r="ES183" i="1"/>
  <c r="EU221" i="1"/>
  <c r="EM243" i="1"/>
  <c r="ES250" i="1"/>
  <c r="EK189" i="1"/>
  <c r="EU223" i="1"/>
  <c r="EM245" i="1"/>
  <c r="EM251" i="1"/>
  <c r="EN196" i="1"/>
  <c r="EQ226" i="1"/>
  <c r="EQ246" i="1"/>
  <c r="EU251" i="1"/>
  <c r="ER210" i="1"/>
  <c r="EM211" i="1"/>
  <c r="EV231" i="1"/>
  <c r="EQ232" i="1"/>
  <c r="EV247" i="1"/>
  <c r="EK248" i="1"/>
  <c r="EN253" i="1"/>
  <c r="EO253" i="1"/>
  <c r="FL225" i="1"/>
  <c r="AK223" i="38" s="1"/>
  <c r="FL229" i="1"/>
  <c r="AK227" i="38" s="1"/>
  <c r="FL251" i="1"/>
  <c r="AK249" i="38" s="1"/>
  <c r="FL188" i="1"/>
  <c r="AK186" i="38" s="1"/>
  <c r="FL232" i="1"/>
  <c r="FL221" i="1"/>
  <c r="FL201" i="1"/>
  <c r="FL218" i="1"/>
  <c r="FL202" i="1"/>
  <c r="FL162" i="1"/>
  <c r="FL177" i="1"/>
  <c r="AK175" i="38" s="1"/>
  <c r="FL161" i="1"/>
  <c r="FL235" i="1"/>
  <c r="FL207" i="1"/>
  <c r="FL248" i="1"/>
  <c r="FL242" i="1"/>
  <c r="FL226" i="1"/>
  <c r="AK224" i="38" s="1"/>
  <c r="FL189" i="1"/>
  <c r="AK187" i="38" s="1"/>
  <c r="FL168" i="1"/>
  <c r="AK166" i="38" s="1"/>
  <c r="FL212" i="1"/>
  <c r="FL196" i="1"/>
  <c r="FL182" i="1"/>
  <c r="FL187" i="1"/>
  <c r="AK185" i="38" s="1"/>
  <c r="FL171" i="1"/>
  <c r="FL155" i="1"/>
  <c r="G107" i="39"/>
  <c r="P107" i="39"/>
  <c r="M107" i="39"/>
  <c r="N107" i="39"/>
  <c r="F107" i="39"/>
  <c r="L107" i="39"/>
  <c r="K107" i="39"/>
  <c r="J107" i="39"/>
  <c r="I107" i="39"/>
  <c r="O107" i="39"/>
  <c r="H107" i="39"/>
  <c r="M22" i="27"/>
  <c r="R24" i="24"/>
  <c r="S24" i="24" s="1"/>
  <c r="M27" i="27"/>
  <c r="S27" i="27" s="1"/>
  <c r="P50" i="27"/>
  <c r="AA80" i="5"/>
  <c r="AH80" i="5"/>
  <c r="AG80" i="5"/>
  <c r="F105" i="39"/>
  <c r="BB197" i="11"/>
  <c r="BB199" i="11" s="1"/>
  <c r="V80" i="5"/>
  <c r="AI80" i="5"/>
  <c r="AC80" i="5"/>
  <c r="P80" i="5"/>
  <c r="AO197" i="11"/>
  <c r="AO199" i="11" s="1"/>
  <c r="Y80" i="5"/>
  <c r="AN197" i="11"/>
  <c r="AN199" i="11" s="1"/>
  <c r="AU197" i="11"/>
  <c r="AU199" i="11" s="1"/>
  <c r="O197" i="11"/>
  <c r="O199" i="11" s="1"/>
  <c r="AS197" i="11"/>
  <c r="AS199" i="11" s="1"/>
  <c r="S197" i="11"/>
  <c r="S199" i="11" s="1"/>
  <c r="AL80" i="5"/>
  <c r="X80" i="5"/>
  <c r="AJ80" i="5"/>
  <c r="AA197" i="11"/>
  <c r="AA199" i="11" s="1"/>
  <c r="AV197" i="11"/>
  <c r="AV199" i="11" s="1"/>
  <c r="M197" i="11"/>
  <c r="M199" i="11" s="1"/>
  <c r="BX34" i="5"/>
  <c r="AB197" i="11"/>
  <c r="AB199" i="11" s="1"/>
  <c r="AB80" i="5"/>
  <c r="AF197" i="11"/>
  <c r="AF199" i="11" s="1"/>
  <c r="AX197" i="11"/>
  <c r="AX199" i="11" s="1"/>
  <c r="J197" i="11"/>
  <c r="J199" i="11" s="1"/>
  <c r="AM197" i="11"/>
  <c r="AM199" i="11" s="1"/>
  <c r="W80" i="5"/>
  <c r="AC197" i="11"/>
  <c r="AC199" i="11" s="1"/>
  <c r="AQ197" i="11"/>
  <c r="AQ199" i="11" s="1"/>
  <c r="DA193" i="11"/>
  <c r="AH197" i="11"/>
  <c r="AH199" i="11" s="1"/>
  <c r="AY197" i="11"/>
  <c r="AY199" i="11" s="1"/>
  <c r="AG197" i="11"/>
  <c r="AG199" i="11" s="1"/>
  <c r="V197" i="11"/>
  <c r="V199" i="11" s="1"/>
  <c r="Y197" i="11"/>
  <c r="Y199" i="11" s="1"/>
  <c r="AE80" i="5"/>
  <c r="R80" i="5"/>
  <c r="BA197" i="11"/>
  <c r="BA199" i="11" s="1"/>
  <c r="I197" i="11"/>
  <c r="I199" i="11" s="1"/>
  <c r="AT197" i="11"/>
  <c r="AT199" i="11" s="1"/>
  <c r="AR197" i="11"/>
  <c r="AR199" i="11" s="1"/>
  <c r="AK197" i="11"/>
  <c r="AK199" i="11" s="1"/>
  <c r="AL197" i="11"/>
  <c r="AL199" i="11" s="1"/>
  <c r="P197" i="11"/>
  <c r="P199" i="11" s="1"/>
  <c r="K197" i="11"/>
  <c r="K199" i="11" s="1"/>
  <c r="N197" i="11"/>
  <c r="N199" i="11" s="1"/>
  <c r="R197" i="11"/>
  <c r="R199" i="11" s="1"/>
  <c r="AD197" i="11"/>
  <c r="AD199" i="11" s="1"/>
  <c r="X197" i="11"/>
  <c r="X199" i="11" s="1"/>
  <c r="BC197" i="11"/>
  <c r="BC199" i="11" s="1"/>
  <c r="H197" i="11"/>
  <c r="H199" i="11" s="1"/>
  <c r="CB193" i="11"/>
  <c r="S80" i="5"/>
  <c r="U80" i="5"/>
  <c r="Z80" i="5"/>
  <c r="L100" i="39"/>
  <c r="J108" i="39"/>
  <c r="K109" i="39"/>
  <c r="I106" i="39"/>
  <c r="I103" i="39"/>
  <c r="I104" i="39"/>
  <c r="I102" i="39"/>
  <c r="K106" i="39"/>
  <c r="F100" i="39"/>
  <c r="P100" i="39"/>
  <c r="O105" i="39"/>
  <c r="J101" i="39"/>
  <c r="BW66" i="5"/>
  <c r="BW34" i="5"/>
  <c r="BX66" i="5"/>
  <c r="P108" i="39"/>
  <c r="P105" i="39"/>
  <c r="N109" i="39"/>
  <c r="AR426" i="38"/>
  <c r="AR439" i="38"/>
  <c r="P109" i="39"/>
  <c r="K102" i="39"/>
  <c r="M104" i="39"/>
  <c r="I105" i="39"/>
  <c r="L102" i="39"/>
  <c r="F106" i="39"/>
  <c r="K104" i="39"/>
  <c r="L101" i="39"/>
  <c r="L108" i="39"/>
  <c r="K103" i="39"/>
  <c r="AJ197" i="11"/>
  <c r="AJ199" i="11" s="1"/>
  <c r="AI197" i="11"/>
  <c r="AI199" i="11" s="1"/>
  <c r="L197" i="11"/>
  <c r="L199" i="11" s="1"/>
  <c r="AP197" i="11"/>
  <c r="AP199" i="11" s="1"/>
  <c r="Q197" i="11"/>
  <c r="Q199" i="11" s="1"/>
  <c r="DA194" i="11"/>
  <c r="O80" i="5"/>
  <c r="AW197" i="11"/>
  <c r="AW199" i="11" s="1"/>
  <c r="AE197" i="11"/>
  <c r="AE199" i="11" s="1"/>
  <c r="CB194" i="11"/>
  <c r="AK80" i="5"/>
  <c r="T197" i="11"/>
  <c r="T199" i="11" s="1"/>
  <c r="AZ197" i="11"/>
  <c r="AZ199" i="11" s="1"/>
  <c r="U197" i="11"/>
  <c r="U199" i="11" s="1"/>
  <c r="W197" i="11"/>
  <c r="W199" i="11" s="1"/>
  <c r="Z197" i="11"/>
  <c r="Z199" i="11" s="1"/>
  <c r="K100" i="39"/>
  <c r="G100" i="39"/>
  <c r="N103" i="39"/>
  <c r="P104" i="39"/>
  <c r="K105" i="39"/>
  <c r="F102" i="39"/>
  <c r="I100" i="39"/>
  <c r="M101" i="39"/>
  <c r="M102" i="39"/>
  <c r="O104" i="39"/>
  <c r="H100" i="39"/>
  <c r="M100" i="39"/>
  <c r="P102" i="39"/>
  <c r="J100" i="39"/>
  <c r="G108" i="39"/>
  <c r="N102" i="39"/>
  <c r="J104" i="39"/>
  <c r="G103" i="39"/>
  <c r="F109" i="39"/>
  <c r="M103" i="39"/>
  <c r="O108" i="39"/>
  <c r="L103" i="39"/>
  <c r="L104" i="39"/>
  <c r="H104" i="39"/>
  <c r="M106" i="39"/>
  <c r="P106" i="39"/>
  <c r="L109" i="39"/>
  <c r="L106" i="39"/>
  <c r="F103" i="39"/>
  <c r="O101" i="39"/>
  <c r="G109" i="39"/>
  <c r="G105" i="39"/>
  <c r="O102" i="39"/>
  <c r="I101" i="39"/>
  <c r="N101" i="39"/>
  <c r="H101" i="39"/>
  <c r="O106" i="39"/>
  <c r="K101" i="39"/>
  <c r="J109" i="39"/>
  <c r="I108" i="39"/>
  <c r="O109" i="39"/>
  <c r="H108" i="39"/>
  <c r="N105" i="39"/>
  <c r="N106" i="39"/>
  <c r="N108" i="39"/>
  <c r="H102" i="39"/>
  <c r="P103" i="39"/>
  <c r="M105" i="39"/>
  <c r="G102" i="39"/>
  <c r="N100" i="39"/>
  <c r="K108" i="39"/>
  <c r="H105" i="39"/>
  <c r="G101" i="39"/>
  <c r="N104" i="39"/>
  <c r="H103" i="39"/>
  <c r="O100" i="39"/>
  <c r="F101" i="39"/>
  <c r="I109" i="39"/>
  <c r="F108" i="39"/>
  <c r="J105" i="39"/>
  <c r="J103" i="39"/>
  <c r="F104" i="39"/>
  <c r="H109" i="39"/>
  <c r="L105" i="39"/>
  <c r="J106" i="39"/>
  <c r="G106" i="39"/>
  <c r="M108" i="39"/>
  <c r="M109" i="39"/>
  <c r="J102" i="39"/>
  <c r="G104" i="39"/>
  <c r="H106" i="39"/>
  <c r="P101" i="39"/>
  <c r="O103" i="39"/>
  <c r="AR436" i="38"/>
  <c r="AR422" i="38"/>
  <c r="AR423" i="38"/>
  <c r="AR428" i="38"/>
  <c r="AR431" i="38"/>
  <c r="AR427" i="38"/>
  <c r="AR432" i="38"/>
  <c r="AR444" i="38"/>
  <c r="AR435" i="38"/>
  <c r="AR446" i="38"/>
  <c r="AR430" i="38"/>
  <c r="AR416" i="38"/>
  <c r="AR433" i="38"/>
  <c r="AR443" i="38"/>
  <c r="AR424" i="38"/>
  <c r="AR425" i="38"/>
  <c r="AR421" i="38"/>
  <c r="AR447" i="38"/>
  <c r="AR437" i="38"/>
  <c r="AR420" i="38"/>
  <c r="AR418" i="38"/>
  <c r="AR442" i="38"/>
  <c r="AR448" i="38"/>
  <c r="AR449" i="38"/>
  <c r="AR434" i="38"/>
  <c r="AR429" i="38"/>
  <c r="AR417" i="38"/>
  <c r="AR440" i="38"/>
  <c r="AR445" i="38"/>
  <c r="AR438" i="38"/>
  <c r="AR441" i="38"/>
  <c r="AR419" i="38"/>
  <c r="FK255" i="1"/>
  <c r="FL121" i="1"/>
  <c r="AK119" i="38" s="1"/>
  <c r="FL73" i="1"/>
  <c r="AK71" i="38" s="1"/>
  <c r="FL93" i="1"/>
  <c r="AK91" i="38" s="1"/>
  <c r="FL89" i="1"/>
  <c r="AK87" i="38" s="1"/>
  <c r="FL254" i="1"/>
  <c r="AK252" i="38" s="1"/>
  <c r="FL81" i="1"/>
  <c r="AK79" i="38" s="1"/>
  <c r="FL69" i="1"/>
  <c r="AK67" i="38" s="1"/>
  <c r="FL105" i="1"/>
  <c r="AK103" i="38" s="1"/>
  <c r="FL109" i="1"/>
  <c r="AK107" i="38" s="1"/>
  <c r="FL85" i="1"/>
  <c r="AK83" i="38" s="1"/>
  <c r="FL119" i="1"/>
  <c r="AK117" i="38" s="1"/>
  <c r="FL107" i="1"/>
  <c r="AK105" i="38" s="1"/>
  <c r="FL14" i="1"/>
  <c r="AK12" i="38" s="1"/>
  <c r="FL129" i="1"/>
  <c r="AK127" i="38" s="1"/>
  <c r="FL137" i="1"/>
  <c r="AK135" i="38" s="1"/>
  <c r="FL125" i="1"/>
  <c r="AK123" i="38" s="1"/>
  <c r="FL77" i="1"/>
  <c r="AK75" i="38" s="1"/>
  <c r="FL145" i="1"/>
  <c r="AK143" i="38" s="1"/>
  <c r="FL153" i="1"/>
  <c r="AK151" i="38" s="1"/>
  <c r="FL113" i="1"/>
  <c r="AK111" i="38" s="1"/>
  <c r="FL135" i="1"/>
  <c r="AK133" i="38" s="1"/>
  <c r="FL152" i="1"/>
  <c r="AK150" i="38" s="1"/>
  <c r="FL120" i="1"/>
  <c r="AK118" i="38" s="1"/>
  <c r="FL88" i="1"/>
  <c r="AK86" i="38" s="1"/>
  <c r="FL123" i="1"/>
  <c r="AK121" i="38" s="1"/>
  <c r="FL82" i="1"/>
  <c r="AK80" i="38" s="1"/>
  <c r="FL141" i="1"/>
  <c r="AK139" i="38" s="1"/>
  <c r="FL139" i="1"/>
  <c r="AK137" i="38" s="1"/>
  <c r="FL151" i="1"/>
  <c r="AK149" i="38" s="1"/>
  <c r="FL87" i="1"/>
  <c r="AK85" i="38" s="1"/>
  <c r="FL5" i="1"/>
  <c r="AK3" i="38" s="1"/>
  <c r="FL128" i="1"/>
  <c r="AK126" i="38" s="1"/>
  <c r="FL96" i="1"/>
  <c r="AK94" i="38" s="1"/>
  <c r="FL75" i="1"/>
  <c r="AK73" i="38" s="1"/>
  <c r="FL122" i="1"/>
  <c r="AK120" i="38" s="1"/>
  <c r="FL90" i="1"/>
  <c r="AK88" i="38" s="1"/>
  <c r="FL127" i="1"/>
  <c r="AK125" i="38" s="1"/>
  <c r="FL148" i="1"/>
  <c r="AK146" i="38" s="1"/>
  <c r="FL116" i="1"/>
  <c r="AK114" i="38" s="1"/>
  <c r="FL84" i="1"/>
  <c r="AK82" i="38" s="1"/>
  <c r="FL115" i="1"/>
  <c r="AK113" i="38" s="1"/>
  <c r="FL142" i="1"/>
  <c r="AK140" i="38" s="1"/>
  <c r="FL110" i="1"/>
  <c r="AK108" i="38" s="1"/>
  <c r="FL78" i="1"/>
  <c r="AK76" i="38" s="1"/>
  <c r="FL52" i="1"/>
  <c r="AK50" i="38" s="1"/>
  <c r="FL36" i="1"/>
  <c r="AK34" i="38" s="1"/>
  <c r="FL19" i="1"/>
  <c r="AK17" i="38" s="1"/>
  <c r="FL61" i="1"/>
  <c r="AK59" i="38" s="1"/>
  <c r="FL45" i="1"/>
  <c r="AK43" i="38" s="1"/>
  <c r="FL29" i="1"/>
  <c r="AK27" i="38" s="1"/>
  <c r="FL8" i="1"/>
  <c r="AK6" i="38" s="1"/>
  <c r="FL62" i="1"/>
  <c r="AK60" i="38" s="1"/>
  <c r="FL46" i="1"/>
  <c r="AK44" i="38" s="1"/>
  <c r="FL30" i="1"/>
  <c r="AK28" i="38" s="1"/>
  <c r="FL9" i="1"/>
  <c r="AK7" i="38" s="1"/>
  <c r="FL51" i="1"/>
  <c r="AK49" i="38" s="1"/>
  <c r="FL35" i="1"/>
  <c r="AK33" i="38" s="1"/>
  <c r="FL18" i="1"/>
  <c r="AK16" i="38" s="1"/>
  <c r="FL13" i="1"/>
  <c r="AK11" i="38" s="1"/>
  <c r="FL101" i="1"/>
  <c r="AK99" i="38" s="1"/>
  <c r="FL149" i="1"/>
  <c r="AK147" i="38" s="1"/>
  <c r="FL103" i="1"/>
  <c r="AK101" i="38" s="1"/>
  <c r="FL136" i="1"/>
  <c r="AK134" i="38" s="1"/>
  <c r="FL104" i="1"/>
  <c r="AK102" i="38" s="1"/>
  <c r="FL72" i="1"/>
  <c r="AK70" i="38" s="1"/>
  <c r="FL91" i="1"/>
  <c r="AK89" i="38" s="1"/>
  <c r="FL130" i="1"/>
  <c r="AK128" i="38" s="1"/>
  <c r="FL98" i="1"/>
  <c r="AK96" i="38" s="1"/>
  <c r="FL66" i="1"/>
  <c r="AK64" i="38" s="1"/>
  <c r="FL143" i="1"/>
  <c r="AK141" i="38" s="1"/>
  <c r="FL79" i="1"/>
  <c r="AK77" i="38" s="1"/>
  <c r="FL124" i="1"/>
  <c r="AK122" i="38" s="1"/>
  <c r="FL92" i="1"/>
  <c r="AK90" i="38" s="1"/>
  <c r="FL131" i="1"/>
  <c r="AK129" i="38" s="1"/>
  <c r="FL67" i="1"/>
  <c r="AK65" i="38" s="1"/>
  <c r="FL150" i="1"/>
  <c r="AK148" i="38" s="1"/>
  <c r="FL118" i="1"/>
  <c r="AK116" i="38" s="1"/>
  <c r="FL86" i="1"/>
  <c r="AK84" i="38" s="1"/>
  <c r="FL56" i="1"/>
  <c r="AK54" i="38" s="1"/>
  <c r="FL40" i="1"/>
  <c r="AK38" i="38" s="1"/>
  <c r="FL24" i="1"/>
  <c r="AK22" i="38" s="1"/>
  <c r="FL65" i="1"/>
  <c r="AK63" i="38" s="1"/>
  <c r="FL49" i="1"/>
  <c r="AK47" i="38" s="1"/>
  <c r="FL33" i="1"/>
  <c r="AK31" i="38" s="1"/>
  <c r="FL16" i="1"/>
  <c r="AK14" i="38" s="1"/>
  <c r="FL50" i="1"/>
  <c r="AK48" i="38" s="1"/>
  <c r="FL34" i="1"/>
  <c r="AK32" i="38" s="1"/>
  <c r="FL17" i="1"/>
  <c r="AK15" i="38" s="1"/>
  <c r="FL55" i="1"/>
  <c r="AK53" i="38" s="1"/>
  <c r="FL39" i="1"/>
  <c r="AK37" i="38" s="1"/>
  <c r="FL23" i="1"/>
  <c r="AK21" i="38" s="1"/>
  <c r="FL11" i="1"/>
  <c r="AK9" i="38" s="1"/>
  <c r="FL12" i="1"/>
  <c r="AK10" i="38" s="1"/>
  <c r="FL133" i="1"/>
  <c r="AK131" i="38" s="1"/>
  <c r="FL144" i="1"/>
  <c r="AK142" i="38" s="1"/>
  <c r="FL112" i="1"/>
  <c r="AK110" i="38" s="1"/>
  <c r="FL80" i="1"/>
  <c r="AK78" i="38" s="1"/>
  <c r="FL138" i="1"/>
  <c r="AK136" i="38" s="1"/>
  <c r="FL106" i="1"/>
  <c r="AK104" i="38" s="1"/>
  <c r="FL74" i="1"/>
  <c r="AK72" i="38" s="1"/>
  <c r="FL95" i="1"/>
  <c r="AK93" i="38" s="1"/>
  <c r="FL132" i="1"/>
  <c r="AK130" i="38" s="1"/>
  <c r="FL100" i="1"/>
  <c r="AK98" i="38" s="1"/>
  <c r="FL68" i="1"/>
  <c r="AK66" i="38" s="1"/>
  <c r="FL117" i="1"/>
  <c r="AK115" i="38" s="1"/>
  <c r="FL147" i="1"/>
  <c r="AK145" i="38" s="1"/>
  <c r="FL83" i="1"/>
  <c r="AK81" i="38" s="1"/>
  <c r="FL126" i="1"/>
  <c r="AK124" i="38" s="1"/>
  <c r="FL94" i="1"/>
  <c r="AK92" i="38" s="1"/>
  <c r="FL60" i="1"/>
  <c r="AK58" i="38" s="1"/>
  <c r="FL44" i="1"/>
  <c r="AK42" i="38" s="1"/>
  <c r="FL28" i="1"/>
  <c r="AK26" i="38" s="1"/>
  <c r="FL7" i="1"/>
  <c r="AK5" i="38" s="1"/>
  <c r="FL53" i="1"/>
  <c r="AK51" i="38" s="1"/>
  <c r="FL37" i="1"/>
  <c r="AK35" i="38" s="1"/>
  <c r="FL20" i="1"/>
  <c r="AK18" i="38" s="1"/>
  <c r="FL54" i="1"/>
  <c r="AK52" i="38" s="1"/>
  <c r="FL38" i="1"/>
  <c r="AK36" i="38" s="1"/>
  <c r="FL22" i="1"/>
  <c r="AK20" i="38" s="1"/>
  <c r="FL59" i="1"/>
  <c r="AK57" i="38" s="1"/>
  <c r="FL43" i="1"/>
  <c r="AK41" i="38" s="1"/>
  <c r="FL27" i="1"/>
  <c r="AK25" i="38" s="1"/>
  <c r="FL6" i="1"/>
  <c r="AK4" i="38" s="1"/>
  <c r="FL21" i="1"/>
  <c r="AK19" i="38" s="1"/>
  <c r="FL71" i="1"/>
  <c r="AK69" i="38" s="1"/>
  <c r="FL146" i="1"/>
  <c r="AK144" i="38" s="1"/>
  <c r="FL114" i="1"/>
  <c r="AK112" i="38" s="1"/>
  <c r="FL111" i="1"/>
  <c r="AK109" i="38" s="1"/>
  <c r="FL140" i="1"/>
  <c r="AK138" i="38" s="1"/>
  <c r="FL108" i="1"/>
  <c r="AK106" i="38" s="1"/>
  <c r="FL76" i="1"/>
  <c r="AK74" i="38" s="1"/>
  <c r="FL97" i="1"/>
  <c r="AK95" i="38" s="1"/>
  <c r="FL99" i="1"/>
  <c r="AK97" i="38" s="1"/>
  <c r="FL134" i="1"/>
  <c r="AK132" i="38" s="1"/>
  <c r="FL102" i="1"/>
  <c r="AK100" i="38" s="1"/>
  <c r="FL70" i="1"/>
  <c r="AK68" i="38" s="1"/>
  <c r="FL64" i="1"/>
  <c r="AK62" i="38" s="1"/>
  <c r="FL48" i="1"/>
  <c r="AK46" i="38" s="1"/>
  <c r="FL32" i="1"/>
  <c r="AK30" i="38" s="1"/>
  <c r="FL15" i="1"/>
  <c r="AK13" i="38" s="1"/>
  <c r="FL57" i="1"/>
  <c r="AK55" i="38" s="1"/>
  <c r="FL41" i="1"/>
  <c r="AK39" i="38" s="1"/>
  <c r="FL25" i="1"/>
  <c r="AK23" i="38" s="1"/>
  <c r="FL58" i="1"/>
  <c r="AK56" i="38" s="1"/>
  <c r="FL42" i="1"/>
  <c r="AK40" i="38" s="1"/>
  <c r="FL26" i="1"/>
  <c r="AK24" i="38" s="1"/>
  <c r="FL63" i="1"/>
  <c r="AK61" i="38" s="1"/>
  <c r="FL47" i="1"/>
  <c r="AK45" i="38" s="1"/>
  <c r="FL31" i="1"/>
  <c r="AK29" i="38" s="1"/>
  <c r="FL10" i="1"/>
  <c r="AK8" i="38" s="1"/>
  <c r="N50" i="27"/>
  <c r="M50" i="27"/>
  <c r="EH280" i="1"/>
  <c r="BH13" i="5" s="1"/>
  <c r="DY281" i="1"/>
  <c r="EG280" i="1"/>
  <c r="BG13" i="5" s="1"/>
  <c r="EF280" i="1"/>
  <c r="BF13" i="5" s="1"/>
  <c r="AM46" i="5"/>
  <c r="EI281" i="1"/>
  <c r="EG281" i="1"/>
  <c r="EC280" i="1"/>
  <c r="BC13" i="5" s="1"/>
  <c r="DZ280" i="1"/>
  <c r="AZ13" i="5" s="1"/>
  <c r="EE281" i="1"/>
  <c r="DY280" i="1"/>
  <c r="EC257" i="1"/>
  <c r="BC41" i="5" s="1"/>
  <c r="DZ257" i="1"/>
  <c r="AZ41" i="5" s="1"/>
  <c r="EB281" i="1"/>
  <c r="EJ280" i="1"/>
  <c r="BJ13" i="5" s="1"/>
  <c r="EJ257" i="1"/>
  <c r="BJ41" i="5" s="1"/>
  <c r="EH281" i="1"/>
  <c r="BH46" i="5" s="1"/>
  <c r="ED257" i="1"/>
  <c r="BD41" i="5" s="1"/>
  <c r="EA281" i="1"/>
  <c r="EA280" i="1"/>
  <c r="BA13" i="5" s="1"/>
  <c r="ED280" i="1"/>
  <c r="BD13" i="5" s="1"/>
  <c r="EH257" i="1"/>
  <c r="BH41" i="5" s="1"/>
  <c r="EF281" i="1"/>
  <c r="EG257" i="1"/>
  <c r="BG41" i="5" s="1"/>
  <c r="EB280" i="1"/>
  <c r="BB13" i="5" s="1"/>
  <c r="EF257" i="1"/>
  <c r="BF41" i="5" s="1"/>
  <c r="EI280" i="1"/>
  <c r="BI13" i="5" s="1"/>
  <c r="DZ281" i="1"/>
  <c r="AZ46" i="5" s="1"/>
  <c r="EE280" i="1"/>
  <c r="BE13" i="5" s="1"/>
  <c r="EI257" i="1"/>
  <c r="BI41" i="5" s="1"/>
  <c r="EC281" i="1"/>
  <c r="ED281" i="1"/>
  <c r="EJ281" i="1"/>
  <c r="BJ46" i="5" s="1"/>
  <c r="EB257" i="1"/>
  <c r="BB41" i="5" s="1"/>
  <c r="H67" i="5"/>
  <c r="K67" i="5"/>
  <c r="BX46" i="5"/>
  <c r="M26" i="27" s="1"/>
  <c r="BX13" i="5"/>
  <c r="E35" i="5"/>
  <c r="E80" i="5" s="1"/>
  <c r="E67" i="5"/>
  <c r="R41" i="24"/>
  <c r="S41" i="24" s="1"/>
  <c r="EA257" i="1"/>
  <c r="BA41" i="5" s="1"/>
  <c r="EW263" i="1"/>
  <c r="J101" i="7"/>
  <c r="H32" i="23"/>
  <c r="H33" i="23" s="1"/>
  <c r="R50" i="27"/>
  <c r="E32" i="23"/>
  <c r="E33" i="23" s="1"/>
  <c r="O50" i="27"/>
  <c r="EZ263" i="1"/>
  <c r="ED256" i="1"/>
  <c r="EC256" i="1"/>
  <c r="EB256" i="1"/>
  <c r="EG256" i="1"/>
  <c r="EI256" i="1"/>
  <c r="EE256" i="1"/>
  <c r="AX8" i="5"/>
  <c r="AX80" i="5" s="1"/>
  <c r="DX292" i="1"/>
  <c r="DX294" i="1" s="1"/>
  <c r="AS8" i="5"/>
  <c r="AS80" i="5" s="1"/>
  <c r="DS292" i="1"/>
  <c r="DS294" i="1" s="1"/>
  <c r="AO8" i="5"/>
  <c r="AO80" i="5" s="1"/>
  <c r="DO292" i="1"/>
  <c r="DO294" i="1" s="1"/>
  <c r="AN8" i="5"/>
  <c r="AN80" i="5" s="1"/>
  <c r="DN292" i="1"/>
  <c r="DN294" i="1" s="1"/>
  <c r="DY256" i="1"/>
  <c r="DZ256" i="1"/>
  <c r="EE260" i="1"/>
  <c r="EE257" i="1"/>
  <c r="BE41" i="5" s="1"/>
  <c r="EF256" i="1"/>
  <c r="DY265" i="1"/>
  <c r="AW8" i="5"/>
  <c r="AW80" i="5" s="1"/>
  <c r="DW292" i="1"/>
  <c r="DW294" i="1" s="1"/>
  <c r="AU8" i="5"/>
  <c r="AU80" i="5" s="1"/>
  <c r="DU292" i="1"/>
  <c r="DU294" i="1" s="1"/>
  <c r="AV8" i="5"/>
  <c r="AV80" i="5" s="1"/>
  <c r="DV292" i="1"/>
  <c r="DV294" i="1" s="1"/>
  <c r="BW43" i="5"/>
  <c r="AR8" i="5"/>
  <c r="AR80" i="5" s="1"/>
  <c r="DR292" i="1"/>
  <c r="DR294" i="1" s="1"/>
  <c r="AT8" i="5"/>
  <c r="AT80" i="5" s="1"/>
  <c r="DT292" i="1"/>
  <c r="DT294" i="1" s="1"/>
  <c r="EJ256" i="1"/>
  <c r="EA256" i="1"/>
  <c r="DY257" i="1"/>
  <c r="EK21" i="1"/>
  <c r="EO11" i="1"/>
  <c r="EU11" i="1"/>
  <c r="EL21" i="1"/>
  <c r="EP11" i="1"/>
  <c r="EQ11" i="1"/>
  <c r="EK13" i="1"/>
  <c r="EO14" i="1"/>
  <c r="EP13" i="1"/>
  <c r="EQ12" i="1"/>
  <c r="EU13" i="1"/>
  <c r="EP12" i="1"/>
  <c r="EN13" i="1"/>
  <c r="ER14" i="1"/>
  <c r="ET14" i="1"/>
  <c r="EL254" i="1"/>
  <c r="EV254" i="1"/>
  <c r="ER254" i="1"/>
  <c r="EO21" i="1"/>
  <c r="ES11" i="1"/>
  <c r="EN21" i="1"/>
  <c r="EP21" i="1"/>
  <c r="ET11" i="1"/>
  <c r="ER21" i="1"/>
  <c r="EK12" i="1"/>
  <c r="EO13" i="1"/>
  <c r="ES14" i="1"/>
  <c r="ET13" i="1"/>
  <c r="EU12" i="1"/>
  <c r="EM14" i="1"/>
  <c r="EN12" i="1"/>
  <c r="ER13" i="1"/>
  <c r="EV14" i="1"/>
  <c r="EK254" i="1"/>
  <c r="ET254" i="1"/>
  <c r="EP254" i="1"/>
  <c r="ES21" i="1"/>
  <c r="EQ21" i="1"/>
  <c r="EV21" i="1"/>
  <c r="ET21" i="1"/>
  <c r="EM21" i="1"/>
  <c r="EN11" i="1"/>
  <c r="EO12" i="1"/>
  <c r="ES13" i="1"/>
  <c r="EL12" i="1"/>
  <c r="EP14" i="1"/>
  <c r="EM13" i="1"/>
  <c r="EQ14" i="1"/>
  <c r="ER12" i="1"/>
  <c r="EV13" i="1"/>
  <c r="ET12" i="1"/>
  <c r="EO254" i="1"/>
  <c r="EQ254" i="1"/>
  <c r="EM254" i="1"/>
  <c r="EK11" i="1"/>
  <c r="EM11" i="1"/>
  <c r="EV11" i="1"/>
  <c r="EL11" i="1"/>
  <c r="EU21" i="1"/>
  <c r="ER11" i="1"/>
  <c r="ES12" i="1"/>
  <c r="EK14" i="1"/>
  <c r="EL13" i="1"/>
  <c r="EM12" i="1"/>
  <c r="EQ13" i="1"/>
  <c r="EU14" i="1"/>
  <c r="EV12" i="1"/>
  <c r="EN14" i="1"/>
  <c r="EL14" i="1"/>
  <c r="ES254" i="1"/>
  <c r="EN254" i="1"/>
  <c r="EU254" i="1"/>
  <c r="ET6" i="1"/>
  <c r="ET259" i="1" s="1"/>
  <c r="BT9" i="5" s="1"/>
  <c r="EL8" i="1"/>
  <c r="EL265" i="1" s="1"/>
  <c r="BL11" i="5" s="1"/>
  <c r="EP9" i="1"/>
  <c r="ET10" i="1"/>
  <c r="EL16" i="1"/>
  <c r="EP17" i="1"/>
  <c r="ET18" i="1"/>
  <c r="EL20" i="1"/>
  <c r="EP22" i="1"/>
  <c r="EP284" i="1" s="1"/>
  <c r="ET23" i="1"/>
  <c r="EL25" i="1"/>
  <c r="EP26" i="1"/>
  <c r="ET27" i="1"/>
  <c r="EL29" i="1"/>
  <c r="EP30" i="1"/>
  <c r="ET31" i="1"/>
  <c r="EL33" i="1"/>
  <c r="EP34" i="1"/>
  <c r="ET35" i="1"/>
  <c r="EL37" i="1"/>
  <c r="EL7" i="1"/>
  <c r="EL262" i="1" s="1"/>
  <c r="BL10" i="5" s="1"/>
  <c r="EP8" i="1"/>
  <c r="EP265" i="1" s="1"/>
  <c r="BP11" i="5" s="1"/>
  <c r="ET9" i="1"/>
  <c r="EL15" i="1"/>
  <c r="EP16" i="1"/>
  <c r="ET17" i="1"/>
  <c r="EL19" i="1"/>
  <c r="EP20" i="1"/>
  <c r="ET22" i="1"/>
  <c r="ET284" i="1" s="1"/>
  <c r="EL24" i="1"/>
  <c r="EP25" i="1"/>
  <c r="ET26" i="1"/>
  <c r="EL28" i="1"/>
  <c r="EP29" i="1"/>
  <c r="ET30" i="1"/>
  <c r="EL32" i="1"/>
  <c r="EP33" i="1"/>
  <c r="ET34" i="1"/>
  <c r="EL36" i="1"/>
  <c r="EP37" i="1"/>
  <c r="ET38" i="1"/>
  <c r="EL40" i="1"/>
  <c r="EP41" i="1"/>
  <c r="ET42" i="1"/>
  <c r="EL44" i="1"/>
  <c r="EP45" i="1"/>
  <c r="ET46" i="1"/>
  <c r="EL48" i="1"/>
  <c r="EP49" i="1"/>
  <c r="ET50" i="1"/>
  <c r="EL52" i="1"/>
  <c r="EP53" i="1"/>
  <c r="ET54" i="1"/>
  <c r="EL56" i="1"/>
  <c r="EP57" i="1"/>
  <c r="ET58" i="1"/>
  <c r="EL60" i="1"/>
  <c r="EP61" i="1"/>
  <c r="ET62" i="1"/>
  <c r="EL64" i="1"/>
  <c r="EP65" i="1"/>
  <c r="ET66" i="1"/>
  <c r="EQ6" i="1"/>
  <c r="EQ259" i="1" s="1"/>
  <c r="BQ9" i="5" s="1"/>
  <c r="EU7" i="1"/>
  <c r="EU262" i="1" s="1"/>
  <c r="BU10" i="5" s="1"/>
  <c r="EM9" i="1"/>
  <c r="EQ10" i="1"/>
  <c r="EU15" i="1"/>
  <c r="EM17" i="1"/>
  <c r="EQ18" i="1"/>
  <c r="EU19" i="1"/>
  <c r="EM22" i="1"/>
  <c r="EM284" i="1" s="1"/>
  <c r="EQ23" i="1"/>
  <c r="EU24" i="1"/>
  <c r="EM26" i="1"/>
  <c r="EQ27" i="1"/>
  <c r="EU28" i="1"/>
  <c r="EM30" i="1"/>
  <c r="EQ31" i="1"/>
  <c r="EU32" i="1"/>
  <c r="EM34" i="1"/>
  <c r="EQ35" i="1"/>
  <c r="EU36" i="1"/>
  <c r="EM38" i="1"/>
  <c r="EQ39" i="1"/>
  <c r="EU40" i="1"/>
  <c r="EM42" i="1"/>
  <c r="EQ43" i="1"/>
  <c r="EU44" i="1"/>
  <c r="EM46" i="1"/>
  <c r="EQ47" i="1"/>
  <c r="EU48" i="1"/>
  <c r="EM50" i="1"/>
  <c r="EQ51" i="1"/>
  <c r="EU52" i="1"/>
  <c r="EM54" i="1"/>
  <c r="EQ55" i="1"/>
  <c r="EU56" i="1"/>
  <c r="EM58" i="1"/>
  <c r="EQ59" i="1"/>
  <c r="EU60" i="1"/>
  <c r="EM62" i="1"/>
  <c r="EQ63" i="1"/>
  <c r="EU64" i="1"/>
  <c r="EM66" i="1"/>
  <c r="EQ67" i="1"/>
  <c r="EN8" i="1"/>
  <c r="EN265" i="1" s="1"/>
  <c r="BN11" i="5" s="1"/>
  <c r="EV10" i="1"/>
  <c r="ER17" i="1"/>
  <c r="EN20" i="1"/>
  <c r="EV23" i="1"/>
  <c r="ER26" i="1"/>
  <c r="EN29" i="1"/>
  <c r="EV31" i="1"/>
  <c r="ER34" i="1"/>
  <c r="EN37" i="1"/>
  <c r="EV39" i="1"/>
  <c r="ER42" i="1"/>
  <c r="EN45" i="1"/>
  <c r="EV47" i="1"/>
  <c r="ER50" i="1"/>
  <c r="EN53" i="1"/>
  <c r="EV55" i="1"/>
  <c r="ER58" i="1"/>
  <c r="EN61" i="1"/>
  <c r="EV63" i="1"/>
  <c r="ER66" i="1"/>
  <c r="EP68" i="1"/>
  <c r="ET69" i="1"/>
  <c r="EL71" i="1"/>
  <c r="EP72" i="1"/>
  <c r="ET73" i="1"/>
  <c r="EL75" i="1"/>
  <c r="EP76" i="1"/>
  <c r="ET77" i="1"/>
  <c r="EL79" i="1"/>
  <c r="EP80" i="1"/>
  <c r="ET81" i="1"/>
  <c r="EL83" i="1"/>
  <c r="EP84" i="1"/>
  <c r="ET85" i="1"/>
  <c r="EL87" i="1"/>
  <c r="EP88" i="1"/>
  <c r="ET89" i="1"/>
  <c r="EL91" i="1"/>
  <c r="EP92" i="1"/>
  <c r="ET93" i="1"/>
  <c r="EL95" i="1"/>
  <c r="EP96" i="1"/>
  <c r="ET97" i="1"/>
  <c r="EL99" i="1"/>
  <c r="EP100" i="1"/>
  <c r="ET101" i="1"/>
  <c r="EL103" i="1"/>
  <c r="EP104" i="1"/>
  <c r="ET105" i="1"/>
  <c r="EL107" i="1"/>
  <c r="EP108" i="1"/>
  <c r="ET109" i="1"/>
  <c r="EL111" i="1"/>
  <c r="EP112" i="1"/>
  <c r="ET113" i="1"/>
  <c r="EL115" i="1"/>
  <c r="EP116" i="1"/>
  <c r="ET117" i="1"/>
  <c r="EL119" i="1"/>
  <c r="EP120" i="1"/>
  <c r="ET121" i="1"/>
  <c r="EL123" i="1"/>
  <c r="EP124" i="1"/>
  <c r="ET125" i="1"/>
  <c r="EL127" i="1"/>
  <c r="EP128" i="1"/>
  <c r="ET129" i="1"/>
  <c r="EL131" i="1"/>
  <c r="EP132" i="1"/>
  <c r="ET133" i="1"/>
  <c r="EL135" i="1"/>
  <c r="EP136" i="1"/>
  <c r="ET137" i="1"/>
  <c r="EL139" i="1"/>
  <c r="EP140" i="1"/>
  <c r="ET141" i="1"/>
  <c r="EL143" i="1"/>
  <c r="EP144" i="1"/>
  <c r="ET145" i="1"/>
  <c r="EL147" i="1"/>
  <c r="EP148" i="1"/>
  <c r="ET149" i="1"/>
  <c r="EL151" i="1"/>
  <c r="EP152" i="1"/>
  <c r="ES7" i="1"/>
  <c r="ES262" i="1" s="1"/>
  <c r="BS10" i="5" s="1"/>
  <c r="EO10" i="1"/>
  <c r="EL6" i="1"/>
  <c r="EL259" i="1" s="1"/>
  <c r="BL9" i="5" s="1"/>
  <c r="EP7" i="1"/>
  <c r="EP262" i="1" s="1"/>
  <c r="BP10" i="5" s="1"/>
  <c r="ET8" i="1"/>
  <c r="ET265" i="1" s="1"/>
  <c r="BT11" i="5" s="1"/>
  <c r="EL10" i="1"/>
  <c r="EP15" i="1"/>
  <c r="ET16" i="1"/>
  <c r="EL18" i="1"/>
  <c r="EP19" i="1"/>
  <c r="ET20" i="1"/>
  <c r="EL23" i="1"/>
  <c r="EP24" i="1"/>
  <c r="ET25" i="1"/>
  <c r="EL27" i="1"/>
  <c r="EP28" i="1"/>
  <c r="ET29" i="1"/>
  <c r="EL31" i="1"/>
  <c r="EP32" i="1"/>
  <c r="ET33" i="1"/>
  <c r="EL35" i="1"/>
  <c r="EP36" i="1"/>
  <c r="EP6" i="1"/>
  <c r="EP259" i="1" s="1"/>
  <c r="BP9" i="5" s="1"/>
  <c r="ET7" i="1"/>
  <c r="ET262" i="1" s="1"/>
  <c r="BT10" i="5" s="1"/>
  <c r="EL9" i="1"/>
  <c r="EP10" i="1"/>
  <c r="ET15" i="1"/>
  <c r="EL17" i="1"/>
  <c r="EP18" i="1"/>
  <c r="ET19" i="1"/>
  <c r="EL22" i="1"/>
  <c r="EL284" i="1" s="1"/>
  <c r="EP23" i="1"/>
  <c r="ET24" i="1"/>
  <c r="EL26" i="1"/>
  <c r="EP27" i="1"/>
  <c r="ET28" i="1"/>
  <c r="EL30" i="1"/>
  <c r="EP31" i="1"/>
  <c r="ET32" i="1"/>
  <c r="EL34" i="1"/>
  <c r="EP35" i="1"/>
  <c r="ET36" i="1"/>
  <c r="EL38" i="1"/>
  <c r="EP39" i="1"/>
  <c r="ET40" i="1"/>
  <c r="EL42" i="1"/>
  <c r="EP43" i="1"/>
  <c r="ET44" i="1"/>
  <c r="EL46" i="1"/>
  <c r="EP47" i="1"/>
  <c r="ET48" i="1"/>
  <c r="EL50" i="1"/>
  <c r="EP51" i="1"/>
  <c r="ET52" i="1"/>
  <c r="EL54" i="1"/>
  <c r="EP55" i="1"/>
  <c r="ET56" i="1"/>
  <c r="EL58" i="1"/>
  <c r="EP59" i="1"/>
  <c r="ET60" i="1"/>
  <c r="EL62" i="1"/>
  <c r="EP63" i="1"/>
  <c r="ET64" i="1"/>
  <c r="EL66" i="1"/>
  <c r="EP67" i="1"/>
  <c r="EM7" i="1"/>
  <c r="EM262" i="1" s="1"/>
  <c r="BM10" i="5" s="1"/>
  <c r="EQ8" i="1"/>
  <c r="EQ265" i="1" s="1"/>
  <c r="BQ11" i="5" s="1"/>
  <c r="EU9" i="1"/>
  <c r="EU278" i="1" s="1"/>
  <c r="EM15" i="1"/>
  <c r="EQ16" i="1"/>
  <c r="EU17" i="1"/>
  <c r="EM19" i="1"/>
  <c r="EQ20" i="1"/>
  <c r="EU22" i="1"/>
  <c r="EU284" i="1" s="1"/>
  <c r="EM24" i="1"/>
  <c r="EQ25" i="1"/>
  <c r="EU26" i="1"/>
  <c r="EM28" i="1"/>
  <c r="EQ29" i="1"/>
  <c r="EU30" i="1"/>
  <c r="EM32" i="1"/>
  <c r="EQ33" i="1"/>
  <c r="EU34" i="1"/>
  <c r="EM36" i="1"/>
  <c r="EQ37" i="1"/>
  <c r="EU38" i="1"/>
  <c r="EM40" i="1"/>
  <c r="EQ41" i="1"/>
  <c r="EU42" i="1"/>
  <c r="EM44" i="1"/>
  <c r="EQ45" i="1"/>
  <c r="EU46" i="1"/>
  <c r="EM48" i="1"/>
  <c r="EQ49" i="1"/>
  <c r="EU50" i="1"/>
  <c r="EM52" i="1"/>
  <c r="EQ53" i="1"/>
  <c r="EU54" i="1"/>
  <c r="EM56" i="1"/>
  <c r="EQ57" i="1"/>
  <c r="EU58" i="1"/>
  <c r="EM60" i="1"/>
  <c r="EQ61" i="1"/>
  <c r="EU62" i="1"/>
  <c r="EM64" i="1"/>
  <c r="EQ65" i="1"/>
  <c r="EU66" i="1"/>
  <c r="EV6" i="1"/>
  <c r="EV259" i="1" s="1"/>
  <c r="BV9" i="5" s="1"/>
  <c r="ER9" i="1"/>
  <c r="EN16" i="1"/>
  <c r="EV18" i="1"/>
  <c r="ER22" i="1"/>
  <c r="ER284" i="1" s="1"/>
  <c r="EN25" i="1"/>
  <c r="EV27" i="1"/>
  <c r="ER30" i="1"/>
  <c r="EN33" i="1"/>
  <c r="EV35" i="1"/>
  <c r="ER38" i="1"/>
  <c r="EN41" i="1"/>
  <c r="EV43" i="1"/>
  <c r="ER46" i="1"/>
  <c r="EN49" i="1"/>
  <c r="EV51" i="1"/>
  <c r="ER54" i="1"/>
  <c r="EN57" i="1"/>
  <c r="EV59" i="1"/>
  <c r="ER62" i="1"/>
  <c r="EN65" i="1"/>
  <c r="ET67" i="1"/>
  <c r="EL69" i="1"/>
  <c r="EP70" i="1"/>
  <c r="ET71" i="1"/>
  <c r="EL73" i="1"/>
  <c r="EP74" i="1"/>
  <c r="ET75" i="1"/>
  <c r="EL77" i="1"/>
  <c r="EP78" i="1"/>
  <c r="ET79" i="1"/>
  <c r="EL81" i="1"/>
  <c r="EP82" i="1"/>
  <c r="ET83" i="1"/>
  <c r="EL85" i="1"/>
  <c r="EP86" i="1"/>
  <c r="ET87" i="1"/>
  <c r="EL89" i="1"/>
  <c r="EP90" i="1"/>
  <c r="ET91" i="1"/>
  <c r="EL93" i="1"/>
  <c r="EP94" i="1"/>
  <c r="ET95" i="1"/>
  <c r="EL97" i="1"/>
  <c r="EP98" i="1"/>
  <c r="ET99" i="1"/>
  <c r="EL101" i="1"/>
  <c r="EP102" i="1"/>
  <c r="ET103" i="1"/>
  <c r="EL105" i="1"/>
  <c r="EP106" i="1"/>
  <c r="ET107" i="1"/>
  <c r="EL109" i="1"/>
  <c r="EP110" i="1"/>
  <c r="ET111" i="1"/>
  <c r="EL113" i="1"/>
  <c r="EP114" i="1"/>
  <c r="ET115" i="1"/>
  <c r="EL117" i="1"/>
  <c r="EP118" i="1"/>
  <c r="ET119" i="1"/>
  <c r="EL121" i="1"/>
  <c r="EP122" i="1"/>
  <c r="ET123" i="1"/>
  <c r="EL125" i="1"/>
  <c r="EP126" i="1"/>
  <c r="ET127" i="1"/>
  <c r="EL129" i="1"/>
  <c r="EP130" i="1"/>
  <c r="ET131" i="1"/>
  <c r="EL133" i="1"/>
  <c r="EP134" i="1"/>
  <c r="ET135" i="1"/>
  <c r="EL137" i="1"/>
  <c r="EP138" i="1"/>
  <c r="ET139" i="1"/>
  <c r="EL141" i="1"/>
  <c r="EP142" i="1"/>
  <c r="ET143" i="1"/>
  <c r="EL145" i="1"/>
  <c r="EP146" i="1"/>
  <c r="ET147" i="1"/>
  <c r="EL149" i="1"/>
  <c r="EP150" i="1"/>
  <c r="ET151" i="1"/>
  <c r="EO6" i="1"/>
  <c r="EO259" i="1" s="1"/>
  <c r="BO9" i="5" s="1"/>
  <c r="EK9" i="1"/>
  <c r="ET37" i="1"/>
  <c r="EP40" i="1"/>
  <c r="EL43" i="1"/>
  <c r="ET45" i="1"/>
  <c r="EP48" i="1"/>
  <c r="EL51" i="1"/>
  <c r="ET53" i="1"/>
  <c r="EP56" i="1"/>
  <c r="EL59" i="1"/>
  <c r="ET61" i="1"/>
  <c r="EP64" i="1"/>
  <c r="EL67" i="1"/>
  <c r="EM8" i="1"/>
  <c r="EM265" i="1" s="1"/>
  <c r="BM11" i="5" s="1"/>
  <c r="EU10" i="1"/>
  <c r="EQ17" i="1"/>
  <c r="EM20" i="1"/>
  <c r="EU23" i="1"/>
  <c r="EQ26" i="1"/>
  <c r="EM29" i="1"/>
  <c r="EU31" i="1"/>
  <c r="EQ34" i="1"/>
  <c r="EM37" i="1"/>
  <c r="EU39" i="1"/>
  <c r="EQ42" i="1"/>
  <c r="EM45" i="1"/>
  <c r="EU47" i="1"/>
  <c r="EQ50" i="1"/>
  <c r="EM53" i="1"/>
  <c r="EU55" i="1"/>
  <c r="EQ58" i="1"/>
  <c r="EM61" i="1"/>
  <c r="EU63" i="1"/>
  <c r="EQ66" i="1"/>
  <c r="EV8" i="1"/>
  <c r="EV265" i="1" s="1"/>
  <c r="BV11" i="5" s="1"/>
  <c r="EN18" i="1"/>
  <c r="ER24" i="1"/>
  <c r="EV29" i="1"/>
  <c r="EN35" i="1"/>
  <c r="ER40" i="1"/>
  <c r="EV45" i="1"/>
  <c r="EN51" i="1"/>
  <c r="ER56" i="1"/>
  <c r="EV61" i="1"/>
  <c r="EN67" i="1"/>
  <c r="EL70" i="1"/>
  <c r="ET72" i="1"/>
  <c r="EP75" i="1"/>
  <c r="EL78" i="1"/>
  <c r="ET80" i="1"/>
  <c r="EP83" i="1"/>
  <c r="EL86" i="1"/>
  <c r="ET88" i="1"/>
  <c r="EP91" i="1"/>
  <c r="EL94" i="1"/>
  <c r="ET96" i="1"/>
  <c r="EP99" i="1"/>
  <c r="EL102" i="1"/>
  <c r="ET104" i="1"/>
  <c r="EP107" i="1"/>
  <c r="EL110" i="1"/>
  <c r="ET112" i="1"/>
  <c r="EP115" i="1"/>
  <c r="EL118" i="1"/>
  <c r="ET120" i="1"/>
  <c r="EP123" i="1"/>
  <c r="EL126" i="1"/>
  <c r="ET128" i="1"/>
  <c r="EP131" i="1"/>
  <c r="EL134" i="1"/>
  <c r="ET136" i="1"/>
  <c r="EP139" i="1"/>
  <c r="EL142" i="1"/>
  <c r="ET144" i="1"/>
  <c r="EP147" i="1"/>
  <c r="EL150" i="1"/>
  <c r="ET152" i="1"/>
  <c r="EK15" i="1"/>
  <c r="ES17" i="1"/>
  <c r="EO20" i="1"/>
  <c r="EK24" i="1"/>
  <c r="ES26" i="1"/>
  <c r="EO29" i="1"/>
  <c r="EK32" i="1"/>
  <c r="ES34" i="1"/>
  <c r="EO37" i="1"/>
  <c r="EK40" i="1"/>
  <c r="ES42" i="1"/>
  <c r="EO45" i="1"/>
  <c r="EK48" i="1"/>
  <c r="ES50" i="1"/>
  <c r="EO53" i="1"/>
  <c r="EK56" i="1"/>
  <c r="ES58" i="1"/>
  <c r="EO61" i="1"/>
  <c r="EK64" i="1"/>
  <c r="ES66" i="1"/>
  <c r="EQ68" i="1"/>
  <c r="EU69" i="1"/>
  <c r="EM71" i="1"/>
  <c r="EQ72" i="1"/>
  <c r="EU73" i="1"/>
  <c r="EM75" i="1"/>
  <c r="EQ76" i="1"/>
  <c r="EU77" i="1"/>
  <c r="EM79" i="1"/>
  <c r="EQ80" i="1"/>
  <c r="EU81" i="1"/>
  <c r="EM83" i="1"/>
  <c r="EQ84" i="1"/>
  <c r="EU85" i="1"/>
  <c r="EM87" i="1"/>
  <c r="EQ88" i="1"/>
  <c r="EU89" i="1"/>
  <c r="EM91" i="1"/>
  <c r="EQ92" i="1"/>
  <c r="EU93" i="1"/>
  <c r="EM95" i="1"/>
  <c r="EQ96" i="1"/>
  <c r="EU97" i="1"/>
  <c r="EM99" i="1"/>
  <c r="EQ100" i="1"/>
  <c r="EU101" i="1"/>
  <c r="EM103" i="1"/>
  <c r="EQ104" i="1"/>
  <c r="EU105" i="1"/>
  <c r="EM107" i="1"/>
  <c r="EQ108" i="1"/>
  <c r="EU109" i="1"/>
  <c r="EM111" i="1"/>
  <c r="EQ112" i="1"/>
  <c r="EU113" i="1"/>
  <c r="EM115" i="1"/>
  <c r="EQ116" i="1"/>
  <c r="EU117" i="1"/>
  <c r="EM119" i="1"/>
  <c r="EQ120" i="1"/>
  <c r="EU121" i="1"/>
  <c r="EM123" i="1"/>
  <c r="EQ124" i="1"/>
  <c r="EU125" i="1"/>
  <c r="EM127" i="1"/>
  <c r="EQ128" i="1"/>
  <c r="EU129" i="1"/>
  <c r="EM131" i="1"/>
  <c r="EQ132" i="1"/>
  <c r="EU133" i="1"/>
  <c r="EM135" i="1"/>
  <c r="EQ136" i="1"/>
  <c r="EU137" i="1"/>
  <c r="EM139" i="1"/>
  <c r="EQ140" i="1"/>
  <c r="EU141" i="1"/>
  <c r="EM143" i="1"/>
  <c r="EQ144" i="1"/>
  <c r="EU145" i="1"/>
  <c r="EM147" i="1"/>
  <c r="EQ148" i="1"/>
  <c r="EU149" i="1"/>
  <c r="EM151" i="1"/>
  <c r="EQ152" i="1"/>
  <c r="EN9" i="1"/>
  <c r="ER18" i="1"/>
  <c r="EV24" i="1"/>
  <c r="EN30" i="1"/>
  <c r="ER35" i="1"/>
  <c r="EV40" i="1"/>
  <c r="EN46" i="1"/>
  <c r="ER51" i="1"/>
  <c r="EV56" i="1"/>
  <c r="EN62" i="1"/>
  <c r="ER67" i="1"/>
  <c r="EN70" i="1"/>
  <c r="EV72" i="1"/>
  <c r="ER75" i="1"/>
  <c r="EN78" i="1"/>
  <c r="EV80" i="1"/>
  <c r="ER83" i="1"/>
  <c r="EN86" i="1"/>
  <c r="EV88" i="1"/>
  <c r="ER91" i="1"/>
  <c r="EN94" i="1"/>
  <c r="EV96" i="1"/>
  <c r="ER99" i="1"/>
  <c r="EN102" i="1"/>
  <c r="EV104" i="1"/>
  <c r="ER107" i="1"/>
  <c r="EN110" i="1"/>
  <c r="EV112" i="1"/>
  <c r="ER115" i="1"/>
  <c r="EN118" i="1"/>
  <c r="EV120" i="1"/>
  <c r="ER123" i="1"/>
  <c r="EN126" i="1"/>
  <c r="EV128" i="1"/>
  <c r="ER131" i="1"/>
  <c r="EN134" i="1"/>
  <c r="EV136" i="1"/>
  <c r="ER139" i="1"/>
  <c r="EN142" i="1"/>
  <c r="EV144" i="1"/>
  <c r="ER147" i="1"/>
  <c r="EN150" i="1"/>
  <c r="EV152" i="1"/>
  <c r="EO5" i="1"/>
  <c r="EK8" i="1"/>
  <c r="EO17" i="1"/>
  <c r="ES23" i="1"/>
  <c r="EK29" i="1"/>
  <c r="EO34" i="1"/>
  <c r="ES39" i="1"/>
  <c r="EK45" i="1"/>
  <c r="EO50" i="1"/>
  <c r="ES55" i="1"/>
  <c r="EK61" i="1"/>
  <c r="EO66" i="1"/>
  <c r="ES69" i="1"/>
  <c r="EO72" i="1"/>
  <c r="EK75" i="1"/>
  <c r="ES77" i="1"/>
  <c r="EO80" i="1"/>
  <c r="EK83" i="1"/>
  <c r="ES85" i="1"/>
  <c r="EO88" i="1"/>
  <c r="EK91" i="1"/>
  <c r="ES93" i="1"/>
  <c r="EO96" i="1"/>
  <c r="EK99" i="1"/>
  <c r="ES101" i="1"/>
  <c r="EO104" i="1"/>
  <c r="EK107" i="1"/>
  <c r="ES109" i="1"/>
  <c r="EO112" i="1"/>
  <c r="EK115" i="1"/>
  <c r="ES117" i="1"/>
  <c r="EO120" i="1"/>
  <c r="EK123" i="1"/>
  <c r="ES125" i="1"/>
  <c r="EO128" i="1"/>
  <c r="EK131" i="1"/>
  <c r="ES133" i="1"/>
  <c r="EO136" i="1"/>
  <c r="EK139" i="1"/>
  <c r="ES141" i="1"/>
  <c r="EO144" i="1"/>
  <c r="EK147" i="1"/>
  <c r="ES149" i="1"/>
  <c r="EO152" i="1"/>
  <c r="EL5" i="1"/>
  <c r="EV9" i="1"/>
  <c r="ER25" i="1"/>
  <c r="EN36" i="1"/>
  <c r="EV46" i="1"/>
  <c r="ER57" i="1"/>
  <c r="EV67" i="1"/>
  <c r="EN73" i="1"/>
  <c r="ER78" i="1"/>
  <c r="EV83" i="1"/>
  <c r="EN89" i="1"/>
  <c r="ER94" i="1"/>
  <c r="EV99" i="1"/>
  <c r="EN105" i="1"/>
  <c r="ER110" i="1"/>
  <c r="EV115" i="1"/>
  <c r="EN121" i="1"/>
  <c r="ER126" i="1"/>
  <c r="EV131" i="1"/>
  <c r="EN137" i="1"/>
  <c r="ER142" i="1"/>
  <c r="EV147" i="1"/>
  <c r="EL153" i="1"/>
  <c r="EK10" i="1"/>
  <c r="ES25" i="1"/>
  <c r="EO36" i="1"/>
  <c r="EK47" i="1"/>
  <c r="ES57" i="1"/>
  <c r="EK68" i="1"/>
  <c r="EO73" i="1"/>
  <c r="ES78" i="1"/>
  <c r="EK84" i="1"/>
  <c r="EO89" i="1"/>
  <c r="ES94" i="1"/>
  <c r="EK100" i="1"/>
  <c r="EO105" i="1"/>
  <c r="ES110" i="1"/>
  <c r="EK116" i="1"/>
  <c r="EO121" i="1"/>
  <c r="ES126" i="1"/>
  <c r="EK132" i="1"/>
  <c r="EO137" i="1"/>
  <c r="ES142" i="1"/>
  <c r="EK148" i="1"/>
  <c r="EM153" i="1"/>
  <c r="EV17" i="1"/>
  <c r="EN40" i="1"/>
  <c r="ER61" i="1"/>
  <c r="EN75" i="1"/>
  <c r="EV85" i="1"/>
  <c r="ER96" i="1"/>
  <c r="EN107" i="1"/>
  <c r="EV117" i="1"/>
  <c r="ER128" i="1"/>
  <c r="EN139" i="1"/>
  <c r="EV149" i="1"/>
  <c r="EK18" i="1"/>
  <c r="EO40" i="1"/>
  <c r="ES61" i="1"/>
  <c r="EO75" i="1"/>
  <c r="EK86" i="1"/>
  <c r="ES96" i="1"/>
  <c r="EO107" i="1"/>
  <c r="EK118" i="1"/>
  <c r="ES128" i="1"/>
  <c r="EO139" i="1"/>
  <c r="EK150" i="1"/>
  <c r="EV26" i="1"/>
  <c r="ER68" i="1"/>
  <c r="EV89" i="1"/>
  <c r="EN111" i="1"/>
  <c r="ER132" i="1"/>
  <c r="EP153" i="1"/>
  <c r="EV81" i="1"/>
  <c r="ER124" i="1"/>
  <c r="EO15" i="1"/>
  <c r="EK59" i="1"/>
  <c r="ES84" i="1"/>
  <c r="EK106" i="1"/>
  <c r="EO127" i="1"/>
  <c r="ES148" i="1"/>
  <c r="EN64" i="1"/>
  <c r="ER108" i="1"/>
  <c r="EN151" i="1"/>
  <c r="ES108" i="1"/>
  <c r="EO71" i="1"/>
  <c r="EV5" i="1"/>
  <c r="EO119" i="1"/>
  <c r="EK82" i="1"/>
  <c r="EP38" i="1"/>
  <c r="EL41" i="1"/>
  <c r="ET43" i="1"/>
  <c r="EP46" i="1"/>
  <c r="EL49" i="1"/>
  <c r="ET51" i="1"/>
  <c r="EP54" i="1"/>
  <c r="EL57" i="1"/>
  <c r="ET59" i="1"/>
  <c r="EP62" i="1"/>
  <c r="EL65" i="1"/>
  <c r="EM6" i="1"/>
  <c r="EM259" i="1" s="1"/>
  <c r="BM9" i="5" s="1"/>
  <c r="EU8" i="1"/>
  <c r="EU265" i="1" s="1"/>
  <c r="BU11" i="5" s="1"/>
  <c r="EQ15" i="1"/>
  <c r="EM18" i="1"/>
  <c r="EU20" i="1"/>
  <c r="EQ24" i="1"/>
  <c r="EM27" i="1"/>
  <c r="EU29" i="1"/>
  <c r="EQ32" i="1"/>
  <c r="EM35" i="1"/>
  <c r="EU37" i="1"/>
  <c r="EQ40" i="1"/>
  <c r="EM43" i="1"/>
  <c r="EU45" i="1"/>
  <c r="EQ48" i="1"/>
  <c r="EM51" i="1"/>
  <c r="EU53" i="1"/>
  <c r="EQ56" i="1"/>
  <c r="EM59" i="1"/>
  <c r="EU61" i="1"/>
  <c r="EQ64" i="1"/>
  <c r="EM67" i="1"/>
  <c r="EN10" i="1"/>
  <c r="ER19" i="1"/>
  <c r="EV25" i="1"/>
  <c r="EN31" i="1"/>
  <c r="ER36" i="1"/>
  <c r="EV41" i="1"/>
  <c r="EN47" i="1"/>
  <c r="ER52" i="1"/>
  <c r="EV57" i="1"/>
  <c r="EN63" i="1"/>
  <c r="EL68" i="1"/>
  <c r="ET70" i="1"/>
  <c r="EP73" i="1"/>
  <c r="EL76" i="1"/>
  <c r="ET78" i="1"/>
  <c r="EP81" i="1"/>
  <c r="EL84" i="1"/>
  <c r="ET86" i="1"/>
  <c r="EP89" i="1"/>
  <c r="EL92" i="1"/>
  <c r="ET94" i="1"/>
  <c r="EP97" i="1"/>
  <c r="EL100" i="1"/>
  <c r="ET102" i="1"/>
  <c r="EP105" i="1"/>
  <c r="EL108" i="1"/>
  <c r="ET110" i="1"/>
  <c r="EP113" i="1"/>
  <c r="EL116" i="1"/>
  <c r="ET118" i="1"/>
  <c r="EP121" i="1"/>
  <c r="EL124" i="1"/>
  <c r="ET126" i="1"/>
  <c r="EP129" i="1"/>
  <c r="EL132" i="1"/>
  <c r="ET134" i="1"/>
  <c r="EP137" i="1"/>
  <c r="EL140" i="1"/>
  <c r="ET142" i="1"/>
  <c r="EP145" i="1"/>
  <c r="EL148" i="1"/>
  <c r="ET150" i="1"/>
  <c r="EK7" i="1"/>
  <c r="ES15" i="1"/>
  <c r="EO18" i="1"/>
  <c r="EK22" i="1"/>
  <c r="ES24" i="1"/>
  <c r="EO27" i="1"/>
  <c r="EK30" i="1"/>
  <c r="ES32" i="1"/>
  <c r="EO35" i="1"/>
  <c r="EK38" i="1"/>
  <c r="ES40" i="1"/>
  <c r="EO43" i="1"/>
  <c r="EK46" i="1"/>
  <c r="ES48" i="1"/>
  <c r="EO51" i="1"/>
  <c r="EK54" i="1"/>
  <c r="ES56" i="1"/>
  <c r="EO59" i="1"/>
  <c r="EK62" i="1"/>
  <c r="ES64" i="1"/>
  <c r="EO67" i="1"/>
  <c r="EU68" i="1"/>
  <c r="EM70" i="1"/>
  <c r="EQ71" i="1"/>
  <c r="EU72" i="1"/>
  <c r="EM74" i="1"/>
  <c r="EQ75" i="1"/>
  <c r="EU76" i="1"/>
  <c r="EM78" i="1"/>
  <c r="EQ79" i="1"/>
  <c r="EU80" i="1"/>
  <c r="EM82" i="1"/>
  <c r="EQ83" i="1"/>
  <c r="EU84" i="1"/>
  <c r="EM86" i="1"/>
  <c r="EQ87" i="1"/>
  <c r="EU88" i="1"/>
  <c r="EM90" i="1"/>
  <c r="EQ91" i="1"/>
  <c r="EU92" i="1"/>
  <c r="EM94" i="1"/>
  <c r="EQ95" i="1"/>
  <c r="EU96" i="1"/>
  <c r="EM98" i="1"/>
  <c r="EQ99" i="1"/>
  <c r="EU100" i="1"/>
  <c r="EM102" i="1"/>
  <c r="EQ103" i="1"/>
  <c r="EU104" i="1"/>
  <c r="EM106" i="1"/>
  <c r="EQ107" i="1"/>
  <c r="EU108" i="1"/>
  <c r="EM110" i="1"/>
  <c r="EQ111" i="1"/>
  <c r="EU112" i="1"/>
  <c r="EM114" i="1"/>
  <c r="EQ115" i="1"/>
  <c r="EU116" i="1"/>
  <c r="EM118" i="1"/>
  <c r="EQ119" i="1"/>
  <c r="EU120" i="1"/>
  <c r="EM122" i="1"/>
  <c r="EQ123" i="1"/>
  <c r="EU124" i="1"/>
  <c r="EM126" i="1"/>
  <c r="EQ127" i="1"/>
  <c r="EU128" i="1"/>
  <c r="EM130" i="1"/>
  <c r="EQ131" i="1"/>
  <c r="EU132" i="1"/>
  <c r="EM134" i="1"/>
  <c r="EQ135" i="1"/>
  <c r="EU136" i="1"/>
  <c r="EM138" i="1"/>
  <c r="EQ139" i="1"/>
  <c r="EU140" i="1"/>
  <c r="EM142" i="1"/>
  <c r="EQ143" i="1"/>
  <c r="EU144" i="1"/>
  <c r="EM146" i="1"/>
  <c r="EQ147" i="1"/>
  <c r="EU148" i="1"/>
  <c r="EM150" i="1"/>
  <c r="EQ151" i="1"/>
  <c r="EU152" i="1"/>
  <c r="ER10" i="1"/>
  <c r="EV19" i="1"/>
  <c r="EN26" i="1"/>
  <c r="ER31" i="1"/>
  <c r="EV36" i="1"/>
  <c r="EN42" i="1"/>
  <c r="ER47" i="1"/>
  <c r="EV52" i="1"/>
  <c r="EN58" i="1"/>
  <c r="ER63" i="1"/>
  <c r="EN68" i="1"/>
  <c r="EV70" i="1"/>
  <c r="ER73" i="1"/>
  <c r="EN76" i="1"/>
  <c r="EV78" i="1"/>
  <c r="ER81" i="1"/>
  <c r="EN84" i="1"/>
  <c r="EV86" i="1"/>
  <c r="ER89" i="1"/>
  <c r="EN92" i="1"/>
  <c r="EV94" i="1"/>
  <c r="ER97" i="1"/>
  <c r="EN100" i="1"/>
  <c r="EV102" i="1"/>
  <c r="ER105" i="1"/>
  <c r="EN108" i="1"/>
  <c r="EV110" i="1"/>
  <c r="ER113" i="1"/>
  <c r="EN116" i="1"/>
  <c r="EV118" i="1"/>
  <c r="ER121" i="1"/>
  <c r="EN124" i="1"/>
  <c r="EV126" i="1"/>
  <c r="ER129" i="1"/>
  <c r="EN132" i="1"/>
  <c r="EV134" i="1"/>
  <c r="ER137" i="1"/>
  <c r="EN140" i="1"/>
  <c r="EV142" i="1"/>
  <c r="ER145" i="1"/>
  <c r="EN148" i="1"/>
  <c r="EV150" i="1"/>
  <c r="EN153" i="1"/>
  <c r="ES5" i="1"/>
  <c r="EO9" i="1"/>
  <c r="ES18" i="1"/>
  <c r="ES266" i="1" s="1"/>
  <c r="EK25" i="1"/>
  <c r="EO30" i="1"/>
  <c r="ES35" i="1"/>
  <c r="EK41" i="1"/>
  <c r="EO46" i="1"/>
  <c r="ES51" i="1"/>
  <c r="EK57" i="1"/>
  <c r="EO62" i="1"/>
  <c r="ES67" i="1"/>
  <c r="EO70" i="1"/>
  <c r="EK73" i="1"/>
  <c r="ES75" i="1"/>
  <c r="EO78" i="1"/>
  <c r="EK81" i="1"/>
  <c r="ES83" i="1"/>
  <c r="EO86" i="1"/>
  <c r="EK89" i="1"/>
  <c r="ES91" i="1"/>
  <c r="EO94" i="1"/>
  <c r="EK97" i="1"/>
  <c r="ES99" i="1"/>
  <c r="EO102" i="1"/>
  <c r="EK105" i="1"/>
  <c r="ES107" i="1"/>
  <c r="EO110" i="1"/>
  <c r="EK113" i="1"/>
  <c r="ES115" i="1"/>
  <c r="EO118" i="1"/>
  <c r="EK121" i="1"/>
  <c r="ES123" i="1"/>
  <c r="EO126" i="1"/>
  <c r="EK129" i="1"/>
  <c r="ES131" i="1"/>
  <c r="EO134" i="1"/>
  <c r="EK137" i="1"/>
  <c r="ES139" i="1"/>
  <c r="EO142" i="1"/>
  <c r="EK145" i="1"/>
  <c r="ES147" i="1"/>
  <c r="EO150" i="1"/>
  <c r="EK153" i="1"/>
  <c r="EP5" i="1"/>
  <c r="ER16" i="1"/>
  <c r="EN28" i="1"/>
  <c r="EV38" i="1"/>
  <c r="ER49" i="1"/>
  <c r="EN60" i="1"/>
  <c r="EN69" i="1"/>
  <c r="ER74" i="1"/>
  <c r="EV79" i="1"/>
  <c r="EN85" i="1"/>
  <c r="ER90" i="1"/>
  <c r="EV95" i="1"/>
  <c r="EN101" i="1"/>
  <c r="ER106" i="1"/>
  <c r="EV111" i="1"/>
  <c r="EN117" i="1"/>
  <c r="ER122" i="1"/>
  <c r="EV127" i="1"/>
  <c r="EN133" i="1"/>
  <c r="ER138" i="1"/>
  <c r="EV143" i="1"/>
  <c r="EN149" i="1"/>
  <c r="ET153" i="1"/>
  <c r="ES16" i="1"/>
  <c r="EO28" i="1"/>
  <c r="EK39" i="1"/>
  <c r="ES49" i="1"/>
  <c r="EO60" i="1"/>
  <c r="EO69" i="1"/>
  <c r="ES74" i="1"/>
  <c r="EK80" i="1"/>
  <c r="EO85" i="1"/>
  <c r="ES90" i="1"/>
  <c r="EK96" i="1"/>
  <c r="EO101" i="1"/>
  <c r="ES106" i="1"/>
  <c r="EK112" i="1"/>
  <c r="EO117" i="1"/>
  <c r="ES122" i="1"/>
  <c r="EK128" i="1"/>
  <c r="EO133" i="1"/>
  <c r="ES138" i="1"/>
  <c r="EK144" i="1"/>
  <c r="EO149" i="1"/>
  <c r="EU153" i="1"/>
  <c r="EN24" i="1"/>
  <c r="ER45" i="1"/>
  <c r="EV66" i="1"/>
  <c r="EV77" i="1"/>
  <c r="ER88" i="1"/>
  <c r="EN99" i="1"/>
  <c r="EV109" i="1"/>
  <c r="ER120" i="1"/>
  <c r="EN131" i="1"/>
  <c r="EV141" i="1"/>
  <c r="ER152" i="1"/>
  <c r="EO24" i="1"/>
  <c r="ES45" i="1"/>
  <c r="EK67" i="1"/>
  <c r="EK78" i="1"/>
  <c r="ES88" i="1"/>
  <c r="EO99" i="1"/>
  <c r="EK110" i="1"/>
  <c r="ES120" i="1"/>
  <c r="EO131" i="1"/>
  <c r="EK142" i="1"/>
  <c r="ES152" i="1"/>
  <c r="ER37" i="1"/>
  <c r="EV73" i="1"/>
  <c r="EN95" i="1"/>
  <c r="ER116" i="1"/>
  <c r="EV137" i="1"/>
  <c r="EN32" i="1"/>
  <c r="ER92" i="1"/>
  <c r="EN135" i="1"/>
  <c r="EK27" i="1"/>
  <c r="ES68" i="1"/>
  <c r="EK90" i="1"/>
  <c r="EO111" i="1"/>
  <c r="ES132" i="1"/>
  <c r="EQ153" i="1"/>
  <c r="ER76" i="1"/>
  <c r="EN119" i="1"/>
  <c r="ES20" i="1"/>
  <c r="EK130" i="1"/>
  <c r="ES92" i="1"/>
  <c r="EK43" i="1"/>
  <c r="ES140" i="1"/>
  <c r="EO103" i="1"/>
  <c r="EL39" i="1"/>
  <c r="ET41" i="1"/>
  <c r="EP44" i="1"/>
  <c r="EL47" i="1"/>
  <c r="ET49" i="1"/>
  <c r="EP52" i="1"/>
  <c r="EL55" i="1"/>
  <c r="ET57" i="1"/>
  <c r="EP60" i="1"/>
  <c r="EL63" i="1"/>
  <c r="ET65" i="1"/>
  <c r="EU6" i="1"/>
  <c r="EU259" i="1" s="1"/>
  <c r="BU9" i="5" s="1"/>
  <c r="EQ9" i="1"/>
  <c r="EM16" i="1"/>
  <c r="EU18" i="1"/>
  <c r="EQ22" i="1"/>
  <c r="EQ284" i="1" s="1"/>
  <c r="EM25" i="1"/>
  <c r="EU27" i="1"/>
  <c r="EQ30" i="1"/>
  <c r="EM33" i="1"/>
  <c r="EU35" i="1"/>
  <c r="EQ38" i="1"/>
  <c r="EM41" i="1"/>
  <c r="EU43" i="1"/>
  <c r="EQ46" i="1"/>
  <c r="EM49" i="1"/>
  <c r="EU51" i="1"/>
  <c r="EQ54" i="1"/>
  <c r="EM57" i="1"/>
  <c r="EU59" i="1"/>
  <c r="EQ62" i="1"/>
  <c r="EM65" i="1"/>
  <c r="EN6" i="1"/>
  <c r="EN259" i="1" s="1"/>
  <c r="BN9" i="5" s="1"/>
  <c r="ER15" i="1"/>
  <c r="EV20" i="1"/>
  <c r="EN27" i="1"/>
  <c r="ER32" i="1"/>
  <c r="EV37" i="1"/>
  <c r="EN43" i="1"/>
  <c r="ER48" i="1"/>
  <c r="EV53" i="1"/>
  <c r="EN59" i="1"/>
  <c r="ER64" i="1"/>
  <c r="ET68" i="1"/>
  <c r="EP71" i="1"/>
  <c r="EL74" i="1"/>
  <c r="ET76" i="1"/>
  <c r="EP79" i="1"/>
  <c r="EL82" i="1"/>
  <c r="ET84" i="1"/>
  <c r="EP87" i="1"/>
  <c r="EL90" i="1"/>
  <c r="ET92" i="1"/>
  <c r="EP95" i="1"/>
  <c r="EL98" i="1"/>
  <c r="ET100" i="1"/>
  <c r="EP103" i="1"/>
  <c r="EL106" i="1"/>
  <c r="ET108" i="1"/>
  <c r="EP111" i="1"/>
  <c r="EL114" i="1"/>
  <c r="ET116" i="1"/>
  <c r="EP119" i="1"/>
  <c r="EL122" i="1"/>
  <c r="ET124" i="1"/>
  <c r="EP127" i="1"/>
  <c r="EL130" i="1"/>
  <c r="ET132" i="1"/>
  <c r="EP135" i="1"/>
  <c r="EL138" i="1"/>
  <c r="ET140" i="1"/>
  <c r="EP143" i="1"/>
  <c r="EL146" i="1"/>
  <c r="ET148" i="1"/>
  <c r="EP151" i="1"/>
  <c r="EO8" i="1"/>
  <c r="EO265" i="1" s="1"/>
  <c r="BO11" i="5" s="1"/>
  <c r="EO16" i="1"/>
  <c r="EK19" i="1"/>
  <c r="ES22" i="1"/>
  <c r="ES284" i="1" s="1"/>
  <c r="EO25" i="1"/>
  <c r="EK28" i="1"/>
  <c r="ES30" i="1"/>
  <c r="EO33" i="1"/>
  <c r="EK36" i="1"/>
  <c r="ES38" i="1"/>
  <c r="EO41" i="1"/>
  <c r="EK44" i="1"/>
  <c r="ES46" i="1"/>
  <c r="EO49" i="1"/>
  <c r="EK52" i="1"/>
  <c r="ES54" i="1"/>
  <c r="EO57" i="1"/>
  <c r="EK60" i="1"/>
  <c r="ES62" i="1"/>
  <c r="EO65" i="1"/>
  <c r="EU67" i="1"/>
  <c r="EM69" i="1"/>
  <c r="EQ70" i="1"/>
  <c r="EU71" i="1"/>
  <c r="EM73" i="1"/>
  <c r="EQ74" i="1"/>
  <c r="EU75" i="1"/>
  <c r="EM77" i="1"/>
  <c r="EQ78" i="1"/>
  <c r="EU79" i="1"/>
  <c r="EM81" i="1"/>
  <c r="EQ82" i="1"/>
  <c r="EU83" i="1"/>
  <c r="EM85" i="1"/>
  <c r="EQ86" i="1"/>
  <c r="EU87" i="1"/>
  <c r="EM89" i="1"/>
  <c r="EQ90" i="1"/>
  <c r="EU91" i="1"/>
  <c r="EM93" i="1"/>
  <c r="EQ94" i="1"/>
  <c r="EU95" i="1"/>
  <c r="EM97" i="1"/>
  <c r="EQ98" i="1"/>
  <c r="EU99" i="1"/>
  <c r="EM101" i="1"/>
  <c r="EQ102" i="1"/>
  <c r="EU103" i="1"/>
  <c r="EM105" i="1"/>
  <c r="EQ106" i="1"/>
  <c r="EU107" i="1"/>
  <c r="EM109" i="1"/>
  <c r="EQ110" i="1"/>
  <c r="EU111" i="1"/>
  <c r="EM113" i="1"/>
  <c r="EQ114" i="1"/>
  <c r="EU115" i="1"/>
  <c r="EM117" i="1"/>
  <c r="EQ118" i="1"/>
  <c r="EU119" i="1"/>
  <c r="EM121" i="1"/>
  <c r="EQ122" i="1"/>
  <c r="EU123" i="1"/>
  <c r="EM125" i="1"/>
  <c r="EQ126" i="1"/>
  <c r="EU127" i="1"/>
  <c r="EM129" i="1"/>
  <c r="EQ130" i="1"/>
  <c r="EU131" i="1"/>
  <c r="EM133" i="1"/>
  <c r="EQ134" i="1"/>
  <c r="EU135" i="1"/>
  <c r="EM137" i="1"/>
  <c r="EQ138" i="1"/>
  <c r="EU139" i="1"/>
  <c r="EM141" i="1"/>
  <c r="EQ142" i="1"/>
  <c r="EU143" i="1"/>
  <c r="EM145" i="1"/>
  <c r="EQ146" i="1"/>
  <c r="EU147" i="1"/>
  <c r="EM149" i="1"/>
  <c r="EQ150" i="1"/>
  <c r="EU151" i="1"/>
  <c r="ER6" i="1"/>
  <c r="ER259" i="1" s="1"/>
  <c r="BR9" i="5" s="1"/>
  <c r="EV15" i="1"/>
  <c r="EN22" i="1"/>
  <c r="EN284" i="1" s="1"/>
  <c r="ER27" i="1"/>
  <c r="EV32" i="1"/>
  <c r="EN38" i="1"/>
  <c r="ER43" i="1"/>
  <c r="EV48" i="1"/>
  <c r="EN54" i="1"/>
  <c r="ER59" i="1"/>
  <c r="EV64" i="1"/>
  <c r="EV68" i="1"/>
  <c r="ER71" i="1"/>
  <c r="EN74" i="1"/>
  <c r="EV76" i="1"/>
  <c r="ER79" i="1"/>
  <c r="EN82" i="1"/>
  <c r="EV84" i="1"/>
  <c r="ER87" i="1"/>
  <c r="EN90" i="1"/>
  <c r="EV92" i="1"/>
  <c r="ER95" i="1"/>
  <c r="EN98" i="1"/>
  <c r="EV100" i="1"/>
  <c r="ER103" i="1"/>
  <c r="EN106" i="1"/>
  <c r="EV108" i="1"/>
  <c r="ER111" i="1"/>
  <c r="EN114" i="1"/>
  <c r="EV116" i="1"/>
  <c r="ER119" i="1"/>
  <c r="EN122" i="1"/>
  <c r="EV124" i="1"/>
  <c r="ER127" i="1"/>
  <c r="EN130" i="1"/>
  <c r="EV132" i="1"/>
  <c r="ER135" i="1"/>
  <c r="EN138" i="1"/>
  <c r="EV140" i="1"/>
  <c r="ER143" i="1"/>
  <c r="EN146" i="1"/>
  <c r="EV148" i="1"/>
  <c r="ER151" i="1"/>
  <c r="ER153" i="1"/>
  <c r="EK5" i="1"/>
  <c r="ES10" i="1"/>
  <c r="EK20" i="1"/>
  <c r="EO26" i="1"/>
  <c r="ES31" i="1"/>
  <c r="EK37" i="1"/>
  <c r="EO42" i="1"/>
  <c r="ES47" i="1"/>
  <c r="EK53" i="1"/>
  <c r="EO58" i="1"/>
  <c r="ES63" i="1"/>
  <c r="EO68" i="1"/>
  <c r="EK71" i="1"/>
  <c r="ES73" i="1"/>
  <c r="EO76" i="1"/>
  <c r="EK79" i="1"/>
  <c r="ES81" i="1"/>
  <c r="EO84" i="1"/>
  <c r="EK87" i="1"/>
  <c r="ES89" i="1"/>
  <c r="EO92" i="1"/>
  <c r="EK95" i="1"/>
  <c r="ES97" i="1"/>
  <c r="EO100" i="1"/>
  <c r="EK103" i="1"/>
  <c r="ES105" i="1"/>
  <c r="EO108" i="1"/>
  <c r="EK111" i="1"/>
  <c r="ES113" i="1"/>
  <c r="EO116" i="1"/>
  <c r="EK119" i="1"/>
  <c r="ES121" i="1"/>
  <c r="EO124" i="1"/>
  <c r="EK127" i="1"/>
  <c r="ES129" i="1"/>
  <c r="EO132" i="1"/>
  <c r="EK135" i="1"/>
  <c r="ES137" i="1"/>
  <c r="EO140" i="1"/>
  <c r="EK143" i="1"/>
  <c r="ES145" i="1"/>
  <c r="EO148" i="1"/>
  <c r="EK151" i="1"/>
  <c r="EO153" i="1"/>
  <c r="ET5" i="1"/>
  <c r="EN19" i="1"/>
  <c r="EV30" i="1"/>
  <c r="ER41" i="1"/>
  <c r="EN52" i="1"/>
  <c r="EV62" i="1"/>
  <c r="ER70" i="1"/>
  <c r="EV75" i="1"/>
  <c r="EN81" i="1"/>
  <c r="ER86" i="1"/>
  <c r="EV91" i="1"/>
  <c r="EN97" i="1"/>
  <c r="ER102" i="1"/>
  <c r="EV107" i="1"/>
  <c r="EN113" i="1"/>
  <c r="ER118" i="1"/>
  <c r="EV123" i="1"/>
  <c r="EN129" i="1"/>
  <c r="ER134" i="1"/>
  <c r="EV139" i="1"/>
  <c r="EN145" i="1"/>
  <c r="ER150" i="1"/>
  <c r="EQ5" i="1"/>
  <c r="EO19" i="1"/>
  <c r="EK31" i="1"/>
  <c r="ES41" i="1"/>
  <c r="EO52" i="1"/>
  <c r="EK63" i="1"/>
  <c r="ES70" i="1"/>
  <c r="EK76" i="1"/>
  <c r="EO81" i="1"/>
  <c r="ES86" i="1"/>
  <c r="EK92" i="1"/>
  <c r="EO97" i="1"/>
  <c r="ES102" i="1"/>
  <c r="EK108" i="1"/>
  <c r="EO113" i="1"/>
  <c r="ES118" i="1"/>
  <c r="EK124" i="1"/>
  <c r="EO129" i="1"/>
  <c r="ES134" i="1"/>
  <c r="EK140" i="1"/>
  <c r="EO145" i="1"/>
  <c r="ES150" i="1"/>
  <c r="ER5" i="1"/>
  <c r="ER29" i="1"/>
  <c r="EV50" i="1"/>
  <c r="EV69" i="1"/>
  <c r="ER80" i="1"/>
  <c r="EN91" i="1"/>
  <c r="EV101" i="1"/>
  <c r="ER112" i="1"/>
  <c r="EN123" i="1"/>
  <c r="EV133" i="1"/>
  <c r="ER144" i="1"/>
  <c r="EM5" i="1"/>
  <c r="ES29" i="1"/>
  <c r="EK51" i="1"/>
  <c r="EK70" i="1"/>
  <c r="ES80" i="1"/>
  <c r="EO91" i="1"/>
  <c r="EK102" i="1"/>
  <c r="ES112" i="1"/>
  <c r="EO123" i="1"/>
  <c r="EK134" i="1"/>
  <c r="ES144" i="1"/>
  <c r="EN5" i="1"/>
  <c r="EN48" i="1"/>
  <c r="EN79" i="1"/>
  <c r="ER100" i="1"/>
  <c r="EV121" i="1"/>
  <c r="EN143" i="1"/>
  <c r="ER53" i="1"/>
  <c r="EN103" i="1"/>
  <c r="EV145" i="1"/>
  <c r="ES37" i="1"/>
  <c r="EK74" i="1"/>
  <c r="EO95" i="1"/>
  <c r="ES116" i="1"/>
  <c r="EK138" i="1"/>
  <c r="ER20" i="1"/>
  <c r="EN87" i="1"/>
  <c r="EV129" i="1"/>
  <c r="EO64" i="1"/>
  <c r="EO151" i="1"/>
  <c r="EK114" i="1"/>
  <c r="ES76" i="1"/>
  <c r="EK6" i="1"/>
  <c r="ES124" i="1"/>
  <c r="ET39" i="1"/>
  <c r="EP42" i="1"/>
  <c r="EL45" i="1"/>
  <c r="ET47" i="1"/>
  <c r="EP50" i="1"/>
  <c r="EL53" i="1"/>
  <c r="ET55" i="1"/>
  <c r="EP58" i="1"/>
  <c r="EL61" i="1"/>
  <c r="ET63" i="1"/>
  <c r="EP66" i="1"/>
  <c r="EQ7" i="1"/>
  <c r="EQ262" i="1" s="1"/>
  <c r="BQ10" i="5" s="1"/>
  <c r="EM10" i="1"/>
  <c r="EU16" i="1"/>
  <c r="EQ19" i="1"/>
  <c r="EM23" i="1"/>
  <c r="EU25" i="1"/>
  <c r="EQ28" i="1"/>
  <c r="EM31" i="1"/>
  <c r="EU33" i="1"/>
  <c r="EQ36" i="1"/>
  <c r="EM39" i="1"/>
  <c r="EU41" i="1"/>
  <c r="EQ44" i="1"/>
  <c r="EM47" i="1"/>
  <c r="EU49" i="1"/>
  <c r="EQ52" i="1"/>
  <c r="EM55" i="1"/>
  <c r="EU57" i="1"/>
  <c r="EQ60" i="1"/>
  <c r="EM63" i="1"/>
  <c r="EU65" i="1"/>
  <c r="ER7" i="1"/>
  <c r="ER262" i="1" s="1"/>
  <c r="BR10" i="5" s="1"/>
  <c r="EV16" i="1"/>
  <c r="EN23" i="1"/>
  <c r="ER28" i="1"/>
  <c r="EV33" i="1"/>
  <c r="EN39" i="1"/>
  <c r="ER44" i="1"/>
  <c r="EV49" i="1"/>
  <c r="EN55" i="1"/>
  <c r="ER60" i="1"/>
  <c r="EV65" i="1"/>
  <c r="EP69" i="1"/>
  <c r="EL72" i="1"/>
  <c r="ET74" i="1"/>
  <c r="EP77" i="1"/>
  <c r="EL80" i="1"/>
  <c r="ET82" i="1"/>
  <c r="EP85" i="1"/>
  <c r="EL88" i="1"/>
  <c r="ET90" i="1"/>
  <c r="EP93" i="1"/>
  <c r="EL96" i="1"/>
  <c r="ET98" i="1"/>
  <c r="EP101" i="1"/>
  <c r="EL104" i="1"/>
  <c r="ET106" i="1"/>
  <c r="EP109" i="1"/>
  <c r="EL112" i="1"/>
  <c r="ET114" i="1"/>
  <c r="EP117" i="1"/>
  <c r="EL120" i="1"/>
  <c r="ET122" i="1"/>
  <c r="EP125" i="1"/>
  <c r="EL128" i="1"/>
  <c r="ET130" i="1"/>
  <c r="EP133" i="1"/>
  <c r="EL136" i="1"/>
  <c r="ET138" i="1"/>
  <c r="EP141" i="1"/>
  <c r="EL144" i="1"/>
  <c r="ET146" i="1"/>
  <c r="EP149" i="1"/>
  <c r="EL152" i="1"/>
  <c r="ES9" i="1"/>
  <c r="EK17" i="1"/>
  <c r="ES19" i="1"/>
  <c r="EO23" i="1"/>
  <c r="EK26" i="1"/>
  <c r="ES28" i="1"/>
  <c r="EO31" i="1"/>
  <c r="EK34" i="1"/>
  <c r="ES36" i="1"/>
  <c r="EO39" i="1"/>
  <c r="EK42" i="1"/>
  <c r="ES44" i="1"/>
  <c r="EO47" i="1"/>
  <c r="EK50" i="1"/>
  <c r="ES52" i="1"/>
  <c r="EO55" i="1"/>
  <c r="EK58" i="1"/>
  <c r="ES60" i="1"/>
  <c r="EO63" i="1"/>
  <c r="EK66" i="1"/>
  <c r="EM68" i="1"/>
  <c r="EQ69" i="1"/>
  <c r="EU70" i="1"/>
  <c r="EM72" i="1"/>
  <c r="EQ73" i="1"/>
  <c r="EU74" i="1"/>
  <c r="EM76" i="1"/>
  <c r="EQ77" i="1"/>
  <c r="EU78" i="1"/>
  <c r="EM80" i="1"/>
  <c r="EQ81" i="1"/>
  <c r="EU82" i="1"/>
  <c r="EM84" i="1"/>
  <c r="EQ85" i="1"/>
  <c r="EU86" i="1"/>
  <c r="EM88" i="1"/>
  <c r="EQ89" i="1"/>
  <c r="EU90" i="1"/>
  <c r="EM92" i="1"/>
  <c r="EQ93" i="1"/>
  <c r="EU94" i="1"/>
  <c r="EM96" i="1"/>
  <c r="EQ97" i="1"/>
  <c r="EU98" i="1"/>
  <c r="EM100" i="1"/>
  <c r="EQ101" i="1"/>
  <c r="EU102" i="1"/>
  <c r="EM104" i="1"/>
  <c r="EQ105" i="1"/>
  <c r="EU106" i="1"/>
  <c r="EM108" i="1"/>
  <c r="EQ109" i="1"/>
  <c r="EU110" i="1"/>
  <c r="EM112" i="1"/>
  <c r="EQ113" i="1"/>
  <c r="EU114" i="1"/>
  <c r="EM116" i="1"/>
  <c r="EQ117" i="1"/>
  <c r="EU118" i="1"/>
  <c r="EM120" i="1"/>
  <c r="EQ121" i="1"/>
  <c r="EU122" i="1"/>
  <c r="EM124" i="1"/>
  <c r="EQ125" i="1"/>
  <c r="EU126" i="1"/>
  <c r="EM128" i="1"/>
  <c r="EQ129" i="1"/>
  <c r="EU130" i="1"/>
  <c r="EM132" i="1"/>
  <c r="EQ133" i="1"/>
  <c r="EU134" i="1"/>
  <c r="EM136" i="1"/>
  <c r="EQ137" i="1"/>
  <c r="EU138" i="1"/>
  <c r="EM140" i="1"/>
  <c r="EQ141" i="1"/>
  <c r="EU142" i="1"/>
  <c r="EM144" i="1"/>
  <c r="EQ145" i="1"/>
  <c r="EU146" i="1"/>
  <c r="EM148" i="1"/>
  <c r="EQ149" i="1"/>
  <c r="EU150" i="1"/>
  <c r="EM152" i="1"/>
  <c r="EV7" i="1"/>
  <c r="EV262" i="1" s="1"/>
  <c r="BV10" i="5" s="1"/>
  <c r="EN17" i="1"/>
  <c r="ER23" i="1"/>
  <c r="EV28" i="1"/>
  <c r="EN34" i="1"/>
  <c r="ER39" i="1"/>
  <c r="EV44" i="1"/>
  <c r="EN50" i="1"/>
  <c r="ER55" i="1"/>
  <c r="EV60" i="1"/>
  <c r="EN66" i="1"/>
  <c r="ER69" i="1"/>
  <c r="EN72" i="1"/>
  <c r="EV74" i="1"/>
  <c r="ER77" i="1"/>
  <c r="EN80" i="1"/>
  <c r="EV82" i="1"/>
  <c r="ER85" i="1"/>
  <c r="EN88" i="1"/>
  <c r="EV90" i="1"/>
  <c r="ER93" i="1"/>
  <c r="EN96" i="1"/>
  <c r="EV98" i="1"/>
  <c r="ER101" i="1"/>
  <c r="EN104" i="1"/>
  <c r="EV106" i="1"/>
  <c r="ER109" i="1"/>
  <c r="EN112" i="1"/>
  <c r="EV114" i="1"/>
  <c r="ER117" i="1"/>
  <c r="EN120" i="1"/>
  <c r="EV122" i="1"/>
  <c r="ER125" i="1"/>
  <c r="EN128" i="1"/>
  <c r="EV130" i="1"/>
  <c r="ER133" i="1"/>
  <c r="EN136" i="1"/>
  <c r="EV138" i="1"/>
  <c r="ER141" i="1"/>
  <c r="EN144" i="1"/>
  <c r="EV146" i="1"/>
  <c r="ER149" i="1"/>
  <c r="EN152" i="1"/>
  <c r="EV153" i="1"/>
  <c r="ES6" i="1"/>
  <c r="ES259" i="1" s="1"/>
  <c r="BS9" i="5" s="1"/>
  <c r="EK16" i="1"/>
  <c r="EO22" i="1"/>
  <c r="EO284" i="1" s="1"/>
  <c r="ES27" i="1"/>
  <c r="EK33" i="1"/>
  <c r="EO38" i="1"/>
  <c r="ES43" i="1"/>
  <c r="EK49" i="1"/>
  <c r="EO54" i="1"/>
  <c r="ES59" i="1"/>
  <c r="EK65" i="1"/>
  <c r="EK69" i="1"/>
  <c r="ES71" i="1"/>
  <c r="EO74" i="1"/>
  <c r="EK77" i="1"/>
  <c r="ES79" i="1"/>
  <c r="EO82" i="1"/>
  <c r="EK85" i="1"/>
  <c r="ES87" i="1"/>
  <c r="EO90" i="1"/>
  <c r="EK93" i="1"/>
  <c r="ES95" i="1"/>
  <c r="EO98" i="1"/>
  <c r="EK101" i="1"/>
  <c r="ES103" i="1"/>
  <c r="EO106" i="1"/>
  <c r="EK109" i="1"/>
  <c r="ES111" i="1"/>
  <c r="EO114" i="1"/>
  <c r="EK117" i="1"/>
  <c r="ES119" i="1"/>
  <c r="EO122" i="1"/>
  <c r="EK125" i="1"/>
  <c r="ES127" i="1"/>
  <c r="EO130" i="1"/>
  <c r="EK133" i="1"/>
  <c r="ES135" i="1"/>
  <c r="EO138" i="1"/>
  <c r="EK141" i="1"/>
  <c r="ES143" i="1"/>
  <c r="EO146" i="1"/>
  <c r="EK149" i="1"/>
  <c r="ES151" i="1"/>
  <c r="ES153" i="1"/>
  <c r="EN7" i="1"/>
  <c r="EN262" i="1" s="1"/>
  <c r="BN10" i="5" s="1"/>
  <c r="EV22" i="1"/>
  <c r="EV284" i="1" s="1"/>
  <c r="ER33" i="1"/>
  <c r="EN44" i="1"/>
  <c r="EV54" i="1"/>
  <c r="ER65" i="1"/>
  <c r="EV71" i="1"/>
  <c r="EN77" i="1"/>
  <c r="ER82" i="1"/>
  <c r="EV87" i="1"/>
  <c r="EN93" i="1"/>
  <c r="ER98" i="1"/>
  <c r="EV103" i="1"/>
  <c r="EN109" i="1"/>
  <c r="ER114" i="1"/>
  <c r="EV119" i="1"/>
  <c r="EN125" i="1"/>
  <c r="ER130" i="1"/>
  <c r="EV135" i="1"/>
  <c r="EN141" i="1"/>
  <c r="ER146" i="1"/>
  <c r="EV151" i="1"/>
  <c r="EO7" i="1"/>
  <c r="EO262" i="1" s="1"/>
  <c r="BO10" i="5" s="1"/>
  <c r="EK23" i="1"/>
  <c r="ES33" i="1"/>
  <c r="EO44" i="1"/>
  <c r="EK55" i="1"/>
  <c r="ES65" i="1"/>
  <c r="EK72" i="1"/>
  <c r="EO77" i="1"/>
  <c r="ES82" i="1"/>
  <c r="EK88" i="1"/>
  <c r="EO93" i="1"/>
  <c r="ES98" i="1"/>
  <c r="EK104" i="1"/>
  <c r="EO109" i="1"/>
  <c r="ES114" i="1"/>
  <c r="EK120" i="1"/>
  <c r="EO125" i="1"/>
  <c r="ES130" i="1"/>
  <c r="EK136" i="1"/>
  <c r="EO141" i="1"/>
  <c r="ES146" i="1"/>
  <c r="EK152" i="1"/>
  <c r="ER8" i="1"/>
  <c r="ER265" i="1" s="1"/>
  <c r="BR11" i="5" s="1"/>
  <c r="EV34" i="1"/>
  <c r="EN56" i="1"/>
  <c r="ER72" i="1"/>
  <c r="EN83" i="1"/>
  <c r="EV93" i="1"/>
  <c r="ER104" i="1"/>
  <c r="EN115" i="1"/>
  <c r="EV125" i="1"/>
  <c r="ER136" i="1"/>
  <c r="EN147" i="1"/>
  <c r="ES8" i="1"/>
  <c r="ES265" i="1" s="1"/>
  <c r="BS11" i="5" s="1"/>
  <c r="EK35" i="1"/>
  <c r="EO56" i="1"/>
  <c r="ES72" i="1"/>
  <c r="EO83" i="1"/>
  <c r="EK94" i="1"/>
  <c r="ES104" i="1"/>
  <c r="EO115" i="1"/>
  <c r="EK126" i="1"/>
  <c r="ES136" i="1"/>
  <c r="EO147" i="1"/>
  <c r="EN15" i="1"/>
  <c r="EV58" i="1"/>
  <c r="ER84" i="1"/>
  <c r="EV105" i="1"/>
  <c r="EN127" i="1"/>
  <c r="ER148" i="1"/>
  <c r="EN71" i="1"/>
  <c r="EV113" i="1"/>
  <c r="EU5" i="1"/>
  <c r="EO48" i="1"/>
  <c r="EO79" i="1"/>
  <c r="ES100" i="1"/>
  <c r="EK122" i="1"/>
  <c r="EO143" i="1"/>
  <c r="EV42" i="1"/>
  <c r="EV97" i="1"/>
  <c r="ER140" i="1"/>
  <c r="EO87" i="1"/>
  <c r="EO32" i="1"/>
  <c r="EO135" i="1"/>
  <c r="EK98" i="1"/>
  <c r="ES53" i="1"/>
  <c r="EK146" i="1"/>
  <c r="EH256" i="1"/>
  <c r="DY262" i="1"/>
  <c r="DY284" i="1"/>
  <c r="DY259" i="1"/>
  <c r="AQ8" i="5"/>
  <c r="AQ80" i="5" s="1"/>
  <c r="DQ292" i="1"/>
  <c r="DQ294" i="1" s="1"/>
  <c r="AP8" i="5"/>
  <c r="AP80" i="5" s="1"/>
  <c r="DP292" i="1"/>
  <c r="DP294" i="1" s="1"/>
  <c r="AM8" i="5"/>
  <c r="AM80" i="5" s="1"/>
  <c r="DM292" i="1"/>
  <c r="DM294" i="1" s="1"/>
  <c r="T80" i="5"/>
  <c r="G80" i="5"/>
  <c r="AF80" i="5"/>
  <c r="N22" i="27"/>
  <c r="N26" i="27"/>
  <c r="L80" i="5"/>
  <c r="EX289" i="1"/>
  <c r="EX274" i="1"/>
  <c r="BY13" i="5"/>
  <c r="N20" i="27" s="1"/>
  <c r="BY67" i="5"/>
  <c r="N30" i="27" s="1"/>
  <c r="S21" i="27"/>
  <c r="Q80" i="5"/>
  <c r="BY35" i="5"/>
  <c r="N23" i="27" s="1"/>
  <c r="J80" i="5"/>
  <c r="BX8" i="5"/>
  <c r="H35" i="5"/>
  <c r="H80" i="5" s="1"/>
  <c r="S28" i="27"/>
  <c r="N35" i="5"/>
  <c r="N80" i="5" s="1"/>
  <c r="AD80" i="5"/>
  <c r="Q32" i="27"/>
  <c r="P32" i="27"/>
  <c r="BW31" i="5"/>
  <c r="O32" i="27"/>
  <c r="M80" i="5"/>
  <c r="K35" i="5"/>
  <c r="R16" i="24"/>
  <c r="S16" i="24" s="1"/>
  <c r="F80" i="5"/>
  <c r="I80" i="5"/>
  <c r="R23" i="24"/>
  <c r="S23" i="24" s="1"/>
  <c r="R25" i="24"/>
  <c r="S25" i="24" s="1"/>
  <c r="D80" i="5"/>
  <c r="C80" i="5"/>
  <c r="G18" i="7"/>
  <c r="D18" i="7"/>
  <c r="J60" i="7"/>
  <c r="I15" i="7"/>
  <c r="I18" i="7" s="1"/>
  <c r="BD46" i="5" l="1"/>
  <c r="BC46" i="5"/>
  <c r="BF46" i="5"/>
  <c r="BA46" i="5"/>
  <c r="BG46" i="5"/>
  <c r="BB46" i="5"/>
  <c r="BE46" i="5"/>
  <c r="BI46" i="5"/>
  <c r="EQ275" i="1"/>
  <c r="EQ278" i="1"/>
  <c r="EO278" i="1"/>
  <c r="EV278" i="1"/>
  <c r="EN278" i="1"/>
  <c r="EM278" i="1"/>
  <c r="ES275" i="1"/>
  <c r="ER275" i="1"/>
  <c r="EL275" i="1"/>
  <c r="EU275" i="1"/>
  <c r="EK275" i="1"/>
  <c r="ES278" i="1"/>
  <c r="EM275" i="1"/>
  <c r="EP275" i="1"/>
  <c r="EK278" i="1"/>
  <c r="ER278" i="1"/>
  <c r="EL278" i="1"/>
  <c r="ET278" i="1"/>
  <c r="EP278" i="1"/>
  <c r="EV275" i="1"/>
  <c r="ET275" i="1"/>
  <c r="EO275" i="1"/>
  <c r="EN275" i="1"/>
  <c r="EW174" i="1"/>
  <c r="EW237" i="1"/>
  <c r="FM248" i="1"/>
  <c r="AL246" i="38" s="1"/>
  <c r="EW251" i="1"/>
  <c r="EW249" i="1"/>
  <c r="EW239" i="1"/>
  <c r="EW219" i="1"/>
  <c r="EW245" i="1"/>
  <c r="EW240" i="1"/>
  <c r="EW224" i="1"/>
  <c r="EW161" i="1"/>
  <c r="FM225" i="1"/>
  <c r="AL223" i="38" s="1"/>
  <c r="AR223" i="38" s="1"/>
  <c r="EW177" i="1"/>
  <c r="EW212" i="1"/>
  <c r="EW200" i="1"/>
  <c r="EW226" i="1"/>
  <c r="EW182" i="1"/>
  <c r="EW198" i="1"/>
  <c r="EW207" i="1"/>
  <c r="EW196" i="1"/>
  <c r="EW243" i="1"/>
  <c r="EW241" i="1"/>
  <c r="EW197" i="1"/>
  <c r="EW163" i="1"/>
  <c r="EW178" i="1"/>
  <c r="EW167" i="1"/>
  <c r="EW162" i="1"/>
  <c r="EW160" i="1"/>
  <c r="EW206" i="1"/>
  <c r="EW190" i="1"/>
  <c r="EW158" i="1"/>
  <c r="ER293" i="1"/>
  <c r="EK293" i="1"/>
  <c r="ES293" i="1"/>
  <c r="EO293" i="1"/>
  <c r="EW221" i="1"/>
  <c r="EW229" i="1"/>
  <c r="FM159" i="1"/>
  <c r="AL157" i="38" s="1"/>
  <c r="AR157" i="38" s="1"/>
  <c r="EW250" i="1"/>
  <c r="FM234" i="1"/>
  <c r="AL232" i="38" s="1"/>
  <c r="AR232" i="38" s="1"/>
  <c r="FM218" i="1"/>
  <c r="AL216" i="38" s="1"/>
  <c r="EW210" i="1"/>
  <c r="EW232" i="1"/>
  <c r="EW222" i="1"/>
  <c r="FM199" i="1"/>
  <c r="AL197" i="38" s="1"/>
  <c r="EW242" i="1"/>
  <c r="EW231" i="1"/>
  <c r="EW203" i="1"/>
  <c r="EW185" i="1"/>
  <c r="EW172" i="1"/>
  <c r="EW156" i="1"/>
  <c r="EW202" i="1"/>
  <c r="EW186" i="1"/>
  <c r="EW170" i="1"/>
  <c r="EW154" i="1"/>
  <c r="FM200" i="1"/>
  <c r="AL198" i="38" s="1"/>
  <c r="AR198" i="38" s="1"/>
  <c r="EW194" i="1"/>
  <c r="EW184" i="1"/>
  <c r="EW173" i="1"/>
  <c r="FM168" i="1"/>
  <c r="AL166" i="38" s="1"/>
  <c r="AR166" i="38" s="1"/>
  <c r="EW157" i="1"/>
  <c r="EW248" i="1"/>
  <c r="EW168" i="1"/>
  <c r="EW187" i="1"/>
  <c r="EU293" i="1"/>
  <c r="EN293" i="1"/>
  <c r="EW159" i="1"/>
  <c r="EW220" i="1"/>
  <c r="EW213" i="1"/>
  <c r="EW216" i="1"/>
  <c r="EW204" i="1"/>
  <c r="EW233" i="1"/>
  <c r="EW217" i="1"/>
  <c r="EW230" i="1"/>
  <c r="EW214" i="1"/>
  <c r="EW166" i="1"/>
  <c r="FN225" i="1"/>
  <c r="ET293" i="1"/>
  <c r="EP293" i="1"/>
  <c r="EL293" i="1"/>
  <c r="EW191" i="1"/>
  <c r="EW227" i="1"/>
  <c r="EW209" i="1"/>
  <c r="EW211" i="1"/>
  <c r="EW169" i="1"/>
  <c r="EW176" i="1"/>
  <c r="EM293" i="1"/>
  <c r="EW183" i="1"/>
  <c r="EW236" i="1"/>
  <c r="EW193" i="1"/>
  <c r="EQ293" i="1"/>
  <c r="EV293" i="1"/>
  <c r="EW175" i="1"/>
  <c r="EW246" i="1"/>
  <c r="EW215" i="1"/>
  <c r="EW244" i="1"/>
  <c r="EW228" i="1"/>
  <c r="EW179" i="1"/>
  <c r="EW180" i="1"/>
  <c r="AK240" i="38"/>
  <c r="FM235" i="1"/>
  <c r="AL233" i="38" s="1"/>
  <c r="EW235" i="1"/>
  <c r="FM219" i="1"/>
  <c r="AL217" i="38" s="1"/>
  <c r="AK217" i="38"/>
  <c r="AK239" i="38"/>
  <c r="AK245" i="38"/>
  <c r="AK246" i="38"/>
  <c r="AR246" i="38" s="1"/>
  <c r="AK159" i="38"/>
  <c r="AK230" i="38"/>
  <c r="FM250" i="1"/>
  <c r="AL248" i="38" s="1"/>
  <c r="FM244" i="1"/>
  <c r="FM228" i="1"/>
  <c r="FM212" i="1"/>
  <c r="AL210" i="38" s="1"/>
  <c r="FM245" i="1"/>
  <c r="AL243" i="38" s="1"/>
  <c r="AR243" i="38" s="1"/>
  <c r="FM229" i="1"/>
  <c r="AL227" i="38" s="1"/>
  <c r="AR227" i="38" s="1"/>
  <c r="FM213" i="1"/>
  <c r="FM183" i="1"/>
  <c r="AL181" i="38" s="1"/>
  <c r="AR181" i="38" s="1"/>
  <c r="FM165" i="1"/>
  <c r="FM210" i="1"/>
  <c r="AL208" i="38" s="1"/>
  <c r="AR208" i="38" s="1"/>
  <c r="FM194" i="1"/>
  <c r="AL192" i="38" s="1"/>
  <c r="AR192" i="38" s="1"/>
  <c r="FM178" i="1"/>
  <c r="AL176" i="38" s="1"/>
  <c r="AR176" i="38" s="1"/>
  <c r="FM162" i="1"/>
  <c r="AL160" i="38" s="1"/>
  <c r="AK248" i="38"/>
  <c r="AK247" i="38"/>
  <c r="AK220" i="38"/>
  <c r="EW199" i="1"/>
  <c r="FM181" i="1"/>
  <c r="AL179" i="38" s="1"/>
  <c r="FM184" i="1"/>
  <c r="AK196" i="38"/>
  <c r="AK244" i="38"/>
  <c r="EW218" i="1"/>
  <c r="AK194" i="38"/>
  <c r="FM253" i="1"/>
  <c r="FM238" i="1"/>
  <c r="AL236" i="38" s="1"/>
  <c r="AR236" i="38" s="1"/>
  <c r="FM222" i="1"/>
  <c r="AL220" i="38" s="1"/>
  <c r="FM239" i="1"/>
  <c r="AL237" i="38" s="1"/>
  <c r="AR237" i="38" s="1"/>
  <c r="FM223" i="1"/>
  <c r="AL221" i="38" s="1"/>
  <c r="FM201" i="1"/>
  <c r="AL199" i="38" s="1"/>
  <c r="FM167" i="1"/>
  <c r="AL165" i="38" s="1"/>
  <c r="AR165" i="38" s="1"/>
  <c r="FM204" i="1"/>
  <c r="AL202" i="38" s="1"/>
  <c r="AR202" i="38" s="1"/>
  <c r="FM188" i="1"/>
  <c r="AL186" i="38" s="1"/>
  <c r="AR186" i="38" s="1"/>
  <c r="FM172" i="1"/>
  <c r="FM156" i="1"/>
  <c r="EW234" i="1"/>
  <c r="AK172" i="38"/>
  <c r="AK158" i="38"/>
  <c r="EW188" i="1"/>
  <c r="FM249" i="1"/>
  <c r="AL247" i="38" s="1"/>
  <c r="AK205" i="38"/>
  <c r="FM205" i="1"/>
  <c r="EW205" i="1"/>
  <c r="FM247" i="1"/>
  <c r="AL245" i="38" s="1"/>
  <c r="FM207" i="1"/>
  <c r="AL205" i="38" s="1"/>
  <c r="FM157" i="1"/>
  <c r="AL155" i="38" s="1"/>
  <c r="AR155" i="38" s="1"/>
  <c r="FM232" i="1"/>
  <c r="AL230" i="38" s="1"/>
  <c r="FM216" i="1"/>
  <c r="FM233" i="1"/>
  <c r="FM217" i="1"/>
  <c r="AL215" i="38" s="1"/>
  <c r="FM185" i="1"/>
  <c r="AL183" i="38" s="1"/>
  <c r="AR183" i="38" s="1"/>
  <c r="FM198" i="1"/>
  <c r="AL196" i="38" s="1"/>
  <c r="FM182" i="1"/>
  <c r="AL180" i="38" s="1"/>
  <c r="FM166" i="1"/>
  <c r="EW247" i="1"/>
  <c r="AK190" i="38"/>
  <c r="AK225" i="38"/>
  <c r="AK213" i="38"/>
  <c r="AK156" i="38"/>
  <c r="AK215" i="38"/>
  <c r="EW181" i="1"/>
  <c r="AK234" i="38"/>
  <c r="AK210" i="38"/>
  <c r="AR210" i="38" s="1"/>
  <c r="AK233" i="38"/>
  <c r="AK160" i="38"/>
  <c r="FM191" i="1"/>
  <c r="AL189" i="38" s="1"/>
  <c r="AR189" i="38" s="1"/>
  <c r="FM242" i="1"/>
  <c r="AL240" i="38" s="1"/>
  <c r="FM226" i="1"/>
  <c r="AL224" i="38" s="1"/>
  <c r="AR224" i="38" s="1"/>
  <c r="FM209" i="1"/>
  <c r="FM203" i="1"/>
  <c r="AL201" i="38" s="1"/>
  <c r="FM243" i="1"/>
  <c r="FM227" i="1"/>
  <c r="AL225" i="38" s="1"/>
  <c r="FM211" i="1"/>
  <c r="FM169" i="1"/>
  <c r="FM208" i="1"/>
  <c r="AL206" i="38" s="1"/>
  <c r="FM192" i="1"/>
  <c r="AL190" i="38" s="1"/>
  <c r="FM176" i="1"/>
  <c r="FM160" i="1"/>
  <c r="AL158" i="38" s="1"/>
  <c r="AK206" i="38"/>
  <c r="AK191" i="38"/>
  <c r="EW165" i="1"/>
  <c r="AK222" i="38"/>
  <c r="AK179" i="38"/>
  <c r="FN181" i="1"/>
  <c r="EW223" i="1"/>
  <c r="EW208" i="1"/>
  <c r="EW192" i="1"/>
  <c r="AK180" i="38"/>
  <c r="AR180" i="38" s="1"/>
  <c r="AK219" i="38"/>
  <c r="AK153" i="38"/>
  <c r="AK200" i="38"/>
  <c r="FM189" i="1"/>
  <c r="AL187" i="38" s="1"/>
  <c r="AR187" i="38" s="1"/>
  <c r="FM251" i="1"/>
  <c r="AL249" i="38" s="1"/>
  <c r="AR249" i="38" s="1"/>
  <c r="FM236" i="1"/>
  <c r="AL234" i="38" s="1"/>
  <c r="FM220" i="1"/>
  <c r="FM193" i="1"/>
  <c r="AL191" i="38" s="1"/>
  <c r="FM187" i="1"/>
  <c r="AL185" i="38" s="1"/>
  <c r="AR185" i="38" s="1"/>
  <c r="FM237" i="1"/>
  <c r="FM221" i="1"/>
  <c r="AL219" i="38" s="1"/>
  <c r="FM195" i="1"/>
  <c r="FM202" i="1"/>
  <c r="AL200" i="38" s="1"/>
  <c r="FM186" i="1"/>
  <c r="AL184" i="38" s="1"/>
  <c r="FM170" i="1"/>
  <c r="AL168" i="38" s="1"/>
  <c r="FM154" i="1"/>
  <c r="AL152" i="38" s="1"/>
  <c r="AR152" i="38" s="1"/>
  <c r="EW253" i="1"/>
  <c r="AK201" i="38"/>
  <c r="FN203" i="1"/>
  <c r="AK195" i="38"/>
  <c r="AK161" i="38"/>
  <c r="AK238" i="38"/>
  <c r="AK168" i="38"/>
  <c r="AK221" i="38"/>
  <c r="EW189" i="1"/>
  <c r="EW225" i="1"/>
  <c r="AK169" i="38"/>
  <c r="AK216" i="38"/>
  <c r="AR216" i="38" s="1"/>
  <c r="FN218" i="1"/>
  <c r="FM175" i="1"/>
  <c r="AL173" i="38" s="1"/>
  <c r="FM246" i="1"/>
  <c r="AL244" i="38" s="1"/>
  <c r="FM230" i="1"/>
  <c r="AL228" i="38" s="1"/>
  <c r="AR228" i="38" s="1"/>
  <c r="FM214" i="1"/>
  <c r="AL212" i="38" s="1"/>
  <c r="AR212" i="38" s="1"/>
  <c r="FM177" i="1"/>
  <c r="FM171" i="1"/>
  <c r="AL169" i="38" s="1"/>
  <c r="EW171" i="1"/>
  <c r="FM231" i="1"/>
  <c r="AL229" i="38" s="1"/>
  <c r="FM215" i="1"/>
  <c r="AL213" i="38" s="1"/>
  <c r="FM179" i="1"/>
  <c r="AL177" i="38" s="1"/>
  <c r="FM196" i="1"/>
  <c r="AL194" i="38" s="1"/>
  <c r="FM180" i="1"/>
  <c r="FM164" i="1"/>
  <c r="EW238" i="1"/>
  <c r="FN178" i="1"/>
  <c r="EW195" i="1"/>
  <c r="AK177" i="38"/>
  <c r="AK197" i="38"/>
  <c r="AR197" i="38" s="1"/>
  <c r="FN199" i="1"/>
  <c r="EW164" i="1"/>
  <c r="EW201" i="1"/>
  <c r="AK199" i="38"/>
  <c r="AR199" i="38" s="1"/>
  <c r="FN201" i="1"/>
  <c r="FM252" i="1"/>
  <c r="FM173" i="1"/>
  <c r="FM240" i="1"/>
  <c r="AL238" i="38" s="1"/>
  <c r="FM224" i="1"/>
  <c r="AL222" i="38" s="1"/>
  <c r="FM161" i="1"/>
  <c r="AL159" i="38" s="1"/>
  <c r="FM155" i="1"/>
  <c r="AL153" i="38" s="1"/>
  <c r="EW155" i="1"/>
  <c r="FM241" i="1"/>
  <c r="AL239" i="38" s="1"/>
  <c r="FM197" i="1"/>
  <c r="AL195" i="38" s="1"/>
  <c r="FM163" i="1"/>
  <c r="AL161" i="38" s="1"/>
  <c r="FM206" i="1"/>
  <c r="AL204" i="38" s="1"/>
  <c r="AR204" i="38" s="1"/>
  <c r="FM190" i="1"/>
  <c r="FM174" i="1"/>
  <c r="AL172" i="38" s="1"/>
  <c r="FM158" i="1"/>
  <c r="AL156" i="38" s="1"/>
  <c r="AK184" i="38"/>
  <c r="AR184" i="38" s="1"/>
  <c r="EW252" i="1"/>
  <c r="AK173" i="38"/>
  <c r="AK229" i="38"/>
  <c r="FN200" i="1"/>
  <c r="Q107" i="39"/>
  <c r="DA197" i="11"/>
  <c r="CB197" i="11"/>
  <c r="CB199" i="11" s="1"/>
  <c r="C17" i="20"/>
  <c r="P110" i="39"/>
  <c r="L110" i="39"/>
  <c r="O110" i="39"/>
  <c r="Q106" i="39"/>
  <c r="I110" i="39"/>
  <c r="Q108" i="39"/>
  <c r="Q105" i="39"/>
  <c r="Q100" i="39"/>
  <c r="Q109" i="39"/>
  <c r="H110" i="39"/>
  <c r="F110" i="39"/>
  <c r="Q103" i="39"/>
  <c r="K110" i="39"/>
  <c r="Q101" i="39"/>
  <c r="M110" i="39"/>
  <c r="Q104" i="39"/>
  <c r="N110" i="39"/>
  <c r="J110" i="39"/>
  <c r="Q102" i="39"/>
  <c r="G110" i="39"/>
  <c r="FM94" i="1"/>
  <c r="AL92" i="38" s="1"/>
  <c r="FM35" i="1"/>
  <c r="AL33" i="38" s="1"/>
  <c r="FM26" i="1"/>
  <c r="AL24" i="38" s="1"/>
  <c r="FL255" i="1"/>
  <c r="FM98" i="1"/>
  <c r="AL96" i="38" s="1"/>
  <c r="FM126" i="1"/>
  <c r="AL124" i="38" s="1"/>
  <c r="FM122" i="1"/>
  <c r="AL120" i="38" s="1"/>
  <c r="FM20" i="1"/>
  <c r="AL18" i="38" s="1"/>
  <c r="FM67" i="1"/>
  <c r="AL65" i="38" s="1"/>
  <c r="FM254" i="1"/>
  <c r="AL252" i="38" s="1"/>
  <c r="AR252" i="38" s="1"/>
  <c r="FM55" i="1"/>
  <c r="AL53" i="38" s="1"/>
  <c r="FM141" i="1"/>
  <c r="AL139" i="38" s="1"/>
  <c r="FM109" i="1"/>
  <c r="AL107" i="38" s="1"/>
  <c r="FM77" i="1"/>
  <c r="AL75" i="38" s="1"/>
  <c r="FM65" i="1"/>
  <c r="AL63" i="38" s="1"/>
  <c r="FM42" i="1"/>
  <c r="AL40" i="38" s="1"/>
  <c r="FM110" i="1"/>
  <c r="AL108" i="38" s="1"/>
  <c r="FM80" i="1"/>
  <c r="AL78" i="38" s="1"/>
  <c r="FM151" i="1"/>
  <c r="AL149" i="38" s="1"/>
  <c r="FM119" i="1"/>
  <c r="AL117" i="38" s="1"/>
  <c r="FM87" i="1"/>
  <c r="AL85" i="38" s="1"/>
  <c r="FM120" i="1"/>
  <c r="AL118" i="38" s="1"/>
  <c r="FM149" i="1"/>
  <c r="AL147" i="38" s="1"/>
  <c r="FM117" i="1"/>
  <c r="AL115" i="38" s="1"/>
  <c r="FM85" i="1"/>
  <c r="AL83" i="38" s="1"/>
  <c r="FM16" i="1"/>
  <c r="AL14" i="38" s="1"/>
  <c r="FM50" i="1"/>
  <c r="AL48" i="38" s="1"/>
  <c r="FM17" i="1"/>
  <c r="AL15" i="38" s="1"/>
  <c r="FM114" i="1"/>
  <c r="AL112" i="38" s="1"/>
  <c r="FM102" i="1"/>
  <c r="AL100" i="38" s="1"/>
  <c r="FM51" i="1"/>
  <c r="AL49" i="38" s="1"/>
  <c r="FM140" i="1"/>
  <c r="AL138" i="38" s="1"/>
  <c r="FM76" i="1"/>
  <c r="AL74" i="38" s="1"/>
  <c r="FM127" i="1"/>
  <c r="AL125" i="38" s="1"/>
  <c r="FM95" i="1"/>
  <c r="AL93" i="38" s="1"/>
  <c r="FM37" i="1"/>
  <c r="AL35" i="38" s="1"/>
  <c r="FM60" i="1"/>
  <c r="AL58" i="38" s="1"/>
  <c r="FM28" i="1"/>
  <c r="AL26" i="38" s="1"/>
  <c r="FM90" i="1"/>
  <c r="AL88" i="38" s="1"/>
  <c r="FM142" i="1"/>
  <c r="AL140" i="38" s="1"/>
  <c r="FM96" i="1"/>
  <c r="AL94" i="38" s="1"/>
  <c r="FM39" i="1"/>
  <c r="AL37" i="38" s="1"/>
  <c r="FM137" i="1"/>
  <c r="AL135" i="38" s="1"/>
  <c r="FM105" i="1"/>
  <c r="AL103" i="38" s="1"/>
  <c r="FM73" i="1"/>
  <c r="AL71" i="38" s="1"/>
  <c r="FM57" i="1"/>
  <c r="AL55" i="38" s="1"/>
  <c r="FM38" i="1"/>
  <c r="AL36" i="38" s="1"/>
  <c r="FM116" i="1"/>
  <c r="AL114" i="38" s="1"/>
  <c r="FM147" i="1"/>
  <c r="AL145" i="38" s="1"/>
  <c r="FM115" i="1"/>
  <c r="AL113" i="38" s="1"/>
  <c r="FM83" i="1"/>
  <c r="AL81" i="38" s="1"/>
  <c r="FM8" i="1"/>
  <c r="AL6" i="38" s="1"/>
  <c r="FM48" i="1"/>
  <c r="AL46" i="38" s="1"/>
  <c r="FM15" i="1"/>
  <c r="AL13" i="38" s="1"/>
  <c r="FM12" i="1"/>
  <c r="AL10" i="38" s="1"/>
  <c r="AR10" i="38" s="1"/>
  <c r="FM21" i="1"/>
  <c r="AL19" i="38" s="1"/>
  <c r="FM104" i="1"/>
  <c r="AL102" i="38" s="1"/>
  <c r="FM146" i="1"/>
  <c r="AL144" i="38" s="1"/>
  <c r="FM136" i="1"/>
  <c r="AL134" i="38" s="1"/>
  <c r="FM72" i="1"/>
  <c r="AL70" i="38" s="1"/>
  <c r="FM125" i="1"/>
  <c r="AL123" i="38" s="1"/>
  <c r="FM93" i="1"/>
  <c r="AL91" i="38" s="1"/>
  <c r="FM33" i="1"/>
  <c r="AL31" i="38" s="1"/>
  <c r="EN281" i="1"/>
  <c r="BN46" i="5" s="1"/>
  <c r="FM58" i="1"/>
  <c r="AL56" i="38" s="1"/>
  <c r="FM74" i="1"/>
  <c r="AL72" i="38" s="1"/>
  <c r="FM134" i="1"/>
  <c r="AL132" i="38" s="1"/>
  <c r="FM92" i="1"/>
  <c r="AL90" i="38" s="1"/>
  <c r="FM31" i="1"/>
  <c r="AL29" i="38" s="1"/>
  <c r="FM135" i="1"/>
  <c r="AL133" i="38" s="1"/>
  <c r="FM103" i="1"/>
  <c r="AL101" i="38" s="1"/>
  <c r="FM71" i="1"/>
  <c r="AL69" i="38" s="1"/>
  <c r="FM53" i="1"/>
  <c r="AL51" i="38" s="1"/>
  <c r="FM5" i="1"/>
  <c r="AL3" i="38" s="1"/>
  <c r="AR3" i="38" s="1"/>
  <c r="FM36" i="1"/>
  <c r="AL34" i="38" s="1"/>
  <c r="FM130" i="1"/>
  <c r="AL128" i="38" s="1"/>
  <c r="FM112" i="1"/>
  <c r="AL110" i="38" s="1"/>
  <c r="FM145" i="1"/>
  <c r="AL143" i="38" s="1"/>
  <c r="FM113" i="1"/>
  <c r="AL111" i="38" s="1"/>
  <c r="FM81" i="1"/>
  <c r="AL79" i="38" s="1"/>
  <c r="FM46" i="1"/>
  <c r="AL44" i="38" s="1"/>
  <c r="FM7" i="1"/>
  <c r="AL5" i="38" s="1"/>
  <c r="FM82" i="1"/>
  <c r="AL80" i="38" s="1"/>
  <c r="FM59" i="1"/>
  <c r="AL57" i="38" s="1"/>
  <c r="FM86" i="1"/>
  <c r="AL84" i="38" s="1"/>
  <c r="FM18" i="1"/>
  <c r="AL16" i="38" s="1"/>
  <c r="FM132" i="1"/>
  <c r="AL130" i="38" s="1"/>
  <c r="FM68" i="1"/>
  <c r="AL66" i="38" s="1"/>
  <c r="FM123" i="1"/>
  <c r="AL121" i="38" s="1"/>
  <c r="FM91" i="1"/>
  <c r="AL89" i="38" s="1"/>
  <c r="FM29" i="1"/>
  <c r="AL27" i="38" s="1"/>
  <c r="FM56" i="1"/>
  <c r="AL54" i="38" s="1"/>
  <c r="FM24" i="1"/>
  <c r="AL22" i="38" s="1"/>
  <c r="FM9" i="1"/>
  <c r="AL7" i="38" s="1"/>
  <c r="FM152" i="1"/>
  <c r="AL150" i="38" s="1"/>
  <c r="FM88" i="1"/>
  <c r="AL86" i="38" s="1"/>
  <c r="FM23" i="1"/>
  <c r="AL21" i="38" s="1"/>
  <c r="FM133" i="1"/>
  <c r="AL131" i="38" s="1"/>
  <c r="FM101" i="1"/>
  <c r="AL99" i="38" s="1"/>
  <c r="FM69" i="1"/>
  <c r="AL67" i="38" s="1"/>
  <c r="FM49" i="1"/>
  <c r="AL47" i="38" s="1"/>
  <c r="FM66" i="1"/>
  <c r="AL64" i="38" s="1"/>
  <c r="FM34" i="1"/>
  <c r="AL32" i="38" s="1"/>
  <c r="FM6" i="1"/>
  <c r="AL4" i="38" s="1"/>
  <c r="FM138" i="1"/>
  <c r="AL136" i="38" s="1"/>
  <c r="FM108" i="1"/>
  <c r="AL106" i="38" s="1"/>
  <c r="FM63" i="1"/>
  <c r="AL61" i="38" s="1"/>
  <c r="FM143" i="1"/>
  <c r="AL141" i="38" s="1"/>
  <c r="FM111" i="1"/>
  <c r="AL109" i="38" s="1"/>
  <c r="FM79" i="1"/>
  <c r="AL77" i="38" s="1"/>
  <c r="FM44" i="1"/>
  <c r="AL42" i="38" s="1"/>
  <c r="FM27" i="1"/>
  <c r="AL25" i="38" s="1"/>
  <c r="FM78" i="1"/>
  <c r="AL76" i="38" s="1"/>
  <c r="FM128" i="1"/>
  <c r="AL126" i="38" s="1"/>
  <c r="FM153" i="1"/>
  <c r="AL151" i="38" s="1"/>
  <c r="FM121" i="1"/>
  <c r="AL119" i="38" s="1"/>
  <c r="FM89" i="1"/>
  <c r="AL87" i="38" s="1"/>
  <c r="FM25" i="1"/>
  <c r="AL23" i="38" s="1"/>
  <c r="FM54" i="1"/>
  <c r="AL52" i="38" s="1"/>
  <c r="FM22" i="1"/>
  <c r="AL20" i="38" s="1"/>
  <c r="FM118" i="1"/>
  <c r="AL116" i="38" s="1"/>
  <c r="FM148" i="1"/>
  <c r="AL146" i="38" s="1"/>
  <c r="FM84" i="1"/>
  <c r="AL82" i="38" s="1"/>
  <c r="FM10" i="1"/>
  <c r="AL8" i="38" s="1"/>
  <c r="FM131" i="1"/>
  <c r="AL129" i="38" s="1"/>
  <c r="FM99" i="1"/>
  <c r="AL97" i="38" s="1"/>
  <c r="FM45" i="1"/>
  <c r="AL43" i="38" s="1"/>
  <c r="FM64" i="1"/>
  <c r="AL62" i="38" s="1"/>
  <c r="FM32" i="1"/>
  <c r="AL30" i="38" s="1"/>
  <c r="FM11" i="1"/>
  <c r="AL9" i="38" s="1"/>
  <c r="FM13" i="1"/>
  <c r="AL11" i="38" s="1"/>
  <c r="AR11" i="38" s="1"/>
  <c r="FM70" i="1"/>
  <c r="AL68" i="38" s="1"/>
  <c r="FM124" i="1"/>
  <c r="AL122" i="38" s="1"/>
  <c r="FM52" i="1"/>
  <c r="AL50" i="38" s="1"/>
  <c r="FM19" i="1"/>
  <c r="AL17" i="38" s="1"/>
  <c r="FM43" i="1"/>
  <c r="AL41" i="38" s="1"/>
  <c r="FM144" i="1"/>
  <c r="AL142" i="38" s="1"/>
  <c r="FM129" i="1"/>
  <c r="AL127" i="38" s="1"/>
  <c r="FM97" i="1"/>
  <c r="AL95" i="38" s="1"/>
  <c r="FM41" i="1"/>
  <c r="AL39" i="38" s="1"/>
  <c r="FM62" i="1"/>
  <c r="AL60" i="38" s="1"/>
  <c r="FM30" i="1"/>
  <c r="AL28" i="38" s="1"/>
  <c r="FM106" i="1"/>
  <c r="AL104" i="38" s="1"/>
  <c r="FM150" i="1"/>
  <c r="AL148" i="38" s="1"/>
  <c r="FM100" i="1"/>
  <c r="AL98" i="38" s="1"/>
  <c r="FM47" i="1"/>
  <c r="AL45" i="38" s="1"/>
  <c r="FM139" i="1"/>
  <c r="AL137" i="38" s="1"/>
  <c r="FM107" i="1"/>
  <c r="AL105" i="38" s="1"/>
  <c r="FM75" i="1"/>
  <c r="AL73" i="38" s="1"/>
  <c r="FM61" i="1"/>
  <c r="AL59" i="38" s="1"/>
  <c r="FM40" i="1"/>
  <c r="AL38" i="38" s="1"/>
  <c r="FM14" i="1"/>
  <c r="AL12" i="38" s="1"/>
  <c r="ER280" i="1"/>
  <c r="BR13" i="5" s="1"/>
  <c r="EK262" i="1"/>
  <c r="BK10" i="5" s="1"/>
  <c r="EK259" i="1"/>
  <c r="BK9" i="5" s="1"/>
  <c r="EK284" i="1"/>
  <c r="EZ284" i="1" s="1"/>
  <c r="R45" i="24" s="1"/>
  <c r="EK265" i="1"/>
  <c r="BK11" i="5" s="1"/>
  <c r="EQ257" i="1"/>
  <c r="BQ41" i="5" s="1"/>
  <c r="EM281" i="1"/>
  <c r="EU280" i="1"/>
  <c r="BU13" i="5" s="1"/>
  <c r="BX67" i="5"/>
  <c r="M30" i="27" s="1"/>
  <c r="AY13" i="5"/>
  <c r="ES281" i="1"/>
  <c r="EN257" i="1"/>
  <c r="BN41" i="5" s="1"/>
  <c r="EM280" i="1"/>
  <c r="BM13" i="5" s="1"/>
  <c r="EV280" i="1"/>
  <c r="BV13" i="5" s="1"/>
  <c r="EK281" i="1"/>
  <c r="ES257" i="1"/>
  <c r="BS41" i="5" s="1"/>
  <c r="EO280" i="1"/>
  <c r="BO13" i="5" s="1"/>
  <c r="EU257" i="1"/>
  <c r="BU41" i="5" s="1"/>
  <c r="EL281" i="1"/>
  <c r="ET280" i="1"/>
  <c r="BT13" i="5" s="1"/>
  <c r="EP280" i="1"/>
  <c r="BP13" i="5" s="1"/>
  <c r="ET257" i="1"/>
  <c r="BT41" i="5" s="1"/>
  <c r="ER281" i="1"/>
  <c r="ET281" i="1"/>
  <c r="EP281" i="1"/>
  <c r="EQ280" i="1"/>
  <c r="BQ13" i="5" s="1"/>
  <c r="EM257" i="1"/>
  <c r="BM41" i="5" s="1"/>
  <c r="EN280" i="1"/>
  <c r="BN13" i="5" s="1"/>
  <c r="EV281" i="1"/>
  <c r="ES280" i="1"/>
  <c r="BS13" i="5" s="1"/>
  <c r="EK280" i="1"/>
  <c r="BK13" i="5" s="1"/>
  <c r="EO257" i="1"/>
  <c r="BO41" i="5" s="1"/>
  <c r="EO281" i="1"/>
  <c r="EQ281" i="1"/>
  <c r="BQ46" i="5" s="1"/>
  <c r="EU281" i="1"/>
  <c r="BU46" i="5" s="1"/>
  <c r="EL280" i="1"/>
  <c r="BL13" i="5" s="1"/>
  <c r="EP257" i="1"/>
  <c r="BP41" i="5" s="1"/>
  <c r="EL257" i="1"/>
  <c r="BL41" i="5" s="1"/>
  <c r="M20" i="27"/>
  <c r="S20" i="27" s="1"/>
  <c r="BX35" i="5"/>
  <c r="M23" i="27" s="1"/>
  <c r="EW59" i="1"/>
  <c r="EW129" i="1"/>
  <c r="EW60" i="1"/>
  <c r="EW68" i="1"/>
  <c r="EW54" i="1"/>
  <c r="EW107" i="1"/>
  <c r="EW37" i="1"/>
  <c r="EW21" i="1"/>
  <c r="EW98" i="1"/>
  <c r="EW122" i="1"/>
  <c r="EW55" i="1"/>
  <c r="EW141" i="1"/>
  <c r="EW109" i="1"/>
  <c r="EW77" i="1"/>
  <c r="EW65" i="1"/>
  <c r="EW42" i="1"/>
  <c r="EW20" i="1"/>
  <c r="EW138" i="1"/>
  <c r="EW74" i="1"/>
  <c r="EW43" i="1"/>
  <c r="EW110" i="1"/>
  <c r="EW67" i="1"/>
  <c r="EW80" i="1"/>
  <c r="EW126" i="1"/>
  <c r="EW27" i="1"/>
  <c r="EW47" i="1"/>
  <c r="EW147" i="1"/>
  <c r="EW14" i="1"/>
  <c r="EW6" i="1"/>
  <c r="EW94" i="1"/>
  <c r="EW35" i="1"/>
  <c r="EW83" i="1"/>
  <c r="EW112" i="1"/>
  <c r="EW81" i="1"/>
  <c r="EW132" i="1"/>
  <c r="EW28" i="1"/>
  <c r="EW70" i="1"/>
  <c r="EW124" i="1"/>
  <c r="EW151" i="1"/>
  <c r="EW62" i="1"/>
  <c r="EW30" i="1"/>
  <c r="EW150" i="1"/>
  <c r="EW139" i="1"/>
  <c r="EW75" i="1"/>
  <c r="EW61" i="1"/>
  <c r="EW40" i="1"/>
  <c r="EW254" i="1"/>
  <c r="EW7" i="1"/>
  <c r="EW120" i="1"/>
  <c r="EW149" i="1"/>
  <c r="EW117" i="1"/>
  <c r="EW106" i="1"/>
  <c r="EW95" i="1"/>
  <c r="EW85" i="1"/>
  <c r="EW38" i="1"/>
  <c r="EW50" i="1"/>
  <c r="EW17" i="1"/>
  <c r="EW114" i="1"/>
  <c r="EW102" i="1"/>
  <c r="EW51" i="1"/>
  <c r="EW140" i="1"/>
  <c r="EW76" i="1"/>
  <c r="EW127" i="1"/>
  <c r="EV257" i="1"/>
  <c r="BV41" i="5" s="1"/>
  <c r="EW90" i="1"/>
  <c r="EW142" i="1"/>
  <c r="EW96" i="1"/>
  <c r="EW39" i="1"/>
  <c r="EW137" i="1"/>
  <c r="EW105" i="1"/>
  <c r="EW73" i="1"/>
  <c r="EW57" i="1"/>
  <c r="EW116" i="1"/>
  <c r="EW115" i="1"/>
  <c r="EW48" i="1"/>
  <c r="EW15" i="1"/>
  <c r="EW104" i="1"/>
  <c r="EW87" i="1"/>
  <c r="EW52" i="1"/>
  <c r="EW19" i="1"/>
  <c r="EW144" i="1"/>
  <c r="EW97" i="1"/>
  <c r="EW41" i="1"/>
  <c r="EW146" i="1"/>
  <c r="EW136" i="1"/>
  <c r="EW72" i="1"/>
  <c r="EW125" i="1"/>
  <c r="EW93" i="1"/>
  <c r="EW33" i="1"/>
  <c r="EW58" i="1"/>
  <c r="EW26" i="1"/>
  <c r="EW134" i="1"/>
  <c r="EW92" i="1"/>
  <c r="EW31" i="1"/>
  <c r="EW135" i="1"/>
  <c r="EW103" i="1"/>
  <c r="EW71" i="1"/>
  <c r="EW5" i="1"/>
  <c r="EW36" i="1"/>
  <c r="EW130" i="1"/>
  <c r="EW145" i="1"/>
  <c r="EW113" i="1"/>
  <c r="EW46" i="1"/>
  <c r="EW82" i="1"/>
  <c r="EW86" i="1"/>
  <c r="EW18" i="1"/>
  <c r="EW123" i="1"/>
  <c r="EW91" i="1"/>
  <c r="EW29" i="1"/>
  <c r="EW56" i="1"/>
  <c r="EW24" i="1"/>
  <c r="EW9" i="1"/>
  <c r="EW12" i="1"/>
  <c r="EW53" i="1"/>
  <c r="EW152" i="1"/>
  <c r="EW88" i="1"/>
  <c r="EW23" i="1"/>
  <c r="EW119" i="1"/>
  <c r="EW44" i="1"/>
  <c r="EW133" i="1"/>
  <c r="EW101" i="1"/>
  <c r="EW69" i="1"/>
  <c r="EW49" i="1"/>
  <c r="EW66" i="1"/>
  <c r="EW34" i="1"/>
  <c r="EW108" i="1"/>
  <c r="EW63" i="1"/>
  <c r="EW143" i="1"/>
  <c r="EW111" i="1"/>
  <c r="EW100" i="1"/>
  <c r="EW79" i="1"/>
  <c r="EW78" i="1"/>
  <c r="EW128" i="1"/>
  <c r="EW153" i="1"/>
  <c r="EW121" i="1"/>
  <c r="EW89" i="1"/>
  <c r="EW25" i="1"/>
  <c r="EW118" i="1"/>
  <c r="EW148" i="1"/>
  <c r="EW84" i="1"/>
  <c r="EW10" i="1"/>
  <c r="EW131" i="1"/>
  <c r="EW99" i="1"/>
  <c r="EW45" i="1"/>
  <c r="EW64" i="1"/>
  <c r="EW32" i="1"/>
  <c r="EW11" i="1"/>
  <c r="EW13" i="1"/>
  <c r="AY46" i="5"/>
  <c r="EU256" i="1"/>
  <c r="EN256" i="1"/>
  <c r="EQ256" i="1"/>
  <c r="BS44" i="5"/>
  <c r="BW44" i="5" s="1"/>
  <c r="EW266" i="1"/>
  <c r="EZ266" i="1"/>
  <c r="EV256" i="1"/>
  <c r="EW8" i="1"/>
  <c r="BI8" i="5"/>
  <c r="BI80" i="5" s="1"/>
  <c r="EI292" i="1"/>
  <c r="EI294" i="1" s="1"/>
  <c r="EK260" i="1"/>
  <c r="BK42" i="5" s="1"/>
  <c r="EK257" i="1"/>
  <c r="BK41" i="5" s="1"/>
  <c r="ER260" i="1"/>
  <c r="BR42" i="5" s="1"/>
  <c r="ER257" i="1"/>
  <c r="BR41" i="5" s="1"/>
  <c r="AY11" i="5"/>
  <c r="EF292" i="1"/>
  <c r="EF294" i="1" s="1"/>
  <c r="BF8" i="5"/>
  <c r="BF80" i="5" s="1"/>
  <c r="AY8" i="5"/>
  <c r="DY292" i="1"/>
  <c r="DY294" i="1" s="1"/>
  <c r="EB292" i="1"/>
  <c r="EB294" i="1" s="1"/>
  <c r="BB8" i="5"/>
  <c r="BB80" i="5" s="1"/>
  <c r="BD8" i="5"/>
  <c r="BD80" i="5" s="1"/>
  <c r="ED292" i="1"/>
  <c r="ED294" i="1" s="1"/>
  <c r="BH8" i="5"/>
  <c r="BH80" i="5" s="1"/>
  <c r="EH292" i="1"/>
  <c r="EH294" i="1" s="1"/>
  <c r="AY9" i="5"/>
  <c r="EW22" i="1"/>
  <c r="AY10" i="5"/>
  <c r="ER256" i="1"/>
  <c r="ET256" i="1"/>
  <c r="EK256" i="1"/>
  <c r="EP256" i="1"/>
  <c r="ES256" i="1"/>
  <c r="EL256" i="1"/>
  <c r="EO256" i="1"/>
  <c r="EW16" i="1"/>
  <c r="EJ292" i="1"/>
  <c r="EJ294" i="1" s="1"/>
  <c r="BJ8" i="5"/>
  <c r="BJ80" i="5" s="1"/>
  <c r="BE42" i="5"/>
  <c r="EE292" i="1"/>
  <c r="EE294" i="1" s="1"/>
  <c r="BE8" i="5"/>
  <c r="BE80" i="5" s="1"/>
  <c r="EG292" i="1"/>
  <c r="EG294" i="1" s="1"/>
  <c r="BG8" i="5"/>
  <c r="BG80" i="5" s="1"/>
  <c r="EC292" i="1"/>
  <c r="EC294" i="1" s="1"/>
  <c r="BC8" i="5"/>
  <c r="BC80" i="5" s="1"/>
  <c r="EM256" i="1"/>
  <c r="AY41" i="5"/>
  <c r="EA292" i="1"/>
  <c r="EA294" i="1" s="1"/>
  <c r="BA8" i="5"/>
  <c r="BA80" i="5" s="1"/>
  <c r="DZ292" i="1"/>
  <c r="DZ294" i="1" s="1"/>
  <c r="AZ8" i="5"/>
  <c r="AZ80" i="5" s="1"/>
  <c r="S50" i="27"/>
  <c r="S22" i="27"/>
  <c r="S26" i="27"/>
  <c r="K80" i="5"/>
  <c r="BL46" i="5" l="1"/>
  <c r="BT46" i="5"/>
  <c r="BR46" i="5"/>
  <c r="BS46" i="5"/>
  <c r="EZ275" i="1"/>
  <c r="R42" i="24" s="1"/>
  <c r="EZ278" i="1"/>
  <c r="R43" i="24" s="1"/>
  <c r="BV46" i="5"/>
  <c r="BP46" i="5"/>
  <c r="EW275" i="1"/>
  <c r="EW278" i="1"/>
  <c r="BM46" i="5"/>
  <c r="FN212" i="1"/>
  <c r="FN182" i="1"/>
  <c r="FN204" i="1"/>
  <c r="FN159" i="1"/>
  <c r="AR217" i="38"/>
  <c r="FN223" i="1"/>
  <c r="AR179" i="38"/>
  <c r="FN210" i="1"/>
  <c r="FN250" i="1"/>
  <c r="AR221" i="38"/>
  <c r="FN183" i="1"/>
  <c r="AR248" i="38"/>
  <c r="FN248" i="1"/>
  <c r="FN186" i="1"/>
  <c r="FN188" i="1"/>
  <c r="FN167" i="1"/>
  <c r="FN236" i="1"/>
  <c r="AR225" i="38"/>
  <c r="AR205" i="38"/>
  <c r="FN168" i="1"/>
  <c r="AR201" i="38"/>
  <c r="FN194" i="1"/>
  <c r="FN229" i="1"/>
  <c r="FN235" i="1"/>
  <c r="FN157" i="1"/>
  <c r="FN170" i="1"/>
  <c r="FN234" i="1"/>
  <c r="AR233" i="38"/>
  <c r="FN239" i="1"/>
  <c r="AR161" i="38"/>
  <c r="FN214" i="1"/>
  <c r="FN197" i="1"/>
  <c r="FN221" i="1"/>
  <c r="FN198" i="1"/>
  <c r="FN249" i="1"/>
  <c r="AR195" i="38"/>
  <c r="AR196" i="38"/>
  <c r="AR159" i="38"/>
  <c r="FN192" i="1"/>
  <c r="FN160" i="1"/>
  <c r="FN202" i="1"/>
  <c r="FN251" i="1"/>
  <c r="FN238" i="1"/>
  <c r="AR158" i="38"/>
  <c r="EW293" i="1"/>
  <c r="FN189" i="1"/>
  <c r="AR200" i="38"/>
  <c r="FN206" i="1"/>
  <c r="FN207" i="1"/>
  <c r="FN226" i="1"/>
  <c r="AL250" i="38"/>
  <c r="AR250" i="38" s="1"/>
  <c r="FN252" i="1"/>
  <c r="FN179" i="1"/>
  <c r="FN163" i="1"/>
  <c r="AL235" i="38"/>
  <c r="AR235" i="38" s="1"/>
  <c r="FN237" i="1"/>
  <c r="AR222" i="38"/>
  <c r="AR215" i="38"/>
  <c r="FN246" i="1"/>
  <c r="AR220" i="38"/>
  <c r="FN161" i="1"/>
  <c r="FN219" i="1"/>
  <c r="AR177" i="38"/>
  <c r="AL207" i="38"/>
  <c r="AR207" i="38" s="1"/>
  <c r="FN209" i="1"/>
  <c r="AR244" i="38"/>
  <c r="FN155" i="1"/>
  <c r="FN158" i="1"/>
  <c r="AR190" i="38"/>
  <c r="AL231" i="38"/>
  <c r="AR231" i="38" s="1"/>
  <c r="FN233" i="1"/>
  <c r="AL154" i="38"/>
  <c r="AR154" i="38" s="1"/>
  <c r="FN156" i="1"/>
  <c r="AL218" i="38"/>
  <c r="AR218" i="38" s="1"/>
  <c r="FN220" i="1"/>
  <c r="AR153" i="38"/>
  <c r="FN193" i="1"/>
  <c r="AR156" i="38"/>
  <c r="AL214" i="38"/>
  <c r="AR214" i="38" s="1"/>
  <c r="FN216" i="1"/>
  <c r="AL170" i="38"/>
  <c r="AR170" i="38" s="1"/>
  <c r="FN172" i="1"/>
  <c r="AL226" i="38"/>
  <c r="AR226" i="38" s="1"/>
  <c r="FN228" i="1"/>
  <c r="FN187" i="1"/>
  <c r="FN231" i="1"/>
  <c r="AR168" i="38"/>
  <c r="AR191" i="38"/>
  <c r="AL167" i="38"/>
  <c r="AR167" i="38" s="1"/>
  <c r="FN169" i="1"/>
  <c r="AR234" i="38"/>
  <c r="FN215" i="1"/>
  <c r="FN230" i="1"/>
  <c r="AL251" i="38"/>
  <c r="AR251" i="38" s="1"/>
  <c r="FN253" i="1"/>
  <c r="AL182" i="38"/>
  <c r="AR182" i="38" s="1"/>
  <c r="FN184" i="1"/>
  <c r="AL242" i="38"/>
  <c r="AR242" i="38" s="1"/>
  <c r="FN244" i="1"/>
  <c r="FN247" i="1"/>
  <c r="AL174" i="38"/>
  <c r="AR174" i="38" s="1"/>
  <c r="FN176" i="1"/>
  <c r="AL203" i="38"/>
  <c r="AR203" i="38" s="1"/>
  <c r="FN205" i="1"/>
  <c r="AR229" i="38"/>
  <c r="AL188" i="38"/>
  <c r="AR188" i="38" s="1"/>
  <c r="FN190" i="1"/>
  <c r="FN245" i="1"/>
  <c r="FN171" i="1"/>
  <c r="FN240" i="1"/>
  <c r="AR219" i="38"/>
  <c r="AL209" i="38"/>
  <c r="AR209" i="38" s="1"/>
  <c r="FN211" i="1"/>
  <c r="FN162" i="1"/>
  <c r="AR213" i="38"/>
  <c r="AL164" i="38"/>
  <c r="AR164" i="38" s="1"/>
  <c r="FN166" i="1"/>
  <c r="FN191" i="1"/>
  <c r="FN196" i="1"/>
  <c r="AR247" i="38"/>
  <c r="AL163" i="38"/>
  <c r="AR163" i="38" s="1"/>
  <c r="FN165" i="1"/>
  <c r="AR245" i="38"/>
  <c r="FN242" i="1"/>
  <c r="FN175" i="1"/>
  <c r="AL162" i="38"/>
  <c r="AR162" i="38" s="1"/>
  <c r="FN164" i="1"/>
  <c r="AL175" i="38"/>
  <c r="AR175" i="38" s="1"/>
  <c r="FN177" i="1"/>
  <c r="AR169" i="38"/>
  <c r="AR238" i="38"/>
  <c r="AL193" i="38"/>
  <c r="AR193" i="38" s="1"/>
  <c r="FN195" i="1"/>
  <c r="FN208" i="1"/>
  <c r="AR160" i="38"/>
  <c r="FN185" i="1"/>
  <c r="FN174" i="1"/>
  <c r="AR194" i="38"/>
  <c r="FN154" i="1"/>
  <c r="FN232" i="1"/>
  <c r="FN241" i="1"/>
  <c r="AR240" i="38"/>
  <c r="AR173" i="38"/>
  <c r="AL171" i="38"/>
  <c r="AR171" i="38" s="1"/>
  <c r="FN173" i="1"/>
  <c r="AL178" i="38"/>
  <c r="AR178" i="38" s="1"/>
  <c r="FN180" i="1"/>
  <c r="FN224" i="1"/>
  <c r="AR206" i="38"/>
  <c r="AL241" i="38"/>
  <c r="AR241" i="38" s="1"/>
  <c r="FN243" i="1"/>
  <c r="FN217" i="1"/>
  <c r="FN227" i="1"/>
  <c r="AR172" i="38"/>
  <c r="FN222" i="1"/>
  <c r="AL211" i="38"/>
  <c r="AR211" i="38" s="1"/>
  <c r="FN213" i="1"/>
  <c r="AR230" i="38"/>
  <c r="AR239" i="38"/>
  <c r="EW284" i="1"/>
  <c r="EX284" i="1" s="1"/>
  <c r="Q110" i="39"/>
  <c r="S30" i="27"/>
  <c r="BW9" i="5"/>
  <c r="FN61" i="1"/>
  <c r="AR59" i="38"/>
  <c r="FN30" i="1"/>
  <c r="AR28" i="38"/>
  <c r="FN11" i="1"/>
  <c r="AR8" i="38"/>
  <c r="FN66" i="1"/>
  <c r="AR64" i="38"/>
  <c r="FN18" i="1"/>
  <c r="AR16" i="38"/>
  <c r="FN57" i="1"/>
  <c r="AR55" i="38"/>
  <c r="FN39" i="1"/>
  <c r="AR37" i="38"/>
  <c r="FN35" i="1"/>
  <c r="AR33" i="38"/>
  <c r="FN32" i="1"/>
  <c r="AR30" i="38"/>
  <c r="FN23" i="1"/>
  <c r="AR21" i="38"/>
  <c r="FN46" i="1"/>
  <c r="AR44" i="38"/>
  <c r="FN31" i="1"/>
  <c r="AR29" i="38"/>
  <c r="FN48" i="1"/>
  <c r="AR46" i="38"/>
  <c r="FN60" i="1"/>
  <c r="AR58" i="38"/>
  <c r="FN41" i="1"/>
  <c r="AR39" i="38"/>
  <c r="FN70" i="1"/>
  <c r="AR68" i="38"/>
  <c r="FN10" i="1"/>
  <c r="FN27" i="1"/>
  <c r="AR25" i="38"/>
  <c r="FN69" i="1"/>
  <c r="AR67" i="38"/>
  <c r="FN68" i="1"/>
  <c r="AR66" i="38"/>
  <c r="FN72" i="1"/>
  <c r="AR70" i="38"/>
  <c r="FN17" i="1"/>
  <c r="AR15" i="38"/>
  <c r="FN47" i="1"/>
  <c r="AR45" i="38"/>
  <c r="FN52" i="1"/>
  <c r="AR50" i="38"/>
  <c r="FN25" i="1"/>
  <c r="AR23" i="38"/>
  <c r="FN9" i="1"/>
  <c r="AR7" i="38"/>
  <c r="FN7" i="1"/>
  <c r="AR5" i="38"/>
  <c r="FN74" i="1"/>
  <c r="AR72" i="38"/>
  <c r="FN15" i="1"/>
  <c r="AR13" i="38"/>
  <c r="FN28" i="1"/>
  <c r="AR26" i="38"/>
  <c r="FN16" i="1"/>
  <c r="AR14" i="38"/>
  <c r="FN62" i="1"/>
  <c r="AR60" i="38"/>
  <c r="FN49" i="1"/>
  <c r="AR47" i="38"/>
  <c r="FN24" i="1"/>
  <c r="AR22" i="38"/>
  <c r="FN53" i="1"/>
  <c r="AR51" i="38"/>
  <c r="FN58" i="1"/>
  <c r="AR56" i="38"/>
  <c r="FN73" i="1"/>
  <c r="AR71" i="38"/>
  <c r="FN67" i="1"/>
  <c r="AR65" i="38"/>
  <c r="FN14" i="1"/>
  <c r="AR12" i="38"/>
  <c r="FN43" i="1"/>
  <c r="AR41" i="38"/>
  <c r="FN64" i="1"/>
  <c r="AR62" i="38"/>
  <c r="FN22" i="1"/>
  <c r="AR20" i="38"/>
  <c r="FN6" i="1"/>
  <c r="AR4" i="38"/>
  <c r="FN56" i="1"/>
  <c r="AR54" i="38"/>
  <c r="FN59" i="1"/>
  <c r="AR57" i="38"/>
  <c r="FN71" i="1"/>
  <c r="AR69" i="38"/>
  <c r="FN21" i="1"/>
  <c r="AR19" i="38"/>
  <c r="FN8" i="1"/>
  <c r="AR6" i="38"/>
  <c r="FN37" i="1"/>
  <c r="AR35" i="38"/>
  <c r="FN42" i="1"/>
  <c r="AR40" i="38"/>
  <c r="FN20" i="1"/>
  <c r="AR18" i="38"/>
  <c r="FN40" i="1"/>
  <c r="AR38" i="38"/>
  <c r="FN19" i="1"/>
  <c r="AR17" i="38"/>
  <c r="FN13" i="1"/>
  <c r="FN45" i="1"/>
  <c r="AR43" i="38"/>
  <c r="FN54" i="1"/>
  <c r="AR52" i="38"/>
  <c r="FN44" i="1"/>
  <c r="AR42" i="38"/>
  <c r="FN63" i="1"/>
  <c r="AR61" i="38"/>
  <c r="FN34" i="1"/>
  <c r="AR32" i="38"/>
  <c r="FN29" i="1"/>
  <c r="AR27" i="38"/>
  <c r="FN36" i="1"/>
  <c r="AR34" i="38"/>
  <c r="FN33" i="1"/>
  <c r="AR31" i="38"/>
  <c r="FN12" i="1"/>
  <c r="AR9" i="38"/>
  <c r="FN38" i="1"/>
  <c r="AR36" i="38"/>
  <c r="FN51" i="1"/>
  <c r="AR49" i="38"/>
  <c r="FN50" i="1"/>
  <c r="AR48" i="38"/>
  <c r="FN65" i="1"/>
  <c r="AR63" i="38"/>
  <c r="FN55" i="1"/>
  <c r="AR53" i="38"/>
  <c r="FN26" i="1"/>
  <c r="AR24" i="38"/>
  <c r="FN124" i="1"/>
  <c r="AR122" i="38"/>
  <c r="FN89" i="1"/>
  <c r="AR87" i="38"/>
  <c r="FN111" i="1"/>
  <c r="AR109" i="38"/>
  <c r="FN86" i="1"/>
  <c r="AR84" i="38"/>
  <c r="FN147" i="1"/>
  <c r="AR145" i="38"/>
  <c r="FN114" i="1"/>
  <c r="AR112" i="38"/>
  <c r="FN110" i="1"/>
  <c r="AR108" i="38"/>
  <c r="FN94" i="1"/>
  <c r="AR92" i="38"/>
  <c r="FN88" i="1"/>
  <c r="AR86" i="38"/>
  <c r="FN92" i="1"/>
  <c r="AR90" i="38"/>
  <c r="FN142" i="1"/>
  <c r="AR140" i="38"/>
  <c r="FN140" i="1"/>
  <c r="AR138" i="38"/>
  <c r="FN119" i="1"/>
  <c r="AR117" i="38"/>
  <c r="FN141" i="1"/>
  <c r="AR139" i="38"/>
  <c r="FN144" i="1"/>
  <c r="AR142" i="38"/>
  <c r="FN131" i="1"/>
  <c r="AR129" i="38"/>
  <c r="FN78" i="1"/>
  <c r="AR76" i="38"/>
  <c r="FN123" i="1"/>
  <c r="AR121" i="38"/>
  <c r="FN125" i="1"/>
  <c r="AR123" i="38"/>
  <c r="FN76" i="1"/>
  <c r="AR74" i="38"/>
  <c r="FN85" i="1"/>
  <c r="AR83" i="38"/>
  <c r="FN98" i="1"/>
  <c r="AR96" i="38"/>
  <c r="FN150" i="1"/>
  <c r="AR148" i="38"/>
  <c r="FN121" i="1"/>
  <c r="AR119" i="38"/>
  <c r="FN130" i="1"/>
  <c r="AR128" i="38"/>
  <c r="FN105" i="1"/>
  <c r="AR103" i="38"/>
  <c r="FN139" i="1"/>
  <c r="AR137" i="38"/>
  <c r="FN106" i="1"/>
  <c r="AR104" i="38"/>
  <c r="FN97" i="1"/>
  <c r="AR95" i="38"/>
  <c r="FN84" i="1"/>
  <c r="AR82" i="38"/>
  <c r="FN153" i="1"/>
  <c r="AR151" i="38"/>
  <c r="FN101" i="1"/>
  <c r="AR99" i="38"/>
  <c r="FN152" i="1"/>
  <c r="AR150" i="38"/>
  <c r="FN132" i="1"/>
  <c r="AR130" i="38"/>
  <c r="FN82" i="1"/>
  <c r="AR80" i="38"/>
  <c r="FN113" i="1"/>
  <c r="AR111" i="38"/>
  <c r="FN103" i="1"/>
  <c r="AR101" i="38"/>
  <c r="FN134" i="1"/>
  <c r="AR132" i="38"/>
  <c r="FN136" i="1"/>
  <c r="AR134" i="38"/>
  <c r="FN83" i="1"/>
  <c r="AR81" i="38"/>
  <c r="FN137" i="1"/>
  <c r="AR135" i="38"/>
  <c r="FN90" i="1"/>
  <c r="AR88" i="38"/>
  <c r="FN95" i="1"/>
  <c r="AR93" i="38"/>
  <c r="FN149" i="1"/>
  <c r="AR147" i="38"/>
  <c r="FN151" i="1"/>
  <c r="AR149" i="38"/>
  <c r="FN122" i="1"/>
  <c r="AR120" i="38"/>
  <c r="FN100" i="1"/>
  <c r="AR98" i="38"/>
  <c r="FN118" i="1"/>
  <c r="AR116" i="38"/>
  <c r="FN138" i="1"/>
  <c r="AR136" i="38"/>
  <c r="FN112" i="1"/>
  <c r="AR110" i="38"/>
  <c r="FN104" i="1"/>
  <c r="AR102" i="38"/>
  <c r="FN96" i="1"/>
  <c r="AR94" i="38"/>
  <c r="FN87" i="1"/>
  <c r="AR85" i="38"/>
  <c r="FN109" i="1"/>
  <c r="AR107" i="38"/>
  <c r="FN107" i="1"/>
  <c r="AR105" i="38"/>
  <c r="FN143" i="1"/>
  <c r="AR141" i="38"/>
  <c r="FN81" i="1"/>
  <c r="AR79" i="38"/>
  <c r="FN116" i="1"/>
  <c r="AR114" i="38"/>
  <c r="FN117" i="1"/>
  <c r="AR115" i="38"/>
  <c r="FN129" i="1"/>
  <c r="AR127" i="38"/>
  <c r="FN99" i="1"/>
  <c r="AR97" i="38"/>
  <c r="FN148" i="1"/>
  <c r="AR146" i="38"/>
  <c r="FN128" i="1"/>
  <c r="AR126" i="38"/>
  <c r="FN79" i="1"/>
  <c r="AR77" i="38"/>
  <c r="FN108" i="1"/>
  <c r="AR106" i="38"/>
  <c r="FN133" i="1"/>
  <c r="AR131" i="38"/>
  <c r="FN91" i="1"/>
  <c r="AR89" i="38"/>
  <c r="FN145" i="1"/>
  <c r="AR143" i="38"/>
  <c r="FN135" i="1"/>
  <c r="AR133" i="38"/>
  <c r="FN93" i="1"/>
  <c r="AR91" i="38"/>
  <c r="FN146" i="1"/>
  <c r="AR144" i="38"/>
  <c r="FN115" i="1"/>
  <c r="AR113" i="38"/>
  <c r="FN127" i="1"/>
  <c r="AR125" i="38"/>
  <c r="FN102" i="1"/>
  <c r="AR100" i="38"/>
  <c r="FN120" i="1"/>
  <c r="AR118" i="38"/>
  <c r="FN80" i="1"/>
  <c r="AR78" i="38"/>
  <c r="FN77" i="1"/>
  <c r="AR75" i="38"/>
  <c r="FN254" i="1"/>
  <c r="FN126" i="1"/>
  <c r="AR124" i="38"/>
  <c r="FN75" i="1"/>
  <c r="AR73" i="38"/>
  <c r="EZ259" i="1"/>
  <c r="EW259" i="1"/>
  <c r="EZ262" i="1"/>
  <c r="R39" i="24" s="1"/>
  <c r="S39" i="24" s="1"/>
  <c r="FM255" i="1"/>
  <c r="FN5" i="1"/>
  <c r="BW10" i="5"/>
  <c r="R14" i="24" s="1"/>
  <c r="S14" i="24" s="1"/>
  <c r="EW262" i="1"/>
  <c r="BK46" i="5"/>
  <c r="EW265" i="1"/>
  <c r="EZ265" i="1"/>
  <c r="R40" i="24" s="1"/>
  <c r="S40" i="24" s="1"/>
  <c r="BW11" i="5"/>
  <c r="R15" i="24" s="1"/>
  <c r="S15" i="24" s="1"/>
  <c r="EZ281" i="1"/>
  <c r="EW281" i="1"/>
  <c r="EZ280" i="1"/>
  <c r="BO46" i="5"/>
  <c r="BW13" i="5"/>
  <c r="EW280" i="1"/>
  <c r="EW260" i="1"/>
  <c r="BW41" i="5"/>
  <c r="EW257" i="1"/>
  <c r="EZ257" i="1"/>
  <c r="EZ260" i="1"/>
  <c r="BW42" i="5"/>
  <c r="EZ256" i="1"/>
  <c r="AY80" i="5"/>
  <c r="EO292" i="1"/>
  <c r="EO294" i="1" s="1"/>
  <c r="BO8" i="5"/>
  <c r="BO80" i="5" s="1"/>
  <c r="ES292" i="1"/>
  <c r="ES294" i="1" s="1"/>
  <c r="BS8" i="5"/>
  <c r="BS80" i="5" s="1"/>
  <c r="EK292" i="1"/>
  <c r="EK294" i="1" s="1"/>
  <c r="BK8" i="5"/>
  <c r="BK80" i="5" s="1"/>
  <c r="ER292" i="1"/>
  <c r="ER294" i="1" s="1"/>
  <c r="BR8" i="5"/>
  <c r="BR80" i="5" s="1"/>
  <c r="EN292" i="1"/>
  <c r="EN294" i="1" s="1"/>
  <c r="BN8" i="5"/>
  <c r="BN80" i="5" s="1"/>
  <c r="BV8" i="5"/>
  <c r="BV80" i="5" s="1"/>
  <c r="EV292" i="1"/>
  <c r="EV294" i="1" s="1"/>
  <c r="EQ292" i="1"/>
  <c r="EQ294" i="1" s="1"/>
  <c r="BQ8" i="5"/>
  <c r="BQ80" i="5" s="1"/>
  <c r="EM292" i="1"/>
  <c r="EM294" i="1" s="1"/>
  <c r="BM8" i="5"/>
  <c r="BM80" i="5" s="1"/>
  <c r="EL292" i="1"/>
  <c r="EL294" i="1" s="1"/>
  <c r="BL8" i="5"/>
  <c r="BL80" i="5" s="1"/>
  <c r="EP292" i="1"/>
  <c r="EP294" i="1" s="1"/>
  <c r="BP8" i="5"/>
  <c r="BP80" i="5" s="1"/>
  <c r="ET292" i="1"/>
  <c r="ET294" i="1" s="1"/>
  <c r="BT8" i="5"/>
  <c r="BT80" i="5" s="1"/>
  <c r="EU292" i="1"/>
  <c r="EU294" i="1" s="1"/>
  <c r="BU8" i="5"/>
  <c r="BU80" i="5" s="1"/>
  <c r="EW256" i="1"/>
  <c r="S23" i="27"/>
  <c r="EX275" i="1" l="1"/>
  <c r="EX278" i="1"/>
  <c r="R13" i="24"/>
  <c r="S13" i="24" s="1"/>
  <c r="FN255" i="1"/>
  <c r="EX281" i="1"/>
  <c r="BW46" i="5"/>
  <c r="EY283" i="1" s="1"/>
  <c r="R44" i="24"/>
  <c r="EX280" i="1"/>
  <c r="EW292" i="1"/>
  <c r="EW294" i="1" s="1"/>
  <c r="R38" i="24"/>
  <c r="S38" i="24" s="1"/>
  <c r="R49" i="24"/>
  <c r="S49" i="24" s="1"/>
  <c r="C15" i="20"/>
  <c r="BW8" i="5"/>
  <c r="R12" i="24" s="1"/>
  <c r="EX292" i="1" l="1"/>
  <c r="CE239" i="11" s="1"/>
  <c r="CF238" i="11" s="1"/>
  <c r="R21" i="24"/>
  <c r="S21" i="24" s="1"/>
  <c r="EY277" i="1"/>
  <c r="EY286" i="1"/>
  <c r="EY289" i="1"/>
  <c r="EY274" i="1"/>
  <c r="EY280" i="1"/>
  <c r="S12" i="24"/>
  <c r="CJ238" i="11" l="1"/>
  <c r="EY292" i="1"/>
  <c r="R22" i="24"/>
  <c r="S22" i="24" s="1"/>
  <c r="BW35" i="5"/>
  <c r="Q46" i="24" l="1"/>
  <c r="S46" i="24" s="1"/>
  <c r="Q43" i="24"/>
  <c r="S43" i="24" s="1"/>
  <c r="Q44" i="24"/>
  <c r="S44" i="24" s="1"/>
  <c r="Q42" i="24"/>
  <c r="S42" i="24" s="1"/>
  <c r="Q47" i="24"/>
  <c r="S47" i="24" s="1"/>
  <c r="Q45" i="24"/>
  <c r="S45" i="24" s="1"/>
  <c r="BW67" i="5"/>
  <c r="R52" i="24" s="1"/>
  <c r="S52" i="24" s="1"/>
  <c r="Q53" i="24" l="1"/>
  <c r="Q54" i="24" s="1"/>
  <c r="R28" i="24"/>
  <c r="S28" i="24" s="1"/>
  <c r="P3" i="5" l="1"/>
  <c r="P68" i="5" s="1"/>
  <c r="P86" i="5" s="1"/>
  <c r="P36" i="5" l="1"/>
  <c r="P85" i="5" s="1"/>
  <c r="P87" i="5" s="1"/>
  <c r="Q3" i="5"/>
  <c r="R3" i="5" l="1"/>
  <c r="Q68" i="5"/>
  <c r="Q86" i="5" s="1"/>
  <c r="Q36" i="5"/>
  <c r="Q85" i="5" s="1"/>
  <c r="P37" i="5"/>
  <c r="Q87" i="5" l="1"/>
  <c r="P78" i="5"/>
  <c r="Q37" i="5"/>
  <c r="Q78" i="5" s="1"/>
  <c r="R68" i="5"/>
  <c r="R86" i="5" s="1"/>
  <c r="R36" i="5"/>
  <c r="R85" i="5" s="1"/>
  <c r="S3" i="5"/>
  <c r="R87" i="5" l="1"/>
  <c r="S36" i="5"/>
  <c r="S85" i="5" s="1"/>
  <c r="S68" i="5"/>
  <c r="S86" i="5" s="1"/>
  <c r="T3" i="5"/>
  <c r="R37" i="5"/>
  <c r="R78" i="5" s="1"/>
  <c r="S87" i="5" l="1"/>
  <c r="U3" i="5"/>
  <c r="T36" i="5"/>
  <c r="T85" i="5" s="1"/>
  <c r="T68" i="5"/>
  <c r="T86" i="5" s="1"/>
  <c r="S37" i="5"/>
  <c r="S78" i="5" s="1"/>
  <c r="T87" i="5" l="1"/>
  <c r="U68" i="5"/>
  <c r="U86" i="5" s="1"/>
  <c r="U36" i="5"/>
  <c r="U85" i="5" s="1"/>
  <c r="T37" i="5"/>
  <c r="T78" i="5" s="1"/>
  <c r="V3" i="5"/>
  <c r="U87" i="5" l="1"/>
  <c r="V68" i="5"/>
  <c r="V86" i="5" s="1"/>
  <c r="V36" i="5"/>
  <c r="V85" i="5" s="1"/>
  <c r="W3" i="5"/>
  <c r="U37" i="5"/>
  <c r="U78" i="5" s="1"/>
  <c r="V87" i="5" l="1"/>
  <c r="X3" i="5"/>
  <c r="V37" i="5"/>
  <c r="V78" i="5" s="1"/>
  <c r="W36" i="5"/>
  <c r="W85" i="5" s="1"/>
  <c r="W68" i="5"/>
  <c r="W86" i="5" s="1"/>
  <c r="W87" i="5" l="1"/>
  <c r="X36" i="5"/>
  <c r="X85" i="5" s="1"/>
  <c r="X68" i="5"/>
  <c r="X86" i="5" s="1"/>
  <c r="W37" i="5"/>
  <c r="W78" i="5" s="1"/>
  <c r="Y3" i="5"/>
  <c r="X87" i="5" l="1"/>
  <c r="X69" i="5"/>
  <c r="X88" i="5" s="1"/>
  <c r="Z3" i="5"/>
  <c r="Y68" i="5"/>
  <c r="Y86" i="5" s="1"/>
  <c r="Y36" i="5"/>
  <c r="Y85" i="5" s="1"/>
  <c r="X37" i="5"/>
  <c r="X78" i="5" s="1"/>
  <c r="Y87" i="5" l="1"/>
  <c r="Y69" i="5"/>
  <c r="Y88" i="5" s="1"/>
  <c r="Y37" i="5"/>
  <c r="Y78" i="5" s="1"/>
  <c r="Z68" i="5"/>
  <c r="Z86" i="5" s="1"/>
  <c r="Z36" i="5"/>
  <c r="Z85" i="5" s="1"/>
  <c r="AA3" i="5"/>
  <c r="Z87" i="5" l="1"/>
  <c r="Z69" i="5"/>
  <c r="Z88" i="5" s="1"/>
  <c r="AA36" i="5"/>
  <c r="AA85" i="5" s="1"/>
  <c r="AA68" i="5"/>
  <c r="AA86" i="5" s="1"/>
  <c r="AB3" i="5"/>
  <c r="Z37" i="5"/>
  <c r="Z78" i="5" s="1"/>
  <c r="AA87" i="5" l="1"/>
  <c r="AA69" i="5"/>
  <c r="AA88" i="5" s="1"/>
  <c r="AB36" i="5"/>
  <c r="AB85" i="5" s="1"/>
  <c r="AB68" i="5"/>
  <c r="AB86" i="5" s="1"/>
  <c r="AC3" i="5"/>
  <c r="AA37" i="5"/>
  <c r="AA78" i="5" s="1"/>
  <c r="AB87" i="5" l="1"/>
  <c r="AB69" i="5"/>
  <c r="AB88" i="5" s="1"/>
  <c r="AB37" i="5"/>
  <c r="AB78" i="5" s="1"/>
  <c r="AD3" i="5"/>
  <c r="AC68" i="5"/>
  <c r="AC86" i="5" s="1"/>
  <c r="AC36" i="5"/>
  <c r="AC85" i="5" s="1"/>
  <c r="AC87" i="5" l="1"/>
  <c r="AC69" i="5"/>
  <c r="AC88" i="5" s="1"/>
  <c r="AE3" i="5"/>
  <c r="AD36" i="5"/>
  <c r="AD85" i="5" s="1"/>
  <c r="AD68" i="5"/>
  <c r="AD86" i="5" s="1"/>
  <c r="AC37" i="5"/>
  <c r="AC78" i="5" s="1"/>
  <c r="AD87" i="5" l="1"/>
  <c r="AD69" i="5"/>
  <c r="AD88" i="5" s="1"/>
  <c r="AD37" i="5"/>
  <c r="AD78" i="5" s="1"/>
  <c r="AE68" i="5"/>
  <c r="AE86" i="5" s="1"/>
  <c r="AE36" i="5"/>
  <c r="AE85" i="5" s="1"/>
  <c r="AF3" i="5"/>
  <c r="AE87" i="5" l="1"/>
  <c r="AE69" i="5"/>
  <c r="AE88" i="5" s="1"/>
  <c r="AE37" i="5"/>
  <c r="AE78" i="5" s="1"/>
  <c r="AF36" i="5"/>
  <c r="AF85" i="5" s="1"/>
  <c r="AF68" i="5"/>
  <c r="AF86" i="5" s="1"/>
  <c r="AG3" i="5"/>
  <c r="AF87" i="5" l="1"/>
  <c r="AF69" i="5"/>
  <c r="AF88" i="5" s="1"/>
  <c r="AG68" i="5"/>
  <c r="AG86" i="5" s="1"/>
  <c r="AG36" i="5"/>
  <c r="AG85" i="5" s="1"/>
  <c r="AF37" i="5"/>
  <c r="AH3" i="5"/>
  <c r="AG87" i="5" l="1"/>
  <c r="AF78" i="5"/>
  <c r="AG69" i="5"/>
  <c r="AG88" i="5" s="1"/>
  <c r="AI3" i="5"/>
  <c r="AG37" i="5"/>
  <c r="AG78" i="5" s="1"/>
  <c r="AH36" i="5"/>
  <c r="AH85" i="5" s="1"/>
  <c r="AH68" i="5"/>
  <c r="AH86" i="5" s="1"/>
  <c r="AH87" i="5" l="1"/>
  <c r="AH69" i="5"/>
  <c r="AH88" i="5" s="1"/>
  <c r="AH37" i="5"/>
  <c r="AH78" i="5" s="1"/>
  <c r="AI36" i="5"/>
  <c r="AI85" i="5" s="1"/>
  <c r="AI68" i="5"/>
  <c r="AI86" i="5" s="1"/>
  <c r="AJ3" i="5"/>
  <c r="AI87" i="5" l="1"/>
  <c r="AI69" i="5"/>
  <c r="AI88" i="5" s="1"/>
  <c r="AI37" i="5"/>
  <c r="AI78" i="5" s="1"/>
  <c r="AK3" i="5"/>
  <c r="AJ36" i="5"/>
  <c r="AJ85" i="5" s="1"/>
  <c r="AJ68" i="5"/>
  <c r="AJ86" i="5" s="1"/>
  <c r="AJ87" i="5" l="1"/>
  <c r="AJ69" i="5"/>
  <c r="AJ88" i="5" s="1"/>
  <c r="AL3" i="5"/>
  <c r="AJ37" i="5"/>
  <c r="AJ78" i="5" s="1"/>
  <c r="AK68" i="5"/>
  <c r="AK86" i="5" s="1"/>
  <c r="AK36" i="5"/>
  <c r="AK85" i="5" s="1"/>
  <c r="AK87" i="5" l="1"/>
  <c r="E11" i="27"/>
  <c r="E35" i="27" s="1"/>
  <c r="AK69" i="5"/>
  <c r="AK88" i="5" s="1"/>
  <c r="AL68" i="5"/>
  <c r="AL86" i="5" s="1"/>
  <c r="BZ86" i="5" s="1"/>
  <c r="H77" i="39" s="1"/>
  <c r="AL36" i="5"/>
  <c r="AL85" i="5" s="1"/>
  <c r="BZ85" i="5" s="1"/>
  <c r="H78" i="39" s="1"/>
  <c r="AM3" i="5"/>
  <c r="AK37" i="5"/>
  <c r="AK78" i="5" s="1"/>
  <c r="H85" i="39"/>
  <c r="AL87" i="5" l="1"/>
  <c r="O34" i="27"/>
  <c r="O11" i="27"/>
  <c r="AL69" i="5"/>
  <c r="AL88" i="5" s="1"/>
  <c r="BZ88" i="5" s="1"/>
  <c r="H79" i="39" s="1"/>
  <c r="AL37" i="5"/>
  <c r="AL78" i="5" s="1"/>
  <c r="U13" i="23" s="1"/>
  <c r="AN3" i="5"/>
  <c r="AM68" i="5"/>
  <c r="AM86" i="5" s="1"/>
  <c r="AM36" i="5"/>
  <c r="AM85" i="5" s="1"/>
  <c r="H124" i="39"/>
  <c r="H84" i="39"/>
  <c r="H87" i="39" l="1"/>
  <c r="H80" i="39"/>
  <c r="AM87" i="5"/>
  <c r="O47" i="27"/>
  <c r="O48" i="27" s="1"/>
  <c r="O35" i="27"/>
  <c r="AM69" i="5"/>
  <c r="AM88" i="5" s="1"/>
  <c r="AN36" i="5"/>
  <c r="AN85" i="5" s="1"/>
  <c r="AN68" i="5"/>
  <c r="AN86" i="5" s="1"/>
  <c r="AM37" i="5"/>
  <c r="AM78" i="5" s="1"/>
  <c r="U14" i="23"/>
  <c r="G15" i="24" s="1"/>
  <c r="AO3" i="5"/>
  <c r="H123" i="39"/>
  <c r="H122" i="39" l="1"/>
  <c r="H133" i="39"/>
  <c r="H135" i="39" s="1"/>
  <c r="E3" i="42"/>
  <c r="AN87" i="5"/>
  <c r="AN69" i="5"/>
  <c r="AN88" i="5" s="1"/>
  <c r="AO68" i="5"/>
  <c r="AO86" i="5" s="1"/>
  <c r="AO36" i="5"/>
  <c r="AO85" i="5" s="1"/>
  <c r="U15" i="23"/>
  <c r="AN37" i="5"/>
  <c r="AN78" i="5" s="1"/>
  <c r="AP3" i="5"/>
  <c r="E8" i="42" l="1"/>
  <c r="E9" i="42"/>
  <c r="E11" i="42"/>
  <c r="E10" i="42"/>
  <c r="E7" i="42"/>
  <c r="AO87" i="5"/>
  <c r="AO69" i="5"/>
  <c r="AO88" i="5" s="1"/>
  <c r="AQ3" i="5"/>
  <c r="AP68" i="5"/>
  <c r="AP86" i="5" s="1"/>
  <c r="AP36" i="5"/>
  <c r="AP85" i="5" s="1"/>
  <c r="AO37" i="5"/>
  <c r="AO78" i="5" s="1"/>
  <c r="E12" i="42" l="1"/>
  <c r="AP87" i="5"/>
  <c r="AP69" i="5"/>
  <c r="AP88" i="5" s="1"/>
  <c r="AR3" i="5"/>
  <c r="AQ36" i="5"/>
  <c r="AQ85" i="5" s="1"/>
  <c r="AQ68" i="5"/>
  <c r="AQ86" i="5" s="1"/>
  <c r="AP37" i="5"/>
  <c r="AP78" i="5" s="1"/>
  <c r="AQ87" i="5" l="1"/>
  <c r="AQ69" i="5"/>
  <c r="AQ88" i="5" s="1"/>
  <c r="AQ37" i="5"/>
  <c r="AQ78" i="5" s="1"/>
  <c r="AR36" i="5"/>
  <c r="AR85" i="5" s="1"/>
  <c r="AR68" i="5"/>
  <c r="AR86" i="5" s="1"/>
  <c r="AS3" i="5"/>
  <c r="AR87" i="5" l="1"/>
  <c r="AR69" i="5"/>
  <c r="AR88" i="5" s="1"/>
  <c r="AS68" i="5"/>
  <c r="AS86" i="5" s="1"/>
  <c r="AS36" i="5"/>
  <c r="AS85" i="5" s="1"/>
  <c r="AT3" i="5"/>
  <c r="AR37" i="5"/>
  <c r="AR78" i="5" s="1"/>
  <c r="AS87" i="5" l="1"/>
  <c r="AS69" i="5"/>
  <c r="AS88" i="5" s="1"/>
  <c r="AS37" i="5"/>
  <c r="AS78" i="5" s="1"/>
  <c r="AU3" i="5"/>
  <c r="AT68" i="5"/>
  <c r="AT86" i="5" s="1"/>
  <c r="AT36" i="5"/>
  <c r="AT85" i="5" s="1"/>
  <c r="AT87" i="5" l="1"/>
  <c r="AT69" i="5"/>
  <c r="AT88" i="5" s="1"/>
  <c r="AV3" i="5"/>
  <c r="AU68" i="5"/>
  <c r="AU86" i="5" s="1"/>
  <c r="AU36" i="5"/>
  <c r="AU85" i="5" s="1"/>
  <c r="AT37" i="5"/>
  <c r="AT78" i="5" s="1"/>
  <c r="AU87" i="5" l="1"/>
  <c r="AU69" i="5"/>
  <c r="AU88" i="5" s="1"/>
  <c r="AV36" i="5"/>
  <c r="AV85" i="5" s="1"/>
  <c r="AV68" i="5"/>
  <c r="AV86" i="5" s="1"/>
  <c r="AU37" i="5"/>
  <c r="AW3" i="5"/>
  <c r="AV87" i="5" l="1"/>
  <c r="AU78" i="5"/>
  <c r="AV69" i="5"/>
  <c r="AV88" i="5" s="1"/>
  <c r="AW68" i="5"/>
  <c r="AW86" i="5" s="1"/>
  <c r="AW36" i="5"/>
  <c r="AW85" i="5" s="1"/>
  <c r="AX3" i="5"/>
  <c r="AV37" i="5"/>
  <c r="AV78" i="5" s="1"/>
  <c r="AW87" i="5" l="1"/>
  <c r="F47" i="27"/>
  <c r="F48" i="27" s="1"/>
  <c r="F11" i="27"/>
  <c r="F35" i="27" s="1"/>
  <c r="AW69" i="5"/>
  <c r="AW88" i="5" s="1"/>
  <c r="AY3" i="5"/>
  <c r="AW37" i="5"/>
  <c r="AW78" i="5" s="1"/>
  <c r="AX68" i="5"/>
  <c r="AX86" i="5" s="1"/>
  <c r="CA86" i="5" s="1"/>
  <c r="I77" i="39" s="1"/>
  <c r="AX36" i="5"/>
  <c r="AX85" i="5" s="1"/>
  <c r="CA85" i="5" s="1"/>
  <c r="I78" i="39" s="1"/>
  <c r="I85" i="39"/>
  <c r="AX87" i="5" l="1"/>
  <c r="P34" i="27"/>
  <c r="P11" i="27"/>
  <c r="AX69" i="5"/>
  <c r="AX88" i="5" s="1"/>
  <c r="CA88" i="5" s="1"/>
  <c r="I79" i="39" s="1"/>
  <c r="AZ3" i="5"/>
  <c r="AX37" i="5"/>
  <c r="AX78" i="5" s="1"/>
  <c r="Z13" i="23" s="1"/>
  <c r="AY36" i="5"/>
  <c r="AY85" i="5" s="1"/>
  <c r="AY68" i="5"/>
  <c r="AY86" i="5" s="1"/>
  <c r="I124" i="39"/>
  <c r="I84" i="39"/>
  <c r="I87" i="39" l="1"/>
  <c r="I80" i="39"/>
  <c r="AY87" i="5"/>
  <c r="P47" i="27"/>
  <c r="P48" i="27" s="1"/>
  <c r="P35" i="27"/>
  <c r="AY69" i="5"/>
  <c r="AY88" i="5" s="1"/>
  <c r="Z14" i="23"/>
  <c r="H15" i="24" s="1"/>
  <c r="BA3" i="5"/>
  <c r="AY37" i="5"/>
  <c r="AY78" i="5" s="1"/>
  <c r="AZ36" i="5"/>
  <c r="AZ85" i="5" s="1"/>
  <c r="AZ68" i="5"/>
  <c r="AZ86" i="5" s="1"/>
  <c r="I123" i="39"/>
  <c r="I122" i="39" l="1"/>
  <c r="I133" i="39"/>
  <c r="I135" i="39" s="1"/>
  <c r="F3" i="42"/>
  <c r="AZ87" i="5"/>
  <c r="AZ69" i="5"/>
  <c r="AZ88" i="5" s="1"/>
  <c r="AZ37" i="5"/>
  <c r="AZ78" i="5" s="1"/>
  <c r="BB3" i="5"/>
  <c r="BA36" i="5"/>
  <c r="BA85" i="5" s="1"/>
  <c r="BA68" i="5"/>
  <c r="BA86" i="5" s="1"/>
  <c r="Z15" i="23"/>
  <c r="F8" i="42" l="1"/>
  <c r="F7" i="42"/>
  <c r="F10" i="42"/>
  <c r="F11" i="42"/>
  <c r="F9" i="42"/>
  <c r="BA87" i="5"/>
  <c r="BA69" i="5"/>
  <c r="BA88" i="5" s="1"/>
  <c r="BB36" i="5"/>
  <c r="BB85" i="5" s="1"/>
  <c r="BB68" i="5"/>
  <c r="BB86" i="5" s="1"/>
  <c r="BC3" i="5"/>
  <c r="BA37" i="5"/>
  <c r="BA78" i="5" s="1"/>
  <c r="F12" i="42" l="1"/>
  <c r="BB87" i="5"/>
  <c r="BB69" i="5"/>
  <c r="BB88" i="5" s="1"/>
  <c r="BC68" i="5"/>
  <c r="BC86" i="5" s="1"/>
  <c r="BC36" i="5"/>
  <c r="BC85" i="5" s="1"/>
  <c r="BD3" i="5"/>
  <c r="BB37" i="5"/>
  <c r="BB78" i="5" s="1"/>
  <c r="BC87" i="5" l="1"/>
  <c r="BC69" i="5"/>
  <c r="BC88" i="5" s="1"/>
  <c r="BE3" i="5"/>
  <c r="BD36" i="5"/>
  <c r="BD85" i="5" s="1"/>
  <c r="BD68" i="5"/>
  <c r="BD86" i="5" s="1"/>
  <c r="BC37" i="5"/>
  <c r="BC78" i="5" s="1"/>
  <c r="BD87" i="5" l="1"/>
  <c r="BD69" i="5"/>
  <c r="BD88" i="5" s="1"/>
  <c r="BE36" i="5"/>
  <c r="BE85" i="5" s="1"/>
  <c r="BE68" i="5"/>
  <c r="BE86" i="5" s="1"/>
  <c r="BF3" i="5"/>
  <c r="BD37" i="5"/>
  <c r="BD78" i="5" s="1"/>
  <c r="BE87" i="5" l="1"/>
  <c r="BE69" i="5"/>
  <c r="BE88" i="5" s="1"/>
  <c r="BF68" i="5"/>
  <c r="BF86" i="5" s="1"/>
  <c r="BF36" i="5"/>
  <c r="BF85" i="5" s="1"/>
  <c r="BG3" i="5"/>
  <c r="BE37" i="5"/>
  <c r="BE78" i="5" s="1"/>
  <c r="BF87" i="5" l="1"/>
  <c r="BF69" i="5"/>
  <c r="BF88" i="5" s="1"/>
  <c r="BF37" i="5"/>
  <c r="BF78" i="5" s="1"/>
  <c r="BG36" i="5"/>
  <c r="BG85" i="5" s="1"/>
  <c r="BG68" i="5"/>
  <c r="BG86" i="5" s="1"/>
  <c r="BH3" i="5"/>
  <c r="BG87" i="5" l="1"/>
  <c r="BG69" i="5"/>
  <c r="BG88" i="5" s="1"/>
  <c r="BG37" i="5"/>
  <c r="BG78" i="5" s="1"/>
  <c r="BH68" i="5"/>
  <c r="BH86" i="5" s="1"/>
  <c r="BH36" i="5"/>
  <c r="BH85" i="5" s="1"/>
  <c r="BI3" i="5"/>
  <c r="BH87" i="5" l="1"/>
  <c r="BH69" i="5"/>
  <c r="BH88" i="5" s="1"/>
  <c r="BH37" i="5"/>
  <c r="BI68" i="5"/>
  <c r="BI86" i="5" s="1"/>
  <c r="BI36" i="5"/>
  <c r="BI85" i="5" s="1"/>
  <c r="BJ3" i="5"/>
  <c r="BI87" i="5" l="1"/>
  <c r="G11" i="27"/>
  <c r="G35" i="27" s="1"/>
  <c r="G47" i="27"/>
  <c r="G48" i="27" s="1"/>
  <c r="BH78" i="5"/>
  <c r="BI69" i="5"/>
  <c r="BI88" i="5" s="1"/>
  <c r="BI37" i="5"/>
  <c r="BI78" i="5" s="1"/>
  <c r="BK3" i="5"/>
  <c r="BJ36" i="5"/>
  <c r="BJ85" i="5" s="1"/>
  <c r="CB85" i="5" s="1"/>
  <c r="J78" i="39" s="1"/>
  <c r="BJ68" i="5"/>
  <c r="BJ86" i="5" s="1"/>
  <c r="CB86" i="5" s="1"/>
  <c r="J77" i="39" s="1"/>
  <c r="J85" i="39"/>
  <c r="BJ87" i="5" l="1"/>
  <c r="Q11" i="27"/>
  <c r="Q34" i="27"/>
  <c r="BJ69" i="5"/>
  <c r="BJ88" i="5" s="1"/>
  <c r="CB88" i="5" s="1"/>
  <c r="J79" i="39" s="1"/>
  <c r="BJ37" i="5"/>
  <c r="BJ78" i="5" s="1"/>
  <c r="AE13" i="23" s="1"/>
  <c r="BL3" i="5"/>
  <c r="BK68" i="5"/>
  <c r="BK86" i="5" s="1"/>
  <c r="BK36" i="5"/>
  <c r="BK85" i="5" s="1"/>
  <c r="J124" i="39"/>
  <c r="J84" i="39"/>
  <c r="J87" i="39" l="1"/>
  <c r="J80" i="39"/>
  <c r="BK87" i="5"/>
  <c r="Q47" i="27"/>
  <c r="Q48" i="27" s="1"/>
  <c r="Q35" i="27"/>
  <c r="BK69" i="5"/>
  <c r="BK88" i="5" s="1"/>
  <c r="BM3" i="5"/>
  <c r="BK37" i="5"/>
  <c r="BK78" i="5" s="1"/>
  <c r="AE14" i="23"/>
  <c r="I15" i="24" s="1"/>
  <c r="BL36" i="5"/>
  <c r="BL85" i="5" s="1"/>
  <c r="BL68" i="5"/>
  <c r="BL86" i="5" s="1"/>
  <c r="J123" i="39"/>
  <c r="J122" i="39" l="1"/>
  <c r="G3" i="42"/>
  <c r="J133" i="39"/>
  <c r="J135" i="39" s="1"/>
  <c r="BL87" i="5"/>
  <c r="BL69" i="5"/>
  <c r="BL88" i="5" s="1"/>
  <c r="BL37" i="5"/>
  <c r="BL78" i="5" s="1"/>
  <c r="AE15" i="23"/>
  <c r="BM68" i="5"/>
  <c r="BM86" i="5" s="1"/>
  <c r="BM36" i="5"/>
  <c r="BM85" i="5" s="1"/>
  <c r="BN3" i="5"/>
  <c r="G9" i="42" l="1"/>
  <c r="G10" i="42"/>
  <c r="G7" i="42"/>
  <c r="G8" i="42"/>
  <c r="G11" i="42"/>
  <c r="BM87" i="5"/>
  <c r="BM69" i="5"/>
  <c r="BM88" i="5" s="1"/>
  <c r="BN68" i="5"/>
  <c r="BN86" i="5" s="1"/>
  <c r="BN36" i="5"/>
  <c r="BN85" i="5" s="1"/>
  <c r="BO3" i="5"/>
  <c r="BM37" i="5"/>
  <c r="BM78" i="5" s="1"/>
  <c r="G12" i="42" l="1"/>
  <c r="BN87" i="5"/>
  <c r="BN69" i="5"/>
  <c r="BN88" i="5" s="1"/>
  <c r="BN37" i="5"/>
  <c r="BN78" i="5" s="1"/>
  <c r="BP3" i="5"/>
  <c r="BO36" i="5"/>
  <c r="BO85" i="5" s="1"/>
  <c r="BO68" i="5"/>
  <c r="BO86" i="5" s="1"/>
  <c r="BO87" i="5" l="1"/>
  <c r="BO69" i="5"/>
  <c r="BO88" i="5" s="1"/>
  <c r="BQ3" i="5"/>
  <c r="BO37" i="5"/>
  <c r="BO78" i="5" s="1"/>
  <c r="BP36" i="5"/>
  <c r="BP85" i="5" s="1"/>
  <c r="BP68" i="5"/>
  <c r="BP86" i="5" s="1"/>
  <c r="BP87" i="5" l="1"/>
  <c r="BP69" i="5"/>
  <c r="BP88" i="5" s="1"/>
  <c r="BQ68" i="5"/>
  <c r="BQ86" i="5" s="1"/>
  <c r="BQ36" i="5"/>
  <c r="BQ85" i="5" s="1"/>
  <c r="BR3" i="5"/>
  <c r="BP37" i="5"/>
  <c r="BP78" i="5" s="1"/>
  <c r="BQ87" i="5" l="1"/>
  <c r="BQ69" i="5"/>
  <c r="BQ88" i="5" s="1"/>
  <c r="BR68" i="5"/>
  <c r="BR86" i="5" s="1"/>
  <c r="BR36" i="5"/>
  <c r="BR85" i="5" s="1"/>
  <c r="BQ37" i="5"/>
  <c r="BQ78" i="5" s="1"/>
  <c r="BS3" i="5"/>
  <c r="BR87" i="5" l="1"/>
  <c r="BR69" i="5"/>
  <c r="BR88" i="5" s="1"/>
  <c r="BS68" i="5"/>
  <c r="BS86" i="5" s="1"/>
  <c r="BS36" i="5"/>
  <c r="BS85" i="5" s="1"/>
  <c r="BR37" i="5"/>
  <c r="BR78" i="5" s="1"/>
  <c r="BT3" i="5"/>
  <c r="BS87" i="5" l="1"/>
  <c r="BS69" i="5"/>
  <c r="BS88" i="5" s="1"/>
  <c r="BT68" i="5"/>
  <c r="BT86" i="5" s="1"/>
  <c r="BT36" i="5"/>
  <c r="BT85" i="5" s="1"/>
  <c r="BS37" i="5"/>
  <c r="BS78" i="5" s="1"/>
  <c r="BV3" i="5"/>
  <c r="BU3" i="5"/>
  <c r="BT87" i="5" l="1"/>
  <c r="BT69" i="5"/>
  <c r="BT88" i="5" s="1"/>
  <c r="BU68" i="5"/>
  <c r="BU86" i="5" s="1"/>
  <c r="BU36" i="5"/>
  <c r="BU85" i="5" s="1"/>
  <c r="BT37" i="5"/>
  <c r="BT78" i="5" s="1"/>
  <c r="BV36" i="5"/>
  <c r="BV85" i="5" s="1"/>
  <c r="BV68" i="5"/>
  <c r="BV86" i="5" s="1"/>
  <c r="CC85" i="5" l="1"/>
  <c r="CC86" i="5"/>
  <c r="BV87" i="5"/>
  <c r="BU87" i="5"/>
  <c r="H47" i="27"/>
  <c r="H48" i="27" s="1"/>
  <c r="H11" i="27"/>
  <c r="H35" i="27" s="1"/>
  <c r="BV69" i="5"/>
  <c r="BU69" i="5"/>
  <c r="BT81" i="5"/>
  <c r="BP70" i="5"/>
  <c r="BR70" i="5"/>
  <c r="BR81" i="5"/>
  <c r="BT70" i="5"/>
  <c r="BP81" i="5"/>
  <c r="BM81" i="5"/>
  <c r="BN81" i="5"/>
  <c r="BO81" i="5"/>
  <c r="BV81" i="5"/>
  <c r="X70" i="5"/>
  <c r="Y81" i="5"/>
  <c r="X81" i="5"/>
  <c r="Z81" i="5"/>
  <c r="AA70" i="5"/>
  <c r="AB81" i="5"/>
  <c r="AD81" i="5"/>
  <c r="AA81" i="5"/>
  <c r="AC81" i="5"/>
  <c r="AB70" i="5"/>
  <c r="AE81" i="5"/>
  <c r="AF81" i="5"/>
  <c r="AG81" i="5"/>
  <c r="AI81" i="5"/>
  <c r="AG70" i="5"/>
  <c r="AF70" i="5"/>
  <c r="AH81" i="5"/>
  <c r="AJ81" i="5"/>
  <c r="AK70" i="5"/>
  <c r="AK81" i="5"/>
  <c r="AL81" i="5"/>
  <c r="AN81" i="5"/>
  <c r="AM70" i="5"/>
  <c r="AM81" i="5"/>
  <c r="AP81" i="5"/>
  <c r="AN70" i="5"/>
  <c r="AR81" i="5"/>
  <c r="AO70" i="5"/>
  <c r="AQ81" i="5"/>
  <c r="AO81" i="5"/>
  <c r="AP70" i="5"/>
  <c r="AR70" i="5"/>
  <c r="AS81" i="5"/>
  <c r="AQ70" i="5"/>
  <c r="AS70" i="5"/>
  <c r="AT81" i="5"/>
  <c r="AV81" i="5"/>
  <c r="AU81" i="5"/>
  <c r="AW70" i="5"/>
  <c r="AX81" i="5"/>
  <c r="AY70" i="5"/>
  <c r="AW81" i="5"/>
  <c r="AY81" i="5"/>
  <c r="AZ70" i="5"/>
  <c r="BA70" i="5"/>
  <c r="AZ81" i="5"/>
  <c r="BB81" i="5"/>
  <c r="BD81" i="5"/>
  <c r="BA81" i="5"/>
  <c r="BC81" i="5"/>
  <c r="BB70" i="5"/>
  <c r="BC70" i="5"/>
  <c r="BD70" i="5"/>
  <c r="BE81" i="5"/>
  <c r="BF70" i="5"/>
  <c r="BE70" i="5"/>
  <c r="BG70" i="5"/>
  <c r="BG81" i="5"/>
  <c r="BF81" i="5"/>
  <c r="BI70" i="5"/>
  <c r="BH81" i="5"/>
  <c r="BH70" i="5"/>
  <c r="BI81" i="5"/>
  <c r="BJ81" i="5"/>
  <c r="BJ70" i="5"/>
  <c r="BK70" i="5"/>
  <c r="BL70" i="5"/>
  <c r="BK81" i="5"/>
  <c r="BL81" i="5"/>
  <c r="BU37" i="5"/>
  <c r="BU78" i="5" s="1"/>
  <c r="BV37" i="5"/>
  <c r="BU81" i="5"/>
  <c r="BQ70" i="5"/>
  <c r="BS81" i="5"/>
  <c r="BQ81" i="5"/>
  <c r="BO70" i="5"/>
  <c r="BS70" i="5"/>
  <c r="BM70" i="5"/>
  <c r="BN70" i="5"/>
  <c r="K78" i="39"/>
  <c r="K77" i="39"/>
  <c r="K85" i="39"/>
  <c r="BU70" i="5" l="1"/>
  <c r="BU77" i="5" s="1"/>
  <c r="BU88" i="5"/>
  <c r="BV70" i="5"/>
  <c r="BV82" i="5" s="1"/>
  <c r="BV88" i="5"/>
  <c r="BB82" i="5"/>
  <c r="BM82" i="5"/>
  <c r="BH82" i="5"/>
  <c r="AQ82" i="5"/>
  <c r="AG82" i="5"/>
  <c r="AB82" i="5"/>
  <c r="AN82" i="5"/>
  <c r="BT82" i="5"/>
  <c r="AY82" i="5"/>
  <c r="BO82" i="5"/>
  <c r="BI82" i="5"/>
  <c r="AR82" i="5"/>
  <c r="AF82" i="5"/>
  <c r="BK82" i="5"/>
  <c r="AS82" i="5"/>
  <c r="AP82" i="5"/>
  <c r="BS82" i="5"/>
  <c r="BQ82" i="5"/>
  <c r="BJ82" i="5"/>
  <c r="BG82" i="5"/>
  <c r="BD82" i="5"/>
  <c r="BA82" i="5"/>
  <c r="AA82" i="5"/>
  <c r="X82" i="5"/>
  <c r="BR77" i="5"/>
  <c r="BR82" i="5"/>
  <c r="BE82" i="5"/>
  <c r="BC82" i="5"/>
  <c r="AZ82" i="5"/>
  <c r="AO82" i="5"/>
  <c r="BP77" i="5"/>
  <c r="BP82" i="5"/>
  <c r="BU82" i="5"/>
  <c r="BN82" i="5"/>
  <c r="BL82" i="5"/>
  <c r="BF82" i="5"/>
  <c r="AW82" i="5"/>
  <c r="AM82" i="5"/>
  <c r="AK82" i="5"/>
  <c r="R34" i="27"/>
  <c r="R11" i="27"/>
  <c r="BV78" i="5"/>
  <c r="BT77" i="5"/>
  <c r="BF77" i="5"/>
  <c r="AP77" i="5"/>
  <c r="AM77" i="5"/>
  <c r="AG77" i="5"/>
  <c r="AH70" i="5" s="1"/>
  <c r="AH82" i="5" s="1"/>
  <c r="BK77" i="5"/>
  <c r="BQ77" i="5"/>
  <c r="BJ77" i="5"/>
  <c r="BG77" i="5"/>
  <c r="BD77" i="5"/>
  <c r="BA77" i="5"/>
  <c r="AW77" i="5"/>
  <c r="AX70" i="5" s="1"/>
  <c r="AX82" i="5" s="1"/>
  <c r="BO77" i="5"/>
  <c r="BI77" i="5"/>
  <c r="BE77" i="5"/>
  <c r="BC77" i="5"/>
  <c r="AZ77" i="5"/>
  <c r="AR77" i="5"/>
  <c r="AO77" i="5"/>
  <c r="AF77" i="5"/>
  <c r="BL77" i="5"/>
  <c r="BB77" i="5"/>
  <c r="BH77" i="5"/>
  <c r="AN77" i="5"/>
  <c r="AK77" i="5"/>
  <c r="AL70" i="5" s="1"/>
  <c r="AL82" i="5" s="1"/>
  <c r="AA77" i="5"/>
  <c r="BN77" i="5"/>
  <c r="AS77" i="5"/>
  <c r="AT70" i="5" s="1"/>
  <c r="AT82" i="5" s="1"/>
  <c r="X77" i="5"/>
  <c r="Y70" i="5" s="1"/>
  <c r="Y82" i="5" s="1"/>
  <c r="BM77" i="5"/>
  <c r="AQ77" i="5"/>
  <c r="BS77" i="5"/>
  <c r="AY77" i="5"/>
  <c r="AB77" i="5"/>
  <c r="AC70" i="5" s="1"/>
  <c r="AC82" i="5" s="1"/>
  <c r="K124" i="39"/>
  <c r="BV77" i="5" l="1"/>
  <c r="CC88" i="5"/>
  <c r="R47" i="27"/>
  <c r="R48" i="27" s="1"/>
  <c r="R35" i="27"/>
  <c r="AJ13" i="23"/>
  <c r="AJ14" i="23" s="1"/>
  <c r="J15" i="24" s="1"/>
  <c r="AF13" i="23"/>
  <c r="AT77" i="5"/>
  <c r="AU70" i="5" s="1"/>
  <c r="AU82" i="5" s="1"/>
  <c r="AC77" i="5"/>
  <c r="AD70" i="5" s="1"/>
  <c r="AD82" i="5" s="1"/>
  <c r="Y77" i="5"/>
  <c r="Z70" i="5" s="1"/>
  <c r="Z82" i="5" s="1"/>
  <c r="AH77" i="5"/>
  <c r="AI70" i="5" s="1"/>
  <c r="AI82" i="5" s="1"/>
  <c r="AL77" i="5"/>
  <c r="AX77" i="5"/>
  <c r="AK13" i="23"/>
  <c r="AK14" i="23" s="1"/>
  <c r="J14" i="24" s="1"/>
  <c r="K79" i="39"/>
  <c r="K84" i="39"/>
  <c r="K87" i="39" l="1"/>
  <c r="K80" i="39"/>
  <c r="AU77" i="5"/>
  <c r="AK15" i="23"/>
  <c r="Z77" i="5"/>
  <c r="AL13" i="23"/>
  <c r="AL14" i="23" s="1"/>
  <c r="AI77" i="5"/>
  <c r="AJ70" i="5" s="1"/>
  <c r="AJ82" i="5" s="1"/>
  <c r="AJ15" i="23"/>
  <c r="AD77" i="5"/>
  <c r="AF14" i="23"/>
  <c r="I14" i="24" s="1"/>
  <c r="AG13" i="23"/>
  <c r="AG14" i="23" s="1"/>
  <c r="K123" i="39"/>
  <c r="K122" i="39" l="1"/>
  <c r="H3" i="42"/>
  <c r="K133" i="39"/>
  <c r="K135" i="39" s="1"/>
  <c r="AV70" i="5"/>
  <c r="AV82" i="5" s="1"/>
  <c r="AF15" i="23"/>
  <c r="AL15" i="23"/>
  <c r="AE70" i="5"/>
  <c r="AJ77" i="5"/>
  <c r="AG15" i="23"/>
  <c r="H9" i="42" l="1"/>
  <c r="H8" i="42"/>
  <c r="H10" i="42"/>
  <c r="H7" i="42"/>
  <c r="H11" i="42"/>
  <c r="E47" i="27"/>
  <c r="E48" i="27" s="1"/>
  <c r="AE82" i="5"/>
  <c r="AV77" i="5"/>
  <c r="AA13" i="23" s="1"/>
  <c r="AB13" i="23" s="1"/>
  <c r="AB14" i="23" s="1"/>
  <c r="AE77" i="5"/>
  <c r="H12" i="42" l="1"/>
  <c r="I45" i="27"/>
  <c r="AA14" i="23"/>
  <c r="H14" i="24" s="1"/>
  <c r="V13" i="23"/>
  <c r="AB15" i="23"/>
  <c r="AA15" i="23" l="1"/>
  <c r="V14" i="23"/>
  <c r="G14" i="24" s="1"/>
  <c r="W13" i="23"/>
  <c r="W14" i="23" s="1"/>
  <c r="W15" i="23" l="1"/>
  <c r="V15" i="23"/>
  <c r="C3" i="5" l="1"/>
  <c r="N3" i="5" l="1"/>
  <c r="O3" i="5"/>
  <c r="C68" i="5"/>
  <c r="C36" i="5"/>
  <c r="C85" i="5" s="1"/>
  <c r="D3" i="5"/>
  <c r="O68" i="5" l="1"/>
  <c r="O86" i="5" s="1"/>
  <c r="BY86" i="5" s="1"/>
  <c r="N36" i="5"/>
  <c r="N85" i="5" s="1"/>
  <c r="N68" i="5"/>
  <c r="N86" i="5" s="1"/>
  <c r="BY68" i="5"/>
  <c r="C69" i="5"/>
  <c r="C88" i="5" s="1"/>
  <c r="C86" i="5"/>
  <c r="E3" i="5"/>
  <c r="O36" i="5"/>
  <c r="O85" i="5" s="1"/>
  <c r="BY85" i="5" s="1"/>
  <c r="G78" i="39" s="1"/>
  <c r="D36" i="5"/>
  <c r="D85" i="5" s="1"/>
  <c r="D68" i="5"/>
  <c r="C37" i="5"/>
  <c r="C78" i="5" s="1"/>
  <c r="G77" i="39"/>
  <c r="O87" i="5" l="1"/>
  <c r="N31" i="27"/>
  <c r="E36" i="5"/>
  <c r="E85" i="5" s="1"/>
  <c r="E68" i="5"/>
  <c r="N11" i="27"/>
  <c r="D11" i="27"/>
  <c r="N16" i="27"/>
  <c r="D16" i="27"/>
  <c r="N15" i="27"/>
  <c r="BY36" i="5"/>
  <c r="D86" i="5"/>
  <c r="N87" i="5"/>
  <c r="C87" i="5"/>
  <c r="F3" i="5"/>
  <c r="N37" i="5"/>
  <c r="N78" i="5" s="1"/>
  <c r="O37" i="5"/>
  <c r="O78" i="5" s="1"/>
  <c r="D37" i="5"/>
  <c r="D78" i="5" s="1"/>
  <c r="N24" i="27" l="1"/>
  <c r="E37" i="5"/>
  <c r="E78" i="5" s="1"/>
  <c r="D46" i="27"/>
  <c r="N13" i="27"/>
  <c r="P13" i="23"/>
  <c r="P14" i="23" s="1"/>
  <c r="F15" i="24" s="1"/>
  <c r="E86" i="5"/>
  <c r="F68" i="5"/>
  <c r="F36" i="5"/>
  <c r="D87" i="5"/>
  <c r="G3" i="5"/>
  <c r="G85" i="39"/>
  <c r="E87" i="5" l="1"/>
  <c r="N33" i="27"/>
  <c r="N46" i="27" s="1"/>
  <c r="F37" i="5"/>
  <c r="F78" i="5" s="1"/>
  <c r="F85" i="5"/>
  <c r="F86" i="5"/>
  <c r="M10" i="27" s="1"/>
  <c r="G68" i="5"/>
  <c r="G36" i="5"/>
  <c r="G85" i="5" s="1"/>
  <c r="H3" i="5"/>
  <c r="P15" i="23"/>
  <c r="G124" i="39"/>
  <c r="G86" i="5" l="1"/>
  <c r="F87" i="5"/>
  <c r="H36" i="5"/>
  <c r="H85" i="5" s="1"/>
  <c r="M15" i="27" s="1"/>
  <c r="H68" i="5"/>
  <c r="G37" i="5"/>
  <c r="G78" i="5" s="1"/>
  <c r="I3" i="5"/>
  <c r="G87" i="5" l="1"/>
  <c r="C16" i="27"/>
  <c r="I68" i="5"/>
  <c r="I86" i="5" s="1"/>
  <c r="I36" i="5"/>
  <c r="I85" i="5" s="1"/>
  <c r="H86" i="5"/>
  <c r="H87" i="5" s="1"/>
  <c r="H37" i="5"/>
  <c r="H78" i="5" s="1"/>
  <c r="M13" i="27" s="1"/>
  <c r="J3" i="5"/>
  <c r="M16" i="27" l="1"/>
  <c r="J68" i="5"/>
  <c r="J86" i="5" s="1"/>
  <c r="J36" i="5"/>
  <c r="J85" i="5" s="1"/>
  <c r="M9" i="27" s="1"/>
  <c r="M7" i="27" s="1"/>
  <c r="I87" i="5"/>
  <c r="I37" i="5"/>
  <c r="K3" i="5"/>
  <c r="S9" i="27" l="1"/>
  <c r="K36" i="5"/>
  <c r="K68" i="5"/>
  <c r="K86" i="5" s="1"/>
  <c r="S10" i="27"/>
  <c r="I78" i="5"/>
  <c r="L3" i="5"/>
  <c r="M3" i="5"/>
  <c r="J37" i="5"/>
  <c r="M36" i="5" l="1"/>
  <c r="M85" i="5" s="1"/>
  <c r="M68" i="5"/>
  <c r="M86" i="5" s="1"/>
  <c r="L68" i="5"/>
  <c r="L36" i="5"/>
  <c r="J78" i="5"/>
  <c r="K37" i="5"/>
  <c r="K78" i="5" s="1"/>
  <c r="K85" i="5"/>
  <c r="J87" i="5"/>
  <c r="E12" i="23"/>
  <c r="F19" i="23"/>
  <c r="E19" i="23"/>
  <c r="F12" i="23"/>
  <c r="BX68" i="5" l="1"/>
  <c r="M31" i="27" s="1"/>
  <c r="BX36" i="5"/>
  <c r="I7" i="27"/>
  <c r="K87" i="5"/>
  <c r="V81" i="5"/>
  <c r="W81" i="5"/>
  <c r="T81" i="5"/>
  <c r="U81" i="5"/>
  <c r="S81" i="5"/>
  <c r="L86" i="5"/>
  <c r="BX86" i="5" s="1"/>
  <c r="L85" i="5"/>
  <c r="BX85" i="5" s="1"/>
  <c r="N81" i="5"/>
  <c r="R81" i="5"/>
  <c r="Q81" i="5"/>
  <c r="P81" i="5"/>
  <c r="O81" i="5"/>
  <c r="B9" i="23"/>
  <c r="A9" i="23"/>
  <c r="M37" i="5"/>
  <c r="M78" i="5" s="1"/>
  <c r="L81" i="5"/>
  <c r="K81" i="5"/>
  <c r="G81" i="5"/>
  <c r="C81" i="5"/>
  <c r="F81" i="5"/>
  <c r="D81" i="5"/>
  <c r="BW68" i="5"/>
  <c r="J81" i="5"/>
  <c r="H81" i="5"/>
  <c r="I81" i="5"/>
  <c r="E81" i="5"/>
  <c r="G12" i="23"/>
  <c r="G19" i="23"/>
  <c r="L37" i="5"/>
  <c r="L78" i="5" s="1"/>
  <c r="BW36" i="5"/>
  <c r="M81" i="5"/>
  <c r="F77" i="39"/>
  <c r="F78" i="39"/>
  <c r="M24" i="27" l="1"/>
  <c r="S31" i="27"/>
  <c r="I15" i="27"/>
  <c r="C46" i="27"/>
  <c r="I16" i="27"/>
  <c r="S7" i="27"/>
  <c r="S15" i="27"/>
  <c r="M87" i="5"/>
  <c r="L87" i="5"/>
  <c r="BW85" i="5"/>
  <c r="E20" i="23"/>
  <c r="C70" i="5"/>
  <c r="C77" i="5" s="1"/>
  <c r="D69" i="5" s="1"/>
  <c r="E13" i="23"/>
  <c r="BW78" i="5"/>
  <c r="K13" i="23"/>
  <c r="R26" i="24"/>
  <c r="BW86" i="5"/>
  <c r="F85" i="39"/>
  <c r="S24" i="27" l="1"/>
  <c r="M33" i="27"/>
  <c r="S33" i="27" s="1"/>
  <c r="D70" i="5"/>
  <c r="D82" i="5" s="1"/>
  <c r="D88" i="5"/>
  <c r="Q77" i="39"/>
  <c r="Q85" i="39"/>
  <c r="Q78" i="39"/>
  <c r="S16" i="27"/>
  <c r="I46" i="27"/>
  <c r="I13" i="27"/>
  <c r="E21" i="23"/>
  <c r="E22" i="23" s="1"/>
  <c r="C82" i="5"/>
  <c r="K14" i="23"/>
  <c r="E15" i="24" s="1"/>
  <c r="A24" i="23"/>
  <c r="R51" i="24"/>
  <c r="S51" i="24" s="1"/>
  <c r="S26" i="24"/>
  <c r="E14" i="23"/>
  <c r="A14" i="23"/>
  <c r="F124" i="39"/>
  <c r="D77" i="5" l="1"/>
  <c r="F128" i="39"/>
  <c r="G128" i="39" s="1"/>
  <c r="H128" i="39" s="1"/>
  <c r="I128" i="39" s="1"/>
  <c r="J128" i="39" s="1"/>
  <c r="K128" i="39" s="1"/>
  <c r="L128" i="39" s="1"/>
  <c r="M128" i="39" s="1"/>
  <c r="N128" i="39" s="1"/>
  <c r="O128" i="39" s="1"/>
  <c r="P128" i="39" s="1"/>
  <c r="S13" i="27"/>
  <c r="M46" i="27"/>
  <c r="S46" i="27" s="1"/>
  <c r="E27" i="23"/>
  <c r="E28" i="23" s="1"/>
  <c r="E15" i="23"/>
  <c r="K15" i="23"/>
  <c r="E69" i="5" l="1"/>
  <c r="E88" i="5" l="1"/>
  <c r="E70" i="5"/>
  <c r="E77" i="5" l="1"/>
  <c r="F69" i="5" s="1"/>
  <c r="E82" i="5"/>
  <c r="F70" i="5" l="1"/>
  <c r="F88" i="5"/>
  <c r="F77" i="5" l="1"/>
  <c r="F82" i="5"/>
  <c r="I8" i="27"/>
  <c r="I11" i="27" s="1"/>
  <c r="C11" i="27"/>
  <c r="M8" i="27" l="1"/>
  <c r="M11" i="27" s="1"/>
  <c r="G69" i="5"/>
  <c r="G70" i="5" l="1"/>
  <c r="G88" i="5"/>
  <c r="G82" i="5" l="1"/>
  <c r="G77" i="5"/>
  <c r="H69" i="5" l="1"/>
  <c r="J69" i="5"/>
  <c r="H70" i="5" l="1"/>
  <c r="H88" i="5"/>
  <c r="J70" i="5"/>
  <c r="J82" i="5" s="1"/>
  <c r="J88" i="5"/>
  <c r="H82" i="5" l="1"/>
  <c r="H77" i="5"/>
  <c r="J77" i="5"/>
  <c r="C47" i="27"/>
  <c r="C48" i="27" s="1"/>
  <c r="K69" i="5"/>
  <c r="M14" i="27" l="1"/>
  <c r="I69" i="5"/>
  <c r="K70" i="5"/>
  <c r="K77" i="5" s="1"/>
  <c r="K88" i="5"/>
  <c r="I70" i="5" l="1"/>
  <c r="I88" i="5"/>
  <c r="K82" i="5"/>
  <c r="L69" i="5"/>
  <c r="I77" i="5" l="1"/>
  <c r="I82" i="5"/>
  <c r="L70" i="5"/>
  <c r="L82" i="5" s="1"/>
  <c r="L88" i="5"/>
  <c r="L77" i="5" l="1"/>
  <c r="M69" i="5" s="1"/>
  <c r="M70" i="5" s="1"/>
  <c r="M77" i="5" l="1"/>
  <c r="N69" i="5" s="1"/>
  <c r="N70" i="5" s="1"/>
  <c r="N77" i="5" s="1"/>
  <c r="L13" i="23" s="1"/>
  <c r="M82" i="5"/>
  <c r="M88" i="5"/>
  <c r="BX69" i="5"/>
  <c r="M29" i="27" s="1"/>
  <c r="C17" i="27"/>
  <c r="C35" i="27" s="1"/>
  <c r="O69" i="5"/>
  <c r="M34" i="27" l="1"/>
  <c r="M35" i="27" s="1"/>
  <c r="M32" i="27"/>
  <c r="N88" i="5"/>
  <c r="BX88" i="5" s="1"/>
  <c r="F79" i="39" s="1"/>
  <c r="N82" i="5"/>
  <c r="O70" i="5"/>
  <c r="O82" i="5" s="1"/>
  <c r="O88" i="5"/>
  <c r="M17" i="27"/>
  <c r="L14" i="23"/>
  <c r="E14" i="24" s="1"/>
  <c r="M13" i="23"/>
  <c r="M14" i="23" s="1"/>
  <c r="F84" i="39"/>
  <c r="F87" i="39" l="1"/>
  <c r="F80" i="39"/>
  <c r="M47" i="27"/>
  <c r="M48" i="27" s="1"/>
  <c r="O77" i="5"/>
  <c r="D47" i="27"/>
  <c r="I47" i="27" s="1"/>
  <c r="I48" i="27" s="1"/>
  <c r="N14" i="27"/>
  <c r="I14" i="27"/>
  <c r="I17" i="27" s="1"/>
  <c r="D17" i="27"/>
  <c r="D35" i="27" s="1"/>
  <c r="P69" i="5"/>
  <c r="P88" i="5" s="1"/>
  <c r="M15" i="23"/>
  <c r="L15" i="23"/>
  <c r="F123" i="39"/>
  <c r="F127" i="39" l="1"/>
  <c r="F126" i="39" s="1"/>
  <c r="F122" i="39"/>
  <c r="F133" i="39"/>
  <c r="C3" i="42"/>
  <c r="D48" i="27"/>
  <c r="P70" i="5"/>
  <c r="N17" i="27"/>
  <c r="S14" i="27"/>
  <c r="S17" i="27" s="1"/>
  <c r="S8" i="27"/>
  <c r="S11" i="27" s="1"/>
  <c r="C8" i="42" l="1"/>
  <c r="C9" i="42"/>
  <c r="C11" i="42"/>
  <c r="C10" i="42"/>
  <c r="C7" i="42"/>
  <c r="F135" i="39"/>
  <c r="F136" i="39" s="1"/>
  <c r="F142" i="39"/>
  <c r="P77" i="5"/>
  <c r="Q69" i="5" s="1"/>
  <c r="P82" i="5"/>
  <c r="C12" i="42" l="1"/>
  <c r="Q70" i="5"/>
  <c r="Q82" i="5" s="1"/>
  <c r="Q88" i="5"/>
  <c r="Q77" i="5" l="1"/>
  <c r="R69" i="5" s="1"/>
  <c r="R88" i="5" s="1"/>
  <c r="R70" i="5" l="1"/>
  <c r="R82" i="5" s="1"/>
  <c r="R77" i="5" l="1"/>
  <c r="S69" i="5" s="1"/>
  <c r="S88" i="5" s="1"/>
  <c r="S70" i="5" l="1"/>
  <c r="S77" i="5" s="1"/>
  <c r="T69" i="5" s="1"/>
  <c r="S82" i="5" l="1"/>
  <c r="T70" i="5"/>
  <c r="T82" i="5" s="1"/>
  <c r="T88" i="5"/>
  <c r="T77" i="5" l="1"/>
  <c r="F13" i="23"/>
  <c r="F14" i="23" s="1"/>
  <c r="F15" i="23" s="1"/>
  <c r="U69" i="5"/>
  <c r="U88" i="5" s="1"/>
  <c r="G13" i="23" l="1"/>
  <c r="G14" i="23" s="1"/>
  <c r="G15" i="23" s="1"/>
  <c r="U70" i="5"/>
  <c r="U82" i="5" s="1"/>
  <c r="U77" i="5" l="1"/>
  <c r="V69" i="5" l="1"/>
  <c r="V88" i="5" s="1"/>
  <c r="V70" i="5" l="1"/>
  <c r="V82" i="5" s="1"/>
  <c r="V77" i="5" l="1"/>
  <c r="W69" i="5" s="1"/>
  <c r="BY69" i="5" l="1"/>
  <c r="N29" i="27" s="1"/>
  <c r="N32" i="27" s="1"/>
  <c r="S32" i="27" s="1"/>
  <c r="W88" i="5"/>
  <c r="W70" i="5"/>
  <c r="W82" i="5" s="1"/>
  <c r="BW69" i="5"/>
  <c r="R27" i="24" s="1"/>
  <c r="BW88" i="5" l="1"/>
  <c r="BY88" i="5"/>
  <c r="S29" i="27"/>
  <c r="N34" i="27"/>
  <c r="S34" i="27" s="1"/>
  <c r="S35" i="27" s="1"/>
  <c r="R29" i="24"/>
  <c r="S29" i="24" s="1"/>
  <c r="R50" i="24"/>
  <c r="S27" i="24"/>
  <c r="W77" i="5"/>
  <c r="G79" i="39"/>
  <c r="G84" i="39"/>
  <c r="G87" i="39" l="1"/>
  <c r="D3" i="42" s="1"/>
  <c r="Q84" i="39"/>
  <c r="Q87" i="39" s="1"/>
  <c r="G80" i="39"/>
  <c r="Q79" i="39"/>
  <c r="Q80" i="39" s="1"/>
  <c r="G133" i="39"/>
  <c r="F18" i="41"/>
  <c r="E18" i="41" s="1"/>
  <c r="N35" i="27"/>
  <c r="N47" i="27"/>
  <c r="N48" i="27" s="1"/>
  <c r="S50" i="24"/>
  <c r="S53" i="24" s="1"/>
  <c r="S54" i="24" s="1"/>
  <c r="R53" i="24"/>
  <c r="R54" i="24" s="1"/>
  <c r="F20" i="23"/>
  <c r="BW77" i="5"/>
  <c r="Q13" i="23"/>
  <c r="G123" i="39"/>
  <c r="G122" i="39" l="1"/>
  <c r="F141" i="39" s="1"/>
  <c r="G127" i="39"/>
  <c r="F143" i="39"/>
  <c r="D6" i="41" s="1"/>
  <c r="J142" i="39"/>
  <c r="O142" i="39"/>
  <c r="K142" i="39"/>
  <c r="I142" i="39"/>
  <c r="N142" i="39"/>
  <c r="H142" i="39"/>
  <c r="P142" i="39"/>
  <c r="M142" i="39"/>
  <c r="G142" i="39"/>
  <c r="L142" i="39"/>
  <c r="G135" i="39"/>
  <c r="G136" i="39" s="1"/>
  <c r="H136" i="39" s="1"/>
  <c r="I136" i="39" s="1"/>
  <c r="J136" i="39" s="1"/>
  <c r="K136" i="39" s="1"/>
  <c r="L136" i="39" s="1"/>
  <c r="M136" i="39" s="1"/>
  <c r="N136" i="39" s="1"/>
  <c r="O136" i="39" s="1"/>
  <c r="P136" i="39" s="1"/>
  <c r="D9" i="42"/>
  <c r="D7" i="42"/>
  <c r="D8" i="42"/>
  <c r="D11" i="42"/>
  <c r="D10" i="42"/>
  <c r="E20" i="41"/>
  <c r="D17" i="41" s="1"/>
  <c r="F20" i="41"/>
  <c r="H127" i="39"/>
  <c r="G126" i="39"/>
  <c r="S47" i="27"/>
  <c r="S48" i="27" s="1"/>
  <c r="G20" i="23"/>
  <c r="G21" i="23" s="1"/>
  <c r="B14" i="23"/>
  <c r="F21" i="23"/>
  <c r="R13" i="23"/>
  <c r="R14" i="23" s="1"/>
  <c r="R15" i="23" s="1"/>
  <c r="Q14" i="23"/>
  <c r="B24" i="23"/>
  <c r="D22" i="41" l="1"/>
  <c r="G12" i="39" s="1"/>
  <c r="F6" i="41"/>
  <c r="F138" i="39"/>
  <c r="D12" i="42"/>
  <c r="I127" i="39"/>
  <c r="H126" i="39"/>
  <c r="F22" i="23"/>
  <c r="F27" i="23"/>
  <c r="F28" i="23" s="1"/>
  <c r="C13" i="20"/>
  <c r="Q15" i="23"/>
  <c r="F14" i="24"/>
  <c r="G27" i="23"/>
  <c r="G28" i="23" s="1"/>
  <c r="G22" i="23"/>
  <c r="I126" i="39" l="1"/>
  <c r="J127" i="39"/>
  <c r="K127" i="39" l="1"/>
  <c r="J126" i="39"/>
  <c r="L127" i="39" l="1"/>
  <c r="K126" i="39"/>
  <c r="M127" i="39" l="1"/>
  <c r="L126" i="39"/>
  <c r="M126" i="39" l="1"/>
  <c r="N127" i="39"/>
  <c r="N126" i="39" l="1"/>
  <c r="O127" i="39"/>
  <c r="P127" i="39" l="1"/>
  <c r="P126" i="39" s="1"/>
  <c r="O126"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3" authorId="0" shapeId="0" xr:uid="{59940E2C-C9EF-48AD-8B32-650AF01A6BF6}">
      <text>
        <r>
          <rPr>
            <sz val="9"/>
            <color indexed="81"/>
            <rFont val="Tahoma"/>
            <family val="2"/>
          </rPr>
          <t>Indicate degree of your business criticality</t>
        </r>
      </text>
    </comment>
    <comment ref="B29" authorId="0" shapeId="0" xr:uid="{E278D3A8-162D-4E22-B8FF-D14F201519AD}">
      <text>
        <r>
          <rPr>
            <b/>
            <sz val="9"/>
            <color indexed="81"/>
            <rFont val="Tahoma"/>
            <family val="2"/>
          </rPr>
          <t>Author:</t>
        </r>
        <r>
          <rPr>
            <sz val="9"/>
            <color indexed="81"/>
            <rFont val="Tahoma"/>
            <family val="2"/>
          </rPr>
          <t xml:space="preserve">
Benefits will typically start accruing after the first key release to at least seven years after the first release</t>
        </r>
      </text>
    </comment>
    <comment ref="B30" authorId="0" shapeId="0" xr:uid="{9FD2017F-4EE8-496A-9A97-17484A418F84}">
      <text>
        <r>
          <rPr>
            <b/>
            <sz val="9"/>
            <color indexed="81"/>
            <rFont val="Tahoma"/>
            <family val="2"/>
          </rPr>
          <t>Author:</t>
        </r>
        <r>
          <rPr>
            <sz val="9"/>
            <color indexed="81"/>
            <rFont val="Tahoma"/>
            <family val="2"/>
          </rPr>
          <t xml:space="preserve">
This release would mark the transition of the program to L4</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F238" authorId="0" shapeId="0" xr:uid="{00000000-0006-0000-0900-000001000000}">
      <text>
        <r>
          <rPr>
            <sz val="9"/>
            <color indexed="81"/>
            <rFont val="Tahoma"/>
            <family val="2"/>
          </rPr>
          <t>% of 'All other personnel' VoWD</t>
        </r>
      </text>
    </comment>
    <comment ref="CJ238" authorId="0" shapeId="0" xr:uid="{00000000-0006-0000-0900-000002000000}">
      <text>
        <r>
          <rPr>
            <b/>
            <sz val="9"/>
            <color indexed="81"/>
            <rFont val="Tahoma"/>
            <family val="2"/>
          </rPr>
          <t>&lt;== % of 'Professional Services' VoWD</t>
        </r>
        <r>
          <rPr>
            <sz val="9"/>
            <color indexed="81"/>
            <rFont val="Tahoma"/>
            <family val="2"/>
          </rPr>
          <t xml:space="preserve">
</t>
        </r>
      </text>
    </comment>
    <comment ref="CE239" authorId="0" shapeId="0" xr:uid="{00000000-0006-0000-0900-000003000000}">
      <text>
        <r>
          <rPr>
            <sz val="9"/>
            <color indexed="81"/>
            <rFont val="Tahoma"/>
            <family val="2"/>
          </rPr>
          <t>Total Est. 'All other personnel' VoWD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BBAC8E9C-E3C7-47EA-8CB1-6E40386223B8}">
      <text>
        <r>
          <rPr>
            <b/>
            <sz val="9"/>
            <color indexed="81"/>
            <rFont val="Tahoma"/>
            <family val="2"/>
          </rPr>
          <t>For IT Benefits and Reduced Business Costs, see detailed Cost Reductions on the 'RTB for Srvc Trans'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U6" authorId="0" shapeId="0" xr:uid="{00000000-0006-0000-0400-000001000000}">
      <text>
        <r>
          <rPr>
            <b/>
            <sz val="9"/>
            <color indexed="10"/>
            <rFont val="Tahoma"/>
            <family val="2"/>
          </rPr>
          <t>No accomodation for Agile projects</t>
        </r>
      </text>
    </comment>
    <comment ref="U20" authorId="0" shapeId="0" xr:uid="{00000000-0006-0000-0400-000002000000}">
      <text>
        <r>
          <rPr>
            <b/>
            <sz val="9"/>
            <color indexed="10"/>
            <rFont val="Tahoma"/>
            <family val="2"/>
          </rPr>
          <t>Assumption: The following Categories of Work are assumed to be included here:
  - All Resource Based Costs (T&amp;M)
  - All Professional Services
  - All Resource Based Costs (Fixed Price)
  - Training
  - Travel &amp; Expense</t>
        </r>
      </text>
    </comment>
    <comment ref="U23" authorId="0" shapeId="0" xr:uid="{00000000-0006-0000-0400-000003000000}">
      <text>
        <r>
          <rPr>
            <b/>
            <sz val="9"/>
            <color indexed="10"/>
            <rFont val="Tahoma"/>
            <family val="2"/>
          </rPr>
          <t>Recommendation from IT Finance to capture Custom Cost Categories #1-10 &amp; Shared Overhead here</t>
        </r>
      </text>
    </comment>
    <comment ref="U26" authorId="0" shapeId="0" xr:uid="{00000000-0006-0000-0400-000004000000}">
      <text>
        <r>
          <rPr>
            <b/>
            <sz val="9"/>
            <color indexed="10"/>
            <rFont val="Tahoma"/>
            <family val="2"/>
          </rPr>
          <t>Assumption: The following Categories of Work are assumed to be included here:
  - All Resource Based Costs (T&amp;M)
  - All Professional Services
  - All Resource Based Costs (Fixed Price)
  - Travel &amp; Expense</t>
        </r>
      </text>
    </comment>
    <comment ref="U30" authorId="0" shapeId="0" xr:uid="{00000000-0006-0000-0400-000005000000}">
      <text>
        <r>
          <rPr>
            <b/>
            <sz val="9"/>
            <color indexed="10"/>
            <rFont val="Tahoma"/>
            <family val="2"/>
          </rPr>
          <t>Recommendation from IT Finance to capture Custom Cost Categories #1-10 &amp; Shared Overhead here</t>
        </r>
      </text>
    </comment>
    <comment ref="A33" authorId="0" shapeId="0" xr:uid="{00000000-0006-0000-0400-000006000000}">
      <text>
        <r>
          <rPr>
            <sz val="9"/>
            <color indexed="81"/>
            <rFont val="Tahoma"/>
            <family val="2"/>
          </rPr>
          <t>from Monthly Summary Tab, by FY. For reconciliation purposes</t>
        </r>
      </text>
    </comment>
    <comment ref="A34" authorId="0" shapeId="0" xr:uid="{00000000-0006-0000-0400-000007000000}">
      <text>
        <r>
          <rPr>
            <b/>
            <sz val="9"/>
            <color indexed="81"/>
            <rFont val="Tahoma"/>
            <family val="2"/>
          </rPr>
          <t>from Monthly Summary Tab, by FY. For reconciliation purposes.</t>
        </r>
        <r>
          <rPr>
            <sz val="9"/>
            <color indexed="81"/>
            <rFont val="Tahoma"/>
            <family val="2"/>
          </rPr>
          <t xml:space="preserve">
</t>
        </r>
      </text>
    </comment>
    <comment ref="A44" authorId="0" shapeId="0" xr:uid="{00000000-0006-0000-0400-000008000000}">
      <text>
        <r>
          <rPr>
            <sz val="9"/>
            <color indexed="81"/>
            <rFont val="Tahoma"/>
            <family val="2"/>
          </rPr>
          <t>from Monthly Summary Tab, by FY. For reconciliation purposes</t>
        </r>
      </text>
    </comment>
    <comment ref="A45" authorId="0" shapeId="0" xr:uid="{00000000-0006-0000-0400-000009000000}">
      <text>
        <r>
          <rPr>
            <b/>
            <sz val="9"/>
            <color indexed="81"/>
            <rFont val="Tahoma"/>
            <family val="2"/>
          </rPr>
          <t>from Monthly Summary Tab, by FY. For reconciliation purposes.</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35" authorId="0" shapeId="0" xr:uid="{00000000-0006-0000-0700-000001000000}">
      <text>
        <r>
          <rPr>
            <b/>
            <sz val="9"/>
            <color indexed="81"/>
            <rFont val="Tahoma"/>
            <family val="2"/>
          </rPr>
          <t>Forecasted Quarterly</t>
        </r>
      </text>
    </comment>
    <comment ref="A67" authorId="0" shapeId="0" xr:uid="{00000000-0006-0000-0700-000002000000}">
      <text>
        <r>
          <rPr>
            <b/>
            <sz val="9"/>
            <color indexed="81"/>
            <rFont val="Tahoma"/>
            <family val="2"/>
          </rPr>
          <t>Forecasted Quarterly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9827D403-BC34-4CC5-97D6-43F4C8EAE410}">
      <text>
        <r>
          <rPr>
            <b/>
            <sz val="9"/>
            <color indexed="81"/>
            <rFont val="Tahoma"/>
            <family val="2"/>
          </rPr>
          <t>Can be an SQR, Front Door #, SOW, NPO, etc..</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2" authorId="0" shapeId="0" xr:uid="{5A2C821F-C1FC-460E-9C7D-D07A92EFAEFD}">
      <text>
        <r>
          <rPr>
            <b/>
            <sz val="9"/>
            <color indexed="81"/>
            <rFont val="Tahoma"/>
            <charset val="1"/>
          </rPr>
          <t>List of Values driven off of PO tab</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25258E6F-B941-46CF-AD95-35CD186B7B3A}">
      <text>
        <r>
          <rPr>
            <b/>
            <sz val="10"/>
            <color indexed="81"/>
            <rFont val="Calibri"/>
            <family val="2"/>
          </rPr>
          <t>Update these FY values to prime the available set of fiscal years.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E1327A5-6240-4AA3-A808-7986EB655C90}" odcFile="C:\Users\kolakowskik\Downloads\query.iqy" keepAlive="1" name="query" type="5" refreshedVersion="6" minRefreshableVersion="3" background="1" refreshOnLoad="1" saveData="1">
    <dbPr connection="Provider=Microsoft.Office.List.OLEDB.2.0;Data Source=&quot;&quot;;ApplicationName=Excel;Version=12.0.0.0" command="&lt;LIST&gt;&lt;VIEWGUID&gt;AAAEACA3-E7EF-476F-AE46-E35CF7D32217&lt;/VIEWGUID&gt;&lt;LISTNAME&gt;{469D3AB4-DB2B-433B-881C-EF44C20B8A1C}&lt;/LISTNAME&gt;&lt;LISTWEB&gt;https://nationalgridplc.sharepoint.com/sites/GRP-INT-US-USITEPMO/PPM/_vti_bin&lt;/LISTWEB&gt;&lt;LISTSUBWEB&gt;&lt;/LISTSUBWEB&gt;&lt;ROOTFOLDER&gt;&lt;/ROOTFOLDER&gt;&lt;/LIST&gt;" commandType="5"/>
  </connection>
  <connection id="2" xr16:uid="{E3C3575C-AE84-45EF-8FC8-453EAA85F45C}" keepAlive="1" name="SAPOrders" type="5" refreshedVersion="6" minRefreshableVersion="3" background="1" refreshOnLoad="1" saveData="1">
    <dbPr connection="Provider=Microsoft.Office.List.OLEDB.2.0;Data Source=&quot;&quot;;ApplicationName=Excel;Version=12.0.0.0" command="&lt;LIST&gt;&lt;VIEWGUID&gt;B753DF51-2158-4A64-A9E4-212581C1710B&lt;/VIEWGUID&gt;&lt;LISTNAME&gt;{DE7CA91F-4DCD-47DE-A2B1-9735A341ED68}&lt;/LISTNAME&gt;&lt;LISTWEB&gt;https://nationalgridplc.sharepoint.com/sites/GRP-INT-US-USITEPMO/PPM/_vti_bin&lt;/LISTWEB&gt;&lt;LISTSUBWEB&gt;&lt;/LISTSUBWEB&gt;&lt;ROOTFOLDER&gt;&lt;/ROOTFOLDER&gt;&lt;/LIST&gt;" commandType="5"/>
  </connection>
</connections>
</file>

<file path=xl/sharedStrings.xml><?xml version="1.0" encoding="utf-8"?>
<sst xmlns="http://schemas.openxmlformats.org/spreadsheetml/2006/main" count="93314" uniqueCount="16487">
  <si>
    <t>Apr</t>
  </si>
  <si>
    <t>May</t>
  </si>
  <si>
    <t>Jun</t>
  </si>
  <si>
    <t>Jul</t>
  </si>
  <si>
    <t>Aug</t>
  </si>
  <si>
    <t>Sep</t>
  </si>
  <si>
    <t>Oct</t>
  </si>
  <si>
    <t>Nov</t>
  </si>
  <si>
    <t>Dec</t>
  </si>
  <si>
    <t>Jan</t>
  </si>
  <si>
    <t>Feb</t>
  </si>
  <si>
    <t>Mar</t>
  </si>
  <si>
    <t>IBM</t>
  </si>
  <si>
    <t>Other</t>
  </si>
  <si>
    <t>Do not delete rows from Res Alloc tab….just blank out the data if you don't want it</t>
  </si>
  <si>
    <t>Monthly cells take FTE amounts (ex: person working 50% of the time should be entered as .50; full time assignment is entered as 1)</t>
  </si>
  <si>
    <t>Vendor</t>
  </si>
  <si>
    <t>Description</t>
  </si>
  <si>
    <t>Total</t>
  </si>
  <si>
    <t>VOWD</t>
  </si>
  <si>
    <t>Opex</t>
  </si>
  <si>
    <t>Capex</t>
  </si>
  <si>
    <t>General Notes</t>
  </si>
  <si>
    <t xml:space="preserve"> </t>
  </si>
  <si>
    <t>Investment Name:</t>
  </si>
  <si>
    <t>Project Manager:</t>
  </si>
  <si>
    <t xml:space="preserve">Yr. 1 </t>
  </si>
  <si>
    <t xml:space="preserve">Yr. 2  </t>
  </si>
  <si>
    <t xml:space="preserve">Yr. 3 </t>
  </si>
  <si>
    <t xml:space="preserve">Yr. 4 </t>
  </si>
  <si>
    <t xml:space="preserve">Yr. 5 </t>
  </si>
  <si>
    <t>Notes</t>
  </si>
  <si>
    <t>Comments</t>
  </si>
  <si>
    <t>Verizon</t>
  </si>
  <si>
    <t>Business Funded Total</t>
  </si>
  <si>
    <t>Total RTB</t>
  </si>
  <si>
    <t>Below to be completed for decommission, reduced service levels, etc that reduces status quo RTB and effective dates</t>
  </si>
  <si>
    <t>OPEX</t>
  </si>
  <si>
    <t>CAPEX</t>
  </si>
  <si>
    <t>Forecasted OPEX Totals</t>
  </si>
  <si>
    <t>Forecasted CAPEX Totals</t>
  </si>
  <si>
    <t>Grand Total</t>
  </si>
  <si>
    <t>VOWD OPEX</t>
  </si>
  <si>
    <t>VOWD CAPEX</t>
  </si>
  <si>
    <t>Remaining Forecast Opex</t>
  </si>
  <si>
    <t>Remaining Forecast Capex</t>
  </si>
  <si>
    <t>Company</t>
  </si>
  <si>
    <t>PROJECT TOTAL</t>
  </si>
  <si>
    <t>TOTAL</t>
  </si>
  <si>
    <t>SANCTIONED</t>
  </si>
  <si>
    <t>FUNDING</t>
  </si>
  <si>
    <t>Sanction Amount</t>
  </si>
  <si>
    <t>Budget</t>
  </si>
  <si>
    <t>Substitution</t>
  </si>
  <si>
    <t>SANCTION TOTAL</t>
  </si>
  <si>
    <t>FUNDING TOTAL</t>
  </si>
  <si>
    <t>DELIVERY</t>
  </si>
  <si>
    <t>Sanctioned Amount</t>
  </si>
  <si>
    <t>Internal/External Burn Rate*</t>
  </si>
  <si>
    <t>HW Leases</t>
  </si>
  <si>
    <t>HW Purchases</t>
  </si>
  <si>
    <t>Other Contracts</t>
  </si>
  <si>
    <t>Cross-Check</t>
  </si>
  <si>
    <t>Totals</t>
  </si>
  <si>
    <t>Details</t>
  </si>
  <si>
    <t>Delta</t>
  </si>
  <si>
    <t>Scroll to Cost Section</t>
  </si>
  <si>
    <t>Details Section</t>
  </si>
  <si>
    <t>All Other Costs</t>
  </si>
  <si>
    <t>Current Accruals</t>
  </si>
  <si>
    <t>SC Number</t>
  </si>
  <si>
    <t>SC Line</t>
  </si>
  <si>
    <t>SC Creation Date</t>
  </si>
  <si>
    <t>SC Product ID</t>
  </si>
  <si>
    <t>SC Line Description</t>
  </si>
  <si>
    <t>Requester</t>
  </si>
  <si>
    <t>Doc Status</t>
  </si>
  <si>
    <t>Vendor Number</t>
  </si>
  <si>
    <t>Vendor Name</t>
  </si>
  <si>
    <t>Purchase Order Amount</t>
  </si>
  <si>
    <t>PO Amount Remaining</t>
  </si>
  <si>
    <t>Status</t>
  </si>
  <si>
    <t>Total this tab</t>
  </si>
  <si>
    <t>Total Paid on Invoice tab</t>
  </si>
  <si>
    <t>Date Approved</t>
  </si>
  <si>
    <t>Invoice #</t>
  </si>
  <si>
    <t>Amount</t>
  </si>
  <si>
    <t>PO #</t>
  </si>
  <si>
    <t>Confirmation #</t>
  </si>
  <si>
    <t>Period</t>
  </si>
  <si>
    <t>Cleared In Financials</t>
  </si>
  <si>
    <t>Comment</t>
  </si>
  <si>
    <t>Opex / Capex</t>
  </si>
  <si>
    <t>Work/Internal Order Number</t>
  </si>
  <si>
    <t>Operation Code</t>
  </si>
  <si>
    <t>Company Code</t>
  </si>
  <si>
    <t xml:space="preserve">Expense Type </t>
  </si>
  <si>
    <t>Accruer's Name</t>
  </si>
  <si>
    <t>Initial Month Accrued</t>
  </si>
  <si>
    <t>Working Comments</t>
  </si>
  <si>
    <t xml:space="preserve">SAP MM Document Number </t>
  </si>
  <si>
    <t xml:space="preserve">Invoice Fiscal Year </t>
  </si>
  <si>
    <t>Invoice Date</t>
  </si>
  <si>
    <t>Formulas and calculations
Do not update</t>
  </si>
  <si>
    <t>Optional</t>
  </si>
  <si>
    <t>Invoices</t>
  </si>
  <si>
    <t>Accruals</t>
  </si>
  <si>
    <t>AFUDC</t>
  </si>
  <si>
    <t>Daily rate entered should include burdens for NG</t>
  </si>
  <si>
    <t>Business</t>
  </si>
  <si>
    <t>Summary tab and shows deltas</t>
  </si>
  <si>
    <t xml:space="preserve"> to the data from Monthly</t>
  </si>
  <si>
    <t>Compares the data on this tab</t>
  </si>
  <si>
    <t>Project Total VOWD includes</t>
  </si>
  <si>
    <t>All VOWD on Monthly Summary</t>
  </si>
  <si>
    <t>Project Tot Rem Spend incl all</t>
  </si>
  <si>
    <t>Rem Spend on Monthly Summary</t>
  </si>
  <si>
    <t>Sum of FY VOWD includes</t>
  </si>
  <si>
    <t>Sum of FY Rem Spend incl all</t>
  </si>
  <si>
    <t>Errors would be highlighted like this</t>
  </si>
  <si>
    <t>Manually entered (required)</t>
  </si>
  <si>
    <t>Manually entered
(required)</t>
  </si>
  <si>
    <t>This data can be copied and pasted from SAP e-mail indicating overdue invocies
If entering the data manually, columns with yellow highlighting represent required data</t>
  </si>
  <si>
    <t>Manually entered
Confirmation # is good practice and Work Pack (if applicable) is required
All other fields are optional</t>
  </si>
  <si>
    <t>Running Totals Section</t>
  </si>
  <si>
    <t>Resource Labor Days per month</t>
  </si>
  <si>
    <t>Enter Values from Sanction Paper and/or Investment Plan/Budget as whole numbers (i.e. Five Thousand Five Hundred is 5,500)</t>
  </si>
  <si>
    <t>AFUDC %</t>
  </si>
  <si>
    <t>&lt;== Change if project is working unique schedule</t>
  </si>
  <si>
    <t>Reduced RTB - Business (Total)</t>
  </si>
  <si>
    <t>Reduced RTB - Total</t>
  </si>
  <si>
    <t>Reduced/Removed RTB</t>
  </si>
  <si>
    <t>Incremental/New RTB</t>
  </si>
  <si>
    <t>Update below with additional RTB for this investment - along with dates of when the RTB will go into effect</t>
  </si>
  <si>
    <t>Error Check</t>
  </si>
  <si>
    <t>Likely reason for error</t>
  </si>
  <si>
    <t>Costs have been entered for a month without a Phase</t>
  </si>
  <si>
    <t>Probable Corrective Action</t>
  </si>
  <si>
    <t>Daily Rate &amp; Allocation amount entered without properly identifying Company and/or Acctng Type</t>
  </si>
  <si>
    <t>Costs entered without properly identifying Category and/or Acctng Type</t>
  </si>
  <si>
    <t>Review Area</t>
  </si>
  <si>
    <t>FY of the project</t>
  </si>
  <si>
    <t>FY of the RTB</t>
  </si>
  <si>
    <t>Value not selected for 1st FY of Project on the Variables Tab</t>
  </si>
  <si>
    <r>
      <t xml:space="preserve">Review </t>
    </r>
    <r>
      <rPr>
        <b/>
        <sz val="11"/>
        <color theme="1"/>
        <rFont val="Calibri"/>
        <family val="2"/>
        <scheme val="minor"/>
      </rPr>
      <t>Other Costs tab</t>
    </r>
    <r>
      <rPr>
        <sz val="11"/>
        <color theme="1"/>
        <rFont val="Calibri"/>
        <family val="2"/>
        <scheme val="minor"/>
      </rPr>
      <t xml:space="preserve"> to identify the rows with incomplete data
</t>
    </r>
    <r>
      <rPr>
        <b/>
        <sz val="11"/>
        <color rgb="FF0000FF"/>
        <rFont val="Calibri"/>
        <family val="2"/>
        <scheme val="minor"/>
      </rPr>
      <t>Corrective Actions (one or more may be required):</t>
    </r>
    <r>
      <rPr>
        <sz val="11"/>
        <color theme="1"/>
        <rFont val="Calibri"/>
        <family val="2"/>
        <scheme val="minor"/>
      </rPr>
      <t xml:space="preserve">
1) Enter the missing information (Company and/or Acctng Type)
2) Remove the Cost</t>
    </r>
  </si>
  <si>
    <t>RTB FY can not preceed Project FY</t>
  </si>
  <si>
    <t>SDF Phases:
Select from dropdown list</t>
  </si>
  <si>
    <t>#</t>
  </si>
  <si>
    <t>Has the Project FY been entered ?</t>
  </si>
  <si>
    <t>Has the RTB FY been entered ?</t>
  </si>
  <si>
    <t>Is the RTB FY before the Project FY ?</t>
  </si>
  <si>
    <t>Do all recorded costs flow to Financial Summary ?</t>
  </si>
  <si>
    <t>Are all resource costs properly recorded and summarized ?</t>
  </si>
  <si>
    <t>Are all other costs are properly recorded and summarized ?</t>
  </si>
  <si>
    <r>
      <rPr>
        <b/>
        <sz val="11"/>
        <color rgb="FF0000FF"/>
        <rFont val="Calibri"/>
        <family val="2"/>
        <scheme val="minor"/>
      </rPr>
      <t>Corrective Action:</t>
    </r>
    <r>
      <rPr>
        <sz val="11"/>
        <color theme="1"/>
        <rFont val="Calibri"/>
        <family val="2"/>
        <scheme val="minor"/>
      </rPr>
      <t xml:space="preserve"> Select the 1st FY for the Project on the </t>
    </r>
    <r>
      <rPr>
        <b/>
        <sz val="11"/>
        <color theme="1"/>
        <rFont val="Calibri"/>
        <family val="2"/>
        <scheme val="minor"/>
      </rPr>
      <t>Variables tab</t>
    </r>
  </si>
  <si>
    <r>
      <rPr>
        <b/>
        <sz val="11"/>
        <color rgb="FF0000FF"/>
        <rFont val="Calibri"/>
        <family val="2"/>
        <scheme val="minor"/>
      </rPr>
      <t xml:space="preserve">Corrective Actions: </t>
    </r>
    <r>
      <rPr>
        <sz val="11"/>
        <rFont val="Calibri"/>
        <family val="2"/>
        <scheme val="minor"/>
      </rPr>
      <t xml:space="preserve">Correct entry for 1st FY for the Project or 1st FY for the RTB on the </t>
    </r>
    <r>
      <rPr>
        <b/>
        <sz val="11"/>
        <rFont val="Calibri"/>
        <family val="2"/>
        <scheme val="minor"/>
      </rPr>
      <t>Variables tab</t>
    </r>
  </si>
  <si>
    <t>OUTLOOK - NET IMPACT TO IS  RTB</t>
  </si>
  <si>
    <t>OUTLOOK - NET IMPACT TO BUSINESS RTB</t>
  </si>
  <si>
    <t>Currently Forecasted IS Net Impact to RTB</t>
  </si>
  <si>
    <t>Sanctioned IS Net Impact to RTB</t>
  </si>
  <si>
    <t>IS NET IMPACT TO RTB VARIANCE</t>
  </si>
  <si>
    <t>Sanctioned Bus Net Impact to RTB</t>
  </si>
  <si>
    <t>Currently Forecasted Bus Net Impact to RTB</t>
  </si>
  <si>
    <t>BUSINESS NET IMPACT TO RTB VARIANCE</t>
  </si>
  <si>
    <t>$ millions</t>
  </si>
  <si>
    <r>
      <rPr>
        <u/>
        <sz val="11"/>
        <color indexed="8"/>
        <rFont val="Calibri"/>
        <family val="2"/>
      </rPr>
      <t>Vendor/Supplier Breakdown for 1-slide PowerPoint Summary</t>
    </r>
    <r>
      <rPr>
        <sz val="11"/>
        <color indexed="8"/>
        <rFont val="Calibri"/>
        <family val="2"/>
      </rPr>
      <t xml:space="preserve">:  In order to complete the 1-slide Summary that accompanies each Investment Paper, it is necessary to identify key vendors and the spending amounts associated with each.  The table below provides the information necessary to address this portion of the 1-Slide Summary.  </t>
    </r>
  </si>
  <si>
    <t>TOTAL Costs</t>
  </si>
  <si>
    <t>Risk Margin</t>
  </si>
  <si>
    <t>Software</t>
  </si>
  <si>
    <t>Lease</t>
  </si>
  <si>
    <t xml:space="preserve">Purchase </t>
  </si>
  <si>
    <t>Hardware</t>
  </si>
  <si>
    <t>TOTAL Personnel Costs</t>
  </si>
  <si>
    <t>All other personnel</t>
  </si>
  <si>
    <t>SDC Fixed-Price</t>
  </si>
  <si>
    <t>SDC Time &amp; Materials</t>
  </si>
  <si>
    <t>NG Resources</t>
  </si>
  <si>
    <t>Personnel</t>
  </si>
  <si>
    <t>Name of Firm(s) providing resources</t>
  </si>
  <si>
    <t>sub-category</t>
  </si>
  <si>
    <t>Cost Category</t>
  </si>
  <si>
    <t xml:space="preserve">- When is an additional footnote required?  An explanatory footnote is required if the category 'Other' is greater than $200,000.  In such an instance,  you must provide a more detailed breakdown of the costs classified as 'Other' until the value of 'Other' falls below the $200,000 threshold.  </t>
  </si>
  <si>
    <t>Removal</t>
  </si>
  <si>
    <t>OpEx</t>
  </si>
  <si>
    <t>CapEx</t>
  </si>
  <si>
    <t>Plan Funding</t>
  </si>
  <si>
    <t>Yr. 6 +</t>
  </si>
  <si>
    <t>Yr. 5</t>
  </si>
  <si>
    <t>Yr. 4</t>
  </si>
  <si>
    <t>Yr. 3</t>
  </si>
  <si>
    <t>Yr. 2</t>
  </si>
  <si>
    <t>Yr. 1</t>
  </si>
  <si>
    <t>Prior Yrs</t>
  </si>
  <si>
    <t>Spend</t>
  </si>
  <si>
    <r>
      <t xml:space="preserve">Tables and Information </t>
    </r>
    <r>
      <rPr>
        <b/>
        <u/>
        <sz val="14"/>
        <color indexed="8"/>
        <rFont val="Calibri"/>
        <family val="2"/>
      </rPr>
      <t>Required</t>
    </r>
    <r>
      <rPr>
        <b/>
        <sz val="14"/>
        <color indexed="8"/>
        <rFont val="Calibri"/>
        <family val="2"/>
      </rPr>
      <t xml:space="preserve"> for Sanction Documentation</t>
    </r>
  </si>
  <si>
    <t>Additional Investment Paper Tables - U.S.</t>
  </si>
  <si>
    <t>Hardware Purchase</t>
  </si>
  <si>
    <t>Hardware Lease</t>
  </si>
  <si>
    <t xml:space="preserve">Other </t>
  </si>
  <si>
    <t>&lt;==Overwrite generic categories to meet the needs of the project</t>
  </si>
  <si>
    <t>Inflation Rate</t>
  </si>
  <si>
    <t>Training</t>
  </si>
  <si>
    <t>US</t>
  </si>
  <si>
    <t>Wipro</t>
  </si>
  <si>
    <t>Shared Overhead</t>
  </si>
  <si>
    <t>annual wage inflation</t>
  </si>
  <si>
    <t>wage inflator applied in year 2</t>
  </si>
  <si>
    <t>wage inflator applied in year 3</t>
  </si>
  <si>
    <t>wage inflator applied in year 4</t>
  </si>
  <si>
    <t>Program Manager</t>
  </si>
  <si>
    <t>Percent</t>
  </si>
  <si>
    <t>Fixed Price</t>
  </si>
  <si>
    <t>FTC</t>
  </si>
  <si>
    <t>Has the RTB Forecast Date been entered ?</t>
  </si>
  <si>
    <r>
      <rPr>
        <b/>
        <sz val="11"/>
        <color rgb="FF0000FF"/>
        <rFont val="Calibri"/>
        <family val="2"/>
        <scheme val="minor"/>
      </rPr>
      <t>Corrective Action:</t>
    </r>
    <r>
      <rPr>
        <sz val="11"/>
        <color theme="1"/>
        <rFont val="Calibri"/>
        <family val="2"/>
        <scheme val="minor"/>
      </rPr>
      <t xml:space="preserve"> Enter the date of latest update to this workbook on the </t>
    </r>
    <r>
      <rPr>
        <b/>
        <sz val="11"/>
        <color theme="1"/>
        <rFont val="Calibri"/>
        <family val="2"/>
        <scheme val="minor"/>
      </rPr>
      <t>RTB for Srvc Tab</t>
    </r>
  </si>
  <si>
    <t>&lt;== Overwrite default percentages as needed. Applied to 'Monthly Summary' Tab Risk Margin calculations.</t>
  </si>
  <si>
    <t>FAC=VOWD+FTC</t>
  </si>
  <si>
    <t xml:space="preserve">IBM Labor </t>
  </si>
  <si>
    <t>WiPro Labor</t>
  </si>
  <si>
    <t xml:space="preserve">Verizon Labor </t>
  </si>
  <si>
    <t xml:space="preserve">Other Party Labor </t>
  </si>
  <si>
    <t>Business Labor &amp; Burdens</t>
  </si>
  <si>
    <t>Resource Based Costs (T&amp;M)</t>
  </si>
  <si>
    <t>Resource Based Costs (Fixed Price)</t>
  </si>
  <si>
    <t>Travel &amp; Expense</t>
  </si>
  <si>
    <t>Project Cost Breakdown $ (millions)</t>
  </si>
  <si>
    <t>Accounting Type</t>
  </si>
  <si>
    <t>INV ID:</t>
  </si>
  <si>
    <t xml:space="preserve">INV ID </t>
  </si>
  <si>
    <t>Investment Name</t>
  </si>
  <si>
    <t xml:space="preserve">AFUDC </t>
  </si>
  <si>
    <t>Risk</t>
  </si>
  <si>
    <t xml:space="preserve">Total </t>
  </si>
  <si>
    <t>wage inflator applied in year 5</t>
  </si>
  <si>
    <t>wage inflator applied in year 6</t>
  </si>
  <si>
    <t>% VoWD of Other Party Labor (T&amp;M)</t>
  </si>
  <si>
    <t>% VoWD of Other Party Labor (FP)</t>
  </si>
  <si>
    <t>% of Rem. Other Costs</t>
  </si>
  <si>
    <t>&lt;== % of 'All other personnel' VoWD</t>
  </si>
  <si>
    <t>Variance to Proj Cost Breakdown</t>
  </si>
  <si>
    <t>Hardware Purchase Calculations</t>
  </si>
  <si>
    <t>Hardware Lease Calculations</t>
  </si>
  <si>
    <t>Software Calculations</t>
  </si>
  <si>
    <t>Remaining Other Costs Calculations</t>
  </si>
  <si>
    <t>Fixed Price Calculations</t>
  </si>
  <si>
    <t>Professional Services Calculations</t>
  </si>
  <si>
    <t>Rates here will be applied to 'Resource Costs' tab calculations.</t>
  </si>
  <si>
    <t>All Other Personnel VoWD Calculations</t>
  </si>
  <si>
    <t>&lt;= Enter the VoWD for the Shared Overheads here to back it out from the allocation of the 'Other' Cost Category VoWD</t>
  </si>
  <si>
    <t>SANCTIONING NUMBER</t>
  </si>
  <si>
    <t>Current Sanction Period</t>
  </si>
  <si>
    <t>TOTAL PROJECTED  VARIANCE</t>
  </si>
  <si>
    <t>VOWD (Past current Sanction)</t>
  </si>
  <si>
    <t>VARIANCE TO FY FUNDING</t>
  </si>
  <si>
    <t>VARIANCE TO SANCTION</t>
  </si>
  <si>
    <t>Budgeted Amount</t>
  </si>
  <si>
    <t>Figures as of</t>
  </si>
  <si>
    <t>No Sanctioning Period has been selected</t>
  </si>
  <si>
    <t>Have the Sanction dates been indicated?</t>
  </si>
  <si>
    <t>No "Yes" has been selected in Timeline on Variables tab</t>
  </si>
  <si>
    <r>
      <rPr>
        <b/>
        <sz val="11"/>
        <color rgb="FF0000FF"/>
        <rFont val="Calibri"/>
        <family val="2"/>
        <scheme val="minor"/>
      </rPr>
      <t>Corrective Action:</t>
    </r>
    <r>
      <rPr>
        <sz val="11"/>
        <color theme="1"/>
        <rFont val="Calibri"/>
        <family val="2"/>
        <scheme val="minor"/>
      </rPr>
      <t xml:space="preserve"> Select the "Yes" option for months which Sanctioning activities will begin on the </t>
    </r>
    <r>
      <rPr>
        <b/>
        <sz val="11"/>
        <color theme="1"/>
        <rFont val="Calibri"/>
        <family val="2"/>
        <scheme val="minor"/>
      </rPr>
      <t>Variables tab</t>
    </r>
  </si>
  <si>
    <t>Remaining Forecast Opex NO RISK</t>
  </si>
  <si>
    <t>AFUDC on Risk</t>
  </si>
  <si>
    <t>Opex Risk</t>
  </si>
  <si>
    <t>Capex Risk</t>
  </si>
  <si>
    <t>App Support - IBM</t>
  </si>
  <si>
    <t>App Support - Other</t>
  </si>
  <si>
    <t xml:space="preserve">COE Support - NG </t>
  </si>
  <si>
    <t>Telcom/Network Services - Verizon</t>
  </si>
  <si>
    <t>Telcom/Network Services - Other</t>
  </si>
  <si>
    <t>Managed Hosting Services - Other</t>
  </si>
  <si>
    <t>Cloud Core Infrastructure Costs</t>
  </si>
  <si>
    <t xml:space="preserve">Cloud Core Infrastructure Support </t>
  </si>
  <si>
    <t xml:space="preserve">Cloud Infrastructure Hosting Costs (per app) </t>
  </si>
  <si>
    <t>Cloud Infrastructure Support Costs (per app)</t>
  </si>
  <si>
    <t xml:space="preserve">DaaS Infrastructure Hosting Costs  </t>
  </si>
  <si>
    <t xml:space="preserve">DaaS Infrastructure Support Costs </t>
  </si>
  <si>
    <t>Software Subscription License</t>
  </si>
  <si>
    <t>Client Services (Laptops, Desktops, etc)</t>
  </si>
  <si>
    <t>RTB Forecast Date</t>
  </si>
  <si>
    <t>Cannot be in the Future!</t>
  </si>
  <si>
    <t>Business Consultant</t>
  </si>
  <si>
    <t>DR&amp;S</t>
  </si>
  <si>
    <t>Effective Date of Reduction</t>
  </si>
  <si>
    <t>Forecast date not entered (or entered as future date) on the RTB for Srvc Trans Tab</t>
  </si>
  <si>
    <t xml:space="preserve">Cloud Core Infrastructure Costs </t>
  </si>
  <si>
    <t>Date RTB Last Forecasted</t>
  </si>
  <si>
    <t>Value of Work to Date (VOWD)</t>
  </si>
  <si>
    <t>Forecast to Complete (FTC)</t>
  </si>
  <si>
    <t>Forecast At Completion (FAC=VOWD+FTC)</t>
  </si>
  <si>
    <r>
      <rPr>
        <b/>
        <sz val="11"/>
        <color rgb="FF0000FF"/>
        <rFont val="Calibri"/>
        <family val="2"/>
        <scheme val="minor"/>
      </rPr>
      <t>Corrective Action:</t>
    </r>
    <r>
      <rPr>
        <sz val="11"/>
        <color theme="1"/>
        <rFont val="Calibri"/>
        <family val="2"/>
        <scheme val="minor"/>
      </rPr>
      <t xml:space="preserve"> Select the Current Sanction Period for the Project on the </t>
    </r>
    <r>
      <rPr>
        <b/>
        <sz val="11"/>
        <color theme="1"/>
        <rFont val="Calibri"/>
        <family val="2"/>
        <scheme val="minor"/>
      </rPr>
      <t>Variables tab</t>
    </r>
  </si>
  <si>
    <t>Has the Current Sanction Period been selected?</t>
  </si>
  <si>
    <t>PRIOR FYs</t>
  </si>
  <si>
    <t>Shared Overhead Rate</t>
  </si>
  <si>
    <t>Remaining Forecast Capex NO RISK</t>
  </si>
  <si>
    <t>Risk Margin by Sanction Period</t>
  </si>
  <si>
    <t>Total Risk</t>
  </si>
  <si>
    <t>Sanction Event:
Select Yes in months where Sanction Period Begins</t>
  </si>
  <si>
    <t>Sanction Period Ranges:</t>
  </si>
  <si>
    <t>VOWD: Update these cells when you are preparing for sanctioning. Enter amounts in millions (i.e. Fifteen Thousand would be entered as 0.015). Entering a value will clear the color fill.  Enter 0.000 if there is no VoWD.</t>
  </si>
  <si>
    <t>Is all information entered on the RTB tab correctly?</t>
  </si>
  <si>
    <t>Information is missing on detail row(s) of the RTB Tab</t>
  </si>
  <si>
    <r>
      <rPr>
        <b/>
        <sz val="11"/>
        <color rgb="FF0000FF"/>
        <rFont val="Calibri"/>
        <family val="2"/>
        <scheme val="minor"/>
      </rPr>
      <t>Corrective Action:</t>
    </r>
    <r>
      <rPr>
        <sz val="11"/>
        <color theme="1"/>
        <rFont val="Calibri"/>
        <family val="2"/>
        <scheme val="minor"/>
      </rPr>
      <t xml:space="preserve">
Refer to the error checking (Col. A) of the RTB Tab. Enter any missing information (Vendor, Funding Source, Effective Date, Comments) on the </t>
    </r>
    <r>
      <rPr>
        <b/>
        <sz val="11"/>
        <color theme="1"/>
        <rFont val="Calibri"/>
        <family val="2"/>
        <scheme val="minor"/>
      </rPr>
      <t>RTB tab</t>
    </r>
    <r>
      <rPr>
        <sz val="11"/>
        <color theme="1"/>
        <rFont val="Calibri"/>
        <family val="2"/>
        <scheme val="minor"/>
      </rPr>
      <t>.</t>
    </r>
  </si>
  <si>
    <t>Effective Date of RTB</t>
  </si>
  <si>
    <t>US Financials Site</t>
  </si>
  <si>
    <t>Financial Workbook Site</t>
  </si>
  <si>
    <t>Some Helpful Links…</t>
  </si>
  <si>
    <t>FTC (for current Sanction)</t>
  </si>
  <si>
    <t xml:space="preserve">Unsanctioned Amount </t>
  </si>
  <si>
    <t>Remaining portion of potential investment</t>
  </si>
  <si>
    <t>FTC (Past current Sanction)</t>
  </si>
  <si>
    <t>VARIANCE TO UNSANCTIONED</t>
  </si>
  <si>
    <t xml:space="preserve">TOTAL SANCTIONED + UNSANCTIONED </t>
  </si>
  <si>
    <t>FAC TOTAL</t>
  </si>
  <si>
    <t>FAC TOTAL (for current Sanction)</t>
  </si>
  <si>
    <t>FAC Total (Past current Sanction)</t>
  </si>
  <si>
    <t>Incorrect Group used on the detail row(s) of the Other Costs Tab</t>
  </si>
  <si>
    <r>
      <rPr>
        <b/>
        <sz val="11"/>
        <color rgb="FF0000FF"/>
        <rFont val="Calibri"/>
        <family val="2"/>
        <scheme val="minor"/>
      </rPr>
      <t>Corrective Action:</t>
    </r>
    <r>
      <rPr>
        <sz val="11"/>
        <color theme="1"/>
        <rFont val="Calibri"/>
        <family val="2"/>
        <scheme val="minor"/>
      </rPr>
      <t xml:space="preserve">
Refer to the highlighted cell(s) in (Col. C) of the </t>
    </r>
    <r>
      <rPr>
        <b/>
        <sz val="11"/>
        <color theme="1"/>
        <rFont val="Calibri"/>
        <family val="2"/>
        <scheme val="minor"/>
      </rPr>
      <t>Other Costs Tab</t>
    </r>
    <r>
      <rPr>
        <sz val="11"/>
        <color theme="1"/>
        <rFont val="Calibri"/>
        <family val="2"/>
        <scheme val="minor"/>
      </rPr>
      <t>. Choose the correct Group.</t>
    </r>
  </si>
  <si>
    <t>Has the correct Group been used on the Other Costs Tab?</t>
  </si>
  <si>
    <t>&lt;= Should match Financial Summary Total (G27)</t>
  </si>
  <si>
    <t xml:space="preserve">% VoWD of Hardware Purchase </t>
  </si>
  <si>
    <t>% VoWD of Hardware Lease</t>
  </si>
  <si>
    <t>% VoWD of Software</t>
  </si>
  <si>
    <r>
      <t xml:space="preserve">Review </t>
    </r>
    <r>
      <rPr>
        <b/>
        <sz val="11"/>
        <color theme="1"/>
        <rFont val="Calibri"/>
        <family val="2"/>
        <scheme val="minor"/>
      </rPr>
      <t>Monthly Summary tab</t>
    </r>
    <r>
      <rPr>
        <sz val="11"/>
        <color theme="1"/>
        <rFont val="Calibri"/>
        <family val="2"/>
        <scheme val="minor"/>
      </rPr>
      <t xml:space="preserve"> to identify month with costs and with phase
</t>
    </r>
    <r>
      <rPr>
        <b/>
        <sz val="11"/>
        <color rgb="FF0000FF"/>
        <rFont val="Calibri"/>
        <family val="2"/>
        <scheme val="minor"/>
      </rPr>
      <t>Corrective Actions (one or more may be required):</t>
    </r>
    <r>
      <rPr>
        <sz val="11"/>
        <color theme="1"/>
        <rFont val="Calibri"/>
        <family val="2"/>
        <scheme val="minor"/>
      </rPr>
      <t xml:space="preserve">
1) Select a phase for that month via the Variables tab
2) Eliminate allocations from the Resource Costs tab or costs from the Other Costs tab for the month(s) without a phase
3) Move allocations from the Resource Costs tab or costs from the Other Costs tab to month(s) with a phase                                                                                                                     4)  #VALUE! error: Remove any non-numeric Allocation Amount that you entered on Resource Costs tab      </t>
    </r>
  </si>
  <si>
    <t>Investment Short Form Project Cost Breakdown</t>
  </si>
  <si>
    <t>Mapping Guidance from the Financial Workbook to the Short Form Tables</t>
  </si>
  <si>
    <t>The table below can be copied and pasted as image into the Short Form</t>
  </si>
  <si>
    <t xml:space="preserve">Prior </t>
  </si>
  <si>
    <t>FY 1</t>
  </si>
  <si>
    <t>FY 2</t>
  </si>
  <si>
    <t>FY 3</t>
  </si>
  <si>
    <t>FY 4</t>
  </si>
  <si>
    <t>FY 5</t>
  </si>
  <si>
    <t>FY 6</t>
  </si>
  <si>
    <t>During Startup (Partial Sanction; F&amp;A Full Sanction)</t>
  </si>
  <si>
    <t>Full Sanction (D&amp;I)</t>
  </si>
  <si>
    <t>FYs</t>
  </si>
  <si>
    <r>
      <rPr>
        <b/>
        <u/>
        <sz val="10"/>
        <color rgb="FFFF0000"/>
        <rFont val="Arial"/>
        <family val="2"/>
      </rPr>
      <t>NOTE</t>
    </r>
    <r>
      <rPr>
        <b/>
        <sz val="10"/>
        <color rgb="FFFF0000"/>
        <rFont val="Arial"/>
        <family val="2"/>
      </rPr>
      <t>:  All values taken from the Monthly Summary need to be divided by 1,000,000 to convert to $M</t>
    </r>
  </si>
  <si>
    <t>Start-Up OPEX</t>
  </si>
  <si>
    <t>&lt;==</t>
  </si>
  <si>
    <r>
      <rPr>
        <b/>
        <sz val="10"/>
        <color theme="1"/>
        <rFont val="Arial"/>
        <family val="2"/>
      </rPr>
      <t>Sum(Rows 8 --&gt; 43)</t>
    </r>
    <r>
      <rPr>
        <sz val="10"/>
        <color theme="1"/>
        <rFont val="Arial"/>
        <family val="2"/>
      </rPr>
      <t xml:space="preserve"> of the </t>
    </r>
    <r>
      <rPr>
        <b/>
        <sz val="10"/>
        <color rgb="FF0070C0"/>
        <rFont val="Arial"/>
        <family val="2"/>
      </rPr>
      <t>Monthly Summary</t>
    </r>
    <r>
      <rPr>
        <sz val="10"/>
        <color theme="1"/>
        <rFont val="Arial"/>
        <family val="2"/>
      </rPr>
      <t xml:space="preserve"> tab for </t>
    </r>
    <r>
      <rPr>
        <b/>
        <sz val="10"/>
        <color theme="1"/>
        <rFont val="Arial"/>
        <family val="2"/>
      </rPr>
      <t>Start</t>
    </r>
    <r>
      <rPr>
        <sz val="10"/>
        <color theme="1"/>
        <rFont val="Arial"/>
        <family val="2"/>
      </rPr>
      <t xml:space="preserve"> Phase by FY</t>
    </r>
  </si>
  <si>
    <r>
      <t xml:space="preserve">Data from </t>
    </r>
    <r>
      <rPr>
        <b/>
        <sz val="10"/>
        <color theme="1"/>
        <rFont val="Arial"/>
        <family val="2"/>
      </rPr>
      <t>row 90</t>
    </r>
    <r>
      <rPr>
        <sz val="10"/>
        <color theme="1"/>
        <rFont val="Arial"/>
        <family val="2"/>
      </rPr>
      <t xml:space="preserve"> of the </t>
    </r>
    <r>
      <rPr>
        <b/>
        <sz val="10"/>
        <color rgb="FF0070C0"/>
        <rFont val="Arial"/>
        <family val="2"/>
      </rPr>
      <t>Monthly Summary</t>
    </r>
    <r>
      <rPr>
        <sz val="10"/>
        <color theme="1"/>
        <rFont val="Arial"/>
        <family val="2"/>
      </rPr>
      <t xml:space="preserve"> tab for </t>
    </r>
    <r>
      <rPr>
        <b/>
        <sz val="10"/>
        <color theme="1"/>
        <rFont val="Arial"/>
        <family val="2"/>
      </rPr>
      <t>Start</t>
    </r>
    <r>
      <rPr>
        <sz val="10"/>
        <color theme="1"/>
        <rFont val="Arial"/>
        <family val="2"/>
      </rPr>
      <t xml:space="preserve"> Phase by FY</t>
    </r>
  </si>
  <si>
    <t>Start-Up CAPEX</t>
  </si>
  <si>
    <r>
      <rPr>
        <b/>
        <sz val="10"/>
        <color theme="1"/>
        <rFont val="Arial"/>
        <family val="2"/>
      </rPr>
      <t>Sum(Rows 49 --&gt; 82) + Row 84</t>
    </r>
    <r>
      <rPr>
        <sz val="10"/>
        <color theme="1"/>
        <rFont val="Arial"/>
        <family val="2"/>
      </rPr>
      <t xml:space="preserve"> of the </t>
    </r>
    <r>
      <rPr>
        <b/>
        <sz val="10"/>
        <color rgb="FF0070C0"/>
        <rFont val="Arial"/>
        <family val="2"/>
      </rPr>
      <t>Monthly Summary</t>
    </r>
    <r>
      <rPr>
        <sz val="10"/>
        <color theme="1"/>
        <rFont val="Arial"/>
        <family val="2"/>
      </rPr>
      <t xml:space="preserve"> tab for </t>
    </r>
    <r>
      <rPr>
        <b/>
        <sz val="10"/>
        <color theme="1"/>
        <rFont val="Arial"/>
        <family val="2"/>
      </rPr>
      <t>Start</t>
    </r>
    <r>
      <rPr>
        <sz val="10"/>
        <color theme="1"/>
        <rFont val="Arial"/>
        <family val="2"/>
      </rPr>
      <t xml:space="preserve"> Phase by FY</t>
    </r>
  </si>
  <si>
    <r>
      <t xml:space="preserve">Data from </t>
    </r>
    <r>
      <rPr>
        <b/>
        <sz val="10"/>
        <color theme="1"/>
        <rFont val="Arial"/>
        <family val="2"/>
      </rPr>
      <t>row 89</t>
    </r>
    <r>
      <rPr>
        <sz val="10"/>
        <color theme="1"/>
        <rFont val="Arial"/>
        <family val="2"/>
      </rPr>
      <t xml:space="preserve"> of the </t>
    </r>
    <r>
      <rPr>
        <b/>
        <sz val="10"/>
        <color rgb="FF0070C0"/>
        <rFont val="Arial"/>
        <family val="2"/>
      </rPr>
      <t>Monthly Summary</t>
    </r>
    <r>
      <rPr>
        <sz val="10"/>
        <color theme="1"/>
        <rFont val="Arial"/>
        <family val="2"/>
      </rPr>
      <t xml:space="preserve"> tab for </t>
    </r>
    <r>
      <rPr>
        <b/>
        <sz val="10"/>
        <color theme="1"/>
        <rFont val="Arial"/>
        <family val="2"/>
      </rPr>
      <t>Start</t>
    </r>
    <r>
      <rPr>
        <sz val="10"/>
        <color theme="1"/>
        <rFont val="Arial"/>
        <family val="2"/>
      </rPr>
      <t xml:space="preserve"> Phase by FY</t>
    </r>
  </si>
  <si>
    <t>Start-Up - Risk OPEX</t>
  </si>
  <si>
    <r>
      <t xml:space="preserve">Combine </t>
    </r>
    <r>
      <rPr>
        <b/>
        <sz val="10"/>
        <color theme="1"/>
        <rFont val="Arial"/>
        <family val="2"/>
      </rPr>
      <t>Start</t>
    </r>
    <r>
      <rPr>
        <sz val="10"/>
        <color theme="1"/>
        <rFont val="Arial"/>
        <family val="2"/>
      </rPr>
      <t xml:space="preserve"> Phase data from </t>
    </r>
    <r>
      <rPr>
        <b/>
        <sz val="10"/>
        <color theme="1"/>
        <rFont val="Arial"/>
        <family val="2"/>
      </rPr>
      <t xml:space="preserve">row 44 </t>
    </r>
    <r>
      <rPr>
        <sz val="10"/>
        <color theme="1"/>
        <rFont val="Arial"/>
        <family val="2"/>
      </rPr>
      <t xml:space="preserve">of the </t>
    </r>
    <r>
      <rPr>
        <b/>
        <sz val="10"/>
        <color rgb="FF0070C0"/>
        <rFont val="Arial"/>
        <family val="2"/>
      </rPr>
      <t>Monthly Summary</t>
    </r>
    <r>
      <rPr>
        <sz val="10"/>
        <color theme="1"/>
        <rFont val="Arial"/>
        <family val="2"/>
      </rPr>
      <t xml:space="preserve"> tab by FY</t>
    </r>
  </si>
  <si>
    <r>
      <t xml:space="preserve">Enter </t>
    </r>
    <r>
      <rPr>
        <b/>
        <sz val="10"/>
        <color theme="1"/>
        <rFont val="Arial"/>
        <family val="2"/>
      </rPr>
      <t>0.000</t>
    </r>
  </si>
  <si>
    <t>Start-Up - Risk CAPEX</t>
  </si>
  <si>
    <r>
      <t xml:space="preserve">Combine </t>
    </r>
    <r>
      <rPr>
        <b/>
        <sz val="10"/>
        <color theme="1"/>
        <rFont val="Arial"/>
        <family val="2"/>
      </rPr>
      <t>Start</t>
    </r>
    <r>
      <rPr>
        <sz val="10"/>
        <color theme="1"/>
        <rFont val="Arial"/>
        <family val="2"/>
      </rPr>
      <t xml:space="preserve"> Phase data from </t>
    </r>
    <r>
      <rPr>
        <b/>
        <sz val="10"/>
        <color theme="1"/>
        <rFont val="Arial"/>
        <family val="2"/>
      </rPr>
      <t>row 83</t>
    </r>
    <r>
      <rPr>
        <sz val="10"/>
        <color theme="1"/>
        <rFont val="Arial"/>
        <family val="2"/>
      </rPr>
      <t xml:space="preserve"> of the </t>
    </r>
    <r>
      <rPr>
        <b/>
        <sz val="10"/>
        <color rgb="FF0070C0"/>
        <rFont val="Arial"/>
        <family val="2"/>
      </rPr>
      <t>Monthly Summary</t>
    </r>
    <r>
      <rPr>
        <sz val="10"/>
        <color theme="1"/>
        <rFont val="Arial"/>
        <family val="2"/>
      </rPr>
      <t xml:space="preserve"> tab by FY</t>
    </r>
  </si>
  <si>
    <t>Start-Up SUBTOTAL</t>
  </si>
  <si>
    <t>R&amp;D  OPEX</t>
  </si>
  <si>
    <r>
      <rPr>
        <b/>
        <sz val="10"/>
        <color theme="1"/>
        <rFont val="Arial"/>
        <family val="2"/>
      </rPr>
      <t>Sum(Rows 8 --&gt; 43)</t>
    </r>
    <r>
      <rPr>
        <sz val="10"/>
        <color theme="1"/>
        <rFont val="Arial"/>
        <family val="2"/>
      </rPr>
      <t xml:space="preserve"> of the </t>
    </r>
    <r>
      <rPr>
        <b/>
        <sz val="10"/>
        <color rgb="FF0070C0"/>
        <rFont val="Arial"/>
        <family val="2"/>
      </rPr>
      <t>Monthly Summary</t>
    </r>
    <r>
      <rPr>
        <sz val="10"/>
        <color theme="1"/>
        <rFont val="Arial"/>
        <family val="2"/>
      </rPr>
      <t xml:space="preserve"> tab for </t>
    </r>
    <r>
      <rPr>
        <b/>
        <sz val="10"/>
        <color theme="1"/>
        <rFont val="Arial"/>
        <family val="2"/>
      </rPr>
      <t>Req &amp; Des</t>
    </r>
    <r>
      <rPr>
        <sz val="10"/>
        <color theme="1"/>
        <rFont val="Arial"/>
        <family val="2"/>
      </rPr>
      <t xml:space="preserve"> Phases by FY</t>
    </r>
  </si>
  <si>
    <r>
      <t xml:space="preserve">Data from </t>
    </r>
    <r>
      <rPr>
        <b/>
        <sz val="10"/>
        <color theme="1"/>
        <rFont val="Arial"/>
        <family val="2"/>
      </rPr>
      <t>row 90</t>
    </r>
    <r>
      <rPr>
        <sz val="10"/>
        <color theme="1"/>
        <rFont val="Arial"/>
        <family val="2"/>
      </rPr>
      <t xml:space="preserve"> of the </t>
    </r>
    <r>
      <rPr>
        <b/>
        <sz val="10"/>
        <color rgb="FF0070C0"/>
        <rFont val="Arial"/>
        <family val="2"/>
      </rPr>
      <t>Monthly Summary</t>
    </r>
    <r>
      <rPr>
        <sz val="10"/>
        <color theme="1"/>
        <rFont val="Arial"/>
        <family val="2"/>
      </rPr>
      <t xml:space="preserve"> tab for </t>
    </r>
    <r>
      <rPr>
        <b/>
        <sz val="10"/>
        <color theme="1"/>
        <rFont val="Arial"/>
        <family val="2"/>
      </rPr>
      <t>Req &amp; Des</t>
    </r>
    <r>
      <rPr>
        <sz val="10"/>
        <color theme="1"/>
        <rFont val="Arial"/>
        <family val="2"/>
      </rPr>
      <t xml:space="preserve"> Phases by FY</t>
    </r>
  </si>
  <si>
    <t>R&amp;D  CAPEX</t>
  </si>
  <si>
    <r>
      <rPr>
        <b/>
        <sz val="10"/>
        <color theme="1"/>
        <rFont val="Arial"/>
        <family val="2"/>
      </rPr>
      <t>Sum(Rows 49 --&gt; 82) + Row 84</t>
    </r>
    <r>
      <rPr>
        <sz val="10"/>
        <color theme="1"/>
        <rFont val="Arial"/>
        <family val="2"/>
      </rPr>
      <t xml:space="preserve"> on the </t>
    </r>
    <r>
      <rPr>
        <b/>
        <sz val="10"/>
        <color rgb="FF0070C0"/>
        <rFont val="Arial"/>
        <family val="2"/>
      </rPr>
      <t>Monthly Summary</t>
    </r>
    <r>
      <rPr>
        <sz val="10"/>
        <color theme="1"/>
        <rFont val="Arial"/>
        <family val="2"/>
      </rPr>
      <t xml:space="preserve"> tab for </t>
    </r>
    <r>
      <rPr>
        <b/>
        <sz val="10"/>
        <color theme="1"/>
        <rFont val="Arial"/>
        <family val="2"/>
      </rPr>
      <t>Req &amp; Des</t>
    </r>
    <r>
      <rPr>
        <sz val="10"/>
        <color theme="1"/>
        <rFont val="Arial"/>
        <family val="2"/>
      </rPr>
      <t xml:space="preserve"> Phases by FY</t>
    </r>
  </si>
  <si>
    <r>
      <t xml:space="preserve">Data from </t>
    </r>
    <r>
      <rPr>
        <b/>
        <sz val="10"/>
        <color theme="1"/>
        <rFont val="Arial"/>
        <family val="2"/>
      </rPr>
      <t>row 89</t>
    </r>
    <r>
      <rPr>
        <sz val="10"/>
        <color theme="1"/>
        <rFont val="Arial"/>
        <family val="2"/>
      </rPr>
      <t xml:space="preserve"> of the </t>
    </r>
    <r>
      <rPr>
        <b/>
        <sz val="10"/>
        <color rgb="FF0070C0"/>
        <rFont val="Arial"/>
        <family val="2"/>
      </rPr>
      <t>Monthly Summary</t>
    </r>
    <r>
      <rPr>
        <sz val="10"/>
        <color theme="1"/>
        <rFont val="Arial"/>
        <family val="2"/>
      </rPr>
      <t xml:space="preserve"> tab for </t>
    </r>
    <r>
      <rPr>
        <b/>
        <sz val="10"/>
        <color theme="1"/>
        <rFont val="Arial"/>
        <family val="2"/>
      </rPr>
      <t>Req &amp; Des</t>
    </r>
    <r>
      <rPr>
        <sz val="10"/>
        <color theme="1"/>
        <rFont val="Arial"/>
        <family val="2"/>
      </rPr>
      <t xml:space="preserve"> Phases by FY</t>
    </r>
  </si>
  <si>
    <t>R&amp;D Risk  OPEX</t>
  </si>
  <si>
    <r>
      <t xml:space="preserve">Combine </t>
    </r>
    <r>
      <rPr>
        <b/>
        <sz val="10"/>
        <color theme="1"/>
        <rFont val="Arial"/>
        <family val="2"/>
      </rPr>
      <t>Req &amp; Des</t>
    </r>
    <r>
      <rPr>
        <sz val="10"/>
        <color theme="1"/>
        <rFont val="Arial"/>
        <family val="2"/>
      </rPr>
      <t xml:space="preserve"> Phases data from </t>
    </r>
    <r>
      <rPr>
        <b/>
        <sz val="10"/>
        <color theme="1"/>
        <rFont val="Arial"/>
        <family val="2"/>
      </rPr>
      <t xml:space="preserve">row 44 </t>
    </r>
    <r>
      <rPr>
        <sz val="10"/>
        <color theme="1"/>
        <rFont val="Arial"/>
        <family val="2"/>
      </rPr>
      <t xml:space="preserve">on the </t>
    </r>
    <r>
      <rPr>
        <b/>
        <sz val="10"/>
        <color rgb="FF0070C0"/>
        <rFont val="Arial"/>
        <family val="2"/>
      </rPr>
      <t>Monthly Summary</t>
    </r>
    <r>
      <rPr>
        <sz val="10"/>
        <color theme="1"/>
        <rFont val="Arial"/>
        <family val="2"/>
      </rPr>
      <t xml:space="preserve"> tab by FY</t>
    </r>
  </si>
  <si>
    <t>R&amp;D Risk  CAPEX</t>
  </si>
  <si>
    <r>
      <t xml:space="preserve">Combine </t>
    </r>
    <r>
      <rPr>
        <b/>
        <sz val="10"/>
        <color theme="1"/>
        <rFont val="Arial"/>
        <family val="2"/>
      </rPr>
      <t>Req &amp; Des</t>
    </r>
    <r>
      <rPr>
        <sz val="10"/>
        <color theme="1"/>
        <rFont val="Arial"/>
        <family val="2"/>
      </rPr>
      <t xml:space="preserve"> Phases data from </t>
    </r>
    <r>
      <rPr>
        <b/>
        <sz val="10"/>
        <color theme="1"/>
        <rFont val="Arial"/>
        <family val="2"/>
      </rPr>
      <t>row 83</t>
    </r>
    <r>
      <rPr>
        <sz val="10"/>
        <color theme="1"/>
        <rFont val="Arial"/>
        <family val="2"/>
      </rPr>
      <t xml:space="preserve"> on the </t>
    </r>
    <r>
      <rPr>
        <b/>
        <sz val="10"/>
        <color rgb="FF0070C0"/>
        <rFont val="Arial"/>
        <family val="2"/>
      </rPr>
      <t>Monthly Summary</t>
    </r>
    <r>
      <rPr>
        <sz val="10"/>
        <color theme="1"/>
        <rFont val="Arial"/>
        <family val="2"/>
      </rPr>
      <t xml:space="preserve"> tab by FY</t>
    </r>
  </si>
  <si>
    <t>R&amp;D SUBTOTAL</t>
  </si>
  <si>
    <t>Development &amp; Implementation – OPEX</t>
  </si>
  <si>
    <t>People</t>
  </si>
  <si>
    <r>
      <rPr>
        <b/>
        <sz val="10"/>
        <color theme="1"/>
        <rFont val="Arial"/>
        <family val="2"/>
      </rPr>
      <t>Sum(Rows 8 --&gt; 26, 31, 32)</t>
    </r>
    <r>
      <rPr>
        <sz val="10"/>
        <color theme="1"/>
        <rFont val="Arial"/>
        <family val="2"/>
      </rPr>
      <t xml:space="preserve"> for the </t>
    </r>
    <r>
      <rPr>
        <b/>
        <sz val="10"/>
        <color theme="1"/>
        <rFont val="Arial"/>
        <family val="2"/>
      </rPr>
      <t>Dev, Impl, PIS, Close</t>
    </r>
    <r>
      <rPr>
        <sz val="10"/>
        <color theme="1"/>
        <rFont val="Arial"/>
        <family val="2"/>
      </rPr>
      <t xml:space="preserve"> Phases data</t>
    </r>
    <r>
      <rPr>
        <b/>
        <sz val="10"/>
        <color theme="1"/>
        <rFont val="Arial"/>
        <family val="2"/>
      </rPr>
      <t xml:space="preserve"> </t>
    </r>
    <r>
      <rPr>
        <sz val="10"/>
        <color theme="1"/>
        <rFont val="Arial"/>
        <family val="2"/>
      </rPr>
      <t xml:space="preserve">on the </t>
    </r>
    <r>
      <rPr>
        <b/>
        <sz val="10"/>
        <color rgb="FF0070C0"/>
        <rFont val="Arial"/>
        <family val="2"/>
      </rPr>
      <t>Monthly Summary</t>
    </r>
    <r>
      <rPr>
        <sz val="10"/>
        <color theme="1"/>
        <rFont val="Arial"/>
        <family val="2"/>
      </rPr>
      <t xml:space="preserve"> tab by FY</t>
    </r>
  </si>
  <si>
    <r>
      <rPr>
        <b/>
        <sz val="10"/>
        <color theme="1"/>
        <rFont val="Arial"/>
        <family val="2"/>
      </rPr>
      <t>Row 30</t>
    </r>
    <r>
      <rPr>
        <sz val="10"/>
        <color theme="1"/>
        <rFont val="Arial"/>
        <family val="2"/>
      </rPr>
      <t xml:space="preserve"> for the </t>
    </r>
    <r>
      <rPr>
        <b/>
        <sz val="10"/>
        <color theme="1"/>
        <rFont val="Arial"/>
        <family val="2"/>
      </rPr>
      <t>Dev, Impl</t>
    </r>
    <r>
      <rPr>
        <sz val="10"/>
        <color theme="1"/>
        <rFont val="Arial"/>
        <family val="2"/>
      </rPr>
      <t xml:space="preserve"> Phases data</t>
    </r>
    <r>
      <rPr>
        <b/>
        <sz val="10"/>
        <color theme="1"/>
        <rFont val="Arial"/>
        <family val="2"/>
      </rPr>
      <t xml:space="preserve"> </t>
    </r>
    <r>
      <rPr>
        <sz val="10"/>
        <color theme="1"/>
        <rFont val="Arial"/>
        <family val="2"/>
      </rPr>
      <t xml:space="preserve">on the </t>
    </r>
    <r>
      <rPr>
        <b/>
        <sz val="10"/>
        <color rgb="FF0070C0"/>
        <rFont val="Arial"/>
        <family val="2"/>
      </rPr>
      <t>Monthly Summary</t>
    </r>
    <r>
      <rPr>
        <sz val="10"/>
        <color theme="1"/>
        <rFont val="Arial"/>
        <family val="2"/>
      </rPr>
      <t xml:space="preserve"> tab by FY</t>
    </r>
  </si>
  <si>
    <r>
      <t xml:space="preserve">Combine </t>
    </r>
    <r>
      <rPr>
        <b/>
        <sz val="10"/>
        <color theme="1"/>
        <rFont val="Arial"/>
        <family val="2"/>
      </rPr>
      <t>rows 28 + 29</t>
    </r>
    <r>
      <rPr>
        <sz val="10"/>
        <color theme="1"/>
        <rFont val="Arial"/>
        <family val="2"/>
      </rPr>
      <t xml:space="preserve"> for the </t>
    </r>
    <r>
      <rPr>
        <b/>
        <sz val="10"/>
        <color theme="1"/>
        <rFont val="Arial"/>
        <family val="2"/>
      </rPr>
      <t>Dev, Impl</t>
    </r>
    <r>
      <rPr>
        <sz val="10"/>
        <color theme="1"/>
        <rFont val="Arial"/>
        <family val="2"/>
      </rPr>
      <t xml:space="preserve"> Phases data</t>
    </r>
    <r>
      <rPr>
        <b/>
        <sz val="10"/>
        <color theme="1"/>
        <rFont val="Arial"/>
        <family val="2"/>
      </rPr>
      <t xml:space="preserve"> </t>
    </r>
    <r>
      <rPr>
        <sz val="10"/>
        <color theme="1"/>
        <rFont val="Arial"/>
        <family val="2"/>
      </rPr>
      <t xml:space="preserve">on the </t>
    </r>
    <r>
      <rPr>
        <b/>
        <sz val="10"/>
        <color rgb="FF0070C0"/>
        <rFont val="Arial"/>
        <family val="2"/>
      </rPr>
      <t>Monthly Summary</t>
    </r>
    <r>
      <rPr>
        <sz val="10"/>
        <color theme="1"/>
        <rFont val="Arial"/>
        <family val="2"/>
      </rPr>
      <t xml:space="preserve"> tab by FY </t>
    </r>
    <r>
      <rPr>
        <b/>
        <sz val="10"/>
        <color rgb="FFFF0000"/>
        <rFont val="Arial"/>
        <family val="2"/>
      </rPr>
      <t>(Can include both Hardware Purchase &amp; Hardware Lease)</t>
    </r>
  </si>
  <si>
    <r>
      <t xml:space="preserve">Combine </t>
    </r>
    <r>
      <rPr>
        <b/>
        <sz val="10"/>
        <color theme="1"/>
        <rFont val="Arial"/>
        <family val="2"/>
      </rPr>
      <t>Dev, Impl, PIS, Close</t>
    </r>
    <r>
      <rPr>
        <sz val="10"/>
        <color theme="1"/>
        <rFont val="Arial"/>
        <family val="2"/>
      </rPr>
      <t xml:space="preserve"> Phases data from </t>
    </r>
    <r>
      <rPr>
        <b/>
        <sz val="10"/>
        <color theme="1"/>
        <rFont val="Arial"/>
        <family val="2"/>
      </rPr>
      <t xml:space="preserve">row 44 </t>
    </r>
    <r>
      <rPr>
        <sz val="10"/>
        <color theme="1"/>
        <rFont val="Arial"/>
        <family val="2"/>
      </rPr>
      <t xml:space="preserve">on the </t>
    </r>
    <r>
      <rPr>
        <b/>
        <sz val="10"/>
        <color rgb="FF0070C0"/>
        <rFont val="Arial"/>
        <family val="2"/>
      </rPr>
      <t>Monthly Summary</t>
    </r>
    <r>
      <rPr>
        <sz val="10"/>
        <color theme="1"/>
        <rFont val="Arial"/>
        <family val="2"/>
      </rPr>
      <t xml:space="preserve"> tab by FY</t>
    </r>
  </si>
  <si>
    <t>Development &amp; Implementation – CAPEX</t>
  </si>
  <si>
    <r>
      <rPr>
        <b/>
        <sz val="10"/>
        <color theme="1"/>
        <rFont val="Arial"/>
        <family val="2"/>
      </rPr>
      <t>Sum(Rows 49 --&gt; 67, 71)</t>
    </r>
    <r>
      <rPr>
        <sz val="10"/>
        <color theme="1"/>
        <rFont val="Arial"/>
        <family val="2"/>
      </rPr>
      <t xml:space="preserve"> for the </t>
    </r>
    <r>
      <rPr>
        <b/>
        <sz val="10"/>
        <color theme="1"/>
        <rFont val="Arial"/>
        <family val="2"/>
      </rPr>
      <t>Dev, Impl, PIS, Close</t>
    </r>
    <r>
      <rPr>
        <sz val="10"/>
        <color theme="1"/>
        <rFont val="Arial"/>
        <family val="2"/>
      </rPr>
      <t xml:space="preserve"> Phases data</t>
    </r>
    <r>
      <rPr>
        <b/>
        <sz val="10"/>
        <color theme="1"/>
        <rFont val="Arial"/>
        <family val="2"/>
      </rPr>
      <t xml:space="preserve"> </t>
    </r>
    <r>
      <rPr>
        <sz val="10"/>
        <color theme="1"/>
        <rFont val="Arial"/>
        <family val="2"/>
      </rPr>
      <t xml:space="preserve">on the </t>
    </r>
    <r>
      <rPr>
        <b/>
        <sz val="10"/>
        <color rgb="FF0070C0"/>
        <rFont val="Arial"/>
        <family val="2"/>
      </rPr>
      <t>Monthly Summary</t>
    </r>
    <r>
      <rPr>
        <sz val="10"/>
        <color theme="1"/>
        <rFont val="Arial"/>
        <family val="2"/>
      </rPr>
      <t xml:space="preserve"> tab by FY</t>
    </r>
  </si>
  <si>
    <r>
      <rPr>
        <b/>
        <sz val="10"/>
        <color theme="1"/>
        <rFont val="Arial"/>
        <family val="2"/>
      </rPr>
      <t>Row 70</t>
    </r>
    <r>
      <rPr>
        <sz val="10"/>
        <color theme="1"/>
        <rFont val="Arial"/>
        <family val="2"/>
      </rPr>
      <t xml:space="preserve"> for the </t>
    </r>
    <r>
      <rPr>
        <b/>
        <sz val="10"/>
        <color theme="1"/>
        <rFont val="Arial"/>
        <family val="2"/>
      </rPr>
      <t>Dev, Impl</t>
    </r>
    <r>
      <rPr>
        <sz val="10"/>
        <color theme="1"/>
        <rFont val="Arial"/>
        <family val="2"/>
      </rPr>
      <t xml:space="preserve"> Phases data</t>
    </r>
    <r>
      <rPr>
        <b/>
        <sz val="10"/>
        <color theme="1"/>
        <rFont val="Arial"/>
        <family val="2"/>
      </rPr>
      <t xml:space="preserve"> </t>
    </r>
    <r>
      <rPr>
        <sz val="10"/>
        <color theme="1"/>
        <rFont val="Arial"/>
        <family val="2"/>
      </rPr>
      <t xml:space="preserve">on the </t>
    </r>
    <r>
      <rPr>
        <b/>
        <sz val="10"/>
        <color rgb="FF0070C0"/>
        <rFont val="Arial"/>
        <family val="2"/>
      </rPr>
      <t>Monthly Summary</t>
    </r>
    <r>
      <rPr>
        <sz val="10"/>
        <color theme="1"/>
        <rFont val="Arial"/>
        <family val="2"/>
      </rPr>
      <t xml:space="preserve"> tab by FY</t>
    </r>
  </si>
  <si>
    <r>
      <rPr>
        <b/>
        <sz val="10"/>
        <color theme="1"/>
        <rFont val="Arial"/>
        <family val="2"/>
      </rPr>
      <t>Row 84</t>
    </r>
    <r>
      <rPr>
        <sz val="10"/>
        <color theme="1"/>
        <rFont val="Arial"/>
        <family val="2"/>
      </rPr>
      <t xml:space="preserve"> for the </t>
    </r>
    <r>
      <rPr>
        <b/>
        <sz val="10"/>
        <color theme="1"/>
        <rFont val="Arial"/>
        <family val="2"/>
      </rPr>
      <t>Dev, Impl</t>
    </r>
    <r>
      <rPr>
        <sz val="10"/>
        <color theme="1"/>
        <rFont val="Arial"/>
        <family val="2"/>
      </rPr>
      <t xml:space="preserve"> Phases data</t>
    </r>
    <r>
      <rPr>
        <b/>
        <sz val="10"/>
        <color theme="1"/>
        <rFont val="Arial"/>
        <family val="2"/>
      </rPr>
      <t xml:space="preserve"> </t>
    </r>
    <r>
      <rPr>
        <sz val="10"/>
        <color theme="1"/>
        <rFont val="Arial"/>
        <family val="2"/>
      </rPr>
      <t xml:space="preserve">on the </t>
    </r>
    <r>
      <rPr>
        <b/>
        <sz val="10"/>
        <color rgb="FF0070C0"/>
        <rFont val="Arial"/>
        <family val="2"/>
      </rPr>
      <t>Monthly Summary</t>
    </r>
    <r>
      <rPr>
        <sz val="10"/>
        <color theme="1"/>
        <rFont val="Arial"/>
        <family val="2"/>
      </rPr>
      <t xml:space="preserve"> tab by FY</t>
    </r>
  </si>
  <si>
    <r>
      <t xml:space="preserve">Combine </t>
    </r>
    <r>
      <rPr>
        <b/>
        <sz val="10"/>
        <color theme="1"/>
        <rFont val="Arial"/>
        <family val="2"/>
      </rPr>
      <t>Dev, Impl, PIS, Close</t>
    </r>
    <r>
      <rPr>
        <sz val="10"/>
        <color theme="1"/>
        <rFont val="Arial"/>
        <family val="2"/>
      </rPr>
      <t xml:space="preserve"> Phases data from </t>
    </r>
    <r>
      <rPr>
        <b/>
        <sz val="10"/>
        <color theme="1"/>
        <rFont val="Arial"/>
        <family val="2"/>
      </rPr>
      <t xml:space="preserve">row 83 </t>
    </r>
    <r>
      <rPr>
        <sz val="10"/>
        <color theme="1"/>
        <rFont val="Arial"/>
        <family val="2"/>
      </rPr>
      <t xml:space="preserve">on the </t>
    </r>
    <r>
      <rPr>
        <b/>
        <sz val="10"/>
        <color rgb="FF0070C0"/>
        <rFont val="Arial"/>
        <family val="2"/>
      </rPr>
      <t>Monthly Summary</t>
    </r>
    <r>
      <rPr>
        <sz val="10"/>
        <color theme="1"/>
        <rFont val="Arial"/>
        <family val="2"/>
      </rPr>
      <t xml:space="preserve"> tab by FY</t>
    </r>
  </si>
  <si>
    <t>D&amp;I SUBTOTAL</t>
  </si>
  <si>
    <t xml:space="preserve"> Total Project Opex</t>
  </si>
  <si>
    <t>Total Project Capex</t>
  </si>
  <si>
    <t>Total Project Cost</t>
  </si>
  <si>
    <t>Non-regulated project   UPLIFT</t>
  </si>
  <si>
    <r>
      <rPr>
        <b/>
        <u/>
        <sz val="10"/>
        <color rgb="FFFF0000"/>
        <rFont val="Arial"/>
        <family val="2"/>
      </rPr>
      <t>NOTE</t>
    </r>
    <r>
      <rPr>
        <b/>
        <sz val="10"/>
        <color rgb="FFFF0000"/>
        <rFont val="Arial"/>
        <family val="2"/>
      </rPr>
      <t>: Not covered by the Financial Workbook</t>
    </r>
  </si>
  <si>
    <t>Non-regulated project  TOTAL</t>
  </si>
  <si>
    <t>Budget OPEX</t>
  </si>
  <si>
    <t>Budget CAPEX</t>
  </si>
  <si>
    <t>Total Budget Cost</t>
  </si>
  <si>
    <t xml:space="preserve">Total Cost Variance </t>
  </si>
  <si>
    <t xml:space="preserve"> Total Variance Opex</t>
  </si>
  <si>
    <t>Total Variance Capex</t>
  </si>
  <si>
    <t>Total Variance Cost</t>
  </si>
  <si>
    <t>Impact on RTB costs</t>
  </si>
  <si>
    <r>
      <rPr>
        <b/>
        <u/>
        <sz val="10"/>
        <color rgb="FFFF0000"/>
        <rFont val="Arial"/>
        <family val="2"/>
      </rPr>
      <t>Assumption</t>
    </r>
    <r>
      <rPr>
        <b/>
        <sz val="10"/>
        <color rgb="FFFF0000"/>
        <rFont val="Arial"/>
        <family val="2"/>
      </rPr>
      <t>: Information included on here contains the combination of the Net Impact to BOTH IT &amp; Business</t>
    </r>
  </si>
  <si>
    <t>==&gt;</t>
  </si>
  <si>
    <t>FY1</t>
  </si>
  <si>
    <t>FY2</t>
  </si>
  <si>
    <t>FY3</t>
  </si>
  <si>
    <t>FY4</t>
  </si>
  <si>
    <t>FY5</t>
  </si>
  <si>
    <t>FY6</t>
  </si>
  <si>
    <t>(M20-R20)</t>
  </si>
  <si>
    <r>
      <rPr>
        <b/>
        <sz val="11"/>
        <color theme="1"/>
        <rFont val="Calibri"/>
        <family val="2"/>
        <scheme val="minor"/>
      </rPr>
      <t>People:</t>
    </r>
    <r>
      <rPr>
        <sz val="11"/>
        <color theme="1"/>
        <rFont val="Calibri"/>
        <family val="2"/>
        <scheme val="minor"/>
      </rPr>
      <t xml:space="preserve"> add row8-26,31,32 to Short Form </t>
    </r>
  </si>
  <si>
    <t>Risk: Dev, Impl, PIS, Close</t>
  </si>
  <si>
    <t>Dev, Impl, PIS, Close</t>
  </si>
  <si>
    <r>
      <rPr>
        <b/>
        <sz val="11"/>
        <color theme="1"/>
        <rFont val="Calibri"/>
        <family val="2"/>
        <scheme val="minor"/>
      </rPr>
      <t>People:</t>
    </r>
    <r>
      <rPr>
        <sz val="11"/>
        <color theme="1"/>
        <rFont val="Calibri"/>
        <family val="2"/>
        <scheme val="minor"/>
      </rPr>
      <t xml:space="preserve"> add row49-67,71 to Short Form </t>
    </r>
  </si>
  <si>
    <t>(M26-R31)</t>
  </si>
  <si>
    <t>Below Calculations Feed the Short Form Tab D&amp;I Section</t>
  </si>
  <si>
    <t xml:space="preserve">Other: Dev, Impl, Pis, Close + Shared Overhead row43(Dev,Impl) </t>
  </si>
  <si>
    <r>
      <t xml:space="preserve">Review </t>
    </r>
    <r>
      <rPr>
        <b/>
        <sz val="11"/>
        <color theme="1"/>
        <rFont val="Calibri"/>
        <family val="2"/>
        <scheme val="minor"/>
      </rPr>
      <t>Resource Costs tab</t>
    </r>
    <r>
      <rPr>
        <sz val="11"/>
        <color theme="1"/>
        <rFont val="Calibri"/>
        <family val="2"/>
        <scheme val="minor"/>
      </rPr>
      <t xml:space="preserve"> to identify the rows with incomplete data
</t>
    </r>
    <r>
      <rPr>
        <b/>
        <sz val="11"/>
        <color rgb="FF0000FF"/>
        <rFont val="Calibri"/>
        <family val="2"/>
        <scheme val="minor"/>
      </rPr>
      <t>Corrective Actions (one or more may be required):</t>
    </r>
    <r>
      <rPr>
        <sz val="11"/>
        <color theme="1"/>
        <rFont val="Calibri"/>
        <family val="2"/>
        <scheme val="minor"/>
      </rPr>
      <t xml:space="preserve">
1) Enter the missing information (Company and/or Acctng Type)
2) Remove the Daily Rate and/or Allocation Amount                                                              3) #VALUE! error: Remove any non-numeric Allocation Amount that you entered    
4) #REF! error: undo any 'cut &amp; paste' you have done in the Allocation Amounts section    </t>
    </r>
  </si>
  <si>
    <t>Hardware: Dev, Impl, PIS, Close</t>
  </si>
  <si>
    <t>Software: Dev, Impl, PIS, Close</t>
  </si>
  <si>
    <t xml:space="preserve">Other: Dev, Impl, PIS, Close + Shared Overhead row82(Dev,Impl) </t>
  </si>
  <si>
    <t>AFUDC:  Dev, Impl, PIS, Close</t>
  </si>
  <si>
    <t xml:space="preserve">D&amp;I VOWD OpEx  </t>
  </si>
  <si>
    <t xml:space="preserve">D&amp;I VOWD CapEx </t>
  </si>
  <si>
    <t xml:space="preserve">Total VOWD OpEx  </t>
  </si>
  <si>
    <t xml:space="preserve">Total VOWD CapEx </t>
  </si>
  <si>
    <t>Investment Short Form Value of Work Done (VoWD)</t>
  </si>
  <si>
    <t>User Defined #3</t>
  </si>
  <si>
    <t>User Defined #4</t>
  </si>
  <si>
    <t>User Defined #5</t>
  </si>
  <si>
    <t>The table below is all data entry - cells will highlight if data needed</t>
  </si>
  <si>
    <r>
      <t xml:space="preserve">Taken from the </t>
    </r>
    <r>
      <rPr>
        <b/>
        <sz val="10"/>
        <color rgb="FF0070C0"/>
        <rFont val="Arial"/>
        <family val="2"/>
      </rPr>
      <t>RTB for Srvc Trans</t>
    </r>
    <r>
      <rPr>
        <sz val="10"/>
        <color theme="1"/>
        <rFont val="Arial"/>
        <family val="2"/>
      </rPr>
      <t xml:space="preserve"> tab</t>
    </r>
  </si>
  <si>
    <t>Total Variance compares total VoWD from above table to the Monthly Summary Tab VoWD. Highlighted green when  equal. Highlighted red when not equal.</t>
  </si>
  <si>
    <t>Copy this section (from cell C5 to cell I20) and paste into the Appendix of the eSanction Form.</t>
  </si>
  <si>
    <t xml:space="preserve">  INV ID:</t>
  </si>
  <si>
    <t xml:space="preserve">  Investment Name:</t>
  </si>
  <si>
    <t xml:space="preserve">  Project Manager:</t>
  </si>
  <si>
    <t xml:space="preserve">  Last Sanctioned Net Impact to RTB</t>
  </si>
  <si>
    <t xml:space="preserve">  Last Sanction IS Net Impact to RTB</t>
  </si>
  <si>
    <t xml:space="preserve">  Last Sanction Business Net Impact to RTB</t>
  </si>
  <si>
    <t xml:space="preserve">  Last Sanction Total Net Impact to RTB</t>
  </si>
  <si>
    <t xml:space="preserve">  Planned/Budgeted Net Impact to RTB</t>
  </si>
  <si>
    <t xml:space="preserve">  IS Investment Plan Net Impact to RTB</t>
  </si>
  <si>
    <t xml:space="preserve">  Business Budgeted Net Impact to RTB </t>
  </si>
  <si>
    <t xml:space="preserve">  Currently Forecasted Net Impact to RTB</t>
  </si>
  <si>
    <t xml:space="preserve">  Business Funded Net Impact to RTB  Forecasted at Go-Live</t>
  </si>
  <si>
    <t xml:space="preserve">  Variance to Planned/Budgeted Net  Impact to RTB</t>
  </si>
  <si>
    <t xml:space="preserve">  Business Budgeted Net Impact to RTB Variance</t>
  </si>
  <si>
    <r>
      <t>Taken from the</t>
    </r>
    <r>
      <rPr>
        <b/>
        <sz val="10"/>
        <color rgb="FF0070C0"/>
        <rFont val="Arial"/>
        <family val="2"/>
      </rPr>
      <t xml:space="preserve"> Financial Summary</t>
    </r>
    <r>
      <rPr>
        <sz val="10"/>
        <color theme="1"/>
        <rFont val="Arial"/>
        <family val="2"/>
      </rPr>
      <t xml:space="preserve"> tab:</t>
    </r>
  </si>
  <si>
    <t>BP:</t>
  </si>
  <si>
    <t>WiPro</t>
  </si>
  <si>
    <t>Business Area/Unit:</t>
  </si>
  <si>
    <t>Business Sponsor:</t>
  </si>
  <si>
    <t>IT Business Partner (BP):</t>
  </si>
  <si>
    <t>Business Partners</t>
  </si>
  <si>
    <t>Security</t>
  </si>
  <si>
    <t xml:space="preserve">Simon Jenner </t>
  </si>
  <si>
    <t>Year 1</t>
  </si>
  <si>
    <t>Capital Delivery</t>
  </si>
  <si>
    <t>Andrea Costa</t>
  </si>
  <si>
    <t>Infra_Operations</t>
  </si>
  <si>
    <t>Steve Olive</t>
  </si>
  <si>
    <t>Year 2</t>
  </si>
  <si>
    <t>Customer Ops</t>
  </si>
  <si>
    <t>Bob Lorkiewicz</t>
  </si>
  <si>
    <t>AppDevelopment</t>
  </si>
  <si>
    <t>Narayan Devireddy</t>
  </si>
  <si>
    <t>Year 3</t>
  </si>
  <si>
    <t>Electric BU</t>
  </si>
  <si>
    <t>Lisa Pratico</t>
  </si>
  <si>
    <t>Year 4</t>
  </si>
  <si>
    <t>FERC</t>
  </si>
  <si>
    <t>Ed Brodsky</t>
  </si>
  <si>
    <t>Architecture</t>
  </si>
  <si>
    <t>Year 5</t>
  </si>
  <si>
    <t>Finance &amp; Business Services</t>
  </si>
  <si>
    <t>Joel Semel</t>
  </si>
  <si>
    <t>Year 6</t>
  </si>
  <si>
    <t>Gas BU</t>
  </si>
  <si>
    <t>Krishna Seetharam</t>
  </si>
  <si>
    <t>Year 7</t>
  </si>
  <si>
    <t>Year 8</t>
  </si>
  <si>
    <t>IT - Group Functions</t>
  </si>
  <si>
    <t>Muks Ravipaty</t>
  </si>
  <si>
    <t>Year 9</t>
  </si>
  <si>
    <t>IT - Infrastructure</t>
  </si>
  <si>
    <t>Orla Daly</t>
  </si>
  <si>
    <t>Year 10</t>
  </si>
  <si>
    <t>Physical Security</t>
  </si>
  <si>
    <t>Year 11</t>
  </si>
  <si>
    <t>Strategic Program</t>
  </si>
  <si>
    <t>Transmission &amp; Generation BU</t>
  </si>
  <si>
    <t>Fiscal Year Controls</t>
  </si>
  <si>
    <t>RTB</t>
  </si>
  <si>
    <t>Benefit</t>
  </si>
  <si>
    <t>Proj/Rel</t>
  </si>
  <si>
    <t>FY 19</t>
  </si>
  <si>
    <t>FY 20</t>
  </si>
  <si>
    <t>Cost of Capital</t>
  </si>
  <si>
    <t>Beginning Fiscal Year (Project):</t>
  </si>
  <si>
    <t>&lt;== Select from Dropdown</t>
  </si>
  <si>
    <t>First Key Release Fiscal Year:</t>
  </si>
  <si>
    <t>First Benefit Booking Fiscal Year:</t>
  </si>
  <si>
    <t>Beginning Fiscal Year (RTB):</t>
  </si>
  <si>
    <t>INV ID</t>
  </si>
  <si>
    <t>Region</t>
  </si>
  <si>
    <t>Portfolio</t>
  </si>
  <si>
    <t>Item Type</t>
  </si>
  <si>
    <t>Path</t>
  </si>
  <si>
    <t>IT Business Partner</t>
  </si>
  <si>
    <t>Misc</t>
  </si>
  <si>
    <t>Item</t>
  </si>
  <si>
    <t>First Advisor external portal data integration</t>
  </si>
  <si>
    <t>Customer &amp; Digital</t>
  </si>
  <si>
    <t>Customer Solutions Technology Upgrade Program</t>
  </si>
  <si>
    <t>5727</t>
  </si>
  <si>
    <t>ECM RAMS Enhancements</t>
  </si>
  <si>
    <t>UK</t>
  </si>
  <si>
    <t>UK IS</t>
  </si>
  <si>
    <t>Transmission - ETO</t>
  </si>
  <si>
    <t>5726</t>
  </si>
  <si>
    <t>RAMS Phase 2</t>
  </si>
  <si>
    <t>Transmission - TO</t>
  </si>
  <si>
    <t>5725</t>
  </si>
  <si>
    <t>VDER Storage Capability</t>
  </si>
  <si>
    <t>Operational</t>
  </si>
  <si>
    <t>5724</t>
  </si>
  <si>
    <t>MECO Rate Case</t>
  </si>
  <si>
    <t>5723</t>
  </si>
  <si>
    <t>5722</t>
  </si>
  <si>
    <t>5721</t>
  </si>
  <si>
    <t>Copper to Fiber Migration</t>
  </si>
  <si>
    <t>Technology Modernization</t>
  </si>
  <si>
    <t>5720</t>
  </si>
  <si>
    <t>Business Services PlugIn Enhancements Phase3</t>
  </si>
  <si>
    <t>Shared Services</t>
  </si>
  <si>
    <t>5719</t>
  </si>
  <si>
    <t>Dynamic SIL/SEL (D-1883)</t>
  </si>
  <si>
    <t>Transmission - ESO</t>
  </si>
  <si>
    <t>5718</t>
  </si>
  <si>
    <t>Land And Consents</t>
  </si>
  <si>
    <t>Intelligent Substation Design</t>
  </si>
  <si>
    <t>5716</t>
  </si>
  <si>
    <t>CA External Collaboration Tooling</t>
  </si>
  <si>
    <t>Global</t>
  </si>
  <si>
    <t>Graham Pool</t>
  </si>
  <si>
    <t>5715</t>
  </si>
  <si>
    <t>Customer Central SharePoint</t>
  </si>
  <si>
    <t>5714</t>
  </si>
  <si>
    <t>Customer Market Intelligence FPT Upgrade</t>
  </si>
  <si>
    <t>Customer Operations</t>
  </si>
  <si>
    <t>5713</t>
  </si>
  <si>
    <t>DXC Hosting and Tx initiatives</t>
  </si>
  <si>
    <t>Corporate IS (UK)</t>
  </si>
  <si>
    <t>Infrastructure</t>
  </si>
  <si>
    <t>5712</t>
  </si>
  <si>
    <t>Rate Case Data Scrub Application</t>
  </si>
  <si>
    <t>5711</t>
  </si>
  <si>
    <t>Voice Of Customer Analytics</t>
  </si>
  <si>
    <t>5710</t>
  </si>
  <si>
    <t>NEXTERA East Hampton and Montauk Energy Storage Pi Interface</t>
  </si>
  <si>
    <t>5709</t>
  </si>
  <si>
    <t>5708</t>
  </si>
  <si>
    <t>5705</t>
  </si>
  <si>
    <t>Critical Peak Pricing</t>
  </si>
  <si>
    <t>Strategic</t>
  </si>
  <si>
    <t>Customer Transformation</t>
  </si>
  <si>
    <t>5704D</t>
  </si>
  <si>
    <t>5704C</t>
  </si>
  <si>
    <t>Huddle to Sharepoint Online</t>
  </si>
  <si>
    <t>5704B</t>
  </si>
  <si>
    <t>5704A</t>
  </si>
  <si>
    <t>5702USC</t>
  </si>
  <si>
    <t>System Hardening</t>
  </si>
  <si>
    <t>Cyber Security</t>
  </si>
  <si>
    <t>5702USB</t>
  </si>
  <si>
    <t>Gateway Enhancements</t>
  </si>
  <si>
    <t>5702USA</t>
  </si>
  <si>
    <t>Endpoint Protection</t>
  </si>
  <si>
    <t>5702US</t>
  </si>
  <si>
    <t>Malware Defense Program</t>
  </si>
  <si>
    <t>5702UKC</t>
  </si>
  <si>
    <t>Digital Risk &amp; Security</t>
  </si>
  <si>
    <t>5702UKB</t>
  </si>
  <si>
    <t>5702UKA</t>
  </si>
  <si>
    <t>5701</t>
  </si>
  <si>
    <t>US DR&amp;S SD Management Task - FY20</t>
  </si>
  <si>
    <t>5700</t>
  </si>
  <si>
    <t>Green Button Connect F&amp;A</t>
  </si>
  <si>
    <t>5699</t>
  </si>
  <si>
    <t>US Group Func SD Management Task - FY20</t>
  </si>
  <si>
    <t>5698</t>
  </si>
  <si>
    <t>US ISD Management Task - FY20</t>
  </si>
  <si>
    <t>5697</t>
  </si>
  <si>
    <t>US GSD Management Task - FY20</t>
  </si>
  <si>
    <t>5694</t>
  </si>
  <si>
    <t>FY20 Mgmt Task Adjustment - US Group Functions</t>
  </si>
  <si>
    <t>Centralized Services</t>
  </si>
  <si>
    <t>5693G</t>
  </si>
  <si>
    <t>LAN Refresh phase 2</t>
  </si>
  <si>
    <t>5693F</t>
  </si>
  <si>
    <t>LAN Refresh Phase 1</t>
  </si>
  <si>
    <t>5693E</t>
  </si>
  <si>
    <t>Verizon - VG Decommissioning</t>
  </si>
  <si>
    <t>5693D</t>
  </si>
  <si>
    <t>WAN Bandwidth Upgrade (Circuits)</t>
  </si>
  <si>
    <t>5693C</t>
  </si>
  <si>
    <t>Verizon - UK WiFi Expansion</t>
  </si>
  <si>
    <t>5693B</t>
  </si>
  <si>
    <t>Verizon UK TDM PBX Decommissioning</t>
  </si>
  <si>
    <t>5693A</t>
  </si>
  <si>
    <t>5686</t>
  </si>
  <si>
    <t>KEDNY Tariff Revisions</t>
  </si>
  <si>
    <t>5685</t>
  </si>
  <si>
    <t>Tax exemption for NY delivery charges for ESCO customers</t>
  </si>
  <si>
    <t>5684</t>
  </si>
  <si>
    <t>FY20 Mgmt Task Adjustment - App Rationalization</t>
  </si>
  <si>
    <t>IT - Misc</t>
  </si>
  <si>
    <t>5683</t>
  </si>
  <si>
    <t>FY20 Monthly Budget Timing Adjustment</t>
  </si>
  <si>
    <t>5682</t>
  </si>
  <si>
    <t>FY20 Mgmt Task Adjustment - Finance</t>
  </si>
  <si>
    <t>5681</t>
  </si>
  <si>
    <t>FY20 Mgmt Task Adjustment - Global Group Functions</t>
  </si>
  <si>
    <t>5680</t>
  </si>
  <si>
    <t>FY20 Mgmt Task Adjustment - Infrastructure</t>
  </si>
  <si>
    <t>5679</t>
  </si>
  <si>
    <t>FY20 Mgmt Task Adjustment - Cyber</t>
  </si>
  <si>
    <t>5678</t>
  </si>
  <si>
    <t>FY20 Mgmt Task Adjustment - Trans/Capital Del BU</t>
  </si>
  <si>
    <t>5677</t>
  </si>
  <si>
    <t>FY20 Mgmt Task Adjustment - Customer</t>
  </si>
  <si>
    <t>5676</t>
  </si>
  <si>
    <t>FY20 Mgmt Task Adjustment - Gas BU</t>
  </si>
  <si>
    <t>5675</t>
  </si>
  <si>
    <t>FY20 Mgmt Task Adjustment - Electric BU</t>
  </si>
  <si>
    <t>5672</t>
  </si>
  <si>
    <t>Commercial Property Data Migration</t>
  </si>
  <si>
    <t>Finance &amp; Corporate</t>
  </si>
  <si>
    <t>5671</t>
  </si>
  <si>
    <t>DDM Support Model</t>
  </si>
  <si>
    <t>5670</t>
  </si>
  <si>
    <t>Collaboration Consolidation &amp; Rationalisation</t>
  </si>
  <si>
    <t>5669</t>
  </si>
  <si>
    <t>ISD End User</t>
  </si>
  <si>
    <t>5668US</t>
  </si>
  <si>
    <t>5668UK</t>
  </si>
  <si>
    <t>Managed Workplace Services (MWS) - UK</t>
  </si>
  <si>
    <t>Visitor Logging for NERC-CIP Reliability Compliance</t>
  </si>
  <si>
    <t>Change Control for NERC–CIP Reliability Compliance</t>
  </si>
  <si>
    <t>5664</t>
  </si>
  <si>
    <t>5663</t>
  </si>
  <si>
    <t>Transmission Project Management Software</t>
  </si>
  <si>
    <t>5661</t>
  </si>
  <si>
    <t>5659</t>
  </si>
  <si>
    <t>KEDLI Tariff Revisions</t>
  </si>
  <si>
    <t>Regulatory &amp; Mandates</t>
  </si>
  <si>
    <t>5658</t>
  </si>
  <si>
    <t>Group Consolidation System</t>
  </si>
  <si>
    <t>PLC Funded</t>
  </si>
  <si>
    <t>5657</t>
  </si>
  <si>
    <t>EGM Line Monitoring for Transmission</t>
  </si>
  <si>
    <t>5656</t>
  </si>
  <si>
    <t>iEMS for ET</t>
  </si>
  <si>
    <t>5655</t>
  </si>
  <si>
    <t>Phasor Data Concentrator Service Replatform</t>
  </si>
  <si>
    <t>5654</t>
  </si>
  <si>
    <t>Waste Disposal Tracking Software Replacement</t>
  </si>
  <si>
    <t>Operations</t>
  </si>
  <si>
    <t>5653</t>
  </si>
  <si>
    <t>OPTEL</t>
  </si>
  <si>
    <t>5652</t>
  </si>
  <si>
    <t>Uptime</t>
  </si>
  <si>
    <t>Transmission - GTO</t>
  </si>
  <si>
    <t>5651</t>
  </si>
  <si>
    <t>Gas Business System Maintenance of Business Project</t>
  </si>
  <si>
    <t>5650</t>
  </si>
  <si>
    <t>Regulatory Projects - US Lines of Business</t>
  </si>
  <si>
    <t>5649</t>
  </si>
  <si>
    <t>NetMod - Wide Area Acceleration Services Turn Down Signed (WaaS)</t>
  </si>
  <si>
    <t>5648</t>
  </si>
  <si>
    <t>Contract Admin Tool 2</t>
  </si>
  <si>
    <t>5647</t>
  </si>
  <si>
    <t>Offsite IT Desk Capacity</t>
  </si>
  <si>
    <t>5646</t>
  </si>
  <si>
    <t>SAP-S4</t>
  </si>
  <si>
    <t>Gas Advanced Meter Infrastructure (AMI)</t>
  </si>
  <si>
    <t>5644</t>
  </si>
  <si>
    <t>Electricity Transmission Future Energy Management System</t>
  </si>
  <si>
    <t>5643</t>
  </si>
  <si>
    <t>Cloud Hosting Enablement (Azure)</t>
  </si>
  <si>
    <t>5642</t>
  </si>
  <si>
    <t>ET Customer TSI Changes</t>
  </si>
  <si>
    <t>5641</t>
  </si>
  <si>
    <t>EMR Phase 5</t>
  </si>
  <si>
    <t>5640</t>
  </si>
  <si>
    <t>Revenue21</t>
  </si>
  <si>
    <t>5639</t>
  </si>
  <si>
    <t>Enterprise Data Management and Governance F_A</t>
  </si>
  <si>
    <t>5638</t>
  </si>
  <si>
    <t>UK Storage Expansion</t>
  </si>
  <si>
    <t>5637</t>
  </si>
  <si>
    <t>ET OT Cyber Security Programme</t>
  </si>
  <si>
    <t>5636</t>
  </si>
  <si>
    <t>Storage Capacity Purchase and Configure for Use</t>
  </si>
  <si>
    <t>5635</t>
  </si>
  <si>
    <t>NY Community Solar Billing</t>
  </si>
  <si>
    <t>Customer Innovation and Development</t>
  </si>
  <si>
    <t>5634</t>
  </si>
  <si>
    <t>IT Application LSP Logical Separation</t>
  </si>
  <si>
    <t>5633</t>
  </si>
  <si>
    <t>MA and RI Electric Tariff Issue Remediation</t>
  </si>
  <si>
    <t>5632</t>
  </si>
  <si>
    <t>Project Abacus - NG Payroll</t>
  </si>
  <si>
    <t>5631</t>
  </si>
  <si>
    <t>Accelerate</t>
  </si>
  <si>
    <t>5630</t>
  </si>
  <si>
    <t>US Corporate Strategic Program</t>
  </si>
  <si>
    <t>5629</t>
  </si>
  <si>
    <t>Revenue Cycle Management non CIS</t>
  </si>
  <si>
    <t>5628</t>
  </si>
  <si>
    <t>5627</t>
  </si>
  <si>
    <t>5626</t>
  </si>
  <si>
    <t>5625</t>
  </si>
  <si>
    <t>Business Initiative</t>
  </si>
  <si>
    <t>5623</t>
  </si>
  <si>
    <t>5622</t>
  </si>
  <si>
    <t>Revenue Cycle Management -non CIS</t>
  </si>
  <si>
    <t>5621</t>
  </si>
  <si>
    <t>MyHub Upgrade &amp; Refresh</t>
  </si>
  <si>
    <t>Global F, SS&amp;C</t>
  </si>
  <si>
    <t>5620</t>
  </si>
  <si>
    <t>5619</t>
  </si>
  <si>
    <t>5618</t>
  </si>
  <si>
    <t>HR Strategic Investment (Non-MyHub)</t>
  </si>
  <si>
    <t>5617</t>
  </si>
  <si>
    <t>5616</t>
  </si>
  <si>
    <t>5615</t>
  </si>
  <si>
    <t>Employee Digital Workplace - Refresh</t>
  </si>
  <si>
    <t>5614</t>
  </si>
  <si>
    <t>5613</t>
  </si>
  <si>
    <t>5612</t>
  </si>
  <si>
    <t>Annual HR &amp; Payroll Mandatory Service Pack Upgrade (HRSP) FY24</t>
  </si>
  <si>
    <t>5611</t>
  </si>
  <si>
    <t>Annual HR &amp; Payroll Mandatory Service Pack Upgrade (HRSP) FY23</t>
  </si>
  <si>
    <t>5610</t>
  </si>
  <si>
    <t>Annual HR &amp; Payroll Mandatory Service Pack Upgrade (HRSP) FY22</t>
  </si>
  <si>
    <t>5609</t>
  </si>
  <si>
    <t>Annual HR &amp; Payroll Mandatory Service Pack Upgrade (HRSP) FY21</t>
  </si>
  <si>
    <t>5608</t>
  </si>
  <si>
    <t>US SAP: Infrastructure Landscape FY24</t>
  </si>
  <si>
    <t>5607</t>
  </si>
  <si>
    <t>US SAP: Infrastructure Landscape FY23</t>
  </si>
  <si>
    <t>5606</t>
  </si>
  <si>
    <t>US SAP: Infrastructure Landscape FY22</t>
  </si>
  <si>
    <t>5605</t>
  </si>
  <si>
    <t>US SAP: Infrastructure Landscape FY21</t>
  </si>
  <si>
    <t>5604</t>
  </si>
  <si>
    <t>Carbon Intensity Mobile App</t>
  </si>
  <si>
    <t>5603</t>
  </si>
  <si>
    <t>Bottomline Upgrade</t>
  </si>
  <si>
    <t>5600</t>
  </si>
  <si>
    <t>ESG Migration to SFTP</t>
  </si>
  <si>
    <t>5599</t>
  </si>
  <si>
    <t>CDI Demand Enablement Program</t>
  </si>
  <si>
    <t>5598</t>
  </si>
  <si>
    <t xml:space="preserve">Application Rationalization </t>
  </si>
  <si>
    <t>5597</t>
  </si>
  <si>
    <t>Secure Endpoints Cyber Security Program</t>
  </si>
  <si>
    <t>5596</t>
  </si>
  <si>
    <t>Robust Identity and Controls Cyber Security Program</t>
  </si>
  <si>
    <t>5595</t>
  </si>
  <si>
    <t>Threat Resistant Networks Cyber Security Program</t>
  </si>
  <si>
    <t>5594</t>
  </si>
  <si>
    <t>Culture and Awareness Cyber Security Program</t>
  </si>
  <si>
    <t>5593</t>
  </si>
  <si>
    <t>Enhance the Foundation Cyber Security Program</t>
  </si>
  <si>
    <t>5592</t>
  </si>
  <si>
    <t>Security Operations and Monitoring Cyber Security Program</t>
  </si>
  <si>
    <t>5591</t>
  </si>
  <si>
    <t>Operational Technology Cyber Security Program</t>
  </si>
  <si>
    <t>5590</t>
  </si>
  <si>
    <t>5589</t>
  </si>
  <si>
    <t>Gas Operations IT Investments</t>
  </si>
  <si>
    <t>5588</t>
  </si>
  <si>
    <t>GBE Phase 2</t>
  </si>
  <si>
    <t>5586</t>
  </si>
  <si>
    <t>Grid For Good</t>
  </si>
  <si>
    <t>5585</t>
  </si>
  <si>
    <t>Investment Planning Tool For IT</t>
  </si>
  <si>
    <t>5584</t>
  </si>
  <si>
    <t>Portfolio Management Tooling (Focal Point Replacement)</t>
  </si>
  <si>
    <t>5583</t>
  </si>
  <si>
    <t>Pex 4 Value changes for reorg</t>
  </si>
  <si>
    <t>5582</t>
  </si>
  <si>
    <t>Data Visualization tools = Licenses</t>
  </si>
  <si>
    <t>Control Center</t>
  </si>
  <si>
    <t>5581</t>
  </si>
  <si>
    <t>DXC Hosting Tx Initiatives</t>
  </si>
  <si>
    <t>5580</t>
  </si>
  <si>
    <t>Managed Workspace Services Transition &amp; Tx</t>
  </si>
  <si>
    <t>5579</t>
  </si>
  <si>
    <t xml:space="preserve">Hosting RFP Build &amp; Market Release </t>
  </si>
  <si>
    <t>5578</t>
  </si>
  <si>
    <t>Field Excellence</t>
  </si>
  <si>
    <t>5577</t>
  </si>
  <si>
    <t>MA Phase 2 Electric Vehicle Program</t>
  </si>
  <si>
    <t>5576</t>
  </si>
  <si>
    <t>End User - Customer experience, Modern workplace and Collaboration</t>
  </si>
  <si>
    <t>5575</t>
  </si>
  <si>
    <t>Platforms Lifecycle refresh and remediation</t>
  </si>
  <si>
    <t>5574</t>
  </si>
  <si>
    <t>Network Lifecycle refresh and remediation</t>
  </si>
  <si>
    <t>5573</t>
  </si>
  <si>
    <t>Cloud and Hosting Lifecycle refresh and remediation</t>
  </si>
  <si>
    <t>5572</t>
  </si>
  <si>
    <t>Contract Renewals, Transistion and Transformation</t>
  </si>
  <si>
    <t>5571</t>
  </si>
  <si>
    <t>Gas Business Enablement Cyber Security Enhancements</t>
  </si>
  <si>
    <t>5570</t>
  </si>
  <si>
    <t>Electric Field Crew iPad Time Entry and Basic Capability -NE</t>
  </si>
  <si>
    <t>5569</t>
  </si>
  <si>
    <t>ERP Continuous Improvement [Capex]</t>
  </si>
  <si>
    <t>5568</t>
  </si>
  <si>
    <t>Business Services Transformation [Capex]</t>
  </si>
  <si>
    <t>5567</t>
  </si>
  <si>
    <t>PAS – New Settlement System</t>
  </si>
  <si>
    <t>5566</t>
  </si>
  <si>
    <t>IT Transformation</t>
  </si>
  <si>
    <t>5565</t>
  </si>
  <si>
    <t>5564</t>
  </si>
  <si>
    <t>US Legal: Spend Management</t>
  </si>
  <si>
    <t>5563</t>
  </si>
  <si>
    <t>Gas Distribution</t>
  </si>
  <si>
    <t>5562</t>
  </si>
  <si>
    <t>ETO charging</t>
  </si>
  <si>
    <t>5561</t>
  </si>
  <si>
    <t>Expand the size of Substation/Feeder field in CSS to support Planned Outage Notification</t>
  </si>
  <si>
    <t>5560</t>
  </si>
  <si>
    <t>Special Conditions to Davox outbound calls</t>
  </si>
  <si>
    <t>Not Applicable</t>
  </si>
  <si>
    <t>5559</t>
  </si>
  <si>
    <t>Digital Finance</t>
  </si>
  <si>
    <t>5558</t>
  </si>
  <si>
    <t>Early Warning System</t>
  </si>
  <si>
    <t>5557</t>
  </si>
  <si>
    <t>Treasury Management System</t>
  </si>
  <si>
    <t>5556</t>
  </si>
  <si>
    <t>Digital Audit Tools</t>
  </si>
  <si>
    <t>Global F,SS&amp;C</t>
  </si>
  <si>
    <t>5555</t>
  </si>
  <si>
    <t>5554</t>
  </si>
  <si>
    <t>5552</t>
  </si>
  <si>
    <t>F&amp;A - Facilities Request Mgmt System</t>
  </si>
  <si>
    <t>5551</t>
  </si>
  <si>
    <t>5548</t>
  </si>
  <si>
    <t>Customer Offices Qmatic ticketing system upgrade</t>
  </si>
  <si>
    <t>5547</t>
  </si>
  <si>
    <t>Project Fusion</t>
  </si>
  <si>
    <t>5546</t>
  </si>
  <si>
    <t>Non-Competitive Hires Documentation</t>
  </si>
  <si>
    <t>5545</t>
  </si>
  <si>
    <t>Learning Interfaces integration with SAP SuccessFactors LearningLink</t>
  </si>
  <si>
    <t>5544</t>
  </si>
  <si>
    <t>Materials, Repair, Operation Optimization</t>
  </si>
  <si>
    <t>5543</t>
  </si>
  <si>
    <t>Materials, Repair, Operation Optimization - F&amp;A</t>
  </si>
  <si>
    <t>5542</t>
  </si>
  <si>
    <t>GRC Archer Future Phases</t>
  </si>
  <si>
    <t>5541</t>
  </si>
  <si>
    <t>Infastructure New Capability</t>
  </si>
  <si>
    <t>5540</t>
  </si>
  <si>
    <t xml:space="preserve">Infrastructure Remediation and Lifecycle refresh </t>
  </si>
  <si>
    <t>5539</t>
  </si>
  <si>
    <t>PEX: NOA Technical analysis and NOA analysis</t>
  </si>
  <si>
    <t>5538</t>
  </si>
  <si>
    <t>PEX: NCESO CS&amp;R CRAIG and Workforce Planning</t>
  </si>
  <si>
    <t>5537</t>
  </si>
  <si>
    <t>VM Ware</t>
  </si>
  <si>
    <t>5536B</t>
  </si>
  <si>
    <t>Wireless Infrastructure Refresh</t>
  </si>
  <si>
    <t>5536A4</t>
  </si>
  <si>
    <t>Wireless LAN Management Tools</t>
  </si>
  <si>
    <t>5536A3</t>
  </si>
  <si>
    <t>5536A2</t>
  </si>
  <si>
    <t>Verizon - Aruba LAN and Wireless LAN (Telent)</t>
  </si>
  <si>
    <t>5536A1</t>
  </si>
  <si>
    <t>Verizon - Aruba Clearpass</t>
  </si>
  <si>
    <t>5536A</t>
  </si>
  <si>
    <t>5536</t>
  </si>
  <si>
    <t>5535B2</t>
  </si>
  <si>
    <t>5535B1</t>
  </si>
  <si>
    <t>Network Equipment End of Life Replacement -WAN (Routers)</t>
  </si>
  <si>
    <t>5535B</t>
  </si>
  <si>
    <t>WAN Infrastructure Refresh</t>
  </si>
  <si>
    <t>5535A1</t>
  </si>
  <si>
    <t>Network Management Infrastructure and WAN Tool</t>
  </si>
  <si>
    <t>5535A</t>
  </si>
  <si>
    <t>WAN Infrastructure New Capability</t>
  </si>
  <si>
    <t>5535</t>
  </si>
  <si>
    <t>5534B</t>
  </si>
  <si>
    <t>Voice Infrastructure Refresh</t>
  </si>
  <si>
    <t>5534A1</t>
  </si>
  <si>
    <t>Voice Infrastructure Upgrade Future Phases</t>
  </si>
  <si>
    <t>5534A</t>
  </si>
  <si>
    <t>Voice Infrastructure New Capability</t>
  </si>
  <si>
    <t>5534</t>
  </si>
  <si>
    <t>5533B</t>
  </si>
  <si>
    <t>Network Security Infrastructure Refresh</t>
  </si>
  <si>
    <t>5533A3</t>
  </si>
  <si>
    <t>Verizon - vSTIG re-architecture - New Core Firewall</t>
  </si>
  <si>
    <t>5533A2</t>
  </si>
  <si>
    <t>Network Segmentation</t>
  </si>
  <si>
    <t>5533A1</t>
  </si>
  <si>
    <t>Network Security Infrastructure Upgrade Future Phases</t>
  </si>
  <si>
    <t>5533A</t>
  </si>
  <si>
    <t>Network Security Infrastructure New Capability</t>
  </si>
  <si>
    <t>5533</t>
  </si>
  <si>
    <t>5532B2</t>
  </si>
  <si>
    <t>UPS Infrastructure - RIIO T1</t>
  </si>
  <si>
    <t>5532B1</t>
  </si>
  <si>
    <t>5532B</t>
  </si>
  <si>
    <t>LAN Infrastructure Refresh</t>
  </si>
  <si>
    <t>5532A2</t>
  </si>
  <si>
    <t>5532A1</t>
  </si>
  <si>
    <t>LAN Upgrade - New Tech Deployment</t>
  </si>
  <si>
    <t>5532A</t>
  </si>
  <si>
    <t>LAN Infrastructure New Capability</t>
  </si>
  <si>
    <t>5532</t>
  </si>
  <si>
    <t>LAN Infrastructure Programme</t>
  </si>
  <si>
    <t>5531</t>
  </si>
  <si>
    <t>5530</t>
  </si>
  <si>
    <t>US Business Services Strategic Program</t>
  </si>
  <si>
    <t>5529</t>
  </si>
  <si>
    <t>Asset Management Maturity – Systems Capability</t>
  </si>
  <si>
    <t>Grid Modernization</t>
  </si>
  <si>
    <t>ALL</t>
  </si>
  <si>
    <t>5528</t>
  </si>
  <si>
    <t>Data Management Toolset</t>
  </si>
  <si>
    <t>RDP - SPEN GEMS</t>
  </si>
  <si>
    <t>RDP - Data Exchange</t>
  </si>
  <si>
    <t>RDP - Intertripping</t>
  </si>
  <si>
    <t>RDP - Service Conflict</t>
  </si>
  <si>
    <t>RDP - MW Dispatch</t>
  </si>
  <si>
    <t>5527</t>
  </si>
  <si>
    <t>Regional Development Programme</t>
  </si>
  <si>
    <t>5526</t>
  </si>
  <si>
    <t>Test</t>
  </si>
  <si>
    <t>5525</t>
  </si>
  <si>
    <t>Wireless Infrastructure Program</t>
  </si>
  <si>
    <t>5524H</t>
  </si>
  <si>
    <t>Network Management Performance Tool</t>
  </si>
  <si>
    <t>5524G</t>
  </si>
  <si>
    <t>Verizon - US SD-WAN expansion</t>
  </si>
  <si>
    <t>5524F</t>
  </si>
  <si>
    <t>WAN Bandwidth Upgrade</t>
  </si>
  <si>
    <t>5524E</t>
  </si>
  <si>
    <t>5524D</t>
  </si>
  <si>
    <t>Verizon - WAAS Decommissioning</t>
  </si>
  <si>
    <t>5524C</t>
  </si>
  <si>
    <t>5524B</t>
  </si>
  <si>
    <t>Network Transformation Continuation-Substations and Security Sites</t>
  </si>
  <si>
    <t>5524A</t>
  </si>
  <si>
    <t>WAN Diversity at 18 Regional Storm Sites</t>
  </si>
  <si>
    <t>5524</t>
  </si>
  <si>
    <t>WAN Infrastructure Program</t>
  </si>
  <si>
    <t>5523E</t>
  </si>
  <si>
    <t>5523D</t>
  </si>
  <si>
    <t>5523C</t>
  </si>
  <si>
    <t>Migrate Services off EOL Avaya Platforms</t>
  </si>
  <si>
    <t>5523B</t>
  </si>
  <si>
    <t>Northborough and Avaya PBX Replacement/Upgrade (NE Control Room sites)</t>
  </si>
  <si>
    <t>5523A</t>
  </si>
  <si>
    <t>Upstate NY PBX Replacement/Upgrade (Upstate NY Control Room Sites)</t>
  </si>
  <si>
    <t>5523</t>
  </si>
  <si>
    <t>Voice Infrastructure Program</t>
  </si>
  <si>
    <t>5522F</t>
  </si>
  <si>
    <t>Verizon - vSTIG re-architecture</t>
  </si>
  <si>
    <t>5522E</t>
  </si>
  <si>
    <t>5522D</t>
  </si>
  <si>
    <t>Verizon - Tufin Upgrade</t>
  </si>
  <si>
    <t>5522C</t>
  </si>
  <si>
    <t>Verizon - vSTIG Device Refresh</t>
  </si>
  <si>
    <t>5522A</t>
  </si>
  <si>
    <t>End User VPN Replacement</t>
  </si>
  <si>
    <t>5522</t>
  </si>
  <si>
    <t>Network Security Infrastructure Program</t>
  </si>
  <si>
    <t>5521J</t>
  </si>
  <si>
    <t>Software Defined Access (LAN)</t>
  </si>
  <si>
    <t>5521I</t>
  </si>
  <si>
    <t>5521H</t>
  </si>
  <si>
    <t>Network Data Center Cleanup</t>
  </si>
  <si>
    <t>5521G</t>
  </si>
  <si>
    <t>US Wireless LAN Management Tools</t>
  </si>
  <si>
    <t>5521F</t>
  </si>
  <si>
    <t>Verizon - US WiFi Expansion</t>
  </si>
  <si>
    <t>5521E</t>
  </si>
  <si>
    <t>Verizon - Aruba Wireless LAN (Syracuse)</t>
  </si>
  <si>
    <t>5521D</t>
  </si>
  <si>
    <t>UPS Infrastructure (formerly UPS Replacement)</t>
  </si>
  <si>
    <t>5521C</t>
  </si>
  <si>
    <t>Network Equipment End of Life Replacement - LAN</t>
  </si>
  <si>
    <t>5521B</t>
  </si>
  <si>
    <t>Verizon - US WiFi Refresh</t>
  </si>
  <si>
    <t>5521A</t>
  </si>
  <si>
    <t>Verizon - Aruba Wireless LAN (Waltham)</t>
  </si>
  <si>
    <t>5521</t>
  </si>
  <si>
    <t>LAN/Wi-Fi Infrastructure Program</t>
  </si>
  <si>
    <t>5520</t>
  </si>
  <si>
    <t>Network Transformation Continuation-Substations and Security Sites - Future Years</t>
  </si>
  <si>
    <t>5508</t>
  </si>
  <si>
    <t>Legal Open Text DM F&amp;A</t>
  </si>
  <si>
    <t>5507</t>
  </si>
  <si>
    <t>US Legal: Document Management</t>
  </si>
  <si>
    <t>5506</t>
  </si>
  <si>
    <t>Integration Services</t>
  </si>
  <si>
    <t>5505</t>
  </si>
  <si>
    <t>Enterprise Platforms</t>
  </si>
  <si>
    <t>5504</t>
  </si>
  <si>
    <t>ASB Changes for FFR Auctions</t>
  </si>
  <si>
    <t>5503</t>
  </si>
  <si>
    <t>CIS Replacement Strategy</t>
  </si>
  <si>
    <t>CIS</t>
  </si>
  <si>
    <t>5502</t>
  </si>
  <si>
    <t>Unix 51 Phase 2</t>
  </si>
  <si>
    <t>5501</t>
  </si>
  <si>
    <t>Modern Workplace</t>
  </si>
  <si>
    <t>5500</t>
  </si>
  <si>
    <t>Emerging Technology</t>
  </si>
  <si>
    <t>5499</t>
  </si>
  <si>
    <t>Customer Experience</t>
  </si>
  <si>
    <t>5498</t>
  </si>
  <si>
    <t>Collaboration &amp; Unified Communications</t>
  </si>
  <si>
    <t>5497</t>
  </si>
  <si>
    <t>5496</t>
  </si>
  <si>
    <t>5495</t>
  </si>
  <si>
    <t>OPPM Enhancements</t>
  </si>
  <si>
    <t>5494</t>
  </si>
  <si>
    <t>MA Energy Storage and Demand Response integration</t>
  </si>
  <si>
    <t>5493</t>
  </si>
  <si>
    <t>Modern Management F&amp;A</t>
  </si>
  <si>
    <t>5492</t>
  </si>
  <si>
    <t>Gas T Reading and eLogger Upgrade</t>
  </si>
  <si>
    <t>5491</t>
  </si>
  <si>
    <t>ET Customer P4V Changes</t>
  </si>
  <si>
    <t>5490</t>
  </si>
  <si>
    <t>5489</t>
  </si>
  <si>
    <t>5488</t>
  </si>
  <si>
    <t>5487E</t>
  </si>
  <si>
    <t>ICE Public Folders - Migration/Decom</t>
  </si>
  <si>
    <t>5487D</t>
  </si>
  <si>
    <t>5487C</t>
  </si>
  <si>
    <t>Box &amp; Huddle to SharePoint Online</t>
  </si>
  <si>
    <t>5487B</t>
  </si>
  <si>
    <t>SharePoint to SharePoint Online</t>
  </si>
  <si>
    <t>5487A</t>
  </si>
  <si>
    <t>Microsoft Teams and Zoom Comparison F&amp;A</t>
  </si>
  <si>
    <t>Microsoft Teams Deployment</t>
  </si>
  <si>
    <t>5487</t>
  </si>
  <si>
    <t>5486</t>
  </si>
  <si>
    <t>AVLS Modem Reconfiguration</t>
  </si>
  <si>
    <t>5485</t>
  </si>
  <si>
    <t>Summons Reporting</t>
  </si>
  <si>
    <t>Operations &amp; Engineering</t>
  </si>
  <si>
    <t>Front Office</t>
  </si>
  <si>
    <t>5484</t>
  </si>
  <si>
    <t>City State Construction</t>
  </si>
  <si>
    <t>5483</t>
  </si>
  <si>
    <t>LocusView Application for Constructio</t>
  </si>
  <si>
    <t>5482</t>
  </si>
  <si>
    <t>Mobile application for financial close</t>
  </si>
  <si>
    <t>Strategic Initiative</t>
  </si>
  <si>
    <t>5481</t>
  </si>
  <si>
    <t>Mobile Application for Trouble Shooters</t>
  </si>
  <si>
    <t>5480</t>
  </si>
  <si>
    <t>5479</t>
  </si>
  <si>
    <t>F&amp;A - Data Analytics for Debt Collection</t>
  </si>
  <si>
    <t>5478</t>
  </si>
  <si>
    <t>New Instance of Price Transmission System</t>
  </si>
  <si>
    <t>5477</t>
  </si>
  <si>
    <t>US Global Assurance: NY Certification and Rate Case Tracking Re-platform</t>
  </si>
  <si>
    <t>5476</t>
  </si>
  <si>
    <t>Process Automation - Phase 2</t>
  </si>
  <si>
    <t>US Corporate</t>
  </si>
  <si>
    <t>5475</t>
  </si>
  <si>
    <t>Estimating Adjustment - Other</t>
  </si>
  <si>
    <t>US IS</t>
  </si>
  <si>
    <t>5474</t>
  </si>
  <si>
    <t>CDG Low Income Bill Discount Program</t>
  </si>
  <si>
    <t>5473</t>
  </si>
  <si>
    <t>Slow moving material inventory - Electric</t>
  </si>
  <si>
    <t>Sustaining Investments</t>
  </si>
  <si>
    <t>5472</t>
  </si>
  <si>
    <t>GRC Archer - Risk and Migration</t>
  </si>
  <si>
    <t>5471F</t>
  </si>
  <si>
    <t>Grid Modernization GIS - Phase 1</t>
  </si>
  <si>
    <t>5471E</t>
  </si>
  <si>
    <t>Grid Modernization Enterprise service bus</t>
  </si>
  <si>
    <t>5471D</t>
  </si>
  <si>
    <t>Grid Modernization Data Management</t>
  </si>
  <si>
    <t>5471C</t>
  </si>
  <si>
    <t>Grid Modernization VVO</t>
  </si>
  <si>
    <t>5471B</t>
  </si>
  <si>
    <t>5471A</t>
  </si>
  <si>
    <t>Grid Modernization ADMS</t>
  </si>
  <si>
    <t>5471</t>
  </si>
  <si>
    <t>GridMod FY20 Investments</t>
  </si>
  <si>
    <t>Gas Control Center Simulator</t>
  </si>
  <si>
    <t>5468</t>
  </si>
  <si>
    <t>5467</t>
  </si>
  <si>
    <t>Design &amp; Deployment of Oracle Fusion Development &amp; Pre-Production Platforms</t>
  </si>
  <si>
    <t>5466</t>
  </si>
  <si>
    <t xml:space="preserve">AMAG HW and SW Upgrade </t>
  </si>
  <si>
    <t>5465</t>
  </si>
  <si>
    <t>US SAP: Payroll mobilization enhancement (Fiori)</t>
  </si>
  <si>
    <t>5464</t>
  </si>
  <si>
    <t>Integration of Background Check with SAP SuccessFactors</t>
  </si>
  <si>
    <t>5463</t>
  </si>
  <si>
    <t>US Finance:  Process Automation</t>
  </si>
  <si>
    <t>5462</t>
  </si>
  <si>
    <t>Benefit Program Annual Changes - FY20</t>
  </si>
  <si>
    <t>5461</t>
  </si>
  <si>
    <t>Total Reward Statement</t>
  </si>
  <si>
    <t>5459</t>
  </si>
  <si>
    <t>Advanced Metering Infrastructure (AMI) NY</t>
  </si>
  <si>
    <t>5458</t>
  </si>
  <si>
    <t>NES</t>
  </si>
  <si>
    <t>5457</t>
  </si>
  <si>
    <t>5456</t>
  </si>
  <si>
    <t>5455</t>
  </si>
  <si>
    <t>5454</t>
  </si>
  <si>
    <t>5453</t>
  </si>
  <si>
    <t>5452</t>
  </si>
  <si>
    <t>5451</t>
  </si>
  <si>
    <t>Verizon - UK SD-WAN expansion</t>
  </si>
  <si>
    <t>5450</t>
  </si>
  <si>
    <t>Verizon - UK DWDM Refresh</t>
  </si>
  <si>
    <t>5449</t>
  </si>
  <si>
    <t>Verizon - UK DWDM Replacement</t>
  </si>
  <si>
    <t>5448</t>
  </si>
  <si>
    <t>Verizon - UK Cadent EoL Refresh</t>
  </si>
  <si>
    <t>5447</t>
  </si>
  <si>
    <t>Verizon - UK Legacy STIG Refresh</t>
  </si>
  <si>
    <t>5446</t>
  </si>
  <si>
    <t>Verizon - UK Wired LAN Refresh</t>
  </si>
  <si>
    <t>5445</t>
  </si>
  <si>
    <t>Verizon - UK WiFi Refresh</t>
  </si>
  <si>
    <t>5444</t>
  </si>
  <si>
    <t>Network Management Infrastructure and WLAN Tool</t>
  </si>
  <si>
    <t>5443</t>
  </si>
  <si>
    <t>5442</t>
  </si>
  <si>
    <t>LAN infrastructure New Capability</t>
  </si>
  <si>
    <t>5441</t>
  </si>
  <si>
    <t>T1 Voice Infrastructure</t>
  </si>
  <si>
    <t>5440</t>
  </si>
  <si>
    <t>5439</t>
  </si>
  <si>
    <t>5438</t>
  </si>
  <si>
    <t>5437</t>
  </si>
  <si>
    <t>5436</t>
  </si>
  <si>
    <t>5435</t>
  </si>
  <si>
    <t>5434</t>
  </si>
  <si>
    <t>5433</t>
  </si>
  <si>
    <t>5432</t>
  </si>
  <si>
    <t>5431</t>
  </si>
  <si>
    <t>5430</t>
  </si>
  <si>
    <t>NY Green Button Connect</t>
  </si>
  <si>
    <t>5429</t>
  </si>
  <si>
    <t>Verizon  - Aruba Clearpass</t>
  </si>
  <si>
    <t>5424</t>
  </si>
  <si>
    <t>Network Security Infrastructure New Capability (Funding Line)</t>
  </si>
  <si>
    <t>5423</t>
  </si>
  <si>
    <t>Voice Infrastructure New Capability (Funding Line)</t>
  </si>
  <si>
    <t>5422</t>
  </si>
  <si>
    <t>WAN Infrastructure New Capability (Funding Line)</t>
  </si>
  <si>
    <t>5421</t>
  </si>
  <si>
    <t>LAN Infrastructure New Capability (Funding Line)</t>
  </si>
  <si>
    <t>5420</t>
  </si>
  <si>
    <t>Wireless Infrastructure New Capability</t>
  </si>
  <si>
    <t>5419</t>
  </si>
  <si>
    <t>Refresh Network Security Infrastructure (Funding Line)</t>
  </si>
  <si>
    <t>5418</t>
  </si>
  <si>
    <t>Refresh Voice Infrastructure (Funding Line)</t>
  </si>
  <si>
    <t>5417</t>
  </si>
  <si>
    <t>Refresh WAN Infrastructure (Funding Line)</t>
  </si>
  <si>
    <t>5416</t>
  </si>
  <si>
    <t>Refresh LAN Infrastructure (Funding Line)</t>
  </si>
  <si>
    <t>5411</t>
  </si>
  <si>
    <t>Verizon - US OTO Environment (Substation Sites)</t>
  </si>
  <si>
    <t>5410</t>
  </si>
  <si>
    <t>Verizon - US OTO Environment (Legacy Data Centre Sites)</t>
  </si>
  <si>
    <t>5409</t>
  </si>
  <si>
    <t>Verizon - US Wired LAN Refresh</t>
  </si>
  <si>
    <t>5405</t>
  </si>
  <si>
    <t>Refresh Compute non converged technology</t>
  </si>
  <si>
    <t>5404</t>
  </si>
  <si>
    <t>Cloud Enhancements FY20</t>
  </si>
  <si>
    <t>5403</t>
  </si>
  <si>
    <t>Storage expansion</t>
  </si>
  <si>
    <t>5402</t>
  </si>
  <si>
    <t>Cloud Adoption</t>
  </si>
  <si>
    <t>5401</t>
  </si>
  <si>
    <t xml:space="preserve">FY20 Gas Operations &amp; Engineering Minor Works </t>
  </si>
  <si>
    <t>5400</t>
  </si>
  <si>
    <t>Smart inverters for company owned storage and solar</t>
  </si>
  <si>
    <t>5399</t>
  </si>
  <si>
    <t>Gas Demand Response Program</t>
  </si>
  <si>
    <t>5398</t>
  </si>
  <si>
    <t>AMI Customer Engagement Plan NY</t>
  </si>
  <si>
    <t>AMI</t>
  </si>
  <si>
    <t>5397</t>
  </si>
  <si>
    <t>MECO Rate Case Energy Storage</t>
  </si>
  <si>
    <t>5396</t>
  </si>
  <si>
    <t>Demand Response with storage Rhode Island demonstrations</t>
  </si>
  <si>
    <t>5395</t>
  </si>
  <si>
    <t>Meter Self Check Mobile Application</t>
  </si>
  <si>
    <t>5394</t>
  </si>
  <si>
    <t xml:space="preserve">Infrastructure Minor Works </t>
  </si>
  <si>
    <t>5393</t>
  </si>
  <si>
    <t>IS Commercial Contract Management</t>
  </si>
  <si>
    <t>Corporate Affairs</t>
  </si>
  <si>
    <t>Finance Corporate &amp; Web</t>
  </si>
  <si>
    <t>5392</t>
  </si>
  <si>
    <t>US SAP: Infrastructure Landscape FY20</t>
  </si>
  <si>
    <t>5391</t>
  </si>
  <si>
    <t>HR Support Pack 2019</t>
  </si>
  <si>
    <t>5390</t>
  </si>
  <si>
    <t>VCC Migration</t>
  </si>
  <si>
    <t>5389</t>
  </si>
  <si>
    <t>VC Consolidation</t>
  </si>
  <si>
    <t>Gas Transportation System Phase 3 GTIS</t>
  </si>
  <si>
    <t>5387</t>
  </si>
  <si>
    <t>Revenue Cycle Management Operational  Enhancements FY20</t>
  </si>
  <si>
    <t>Low Income Order Additional Compliance scope</t>
  </si>
  <si>
    <t>5385</t>
  </si>
  <si>
    <t>5384</t>
  </si>
  <si>
    <t>Supervisor Enablement iPad Advanced Capabilities</t>
  </si>
  <si>
    <t>5383</t>
  </si>
  <si>
    <t>Customer Operational Enhancements FY20</t>
  </si>
  <si>
    <t>5382</t>
  </si>
  <si>
    <t>DR&amp;S Minor Works - FY20</t>
  </si>
  <si>
    <t>5381</t>
  </si>
  <si>
    <t>SAP PI Interfaces - Moving from Cadent to National Grid</t>
  </si>
  <si>
    <t>5380A</t>
  </si>
  <si>
    <t>Blackline: US Implementation</t>
  </si>
  <si>
    <t>5380</t>
  </si>
  <si>
    <t>Future of Finance Program of Work</t>
  </si>
  <si>
    <t>5379</t>
  </si>
  <si>
    <t>Annual HR Service Pack Upgrade FY20</t>
  </si>
  <si>
    <t>5378</t>
  </si>
  <si>
    <t>FSSC&amp;HR Systems (Non-SAP) Operational Requirements &amp; Upgrades FY20</t>
  </si>
  <si>
    <t>5377</t>
  </si>
  <si>
    <t>US SAP Regulatory Requirements, Reporting &amp; Rate Case support - FY20</t>
  </si>
  <si>
    <t>Minor Works</t>
  </si>
  <si>
    <t>5376</t>
  </si>
  <si>
    <t>Annual SAP Cloud solution upgrades and maintenance - FY20</t>
  </si>
  <si>
    <t>5375</t>
  </si>
  <si>
    <t>SAP/PowerPlan/Front Office Maintenance of Business (MOB) - FY20</t>
  </si>
  <si>
    <t>5374</t>
  </si>
  <si>
    <t>Operations &amp; Engineering Infrastructure Improvements FY20</t>
  </si>
  <si>
    <t>5373</t>
  </si>
  <si>
    <t>DR&amp;S Minor Works -  FY20</t>
  </si>
  <si>
    <t>5372</t>
  </si>
  <si>
    <t>Operations &amp; Engineering Minor Works - Electric  FY20</t>
  </si>
  <si>
    <t>5371</t>
  </si>
  <si>
    <t>NY Customer E-Commerce Marketplace</t>
  </si>
  <si>
    <t>5370</t>
  </si>
  <si>
    <t>PI Historian Reporting Environment F&amp;A</t>
  </si>
  <si>
    <t>5369</t>
  </si>
  <si>
    <t>NY CNI Substation Firewall Refresh</t>
  </si>
  <si>
    <t>5368</t>
  </si>
  <si>
    <t>ABB SENDOUT Server Upgrade</t>
  </si>
  <si>
    <t>5367</t>
  </si>
  <si>
    <t>Enable Dominion Pipeline Confirmations</t>
  </si>
  <si>
    <t>5366</t>
  </si>
  <si>
    <t xml:space="preserve">FERC and CDI Minor Works FY20 </t>
  </si>
  <si>
    <t>5365</t>
  </si>
  <si>
    <t>GT Field Zone System Changes</t>
  </si>
  <si>
    <t>5364US</t>
  </si>
  <si>
    <t>Software License Asset Management</t>
  </si>
  <si>
    <t>5364</t>
  </si>
  <si>
    <t>Software Licence Asset Management</t>
  </si>
  <si>
    <t>IT Tooling</t>
  </si>
  <si>
    <t>5363</t>
  </si>
  <si>
    <t>VOLT</t>
  </si>
  <si>
    <t>5362</t>
  </si>
  <si>
    <t>Future of HR Programme</t>
  </si>
  <si>
    <t>5361</t>
  </si>
  <si>
    <t>5360</t>
  </si>
  <si>
    <t>Lease Accounting Updates and Contract Management</t>
  </si>
  <si>
    <t>5359</t>
  </si>
  <si>
    <t>ACIS Stabilization</t>
  </si>
  <si>
    <t>5358A</t>
  </si>
  <si>
    <t>5358</t>
  </si>
  <si>
    <t>5357</t>
  </si>
  <si>
    <t>GT Asset Integration and Mastering</t>
  </si>
  <si>
    <t>5356</t>
  </si>
  <si>
    <t>NE CNI Substation Firewall Refresh</t>
  </si>
  <si>
    <t>5355</t>
  </si>
  <si>
    <t>Control Centers Minor Works FY20</t>
  </si>
  <si>
    <t>5354</t>
  </si>
  <si>
    <t>North Andover Storm Site</t>
  </si>
  <si>
    <t>5353</t>
  </si>
  <si>
    <t>NYSERDA Pay for Performance Pilot</t>
  </si>
  <si>
    <t>5352</t>
  </si>
  <si>
    <t>5351</t>
  </si>
  <si>
    <t>Operational Information (MIPI Data Tier)</t>
  </si>
  <si>
    <t>Transmission - GSO</t>
  </si>
  <si>
    <t>5350</t>
  </si>
  <si>
    <t>Transmission Dynamic Ratings Pilot</t>
  </si>
  <si>
    <t>5349</t>
  </si>
  <si>
    <t>Upstate NY Control Room Telephony</t>
  </si>
  <si>
    <t>5348</t>
  </si>
  <si>
    <t>Mandated IS Projects FY20</t>
  </si>
  <si>
    <t>US F,SS&amp;C</t>
  </si>
  <si>
    <t>SS - Customer</t>
  </si>
  <si>
    <t>Regulatory Placeholder - Customer Systems</t>
  </si>
  <si>
    <t>5347</t>
  </si>
  <si>
    <t>Collaboration Rationalization &amp; Consolidation</t>
  </si>
  <si>
    <t>5346</t>
  </si>
  <si>
    <t>Addition of Deferred Payment Agreement Message to IVR</t>
  </si>
  <si>
    <t>Lockbox Payments and Credit Payments Implementation</t>
  </si>
  <si>
    <t>5345A</t>
  </si>
  <si>
    <t>F&amp;A for Bill Print and Bill Composition</t>
  </si>
  <si>
    <t>5345</t>
  </si>
  <si>
    <t>Billing and Payments Implementation</t>
  </si>
  <si>
    <t>5344</t>
  </si>
  <si>
    <t>F &amp;A Workflow tool for RCM</t>
  </si>
  <si>
    <t>5343</t>
  </si>
  <si>
    <t>FY20 Mandated Projects</t>
  </si>
  <si>
    <t>5342</t>
  </si>
  <si>
    <t>CIS F&amp;A FY 20</t>
  </si>
  <si>
    <t>5341</t>
  </si>
  <si>
    <t>5340C</t>
  </si>
  <si>
    <t>F&amp;A for CIS Request for Proposal</t>
  </si>
  <si>
    <t>5340B</t>
  </si>
  <si>
    <t>Data Cleanse Assessment for CSS/CRIS</t>
  </si>
  <si>
    <t>5340A</t>
  </si>
  <si>
    <t>CRIS Common Bill Design</t>
  </si>
  <si>
    <t>5340</t>
  </si>
  <si>
    <t>CIS Planning FY20</t>
  </si>
  <si>
    <t>5339</t>
  </si>
  <si>
    <t>CRIS/CSS Data Cleanse</t>
  </si>
  <si>
    <t>5338</t>
  </si>
  <si>
    <t>Network Modernization: Turn Down of the WAAS Services US</t>
  </si>
  <si>
    <t>5337</t>
  </si>
  <si>
    <t>Unifier F&amp;A</t>
  </si>
  <si>
    <t>5336</t>
  </si>
  <si>
    <t>5335</t>
  </si>
  <si>
    <t>NetMod Decommission of SRST</t>
  </si>
  <si>
    <t>5334</t>
  </si>
  <si>
    <t>Indentity and Access Management Change Program</t>
  </si>
  <si>
    <t>IS - Group Functions</t>
  </si>
  <si>
    <t>5333</t>
  </si>
  <si>
    <t>Tallyman upgrade</t>
  </si>
  <si>
    <t>5332</t>
  </si>
  <si>
    <t>Consultation System Changes (Operational Zone and Planning)</t>
  </si>
  <si>
    <t>5331</t>
  </si>
  <si>
    <t>New England Control Room Telephony Upgrade</t>
  </si>
  <si>
    <t>5330</t>
  </si>
  <si>
    <t>Removal of Survivable Remote Site Telephony (SRST)</t>
  </si>
  <si>
    <t>5329</t>
  </si>
  <si>
    <t>CAB Strategic Review</t>
  </si>
  <si>
    <t>5328</t>
  </si>
  <si>
    <t>Geographic Information System (GIS) Changes for ADMS F&amp;A</t>
  </si>
  <si>
    <t>5327</t>
  </si>
  <si>
    <t>Inertial Measurement Capability</t>
  </si>
  <si>
    <t>5326</t>
  </si>
  <si>
    <t>Operational Technology Phase 1</t>
  </si>
  <si>
    <t>5325</t>
  </si>
  <si>
    <t xml:space="preserve">Enable Next Gen Sourcing Strategies </t>
  </si>
  <si>
    <t>5324</t>
  </si>
  <si>
    <t>5323</t>
  </si>
  <si>
    <t>Power Available</t>
  </si>
  <si>
    <t>5322</t>
  </si>
  <si>
    <t>DN Aggregator Hub Refresh</t>
  </si>
  <si>
    <t>5321</t>
  </si>
  <si>
    <t>ET Portfolio Optimization</t>
  </si>
  <si>
    <t>5320</t>
  </si>
  <si>
    <t>Zone reduction</t>
  </si>
  <si>
    <t>5319</t>
  </si>
  <si>
    <t>IOS 12 Roll out</t>
  </si>
  <si>
    <t>5318</t>
  </si>
  <si>
    <t>UK T430 laptop replacement</t>
  </si>
  <si>
    <t>5317</t>
  </si>
  <si>
    <t>Employee Digital Workplace</t>
  </si>
  <si>
    <t>Web Solutions - Global</t>
  </si>
  <si>
    <t>5316</t>
  </si>
  <si>
    <t>End User - US T430 Refresh</t>
  </si>
  <si>
    <t>5315</t>
  </si>
  <si>
    <t>New York Control Room Telephony Upgrade</t>
  </si>
  <si>
    <t>5314</t>
  </si>
  <si>
    <t>NetMod eBond/NSSR/SVC Catalog</t>
  </si>
  <si>
    <t>5313</t>
  </si>
  <si>
    <t>NetMod Zscaler Cloud Security Gateway</t>
  </si>
  <si>
    <t>5312</t>
  </si>
  <si>
    <t>NetMod Ethernet/SD WAN Upgrade</t>
  </si>
  <si>
    <t>5311</t>
  </si>
  <si>
    <t>NetMod Infoblox</t>
  </si>
  <si>
    <t>5310</t>
  </si>
  <si>
    <t xml:space="preserve">NetMod Governance </t>
  </si>
  <si>
    <t>5309B</t>
  </si>
  <si>
    <t>ZPA – Zscaler Private Access</t>
  </si>
  <si>
    <t>5309</t>
  </si>
  <si>
    <t>Network Modernization</t>
  </si>
  <si>
    <t>IS for IS - Global</t>
  </si>
  <si>
    <t>5308</t>
  </si>
  <si>
    <t>RAS/VPN Re-Platform ZPA</t>
  </si>
  <si>
    <t>Corporate IS</t>
  </si>
  <si>
    <t>IS for IS</t>
  </si>
  <si>
    <t>5307</t>
  </si>
  <si>
    <t>RIIO T2 Website</t>
  </si>
  <si>
    <t>Web Solutions - UK</t>
  </si>
  <si>
    <t>5306</t>
  </si>
  <si>
    <t>NYC Permit System</t>
  </si>
  <si>
    <t>5305</t>
  </si>
  <si>
    <t>UK Business Planning &amp; Change Portfolio Tool</t>
  </si>
  <si>
    <t>5304</t>
  </si>
  <si>
    <t>Creation of Service Catalogue for Verizon Service Requests</t>
  </si>
  <si>
    <t>5303</t>
  </si>
  <si>
    <t>Ebonding of Verizon Service Management Request Process</t>
  </si>
  <si>
    <t>5302</t>
  </si>
  <si>
    <t>Automation of  Verizon NSSR process</t>
  </si>
  <si>
    <t>5301</t>
  </si>
  <si>
    <t>5300</t>
  </si>
  <si>
    <t>5299</t>
  </si>
  <si>
    <t>Creation of Service Catalogue for Verizon Service requests</t>
  </si>
  <si>
    <t>5298</t>
  </si>
  <si>
    <t>Case Management</t>
  </si>
  <si>
    <t>5297</t>
  </si>
  <si>
    <t>5296</t>
  </si>
  <si>
    <t>5295</t>
  </si>
  <si>
    <t>5294</t>
  </si>
  <si>
    <t>DNS, DHCP, IP Network Management Platform Replacement</t>
  </si>
  <si>
    <t>5293</t>
  </si>
  <si>
    <t>Zscaler Cloud Security Gateway</t>
  </si>
  <si>
    <t>5292</t>
  </si>
  <si>
    <t>WAN Ethernet Network upgrade</t>
  </si>
  <si>
    <t>Asset Health</t>
  </si>
  <si>
    <t>5291</t>
  </si>
  <si>
    <t>5290</t>
  </si>
  <si>
    <t>5289</t>
  </si>
  <si>
    <t>Performance Drumbeat MPR groupwide reporting</t>
  </si>
  <si>
    <t>5288</t>
  </si>
  <si>
    <t>SVOP role addition and RPO enhancement</t>
  </si>
  <si>
    <t>5287</t>
  </si>
  <si>
    <t>ECM - TO SO Legal Seperation</t>
  </si>
  <si>
    <t>5286</t>
  </si>
  <si>
    <t>ESO Incentives (CMP299)</t>
  </si>
  <si>
    <t>5285</t>
  </si>
  <si>
    <t>GIS - Release 3</t>
  </si>
  <si>
    <t>5284</t>
  </si>
  <si>
    <t>ETO Innovation Framework Fund</t>
  </si>
  <si>
    <t>5283</t>
  </si>
  <si>
    <t>Sage Tool Intergration</t>
  </si>
  <si>
    <t>5282</t>
  </si>
  <si>
    <t>HVDC Cloud Solution</t>
  </si>
  <si>
    <t>5281</t>
  </si>
  <si>
    <t>Application Remediation / Cloud Onboarding</t>
  </si>
  <si>
    <t>5280</t>
  </si>
  <si>
    <t>Azure Edge Services</t>
  </si>
  <si>
    <t>5279C</t>
  </si>
  <si>
    <t>Document Management (ECM)</t>
  </si>
  <si>
    <t>5279B</t>
  </si>
  <si>
    <t>Ellipse Configurations &amp; Integrations</t>
  </si>
  <si>
    <t>5279A</t>
  </si>
  <si>
    <t>Asset Investment Planning (C55 Implementation)</t>
  </si>
  <si>
    <t>5279</t>
  </si>
  <si>
    <t>Richmond</t>
  </si>
  <si>
    <t>5278</t>
  </si>
  <si>
    <t>Identity and Access Management Business Change Programme</t>
  </si>
  <si>
    <t>5277</t>
  </si>
  <si>
    <t>Allow Quaterly Billing on Elderly Accounts</t>
  </si>
  <si>
    <t>5276</t>
  </si>
  <si>
    <t>I&amp;R Instrumentation and Calibration Software</t>
  </si>
  <si>
    <t>5275</t>
  </si>
  <si>
    <t>Post Award Non-Complex Contract Management System</t>
  </si>
  <si>
    <t>5274</t>
  </si>
  <si>
    <t>New Storms Response Management System</t>
  </si>
  <si>
    <t>5273</t>
  </si>
  <si>
    <t>General Data Protection Regulation Compliance US IS F&amp;A</t>
  </si>
  <si>
    <t>5272</t>
  </si>
  <si>
    <t>VSTIG - 10gb IDS cards</t>
  </si>
  <si>
    <t>5271</t>
  </si>
  <si>
    <t>5270</t>
  </si>
  <si>
    <t>5269</t>
  </si>
  <si>
    <t>Rubber Good Testing/Tracking System Replacement F&amp;A</t>
  </si>
  <si>
    <t>5268</t>
  </si>
  <si>
    <t>SVOP RPO Enhancements</t>
  </si>
  <si>
    <t>5267</t>
  </si>
  <si>
    <t>Data Visualization Evolution F&amp;A</t>
  </si>
  <si>
    <t>IT</t>
  </si>
  <si>
    <t>SS - Other</t>
  </si>
  <si>
    <t>5266</t>
  </si>
  <si>
    <t>NG PSEGLI PI DR Firewall Rules and Testing</t>
  </si>
  <si>
    <t>5265</t>
  </si>
  <si>
    <t>GTO Linear Asset Restructuring and Transformation</t>
  </si>
  <si>
    <t>5264</t>
  </si>
  <si>
    <t>P363/P364 Simplified BMU Registration</t>
  </si>
  <si>
    <t>5263</t>
  </si>
  <si>
    <t>EDI Managed File Transfer Upgrade F-A</t>
  </si>
  <si>
    <t>5262</t>
  </si>
  <si>
    <t>General Data Protection Regulation (GDPR) Compliance - Security Controls Assessment</t>
  </si>
  <si>
    <t>5261</t>
  </si>
  <si>
    <t>Aligning SAP with P6 by new Work Breakdown Structure F&amp;A</t>
  </si>
  <si>
    <t>5260</t>
  </si>
  <si>
    <t>Rubber Goods Testing/Tracking System Replacement</t>
  </si>
  <si>
    <t>5259</t>
  </si>
  <si>
    <t>SHS Capability &amp; Efficiency</t>
  </si>
  <si>
    <t>SSR</t>
  </si>
  <si>
    <t>5258</t>
  </si>
  <si>
    <t>SSE Timesheet Split</t>
  </si>
  <si>
    <t>5257</t>
  </si>
  <si>
    <t>Identity and Access Management new capabilities</t>
  </si>
  <si>
    <t>5256</t>
  </si>
  <si>
    <t>Maintain Network Security</t>
  </si>
  <si>
    <t>5255</t>
  </si>
  <si>
    <t>5254</t>
  </si>
  <si>
    <t>Improve Network Security</t>
  </si>
  <si>
    <t>5253</t>
  </si>
  <si>
    <t>5252</t>
  </si>
  <si>
    <t>5251</t>
  </si>
  <si>
    <t>5250</t>
  </si>
  <si>
    <t>Middleware refresh</t>
  </si>
  <si>
    <t>5249</t>
  </si>
  <si>
    <t>5248</t>
  </si>
  <si>
    <t>Refresh Compute</t>
  </si>
  <si>
    <t>5247</t>
  </si>
  <si>
    <t>Wireless Refresh</t>
  </si>
  <si>
    <t>5246</t>
  </si>
  <si>
    <t>T2 CNI Infrastructure Upgrades and Maintenance</t>
  </si>
  <si>
    <t>5245</t>
  </si>
  <si>
    <t>Corporate Non Regulated minor works 18/19</t>
  </si>
  <si>
    <t>5244</t>
  </si>
  <si>
    <t>HR Maintain Policy Compliance 1819</t>
  </si>
  <si>
    <t>5243</t>
  </si>
  <si>
    <t>Corporate Regulated Minor Works 1819</t>
  </si>
  <si>
    <t>5242</t>
  </si>
  <si>
    <t>Troy Energy Storage System IS Network</t>
  </si>
  <si>
    <t>5241</t>
  </si>
  <si>
    <t>East Pulaski Energy Storage System IS Network</t>
  </si>
  <si>
    <t>5240</t>
  </si>
  <si>
    <t>FY19Budget Adjustment – DR&amp;S</t>
  </si>
  <si>
    <t>5239</t>
  </si>
  <si>
    <t>FY19Budget Adjustment – Infrastructure</t>
  </si>
  <si>
    <t>5238</t>
  </si>
  <si>
    <t>FY19Budget Adjustment – US Program Delivery</t>
  </si>
  <si>
    <t>5237</t>
  </si>
  <si>
    <t>FY19Estimating Adjustment – DR&amp;S</t>
  </si>
  <si>
    <t>5236</t>
  </si>
  <si>
    <t>FY19Estimating Adjustment – Infrastructure</t>
  </si>
  <si>
    <t>5235</t>
  </si>
  <si>
    <t>FY19Estimating Adjustment – US Program Delivery</t>
  </si>
  <si>
    <t>5234</t>
  </si>
  <si>
    <t>iOS12 Upgrade for ETO</t>
  </si>
  <si>
    <t>5233</t>
  </si>
  <si>
    <t>5232</t>
  </si>
  <si>
    <t>5231</t>
  </si>
  <si>
    <t>GSO Data Tooling</t>
  </si>
  <si>
    <t>5230</t>
  </si>
  <si>
    <t>Legal Separation Website Refresh</t>
  </si>
  <si>
    <t>5229</t>
  </si>
  <si>
    <t>Gas Business Enablement (GBE) Interfaces to Legacy Systems</t>
  </si>
  <si>
    <t>5228</t>
  </si>
  <si>
    <t>Rhode Island Rate Case</t>
  </si>
  <si>
    <t>5227</t>
  </si>
  <si>
    <t>Warwick and Wokingham Core Switch replacement</t>
  </si>
  <si>
    <t>5226</t>
  </si>
  <si>
    <t xml:space="preserve">AVLS - Old 3G Modem Replacement </t>
  </si>
  <si>
    <t>5225</t>
  </si>
  <si>
    <t>Voice Recorder</t>
  </si>
  <si>
    <t>5224</t>
  </si>
  <si>
    <t>Ellipse Site Data Alignment</t>
  </si>
  <si>
    <t>5223</t>
  </si>
  <si>
    <t>MA Rate Case</t>
  </si>
  <si>
    <t>5222</t>
  </si>
  <si>
    <t>5221</t>
  </si>
  <si>
    <t>Dumfries and Galloway Control Scheme</t>
  </si>
  <si>
    <t>5220</t>
  </si>
  <si>
    <t>Carbon Feeder Productionisation</t>
  </si>
  <si>
    <t>5219</t>
  </si>
  <si>
    <t>CISCO 9300 firewall upgrade</t>
  </si>
  <si>
    <t>5218</t>
  </si>
  <si>
    <t>5217</t>
  </si>
  <si>
    <t>5216</t>
  </si>
  <si>
    <t>Customer Minor Works FY19</t>
  </si>
  <si>
    <t>5215</t>
  </si>
  <si>
    <t>Asset Portfolio Optimisation</t>
  </si>
  <si>
    <t>5214US</t>
  </si>
  <si>
    <t>IAM Privilege Access Management (PAM) Phase 1</t>
  </si>
  <si>
    <t>5214UK</t>
  </si>
  <si>
    <t>5214</t>
  </si>
  <si>
    <t>5213</t>
  </si>
  <si>
    <t>UK IS Finance</t>
  </si>
  <si>
    <t>5212</t>
  </si>
  <si>
    <t>ITOT TTL Hardening</t>
  </si>
  <si>
    <t>5211</t>
  </si>
  <si>
    <t>ITOT SIREN Pilot</t>
  </si>
  <si>
    <t>5210</t>
  </si>
  <si>
    <t>ITOT Account Management Pilot</t>
  </si>
  <si>
    <t>5209</t>
  </si>
  <si>
    <t>ITOT Cyber Intelligence Phase 1</t>
  </si>
  <si>
    <t>5208</t>
  </si>
  <si>
    <t>ITOT Critical Patch Management Pilot</t>
  </si>
  <si>
    <t>5207</t>
  </si>
  <si>
    <t>ITOT Virtual Image Library</t>
  </si>
  <si>
    <t>5206</t>
  </si>
  <si>
    <t>ITOT Roadmap Scoping</t>
  </si>
  <si>
    <t>5205</t>
  </si>
  <si>
    <t>Threat Behavior Modeling</t>
  </si>
  <si>
    <t>5204</t>
  </si>
  <si>
    <t>Insider Threat Detection</t>
  </si>
  <si>
    <t>5203</t>
  </si>
  <si>
    <t>Removable Media Control Pilot</t>
  </si>
  <si>
    <t>5202</t>
  </si>
  <si>
    <t>Virtualized Browser</t>
  </si>
  <si>
    <t>5201</t>
  </si>
  <si>
    <t>Rhode Island VVO Program</t>
  </si>
  <si>
    <t>5200</t>
  </si>
  <si>
    <t>AIX Upgrade – App Migration F&amp;A</t>
  </si>
  <si>
    <t>5199</t>
  </si>
  <si>
    <t>AIX upgrade</t>
  </si>
  <si>
    <t>5198</t>
  </si>
  <si>
    <t>Big Data Security Analytics: Phase 2</t>
  </si>
  <si>
    <t>5197</t>
  </si>
  <si>
    <t>CNI Intrusion Detection/Prevention: Phase 2</t>
  </si>
  <si>
    <t>5196</t>
  </si>
  <si>
    <t>Enhanced DLP Gateway &amp; Endpoint</t>
  </si>
  <si>
    <t>5195</t>
  </si>
  <si>
    <t>GPS Project</t>
  </si>
  <si>
    <t>5194</t>
  </si>
  <si>
    <t>Network Access Control</t>
  </si>
  <si>
    <t>5193</t>
  </si>
  <si>
    <t>PSEG Long Island One Step Auto Cashiering Transition to iPay</t>
  </si>
  <si>
    <t>LIPA</t>
  </si>
  <si>
    <t>5192</t>
  </si>
  <si>
    <t>US Endpoint Security</t>
  </si>
  <si>
    <t>5191</t>
  </si>
  <si>
    <t>Global Policy Framework: Domain Based Security - Phase 1</t>
  </si>
  <si>
    <t>5190</t>
  </si>
  <si>
    <t>IT/OT Discovery and Implementation Phase 1 -US only</t>
  </si>
  <si>
    <t>5189</t>
  </si>
  <si>
    <t>Sustainable Red Team Service Model</t>
  </si>
  <si>
    <t>5188</t>
  </si>
  <si>
    <t>Firewall Rule CleanUp</t>
  </si>
  <si>
    <t>5187</t>
  </si>
  <si>
    <t>Enhanced Phishing protection &amp; awareness</t>
  </si>
  <si>
    <t>5186</t>
  </si>
  <si>
    <t>US Field Force Help Desk - MA Gas</t>
  </si>
  <si>
    <t>5185</t>
  </si>
  <si>
    <t>CNI Security Enhancements: Phase 1</t>
  </si>
  <si>
    <t>5184</t>
  </si>
  <si>
    <t>New Patching Servers for OMS Environments</t>
  </si>
  <si>
    <t>5183</t>
  </si>
  <si>
    <t>F &amp; A Enable existing Opt Out Process</t>
  </si>
  <si>
    <t>5182</t>
  </si>
  <si>
    <t>Mandated System Updates to CRS</t>
  </si>
  <si>
    <t>5181</t>
  </si>
  <si>
    <t>Property Budget Line</t>
  </si>
  <si>
    <t>5180</t>
  </si>
  <si>
    <t>CRIS Transactional Email</t>
  </si>
  <si>
    <t>5179</t>
  </si>
  <si>
    <t>Create new Tableau Regulatory Environment</t>
  </si>
  <si>
    <t>5178</t>
  </si>
  <si>
    <t>Nantucket Substation IS Network for Tesla Battery and Solar Mico Turbine systems</t>
  </si>
  <si>
    <t>5177</t>
  </si>
  <si>
    <t>5176</t>
  </si>
  <si>
    <t>MODIS System Hardening Phase 4</t>
  </si>
  <si>
    <t>5175</t>
  </si>
  <si>
    <t>NY Gas Service Line Inspection</t>
  </si>
  <si>
    <t>5174</t>
  </si>
  <si>
    <t>Employee Portal for Employee Clean Tech Packages</t>
  </si>
  <si>
    <t>5173</t>
  </si>
  <si>
    <t>Business Services Experian Support</t>
  </si>
  <si>
    <t>5172</t>
  </si>
  <si>
    <t>P354/P355 Solutions Options</t>
  </si>
  <si>
    <t>5171</t>
  </si>
  <si>
    <t>Wireless Network Expansion - Future Years</t>
  </si>
  <si>
    <t>5170</t>
  </si>
  <si>
    <t>Wireless Network Expansion - FY19</t>
  </si>
  <si>
    <t>5168</t>
  </si>
  <si>
    <t>Network Strategy</t>
  </si>
  <si>
    <t>US SMART</t>
  </si>
  <si>
    <t>5167</t>
  </si>
  <si>
    <t>Customer Data Visualization Distributed Generation Expansion</t>
  </si>
  <si>
    <t>5166</t>
  </si>
  <si>
    <t>RI Grid Mod Green Button Connect</t>
  </si>
  <si>
    <t>5165</t>
  </si>
  <si>
    <t>5164</t>
  </si>
  <si>
    <t>Smart Home Rate for Clifton Park</t>
  </si>
  <si>
    <t>5163</t>
  </si>
  <si>
    <t>Gas Demand Response UNY</t>
  </si>
  <si>
    <t>5162</t>
  </si>
  <si>
    <t>Solar Marketplace</t>
  </si>
  <si>
    <t>5160</t>
  </si>
  <si>
    <t>5159</t>
  </si>
  <si>
    <t>NMPC Rate Case</t>
  </si>
  <si>
    <t>5158</t>
  </si>
  <si>
    <t>5157</t>
  </si>
  <si>
    <t>DobleArms Expansion</t>
  </si>
  <si>
    <t>5156</t>
  </si>
  <si>
    <t>Mandated IS Projects FY19</t>
  </si>
  <si>
    <t>5155</t>
  </si>
  <si>
    <t>VDI (Virtual Desktop Infrastructure) Expansion</t>
  </si>
  <si>
    <t>5154</t>
  </si>
  <si>
    <t>Data Center Buildout (Hicksville)</t>
  </si>
  <si>
    <t>5153</t>
  </si>
  <si>
    <t>Application Rationalization</t>
  </si>
  <si>
    <t>5152</t>
  </si>
  <si>
    <t>Power Plant Operations Continuous Emissions Monitoring Network Improvement</t>
  </si>
  <si>
    <t>5151</t>
  </si>
  <si>
    <t>GNCC Control Telephony Replacement</t>
  </si>
  <si>
    <t>5150</t>
  </si>
  <si>
    <t>Smallworld Stabilization (Phase 1)</t>
  </si>
  <si>
    <t>5149</t>
  </si>
  <si>
    <t>Replacement of Suspends with Handling Codes.</t>
  </si>
  <si>
    <t>5148</t>
  </si>
  <si>
    <t>Rhode Island AMI Program</t>
  </si>
  <si>
    <t>5147</t>
  </si>
  <si>
    <t>Time Varying Rate Billing for Third Party Suppliers</t>
  </si>
  <si>
    <t>5146</t>
  </si>
  <si>
    <t>Smart Cities Schenectady</t>
  </si>
  <si>
    <t>5145</t>
  </si>
  <si>
    <t>Electric Vehicle Program Administration</t>
  </si>
  <si>
    <t>5144B</t>
  </si>
  <si>
    <t>Energy Storage at Kenmore</t>
  </si>
  <si>
    <t>5144A</t>
  </si>
  <si>
    <t>Energy Storage at East Pulaski</t>
  </si>
  <si>
    <t>5144</t>
  </si>
  <si>
    <t>Energy Storage System Kenmore</t>
  </si>
  <si>
    <t>5143</t>
  </si>
  <si>
    <t>Demand Response Management System</t>
  </si>
  <si>
    <t>5142</t>
  </si>
  <si>
    <t>Connected Solutions, Connected Customers</t>
  </si>
  <si>
    <t>5141</t>
  </si>
  <si>
    <t>Mass ESCO Drops back to Utility Service</t>
  </si>
  <si>
    <t>5140</t>
  </si>
  <si>
    <t>5139</t>
  </si>
  <si>
    <t>Community Choice Aggregations in MA and RI</t>
  </si>
  <si>
    <t>5138</t>
  </si>
  <si>
    <t>5137</t>
  </si>
  <si>
    <t>Gas Transportation Information System Browser Support</t>
  </si>
  <si>
    <t>5136</t>
  </si>
  <si>
    <t>Downstate NY Capacity Automation Enhancement</t>
  </si>
  <si>
    <t>5135</t>
  </si>
  <si>
    <t>5134</t>
  </si>
  <si>
    <t>5133</t>
  </si>
  <si>
    <t>RI Purchase of Receivables (POR)</t>
  </si>
  <si>
    <t>5132</t>
  </si>
  <si>
    <t>Add Effective Date to CSS-Customer System (NACHA)</t>
  </si>
  <si>
    <t>5131</t>
  </si>
  <si>
    <t>Elevated Pressure Alert</t>
  </si>
  <si>
    <t>5130</t>
  </si>
  <si>
    <t>CIAC process system enhancements program</t>
  </si>
  <si>
    <t>5129</t>
  </si>
  <si>
    <t>Customer Experience Transformation Technology Phase 2</t>
  </si>
  <si>
    <t>5128</t>
  </si>
  <si>
    <t>DG IOAP Phase 3 - Full automation of all processes</t>
  </si>
  <si>
    <t>5127</t>
  </si>
  <si>
    <t>GridForce 2.0 evolution</t>
  </si>
  <si>
    <t>5126</t>
  </si>
  <si>
    <t>Energy Efficiency Real Time Customer Data Sharing Phase 2</t>
  </si>
  <si>
    <t>5125</t>
  </si>
  <si>
    <t>5124</t>
  </si>
  <si>
    <t>Technology innovation GTO</t>
  </si>
  <si>
    <t>5123</t>
  </si>
  <si>
    <t>US Control Center Operations Minor Works-FY19</t>
  </si>
  <si>
    <t>5122A</t>
  </si>
  <si>
    <t>RI Collaborative on AMI </t>
  </si>
  <si>
    <t>5122</t>
  </si>
  <si>
    <t>NY Collaborative on AMI</t>
  </si>
  <si>
    <t>5121</t>
  </si>
  <si>
    <t>MDS Risk Mitigation Program</t>
  </si>
  <si>
    <t>5120</t>
  </si>
  <si>
    <t>NE IPC Phone Upgrade</t>
  </si>
  <si>
    <t>5119</t>
  </si>
  <si>
    <t>Geographic Information System (GIS) Changes for ADMS</t>
  </si>
  <si>
    <t>5118</t>
  </si>
  <si>
    <t>Protection Telecom Operations (PTO) for RTU Separation on DSCADA</t>
  </si>
  <si>
    <t>5117</t>
  </si>
  <si>
    <t>ADMS/DSCADA Requirements/ Statement of Work (SOW)</t>
  </si>
  <si>
    <t>5116</t>
  </si>
  <si>
    <t>Additional QA - Test System for Advanced Distribution Management System</t>
  </si>
  <si>
    <t>5115</t>
  </si>
  <si>
    <t>PPO Instruments Management</t>
  </si>
  <si>
    <t>5113</t>
  </si>
  <si>
    <t>HCB Control Room Telephony</t>
  </si>
  <si>
    <t>5112</t>
  </si>
  <si>
    <t>Cisco 9300 Firewall Code Upgrade</t>
  </si>
  <si>
    <t>5111</t>
  </si>
  <si>
    <t>Res Woods Campus Upgrade</t>
  </si>
  <si>
    <t>5110</t>
  </si>
  <si>
    <t>Cancel-Rebill/ ESCO Out Of Business</t>
  </si>
  <si>
    <t>5109</t>
  </si>
  <si>
    <t>SmallTalk Systems Replacement / TWS / MBS</t>
  </si>
  <si>
    <t>5108</t>
  </si>
  <si>
    <t>GTIS  - Slice of System</t>
  </si>
  <si>
    <t>5107</t>
  </si>
  <si>
    <t>ESCO Self Service - Rates</t>
  </si>
  <si>
    <t>5106</t>
  </si>
  <si>
    <t>5105</t>
  </si>
  <si>
    <t>CRIS Electronic Data Interchange (EDI)  Upgrade</t>
  </si>
  <si>
    <t>5104</t>
  </si>
  <si>
    <t>Customer Personalization Management</t>
  </si>
  <si>
    <t>5103</t>
  </si>
  <si>
    <t>My Account portal integration with GBE Communications  Management services</t>
  </si>
  <si>
    <t>5102</t>
  </si>
  <si>
    <t>Energy Efficiency InDemand infrastructure upgrade</t>
  </si>
  <si>
    <t>5101</t>
  </si>
  <si>
    <t>5100</t>
  </si>
  <si>
    <t>5099</t>
  </si>
  <si>
    <t>EPA Portfolio Manager Integration Phase 2</t>
  </si>
  <si>
    <t>5098</t>
  </si>
  <si>
    <t>Customer Data Management and Governance Program </t>
  </si>
  <si>
    <t>5097</t>
  </si>
  <si>
    <t>Report an outage and Pay by Text customer solution</t>
  </si>
  <si>
    <t>5096</t>
  </si>
  <si>
    <t>RI Regrowth and community net metering</t>
  </si>
  <si>
    <t>5095</t>
  </si>
  <si>
    <t>NY VDER Incentive Portal integration</t>
  </si>
  <si>
    <t>5094</t>
  </si>
  <si>
    <t>MA SMART Distributed Generation portal Integration</t>
  </si>
  <si>
    <t>5093</t>
  </si>
  <si>
    <t>F&amp;A SmallTalk Replacement</t>
  </si>
  <si>
    <t>5092</t>
  </si>
  <si>
    <t>Application and Database Optimization</t>
  </si>
  <si>
    <t>5091</t>
  </si>
  <si>
    <t>Define Electric Enablement Strategy</t>
  </si>
  <si>
    <t>5090</t>
  </si>
  <si>
    <t>VC Upgrades - 5 Aged Sites</t>
  </si>
  <si>
    <t>5089</t>
  </si>
  <si>
    <t>Windows 10 Foundation Deployment</t>
  </si>
  <si>
    <t>5088</t>
  </si>
  <si>
    <t>Res Woods Wireless LAN Enhancements</t>
  </si>
  <si>
    <t>5087</t>
  </si>
  <si>
    <t>Refresh of Legacy Access Points</t>
  </si>
  <si>
    <t>5086</t>
  </si>
  <si>
    <t>Airwatch Workspace 1 (EMM Single -Sign-on) purchase</t>
  </si>
  <si>
    <t>5085</t>
  </si>
  <si>
    <t>EMM Licenses Purchase</t>
  </si>
  <si>
    <t>5084</t>
  </si>
  <si>
    <t>Digital Communications: Infonet Refresh</t>
  </si>
  <si>
    <t>5083</t>
  </si>
  <si>
    <t>5082</t>
  </si>
  <si>
    <t>Regional Storm Site WAN Diversity</t>
  </si>
  <si>
    <t>5081</t>
  </si>
  <si>
    <t>Technical Minor Works - Future Years</t>
  </si>
  <si>
    <t>5080</t>
  </si>
  <si>
    <t>Service Now - Strategic Enhancements</t>
  </si>
  <si>
    <t>5079</t>
  </si>
  <si>
    <t>Cloud Enhancements - Next Phase</t>
  </si>
  <si>
    <t>5078</t>
  </si>
  <si>
    <t>Remedy Decommissioning</t>
  </si>
  <si>
    <t>5077</t>
  </si>
  <si>
    <t>5076</t>
  </si>
  <si>
    <t>US Telecom Strategy</t>
  </si>
  <si>
    <t>5075</t>
  </si>
  <si>
    <t>Mass DPU Report: Gas Monthly &amp; Quarterly Reports</t>
  </si>
  <si>
    <t>5074</t>
  </si>
  <si>
    <t>Low Income Home Energy Assistance Program Billing Files Transfer</t>
  </si>
  <si>
    <t>5073</t>
  </si>
  <si>
    <t>Agent &amp; Interaction Management Systems Upgrade Wave 4: Omni-Channel Integrated Solution</t>
  </si>
  <si>
    <t>5072</t>
  </si>
  <si>
    <t>Agent &amp; Interaction Management Systems Upgrade Wave 3: Knowledge Management Upgrade</t>
  </si>
  <si>
    <t>5071</t>
  </si>
  <si>
    <t>Bill Landlord Program for Massachusetts Gas</t>
  </si>
  <si>
    <t>5070</t>
  </si>
  <si>
    <t>Common Front End Reinforcement Program</t>
  </si>
  <si>
    <t>5069</t>
  </si>
  <si>
    <t>RightFax Upgrade/Remediation</t>
  </si>
  <si>
    <t>5068</t>
  </si>
  <si>
    <t>Citrix Connectivity Channel: Remediation &amp; Enhancement for the 3rd Party Vendors</t>
  </si>
  <si>
    <t>5067</t>
  </si>
  <si>
    <t>State-Wide Public Service Commission (PSC) Mandated Surveys</t>
  </si>
  <si>
    <t>5066</t>
  </si>
  <si>
    <t>CXT - AIMS  Evolution Program</t>
  </si>
  <si>
    <t>5065</t>
  </si>
  <si>
    <t>One Step Auto Cashiering Upgrade for the Customer Payment Offices</t>
  </si>
  <si>
    <t>5064</t>
  </si>
  <si>
    <t>Network Refresh - Reduced</t>
  </si>
  <si>
    <t>5063</t>
  </si>
  <si>
    <t>Support &amp; Enabling Capability &amp; Devices</t>
  </si>
  <si>
    <t>5062</t>
  </si>
  <si>
    <t>Work Delivery Management</t>
  </si>
  <si>
    <t>5061</t>
  </si>
  <si>
    <t>Customer Relationship &amp; Stakeholder Management</t>
  </si>
  <si>
    <t>5060</t>
  </si>
  <si>
    <t>Asset Information &amp; Performance Management</t>
  </si>
  <si>
    <t>5059</t>
  </si>
  <si>
    <t>System Design</t>
  </si>
  <si>
    <t>5058</t>
  </si>
  <si>
    <t>Portfolio Planning and Cost Management</t>
  </si>
  <si>
    <t>5057</t>
  </si>
  <si>
    <t>Asset Strategy</t>
  </si>
  <si>
    <t>5056</t>
  </si>
  <si>
    <t>New business capability (business strategy)</t>
  </si>
  <si>
    <t>5055</t>
  </si>
  <si>
    <t>UK Payroll Strategy</t>
  </si>
  <si>
    <t>5053</t>
  </si>
  <si>
    <t>CVSE Phase 2</t>
  </si>
  <si>
    <t>5052</t>
  </si>
  <si>
    <t>Remediation for DSS County Web</t>
  </si>
  <si>
    <t>5051</t>
  </si>
  <si>
    <t>Collaboration Meeting Room (CMR) Enablement</t>
  </si>
  <si>
    <t>5050</t>
  </si>
  <si>
    <t>Pulsenet - GE WiMax Network Management Solution</t>
  </si>
  <si>
    <t>5049</t>
  </si>
  <si>
    <t>Sharepoint Migration</t>
  </si>
  <si>
    <t>5048</t>
  </si>
  <si>
    <t>Control of Substances Hazardous to Health (COSHH)</t>
  </si>
  <si>
    <t>5047</t>
  </si>
  <si>
    <t>Display Screen Equipment</t>
  </si>
  <si>
    <t>5046</t>
  </si>
  <si>
    <t>Wearable Health Technology Dashboard</t>
  </si>
  <si>
    <t>5045</t>
  </si>
  <si>
    <t>Group/UK Management System Libraries</t>
  </si>
  <si>
    <t>5044</t>
  </si>
  <si>
    <t>Health &amp; Wellbeing Employee Monitoring and Analytics</t>
  </si>
  <si>
    <t>5043</t>
  </si>
  <si>
    <t>Incident Management System Phase 4</t>
  </si>
  <si>
    <t>5042</t>
  </si>
  <si>
    <t>5041</t>
  </si>
  <si>
    <t>5040</t>
  </si>
  <si>
    <t>Data Center Buildout</t>
  </si>
  <si>
    <t>5039</t>
  </si>
  <si>
    <t>Stabilize Smallworld 4.2</t>
  </si>
  <si>
    <t>5038</t>
  </si>
  <si>
    <t>IOAP Phase 2 Screens GHI</t>
  </si>
  <si>
    <t>5037</t>
  </si>
  <si>
    <t>DG IOAP Phase 2 Screens C-F and CYME Server</t>
  </si>
  <si>
    <t>5036</t>
  </si>
  <si>
    <t>FY19 Operations &amp; Engineering PEX Initatives Program</t>
  </si>
  <si>
    <t>5035</t>
  </si>
  <si>
    <t>P355 BM Lite</t>
  </si>
  <si>
    <t>5034</t>
  </si>
  <si>
    <t>FY19 Mandated Customer Billing IS Projects</t>
  </si>
  <si>
    <t>5033</t>
  </si>
  <si>
    <t>SailPoint Audit Tool Implementation</t>
  </si>
  <si>
    <t>US Finance</t>
  </si>
  <si>
    <t>5032</t>
  </si>
  <si>
    <t>Process Automation: Finance</t>
  </si>
  <si>
    <t>5031</t>
  </si>
  <si>
    <t>Strategic Risk Management Tool for CCDI</t>
  </si>
  <si>
    <t>5030</t>
  </si>
  <si>
    <t>5029</t>
  </si>
  <si>
    <t>DXC Capacity Increase</t>
  </si>
  <si>
    <t>5028</t>
  </si>
  <si>
    <t>Data Visualization - Advanced Visual Analytics</t>
  </si>
  <si>
    <t>5027</t>
  </si>
  <si>
    <t>RightNow Instances into IS Support</t>
  </si>
  <si>
    <t>5026</t>
  </si>
  <si>
    <t>FY19 Customer Billing Operations Minor Works</t>
  </si>
  <si>
    <t>5025</t>
  </si>
  <si>
    <t>5024</t>
  </si>
  <si>
    <t>Learning Content Management System</t>
  </si>
  <si>
    <t>5023</t>
  </si>
  <si>
    <t>DG IOAP Phase 2 Screens A &amp; B</t>
  </si>
  <si>
    <t>5022</t>
  </si>
  <si>
    <t>TTL new demand and break-fix stock</t>
  </si>
  <si>
    <t>5021</t>
  </si>
  <si>
    <t>Integration of Background check servuce with Applicant Tracking System</t>
  </si>
  <si>
    <t>5020</t>
  </si>
  <si>
    <t>Global Procurement</t>
  </si>
  <si>
    <t>Corporate IS (Global)</t>
  </si>
  <si>
    <t>5019</t>
  </si>
  <si>
    <t>Procurement vendor health and trends system</t>
  </si>
  <si>
    <t>5018</t>
  </si>
  <si>
    <t>F&amp;A – US Claims Riskmaster Replacement</t>
  </si>
  <si>
    <t>5017</t>
  </si>
  <si>
    <t>F&amp;A - Document Management</t>
  </si>
  <si>
    <t>5016</t>
  </si>
  <si>
    <t>SAP Overpayment Recovery program</t>
  </si>
  <si>
    <t>5015</t>
  </si>
  <si>
    <t>HR Process Forms</t>
  </si>
  <si>
    <t>5014</t>
  </si>
  <si>
    <t>US SAP: Processing Company Couples</t>
  </si>
  <si>
    <t>5013</t>
  </si>
  <si>
    <t>HR Operating Model system support</t>
  </si>
  <si>
    <t>5012</t>
  </si>
  <si>
    <t>HR Operating Model system support - Feasibility Study</t>
  </si>
  <si>
    <t>5011</t>
  </si>
  <si>
    <t>Onboarding PEx Improvements - Phase 2</t>
  </si>
  <si>
    <t>5010</t>
  </si>
  <si>
    <t>OnBoarding PEX improvements, Feasibility Study</t>
  </si>
  <si>
    <t>5009</t>
  </si>
  <si>
    <t>Hire to Retire System and Process Optimization Feasibility Study</t>
  </si>
  <si>
    <t>5008</t>
  </si>
  <si>
    <t>5007</t>
  </si>
  <si>
    <t>Annual Benefit Program Support - FY2019</t>
  </si>
  <si>
    <t>5006</t>
  </si>
  <si>
    <t>Enhance security protocols for SAP intefaces with Corporate Vendors</t>
  </si>
  <si>
    <t>5005</t>
  </si>
  <si>
    <t>US SAP: Solution Manager Upgrade (Phase 2)</t>
  </si>
  <si>
    <t>5004</t>
  </si>
  <si>
    <t>5003</t>
  </si>
  <si>
    <t>US SAP: Fiori gateway for training environment</t>
  </si>
  <si>
    <t>5002</t>
  </si>
  <si>
    <t>US SAP: Event Stream Processing (ESP) version upgrade</t>
  </si>
  <si>
    <t>5001</t>
  </si>
  <si>
    <t>US SAP: Citrix version Upgrade</t>
  </si>
  <si>
    <t>5000</t>
  </si>
  <si>
    <t>4999</t>
  </si>
  <si>
    <t>Fy19 CIS Placeholder</t>
  </si>
  <si>
    <t>4998</t>
  </si>
  <si>
    <t>Allegro Upgrade to Horizon</t>
  </si>
  <si>
    <t>4997</t>
  </si>
  <si>
    <t>AMAG: Automated Interface for New Hires</t>
  </si>
  <si>
    <t>4996</t>
  </si>
  <si>
    <t>Fiserv SFG transmission upgrade to sFTP</t>
  </si>
  <si>
    <t>4995</t>
  </si>
  <si>
    <t>RedBrick- Health and Wellness</t>
  </si>
  <si>
    <t>4994</t>
  </si>
  <si>
    <t>AMA Training/IAM Certificates</t>
  </si>
  <si>
    <t>4993</t>
  </si>
  <si>
    <t>4992</t>
  </si>
  <si>
    <t>LOPAWorks/Tracker2 Software Upgrade</t>
  </si>
  <si>
    <t>4991</t>
  </si>
  <si>
    <t>LOPA Works Analysis Tool</t>
  </si>
  <si>
    <t>4990</t>
  </si>
  <si>
    <t xml:space="preserve">Primavera Upgrade/Stabilization </t>
  </si>
  <si>
    <t>4989</t>
  </si>
  <si>
    <t>Gas PMCC PEX Hubs Consolidation</t>
  </si>
  <si>
    <t>4988</t>
  </si>
  <si>
    <t>Refresh of Data Center Storage Technologies</t>
  </si>
  <si>
    <t>4987</t>
  </si>
  <si>
    <t>SOE (Windows) Upgrade and Device Refresh</t>
  </si>
  <si>
    <t>4986</t>
  </si>
  <si>
    <t>Policy Based/Trust Based Network Access</t>
  </si>
  <si>
    <t>4985</t>
  </si>
  <si>
    <t>Network Automation - DNA Center</t>
  </si>
  <si>
    <t>4984</t>
  </si>
  <si>
    <t>Lincoln Control Room Telephony Replacement</t>
  </si>
  <si>
    <t>4983</t>
  </si>
  <si>
    <t>Database Rationalization</t>
  </si>
  <si>
    <t>4982</t>
  </si>
  <si>
    <t>Refresh of VBlocks Technologies</t>
  </si>
  <si>
    <t>4981</t>
  </si>
  <si>
    <t>Cloud Orchestration, Self service and Broker</t>
  </si>
  <si>
    <t>4980</t>
  </si>
  <si>
    <t>Archive Storage Repository</t>
  </si>
  <si>
    <t>4979</t>
  </si>
  <si>
    <t>National Grid Systems to support TLS 1.2</t>
  </si>
  <si>
    <t>4978</t>
  </si>
  <si>
    <t>Single Voice Dispatch System</t>
  </si>
  <si>
    <t>4977</t>
  </si>
  <si>
    <t>AVLS System Improvement</t>
  </si>
  <si>
    <t>4976</t>
  </si>
  <si>
    <t>4975USG</t>
  </si>
  <si>
    <t>Gateway Upgrades</t>
  </si>
  <si>
    <t>4975USF</t>
  </si>
  <si>
    <t>Internal Public Key Infrastructure (PKI)</t>
  </si>
  <si>
    <t>4975USE</t>
  </si>
  <si>
    <t>Identity and Access Management (IAM) Unified Platform</t>
  </si>
  <si>
    <t>4975USD</t>
  </si>
  <si>
    <t>Website Security Protection</t>
  </si>
  <si>
    <t>4975USC</t>
  </si>
  <si>
    <t>Multi factor Authentication (MFA)</t>
  </si>
  <si>
    <t>4975USB</t>
  </si>
  <si>
    <t>CNI Intrusion Detection System (IDS) refresh Phase1</t>
  </si>
  <si>
    <t>4975USA</t>
  </si>
  <si>
    <t>Perimeter enhancements</t>
  </si>
  <si>
    <t>4975UKG</t>
  </si>
  <si>
    <t>4975UKF</t>
  </si>
  <si>
    <t>4975UKE</t>
  </si>
  <si>
    <t>4975UKD</t>
  </si>
  <si>
    <t>4975UKC</t>
  </si>
  <si>
    <t>4975UKB</t>
  </si>
  <si>
    <t>4975UKA</t>
  </si>
  <si>
    <t>4975G</t>
  </si>
  <si>
    <t>4975F</t>
  </si>
  <si>
    <t>4975E</t>
  </si>
  <si>
    <t>4975D</t>
  </si>
  <si>
    <t>4975C</t>
  </si>
  <si>
    <t>4975B</t>
  </si>
  <si>
    <t>4975A</t>
  </si>
  <si>
    <t>4975</t>
  </si>
  <si>
    <t>Cyber Security 2 - Foundations - Priority 7</t>
  </si>
  <si>
    <t>GDPR - Business Data Compliance </t>
  </si>
  <si>
    <t>4974</t>
  </si>
  <si>
    <t>General Data Protection Regulation Compliance - IS Discovery and Implementation</t>
  </si>
  <si>
    <t>4973</t>
  </si>
  <si>
    <t>Tableau Visualization for Electric</t>
  </si>
  <si>
    <t>4972</t>
  </si>
  <si>
    <t>Complex Capital Delivery Phase 1</t>
  </si>
  <si>
    <t>4971</t>
  </si>
  <si>
    <t>Payroll Tax Filing and Reporting Project</t>
  </si>
  <si>
    <t>SS - TDC</t>
  </si>
  <si>
    <t>4970</t>
  </si>
  <si>
    <t>US SAP: Infrastructure Landscape- FY19</t>
  </si>
  <si>
    <t>4969</t>
  </si>
  <si>
    <t>Annual upgrades for SAP Cloud Modules (Minor Works) – FY19</t>
  </si>
  <si>
    <t>4968</t>
  </si>
  <si>
    <t>FSSC&amp;HR Corporate Minor Work (non SAP) - FY19</t>
  </si>
  <si>
    <t>4967</t>
  </si>
  <si>
    <t>US SAP Regulatory Requirements, Reporting &amp; Rate Case support- FY19</t>
  </si>
  <si>
    <t>4966</t>
  </si>
  <si>
    <t>SAP/PowerPlan/Front Office Maintenance of Business (MOB) - FY19</t>
  </si>
  <si>
    <t>4965</t>
  </si>
  <si>
    <t>Annual HR &amp; Payroll Mandatory Service Pack Upgrade (HRSP) - FY19</t>
  </si>
  <si>
    <t>4964</t>
  </si>
  <si>
    <t>US Supply Chain: Investment Recovery (IR) Marketing Tool</t>
  </si>
  <si>
    <t>4963</t>
  </si>
  <si>
    <t>Global Procurement Travel Management</t>
  </si>
  <si>
    <t>4962</t>
  </si>
  <si>
    <t>4961</t>
  </si>
  <si>
    <t>Global Procurement Contracts Mananagment</t>
  </si>
  <si>
    <t>4960</t>
  </si>
  <si>
    <t>Decommissioning of Oracle BI</t>
  </si>
  <si>
    <t>4959</t>
  </si>
  <si>
    <t>S/4 PowerPlan Adapter Feasibility</t>
  </si>
  <si>
    <t>4958</t>
  </si>
  <si>
    <t>US Finance Reporting Automation</t>
  </si>
  <si>
    <t>4957</t>
  </si>
  <si>
    <t>S/4 Roadmap</t>
  </si>
  <si>
    <t>S4-Hana</t>
  </si>
  <si>
    <t>4956</t>
  </si>
  <si>
    <t>Electronic Work Packages</t>
  </si>
  <si>
    <t>4955</t>
  </si>
  <si>
    <t>Revenue Accounting Reporting</t>
  </si>
  <si>
    <t>4954</t>
  </si>
  <si>
    <t>Finance: Allocations Automation</t>
  </si>
  <si>
    <t>4953</t>
  </si>
  <si>
    <t>4952</t>
  </si>
  <si>
    <t>BPC Planning / Project Drumbeat</t>
  </si>
  <si>
    <t>4951</t>
  </si>
  <si>
    <t>Controls Automation</t>
  </si>
  <si>
    <t>4950</t>
  </si>
  <si>
    <t>Trintech Upgrade</t>
  </si>
  <si>
    <t>4949</t>
  </si>
  <si>
    <t>PLC Software Support (WinXP)</t>
  </si>
  <si>
    <t>4948</t>
  </si>
  <si>
    <t>Cascade Foresight/Insight</t>
  </si>
  <si>
    <t>4947</t>
  </si>
  <si>
    <t>Maintenance Inspections on iPad - Underground</t>
  </si>
  <si>
    <t>4946</t>
  </si>
  <si>
    <t>Document Management System for CDI</t>
  </si>
  <si>
    <t>4944</t>
  </si>
  <si>
    <t>Aligning SAP with P6 by new Work Breakdown Structure</t>
  </si>
  <si>
    <t>4943</t>
  </si>
  <si>
    <t>MITS Upgrade</t>
  </si>
  <si>
    <t>4942</t>
  </si>
  <si>
    <t>Wireless printers in Truck Expansion</t>
  </si>
  <si>
    <t>4941</t>
  </si>
  <si>
    <t>Robotics / Process Automation Implementation</t>
  </si>
  <si>
    <t>4940</t>
  </si>
  <si>
    <t>Gas Cascade Network Improvements and Roll-out</t>
  </si>
  <si>
    <t>4939</t>
  </si>
  <si>
    <t>Computapole Replacement Study</t>
  </si>
  <si>
    <t>4938</t>
  </si>
  <si>
    <t>Revenue Assurance iOS Appliation</t>
  </si>
  <si>
    <t>4937</t>
  </si>
  <si>
    <t>Self Billing</t>
  </si>
  <si>
    <t>4936</t>
  </si>
  <si>
    <t>PI Historian Reporting Environment</t>
  </si>
  <si>
    <t>4935</t>
  </si>
  <si>
    <t>Annual Planning and FeedPro Application</t>
  </si>
  <si>
    <t>4934</t>
  </si>
  <si>
    <t>CYME Server and Gateway</t>
  </si>
  <si>
    <t>4933</t>
  </si>
  <si>
    <t>SAM Transmission Asset Management</t>
  </si>
  <si>
    <t>4932</t>
  </si>
  <si>
    <t>Standards and Work Method Production Modernization</t>
  </si>
  <si>
    <t>4931</t>
  </si>
  <si>
    <t>SmallWorld 4.2 System Enhancements- Electric</t>
  </si>
  <si>
    <t>4930</t>
  </si>
  <si>
    <t>Safety Management Systems</t>
  </si>
  <si>
    <t>4929</t>
  </si>
  <si>
    <t>4928</t>
  </si>
  <si>
    <t>DOT License Monitoring Program</t>
  </si>
  <si>
    <t>4927</t>
  </si>
  <si>
    <t>Drive Cam Expansion</t>
  </si>
  <si>
    <t>4926</t>
  </si>
  <si>
    <t>WEMs Software Feasibility and Analysis</t>
  </si>
  <si>
    <t>4925</t>
  </si>
  <si>
    <t>US Operations and Engineering Infrastructure Improvements- FY19</t>
  </si>
  <si>
    <t>4924</t>
  </si>
  <si>
    <t>US Operations and Engineering Aging Systems Stablization- FY19</t>
  </si>
  <si>
    <t>4923</t>
  </si>
  <si>
    <t>US Operations and Engineering Minor Works- FY19</t>
  </si>
  <si>
    <t>4922</t>
  </si>
  <si>
    <t>Document Management System for Capital Delivery</t>
  </si>
  <si>
    <t>4921</t>
  </si>
  <si>
    <t>Risk Management System for Capital Delivery</t>
  </si>
  <si>
    <t>4920</t>
  </si>
  <si>
    <t>Electronic Job Briefs</t>
  </si>
  <si>
    <t>4919</t>
  </si>
  <si>
    <t>NYC Dept of Buildings Warning-GEO Coding</t>
  </si>
  <si>
    <t>4918</t>
  </si>
  <si>
    <t>Portfolio Planning Tool for Electric</t>
  </si>
  <si>
    <t>4917</t>
  </si>
  <si>
    <t>US Mobile Device Refresh - FY19</t>
  </si>
  <si>
    <t>4916</t>
  </si>
  <si>
    <t>Data Management of Mandated Gas Service Line Inspections</t>
  </si>
  <si>
    <t>4915</t>
  </si>
  <si>
    <t>EMS Lifecycle Hardware and Software Upgrade</t>
  </si>
  <si>
    <t>4914</t>
  </si>
  <si>
    <t>4913</t>
  </si>
  <si>
    <t>Mobile Application Development for RCM</t>
  </si>
  <si>
    <t>4912</t>
  </si>
  <si>
    <t>4911</t>
  </si>
  <si>
    <t>IVR Optimization</t>
  </si>
  <si>
    <t>4910A</t>
  </si>
  <si>
    <t>MA DOR – CSS</t>
  </si>
  <si>
    <t>4910</t>
  </si>
  <si>
    <t>MA DOR - CRIS</t>
  </si>
  <si>
    <t>4909</t>
  </si>
  <si>
    <t>Same Day ACH</t>
  </si>
  <si>
    <t>4908</t>
  </si>
  <si>
    <t>Revenue Recognization Chnages</t>
  </si>
  <si>
    <t>4907</t>
  </si>
  <si>
    <t>NY Solar Net Metering</t>
  </si>
  <si>
    <t>4906</t>
  </si>
  <si>
    <t>NY REV - Gas Demand Response Pilot</t>
  </si>
  <si>
    <t>4905</t>
  </si>
  <si>
    <t>Direct Pay Enrollment via Web</t>
  </si>
  <si>
    <t>4904</t>
  </si>
  <si>
    <t>Upgrade Servers for CCAE Reporting</t>
  </si>
  <si>
    <t>4903</t>
  </si>
  <si>
    <t>Northport WiFi Access Points</t>
  </si>
  <si>
    <t>4902</t>
  </si>
  <si>
    <t>Shared Services VMware</t>
  </si>
  <si>
    <t>4901</t>
  </si>
  <si>
    <t>Group Functions System Enhancements</t>
  </si>
  <si>
    <t>4900</t>
  </si>
  <si>
    <t>Fortis Migration to Enterprise Document Management System</t>
  </si>
  <si>
    <t>4899</t>
  </si>
  <si>
    <t>Resources on-Demand (ROD) Upgrade</t>
  </si>
  <si>
    <t>4898</t>
  </si>
  <si>
    <t>4897</t>
  </si>
  <si>
    <t>TNUoS Conventional Generation (CMP268)</t>
  </si>
  <si>
    <t>4896</t>
  </si>
  <si>
    <t>Tax System Enhancements [Opex]</t>
  </si>
  <si>
    <t>4895</t>
  </si>
  <si>
    <t>Commercial Property Systems Upgrades [Opex]</t>
  </si>
  <si>
    <t>4894</t>
  </si>
  <si>
    <t>Treasury Systems Maintenance and Upgrade [Opex]</t>
  </si>
  <si>
    <t>4893</t>
  </si>
  <si>
    <t>Business Excellence IS Provision [Opex</t>
  </si>
  <si>
    <t>4892</t>
  </si>
  <si>
    <t>iOS11 Minor Works</t>
  </si>
  <si>
    <t>4891</t>
  </si>
  <si>
    <t>Customer Data Visualization Expansion</t>
  </si>
  <si>
    <t>4890</t>
  </si>
  <si>
    <t>4889</t>
  </si>
  <si>
    <t>SharePoint 2007 Remediation for ETO</t>
  </si>
  <si>
    <t>4888</t>
  </si>
  <si>
    <t>MyCalendar</t>
  </si>
  <si>
    <t>4887</t>
  </si>
  <si>
    <t>4886</t>
  </si>
  <si>
    <t>Implement new digital strategy and mobile capability</t>
  </si>
  <si>
    <t>4885</t>
  </si>
  <si>
    <t>Adoption of BIM 3D modelling capability &amp; tools</t>
  </si>
  <si>
    <t>4884</t>
  </si>
  <si>
    <t>Ellipse V8 and GeoGrid (T2 focus)</t>
  </si>
  <si>
    <t>4883</t>
  </si>
  <si>
    <t>Service Now - Maintain &amp; Improve</t>
  </si>
  <si>
    <t>4882</t>
  </si>
  <si>
    <t>Policy Based/Trust based Network Access</t>
  </si>
  <si>
    <t>4881</t>
  </si>
  <si>
    <t>Next Generation Network Management Capability</t>
  </si>
  <si>
    <t>4880</t>
  </si>
  <si>
    <t>EMM Single Sign on</t>
  </si>
  <si>
    <t>4879</t>
  </si>
  <si>
    <t>CSC Vblock Replacement</t>
  </si>
  <si>
    <t>4878</t>
  </si>
  <si>
    <t>4877</t>
  </si>
  <si>
    <t>All Flash Storage</t>
  </si>
  <si>
    <t>4876</t>
  </si>
  <si>
    <t>EMM BYOD Licenses</t>
  </si>
  <si>
    <t>4875</t>
  </si>
  <si>
    <t>Virtual Desktop - DaaS</t>
  </si>
  <si>
    <t>4874</t>
  </si>
  <si>
    <t>Sourcing Work (Data Centre and EUC)</t>
  </si>
  <si>
    <t>4873</t>
  </si>
  <si>
    <t>Service Now - 18/19 Maintain &amp; Improve</t>
  </si>
  <si>
    <t>4872</t>
  </si>
  <si>
    <t>Orchestration and Self Service</t>
  </si>
  <si>
    <t>4871</t>
  </si>
  <si>
    <t>Move to X86 and AIX to Linux</t>
  </si>
  <si>
    <t>4870</t>
  </si>
  <si>
    <t>Migration of Oracle to Linux</t>
  </si>
  <si>
    <t>4869</t>
  </si>
  <si>
    <t>Living with Evergreen</t>
  </si>
  <si>
    <t>4868</t>
  </si>
  <si>
    <t>SOE (windows) upgrade  and Device Refresh</t>
  </si>
  <si>
    <t>4867</t>
  </si>
  <si>
    <t>Hardware and Software Upgrades</t>
  </si>
  <si>
    <t>4866</t>
  </si>
  <si>
    <t>Data Centre Projects</t>
  </si>
  <si>
    <t>4865</t>
  </si>
  <si>
    <t>End User Devices</t>
  </si>
  <si>
    <t>4864</t>
  </si>
  <si>
    <t>Disaster Recovery as a Service</t>
  </si>
  <si>
    <t>4863</t>
  </si>
  <si>
    <t>Dev Test to Cloud</t>
  </si>
  <si>
    <t>4862</t>
  </si>
  <si>
    <t>4861</t>
  </si>
  <si>
    <t>Data Security / Information Rights Management (SPE)</t>
  </si>
  <si>
    <t>4860</t>
  </si>
  <si>
    <t>Data Security</t>
  </si>
  <si>
    <t>4859</t>
  </si>
  <si>
    <t>Data Centre Consolidation efforts</t>
  </si>
  <si>
    <t>4858</t>
  </si>
  <si>
    <t>Cloud Enhancements (Azure Core Service)</t>
  </si>
  <si>
    <t>4857</t>
  </si>
  <si>
    <t>Network Projects</t>
  </si>
  <si>
    <t>4856</t>
  </si>
  <si>
    <t>VC- Refresh Expansion Desktops</t>
  </si>
  <si>
    <t>4855</t>
  </si>
  <si>
    <t>UPS Refresh</t>
  </si>
  <si>
    <t>4854</t>
  </si>
  <si>
    <t>Unified  Communication (Accenture Study)</t>
  </si>
  <si>
    <t>4853</t>
  </si>
  <si>
    <t>4852</t>
  </si>
  <si>
    <t>4851</t>
  </si>
  <si>
    <t>VSTIG Upgrade Future Phases</t>
  </si>
  <si>
    <t>4850</t>
  </si>
  <si>
    <t>Virtualized Branches</t>
  </si>
  <si>
    <t>4849</t>
  </si>
  <si>
    <t>SD-WAN Core, automation, orchestration tools and pilot sites</t>
  </si>
  <si>
    <t>4848</t>
  </si>
  <si>
    <t>4847</t>
  </si>
  <si>
    <t>Cloud Based Secure Internet Access - Zscaler</t>
  </si>
  <si>
    <t>4846</t>
  </si>
  <si>
    <t>Scheduling</t>
  </si>
  <si>
    <t>4845</t>
  </si>
  <si>
    <t>Pensions System Transformation</t>
  </si>
  <si>
    <t>4844</t>
  </si>
  <si>
    <t>4843</t>
  </si>
  <si>
    <t>4842</t>
  </si>
  <si>
    <t>Video Conferencing Refresh</t>
  </si>
  <si>
    <t>4841</t>
  </si>
  <si>
    <t>VC - Syracuse</t>
  </si>
  <si>
    <t>4840</t>
  </si>
  <si>
    <t>VC - MetroTech Auditorium VC</t>
  </si>
  <si>
    <t>4838</t>
  </si>
  <si>
    <t>4837</t>
  </si>
  <si>
    <t>4834</t>
  </si>
  <si>
    <t>Network Transformation Continuation-Substations</t>
  </si>
  <si>
    <t>4833</t>
  </si>
  <si>
    <t>Network Equipment End of Life Replacement</t>
  </si>
  <si>
    <t>4831</t>
  </si>
  <si>
    <t>4830</t>
  </si>
  <si>
    <t>4829</t>
  </si>
  <si>
    <t>4828</t>
  </si>
  <si>
    <t>Hicksville Fiber</t>
  </si>
  <si>
    <t>4827</t>
  </si>
  <si>
    <t>4826</t>
  </si>
  <si>
    <t>4825</t>
  </si>
  <si>
    <t>DR Priority 3 Apps Remediation</t>
  </si>
  <si>
    <t>4824</t>
  </si>
  <si>
    <t>DR Priority 2 Apps Remediation</t>
  </si>
  <si>
    <t>4823</t>
  </si>
  <si>
    <t>Backup to Cloud</t>
  </si>
  <si>
    <t>4822</t>
  </si>
  <si>
    <t>4821</t>
  </si>
  <si>
    <t>NY Tax Remittance and Reporting Corrections</t>
  </si>
  <si>
    <t>4820</t>
  </si>
  <si>
    <t>EMR Business Driven Change</t>
  </si>
  <si>
    <t>4819</t>
  </si>
  <si>
    <t>EMR Regulatory Change</t>
  </si>
  <si>
    <t>4818</t>
  </si>
  <si>
    <t>Infrastructure to Cloud Migration (Non CNI)</t>
  </si>
  <si>
    <t>4817</t>
  </si>
  <si>
    <t>Certificate of Compliance Service Transition</t>
  </si>
  <si>
    <t>4816</t>
  </si>
  <si>
    <t>Rhode Island Customer Energy Affordability Opportunities</t>
  </si>
  <si>
    <t>4815</t>
  </si>
  <si>
    <t>Global Procurement Benefits Planning Tool</t>
  </si>
  <si>
    <t>4814</t>
  </si>
  <si>
    <t>IFA2 Interconnector</t>
  </si>
  <si>
    <t>4813</t>
  </si>
  <si>
    <t>Global Financial Performance Reporting</t>
  </si>
  <si>
    <t>4812</t>
  </si>
  <si>
    <t>Software Licence and Asset Management (IS Commercial)</t>
  </si>
  <si>
    <t>4811</t>
  </si>
  <si>
    <t>Supervisor Enablement iPads Roll-out</t>
  </si>
  <si>
    <t>4810</t>
  </si>
  <si>
    <t>Informatica Upgrade and Microstrategy Replacement</t>
  </si>
  <si>
    <t>4809</t>
  </si>
  <si>
    <t>US Control-Gas Electronic Bulletin Board (EBB) Upgrade</t>
  </si>
  <si>
    <t>4808</t>
  </si>
  <si>
    <t>UK Academy Service Improvements</t>
  </si>
  <si>
    <t>4807</t>
  </si>
  <si>
    <t>Youconnect Replacement</t>
  </si>
  <si>
    <t>4806</t>
  </si>
  <si>
    <t>Company Secretariat Systems Replacement</t>
  </si>
  <si>
    <t>4805</t>
  </si>
  <si>
    <t>Legal artificial intelligence analytics</t>
  </si>
  <si>
    <t>4804</t>
  </si>
  <si>
    <t>Global Procurement Supplier Relationship Management</t>
  </si>
  <si>
    <t>4803</t>
  </si>
  <si>
    <t>Global Procurement vendor health and trends system</t>
  </si>
  <si>
    <t>4802</t>
  </si>
  <si>
    <t>DocuSign</t>
  </si>
  <si>
    <t>4801</t>
  </si>
  <si>
    <t>Improve Single View of Plan</t>
  </si>
  <si>
    <t>4800</t>
  </si>
  <si>
    <t>Plan Optimisation</t>
  </si>
  <si>
    <t>4799</t>
  </si>
  <si>
    <t>Document Consolidation and Workflow</t>
  </si>
  <si>
    <t>4798</t>
  </si>
  <si>
    <t>4797</t>
  </si>
  <si>
    <t>Data Enhancement</t>
  </si>
  <si>
    <t>4796</t>
  </si>
  <si>
    <t>Improve Regulatory Reporting Process</t>
  </si>
  <si>
    <t>4795</t>
  </si>
  <si>
    <t>Extend Insight Platform</t>
  </si>
  <si>
    <t>4794</t>
  </si>
  <si>
    <t>Unifier Implementation (Foundation)</t>
  </si>
  <si>
    <t>4793</t>
  </si>
  <si>
    <t>4792</t>
  </si>
  <si>
    <t>4791</t>
  </si>
  <si>
    <t>MpasS Replacement</t>
  </si>
  <si>
    <t>4790</t>
  </si>
  <si>
    <t>GTO Support &amp; Enabling Capability &amp; Devices</t>
  </si>
  <si>
    <t>4789</t>
  </si>
  <si>
    <t>GTO Work Delivery Management</t>
  </si>
  <si>
    <t>4788</t>
  </si>
  <si>
    <t>GTO Customer Relationship &amp; Stakeholder Management</t>
  </si>
  <si>
    <t>4787</t>
  </si>
  <si>
    <t>GTO Asset Information &amp; Performance Management</t>
  </si>
  <si>
    <t>4786</t>
  </si>
  <si>
    <t>GTO System Design</t>
  </si>
  <si>
    <t>4785</t>
  </si>
  <si>
    <t>GTO Portfolio Planning &amp; Cost Management</t>
  </si>
  <si>
    <t>4784</t>
  </si>
  <si>
    <t>GTO Asset Strategy</t>
  </si>
  <si>
    <t>4783</t>
  </si>
  <si>
    <t>Hix DC Improvement</t>
  </si>
  <si>
    <t>4782</t>
  </si>
  <si>
    <t>UK CNI Secure Laptops - Phase 2</t>
  </si>
  <si>
    <t>4781</t>
  </si>
  <si>
    <t>IS Cost Reduction Programme</t>
  </si>
  <si>
    <t>4780</t>
  </si>
  <si>
    <t>4779</t>
  </si>
  <si>
    <t>Time Entry and Approval Mobility Enablement</t>
  </si>
  <si>
    <t>4778</t>
  </si>
  <si>
    <t>Dev/test migration to cloud</t>
  </si>
  <si>
    <t>4777</t>
  </si>
  <si>
    <t>Complex Capital Delivery F&amp;A</t>
  </si>
  <si>
    <t>4776</t>
  </si>
  <si>
    <t>PMC Commercial System</t>
  </si>
  <si>
    <t>4775</t>
  </si>
  <si>
    <t>Governance, Risk &amp; Compliance Programme</t>
  </si>
  <si>
    <t>4774</t>
  </si>
  <si>
    <t>BM Contingency</t>
  </si>
  <si>
    <t>4773</t>
  </si>
  <si>
    <t>Upgrade of UK IMS System</t>
  </si>
  <si>
    <t>4772</t>
  </si>
  <si>
    <t>CEMS Website Servers</t>
  </si>
  <si>
    <t>4771D</t>
  </si>
  <si>
    <t>@Risk Software for CCDI</t>
  </si>
  <si>
    <t>4771C</t>
  </si>
  <si>
    <t>Reporting &amp; Analytics for CCDI</t>
  </si>
  <si>
    <t>4771B</t>
  </si>
  <si>
    <t>New Strategic Estimating Tool</t>
  </si>
  <si>
    <t>4771A</t>
  </si>
  <si>
    <t>Contract Management Solution for CCDI</t>
  </si>
  <si>
    <t>4771</t>
  </si>
  <si>
    <t xml:space="preserve">Complex Capital Delivery Phase 2  </t>
  </si>
  <si>
    <t>4770</t>
  </si>
  <si>
    <t>Meter Service Set Validation</t>
  </si>
  <si>
    <t>4769</t>
  </si>
  <si>
    <t>Gas Storm Hardening Using Remote Service Valves (RSV's)</t>
  </si>
  <si>
    <t>4768</t>
  </si>
  <si>
    <t>Data Visualization Evolution</t>
  </si>
  <si>
    <t>4767</t>
  </si>
  <si>
    <t>KEDNY Rate Case - Weather Normalization Factors</t>
  </si>
  <si>
    <t>4766</t>
  </si>
  <si>
    <t>Mandated IS Projects FY19-21</t>
  </si>
  <si>
    <t>4765</t>
  </si>
  <si>
    <t>Video Conferencing in US Operations</t>
  </si>
  <si>
    <t>4764</t>
  </si>
  <si>
    <t>ESCO Calculation for terminated Customers</t>
  </si>
  <si>
    <t>P6 Upgrade - Integrated/Visible Planning</t>
  </si>
  <si>
    <t>4763</t>
  </si>
  <si>
    <t>PPcM Phase 2</t>
  </si>
  <si>
    <t>4762</t>
  </si>
  <si>
    <t>UK Critical Application Resiliancy Remediation</t>
  </si>
  <si>
    <t>4761</t>
  </si>
  <si>
    <t>US Foundation Hosting Renewal</t>
  </si>
  <si>
    <t>4760</t>
  </si>
  <si>
    <t>Mainframe Disaster Recovery Machine</t>
  </si>
  <si>
    <t>4759</t>
  </si>
  <si>
    <t>MTC and Syracuse Boardrooms &amp; Auditoriums</t>
  </si>
  <si>
    <t>4758</t>
  </si>
  <si>
    <t>Critical Application Resiliency Testing</t>
  </si>
  <si>
    <t>4757</t>
  </si>
  <si>
    <t>4756</t>
  </si>
  <si>
    <t>IS Sourcing Renewal 2018</t>
  </si>
  <si>
    <t>4755</t>
  </si>
  <si>
    <t>Active Directory Upgrade</t>
  </si>
  <si>
    <t>4754</t>
  </si>
  <si>
    <t>Cadency SAP Intergration</t>
  </si>
  <si>
    <t>4753</t>
  </si>
  <si>
    <t>4752</t>
  </si>
  <si>
    <t>AMAG OS Upgrade 2012 R2</t>
  </si>
  <si>
    <t>IT - Physical Security</t>
  </si>
  <si>
    <t>4751</t>
  </si>
  <si>
    <t>Electric Supervisor Enablement Pilot</t>
  </si>
  <si>
    <t>4750I</t>
  </si>
  <si>
    <t>CXT MyAccount - MA DOR Customer Self Service Web Form</t>
  </si>
  <si>
    <t>4750H</t>
  </si>
  <si>
    <t>CXT MyAccount - Customer Personalization Management</t>
  </si>
  <si>
    <t>4750G</t>
  </si>
  <si>
    <t>CXT MyAccount - Two way Outage SMS Communications</t>
  </si>
  <si>
    <t>4750F</t>
  </si>
  <si>
    <t>CXT MyAccount - CSS Responsive Web</t>
  </si>
  <si>
    <t>4750E</t>
  </si>
  <si>
    <t>Two Way Text Notification for Appointment Scheduling</t>
  </si>
  <si>
    <t>4750D</t>
  </si>
  <si>
    <t>CXT MyAccount MVP</t>
  </si>
  <si>
    <t>4750C</t>
  </si>
  <si>
    <t>CXT POC Project</t>
  </si>
  <si>
    <t>4750B</t>
  </si>
  <si>
    <t>CXT-My Account Service and Billing Functions F&amp;A</t>
  </si>
  <si>
    <t>4750A</t>
  </si>
  <si>
    <t>CXT-Strategic Alignment F&amp;A</t>
  </si>
  <si>
    <t>4750</t>
  </si>
  <si>
    <t>Customer Experience Transformation technology program</t>
  </si>
  <si>
    <t>4749</t>
  </si>
  <si>
    <t>VSTIG Refresh - IDS cards replacement</t>
  </si>
  <si>
    <t>4748</t>
  </si>
  <si>
    <t>DG IOAP Phase 2 Feasibility Study</t>
  </si>
  <si>
    <t>Generation Reliability &amp; Efficiency</t>
  </si>
  <si>
    <t>4747</t>
  </si>
  <si>
    <t>NY REV: NY Storage PSC Order</t>
  </si>
  <si>
    <t>4746</t>
  </si>
  <si>
    <t>Add Effective Date to CRIS-Customer System (NACHA)</t>
  </si>
  <si>
    <t>4745</t>
  </si>
  <si>
    <t>Mobile Broadband PoC</t>
  </si>
  <si>
    <t>4744</t>
  </si>
  <si>
    <t>FY18 Customer Mandated Projects</t>
  </si>
  <si>
    <t>4743</t>
  </si>
  <si>
    <t>Shared Services Service Management Tool F&amp;A</t>
  </si>
  <si>
    <t>4742</t>
  </si>
  <si>
    <t>Electric Operations-Network Strategy Minor Works-FY18</t>
  </si>
  <si>
    <t>4741</t>
  </si>
  <si>
    <t>US Control Center Operations Minor Works-FY18</t>
  </si>
  <si>
    <t>4740</t>
  </si>
  <si>
    <t>Customer Systems Operational and Regulatory  Requirements &amp; Upgrades - FY18</t>
  </si>
  <si>
    <t>4739</t>
  </si>
  <si>
    <t>4738</t>
  </si>
  <si>
    <t>GRO Automation - UNY</t>
  </si>
  <si>
    <t>4737</t>
  </si>
  <si>
    <t>Non-Reg - Xoserve</t>
  </si>
  <si>
    <t>4736</t>
  </si>
  <si>
    <t>Data and Document Management (DDM) Project Phase 3</t>
  </si>
  <si>
    <t>Write-off balances on specific accounts in CSS and CRIS.</t>
  </si>
  <si>
    <t>4734</t>
  </si>
  <si>
    <t>US SAP Annual Program of Work</t>
  </si>
  <si>
    <t>4733</t>
  </si>
  <si>
    <t>BritNed Network Enhancements</t>
  </si>
  <si>
    <t>Non-Reg - Britned</t>
  </si>
  <si>
    <t>4732</t>
  </si>
  <si>
    <t>4731</t>
  </si>
  <si>
    <t>Global Procurement System replacement (Ariba)</t>
  </si>
  <si>
    <t>4730</t>
  </si>
  <si>
    <t>Robotics/Process Automation</t>
  </si>
  <si>
    <t>4729</t>
  </si>
  <si>
    <t>Acquisition of Remote Sensing NY Areal Data</t>
  </si>
  <si>
    <t>4728</t>
  </si>
  <si>
    <t>Business Innovation Projects 3</t>
  </si>
  <si>
    <t>4727</t>
  </si>
  <si>
    <t>4726</t>
  </si>
  <si>
    <t>4725</t>
  </si>
  <si>
    <t>MWORK and Netmotion Risk Avoidance</t>
  </si>
  <si>
    <t>4724</t>
  </si>
  <si>
    <t>Legacy Migration of Web Access Portal User to VZ RSA Service</t>
  </si>
  <si>
    <t>4723</t>
  </si>
  <si>
    <t>Improving End User Experience- Cloud based DMZ Service Platform</t>
  </si>
  <si>
    <t>4722</t>
  </si>
  <si>
    <t>4721</t>
  </si>
  <si>
    <t>FY20 Network Projects</t>
  </si>
  <si>
    <t>4720</t>
  </si>
  <si>
    <t>FY20 Edge Projects</t>
  </si>
  <si>
    <t>4719</t>
  </si>
  <si>
    <t>FY20 Data Centre Projects</t>
  </si>
  <si>
    <t>4718</t>
  </si>
  <si>
    <t>FY19 Network Projects</t>
  </si>
  <si>
    <t>4717</t>
  </si>
  <si>
    <t>FY19 Edge Projects</t>
  </si>
  <si>
    <t>4716</t>
  </si>
  <si>
    <t>FY19 Data Centre Projects</t>
  </si>
  <si>
    <t>4715</t>
  </si>
  <si>
    <t>EUC, Network, and Data Center Strategy</t>
  </si>
  <si>
    <t>4714</t>
  </si>
  <si>
    <t>EMM Phase II</t>
  </si>
  <si>
    <t>4713</t>
  </si>
  <si>
    <t>EMM Licenses</t>
  </si>
  <si>
    <t>4712</t>
  </si>
  <si>
    <t>DR Remediation F&amp;A</t>
  </si>
  <si>
    <t>4711</t>
  </si>
  <si>
    <t>Digital Asset Management (DAM)</t>
  </si>
  <si>
    <t>4710</t>
  </si>
  <si>
    <t>4709</t>
  </si>
  <si>
    <t>Data Centre Consolidation Efforts</t>
  </si>
  <si>
    <t>4708</t>
  </si>
  <si>
    <t>Business Innovation Projects 2</t>
  </si>
  <si>
    <t>4707</t>
  </si>
  <si>
    <t>Business Innovation Projects 1</t>
  </si>
  <si>
    <t>4706</t>
  </si>
  <si>
    <t>Apps Interface Remediation</t>
  </si>
  <si>
    <t>4705</t>
  </si>
  <si>
    <t>NG Labs</t>
  </si>
  <si>
    <t>4704R</t>
  </si>
  <si>
    <t>NY REV Street Lighting Delivery</t>
  </si>
  <si>
    <t>4704OD</t>
  </si>
  <si>
    <t>4704O</t>
  </si>
  <si>
    <t>NY REV Street Lighting F&amp;A</t>
  </si>
  <si>
    <t>4704G</t>
  </si>
  <si>
    <t>Distribution Management, Automation and Optimization</t>
  </si>
  <si>
    <t>4704</t>
  </si>
  <si>
    <t>4703</t>
  </si>
  <si>
    <t>TSA Minor Works</t>
  </si>
  <si>
    <t>4702</t>
  </si>
  <si>
    <t>Construction Safety Management</t>
  </si>
  <si>
    <t>4701</t>
  </si>
  <si>
    <t>Legal Separation Programme</t>
  </si>
  <si>
    <t>4700</t>
  </si>
  <si>
    <t>CNI Network Asset Refresh (Gas)</t>
  </si>
  <si>
    <t>4699</t>
  </si>
  <si>
    <t>3rd Party Vendor BPA Secure Connection</t>
  </si>
  <si>
    <t>4698</t>
  </si>
  <si>
    <t>Shared Services IS Support Model</t>
  </si>
  <si>
    <t>4697</t>
  </si>
  <si>
    <t>HP Exstream upgrade to v9.5</t>
  </si>
  <si>
    <t>4696</t>
  </si>
  <si>
    <t>4695</t>
  </si>
  <si>
    <t>Strategic Review End User Computing, Data Centre and Network</t>
  </si>
  <si>
    <t>4694</t>
  </si>
  <si>
    <t>IMDB</t>
  </si>
  <si>
    <t>4693</t>
  </si>
  <si>
    <t>IS Enterprise Lab</t>
  </si>
  <si>
    <t>4692</t>
  </si>
  <si>
    <t>Experian NetConnect Upgrade</t>
  </si>
  <si>
    <t>4691</t>
  </si>
  <si>
    <t>P354: ABSVD at metered level</t>
  </si>
  <si>
    <t>4690</t>
  </si>
  <si>
    <t>Peakgen Fast Reserve</t>
  </si>
  <si>
    <t>4689</t>
  </si>
  <si>
    <t>Aged Printer Refresh</t>
  </si>
  <si>
    <t>4688</t>
  </si>
  <si>
    <t>Legacy DMZ Firewalls</t>
  </si>
  <si>
    <t>4687</t>
  </si>
  <si>
    <t>Network Tx-NB/MTC</t>
  </si>
  <si>
    <t>4686</t>
  </si>
  <si>
    <t>IS Provisioning System F&amp;A</t>
  </si>
  <si>
    <t>4685</t>
  </si>
  <si>
    <t>KEDLI and KEDNY Monthly Reporting</t>
  </si>
  <si>
    <t>4684</t>
  </si>
  <si>
    <t>CPE Buyback</t>
  </si>
  <si>
    <t>4683</t>
  </si>
  <si>
    <t>RSA Token Purchase</t>
  </si>
  <si>
    <t>4682</t>
  </si>
  <si>
    <t>MaaS 360 Payoff</t>
  </si>
  <si>
    <t>4681</t>
  </si>
  <si>
    <t>zScaler</t>
  </si>
  <si>
    <t>4680</t>
  </si>
  <si>
    <t>WAP Density Deployment</t>
  </si>
  <si>
    <t>4679</t>
  </si>
  <si>
    <t>Cisco Prime</t>
  </si>
  <si>
    <t>4678</t>
  </si>
  <si>
    <t>CSC extraction Discovery phase</t>
  </si>
  <si>
    <t>4677</t>
  </si>
  <si>
    <t>App Monitioring-Network IDS- Operations Monitioring</t>
  </si>
  <si>
    <t>4676</t>
  </si>
  <si>
    <t>Forward Proxy Upgrade</t>
  </si>
  <si>
    <t>4675</t>
  </si>
  <si>
    <t>4674</t>
  </si>
  <si>
    <t>Log Logic</t>
  </si>
  <si>
    <t>4673</t>
  </si>
  <si>
    <t>PI Enterprise Deployment</t>
  </si>
  <si>
    <t>4672</t>
  </si>
  <si>
    <t>US CNI Lifecycle Replacement Program</t>
  </si>
  <si>
    <t>4671</t>
  </si>
  <si>
    <t>Mobile device refresh - FY 17</t>
  </si>
  <si>
    <t>4670</t>
  </si>
  <si>
    <t>Acquisition of Remote Sensing Data</t>
  </si>
  <si>
    <t>4669</t>
  </si>
  <si>
    <t>US SAP: Max Attention</t>
  </si>
  <si>
    <t>4668</t>
  </si>
  <si>
    <t>Improve Backoffice System Functionality Program</t>
  </si>
  <si>
    <t>4667</t>
  </si>
  <si>
    <t>Vision FM Replacement F&amp;A</t>
  </si>
  <si>
    <t>4666</t>
  </si>
  <si>
    <t>Legal Hold / Clearwell F&amp;A</t>
  </si>
  <si>
    <t>4665</t>
  </si>
  <si>
    <t>Communication Systems Upgrade Program</t>
  </si>
  <si>
    <t>4664</t>
  </si>
  <si>
    <t>Reinforce Core Infrastructure Program</t>
  </si>
  <si>
    <t>4663</t>
  </si>
  <si>
    <t>Enhance and Enable End User Capabilities Program</t>
  </si>
  <si>
    <t>4662</t>
  </si>
  <si>
    <t>US SAP: Concur Expenses</t>
  </si>
  <si>
    <t>4661</t>
  </si>
  <si>
    <t>US CNI-Intrusion Detection System Upgrade</t>
  </si>
  <si>
    <t>4660</t>
  </si>
  <si>
    <t>Active Endpoint BPEL Upgrade</t>
  </si>
  <si>
    <t>4659</t>
  </si>
  <si>
    <t>Shared Services Telephony Upgrade</t>
  </si>
  <si>
    <t>4658</t>
  </si>
  <si>
    <t>US Finance Process Controls</t>
  </si>
  <si>
    <t>4657</t>
  </si>
  <si>
    <t>US Digital Comms Infonet Audit</t>
  </si>
  <si>
    <t>4656</t>
  </si>
  <si>
    <t>Digital Asset Management System replacement</t>
  </si>
  <si>
    <t>4655</t>
  </si>
  <si>
    <t>MyServices Mobile App Rollout</t>
  </si>
  <si>
    <t>4654</t>
  </si>
  <si>
    <t>HR Service Packs</t>
  </si>
  <si>
    <t>4653</t>
  </si>
  <si>
    <t>MyAccount Technical Blueprint</t>
  </si>
  <si>
    <t>4652</t>
  </si>
  <si>
    <t>Modify Cascade Interfaces for Protectors-Vaults</t>
  </si>
  <si>
    <t>Operational Reliability &amp; Efficiency</t>
  </si>
  <si>
    <t>4651</t>
  </si>
  <si>
    <t>Operational Telecommunication Modernization</t>
  </si>
  <si>
    <t>4650</t>
  </si>
  <si>
    <t>Finance General Ledger</t>
  </si>
  <si>
    <t>4649</t>
  </si>
  <si>
    <t>HANA Licenses</t>
  </si>
  <si>
    <t>4648</t>
  </si>
  <si>
    <t>Network Tx-CEMS</t>
  </si>
  <si>
    <t>4647</t>
  </si>
  <si>
    <t>Network Transformation Completion - CEMS</t>
  </si>
  <si>
    <t>4646</t>
  </si>
  <si>
    <t>MDM Rollout</t>
  </si>
  <si>
    <t>4645</t>
  </si>
  <si>
    <t>Core Infrastructure Sites</t>
  </si>
  <si>
    <t>4644</t>
  </si>
  <si>
    <t>Hix D/C Improvement Server Refresh</t>
  </si>
  <si>
    <t>4643</t>
  </si>
  <si>
    <t>HANA License Costs</t>
  </si>
  <si>
    <t>4642</t>
  </si>
  <si>
    <t>MS ELA Renewal</t>
  </si>
  <si>
    <t>4641</t>
  </si>
  <si>
    <t>Office Pro Plus</t>
  </si>
  <si>
    <t>4640</t>
  </si>
  <si>
    <t>CIS Environment Project</t>
  </si>
  <si>
    <t>4639</t>
  </si>
  <si>
    <t>VSTIG hardware refresh - Tufin and Logging service</t>
  </si>
  <si>
    <t>4638</t>
  </si>
  <si>
    <t>UK Wireless Refresh</t>
  </si>
  <si>
    <t>4637</t>
  </si>
  <si>
    <t>UK CNI Networks – Electricity CSM Solution</t>
  </si>
  <si>
    <t>4636</t>
  </si>
  <si>
    <t>UK ERP Deployment Planning</t>
  </si>
  <si>
    <t>4635</t>
  </si>
  <si>
    <t>OpenText High Availability Setup</t>
  </si>
  <si>
    <t>4634</t>
  </si>
  <si>
    <t>Project Pace</t>
  </si>
  <si>
    <t>EFS improvements</t>
  </si>
  <si>
    <t>4633</t>
  </si>
  <si>
    <t>Commercial Operations Data and Analytics Programme</t>
  </si>
  <si>
    <t>4632</t>
  </si>
  <si>
    <t>Video Conference upgrade - Reservoir woods</t>
  </si>
  <si>
    <t>4631</t>
  </si>
  <si>
    <t>Box Enablement</t>
  </si>
  <si>
    <t>4630</t>
  </si>
  <si>
    <t>US Gas GIS Consolidation to Esri &amp; ArcFM</t>
  </si>
  <si>
    <t>4629</t>
  </si>
  <si>
    <t>CAB Improvements</t>
  </si>
  <si>
    <t>4628</t>
  </si>
  <si>
    <t>Active Directory Remediation</t>
  </si>
  <si>
    <t>4627</t>
  </si>
  <si>
    <t>Source to Pay Technology Refresh</t>
  </si>
  <si>
    <t>4626</t>
  </si>
  <si>
    <t>GCS Continued Enhancement</t>
  </si>
  <si>
    <t>4625</t>
  </si>
  <si>
    <t>New screen in CSS to summarize 04/14 interval table</t>
  </si>
  <si>
    <t>4624</t>
  </si>
  <si>
    <t>4623</t>
  </si>
  <si>
    <t>Call Manager Upgrade</t>
  </si>
  <si>
    <t>4622</t>
  </si>
  <si>
    <t>Pensions Business Continuity Telephony Remediation</t>
  </si>
  <si>
    <t>4621</t>
  </si>
  <si>
    <t>NY Reform the Energy Vision: Integrated Network Operations Center (INOC)</t>
  </si>
  <si>
    <t>4620</t>
  </si>
  <si>
    <t>iOS10 Upgrade Testing for NG</t>
  </si>
  <si>
    <t>4619</t>
  </si>
  <si>
    <t>Viking Network Enhancements</t>
  </si>
  <si>
    <t>Non-Reg</t>
  </si>
  <si>
    <t>4618</t>
  </si>
  <si>
    <t>Viking Minor Works</t>
  </si>
  <si>
    <t>4617</t>
  </si>
  <si>
    <t>North Sea Link Network Enhancements</t>
  </si>
  <si>
    <t>4616</t>
  </si>
  <si>
    <t>North Sea Link Minor Works</t>
  </si>
  <si>
    <t>4615</t>
  </si>
  <si>
    <t>NGIC Minor Works</t>
  </si>
  <si>
    <t>4614</t>
  </si>
  <si>
    <t>NGIC Network Enhancements</t>
  </si>
  <si>
    <t>4613</t>
  </si>
  <si>
    <t>NEMO Minor Works</t>
  </si>
  <si>
    <t>4612</t>
  </si>
  <si>
    <t>NEMO Link Network Enhancements</t>
  </si>
  <si>
    <t>4611</t>
  </si>
  <si>
    <t>IFA2 Network Enhancements</t>
  </si>
  <si>
    <t>4610</t>
  </si>
  <si>
    <t>IFA 2 Minor Works</t>
  </si>
  <si>
    <t>4609</t>
  </si>
  <si>
    <t>Domestic Field App U6</t>
  </si>
  <si>
    <t>Non-Reg - Metering</t>
  </si>
  <si>
    <t>4608</t>
  </si>
  <si>
    <t>Domestic Contact Center Enhancements</t>
  </si>
  <si>
    <t>4607</t>
  </si>
  <si>
    <t>4606</t>
  </si>
  <si>
    <t>Data Visualisation Expansion</t>
  </si>
  <si>
    <t>4605</t>
  </si>
  <si>
    <t>Strategy Work – End User Computing, Data Center and Network</t>
  </si>
  <si>
    <t>4604</t>
  </si>
  <si>
    <t>ECM Phase 2</t>
  </si>
  <si>
    <t>4603</t>
  </si>
  <si>
    <t>RRP Process Improvement Enablement</t>
  </si>
  <si>
    <t>4602</t>
  </si>
  <si>
    <t>Land &amp; Consents VRC</t>
  </si>
  <si>
    <t>4601</t>
  </si>
  <si>
    <t>Enhanced GIS Visualisation</t>
  </si>
  <si>
    <t>4600</t>
  </si>
  <si>
    <t>GIS Data Governance</t>
  </si>
  <si>
    <t>4599</t>
  </si>
  <si>
    <t>IAM For ETO</t>
  </si>
  <si>
    <t>4598</t>
  </si>
  <si>
    <t>Post Piccadilly Enablement</t>
  </si>
  <si>
    <t>4597</t>
  </si>
  <si>
    <t>AMPD Wave 2 changes</t>
  </si>
  <si>
    <t>4596</t>
  </si>
  <si>
    <t>Expenses Management</t>
  </si>
  <si>
    <t>Security GRC Minor Works 18/19</t>
  </si>
  <si>
    <t>4595</t>
  </si>
  <si>
    <t>Security (GRC) Minor Works</t>
  </si>
  <si>
    <t>4594</t>
  </si>
  <si>
    <t>Global Procurement Ariba Support Review</t>
  </si>
  <si>
    <t>4593</t>
  </si>
  <si>
    <t>US GIS Landbase Data Acquisition, Asset Realignment, and Gas Services Mapping</t>
  </si>
  <si>
    <t>4592</t>
  </si>
  <si>
    <t>4591</t>
  </si>
  <si>
    <t>NY REV: Distributed System Implementation Plan</t>
  </si>
  <si>
    <t>4590</t>
  </si>
  <si>
    <t>US Global Audit System F-A</t>
  </si>
  <si>
    <t>4589</t>
  </si>
  <si>
    <t>Server for Engineering Workflow Management System</t>
  </si>
  <si>
    <t>4588</t>
  </si>
  <si>
    <t>US SAP: Solution Manager Upgrade</t>
  </si>
  <si>
    <t>4587</t>
  </si>
  <si>
    <t>Benefit Program - Analytics and Data Tools</t>
  </si>
  <si>
    <t>4586</t>
  </si>
  <si>
    <t>Business Development Primavera EPPM Capability</t>
  </si>
  <si>
    <t>4585</t>
  </si>
  <si>
    <t>4584</t>
  </si>
  <si>
    <t>Review of DRMS Proposals and Integration of Selected DRMS into National Grid Systems</t>
  </si>
  <si>
    <t>4583</t>
  </si>
  <si>
    <t>NY REV Distributed System Platform Pilot</t>
  </si>
  <si>
    <t>4582</t>
  </si>
  <si>
    <t>Enterprise Data Mangement</t>
  </si>
  <si>
    <t>4581</t>
  </si>
  <si>
    <t>Replace Legacy Gas E-Permits System</t>
  </si>
  <si>
    <t>4580</t>
  </si>
  <si>
    <t>iOS Upgrade</t>
  </si>
  <si>
    <t>4579</t>
  </si>
  <si>
    <t>4578</t>
  </si>
  <si>
    <t>Group Functions</t>
  </si>
  <si>
    <t>4577</t>
  </si>
  <si>
    <t>4576</t>
  </si>
  <si>
    <t>Unified Communication</t>
  </si>
  <si>
    <t>4575A</t>
  </si>
  <si>
    <t>Software Defined Networking Enablement - Phase 2</t>
  </si>
  <si>
    <t>4575</t>
  </si>
  <si>
    <t>Software Defined Networking POC</t>
  </si>
  <si>
    <t>4574</t>
  </si>
  <si>
    <t>US Control-Requirements Definition for OMS Hardware and Software Refresh and DMS Implementation</t>
  </si>
  <si>
    <t>4573</t>
  </si>
  <si>
    <t>Gas Business Enablement - Feasibility and Analysis</t>
  </si>
  <si>
    <t>4572</t>
  </si>
  <si>
    <t>Gas Business Enablement Program</t>
  </si>
  <si>
    <t>4571</t>
  </si>
  <si>
    <t>US Sites WAN Investments 2016 Upgrades</t>
  </si>
  <si>
    <t>4570</t>
  </si>
  <si>
    <t>US CNI Tech Services-Network Equipment Lifecycle Replacements</t>
  </si>
  <si>
    <t>4569</t>
  </si>
  <si>
    <t>US CNI-NY EMS Remote Terminal Unit (RTU) Communication Upgrade</t>
  </si>
  <si>
    <t>4568</t>
  </si>
  <si>
    <t>US CNI-EMS and OMS Lifecycle Hardware Upgrade</t>
  </si>
  <si>
    <t>4567</t>
  </si>
  <si>
    <t>Growth Playbook Revenue Optimization</t>
  </si>
  <si>
    <t>4566</t>
  </si>
  <si>
    <t>US SAP: Pilot new reporting tools</t>
  </si>
  <si>
    <t>4565</t>
  </si>
  <si>
    <t>US SAP Testing Automation</t>
  </si>
  <si>
    <t>4564</t>
  </si>
  <si>
    <t>US SAP: Enhancement Pack 9 Upgrade</t>
  </si>
  <si>
    <t>4563</t>
  </si>
  <si>
    <t>US SAP: FERC on HANA (FOH) Upgrade</t>
  </si>
  <si>
    <t>4562</t>
  </si>
  <si>
    <t>US SAP: Business Warehouse (BW) Consolidation to HANA Enterprise Cloud (HEC)</t>
  </si>
  <si>
    <t>4561</t>
  </si>
  <si>
    <t>Benefit Program Updates</t>
  </si>
  <si>
    <t>4560</t>
  </si>
  <si>
    <t>US SAP: Dynamic Storage Tiering Addition</t>
  </si>
  <si>
    <t>4559</t>
  </si>
  <si>
    <t>US SAP: Access Violationa Management Implementation - Phase II</t>
  </si>
  <si>
    <t>4558</t>
  </si>
  <si>
    <t>US SAP: Enhance the network connectivity between HANA Enterprise Cloud (HEC)</t>
  </si>
  <si>
    <t>4557</t>
  </si>
  <si>
    <t>US SAP: Business Objects Report Optimization</t>
  </si>
  <si>
    <t>4556</t>
  </si>
  <si>
    <t>US SAP: Converge on HANA Enterprise Cloud (HEC) Business Onjectes Enterprise (BOE)</t>
  </si>
  <si>
    <t>4555</t>
  </si>
  <si>
    <t>RI Renewable Energy Program changes</t>
  </si>
  <si>
    <t>4554</t>
  </si>
  <si>
    <t>Nightcrawler Asset Update</t>
  </si>
  <si>
    <t>4553</t>
  </si>
  <si>
    <t>TAX Systems Transformation</t>
  </si>
  <si>
    <t>4552</t>
  </si>
  <si>
    <t>ABB Last Time Buy</t>
  </si>
  <si>
    <t>Transmission - ETO (Optel)</t>
  </si>
  <si>
    <t>4551</t>
  </si>
  <si>
    <t>4550</t>
  </si>
  <si>
    <t>Construction Project Management and Delivery</t>
  </si>
  <si>
    <t>4549</t>
  </si>
  <si>
    <t>Cognitive Analytics</t>
  </si>
  <si>
    <t>4548</t>
  </si>
  <si>
    <t>Future Projects</t>
  </si>
  <si>
    <t>4547</t>
  </si>
  <si>
    <t>IAM</t>
  </si>
  <si>
    <t>4546</t>
  </si>
  <si>
    <t>IIoT</t>
  </si>
  <si>
    <t>4545</t>
  </si>
  <si>
    <t>E2E Resource Mgmt</t>
  </si>
  <si>
    <t>4544</t>
  </si>
  <si>
    <t>Customer and Interaction Mgmt</t>
  </si>
  <si>
    <t>4543</t>
  </si>
  <si>
    <t>Eagles</t>
  </si>
  <si>
    <t>4542</t>
  </si>
  <si>
    <t>Mobile Platform/Strategy</t>
  </si>
  <si>
    <t>4541</t>
  </si>
  <si>
    <t>Pier Decommission</t>
  </si>
  <si>
    <t>4540</t>
  </si>
  <si>
    <t>4539A</t>
  </si>
  <si>
    <t>SAM Transition – Dissolved Gas Analysis, Policy Compliance &amp; DMRA Capabilities</t>
  </si>
  <si>
    <t>4539</t>
  </si>
  <si>
    <t>SAM Re-platforming</t>
  </si>
  <si>
    <t>4538</t>
  </si>
  <si>
    <t>UK IS Infrastructure Maintenance</t>
  </si>
  <si>
    <t>4537</t>
  </si>
  <si>
    <t>4536</t>
  </si>
  <si>
    <t>Database Rationalisation</t>
  </si>
  <si>
    <t>4535</t>
  </si>
  <si>
    <t>Legacy Lotus Notes decommission</t>
  </si>
  <si>
    <t>4534</t>
  </si>
  <si>
    <t>4533</t>
  </si>
  <si>
    <t>Fixed Mobile Integration</t>
  </si>
  <si>
    <t>4532</t>
  </si>
  <si>
    <t>4531</t>
  </si>
  <si>
    <t>Enhance Citrix Environment to enhance BYOD</t>
  </si>
  <si>
    <t>4530</t>
  </si>
  <si>
    <t>Service Now Enhancements (release 2)</t>
  </si>
  <si>
    <t>4529</t>
  </si>
  <si>
    <t>Service Now Deployment (release 2)</t>
  </si>
  <si>
    <t>4528</t>
  </si>
  <si>
    <t>4527</t>
  </si>
  <si>
    <t>4526</t>
  </si>
  <si>
    <t>4525</t>
  </si>
  <si>
    <t>4524</t>
  </si>
  <si>
    <t>4523</t>
  </si>
  <si>
    <t>4522</t>
  </si>
  <si>
    <t>4521K</t>
  </si>
  <si>
    <t>DR&amp;S Controls Audit Observations Remediation</t>
  </si>
  <si>
    <t>4521J</t>
  </si>
  <si>
    <t>4521I</t>
  </si>
  <si>
    <t>Access Control and Provisioning for Non-SAP Apps</t>
  </si>
  <si>
    <t>Gateway Team Role Redesign &amp; GRC Enablement</t>
  </si>
  <si>
    <t>SAP Solution Manager Upgrade</t>
  </si>
  <si>
    <t>Controls Audit Observations Remediation</t>
  </si>
  <si>
    <t>Starters, Movers and Leavers</t>
  </si>
  <si>
    <t>SAP Governance Risk and Compliance - Business Role Redesign</t>
  </si>
  <si>
    <t>4521C</t>
  </si>
  <si>
    <t>SAP Governance Risk and Compliance - IS Role Design</t>
  </si>
  <si>
    <t>UK Controls Improvement - GRC Upgrade</t>
  </si>
  <si>
    <t>Controls Improvement - Tactical</t>
  </si>
  <si>
    <t>4521</t>
  </si>
  <si>
    <t>4520</t>
  </si>
  <si>
    <t>ERP Strategy Delivery</t>
  </si>
  <si>
    <t>4519</t>
  </si>
  <si>
    <t>MWHS server cleardown</t>
  </si>
  <si>
    <t>4518</t>
  </si>
  <si>
    <t>ESO Decomissioning and Training</t>
  </si>
  <si>
    <t>4517</t>
  </si>
  <si>
    <t>Irish Electricity Market Changes</t>
  </si>
  <si>
    <t>4516</t>
  </si>
  <si>
    <t>Mobile Device Management (MDM/EMM)</t>
  </si>
  <si>
    <t>4515</t>
  </si>
  <si>
    <t>Uk BIA Foundation capabilities (Advanced Analytics)</t>
  </si>
  <si>
    <t>4514A</t>
  </si>
  <si>
    <t>UK VSTIG hardware Refresh</t>
  </si>
  <si>
    <t>4514</t>
  </si>
  <si>
    <t>UK VSTIG Programme</t>
  </si>
  <si>
    <t>4513</t>
  </si>
  <si>
    <t>Infrastructure Tools</t>
  </si>
  <si>
    <t>4512</t>
  </si>
  <si>
    <t>NGS VPN Tunnels</t>
  </si>
  <si>
    <t>4511</t>
  </si>
  <si>
    <t>Cloud - Broker/Hybrid Enablement</t>
  </si>
  <si>
    <t>4510</t>
  </si>
  <si>
    <t>SCI Connections</t>
  </si>
  <si>
    <t>4509</t>
  </si>
  <si>
    <t>Application Performance Management</t>
  </si>
  <si>
    <t>4508</t>
  </si>
  <si>
    <t>Operational Efficiencies and Initiatives</t>
  </si>
  <si>
    <t>4507</t>
  </si>
  <si>
    <t>RSA re-platform</t>
  </si>
  <si>
    <t>4506</t>
  </si>
  <si>
    <t>UK Video Conference Programme</t>
  </si>
  <si>
    <t>4505</t>
  </si>
  <si>
    <t>UK Wireless Programme</t>
  </si>
  <si>
    <t>4504</t>
  </si>
  <si>
    <t>Service Now Upgrades and Improvements</t>
  </si>
  <si>
    <t>4503</t>
  </si>
  <si>
    <t>UK Network Programme</t>
  </si>
  <si>
    <t>4502</t>
  </si>
  <si>
    <t>monitoring and alerting</t>
  </si>
  <si>
    <t>4501</t>
  </si>
  <si>
    <t>TSG P6 Migration</t>
  </si>
  <si>
    <t>4500</t>
  </si>
  <si>
    <t>Virtual Desktop - Workstyle for partners</t>
  </si>
  <si>
    <t>4499</t>
  </si>
  <si>
    <t>US Wireless Program</t>
  </si>
  <si>
    <t>4498</t>
  </si>
  <si>
    <t>US VSTIG programme</t>
  </si>
  <si>
    <t>4497</t>
  </si>
  <si>
    <t>US video Conferencing Program</t>
  </si>
  <si>
    <t>4496</t>
  </si>
  <si>
    <t>US Network Program</t>
  </si>
  <si>
    <t>4495</t>
  </si>
  <si>
    <t>US SCI Infrastructure</t>
  </si>
  <si>
    <t>4494</t>
  </si>
  <si>
    <t>Operational efficiencies and Initiatives</t>
  </si>
  <si>
    <t>4493</t>
  </si>
  <si>
    <t>Monitoring and Alerting</t>
  </si>
  <si>
    <t>4492</t>
  </si>
  <si>
    <t>Legacy Interface Migration and Decomission</t>
  </si>
  <si>
    <t>4491</t>
  </si>
  <si>
    <t>ICE replacement - Office 365 Implementation</t>
  </si>
  <si>
    <t>4490</t>
  </si>
  <si>
    <t>4489</t>
  </si>
  <si>
    <t>Active Directory Improvements</t>
  </si>
  <si>
    <t>4488</t>
  </si>
  <si>
    <t>Wireless Expansion ResMet</t>
  </si>
  <si>
    <t>4487</t>
  </si>
  <si>
    <t xml:space="preserve">Changes to ACIS for PMCC Civil Vendor Billing  </t>
  </si>
  <si>
    <t>4486</t>
  </si>
  <si>
    <t>General Ledger Interface for CRIS to SAP</t>
  </si>
  <si>
    <t>4485</t>
  </si>
  <si>
    <t>CRIS Data Archival</t>
  </si>
  <si>
    <t>4484</t>
  </si>
  <si>
    <t>Payments processing CRIS (cash Corrections)</t>
  </si>
  <si>
    <t>4483</t>
  </si>
  <si>
    <t>US Control-Transmission Outage Application (iTOA) Upgrade to HTML 5 Web</t>
  </si>
  <si>
    <t>4482</t>
  </si>
  <si>
    <t>Third Party Vendor Transition to Citrix from DMZ</t>
  </si>
  <si>
    <t>4481A</t>
  </si>
  <si>
    <t>Energy Accounting System Migration to Wholesale Settlement Application - NE</t>
  </si>
  <si>
    <t>4481</t>
  </si>
  <si>
    <t>Energy Accounting System Migration to Wholesale Settlement Application - NY</t>
  </si>
  <si>
    <t>4480</t>
  </si>
  <si>
    <t>US Control-Gas System Operating Procedure (SOP) upgrade</t>
  </si>
  <si>
    <t>4479</t>
  </si>
  <si>
    <t>4478</t>
  </si>
  <si>
    <t>Mobile Material Assistant Upgrade (MMA)</t>
  </si>
  <si>
    <t>4477</t>
  </si>
  <si>
    <t>Customer Minor Works - FY18</t>
  </si>
  <si>
    <t>4476</t>
  </si>
  <si>
    <t>ServiceNow Enhancements</t>
  </si>
  <si>
    <t>4475</t>
  </si>
  <si>
    <t>ServiceNow Deployment</t>
  </si>
  <si>
    <t>4474</t>
  </si>
  <si>
    <t>Market Information Programme</t>
  </si>
  <si>
    <t>4473</t>
  </si>
  <si>
    <t>US Control-UNY Electric Control Rooms Voice Recorder Upgrade</t>
  </si>
  <si>
    <t>4472</t>
  </si>
  <si>
    <t>One National Grid Emergency Number</t>
  </si>
  <si>
    <t>4471</t>
  </si>
  <si>
    <t>CTI Application Upgrade</t>
  </si>
  <si>
    <t>4470</t>
  </si>
  <si>
    <t>Customer Mandated Projects FY18</t>
  </si>
  <si>
    <t>4469</t>
  </si>
  <si>
    <t>Microstrategy Stabilization or Replacement (F&amp;A)</t>
  </si>
  <si>
    <t>4468</t>
  </si>
  <si>
    <t>Gas Capacity Request Database</t>
  </si>
  <si>
    <t>Gas</t>
  </si>
  <si>
    <t>4467</t>
  </si>
  <si>
    <t>4466</t>
  </si>
  <si>
    <t>4465</t>
  </si>
  <si>
    <t>Customer Owned Street Lights - Lighting Service Chg</t>
  </si>
  <si>
    <t>4464</t>
  </si>
  <si>
    <t>US IS Data Visualization Tool</t>
  </si>
  <si>
    <t>4463</t>
  </si>
  <si>
    <t>Electric Operation Remote Connectivity to the Corporate Network via multiple devices</t>
  </si>
  <si>
    <t>4462</t>
  </si>
  <si>
    <t>Computapole Enhancements to support Inspection Subtypes</t>
  </si>
  <si>
    <t>4461</t>
  </si>
  <si>
    <t>UNIX51 Interface migration</t>
  </si>
  <si>
    <t>4460</t>
  </si>
  <si>
    <t>4459</t>
  </si>
  <si>
    <t>Purchase to Pay Technology Refresh</t>
  </si>
  <si>
    <t>4458</t>
  </si>
  <si>
    <t>Gateway and Controls</t>
  </si>
  <si>
    <t>4457</t>
  </si>
  <si>
    <t>Data and Analytics Platform</t>
  </si>
  <si>
    <t>4456</t>
  </si>
  <si>
    <t>Shared Services Citrix Upgrade</t>
  </si>
  <si>
    <t>4455</t>
  </si>
  <si>
    <t>EU Phase 4a</t>
  </si>
  <si>
    <t>4454</t>
  </si>
  <si>
    <t>Microstrategy Stabilization</t>
  </si>
  <si>
    <t>4453</t>
  </si>
  <si>
    <t>Continuous Emissions Monitoring Improvements</t>
  </si>
  <si>
    <t>4452</t>
  </si>
  <si>
    <t>EBS Release 3 Business Changes</t>
  </si>
  <si>
    <t>4451</t>
  </si>
  <si>
    <t>Gas Transportation System Phase II</t>
  </si>
  <si>
    <t>4450</t>
  </si>
  <si>
    <t>F&amp;A study for Digital Signage Solution</t>
  </si>
  <si>
    <t>4449</t>
  </si>
  <si>
    <t>EPA Portfolio Manager Integration</t>
  </si>
  <si>
    <t>4448</t>
  </si>
  <si>
    <t>Low Income Order</t>
  </si>
  <si>
    <t>4447</t>
  </si>
  <si>
    <t>SSR - Corporate Wellbeing</t>
  </si>
  <si>
    <t>4446</t>
  </si>
  <si>
    <t>IS Provisioning</t>
  </si>
  <si>
    <t>4445</t>
  </si>
  <si>
    <t>Cyber Operational Research Centre (CORE)</t>
  </si>
  <si>
    <t>4444</t>
  </si>
  <si>
    <t>Cyber Asset Re-Discovery (CARD)</t>
  </si>
  <si>
    <t>4443</t>
  </si>
  <si>
    <t>Legal Document Automation, Collaboration and Management</t>
  </si>
  <si>
    <t>4442</t>
  </si>
  <si>
    <t>Global Procurement Document Security Management</t>
  </si>
  <si>
    <t>4441</t>
  </si>
  <si>
    <t>4440</t>
  </si>
  <si>
    <t>Global Master Service Provider for Contingent Labour UK Integration</t>
  </si>
  <si>
    <t>4439</t>
  </si>
  <si>
    <t>Extranets Infrastructure</t>
  </si>
  <si>
    <t>4438</t>
  </si>
  <si>
    <t>Corporate Regulated Minor Works</t>
  </si>
  <si>
    <t>4437</t>
  </si>
  <si>
    <t>Global HR Policy &amp; Compliance</t>
  </si>
  <si>
    <t>4436</t>
  </si>
  <si>
    <t>4435</t>
  </si>
  <si>
    <t>NY Regulatory Mandates</t>
  </si>
  <si>
    <t>4434</t>
  </si>
  <si>
    <t>Digital Signage</t>
  </si>
  <si>
    <t>4433</t>
  </si>
  <si>
    <t>Global Master Service Provider for Contingent Labour - Phase 2</t>
  </si>
  <si>
    <t>4432</t>
  </si>
  <si>
    <t>Performance - Performance Drumbeat</t>
  </si>
  <si>
    <t>4431</t>
  </si>
  <si>
    <t>Shaping our Future</t>
  </si>
  <si>
    <t>4430</t>
  </si>
  <si>
    <t>Energy Efficiency Real Time Customer Data Sharing</t>
  </si>
  <si>
    <t>4429</t>
  </si>
  <si>
    <t>KEDLI Rate Case</t>
  </si>
  <si>
    <t>4428</t>
  </si>
  <si>
    <t>Customer Experience Transformation - Proactive SMS Communications</t>
  </si>
  <si>
    <t>4427</t>
  </si>
  <si>
    <t>Customer Experience Transformation - My Account portal</t>
  </si>
  <si>
    <t>4426</t>
  </si>
  <si>
    <t>Customer Experience Transformation - Communications Preference Management</t>
  </si>
  <si>
    <t>4425</t>
  </si>
  <si>
    <t>ACL Upgrade</t>
  </si>
  <si>
    <t>4424</t>
  </si>
  <si>
    <t>Oracle RightNow Upgrade</t>
  </si>
  <si>
    <t>4423</t>
  </si>
  <si>
    <t>Shared Services Process Mapping</t>
  </si>
  <si>
    <t>4422</t>
  </si>
  <si>
    <t>Automate the Collections Email process</t>
  </si>
  <si>
    <t>4421</t>
  </si>
  <si>
    <t>New Arrearage Management Program</t>
  </si>
  <si>
    <t>4420</t>
  </si>
  <si>
    <t>US CNI OMS-FocalPoint Infrastructure Upgrade</t>
  </si>
  <si>
    <t>4419</t>
  </si>
  <si>
    <t>Shaping the Future</t>
  </si>
  <si>
    <t>4418</t>
  </si>
  <si>
    <t>RSA Archer Upgrade &amp; Maintenance</t>
  </si>
  <si>
    <t>4417</t>
  </si>
  <si>
    <t>4416</t>
  </si>
  <si>
    <t>Energy Efficiency CRIS – CDI Data Mapping Enhancements</t>
  </si>
  <si>
    <t>4415</t>
  </si>
  <si>
    <t>Energy Efficiency - Customer Data Sharing with EnergySavvy and RISE Vendors</t>
  </si>
  <si>
    <t>4414</t>
  </si>
  <si>
    <t>YouConnect</t>
  </si>
  <si>
    <t>IS Separation Piccadilly</t>
  </si>
  <si>
    <t>4413</t>
  </si>
  <si>
    <t>CSS change to activate Regulator Inspection Order to MWork for 2 yr and 20 yr inspections</t>
  </si>
  <si>
    <t>MPLS for 3rd Party connectivity</t>
  </si>
  <si>
    <t>Re-alignment of 3rd Party Peerpoint Interfaces</t>
  </si>
  <si>
    <t>Provision of second CNI laptop</t>
  </si>
  <si>
    <t>Electricity presentation layer</t>
  </si>
  <si>
    <t>4412</t>
  </si>
  <si>
    <t>4411D</t>
  </si>
  <si>
    <t>New Gas Connections</t>
  </si>
  <si>
    <t>4411C</t>
  </si>
  <si>
    <t>New Electric Connections</t>
  </si>
  <si>
    <t>4411B</t>
  </si>
  <si>
    <t>Distributed Generation NE</t>
  </si>
  <si>
    <t>4411A</t>
  </si>
  <si>
    <t>Distributed Generation New York</t>
  </si>
  <si>
    <t>4411</t>
  </si>
  <si>
    <t>New Customer Connections Program</t>
  </si>
  <si>
    <t>4410</t>
  </si>
  <si>
    <t>4409</t>
  </si>
  <si>
    <t>DR Documentation Update</t>
  </si>
  <si>
    <t>4408</t>
  </si>
  <si>
    <t>Document Management System Replacement Delivery</t>
  </si>
  <si>
    <t>4407</t>
  </si>
  <si>
    <t>UK CNI Electricity Presentation Layer</t>
  </si>
  <si>
    <t>4406</t>
  </si>
  <si>
    <t>Non-Enterprise Resource Planning (NERP) Logical &amp; Physical Separation</t>
  </si>
  <si>
    <t>4405</t>
  </si>
  <si>
    <t>Enterprise Resource Planning (ERP) Application Separation</t>
  </si>
  <si>
    <t>4404</t>
  </si>
  <si>
    <t>Infrastructure Separation</t>
  </si>
  <si>
    <t>4403</t>
  </si>
  <si>
    <t>Annual Ariba upgrades - FY18</t>
  </si>
  <si>
    <t>4402</t>
  </si>
  <si>
    <t>Regulatory Requirements, Reporting &amp; Rate Case support - FY18</t>
  </si>
  <si>
    <t>4401</t>
  </si>
  <si>
    <t>SAP/PowerPlan/Front Office Maintenance of Business (MOB) - FY18</t>
  </si>
  <si>
    <t>4400</t>
  </si>
  <si>
    <t>Annual HR &amp; Payroll Mandatory Service Pack Upgrade (HRSP) - FY18</t>
  </si>
  <si>
    <t>4399</t>
  </si>
  <si>
    <t>FSSC&amp;HR Systems (Non-SAP) Operational Requirements &amp; Upgrades - FY18</t>
  </si>
  <si>
    <t>4398</t>
  </si>
  <si>
    <t>Storms-IScheduler Upgrade Stabilization</t>
  </si>
  <si>
    <t>4397</t>
  </si>
  <si>
    <t>Ariba Transport Security Layer (TLS) and Cloud Integration (CI) Update</t>
  </si>
  <si>
    <t>4396</t>
  </si>
  <si>
    <t>4395</t>
  </si>
  <si>
    <t>US Mobile Device Refresh FY18</t>
  </si>
  <si>
    <t>4394</t>
  </si>
  <si>
    <t>New England Gas Leak Rechecks - Rollout to MA Yards</t>
  </si>
  <si>
    <t>4393</t>
  </si>
  <si>
    <t>Technical Minor Works FY18</t>
  </si>
  <si>
    <t>4392</t>
  </si>
  <si>
    <t>Portfolio and Program Management Improvements</t>
  </si>
  <si>
    <t>4391</t>
  </si>
  <si>
    <t>Operations Minor Works - FY18</t>
  </si>
  <si>
    <t>4390</t>
  </si>
  <si>
    <t>Plastic Fusion Tablets Phase 2: Mobile App for Standards &amp; Policies and Scanned Records</t>
  </si>
  <si>
    <t>4389</t>
  </si>
  <si>
    <t>Ageing System Stabilization/Upgrades - FY18</t>
  </si>
  <si>
    <t>4388</t>
  </si>
  <si>
    <t>Customer Low Cost Connections (CLoCC)</t>
  </si>
  <si>
    <t>4387</t>
  </si>
  <si>
    <t>4386</t>
  </si>
  <si>
    <t>Audio Conferencing Migration</t>
  </si>
  <si>
    <t>4385</t>
  </si>
  <si>
    <t>Cyber Security Service Network</t>
  </si>
  <si>
    <t>4384</t>
  </si>
  <si>
    <t>ERP Strategy Feasibility &amp; Analysis</t>
  </si>
  <si>
    <t>4383</t>
  </si>
  <si>
    <t>NY Community Choice Aggregation reports</t>
  </si>
  <si>
    <t>4382</t>
  </si>
  <si>
    <t>US Digital Communications Blueprint and Roadmap</t>
  </si>
  <si>
    <t>4381</t>
  </si>
  <si>
    <t>Standard Interconnector</t>
  </si>
  <si>
    <t>4380</t>
  </si>
  <si>
    <t>EBS Release 2 Business Changes</t>
  </si>
  <si>
    <t>4379</t>
  </si>
  <si>
    <t>US Control-aDMS Application Functional Testing-Feasibility and Analysis</t>
  </si>
  <si>
    <t>4378</t>
  </si>
  <si>
    <t>CIMdesk application refresh</t>
  </si>
  <si>
    <t>4377B</t>
  </si>
  <si>
    <t>Melville Data Centre Clearance (Migration and Decommision)</t>
  </si>
  <si>
    <t>4377A</t>
  </si>
  <si>
    <t>Melville Data Centre Clearance (DXC DC Capacity Increase)</t>
  </si>
  <si>
    <t>4377</t>
  </si>
  <si>
    <t>Data Centre Migration &amp; Capacity Increase</t>
  </si>
  <si>
    <t>4376</t>
  </si>
  <si>
    <t>FERC application transition to IS Support</t>
  </si>
  <si>
    <t>4375</t>
  </si>
  <si>
    <t>IVR Wellness Check</t>
  </si>
  <si>
    <t>Contact Center Operational Efficiencies</t>
  </si>
  <si>
    <t>4374</t>
  </si>
  <si>
    <t>EU Summer Release 2016</t>
  </si>
  <si>
    <t>4373</t>
  </si>
  <si>
    <t>Contingent Labor Administrator Replacement</t>
  </si>
  <si>
    <t>4372</t>
  </si>
  <si>
    <t>PVCS Tracker Replacement</t>
  </si>
  <si>
    <t>4371</t>
  </si>
  <si>
    <t>Detectent Pilot (RFP)</t>
  </si>
  <si>
    <t>SS Customer</t>
  </si>
  <si>
    <t>Meter To Cash Sustaining Investment</t>
  </si>
  <si>
    <t>4370</t>
  </si>
  <si>
    <t>RI System and Letter Changes</t>
  </si>
  <si>
    <t>4369</t>
  </si>
  <si>
    <t>GMIST enhancements</t>
  </si>
  <si>
    <t>4368</t>
  </si>
  <si>
    <t>DMZ Migration and Decommission</t>
  </si>
  <si>
    <t>4367</t>
  </si>
  <si>
    <t>System Operations Mobile Application</t>
  </si>
  <si>
    <t>4366</t>
  </si>
  <si>
    <t>EMR Admin Arrangements System</t>
  </si>
  <si>
    <t>4365</t>
  </si>
  <si>
    <t>New Medical System Feasibility Assessment</t>
  </si>
  <si>
    <t>4364</t>
  </si>
  <si>
    <t>Wireless Network Expansion FY17</t>
  </si>
  <si>
    <t>4363</t>
  </si>
  <si>
    <t>HHS Performance Measures files</t>
  </si>
  <si>
    <t>4362</t>
  </si>
  <si>
    <t>Legacy DMZ Migration to VSTIG</t>
  </si>
  <si>
    <t>4361</t>
  </si>
  <si>
    <t>4360</t>
  </si>
  <si>
    <t>IMF Tools</t>
  </si>
  <si>
    <t>4359</t>
  </si>
  <si>
    <t>MIPI - MIS interfaces</t>
  </si>
  <si>
    <t>4358</t>
  </si>
  <si>
    <t>CTI Screen Pop application</t>
  </si>
  <si>
    <t>4357</t>
  </si>
  <si>
    <t>SmallWorld GIS Update for LED Streetlight</t>
  </si>
  <si>
    <t>4356</t>
  </si>
  <si>
    <t>NG Smart New Company Code</t>
  </si>
  <si>
    <t>4355</t>
  </si>
  <si>
    <t>NG Smart Centre</t>
  </si>
  <si>
    <t>4354</t>
  </si>
  <si>
    <t>US FSS&amp;C Minor Work (non-SAP)</t>
  </si>
  <si>
    <t>4353</t>
  </si>
  <si>
    <t>SAP PowerPlan Front Office Maintenance of Business (MOB)</t>
  </si>
  <si>
    <t>4352</t>
  </si>
  <si>
    <t>NEMO Link Interconnector</t>
  </si>
  <si>
    <t>4351</t>
  </si>
  <si>
    <t>Include SBR (Supplemental Balancing Reserve) in Cashout</t>
  </si>
  <si>
    <t>4350</t>
  </si>
  <si>
    <t>Electric Operations, Network Strategy, and Control Centers Minor Works-FY17</t>
  </si>
  <si>
    <t>4349</t>
  </si>
  <si>
    <t>New Material Hazard Sheet Subscription</t>
  </si>
  <si>
    <t>4348</t>
  </si>
  <si>
    <t>US SAP: Infrastructure Landscape</t>
  </si>
  <si>
    <t>4347</t>
  </si>
  <si>
    <t>NYC Leave on for Landlord Program</t>
  </si>
  <si>
    <t>4346</t>
  </si>
  <si>
    <t>Program Delivery Engagement for Unplanned Regulatory Work</t>
  </si>
  <si>
    <t>4345</t>
  </si>
  <si>
    <t>IFA2 Company Code Setup</t>
  </si>
  <si>
    <t>4344</t>
  </si>
  <si>
    <t>Treasury Systems Maintenance 2016</t>
  </si>
  <si>
    <t>UK Finance</t>
  </si>
  <si>
    <t>4343</t>
  </si>
  <si>
    <t>Pensions Operations Maintenance 2016</t>
  </si>
  <si>
    <t>4342</t>
  </si>
  <si>
    <t>GTAM SharePoint Migration</t>
  </si>
  <si>
    <t>4341</t>
  </si>
  <si>
    <t>Priority Services Register</t>
  </si>
  <si>
    <t>4340</t>
  </si>
  <si>
    <t>National Grid Smart Limited Interfaces to GDFO</t>
  </si>
  <si>
    <t>4339</t>
  </si>
  <si>
    <t>Include Non-BM STOR (Non-Balancing Mechanism Short Term Operating Reserve) in Cashout</t>
  </si>
  <si>
    <t>4338</t>
  </si>
  <si>
    <t>P333 - Include DSBR (Demand Side Balancing Reserve) Volumes in Cashout</t>
  </si>
  <si>
    <t>4337</t>
  </si>
  <si>
    <t>Add Biomass Fuel Type to the BMRS (Balancing Mechanism Reporting System)</t>
  </si>
  <si>
    <t>4336</t>
  </si>
  <si>
    <t>UKPR (United Kingdom Power Reserve) Fast Reserve</t>
  </si>
  <si>
    <t>4335</t>
  </si>
  <si>
    <t>Technical Minor Works (BP16)</t>
  </si>
  <si>
    <t>4334</t>
  </si>
  <si>
    <t>Corporate Centre Unregulated Minor Projects 2016</t>
  </si>
  <si>
    <t>4333</t>
  </si>
  <si>
    <t>UK Pensions Operations Maintenance 2016</t>
  </si>
  <si>
    <t>4332</t>
  </si>
  <si>
    <t>Treasury Systems Maintenance &amp; Upgrade 2016</t>
  </si>
  <si>
    <t>4331</t>
  </si>
  <si>
    <t>T-Systems Data Center Move</t>
  </si>
  <si>
    <t>4330</t>
  </si>
  <si>
    <t>VSTIG migration and Decommission (UK)</t>
  </si>
  <si>
    <t>4329</t>
  </si>
  <si>
    <t>US Wireless Expansion</t>
  </si>
  <si>
    <t>4328</t>
  </si>
  <si>
    <t>GTO Minor Works - FY17</t>
  </si>
  <si>
    <t>4327</t>
  </si>
  <si>
    <t>ETO Minor Works - FY17</t>
  </si>
  <si>
    <t>4326</t>
  </si>
  <si>
    <t>NMPC Gas Transportation Service for Dual Fuel Electric Generators</t>
  </si>
  <si>
    <t>4325A</t>
  </si>
  <si>
    <t>CRM phase 2</t>
  </si>
  <si>
    <t>4325</t>
  </si>
  <si>
    <t>Transmission Stakeholder Intelligence</t>
  </si>
  <si>
    <t>4324</t>
  </si>
  <si>
    <t>Twenty First Century Communications - Frame Relay Replacement</t>
  </si>
  <si>
    <t>4323</t>
  </si>
  <si>
    <t>Mainframe Upgrade</t>
  </si>
  <si>
    <t>4322</t>
  </si>
  <si>
    <t>Piccadilly - Gas Distribution Network Sale</t>
  </si>
  <si>
    <t>4321</t>
  </si>
  <si>
    <t>Tata Consultancy Services (TCS) Shared Services Data Traffic Move</t>
  </si>
  <si>
    <t>4320</t>
  </si>
  <si>
    <t>Integrated Transmission Planning Regulation (ITPR) Data Compliance</t>
  </si>
  <si>
    <t>4319</t>
  </si>
  <si>
    <t>Regulatory Management and Rate Case Support</t>
  </si>
  <si>
    <t>HR Service Pack Upgrade 2018</t>
  </si>
  <si>
    <t>4318</t>
  </si>
  <si>
    <t>HR Service Pack 2016 Upgrade</t>
  </si>
  <si>
    <t>4317</t>
  </si>
  <si>
    <t>UK Wireless Expansion (2016)</t>
  </si>
  <si>
    <t>4316</t>
  </si>
  <si>
    <t>MultiMeter High Pressure Gas Regulator Inspection Tracking</t>
  </si>
  <si>
    <t>4315</t>
  </si>
  <si>
    <t>Gas Meter Fix Factor MITS - CSS Validation</t>
  </si>
  <si>
    <t>4314</t>
  </si>
  <si>
    <t>JCAPS Messaging Layer Replacement</t>
  </si>
  <si>
    <t>Shared Service</t>
  </si>
  <si>
    <t>4313</t>
  </si>
  <si>
    <t>Disconnect Notices</t>
  </si>
  <si>
    <t>4312</t>
  </si>
  <si>
    <t>UK Upgrade of Office Tools</t>
  </si>
  <si>
    <t>4311</t>
  </si>
  <si>
    <t>UK RSA Replatform</t>
  </si>
  <si>
    <t>4310</t>
  </si>
  <si>
    <t>UK Web Authentication</t>
  </si>
  <si>
    <t>4309</t>
  </si>
  <si>
    <t>ACER (Agency for the Cooperation of Energy Regulators) Inside Information Reporting</t>
  </si>
  <si>
    <t>Transmission - EPINS</t>
  </si>
  <si>
    <t>4308</t>
  </si>
  <si>
    <t>Electronic Bulletin Board (EBB) Gas Trading Day Schedule Changes - Feasibility and Analysis</t>
  </si>
  <si>
    <t>4307</t>
  </si>
  <si>
    <t>US Win 7 Refresh Phase 3: Assessment and Remediation</t>
  </si>
  <si>
    <t>4306</t>
  </si>
  <si>
    <t>Juniper Upgrade US</t>
  </si>
  <si>
    <t>4305</t>
  </si>
  <si>
    <t>Juniper Upgrade UK</t>
  </si>
  <si>
    <t>4304</t>
  </si>
  <si>
    <t>Enhanced Supplier Management</t>
  </si>
  <si>
    <t>4303</t>
  </si>
  <si>
    <t>Fleet and P2P Mobility</t>
  </si>
  <si>
    <t>4302</t>
  </si>
  <si>
    <t>Gas Regulator Inspection Program Upstate New York</t>
  </si>
  <si>
    <t>4301</t>
  </si>
  <si>
    <t>Verint Voice Recording system Hardware Replacement</t>
  </si>
  <si>
    <t>4300</t>
  </si>
  <si>
    <t>US Claims Riskmaster Full Upgrade</t>
  </si>
  <si>
    <t>4299</t>
  </si>
  <si>
    <t>Home Energy Services Solution RFP</t>
  </si>
  <si>
    <t>4298</t>
  </si>
  <si>
    <t>REV Clifton Park Demo Information Systems readiness</t>
  </si>
  <si>
    <t>4297</t>
  </si>
  <si>
    <t>TTCP (Transmission Technology Change Programme) GTO</t>
  </si>
  <si>
    <t>4296</t>
  </si>
  <si>
    <t>TTCP (Transmission Technology Change Programme) ETO</t>
  </si>
  <si>
    <t>4295</t>
  </si>
  <si>
    <t>TAX: Compliance System</t>
  </si>
  <si>
    <t>4294</t>
  </si>
  <si>
    <t>Gin Stabilisation</t>
  </si>
  <si>
    <t>4293</t>
  </si>
  <si>
    <t>Data Management Tools</t>
  </si>
  <si>
    <t>4292</t>
  </si>
  <si>
    <t>Capacity Exempt EDI notification for RI ESCO customers</t>
  </si>
  <si>
    <t>4291</t>
  </si>
  <si>
    <t>CSS Charge Type Expansion</t>
  </si>
  <si>
    <t>4290</t>
  </si>
  <si>
    <t>Tax Jurisdiction Validation</t>
  </si>
  <si>
    <t>4289</t>
  </si>
  <si>
    <t>US Network Improvements</t>
  </si>
  <si>
    <t>4288</t>
  </si>
  <si>
    <t>US Active Directory Data Cleanse</t>
  </si>
  <si>
    <t>4287</t>
  </si>
  <si>
    <t>US Active Directory Upgrade</t>
  </si>
  <si>
    <t>4286</t>
  </si>
  <si>
    <t>US Active Directory Remediation</t>
  </si>
  <si>
    <t>4285</t>
  </si>
  <si>
    <t>US Active Directory Upgrades</t>
  </si>
  <si>
    <t>4283</t>
  </si>
  <si>
    <t>US Capacity Management</t>
  </si>
  <si>
    <t>4282</t>
  </si>
  <si>
    <t>US Business Service Catalogue</t>
  </si>
  <si>
    <t>4281</t>
  </si>
  <si>
    <t>US VSTIG Upgrade Phase 3</t>
  </si>
  <si>
    <t>4280</t>
  </si>
  <si>
    <t>US VSTIG Upgrade - Phase 2</t>
  </si>
  <si>
    <t>4279A</t>
  </si>
  <si>
    <t>Citrix Rationalization - Full</t>
  </si>
  <si>
    <t>4279</t>
  </si>
  <si>
    <t>US Citrix Rationalisation</t>
  </si>
  <si>
    <t>4278</t>
  </si>
  <si>
    <t>US Improved Network Utilization Monitoring</t>
  </si>
  <si>
    <t>4277</t>
  </si>
  <si>
    <t>4276</t>
  </si>
  <si>
    <t>US VC service wrap</t>
  </si>
  <si>
    <t>4274</t>
  </si>
  <si>
    <t>VSTIG Reverse Proxy</t>
  </si>
  <si>
    <t>4273</t>
  </si>
  <si>
    <t>US Service Now - Password Resets</t>
  </si>
  <si>
    <t>4272</t>
  </si>
  <si>
    <t>US CSC server DNS changes</t>
  </si>
  <si>
    <t>4271</t>
  </si>
  <si>
    <t>US VC Room/Mobile Refresh</t>
  </si>
  <si>
    <t>4270</t>
  </si>
  <si>
    <t>US RSA Re-Platform/Mobile</t>
  </si>
  <si>
    <t>4269</t>
  </si>
  <si>
    <t>US RAS Re-Platform</t>
  </si>
  <si>
    <t>4268</t>
  </si>
  <si>
    <t>US Legacy email infrastructure</t>
  </si>
  <si>
    <t>4267</t>
  </si>
  <si>
    <t>US WAN bandwidth upgrades</t>
  </si>
  <si>
    <t>4266</t>
  </si>
  <si>
    <t>US Win 7 Refresh Phase 3</t>
  </si>
  <si>
    <t>4265</t>
  </si>
  <si>
    <t>US  Office 2010 upgrade</t>
  </si>
  <si>
    <t>4264</t>
  </si>
  <si>
    <t>US Application Performance Management</t>
  </si>
  <si>
    <t>4263</t>
  </si>
  <si>
    <t>US Web authentication upgrade</t>
  </si>
  <si>
    <t>4262</t>
  </si>
  <si>
    <t>US End of Life Hardware and Software refresh</t>
  </si>
  <si>
    <t>4261</t>
  </si>
  <si>
    <t>Service Now - 17/18 Continuous Improvement</t>
  </si>
  <si>
    <t>4260</t>
  </si>
  <si>
    <t>US Oracle Database Refresh</t>
  </si>
  <si>
    <t>4259</t>
  </si>
  <si>
    <t>UK CNI IS Code Management</t>
  </si>
  <si>
    <t>4258</t>
  </si>
  <si>
    <t>Governance Controls</t>
  </si>
  <si>
    <t>4257</t>
  </si>
  <si>
    <t>Change Management Capability</t>
  </si>
  <si>
    <t>4256</t>
  </si>
  <si>
    <t>Collaboration - Business Planning and Forecasting</t>
  </si>
  <si>
    <t>4255</t>
  </si>
  <si>
    <t>Customer Experience Enhancements</t>
  </si>
  <si>
    <t>4254B</t>
  </si>
  <si>
    <t>UK Business Services RPA Expansion</t>
  </si>
  <si>
    <t>4254</t>
  </si>
  <si>
    <t>Process Management &amp; Automation</t>
  </si>
  <si>
    <t>4253</t>
  </si>
  <si>
    <t>Application Management service maintenance</t>
  </si>
  <si>
    <t>4252</t>
  </si>
  <si>
    <t>Improved network Utlisation monitoring</t>
  </si>
  <si>
    <t>4251</t>
  </si>
  <si>
    <t>Service Desk Improvements</t>
  </si>
  <si>
    <t>4250</t>
  </si>
  <si>
    <t>Application Management Service Improvements</t>
  </si>
  <si>
    <t>4249</t>
  </si>
  <si>
    <t>Office 365 - Sharepoint Migration</t>
  </si>
  <si>
    <t>4248</t>
  </si>
  <si>
    <t>4G LTE</t>
  </si>
  <si>
    <t>4247</t>
  </si>
  <si>
    <t>Operations Performance Management, Data Management and Reporting</t>
  </si>
  <si>
    <t>4246</t>
  </si>
  <si>
    <t>Reduce Free Text Orders for Stock Materials</t>
  </si>
  <si>
    <t>4245</t>
  </si>
  <si>
    <t>Optimize Demand and Supply Planning</t>
  </si>
  <si>
    <t>4244</t>
  </si>
  <si>
    <t>US Control-Electronic Bulletin Board (EBB) Gas Trading Day Changes</t>
  </si>
  <si>
    <t>4243</t>
  </si>
  <si>
    <t>SAP Self Sufficiency</t>
  </si>
  <si>
    <t>4242</t>
  </si>
  <si>
    <t>Optimize SAP Self-Service</t>
  </si>
  <si>
    <t>4241</t>
  </si>
  <si>
    <t>Automate LOA (Leave of Absence) and FMLA  (Family Medical Leavers Act) Processes</t>
  </si>
  <si>
    <t>4240</t>
  </si>
  <si>
    <t>New Online Safety Data Sheet Tool</t>
  </si>
  <si>
    <t>4239</t>
  </si>
  <si>
    <t>Modify HR Feed for Third Party Vendor Sick time Tracking</t>
  </si>
  <si>
    <t>4238</t>
  </si>
  <si>
    <t>CES IS Solution Project</t>
  </si>
  <si>
    <t>4237</t>
  </si>
  <si>
    <t>Gas Outage Management System (GOMS) FY17</t>
  </si>
  <si>
    <t>4236</t>
  </si>
  <si>
    <t>TCS (Tata Consultancy Services) Offshore Application Upgrade</t>
  </si>
  <si>
    <t>4235</t>
  </si>
  <si>
    <t>NGIC Minor Works Budget</t>
  </si>
  <si>
    <t>4234</t>
  </si>
  <si>
    <t>NSN - Futute projects Mobility and Expansion</t>
  </si>
  <si>
    <t>4233</t>
  </si>
  <si>
    <t>NGIC - Network Infrastructure New and Improvements</t>
  </si>
  <si>
    <t>4232</t>
  </si>
  <si>
    <t>Britned Minor Works Budget</t>
  </si>
  <si>
    <t>4231</t>
  </si>
  <si>
    <t>Operational and Safety Messaging</t>
  </si>
  <si>
    <t>4230</t>
  </si>
  <si>
    <t>NGM - Large Work Requests /RFCs (small projects) (I&amp;C)</t>
  </si>
  <si>
    <t>4229</t>
  </si>
  <si>
    <t>Pre-Sanction Fund (I&amp;C)</t>
  </si>
  <si>
    <t>4228</t>
  </si>
  <si>
    <t>SAP Portal (I&amp;C)</t>
  </si>
  <si>
    <t>4227</t>
  </si>
  <si>
    <t>SAP Phoenix Upgrade</t>
  </si>
  <si>
    <t>4226</t>
  </si>
  <si>
    <t>Ariba Updates</t>
  </si>
  <si>
    <t>4225</t>
  </si>
  <si>
    <t>Ancillary SAP Application Updates</t>
  </si>
  <si>
    <t>4224</t>
  </si>
  <si>
    <t>High Performance Analytics Appliance (HANA) - annual</t>
  </si>
  <si>
    <t>4223</t>
  </si>
  <si>
    <t>USFP Business Objects Environment (BOE) Update - annual</t>
  </si>
  <si>
    <t>4222</t>
  </si>
  <si>
    <t>GRC Upgrade</t>
  </si>
  <si>
    <t>4221</t>
  </si>
  <si>
    <t>Process and performance reporting improvements</t>
  </si>
  <si>
    <t>4220</t>
  </si>
  <si>
    <t>PowerPlan Module Enhancements</t>
  </si>
  <si>
    <t>4219</t>
  </si>
  <si>
    <t>PowerPlan Upgrade</t>
  </si>
  <si>
    <t>4218</t>
  </si>
  <si>
    <t>Blanket Work Orders Pilot</t>
  </si>
  <si>
    <t>4217</t>
  </si>
  <si>
    <t>BPC - HANA</t>
  </si>
  <si>
    <t>4216</t>
  </si>
  <si>
    <t>Eliminate SSN from Customer Systems</t>
  </si>
  <si>
    <t>4215</t>
  </si>
  <si>
    <t>Rhode Island Bill Combine</t>
  </si>
  <si>
    <t>4214</t>
  </si>
  <si>
    <t>FERC Wholesale Customer System Replacement</t>
  </si>
  <si>
    <t>4213</t>
  </si>
  <si>
    <t>Optimising Automatic Repair Scheduling</t>
  </si>
  <si>
    <t>4212</t>
  </si>
  <si>
    <t>Collection Agency RFP</t>
  </si>
  <si>
    <t>4211</t>
  </si>
  <si>
    <t>Regulatory Gap Analysis</t>
  </si>
  <si>
    <t>4210</t>
  </si>
  <si>
    <t>Protections: Mass Protections to collection handling code</t>
  </si>
  <si>
    <t>4209</t>
  </si>
  <si>
    <t>Billing Systems Consolidation</t>
  </si>
  <si>
    <t>4208</t>
  </si>
  <si>
    <t>Customer Systems Regulatory &amp; Operational Mandates - FY17</t>
  </si>
  <si>
    <t>4207</t>
  </si>
  <si>
    <t>Mandated Customer Systems Projects - FY17</t>
  </si>
  <si>
    <t>4206</t>
  </si>
  <si>
    <t>Wellbeing</t>
  </si>
  <si>
    <t>4205</t>
  </si>
  <si>
    <t>Integrated SHE Reporting</t>
  </si>
  <si>
    <t>4204</t>
  </si>
  <si>
    <t>SHE Incident Management</t>
  </si>
  <si>
    <t>4203</t>
  </si>
  <si>
    <t>SHE Mobility</t>
  </si>
  <si>
    <t>4202</t>
  </si>
  <si>
    <t>MYIS enhancements</t>
  </si>
  <si>
    <t>4201</t>
  </si>
  <si>
    <t>CDSA Task</t>
  </si>
  <si>
    <t>4200</t>
  </si>
  <si>
    <t>Electricity Market Communication Links</t>
  </si>
  <si>
    <t>MODIS System Hardening 3</t>
  </si>
  <si>
    <t>MODIS System Hardening Phase 2</t>
  </si>
  <si>
    <t>4199</t>
  </si>
  <si>
    <t>MODIS Refresh</t>
  </si>
  <si>
    <t>4198</t>
  </si>
  <si>
    <t>NIC and NIA productionisation</t>
  </si>
  <si>
    <t>4197</t>
  </si>
  <si>
    <t>Windows and Associated Software upgrades</t>
  </si>
  <si>
    <t>4196</t>
  </si>
  <si>
    <t>Energy Efficiency Power Program Data for KEDNY and KEDLI</t>
  </si>
  <si>
    <t>4195</t>
  </si>
  <si>
    <t>GridForce Connection Security Upgrade</t>
  </si>
  <si>
    <t>4194</t>
  </si>
  <si>
    <t>Purchased Customer Email Import to CRIS and CSS</t>
  </si>
  <si>
    <t>4193</t>
  </si>
  <si>
    <t>RI Street Light Metering Pilot</t>
  </si>
  <si>
    <t>4192</t>
  </si>
  <si>
    <t>Windows 2000 Web Servers Security Risk Mitigation</t>
  </si>
  <si>
    <t>4191</t>
  </si>
  <si>
    <t>US CNI EMS NY/NE-Transmission Outage Application (TOA) End-of-Life Replacement</t>
  </si>
  <si>
    <t>4190</t>
  </si>
  <si>
    <t>US CNI EMS and OMS-Critical Component System Refresh</t>
  </si>
  <si>
    <t>4189</t>
  </si>
  <si>
    <t>CSM Minor Works</t>
  </si>
  <si>
    <t>4188</t>
  </si>
  <si>
    <t>Ageing System Stabilization/Upgrades</t>
  </si>
  <si>
    <t>4187</t>
  </si>
  <si>
    <t>Construction Database for Gas Contractor Work</t>
  </si>
  <si>
    <t>4186</t>
  </si>
  <si>
    <t>Mandated Customer Choice Systems Projects</t>
  </si>
  <si>
    <t>4185</t>
  </si>
  <si>
    <t>Customer and Digital Operational Mandates - FY17</t>
  </si>
  <si>
    <t>4184</t>
  </si>
  <si>
    <t>Network Strategy Minor Works - FY17</t>
  </si>
  <si>
    <t>4183</t>
  </si>
  <si>
    <t>KEDNY Automatic Meter Reading Project  -  Field Deployment Manager Interface to Customer Relations System</t>
  </si>
  <si>
    <t>4182</t>
  </si>
  <si>
    <t>Safety Processes SLAs Review</t>
  </si>
  <si>
    <t>4181</t>
  </si>
  <si>
    <t>Tx SAP PI Upgrade</t>
  </si>
  <si>
    <t>4180</t>
  </si>
  <si>
    <t>Experian Upgrade</t>
  </si>
  <si>
    <t>4179</t>
  </si>
  <si>
    <t>Main Control Point (MCP) Replacement</t>
  </si>
  <si>
    <t>4178</t>
  </si>
  <si>
    <t>Strategic Demand Side Review</t>
  </si>
  <si>
    <t>4177</t>
  </si>
  <si>
    <t>Web Digital Transformation</t>
  </si>
  <si>
    <t>4176</t>
  </si>
  <si>
    <t>Operations Minor Works - FY17</t>
  </si>
  <si>
    <t>4175</t>
  </si>
  <si>
    <t>Operations Infrastructure Improvements - FY17</t>
  </si>
  <si>
    <t>4174</t>
  </si>
  <si>
    <t>Network DNS Migration - IPAM</t>
  </si>
  <si>
    <t>4173</t>
  </si>
  <si>
    <t>Negative Reserve Dispatch and Monitoring</t>
  </si>
  <si>
    <t>Transmission – EPINS</t>
  </si>
  <si>
    <t>4172</t>
  </si>
  <si>
    <t>Cross Company Customer System Enhancements</t>
  </si>
  <si>
    <t>4171</t>
  </si>
  <si>
    <t>Enhancement Release - EHR-NUB</t>
  </si>
  <si>
    <t>4170</t>
  </si>
  <si>
    <t>Time Entry and Approval Improvements</t>
  </si>
  <si>
    <t>4169</t>
  </si>
  <si>
    <t>Enhancement Release - EHR-SCM</t>
  </si>
  <si>
    <t>4168</t>
  </si>
  <si>
    <t>Security &amp; Controls</t>
  </si>
  <si>
    <t>4167</t>
  </si>
  <si>
    <t>Application Asset Health</t>
  </si>
  <si>
    <t>4166</t>
  </si>
  <si>
    <t>Infrastructure Asset Health</t>
  </si>
  <si>
    <t>4165</t>
  </si>
  <si>
    <t>Enhancement Release - EHR-Xfunc</t>
  </si>
  <si>
    <t>4164</t>
  </si>
  <si>
    <t>Global HR Strategy Roadmap / SDC component</t>
  </si>
  <si>
    <t>4163</t>
  </si>
  <si>
    <t>Enhancement Release - EHR-RTR</t>
  </si>
  <si>
    <t>4162</t>
  </si>
  <si>
    <t>Global Treasury Strategy</t>
  </si>
  <si>
    <t>4161</t>
  </si>
  <si>
    <t>Automate Remote Net Metering - NE</t>
  </si>
  <si>
    <t>4160</t>
  </si>
  <si>
    <t>North Sea Network  (NSN) - VC Capability at 35 Homer Road</t>
  </si>
  <si>
    <t>4159</t>
  </si>
  <si>
    <t>Nemo - Network Bus Lan and VC Capability (London Office)</t>
  </si>
  <si>
    <t>4158</t>
  </si>
  <si>
    <t>Wireless LAN management tools</t>
  </si>
  <si>
    <t>4157</t>
  </si>
  <si>
    <t>WAN Bandwidth Upgrades</t>
  </si>
  <si>
    <t>4156</t>
  </si>
  <si>
    <t>Digital Asset Management</t>
  </si>
  <si>
    <t>4155</t>
  </si>
  <si>
    <t>Training Manager Pro Replacement</t>
  </si>
  <si>
    <t>4154</t>
  </si>
  <si>
    <t>Windows 7 Application Refresh Project</t>
  </si>
  <si>
    <t>4153</t>
  </si>
  <si>
    <t>Citrix rationalisation</t>
  </si>
  <si>
    <t>4152</t>
  </si>
  <si>
    <t>Legacy Infrastructure decommissioning</t>
  </si>
  <si>
    <t>4151</t>
  </si>
  <si>
    <t>Contract Management Modernization</t>
  </si>
  <si>
    <t>4150</t>
  </si>
  <si>
    <t>WEB: Web Minor Works</t>
  </si>
  <si>
    <t>Web Solutions</t>
  </si>
  <si>
    <t>4149</t>
  </si>
  <si>
    <t>WEB: Web Transformation</t>
  </si>
  <si>
    <t>4148</t>
  </si>
  <si>
    <t>Data Centre Decommission</t>
  </si>
  <si>
    <t>4147</t>
  </si>
  <si>
    <t>Global Risk &amp; Compliance</t>
  </si>
  <si>
    <t>4146</t>
  </si>
  <si>
    <t>Corporate Affairs Communication Management</t>
  </si>
  <si>
    <t>4145</t>
  </si>
  <si>
    <t>Corporate Affairs Stakeholder Engagement Management</t>
  </si>
  <si>
    <t>4144</t>
  </si>
  <si>
    <t>YouConnect now</t>
  </si>
  <si>
    <t>4143</t>
  </si>
  <si>
    <t>UK Legal e-Billing System</t>
  </si>
  <si>
    <t>4142</t>
  </si>
  <si>
    <t>Treasury Systems Maintenance</t>
  </si>
  <si>
    <t>4141</t>
  </si>
  <si>
    <t>Portfolio and Programme Management Improvements</t>
  </si>
  <si>
    <t>4140</t>
  </si>
  <si>
    <t>OpenText Migration</t>
  </si>
  <si>
    <t>4139</t>
  </si>
  <si>
    <t>Customer Interaction Channels</t>
  </si>
  <si>
    <t>4138</t>
  </si>
  <si>
    <t>UK CNI Networks - Gas Network Time Protocol</t>
  </si>
  <si>
    <t>IS - Infrastructure</t>
  </si>
  <si>
    <t>IS Finance</t>
  </si>
  <si>
    <t>4137</t>
  </si>
  <si>
    <t>Massachusetts Retail Access Mandates</t>
  </si>
  <si>
    <t>4136</t>
  </si>
  <si>
    <t>Digsafe Replacement - NE</t>
  </si>
  <si>
    <t>4135</t>
  </si>
  <si>
    <t>Management of Change (MoC) System for Critical Assets</t>
  </si>
  <si>
    <t>4134</t>
  </si>
  <si>
    <t>4133</t>
  </si>
  <si>
    <t>LI Stabilization</t>
  </si>
  <si>
    <t>4132</t>
  </si>
  <si>
    <t>IS Environment Investment</t>
  </si>
  <si>
    <t>Gas Distribution &amp; Shared Services</t>
  </si>
  <si>
    <t>4131</t>
  </si>
  <si>
    <t>Small Team Shift Planning App</t>
  </si>
  <si>
    <t>4130</t>
  </si>
  <si>
    <t>Regression Testing of Mobile Apps</t>
  </si>
  <si>
    <t>4129</t>
  </si>
  <si>
    <t>Tata Consultancy Services (TCS) Citrix Feasibility &amp; Analysis</t>
  </si>
  <si>
    <t>4128</t>
  </si>
  <si>
    <t>Tata Consultancy Services (TCS) Telephony Feasibility &amp; Analysis</t>
  </si>
  <si>
    <t>4127</t>
  </si>
  <si>
    <t>Shared Services Test Automation</t>
  </si>
  <si>
    <t>4126</t>
  </si>
  <si>
    <t>New Interconnector Market Model</t>
  </si>
  <si>
    <t>4125</t>
  </si>
  <si>
    <t>Windows XP Remediation (US Only)</t>
  </si>
  <si>
    <t>4124</t>
  </si>
  <si>
    <t>Automate Remote Net Metering</t>
  </si>
  <si>
    <t>4123</t>
  </si>
  <si>
    <t>UK CNI Networks - Intrusion Detection System - Phase 3</t>
  </si>
  <si>
    <t>4122</t>
  </si>
  <si>
    <t>Global Governance, Risk and Compliance - Technical Upgrade</t>
  </si>
  <si>
    <t>4121</t>
  </si>
  <si>
    <t>Global Governance, Risk and Compliance - Phase 2</t>
  </si>
  <si>
    <t>4120</t>
  </si>
  <si>
    <t>Void</t>
  </si>
  <si>
    <t>4119</t>
  </si>
  <si>
    <t>AMR Opt-Out Charges Automation</t>
  </si>
  <si>
    <t>Mandate</t>
  </si>
  <si>
    <t>4118</t>
  </si>
  <si>
    <t>UK CNI Networks - TACACS Refresh</t>
  </si>
  <si>
    <t>4117</t>
  </si>
  <si>
    <t>UK CNI Networks - Gas Gateway Firewall Management</t>
  </si>
  <si>
    <t>4116</t>
  </si>
  <si>
    <t>UK CNI Networks - RSA Refresh</t>
  </si>
  <si>
    <t>4115</t>
  </si>
  <si>
    <t>Customer Systems Regulatory &amp; Operational Mandates</t>
  </si>
  <si>
    <t>4114</t>
  </si>
  <si>
    <t>Safe Control of Operations (SCO) Database Upgrade or Replacement</t>
  </si>
  <si>
    <t>4113</t>
  </si>
  <si>
    <t>Policy and Compliance-CIP v5 Substation Reporting Site and DB</t>
  </si>
  <si>
    <t>4112</t>
  </si>
  <si>
    <t>4111</t>
  </si>
  <si>
    <t>Energy Efficiency Business Objects Reporting Upgrade</t>
  </si>
  <si>
    <t>4110</t>
  </si>
  <si>
    <t>IS Assets Electrical Testing</t>
  </si>
  <si>
    <t>4109</t>
  </si>
  <si>
    <t>ENERGY STAR Portfolio Manager Service</t>
  </si>
  <si>
    <t>4108</t>
  </si>
  <si>
    <t>4107</t>
  </si>
  <si>
    <t>4G Lte ETAM Substation Pilot</t>
  </si>
  <si>
    <t>4106</t>
  </si>
  <si>
    <t>Feasibility and Analysis for Priority Calls (Wires Down)</t>
  </si>
  <si>
    <t>4105</t>
  </si>
  <si>
    <t>Engineering Policy Transformation Project</t>
  </si>
  <si>
    <t>4104</t>
  </si>
  <si>
    <t>iRestore First Responder App</t>
  </si>
  <si>
    <t>4103</t>
  </si>
  <si>
    <t>Cross Border Intraday (XBID)</t>
  </si>
  <si>
    <t>4102</t>
  </si>
  <si>
    <t>Mobile Capture of Plastic Fusion Data</t>
  </si>
  <si>
    <t>4101</t>
  </si>
  <si>
    <t>VCharge Demand Management</t>
  </si>
  <si>
    <t>4100</t>
  </si>
  <si>
    <t>Ericson Last Time Buy</t>
  </si>
  <si>
    <t>4099</t>
  </si>
  <si>
    <t>4098</t>
  </si>
  <si>
    <t>4097</t>
  </si>
  <si>
    <t>Data and Document Management</t>
  </si>
  <si>
    <t>National Grid Property</t>
  </si>
  <si>
    <t>4096</t>
  </si>
  <si>
    <t>Rhode Island Gas Transportation System</t>
  </si>
  <si>
    <t>4095</t>
  </si>
  <si>
    <t>Spanish Routing IVR for Northboro Electric Center</t>
  </si>
  <si>
    <t>4094</t>
  </si>
  <si>
    <t>Mandated Customer Systems Projects - FY16</t>
  </si>
  <si>
    <t>4093</t>
  </si>
  <si>
    <t>BPM PoC (Business Process Management  Proof of Concept)</t>
  </si>
  <si>
    <t>4092</t>
  </si>
  <si>
    <t>OTC Telephony</t>
  </si>
  <si>
    <t>4091</t>
  </si>
  <si>
    <t>4090</t>
  </si>
  <si>
    <t>Source to Pay Technology Roadmap</t>
  </si>
  <si>
    <t>4089</t>
  </si>
  <si>
    <t>OpTel New Product Type Registration</t>
  </si>
  <si>
    <t>4088</t>
  </si>
  <si>
    <t>Ericsson Last Time Buy</t>
  </si>
  <si>
    <t>4087</t>
  </si>
  <si>
    <t>UK Finance &amp; Shared Services Data Remediation</t>
  </si>
  <si>
    <t>4086</t>
  </si>
  <si>
    <t>TNS Gas Transportation Charging Model</t>
  </si>
  <si>
    <t>4085</t>
  </si>
  <si>
    <t>Sellindge Network Readiness for MCP replacement</t>
  </si>
  <si>
    <t>4084</t>
  </si>
  <si>
    <t>ICCP links with RTE</t>
  </si>
  <si>
    <t>4083</t>
  </si>
  <si>
    <t>Rational Hosting and Support</t>
  </si>
  <si>
    <t>4082</t>
  </si>
  <si>
    <t>Focal Point Phase 2</t>
  </si>
  <si>
    <t>4081</t>
  </si>
  <si>
    <t>Trading Systems</t>
  </si>
  <si>
    <t>4080</t>
  </si>
  <si>
    <t>RAM Upgrade (BritNed)</t>
  </si>
  <si>
    <t>4079</t>
  </si>
  <si>
    <t>Operational and Safety Messaging Solution (NGIC)</t>
  </si>
  <si>
    <t>4078</t>
  </si>
  <si>
    <t>Service Delivery Tools refresh</t>
  </si>
  <si>
    <t>4077A</t>
  </si>
  <si>
    <t>4077</t>
  </si>
  <si>
    <t>STIG upgrade</t>
  </si>
  <si>
    <t>4076</t>
  </si>
  <si>
    <t>Project TransmiT</t>
  </si>
  <si>
    <t>4075</t>
  </si>
  <si>
    <t>Executive Inquiries and Complaints</t>
  </si>
  <si>
    <t>4074</t>
  </si>
  <si>
    <t>Massachusetts DPU 4 Hour Appointment Window Mandate</t>
  </si>
  <si>
    <t>4073</t>
  </si>
  <si>
    <t>Purchase Order Approval App</t>
  </si>
  <si>
    <t>4072</t>
  </si>
  <si>
    <t>Citrix Refresh Feasibility &amp; Analysis</t>
  </si>
  <si>
    <t>4071</t>
  </si>
  <si>
    <t>NSN New Company Code</t>
  </si>
  <si>
    <t>4070</t>
  </si>
  <si>
    <t>Corrosion Control Work Record Site</t>
  </si>
  <si>
    <t>4069</t>
  </si>
  <si>
    <t>Greenpoint National Grid warehouse</t>
  </si>
  <si>
    <t>4068</t>
  </si>
  <si>
    <t>IS Project Rooms</t>
  </si>
  <si>
    <t>4067</t>
  </si>
  <si>
    <t>Capped Salary Automation</t>
  </si>
  <si>
    <t>4066</t>
  </si>
  <si>
    <t>Field Force Helpdesk - IOS support</t>
  </si>
  <si>
    <t>4065</t>
  </si>
  <si>
    <t>UK Finance POC</t>
  </si>
  <si>
    <t>4064</t>
  </si>
  <si>
    <t>Smart Metering</t>
  </si>
  <si>
    <t>4063</t>
  </si>
  <si>
    <t>UK Link Replacement Project</t>
  </si>
  <si>
    <t>4062</t>
  </si>
  <si>
    <t>E&amp;I Enduring Solution</t>
  </si>
  <si>
    <t>4061</t>
  </si>
  <si>
    <t>Business Impact Analysis Tool for Resilience Team</t>
  </si>
  <si>
    <t>4060</t>
  </si>
  <si>
    <t>Data Centre Rationalisation</t>
  </si>
  <si>
    <t>4059</t>
  </si>
  <si>
    <t>LightLink Digital Signage for the Gas Lead Intake Contact Center</t>
  </si>
  <si>
    <t>4058</t>
  </si>
  <si>
    <t>Corporate IS Technical - Minor Works FY17</t>
  </si>
  <si>
    <t>4057</t>
  </si>
  <si>
    <t>Tim Tam – Web Seal Remediation</t>
  </si>
  <si>
    <t>4056</t>
  </si>
  <si>
    <t>Outdoor WiFi for 2 RI Sites - Minor Works</t>
  </si>
  <si>
    <t>4055</t>
  </si>
  <si>
    <t>RI Renewable Energy Growth Program</t>
  </si>
  <si>
    <t>4054</t>
  </si>
  <si>
    <t>UK CNI Strategic Data Centre Provision</t>
  </si>
  <si>
    <t>4053</t>
  </si>
  <si>
    <t>Transfer of Optel Network to OPGW</t>
  </si>
  <si>
    <t>4052</t>
  </si>
  <si>
    <t>Safety and Technical Competency Replacement</t>
  </si>
  <si>
    <t>4051</t>
  </si>
  <si>
    <t>EAGLES Increased Capacity</t>
  </si>
  <si>
    <t>4050</t>
  </si>
  <si>
    <t>Network Strategy - FY16 Minor Works</t>
  </si>
  <si>
    <t>4049</t>
  </si>
  <si>
    <t>Melville CAC - AMAG Servers Relocation</t>
  </si>
  <si>
    <t>4048</t>
  </si>
  <si>
    <t>Internet Mandated Items - FY16 Minor Works</t>
  </si>
  <si>
    <t>4047</t>
  </si>
  <si>
    <t>Customer and Digital - FY16 Minor Works</t>
  </si>
  <si>
    <t>4046</t>
  </si>
  <si>
    <t>Google Anlaytics</t>
  </si>
  <si>
    <t>4045</t>
  </si>
  <si>
    <t>Double Pole Management Database upgrade</t>
  </si>
  <si>
    <t>4044</t>
  </si>
  <si>
    <t>US Control-Wires Down Regulatory Compliance</t>
  </si>
  <si>
    <t>4043</t>
  </si>
  <si>
    <t>Community Investment Matched Giving and Donating Online System</t>
  </si>
  <si>
    <t>4042</t>
  </si>
  <si>
    <t>CIAP Customer Data warehouse optimization</t>
  </si>
  <si>
    <t>4041</t>
  </si>
  <si>
    <t>Operations - FY16 Minor Works</t>
  </si>
  <si>
    <t>4040</t>
  </si>
  <si>
    <t>4039</t>
  </si>
  <si>
    <t>Field Force Helpdesk - Transmission</t>
  </si>
  <si>
    <t>GD Minor Works - 16/17</t>
  </si>
  <si>
    <t>4038</t>
  </si>
  <si>
    <t>Other (Gas Distribution)</t>
  </si>
  <si>
    <t>4037</t>
  </si>
  <si>
    <t>Metering Activities</t>
  </si>
  <si>
    <t>4036</t>
  </si>
  <si>
    <t>Commercial Operations</t>
  </si>
  <si>
    <t>4035</t>
  </si>
  <si>
    <t>Customer Interaction &amp; Billing</t>
  </si>
  <si>
    <t>4034</t>
  </si>
  <si>
    <t>MI, Reporting, Analytics &amp; Performance Management</t>
  </si>
  <si>
    <t>4033</t>
  </si>
  <si>
    <t>Business Continuity &amp; Incident Management</t>
  </si>
  <si>
    <t>Mk8 Toughbooks Procurement</t>
  </si>
  <si>
    <t>4032B</t>
  </si>
  <si>
    <t>iOS Upgrade 2016</t>
  </si>
  <si>
    <t>4032A</t>
  </si>
  <si>
    <t>4032</t>
  </si>
  <si>
    <t>Work Execution &amp; Data Capture</t>
  </si>
  <si>
    <t>4031</t>
  </si>
  <si>
    <t>Work Scheduling &amp; Dispatch</t>
  </si>
  <si>
    <t>4030</t>
  </si>
  <si>
    <t>Resource Planning &amp; Forecasting</t>
  </si>
  <si>
    <t>4029</t>
  </si>
  <si>
    <t>System Operation</t>
  </si>
  <si>
    <t>4028</t>
  </si>
  <si>
    <t>Asset Design</t>
  </si>
  <si>
    <t>4027C</t>
  </si>
  <si>
    <t>NOMs Methodology</t>
  </si>
  <si>
    <t>4027</t>
  </si>
  <si>
    <t>4026</t>
  </si>
  <si>
    <t>SS - Customer - FY16 Minor Works</t>
  </si>
  <si>
    <t>4025</t>
  </si>
  <si>
    <t>FSS&amp;C - FY16 Minor Works</t>
  </si>
  <si>
    <t>4024</t>
  </si>
  <si>
    <t>Soft Off Program</t>
  </si>
  <si>
    <t>4023</t>
  </si>
  <si>
    <t>US Global Security TWIC Compliance</t>
  </si>
  <si>
    <t>4022</t>
  </si>
  <si>
    <t>Commercial Property document management</t>
  </si>
  <si>
    <t>4021</t>
  </si>
  <si>
    <t>Application Portfolio Optimisation</t>
  </si>
  <si>
    <t>4020</t>
  </si>
  <si>
    <t>SAP Portal</t>
  </si>
  <si>
    <t>4019</t>
  </si>
  <si>
    <t>DR Testing SAP Rainbow</t>
  </si>
  <si>
    <t>4018</t>
  </si>
  <si>
    <t>Integrated AMR</t>
  </si>
  <si>
    <t>4017</t>
  </si>
  <si>
    <t>AMR Stack Upgrade</t>
  </si>
  <si>
    <t>4016</t>
  </si>
  <si>
    <t>Future products &amp; services</t>
  </si>
  <si>
    <t>4015</t>
  </si>
  <si>
    <t>Commercial Mgmt System</t>
  </si>
  <si>
    <t>4014A</t>
  </si>
  <si>
    <t>UK Data Link replacement update in Automated Meter Reads (AMR) System</t>
  </si>
  <si>
    <t>4014</t>
  </si>
  <si>
    <t>Gas Day Change</t>
  </si>
  <si>
    <t>4013</t>
  </si>
  <si>
    <t>QTON Domestic U6</t>
  </si>
  <si>
    <t>4012</t>
  </si>
  <si>
    <t>Telephony updates / expansion</t>
  </si>
  <si>
    <t>4011</t>
  </si>
  <si>
    <t>Logistics Technology Roadmap</t>
  </si>
  <si>
    <t>4010</t>
  </si>
  <si>
    <t>Starters, Leavers, Movers</t>
  </si>
  <si>
    <t>4009</t>
  </si>
  <si>
    <t>Gas Commercial Frameworks</t>
  </si>
  <si>
    <t>GSO</t>
  </si>
  <si>
    <t>4008</t>
  </si>
  <si>
    <t>Global HR New Capabilities</t>
  </si>
  <si>
    <t>4007</t>
  </si>
  <si>
    <t>Capability Diagnostic Phase II</t>
  </si>
  <si>
    <t>4006</t>
  </si>
  <si>
    <t>Electronic Highway</t>
  </si>
  <si>
    <t>4005</t>
  </si>
  <si>
    <t>Talent Management</t>
  </si>
  <si>
    <t>4004</t>
  </si>
  <si>
    <t>DR&amp;S Minor Projects</t>
  </si>
  <si>
    <t>4003</t>
  </si>
  <si>
    <t>UPS Replacement for Data Communication Closets</t>
  </si>
  <si>
    <t>4002</t>
  </si>
  <si>
    <t>Application Portfolio Optimization</t>
  </si>
  <si>
    <t>4001A</t>
  </si>
  <si>
    <t>4001</t>
  </si>
  <si>
    <t>4000</t>
  </si>
  <si>
    <t>Maintain SOE</t>
  </si>
  <si>
    <t>3999B</t>
  </si>
  <si>
    <t>Office 365 (US)</t>
  </si>
  <si>
    <t>3999A</t>
  </si>
  <si>
    <t>IRIS Program Definition Phase (US)</t>
  </si>
  <si>
    <t>3999</t>
  </si>
  <si>
    <t>IRIS Programme (Global)</t>
  </si>
  <si>
    <t>3998</t>
  </si>
  <si>
    <t>Mobility - Bring Your Own Device (BYOD)</t>
  </si>
  <si>
    <t>3994</t>
  </si>
  <si>
    <t>Optimize Solution Strategy for Asset Lifecycle Management</t>
  </si>
  <si>
    <t>3986</t>
  </si>
  <si>
    <t>Cascade Electric Application Upgrade Project</t>
  </si>
  <si>
    <t>Electric</t>
  </si>
  <si>
    <t>3985</t>
  </si>
  <si>
    <t>Document Management System Replacement</t>
  </si>
  <si>
    <t>3982</t>
  </si>
  <si>
    <t>dobleARMS</t>
  </si>
  <si>
    <t>Transmission</t>
  </si>
  <si>
    <t>3976</t>
  </si>
  <si>
    <t>IDS Next Generation 2.0</t>
  </si>
  <si>
    <t>3973</t>
  </si>
  <si>
    <t>Load Software Relational database</t>
  </si>
  <si>
    <t>3970</t>
  </si>
  <si>
    <t>US CNI NY EMS-Conversion to MPLS</t>
  </si>
  <si>
    <t>NS - US CNI</t>
  </si>
  <si>
    <t>3969</t>
  </si>
  <si>
    <t>US CNI</t>
  </si>
  <si>
    <t>3960</t>
  </si>
  <si>
    <t>CAS to CSS Operations Beddown Items</t>
  </si>
  <si>
    <t>3958</t>
  </si>
  <si>
    <t>Strategic Document Management System Implementation - Phase 1 or Teamcenter Upgrade</t>
  </si>
  <si>
    <t>3956</t>
  </si>
  <si>
    <t>WiFi for Fleet Services Diagnostic Laptops</t>
  </si>
  <si>
    <t>3955</t>
  </si>
  <si>
    <t>EJ Ward Upgrade</t>
  </si>
  <si>
    <t>3949</t>
  </si>
  <si>
    <t>Gas Service Database - UNY</t>
  </si>
  <si>
    <t>3948</t>
  </si>
  <si>
    <t>Gas Service Database - LI</t>
  </si>
  <si>
    <t>3941</t>
  </si>
  <si>
    <t>Distributed Generation Application Tracking</t>
  </si>
  <si>
    <t>3932</t>
  </si>
  <si>
    <t>Customer Contact Center Technology Upgrade Implement Solution</t>
  </si>
  <si>
    <t>3931</t>
  </si>
  <si>
    <t>ESO Mobile App development</t>
  </si>
  <si>
    <t>3930</t>
  </si>
  <si>
    <t>3929</t>
  </si>
  <si>
    <t>Data Capture Project - external law costs</t>
  </si>
  <si>
    <t>3928</t>
  </si>
  <si>
    <t>Sharesave Single sign-on</t>
  </si>
  <si>
    <t>3924</t>
  </si>
  <si>
    <t>Host Transition - Support of Tsystems Transition (Host Datacenter SAP &amp; PowerPlan)</t>
  </si>
  <si>
    <t>3922</t>
  </si>
  <si>
    <t>Access Violation Management - Deploy SAP Access Violation Mgt to Support Control / Compliance and Manage Risk</t>
  </si>
  <si>
    <t>3918</t>
  </si>
  <si>
    <t>Regulatory Requirements - Deploy Solutions to Meet Evolving Regulatory Mandates</t>
  </si>
  <si>
    <t>3917</t>
  </si>
  <si>
    <t>Minor Works - Minor Works and Change Requests</t>
  </si>
  <si>
    <t>3915</t>
  </si>
  <si>
    <t>Annual HR &amp; Payroll Mandatory Service Pack Upgrade (HRSP)</t>
  </si>
  <si>
    <t>3914</t>
  </si>
  <si>
    <t>Bill Print Facility Relocation Project</t>
  </si>
  <si>
    <t>3913</t>
  </si>
  <si>
    <t>Tax Certification Tool Replacement</t>
  </si>
  <si>
    <t>3910</t>
  </si>
  <si>
    <t>Legal Hold System Hardware and Software Upgrades</t>
  </si>
  <si>
    <t>3907</t>
  </si>
  <si>
    <t>Gas Traders - Hardware &amp; Network Contingency - Operations, Gas Transmission</t>
  </si>
  <si>
    <t>3906</t>
  </si>
  <si>
    <t>Procuring Field Devices for Non-direct Staff - Operations, Gas Distribution</t>
  </si>
  <si>
    <t>3903</t>
  </si>
  <si>
    <t>3902</t>
  </si>
  <si>
    <t>Analytics/Big Data</t>
  </si>
  <si>
    <t>3901</t>
  </si>
  <si>
    <t>Virtual Desktop for Offshore</t>
  </si>
  <si>
    <t>3899</t>
  </si>
  <si>
    <t>Cloud Hosting</t>
  </si>
  <si>
    <t>3898</t>
  </si>
  <si>
    <t>Managed Document Service Improvements</t>
  </si>
  <si>
    <t>3896</t>
  </si>
  <si>
    <t>Project Athena - SMI Conversion Mobilization (Global)</t>
  </si>
  <si>
    <t>3895</t>
  </si>
  <si>
    <t>Corporate Affairs - Employee Communications</t>
  </si>
  <si>
    <t>3894</t>
  </si>
  <si>
    <t>Global Academy  Technology Roadmap</t>
  </si>
  <si>
    <t>3893</t>
  </si>
  <si>
    <t>Global HR - Talent &amp; Development Planning</t>
  </si>
  <si>
    <t>3892</t>
  </si>
  <si>
    <t>Global HR - Analytical &amp; Predictive Reporting</t>
  </si>
  <si>
    <t>3891</t>
  </si>
  <si>
    <t>P2P Technology Roadmap</t>
  </si>
  <si>
    <t>3890</t>
  </si>
  <si>
    <t>Shared Services Strategy Delivery</t>
  </si>
  <si>
    <t>3889</t>
  </si>
  <si>
    <t>Opex Systems Maintenance</t>
  </si>
  <si>
    <t>3888</t>
  </si>
  <si>
    <t>Business Continuity Management (BCM) Tool</t>
  </si>
  <si>
    <t>3887</t>
  </si>
  <si>
    <t>Emergency Notification System (ENS)</t>
  </si>
  <si>
    <t>3886</t>
  </si>
  <si>
    <t>Occupational Safety - IMS Enhancements</t>
  </si>
  <si>
    <t>3885</t>
  </si>
  <si>
    <t>iGMS Decomissioning</t>
  </si>
  <si>
    <t>3884</t>
  </si>
  <si>
    <t>Incident Action Plan (IAP) for US Emergency Response</t>
  </si>
  <si>
    <t>3883</t>
  </si>
  <si>
    <t>Mobile Device Refresh for Protection Telecom Operations (PTO)</t>
  </si>
  <si>
    <t>3882</t>
  </si>
  <si>
    <t>NYS Pipeline Safety CMS Regulatory Compliance</t>
  </si>
  <si>
    <t>3881</t>
  </si>
  <si>
    <t>Qualifications for Operations (Gas Association Request)</t>
  </si>
  <si>
    <t>3878</t>
  </si>
  <si>
    <t>UK IS Code Tools Upgrade</t>
  </si>
  <si>
    <t>3877</t>
  </si>
  <si>
    <t>Cross Border Intraday ESA Support Project - NGIC</t>
  </si>
  <si>
    <t>3876</t>
  </si>
  <si>
    <t>Electricity Market Fundamental Information Platform Implementation Support - NGIC</t>
  </si>
  <si>
    <t>3875A</t>
  </si>
  <si>
    <t>BWAN Over Optel - Phase 2</t>
  </si>
  <si>
    <t>3875</t>
  </si>
  <si>
    <t>Business LAN/WAN</t>
  </si>
  <si>
    <t>Customer</t>
  </si>
  <si>
    <t>3873</t>
  </si>
  <si>
    <t>Virtual Team Hub Solution Requirements &amp; Design</t>
  </si>
  <si>
    <t>3872</t>
  </si>
  <si>
    <t>Call Center Sourcing 3rd Vendor</t>
  </si>
  <si>
    <t>3871</t>
  </si>
  <si>
    <t>US Claims / Risk Master Replacement</t>
  </si>
  <si>
    <t>3870</t>
  </si>
  <si>
    <t>F&amp;A and Implementation - Vision FM Replacement</t>
  </si>
  <si>
    <t>3865</t>
  </si>
  <si>
    <t>National Grid Extranets</t>
  </si>
  <si>
    <t>3862</t>
  </si>
  <si>
    <t>CCH to Maximo Conversion</t>
  </si>
  <si>
    <t>3861</t>
  </si>
  <si>
    <t>LNG Safety Tagging System</t>
  </si>
  <si>
    <t>3860</t>
  </si>
  <si>
    <t>Gas ERT Read System</t>
  </si>
  <si>
    <t>Mapped to Service Delivery</t>
  </si>
  <si>
    <t>3859</t>
  </si>
  <si>
    <t>Customer Storm Outage Credit Policy</t>
  </si>
  <si>
    <t>3857</t>
  </si>
  <si>
    <t>Windows XP Remediation (UK, Global)</t>
  </si>
  <si>
    <t>3855</t>
  </si>
  <si>
    <t>Market System Operations –Mobile App</t>
  </si>
  <si>
    <t>3854</t>
  </si>
  <si>
    <t>GD FFHD - Gas Distribution Field Force Help Desk</t>
  </si>
  <si>
    <t>3853</t>
  </si>
  <si>
    <t>C-Cure Conversion to AMAG</t>
  </si>
  <si>
    <t>3852</t>
  </si>
  <si>
    <t>GDFO Resilience Review</t>
  </si>
  <si>
    <t>UK Gas Distribution</t>
  </si>
  <si>
    <t>3851</t>
  </si>
  <si>
    <t>US Control - UNY Electric Control Rooms VoIP Phone Upgrade</t>
  </si>
  <si>
    <t>3850</t>
  </si>
  <si>
    <t>Information System Requirements for Non-BM Participants</t>
  </si>
  <si>
    <t>3847</t>
  </si>
  <si>
    <t>Bex Analyser Replacement</t>
  </si>
  <si>
    <t>FSSC</t>
  </si>
  <si>
    <t>3846</t>
  </si>
  <si>
    <t>Portal Availability</t>
  </si>
  <si>
    <t>3845</t>
  </si>
  <si>
    <t>I&amp;C Metering: New Services</t>
  </si>
  <si>
    <t>3843</t>
  </si>
  <si>
    <t>Moorepay Replacement</t>
  </si>
  <si>
    <t>3842</t>
  </si>
  <si>
    <t>QTON</t>
  </si>
  <si>
    <t>Gas Non- Reg Metering</t>
  </si>
  <si>
    <t>3839A</t>
  </si>
  <si>
    <t>NY Retail Access Mandate Phase 2</t>
  </si>
  <si>
    <t>3839</t>
  </si>
  <si>
    <t>NY Retail Access Mandate</t>
  </si>
  <si>
    <t>3838</t>
  </si>
  <si>
    <t>Work Management System Stabilizations</t>
  </si>
  <si>
    <t>3836</t>
  </si>
  <si>
    <t>STC - Enduring Solution</t>
  </si>
  <si>
    <t>3833F</t>
  </si>
  <si>
    <t>Conject TSG</t>
  </si>
  <si>
    <t>UK_IS</t>
  </si>
  <si>
    <t>3833E</t>
  </si>
  <si>
    <t>MPaaS iOS Testing</t>
  </si>
  <si>
    <t>3833D</t>
  </si>
  <si>
    <t>OHL Google Drive POC (Proof of Concept)</t>
  </si>
  <si>
    <t>3833C</t>
  </si>
  <si>
    <t>MPaaS Upgrade &amp; DR Implementation</t>
  </si>
  <si>
    <t>3833B</t>
  </si>
  <si>
    <t>Gas Minor Works (GTO)</t>
  </si>
  <si>
    <t>3833A</t>
  </si>
  <si>
    <t>Elec Minor Works (ETO)</t>
  </si>
  <si>
    <t>3833</t>
  </si>
  <si>
    <t>APINS Placeholder (opex)</t>
  </si>
  <si>
    <t>UK Trans TO</t>
  </si>
  <si>
    <t>3832</t>
  </si>
  <si>
    <t>Placeholder – Non Regulated (Xoserve, Britned, European Business Development, Carbon, NGIL, Brussels, LNG Storage and Joint Office)</t>
  </si>
  <si>
    <t>3831</t>
  </si>
  <si>
    <t>Transformation</t>
  </si>
  <si>
    <t>Non-Reg - LNG Grain</t>
  </si>
  <si>
    <t>3830</t>
  </si>
  <si>
    <t>Operational - DUPLICATE see INVP 3786/3787</t>
  </si>
  <si>
    <t>3829</t>
  </si>
  <si>
    <t>Minor Works - DUPLICATE see INVP 3785</t>
  </si>
  <si>
    <t>3828</t>
  </si>
  <si>
    <t>Shared Investment  - DUPLICATE see INVP 3784</t>
  </si>
  <si>
    <t>3827</t>
  </si>
  <si>
    <t>Business Development / Construction</t>
  </si>
  <si>
    <t>3826</t>
  </si>
  <si>
    <t>Management of Change - DUPLICATE see INVP 3783</t>
  </si>
  <si>
    <t>3825</t>
  </si>
  <si>
    <t>Asset Management - DUPLICATE see INVP 3782</t>
  </si>
  <si>
    <t>3824</t>
  </si>
  <si>
    <t>Scheduling - DUPLICATE see INVP 3781</t>
  </si>
  <si>
    <t>3823</t>
  </si>
  <si>
    <t>Commercial / Customer</t>
  </si>
  <si>
    <t>3804D</t>
  </si>
  <si>
    <t>ETAM TNCC Management of Site Staff Functions</t>
  </si>
  <si>
    <t>3804C</t>
  </si>
  <si>
    <t>Construction Mobile Enablement</t>
  </si>
  <si>
    <t>3804B</t>
  </si>
  <si>
    <t>Scheduling &amp; Mobile 3</t>
  </si>
  <si>
    <t>3804A</t>
  </si>
  <si>
    <t>ETAM mobile apps</t>
  </si>
  <si>
    <t>3804</t>
  </si>
  <si>
    <t>Mobility (S&amp;M)</t>
  </si>
  <si>
    <t>3803H</t>
  </si>
  <si>
    <t>ETAM CRM</t>
  </si>
  <si>
    <t>3803G</t>
  </si>
  <si>
    <t>ECM Enhancements</t>
  </si>
  <si>
    <t>3803F</t>
  </si>
  <si>
    <t>ECM Gas Records File Migration</t>
  </si>
  <si>
    <t>3803E</t>
  </si>
  <si>
    <t>Transmission Network Control Centre (TNCC) Collaborative Tools</t>
  </si>
  <si>
    <t>3803D</t>
  </si>
  <si>
    <t>Risk and Safety Documentation</t>
  </si>
  <si>
    <t>3803C</t>
  </si>
  <si>
    <t>GTAM CRM</t>
  </si>
  <si>
    <t>3803B</t>
  </si>
  <si>
    <t>ETAM CES</t>
  </si>
  <si>
    <t>3803A</t>
  </si>
  <si>
    <t>Cpm Livelink replacement. </t>
  </si>
  <si>
    <t>3803</t>
  </si>
  <si>
    <t>Collaboration and Content Management</t>
  </si>
  <si>
    <t>3802D</t>
  </si>
  <si>
    <t>Power Quality Management System Torus Application Server</t>
  </si>
  <si>
    <t>3802C</t>
  </si>
  <si>
    <t>Project Development PSR Database Adoption</t>
  </si>
  <si>
    <t>3802B</t>
  </si>
  <si>
    <t>Osprey House Infrastructure Adoption</t>
  </si>
  <si>
    <t>3802A</t>
  </si>
  <si>
    <t>Power Quality Management Server</t>
  </si>
  <si>
    <t>3802</t>
  </si>
  <si>
    <t>Transmission IS Major Projects, GAINS Technology</t>
  </si>
  <si>
    <t>3801G</t>
  </si>
  <si>
    <t>EES Tool</t>
  </si>
  <si>
    <t>3801F</t>
  </si>
  <si>
    <t>EMF Database</t>
  </si>
  <si>
    <t>3801E</t>
  </si>
  <si>
    <t>3801D</t>
  </si>
  <si>
    <t>Over Head Lines Condition Data Capture</t>
  </si>
  <si>
    <t>3801B</t>
  </si>
  <si>
    <t>P6 Enhancements - OBIEE</t>
  </si>
  <si>
    <t>3801A</t>
  </si>
  <si>
    <t>Technology Change Roadmap (TCRM)</t>
  </si>
  <si>
    <t>3801</t>
  </si>
  <si>
    <t>Asset Management</t>
  </si>
  <si>
    <t>3800A</t>
  </si>
  <si>
    <t>Engineering Estimator Tool</t>
  </si>
  <si>
    <t>3800</t>
  </si>
  <si>
    <t>Data Visualisation</t>
  </si>
  <si>
    <t>3799F</t>
  </si>
  <si>
    <t>ETAM KPI Monitoring App</t>
  </si>
  <si>
    <t>3799E</t>
  </si>
  <si>
    <t>GTAM Space Time Insight Phase 2</t>
  </si>
  <si>
    <t>3799D</t>
  </si>
  <si>
    <t>GTAM Space Time Insight Phase 1</t>
  </si>
  <si>
    <t>3799C</t>
  </si>
  <si>
    <t>GTAM Space Time Insight POC</t>
  </si>
  <si>
    <t>3799B</t>
  </si>
  <si>
    <t>GTAM MI Dashboard</t>
  </si>
  <si>
    <t>3799A</t>
  </si>
  <si>
    <t>SAM 2</t>
  </si>
  <si>
    <t>3799</t>
  </si>
  <si>
    <t>Data and Future Analytics</t>
  </si>
  <si>
    <t>3798</t>
  </si>
  <si>
    <t>Delivery of RIIO Data Capture Requirements</t>
  </si>
  <si>
    <t>UK Gas</t>
  </si>
  <si>
    <t>3797</t>
  </si>
  <si>
    <t>Syclo Improvements / App Development</t>
  </si>
  <si>
    <t>3796</t>
  </si>
  <si>
    <t>Electronic Attendance Registration</t>
  </si>
  <si>
    <t>3795</t>
  </si>
  <si>
    <t>Northern Ireland Network</t>
  </si>
  <si>
    <t>3794</t>
  </si>
  <si>
    <t>GDSPs: Mobile Applications - iPhone Apps</t>
  </si>
  <si>
    <t>3793</t>
  </si>
  <si>
    <t>Shift Management: WTS (Working Time Solution)</t>
  </si>
  <si>
    <t>3792</t>
  </si>
  <si>
    <t>Repair Planning &amp; Dispatch (Process Optimisation)</t>
  </si>
  <si>
    <t>3791</t>
  </si>
  <si>
    <t>Customer: Speech Analytics</t>
  </si>
  <si>
    <t>3790</t>
  </si>
  <si>
    <t>Dispatch Improvements: CRM Campaign Management, Incident Management</t>
  </si>
  <si>
    <t>3789</t>
  </si>
  <si>
    <t>Safety &amp; Technical Competency Replacement</t>
  </si>
  <si>
    <t>3788</t>
  </si>
  <si>
    <t>Customer: IPCC Improvements</t>
  </si>
  <si>
    <t>3787</t>
  </si>
  <si>
    <t>Opralog refresh / upgrade - Trans Non-Reg</t>
  </si>
  <si>
    <t>Trans Non-Reg</t>
  </si>
  <si>
    <t>3786</t>
  </si>
  <si>
    <t>Permit to Work refresh / upgrade - Trans Non-Reg</t>
  </si>
  <si>
    <t>3785</t>
  </si>
  <si>
    <t>Minor Works - Trans Non-Reg</t>
  </si>
  <si>
    <t>3784</t>
  </si>
  <si>
    <t>Shared Investments - Trans Non-Reg</t>
  </si>
  <si>
    <t>3783</t>
  </si>
  <si>
    <t>Mobility - Trans Non-Reg</t>
  </si>
  <si>
    <t>3782</t>
  </si>
  <si>
    <t>Work Management - Trans Non-Reg</t>
  </si>
  <si>
    <t>3781</t>
  </si>
  <si>
    <t>AP Refresh - Trans Non-Reg</t>
  </si>
  <si>
    <t>3780</t>
  </si>
  <si>
    <t>Minor Works - Gas Non-Reg Mtrg</t>
  </si>
  <si>
    <t>Gas Non-Reg Mtrg</t>
  </si>
  <si>
    <t>3779</t>
  </si>
  <si>
    <t>BOBJ KPI Dashboard</t>
  </si>
  <si>
    <t>3777</t>
  </si>
  <si>
    <t>Global HR - UK Learning &amp; Development</t>
  </si>
  <si>
    <t>3776</t>
  </si>
  <si>
    <t>European Transparency BM changes</t>
  </si>
  <si>
    <t>3775</t>
  </si>
  <si>
    <t>Frequency Control in 2020 - DUPLICATE see INVP 3512</t>
  </si>
  <si>
    <t>3774</t>
  </si>
  <si>
    <t>End User Development</t>
  </si>
  <si>
    <t>3773</t>
  </si>
  <si>
    <t>Consim decommissioning</t>
  </si>
  <si>
    <t>Transmission - GPINS</t>
  </si>
  <si>
    <t>3772</t>
  </si>
  <si>
    <t>JCAPS migration</t>
  </si>
  <si>
    <t>3771</t>
  </si>
  <si>
    <t>GD Technology Roadmap</t>
  </si>
  <si>
    <t>3770</t>
  </si>
  <si>
    <t>DB Pension Changes</t>
  </si>
  <si>
    <t>3769</t>
  </si>
  <si>
    <t>ESS Portal Access in Cutover</t>
  </si>
  <si>
    <t>3768</t>
  </si>
  <si>
    <t>Protected Terms and Conditions Screen</t>
  </si>
  <si>
    <t>3767</t>
  </si>
  <si>
    <t>Lifelens</t>
  </si>
  <si>
    <t>3766</t>
  </si>
  <si>
    <t>Delegations Of Authority</t>
  </si>
  <si>
    <t>3765</t>
  </si>
  <si>
    <t>Small Site Connectivity</t>
  </si>
  <si>
    <t>3764</t>
  </si>
  <si>
    <t>Fate Scaling</t>
  </si>
  <si>
    <t>UK Trans</t>
  </si>
  <si>
    <t>3763</t>
  </si>
  <si>
    <t>IS Applications Monitoring</t>
  </si>
  <si>
    <t>3762</t>
  </si>
  <si>
    <t>DLCS</t>
  </si>
  <si>
    <t>3761</t>
  </si>
  <si>
    <t>GIN Update</t>
  </si>
  <si>
    <t>3760</t>
  </si>
  <si>
    <t>Road Tankering</t>
  </si>
  <si>
    <t>3759</t>
  </si>
  <si>
    <t>Dispatch User Training Library</t>
  </si>
  <si>
    <t>3758</t>
  </si>
  <si>
    <t>MA Inside Service Inspection Automation</t>
  </si>
  <si>
    <t>3757</t>
  </si>
  <si>
    <t>SAP GUI Asset Health</t>
  </si>
  <si>
    <t>3756</t>
  </si>
  <si>
    <t>Gas Distribution Coordinated Change Programme</t>
  </si>
  <si>
    <t>3755</t>
  </si>
  <si>
    <t>VISOR</t>
  </si>
  <si>
    <t>3754</t>
  </si>
  <si>
    <t>Career Site Improvement</t>
  </si>
  <si>
    <t>3753Q</t>
  </si>
  <si>
    <t>EMR Phase 3</t>
  </si>
  <si>
    <t>3753P</t>
  </si>
  <si>
    <t>EMR Data Handling</t>
  </si>
  <si>
    <t>3753O</t>
  </si>
  <si>
    <t>3753N</t>
  </si>
  <si>
    <t>EMR CM &amp; CfD Admin Refresh</t>
  </si>
  <si>
    <t>3753M</t>
  </si>
  <si>
    <t>EMR CM Annual Evolution Auction</t>
  </si>
  <si>
    <t>3753L</t>
  </si>
  <si>
    <t>EMR CM Annual Evolution Admin</t>
  </si>
  <si>
    <t>3753K</t>
  </si>
  <si>
    <t>EMR CfD Annual Evolution Auction</t>
  </si>
  <si>
    <t>3753J</t>
  </si>
  <si>
    <t>EMR CfD Annual Evolution Admin</t>
  </si>
  <si>
    <t>EMR DSR Transitional Arrangements</t>
  </si>
  <si>
    <t>3753H</t>
  </si>
  <si>
    <t>EMR CfD Auction set up (per event)</t>
  </si>
  <si>
    <t>3753G</t>
  </si>
  <si>
    <t>EMR Non-UK CfD</t>
  </si>
  <si>
    <t>3753F</t>
  </si>
  <si>
    <t>EMR CfD for Northern Ireland</t>
  </si>
  <si>
    <t>3753E</t>
  </si>
  <si>
    <t>EMR CfD Auctions (DCA)</t>
  </si>
  <si>
    <t>3753D</t>
  </si>
  <si>
    <t>EMR CM Zonal Auctions/Interconnectors</t>
  </si>
  <si>
    <t>3753C</t>
  </si>
  <si>
    <t>EMR CM Auction Set up (1 year) (per event)</t>
  </si>
  <si>
    <t>3753B</t>
  </si>
  <si>
    <t>EMR CM Auction Set up (4 year) (per event)</t>
  </si>
  <si>
    <t>3753A</t>
  </si>
  <si>
    <t>EMR CM Operation and Settlement</t>
  </si>
  <si>
    <t>3753</t>
  </si>
  <si>
    <t>Electricity Market Reform (EMR)</t>
  </si>
  <si>
    <t>3752</t>
  </si>
  <si>
    <t>Volt/VAR Optimization (VVO) Demonstration Project</t>
  </si>
  <si>
    <t>3751</t>
  </si>
  <si>
    <t>UK non regulated business Grain LNG for Management of Change</t>
  </si>
  <si>
    <t>3750</t>
  </si>
  <si>
    <t>Hinckley SWS</t>
  </si>
  <si>
    <t>3749</t>
  </si>
  <si>
    <t>iScheduler Stabilization Strategy</t>
  </si>
  <si>
    <t>3748</t>
  </si>
  <si>
    <t>Agent Desktop Windows 7 Remediation</t>
  </si>
  <si>
    <t>3747</t>
  </si>
  <si>
    <t>Information Steward</t>
  </si>
  <si>
    <t>3746A</t>
  </si>
  <si>
    <t>IS Dashboard Improvements &amp; Improved Error Management Phase 2</t>
  </si>
  <si>
    <t>3746</t>
  </si>
  <si>
    <t>IS Application Monitoring</t>
  </si>
  <si>
    <t>3745</t>
  </si>
  <si>
    <t>Minor Works (SSR)</t>
  </si>
  <si>
    <t>3744</t>
  </si>
  <si>
    <t>Occupational Safety - SMART Phone, Safe Driving Application</t>
  </si>
  <si>
    <t>3743</t>
  </si>
  <si>
    <t>Health and Fitness Service Provisioning</t>
  </si>
  <si>
    <t>3742</t>
  </si>
  <si>
    <t>Collaboration Tools</t>
  </si>
  <si>
    <t>3741</t>
  </si>
  <si>
    <t>V-stig decommissioning</t>
  </si>
  <si>
    <t>3740</t>
  </si>
  <si>
    <t>USFO Sustaining Investment</t>
  </si>
  <si>
    <t>3739</t>
  </si>
  <si>
    <t>Construct Assets Sustaining Investments</t>
  </si>
  <si>
    <t>3738</t>
  </si>
  <si>
    <t>Emergency Repair Sustaining Investments</t>
  </si>
  <si>
    <t>3737</t>
  </si>
  <si>
    <t>US CNI GMS SCADA Upgrade and Consolidation</t>
  </si>
  <si>
    <t>3736</t>
  </si>
  <si>
    <t>Electric &amp; Gas Distribution Sustaining Investments</t>
  </si>
  <si>
    <t>3735</t>
  </si>
  <si>
    <t>NY, NE EMS System Hardware, Networks Mid-Lifecycle Upgrades</t>
  </si>
  <si>
    <t>3734</t>
  </si>
  <si>
    <t>JCAPS decommission</t>
  </si>
  <si>
    <t>3733</t>
  </si>
  <si>
    <t>US internet Gateway legacy decommission?</t>
  </si>
  <si>
    <t>3732</t>
  </si>
  <si>
    <t>Contract re-bid solution delivery</t>
  </si>
  <si>
    <t>3729</t>
  </si>
  <si>
    <t>US CNI NE and NY EMS/DMS/OMS-Mid-Lifecycle Upgrade</t>
  </si>
  <si>
    <t>3728</t>
  </si>
  <si>
    <t>US CNI GMS-Backup RTU Communications (GMS Backup Communication System)</t>
  </si>
  <si>
    <t>3727</t>
  </si>
  <si>
    <t>Access Control</t>
  </si>
  <si>
    <t>3726</t>
  </si>
  <si>
    <t>Win2000 Server Upgrades</t>
  </si>
  <si>
    <t>3725</t>
  </si>
  <si>
    <t>Customer Analytics Elastic Computing Needs</t>
  </si>
  <si>
    <t>3724</t>
  </si>
  <si>
    <t>Distributed Generation Workflow</t>
  </si>
  <si>
    <t>3723</t>
  </si>
  <si>
    <t>Customer and Digital Transformation Minor Works</t>
  </si>
  <si>
    <t>3722</t>
  </si>
  <si>
    <t>Desktop Decommissioning</t>
  </si>
  <si>
    <t>3721</t>
  </si>
  <si>
    <t>Hicksville Mainframe Decommissioning</t>
  </si>
  <si>
    <t>3720</t>
  </si>
  <si>
    <t>LIPA Transition / Generation Separation</t>
  </si>
  <si>
    <t>3719</t>
  </si>
  <si>
    <t>CAS Tape Archive Solution</t>
  </si>
  <si>
    <t>3718</t>
  </si>
  <si>
    <t>New Medical System</t>
  </si>
  <si>
    <t>3717</t>
  </si>
  <si>
    <t>Windows 7 Applications Remediation</t>
  </si>
  <si>
    <t>3716</t>
  </si>
  <si>
    <t>US Operations Network Improvements – FY17</t>
  </si>
  <si>
    <t>3714</t>
  </si>
  <si>
    <t>Itron Mass Market Customer Care (MDS)</t>
  </si>
  <si>
    <t>3713</t>
  </si>
  <si>
    <t>Generation Sustaining Investments</t>
  </si>
  <si>
    <t>3712</t>
  </si>
  <si>
    <t>Financial Governance Tool (Trintech's Cadency)</t>
  </si>
  <si>
    <t>3711</t>
  </si>
  <si>
    <t>SAP PI</t>
  </si>
  <si>
    <t>3710</t>
  </si>
  <si>
    <t>Monty</t>
  </si>
  <si>
    <t>3709</t>
  </si>
  <si>
    <t>Barclays Business Master replacement</t>
  </si>
  <si>
    <t>3708</t>
  </si>
  <si>
    <t>Open Text</t>
  </si>
  <si>
    <t>3707</t>
  </si>
  <si>
    <t>AMR Functional Enhancements</t>
  </si>
  <si>
    <t>3706</t>
  </si>
  <si>
    <t>UK CNI Networks - Gas Gateway Firewall Rules - part of INVP 3614</t>
  </si>
  <si>
    <t>3705</t>
  </si>
  <si>
    <t>UK CNI Networks - IDN Access to Secure Gas Gateway - part of INVP 3614</t>
  </si>
  <si>
    <t>3704</t>
  </si>
  <si>
    <t>UK CNI Networks - UTN Firewalls - part of INVP 3614</t>
  </si>
  <si>
    <t>3703</t>
  </si>
  <si>
    <t>UK CNI Networks - BMC ProactiveNet</t>
  </si>
  <si>
    <t>3702</t>
  </si>
  <si>
    <t>UK CNI Networks - Network Management Centre Consolidation</t>
  </si>
  <si>
    <t>3701</t>
  </si>
  <si>
    <t>UK CNI Networks - Intrusion Detection System</t>
  </si>
  <si>
    <t>3700</t>
  </si>
  <si>
    <t>SAP Governance, Risk and Compliance (GRC) Access Control (AC) Upgrade</t>
  </si>
  <si>
    <t>3699</t>
  </si>
  <si>
    <t>Grain Management of Change</t>
  </si>
  <si>
    <t>3698</t>
  </si>
  <si>
    <t>ECS options analysis</t>
  </si>
  <si>
    <t>3697</t>
  </si>
  <si>
    <t>Computing Platform for Gas Load Forecasting</t>
  </si>
  <si>
    <t>3696</t>
  </si>
  <si>
    <t>BSIS Forecaster Enhancements</t>
  </si>
  <si>
    <t>3695F</t>
  </si>
  <si>
    <t>Data Exchange (TSOG)</t>
  </si>
  <si>
    <t>3695E</t>
  </si>
  <si>
    <t>3695D</t>
  </si>
  <si>
    <t>Connection codes</t>
  </si>
  <si>
    <t>3695C</t>
  </si>
  <si>
    <t>Capacity Allocation and Congestion Management (CACM) code: Common Grid Model (CGM)</t>
  </si>
  <si>
    <t>3695B</t>
  </si>
  <si>
    <t>Capacity Allocation and Congestion Management (CACM) code: Capacity and Continuous Intraday Trading</t>
  </si>
  <si>
    <t>3695A</t>
  </si>
  <si>
    <t>Transmission System Operator Guideline (TSOG) code</t>
  </si>
  <si>
    <t>3695</t>
  </si>
  <si>
    <t>European Transparancy and European Codes Changes</t>
  </si>
  <si>
    <t>3694</t>
  </si>
  <si>
    <t>BSC Significant Code Review</t>
  </si>
  <si>
    <t>3693</t>
  </si>
  <si>
    <t>SO Innovation Rollout Mechanism Projects</t>
  </si>
  <si>
    <t>3692</t>
  </si>
  <si>
    <t>Project Visor</t>
  </si>
  <si>
    <t>3691</t>
  </si>
  <si>
    <t>Contingency Balancing Reserve</t>
  </si>
  <si>
    <t>3690</t>
  </si>
  <si>
    <t>ESO End User Computing</t>
  </si>
  <si>
    <t>3689</t>
  </si>
  <si>
    <t>FFR (Firm Frequency Response)</t>
  </si>
  <si>
    <t>3688</t>
  </si>
  <si>
    <t>LIPA project</t>
  </si>
  <si>
    <t>3687</t>
  </si>
  <si>
    <t>ION Remote project</t>
  </si>
  <si>
    <t>3686</t>
  </si>
  <si>
    <t>Plant Protection Enquiry Process</t>
  </si>
  <si>
    <t>3685</t>
  </si>
  <si>
    <t>GB Address Manager Replacement</t>
  </si>
  <si>
    <t>3684</t>
  </si>
  <si>
    <t>GD/NGM System Interface Updates</t>
  </si>
  <si>
    <t>3683USZ</t>
  </si>
  <si>
    <t>Architecture Cyber Essentials (ACE)</t>
  </si>
  <si>
    <t>3683USY</t>
  </si>
  <si>
    <t>Anti-Malware Gateway</t>
  </si>
  <si>
    <t>3683USX</t>
  </si>
  <si>
    <t>Application Security As a Service</t>
  </si>
  <si>
    <t>3683USW</t>
  </si>
  <si>
    <t>Removable Media Control - Full Roll out</t>
  </si>
  <si>
    <t>3683USV</t>
  </si>
  <si>
    <t>CNI Forensic Pack capture</t>
  </si>
  <si>
    <t>3683USU</t>
  </si>
  <si>
    <t>3683UST</t>
  </si>
  <si>
    <t>Enterprise Wide Agreed Information Classification</t>
  </si>
  <si>
    <t>3683USS</t>
  </si>
  <si>
    <t>3683USR</t>
  </si>
  <si>
    <t>Security Research Lab</t>
  </si>
  <si>
    <t>3683USQ</t>
  </si>
  <si>
    <t>Big Data Security Analytics: Phase 1</t>
  </si>
  <si>
    <t>3683USP</t>
  </si>
  <si>
    <t>IAM: Role Based Access control</t>
  </si>
  <si>
    <t>3683USO</t>
  </si>
  <si>
    <t>Network Segregation</t>
  </si>
  <si>
    <t>3683USN</t>
  </si>
  <si>
    <t>Security Incident &amp; Event Management: Phase 4</t>
  </si>
  <si>
    <t>3683USM</t>
  </si>
  <si>
    <t>3683USL</t>
  </si>
  <si>
    <t>3683USK</t>
  </si>
  <si>
    <t>Fundamentals Package</t>
  </si>
  <si>
    <t>3683USJ</t>
  </si>
  <si>
    <t>3683USI</t>
  </si>
  <si>
    <t>Sustainable Red-Team Service Model</t>
  </si>
  <si>
    <t>3683USH</t>
  </si>
  <si>
    <t>Firewall Enhancements</t>
  </si>
  <si>
    <t>3683USG</t>
  </si>
  <si>
    <t>3683USF</t>
  </si>
  <si>
    <t>Enterprise Centralized Patch Management</t>
  </si>
  <si>
    <t>3683USE</t>
  </si>
  <si>
    <t>3683USD</t>
  </si>
  <si>
    <t>Develop Robust Incident Response</t>
  </si>
  <si>
    <t>3683USC</t>
  </si>
  <si>
    <t>IAM- Privilege Access Management (PAM)</t>
  </si>
  <si>
    <t>3683USB</t>
  </si>
  <si>
    <t>Cloud Access Security Broker</t>
  </si>
  <si>
    <t>High Value Asset Discovery and Implementation</t>
  </si>
  <si>
    <t>3683USAR</t>
  </si>
  <si>
    <t>Azure CoE Vulnerability Scanning</t>
  </si>
  <si>
    <t>3683USAQ</t>
  </si>
  <si>
    <t>Cloud Access Security Broker Phase 2</t>
  </si>
  <si>
    <t>3683USAP</t>
  </si>
  <si>
    <t>IAM- Privilege Access Managment (PAM) - Ph2</t>
  </si>
  <si>
    <t>3683USAO</t>
  </si>
  <si>
    <t>3683USAN</t>
  </si>
  <si>
    <t>DNS Resolution &amp; Protection</t>
  </si>
  <si>
    <t>3683USAM</t>
  </si>
  <si>
    <t>3683USAL</t>
  </si>
  <si>
    <t>Multi Factor Authentication</t>
  </si>
  <si>
    <t>3683USAK</t>
  </si>
  <si>
    <t>Security Incident &amp; Event Management: Phase 6</t>
  </si>
  <si>
    <t>3683USAJ</t>
  </si>
  <si>
    <t>Honey Pot Solution</t>
  </si>
  <si>
    <t>3683USAI</t>
  </si>
  <si>
    <t>CNI Security Enhancements: Phase 2</t>
  </si>
  <si>
    <t>3683USAH</t>
  </si>
  <si>
    <t>Security Data Visualization</t>
  </si>
  <si>
    <t>3683USAG</t>
  </si>
  <si>
    <t>IAM: Shared Area Access Management</t>
  </si>
  <si>
    <t>3683USAF</t>
  </si>
  <si>
    <t>Security Incident &amp; Event Management: Phase 5</t>
  </si>
  <si>
    <t>3683USAE</t>
  </si>
  <si>
    <t>Situational Intelligence &amp; Cyber Intelligence: Phase 2</t>
  </si>
  <si>
    <t>3683USAD</t>
  </si>
  <si>
    <t>3683USAC</t>
  </si>
  <si>
    <t>3683USAB</t>
  </si>
  <si>
    <t>3683USAA</t>
  </si>
  <si>
    <t>3683USA</t>
  </si>
  <si>
    <t>DRS future programme</t>
  </si>
  <si>
    <t>3683UKZ</t>
  </si>
  <si>
    <t>Continuous review of Reference Security Architecture</t>
  </si>
  <si>
    <t>3683UKY</t>
  </si>
  <si>
    <t>3683UKX</t>
  </si>
  <si>
    <t>3683UKW</t>
  </si>
  <si>
    <t>3683UKV</t>
  </si>
  <si>
    <t>3683UKU</t>
  </si>
  <si>
    <t>3683UKT</t>
  </si>
  <si>
    <t>3683UKS</t>
  </si>
  <si>
    <t>3683UKR</t>
  </si>
  <si>
    <t>3683UKQ</t>
  </si>
  <si>
    <t>3683UKP</t>
  </si>
  <si>
    <t>3683UKO</t>
  </si>
  <si>
    <t>3683UKN</t>
  </si>
  <si>
    <t>3683UKM</t>
  </si>
  <si>
    <t>3683UKL</t>
  </si>
  <si>
    <t>3683UKK</t>
  </si>
  <si>
    <t>3683UKJ</t>
  </si>
  <si>
    <t>3683UKI</t>
  </si>
  <si>
    <t>3683UKH</t>
  </si>
  <si>
    <t>Firewall Rule Clean up</t>
  </si>
  <si>
    <t>3683UKG</t>
  </si>
  <si>
    <t>3683UKF</t>
  </si>
  <si>
    <t>3683UKE</t>
  </si>
  <si>
    <t>3683UKD</t>
  </si>
  <si>
    <t>3683UKC</t>
  </si>
  <si>
    <t>IAM- Privilege Access Managment (PAM)</t>
  </si>
  <si>
    <t>3683UKB</t>
  </si>
  <si>
    <t>Cloud Security Access Broker</t>
  </si>
  <si>
    <t>3683UKAS</t>
  </si>
  <si>
    <t>3683UKAR</t>
  </si>
  <si>
    <t>3683UKAP</t>
  </si>
  <si>
    <t>3683UKAO</t>
  </si>
  <si>
    <t>3683UKAN</t>
  </si>
  <si>
    <t>DNS Resolution  &amp; Protection</t>
  </si>
  <si>
    <t>3683UKAM</t>
  </si>
  <si>
    <t>3683UKAL</t>
  </si>
  <si>
    <t>3683UKAK</t>
  </si>
  <si>
    <t>3683UKAJ</t>
  </si>
  <si>
    <t>3683UKAI</t>
  </si>
  <si>
    <t>3683UKAH</t>
  </si>
  <si>
    <t>3683UKAG</t>
  </si>
  <si>
    <t>3683UKAF</t>
  </si>
  <si>
    <t>3683UKAE</t>
  </si>
  <si>
    <t>3683UKAD</t>
  </si>
  <si>
    <t>3683UKAC</t>
  </si>
  <si>
    <t>3683UKAB</t>
  </si>
  <si>
    <t>3683UKAA</t>
  </si>
  <si>
    <t>3683UKA</t>
  </si>
  <si>
    <t>UK EndPoint Security Enhancements</t>
  </si>
  <si>
    <t>3683D</t>
  </si>
  <si>
    <t>3683C</t>
  </si>
  <si>
    <t>3683B</t>
  </si>
  <si>
    <t>Cloud Access Security Broker (CASB) US</t>
  </si>
  <si>
    <t>Digital Risk&amp; Security</t>
  </si>
  <si>
    <t>Situational Intelligence &amp; Cyber Intelligence: Phase 1</t>
  </si>
  <si>
    <t>Cloudflare</t>
  </si>
  <si>
    <t>Digitial Risk &amp; Security</t>
  </si>
  <si>
    <t>3683A</t>
  </si>
  <si>
    <t>Endpoint Scanning (Tanium)</t>
  </si>
  <si>
    <t>3683</t>
  </si>
  <si>
    <t>3682</t>
  </si>
  <si>
    <t>Threat management</t>
  </si>
  <si>
    <t>3681</t>
  </si>
  <si>
    <t>Network Security</t>
  </si>
  <si>
    <t>3680</t>
  </si>
  <si>
    <t>End point</t>
  </si>
  <si>
    <t>3679</t>
  </si>
  <si>
    <t>CNI</t>
  </si>
  <si>
    <t>3678B</t>
  </si>
  <si>
    <t>Internet Stabilisation</t>
  </si>
  <si>
    <t>3678A</t>
  </si>
  <si>
    <t>Web Minor Works</t>
  </si>
  <si>
    <t>3678</t>
  </si>
  <si>
    <t>Internet service development</t>
  </si>
  <si>
    <t>3677</t>
  </si>
  <si>
    <t>Intranet service development</t>
  </si>
  <si>
    <t>3676E</t>
  </si>
  <si>
    <t>HR Maintain Policy Compliance</t>
  </si>
  <si>
    <t>3676D</t>
  </si>
  <si>
    <t>Global HR Maintenance &amp; Improvements - Employee Survey Renewal</t>
  </si>
  <si>
    <t>3676C</t>
  </si>
  <si>
    <t>Global HR Maintenance &amp; Improvements Total Reward Statement Renewal</t>
  </si>
  <si>
    <t>3676B</t>
  </si>
  <si>
    <t>Global HR Maintenance &amp; Improvements - Appreciatehub Renewal</t>
  </si>
  <si>
    <t>3676A</t>
  </si>
  <si>
    <t>Global HR Maintenance &amp; Improvements - Flexible Benefits Renewal</t>
  </si>
  <si>
    <t>3676</t>
  </si>
  <si>
    <t>Global HR Maintenance &amp; Improvements</t>
  </si>
  <si>
    <t>3675</t>
  </si>
  <si>
    <t>PeopleHub Phase II</t>
  </si>
  <si>
    <t>3674</t>
  </si>
  <si>
    <t>Global HR - UK Programme</t>
  </si>
  <si>
    <t>3673</t>
  </si>
  <si>
    <t>Global Audit System Replacement</t>
  </si>
  <si>
    <t>3672</t>
  </si>
  <si>
    <t>UK Pensions Operations Maintenance</t>
  </si>
  <si>
    <t>3671</t>
  </si>
  <si>
    <t>Committee document management</t>
  </si>
  <si>
    <t>3670</t>
  </si>
  <si>
    <t>3669</t>
  </si>
  <si>
    <t>Project Athena - SMI Conversion Strategy Roadmap (Global)</t>
  </si>
  <si>
    <t>3668</t>
  </si>
  <si>
    <t>Contract re-bid  - Solution Delivery</t>
  </si>
  <si>
    <t>3667</t>
  </si>
  <si>
    <t>Collaboration Cyber Remediation</t>
  </si>
  <si>
    <t>3666</t>
  </si>
  <si>
    <t>Next Generation Digital Workspace - UK</t>
  </si>
  <si>
    <t>3665</t>
  </si>
  <si>
    <t>Contract re-bid Managed Document Services (MDS)</t>
  </si>
  <si>
    <t>3664</t>
  </si>
  <si>
    <t>UK Gas Upgrades and maintenance</t>
  </si>
  <si>
    <t>3663</t>
  </si>
  <si>
    <t>CNI Electric Upgrades and Maintenance</t>
  </si>
  <si>
    <t>3662</t>
  </si>
  <si>
    <t>CNI Electric Service Improvements</t>
  </si>
  <si>
    <t>3661</t>
  </si>
  <si>
    <t>CNI Infrastructure Service Improvements</t>
  </si>
  <si>
    <t>3660Z</t>
  </si>
  <si>
    <t>Critical National Infrastructure (CNI) Gateway Routers Refresh</t>
  </si>
  <si>
    <t>3660Y</t>
  </si>
  <si>
    <t>Multi-Protocol Label Switching (MPLS) Routers Refresh</t>
  </si>
  <si>
    <t>3660X</t>
  </si>
  <si>
    <t>Gas Secure Network (GSN) Load Balancers Refresh</t>
  </si>
  <si>
    <t>3660W</t>
  </si>
  <si>
    <t>Dell R610 Estate Refresh</t>
  </si>
  <si>
    <t>3660V</t>
  </si>
  <si>
    <t>Integrated Operational Network (ION) Core Switch Refresh 2016/17</t>
  </si>
  <si>
    <t>3660U</t>
  </si>
  <si>
    <t>Other Infrastructure Refresh</t>
  </si>
  <si>
    <t>3660T</t>
  </si>
  <si>
    <t>Distribution Network Control System (DNCS) Hardware Refresh</t>
  </si>
  <si>
    <t>3660S</t>
  </si>
  <si>
    <t>UK CNI Minor Works 2016/17</t>
  </si>
  <si>
    <t>3660R</t>
  </si>
  <si>
    <t>UK CNI Networks - Gas Bluecoat Device Upgrade FY15</t>
  </si>
  <si>
    <t>3660Q</t>
  </si>
  <si>
    <t>UK CNI Networks - PeerPoint Firewall &amp; Switch Refresh FY15</t>
  </si>
  <si>
    <t>3660P</t>
  </si>
  <si>
    <t>UK CNI Networks - Checkpoint Firewall Refresh FY15</t>
  </si>
  <si>
    <t>3660O</t>
  </si>
  <si>
    <t>UK CNI Networks - ION Core Switch Refresh FY15</t>
  </si>
  <si>
    <t>3660N</t>
  </si>
  <si>
    <t>UK CNI Networks - Gas Gateway Switch Refresh Fy15</t>
  </si>
  <si>
    <t>3660M</t>
  </si>
  <si>
    <t>UK CNI Networks - Minor Projects Budget FY16</t>
  </si>
  <si>
    <t>3660L</t>
  </si>
  <si>
    <t>UK CNI Networks - Gas Gateway Refresh FY15</t>
  </si>
  <si>
    <t>3660D</t>
  </si>
  <si>
    <t>UK CNI Server Estate Windows Upgrade FY15</t>
  </si>
  <si>
    <t>3660C</t>
  </si>
  <si>
    <t>UK CNI Desktop Estate Windows Upgrade FY15</t>
  </si>
  <si>
    <t>CNI Networks Asset Refresh (Electricity)</t>
  </si>
  <si>
    <t>CNI Infrastructure Asset Refresh (Electricity)</t>
  </si>
  <si>
    <t>CNI Infrastructure Asset Refresh (Gas)</t>
  </si>
  <si>
    <t>ION Core Switch Refresh</t>
  </si>
  <si>
    <t>UK CNI Minor Works</t>
  </si>
  <si>
    <t>3660A</t>
  </si>
  <si>
    <t>UK CNI Networks - Minor Works Budget FY15</t>
  </si>
  <si>
    <t>3659</t>
  </si>
  <si>
    <t>LIPA Rate and Tax Changes</t>
  </si>
  <si>
    <t>3658</t>
  </si>
  <si>
    <t>Identity Services Engine (ISE)</t>
  </si>
  <si>
    <t>3657</t>
  </si>
  <si>
    <t>NSSR Citrix VDI</t>
  </si>
  <si>
    <t>3656</t>
  </si>
  <si>
    <t>Experian Application Prod  &amp; DR split</t>
  </si>
  <si>
    <t>3655</t>
  </si>
  <si>
    <t>LI AMR Deployment and Maintenance Work Order System</t>
  </si>
  <si>
    <t>MDS Strategy</t>
  </si>
  <si>
    <t>3654</t>
  </si>
  <si>
    <t>Recharge N.Y. LI Choice Rate</t>
  </si>
  <si>
    <t>3653</t>
  </si>
  <si>
    <t>Leak Management Enhancement and Rollout</t>
  </si>
  <si>
    <t>3652</t>
  </si>
  <si>
    <t>LIPA My Account Schedule Payment Function</t>
  </si>
  <si>
    <t>3651</t>
  </si>
  <si>
    <t>Unified Communications Trial</t>
  </si>
  <si>
    <t>3650</t>
  </si>
  <si>
    <t>Manhattan Decommissioning</t>
  </si>
  <si>
    <t>3649</t>
  </si>
  <si>
    <t>Hinckley Block 2 Refurbishment</t>
  </si>
  <si>
    <t>3648</t>
  </si>
  <si>
    <t>Commercial Engineering Service System Review</t>
  </si>
  <si>
    <t>3647</t>
  </si>
  <si>
    <t>Next Generation Digital Workspace</t>
  </si>
  <si>
    <t>3646</t>
  </si>
  <si>
    <t>Future System Simulator Phase 2 (Windfarm devices and Dev-DTS)</t>
  </si>
  <si>
    <t>3645</t>
  </si>
  <si>
    <t>Full Disk Encryption Re-sanction (will utilize previous INVP)</t>
  </si>
  <si>
    <t>3644</t>
  </si>
  <si>
    <t>Internet Explorer Upgrade</t>
  </si>
  <si>
    <t>3643</t>
  </si>
  <si>
    <t>US CNI GMS Consolidation and Refresh (FY14)</t>
  </si>
  <si>
    <t>3642</t>
  </si>
  <si>
    <t>Secure Replacement MDSI Devices</t>
  </si>
  <si>
    <t>3641</t>
  </si>
  <si>
    <t>SCM Data Quality Management Tool</t>
  </si>
  <si>
    <t>3640</t>
  </si>
  <si>
    <t>Grain TRAC</t>
  </si>
  <si>
    <t>3639</t>
  </si>
  <si>
    <t>Network Strategy Essential Works</t>
  </si>
  <si>
    <t>3638</t>
  </si>
  <si>
    <t>Windows 7 Compatibility Remediation</t>
  </si>
  <si>
    <t>3637</t>
  </si>
  <si>
    <t>Damage Tracking System Enhancement and Roll-out</t>
  </si>
  <si>
    <t>3636</t>
  </si>
  <si>
    <t>New Gas Leak Management System</t>
  </si>
  <si>
    <t>3635</t>
  </si>
  <si>
    <t>Non Regulated Process Safety Dashboard</t>
  </si>
  <si>
    <t>3634</t>
  </si>
  <si>
    <t>US SAP - IS Upgrade &amp; Patch Work</t>
  </si>
  <si>
    <t>3633</t>
  </si>
  <si>
    <t>GTAM - Integrated Planning and Cost Assurance Project</t>
  </si>
  <si>
    <t>3632</t>
  </si>
  <si>
    <t>NDP System and Data Enhancements Project</t>
  </si>
  <si>
    <t>3631</t>
  </si>
  <si>
    <t>ILM project</t>
  </si>
  <si>
    <t>3630</t>
  </si>
  <si>
    <t>Migrate Documentum to Windows 7 Compatible Version</t>
  </si>
  <si>
    <t>3629</t>
  </si>
  <si>
    <t>Cascade for Gas</t>
  </si>
  <si>
    <t>3628</t>
  </si>
  <si>
    <t>MIPI 2014 EU Transparency Platform Readiness</t>
  </si>
  <si>
    <t>3627</t>
  </si>
  <si>
    <t>Moyle Changes</t>
  </si>
  <si>
    <t>3626</t>
  </si>
  <si>
    <t>Grain LNG tsaADVET</t>
  </si>
  <si>
    <t>3625</t>
  </si>
  <si>
    <t>Shared Services Reconciliation Tool</t>
  </si>
  <si>
    <t>3624</t>
  </si>
  <si>
    <t>iGMS Tactical 2 - Management of risk regarding iGMS Support and Maintenance</t>
  </si>
  <si>
    <t>3623</t>
  </si>
  <si>
    <t>Pentana Windows7 Compatibility Upgrade</t>
  </si>
  <si>
    <t>3622</t>
  </si>
  <si>
    <t>Electricity Market Reform (EMR) Initial Solutions Requirements Assessment</t>
  </si>
  <si>
    <t>3621</t>
  </si>
  <si>
    <t>Remit</t>
  </si>
  <si>
    <t>3620</t>
  </si>
  <si>
    <t>ASB Changes</t>
  </si>
  <si>
    <t>3619</t>
  </si>
  <si>
    <t>Control Room User Interfaces &amp; Authentication</t>
  </si>
  <si>
    <t>3618</t>
  </si>
  <si>
    <t>Verint Encoder Project</t>
  </si>
  <si>
    <t>3617D</t>
  </si>
  <si>
    <t>UNY Capitalized equipment installs/replacement</t>
  </si>
  <si>
    <t>3617C</t>
  </si>
  <si>
    <t>NE Capitalized equipment installs/replacement</t>
  </si>
  <si>
    <t>3617B</t>
  </si>
  <si>
    <t>DNY Capitalized equipment installs/replacement</t>
  </si>
  <si>
    <t>3617</t>
  </si>
  <si>
    <t>Capitalized Equipment - installations / replaceements</t>
  </si>
  <si>
    <t>3616</t>
  </si>
  <si>
    <t>(LIPA) Mobile Data Capture - Storm Damage</t>
  </si>
  <si>
    <t>3615</t>
  </si>
  <si>
    <t>Success Enterprise Reporting</t>
  </si>
  <si>
    <t>3614G1</t>
  </si>
  <si>
    <t>US Reference Security Architecture Models</t>
  </si>
  <si>
    <t>3614F3</t>
  </si>
  <si>
    <t>Continuous Controls Monitoring</t>
  </si>
  <si>
    <t>3614F2</t>
  </si>
  <si>
    <t>Archer Process Enablement</t>
  </si>
  <si>
    <t>3614F1</t>
  </si>
  <si>
    <t>NERC CIP V5 DigSec</t>
  </si>
  <si>
    <t>3614E4</t>
  </si>
  <si>
    <t>US CNI Security Information and Event Management</t>
  </si>
  <si>
    <t>3614E3</t>
  </si>
  <si>
    <t>Security Information and Event Management Phase 2</t>
  </si>
  <si>
    <t>3614E2</t>
  </si>
  <si>
    <t>US Security Operations Centre</t>
  </si>
  <si>
    <t>3614E1</t>
  </si>
  <si>
    <t>DB Compli DigSec</t>
  </si>
  <si>
    <t>3614D4</t>
  </si>
  <si>
    <t>Network Risk and Compliance</t>
  </si>
  <si>
    <t>3614D3</t>
  </si>
  <si>
    <t>3614D2</t>
  </si>
  <si>
    <t>3614D1</t>
  </si>
  <si>
    <t>Enterprise Network Security</t>
  </si>
  <si>
    <t>3614D</t>
  </si>
  <si>
    <t>UK CNI Networks - Gas Gateway Firewall Rules</t>
  </si>
  <si>
    <t>3614C1</t>
  </si>
  <si>
    <t>US End User Initiated Secure File and Email Transfer</t>
  </si>
  <si>
    <t>3614C</t>
  </si>
  <si>
    <t>UK CNI Networks - IDN Access to Secure Gas Gateway</t>
  </si>
  <si>
    <t>3614B7</t>
  </si>
  <si>
    <t>CNI Secure Communication</t>
  </si>
  <si>
    <t>3614B6</t>
  </si>
  <si>
    <t>CNI Firewall Management</t>
  </si>
  <si>
    <t>3614B2</t>
  </si>
  <si>
    <t>CNI Separ of Test &amp; Prod</t>
  </si>
  <si>
    <t>3614B13</t>
  </si>
  <si>
    <t>CNI Netw Security Cont</t>
  </si>
  <si>
    <t>3614B12</t>
  </si>
  <si>
    <t>CNI Access Control</t>
  </si>
  <si>
    <t>3614B11</t>
  </si>
  <si>
    <t>CNI Patch Management</t>
  </si>
  <si>
    <t>3614B</t>
  </si>
  <si>
    <t>UK CNI Networks - UTN Firewalls</t>
  </si>
  <si>
    <t>3614A2</t>
  </si>
  <si>
    <t>IAM Ph3 Web Admin</t>
  </si>
  <si>
    <t>3614A1</t>
  </si>
  <si>
    <t>CNI Security</t>
  </si>
  <si>
    <t>3614</t>
  </si>
  <si>
    <t>DRS Program - DR&amp;S 1</t>
  </si>
  <si>
    <t>3613</t>
  </si>
  <si>
    <t>Share GENCO data with LIPA (Staging Database to store GenCo (Electric Generation Group) Operational Data for access by LIPA )</t>
  </si>
  <si>
    <t>3612</t>
  </si>
  <si>
    <t>One Step Cashiering Application Upgrade</t>
  </si>
  <si>
    <t>3611</t>
  </si>
  <si>
    <t>Grain Document Management Migration to Livelink</t>
  </si>
  <si>
    <t>3609</t>
  </si>
  <si>
    <t>UK IS Property Portfolio (Minor Works)</t>
  </si>
  <si>
    <t>3608</t>
  </si>
  <si>
    <t>Connah's Quay IS Infrastructure</t>
  </si>
  <si>
    <t>3607</t>
  </si>
  <si>
    <t>Workingham SWS</t>
  </si>
  <si>
    <t>3606</t>
  </si>
  <si>
    <t>TNCC Warwick</t>
  </si>
  <si>
    <t>3605</t>
  </si>
  <si>
    <t>BritNed RFP</t>
  </si>
  <si>
    <t>3604</t>
  </si>
  <si>
    <t>SSR sharepoint search</t>
  </si>
  <si>
    <t>3603</t>
  </si>
  <si>
    <t>GIN contractual changes</t>
  </si>
  <si>
    <t>3602</t>
  </si>
  <si>
    <t>NGIL process map updates</t>
  </si>
  <si>
    <t>3601</t>
  </si>
  <si>
    <t>Avonmouth Wireless Network</t>
  </si>
  <si>
    <t>3600B</t>
  </si>
  <si>
    <t>US Web Initiatives</t>
  </si>
  <si>
    <t>3600</t>
  </si>
  <si>
    <t>US Web Initiative (P0117)</t>
  </si>
  <si>
    <t>3599</t>
  </si>
  <si>
    <t>LIPA Transition - SAP Setup</t>
  </si>
  <si>
    <t>3598</t>
  </si>
  <si>
    <t>Isle of Grain Wireless Network</t>
  </si>
  <si>
    <t>3597</t>
  </si>
  <si>
    <t>WORTS - Small Projects</t>
  </si>
  <si>
    <t>Transmission - APINS</t>
  </si>
  <si>
    <t>3596</t>
  </si>
  <si>
    <t>3595</t>
  </si>
  <si>
    <t>LIPA Re-Branding</t>
  </si>
  <si>
    <t>3594</t>
  </si>
  <si>
    <t>Outage Communication Texting platform upgrade (Notifi 2.5)</t>
  </si>
  <si>
    <t>3593</t>
  </si>
  <si>
    <t>NS Better Asset Management</t>
  </si>
  <si>
    <t>3592</t>
  </si>
  <si>
    <t>NS Exit Capacity</t>
  </si>
  <si>
    <t>3591</t>
  </si>
  <si>
    <t>Customer Asset Health</t>
  </si>
  <si>
    <t>3590</t>
  </si>
  <si>
    <t>MI &amp; Analytics</t>
  </si>
  <si>
    <t>3589</t>
  </si>
  <si>
    <t>Work Execution and Data Capture</t>
  </si>
  <si>
    <t>3588</t>
  </si>
  <si>
    <t>Scheduling &amp; Dispatch</t>
  </si>
  <si>
    <t>3587</t>
  </si>
  <si>
    <t>3586</t>
  </si>
  <si>
    <t>Planning &amp; Forecast</t>
  </si>
  <si>
    <t>3585</t>
  </si>
  <si>
    <t>BCM &amp; Incident Management</t>
  </si>
  <si>
    <t>3584</t>
  </si>
  <si>
    <t>MI &amp; Analytics Asset Health</t>
  </si>
  <si>
    <t>3583</t>
  </si>
  <si>
    <t>Work Execution and Data Capture Asset Health</t>
  </si>
  <si>
    <t>3582</t>
  </si>
  <si>
    <t>Scheduling &amp; Dispatch Asset Health</t>
  </si>
  <si>
    <t>3581</t>
  </si>
  <si>
    <t>Asset Management Asset Health</t>
  </si>
  <si>
    <t>3580</t>
  </si>
  <si>
    <t>Planning &amp; Forecast Asset Health</t>
  </si>
  <si>
    <t>3579</t>
  </si>
  <si>
    <t>BritNed CPS Pre-Tender Market Survey</t>
  </si>
  <si>
    <t>3577</t>
  </si>
  <si>
    <t>LIPA Transition - App Seperation</t>
  </si>
  <si>
    <t>ED&amp;G</t>
  </si>
  <si>
    <t>3576</t>
  </si>
  <si>
    <t>Logistics - Supply Chain Review</t>
  </si>
  <si>
    <t>3575</t>
  </si>
  <si>
    <t>Predictive Enhanced Thermal Capacity</t>
  </si>
  <si>
    <t>3574</t>
  </si>
  <si>
    <t>SOP - NPV</t>
  </si>
  <si>
    <t>3573</t>
  </si>
  <si>
    <t>SOP - Asset Health</t>
  </si>
  <si>
    <t>3572</t>
  </si>
  <si>
    <t>Network Strategy - Non CNI</t>
  </si>
  <si>
    <t>3571</t>
  </si>
  <si>
    <t>Network Strategy - Asset Health / CNI</t>
  </si>
  <si>
    <t>3570G</t>
  </si>
  <si>
    <t>Global Procurement Project Strategic Sourcing Process Portal</t>
  </si>
  <si>
    <t>3570F</t>
  </si>
  <si>
    <t>Global Procurement Project Drake Technology Support</t>
  </si>
  <si>
    <t>3570E</t>
  </si>
  <si>
    <t>Global Procurement Strategy Technology Support</t>
  </si>
  <si>
    <t>3570D</t>
  </si>
  <si>
    <t>Contract Management Portal</t>
  </si>
  <si>
    <t>3570C</t>
  </si>
  <si>
    <t>Hubwoo renewal</t>
  </si>
  <si>
    <t>3570B</t>
  </si>
  <si>
    <t>Ariba renewal</t>
  </si>
  <si>
    <t>3570A</t>
  </si>
  <si>
    <t>Contracts Management</t>
  </si>
  <si>
    <t>3570</t>
  </si>
  <si>
    <t>3569</t>
  </si>
  <si>
    <t>LIPA AMI and MDM upgrade</t>
  </si>
  <si>
    <t>3568</t>
  </si>
  <si>
    <t>Real Time Information</t>
  </si>
  <si>
    <t>3567</t>
  </si>
  <si>
    <t>NGM Site Husbandry Checks</t>
  </si>
  <si>
    <t>3566</t>
  </si>
  <si>
    <t>EU Regulatory Development Support</t>
  </si>
  <si>
    <t>3565</t>
  </si>
  <si>
    <t>GRP &amp; IAP decommissioning</t>
  </si>
  <si>
    <t>3564</t>
  </si>
  <si>
    <t>Customer Choice ESCO Gas Management</t>
  </si>
  <si>
    <t>3563</t>
  </si>
  <si>
    <t>UK Mobile Communications Contract Renewal</t>
  </si>
  <si>
    <t>3562</t>
  </si>
  <si>
    <t>PCI Compliance for eCommerce</t>
  </si>
  <si>
    <t>3561</t>
  </si>
  <si>
    <t>Residential Interface</t>
  </si>
  <si>
    <t>3560</t>
  </si>
  <si>
    <t>Business Travel Management</t>
  </si>
  <si>
    <t>3559</t>
  </si>
  <si>
    <t>xoserve Compass Decommissioning</t>
  </si>
  <si>
    <t>3558</t>
  </si>
  <si>
    <t>European Business Development Video Conferencing</t>
  </si>
  <si>
    <t>3557</t>
  </si>
  <si>
    <t>SSR Risk Assesment</t>
  </si>
  <si>
    <t>3556</t>
  </si>
  <si>
    <t>IPCC STABILIZATION</t>
  </si>
  <si>
    <t>3555</t>
  </si>
  <si>
    <t>Full Disk Encryption</t>
  </si>
  <si>
    <t>ISSO</t>
  </si>
  <si>
    <t>3554</t>
  </si>
  <si>
    <t>DLP gateway</t>
  </si>
  <si>
    <t>3553</t>
  </si>
  <si>
    <t>SSR Sharepoint Search</t>
  </si>
  <si>
    <t>3552</t>
  </si>
  <si>
    <t>Environmental / Sustainability Management Solution</t>
  </si>
  <si>
    <t>3551</t>
  </si>
  <si>
    <t>Process Safety - Management Dashboard</t>
  </si>
  <si>
    <t>3550</t>
  </si>
  <si>
    <t>Occupational Safety - Risk Assessment</t>
  </si>
  <si>
    <t>3549</t>
  </si>
  <si>
    <t>Occupational Safety - Mobile and Backend Functional Enhancements</t>
  </si>
  <si>
    <t>3548</t>
  </si>
  <si>
    <t>Occupational Safety - Legacy Decommission</t>
  </si>
  <si>
    <t>3547</t>
  </si>
  <si>
    <t>DB Compliance</t>
  </si>
  <si>
    <t>3546</t>
  </si>
  <si>
    <t>SOC</t>
  </si>
  <si>
    <t>3545</t>
  </si>
  <si>
    <t>IDS</t>
  </si>
  <si>
    <t>3544</t>
  </si>
  <si>
    <t>Digital Right Management</t>
  </si>
  <si>
    <t>3543</t>
  </si>
  <si>
    <t>Digital Right Management Pilot</t>
  </si>
  <si>
    <t>3542</t>
  </si>
  <si>
    <t>CNI Security Strategy</t>
  </si>
  <si>
    <t>3541</t>
  </si>
  <si>
    <t>Siebel Data Dictionary</t>
  </si>
  <si>
    <t>3540</t>
  </si>
  <si>
    <t>Call Center Vendor Replacement</t>
  </si>
  <si>
    <t>3539A</t>
  </si>
  <si>
    <t>Corporate Regulated Minor Works 16/17</t>
  </si>
  <si>
    <t>3539</t>
  </si>
  <si>
    <t>Corporate Regulated</t>
  </si>
  <si>
    <t>3538</t>
  </si>
  <si>
    <t>STIG End if life migrations</t>
  </si>
  <si>
    <t>3537</t>
  </si>
  <si>
    <t>SIPS Placeholder</t>
  </si>
  <si>
    <t>3536</t>
  </si>
  <si>
    <t>Pre Sanction Fund</t>
  </si>
  <si>
    <t>3535</t>
  </si>
  <si>
    <t>Oracle Database Upgrade</t>
  </si>
  <si>
    <t>3534</t>
  </si>
  <si>
    <t>DR Testing - SAP ISIS</t>
  </si>
  <si>
    <t>3533</t>
  </si>
  <si>
    <t>DR Testing - SAP Rainbow</t>
  </si>
  <si>
    <t>3532</t>
  </si>
  <si>
    <t>3531</t>
  </si>
  <si>
    <t>Domestic Optioneering</t>
  </si>
  <si>
    <t>3530</t>
  </si>
  <si>
    <t>Own Workforce</t>
  </si>
  <si>
    <t>3529</t>
  </si>
  <si>
    <t>New Service Provider - Minerva 3</t>
  </si>
  <si>
    <t>3528</t>
  </si>
  <si>
    <t>SAP Patch (Rainbow &amp; ISIS)</t>
  </si>
  <si>
    <t>3527</t>
  </si>
  <si>
    <t>AMR</t>
  </si>
  <si>
    <t>3526</t>
  </si>
  <si>
    <t>IS Transformation</t>
  </si>
  <si>
    <t>3525</t>
  </si>
  <si>
    <t>I&amp;C SAP - Release 2</t>
  </si>
  <si>
    <t>3524</t>
  </si>
  <si>
    <t>Lane Rental Phase 2</t>
  </si>
  <si>
    <t>3523</t>
  </si>
  <si>
    <t>Click Process Changes</t>
  </si>
  <si>
    <t>3522</t>
  </si>
  <si>
    <t>Syclo MDC Changes</t>
  </si>
  <si>
    <t>3521</t>
  </si>
  <si>
    <t>Comp and Bens</t>
  </si>
  <si>
    <t>3520</t>
  </si>
  <si>
    <t>Primavera Hosting</t>
  </si>
  <si>
    <t>3519</t>
  </si>
  <si>
    <t>L&amp;D Collaboration Document Storage</t>
  </si>
  <si>
    <t>3518</t>
  </si>
  <si>
    <t>Innovation Team Communication and collaboration</t>
  </si>
  <si>
    <t>3517</t>
  </si>
  <si>
    <t>Uncertainty model - strategic</t>
  </si>
  <si>
    <t>3516</t>
  </si>
  <si>
    <t>L&amp;D Mobility apps</t>
  </si>
  <si>
    <t>3515</t>
  </si>
  <si>
    <t>Massachusetts Electric Purchase of Receivables (POR)  [was temp. renamed to INVP 1643F]</t>
  </si>
  <si>
    <t>3514</t>
  </si>
  <si>
    <t>PIER Reporting Enhacements</t>
  </si>
  <si>
    <t>3513</t>
  </si>
  <si>
    <t>Security Operations Centre  [Rolled into INVP 3614 Program]</t>
  </si>
  <si>
    <t>3512</t>
  </si>
  <si>
    <t>Automatic Generation Control (Pilot)</t>
  </si>
  <si>
    <t>3511</t>
  </si>
  <si>
    <t>Plan to Construct Stabilisation and Consolidation (see 3507)</t>
  </si>
  <si>
    <t>3510</t>
  </si>
  <si>
    <t>SS Reporting Capability Project  (see 3368)</t>
  </si>
  <si>
    <t>3509</t>
  </si>
  <si>
    <t>UK CNI Networks Security - ISMS 120 Compliance</t>
  </si>
  <si>
    <t>3508</t>
  </si>
  <si>
    <t>UK CNI Networks Security - BT Counterpane</t>
  </si>
  <si>
    <t>3507</t>
  </si>
  <si>
    <t>Plan to Construct - Consolidation</t>
  </si>
  <si>
    <t>3506</t>
  </si>
  <si>
    <t>Home Office Trial</t>
  </si>
  <si>
    <t>3505</t>
  </si>
  <si>
    <t>LNGS - Glen Mavis Decommission</t>
  </si>
  <si>
    <t>3504</t>
  </si>
  <si>
    <t>BritNed CPS 2.0</t>
  </si>
  <si>
    <t>3503</t>
  </si>
  <si>
    <t>Grain EWAP</t>
  </si>
  <si>
    <t>3502</t>
  </si>
  <si>
    <t>Britned - ZE</t>
  </si>
  <si>
    <t>3501</t>
  </si>
  <si>
    <t>Intelligence</t>
  </si>
  <si>
    <t>3500</t>
  </si>
  <si>
    <t>FDE Aged Assets</t>
  </si>
  <si>
    <t>3499</t>
  </si>
  <si>
    <t>New IX Implementation</t>
  </si>
  <si>
    <t>3498</t>
  </si>
  <si>
    <t>UK CNI Networks - Monitoring Tools Enhancements</t>
  </si>
  <si>
    <t>3497</t>
  </si>
  <si>
    <t>Cascade Server Replacement</t>
  </si>
  <si>
    <t>3496</t>
  </si>
  <si>
    <t>CCS SCADA Market Analysis and Benchmarking</t>
  </si>
  <si>
    <t>3495</t>
  </si>
  <si>
    <t>Belguim Interconnector IS Support</t>
  </si>
  <si>
    <t>3494</t>
  </si>
  <si>
    <t>Security Threat Intelligence</t>
  </si>
  <si>
    <t>3492</t>
  </si>
  <si>
    <t>Comprehensive Integration Services</t>
  </si>
  <si>
    <t>OPS - MDS Strategy</t>
  </si>
  <si>
    <t>3490</t>
  </si>
  <si>
    <t>Gas Meter Reading Systems Consolidation</t>
  </si>
  <si>
    <t>3486</t>
  </si>
  <si>
    <t>IEE Consolidation</t>
  </si>
  <si>
    <t>3484</t>
  </si>
  <si>
    <t>xoserve EFT NG IS project support</t>
  </si>
  <si>
    <t>3483</t>
  </si>
  <si>
    <t>ArcFM Designer Implementation for US Gas</t>
  </si>
  <si>
    <t>US Gas</t>
  </si>
  <si>
    <t>3482</t>
  </si>
  <si>
    <t>RouteSmart for Meter Routing</t>
  </si>
  <si>
    <t>3481</t>
  </si>
  <si>
    <t>GLNG Wireless</t>
  </si>
  <si>
    <t>3480</t>
  </si>
  <si>
    <t>GIN GSIS Honeywell changes</t>
  </si>
  <si>
    <t>3479</t>
  </si>
  <si>
    <t>Meeting Room Bookings</t>
  </si>
  <si>
    <t>3478</t>
  </si>
  <si>
    <t>LIPA - Solar Enhancements</t>
  </si>
  <si>
    <t>3477</t>
  </si>
  <si>
    <t>LIPA - Cust Svc Enhancements</t>
  </si>
  <si>
    <t>3476</t>
  </si>
  <si>
    <t>LIPA - Data Mart</t>
  </si>
  <si>
    <t>3475</t>
  </si>
  <si>
    <t>LIPA - Pre SGIP</t>
  </si>
  <si>
    <t>3474</t>
  </si>
  <si>
    <t>MRDST Replacement</t>
  </si>
  <si>
    <t>3473</t>
  </si>
  <si>
    <t>Smart Grid Load Control</t>
  </si>
  <si>
    <t>3472</t>
  </si>
  <si>
    <t>Instant Messaging Application for Gas Traders</t>
  </si>
  <si>
    <t>3471A</t>
  </si>
  <si>
    <t>BT21CN - Phase 3</t>
  </si>
  <si>
    <t>3471</t>
  </si>
  <si>
    <t>Optel Network BT21CN Mitigation</t>
  </si>
  <si>
    <t>3470</t>
  </si>
  <si>
    <t>BritNed Asset Management</t>
  </si>
  <si>
    <t>3469</t>
  </si>
  <si>
    <t>US CNI NE EMS - Infrastructure for Lincoln and Northboro</t>
  </si>
  <si>
    <t>3468</t>
  </si>
  <si>
    <t>Health and Welfare Vendor Search (RFP)</t>
  </si>
  <si>
    <t>3467</t>
  </si>
  <si>
    <t>Process Hub</t>
  </si>
  <si>
    <t>3466</t>
  </si>
  <si>
    <t>LIPA Divestiture</t>
  </si>
  <si>
    <t>3465</t>
  </si>
  <si>
    <t>US Systems Mandates</t>
  </si>
  <si>
    <t>3464</t>
  </si>
  <si>
    <t>FUI Portal</t>
  </si>
  <si>
    <t>3463</t>
  </si>
  <si>
    <t>Glenwood Far Rockaway Decommissioning</t>
  </si>
  <si>
    <t>3462</t>
  </si>
  <si>
    <t>Plan to Construct</t>
  </si>
  <si>
    <t>3461</t>
  </si>
  <si>
    <t>UK CNI Networks - Component Refresh</t>
  </si>
  <si>
    <t>3460</t>
  </si>
  <si>
    <t>Control Connect</t>
  </si>
  <si>
    <t>3459</t>
  </si>
  <si>
    <t>Uncertainty Mechanisms</t>
  </si>
  <si>
    <t>3458</t>
  </si>
  <si>
    <t>ETON 6 Upgrade  [NOTE:  Requested reassignemnt to INVP 3028D, per R. Danvers]</t>
  </si>
  <si>
    <t>3457</t>
  </si>
  <si>
    <t>Investment Plan Placeholder - MB</t>
  </si>
  <si>
    <t>3456</t>
  </si>
  <si>
    <t>Secure software development tooling</t>
  </si>
  <si>
    <t>3455</t>
  </si>
  <si>
    <t>3454</t>
  </si>
  <si>
    <t>Operational Technology</t>
  </si>
  <si>
    <t>3453</t>
  </si>
  <si>
    <t>3452</t>
  </si>
  <si>
    <t>Architectural change NERC-CIP 5</t>
  </si>
  <si>
    <t>3451</t>
  </si>
  <si>
    <t>Data orientated protection</t>
  </si>
  <si>
    <t>3450</t>
  </si>
  <si>
    <t>3449</t>
  </si>
  <si>
    <t>Regulated StartUp</t>
  </si>
  <si>
    <t>3448</t>
  </si>
  <si>
    <t>Unregulated  Start Up</t>
  </si>
  <si>
    <t>3447</t>
  </si>
  <si>
    <t>Finance Strategy (incorporating Business Partenering, Planning and Performance Management</t>
  </si>
  <si>
    <t>3446</t>
  </si>
  <si>
    <t>Virtual Training &amp; Assessment Centres</t>
  </si>
  <si>
    <t>3445</t>
  </si>
  <si>
    <t>Global &amp; Regional HR Systems Integration</t>
  </si>
  <si>
    <t>3444</t>
  </si>
  <si>
    <t>Enterprise Services Remediation</t>
  </si>
  <si>
    <t>3443</t>
  </si>
  <si>
    <t>SharePoint remediation</t>
  </si>
  <si>
    <t>BI CoE Minor Works 2018-19</t>
  </si>
  <si>
    <t>3442C</t>
  </si>
  <si>
    <t>Business Intelligence Continuous Improvement</t>
  </si>
  <si>
    <t>3442B</t>
  </si>
  <si>
    <t>Business Intelligence &amp; Analytics Data Quality Toolkit</t>
  </si>
  <si>
    <t>3442A</t>
  </si>
  <si>
    <t>3442</t>
  </si>
  <si>
    <t>UK Shared Services Business Intelligence Capability</t>
  </si>
  <si>
    <t>3441</t>
  </si>
  <si>
    <t>UK Shared Services RRP and RIIO Reporting</t>
  </si>
  <si>
    <t>3440</t>
  </si>
  <si>
    <t>UK Shared Services Mobility Capability</t>
  </si>
  <si>
    <t>3439</t>
  </si>
  <si>
    <t>Mobile &amp; Social Web services</t>
  </si>
  <si>
    <t>3438</t>
  </si>
  <si>
    <t>Web start up &amp; Minor enhancements</t>
  </si>
  <si>
    <t>3437</t>
  </si>
  <si>
    <t>Out of band management</t>
  </si>
  <si>
    <t>3436</t>
  </si>
  <si>
    <t>S&amp;A - Strategic Initiatives Consultancy</t>
  </si>
  <si>
    <t>3435</t>
  </si>
  <si>
    <t>Service Delivery  Project Start-up</t>
  </si>
  <si>
    <t>3434</t>
  </si>
  <si>
    <t>Core Social and Collaboration Infrastructure</t>
  </si>
  <si>
    <t>3433</t>
  </si>
  <si>
    <t>Core CIS Infrastructure</t>
  </si>
  <si>
    <t>3432</t>
  </si>
  <si>
    <t>Portfolio Management</t>
  </si>
  <si>
    <t>Application Lifecycle Management Toolset</t>
  </si>
  <si>
    <t>3431A</t>
  </si>
  <si>
    <t>Portfolio/Demand Management Replacement</t>
  </si>
  <si>
    <t>3431</t>
  </si>
  <si>
    <t>Program Delivery Enablement Project</t>
  </si>
  <si>
    <t>3430</t>
  </si>
  <si>
    <t>Core Mobility Infrastructure</t>
  </si>
  <si>
    <t>3429</t>
  </si>
  <si>
    <t>US WAAS deployment</t>
  </si>
  <si>
    <t>3428</t>
  </si>
  <si>
    <t>STIG End of life migrations</t>
  </si>
  <si>
    <t>3427</t>
  </si>
  <si>
    <t>Contract Re-bid Enterprise Services</t>
  </si>
  <si>
    <t>3426</t>
  </si>
  <si>
    <t>Contract Re-bid - Networks</t>
  </si>
  <si>
    <t>3425</t>
  </si>
  <si>
    <t>Wireless Network - Expansion</t>
  </si>
  <si>
    <t>3424</t>
  </si>
  <si>
    <t>3423</t>
  </si>
  <si>
    <t>3422</t>
  </si>
  <si>
    <t>GHG Functional Enhancements</t>
  </si>
  <si>
    <t>3421</t>
  </si>
  <si>
    <t>Mobile Application Development</t>
  </si>
  <si>
    <t>3420</t>
  </si>
  <si>
    <t>Process Safety Dashboard</t>
  </si>
  <si>
    <t>3419</t>
  </si>
  <si>
    <t>IMS Replacement</t>
  </si>
  <si>
    <t>3418</t>
  </si>
  <si>
    <t>Baseline SUP Infrastructure</t>
  </si>
  <si>
    <t>3417</t>
  </si>
  <si>
    <t>LIPA SC11 Modifications</t>
  </si>
  <si>
    <t>3416</t>
  </si>
  <si>
    <t>New LIPA 188M rate</t>
  </si>
  <si>
    <t>3415</t>
  </si>
  <si>
    <t>MV90 Upgrade</t>
  </si>
  <si>
    <t>3414</t>
  </si>
  <si>
    <t>Siebel Smart Grid Flag</t>
  </si>
  <si>
    <t>3413</t>
  </si>
  <si>
    <t>SSR Splash in/out</t>
  </si>
  <si>
    <t>3412</t>
  </si>
  <si>
    <t>New Northboro SCC Build Out</t>
  </si>
  <si>
    <t>3411</t>
  </si>
  <si>
    <t>Mobile Applications Development</t>
  </si>
  <si>
    <t>3410</t>
  </si>
  <si>
    <t>IS Production Planning Tool</t>
  </si>
  <si>
    <t>3409</t>
  </si>
  <si>
    <t>Resource Management Improvements</t>
  </si>
  <si>
    <t>3408</t>
  </si>
  <si>
    <t>IFI 77 - Asset Health Monitoring</t>
  </si>
  <si>
    <t>3407</t>
  </si>
  <si>
    <t>Grain Commercial Systems</t>
  </si>
  <si>
    <t>3406</t>
  </si>
  <si>
    <t>Britned Grain VPN</t>
  </si>
  <si>
    <t>3405B</t>
  </si>
  <si>
    <t>LIPA Executive Dashboard Phase 2</t>
  </si>
  <si>
    <t>3405</t>
  </si>
  <si>
    <t>Executive Dashboard</t>
  </si>
  <si>
    <t>3404</t>
  </si>
  <si>
    <t>Siebel Import Tool</t>
  </si>
  <si>
    <t>3403</t>
  </si>
  <si>
    <t>Outage Two Way Communication System</t>
  </si>
  <si>
    <t>3402</t>
  </si>
  <si>
    <t>Operational Technology - UK &amp; US  [Rolled into INVP 3614 Program]</t>
  </si>
  <si>
    <t>3401</t>
  </si>
  <si>
    <t>Web Content Management Toolset</t>
  </si>
  <si>
    <t>3400</t>
  </si>
  <si>
    <t>LNGS CALMS tankering</t>
  </si>
  <si>
    <t>3399</t>
  </si>
  <si>
    <t>Northport PS Video Enhancement</t>
  </si>
  <si>
    <t>3398</t>
  </si>
  <si>
    <t>Conversion to a Unified National Grid Site</t>
  </si>
  <si>
    <t>3397</t>
  </si>
  <si>
    <t>PMAC Infrastructure Improvements</t>
  </si>
  <si>
    <t>3396</t>
  </si>
  <si>
    <t>Communities of Practice Trial</t>
  </si>
  <si>
    <t>3395</t>
  </si>
  <si>
    <t>EDSS Health</t>
  </si>
  <si>
    <t>3394</t>
  </si>
  <si>
    <t>Pensions Transformations Program</t>
  </si>
  <si>
    <t>3393</t>
  </si>
  <si>
    <t>Res Woods Lobby Security Enhancements</t>
  </si>
  <si>
    <t>3392</t>
  </si>
  <si>
    <t>Mobile App. Development</t>
  </si>
  <si>
    <t>3391</t>
  </si>
  <si>
    <t>Website Frequently Asked Questions</t>
  </si>
  <si>
    <t>3390</t>
  </si>
  <si>
    <t>Automatic Picasso Generator</t>
  </si>
  <si>
    <t>3389</t>
  </si>
  <si>
    <t>20th ENERGY STAR Celebration</t>
  </si>
  <si>
    <t>3388</t>
  </si>
  <si>
    <t>UNY Preservation Power</t>
  </si>
  <si>
    <t>3386</t>
  </si>
  <si>
    <t>SSR Compass &amp; THESIS archive and Decommission</t>
  </si>
  <si>
    <t>3385</t>
  </si>
  <si>
    <t>BritNed CPS enhancements</t>
  </si>
  <si>
    <t>3384</t>
  </si>
  <si>
    <t>Britned Decision Support Tool</t>
  </si>
  <si>
    <t>3383</t>
  </si>
  <si>
    <t>GIN change UIOLI</t>
  </si>
  <si>
    <t>3382</t>
  </si>
  <si>
    <t>USNY C-Cure Conversation to AMAG</t>
  </si>
  <si>
    <t>3381</t>
  </si>
  <si>
    <t>USNY Gas Take Stations Security Enhancements</t>
  </si>
  <si>
    <t>3380</t>
  </si>
  <si>
    <t>NERC Alarm Mitigation Plan</t>
  </si>
  <si>
    <t>3379</t>
  </si>
  <si>
    <t>Outage Data Warehouse</t>
  </si>
  <si>
    <t>3378</t>
  </si>
  <si>
    <t>Rubber Goods Testing system</t>
  </si>
  <si>
    <t>3377</t>
  </si>
  <si>
    <t>NE &amp; Upstate NY Web Server Refresh</t>
  </si>
  <si>
    <t>3376</t>
  </si>
  <si>
    <t>Bio-Methane Injection Site Design</t>
  </si>
  <si>
    <t>3375D</t>
  </si>
  <si>
    <t>CTLN - Reduce Customer Letters (RCL)</t>
  </si>
  <si>
    <t>3375C</t>
  </si>
  <si>
    <t>CTLN - DOXO Electronic Bill Presentment Implementation (Doxo)</t>
  </si>
  <si>
    <t>3375B/C</t>
  </si>
  <si>
    <t>Challenge the Limits Now Programme</t>
  </si>
  <si>
    <t>3375B</t>
  </si>
  <si>
    <t>CTLN - XML Bill Delivery Implementation (XMLI)</t>
  </si>
  <si>
    <t>3375</t>
  </si>
  <si>
    <t>3374</t>
  </si>
  <si>
    <t>Smallworld GIS FY13 Release 1</t>
  </si>
  <si>
    <t>3373</t>
  </si>
  <si>
    <t>HR Strategy - UK Regional HR System Improvements</t>
  </si>
  <si>
    <t>3372</t>
  </si>
  <si>
    <t>TMAS Minor Works</t>
  </si>
  <si>
    <t>3371</t>
  </si>
  <si>
    <t>UK Regional Recruitment</t>
  </si>
  <si>
    <t>3370</t>
  </si>
  <si>
    <t>UK Regional Learning</t>
  </si>
  <si>
    <t>3369</t>
  </si>
  <si>
    <t>3368</t>
  </si>
  <si>
    <t>UK Shared Services Process Improvement Programme</t>
  </si>
  <si>
    <t>3367</t>
  </si>
  <si>
    <t>UK SS Logistics: Warehouse RFID implementation</t>
  </si>
  <si>
    <t>3366A</t>
  </si>
  <si>
    <t>MyServices Enhancements</t>
  </si>
  <si>
    <t>3366</t>
  </si>
  <si>
    <t>UK SS Self Service</t>
  </si>
  <si>
    <t>3365</t>
  </si>
  <si>
    <t>Gas Standards of Service (GSOS) Reg Reporting</t>
  </si>
  <si>
    <t>3364</t>
  </si>
  <si>
    <t>3363</t>
  </si>
  <si>
    <t>UK Pension System Transformation</t>
  </si>
  <si>
    <t>3362</t>
  </si>
  <si>
    <t>Non IPT Telephone System Upgrades (CNI)</t>
  </si>
  <si>
    <t>3361</t>
  </si>
  <si>
    <t>3360</t>
  </si>
  <si>
    <t>CNI Organic Storage Growth</t>
  </si>
  <si>
    <t>3359</t>
  </si>
  <si>
    <t>Expansion of WAAS</t>
  </si>
  <si>
    <t>3358</t>
  </si>
  <si>
    <t>Expansion of Wireless LANs</t>
  </si>
  <si>
    <t>3357A</t>
  </si>
  <si>
    <t>UK Technical Minor Works 17/18</t>
  </si>
  <si>
    <t>3357</t>
  </si>
  <si>
    <t>Telecoms Minor works</t>
  </si>
  <si>
    <t>3356</t>
  </si>
  <si>
    <t>3355</t>
  </si>
  <si>
    <t>Telephony Upgrades - Celluer network - Legacy PABX's maintenance</t>
  </si>
  <si>
    <t>3354</t>
  </si>
  <si>
    <t>Performance Upgrades including F&amp;A investigations and Network Impact Analysis</t>
  </si>
  <si>
    <t>3353</t>
  </si>
  <si>
    <t>Data Centre TEST/PROD LAN separation</t>
  </si>
  <si>
    <t>3352</t>
  </si>
  <si>
    <t>Business Impacts of CNI Data Centre separations</t>
  </si>
  <si>
    <t>3351</t>
  </si>
  <si>
    <t>3350</t>
  </si>
  <si>
    <t>Existing STIG EOL mitigations</t>
  </si>
  <si>
    <t>3349</t>
  </si>
  <si>
    <t>Intra-site cabling</t>
  </si>
  <si>
    <t>3348</t>
  </si>
  <si>
    <t>Fixed Mobile convergence</t>
  </si>
  <si>
    <t>3347</t>
  </si>
  <si>
    <t>Demand database</t>
  </si>
  <si>
    <t>3346</t>
  </si>
  <si>
    <t>Experian Frame Relay</t>
  </si>
  <si>
    <t>3345</t>
  </si>
  <si>
    <t>Configuration monitoring of business servers</t>
  </si>
  <si>
    <t>3344</t>
  </si>
  <si>
    <t>Network risk and compliance  [Rolled into INVP 3614 Program]</t>
  </si>
  <si>
    <t>3343</t>
  </si>
  <si>
    <t>eDiscovery</t>
  </si>
  <si>
    <t>3342</t>
  </si>
  <si>
    <t>3341</t>
  </si>
  <si>
    <t>Full disk encryption</t>
  </si>
  <si>
    <t>3340</t>
  </si>
  <si>
    <t>Dynamic System Monitoring</t>
  </si>
  <si>
    <t>3338</t>
  </si>
  <si>
    <t>Britned Kingdom 2</t>
  </si>
  <si>
    <t>3337</t>
  </si>
  <si>
    <t>GSIS Modifications</t>
  </si>
  <si>
    <t>3336</t>
  </si>
  <si>
    <t>Doble Protective Relay Testing Software Web Services Deployment</t>
  </si>
  <si>
    <t>3335</t>
  </si>
  <si>
    <t>SIS Migration</t>
  </si>
  <si>
    <t>3334</t>
  </si>
  <si>
    <t>TDC controls framework procedures management</t>
  </si>
  <si>
    <t>3333</t>
  </si>
  <si>
    <t>BritNed CRM</t>
  </si>
  <si>
    <t>3332</t>
  </si>
  <si>
    <t>BritNed Finance Systems</t>
  </si>
  <si>
    <t>3330</t>
  </si>
  <si>
    <t>DNCC - FRAS Replacement</t>
  </si>
  <si>
    <t>3329</t>
  </si>
  <si>
    <t>Hinckley Reception Refurbishment</t>
  </si>
  <si>
    <t>3328</t>
  </si>
  <si>
    <t>Property Office Moves Project Management Programme</t>
  </si>
  <si>
    <t>3327</t>
  </si>
  <si>
    <t>ESRI/Xoserve Address Rectification</t>
  </si>
  <si>
    <t>3326</t>
  </si>
  <si>
    <t>Grain Systems Health Check</t>
  </si>
  <si>
    <t>3325</t>
  </si>
  <si>
    <t>NIMBA Interface Automation</t>
  </si>
  <si>
    <t>3324</t>
  </si>
  <si>
    <t>AMAG Instance for TWIC Authentication</t>
  </si>
  <si>
    <t>3323D</t>
  </si>
  <si>
    <t>Resource on Demand (ROD) Upgrade.</t>
  </si>
  <si>
    <t>3323C</t>
  </si>
  <si>
    <t>Emergency Response - Storm Assignments System Process Improvements</t>
  </si>
  <si>
    <t>3323B</t>
  </si>
  <si>
    <t>Wireless Access Points for Worcester, MA</t>
  </si>
  <si>
    <t>3323A</t>
  </si>
  <si>
    <t>Storm Operations Data Center Implementation</t>
  </si>
  <si>
    <t>3322</t>
  </si>
  <si>
    <t>BritNed Document Management</t>
  </si>
  <si>
    <t>3321</t>
  </si>
  <si>
    <t>POND Strategic</t>
  </si>
  <si>
    <t>3320</t>
  </si>
  <si>
    <t>NGIL Virtual Hub</t>
  </si>
  <si>
    <t>3319</t>
  </si>
  <si>
    <t>Electricity Market Reform</t>
  </si>
  <si>
    <t>3318</t>
  </si>
  <si>
    <t>Kingdom DR</t>
  </si>
  <si>
    <t>3317</t>
  </si>
  <si>
    <t>Safety Sustainability &amp; Reliability (SSR)</t>
  </si>
  <si>
    <t>3316</t>
  </si>
  <si>
    <t>Risk Assessment Tool for Maintenance Delivery Gas</t>
  </si>
  <si>
    <t>3315</t>
  </si>
  <si>
    <t>GRAIN – IS Support</t>
  </si>
  <si>
    <t>3314</t>
  </si>
  <si>
    <t>BritNed IS Support Services</t>
  </si>
  <si>
    <t>3313</t>
  </si>
  <si>
    <t>e-Recruitment</t>
  </si>
  <si>
    <t>3312</t>
  </si>
  <si>
    <t>Archiving Tool Set</t>
  </si>
  <si>
    <t>3311</t>
  </si>
  <si>
    <t>Risk Assessment Document VBA</t>
  </si>
  <si>
    <t>3310</t>
  </si>
  <si>
    <t>Applicant Tracking System</t>
  </si>
  <si>
    <t>3309</t>
  </si>
  <si>
    <t>Forestry Devices</t>
  </si>
  <si>
    <t>3308</t>
  </si>
  <si>
    <t>NGM Informatica upgrade</t>
  </si>
  <si>
    <t>3307</t>
  </si>
  <si>
    <t>iFactor Storm Center Application Hosting</t>
  </si>
  <si>
    <t>3306</t>
  </si>
  <si>
    <t>Casewise Modelling Tool – Network &amp; Upgrade</t>
  </si>
  <si>
    <t>3305</t>
  </si>
  <si>
    <t>BritNed: Virtual Team Strategy Development</t>
  </si>
  <si>
    <t>3304</t>
  </si>
  <si>
    <t>OnStream Exit Migration Plan</t>
  </si>
  <si>
    <t>3303</t>
  </si>
  <si>
    <t>Automatic PICASSO</t>
  </si>
  <si>
    <t>3302</t>
  </si>
  <si>
    <t>HVDC Link Control</t>
  </si>
  <si>
    <t>3301</t>
  </si>
  <si>
    <t>Compressor Site asset Centre</t>
  </si>
  <si>
    <t>3300</t>
  </si>
  <si>
    <t>Western Link (WHVDC) Office Setup</t>
  </si>
  <si>
    <t>3299</t>
  </si>
  <si>
    <t>Brussels Office Setup</t>
  </si>
  <si>
    <t>3298</t>
  </si>
  <si>
    <t>Informatica Upgrade</t>
  </si>
  <si>
    <t>3297</t>
  </si>
  <si>
    <t>Siebel Email Marketing</t>
  </si>
  <si>
    <t>3296</t>
  </si>
  <si>
    <t>SA4</t>
  </si>
  <si>
    <t>3295</t>
  </si>
  <si>
    <t>Security Cameras for 44 Substations for Physical Security</t>
  </si>
  <si>
    <t>3294B</t>
  </si>
  <si>
    <t>Power Plan Lease Asset Module – Phase 2</t>
  </si>
  <si>
    <t>3294</t>
  </si>
  <si>
    <t>Powerplant Leased Assets module</t>
  </si>
  <si>
    <t>3293</t>
  </si>
  <si>
    <t>Go2020 Test Environment</t>
  </si>
  <si>
    <t>3292</t>
  </si>
  <si>
    <t>WBT Manager Upgrade</t>
  </si>
  <si>
    <t>3291</t>
  </si>
  <si>
    <t>Rewards &amp; Recognition</t>
  </si>
  <si>
    <t>3290</t>
  </si>
  <si>
    <t>Fast Reserve Metering &amp; Despatch</t>
  </si>
  <si>
    <t>3289</t>
  </si>
  <si>
    <t>Portfolio Planning Tool</t>
  </si>
  <si>
    <t>EPO</t>
  </si>
  <si>
    <t>3288</t>
  </si>
  <si>
    <t>Exit 2012 - Enhanced Monitoring</t>
  </si>
  <si>
    <t>3287</t>
  </si>
  <si>
    <t>MIPI EU</t>
  </si>
  <si>
    <t>3286</t>
  </si>
  <si>
    <t>OHL data Collection</t>
  </si>
  <si>
    <t>3283</t>
  </si>
  <si>
    <t>Electric Geographical Information System (EGIS)</t>
  </si>
  <si>
    <t>3282</t>
  </si>
  <si>
    <t>Electric Management System (EMS) - DUPLICATE [see INVP 3061)</t>
  </si>
  <si>
    <t>3281</t>
  </si>
  <si>
    <t>ODS decommissioning</t>
  </si>
  <si>
    <t>3280</t>
  </si>
  <si>
    <t>IAD decommissioning</t>
  </si>
  <si>
    <t>3279</t>
  </si>
  <si>
    <t>Partington Decommissioning</t>
  </si>
  <si>
    <t>3278</t>
  </si>
  <si>
    <t>LIPA OMS / DMS Pilot</t>
  </si>
  <si>
    <t>US Trans</t>
  </si>
  <si>
    <t>3277</t>
  </si>
  <si>
    <t>ArcGIS Portal Pilot</t>
  </si>
  <si>
    <t>3276</t>
  </si>
  <si>
    <t>LI Meter Reading AMR Deployment and ERTS Upgrade</t>
  </si>
  <si>
    <t>3275</t>
  </si>
  <si>
    <t>Investment Plan - INVP# Placeholder - MB</t>
  </si>
  <si>
    <t>3274</t>
  </si>
  <si>
    <t>3273</t>
  </si>
  <si>
    <t>3272</t>
  </si>
  <si>
    <t>3271B</t>
  </si>
  <si>
    <t>Customer Complaints</t>
  </si>
  <si>
    <t>3271A</t>
  </si>
  <si>
    <t>Customer, New Media and Web</t>
  </si>
  <si>
    <t>3271</t>
  </si>
  <si>
    <t>Customer Strategy – Web and New Media Programme Initiation</t>
  </si>
  <si>
    <t>3270</t>
  </si>
  <si>
    <t>Start Up &amp; Minor Works (Intranet &amp; Internet)</t>
  </si>
  <si>
    <t>3269</t>
  </si>
  <si>
    <t>Britned Asset Management</t>
  </si>
  <si>
    <t>3268</t>
  </si>
  <si>
    <t>Britned - Lone Worker</t>
  </si>
  <si>
    <t>3262</t>
  </si>
  <si>
    <t>ENI Demand Database project</t>
  </si>
  <si>
    <t>3261</t>
  </si>
  <si>
    <t>CALMS Replacement</t>
  </si>
  <si>
    <t>3260</t>
  </si>
  <si>
    <t>CWQ System Required Upgrade</t>
  </si>
  <si>
    <t>3259</t>
  </si>
  <si>
    <t>3258</t>
  </si>
  <si>
    <t>3257</t>
  </si>
  <si>
    <t>US CNI OMS/DMS-Network Operations and Control Reliability</t>
  </si>
  <si>
    <t>3256</t>
  </si>
  <si>
    <t>US CNI Support OPEX Offset</t>
  </si>
  <si>
    <t>3255</t>
  </si>
  <si>
    <t>US CNI NY EMS-Network Operations and Control Reliability</t>
  </si>
  <si>
    <t>3254</t>
  </si>
  <si>
    <t>US CNI NE EMS-Network Operations and Control Reliability</t>
  </si>
  <si>
    <t>3253</t>
  </si>
  <si>
    <t>US CNI Support-CNI Organic Storage Growth</t>
  </si>
  <si>
    <t>3252</t>
  </si>
  <si>
    <t>US CNI Tech Services-Network Operations and Control Reliability</t>
  </si>
  <si>
    <t>3251</t>
  </si>
  <si>
    <t>US CNI GMS-GMS Workorder System Upgrade</t>
  </si>
  <si>
    <t>3250</t>
  </si>
  <si>
    <t>US CNI GMS-GMS CDMA Gateway</t>
  </si>
  <si>
    <t>3249</t>
  </si>
  <si>
    <t>3248</t>
  </si>
  <si>
    <t>3247</t>
  </si>
  <si>
    <t>US CNI GMS-Upstate NY MPLS Pilot Rollout</t>
  </si>
  <si>
    <t>3246</t>
  </si>
  <si>
    <t>US CNI GMS-GMS Backup Communication System</t>
  </si>
  <si>
    <t>3245</t>
  </si>
  <si>
    <t>US CNI GMS-Metrotech Firewall Upgrade</t>
  </si>
  <si>
    <t>3244</t>
  </si>
  <si>
    <t>3243</t>
  </si>
  <si>
    <t>US CNI GMS-Network Operations and Control Reliability</t>
  </si>
  <si>
    <t>3242</t>
  </si>
  <si>
    <t>3241</t>
  </si>
  <si>
    <t>3240</t>
  </si>
  <si>
    <t>US CNI GenCo-Network Operations and Control Reliability</t>
  </si>
  <si>
    <t>3239</t>
  </si>
  <si>
    <t>Long Island CNI Distribution SCADA (ENMAC) System Upgrade (Including EMS to DMS ICCP Data Exchange)</t>
  </si>
  <si>
    <t>3238</t>
  </si>
  <si>
    <t>Dedicated Network for Long Island CNI Distribution SCADA (ENMAC)</t>
  </si>
  <si>
    <t>3237</t>
  </si>
  <si>
    <t>Street Light Tracking Improvements</t>
  </si>
  <si>
    <t>3236</t>
  </si>
  <si>
    <t>US E-2-E Maintenance and Constructon Deployment</t>
  </si>
  <si>
    <t>3235</t>
  </si>
  <si>
    <t>US Metrics Development Program</t>
  </si>
  <si>
    <t>3234</t>
  </si>
  <si>
    <t>Conceptual Estimating Tool (EDOT- STD01)</t>
  </si>
  <si>
    <t>3233</t>
  </si>
  <si>
    <t>Meter Reading Service Provider Contract Change</t>
  </si>
  <si>
    <t>3232B</t>
  </si>
  <si>
    <t>Paperless Billing</t>
  </si>
  <si>
    <t>3232A</t>
  </si>
  <si>
    <t>Tallyman (and Paperless Billing)</t>
  </si>
  <si>
    <t>3231</t>
  </si>
  <si>
    <t>Market Development</t>
  </si>
  <si>
    <t>3229</t>
  </si>
  <si>
    <t>3228</t>
  </si>
  <si>
    <t>3227</t>
  </si>
  <si>
    <t>3226</t>
  </si>
  <si>
    <t>3225</t>
  </si>
  <si>
    <t>3224</t>
  </si>
  <si>
    <t>3223</t>
  </si>
  <si>
    <t>Clean Power Research</t>
  </si>
  <si>
    <t>3221</t>
  </si>
  <si>
    <t>Offshore Due Diligence Phase 2</t>
  </si>
  <si>
    <t>3220</t>
  </si>
  <si>
    <t>CPS Changes</t>
  </si>
  <si>
    <t>3219</t>
  </si>
  <si>
    <t>UK Pensions External Portal</t>
  </si>
  <si>
    <t>3218</t>
  </si>
  <si>
    <t>Avonmouth Opralog</t>
  </si>
  <si>
    <t>3202Q</t>
  </si>
  <si>
    <t>Physical Security Defined Minor Work Project</t>
  </si>
  <si>
    <t>3202P</t>
  </si>
  <si>
    <t>RI Gas Phys Security</t>
  </si>
  <si>
    <t>3202N</t>
  </si>
  <si>
    <t>NE Power Phys Security</t>
  </si>
  <si>
    <t>3202</t>
  </si>
  <si>
    <t>Physical Security Defined Minor Work Projects (was Canarsie  Employee Yard)</t>
  </si>
  <si>
    <t>3201</t>
  </si>
  <si>
    <t>LIPA - PSC Beam</t>
  </si>
  <si>
    <t>3200</t>
  </si>
  <si>
    <t>NE Substation Leader Laptops</t>
  </si>
  <si>
    <t>3197</t>
  </si>
  <si>
    <t>3196</t>
  </si>
  <si>
    <t>CALMS Modifications</t>
  </si>
  <si>
    <t>3195</t>
  </si>
  <si>
    <t>STORMS Archive Tool Implementation</t>
  </si>
  <si>
    <t>3194</t>
  </si>
  <si>
    <t>Video Conf Setup for MTC 12-088W</t>
  </si>
  <si>
    <t>3193</t>
  </si>
  <si>
    <t>xoserve IAD Decommissioning</t>
  </si>
  <si>
    <t>3192</t>
  </si>
  <si>
    <t>LNGS CALMS Modifications</t>
  </si>
  <si>
    <t>3191</t>
  </si>
  <si>
    <t>Metrotech 12W-088 Video Conf Installation</t>
  </si>
  <si>
    <t>3190</t>
  </si>
  <si>
    <t>Avonmouth ISSOW</t>
  </si>
  <si>
    <t>3189</t>
  </si>
  <si>
    <t>NGM Testing for GDFO R3</t>
  </si>
  <si>
    <t>3188</t>
  </si>
  <si>
    <t>TTL Refresh</t>
  </si>
  <si>
    <t>3187</t>
  </si>
  <si>
    <t>Sharepoint Risk Mitigation</t>
  </si>
  <si>
    <t>3186</t>
  </si>
  <si>
    <t>Gas Emergency Comms</t>
  </si>
  <si>
    <t>3185</t>
  </si>
  <si>
    <t>GDT Strategy Property Move Project</t>
  </si>
  <si>
    <t>3184</t>
  </si>
  <si>
    <t>iGMS Tactical</t>
  </si>
  <si>
    <t>3183</t>
  </si>
  <si>
    <t>MIPI Asset Health</t>
  </si>
  <si>
    <t>3182G</t>
  </si>
  <si>
    <t>iEP - BA -  Replace/Evolve</t>
  </si>
  <si>
    <t>3182F</t>
  </si>
  <si>
    <t>iEP - MIS -  Replace/Evolve</t>
  </si>
  <si>
    <t>3182E</t>
  </si>
  <si>
    <t>iEP - Network Manager (NM) -  Replace/Evolve</t>
  </si>
  <si>
    <t>3182D</t>
  </si>
  <si>
    <t>iEP- User Portal</t>
  </si>
  <si>
    <t>3182C</t>
  </si>
  <si>
    <t>iEP - iTOD</t>
  </si>
  <si>
    <t>3182B</t>
  </si>
  <si>
    <t>3182A</t>
  </si>
  <si>
    <t>iGMS Evolution Programme</t>
  </si>
  <si>
    <t>3181</t>
  </si>
  <si>
    <t>BrandApollo Asset Health Maintenance</t>
  </si>
  <si>
    <t>3180</t>
  </si>
  <si>
    <t>OpenText Asset Health Maintenance</t>
  </si>
  <si>
    <t>3179</t>
  </si>
  <si>
    <t>Smart Travel Asset Health Maintenance</t>
  </si>
  <si>
    <t>3178</t>
  </si>
  <si>
    <t>Click Asset Health Maintenance</t>
  </si>
  <si>
    <t>3177</t>
  </si>
  <si>
    <t>Syclo Asset Health Maintenance</t>
  </si>
  <si>
    <t>3176</t>
  </si>
  <si>
    <t>ESRI Asset Health Maintenance</t>
  </si>
  <si>
    <t>3175</t>
  </si>
  <si>
    <t>GD Front Office Best of Breed Upgrades</t>
  </si>
  <si>
    <t>3174</t>
  </si>
  <si>
    <t>High Rise Buildings Database</t>
  </si>
  <si>
    <t>3173</t>
  </si>
  <si>
    <t>High Rise Data - Risk Score Database</t>
  </si>
  <si>
    <t>3172</t>
  </si>
  <si>
    <t>US 2011 Computing Minor Works Paper</t>
  </si>
  <si>
    <t>3171</t>
  </si>
  <si>
    <t>Compensation &amp; Benefits</t>
  </si>
  <si>
    <t>3170</t>
  </si>
  <si>
    <t>3169</t>
  </si>
  <si>
    <t>3168</t>
  </si>
  <si>
    <t>3167</t>
  </si>
  <si>
    <t>3166</t>
  </si>
  <si>
    <t>3165C</t>
  </si>
  <si>
    <t>Transmission Front Office Programme (Phase 1)- Scheduling and Mobile</t>
  </si>
  <si>
    <t>3165B</t>
  </si>
  <si>
    <t>Transmission Front Office Programme (Phase 1) - SVOP Workstream</t>
  </si>
  <si>
    <t>3165A</t>
  </si>
  <si>
    <t>Transmission Front Office Programme (Phase 1) - Data Workstream</t>
  </si>
  <si>
    <t>3165</t>
  </si>
  <si>
    <t>Transmission Front Office (TFO)</t>
  </si>
  <si>
    <t>3164</t>
  </si>
  <si>
    <t>Netsip (Online and Training Simulation)</t>
  </si>
  <si>
    <t>3163</t>
  </si>
  <si>
    <t>3162I</t>
  </si>
  <si>
    <t>EDL/EDT/Control Telephony new connections 2019/20</t>
  </si>
  <si>
    <t>3162H</t>
  </si>
  <si>
    <t>EDL/EDT New Connections 18/19</t>
  </si>
  <si>
    <t>EDL/EDT New Connections 2017/18</t>
  </si>
  <si>
    <t>3162F</t>
  </si>
  <si>
    <t>EDL, EDT and Control Telephony New Connections 16/17</t>
  </si>
  <si>
    <t>3162E</t>
  </si>
  <si>
    <t>Electronic Data Logger (EDL)/Electronic Data Transfer(EDT)/Control Telephony New Connections 15-16</t>
  </si>
  <si>
    <t>3162D</t>
  </si>
  <si>
    <t>3162C</t>
  </si>
  <si>
    <t>EDL Control Telephony 2013-14</t>
  </si>
  <si>
    <t>3162B</t>
  </si>
  <si>
    <t>EDL Control Telephony 2012-13</t>
  </si>
  <si>
    <t>3162</t>
  </si>
  <si>
    <t>EDL Control Telephony 2011/12</t>
  </si>
  <si>
    <t>3161</t>
  </si>
  <si>
    <t>Expansion Plateau LMS</t>
  </si>
  <si>
    <t>3160</t>
  </si>
  <si>
    <t>3159</t>
  </si>
  <si>
    <t>3158</t>
  </si>
  <si>
    <t>3157</t>
  </si>
  <si>
    <t>3156</t>
  </si>
  <si>
    <t>3155</t>
  </si>
  <si>
    <t>3154</t>
  </si>
  <si>
    <t>3153</t>
  </si>
  <si>
    <t>3152</t>
  </si>
  <si>
    <t>3151B</t>
  </si>
  <si>
    <t>MI Development</t>
  </si>
  <si>
    <t>3151A</t>
  </si>
  <si>
    <t>MI Strategy</t>
  </si>
  <si>
    <t>3151</t>
  </si>
  <si>
    <t>3150</t>
  </si>
  <si>
    <t>3149</t>
  </si>
  <si>
    <t>3148</t>
  </si>
  <si>
    <t>SOF Customer Transformation</t>
  </si>
  <si>
    <t>3147</t>
  </si>
  <si>
    <t>Commercial Customer Service Internet Portal</t>
  </si>
  <si>
    <t>3146</t>
  </si>
  <si>
    <t>3145</t>
  </si>
  <si>
    <t>3144</t>
  </si>
  <si>
    <t>3143</t>
  </si>
  <si>
    <t>3142</t>
  </si>
  <si>
    <t>3141</t>
  </si>
  <si>
    <t>3140</t>
  </si>
  <si>
    <t>3139</t>
  </si>
  <si>
    <t>Web Minor Enhancements</t>
  </si>
  <si>
    <t>3138</t>
  </si>
  <si>
    <t>Distributed Generation Interconnection Enhancements</t>
  </si>
  <si>
    <t>3137</t>
  </si>
  <si>
    <t>Weather Services</t>
  </si>
  <si>
    <t>3136</t>
  </si>
  <si>
    <t>New England Gas Leak Rechecks</t>
  </si>
  <si>
    <t>3135</t>
  </si>
  <si>
    <t>PMC Pressure System Database</t>
  </si>
  <si>
    <t>3134</t>
  </si>
  <si>
    <t>DNCC Enduring Reporting</t>
  </si>
  <si>
    <t>3133</t>
  </si>
  <si>
    <t>GDFO Improved Infrastructure Availability and Disaster Recovery</t>
  </si>
  <si>
    <t>3132</t>
  </si>
  <si>
    <t>GDFO Business Continuity Management</t>
  </si>
  <si>
    <t>3131</t>
  </si>
  <si>
    <t>STiG2 firewall replacement</t>
  </si>
  <si>
    <t>3129</t>
  </si>
  <si>
    <t>Work Place Sharing Project</t>
  </si>
  <si>
    <t>3127</t>
  </si>
  <si>
    <t>Maximo - Vision FM Interface</t>
  </si>
  <si>
    <t>3126</t>
  </si>
  <si>
    <t>Laptop Refresh US &amp; UK</t>
  </si>
  <si>
    <t>3125</t>
  </si>
  <si>
    <t>UK Project Fusion - Domain Controller Replacement</t>
  </si>
  <si>
    <t>3124C</t>
  </si>
  <si>
    <t>Global HR System Learning &amp; Development Module</t>
  </si>
  <si>
    <t>3124B</t>
  </si>
  <si>
    <t>Global HR Strategy</t>
  </si>
  <si>
    <t>3124</t>
  </si>
  <si>
    <t>Implementation of Global HR</t>
  </si>
  <si>
    <t>3123</t>
  </si>
  <si>
    <t>MyAccount Long Term Fixes</t>
  </si>
  <si>
    <t>3122</t>
  </si>
  <si>
    <t>PMAC Strategic Review</t>
  </si>
  <si>
    <t>3121</t>
  </si>
  <si>
    <t>3120</t>
  </si>
  <si>
    <t>3119</t>
  </si>
  <si>
    <t>Within Day Information Provision</t>
  </si>
  <si>
    <t>3118</t>
  </si>
  <si>
    <t>Status monitoring and rule management</t>
  </si>
  <si>
    <t>3117</t>
  </si>
  <si>
    <t>Netsip - real time assessment / optimisation</t>
  </si>
  <si>
    <t>Network Simulation and Performance (Simone Online)</t>
  </si>
  <si>
    <t>3116</t>
  </si>
  <si>
    <t>Netsip - scenario modelling for dynamic supply/demand</t>
  </si>
  <si>
    <t>3115</t>
  </si>
  <si>
    <t>NetSip - asset refresh</t>
  </si>
  <si>
    <t>3114</t>
  </si>
  <si>
    <t>iEP - Business Process Analysis</t>
  </si>
  <si>
    <t>3113</t>
  </si>
  <si>
    <t>3112</t>
  </si>
  <si>
    <t>US Hicksville Mainframe Replacement</t>
  </si>
  <si>
    <t>3111</t>
  </si>
  <si>
    <t>Northport Network Infrastructure Remediation</t>
  </si>
  <si>
    <t>3109</t>
  </si>
  <si>
    <t>Investment Planning Tool</t>
  </si>
  <si>
    <t>3108</t>
  </si>
  <si>
    <t>Investigation of Incident 248295</t>
  </si>
  <si>
    <t>3107</t>
  </si>
  <si>
    <t>GSM Server for Maintenance Laptops</t>
  </si>
  <si>
    <t>3100</t>
  </si>
  <si>
    <t>Continuity Management Solution</t>
  </si>
  <si>
    <t>3099</t>
  </si>
  <si>
    <t>Fiserv for LIPA</t>
  </si>
  <si>
    <t>3098</t>
  </si>
  <si>
    <t>UK CIA Early 2011 Project Delivery</t>
  </si>
  <si>
    <t>3097</t>
  </si>
  <si>
    <t>Richer Business Planning Tool</t>
  </si>
  <si>
    <t>3096</t>
  </si>
  <si>
    <t>IRIS RTU Replacement</t>
  </si>
  <si>
    <t>3095</t>
  </si>
  <si>
    <t>2012 NY electric commodity filing (Niagara Mohawk / CSS)</t>
  </si>
  <si>
    <t>3094</t>
  </si>
  <si>
    <t>UK Recruitment</t>
  </si>
  <si>
    <t>3090</t>
  </si>
  <si>
    <t>ECM Solution for UK Transmission</t>
  </si>
  <si>
    <t>3086</t>
  </si>
  <si>
    <t>UK Link Decomission</t>
  </si>
  <si>
    <t>3082</t>
  </si>
  <si>
    <t>Virtual Data Room</t>
  </si>
  <si>
    <t>3079</t>
  </si>
  <si>
    <t>UK Transmission @ Risk Application</t>
  </si>
  <si>
    <t>3078</t>
  </si>
  <si>
    <t>UK Storage Consolidation</t>
  </si>
  <si>
    <t>3077</t>
  </si>
  <si>
    <t>UK Shared Area Stabilisation</t>
  </si>
  <si>
    <t>3076</t>
  </si>
  <si>
    <t>Address Validation</t>
  </si>
  <si>
    <t>3075</t>
  </si>
  <si>
    <t>LIPA - Customer Outage info on mobile web devices</t>
  </si>
  <si>
    <t>3074B</t>
  </si>
  <si>
    <t>GD Process Improvement</t>
  </si>
  <si>
    <t>3074A</t>
  </si>
  <si>
    <t>O&amp;M Portal</t>
  </si>
  <si>
    <t>3074</t>
  </si>
  <si>
    <t>GD Front Office Replacement (Mini Release)</t>
  </si>
  <si>
    <t>3073</t>
  </si>
  <si>
    <t>Managed Document Services</t>
  </si>
  <si>
    <t>3072</t>
  </si>
  <si>
    <t>Morcar</t>
  </si>
  <si>
    <t>3071</t>
  </si>
  <si>
    <t>I&amp;C Systems Provision</t>
  </si>
  <si>
    <t>3069</t>
  </si>
  <si>
    <t>Siebel Enhancements</t>
  </si>
  <si>
    <t>3068</t>
  </si>
  <si>
    <t>Rate Engine Bolt-On</t>
  </si>
  <si>
    <t>3067</t>
  </si>
  <si>
    <t>Bill Reformat - Redesign</t>
  </si>
  <si>
    <t>3066</t>
  </si>
  <si>
    <t>Credit Card Payments</t>
  </si>
  <si>
    <t>3065</t>
  </si>
  <si>
    <t>IVR Voice Recognition</t>
  </si>
  <si>
    <t>3064</t>
  </si>
  <si>
    <t>IVR Flow Restructuring</t>
  </si>
  <si>
    <t>3063</t>
  </si>
  <si>
    <t>Integration with Siebel</t>
  </si>
  <si>
    <t>3062</t>
  </si>
  <si>
    <t>MyAccount Short Term Fixes</t>
  </si>
  <si>
    <t>3061</t>
  </si>
  <si>
    <t>Electric Management System (EMS)</t>
  </si>
  <si>
    <t>3060</t>
  </si>
  <si>
    <t>Outage Communication Mobile Web</t>
  </si>
  <si>
    <t>3059</t>
  </si>
  <si>
    <t>Outage Communication iFactor Enhancements</t>
  </si>
  <si>
    <t>3058</t>
  </si>
  <si>
    <t>Outage Communication Broadcast Texting - LIPA</t>
  </si>
  <si>
    <t>3057</t>
  </si>
  <si>
    <t>Communicatio Backbone Corridor 110 (non-DOE)</t>
  </si>
  <si>
    <t>3056</t>
  </si>
  <si>
    <t>On-line Modified Turbine Testing: Port Jefferson</t>
  </si>
  <si>
    <t>3055</t>
  </si>
  <si>
    <t>On-line Modified Turbine Testing: Northport PS</t>
  </si>
  <si>
    <t>3054</t>
  </si>
  <si>
    <t>On-line Modified Turbine Testing: EF Barrett</t>
  </si>
  <si>
    <t>3053</t>
  </si>
  <si>
    <t>NPT Soot Blower PLC Control System/Precipitator Temperature recorder network access</t>
  </si>
  <si>
    <t>3052</t>
  </si>
  <si>
    <t>Northport System One Turbine Monitoring System</t>
  </si>
  <si>
    <t>3051</t>
  </si>
  <si>
    <t>Northport Superheated Over Fired Air (SOFA)</t>
  </si>
  <si>
    <t>3050</t>
  </si>
  <si>
    <t>Exploration/Implementation of Tool Set replacement SharePoint Application/Server Shares for 5 sites.</t>
  </si>
  <si>
    <t>3049C</t>
  </si>
  <si>
    <t>Aging Server Refresh Program - 2013</t>
  </si>
  <si>
    <t>3049B</t>
  </si>
  <si>
    <t>Aging Server Refresh Program - 2012  (Phase II)</t>
  </si>
  <si>
    <t>3049</t>
  </si>
  <si>
    <t>Aging Server Refresh Program - 2011 (Control Systems &amp; Supporting Server Infrastructure)</t>
  </si>
  <si>
    <t>3048</t>
  </si>
  <si>
    <t>E&amp;I Deployment</t>
  </si>
  <si>
    <t>3047</t>
  </si>
  <si>
    <t>E&amp;I Laptop Options Analysis</t>
  </si>
  <si>
    <t>3043</t>
  </si>
  <si>
    <t>Energy Efficiency Leads Tracking</t>
  </si>
  <si>
    <t>3042</t>
  </si>
  <si>
    <t>UK Project Fusion - ProjectVirtualisation</t>
  </si>
  <si>
    <t>3040</t>
  </si>
  <si>
    <t>Tactical cyber security</t>
  </si>
  <si>
    <t>3039</t>
  </si>
  <si>
    <t>Enhanced cyber security</t>
  </si>
  <si>
    <t>3032</t>
  </si>
  <si>
    <t>Guardium - Database Security - New Compliance Reqs  [Rolled into INVP 3614 Program]</t>
  </si>
  <si>
    <t>3028D</t>
  </si>
  <si>
    <t>ETON 6 Upgrade  [NOTE:  Was orriginally assigned to INVP 3028D]</t>
  </si>
  <si>
    <t>3028C</t>
  </si>
  <si>
    <t>SIP: Lane Rental Charges, Phase 2</t>
  </si>
  <si>
    <t>3028B</t>
  </si>
  <si>
    <t>SIP: Lane Rental Charges, Phase 1</t>
  </si>
  <si>
    <t>3028A</t>
  </si>
  <si>
    <t>ETON Redesign to support GDFO</t>
  </si>
  <si>
    <t>3028</t>
  </si>
  <si>
    <t>NRSWA Legislation (Eaton)  [Subporject renaming per R. Danvers]</t>
  </si>
  <si>
    <t>3025</t>
  </si>
  <si>
    <t>Intranet Web Site Compliance</t>
  </si>
  <si>
    <t>3022</t>
  </si>
  <si>
    <t>Internet Hosting and Tools</t>
  </si>
  <si>
    <t>3021</t>
  </si>
  <si>
    <t>UK CNI BMC Toolset</t>
  </si>
  <si>
    <t>3019A</t>
  </si>
  <si>
    <t>Document Knowledge Management System (DKMS) for US CNI and NERC CIP workflows</t>
  </si>
  <si>
    <t>3018B</t>
  </si>
  <si>
    <t>UK IS CNI Document Knowledge Mgt. Sys.</t>
  </si>
  <si>
    <t>3018A</t>
  </si>
  <si>
    <t>Document Knowledge Management System (DKMS) UK</t>
  </si>
  <si>
    <t>3018</t>
  </si>
  <si>
    <t>UK CNI Transformation Project</t>
  </si>
  <si>
    <t>2999B</t>
  </si>
  <si>
    <t>Expand Auxiliary Ops Automation Pilot</t>
  </si>
  <si>
    <t>2999A</t>
  </si>
  <si>
    <t>2998</t>
  </si>
  <si>
    <t>EAS Replacement Project</t>
  </si>
  <si>
    <t>2997B</t>
  </si>
  <si>
    <t>Earned Value Management System (EVM) - Phase 2</t>
  </si>
  <si>
    <t>2997</t>
  </si>
  <si>
    <t>Earned Value Management System (EVM)</t>
  </si>
  <si>
    <t>2995</t>
  </si>
  <si>
    <t>DNCC - CNI Gateway Hardware Refresh</t>
  </si>
  <si>
    <t>2992</t>
  </si>
  <si>
    <t>Gas Transportation (Single Bill) - Massachusetts</t>
  </si>
  <si>
    <t>2990</t>
  </si>
  <si>
    <t>GL Single Point of Failure</t>
  </si>
  <si>
    <t>2989</t>
  </si>
  <si>
    <t>UK Fusion - Citrix</t>
  </si>
  <si>
    <t>2988</t>
  </si>
  <si>
    <t>US Guilderland Wintel Efficiency Initiative</t>
  </si>
  <si>
    <t>2987</t>
  </si>
  <si>
    <t>UK Fusion - Netware Removal</t>
  </si>
  <si>
    <t>2983B</t>
  </si>
  <si>
    <t>US CNI Security Event Monitoring Upgrade</t>
  </si>
  <si>
    <t>2983A</t>
  </si>
  <si>
    <t>CNI Secure Separation Strategy</t>
  </si>
  <si>
    <t>2982B</t>
  </si>
  <si>
    <t>Identity Management - DR&amp;S Access Rights and Control</t>
  </si>
  <si>
    <t>2982A</t>
  </si>
  <si>
    <t>Identity Management - DR&amp;S Strategy Assessment</t>
  </si>
  <si>
    <t>2982</t>
  </si>
  <si>
    <t>Identity Management - DR&amp;Sprogram</t>
  </si>
  <si>
    <t>2981</t>
  </si>
  <si>
    <t>Security Awareness Program (O)</t>
  </si>
  <si>
    <t>2977</t>
  </si>
  <si>
    <t>KEON Upgrade &amp; Impact Assessment (AC) - CNI &amp; UK only</t>
  </si>
  <si>
    <t>2975</t>
  </si>
  <si>
    <t>TLS for Email Security (NS) - transfer to ICE</t>
  </si>
  <si>
    <t>2974</t>
  </si>
  <si>
    <t>IDS/IPS Asset Refresh (NS) - transfer to V</t>
  </si>
  <si>
    <t>2972</t>
  </si>
  <si>
    <t>Network Access Control  [Rolled into INVP 3614 Program]</t>
  </si>
  <si>
    <t>2970</t>
  </si>
  <si>
    <t>Security Incident &amp; Event Management</t>
  </si>
  <si>
    <t>2969</t>
  </si>
  <si>
    <t>File Encryption  [Rolled into INVP 3614 Program]</t>
  </si>
  <si>
    <t>2968</t>
  </si>
  <si>
    <t>Digital rights management  [Rolled into INVP 3614 Program]</t>
  </si>
  <si>
    <t>2966/2969</t>
  </si>
  <si>
    <t>FE &amp; DLP Tiered Security Analysis</t>
  </si>
  <si>
    <t>2966</t>
  </si>
  <si>
    <t>Data loss prevention end point fine grained  [Rolled into INVP 3614 Program]</t>
  </si>
  <si>
    <t>2964</t>
  </si>
  <si>
    <t>DSM - Ri Gas Program</t>
  </si>
  <si>
    <t>2963</t>
  </si>
  <si>
    <t>Demand Side Management SAP Interface</t>
  </si>
  <si>
    <t>2962</t>
  </si>
  <si>
    <t>Meter Data Systems Consolidation and Upgrade Program</t>
  </si>
  <si>
    <t>2961</t>
  </si>
  <si>
    <t>Billing/Accts Processing Operational Efficiencies</t>
  </si>
  <si>
    <t>2960C</t>
  </si>
  <si>
    <t>SalesForce SaaS Phase 2 Enhancements</t>
  </si>
  <si>
    <t>2960B</t>
  </si>
  <si>
    <t>Salesforce.com CRM Pilot Project</t>
  </si>
  <si>
    <t>2960</t>
  </si>
  <si>
    <t>Customer Relationship Management</t>
  </si>
  <si>
    <t>2959B</t>
  </si>
  <si>
    <t>Tallyman Collection Agency Project for CRIS</t>
  </si>
  <si>
    <t>2959A</t>
  </si>
  <si>
    <t>Tallyman Collection Agency Project for CSS</t>
  </si>
  <si>
    <t>2957</t>
  </si>
  <si>
    <t>Sustainability System upgrade (GHG Upgrade)</t>
  </si>
  <si>
    <t>2955</t>
  </si>
  <si>
    <t>IHM Absence Mgmnt</t>
  </si>
  <si>
    <t>2954</t>
  </si>
  <si>
    <t>Bus. Conduct Office Case Mgmt</t>
  </si>
  <si>
    <t>2952</t>
  </si>
  <si>
    <t>EMIS (Env Mgmt System) Improvements</t>
  </si>
  <si>
    <t>2951B</t>
  </si>
  <si>
    <t>Legal Hold - Options Analysis</t>
  </si>
  <si>
    <t>2951A</t>
  </si>
  <si>
    <t>Legal Hold</t>
  </si>
  <si>
    <t>2951</t>
  </si>
  <si>
    <t>2949</t>
  </si>
  <si>
    <t>Energy North BOMSA Project</t>
  </si>
  <si>
    <t>2948G</t>
  </si>
  <si>
    <t>New Hampshire Divestiture Day 2 - Service Delivery  (moved to INVP 2498 to address Transposition Error)</t>
  </si>
  <si>
    <t>2948F</t>
  </si>
  <si>
    <t>New Hampshire Divestiture Day 2 - Meter Reading  (moved to INVP 2498 to address Transposition Error)</t>
  </si>
  <si>
    <t>2948E</t>
  </si>
  <si>
    <t>New Hampshire Divestiture Day 2 - Engineering &amp; Operations  (moved to INVP 2498 to address Transposition Error)</t>
  </si>
  <si>
    <t>2948C</t>
  </si>
  <si>
    <t>New Hampshire Divestiture Day2 - Customer  (moved to INVP 2498 to address Transposition Error)</t>
  </si>
  <si>
    <t>2948B</t>
  </si>
  <si>
    <t>New Hampshire Divestiture Day 2 - Energy Management  (moved to INVP 2498 to address Transposition Error)</t>
  </si>
  <si>
    <t>2948A</t>
  </si>
  <si>
    <t>NH Divestiture  Day1</t>
  </si>
  <si>
    <t>2948</t>
  </si>
  <si>
    <t>Granite State BOMSA Project</t>
  </si>
  <si>
    <t>2944</t>
  </si>
  <si>
    <t>US Pensions Admin Consolidation</t>
  </si>
  <si>
    <t>2942</t>
  </si>
  <si>
    <t>US Transaction Delivery Centre Continuous Improvements</t>
  </si>
  <si>
    <t>2941</t>
  </si>
  <si>
    <t>Eakring Infrastructure Extension</t>
  </si>
  <si>
    <t>2940</t>
  </si>
  <si>
    <t>Global Governance, Risk and Compliance - Phase 1</t>
  </si>
  <si>
    <t>2938</t>
  </si>
  <si>
    <t>Intranet Web Site Service Development  [Rolled into INVP 3600 Program]</t>
  </si>
  <si>
    <t>2936</t>
  </si>
  <si>
    <t>Video-conferencing (Ever Green)</t>
  </si>
  <si>
    <t>2935</t>
  </si>
  <si>
    <t>US Mobile Device Refresh</t>
  </si>
  <si>
    <t>2932</t>
  </si>
  <si>
    <t>Storage refresh</t>
  </si>
  <si>
    <t>2931</t>
  </si>
  <si>
    <t>Computing refresh</t>
  </si>
  <si>
    <t>2929</t>
  </si>
  <si>
    <t>Global IPT &amp; infrastructure upgrade</t>
  </si>
  <si>
    <t>2928</t>
  </si>
  <si>
    <t>Service Management tools</t>
  </si>
  <si>
    <t>2927B</t>
  </si>
  <si>
    <t>Secure Personal Device Platform</t>
  </si>
  <si>
    <t>2927A</t>
  </si>
  <si>
    <t>Desktop Refresh Analysis &amp; Design</t>
  </si>
  <si>
    <t>2927</t>
  </si>
  <si>
    <t>Desktop Aged Asset Refresh</t>
  </si>
  <si>
    <t>2926</t>
  </si>
  <si>
    <t>Application Test &amp; Dev Hardware Upgrades</t>
  </si>
  <si>
    <t>2925B</t>
  </si>
  <si>
    <t>GSN Core Switch Replacement</t>
  </si>
  <si>
    <t>2925</t>
  </si>
  <si>
    <t>EOSL hardware investment</t>
  </si>
  <si>
    <t>2924</t>
  </si>
  <si>
    <t>Strategic developments</t>
  </si>
  <si>
    <t>2923C</t>
  </si>
  <si>
    <t>Opex Minor Works - SFTP Service for Upstate NY</t>
  </si>
  <si>
    <t>2923B</t>
  </si>
  <si>
    <t>Opex Minor Works - End Use BYO Program</t>
  </si>
  <si>
    <t>2923A</t>
  </si>
  <si>
    <t>Opex Minor Works - Network Decommisioning</t>
  </si>
  <si>
    <t>2923</t>
  </si>
  <si>
    <t>Opex Minor Works</t>
  </si>
  <si>
    <t>2922</t>
  </si>
  <si>
    <t>Quick Wins (RTB Efficiencies)</t>
  </si>
  <si>
    <t>2921</t>
  </si>
  <si>
    <t>SOA / Process Centric Registry &amp; Messaging</t>
  </si>
  <si>
    <t>2915</t>
  </si>
  <si>
    <t>Email and Collaboration Services</t>
  </si>
  <si>
    <t>2910</t>
  </si>
  <si>
    <t>US Electric CNI Data Centre</t>
  </si>
  <si>
    <t>2908</t>
  </si>
  <si>
    <t>UK CNI Data Centre</t>
  </si>
  <si>
    <t>2906</t>
  </si>
  <si>
    <t>Electric EDT/EDL TAP Sites Router Replacement</t>
  </si>
  <si>
    <t>2905</t>
  </si>
  <si>
    <t>Out of Band Management</t>
  </si>
  <si>
    <t>2904</t>
  </si>
  <si>
    <t>Electric ION Wintel Refresh</t>
  </si>
  <si>
    <t>2903</t>
  </si>
  <si>
    <t>Network Transformation - Transfer of Services to STIG replacement</t>
  </si>
  <si>
    <t>2902</t>
  </si>
  <si>
    <t>MFT FTP Global</t>
  </si>
  <si>
    <t>2901</t>
  </si>
  <si>
    <t>US Data Storage Organic Growth</t>
  </si>
  <si>
    <t>2897</t>
  </si>
  <si>
    <t>Electronic Logging for Control Room NE_NY</t>
  </si>
  <si>
    <t>2893B</t>
  </si>
  <si>
    <t>Westboro decommissioning</t>
  </si>
  <si>
    <t>2893</t>
  </si>
  <si>
    <t>2892B</t>
  </si>
  <si>
    <t>Security Access Panel NERC CIP Compliance Upgrade</t>
  </si>
  <si>
    <t>2892</t>
  </si>
  <si>
    <t>UST NERC CIP Compliance</t>
  </si>
  <si>
    <t>CNI Network Strategy</t>
  </si>
  <si>
    <t>2889</t>
  </si>
  <si>
    <t>Single Document Change and Cyber Asset Platform</t>
  </si>
  <si>
    <t>2888</t>
  </si>
  <si>
    <t>PSP Physical Access logging</t>
  </si>
  <si>
    <t>2887</t>
  </si>
  <si>
    <t>NERC CIP Compliance</t>
  </si>
  <si>
    <t>2886</t>
  </si>
  <si>
    <t>Long Island CNI Facilities Upgrades</t>
  </si>
  <si>
    <t>2885</t>
  </si>
  <si>
    <t>2884</t>
  </si>
  <si>
    <t>Long Island CNI Data Historian Resiliency-Consolidated PI System</t>
  </si>
  <si>
    <t>2881D</t>
  </si>
  <si>
    <t>US CNI GMS Infrastructure Upgrades and Reliability-FY13</t>
  </si>
  <si>
    <t>2881</t>
  </si>
  <si>
    <t>US CNI Infrastructure Upgrades [Minor Works]</t>
  </si>
  <si>
    <t>2864</t>
  </si>
  <si>
    <t>GIS Data Conversion and Asset Data Cleanup - US System Strategy Readiness</t>
  </si>
  <si>
    <t>2860</t>
  </si>
  <si>
    <t>Northport NERC CIP Improvements</t>
  </si>
  <si>
    <t>2859</t>
  </si>
  <si>
    <t>Implementation of NERC CIP Cyber Standards to Port Jefferson PS.</t>
  </si>
  <si>
    <t>2858</t>
  </si>
  <si>
    <t>Implementation of NERC CIP Cyber Standards to EF Barrett PS.</t>
  </si>
  <si>
    <t>2857</t>
  </si>
  <si>
    <t>Evaluation of Digital Risk and Security to Glenwood PS, et al.</t>
  </si>
  <si>
    <t>2854</t>
  </si>
  <si>
    <t>EPM Regulatory Minor Works</t>
  </si>
  <si>
    <t>2853E</t>
  </si>
  <si>
    <t>STS 1055534 KEDLI Annual Rate Reclass - Customer &amp; Shared Services - Minor Works</t>
  </si>
  <si>
    <t>2853D</t>
  </si>
  <si>
    <t>Customer and Shared Services Minor Works – STS 1056743</t>
  </si>
  <si>
    <t>2853C</t>
  </si>
  <si>
    <t>STS 1055235 - UNY - Add EJP Logic to Four SC4 Rate Codes</t>
  </si>
  <si>
    <t>2853B</t>
  </si>
  <si>
    <t>STS 1054738 - SC1 Voluntary TOU</t>
  </si>
  <si>
    <t>2853A</t>
  </si>
  <si>
    <t>STS 1054597 - CSS Changes necessary for EJP Rider</t>
  </si>
  <si>
    <t>2853</t>
  </si>
  <si>
    <t>EPM Minor Works</t>
  </si>
  <si>
    <t>2852</t>
  </si>
  <si>
    <t>MA Electric Purchase of Receivables (POR)  [was temp. renamed to INVP 1643F]</t>
  </si>
  <si>
    <t>2851</t>
  </si>
  <si>
    <t>NE Gas Transportation &amp; Balancing System</t>
  </si>
  <si>
    <t>2849</t>
  </si>
  <si>
    <t>Granite State SOMSA Project</t>
  </si>
  <si>
    <t>2848</t>
  </si>
  <si>
    <t>Granite State FOMSA Project</t>
  </si>
  <si>
    <t>2843</t>
  </si>
  <si>
    <t>Security Alternatives Evaluation</t>
  </si>
  <si>
    <t>2841</t>
  </si>
  <si>
    <t>Business Intelligence</t>
  </si>
  <si>
    <t>2840</t>
  </si>
  <si>
    <t>Data Warehouse</t>
  </si>
  <si>
    <t>2839</t>
  </si>
  <si>
    <t>Integration Bus (Architecture)</t>
  </si>
  <si>
    <t>2838</t>
  </si>
  <si>
    <t>Communication Backbone</t>
  </si>
  <si>
    <t>2837</t>
  </si>
  <si>
    <t>MDMS</t>
  </si>
  <si>
    <t>2836</t>
  </si>
  <si>
    <t>EDOT - DECUS09; Customer Web Requirements</t>
  </si>
  <si>
    <t>2835</t>
  </si>
  <si>
    <t>2834</t>
  </si>
  <si>
    <t>EDOT STORMS/iScheduler Residual Changes</t>
  </si>
  <si>
    <t>2833</t>
  </si>
  <si>
    <t>IDS- Regulatory Reporting</t>
  </si>
  <si>
    <t>2832</t>
  </si>
  <si>
    <t>ACIS – Alliance Contracts, Management and Support</t>
  </si>
  <si>
    <t>2830C</t>
  </si>
  <si>
    <t>Narragansett</t>
  </si>
  <si>
    <t>2830B</t>
  </si>
  <si>
    <t>Dig Fault Niagra Mohawk</t>
  </si>
  <si>
    <t>2830A</t>
  </si>
  <si>
    <t>N.E Power</t>
  </si>
  <si>
    <t>2830</t>
  </si>
  <si>
    <t>Remote Access to Digital Fault Recorders Phase 2</t>
  </si>
  <si>
    <t>2829</t>
  </si>
  <si>
    <t>Remote Access to Fault Data Concentrators</t>
  </si>
  <si>
    <t>2825</t>
  </si>
  <si>
    <t>iScheduler to CLICK Transformation</t>
  </si>
  <si>
    <t>2824</t>
  </si>
  <si>
    <t>OnStream Metering - Data Migration</t>
  </si>
  <si>
    <t>2823</t>
  </si>
  <si>
    <t>OnStream Metering - BI (transformation Phase 1 De-scoped)</t>
  </si>
  <si>
    <t>2822</t>
  </si>
  <si>
    <t>OnStream Metering - Asset Tracking (Transformation Phase 1De-scoped)</t>
  </si>
  <si>
    <t>2821</t>
  </si>
  <si>
    <t>OnStream Metering - Forecast &amp; Plan (Transformation Phase 1 De-scoped)</t>
  </si>
  <si>
    <t>2820</t>
  </si>
  <si>
    <t>OnStream Metering -SMART Mass Rollout</t>
  </si>
  <si>
    <t>2819</t>
  </si>
  <si>
    <t>OnStream Metering - Central Comms</t>
  </si>
  <si>
    <t>2818</t>
  </si>
  <si>
    <t>OnStream Metering - New customers</t>
  </si>
  <si>
    <t>2815</t>
  </si>
  <si>
    <t>OnStream Metering - Upgrade Shared Area</t>
  </si>
  <si>
    <t>2812</t>
  </si>
  <si>
    <t>OnStream Metering - Infrastructure refresh</t>
  </si>
  <si>
    <t>2809</t>
  </si>
  <si>
    <t>Domestic Pricing Review</t>
  </si>
  <si>
    <t>2807</t>
  </si>
  <si>
    <t>Impact of OnStream Exit</t>
  </si>
  <si>
    <t>2806</t>
  </si>
  <si>
    <t>Shared Area Upgrade</t>
  </si>
  <si>
    <t>2804</t>
  </si>
  <si>
    <t>General Ops improvement</t>
  </si>
  <si>
    <t>2803</t>
  </si>
  <si>
    <t>Web Services</t>
  </si>
  <si>
    <t>2801</t>
  </si>
  <si>
    <t>NGM - JCAPS upgrade</t>
  </si>
  <si>
    <t>2799</t>
  </si>
  <si>
    <t>PCR Options Analysis</t>
  </si>
  <si>
    <t>2797</t>
  </si>
  <si>
    <t>Property Rationalisation - Placeholder only (size &amp; who funds TBC)</t>
  </si>
  <si>
    <t>2794</t>
  </si>
  <si>
    <t>GD Front Office Best of Breed Upgrades (ESRI/Click/Syclo/SmartT/OpenT/Appollo)</t>
  </si>
  <si>
    <t>2788</t>
  </si>
  <si>
    <t>GD Front Office Replacement - Apps Decomissioning</t>
  </si>
  <si>
    <t>2783</t>
  </si>
  <si>
    <t>DNCC - Lotus Notes Infrastructure</t>
  </si>
  <si>
    <t>2782</t>
  </si>
  <si>
    <t>DNCC - Evacuation Contingency Solutio</t>
  </si>
  <si>
    <t>2779</t>
  </si>
  <si>
    <t>DNCC - SC2004 Decommissioning - Collaborative</t>
  </si>
  <si>
    <t>2776</t>
  </si>
  <si>
    <t>NG Carbon</t>
  </si>
  <si>
    <t>2772</t>
  </si>
  <si>
    <t>Commercial IS projects</t>
  </si>
  <si>
    <t>2743</t>
  </si>
  <si>
    <t>P259 Interconnector Frequency Response</t>
  </si>
  <si>
    <t>2736</t>
  </si>
  <si>
    <t>Virtual Tape Library</t>
  </si>
  <si>
    <t>2735</t>
  </si>
  <si>
    <t>US Software Raionalization</t>
  </si>
  <si>
    <t>2734</t>
  </si>
  <si>
    <t>US EMC CDL</t>
  </si>
  <si>
    <t>2733</t>
  </si>
  <si>
    <t>Service Delivery, Purchase End of Lease Tape Drives</t>
  </si>
  <si>
    <t>2732</t>
  </si>
  <si>
    <t>Service Delivery, US Data Center Switches</t>
  </si>
  <si>
    <t>2730</t>
  </si>
  <si>
    <t>Software tools for EPM Quantitative Analysis Group</t>
  </si>
  <si>
    <t>2725</t>
  </si>
  <si>
    <t>Strategic Research &amp; Development</t>
  </si>
  <si>
    <t>2724</t>
  </si>
  <si>
    <t>Market Simulator for BSIS Forecasting</t>
  </si>
  <si>
    <t>2723</t>
  </si>
  <si>
    <t>Optimising Intrinsically Safe DRUCK Device</t>
  </si>
  <si>
    <t>2722</t>
  </si>
  <si>
    <t>UK HR Graduate Intake 2010</t>
  </si>
  <si>
    <t>2719</t>
  </si>
  <si>
    <t>Spreadsheet &amp; Database Risks</t>
  </si>
  <si>
    <t>2718</t>
  </si>
  <si>
    <t>GSO high risk spreadsheets and databases</t>
  </si>
  <si>
    <t>2713</t>
  </si>
  <si>
    <t>US Software Rationalization</t>
  </si>
  <si>
    <t>2712</t>
  </si>
  <si>
    <t>UKSS Auditing and Monitoring project</t>
  </si>
  <si>
    <t>2711</t>
  </si>
  <si>
    <t>Generation Minor Works</t>
  </si>
  <si>
    <t>2710</t>
  </si>
  <si>
    <t>Test Lab for Generation</t>
  </si>
  <si>
    <t>2709</t>
  </si>
  <si>
    <t>Development DTS System</t>
  </si>
  <si>
    <t>2707</t>
  </si>
  <si>
    <t>2706</t>
  </si>
  <si>
    <t>2705</t>
  </si>
  <si>
    <t>BritNed Phase 2 (SOSO Trading &amp; Frequency Response)</t>
  </si>
  <si>
    <t>2703</t>
  </si>
  <si>
    <t>Weather Visualisation</t>
  </si>
  <si>
    <t>2702</t>
  </si>
  <si>
    <t>Wind Power Forecasting Development</t>
  </si>
  <si>
    <t>2701</t>
  </si>
  <si>
    <t>Data Historian Phase II</t>
  </si>
  <si>
    <t>2700</t>
  </si>
  <si>
    <t>Information Provision</t>
  </si>
  <si>
    <t>2699</t>
  </si>
  <si>
    <t>ENTSO-E Transparency Platform</t>
  </si>
  <si>
    <t>CDSA Improvments</t>
  </si>
  <si>
    <t>2698</t>
  </si>
  <si>
    <t>Consistent Data and System Architecture</t>
  </si>
  <si>
    <t>2696</t>
  </si>
  <si>
    <t>2695</t>
  </si>
  <si>
    <t>2692</t>
  </si>
  <si>
    <t>GSO Enterprise Bus</t>
  </si>
  <si>
    <t>2690</t>
  </si>
  <si>
    <t>DN Aggregator Hub Refresh - Phase1</t>
  </si>
  <si>
    <t>2687</t>
  </si>
  <si>
    <t>Electricity AM Systems Integration</t>
  </si>
  <si>
    <t>2686C</t>
  </si>
  <si>
    <t>HPMIS Quick Wins</t>
  </si>
  <si>
    <t>2686B</t>
  </si>
  <si>
    <t>HPMIS Strategic Replacement</t>
  </si>
  <si>
    <t>2686A</t>
  </si>
  <si>
    <t>HPMIS Tactical Replacement</t>
  </si>
  <si>
    <t>2686</t>
  </si>
  <si>
    <t>HPMIS Replacement</t>
  </si>
  <si>
    <t>2683</t>
  </si>
  <si>
    <t>Gas Client Releases (Ellipse Maintenance)</t>
  </si>
  <si>
    <t>2682</t>
  </si>
  <si>
    <t>Client Release Programme (Ellipse Maintenance)</t>
  </si>
  <si>
    <t>2681</t>
  </si>
  <si>
    <t>Customer Outage Communication - LIPA</t>
  </si>
  <si>
    <t>2676</t>
  </si>
  <si>
    <t>OiTH DR</t>
  </si>
  <si>
    <t>2675</t>
  </si>
  <si>
    <t>IRIS RTU Replacement (Previous Year)</t>
  </si>
  <si>
    <t>2674</t>
  </si>
  <si>
    <t>Ellipse Test Environment</t>
  </si>
  <si>
    <t>2673</t>
  </si>
  <si>
    <t>HCB + ERCC Mainframe Server Upgrades</t>
  </si>
  <si>
    <t>2672</t>
  </si>
  <si>
    <t>Livelink Brava</t>
  </si>
  <si>
    <t>2671</t>
  </si>
  <si>
    <t>Livelink DR</t>
  </si>
  <si>
    <t>2670</t>
  </si>
  <si>
    <t>Integrated Safety Management System</t>
  </si>
  <si>
    <t>2669</t>
  </si>
  <si>
    <t>Gas Document storage</t>
  </si>
  <si>
    <t>2668</t>
  </si>
  <si>
    <t>Embedded Generation Charging</t>
  </si>
  <si>
    <t>2667</t>
  </si>
  <si>
    <t>Mandated Items</t>
  </si>
  <si>
    <t>2666</t>
  </si>
  <si>
    <t>Intranet Design</t>
  </si>
  <si>
    <t>2665</t>
  </si>
  <si>
    <t>Minor Work Intranet</t>
  </si>
  <si>
    <t>2664</t>
  </si>
  <si>
    <t>Minor Work Internet</t>
  </si>
  <si>
    <t>2662</t>
  </si>
  <si>
    <t>NGES Divestiture</t>
  </si>
  <si>
    <t>2659</t>
  </si>
  <si>
    <t>Decommission Ex-UKLink Initiative</t>
  </si>
  <si>
    <t>2658</t>
  </si>
  <si>
    <t>UK Stabilization Initiative</t>
  </si>
  <si>
    <t>2656</t>
  </si>
  <si>
    <t>Warwick &amp; Wokingham DS8700 Disk Initiative</t>
  </si>
  <si>
    <t>2655</t>
  </si>
  <si>
    <t>UK CIA For Server Infrastructure Initiative</t>
  </si>
  <si>
    <t>2653</t>
  </si>
  <si>
    <t>Aged Assets FY11</t>
  </si>
  <si>
    <t>2652</t>
  </si>
  <si>
    <t>Support to Other LOBs-OPEX KSUPtoLOB</t>
  </si>
  <si>
    <t>2647</t>
  </si>
  <si>
    <t>Upgrade Commercial Operations system</t>
  </si>
  <si>
    <t>2646</t>
  </si>
  <si>
    <t>Study for implementation of Plant engineering (feasibility)</t>
  </si>
  <si>
    <t>2645</t>
  </si>
  <si>
    <t>Implementation of common portal solution</t>
  </si>
  <si>
    <t>2644</t>
  </si>
  <si>
    <t>Define the commercials view (Internal and external) for LNG management portal</t>
  </si>
  <si>
    <t>2643</t>
  </si>
  <si>
    <t>Establish centralized RCM capabilities</t>
  </si>
  <si>
    <t>2642</t>
  </si>
  <si>
    <t>Establish centralized BIW capabilities &amp; KPI reporting</t>
  </si>
  <si>
    <t>2641</t>
  </si>
  <si>
    <t>Tonic&amp; Roger Wyatt Replacement</t>
  </si>
  <si>
    <t>2640</t>
  </si>
  <si>
    <t>GIN/CALMS DR Test</t>
  </si>
  <si>
    <t>2639</t>
  </si>
  <si>
    <t>Warwick Initiative</t>
  </si>
  <si>
    <t>2637</t>
  </si>
  <si>
    <t>EVE Upgrade</t>
  </si>
  <si>
    <t>2635</t>
  </si>
  <si>
    <t>Hosting Contact Centre</t>
  </si>
  <si>
    <t>2634</t>
  </si>
  <si>
    <t>Global Web Hosting</t>
  </si>
  <si>
    <t>2633</t>
  </si>
  <si>
    <t>LIPA Siebel 2010 Phase 3-4</t>
  </si>
  <si>
    <t>2632</t>
  </si>
  <si>
    <t>Compliance Filing Management System (CFMS) Upgrade</t>
  </si>
  <si>
    <t>2631</t>
  </si>
  <si>
    <t>Governance Risk Compliance (GRC) Solution</t>
  </si>
  <si>
    <t>2630</t>
  </si>
  <si>
    <t>Intelligent Mail Barcode</t>
  </si>
  <si>
    <t>2629</t>
  </si>
  <si>
    <t>Limit Storms access for Alliances (Project Nelson)</t>
  </si>
  <si>
    <t>2627D</t>
  </si>
  <si>
    <t>Gas Asset Management System integration – Dashboard</t>
  </si>
  <si>
    <t>2627C</t>
  </si>
  <si>
    <t>Gas Asset Management system Integration - Dashboard</t>
  </si>
  <si>
    <t>2627B</t>
  </si>
  <si>
    <t>Gas Asset Management System Integration - Application Integration</t>
  </si>
  <si>
    <t>2627A</t>
  </si>
  <si>
    <t>Gas Asset Management System Integration - Ellipse Interfaces</t>
  </si>
  <si>
    <t>2627</t>
  </si>
  <si>
    <t>Gas Asset Management Systems</t>
  </si>
  <si>
    <t>2626</t>
  </si>
  <si>
    <t>Ambergate</t>
  </si>
  <si>
    <t>2625</t>
  </si>
  <si>
    <t>@risk</t>
  </si>
  <si>
    <t>2624</t>
  </si>
  <si>
    <t>Gas Transmission Data Modelling</t>
  </si>
  <si>
    <t>2623</t>
  </si>
  <si>
    <t>Maintain GIS until Mobile</t>
  </si>
  <si>
    <t>2622</t>
  </si>
  <si>
    <t>Technical Limitations Database</t>
  </si>
  <si>
    <t>2621</t>
  </si>
  <si>
    <t>NOC Lone Worker</t>
  </si>
  <si>
    <t>2610</t>
  </si>
  <si>
    <t>US Finance &amp; SS Minor Enhancements 900002610O</t>
  </si>
  <si>
    <t>2607</t>
  </si>
  <si>
    <t>5 new HD VC desktop units for David Lister</t>
  </si>
  <si>
    <t>2605</t>
  </si>
  <si>
    <t>GSIS Minor Enhancements</t>
  </si>
  <si>
    <t>2604</t>
  </si>
  <si>
    <t>Information Provisioning Iteration 3</t>
  </si>
  <si>
    <t>2603</t>
  </si>
  <si>
    <t>QBPMS (conquest replacement) R&amp;D</t>
  </si>
  <si>
    <t>2602</t>
  </si>
  <si>
    <t>Britned Office System Solution (control room)</t>
  </si>
  <si>
    <t>2601</t>
  </si>
  <si>
    <t>NGIL Finance System</t>
  </si>
  <si>
    <t>2600</t>
  </si>
  <si>
    <t>ODS reprovisioning</t>
  </si>
  <si>
    <t>2599</t>
  </si>
  <si>
    <t>Valve Replacement &amp; MCP Integration Support</t>
  </si>
  <si>
    <t>2597</t>
  </si>
  <si>
    <t>Irish Interconnector</t>
  </si>
  <si>
    <t>2596</t>
  </si>
  <si>
    <t>Single Directory</t>
  </si>
  <si>
    <t>2593</t>
  </si>
  <si>
    <t>Critical Changes 2010/11</t>
  </si>
  <si>
    <t>2591</t>
  </si>
  <si>
    <t>Tier1 Storage Upgrade at HCB</t>
  </si>
  <si>
    <t>2590</t>
  </si>
  <si>
    <t>Strategic Midrange Shared Infrastrucure</t>
  </si>
  <si>
    <t>2589</t>
  </si>
  <si>
    <t>European Transparency</t>
  </si>
  <si>
    <t>2588</t>
  </si>
  <si>
    <t>N2EX</t>
  </si>
  <si>
    <t>2587</t>
  </si>
  <si>
    <t>RI Gas Conversion</t>
  </si>
  <si>
    <t>2585</t>
  </si>
  <si>
    <t>Laptop/Desktop/Field devices swap out/spares</t>
  </si>
  <si>
    <t>2584</t>
  </si>
  <si>
    <t>Climate Change Initiative</t>
  </si>
  <si>
    <t>2583</t>
  </si>
  <si>
    <t>US CRIS migration to CSS</t>
  </si>
  <si>
    <t>2582B</t>
  </si>
  <si>
    <t>LI Gas Customer Consolidation Release 2</t>
  </si>
  <si>
    <t>2582</t>
  </si>
  <si>
    <t>US CAS Gas Customer migration to CSS</t>
  </si>
  <si>
    <t>2580</t>
  </si>
  <si>
    <t>US Electric GIS consolidation to strategic</t>
  </si>
  <si>
    <t>2579</t>
  </si>
  <si>
    <t>US Mobile Electric strategic implementation</t>
  </si>
  <si>
    <t>2578</t>
  </si>
  <si>
    <t>US SAP Electric Front Office</t>
  </si>
  <si>
    <t>2577C</t>
  </si>
  <si>
    <t>ArcFM Software Upgrade and System Enhancements</t>
  </si>
  <si>
    <t>2577</t>
  </si>
  <si>
    <t>US GAS GIS consolidation</t>
  </si>
  <si>
    <t>2575A</t>
  </si>
  <si>
    <t>US Front Office Roadmap Development</t>
  </si>
  <si>
    <t>2573B</t>
  </si>
  <si>
    <t>Global SMART Services Project: MA US Pilot</t>
  </si>
  <si>
    <t>2573</t>
  </si>
  <si>
    <t>SMART Grid - Worcester MA Pilot</t>
  </si>
  <si>
    <t>2570</t>
  </si>
  <si>
    <t>GIN changes Phase2.2</t>
  </si>
  <si>
    <t>2567</t>
  </si>
  <si>
    <t>Weathering Model - LNG Storage</t>
  </si>
  <si>
    <t>2565</t>
  </si>
  <si>
    <t>Grain LNG - Permit to Work (PTW)</t>
  </si>
  <si>
    <t>2564</t>
  </si>
  <si>
    <t>Gemini Spring 2011 Release</t>
  </si>
  <si>
    <t>2562</t>
  </si>
  <si>
    <t>TNUoS Invoice Implementation</t>
  </si>
  <si>
    <t>2561</t>
  </si>
  <si>
    <t>NGM F&amp;A for Asset Tracking</t>
  </si>
  <si>
    <t>2559P</t>
  </si>
  <si>
    <t>IS Transformation ITSM Toolset Platform</t>
  </si>
  <si>
    <t>2559M</t>
  </si>
  <si>
    <t>IS Transformation Security &amp; Risk</t>
  </si>
  <si>
    <t>2559L</t>
  </si>
  <si>
    <t>IS Transformation Strategy And Architecture</t>
  </si>
  <si>
    <t>2559K</t>
  </si>
  <si>
    <t>IS Transformation CNI</t>
  </si>
  <si>
    <t>2559J</t>
  </si>
  <si>
    <t>IS Transformation Applications Rationalisation</t>
  </si>
  <si>
    <t>2559I</t>
  </si>
  <si>
    <t>IS Transformation Service Delivery - Networks Transition</t>
  </si>
  <si>
    <t>2559H</t>
  </si>
  <si>
    <t>IS Transformation Service Delivery - Networks Contracts Negotiation</t>
  </si>
  <si>
    <t>2559G</t>
  </si>
  <si>
    <t>IS Transformation Service Delivery - Enterprise Services Programme</t>
  </si>
  <si>
    <t>2559F</t>
  </si>
  <si>
    <t>IS Transformation Service Delivery - Managed Print</t>
  </si>
  <si>
    <t>2559E</t>
  </si>
  <si>
    <t>IS Transformation Service Delivery - E-Mail &amp; Collaboration</t>
  </si>
  <si>
    <t>2559D</t>
  </si>
  <si>
    <t>IS Transformation Service Delivery - Networks RFP</t>
  </si>
  <si>
    <t>2559C</t>
  </si>
  <si>
    <t>IS Transformation Service Delivery Programme</t>
  </si>
  <si>
    <t>2559B</t>
  </si>
  <si>
    <t>IS Transformation Service Delivery - Networks R&amp;D</t>
  </si>
  <si>
    <t>2553</t>
  </si>
  <si>
    <t>BritNED</t>
  </si>
  <si>
    <t>2552</t>
  </si>
  <si>
    <t>Gi74 Replacement</t>
  </si>
  <si>
    <t>2551</t>
  </si>
  <si>
    <t>OnStream Transformation Programme Management</t>
  </si>
  <si>
    <t>2550</t>
  </si>
  <si>
    <t>OnStream Transformation Programme - AR/S&amp;D/MA</t>
  </si>
  <si>
    <t>2549</t>
  </si>
  <si>
    <t>OnStream Transformation Programme - Customer Management</t>
  </si>
  <si>
    <t>2548</t>
  </si>
  <si>
    <t>OnStream Transformation Programme - Data Migration</t>
  </si>
  <si>
    <t>2547</t>
  </si>
  <si>
    <t>OnStream Transformation Programme - Finance &amp; MI</t>
  </si>
  <si>
    <t>2546</t>
  </si>
  <si>
    <t>OnStream Transformation Programme - Technical Design Authority</t>
  </si>
  <si>
    <t>2543</t>
  </si>
  <si>
    <t>Information Provisioning Iteration 2</t>
  </si>
  <si>
    <t>2542</t>
  </si>
  <si>
    <t>LIM Data Service Replacement</t>
  </si>
  <si>
    <t>2540</t>
  </si>
  <si>
    <t>Decomissioning of Superdomes</t>
  </si>
  <si>
    <t>2539</t>
  </si>
  <si>
    <t>Alan Bradley Security</t>
  </si>
  <si>
    <t>2538</t>
  </si>
  <si>
    <t>CP Loggers</t>
  </si>
  <si>
    <t>2537</t>
  </si>
  <si>
    <t>Global Proxy Server Refresh</t>
  </si>
  <si>
    <t>2536</t>
  </si>
  <si>
    <t>End User Computing Environment Upgrade</t>
  </si>
  <si>
    <t>2522</t>
  </si>
  <si>
    <t>NGUS Data Storage Refresh</t>
  </si>
  <si>
    <t>2521</t>
  </si>
  <si>
    <t>BSUoS Unbundling</t>
  </si>
  <si>
    <t>2520B</t>
  </si>
  <si>
    <t>NS Link Interconnector Project</t>
  </si>
  <si>
    <t>2520A</t>
  </si>
  <si>
    <t>Elec Link Interconnector</t>
  </si>
  <si>
    <t>2520</t>
  </si>
  <si>
    <t>Future Interconnectors</t>
  </si>
  <si>
    <t>2519</t>
  </si>
  <si>
    <t>P243/P244 New Fuel Types</t>
  </si>
  <si>
    <t>2518</t>
  </si>
  <si>
    <t>Data Centre T4 Capacity</t>
  </si>
  <si>
    <t>2516</t>
  </si>
  <si>
    <t>iGMS Proactive Maintenance</t>
  </si>
  <si>
    <t>2515</t>
  </si>
  <si>
    <t>Forecaster Application Refresh</t>
  </si>
  <si>
    <t>2512</t>
  </si>
  <si>
    <t>Falcon Application Refresh</t>
  </si>
  <si>
    <t>2511</t>
  </si>
  <si>
    <t>HPMIS Application Refresh</t>
  </si>
  <si>
    <t>2507</t>
  </si>
  <si>
    <t>NGIL Telecoms</t>
  </si>
  <si>
    <t>2505</t>
  </si>
  <si>
    <t>Satellite Communications project for staging sites</t>
  </si>
  <si>
    <t>2504</t>
  </si>
  <si>
    <t>Managed File Transfer for UK and US</t>
  </si>
  <si>
    <t>2501</t>
  </si>
  <si>
    <t>On-Bill Financing - CAS</t>
  </si>
  <si>
    <t>2499</t>
  </si>
  <si>
    <t>NGM - changes to service provider - enterprise</t>
  </si>
  <si>
    <t>2498L</t>
  </si>
  <si>
    <t>New Hampshire Divestiture Day N - Miscellaneous Apps</t>
  </si>
  <si>
    <t>New Hampshire</t>
  </si>
  <si>
    <t>2498K</t>
  </si>
  <si>
    <t>New Hampshire Divestiture Day 2 - Engineering &amp; Operations - Electric</t>
  </si>
  <si>
    <t>2498J</t>
  </si>
  <si>
    <t>New Hampshire Divestiture Day 2 - Work Management - Electric</t>
  </si>
  <si>
    <t>2498I</t>
  </si>
  <si>
    <t>New Hampshire Divestiture Day 2 - Customer – Electric</t>
  </si>
  <si>
    <t>2498H</t>
  </si>
  <si>
    <t>New Hampshire Divestiture Day 2 - Energy Management - Electric</t>
  </si>
  <si>
    <t>2498G</t>
  </si>
  <si>
    <t>New Hampshire Divestiture Day 2 - Service Delivery</t>
  </si>
  <si>
    <t>2498F</t>
  </si>
  <si>
    <t>New Hampshire Divestiture Day 2 - Meter Reading</t>
  </si>
  <si>
    <t>2498E</t>
  </si>
  <si>
    <t>New Hampshire Divestiture Day 2 - Engineering &amp; Operations - Gas</t>
  </si>
  <si>
    <t>2498D</t>
  </si>
  <si>
    <t>New Hampshire Divestiture Day 2 - Work Management - Gas</t>
  </si>
  <si>
    <t>2498C</t>
  </si>
  <si>
    <t>New Hampshire Divestiture Day 2 - Customer - Gas</t>
  </si>
  <si>
    <t>2498B</t>
  </si>
  <si>
    <t>New Hampshire Divestiture Day 2 - Energy Management - Gas</t>
  </si>
  <si>
    <t>2498A</t>
  </si>
  <si>
    <t>New Hampshire Divestiture - Day 1</t>
  </si>
  <si>
    <t>2498</t>
  </si>
  <si>
    <t>NGM - Wellington</t>
  </si>
  <si>
    <t>2497</t>
  </si>
  <si>
    <t>NGM - Improvement of stock control</t>
  </si>
  <si>
    <t>2496</t>
  </si>
  <si>
    <t>NGM - Systems Strategy inc GDFO impacts (mims)</t>
  </si>
  <si>
    <t>2495I</t>
  </si>
  <si>
    <t>US CNI GMS Metrotech Firewall Replacements</t>
  </si>
  <si>
    <t>2495H</t>
  </si>
  <si>
    <t>US CNI GMS End-Of-Life Frame Relay Replacements</t>
  </si>
  <si>
    <t>2495G</t>
  </si>
  <si>
    <t>US CNI GMS IDEN Modem Telemetry Replacements-FY13-FY14</t>
  </si>
  <si>
    <t>2495F</t>
  </si>
  <si>
    <t>US CNI GMS Upstate NY Obsolete Telemetry Replacements-FY13-FY14</t>
  </si>
  <si>
    <t>2495E</t>
  </si>
  <si>
    <t>US GMS Upstate NY Alarm Management Datafeed</t>
  </si>
  <si>
    <t>2495C</t>
  </si>
  <si>
    <t>Gas AMR Metretek System Consolidation</t>
  </si>
  <si>
    <t>2495</t>
  </si>
  <si>
    <t>US GMS Telvent System Consolidation  ( RENAMED - INVP 2495A)</t>
  </si>
  <si>
    <t>2492</t>
  </si>
  <si>
    <t>Inter-LDZ Metering</t>
  </si>
  <si>
    <t>2491</t>
  </si>
  <si>
    <t>DDS - Revised Demand Modelling (IFI)</t>
  </si>
  <si>
    <t>2490C</t>
  </si>
  <si>
    <t>EAGLES System – Enhanced External Implementation (Stage 5)</t>
  </si>
  <si>
    <t>2490</t>
  </si>
  <si>
    <t>Automated Plant Enquiry (IFI)</t>
  </si>
  <si>
    <t>2489</t>
  </si>
  <si>
    <t>Norwegian Interconnector</t>
  </si>
  <si>
    <t>2488</t>
  </si>
  <si>
    <t>Belgian Interconnector</t>
  </si>
  <si>
    <t>2487</t>
  </si>
  <si>
    <t>IFA2 Projects</t>
  </si>
  <si>
    <t>2486C</t>
  </si>
  <si>
    <t>Due Diligence - OFTO Enduring Phase</t>
  </si>
  <si>
    <t>2486B</t>
  </si>
  <si>
    <t>Due Diligence - OFTO Transition Phase 2</t>
  </si>
  <si>
    <t>2486A</t>
  </si>
  <si>
    <t>Confirmatory Due Diligence - OFTO Transition Phase 1</t>
  </si>
  <si>
    <t>2486</t>
  </si>
  <si>
    <t>NG Offshore Projects</t>
  </si>
  <si>
    <t>2481</t>
  </si>
  <si>
    <t>New Simulator</t>
  </si>
  <si>
    <t>2480</t>
  </si>
  <si>
    <t>Control Algorithm Simulator</t>
  </si>
  <si>
    <t>2479</t>
  </si>
  <si>
    <t>AS Settlement changes for decarbonisation</t>
  </si>
  <si>
    <t>2478</t>
  </si>
  <si>
    <t>SMART Demand Side Data Interface</t>
  </si>
  <si>
    <t>2477A</t>
  </si>
  <si>
    <t>2477A WPD West ICCP Link</t>
  </si>
  <si>
    <t>2477</t>
  </si>
  <si>
    <t>ICCP/SCADA links to other DNos &amp; Nos</t>
  </si>
  <si>
    <t>2476G</t>
  </si>
  <si>
    <t>Modelling operability constraints (network and economic)</t>
  </si>
  <si>
    <t>2476D</t>
  </si>
  <si>
    <t>2476C</t>
  </si>
  <si>
    <t>2476B7</t>
  </si>
  <si>
    <t>OLTA PowerFactory Upgrade</t>
  </si>
  <si>
    <t>2476B5</t>
  </si>
  <si>
    <t>CSP System</t>
  </si>
  <si>
    <t>2476B10</t>
  </si>
  <si>
    <t>TARMAP Tactical Improvements</t>
  </si>
  <si>
    <t>2476B</t>
  </si>
  <si>
    <t>2476A</t>
  </si>
  <si>
    <t>Modelling/Transmission Analysis System Control Boards</t>
  </si>
  <si>
    <t>2476</t>
  </si>
  <si>
    <t>Improved Modelling - new Super OLTA</t>
  </si>
  <si>
    <t>2475</t>
  </si>
  <si>
    <t>Automatic Post Fault Actions (full Automatic)</t>
  </si>
  <si>
    <t>2474</t>
  </si>
  <si>
    <t>Scottish Telecommand</t>
  </si>
  <si>
    <t>2473A</t>
  </si>
  <si>
    <t>Charging and Billing</t>
  </si>
  <si>
    <t>2473</t>
  </si>
  <si>
    <t>BSUOS Inhousing strategy</t>
  </si>
  <si>
    <t>2472</t>
  </si>
  <si>
    <t>New external data transfer mechanism</t>
  </si>
  <si>
    <t>2471A</t>
  </si>
  <si>
    <t>OSA Improvements</t>
  </si>
  <si>
    <t>2471</t>
  </si>
  <si>
    <t>Transient &amp; Dynamic stabilty</t>
  </si>
  <si>
    <t>2470</t>
  </si>
  <si>
    <t>Cold DR for EMS and EBS</t>
  </si>
  <si>
    <t>2468</t>
  </si>
  <si>
    <t>Probabilistic System Security Risk Assessment</t>
  </si>
  <si>
    <t>2467</t>
  </si>
  <si>
    <t>Voltage Control Automation</t>
  </si>
  <si>
    <t>2466</t>
  </si>
  <si>
    <t>Flow Management Tools</t>
  </si>
  <si>
    <t>2465</t>
  </si>
  <si>
    <t>Stability Control System</t>
  </si>
  <si>
    <t>2464</t>
  </si>
  <si>
    <t>Improved Modelling - Implement CIM Model</t>
  </si>
  <si>
    <t>2463</t>
  </si>
  <si>
    <t>Optimised Response&amp;Reserve Holding</t>
  </si>
  <si>
    <t>2462</t>
  </si>
  <si>
    <t>Automatic Post Fault Actions (pre-programmed)</t>
  </si>
  <si>
    <t>2461A</t>
  </si>
  <si>
    <t>RMS Tactical Enhancements</t>
  </si>
  <si>
    <t>2461</t>
  </si>
  <si>
    <t>Enhanced Thermal Monitoring</t>
  </si>
  <si>
    <t>2460</t>
  </si>
  <si>
    <t>Intelligent Alarm Processor</t>
  </si>
  <si>
    <t>2459</t>
  </si>
  <si>
    <t>ECR 2 relocation</t>
  </si>
  <si>
    <t>2458A</t>
  </si>
  <si>
    <t>iGMS TTD Support 09-10</t>
  </si>
  <si>
    <t>2458</t>
  </si>
  <si>
    <t>iGMS TTD support</t>
  </si>
  <si>
    <t>2456</t>
  </si>
  <si>
    <t>FWACV Enhancements</t>
  </si>
  <si>
    <t>2455</t>
  </si>
  <si>
    <t>NTS Interfaces Project</t>
  </si>
  <si>
    <t>2454</t>
  </si>
  <si>
    <t>Forecasting enhancements</t>
  </si>
  <si>
    <t>2453</t>
  </si>
  <si>
    <t>Flexibility Tools</t>
  </si>
  <si>
    <t>2451</t>
  </si>
  <si>
    <t>Security &amp; Operational Networks (Gas) BO</t>
  </si>
  <si>
    <t>2450</t>
  </si>
  <si>
    <t>NetSip (Online and Training Simulation) BO</t>
  </si>
  <si>
    <t>2449</t>
  </si>
  <si>
    <t>Within-Day Allocation / Balancing BA Functionality</t>
  </si>
  <si>
    <t>2448</t>
  </si>
  <si>
    <t>Pilot Agile development projects</t>
  </si>
  <si>
    <t>2447</t>
  </si>
  <si>
    <t>Develop international IT interface standards (Gas)</t>
  </si>
  <si>
    <t>2446</t>
  </si>
  <si>
    <t>Develop international IT interface standards (Elec)</t>
  </si>
  <si>
    <t>2445</t>
  </si>
  <si>
    <t>Intelligent asset training tools (Gas)</t>
  </si>
  <si>
    <t>2444</t>
  </si>
  <si>
    <t>Intelligent asset training tools (Elec)</t>
  </si>
  <si>
    <t>2443</t>
  </si>
  <si>
    <t>CCS training simulators</t>
  </si>
  <si>
    <t>2442</t>
  </si>
  <si>
    <t>Off-shore training simulators</t>
  </si>
  <si>
    <t>2441</t>
  </si>
  <si>
    <t>Integrated security alarm and response</t>
  </si>
  <si>
    <t>2440</t>
  </si>
  <si>
    <t>Interface to carbon trading</t>
  </si>
  <si>
    <t>2439</t>
  </si>
  <si>
    <t>Carbon impact assessment</t>
  </si>
  <si>
    <t>2438</t>
  </si>
  <si>
    <t>Third party collaboration tools (Gas)</t>
  </si>
  <si>
    <t>2437</t>
  </si>
  <si>
    <t>Third party collaboration tools (Elec)</t>
  </si>
  <si>
    <t>2436</t>
  </si>
  <si>
    <t>Asset Condition Monitoring - Retrofit Sensors (Elec)</t>
  </si>
  <si>
    <t>2435</t>
  </si>
  <si>
    <t>Asset Condition Monitoring - Retrofit Sensors (Gas)</t>
  </si>
  <si>
    <t>2434</t>
  </si>
  <si>
    <t>Advanced Network Analysis (Elec)</t>
  </si>
  <si>
    <t>2433</t>
  </si>
  <si>
    <t>CY Plan Optimisation (Gas)</t>
  </si>
  <si>
    <t>2432</t>
  </si>
  <si>
    <t>CY Plan Optimisation (Elec)</t>
  </si>
  <si>
    <t>2431</t>
  </si>
  <si>
    <t>Investment Portfolio Analysis Tool</t>
  </si>
  <si>
    <t>2430</t>
  </si>
  <si>
    <t>Field Device Validation</t>
  </si>
  <si>
    <t>2429</t>
  </si>
  <si>
    <t>Consolidated Wayleaves Solution (Gas and Electric)</t>
  </si>
  <si>
    <t>2428</t>
  </si>
  <si>
    <t>Interim Wayleaves Solution</t>
  </si>
  <si>
    <t>2427</t>
  </si>
  <si>
    <t>WAMPAC Integration</t>
  </si>
  <si>
    <t>2426</t>
  </si>
  <si>
    <t>SMART Grid Development</t>
  </si>
  <si>
    <t>2425</t>
  </si>
  <si>
    <t>SMART Asset Integration (Gas)</t>
  </si>
  <si>
    <t>2424H</t>
  </si>
  <si>
    <t>GAMSI KPI Dashboard (moved from being part of INVP 2627)</t>
  </si>
  <si>
    <t>2424G</t>
  </si>
  <si>
    <t>JCAPS Replacement (closed Feb-12)</t>
  </si>
  <si>
    <t>2424F</t>
  </si>
  <si>
    <t>Risk and Criticality Phase 2</t>
  </si>
  <si>
    <t>2424E</t>
  </si>
  <si>
    <t>SAM Sandpit</t>
  </si>
  <si>
    <t>2424D</t>
  </si>
  <si>
    <t>Risk and Criticality</t>
  </si>
  <si>
    <t>2424C</t>
  </si>
  <si>
    <t>Legacy Systems</t>
  </si>
  <si>
    <t>2424B</t>
  </si>
  <si>
    <t>Enduring Solution</t>
  </si>
  <si>
    <t>2424A</t>
  </si>
  <si>
    <t>CIM Data Architecture and Management</t>
  </si>
  <si>
    <t>2424</t>
  </si>
  <si>
    <t>SMART Asset Integration (Elec)</t>
  </si>
  <si>
    <t>2423</t>
  </si>
  <si>
    <t>SO Collaboration (Gas)</t>
  </si>
  <si>
    <t>2422</t>
  </si>
  <si>
    <t>SO Collaboration (Elec)</t>
  </si>
  <si>
    <t>2421</t>
  </si>
  <si>
    <t>AM Process Development (Gas)</t>
  </si>
  <si>
    <t>2420</t>
  </si>
  <si>
    <t>AM Process Development (Elec)</t>
  </si>
  <si>
    <t>2419</t>
  </si>
  <si>
    <t>Probabilistic Generation Modelling Tool (Elec)</t>
  </si>
  <si>
    <t>2417</t>
  </si>
  <si>
    <t>SAM "Hub"/DST (Elec) Refresh</t>
  </si>
  <si>
    <t>2416B</t>
  </si>
  <si>
    <t>Sam HUB - Phase 2</t>
  </si>
  <si>
    <t>2416</t>
  </si>
  <si>
    <t>SAM "Hub"/DST (Elec)</t>
  </si>
  <si>
    <t>2415</t>
  </si>
  <si>
    <t>WORTS/My Calendar Refresh</t>
  </si>
  <si>
    <t>2414</t>
  </si>
  <si>
    <t>Netsip (Interim) Enhancement</t>
  </si>
  <si>
    <t>2413</t>
  </si>
  <si>
    <t>Blackstart (criticall) Refresh</t>
  </si>
  <si>
    <t>2412</t>
  </si>
  <si>
    <t>TTL E/G Refresh</t>
  </si>
  <si>
    <t>2411</t>
  </si>
  <si>
    <t>PQMS Refresh</t>
  </si>
  <si>
    <t>2410</t>
  </si>
  <si>
    <t>CompAAS/COAS Refresh</t>
  </si>
  <si>
    <t>2408</t>
  </si>
  <si>
    <t>SCO Refresh</t>
  </si>
  <si>
    <t>2407</t>
  </si>
  <si>
    <t>Alarms &amp; Trips Refresh</t>
  </si>
  <si>
    <t>2406</t>
  </si>
  <si>
    <t>FDCS Refresh</t>
  </si>
  <si>
    <t>2405</t>
  </si>
  <si>
    <t>PPI Refresh</t>
  </si>
  <si>
    <t>2404</t>
  </si>
  <si>
    <t>COMIC Refresh</t>
  </si>
  <si>
    <t>2403</t>
  </si>
  <si>
    <t>HEAT Refresh</t>
  </si>
  <si>
    <t>2402</t>
  </si>
  <si>
    <t>BritNed Operational Telcomms</t>
  </si>
  <si>
    <t>2401E</t>
  </si>
  <si>
    <t>GSO Regulatory Changes 2019</t>
  </si>
  <si>
    <t>2401D</t>
  </si>
  <si>
    <t>EU2019 GB Charging &amp; Incremental Capacity Allocation</t>
  </si>
  <si>
    <t>2401C</t>
  </si>
  <si>
    <t>EU2018 Capacity Conversion</t>
  </si>
  <si>
    <t>2401B</t>
  </si>
  <si>
    <t>EU 2015 Programme</t>
  </si>
  <si>
    <t>2401A</t>
  </si>
  <si>
    <t>MIPI ETP</t>
  </si>
  <si>
    <t>2401</t>
  </si>
  <si>
    <t>EU Regulatory changes</t>
  </si>
  <si>
    <t>2400</t>
  </si>
  <si>
    <t>Customer Transformation Strategy Initiative</t>
  </si>
  <si>
    <t>2399A</t>
  </si>
  <si>
    <t>IPP Consolidation</t>
  </si>
  <si>
    <t>2397A</t>
  </si>
  <si>
    <t>Deployment of Versatile in UK</t>
  </si>
  <si>
    <t>2397</t>
  </si>
  <si>
    <t>2396</t>
  </si>
  <si>
    <t>Locational BSUoS</t>
  </si>
  <si>
    <t>2395</t>
  </si>
  <si>
    <t>Deployment of IMS to UK</t>
  </si>
  <si>
    <t>2394</t>
  </si>
  <si>
    <t>GSIS Marine</t>
  </si>
  <si>
    <t>2393</t>
  </si>
  <si>
    <t>Gemini Re-Platform</t>
  </si>
  <si>
    <t>2392</t>
  </si>
  <si>
    <t>National Grid Offshore Ltd Branding</t>
  </si>
  <si>
    <t>2387</t>
  </si>
  <si>
    <t>Sellindge Converter Building Refurbishment</t>
  </si>
  <si>
    <t>2386</t>
  </si>
  <si>
    <t>Stores (Grain) Telecoms Connectivity</t>
  </si>
  <si>
    <t>2385</t>
  </si>
  <si>
    <t>Phase 3 Jetty Telecoms Connectivity</t>
  </si>
  <si>
    <t>2384</t>
  </si>
  <si>
    <t>BritNed Capacity Management System</t>
  </si>
  <si>
    <t>2383</t>
  </si>
  <si>
    <t>BritNed Main Control Point</t>
  </si>
  <si>
    <t>2381</t>
  </si>
  <si>
    <t>Phase 3 GIN Changes</t>
  </si>
  <si>
    <t>2380</t>
  </si>
  <si>
    <t>Grain Video Conference</t>
  </si>
  <si>
    <t>2379</t>
  </si>
  <si>
    <t>NG Offshore Office Solutions</t>
  </si>
  <si>
    <t>2378</t>
  </si>
  <si>
    <t>DOA Application Enhancements</t>
  </si>
  <si>
    <t>2377</t>
  </si>
  <si>
    <t>ManageSoft</t>
  </si>
  <si>
    <t>2374</t>
  </si>
  <si>
    <t>Glenmavis Telcoms upgrade</t>
  </si>
  <si>
    <t>2371</t>
  </si>
  <si>
    <t>Lightning Localisation and Reporting</t>
  </si>
  <si>
    <t>2370</t>
  </si>
  <si>
    <t>Enterprise Architectural Support Tools</t>
  </si>
  <si>
    <t>2369</t>
  </si>
  <si>
    <t>Electric IVR modifications</t>
  </si>
  <si>
    <t>2368</t>
  </si>
  <si>
    <t>US Mobile device purchase</t>
  </si>
  <si>
    <t>2367</t>
  </si>
  <si>
    <t>RI PUC Mandate For Bidding Into NEISO</t>
  </si>
  <si>
    <t>2366</t>
  </si>
  <si>
    <t>LI CNI Direct Hardware Upgrade</t>
  </si>
  <si>
    <t>2365</t>
  </si>
  <si>
    <t>LI EMS To DMS Operational Data Deliery</t>
  </si>
  <si>
    <t>2364</t>
  </si>
  <si>
    <t>LI Energy Management System (EMS) Life Extension</t>
  </si>
  <si>
    <t>2363</t>
  </si>
  <si>
    <t>Interconnector MCP Replacement</t>
  </si>
  <si>
    <t>2356</t>
  </si>
  <si>
    <t>EPINS Small Change</t>
  </si>
  <si>
    <t>2349</t>
  </si>
  <si>
    <t>BSUOS Replatforming</t>
  </si>
  <si>
    <t>2345</t>
  </si>
  <si>
    <t>Gas SCADA Upgrade/Modernisation (Contingency)</t>
  </si>
  <si>
    <t>2344</t>
  </si>
  <si>
    <t>Oracle 10G Upgrade for Keyspan</t>
  </si>
  <si>
    <t>2336</t>
  </si>
  <si>
    <t>DNCS Application Hardware Monitoring (BOS Replacement)</t>
  </si>
  <si>
    <t>2335</t>
  </si>
  <si>
    <t>Wan Upgrade / Refresh for DNCS</t>
  </si>
  <si>
    <t>2331</t>
  </si>
  <si>
    <t>Implementation of SWIFT for UK Shared Services</t>
  </si>
  <si>
    <t>2330</t>
  </si>
  <si>
    <t>Nucleus 2010 upgrade</t>
  </si>
  <si>
    <t>2321</t>
  </si>
  <si>
    <t>SS - Back Office component of UK BO/FO Inf refresh</t>
  </si>
  <si>
    <t>2320</t>
  </si>
  <si>
    <t>Group Finance - New Consolidated Group Financial Reporting System</t>
  </si>
  <si>
    <t>2318A</t>
  </si>
  <si>
    <t>Excelsior Job Program Discount Rate</t>
  </si>
  <si>
    <t>2318</t>
  </si>
  <si>
    <t>LIPA Rates and Services</t>
  </si>
  <si>
    <t>2315</t>
  </si>
  <si>
    <t>PPRS mid-life upgrade 2012/14</t>
  </si>
  <si>
    <t>Business Services Minor Works - 2019/2020</t>
  </si>
  <si>
    <t>Business Services Minor Works - 2018-19</t>
  </si>
  <si>
    <t>2311D</t>
  </si>
  <si>
    <t>UK Shared Services Minor Works - FY16</t>
  </si>
  <si>
    <t>2311C</t>
  </si>
  <si>
    <t>2311</t>
  </si>
  <si>
    <t>UK Shared Services Minor Works</t>
  </si>
  <si>
    <t>2310</t>
  </si>
  <si>
    <t>UK Corporate Centre Regulated Minor Projects</t>
  </si>
  <si>
    <t>2308</t>
  </si>
  <si>
    <t>Upgrades to new Treasury Management System</t>
  </si>
  <si>
    <t>2305D</t>
  </si>
  <si>
    <t>CNI Masons - Automatic Switch Protection (Loop Guard)</t>
  </si>
  <si>
    <t>2305C</t>
  </si>
  <si>
    <t>CNI Masons - Traffic Separation</t>
  </si>
  <si>
    <t>2305B</t>
  </si>
  <si>
    <t>CNI Masons - Removal of VLAN 1</t>
  </si>
  <si>
    <t>2305A</t>
  </si>
  <si>
    <t>CNI Masons - Flash Card Upgrade</t>
  </si>
  <si>
    <t>2305</t>
  </si>
  <si>
    <t>2304</t>
  </si>
  <si>
    <t>Intrusion Detection System Refresh</t>
  </si>
  <si>
    <t>2303</t>
  </si>
  <si>
    <t>Security Enhancements (CPNI)</t>
  </si>
  <si>
    <t>2302</t>
  </si>
  <si>
    <t>ITIL Toolset (CMDB)</t>
  </si>
  <si>
    <t>2301</t>
  </si>
  <si>
    <t>OEM Grid Control &amp; BMC Patrol</t>
  </si>
  <si>
    <t>2300</t>
  </si>
  <si>
    <t>FTP Servers (Wintel &amp; UNIX)</t>
  </si>
  <si>
    <t>2299</t>
  </si>
  <si>
    <t>Electricity Systems Secure Service Gateway</t>
  </si>
  <si>
    <t>2298</t>
  </si>
  <si>
    <t>UK Data Storage Organic Growth</t>
  </si>
  <si>
    <t>2297</t>
  </si>
  <si>
    <t>2296</t>
  </si>
  <si>
    <t>Web Site Refresh - Internet/Intranet</t>
  </si>
  <si>
    <t>2295</t>
  </si>
  <si>
    <t>Web Tools  Upgrade for Internet</t>
  </si>
  <si>
    <t>2294</t>
  </si>
  <si>
    <t>NGM - Regulator and asset capture</t>
  </si>
  <si>
    <t>2293</t>
  </si>
  <si>
    <t>NGM - SAP RAINBOW HARDWARE REFRESH</t>
  </si>
  <si>
    <t>2292</t>
  </si>
  <si>
    <t>Onstream Metering - Data Loggers</t>
  </si>
  <si>
    <t>2291</t>
  </si>
  <si>
    <t>Onstream Metering - Voice Recorder</t>
  </si>
  <si>
    <t>2290</t>
  </si>
  <si>
    <t>Onstream Metering - AMR</t>
  </si>
  <si>
    <t>2289</t>
  </si>
  <si>
    <t>Onstream Metering - Transformation Programme</t>
  </si>
  <si>
    <t>2286</t>
  </si>
  <si>
    <t>Purchase of Mobile Equipment</t>
  </si>
  <si>
    <t>2285</t>
  </si>
  <si>
    <t>Regulatory/Mandatory Driven OPEX Projects</t>
  </si>
  <si>
    <t>2284</t>
  </si>
  <si>
    <t>Legacy Telemetry Outstation Replacement</t>
  </si>
  <si>
    <t>2282</t>
  </si>
  <si>
    <t>Post SOMSA - DNCC SCADA - DNCS Harware Upgrade</t>
  </si>
  <si>
    <t>2281</t>
  </si>
  <si>
    <t>UKD Front Office Upgrade Packs</t>
  </si>
  <si>
    <t>2278I</t>
  </si>
  <si>
    <t>Kingdom Tennet Interface Modifications</t>
  </si>
  <si>
    <t>2278H</t>
  </si>
  <si>
    <t>Britned Ellipse Implementation</t>
  </si>
  <si>
    <t>2278G</t>
  </si>
  <si>
    <t>BritNed Kingdom UI Upgrade</t>
  </si>
  <si>
    <t>2278F</t>
  </si>
  <si>
    <t>BritNed IS Support Model development</t>
  </si>
  <si>
    <t>2278E</t>
  </si>
  <si>
    <t>BritNed Website Development</t>
  </si>
  <si>
    <t>2278D</t>
  </si>
  <si>
    <t>BritNed Kingdom Phase 2</t>
  </si>
  <si>
    <t>2278C</t>
  </si>
  <si>
    <t>BritNed Asset &amp; Work Management</t>
  </si>
  <si>
    <t>2278B</t>
  </si>
  <si>
    <t>Implicity Acution System (APX)</t>
  </si>
  <si>
    <t>2278A</t>
  </si>
  <si>
    <t>BritNed Finance System</t>
  </si>
  <si>
    <t>2278</t>
  </si>
  <si>
    <t>BritNed Projects</t>
  </si>
  <si>
    <t>2267</t>
  </si>
  <si>
    <t>Replacement Video Walls</t>
  </si>
  <si>
    <t>2266</t>
  </si>
  <si>
    <t>FATE Tactical Solution (Client Replacement)</t>
  </si>
  <si>
    <t>2265</t>
  </si>
  <si>
    <t>IEMS to RTU Port Expander</t>
  </si>
  <si>
    <t>2263</t>
  </si>
  <si>
    <t>Operational Broadcast System Refresh</t>
  </si>
  <si>
    <t>2262</t>
  </si>
  <si>
    <t>Lighting Detector Refresh</t>
  </si>
  <si>
    <t>2260</t>
  </si>
  <si>
    <t>Move PGBTs from BM</t>
  </si>
  <si>
    <t>2259</t>
  </si>
  <si>
    <t>CLOGS Replacement</t>
  </si>
  <si>
    <t>2258</t>
  </si>
  <si>
    <t>Integrate CLOGS with EBS</t>
  </si>
  <si>
    <t>2257A</t>
  </si>
  <si>
    <t>BM Asset Refresh</t>
  </si>
  <si>
    <t>2257</t>
  </si>
  <si>
    <t>Energy Balancing System Upgrade</t>
  </si>
  <si>
    <t>2256</t>
  </si>
  <si>
    <t>IEMS Network Refresh</t>
  </si>
  <si>
    <t>2254</t>
  </si>
  <si>
    <t>GI74 Replacement</t>
  </si>
  <si>
    <t>2253</t>
  </si>
  <si>
    <t>TRNS/ETMS Upgrade</t>
  </si>
  <si>
    <t>2252</t>
  </si>
  <si>
    <t>Integrated DTS</t>
  </si>
  <si>
    <t>2251</t>
  </si>
  <si>
    <t>ODIP Decomissioning</t>
  </si>
  <si>
    <t>2250</t>
  </si>
  <si>
    <t>IEMS Snapshot</t>
  </si>
  <si>
    <t>2248</t>
  </si>
  <si>
    <t>Monitoring Enhancements Capacity / Storage Mgmnt</t>
  </si>
  <si>
    <t>2245</t>
  </si>
  <si>
    <t>NetSip (Online and Training Simulation) - running enhancements</t>
  </si>
  <si>
    <t>2244</t>
  </si>
  <si>
    <t>DNCS Future Releases - Consequential impact upon GSO systems</t>
  </si>
  <si>
    <t>2243</t>
  </si>
  <si>
    <t>2242</t>
  </si>
  <si>
    <t>2241</t>
  </si>
  <si>
    <t>2240</t>
  </si>
  <si>
    <t>IGMS Running enhancements</t>
  </si>
  <si>
    <t>2238</t>
  </si>
  <si>
    <t>Uptime Upgrade/Replacement</t>
  </si>
  <si>
    <t>2237</t>
  </si>
  <si>
    <t>Work Planner/MER Upgrade/Replacement</t>
  </si>
  <si>
    <t>2236</t>
  </si>
  <si>
    <t>OLTA Upgrade/Replacement</t>
  </si>
  <si>
    <t>2235</t>
  </si>
  <si>
    <t>Click Upgrade/Replacement</t>
  </si>
  <si>
    <t>2234</t>
  </si>
  <si>
    <t>GIS Upgrade/Replacement</t>
  </si>
  <si>
    <t>2233</t>
  </si>
  <si>
    <t>OiTH Upgrade/Replacement</t>
  </si>
  <si>
    <t>2232</t>
  </si>
  <si>
    <t>PIER Upgrade/Replacement</t>
  </si>
  <si>
    <t>2231A</t>
  </si>
  <si>
    <t>2231</t>
  </si>
  <si>
    <t>WORTS &amp; MyCalendar Upgrade/Replacement</t>
  </si>
  <si>
    <t>2230</t>
  </si>
  <si>
    <t>Client Release</t>
  </si>
  <si>
    <t>2229</t>
  </si>
  <si>
    <t>R&amp;D Support</t>
  </si>
  <si>
    <t>2228</t>
  </si>
  <si>
    <t>Migrate R&amp;D Projects into Production</t>
  </si>
  <si>
    <t>2227</t>
  </si>
  <si>
    <t>Document Mgt Upgrade/Replacement</t>
  </si>
  <si>
    <t>2226</t>
  </si>
  <si>
    <t>Decision Support Tools Upgrade/Replacement</t>
  </si>
  <si>
    <t>2225</t>
  </si>
  <si>
    <t>Small site support (Elec)</t>
  </si>
  <si>
    <t>2224</t>
  </si>
  <si>
    <t>Small site support (Gas)</t>
  </si>
  <si>
    <t>2223</t>
  </si>
  <si>
    <t>Collaborative Working Tools  Upgrade/Replacement</t>
  </si>
  <si>
    <t>2222</t>
  </si>
  <si>
    <t>Condition Monitoring Analysis Tools</t>
  </si>
  <si>
    <t>2221</t>
  </si>
  <si>
    <t>RAMM System Upgrade/Replacement</t>
  </si>
  <si>
    <t>2220</t>
  </si>
  <si>
    <t>Migrate Minor Systems into RAMM</t>
  </si>
  <si>
    <t>2219</t>
  </si>
  <si>
    <t>Minor Works (Elec)</t>
  </si>
  <si>
    <t>2218</t>
  </si>
  <si>
    <t>Minor Works (Gas)</t>
  </si>
  <si>
    <t>2217</t>
  </si>
  <si>
    <t>Field Device Replacement (Elec)</t>
  </si>
  <si>
    <t>2216</t>
  </si>
  <si>
    <t>Field Device Replacement (Gas)</t>
  </si>
  <si>
    <t>2215</t>
  </si>
  <si>
    <t>BT 21 CN Mitigation</t>
  </si>
  <si>
    <t>2214</t>
  </si>
  <si>
    <t>Control Telephony core refresh</t>
  </si>
  <si>
    <t>2213</t>
  </si>
  <si>
    <t>Optel Network ancillary equipment refresh</t>
  </si>
  <si>
    <t>2212</t>
  </si>
  <si>
    <t>Web-based SIR Solution</t>
  </si>
  <si>
    <t>2210</t>
  </si>
  <si>
    <t>2208</t>
  </si>
  <si>
    <t>Operational Mapping</t>
  </si>
  <si>
    <t>2207</t>
  </si>
  <si>
    <t>Energy Efficiency On-Demand regional analytics</t>
  </si>
  <si>
    <t>2206</t>
  </si>
  <si>
    <t>DSM gas programs for Long Island NY (CAS)</t>
  </si>
  <si>
    <t>2205</t>
  </si>
  <si>
    <t>Contact Center Business Continuity</t>
  </si>
  <si>
    <t>2204F</t>
  </si>
  <si>
    <t>Customer Contact Center Technology Upgrade Analysis</t>
  </si>
  <si>
    <t>2204E</t>
  </si>
  <si>
    <t>Customer Contact Center IVR consolidation</t>
  </si>
  <si>
    <t>2204D</t>
  </si>
  <si>
    <t>Customer Contact Center Niagara Falls Consol</t>
  </si>
  <si>
    <t>2204C</t>
  </si>
  <si>
    <t>Metrotech and Northborough Contact Center Recording Replacement</t>
  </si>
  <si>
    <t>2204B</t>
  </si>
  <si>
    <t>Customer Contact Center Home Agent</t>
  </si>
  <si>
    <t>2204</t>
  </si>
  <si>
    <t>2203</t>
  </si>
  <si>
    <t>Customer Self Service via IVR - Operational Improvements</t>
  </si>
  <si>
    <t>2202</t>
  </si>
  <si>
    <t>Customer Self Service via IVR - Customer Experience</t>
  </si>
  <si>
    <t>2201</t>
  </si>
  <si>
    <t>Customer Self Service via Web - Operational Improvements</t>
  </si>
  <si>
    <t>2200</t>
  </si>
  <si>
    <t>Customer Self Service via Web - Customer Experience</t>
  </si>
  <si>
    <t>2199</t>
  </si>
  <si>
    <t>DSM Mobile Energy Audit</t>
  </si>
  <si>
    <t>2198</t>
  </si>
  <si>
    <t>DSM E-track for Electric Programs</t>
  </si>
  <si>
    <t>2195</t>
  </si>
  <si>
    <t>DECUS13 - URD Optimization Tool</t>
  </si>
  <si>
    <t>2182</t>
  </si>
  <si>
    <t>DECUS02 - Mobile Devices for Field Investigators</t>
  </si>
  <si>
    <t>2180</t>
  </si>
  <si>
    <t>Mobile - ED Legacy KS MDSI Upgrade-Expansion</t>
  </si>
  <si>
    <t>2178G</t>
  </si>
  <si>
    <t>Syracuse/Northboro BCP site Hardware Replacement</t>
  </si>
  <si>
    <t>2178F</t>
  </si>
  <si>
    <t>Syracuse Dispatch Hardware Replacement</t>
  </si>
  <si>
    <t>2178E</t>
  </si>
  <si>
    <t>EDG PTO Laptop Replacement</t>
  </si>
  <si>
    <t>2178D</t>
  </si>
  <si>
    <t>Field Device Replacements</t>
  </si>
  <si>
    <t>2178C</t>
  </si>
  <si>
    <t>iScheduler/STORMS Hardware Standardization</t>
  </si>
  <si>
    <t>2178B</t>
  </si>
  <si>
    <t>EDG Field Device Replacement - Inspections</t>
  </si>
  <si>
    <t>2178A</t>
  </si>
  <si>
    <t>EDG Field Device Replacement - PTO</t>
  </si>
  <si>
    <t>2178</t>
  </si>
  <si>
    <t>Electric Mobile Field Device Replacements</t>
  </si>
  <si>
    <t>2172</t>
  </si>
  <si>
    <t>IDS Reliability Reporting &amp; Analysis</t>
  </si>
  <si>
    <t>2171</t>
  </si>
  <si>
    <t>Exchange of Notice - Joint Pole - Double Pole</t>
  </si>
  <si>
    <t>2165</t>
  </si>
  <si>
    <t>SEAL Upgrade</t>
  </si>
  <si>
    <t>2162</t>
  </si>
  <si>
    <t>Primavera - Project Management Extensions</t>
  </si>
  <si>
    <t>2155</t>
  </si>
  <si>
    <t>Mobile - ED Legacy Grid Mobile Expansion</t>
  </si>
  <si>
    <t>2149</t>
  </si>
  <si>
    <t>Bentley SubStation</t>
  </si>
  <si>
    <t>2147</t>
  </si>
  <si>
    <t>Advent Replacement</t>
  </si>
  <si>
    <t>2145</t>
  </si>
  <si>
    <t>Underground Data Integrity</t>
  </si>
  <si>
    <t>2144</t>
  </si>
  <si>
    <t>Vegetation Management</t>
  </si>
  <si>
    <t>2142</t>
  </si>
  <si>
    <t>Asset Management Data Warehouse Enhancements</t>
  </si>
  <si>
    <t>2135</t>
  </si>
  <si>
    <t>Customer Choice E-mail Tracking</t>
  </si>
  <si>
    <t>2133</t>
  </si>
  <si>
    <t>Electronic Data Interchange (EDI) Enhancement Program</t>
  </si>
  <si>
    <t>2131</t>
  </si>
  <si>
    <t>James Cleardown</t>
  </si>
  <si>
    <t>2130</t>
  </si>
  <si>
    <t>Offshore Transmission Asset Owner - IS Due Diligence</t>
  </si>
  <si>
    <t>2128D</t>
  </si>
  <si>
    <t>UK LNG Maximo Replacement (A&amp;WM) Migration</t>
  </si>
  <si>
    <t>2128C</t>
  </si>
  <si>
    <t>SAP-Ellipse Integration</t>
  </si>
  <si>
    <t>2128B</t>
  </si>
  <si>
    <t>Ellipse Migration</t>
  </si>
  <si>
    <t>2128A</t>
  </si>
  <si>
    <t>GLNG Stores Migration</t>
  </si>
  <si>
    <t>2128</t>
  </si>
  <si>
    <t>Maximo Replacement</t>
  </si>
  <si>
    <t>2127</t>
  </si>
  <si>
    <t>IFA Main Control Point Interim Solution</t>
  </si>
  <si>
    <t>2126</t>
  </si>
  <si>
    <t>ETSO VISTA Strategic Enhancements</t>
  </si>
  <si>
    <t>2125</t>
  </si>
  <si>
    <t>AS STOR Changes</t>
  </si>
  <si>
    <t>2124</t>
  </si>
  <si>
    <t>Northport NERC CIP Monitoring &amp; Policies</t>
  </si>
  <si>
    <t>2122</t>
  </si>
  <si>
    <t>Plasma Telephone Replacement</t>
  </si>
  <si>
    <t>2120</t>
  </si>
  <si>
    <t>Integration : Facility Consolidation Strategy</t>
  </si>
  <si>
    <t>2113</t>
  </si>
  <si>
    <t>Term Contract Office Set-up</t>
  </si>
  <si>
    <t>2112A</t>
  </si>
  <si>
    <t>Nucleus EDX Interface</t>
  </si>
  <si>
    <t>2112</t>
  </si>
  <si>
    <t>2111</t>
  </si>
  <si>
    <t>KSE Data Storage Refresh</t>
  </si>
  <si>
    <t>2110</t>
  </si>
  <si>
    <t>Rhode Island RTU Replacement</t>
  </si>
  <si>
    <t>2109</t>
  </si>
  <si>
    <t>T&amp;D Communication Projects</t>
  </si>
  <si>
    <t>2108</t>
  </si>
  <si>
    <t>UK Capacity In Advance (CIA)</t>
  </si>
  <si>
    <t>2107</t>
  </si>
  <si>
    <t>Voice Recorder Solution</t>
  </si>
  <si>
    <t>2106</t>
  </si>
  <si>
    <t>UK Desktop/ Laptop Refresh (Office Devices) (CSC/B2B refresh)</t>
  </si>
  <si>
    <t>2104</t>
  </si>
  <si>
    <t>Spare Catalogue on Web</t>
  </si>
  <si>
    <t>2103</t>
  </si>
  <si>
    <t>Alarms &amp; Trips</t>
  </si>
  <si>
    <t>2098</t>
  </si>
  <si>
    <t>Gas Distribution Transformation/Best of Breed sourcing</t>
  </si>
  <si>
    <t>2095</t>
  </si>
  <si>
    <t>SAP Software Upgrade</t>
  </si>
  <si>
    <t>2094</t>
  </si>
  <si>
    <t>Replacement Air Cards for FBL</t>
  </si>
  <si>
    <t>2091</t>
  </si>
  <si>
    <t>Mobile Command Unit</t>
  </si>
  <si>
    <t>2086</t>
  </si>
  <si>
    <t>SOMSA-DNCS- 5 LDZs-</t>
  </si>
  <si>
    <t>2078</t>
  </si>
  <si>
    <t>Electricity Information Provision 2009</t>
  </si>
  <si>
    <t>2077</t>
  </si>
  <si>
    <t>Data Historian</t>
  </si>
  <si>
    <t>2071</t>
  </si>
  <si>
    <t>SOMSA Exit Systems Migration</t>
  </si>
  <si>
    <t>2065</t>
  </si>
  <si>
    <t>Combine Meter Reading RI &amp; MA</t>
  </si>
  <si>
    <t>2060</t>
  </si>
  <si>
    <t>UK Net Apps</t>
  </si>
  <si>
    <t>2059</t>
  </si>
  <si>
    <t>SQL Server 2005 Application Upgrade</t>
  </si>
  <si>
    <t>2058</t>
  </si>
  <si>
    <t>SCM Consolidation</t>
  </si>
  <si>
    <t>2057</t>
  </si>
  <si>
    <t>SCADA Telemetry</t>
  </si>
  <si>
    <t>2056</t>
  </si>
  <si>
    <t>Remote Access Consolidation</t>
  </si>
  <si>
    <t>2055</t>
  </si>
  <si>
    <t>Oracle Rack and Data Guard</t>
  </si>
  <si>
    <t>2053</t>
  </si>
  <si>
    <t>Micro-Strategy and Info Matica Upgrade for Keyspan</t>
  </si>
  <si>
    <t>2052</t>
  </si>
  <si>
    <t>Laptop Encryption</t>
  </si>
  <si>
    <t>2051</t>
  </si>
  <si>
    <t>Instant Messaging</t>
  </si>
  <si>
    <t>2050</t>
  </si>
  <si>
    <t>GNCC/NOC/CCC Voice Recording Refresh</t>
  </si>
  <si>
    <t>2049</t>
  </si>
  <si>
    <t>F5 Load Balancer Refresh - Now moved to next year 09/10 confirmed by Doug</t>
  </si>
  <si>
    <t>2048</t>
  </si>
  <si>
    <t>Database Monitoring and Auditing Solution</t>
  </si>
  <si>
    <t>2047</t>
  </si>
  <si>
    <t>Data Services Toolset (*** Assume funded by SAP ERP ***)</t>
  </si>
  <si>
    <t>2046</t>
  </si>
  <si>
    <t>Data Encription Solution for Mobile Devices</t>
  </si>
  <si>
    <t>2045</t>
  </si>
  <si>
    <t>Control 1 &amp; 2 Comms Power Rack Refresh - moved to next year 09/10 confirmed by Doug</t>
  </si>
  <si>
    <t>2044</t>
  </si>
  <si>
    <t>Control 1 &amp; 2 Voice Recording Refresh</t>
  </si>
  <si>
    <t>2043</t>
  </si>
  <si>
    <t>CNI Break Fix / Minor Upgrades CNI Upgrades</t>
  </si>
  <si>
    <t>2042</t>
  </si>
  <si>
    <t>Business Intelligence Upgrades/Minor Projects</t>
  </si>
  <si>
    <t>2041</t>
  </si>
  <si>
    <t>Blackberry Upgrade</t>
  </si>
  <si>
    <t>2040</t>
  </si>
  <si>
    <t>Application Performance Monitoring (UK &amp; US)</t>
  </si>
  <si>
    <t>2027</t>
  </si>
  <si>
    <t>Global SMART services Development Project: US Market</t>
  </si>
  <si>
    <t>2023</t>
  </si>
  <si>
    <t>Primavera Upgrade</t>
  </si>
  <si>
    <t>2022</t>
  </si>
  <si>
    <t>Web Access to LinkOne Spares Catalogue</t>
  </si>
  <si>
    <t>2021</t>
  </si>
  <si>
    <t>Dell Laptop Qualification for OITH</t>
  </si>
  <si>
    <t>2017</t>
  </si>
  <si>
    <t>Automated Telecom Expense Management</t>
  </si>
  <si>
    <t>2011</t>
  </si>
  <si>
    <t>Ferc 720 (Collect Gas Transportation Info for display on Corporate website)</t>
  </si>
  <si>
    <t>2010</t>
  </si>
  <si>
    <t>Consolidate Meter Reading Routes</t>
  </si>
  <si>
    <t>2002</t>
  </si>
  <si>
    <t>NY Municipal Account Billing</t>
  </si>
  <si>
    <t>1696</t>
  </si>
  <si>
    <t>General GD US Task</t>
  </si>
  <si>
    <t>1695</t>
  </si>
  <si>
    <t>Network Strategy Minor Works</t>
  </si>
  <si>
    <t>1694</t>
  </si>
  <si>
    <t>EDG Operations System Applications Minor Works</t>
  </si>
  <si>
    <t>1692</t>
  </si>
  <si>
    <t>Voice Recorder Upgrade</t>
  </si>
  <si>
    <t>1691A</t>
  </si>
  <si>
    <t>CORESO Phase 2</t>
  </si>
  <si>
    <t>1691</t>
  </si>
  <si>
    <t>CORESO Phase 1</t>
  </si>
  <si>
    <t>1690</t>
  </si>
  <si>
    <t>Balancing Mechanism Running Upgrades</t>
  </si>
  <si>
    <t>1688E</t>
  </si>
  <si>
    <t>TeAR DR Testing &amp; Hardware upgrade project (ISC/10381-C5)</t>
  </si>
  <si>
    <t>1688A</t>
  </si>
  <si>
    <t>Gas Front office  Build/Deploy 1</t>
  </si>
  <si>
    <t>1688</t>
  </si>
  <si>
    <t>UKD Front Office Replacement</t>
  </si>
  <si>
    <t>1687</t>
  </si>
  <si>
    <t>Ventyx (MDSI)</t>
  </si>
  <si>
    <t>1683</t>
  </si>
  <si>
    <t>Advantages/CIS</t>
  </si>
  <si>
    <t>1676</t>
  </si>
  <si>
    <t>Click Upgrade / Replacement</t>
  </si>
  <si>
    <t>1675</t>
  </si>
  <si>
    <t>GIS Upgrade / Replacement</t>
  </si>
  <si>
    <t>1674</t>
  </si>
  <si>
    <t>Ellipse Upgrade / Replacement</t>
  </si>
  <si>
    <t>1673</t>
  </si>
  <si>
    <t>OiTH Upgrade / Replacement</t>
  </si>
  <si>
    <t>1669C</t>
  </si>
  <si>
    <t>1669</t>
  </si>
  <si>
    <t>1661</t>
  </si>
  <si>
    <t>CAS Risk Mitigation Updates</t>
  </si>
  <si>
    <t>1660</t>
  </si>
  <si>
    <t>Legacy Grid Web Self Service SW Upgrade</t>
  </si>
  <si>
    <t>1659</t>
  </si>
  <si>
    <t>Legacy KeySpan Web Self Service SW Upgrade</t>
  </si>
  <si>
    <t>1657</t>
  </si>
  <si>
    <t>ESRI System Upgrade</t>
  </si>
  <si>
    <t>1656A</t>
  </si>
  <si>
    <t>Customer Systems Agent Desktop</t>
  </si>
  <si>
    <t>1654</t>
  </si>
  <si>
    <t>1652B2</t>
  </si>
  <si>
    <t>R.I Barn WLAN Co. 48</t>
  </si>
  <si>
    <t>1652B1</t>
  </si>
  <si>
    <t>R.I Barn WLAN</t>
  </si>
  <si>
    <t>1652</t>
  </si>
  <si>
    <t>Rhode Island RTU Upgrade</t>
  </si>
  <si>
    <t>1650</t>
  </si>
  <si>
    <t>Network Strategy US Refresh</t>
  </si>
  <si>
    <t>1649</t>
  </si>
  <si>
    <t>Network Strategy - Other</t>
  </si>
  <si>
    <t>1648</t>
  </si>
  <si>
    <t>Network Strategy &amp; KSE Integration</t>
  </si>
  <si>
    <t>1647</t>
  </si>
  <si>
    <t>1646</t>
  </si>
  <si>
    <t>1644E</t>
  </si>
  <si>
    <t>NE EMS Hardware Investment</t>
  </si>
  <si>
    <t>1644C</t>
  </si>
  <si>
    <t>Alternate Control Center (ACC) Enhancements for Long Island</t>
  </si>
  <si>
    <t>1644B</t>
  </si>
  <si>
    <t>LI CNI Direct Hardware Upgrades</t>
  </si>
  <si>
    <t>1644A</t>
  </si>
  <si>
    <t>NY EMS Life Extension Project</t>
  </si>
  <si>
    <t>1644</t>
  </si>
  <si>
    <t>CNI Upgrades</t>
  </si>
  <si>
    <t>1643H</t>
  </si>
  <si>
    <t>Rhode Island Regulatory/Mandates</t>
  </si>
  <si>
    <t>1643G</t>
  </si>
  <si>
    <t>RI Rate Case</t>
  </si>
  <si>
    <t>1643F</t>
  </si>
  <si>
    <t>1643E</t>
  </si>
  <si>
    <t>CSS Regulatory Mandates</t>
  </si>
  <si>
    <t>1643D</t>
  </si>
  <si>
    <t>Excelsior Job Program Discount Rate(CRIS &amp; CAS)</t>
  </si>
  <si>
    <t>1643C</t>
  </si>
  <si>
    <t>Upstate NY EL TOU and Amend Deposits Functionality for all States</t>
  </si>
  <si>
    <t>1643B</t>
  </si>
  <si>
    <t>NY Commodity Rate Mechanism Project</t>
  </si>
  <si>
    <t>1643A</t>
  </si>
  <si>
    <t>CSS On Bill Financing Pilot</t>
  </si>
  <si>
    <t>1642</t>
  </si>
  <si>
    <t>Radio Console Standardization</t>
  </si>
  <si>
    <t>1641</t>
  </si>
  <si>
    <t>Refresh</t>
  </si>
  <si>
    <t>1624</t>
  </si>
  <si>
    <t>NGM - BA Non Project Time</t>
  </si>
  <si>
    <t>1622</t>
  </si>
  <si>
    <t>NGM - New Service Provider - minerva 2</t>
  </si>
  <si>
    <t>1621</t>
  </si>
  <si>
    <t>NGM - TWMS &amp; interfaces refresh</t>
  </si>
  <si>
    <t>1609A</t>
  </si>
  <si>
    <t>Investigation into global financial reporting for IS</t>
  </si>
  <si>
    <t>1604</t>
  </si>
  <si>
    <t>European 3rd Energy Package</t>
  </si>
  <si>
    <t>1602</t>
  </si>
  <si>
    <t>BMS Refresh</t>
  </si>
  <si>
    <t>1599</t>
  </si>
  <si>
    <t>Electricity Exit Reform</t>
  </si>
  <si>
    <t>1598C</t>
  </si>
  <si>
    <t>Insight</t>
  </si>
  <si>
    <t>1598</t>
  </si>
  <si>
    <t>Regulatory/Mandatory Driven CAPEX Projects</t>
  </si>
  <si>
    <t>1597K</t>
  </si>
  <si>
    <t>Tear Tactical</t>
  </si>
  <si>
    <t>1597J</t>
  </si>
  <si>
    <t>Mobile Command Unit (MCU)</t>
  </si>
  <si>
    <t>1597I</t>
  </si>
  <si>
    <t>POC - AirCard Upgrade for QB MARS Field User Laptops</t>
  </si>
  <si>
    <t>1597D</t>
  </si>
  <si>
    <t>Mine Retiever</t>
  </si>
  <si>
    <t>1597B</t>
  </si>
  <si>
    <t>AMR System (Productionising with DR Capability)</t>
  </si>
  <si>
    <t>1597A</t>
  </si>
  <si>
    <t>Automated Quality Assurance Device (AQAD) Project</t>
  </si>
  <si>
    <t>1597</t>
  </si>
  <si>
    <t>LOB Small &amp; Medium App &amp; Infras Upgrades</t>
  </si>
  <si>
    <t>1594</t>
  </si>
  <si>
    <t>CHC Productionisation</t>
  </si>
  <si>
    <t>1593</t>
  </si>
  <si>
    <t>EDG Customer System Applications Minor Works</t>
  </si>
  <si>
    <t>1592</t>
  </si>
  <si>
    <t>NGM - Property Improvements - placeholder</t>
  </si>
  <si>
    <t>1589</t>
  </si>
  <si>
    <t>Legacy KeySpan NE Gas Efficiency Program</t>
  </si>
  <si>
    <t>1588</t>
  </si>
  <si>
    <t>21st century for Syracuse/Northboro</t>
  </si>
  <si>
    <t>1585</t>
  </si>
  <si>
    <t>Operational Sites Communications Infrastructure</t>
  </si>
  <si>
    <t>1584</t>
  </si>
  <si>
    <t>1576</t>
  </si>
  <si>
    <t>CNI Intrusion Detection System</t>
  </si>
  <si>
    <t>1575</t>
  </si>
  <si>
    <t>CIS Monitoring Enhancements</t>
  </si>
  <si>
    <t>1573</t>
  </si>
  <si>
    <t>Transmission Investment Mgmt System (TIMS)</t>
  </si>
  <si>
    <t>1565</t>
  </si>
  <si>
    <t>CRIS Minor Works</t>
  </si>
  <si>
    <t>1564</t>
  </si>
  <si>
    <t>CAS Minor Works</t>
  </si>
  <si>
    <t>1549B</t>
  </si>
  <si>
    <t>MVRS to FCS conversion for FY13</t>
  </si>
  <si>
    <t>1549</t>
  </si>
  <si>
    <t>Non-Interval Collections Systems Consolidation (ITRON/PP4/MVRS)</t>
  </si>
  <si>
    <t>1523</t>
  </si>
  <si>
    <t>Web Site Compliance</t>
  </si>
  <si>
    <t>1518</t>
  </si>
  <si>
    <t>Internet Mandated Items</t>
  </si>
  <si>
    <t>1516C</t>
  </si>
  <si>
    <t>Nucleus / ICE Interface Replacement</t>
  </si>
  <si>
    <t>1516B</t>
  </si>
  <si>
    <t>1516</t>
  </si>
  <si>
    <t>US  Corporate Centre Minor Projects</t>
  </si>
  <si>
    <t>1510</t>
  </si>
  <si>
    <t>Standardize Operations</t>
  </si>
  <si>
    <t>1506</t>
  </si>
  <si>
    <t>QA /QC Re-Write</t>
  </si>
  <si>
    <t>1505</t>
  </si>
  <si>
    <t>Post Transformation</t>
  </si>
  <si>
    <t>1504</t>
  </si>
  <si>
    <t>Strategic Best of Breed Replacements</t>
  </si>
  <si>
    <t>1491</t>
  </si>
  <si>
    <t>Provide Generation Data to Energy Trading Entity</t>
  </si>
  <si>
    <t>1489</t>
  </si>
  <si>
    <t>AutoCAD System Upgrade</t>
  </si>
  <si>
    <t>1488</t>
  </si>
  <si>
    <t>Remote Access To Fault Recorders</t>
  </si>
  <si>
    <t>1485</t>
  </si>
  <si>
    <t>Computapole Upgrade</t>
  </si>
  <si>
    <t>1484</t>
  </si>
  <si>
    <t>Cascade Phase II</t>
  </si>
  <si>
    <t>1482</t>
  </si>
  <si>
    <t>ACIS Target Pricing Model</t>
  </si>
  <si>
    <t>1481</t>
  </si>
  <si>
    <t>NGM - Call Centre system changes</t>
  </si>
  <si>
    <t>1477</t>
  </si>
  <si>
    <t>Facilities Projects</t>
  </si>
  <si>
    <t>1476</t>
  </si>
  <si>
    <t>Bus Devt Projects</t>
  </si>
  <si>
    <t>1475H</t>
  </si>
  <si>
    <t>Gemini Storage</t>
  </si>
  <si>
    <t>1475G</t>
  </si>
  <si>
    <t>MPLS IX Network</t>
  </si>
  <si>
    <t>1475F</t>
  </si>
  <si>
    <t>Demand Estimation</t>
  </si>
  <si>
    <t>1475E</t>
  </si>
  <si>
    <t>Service Desk</t>
  </si>
  <si>
    <t>1475D</t>
  </si>
  <si>
    <t>DM Elective file transfer</t>
  </si>
  <si>
    <t>1475C</t>
  </si>
  <si>
    <t>xoserve ASR Work</t>
  </si>
  <si>
    <t>1475B</t>
  </si>
  <si>
    <t>xoserve SC2004 file transfer revision</t>
  </si>
  <si>
    <t>1475A</t>
  </si>
  <si>
    <t>xoserve composite weather file delivery</t>
  </si>
  <si>
    <t>1475</t>
  </si>
  <si>
    <t>xoserve Projects</t>
  </si>
  <si>
    <t>1474E</t>
  </si>
  <si>
    <t>Thomson Reuters Access</t>
  </si>
  <si>
    <t>1474D</t>
  </si>
  <si>
    <t>Avonmouth Upgrade</t>
  </si>
  <si>
    <t>1474C</t>
  </si>
  <si>
    <t>LNGS Control Room System Replacement</t>
  </si>
  <si>
    <t>1474B</t>
  </si>
  <si>
    <t>commercial process review</t>
  </si>
  <si>
    <t>1474A</t>
  </si>
  <si>
    <t>Migration from Lotus Notes</t>
  </si>
  <si>
    <t>1474</t>
  </si>
  <si>
    <t>LNG Storage Projects</t>
  </si>
  <si>
    <t>1473X</t>
  </si>
  <si>
    <t>Grain New Security Lodge</t>
  </si>
  <si>
    <t>1473W</t>
  </si>
  <si>
    <t>Transmission Shared Ellipse Investments</t>
  </si>
  <si>
    <t>1473V</t>
  </si>
  <si>
    <t>RBI Feasibility Analysis</t>
  </si>
  <si>
    <t>1473U</t>
  </si>
  <si>
    <t>GLNG GIN Phase 3.1</t>
  </si>
  <si>
    <t>1473T</t>
  </si>
  <si>
    <t>GLNG Asset Strategy</t>
  </si>
  <si>
    <t>1473S</t>
  </si>
  <si>
    <t>GHG Emission Tracking Tool</t>
  </si>
  <si>
    <t>1473R</t>
  </si>
  <si>
    <t>PHD/Ellipse Integration</t>
  </si>
  <si>
    <t>1473Q</t>
  </si>
  <si>
    <t>Heatpipe forecasting and plant optimisation</t>
  </si>
  <si>
    <t>1473P</t>
  </si>
  <si>
    <t>Phase 3 Weathering Model</t>
  </si>
  <si>
    <t>1473O</t>
  </si>
  <si>
    <t>Phase 3 Shipper Acceptance Model</t>
  </si>
  <si>
    <t>1473N</t>
  </si>
  <si>
    <t>GLNG Task Scritping in Ellipse</t>
  </si>
  <si>
    <t>1473M</t>
  </si>
  <si>
    <t>GLNG RBI Analysis</t>
  </si>
  <si>
    <t>1473L</t>
  </si>
  <si>
    <t>GLNG Performance &amp; Information Management</t>
  </si>
  <si>
    <t>1473K</t>
  </si>
  <si>
    <t>GLNG GIN customer funded changes</t>
  </si>
  <si>
    <t>1473J</t>
  </si>
  <si>
    <t>GLNG GSIS Enhancments Change Releases</t>
  </si>
  <si>
    <t>1473I</t>
  </si>
  <si>
    <t>GLNG GIN functional Change Releases</t>
  </si>
  <si>
    <t>1473H</t>
  </si>
  <si>
    <t>GLNG Opralog Prodcutionisation</t>
  </si>
  <si>
    <t>1473G</t>
  </si>
  <si>
    <t>GLNG Allocator replacement</t>
  </si>
  <si>
    <t>1473F</t>
  </si>
  <si>
    <t>Grain Admin Building Decommission</t>
  </si>
  <si>
    <t>1473E</t>
  </si>
  <si>
    <t>GLNG Mobile Feasbility</t>
  </si>
  <si>
    <t>1473D</t>
  </si>
  <si>
    <t>GLNG Forecasting tool</t>
  </si>
  <si>
    <t>1473C</t>
  </si>
  <si>
    <t>GLNG Marine Ap Dev</t>
  </si>
  <si>
    <t>1473B</t>
  </si>
  <si>
    <t>GLNG Warehouse Management System</t>
  </si>
  <si>
    <t>1473A</t>
  </si>
  <si>
    <t>GLNG AUP and 90 days scheduling</t>
  </si>
  <si>
    <t>1473</t>
  </si>
  <si>
    <t>Grain LNG Projects</t>
  </si>
  <si>
    <t>1472N</t>
  </si>
  <si>
    <t>ATM's at Warwick and Northampton changes</t>
  </si>
  <si>
    <t>1472M</t>
  </si>
  <si>
    <t>Eakring Lodge Extension</t>
  </si>
  <si>
    <t>1472L</t>
  </si>
  <si>
    <t>Eakring Training Workshop Build</t>
  </si>
  <si>
    <t>1472K</t>
  </si>
  <si>
    <t>Vodaphone Pica Cell at Eakring feasibility</t>
  </si>
  <si>
    <t>1472J</t>
  </si>
  <si>
    <t>Room Booking System</t>
  </si>
  <si>
    <t>1472I</t>
  </si>
  <si>
    <t>Shared Workplace enhancements 2</t>
  </si>
  <si>
    <t>1472H</t>
  </si>
  <si>
    <t>Shared Workplace enhancements 1</t>
  </si>
  <si>
    <t>1472G</t>
  </si>
  <si>
    <t>Seumas Projects</t>
  </si>
  <si>
    <t>1472F</t>
  </si>
  <si>
    <t>Basingstoke Exit</t>
  </si>
  <si>
    <t>1472E</t>
  </si>
  <si>
    <t>BasingStoke and Atrincham Office Move</t>
  </si>
  <si>
    <t>1472D</t>
  </si>
  <si>
    <t>51 Homer Rd Decommissioning</t>
  </si>
  <si>
    <t>1472C</t>
  </si>
  <si>
    <t>Shared Workplace Pilot</t>
  </si>
  <si>
    <t>1472B</t>
  </si>
  <si>
    <t>Property - Manhattan FO Replacement</t>
  </si>
  <si>
    <t>1472A</t>
  </si>
  <si>
    <t>MySAP Integration</t>
  </si>
  <si>
    <t>1472</t>
  </si>
  <si>
    <t>Property Closure/Office Moves</t>
  </si>
  <si>
    <t>1468</t>
  </si>
  <si>
    <t>UK - ERP Future Functionality Releases (Minor Enhancements)</t>
  </si>
  <si>
    <t>1466</t>
  </si>
  <si>
    <t>UK - Construction of specialist reports in BI</t>
  </si>
  <si>
    <t>1462</t>
  </si>
  <si>
    <t>HR - Global Salary Planning / Perf Mgt Minor Changes</t>
  </si>
  <si>
    <t>1461</t>
  </si>
  <si>
    <t>HR - Talent Management System Minor Changes</t>
  </si>
  <si>
    <t>1448E</t>
  </si>
  <si>
    <t>NGG Support Services ISO/10284</t>
  </si>
  <si>
    <t>1448D</t>
  </si>
  <si>
    <t>SOMSA EXIT:People Migration/Conversion IS/10365-R1 &amp; R5</t>
  </si>
  <si>
    <t>1448C</t>
  </si>
  <si>
    <t>SOMSA Exit: ISCAP9193 DNCS</t>
  </si>
  <si>
    <t>1448</t>
  </si>
  <si>
    <t>SOMSA Exit Programme</t>
  </si>
  <si>
    <t>1446</t>
  </si>
  <si>
    <t>1441</t>
  </si>
  <si>
    <t>08/09 Elec projects (&lt;£50k)</t>
  </si>
  <si>
    <t>1437E</t>
  </si>
  <si>
    <t>Exit Reform - MIPI EU</t>
  </si>
  <si>
    <t>1437D</t>
  </si>
  <si>
    <t>Exit Reform - Enhanced Monitoring</t>
  </si>
  <si>
    <t>1437C</t>
  </si>
  <si>
    <t>NTS Exit Capacity Reform – Phase 3 (2012)</t>
  </si>
  <si>
    <t>1437B</t>
  </si>
  <si>
    <t>NTS Exit Capacity Reform Phase 2 - 2011</t>
  </si>
  <si>
    <t>1437A</t>
  </si>
  <si>
    <t>NGIS Exit Reform 2010</t>
  </si>
  <si>
    <t>1437</t>
  </si>
  <si>
    <t>Exit Reform (UNC mod 195AV) Implementation</t>
  </si>
  <si>
    <t>1436</t>
  </si>
  <si>
    <t>GB Market Driven / Regulatory changes</t>
  </si>
  <si>
    <t>1435</t>
  </si>
  <si>
    <t>IGMS Replacement</t>
  </si>
  <si>
    <t>1434</t>
  </si>
  <si>
    <t>HPMIS health  &amp; strategy</t>
  </si>
  <si>
    <t>1433</t>
  </si>
  <si>
    <t>Netsip upgrade</t>
  </si>
  <si>
    <t>1432</t>
  </si>
  <si>
    <t>PTE Emulator Refresh (GI74)</t>
  </si>
  <si>
    <t>1431</t>
  </si>
  <si>
    <t>FCDM new sites</t>
  </si>
  <si>
    <t>1430</t>
  </si>
  <si>
    <t>IFA Schedule &amp; Despatch</t>
  </si>
  <si>
    <t>1429</t>
  </si>
  <si>
    <t>ENCC Control Room Upgrade</t>
  </si>
  <si>
    <t>1427</t>
  </si>
  <si>
    <t>ENCC Control Telephony Refresh</t>
  </si>
  <si>
    <t>1426</t>
  </si>
  <si>
    <t>Control Room Monitoring Refresh</t>
  </si>
  <si>
    <t>1425</t>
  </si>
  <si>
    <t>LEEMPS New Sites &amp; Refresh</t>
  </si>
  <si>
    <t>1423</t>
  </si>
  <si>
    <t>SRD Refresh</t>
  </si>
  <si>
    <t>1422</t>
  </si>
  <si>
    <t>OLTA version upgrades</t>
  </si>
  <si>
    <t>1421</t>
  </si>
  <si>
    <t>OLTA Hardware Refresh</t>
  </si>
  <si>
    <t>1420</t>
  </si>
  <si>
    <t>BM Replacement Phase 2 (New Market Rules)</t>
  </si>
  <si>
    <t>1418</t>
  </si>
  <si>
    <t>Improved Situational Awareness Tools</t>
  </si>
  <si>
    <t>FATE Phase 3</t>
  </si>
  <si>
    <t>1417</t>
  </si>
  <si>
    <t>FATE Replacement</t>
  </si>
  <si>
    <t>1414</t>
  </si>
  <si>
    <t>Handover and Logging for Operations</t>
  </si>
  <si>
    <t>1413</t>
  </si>
  <si>
    <t>BM Asset Upgrade</t>
  </si>
  <si>
    <t>1411</t>
  </si>
  <si>
    <t>LoB Transformation</t>
  </si>
  <si>
    <t>1410</t>
  </si>
  <si>
    <t>IS Dashboard Development</t>
  </si>
  <si>
    <t>1409</t>
  </si>
  <si>
    <t>Gas Telemetry Satellite Refresh</t>
  </si>
  <si>
    <t>1408</t>
  </si>
  <si>
    <t>System Management Toolset (includes CMDB  Standardisation and Commoditisation)</t>
  </si>
  <si>
    <t>1407</t>
  </si>
  <si>
    <t>Desktop Refresh - COF (UK)</t>
  </si>
  <si>
    <t>1406A</t>
  </si>
  <si>
    <t>Internal Dial</t>
  </si>
  <si>
    <t>1405</t>
  </si>
  <si>
    <t>Network Strategy US Refresh (Normals Private Infrastructure INVP 1405 - Opex)</t>
  </si>
  <si>
    <t>1404A</t>
  </si>
  <si>
    <t>Upstate NY ATM Circuit Transition</t>
  </si>
  <si>
    <t>1404</t>
  </si>
  <si>
    <t>Network Comms - Voice &amp; Data Normals</t>
  </si>
  <si>
    <t>1403</t>
  </si>
  <si>
    <t>Telecom Expense Mangement</t>
  </si>
  <si>
    <t>1400B</t>
  </si>
  <si>
    <t>Board Room Video upgrades</t>
  </si>
  <si>
    <t>1400</t>
  </si>
  <si>
    <t>Video Conferencing</t>
  </si>
  <si>
    <t>1399A</t>
  </si>
  <si>
    <t>Gas Telemetry Satellite Hardware Refesh</t>
  </si>
  <si>
    <t>1399</t>
  </si>
  <si>
    <t>National Grid IP Telephony Strategy</t>
  </si>
  <si>
    <t>1398B</t>
  </si>
  <si>
    <t>US DCR Data Center Fiber</t>
  </si>
  <si>
    <t>1398A</t>
  </si>
  <si>
    <t>Data Center (PRM Date TBC same as InvP 1088)</t>
  </si>
  <si>
    <t>1396</t>
  </si>
  <si>
    <t>Wireless</t>
  </si>
  <si>
    <t>1395</t>
  </si>
  <si>
    <t>1393</t>
  </si>
  <si>
    <t>Legacy KeySpan Only Desktop/Laptop Lifecycle Refresh FY08/09</t>
  </si>
  <si>
    <t>1392A</t>
  </si>
  <si>
    <t>Log/Audit/Report</t>
  </si>
  <si>
    <t>1387</t>
  </si>
  <si>
    <t>WiFi for Service Centers</t>
  </si>
  <si>
    <t>1386A</t>
  </si>
  <si>
    <t>Improvements to Regulator Data Capture</t>
  </si>
  <si>
    <t>1386</t>
  </si>
  <si>
    <t>NGM - Vista (SMART) Industry Data Flows</t>
  </si>
  <si>
    <t>1385</t>
  </si>
  <si>
    <t>Onstream Metering - BW Upgrade</t>
  </si>
  <si>
    <t>1384</t>
  </si>
  <si>
    <t>Onstream Metering - RGMA National Gas Capability / strategic Gas</t>
  </si>
  <si>
    <t>1375</t>
  </si>
  <si>
    <t>NG US HR Minor Enhancements</t>
  </si>
  <si>
    <t>1363</t>
  </si>
  <si>
    <t>Cascade Phase I</t>
  </si>
  <si>
    <t>1356B</t>
  </si>
  <si>
    <t>UK Recruitment &amp; Investor Relations</t>
  </si>
  <si>
    <t>1356A</t>
  </si>
  <si>
    <t>Global Internet Strategy Implementation (Business Non-Regulated Funded)</t>
  </si>
  <si>
    <t>1356</t>
  </si>
  <si>
    <t>Global Internet Strategy Implementation</t>
  </si>
  <si>
    <t>1355</t>
  </si>
  <si>
    <t>Global Intranet Consolidation</t>
  </si>
  <si>
    <t>1352</t>
  </si>
  <si>
    <t>OnStream Remote Meter Management Capability for Trials</t>
  </si>
  <si>
    <t>1332</t>
  </si>
  <si>
    <t>Operations Minor Works</t>
  </si>
  <si>
    <t>1329</t>
  </si>
  <si>
    <t>INVP1329-SOP Refresh</t>
  </si>
  <si>
    <t>1325</t>
  </si>
  <si>
    <t>Support Consolidation of Dispatch Centers</t>
  </si>
  <si>
    <t>1319</t>
  </si>
  <si>
    <t>Substation Information System (LIPA)</t>
  </si>
  <si>
    <t>1317</t>
  </si>
  <si>
    <t>Commodity Services</t>
  </si>
  <si>
    <t>1316</t>
  </si>
  <si>
    <t>UK Data Centre Refresh/Consolidation &amp; Closure</t>
  </si>
  <si>
    <t>1314A</t>
  </si>
  <si>
    <t>Global Workplace Programme (req - multi-phase; multi year)</t>
  </si>
  <si>
    <t>1314</t>
  </si>
  <si>
    <t>UK Blackberry Solution Upgrade</t>
  </si>
  <si>
    <t>1308</t>
  </si>
  <si>
    <t>SOMSA EXIT: SGN People Migration</t>
  </si>
  <si>
    <t>1298J</t>
  </si>
  <si>
    <t>CR1160 - PowerPlan Lease Assets - Business Segment Addition - Minor Works</t>
  </si>
  <si>
    <t>1298G</t>
  </si>
  <si>
    <t>Supply Chain Performance Management SQL Server (MW)</t>
  </si>
  <si>
    <t>1298E</t>
  </si>
  <si>
    <t>Three Virtual Windows Servers for Customer Billings and Collections (MW)</t>
  </si>
  <si>
    <t>1298</t>
  </si>
  <si>
    <t>US Corporate Centre Minor Projects (non EDG)</t>
  </si>
  <si>
    <t>1293</t>
  </si>
  <si>
    <t>CSS Minor Enhancement release</t>
  </si>
  <si>
    <t>1282</t>
  </si>
  <si>
    <t>Commercial Monitor Upgrade &amp; Rationalisation</t>
  </si>
  <si>
    <t>1279</t>
  </si>
  <si>
    <t>FCDM Upgrade</t>
  </si>
  <si>
    <t>1278</t>
  </si>
  <si>
    <t>Transmission Access</t>
  </si>
  <si>
    <t>1274</t>
  </si>
  <si>
    <t>Cross Border Balancing</t>
  </si>
  <si>
    <t>1272</t>
  </si>
  <si>
    <t>P217 Tagging</t>
  </si>
  <si>
    <t>1271</t>
  </si>
  <si>
    <t>Inter TSO Compensation</t>
  </si>
  <si>
    <t>1266</t>
  </si>
  <si>
    <t>TMA Programme - Permits Project</t>
  </si>
  <si>
    <t>1265</t>
  </si>
  <si>
    <t>BIS Infrastructure</t>
  </si>
  <si>
    <t>1264B</t>
  </si>
  <si>
    <t>iGMS Asset Health Phase 1</t>
  </si>
  <si>
    <t>1264A</t>
  </si>
  <si>
    <t>iGMS Asset Health</t>
  </si>
  <si>
    <t>1264</t>
  </si>
  <si>
    <t>IGMS Asset Health Phase 1</t>
  </si>
  <si>
    <t>1262</t>
  </si>
  <si>
    <t>Performance Management Reporting</t>
  </si>
  <si>
    <t>1261</t>
  </si>
  <si>
    <t>Account Process Automation</t>
  </si>
  <si>
    <t>1259B</t>
  </si>
  <si>
    <t>Physical Contact Center Consolidation KeySpan Merger FY10</t>
  </si>
  <si>
    <t>1242W</t>
  </si>
  <si>
    <t>Long Island Scheduling Tool (tScheduler 2.0)</t>
  </si>
  <si>
    <t>1242V</t>
  </si>
  <si>
    <t>Maximo Enhancements</t>
  </si>
  <si>
    <t>1242U</t>
  </si>
  <si>
    <t>EDO Transformation - PM KPI Metrics Reports (KPIPH1)</t>
  </si>
  <si>
    <t>1242T</t>
  </si>
  <si>
    <t>1242R</t>
  </si>
  <si>
    <t>EDO Transformation - DTW Improve Software Effectiveness in the Field (FLDEX04)</t>
  </si>
  <si>
    <t>1242Q</t>
  </si>
  <si>
    <t>EDO Transformation - MTA Asset Mgmt Data Warehouse and Decision Support (MTA10)</t>
  </si>
  <si>
    <t>1242O</t>
  </si>
  <si>
    <t>EDOT CM-NEW03 Storms &amp; CSS Fst Track Functionality (Carryover)</t>
  </si>
  <si>
    <t>1242N</t>
  </si>
  <si>
    <t>EDOT CM-NEW13 Need Date Management</t>
  </si>
  <si>
    <t>1242M</t>
  </si>
  <si>
    <t>EDOT CM-NEW01 IVR Redirect Calls to Order Fullfillment</t>
  </si>
  <si>
    <t>1242G</t>
  </si>
  <si>
    <t>EDOT WCOR08 - IVR - Municipal Inspector Clearance (Carryover)</t>
  </si>
  <si>
    <t>1242F</t>
  </si>
  <si>
    <t>EDOT CM-NEW02 Simplify Order Entry Process Multiple Premises (Carryover)</t>
  </si>
  <si>
    <t>1242D</t>
  </si>
  <si>
    <t>EDO Transformation - MTA Integrated Strategic Planning (ISP01)</t>
  </si>
  <si>
    <t>1242C</t>
  </si>
  <si>
    <t>EDO Transformation - MTA Conceptual Estimating Tool (STD01)</t>
  </si>
  <si>
    <t>1242B</t>
  </si>
  <si>
    <t>EDOT DTW Primavera Upgrade - SHORT04 (Carryover)</t>
  </si>
  <si>
    <t>1227B</t>
  </si>
  <si>
    <t>NERC CIP v5 Gap Analysis</t>
  </si>
  <si>
    <t>1227</t>
  </si>
  <si>
    <t>1214</t>
  </si>
  <si>
    <t>ISO30240 Refurbishment Centres Stock Control</t>
  </si>
  <si>
    <t>1212C</t>
  </si>
  <si>
    <t>IEMS Futures</t>
  </si>
  <si>
    <t>1212</t>
  </si>
  <si>
    <t>1210</t>
  </si>
  <si>
    <t>IGMS Test Enhancements (GSO Short Term remediation)</t>
  </si>
  <si>
    <t>1208B</t>
  </si>
  <si>
    <t>TOGA Strategic</t>
  </si>
  <si>
    <t>1208</t>
  </si>
  <si>
    <t>TOGA Offshore Networks</t>
  </si>
  <si>
    <t>1185B</t>
  </si>
  <si>
    <t>Distribution/Outage Management System - New England</t>
  </si>
  <si>
    <t>1185A</t>
  </si>
  <si>
    <t>Distribution/Outage Management System - New York</t>
  </si>
  <si>
    <t>1185</t>
  </si>
  <si>
    <t>Distribution/Outage Management System</t>
  </si>
  <si>
    <t>1182B</t>
  </si>
  <si>
    <t>Gas Transportation Information System Phase II (FY12/13)</t>
  </si>
  <si>
    <t>1182A</t>
  </si>
  <si>
    <t>CAS - Non-Firm Monthly Balancing</t>
  </si>
  <si>
    <t>1182</t>
  </si>
  <si>
    <t>Gas Transportation System</t>
  </si>
  <si>
    <t>1172</t>
  </si>
  <si>
    <t>AMAG Upgrade to Distributed Version</t>
  </si>
  <si>
    <t>1166</t>
  </si>
  <si>
    <t>Demand Side Management NY Enhancements</t>
  </si>
  <si>
    <t>1163</t>
  </si>
  <si>
    <t>Internet Self Service for NGES Customers</t>
  </si>
  <si>
    <t>1160</t>
  </si>
  <si>
    <t>NGES Integration w/R.I. Unregulated company</t>
  </si>
  <si>
    <t>1159</t>
  </si>
  <si>
    <t>Customer Insights and Analytics</t>
  </si>
  <si>
    <t>1157A</t>
  </si>
  <si>
    <t>CIS Intruder Detection Monitoring</t>
  </si>
  <si>
    <t>1152</t>
  </si>
  <si>
    <t>Identity Management</t>
  </si>
  <si>
    <t>1151</t>
  </si>
  <si>
    <t>Global - Business Objects Consolidation</t>
  </si>
  <si>
    <t>1147A</t>
  </si>
  <si>
    <t>Xceedium (proof of concept) was InvP 0823</t>
  </si>
  <si>
    <t>1135</t>
  </si>
  <si>
    <t>Global IS Audit Remediation</t>
  </si>
  <si>
    <t>1134</t>
  </si>
  <si>
    <t>Enterprise Content Management and Data Archival Programme</t>
  </si>
  <si>
    <t>1129D</t>
  </si>
  <si>
    <t>End User Computing Environment Upgrade [EUCEU]</t>
  </si>
  <si>
    <t>1129C</t>
  </si>
  <si>
    <t>Lotus Notes Remediation - Mail Migration</t>
  </si>
  <si>
    <t>1129B</t>
  </si>
  <si>
    <t>Enterprise SharePoint Phases 1-4</t>
  </si>
  <si>
    <t>1129</t>
  </si>
  <si>
    <t>Global Productivity Programme</t>
  </si>
  <si>
    <t>1125</t>
  </si>
  <si>
    <t>Capacity Planning/Trend Reporting Process</t>
  </si>
  <si>
    <t>1123</t>
  </si>
  <si>
    <t>ISC30220 - Power Quality Monitoring System</t>
  </si>
  <si>
    <t>1120</t>
  </si>
  <si>
    <t>CIS Computer Room separation</t>
  </si>
  <si>
    <t>1118</t>
  </si>
  <si>
    <t>CNI Intrusion Detection</t>
  </si>
  <si>
    <t>1111</t>
  </si>
  <si>
    <t>Onstream Metering - Hand held replacements</t>
  </si>
  <si>
    <t>1092</t>
  </si>
  <si>
    <t>Integration Project, OneNet Keyspan</t>
  </si>
  <si>
    <t>1090F</t>
  </si>
  <si>
    <t>Unified Telecom Strategy (voice) (Telecom Contract Consolidation and Optimisation)</t>
  </si>
  <si>
    <t>1090E</t>
  </si>
  <si>
    <t>Unified network Convergence Strategy (data) - Security - included in Global WAN?</t>
  </si>
  <si>
    <t>1090D</t>
  </si>
  <si>
    <t>Unified network Convergence Strategy (data) - LAN / WAN - included in Global WAN?</t>
  </si>
  <si>
    <t>1090C</t>
  </si>
  <si>
    <t>Unified network Convergence Strategy (data) - DMZ -  included in Global WAN?</t>
  </si>
  <si>
    <t>1090B</t>
  </si>
  <si>
    <t>Telecoms Contract Consolidation (CTA)</t>
  </si>
  <si>
    <t>1090A</t>
  </si>
  <si>
    <t>Unified network Convergence Strategy (data) - Network Management - included in Global WAN?</t>
  </si>
  <si>
    <t>1090</t>
  </si>
  <si>
    <t>US WAN Replacement</t>
  </si>
  <si>
    <t>1089</t>
  </si>
  <si>
    <t>Service Management</t>
  </si>
  <si>
    <t>1088</t>
  </si>
  <si>
    <t>Datacenter Rationalization (includes specific storage computing &amp; telecoms)</t>
  </si>
  <si>
    <t>1063</t>
  </si>
  <si>
    <t>EDSS Resilience and Support Environment</t>
  </si>
  <si>
    <t>1062</t>
  </si>
  <si>
    <t>ESO Asset Health - FATE2000</t>
  </si>
  <si>
    <t>1061B</t>
  </si>
  <si>
    <t>SSE Data Link Refresh</t>
  </si>
  <si>
    <t>1061A</t>
  </si>
  <si>
    <t>Scottish Data Links - Scottish and Southern Energy Connections</t>
  </si>
  <si>
    <t>1061</t>
  </si>
  <si>
    <t>Scottish Data Links</t>
  </si>
  <si>
    <t>1058C</t>
  </si>
  <si>
    <t>CNI Monitoring (Steve Liversidge) R&amp;I</t>
  </si>
  <si>
    <t>1058A</t>
  </si>
  <si>
    <t>CNI  Infrastructure Monitoring (24x7) R&amp;I</t>
  </si>
  <si>
    <t>1058</t>
  </si>
  <si>
    <t>CNI Montioring tools (ESO) INVP</t>
  </si>
  <si>
    <t>1050A</t>
  </si>
  <si>
    <t>Security and Operatioonal Networks - CNI Gateway refresh</t>
  </si>
  <si>
    <t>1050</t>
  </si>
  <si>
    <t>Security &amp; Operational Networks (Gas)</t>
  </si>
  <si>
    <t>1047</t>
  </si>
  <si>
    <t>Gas SCADA security enhancements</t>
  </si>
  <si>
    <t>1043</t>
  </si>
  <si>
    <t>NE EMS Replacement</t>
  </si>
  <si>
    <t>1041</t>
  </si>
  <si>
    <t>NY EMS Replacement</t>
  </si>
  <si>
    <t>1020</t>
  </si>
  <si>
    <t>ERP Release 13: SC/ Finance Maintenance release, Hyperion Upgrade  and People Tools Upgrade</t>
  </si>
  <si>
    <t>1002W</t>
  </si>
  <si>
    <t>InDemand Energy Efficiency CY2019 Release Enhancements</t>
  </si>
  <si>
    <t>1002V</t>
  </si>
  <si>
    <t>DSM Energy Efficiency CY2018 Sprints</t>
  </si>
  <si>
    <t>1002U</t>
  </si>
  <si>
    <t>DSM User Provisioning and Certifications for Audit Compliance</t>
  </si>
  <si>
    <t>1002T</t>
  </si>
  <si>
    <t>Non Support &amp; Non release enhancements</t>
  </si>
  <si>
    <t>1002S</t>
  </si>
  <si>
    <t>DSM EE CY2017 Release Enhancements</t>
  </si>
  <si>
    <t>1002R</t>
  </si>
  <si>
    <t>DSM EE Dec 2016 Release Enhancements</t>
  </si>
  <si>
    <t>1002</t>
  </si>
  <si>
    <t>Demand Side Management Semi annual enhancements</t>
  </si>
  <si>
    <t>1000</t>
  </si>
  <si>
    <t>CSS Foundation Upgrade</t>
  </si>
  <si>
    <t>0985</t>
  </si>
  <si>
    <t>Move calls to competitive cost structure (CC #2)</t>
  </si>
  <si>
    <t>0980E</t>
  </si>
  <si>
    <t>Customer Billing via FiServ</t>
  </si>
  <si>
    <t>0980D</t>
  </si>
  <si>
    <t>Storm Center Information System Replacement</t>
  </si>
  <si>
    <t>0980</t>
  </si>
  <si>
    <t>Increase Customer Self Service activity on the - Web (CC #4a)</t>
  </si>
  <si>
    <t>0974</t>
  </si>
  <si>
    <t>AIMMS Field Device Upgrade</t>
  </si>
  <si>
    <t>0966</t>
  </si>
  <si>
    <t>Replacement of Gas Meter Testing Sofware</t>
  </si>
  <si>
    <t>0953</t>
  </si>
  <si>
    <t>Smallworld GIS Upgrade</t>
  </si>
  <si>
    <t>0887</t>
  </si>
  <si>
    <t>DR Implementation</t>
  </si>
  <si>
    <t>0846A</t>
  </si>
  <si>
    <t>Enterprise Data Management - Data Archiving (N/A already covered in Enterprise Content Mgmt (INVP 1134) confimed by BI team &amp; Eric Austin)</t>
  </si>
  <si>
    <t>0845</t>
  </si>
  <si>
    <t>DataStage Upgrade to Enterprise Edition</t>
  </si>
  <si>
    <t>0844</t>
  </si>
  <si>
    <t>Business Objects Capacity Plan</t>
  </si>
  <si>
    <t>0843</t>
  </si>
  <si>
    <t>US Audit/Security (audit 0283)</t>
  </si>
  <si>
    <t>0829F</t>
  </si>
  <si>
    <t>ARIS Processes Modelling</t>
  </si>
  <si>
    <t>0829E</t>
  </si>
  <si>
    <t>Interim Comms Resiliency</t>
  </si>
  <si>
    <t>0829D</t>
  </si>
  <si>
    <t>CMS Functional Changes</t>
  </si>
  <si>
    <t>0829C</t>
  </si>
  <si>
    <t>MCP Support Outsourcing</t>
  </si>
  <si>
    <t>0829B</t>
  </si>
  <si>
    <t>Interstation Communiciation</t>
  </si>
  <si>
    <t>0829A</t>
  </si>
  <si>
    <t>MCP Functional Enhancement &amp; Network Integration</t>
  </si>
  <si>
    <t>0829</t>
  </si>
  <si>
    <t>NGIL Projects</t>
  </si>
  <si>
    <t>0823D</t>
  </si>
  <si>
    <t>Guardium - Database Auditing &amp; Monitoring Solution</t>
  </si>
  <si>
    <t>0823C</t>
  </si>
  <si>
    <t>Enterprise Information Protection - Full Disk Encryption</t>
  </si>
  <si>
    <t>0823B</t>
  </si>
  <si>
    <t>Data Loss Prevention Gateway Solution</t>
  </si>
  <si>
    <t>0823A</t>
  </si>
  <si>
    <t>Global MSS &amp; Incident Reporting</t>
  </si>
  <si>
    <t>0823</t>
  </si>
  <si>
    <t>Security Enhancement Projects</t>
  </si>
  <si>
    <t>0811</t>
  </si>
  <si>
    <t>NGM Data Warehouse</t>
  </si>
  <si>
    <t>0807</t>
  </si>
  <si>
    <t>Onstream - Proteus Archiving Implementation</t>
  </si>
  <si>
    <t>0806</t>
  </si>
  <si>
    <t>NGM - Large Work Requests /RFCs (small projects)</t>
  </si>
  <si>
    <t>0803</t>
  </si>
  <si>
    <t>NGM- Global Web Enablement Platform</t>
  </si>
  <si>
    <t>0800</t>
  </si>
  <si>
    <t>NGM - SAP Rainbow Upgrade</t>
  </si>
  <si>
    <t>0794</t>
  </si>
  <si>
    <t>Onstream Metering - Electricity in house (IPMS)</t>
  </si>
  <si>
    <t>0792</t>
  </si>
  <si>
    <t>OnStream NHH DC DA</t>
  </si>
  <si>
    <t>0788</t>
  </si>
  <si>
    <t>Onstream Metering - Ongoing Large Work Requests</t>
  </si>
  <si>
    <t>0786</t>
  </si>
  <si>
    <t>Onstream Metering - Industry driven changes</t>
  </si>
  <si>
    <t>0784</t>
  </si>
  <si>
    <t>Onstream Metering - SAP Rainbow upgrade</t>
  </si>
  <si>
    <t>0783</t>
  </si>
  <si>
    <t>Onstream Metering - Electricity mandatory changes</t>
  </si>
  <si>
    <t>0760</t>
  </si>
  <si>
    <t>Grain LNG – Honeywell PHD to Business Network Integration</t>
  </si>
  <si>
    <t>0741</t>
  </si>
  <si>
    <t>Lotus Notes</t>
  </si>
  <si>
    <t>0740</t>
  </si>
  <si>
    <t>Market Information Provision Initiative (MIPI) Phase 2</t>
  </si>
  <si>
    <t>0737</t>
  </si>
  <si>
    <t>IGMS / SC2004 Interface</t>
  </si>
  <si>
    <t>0736</t>
  </si>
  <si>
    <t>Gas Client Releases</t>
  </si>
  <si>
    <t>Client Release Programme</t>
  </si>
  <si>
    <t>0733</t>
  </si>
  <si>
    <t>Asset Performance Model Enhancements</t>
  </si>
  <si>
    <t>0730B</t>
  </si>
  <si>
    <t>ISC30330 Replacement PSDB System</t>
  </si>
  <si>
    <t>0723</t>
  </si>
  <si>
    <t>Remote Asset condition and performance monitoring (Gas)</t>
  </si>
  <si>
    <t>0721</t>
  </si>
  <si>
    <t>Power System Stability Monitoring (Psymetrix)</t>
  </si>
  <si>
    <t>0720</t>
  </si>
  <si>
    <t>CNI Control Room Monitoring</t>
  </si>
  <si>
    <t>0716</t>
  </si>
  <si>
    <t>AS Settlement Server Upgrade</t>
  </si>
  <si>
    <t>0715B</t>
  </si>
  <si>
    <t>ION MPLS Connectivity Improvements</t>
  </si>
  <si>
    <t>OPCNI Services post IEMS Refresh</t>
  </si>
  <si>
    <t>0715</t>
  </si>
  <si>
    <t>ION Network Replacement</t>
  </si>
  <si>
    <t>0706B</t>
  </si>
  <si>
    <t>NDP Tactical</t>
  </si>
  <si>
    <t>0706A</t>
  </si>
  <si>
    <t>CAP Day N - Primavera Programme Wave 3</t>
  </si>
  <si>
    <t>0703</t>
  </si>
  <si>
    <t>SAP Hardware Upgrade</t>
  </si>
  <si>
    <t>0691C</t>
  </si>
  <si>
    <t>ECM - Gas Records</t>
  </si>
  <si>
    <t>0691B</t>
  </si>
  <si>
    <t>ECM - Ambergate &amp; OHL (now merged with 0691A - do not use)</t>
  </si>
  <si>
    <t>0691A</t>
  </si>
  <si>
    <t>ECM Ambergate Archive, PMC QA/QC and OHL</t>
  </si>
  <si>
    <t>0691</t>
  </si>
  <si>
    <t>Livelink Service Improvement</t>
  </si>
  <si>
    <t>0686</t>
  </si>
  <si>
    <t>ISC30171-C5-NOC Databases Response Management</t>
  </si>
  <si>
    <t>0684</t>
  </si>
  <si>
    <t>ISO30171 COMIC</t>
  </si>
  <si>
    <t>0676</t>
  </si>
  <si>
    <t>POND Upgrade</t>
  </si>
  <si>
    <t>0674</t>
  </si>
  <si>
    <t>PVCS Tracker Upgrade</t>
  </si>
  <si>
    <t>0671</t>
  </si>
  <si>
    <t>SRD Server Cluster Upgrade</t>
  </si>
  <si>
    <t>0665</t>
  </si>
  <si>
    <t>Optel Network managed services  retender</t>
  </si>
  <si>
    <t>0663</t>
  </si>
  <si>
    <t>Control Telephony Outstation Software Refresh</t>
  </si>
  <si>
    <t>0661</t>
  </si>
  <si>
    <t>Optel Network Asset Renewal</t>
  </si>
  <si>
    <t>0657</t>
  </si>
  <si>
    <t>ISCAP2163 Blackstart Battery Upgrade - Optel Diesel Generators</t>
  </si>
  <si>
    <t>0652</t>
  </si>
  <si>
    <t>Control Telephony Outstation Asset Refresh</t>
  </si>
  <si>
    <t>0648</t>
  </si>
  <si>
    <t>DNCC System Security</t>
  </si>
  <si>
    <t>0647B</t>
  </si>
  <si>
    <t>Infrastructure Applications Server Refresh</t>
  </si>
  <si>
    <t>0647</t>
  </si>
  <si>
    <t>UK Computing Refresh</t>
  </si>
  <si>
    <t>0642</t>
  </si>
  <si>
    <t>Post SOMSA - Exit Reform Upgrade</t>
  </si>
  <si>
    <t>0641</t>
  </si>
  <si>
    <t>SOMSA Exit: IS Systems Migration ISCAP9280 (ISO/10284-R1)</t>
  </si>
  <si>
    <t>0627</t>
  </si>
  <si>
    <t>iGMS-DNCS Interface Project (iDIP)</t>
  </si>
  <si>
    <t>0621E</t>
  </si>
  <si>
    <t>HPMIS Remoteware Infrastructure Replacement</t>
  </si>
  <si>
    <t>0621B</t>
  </si>
  <si>
    <t>SOMSA Exit: SC2004 Replacement - KBF - ISCAP1343</t>
  </si>
  <si>
    <t>0621</t>
  </si>
  <si>
    <t>SC2004 Replacement (collaborative)</t>
  </si>
  <si>
    <t>0610</t>
  </si>
  <si>
    <t>Data Centre Refresh/Consolidation</t>
  </si>
  <si>
    <t>0585</t>
  </si>
  <si>
    <t>UK Data Storage Enhancements Refresh</t>
  </si>
  <si>
    <t>0584</t>
  </si>
  <si>
    <t>ISCAP2146 Security Event Monitoring Project</t>
  </si>
  <si>
    <t>0538</t>
  </si>
  <si>
    <t>UKT Control Telephony</t>
  </si>
  <si>
    <t>0506</t>
  </si>
  <si>
    <t>Remote Asset Condition Monitoring Pilots</t>
  </si>
  <si>
    <t>0505</t>
  </si>
  <si>
    <t>IDMS/CPM Enhancements (to cover inclusion of future contractor partners)</t>
  </si>
  <si>
    <t>0494</t>
  </si>
  <si>
    <t>UK Firewall Refresh</t>
  </si>
  <si>
    <t>0491C</t>
  </si>
  <si>
    <t>Gloucester Voice Recording Upgrade</t>
  </si>
  <si>
    <t>0491B</t>
  </si>
  <si>
    <t>Contact Server Upgrade</t>
  </si>
  <si>
    <t>0491A</t>
  </si>
  <si>
    <t>Contact Centre Voice Upgrades (Delivery)</t>
  </si>
  <si>
    <t>0491</t>
  </si>
  <si>
    <t>Contact Centre System Upgrades &amp; Replacement</t>
  </si>
  <si>
    <t>0432A</t>
  </si>
  <si>
    <t>Critical System Changes (Core &amp; EUC) 09/10</t>
  </si>
  <si>
    <t>0432</t>
  </si>
  <si>
    <t>Essential Small Systems changes</t>
  </si>
  <si>
    <t>0381</t>
  </si>
  <si>
    <t>Network Strategy UK Refresh - STIG</t>
  </si>
  <si>
    <t>0380D</t>
  </si>
  <si>
    <t>SIP Programme Management [Cancelled - will use INVP 0380]</t>
  </si>
  <si>
    <t>0374</t>
  </si>
  <si>
    <t>(Gas) Doc Mgmt to Livelink - Data cleaning ocf elec 2.0m</t>
  </si>
  <si>
    <t>0373</t>
  </si>
  <si>
    <t>HPMIS health</t>
  </si>
  <si>
    <t>0371</t>
  </si>
  <si>
    <t>APINS Minor Works - Elec</t>
  </si>
  <si>
    <t>0370</t>
  </si>
  <si>
    <t>APINS Minor Works - Gas</t>
  </si>
  <si>
    <t>0315</t>
  </si>
  <si>
    <t>Business Configuration of Sharepoint</t>
  </si>
  <si>
    <t>0314</t>
  </si>
  <si>
    <t>Intranet Strategy Project</t>
  </si>
  <si>
    <t>0313</t>
  </si>
  <si>
    <t>Minor Enhancement of Internet</t>
  </si>
  <si>
    <t>0312</t>
  </si>
  <si>
    <t>Minor Enhancements of Intranet</t>
  </si>
  <si>
    <t>0265</t>
  </si>
  <si>
    <t>Wind Power Management System</t>
  </si>
  <si>
    <t>0261</t>
  </si>
  <si>
    <t>BM Despatch Training Simulator</t>
  </si>
  <si>
    <t>0254</t>
  </si>
  <si>
    <t>Post Event Analysis</t>
  </si>
  <si>
    <t>0252A</t>
  </si>
  <si>
    <t>Demand Forcasting Improvements</t>
  </si>
  <si>
    <t>0252</t>
  </si>
  <si>
    <t>Forecasting (Electricity)</t>
  </si>
  <si>
    <t>0246A</t>
  </si>
  <si>
    <t>0244</t>
  </si>
  <si>
    <t>Gemini Future Releases - Consequential IS Impact on OTC systems</t>
  </si>
  <si>
    <t>0236</t>
  </si>
  <si>
    <t>Transmission Network Analysis (Electricity) (OLTA)</t>
  </si>
  <si>
    <t>0235</t>
  </si>
  <si>
    <t>NetSip (Online and Training Simulation)</t>
  </si>
  <si>
    <t>0233</t>
  </si>
  <si>
    <t>UKT Functionality Enhancements</t>
  </si>
  <si>
    <t>0232A</t>
  </si>
  <si>
    <t>CUSC Related changes</t>
  </si>
  <si>
    <t>0232</t>
  </si>
  <si>
    <t>Market Driven &amp; Regulatory Change</t>
  </si>
  <si>
    <t>0231A</t>
  </si>
  <si>
    <t>Re-Engineering</t>
  </si>
  <si>
    <t>0231</t>
  </si>
  <si>
    <t>iGMS Re-Engineering</t>
  </si>
  <si>
    <t>0229</t>
  </si>
  <si>
    <t>Information Provision (Gas)</t>
  </si>
  <si>
    <t>0222</t>
  </si>
  <si>
    <t>Enhanced Gas Secure Network</t>
  </si>
  <si>
    <t>0218</t>
  </si>
  <si>
    <t>Post SOMSA - Control Room Infrastructure (Distribution)</t>
  </si>
  <si>
    <t>0217A</t>
  </si>
  <si>
    <t>Control Room Infrastructure -Video wall replacement</t>
  </si>
  <si>
    <t>0217</t>
  </si>
  <si>
    <t>Control Room Infrastructure (Gas)</t>
  </si>
  <si>
    <t>0216</t>
  </si>
  <si>
    <t>Control Room Infrastructure (Electricity)</t>
  </si>
  <si>
    <t>0214</t>
  </si>
  <si>
    <t>BM Replacement</t>
  </si>
  <si>
    <t>0213L</t>
  </si>
  <si>
    <t>SRD/FCDM New Connections 18/19</t>
  </si>
  <si>
    <t>SRD/FCDM New Connections 2017/18</t>
  </si>
  <si>
    <t>0213J</t>
  </si>
  <si>
    <t>SRD/FCDM New Connections 16/17</t>
  </si>
  <si>
    <t>0213I</t>
  </si>
  <si>
    <t>SRD/FCDM New Connections 15/16</t>
  </si>
  <si>
    <t>0213H</t>
  </si>
  <si>
    <t>0213G</t>
  </si>
  <si>
    <t>SRD New Connections 2013-14</t>
  </si>
  <si>
    <t>0213F</t>
  </si>
  <si>
    <t>SRD New Connections 2012-13</t>
  </si>
  <si>
    <t>0213E</t>
  </si>
  <si>
    <t>New Connections to SRD for 2011/12</t>
  </si>
  <si>
    <t>0213D</t>
  </si>
  <si>
    <t>New Connections to SRD for 2010/11</t>
  </si>
  <si>
    <t>0213C</t>
  </si>
  <si>
    <t>New Connections for SRD System – 2009/10</t>
  </si>
  <si>
    <t>0213</t>
  </si>
  <si>
    <t>Ancillary Service Changes</t>
  </si>
  <si>
    <t>0206</t>
  </si>
  <si>
    <t>OTC Systems Small Changes (GPINS)</t>
  </si>
  <si>
    <t>0205E</t>
  </si>
  <si>
    <t>0205D</t>
  </si>
  <si>
    <t>ESO Minor Works 18/19</t>
  </si>
  <si>
    <t>ESO Minor Works 2017-18</t>
  </si>
  <si>
    <t>0205B</t>
  </si>
  <si>
    <t>ESO Minor Works 16/17</t>
  </si>
  <si>
    <t>0205A</t>
  </si>
  <si>
    <t>ESO Minor Works 15/16</t>
  </si>
  <si>
    <t>0205</t>
  </si>
  <si>
    <t>OTC Systems Small Changes</t>
  </si>
  <si>
    <t>0196</t>
  </si>
  <si>
    <t>IEMS Upgrade</t>
  </si>
  <si>
    <t>0178</t>
  </si>
  <si>
    <t>Remote Asset condition and performance monitoring Elec)</t>
  </si>
  <si>
    <t>0167D</t>
  </si>
  <si>
    <t>Automated Plant Enquiry</t>
  </si>
  <si>
    <t>0165B</t>
  </si>
  <si>
    <t>Pressure Management and Control System Build &amp; Test</t>
  </si>
  <si>
    <t>0165</t>
  </si>
  <si>
    <t>Pressure Management and Control System (PMAC)</t>
  </si>
  <si>
    <t>0156B</t>
  </si>
  <si>
    <t>SC2004 Replacement - Residual Functionality</t>
  </si>
  <si>
    <t>0156A</t>
  </si>
  <si>
    <t>Interruption Reform</t>
  </si>
  <si>
    <t>0156</t>
  </si>
  <si>
    <t>SC2004 Replacement</t>
  </si>
  <si>
    <t>0154N</t>
  </si>
  <si>
    <t>Falcon Upgrade</t>
  </si>
  <si>
    <t>0154K</t>
  </si>
  <si>
    <t>PT &amp; E</t>
  </si>
  <si>
    <t>0154E</t>
  </si>
  <si>
    <t>Connections Equipment</t>
  </si>
  <si>
    <t>0154C</t>
  </si>
  <si>
    <t>Desktop Maps</t>
  </si>
  <si>
    <t>0154</t>
  </si>
  <si>
    <t>UKD LOB Application &amp; Infrastructure Upgrades</t>
  </si>
  <si>
    <t>0143</t>
  </si>
  <si>
    <t>GTM Extension (e.g. Field Force)</t>
  </si>
  <si>
    <t>0140</t>
  </si>
  <si>
    <t>NetSip</t>
  </si>
  <si>
    <t>0138A</t>
  </si>
  <si>
    <t>Maintain Field Service until Global  (UK-GTO)</t>
  </si>
  <si>
    <t>0138</t>
  </si>
  <si>
    <t>Maintain Field Service until Global  (UK-ETO)</t>
  </si>
  <si>
    <t>0133</t>
  </si>
  <si>
    <t>Field Force Device Replacement (Gas)</t>
  </si>
  <si>
    <t>0131</t>
  </si>
  <si>
    <t>BI Asset Strategy / WAM BI Health</t>
  </si>
  <si>
    <t>0129A</t>
  </si>
  <si>
    <t>GNI 3rd Party Access</t>
  </si>
  <si>
    <t>0129</t>
  </si>
  <si>
    <t>0122</t>
  </si>
  <si>
    <t>ISC30183 Ellipse Development Stage</t>
  </si>
  <si>
    <t>&lt;==Entries here will populate 'RTB for Srvc Trans' Tab</t>
  </si>
  <si>
    <t>Pilot_Implementation</t>
  </si>
  <si>
    <t>Software_Costs</t>
  </si>
  <si>
    <t>Architecture_Interfaces</t>
  </si>
  <si>
    <t>Business_Cost</t>
  </si>
  <si>
    <t>Development_Testing</t>
  </si>
  <si>
    <t>Telecommunications</t>
  </si>
  <si>
    <t>Initial_Installation</t>
  </si>
  <si>
    <t>Miscellaneous</t>
  </si>
  <si>
    <t>Implementation and installation charges</t>
  </si>
  <si>
    <t>Labor</t>
  </si>
  <si>
    <t>Systems administration and support - State</t>
  </si>
  <si>
    <t>Training documents and materials</t>
  </si>
  <si>
    <t>Software maintenance charges</t>
  </si>
  <si>
    <t>Modifications and interfaces</t>
  </si>
  <si>
    <t>Materials/Equipment</t>
  </si>
  <si>
    <t>Property Costs</t>
  </si>
  <si>
    <t>SaaS software license costs</t>
  </si>
  <si>
    <t>Purchased Services</t>
  </si>
  <si>
    <t>Performance management and tuning</t>
  </si>
  <si>
    <t>Storage hardware maintenance</t>
  </si>
  <si>
    <t>Third party tools and services</t>
  </si>
  <si>
    <t>Third party software maintenance charges</t>
  </si>
  <si>
    <t>Travel expenses</t>
  </si>
  <si>
    <t>Database software license fees</t>
  </si>
  <si>
    <t>Office expense</t>
  </si>
  <si>
    <t>Benefits Drop Down Values</t>
  </si>
  <si>
    <t>Benefits</t>
  </si>
  <si>
    <t>Type1</t>
  </si>
  <si>
    <t>Type2</t>
  </si>
  <si>
    <t>Revenue improvements</t>
  </si>
  <si>
    <t>▼Do not enter▼</t>
  </si>
  <si>
    <t>Category</t>
  </si>
  <si>
    <t>Detail</t>
  </si>
  <si>
    <t>Signoff Lead</t>
  </si>
  <si>
    <t>Notes / Commentary</t>
  </si>
  <si>
    <t>To Enter a new row in the table click on the bottom cell in this column that is part of the table and hit the [Tab] key.</t>
  </si>
  <si>
    <t>RTB Budget Owners</t>
  </si>
  <si>
    <t>IT Security</t>
  </si>
  <si>
    <t>IT Commercial</t>
  </si>
  <si>
    <t>IT Bus App Services</t>
  </si>
  <si>
    <t>IT Network Infra Services</t>
  </si>
  <si>
    <t>IT End User &amp; Collab Services</t>
  </si>
  <si>
    <t>IT Cloud &amp; Hosting Services</t>
  </si>
  <si>
    <t>Budget Owner</t>
  </si>
  <si>
    <t>Option2</t>
  </si>
  <si>
    <t>Option3</t>
  </si>
  <si>
    <t>Core Budget Owners</t>
  </si>
  <si>
    <t>Budget Subgroups</t>
  </si>
  <si>
    <t>TCS</t>
  </si>
  <si>
    <t>Capgemini</t>
  </si>
  <si>
    <t>App Support - TCS</t>
  </si>
  <si>
    <t>App Support - Capgemini</t>
  </si>
  <si>
    <t>App Support - Wipro</t>
  </si>
  <si>
    <t>Cost Avoidance</t>
  </si>
  <si>
    <t>Function</t>
  </si>
  <si>
    <t>Option4</t>
  </si>
  <si>
    <t>Delivery Center / Function</t>
  </si>
  <si>
    <t>5728</t>
  </si>
  <si>
    <t>Virtual Desktop Infrastructure(VDI) F&amp;A</t>
  </si>
  <si>
    <t>5505A</t>
  </si>
  <si>
    <t>Benefits Details</t>
  </si>
  <si>
    <t>Non-IT Benefits</t>
  </si>
  <si>
    <t xml:space="preserve">  IT Funded Net Impact to RTB Forecasted at Go-Live</t>
  </si>
  <si>
    <t xml:space="preserve">  IT Investment Plan Net Impact to RTB Variance</t>
  </si>
  <si>
    <t>All IT-related RTB (Total)</t>
  </si>
  <si>
    <t>Reduced RTB - IT (Total)</t>
  </si>
  <si>
    <t>EMR Portal Refresh</t>
  </si>
  <si>
    <t>5730</t>
  </si>
  <si>
    <t>ET Digital Pilot - CB Sensors</t>
  </si>
  <si>
    <t>5729</t>
  </si>
  <si>
    <t>Teams Implementation</t>
  </si>
  <si>
    <t>5653A</t>
  </si>
  <si>
    <t>Other Costs Only</t>
  </si>
  <si>
    <t>3rd Party Software Support &amp; Maintenance</t>
  </si>
  <si>
    <t>Enterprise Architect</t>
  </si>
  <si>
    <t>Tester</t>
  </si>
  <si>
    <t>Software Engineer</t>
  </si>
  <si>
    <t>Resource Cost Details</t>
  </si>
  <si>
    <t>Delivery Center</t>
  </si>
  <si>
    <t>Columns A thru I filled out on a person by person (or role by role) basis</t>
  </si>
  <si>
    <t>Leave Daily Rate empty to allow for resource projections without cost implications (typically used for business resources)</t>
  </si>
  <si>
    <t>Solution Development Director</t>
  </si>
  <si>
    <t>Solution Development Manager</t>
  </si>
  <si>
    <t>Project Manager</t>
  </si>
  <si>
    <t>Business Systems Analyst</t>
  </si>
  <si>
    <t>Solution Architect</t>
  </si>
  <si>
    <t>Project Support Analyst</t>
  </si>
  <si>
    <t>Business Partner</t>
  </si>
  <si>
    <t>Project Service Transition Analyst</t>
  </si>
  <si>
    <t>Planning</t>
  </si>
  <si>
    <t>US Document Management</t>
  </si>
  <si>
    <t>5362A</t>
  </si>
  <si>
    <t>IBM P9</t>
  </si>
  <si>
    <t>Resource Costs Delivery Centers &amp; Categories</t>
  </si>
  <si>
    <t>Other Costs Delivery Centers &amp; Categories</t>
  </si>
  <si>
    <t>IT - Security</t>
  </si>
  <si>
    <t>Roles by Org Drop Down Values</t>
  </si>
  <si>
    <t>Business Analyst</t>
  </si>
  <si>
    <t>Technical Lead</t>
  </si>
  <si>
    <t>Trainer / Coach</t>
  </si>
  <si>
    <t>Server hardware (including backup and test servers)</t>
  </si>
  <si>
    <t>Storage hardware (including backup and test hardware)</t>
  </si>
  <si>
    <t>Other hardware related costs</t>
  </si>
  <si>
    <t>Other Costs Category Details</t>
  </si>
  <si>
    <t>ET Innovation CRM Phase 2</t>
  </si>
  <si>
    <t>Project Start Date:</t>
  </si>
  <si>
    <t xml:space="preserve">% VoWD of Purchased Services </t>
  </si>
  <si>
    <t xml:space="preserve">Purchased Services </t>
  </si>
  <si>
    <t>Purchase</t>
  </si>
  <si>
    <t>NG IT</t>
  </si>
  <si>
    <t>NGIT Labor &amp; Burdens</t>
  </si>
  <si>
    <t>Resource Costs Only</t>
  </si>
  <si>
    <t>Resource Costs &amp; Other Costs</t>
  </si>
  <si>
    <t>IR35 Assessments</t>
  </si>
  <si>
    <t>5733</t>
  </si>
  <si>
    <t>5732</t>
  </si>
  <si>
    <t>5731</t>
  </si>
  <si>
    <t>Scrum Master</t>
  </si>
  <si>
    <t>SAP Basis Lead</t>
  </si>
  <si>
    <t>F&amp;A Global Security: Emergency Notification Platform</t>
  </si>
  <si>
    <t>5734</t>
  </si>
  <si>
    <t>Grid Modernization Architechtural Assessment</t>
  </si>
  <si>
    <t>5471G</t>
  </si>
  <si>
    <t>Director</t>
  </si>
  <si>
    <t>ET BWAN Wireless Bridge solution Replacement</t>
  </si>
  <si>
    <t>5735</t>
  </si>
  <si>
    <t>Grid Modernization Distribution Automation</t>
  </si>
  <si>
    <t>5471J</t>
  </si>
  <si>
    <t>Grid Modernization Feeder Monitors</t>
  </si>
  <si>
    <t>5471I</t>
  </si>
  <si>
    <t>Grid Modernization DMX</t>
  </si>
  <si>
    <t>5471H</t>
  </si>
  <si>
    <t>Values need to be selected from left → right</t>
  </si>
  <si>
    <t>▼❶Select value▼</t>
  </si>
  <si>
    <t>▼❷Select value▼</t>
  </si>
  <si>
    <t>▼❸Select value▼</t>
  </si>
  <si>
    <t>▼❹Select value▼</t>
  </si>
  <si>
    <t>▼❺Enter Free Form Description▼</t>
  </si>
  <si>
    <t>▼❻Select value▼</t>
  </si>
  <si>
    <t>▼❼Select value▼</t>
  </si>
  <si>
    <t>Service Type</t>
  </si>
  <si>
    <t xml:space="preserve">Investment Name </t>
  </si>
  <si>
    <t>Business Area/Unit</t>
  </si>
  <si>
    <t>Business Sponsor</t>
  </si>
  <si>
    <t>Start Date</t>
  </si>
  <si>
    <t>▼❺Enter value▼</t>
  </si>
  <si>
    <t>AMI F&amp;A</t>
  </si>
  <si>
    <t>Ongoing Costs</t>
  </si>
  <si>
    <t>5736</t>
  </si>
  <si>
    <t>5459A</t>
  </si>
  <si>
    <t>&lt;== Change only as directed by IT Finance</t>
  </si>
  <si>
    <t>&lt;== Change only after consulting with IT Finance</t>
  </si>
  <si>
    <t>Other Cost Details</t>
  </si>
  <si>
    <t>OPPM Enhancement Phase 2</t>
  </si>
  <si>
    <t>5739</t>
  </si>
  <si>
    <t>Citrix - F&amp;A</t>
  </si>
  <si>
    <t>5738</t>
  </si>
  <si>
    <t>Customer Technology Roadmap</t>
  </si>
  <si>
    <t>5737</t>
  </si>
  <si>
    <t>Global Booking Management System</t>
  </si>
  <si>
    <t>3431B</t>
  </si>
  <si>
    <t>NY Mass Energy Storage and Management Service F&amp;A</t>
  </si>
  <si>
    <t>Currency</t>
  </si>
  <si>
    <t>$</t>
  </si>
  <si>
    <t>£</t>
  </si>
  <si>
    <t>DETAIL BENEFITS SUMMARY</t>
  </si>
  <si>
    <t>RTB Details</t>
  </si>
  <si>
    <t>Monthly Summary</t>
  </si>
  <si>
    <t>KEDNY Rate Case for Green Gas Initiative (CRIS)</t>
  </si>
  <si>
    <t>5740</t>
  </si>
  <si>
    <t xml:space="preserve"> Year 1</t>
  </si>
  <si>
    <t xml:space="preserve"> Year 2</t>
  </si>
  <si>
    <t xml:space="preserve"> Year 3</t>
  </si>
  <si>
    <t xml:space="preserve"> Year 4</t>
  </si>
  <si>
    <t xml:space="preserve"> Year 5</t>
  </si>
  <si>
    <t xml:space="preserve"> Year 6</t>
  </si>
  <si>
    <t xml:space="preserve"> Year 7</t>
  </si>
  <si>
    <t xml:space="preserve"> Year 8</t>
  </si>
  <si>
    <t xml:space="preserve"> Year 9</t>
  </si>
  <si>
    <t xml:space="preserve"> Year 10</t>
  </si>
  <si>
    <t xml:space="preserve"> Year 11</t>
  </si>
  <si>
    <t>DELIVERY CENTER FORECASTED REMAINING COSTS SUMMARY</t>
  </si>
  <si>
    <t>5723A</t>
  </si>
  <si>
    <t xml:space="preserve"> Total</t>
  </si>
  <si>
    <t>PROJECT ACTUALS TO-DATE</t>
  </si>
  <si>
    <t>TOTAL (TOTEX)</t>
  </si>
  <si>
    <t>DELIVERY CENTER FORECASTED REMAINING COSTS</t>
  </si>
  <si>
    <t>FORECASTED REMAINING MISCELLANEOUS COSTS</t>
  </si>
  <si>
    <t>TOTAL FULL PROJECT COST SUMMARY (TCO)</t>
  </si>
  <si>
    <t>DELIVERY CENTER FORECASTED REMAINING COST SUMMARY</t>
  </si>
  <si>
    <t>KEDLI Rate Case for Green Gas Initiative</t>
  </si>
  <si>
    <t>ACTUALS</t>
  </si>
  <si>
    <t>FORECASTED REMAINING PROJECT COSTS</t>
  </si>
  <si>
    <t>TOTAL DETAIL BENEFITS (TOTEX)</t>
  </si>
  <si>
    <t>BENEFITS</t>
  </si>
  <si>
    <t>TOTEX</t>
  </si>
  <si>
    <t>Cumulative Benefit Flow</t>
  </si>
  <si>
    <t>Net Annual Benefit Flow</t>
  </si>
  <si>
    <t>NET BENEFIT</t>
  </si>
  <si>
    <t>DISCOUNTED BENEFIT</t>
  </si>
  <si>
    <t>Discounted costs</t>
  </si>
  <si>
    <t>Discounted net benefits</t>
  </si>
  <si>
    <t>Total discounted benefit flow</t>
  </si>
  <si>
    <t>Total cumulative discounted benefit flow</t>
  </si>
  <si>
    <t>ROI Measures</t>
  </si>
  <si>
    <t>Net Present Value (NPV)</t>
  </si>
  <si>
    <t>Return on Investment (ROI)</t>
  </si>
  <si>
    <t>ROI, NPV, NET and DISCOUNTED BENEFITS</t>
  </si>
  <si>
    <t>Dynamic Load Management Programs RFP support</t>
  </si>
  <si>
    <t>5745</t>
  </si>
  <si>
    <t>5743</t>
  </si>
  <si>
    <t>D-1908  P383 Enhanced reporting of demand data to the NETSO to facilitate CUSC Modifications CMP280 and CMP281</t>
  </si>
  <si>
    <t>5742</t>
  </si>
  <si>
    <t>Data Portal</t>
  </si>
  <si>
    <t>5741</t>
  </si>
  <si>
    <t>5722A</t>
  </si>
  <si>
    <t>Role</t>
  </si>
  <si>
    <t>5747</t>
  </si>
  <si>
    <t>5746</t>
  </si>
  <si>
    <t>Grid Modernization INOC</t>
  </si>
  <si>
    <t>5471M</t>
  </si>
  <si>
    <t>5471K</t>
  </si>
  <si>
    <t>5158A</t>
  </si>
  <si>
    <t>Automated Customer Services</t>
  </si>
  <si>
    <t>4750N</t>
  </si>
  <si>
    <t>ODS</t>
  </si>
  <si>
    <t>4750M</t>
  </si>
  <si>
    <t>Personalization</t>
  </si>
  <si>
    <t>4750K</t>
  </si>
  <si>
    <t>Web Self Service</t>
  </si>
  <si>
    <t>4750J</t>
  </si>
  <si>
    <t>Platform Stabilisation and Enhancements</t>
  </si>
  <si>
    <t>5751</t>
  </si>
  <si>
    <t>Directory Services - US</t>
  </si>
  <si>
    <t>5750</t>
  </si>
  <si>
    <t>iOS 13 Rollout</t>
  </si>
  <si>
    <t>5749</t>
  </si>
  <si>
    <t>RPA - BluePrism Upgrade</t>
  </si>
  <si>
    <t>Transformation Office</t>
  </si>
  <si>
    <t>WiPro SNOW Automation</t>
  </si>
  <si>
    <t>5489B</t>
  </si>
  <si>
    <t>IBM SNOW Automation</t>
  </si>
  <si>
    <t>5489A</t>
  </si>
  <si>
    <t>Country:</t>
  </si>
  <si>
    <t>Country</t>
  </si>
  <si>
    <t>Alignment to Strategic Initiatives</t>
  </si>
  <si>
    <t xml:space="preserve">Business Criticality </t>
  </si>
  <si>
    <t xml:space="preserve">Degree Criticality </t>
  </si>
  <si>
    <t>Needed for Regulatory Compliance</t>
  </si>
  <si>
    <t>FY</t>
  </si>
  <si>
    <t>First Year of Cost</t>
  </si>
  <si>
    <t>First Benefit Booking</t>
  </si>
  <si>
    <t>First Key Release</t>
  </si>
  <si>
    <t>US Business Area</t>
  </si>
  <si>
    <t>UK Business Area</t>
  </si>
  <si>
    <t>ESO</t>
  </si>
  <si>
    <t>SO</t>
  </si>
  <si>
    <t>ET</t>
  </si>
  <si>
    <t>GT</t>
  </si>
  <si>
    <t>Tx</t>
  </si>
  <si>
    <t>NGV</t>
  </si>
  <si>
    <t>NRB</t>
  </si>
  <si>
    <t>UK Security</t>
  </si>
  <si>
    <t>UK Infra_Operations</t>
  </si>
  <si>
    <t>Business Services</t>
  </si>
  <si>
    <t>Nikki Jamieson</t>
  </si>
  <si>
    <t>Simon Baker</t>
  </si>
  <si>
    <t>Jason Hodgson</t>
  </si>
  <si>
    <t>Louis Waud</t>
  </si>
  <si>
    <t>Suri Teja</t>
  </si>
  <si>
    <t>US_IT</t>
  </si>
  <si>
    <t>UK_IT</t>
  </si>
  <si>
    <t>GroupFunction</t>
  </si>
  <si>
    <t>Keith Monk</t>
  </si>
  <si>
    <t>Central_Performance_PMO</t>
  </si>
  <si>
    <t>Assurance &amp; Governance</t>
  </si>
  <si>
    <t>Priority Scoring</t>
  </si>
  <si>
    <t xml:space="preserve">Attractiveness </t>
  </si>
  <si>
    <t xml:space="preserve">Benefit Score </t>
  </si>
  <si>
    <t>Business Criticality</t>
  </si>
  <si>
    <t xml:space="preserve"> 8% for Business Critical, 
 3%  for Operational Critical,
 0%  for Other </t>
  </si>
  <si>
    <t>Degree Criticality</t>
  </si>
  <si>
    <t>2% for High, 1% for Medium, 0% Low</t>
  </si>
  <si>
    <t>100% for Yes, 0% for No</t>
  </si>
  <si>
    <t xml:space="preserve">Achievability </t>
  </si>
  <si>
    <t xml:space="preserve">Business Readiness </t>
  </si>
  <si>
    <t xml:space="preserve">Delivery Complexity </t>
  </si>
  <si>
    <t>Opex/Capex Ratio</t>
  </si>
  <si>
    <t xml:space="preserve">Number of Delivery Centers </t>
  </si>
  <si>
    <t>10%  for 3 or less,
0%     for 4 or more</t>
  </si>
  <si>
    <t xml:space="preserve">Totex </t>
  </si>
  <si>
    <t>10%  for less that $2M, 
5%    for $2M - $5M, 
0       above $5M</t>
  </si>
  <si>
    <t>Priority Score</t>
  </si>
  <si>
    <t>Highest Score - 100</t>
  </si>
  <si>
    <t>10% for High,
7.5% for Medium,
2.5% for Low,
0% for No</t>
  </si>
  <si>
    <t>Overall Return on Investment</t>
  </si>
  <si>
    <t>Risk of not making the Investment</t>
  </si>
  <si>
    <t>10%  for 25% or below, 
5%    for 25%-50%, 
0%    above 50%</t>
  </si>
  <si>
    <t>10% if the first Key release is within 1 year of costs, 
5%   within 2 years, 
0%   thereafter</t>
  </si>
  <si>
    <t>First RTB Impact FY</t>
  </si>
  <si>
    <t>US SAP: Fiori Upgrade Phase 1</t>
  </si>
  <si>
    <t>5753</t>
  </si>
  <si>
    <t>Priority Score:</t>
  </si>
  <si>
    <t>First RTB Impact FY:</t>
  </si>
  <si>
    <t>Allocation Drivers in UK</t>
  </si>
  <si>
    <t>Refresh the Pivot Tables in the SUMMARY tab before using the data in the table below</t>
  </si>
  <si>
    <t>Year 12</t>
  </si>
  <si>
    <t>Year 13</t>
  </si>
  <si>
    <t>Year 14</t>
  </si>
  <si>
    <t>Year 15</t>
  </si>
  <si>
    <t>Year 16</t>
  </si>
  <si>
    <t>Year 17</t>
  </si>
  <si>
    <t>Year 18</t>
  </si>
  <si>
    <t>Year 19</t>
  </si>
  <si>
    <t>Year 20</t>
  </si>
  <si>
    <t>Year 21</t>
  </si>
  <si>
    <t>Year 22</t>
  </si>
  <si>
    <t>Year 23</t>
  </si>
  <si>
    <t>Year 24</t>
  </si>
  <si>
    <t>Year 25</t>
  </si>
  <si>
    <t>Year 26</t>
  </si>
  <si>
    <t>Year 27</t>
  </si>
  <si>
    <t>Year 28</t>
  </si>
  <si>
    <t>Year 29</t>
  </si>
  <si>
    <t>Year 30</t>
  </si>
  <si>
    <t>▼Enter % values▼</t>
  </si>
  <si>
    <t>▼ Do not enter ▼</t>
  </si>
  <si>
    <t>Form Control</t>
  </si>
  <si>
    <t>% Allocation</t>
  </si>
  <si>
    <t>Non-Regulated</t>
  </si>
  <si>
    <t>COST TOTAL (TOTEX)</t>
  </si>
  <si>
    <t>From Business Case Summary tab --&gt;</t>
  </si>
  <si>
    <r>
      <rPr>
        <b/>
        <sz val="11"/>
        <color rgb="FF0000FF"/>
        <rFont val="Calibri"/>
        <family val="2"/>
        <scheme val="minor"/>
      </rPr>
      <t>Corrective Action:</t>
    </r>
    <r>
      <rPr>
        <sz val="11"/>
        <color theme="1"/>
        <rFont val="Calibri"/>
        <family val="2"/>
        <scheme val="minor"/>
      </rPr>
      <t xml:space="preserve">
Enter any missing information (INV ID, Investment Name, Country, Business Area/Unit, Business Sponsor, IT Business Partner, Project Manager, Project Start Date) on the </t>
    </r>
    <r>
      <rPr>
        <b/>
        <sz val="11"/>
        <color theme="1"/>
        <rFont val="Calibri"/>
        <family val="2"/>
        <scheme val="minor"/>
      </rPr>
      <t>Variables</t>
    </r>
    <r>
      <rPr>
        <sz val="11"/>
        <color theme="1"/>
        <rFont val="Calibri"/>
        <family val="2"/>
        <scheme val="minor"/>
      </rPr>
      <t xml:space="preserve"> </t>
    </r>
    <r>
      <rPr>
        <b/>
        <sz val="11"/>
        <color theme="1"/>
        <rFont val="Calibri"/>
        <family val="2"/>
        <scheme val="minor"/>
      </rPr>
      <t>tab</t>
    </r>
    <r>
      <rPr>
        <sz val="11"/>
        <color theme="1"/>
        <rFont val="Calibri"/>
        <family val="2"/>
        <scheme val="minor"/>
      </rPr>
      <t>.</t>
    </r>
  </si>
  <si>
    <t>One or more of these have not been entered on the Variables tab: INV ID, Investment Name, Country, Business Area/Unit, Business Sponsor, IT Business Partner, Project Manager, Project Start Date</t>
  </si>
  <si>
    <t>5506A</t>
  </si>
  <si>
    <t>List of Companies</t>
  </si>
  <si>
    <t>OpEx Categories of Work</t>
  </si>
  <si>
    <t>Dedicated CNI Voice Network Buildout</t>
  </si>
  <si>
    <t>OpEx Rules</t>
  </si>
  <si>
    <t>5754</t>
  </si>
  <si>
    <t>5523F</t>
  </si>
  <si>
    <t>&lt;== Change only after consulting with Treasury</t>
  </si>
  <si>
    <t>Name (First Last)</t>
  </si>
  <si>
    <t>Amount (approx.)</t>
  </si>
  <si>
    <t>Error Handling</t>
  </si>
  <si>
    <t>Capital Delivery Stakeholders Management/CRM</t>
  </si>
  <si>
    <t>Digital Substation Transformation</t>
  </si>
  <si>
    <t>Arc-Flash Database Reinforcement</t>
  </si>
  <si>
    <t>User Defined #2</t>
  </si>
  <si>
    <t>5757</t>
  </si>
  <si>
    <t>5756</t>
  </si>
  <si>
    <t>TOTAL FULL PROJECT BENEFITS SUMMARY</t>
  </si>
  <si>
    <t>Server hardware maintenance</t>
  </si>
  <si>
    <t>Systems administration and support - vendor</t>
  </si>
  <si>
    <t>Help Desk support</t>
  </si>
  <si>
    <t>Development (build, configure, testing, etc.)</t>
  </si>
  <si>
    <t>Data conversion (data mapping, data cleansing, etc.)</t>
  </si>
  <si>
    <t>Integration to other systems</t>
  </si>
  <si>
    <t>Architecture (ARB) Process</t>
  </si>
  <si>
    <t>Bulk data loading or daily communications traffic</t>
  </si>
  <si>
    <t>Remote secure access line</t>
  </si>
  <si>
    <t>Marketing assistance</t>
  </si>
  <si>
    <t>Decommisioning/ Archiving Costs</t>
  </si>
  <si>
    <t>Perpetual software licensing costs</t>
  </si>
  <si>
    <t>Test and development system licensing</t>
  </si>
  <si>
    <t>Middleware tools</t>
  </si>
  <si>
    <t>Other software related costs</t>
  </si>
  <si>
    <t>Has the Basic Project Identification information been entered?</t>
  </si>
  <si>
    <r>
      <rPr>
        <b/>
        <sz val="11"/>
        <color rgb="FF0000FF"/>
        <rFont val="Calibri"/>
        <family val="2"/>
        <scheme val="minor"/>
      </rPr>
      <t xml:space="preserve">Corrective Actions: </t>
    </r>
    <r>
      <rPr>
        <sz val="11"/>
        <rFont val="Calibri"/>
        <family val="2"/>
        <scheme val="minor"/>
      </rPr>
      <t xml:space="preserve">Select the Beginning Fiscal Year (RTB) on the </t>
    </r>
    <r>
      <rPr>
        <b/>
        <sz val="11"/>
        <rFont val="Calibri"/>
        <family val="2"/>
        <scheme val="minor"/>
      </rPr>
      <t>Variables tab</t>
    </r>
  </si>
  <si>
    <t>Value not selected for Beginning Fiscal Year (RTB) on the Variables Tab</t>
  </si>
  <si>
    <t>Has the correct Accounting Type been used on the Other Costs Tab?</t>
  </si>
  <si>
    <t>Incorrect Accounting Type used on the detail row(s) of the Other Costs Tab</t>
  </si>
  <si>
    <r>
      <rPr>
        <b/>
        <sz val="11"/>
        <color rgb="FF0000FF"/>
        <rFont val="Calibri"/>
        <family val="2"/>
        <scheme val="minor"/>
      </rPr>
      <t>Corrective Action:</t>
    </r>
    <r>
      <rPr>
        <sz val="11"/>
        <color theme="1"/>
        <rFont val="Calibri"/>
        <family val="2"/>
        <scheme val="minor"/>
      </rPr>
      <t xml:space="preserve">
Refer to the highlighted cell(s) in (Col. G) of the </t>
    </r>
    <r>
      <rPr>
        <b/>
        <sz val="11"/>
        <color theme="1"/>
        <rFont val="Calibri"/>
        <family val="2"/>
        <scheme val="minor"/>
      </rPr>
      <t>Other Costs Tab</t>
    </r>
    <r>
      <rPr>
        <sz val="11"/>
        <color theme="1"/>
        <rFont val="Calibri"/>
        <family val="2"/>
        <scheme val="minor"/>
      </rPr>
      <t>. Choose the correct Accounting Type.</t>
    </r>
  </si>
  <si>
    <t>Physical Security Enhancements</t>
  </si>
  <si>
    <t>5760</t>
  </si>
  <si>
    <t>UPS Infrastructure</t>
  </si>
  <si>
    <t>5759</t>
  </si>
  <si>
    <t>Case &amp; Customer Complaint Management Solution (AppRat)</t>
  </si>
  <si>
    <t>5598A</t>
  </si>
  <si>
    <t>Legacy Device Refresh</t>
  </si>
  <si>
    <t>5487F</t>
  </si>
  <si>
    <t>Corporate Affairs Tooling</t>
  </si>
  <si>
    <t>5761</t>
  </si>
  <si>
    <t>Damage Prevention Analytics SaaS</t>
  </si>
  <si>
    <t>5762</t>
  </si>
  <si>
    <t>5598B</t>
  </si>
  <si>
    <t>5598B1</t>
  </si>
  <si>
    <t>FY21 Mandated IT Projects</t>
  </si>
  <si>
    <t>Gas Application Rationalization (FY20)</t>
  </si>
  <si>
    <t>UK Change PPM Tool</t>
  </si>
  <si>
    <t>RTR Financial Close</t>
  </si>
  <si>
    <t>HRSP Support</t>
  </si>
  <si>
    <t>Priority Scoring (Attractiveness)</t>
  </si>
  <si>
    <t>SAP Governance, Risk and Compliance Upgrade</t>
  </si>
  <si>
    <t>5767</t>
  </si>
  <si>
    <t>5766</t>
  </si>
  <si>
    <t>5765</t>
  </si>
  <si>
    <t>5764</t>
  </si>
  <si>
    <t>5763</t>
  </si>
  <si>
    <t>F&amp;A Lockbox Payments</t>
  </si>
  <si>
    <t>3617E</t>
  </si>
  <si>
    <t>Physical Security NY LI GAS Asset Replacement</t>
  </si>
  <si>
    <t>3617A</t>
  </si>
  <si>
    <t>Access Control for NERC-CIP Reliability Compliance</t>
  </si>
  <si>
    <t>Penalty/fines reduction</t>
  </si>
  <si>
    <t>Owner</t>
  </si>
  <si>
    <t>Nantucket Substation IS Network for Tesla Battery - Phase 2</t>
  </si>
  <si>
    <t>5769</t>
  </si>
  <si>
    <t>5598C</t>
  </si>
  <si>
    <t>Wholesale Networks</t>
  </si>
  <si>
    <t>Enterprise Data Management POC</t>
  </si>
  <si>
    <t>Reduced Business Costs</t>
  </si>
  <si>
    <t>Business Benefit Details</t>
  </si>
  <si>
    <t>5770</t>
  </si>
  <si>
    <t>InDemand Energy Efficiency CY2020 Enhancements</t>
  </si>
  <si>
    <t>1002X</t>
  </si>
  <si>
    <t>Pall Arnason</t>
  </si>
  <si>
    <t>5523G</t>
  </si>
  <si>
    <t>Shannon Soland</t>
  </si>
  <si>
    <t>Reduced IT
Service Costs</t>
  </si>
  <si>
    <t>Reduced IT Service Costs</t>
  </si>
  <si>
    <t>Required for Business Case</t>
  </si>
  <si>
    <t>&lt;== At Business Case time this value will be used when working with a High Level ROM Estimate</t>
  </si>
  <si>
    <t>Intelligent Communications</t>
  </si>
  <si>
    <t>Required for BC</t>
  </si>
  <si>
    <t>Hardware Only @ BC</t>
  </si>
  <si>
    <t>Integration Platform Risk Resilience F&amp;A</t>
  </si>
  <si>
    <t>Quality Engineer</t>
  </si>
  <si>
    <t>Tools Engineer</t>
  </si>
  <si>
    <t>Agile Coach</t>
  </si>
  <si>
    <t>Customer Billing Improvement Program - Phase 1</t>
  </si>
  <si>
    <t>QE Lead</t>
  </si>
  <si>
    <t>Product Owner</t>
  </si>
  <si>
    <t>Product Manager</t>
  </si>
  <si>
    <t>GTIS CRIS Enrollment Process Enhancement</t>
  </si>
  <si>
    <t>Test Analyst</t>
  </si>
  <si>
    <t>Portfolio Analyst</t>
  </si>
  <si>
    <t>Test Manager</t>
  </si>
  <si>
    <t>Security Architect</t>
  </si>
  <si>
    <t>Contract Management Tool for Capital Delivery</t>
  </si>
  <si>
    <t>WiFi Phase 2</t>
  </si>
  <si>
    <t>5771</t>
  </si>
  <si>
    <t>Enter Level of Effort Allocations as n.nn (where 0.25 = 25% allocation)</t>
  </si>
  <si>
    <t>▼❼Enter Value▼</t>
  </si>
  <si>
    <t>▼❺Select value▼</t>
  </si>
  <si>
    <t>▼❹Enter Resource Name▼</t>
  </si>
  <si>
    <t>WiFi Additional Sites</t>
  </si>
  <si>
    <t>5774C</t>
  </si>
  <si>
    <t>Syracuse WiFi</t>
  </si>
  <si>
    <t>5774B</t>
  </si>
  <si>
    <t>5774A</t>
  </si>
  <si>
    <t>5774</t>
  </si>
  <si>
    <t>5773C</t>
  </si>
  <si>
    <t>5773B</t>
  </si>
  <si>
    <t>5773A</t>
  </si>
  <si>
    <t>5773</t>
  </si>
  <si>
    <t>5772</t>
  </si>
  <si>
    <t>Required for Costs to be Calculated</t>
  </si>
  <si>
    <t>Project Management</t>
  </si>
  <si>
    <t>US IMS Upgrade</t>
  </si>
  <si>
    <t>FY21 Planning Initiative</t>
  </si>
  <si>
    <t>5775</t>
  </si>
  <si>
    <t>Requirements Analysis</t>
  </si>
  <si>
    <t>Design Documents</t>
  </si>
  <si>
    <t>CRM Account Realignment</t>
  </si>
  <si>
    <t>5776</t>
  </si>
  <si>
    <t>Forecasted Remaining</t>
  </si>
  <si>
    <t>5778</t>
  </si>
  <si>
    <t>5777</t>
  </si>
  <si>
    <t>Click on the "US Financials" folder to access the Monthly Actuals, Forecast to Actual Variance Reports for each fiscal year.</t>
  </si>
  <si>
    <t>US Planning &amp; Performance Mgt</t>
  </si>
  <si>
    <t>Site contains links to the following:
 - INV ID database
 - IRS forms
 - Business Cases
 - Budget Exception Requests (BER)
 - Sanctioning sites
 - IT Finance (Project SAP Order lookup)
 - Monthly Financial Forecast Tool
 - Monthly Accruals Tool</t>
  </si>
  <si>
    <t>- Links to the Template, Guidance Documentation, Overview Slides posted to the SDF site
- Standard Internal Rate Card</t>
  </si>
  <si>
    <t>Site</t>
  </si>
  <si>
    <t>5781</t>
  </si>
  <si>
    <t>5780</t>
  </si>
  <si>
    <t>Transmission Control Strategy (IEMS Replacement) - D-1891</t>
  </si>
  <si>
    <t>Tactical Balancing Capabilities (BM Mobilisation &amp; Design)</t>
  </si>
  <si>
    <t>EBS Scheduling</t>
  </si>
  <si>
    <t>To Enter a new role to any of the Functional Area tables below, click on the bottom cell in for the area you want to add the role and hit the [Tab] key.</t>
  </si>
  <si>
    <t>Program Delivery Manager</t>
  </si>
  <si>
    <t>- Roles that have rates in the Standard Rate Card</t>
  </si>
  <si>
    <t>5789</t>
  </si>
  <si>
    <t>5788</t>
  </si>
  <si>
    <t>5787</t>
  </si>
  <si>
    <t>5786</t>
  </si>
  <si>
    <t>5785</t>
  </si>
  <si>
    <t>5784</t>
  </si>
  <si>
    <t>5783</t>
  </si>
  <si>
    <t>5782</t>
  </si>
  <si>
    <t>IT Support for MassSave and rebate processing partner RFP</t>
  </si>
  <si>
    <t>Metrotech Legacy Voice Recorder Migration</t>
  </si>
  <si>
    <t>5523H</t>
  </si>
  <si>
    <t>Downstate NY PBX Replacement Upgrade</t>
  </si>
  <si>
    <t>Integration Platform Risk Resilience</t>
  </si>
  <si>
    <t>5506B</t>
  </si>
  <si>
    <t>Bill Print and Bill Composition Implementation</t>
  </si>
  <si>
    <t>5345B</t>
  </si>
  <si>
    <t>Total Accrued on Accruals tab</t>
  </si>
  <si>
    <t>Project Gemini IT Workstream (NGV)</t>
  </si>
  <si>
    <t>5792</t>
  </si>
  <si>
    <t>Customer Information Systems Replacement</t>
  </si>
  <si>
    <t>5503A</t>
  </si>
  <si>
    <t>S/4 Transformation</t>
  </si>
  <si>
    <t>Pensions Accounting System</t>
  </si>
  <si>
    <t>Cost Summary Table (eSanction Long Form)</t>
  </si>
  <si>
    <t xml:space="preserve">This worksheet is divided into two columns.  Each column is dedicated to a “family” of tables – each family plays a distinct role in the process of preparing sanction documentation.  The left column provides data used to populate the Cost Summary Table.  The right contains tables and data that is required in the sanction documentation.  </t>
  </si>
  <si>
    <t xml:space="preserve">The grey cells in the tables below provide data that should be used to populate the Cost Summary table.  Please enter the Capex and Opex values by Fiscal Year from Spend and Plan Funding tables below. </t>
  </si>
  <si>
    <t>The values in the grey cells below should be entered into the 'Project Cost per Business Plan' table.</t>
  </si>
  <si>
    <t xml:space="preserve">The values in the grey cells below should be entered into the Cost Summary table. </t>
  </si>
  <si>
    <t xml:space="preserve">For projects seeking U.S. sanction: 
  1) the Project Cost Breakdown table must be ‘copied’ and ‘pasted’ into the eSanction Long Form Appendix Section; and
  2) the Cost Summary section of the eSanction Long Form must be completed with the data provided below
</t>
  </si>
  <si>
    <t>5796</t>
  </si>
  <si>
    <t>5795</t>
  </si>
  <si>
    <t>5794</t>
  </si>
  <si>
    <t>5503B</t>
  </si>
  <si>
    <t>GB Regulatory Changes</t>
  </si>
  <si>
    <t>MFRR/MARI</t>
  </si>
  <si>
    <t>SOGL</t>
  </si>
  <si>
    <t>CGM (Common Grid Model)</t>
  </si>
  <si>
    <t>CACM FY21</t>
  </si>
  <si>
    <t>P388 Aligning the P344 &amp; P354 Solutions</t>
  </si>
  <si>
    <t>CRIS Budget Bill</t>
  </si>
  <si>
    <t>Single Markets Platform Enabler</t>
  </si>
  <si>
    <t>5808</t>
  </si>
  <si>
    <t>CNI DC Migration</t>
  </si>
  <si>
    <t>5807</t>
  </si>
  <si>
    <t>NOA Tech Analysis</t>
  </si>
  <si>
    <t>5806</t>
  </si>
  <si>
    <t>Zero Carbon Operability Evaluation</t>
  </si>
  <si>
    <t>5805</t>
  </si>
  <si>
    <t>Clean Energy Package</t>
  </si>
  <si>
    <t>5804</t>
  </si>
  <si>
    <t>Reform of Frequency Response Services</t>
  </si>
  <si>
    <t>5803</t>
  </si>
  <si>
    <t>Digital Engagement Platform</t>
  </si>
  <si>
    <t>5802</t>
  </si>
  <si>
    <t>5801</t>
  </si>
  <si>
    <t>5800</t>
  </si>
  <si>
    <t>5799</t>
  </si>
  <si>
    <t>5798</t>
  </si>
  <si>
    <t>5797</t>
  </si>
  <si>
    <t>NACHA Change</t>
  </si>
  <si>
    <t>Time of Use Residential Customers</t>
  </si>
  <si>
    <t>Future Auction Capabilities</t>
  </si>
  <si>
    <t>PAS - Contracts</t>
  </si>
  <si>
    <t>PAS - Dispatch</t>
  </si>
  <si>
    <t>PAS - Settlements</t>
  </si>
  <si>
    <t>Frequency Response Calculator</t>
  </si>
  <si>
    <r>
      <rPr>
        <u/>
        <sz val="11"/>
        <color indexed="8"/>
        <rFont val="Calibri"/>
        <family val="2"/>
      </rPr>
      <t>Investment Paper  -  § Project Cost Breakdown</t>
    </r>
    <r>
      <rPr>
        <sz val="11"/>
        <color indexed="8"/>
        <rFont val="Calibri"/>
        <family val="2"/>
      </rPr>
      <t xml:space="preserve">:  The table below presents a high-level analysis of project costs.  In most cases, it will provide the complete analysis that is necessary to answer the question, except for the right column which must be completed manually.  In other cases, the table will provide a good start, but you must add an additional footnote (explained below).  In all cases, you should 'Copy' the table below and 'Paste' it  into the appendix of the eSanction form.    </t>
    </r>
  </si>
  <si>
    <t>If not entering a Firm in these cells, please enter a blank to clear out the color fill prior to copying &amp; pasting into the appendix of the eSanctioning form.</t>
  </si>
  <si>
    <t xml:space="preserve">- If you must breakdown 'Other' costs, how can you find information about the costs included in 'Other'?  The vast majority of the time, you can find all such information in one place: Monthly Summary Tab (Training, Categories #1 - #10). Be sure to note any 'big cost' in cell T28. </t>
  </si>
  <si>
    <t>Data Protection</t>
  </si>
  <si>
    <t>5820</t>
  </si>
  <si>
    <t>Power Potential Productionisation</t>
  </si>
  <si>
    <t>5815</t>
  </si>
  <si>
    <t>Emergency BAU Changes (Asset Health)</t>
  </si>
  <si>
    <t>5814</t>
  </si>
  <si>
    <t>LIMS Asset Refresh</t>
  </si>
  <si>
    <t>5813</t>
  </si>
  <si>
    <t>CAB Asset Health &amp; Business Improvement</t>
  </si>
  <si>
    <t>5812</t>
  </si>
  <si>
    <t>FFR EPEX Day Ahead Auction</t>
  </si>
  <si>
    <t>5811</t>
  </si>
  <si>
    <t>5810</t>
  </si>
  <si>
    <t>5809</t>
  </si>
  <si>
    <t>5796B</t>
  </si>
  <si>
    <t>5796A</t>
  </si>
  <si>
    <t>5795B</t>
  </si>
  <si>
    <t>WN Asset &amp; Data Development &amp; Management Program</t>
  </si>
  <si>
    <t>5823</t>
  </si>
  <si>
    <t>WNCD Application Reinforcement Program​</t>
  </si>
  <si>
    <t>5822</t>
  </si>
  <si>
    <t>IR35 Assessment</t>
  </si>
  <si>
    <t>5821</t>
  </si>
  <si>
    <t>WNCD Regulatory Initiatives Program</t>
  </si>
  <si>
    <t>Global Workforce Tracking F&amp;A</t>
  </si>
  <si>
    <t>5362B</t>
  </si>
  <si>
    <t>UK GDPR Purge</t>
  </si>
  <si>
    <t xml:space="preserve">Secure Web Gateway </t>
  </si>
  <si>
    <t>Health form workflow improvements</t>
  </si>
  <si>
    <t>Revenue Improvements</t>
  </si>
  <si>
    <t>Limit Customer Bill Increase</t>
  </si>
  <si>
    <t>10% for Yes, 0% for No</t>
  </si>
  <si>
    <t>40% Weight capped to 50%</t>
  </si>
  <si>
    <t>5840</t>
  </si>
  <si>
    <t>Connect3D</t>
  </si>
  <si>
    <t>5839</t>
  </si>
  <si>
    <t>Managed Networks</t>
  </si>
  <si>
    <t>5838</t>
  </si>
  <si>
    <t xml:space="preserve">Application Virtualization </t>
  </si>
  <si>
    <t>5837</t>
  </si>
  <si>
    <t>5836</t>
  </si>
  <si>
    <t>Heywood VPN</t>
  </si>
  <si>
    <t>5835</t>
  </si>
  <si>
    <t>TERRE</t>
  </si>
  <si>
    <t>5834</t>
  </si>
  <si>
    <t>Restoration Innovation Project Support</t>
  </si>
  <si>
    <t>5833</t>
  </si>
  <si>
    <t>FCDM Decommissioning</t>
  </si>
  <si>
    <t>5832</t>
  </si>
  <si>
    <t>Replatform of EnTrader</t>
  </si>
  <si>
    <t>5831</t>
  </si>
  <si>
    <t>5830D</t>
  </si>
  <si>
    <t>5830B</t>
  </si>
  <si>
    <t>5830A</t>
  </si>
  <si>
    <t>5830</t>
  </si>
  <si>
    <t>5829</t>
  </si>
  <si>
    <t>5828</t>
  </si>
  <si>
    <t>CGM</t>
  </si>
  <si>
    <t>5827</t>
  </si>
  <si>
    <t>FAME Asset Refresh</t>
  </si>
  <si>
    <t>5826</t>
  </si>
  <si>
    <t>Reform of Reserve Services</t>
  </si>
  <si>
    <t>5825</t>
  </si>
  <si>
    <t>Wider Access</t>
  </si>
  <si>
    <t>5824</t>
  </si>
  <si>
    <t>5823D</t>
  </si>
  <si>
    <t>5823C</t>
  </si>
  <si>
    <t>5823A</t>
  </si>
  <si>
    <t>5822C</t>
  </si>
  <si>
    <t>5822A</t>
  </si>
  <si>
    <t>CRIS Financial Balancing</t>
  </si>
  <si>
    <t>5773D</t>
  </si>
  <si>
    <t>5567C</t>
  </si>
  <si>
    <t>5567B</t>
  </si>
  <si>
    <t>5567A</t>
  </si>
  <si>
    <t>5158B</t>
  </si>
  <si>
    <t>Viking Link Interconnector</t>
  </si>
  <si>
    <t>2520C</t>
  </si>
  <si>
    <t>File for in a rate case</t>
  </si>
  <si>
    <t>Syntax</t>
  </si>
  <si>
    <t>Managed Hosting Services - Syntax</t>
  </si>
  <si>
    <t>5845</t>
  </si>
  <si>
    <t>SAP Portfolio Strategy</t>
  </si>
  <si>
    <t>5844</t>
  </si>
  <si>
    <t>SAP and BackOffice Health Program</t>
  </si>
  <si>
    <t>5843</t>
  </si>
  <si>
    <t>US Finance Program</t>
  </si>
  <si>
    <t>5842</t>
  </si>
  <si>
    <t>5841</t>
  </si>
  <si>
    <t>5795E</t>
  </si>
  <si>
    <t>5795D</t>
  </si>
  <si>
    <t>5795C</t>
  </si>
  <si>
    <t>Mailchimp Replacement</t>
  </si>
  <si>
    <t>5847</t>
  </si>
  <si>
    <t>5846</t>
  </si>
  <si>
    <t>Security Orchestration, Automation and Response</t>
  </si>
  <si>
    <t>Identity and Access Management</t>
  </si>
  <si>
    <t>5851</t>
  </si>
  <si>
    <t>Platform Security</t>
  </si>
  <si>
    <t>5849</t>
  </si>
  <si>
    <t>Vulnerability Management</t>
  </si>
  <si>
    <t>5848</t>
  </si>
  <si>
    <t>Gas Work Plan Optimization Program</t>
  </si>
  <si>
    <t>Customer Connection Program</t>
  </si>
  <si>
    <t>Digital Space on Wyman</t>
  </si>
  <si>
    <t>5852</t>
  </si>
  <si>
    <t>Confirmation Matching</t>
  </si>
  <si>
    <t>5853</t>
  </si>
  <si>
    <t>5830C</t>
  </si>
  <si>
    <t>SVOP revamp</t>
  </si>
  <si>
    <t>5857</t>
  </si>
  <si>
    <t>5856</t>
  </si>
  <si>
    <t>5855</t>
  </si>
  <si>
    <t>5854</t>
  </si>
  <si>
    <t>Rate Case Already Filed and Approved</t>
  </si>
  <si>
    <t>Electronic Permit to Work</t>
  </si>
  <si>
    <t>5949</t>
  </si>
  <si>
    <t>CHC/ Alert</t>
  </si>
  <si>
    <t>5948</t>
  </si>
  <si>
    <t>Beamex</t>
  </si>
  <si>
    <t>5947</t>
  </si>
  <si>
    <t>enTrader Application Upgrade and Re-Platforming</t>
  </si>
  <si>
    <t>5946</t>
  </si>
  <si>
    <t>US Corporate SD WAN Estate</t>
  </si>
  <si>
    <t>5945</t>
  </si>
  <si>
    <t>US Corporate UPS Estate Deployment</t>
  </si>
  <si>
    <t>5944</t>
  </si>
  <si>
    <t>US Corporate WiFi Estate Deployment</t>
  </si>
  <si>
    <t>5943</t>
  </si>
  <si>
    <t>Legacy AD Remediation</t>
  </si>
  <si>
    <t>5942</t>
  </si>
  <si>
    <t>Project Glow</t>
  </si>
  <si>
    <t>5941</t>
  </si>
  <si>
    <t>Global VM Enterprise</t>
  </si>
  <si>
    <t>5940</t>
  </si>
  <si>
    <t>5939</t>
  </si>
  <si>
    <t>5938</t>
  </si>
  <si>
    <t>Dell Discovery</t>
  </si>
  <si>
    <t>5937</t>
  </si>
  <si>
    <t>Business Services Regularory &amp; Compliance OPEX</t>
  </si>
  <si>
    <t>5936</t>
  </si>
  <si>
    <t>Solution Development Lab</t>
  </si>
  <si>
    <t>5935</t>
  </si>
  <si>
    <t>IT Finance Management Task</t>
  </si>
  <si>
    <t>5934</t>
  </si>
  <si>
    <t>US Strategic Risk Remediation</t>
  </si>
  <si>
    <t>5933</t>
  </si>
  <si>
    <t>ABBYY Tool - DXC to Azure Migration</t>
  </si>
  <si>
    <t>5932</t>
  </si>
  <si>
    <t>UK CNI Vunerability Management</t>
  </si>
  <si>
    <t>5931</t>
  </si>
  <si>
    <t>Property Services IT Systems Modernization</t>
  </si>
  <si>
    <t>5930</t>
  </si>
  <si>
    <t>FY25 Mandated Projects</t>
  </si>
  <si>
    <t>5929</t>
  </si>
  <si>
    <t>FY24 Mandated Projects</t>
  </si>
  <si>
    <t>5928</t>
  </si>
  <si>
    <t>FY23 Mandated Projects</t>
  </si>
  <si>
    <t>5927</t>
  </si>
  <si>
    <t>FY22 Mandated Projects</t>
  </si>
  <si>
    <t>5926</t>
  </si>
  <si>
    <t>5925</t>
  </si>
  <si>
    <t>Annual HR &amp; Payroll Mandatory Service Pack Upgrade (HRSP) FY25</t>
  </si>
  <si>
    <t>5924</t>
  </si>
  <si>
    <t>US SAP: Infrastructure Landscape FY25</t>
  </si>
  <si>
    <t>5923</t>
  </si>
  <si>
    <t>5922</t>
  </si>
  <si>
    <t>5921</t>
  </si>
  <si>
    <t>Customer Billing Optimization</t>
  </si>
  <si>
    <t>5920</t>
  </si>
  <si>
    <t>5919</t>
  </si>
  <si>
    <t>5918</t>
  </si>
  <si>
    <t>IT4IT: Data Management</t>
  </si>
  <si>
    <t>5917</t>
  </si>
  <si>
    <t>US AMI Cyber Security Program</t>
  </si>
  <si>
    <t>5916</t>
  </si>
  <si>
    <t>US Grid Mod Cyber Security Program</t>
  </si>
  <si>
    <t>5915</t>
  </si>
  <si>
    <t>Energy Efficiency Advanced Measurement and Verification</t>
  </si>
  <si>
    <t>5914</t>
  </si>
  <si>
    <t>Customer Focus - EBU Street Lighting Program</t>
  </si>
  <si>
    <t>5913</t>
  </si>
  <si>
    <t>On My Way (EBU Digital Solution)</t>
  </si>
  <si>
    <t>5912</t>
  </si>
  <si>
    <t>5911</t>
  </si>
  <si>
    <t>Group Group Function Regulatory/Mandated Requests</t>
  </si>
  <si>
    <t>5910</t>
  </si>
  <si>
    <t>Group Group Function Operational Excellence</t>
  </si>
  <si>
    <t>5909</t>
  </si>
  <si>
    <t>Group Group Function Fix the Foundation</t>
  </si>
  <si>
    <t>5908</t>
  </si>
  <si>
    <t>Corporate Affairs Enablement Tooling</t>
  </si>
  <si>
    <t>5907</t>
  </si>
  <si>
    <t xml:space="preserve">MA Distributed Solar Charge </t>
  </si>
  <si>
    <t>5906</t>
  </si>
  <si>
    <t>Nucleus Project</t>
  </si>
  <si>
    <t>5905</t>
  </si>
  <si>
    <t>New UNY Call Center Buildout</t>
  </si>
  <si>
    <t>5904</t>
  </si>
  <si>
    <t>Customer Operational Enhancements FY21</t>
  </si>
  <si>
    <t>5903</t>
  </si>
  <si>
    <t>5902</t>
  </si>
  <si>
    <t>IT4IT: IT Tooling</t>
  </si>
  <si>
    <t>5901</t>
  </si>
  <si>
    <t>IT4IT: Service Now</t>
  </si>
  <si>
    <t>5900</t>
  </si>
  <si>
    <t>IT4IT: Middleware</t>
  </si>
  <si>
    <t>5899</t>
  </si>
  <si>
    <t>US HR / US Benefits</t>
  </si>
  <si>
    <t>5898</t>
  </si>
  <si>
    <t>US Group Functions: Regulatory / Mandated Requests</t>
  </si>
  <si>
    <t>5897</t>
  </si>
  <si>
    <t>US Group Functions: Fix the Foundation</t>
  </si>
  <si>
    <t>5896</t>
  </si>
  <si>
    <t>US Group Functions: Operational Excellence</t>
  </si>
  <si>
    <t>5895</t>
  </si>
  <si>
    <t>Customer Focus Electric Vehicle Enablement Program</t>
  </si>
  <si>
    <t>5894</t>
  </si>
  <si>
    <t>5893</t>
  </si>
  <si>
    <t>5892</t>
  </si>
  <si>
    <t>5891</t>
  </si>
  <si>
    <t>Asset Maturity - Asset Management</t>
  </si>
  <si>
    <t>5890</t>
  </si>
  <si>
    <t>Operational Excellence - Emergency Planning</t>
  </si>
  <si>
    <t>5889</t>
  </si>
  <si>
    <t>Operational Excellence - Operational Support</t>
  </si>
  <si>
    <t>5888</t>
  </si>
  <si>
    <t>Operational Excellence - Field Operations</t>
  </si>
  <si>
    <t>5887</t>
  </si>
  <si>
    <t>5886</t>
  </si>
  <si>
    <t>5885</t>
  </si>
  <si>
    <t>5884</t>
  </si>
  <si>
    <t>IT support for Smart work space programs in MetroTech and Hicksville</t>
  </si>
  <si>
    <t>5882</t>
  </si>
  <si>
    <t>EDW Baseline v2 Field Worker Roll out</t>
  </si>
  <si>
    <t>5881</t>
  </si>
  <si>
    <t>IT Tools: Service Now Improvements</t>
  </si>
  <si>
    <t>5880</t>
  </si>
  <si>
    <t>Reforms to Retail Access- ESCO Operations</t>
  </si>
  <si>
    <t>5879</t>
  </si>
  <si>
    <t>5878</t>
  </si>
  <si>
    <t>5877A</t>
  </si>
  <si>
    <t>Engineering Modernization Initiative</t>
  </si>
  <si>
    <t>5877</t>
  </si>
  <si>
    <t>5876</t>
  </si>
  <si>
    <t>5875</t>
  </si>
  <si>
    <t>5874</t>
  </si>
  <si>
    <t>5873</t>
  </si>
  <si>
    <t>End of Life Server Modernization</t>
  </si>
  <si>
    <t>5872</t>
  </si>
  <si>
    <t>NY Energy Storage Systems (ESS)</t>
  </si>
  <si>
    <t>5871</t>
  </si>
  <si>
    <t>5870</t>
  </si>
  <si>
    <t>Electric MV90 Upgrade F&amp;A</t>
  </si>
  <si>
    <t>5869</t>
  </si>
  <si>
    <t>5868</t>
  </si>
  <si>
    <t>5867</t>
  </si>
  <si>
    <t>5866C</t>
  </si>
  <si>
    <t>5866B</t>
  </si>
  <si>
    <t>5866A</t>
  </si>
  <si>
    <t>5866</t>
  </si>
  <si>
    <t>Customer Billing Improvement Program - Phase 2</t>
  </si>
  <si>
    <t>5865</t>
  </si>
  <si>
    <t>5864A</t>
  </si>
  <si>
    <t>Regulatory and Community Mandates</t>
  </si>
  <si>
    <t>5864</t>
  </si>
  <si>
    <t>Fix the Foundation</t>
  </si>
  <si>
    <t>5863</t>
  </si>
  <si>
    <t>Enablers and Customer Insights</t>
  </si>
  <si>
    <t>5862</t>
  </si>
  <si>
    <t>Product Growth</t>
  </si>
  <si>
    <t>5861</t>
  </si>
  <si>
    <t>Connections</t>
  </si>
  <si>
    <t>5860</t>
  </si>
  <si>
    <t>5859</t>
  </si>
  <si>
    <t>5858</t>
  </si>
  <si>
    <t>5845C</t>
  </si>
  <si>
    <t>Capital Delivery - Improving ways of working in the field</t>
  </si>
  <si>
    <t>5830I</t>
  </si>
  <si>
    <t>Capital Delivery - Safety and Risk Artificial Intelligence in the Field</t>
  </si>
  <si>
    <t>5830H</t>
  </si>
  <si>
    <t>Capital Delivery - Safety and Risk Artificial Intelligence in the Field F&amp;A</t>
  </si>
  <si>
    <t>5830G</t>
  </si>
  <si>
    <t>5830F</t>
  </si>
  <si>
    <t>Open Text Integration for CDI</t>
  </si>
  <si>
    <t>5830E</t>
  </si>
  <si>
    <t>Unifier Integration with Copperleaf</t>
  </si>
  <si>
    <t>Transmission Asset Management Data Ecosystem Transformation (DET)</t>
  </si>
  <si>
    <t>5823F</t>
  </si>
  <si>
    <t>5823E</t>
  </si>
  <si>
    <t>Corporate Plane/Aircraft Booking Solution</t>
  </si>
  <si>
    <t>5795A</t>
  </si>
  <si>
    <t>Damage Tracking System Replacement</t>
  </si>
  <si>
    <t>5785A</t>
  </si>
  <si>
    <t>CRIS Automated Archiving</t>
  </si>
  <si>
    <t>5778K</t>
  </si>
  <si>
    <t>CRIS EDI Upgrade</t>
  </si>
  <si>
    <t>5778J</t>
  </si>
  <si>
    <t>CSS IVR Web Servers Upgrade</t>
  </si>
  <si>
    <t>5778I</t>
  </si>
  <si>
    <t>5778H</t>
  </si>
  <si>
    <t>5778G</t>
  </si>
  <si>
    <t>CRIS Batch Monitoring - F&amp;A</t>
  </si>
  <si>
    <t>5778F</t>
  </si>
  <si>
    <t>CSS Automated Archiving</t>
  </si>
  <si>
    <t>5778E</t>
  </si>
  <si>
    <t>FCP Upgrade</t>
  </si>
  <si>
    <t>5778D</t>
  </si>
  <si>
    <t>CRIS Batch Job Performance</t>
  </si>
  <si>
    <t>5778C</t>
  </si>
  <si>
    <t>CSS Batch Job Performance</t>
  </si>
  <si>
    <t>5778B</t>
  </si>
  <si>
    <t>CSS Code and Batch Mgt (includes ITT, Migtrax, Traintrax)</t>
  </si>
  <si>
    <t>5778A</t>
  </si>
  <si>
    <t>Aruba POC and WiFi Additional Sites</t>
  </si>
  <si>
    <t>System Center Configuration Manager (SCCM)</t>
  </si>
  <si>
    <t>AD User and Device Migration</t>
  </si>
  <si>
    <t>5750C</t>
  </si>
  <si>
    <t>AD Application Modernization</t>
  </si>
  <si>
    <t>5750B</t>
  </si>
  <si>
    <t>AD Modernization Integrated Services</t>
  </si>
  <si>
    <t>5750A</t>
  </si>
  <si>
    <t>S/4 Hanna</t>
  </si>
  <si>
    <t>Portal for ISO dispatch</t>
  </si>
  <si>
    <t>5471U</t>
  </si>
  <si>
    <t>DER Outage Portal</t>
  </si>
  <si>
    <t>5471T</t>
  </si>
  <si>
    <t>Scada Analog</t>
  </si>
  <si>
    <t>5471S</t>
  </si>
  <si>
    <t>Telecom Lab Facilities</t>
  </si>
  <si>
    <t>5471R</t>
  </si>
  <si>
    <t>ADMS - Mobile dispatch for OMS</t>
  </si>
  <si>
    <t>5471Q</t>
  </si>
  <si>
    <t>Grid Modernization Integration Services Phase 2</t>
  </si>
  <si>
    <t>5471P</t>
  </si>
  <si>
    <t>Grid Modernization Data Management Phase 2</t>
  </si>
  <si>
    <t>5471O</t>
  </si>
  <si>
    <t>ADMS Phase 3 – Control center tools</t>
  </si>
  <si>
    <t>5471N</t>
  </si>
  <si>
    <t>Grid Modernization GIS Phase II</t>
  </si>
  <si>
    <t>5471L</t>
  </si>
  <si>
    <t>Grid Modernization TOMS Phase 2 &amp; 3</t>
  </si>
  <si>
    <t>New Storms Respose Management System Implementaition</t>
  </si>
  <si>
    <t>5274A</t>
  </si>
  <si>
    <t>AMI - IT Infrastructure, professional services, implementation and testing activities</t>
  </si>
  <si>
    <t>4704T</t>
  </si>
  <si>
    <t>AMI - OMS Integration</t>
  </si>
  <si>
    <t>4704S</t>
  </si>
  <si>
    <t>CSS Retail Bill Design Refresh</t>
  </si>
  <si>
    <t>4704Q</t>
  </si>
  <si>
    <t>Distributed Generation Integrated Planning &amp; Forecasting – Tactical</t>
  </si>
  <si>
    <t>4704P</t>
  </si>
  <si>
    <t>AMI – Cyber Security</t>
  </si>
  <si>
    <t>4704N</t>
  </si>
  <si>
    <t>AMI - Data Lake Cloud Hosting</t>
  </si>
  <si>
    <t>4704M</t>
  </si>
  <si>
    <t>AMI – Information Management</t>
  </si>
  <si>
    <t>4704L</t>
  </si>
  <si>
    <t>NY REV PI Enterprise License and Platform Deployment</t>
  </si>
  <si>
    <t>4704K</t>
  </si>
  <si>
    <t>AMI – ESB Data Integration Platform</t>
  </si>
  <si>
    <t>4704J</t>
  </si>
  <si>
    <t>AMI - Telecom</t>
  </si>
  <si>
    <t>4704I</t>
  </si>
  <si>
    <t>GIS Data Enhancements</t>
  </si>
  <si>
    <t>4704H</t>
  </si>
  <si>
    <t>Distributed Generation Integrated Planning &amp; Forecasting</t>
  </si>
  <si>
    <t>4704F</t>
  </si>
  <si>
    <t>NY Residential API Connections for Smart Devices</t>
  </si>
  <si>
    <t>4704E</t>
  </si>
  <si>
    <t>4704D</t>
  </si>
  <si>
    <t>4704C</t>
  </si>
  <si>
    <t>AMI – Energy Monitoring Portal</t>
  </si>
  <si>
    <t>4704B</t>
  </si>
  <si>
    <t>AMI - CSS Enhancements</t>
  </si>
  <si>
    <t>4704A</t>
  </si>
  <si>
    <t>SOAR - Security Orchestration Automation and Response</t>
  </si>
  <si>
    <t>Investor Relations External Communications</t>
  </si>
  <si>
    <t>5957</t>
  </si>
  <si>
    <t>Board Management Tooling Review</t>
  </si>
  <si>
    <t>5956</t>
  </si>
  <si>
    <t>Customer Journey Tool</t>
  </si>
  <si>
    <t>5955</t>
  </si>
  <si>
    <t>IR35 Assessment Tooling</t>
  </si>
  <si>
    <t>5954</t>
  </si>
  <si>
    <t>Pensions Risk and Investment Management RFP</t>
  </si>
  <si>
    <t>5953</t>
  </si>
  <si>
    <t>Pensions Finance System</t>
  </si>
  <si>
    <t>5952</t>
  </si>
  <si>
    <t>Lone Worker Tracking</t>
  </si>
  <si>
    <t>5951</t>
  </si>
  <si>
    <t>Future Meeting Rooms and Collaboration Space</t>
  </si>
  <si>
    <t>5950</t>
  </si>
  <si>
    <t>Data Management</t>
  </si>
  <si>
    <t>Service Now</t>
  </si>
  <si>
    <t>Middleware</t>
  </si>
  <si>
    <t>Business Managed Application Assessments</t>
  </si>
  <si>
    <t>5863A</t>
  </si>
  <si>
    <t>Fleet improvements</t>
  </si>
  <si>
    <t>Distribution PI and PI Visions Extension</t>
  </si>
  <si>
    <t>5471V</t>
  </si>
  <si>
    <t>This is a US PMO Test Project ONLY</t>
  </si>
  <si>
    <t>8080</t>
  </si>
  <si>
    <t>Brand Central Options Analysis</t>
  </si>
  <si>
    <t>6058US</t>
  </si>
  <si>
    <t>6058UK</t>
  </si>
  <si>
    <t>OSIsoft software licensing fulfillment</t>
  </si>
  <si>
    <t>EoL Migration Efforts - US</t>
  </si>
  <si>
    <t>6053</t>
  </si>
  <si>
    <t xml:space="preserve">Migration of Current Storage to Strategic Deployment – US </t>
  </si>
  <si>
    <t>6052</t>
  </si>
  <si>
    <t>STORMS Extended Performance</t>
  </si>
  <si>
    <t>6051</t>
  </si>
  <si>
    <t>Migration to IBM P9</t>
  </si>
  <si>
    <t>6050</t>
  </si>
  <si>
    <t>Hosting Infrastructure Refresh to HCI</t>
  </si>
  <si>
    <t>6049</t>
  </si>
  <si>
    <t>Security Portfolio Pipeline</t>
  </si>
  <si>
    <t>6047</t>
  </si>
  <si>
    <t xml:space="preserve">SD WAN FY21 Expansion </t>
  </si>
  <si>
    <t>6046</t>
  </si>
  <si>
    <t>Application upgrades required for new ways of working</t>
  </si>
  <si>
    <t>6043F</t>
  </si>
  <si>
    <t>New Business Capabilities for efficient operations</t>
  </si>
  <si>
    <t>6043E</t>
  </si>
  <si>
    <t>Improve Collaboration Capabilities</t>
  </si>
  <si>
    <t>6043D</t>
  </si>
  <si>
    <t>Storage Modernization</t>
  </si>
  <si>
    <t>6043C</t>
  </si>
  <si>
    <t>Device Modernization</t>
  </si>
  <si>
    <t>6043B</t>
  </si>
  <si>
    <t>Work from Anywhere</t>
  </si>
  <si>
    <t>6043A</t>
  </si>
  <si>
    <t>Business Technology Plan Forward - Covid</t>
  </si>
  <si>
    <t>6043</t>
  </si>
  <si>
    <t>Customer US Retail Web Infrastructure Upgrade</t>
  </si>
  <si>
    <t>6042</t>
  </si>
  <si>
    <t>6041</t>
  </si>
  <si>
    <t>Customer Minor Works – Plan Forward</t>
  </si>
  <si>
    <t>6040</t>
  </si>
  <si>
    <t>US vSTIG Bandwidth Upgrade (10G)</t>
  </si>
  <si>
    <t>6037</t>
  </si>
  <si>
    <t>CMP345 Defer the additional Covid-19 BSUoS costs</t>
  </si>
  <si>
    <t>6035</t>
  </si>
  <si>
    <t>Corporate Centre Minor Works 20/21</t>
  </si>
  <si>
    <t>6034</t>
  </si>
  <si>
    <t>6033</t>
  </si>
  <si>
    <t>Customer Billing COVID Transition  (Minor Works)</t>
  </si>
  <si>
    <t>6032</t>
  </si>
  <si>
    <t>Helicopter Imagery Storage in Azure - F&amp;A</t>
  </si>
  <si>
    <t>6031</t>
  </si>
  <si>
    <t>EV Project Tracker</t>
  </si>
  <si>
    <t>6030</t>
  </si>
  <si>
    <t>Mainframe Capacity Upgrade</t>
  </si>
  <si>
    <t>6026</t>
  </si>
  <si>
    <t>Contract Quarterback - AI PoC</t>
  </si>
  <si>
    <t>6025</t>
  </si>
  <si>
    <t>2020</t>
  </si>
  <si>
    <t>FY21 US Executive Approved Overspend</t>
  </si>
  <si>
    <t>6019</t>
  </si>
  <si>
    <t>Security Operations Services (SOS)</t>
  </si>
  <si>
    <t>6018</t>
  </si>
  <si>
    <t>6014</t>
  </si>
  <si>
    <t>Azure Cloud Foundation</t>
  </si>
  <si>
    <t>6013</t>
  </si>
  <si>
    <t>FY21 Electric Businss Unit Minor Works</t>
  </si>
  <si>
    <t>6010</t>
  </si>
  <si>
    <t>Stakeholder Strategy Programme</t>
  </si>
  <si>
    <t>6008</t>
  </si>
  <si>
    <t>Inside Agent</t>
  </si>
  <si>
    <t>6007</t>
  </si>
  <si>
    <t>Business Technology Funding</t>
  </si>
  <si>
    <t>6005</t>
  </si>
  <si>
    <t>VDI for Third Party Vendors</t>
  </si>
  <si>
    <t>6004</t>
  </si>
  <si>
    <t>Contact Center Mobilization</t>
  </si>
  <si>
    <t>6003</t>
  </si>
  <si>
    <t>Other's Efficiency Target</t>
  </si>
  <si>
    <t>6002</t>
  </si>
  <si>
    <t>Lisa Pratico's Efficiency Target</t>
  </si>
  <si>
    <t>6001</t>
  </si>
  <si>
    <t>Narayan Devireddy's Efficiency Target</t>
  </si>
  <si>
    <t>6000</t>
  </si>
  <si>
    <t>Worcester AMI Saas upgrade</t>
  </si>
  <si>
    <t>5999</t>
  </si>
  <si>
    <t>Elaine Wilson's Efficiency Target</t>
  </si>
  <si>
    <t>5998</t>
  </si>
  <si>
    <t>5997</t>
  </si>
  <si>
    <t>Simon Baker's Efficiency Target</t>
  </si>
  <si>
    <t>5996</t>
  </si>
  <si>
    <t>Graham Pool's Efficiency Target</t>
  </si>
  <si>
    <t>5995</t>
  </si>
  <si>
    <t>Orla Daly's Efficiency Target</t>
  </si>
  <si>
    <t>5994</t>
  </si>
  <si>
    <t>Ed Brodsky's Efficiency Target</t>
  </si>
  <si>
    <t>5993</t>
  </si>
  <si>
    <t>Joel Semel's Efficiency Target</t>
  </si>
  <si>
    <t>5992</t>
  </si>
  <si>
    <t>Bob Lorkiewicz's Efficiency Target</t>
  </si>
  <si>
    <t>5991</t>
  </si>
  <si>
    <t>Andrea Costa's Efficiency Target</t>
  </si>
  <si>
    <t>5990</t>
  </si>
  <si>
    <t>Pall Arnason's Efficiency Target</t>
  </si>
  <si>
    <t>5989</t>
  </si>
  <si>
    <t>Smart City Phase II</t>
  </si>
  <si>
    <t>5987</t>
  </si>
  <si>
    <t>Speedpay</t>
  </si>
  <si>
    <t>5986</t>
  </si>
  <si>
    <t>5985</t>
  </si>
  <si>
    <t>2018</t>
  </si>
  <si>
    <t>GasRay Server Transition</t>
  </si>
  <si>
    <t>5984</t>
  </si>
  <si>
    <t>vStig bandwidth increase</t>
  </si>
  <si>
    <t>5982</t>
  </si>
  <si>
    <t>Microsoft Teams</t>
  </si>
  <si>
    <t>5981</t>
  </si>
  <si>
    <t>5980</t>
  </si>
  <si>
    <t>Federal PAC Reporting Payroll Interface</t>
  </si>
  <si>
    <t>5979</t>
  </si>
  <si>
    <t>Washington DC Video Conferencing Installation</t>
  </si>
  <si>
    <t>5978</t>
  </si>
  <si>
    <t>5977</t>
  </si>
  <si>
    <t>Clifton Park Innovative Pricing Rate Design Project</t>
  </si>
  <si>
    <t>5976</t>
  </si>
  <si>
    <t>APM refresh</t>
  </si>
  <si>
    <t>5975</t>
  </si>
  <si>
    <t>IBM P9 Refresh</t>
  </si>
  <si>
    <t>5974</t>
  </si>
  <si>
    <t xml:space="preserve">FY21 Wholesale Networks and US Capital Delivery Minor Works </t>
  </si>
  <si>
    <t>5973</t>
  </si>
  <si>
    <t>CAB TCR</t>
  </si>
  <si>
    <t>5972</t>
  </si>
  <si>
    <t>EMR Phase 6</t>
  </si>
  <si>
    <t>5971</t>
  </si>
  <si>
    <t>EV commercial - Dataanagement</t>
  </si>
  <si>
    <t>5970</t>
  </si>
  <si>
    <t>EV residential Charging station</t>
  </si>
  <si>
    <t>5969</t>
  </si>
  <si>
    <t>Targeted Charging Review</t>
  </si>
  <si>
    <t>5968</t>
  </si>
  <si>
    <t>5967</t>
  </si>
  <si>
    <t>Marketer Billing</t>
  </si>
  <si>
    <t>5965</t>
  </si>
  <si>
    <t>Safety Line Inspection</t>
  </si>
  <si>
    <t>5964</t>
  </si>
  <si>
    <t>Modern Workspace Security Essentials</t>
  </si>
  <si>
    <t>5963USA</t>
  </si>
  <si>
    <t>Platform Projects Annual Program FY21</t>
  </si>
  <si>
    <t>5963US</t>
  </si>
  <si>
    <t>Modern Workspace Security Essentials UK</t>
  </si>
  <si>
    <t>5963UKA</t>
  </si>
  <si>
    <t>PulseNET decommissioning</t>
  </si>
  <si>
    <t>5962</t>
  </si>
  <si>
    <t>Clifton Park SFTP updates - MPLS replacement</t>
  </si>
  <si>
    <t>5961</t>
  </si>
  <si>
    <t>Customer Transformation Blueprint</t>
  </si>
  <si>
    <t>5960</t>
  </si>
  <si>
    <t>Group Finance Tooling</t>
  </si>
  <si>
    <t>5959</t>
  </si>
  <si>
    <t>Tax Analytics Tooling</t>
  </si>
  <si>
    <t>5958</t>
  </si>
  <si>
    <t>2019</t>
  </si>
  <si>
    <t>Billing Enhancements FY25</t>
  </si>
  <si>
    <t>US SAP Minor Enhancements</t>
  </si>
  <si>
    <t>Non-SAP Minor Enhancements</t>
  </si>
  <si>
    <t>Applications Health Check (Non-SAP) Program</t>
  </si>
  <si>
    <t xml:space="preserve">Application Lifecycle Management Toolset Phase 2 </t>
  </si>
  <si>
    <t>5901B</t>
  </si>
  <si>
    <t>PMO Tooling</t>
  </si>
  <si>
    <t>5901A</t>
  </si>
  <si>
    <t>ServiceNow Upgrade to version Orlando</t>
  </si>
  <si>
    <t>5900A</t>
  </si>
  <si>
    <t>5899A</t>
  </si>
  <si>
    <t>Wellness: RedBrick to Virgin Pulse Migration</t>
  </si>
  <si>
    <t>5896C</t>
  </si>
  <si>
    <t>Warehouse SAP Scanner Replacement (Barcoding)</t>
  </si>
  <si>
    <t>5896B</t>
  </si>
  <si>
    <t>US Tax: SABRIX Upgrade</t>
  </si>
  <si>
    <t>5896A</t>
  </si>
  <si>
    <t>5895A</t>
  </si>
  <si>
    <t>Electric MV90 Upgrade</t>
  </si>
  <si>
    <t>5891A</t>
  </si>
  <si>
    <t>Control Room Event Recording</t>
  </si>
  <si>
    <t>5889A</t>
  </si>
  <si>
    <t>Home Areas to OneDrive</t>
  </si>
  <si>
    <t>5886C</t>
  </si>
  <si>
    <t>Device Refresh &amp; Break/Fix</t>
  </si>
  <si>
    <t>5886B</t>
  </si>
  <si>
    <t>SCCM Application Packaging</t>
  </si>
  <si>
    <t>5886A</t>
  </si>
  <si>
    <t>5877F</t>
  </si>
  <si>
    <t>5877E</t>
  </si>
  <si>
    <t>Move to Strategic Platform</t>
  </si>
  <si>
    <t>5876C</t>
  </si>
  <si>
    <t>5876B</t>
  </si>
  <si>
    <t>Managed Workspace Services - US</t>
  </si>
  <si>
    <t>5876A</t>
  </si>
  <si>
    <t>Pure Technical Debt Remediation</t>
  </si>
  <si>
    <t>Hosting</t>
  </si>
  <si>
    <t>Cloud Center of Excellence</t>
  </si>
  <si>
    <t>Data Center</t>
  </si>
  <si>
    <t>EoL LAN Refresh - US</t>
  </si>
  <si>
    <t>5868A</t>
  </si>
  <si>
    <t>Network Infrastructure Program</t>
  </si>
  <si>
    <t>5867E</t>
  </si>
  <si>
    <t>IT Service Management (ITSM)</t>
  </si>
  <si>
    <t>5867D</t>
  </si>
  <si>
    <t>Infrastructure Refresh - Substation Firewalls - NE</t>
  </si>
  <si>
    <t>5867C</t>
  </si>
  <si>
    <t>Infrastructure Refresh - Substation Firewalls - NY</t>
  </si>
  <si>
    <t>5867B</t>
  </si>
  <si>
    <t>5867A</t>
  </si>
  <si>
    <t>Portfolio Planning and Risk Tool Improvements - Phase 2</t>
  </si>
  <si>
    <t>Intrusion Detection System and Intrusion Prevention System US</t>
  </si>
  <si>
    <t>5850USC</t>
  </si>
  <si>
    <t>vSTIG Firewall Upgrade US</t>
  </si>
  <si>
    <t>5850USB</t>
  </si>
  <si>
    <t>SSN Optimization US</t>
  </si>
  <si>
    <t>5850USA</t>
  </si>
  <si>
    <t>Network Security US</t>
  </si>
  <si>
    <t>5850US</t>
  </si>
  <si>
    <t>Intrusion Detection System and Intrusion Prevention System UK</t>
  </si>
  <si>
    <t>5850UKC</t>
  </si>
  <si>
    <t>vSTIG Firewall Upgrade UK</t>
  </si>
  <si>
    <t>5850UKB</t>
  </si>
  <si>
    <t>SSN Optimization UK</t>
  </si>
  <si>
    <t>5850UKA</t>
  </si>
  <si>
    <t>Network Security UK</t>
  </si>
  <si>
    <t>5850UK</t>
  </si>
  <si>
    <t>Network Connectivity Refresh</t>
  </si>
  <si>
    <t>SAP Platform Upgrade: OS and Databases</t>
  </si>
  <si>
    <t>5843A</t>
  </si>
  <si>
    <t>US SAP: GRC Upgrade</t>
  </si>
  <si>
    <t>5842A</t>
  </si>
  <si>
    <t>Payroll Tax Reporting to ADP</t>
  </si>
  <si>
    <t>5841B</t>
  </si>
  <si>
    <t>Pension Administrator Replacement</t>
  </si>
  <si>
    <t>5841A</t>
  </si>
  <si>
    <t>Centralized Services Compliance Program</t>
  </si>
  <si>
    <t>5830J</t>
  </si>
  <si>
    <t>5795H</t>
  </si>
  <si>
    <t>Telephone Consumer Protection Act (TCPA)</t>
  </si>
  <si>
    <t>5795G</t>
  </si>
  <si>
    <t>Community Distributed Generation (CDG) Consolidated Billing</t>
  </si>
  <si>
    <t>5795F</t>
  </si>
  <si>
    <t>MA Electric Vehicle Rebate Program</t>
  </si>
  <si>
    <t>CDG Net Metering</t>
  </si>
  <si>
    <t>Stabilization of Critical Gas Legacy Applications (CWQ)</t>
  </si>
  <si>
    <t>5789C</t>
  </si>
  <si>
    <t>Stabilization of Critical Gas Legacy Applications (Portal for ArcGIS)</t>
  </si>
  <si>
    <t>5789B</t>
  </si>
  <si>
    <t>Interface MyHub To OnBoard LMS OQ External Site</t>
  </si>
  <si>
    <t>5788D</t>
  </si>
  <si>
    <t>End of Life Gas Server Upgrades to Prevent Hacking and Intrusion</t>
  </si>
  <si>
    <t>5788C</t>
  </si>
  <si>
    <t>FY21 Gas Regulatory and Operational Enhancements (Minor Works)</t>
  </si>
  <si>
    <t>5788A</t>
  </si>
  <si>
    <t>Gas Pipeline Safety and Compliance Program</t>
  </si>
  <si>
    <t>Gas Management System (GMS) AT&amp;T Wireless VPN</t>
  </si>
  <si>
    <t>5787C</t>
  </si>
  <si>
    <t>Gas Management System (GMS) RSA for Corporate DMZ</t>
  </si>
  <si>
    <t>5787B</t>
  </si>
  <si>
    <t>5787A</t>
  </si>
  <si>
    <t>Gas Foundation for Future Supply Program</t>
  </si>
  <si>
    <t>Gas Capital Delivery Program</t>
  </si>
  <si>
    <t>Residential Methane Detection (RMD) Inbound Feed and Actioning</t>
  </si>
  <si>
    <t>5785H</t>
  </si>
  <si>
    <t>5785G</t>
  </si>
  <si>
    <t>5785F</t>
  </si>
  <si>
    <t>Gas Control Center SOP Enhancements</t>
  </si>
  <si>
    <t>5785E</t>
  </si>
  <si>
    <t>GBU IT Spend Data Analysis and Controllable Cost Optimization Plan</t>
  </si>
  <si>
    <t>5785D</t>
  </si>
  <si>
    <t>Stabilization of Critical Gas Legacy Applications (ePermits)</t>
  </si>
  <si>
    <t>5785C</t>
  </si>
  <si>
    <t>Digital Hub Experience</t>
  </si>
  <si>
    <t>5785B</t>
  </si>
  <si>
    <t>Gas Operational Excellence Program</t>
  </si>
  <si>
    <t>Evaluate Communication links and data security between bulk electric system control centers- NERC-CIP Reliability Compliance</t>
  </si>
  <si>
    <t>5773E</t>
  </si>
  <si>
    <t>Gas Business Enablement Program - GBE - (IT Portion)</t>
  </si>
  <si>
    <t>KEDNY Rate Case (Mandated)</t>
  </si>
  <si>
    <t>KEDLI Rate Case (Mandated)</t>
  </si>
  <si>
    <t>Copper to Fiber &amp; DS0/1 Solutioning</t>
  </si>
  <si>
    <t>Billing Enhancements FY24</t>
  </si>
  <si>
    <t>Billing Enhancements FY23</t>
  </si>
  <si>
    <t>Billing Enhancements FY22</t>
  </si>
  <si>
    <t>Customer Billing Minor Enhancements FY21</t>
  </si>
  <si>
    <t>Implementation of replacement for Property systems Review</t>
  </si>
  <si>
    <t>Core Powerplan Upgrade and Lease Consolidation</t>
  </si>
  <si>
    <t>Multi-Factor Authentication Phase 2</t>
  </si>
  <si>
    <t>5489C</t>
  </si>
  <si>
    <t>NY Clean Innovation</t>
  </si>
  <si>
    <t>5471Y</t>
  </si>
  <si>
    <t>DERMS Investigation</t>
  </si>
  <si>
    <t>5471X</t>
  </si>
  <si>
    <t>MA Active Resource Integration</t>
  </si>
  <si>
    <t>5471W</t>
  </si>
  <si>
    <t>5459B</t>
  </si>
  <si>
    <t>Forecasting and Long Term Planning Solution (Metapraxis)</t>
  </si>
  <si>
    <t>5380B</t>
  </si>
  <si>
    <t>MA Smart Program (Mandated)</t>
  </si>
  <si>
    <t>NY Value Stack Billing (Mandated)</t>
  </si>
  <si>
    <t>MyHub 2.0</t>
  </si>
  <si>
    <t>Asset and Work Management System for LNG</t>
  </si>
  <si>
    <t>2016</t>
  </si>
  <si>
    <t>Physical Security - MASS Electric - Equip Replacement</t>
  </si>
  <si>
    <t>3617I</t>
  </si>
  <si>
    <t>Physical Security - KEDLI - Equip Replacement</t>
  </si>
  <si>
    <t>3617H</t>
  </si>
  <si>
    <t>Physical Security - KEDNY - Equip Replacement</t>
  </si>
  <si>
    <t>3617G</t>
  </si>
  <si>
    <t>Physical Security - NIMO - Equip Replacement</t>
  </si>
  <si>
    <t>3617F</t>
  </si>
  <si>
    <t>GSO Safety and Compliance Programme 20/21</t>
  </si>
  <si>
    <t>2689B</t>
  </si>
  <si>
    <t>5917B</t>
  </si>
  <si>
    <t>Data Mgmt: Tooling</t>
  </si>
  <si>
    <t>5917A</t>
  </si>
  <si>
    <t>5901C</t>
  </si>
  <si>
    <t>Everbridge / Critical Event Management</t>
  </si>
  <si>
    <t>5895B</t>
  </si>
  <si>
    <t>OCI Pattern 1 Routing improvements and VPN decommission</t>
  </si>
  <si>
    <t>6068</t>
  </si>
  <si>
    <t>6067US</t>
  </si>
  <si>
    <t>6067UK</t>
  </si>
  <si>
    <t>FCP Upgrade for CSS - Plan Forward</t>
  </si>
  <si>
    <t>6066</t>
  </si>
  <si>
    <t>Customer Experience Strategy (Plug In) [Capex] 20/21</t>
  </si>
  <si>
    <t>6065</t>
  </si>
  <si>
    <t>FCS - MCS Upgrade Proof-of-Concept</t>
  </si>
  <si>
    <t>6064</t>
  </si>
  <si>
    <t>CAB Programme - CMP345</t>
  </si>
  <si>
    <t>6061</t>
  </si>
  <si>
    <t>Business Objects / DataWarehouse Replacement</t>
  </si>
  <si>
    <t>5917C</t>
  </si>
  <si>
    <t>Tableau Rationalization &amp; Power BI Enhancements</t>
  </si>
  <si>
    <t>EA Strategic Portfolio Planning &amp; Delivery (SPPD)</t>
  </si>
  <si>
    <t>5901D</t>
  </si>
  <si>
    <t>MS Project Online Enhancements</t>
  </si>
  <si>
    <t>Cloud API Migrations Phase 2</t>
  </si>
  <si>
    <t>Investment Recovery IT Strategy &amp; Roadmap</t>
  </si>
  <si>
    <t>Field Collection System (FSC) Upgrade POC</t>
  </si>
  <si>
    <t>5891B</t>
  </si>
  <si>
    <t>Gas Business Enablement Program Rhode Island</t>
  </si>
  <si>
    <t>5746A</t>
  </si>
  <si>
    <t>4673A</t>
  </si>
  <si>
    <t>PO Number</t>
  </si>
  <si>
    <t>Purchase Order Information</t>
  </si>
  <si>
    <t>Confirmed Invoices</t>
  </si>
  <si>
    <t>INVID</t>
  </si>
  <si>
    <t>Name</t>
  </si>
  <si>
    <t>SAP Name</t>
  </si>
  <si>
    <t>BusinessArea</t>
  </si>
  <si>
    <t>Company#</t>
  </si>
  <si>
    <t>Consolidated Order</t>
  </si>
  <si>
    <t>Allocation Code</t>
  </si>
  <si>
    <t>Cost Center</t>
  </si>
  <si>
    <t>Date Opened</t>
  </si>
  <si>
    <t>Date Closed</t>
  </si>
  <si>
    <t>Exclusion</t>
  </si>
  <si>
    <t>In-Service Date</t>
  </si>
  <si>
    <t>DRS Program</t>
  </si>
  <si>
    <t>INVP 3614 Cyber Security</t>
  </si>
  <si>
    <t>XG020009342</t>
  </si>
  <si>
    <t>2738</t>
  </si>
  <si>
    <t>3614B1</t>
  </si>
  <si>
    <t>CNI SIEM</t>
  </si>
  <si>
    <t>INVP 3614B1 CNI SIEM</t>
  </si>
  <si>
    <t>XG020010186</t>
  </si>
  <si>
    <t>INVP 3614B7 CNI Network Security</t>
  </si>
  <si>
    <t>90000172406</t>
  </si>
  <si>
    <t>8154</t>
  </si>
  <si>
    <t>XG020010187</t>
  </si>
  <si>
    <t>XG020010192</t>
  </si>
  <si>
    <t>INVID:3683USD-Develop Robust Incident Response</t>
  </si>
  <si>
    <t>IS - DR&amp;S</t>
  </si>
  <si>
    <t>XG020019153</t>
  </si>
  <si>
    <t>INVP 3932 Agent and Interactions Management System</t>
  </si>
  <si>
    <t>XC175016518</t>
  </si>
  <si>
    <t>INVP 4306 Juniper VPN</t>
  </si>
  <si>
    <t>XG020015877</t>
  </si>
  <si>
    <t>INVP 4377 Data Centre Clearance (Melville)</t>
  </si>
  <si>
    <t>90000188609</t>
  </si>
  <si>
    <t>8153</t>
  </si>
  <si>
    <t>XG020016659</t>
  </si>
  <si>
    <t>INVP 4377B Data Center Migration</t>
  </si>
  <si>
    <t>XG020018656</t>
  </si>
  <si>
    <t>INVP 4385 Cyber Security Enablement (CSE)</t>
  </si>
  <si>
    <t>XG020016624</t>
  </si>
  <si>
    <t>INVP 4398 Storm Ischeduler Upgrade</t>
  </si>
  <si>
    <t>XG160016717</t>
  </si>
  <si>
    <t>INVP 4408 Doc Mgmt Systems Replacement - Delivery</t>
  </si>
  <si>
    <t>XG149016716</t>
  </si>
  <si>
    <t>US MDS-Energy Accounting System (EAS) migration to Wholesale Settlement Application (WSA)</t>
  </si>
  <si>
    <t>INVP 4481 US MDS-Energy Accounting System Migration to Wholesales Settlement</t>
  </si>
  <si>
    <t>XT186018658</t>
  </si>
  <si>
    <t>INVP 4489  Active Directory Improvements</t>
  </si>
  <si>
    <t>90000188606</t>
  </si>
  <si>
    <t>INVP 4491 Office 365-ICE Replacement</t>
  </si>
  <si>
    <t>90000184581</t>
  </si>
  <si>
    <t>8151</t>
  </si>
  <si>
    <t>INVP 4491 Office 365 - ICE Replacement</t>
  </si>
  <si>
    <t>XG020017199</t>
  </si>
  <si>
    <t>INVP 4630 US Gas GIS Consolidation to Esri &amp; ArcFM</t>
  </si>
  <si>
    <t>XG210016787</t>
  </si>
  <si>
    <t>INVP 4658 Financial Control License</t>
  </si>
  <si>
    <t>XG020016975</t>
  </si>
  <si>
    <t>2784</t>
  </si>
  <si>
    <t>INVP 4750 Customer Experience Transformation Tech Program -</t>
  </si>
  <si>
    <t>XC175017451</t>
  </si>
  <si>
    <t>INVP 4769 Gas Storm Hardening Using Remote Service Valves (RSV's)</t>
  </si>
  <si>
    <t>90000188931</t>
  </si>
  <si>
    <t>XG225018321</t>
  </si>
  <si>
    <t>INVP 4914 EMS Lifecycle Hardware and Software Upgrade</t>
  </si>
  <si>
    <t>XT186018659</t>
  </si>
  <si>
    <t>Cyber Security 2 – Foundations - Priority 7</t>
  </si>
  <si>
    <t>INVP 4975 Cyber Security 2 - Priority 7</t>
  </si>
  <si>
    <t>XG020018688</t>
  </si>
  <si>
    <t>Physical Security Replacements</t>
  </si>
  <si>
    <t>Phy</t>
  </si>
  <si>
    <t>90000180238</t>
  </si>
  <si>
    <t>9614</t>
  </si>
  <si>
    <t>1700</t>
  </si>
  <si>
    <t>90000180243</t>
  </si>
  <si>
    <t>9624</t>
  </si>
  <si>
    <t>90000180283</t>
  </si>
  <si>
    <t>90000180285</t>
  </si>
  <si>
    <t>90000180286</t>
  </si>
  <si>
    <t>90000180289</t>
  </si>
  <si>
    <t>90000180290</t>
  </si>
  <si>
    <t>90000180291</t>
  </si>
  <si>
    <t>90000180292</t>
  </si>
  <si>
    <t>8149</t>
  </si>
  <si>
    <t>90000180293</t>
  </si>
  <si>
    <t>90000180294</t>
  </si>
  <si>
    <t>90000180295</t>
  </si>
  <si>
    <t>W/O 2732</t>
  </si>
  <si>
    <t>Undercapitlized Project Write-Off</t>
  </si>
  <si>
    <t>XG018006487</t>
  </si>
  <si>
    <t>INVID:4975USA-Perimeter enhancements</t>
  </si>
  <si>
    <t>XG020019068</t>
  </si>
  <si>
    <t>INVID:4975USB-CNI Intrusion Detection System (IDS) refresh Phase1</t>
  </si>
  <si>
    <t>XG020019069</t>
  </si>
  <si>
    <t>INVID:4975USC-Multi factor Authentication (MFA)</t>
  </si>
  <si>
    <t>XG020019070</t>
  </si>
  <si>
    <t>INVID:4975USF-Internal Public Key Infrastructure (PKI)</t>
  </si>
  <si>
    <t>XG020019073</t>
  </si>
  <si>
    <t>INVID:4975-Gateway Upgrades</t>
  </si>
  <si>
    <t>XG020019437</t>
  </si>
  <si>
    <t>INVID:4481-US MDS-Energy Accounting System (EAS) migration to Wholesale Settlement Ap</t>
  </si>
  <si>
    <t>X521T019442</t>
  </si>
  <si>
    <t>X541T019443</t>
  </si>
  <si>
    <t>INVID:4771A-Contract Management Solution for CCDI</t>
  </si>
  <si>
    <t>XG148019444</t>
  </si>
  <si>
    <t>INVID:4771B-New Strategic Estimating Tool</t>
  </si>
  <si>
    <t>XG148019445</t>
  </si>
  <si>
    <t>INVID:4771C-Reporting &amp; Analytics for CCDI</t>
  </si>
  <si>
    <t>XG148019446</t>
  </si>
  <si>
    <t>90000190194</t>
  </si>
  <si>
    <t>90000190193</t>
  </si>
  <si>
    <t>INVID:4802-DocuSign</t>
  </si>
  <si>
    <t>90000191237</t>
  </si>
  <si>
    <t>INVID:3683USA-US Endpoint Security</t>
  </si>
  <si>
    <t>XG020019977</t>
  </si>
  <si>
    <t>INVID:5084-Digital Communications: Infonet Refresh</t>
  </si>
  <si>
    <t>XG020020022</t>
  </si>
  <si>
    <t>INVID:4489-Active Directory Improvements</t>
  </si>
  <si>
    <t>XN012019946</t>
  </si>
  <si>
    <t>INVID:4761-US Foundation Hosting Renewal</t>
  </si>
  <si>
    <t>XG020019957</t>
  </si>
  <si>
    <t>INVID:4491-ICE replacement - Office 365 Implementation</t>
  </si>
  <si>
    <t>XN012019964</t>
  </si>
  <si>
    <t>INVID:5081-Technical Minor Works - Future Years</t>
  </si>
  <si>
    <t>XG020020174</t>
  </si>
  <si>
    <t>INVID:4811-Supervisor Enablement iPads Roll-out</t>
  </si>
  <si>
    <t>XG148020308</t>
  </si>
  <si>
    <t>INVID:4987-SOE (Windows) Upgrade and Device Refresh</t>
  </si>
  <si>
    <t>XG020020327</t>
  </si>
  <si>
    <t>INVID:4563-US SAP: FERC on HANA (FOH) Upgrade</t>
  </si>
  <si>
    <t>XG020020328</t>
  </si>
  <si>
    <t>MA Smart Program</t>
  </si>
  <si>
    <t>INVID:5177-MA Smart Program</t>
  </si>
  <si>
    <t>XC277020394</t>
  </si>
  <si>
    <t>2738 - DR&amp;S</t>
  </si>
  <si>
    <t>INVID:3683USAP-IAM- Privilege Access Managment (PAM) - Ph2</t>
  </si>
  <si>
    <t>XG020020482</t>
  </si>
  <si>
    <t>90000194817</t>
  </si>
  <si>
    <t>INVID:3683USX-Application Security As a Service</t>
  </si>
  <si>
    <t>XG020020498</t>
  </si>
  <si>
    <t>INVID:4970-US SAP: Infrastructure Landscape- FY19</t>
  </si>
  <si>
    <t>90000195203</t>
  </si>
  <si>
    <t>INVID:5262-General Data Protection Regulation (GDPR) Compliance - Security Controls A</t>
  </si>
  <si>
    <t>XG020020490</t>
  </si>
  <si>
    <t>IOAP Phase 2 Screens CDEF</t>
  </si>
  <si>
    <t>INVID:5037-IOAP Phase 2 Screens CDEF</t>
  </si>
  <si>
    <t>XC198020574</t>
  </si>
  <si>
    <t>INVID:3683USO-Network Segregation</t>
  </si>
  <si>
    <t>XG020020573</t>
  </si>
  <si>
    <t>INVID:3683USN-Security Incident &amp; Event Management: Phase 4</t>
  </si>
  <si>
    <t>XG020020561</t>
  </si>
  <si>
    <t>INVID:3683USQ-Big Data Security Analytics: Phase 1</t>
  </si>
  <si>
    <t>XG020020562</t>
  </si>
  <si>
    <t>INVID:3683UST-Enterprise Wide Agreed Information Classification</t>
  </si>
  <si>
    <t>XG020020563</t>
  </si>
  <si>
    <t>INVID:3683USZ-Continuous review of Reference Security Architecture</t>
  </si>
  <si>
    <t>XG020020564</t>
  </si>
  <si>
    <t>INVID:3683USP-IAM: Role Based Access control</t>
  </si>
  <si>
    <t>XG020020586</t>
  </si>
  <si>
    <t>90000196250</t>
  </si>
  <si>
    <t>INVID:5241-East Pulaski Energy Storage System IS Network</t>
  </si>
  <si>
    <t>X521E020864</t>
  </si>
  <si>
    <t>Buffalo Energy Storage System IS Network</t>
  </si>
  <si>
    <t>INVID:5242-North Troy Energy Storage System IT Network</t>
  </si>
  <si>
    <t>X521E020865</t>
  </si>
  <si>
    <t>XG020020900</t>
  </si>
  <si>
    <t>INVID:5146-Smart Cities Schenectady</t>
  </si>
  <si>
    <t>X521E020901</t>
  </si>
  <si>
    <t>INVID:5037-DG IOAP Phase 2 Screens C-F and CYME Server</t>
  </si>
  <si>
    <t>X521E020392</t>
  </si>
  <si>
    <t>90000196854</t>
  </si>
  <si>
    <t>INVID:3683USF-Enterprise Centralized Patch Management</t>
  </si>
  <si>
    <t>XG020020910</t>
  </si>
  <si>
    <t>INVID:3683USAN-DNS Resolution &amp; Protection</t>
  </si>
  <si>
    <t>90000196997</t>
  </si>
  <si>
    <t>INVID:3683USE-Global Policy Framework: Domain Based Security - Phase 1</t>
  </si>
  <si>
    <t>XG020020924</t>
  </si>
  <si>
    <t>INVID:3683USAR-Azure CoE Vulnerability Scanning</t>
  </si>
  <si>
    <t>XG020020925</t>
  </si>
  <si>
    <t>INVID:3683USI-Sustainable Red-Team Service Model</t>
  </si>
  <si>
    <t>XG020020926</t>
  </si>
  <si>
    <t>XG020020946</t>
  </si>
  <si>
    <t>XG004021115</t>
  </si>
  <si>
    <t>INVID:5278-Identity and Access Management Business Change Programme</t>
  </si>
  <si>
    <t>90000197368</t>
  </si>
  <si>
    <t>90000197426</t>
  </si>
  <si>
    <t>90000197427</t>
  </si>
  <si>
    <t>INVID:3683USG-Enhanced Phishing protection &amp; awareness</t>
  </si>
  <si>
    <t>XG020021167</t>
  </si>
  <si>
    <t>INVID:3683USAS-High Value Asset Discovery and Implementation</t>
  </si>
  <si>
    <t>XG020021179</t>
  </si>
  <si>
    <t>90000197705</t>
  </si>
  <si>
    <t>X5990021203</t>
  </si>
  <si>
    <t>Cross Charge</t>
  </si>
  <si>
    <t>90000197939</t>
  </si>
  <si>
    <t>90000198176</t>
  </si>
  <si>
    <t xml:space="preserve">INVID:4990-Primavera Upgrade/Stabilization </t>
  </si>
  <si>
    <t>XX148021277</t>
  </si>
  <si>
    <t>XG020021313</t>
  </si>
  <si>
    <t>INVID:5472-GRC Archer - Risk and Migration</t>
  </si>
  <si>
    <t>XG020021341</t>
  </si>
  <si>
    <t>INVID:4957-S/4 Roadmap</t>
  </si>
  <si>
    <t>XG020021340</t>
  </si>
  <si>
    <t>X5990021342</t>
  </si>
  <si>
    <t>INVID:5364US-Software License Asset Management</t>
  </si>
  <si>
    <t>XG020021358</t>
  </si>
  <si>
    <t>90000199839</t>
  </si>
  <si>
    <t>INVID:5360-Lease Accounting Updates and Contract Management</t>
  </si>
  <si>
    <t>XG020021397</t>
  </si>
  <si>
    <t>XG116021427</t>
  </si>
  <si>
    <t>90000199543</t>
  </si>
  <si>
    <t>INVID:3683USH-Network Security Improvements</t>
  </si>
  <si>
    <t>IT - DR&amp;S</t>
  </si>
  <si>
    <t>XG020021428</t>
  </si>
  <si>
    <t>90000200610</t>
  </si>
  <si>
    <t>INVID:5636-Storage Capacity Purchase and Configure for Use</t>
  </si>
  <si>
    <t>XG020021439</t>
  </si>
  <si>
    <t>X5990021441</t>
  </si>
  <si>
    <t>X5990021442</t>
  </si>
  <si>
    <t>90000200968</t>
  </si>
  <si>
    <t>INVID:3683USAO-High Value Asset Discovery and Implementation</t>
  </si>
  <si>
    <t>90000200616</t>
  </si>
  <si>
    <t>INVID:5367-Enable Dominion Pipeline Confirmations</t>
  </si>
  <si>
    <t>X521G021503</t>
  </si>
  <si>
    <t>INVID:5393-IS Commercial Contract Management</t>
  </si>
  <si>
    <t>XG020021504</t>
  </si>
  <si>
    <t>INVID:5372-Operations &amp; Engineering Minor Works - Electric  FY20</t>
  </si>
  <si>
    <t>XG186021601</t>
  </si>
  <si>
    <t>INVID:5375-SAP/PowerPlan/Front Office Maintenance of Business (MOB) - FY20</t>
  </si>
  <si>
    <t>XG020021603</t>
  </si>
  <si>
    <t>INVID:5376-Annual SAP Cloud solution upgrades and maintenance - FY20</t>
  </si>
  <si>
    <t>XG020021604</t>
  </si>
  <si>
    <t>INVID:5377-US SAP Regulatory Requirements, Reporting &amp; Rate Case support - FY20</t>
  </si>
  <si>
    <t>XG020021605</t>
  </si>
  <si>
    <t>INVID:5378-FSSC&amp;HR Systems (Non-SAP) Operational Requirements &amp; Upgrades FY20</t>
  </si>
  <si>
    <t>XG020021606</t>
  </si>
  <si>
    <t>INVID:5387-Revenue Cycle Management Operational  Enhancements FY20</t>
  </si>
  <si>
    <t>XC175021608</t>
  </si>
  <si>
    <t>INVID:5571-Gas Business Enablement Cyber Security Enhancements</t>
  </si>
  <si>
    <t>XG210021456</t>
  </si>
  <si>
    <t>INVID:3683USV-CNI Forensic Pack capture</t>
  </si>
  <si>
    <t>XG020021457</t>
  </si>
  <si>
    <t>90000201350</t>
  </si>
  <si>
    <t>90000201351</t>
  </si>
  <si>
    <t>XG020021526</t>
  </si>
  <si>
    <t>INVID:4483-US Control-Transmission Outage Application (iTOA) Upgrade to HTML 5 Web</t>
  </si>
  <si>
    <t>XG185021660</t>
  </si>
  <si>
    <t>INVID:5487-Collaboration &amp; Unified Communications</t>
  </si>
  <si>
    <t>XN012021709</t>
  </si>
  <si>
    <t>INVID:5580-Managed Workspace Services Transition &amp; Tx</t>
  </si>
  <si>
    <t>XN012021710</t>
  </si>
  <si>
    <t>INVID:5545-Learning Interfaces integration with SAP SuccessFactors LearningLink</t>
  </si>
  <si>
    <t>XN012021598</t>
  </si>
  <si>
    <t>INVID:5379-Annual HR Service Pack Upgrade FY20</t>
  </si>
  <si>
    <t>XG020021661</t>
  </si>
  <si>
    <t>INVID:4578-Global Procurement Travel Management</t>
  </si>
  <si>
    <t>XN012021797</t>
  </si>
  <si>
    <t>INVID:5521-LAN/Wi-Fi Infrastructure Program</t>
  </si>
  <si>
    <t>XG020021798</t>
  </si>
  <si>
    <t>INVID:5522-Network Security Infrastructure Program</t>
  </si>
  <si>
    <t>XG020021799</t>
  </si>
  <si>
    <t>INVID:5523-Voice Infrastructure Program</t>
  </si>
  <si>
    <t>XG020021800</t>
  </si>
  <si>
    <t>INVID:5524-WAN Infrastructure Program</t>
  </si>
  <si>
    <t>XG020021801</t>
  </si>
  <si>
    <t xml:space="preserve">INVID:5540-Infrastructure Remediation and Lifecycle refresh </t>
  </si>
  <si>
    <t>XG020021802</t>
  </si>
  <si>
    <t>INVID:5541-Infastructure New Capability</t>
  </si>
  <si>
    <t>XG020021803</t>
  </si>
  <si>
    <t xml:space="preserve">INVID:5579-Hosting RFP Build &amp; Market Release </t>
  </si>
  <si>
    <t>XG020021804</t>
  </si>
  <si>
    <t xml:space="preserve">INVID:5394-Infrastructure Minor Works </t>
  </si>
  <si>
    <t>XG020021805</t>
  </si>
  <si>
    <t>Zoom Conferencing</t>
  </si>
  <si>
    <t>INVID:5487D-Zoom Conferencing</t>
  </si>
  <si>
    <t>XN012021837</t>
  </si>
  <si>
    <t xml:space="preserve">INVID:5466-AMAG HW and SW Upgrade </t>
  </si>
  <si>
    <t>XG020021869</t>
  </si>
  <si>
    <t>INVID:4998-Allegro Upgrade to Horizon</t>
  </si>
  <si>
    <t>XG175021875</t>
  </si>
  <si>
    <t>INVID:5702USB-Gateway Enhancements</t>
  </si>
  <si>
    <t>XG020021866</t>
  </si>
  <si>
    <t>INVID:5702USA-Endpoint Protection</t>
  </si>
  <si>
    <t>XG020021867</t>
  </si>
  <si>
    <t>INVID:5702USC-System Hardening</t>
  </si>
  <si>
    <t>XG020021868</t>
  </si>
  <si>
    <t>INVID:5317-Employee Digital Workplace</t>
  </si>
  <si>
    <t>90000203420</t>
  </si>
  <si>
    <t>XN012021941</t>
  </si>
  <si>
    <t>INVID:3431B-Application Lifecycle Management Toolset</t>
  </si>
  <si>
    <t>XG020021944</t>
  </si>
  <si>
    <t>XT198021647</t>
  </si>
  <si>
    <t>Biz</t>
  </si>
  <si>
    <t>INVID:5392-US SAP: Infrastructure Landscape FY20</t>
  </si>
  <si>
    <t>XG020021739</t>
  </si>
  <si>
    <t>INVID:5361-ABB SENDOUT Server Upgrade</t>
  </si>
  <si>
    <t>XC210021945</t>
  </si>
  <si>
    <t>INVID:5274-New Storms Response Management System</t>
  </si>
  <si>
    <t>XG148021962</t>
  </si>
  <si>
    <t>INVID:3932-Customer Contact Center Technology Upgrade Implement Solution</t>
  </si>
  <si>
    <t>90000204016</t>
  </si>
  <si>
    <t>INVID:5522A-End User VPN Replacement</t>
  </si>
  <si>
    <t>XN012021975</t>
  </si>
  <si>
    <t>INVID:5271-F&amp;A for CIS Request for Proposal</t>
  </si>
  <si>
    <t>XC175022006</t>
  </si>
  <si>
    <t>90000203817</t>
  </si>
  <si>
    <t>90000203808</t>
  </si>
  <si>
    <t>INVID:4750K-Personalization</t>
  </si>
  <si>
    <t>XC175022007</t>
  </si>
  <si>
    <t>X5990022009</t>
  </si>
  <si>
    <t>X5990022010</t>
  </si>
  <si>
    <t>90000204176</t>
  </si>
  <si>
    <t>INVID:5521B-Verizon - US WiFi Refresh</t>
  </si>
  <si>
    <t>90000204456</t>
  </si>
  <si>
    <t>90000204463</t>
  </si>
  <si>
    <t>INVID:5505-Enterprise Platforms</t>
  </si>
  <si>
    <t>XG020022041</t>
  </si>
  <si>
    <t>90000204474</t>
  </si>
  <si>
    <t>XG020022042</t>
  </si>
  <si>
    <t>INVID:5521A-Verizon - Aruba Wireless LAN (Waltham)</t>
  </si>
  <si>
    <t>XG020022043</t>
  </si>
  <si>
    <t>X5990022011</t>
  </si>
  <si>
    <t>X5990022012</t>
  </si>
  <si>
    <t>XG020022051</t>
  </si>
  <si>
    <t>XG020022052</t>
  </si>
  <si>
    <t>XG020022053</t>
  </si>
  <si>
    <t>XG020022054</t>
  </si>
  <si>
    <t>XG020022055</t>
  </si>
  <si>
    <t>XG020022056</t>
  </si>
  <si>
    <t>INVID:5486-AVLS Modem Reconfiguration</t>
  </si>
  <si>
    <t>XG148022057</t>
  </si>
  <si>
    <t>INVID:4750N-Automated Customer Services</t>
  </si>
  <si>
    <t>XC175022058</t>
  </si>
  <si>
    <t>INVID:5487B-SharePoint to SharePoint Online</t>
  </si>
  <si>
    <t>XG020022074</t>
  </si>
  <si>
    <t>INVID:5487C-Box &amp; Huddle to SharePoint Online</t>
  </si>
  <si>
    <t>XG020022075</t>
  </si>
  <si>
    <t>INVID:5507-US Legal: Document Management</t>
  </si>
  <si>
    <t>XG020022076</t>
  </si>
  <si>
    <t>90000204801</t>
  </si>
  <si>
    <t>90000205042</t>
  </si>
  <si>
    <t>INVID:5524G-Verizon - US SD-WAN expansion</t>
  </si>
  <si>
    <t>XG020022131</t>
  </si>
  <si>
    <t>INVID:3431A-Portfolio/Demand Management Replacement</t>
  </si>
  <si>
    <t>XG020022133</t>
  </si>
  <si>
    <t>INVID:5524A-WAN Diversity at 18 Regional Storm Sites</t>
  </si>
  <si>
    <t>XG020022134</t>
  </si>
  <si>
    <t>INVID:4750J-Web Self Service</t>
  </si>
  <si>
    <t>XC175022135</t>
  </si>
  <si>
    <t>INVID:4978-Single Voice Dispatch System</t>
  </si>
  <si>
    <t>X5220022136</t>
  </si>
  <si>
    <t xml:space="preserve">INVID:5598-Application Rationalization </t>
  </si>
  <si>
    <t>XG020022132</t>
  </si>
  <si>
    <t>90000205491</t>
  </si>
  <si>
    <t>KEDNY Rate Case (CRIS)</t>
  </si>
  <si>
    <t>INVID:5723-KEDNY Rate Case (CRIS)</t>
  </si>
  <si>
    <t>X5220022150</t>
  </si>
  <si>
    <t>90000205573</t>
  </si>
  <si>
    <t>90000205574</t>
  </si>
  <si>
    <t>INVID:4904-Upgrade Servers for CCAE Reporting</t>
  </si>
  <si>
    <t>XG004022182</t>
  </si>
  <si>
    <t>INVID:5489-Emerging Technology</t>
  </si>
  <si>
    <t>XG020022148</t>
  </si>
  <si>
    <t>INVID:5523B-Upstate NY PBX Replacement/Upgrade (Upstate NY Control Room Sites)</t>
  </si>
  <si>
    <t>XG020022149</t>
  </si>
  <si>
    <t>INVID:5603-Bottomline Upgrade</t>
  </si>
  <si>
    <t>XG020022186</t>
  </si>
  <si>
    <t>F&amp;A - Property Systems Review</t>
  </si>
  <si>
    <t>INVID:3903-F&amp;A - Property Systems Review</t>
  </si>
  <si>
    <t>XG020022194</t>
  </si>
  <si>
    <t>INVID:3870-F&amp;A and Implementation - Vision FM Replacement</t>
  </si>
  <si>
    <t>XG020022195</t>
  </si>
  <si>
    <t>INVID:5754-Network Equipment End of Life Replacement - LAN</t>
  </si>
  <si>
    <t>XG020022197</t>
  </si>
  <si>
    <t>INVID:4704R-NY REV Street Lighting Delivery</t>
  </si>
  <si>
    <t>X521E022198</t>
  </si>
  <si>
    <t>5469</t>
  </si>
  <si>
    <t>Gas Control Center SOP enhancements</t>
  </si>
  <si>
    <t>INVID:5469-Gas Control Center SOP enhancements</t>
  </si>
  <si>
    <t>XG210022199</t>
  </si>
  <si>
    <t>90000204931</t>
  </si>
  <si>
    <t>90000205776</t>
  </si>
  <si>
    <t>INVID:5523A-Northborough and Avaya PBX Replacement/Upgrade (NE Control Room sites)</t>
  </si>
  <si>
    <t>XG020022213</t>
  </si>
  <si>
    <t>NY Stack VDER Billing</t>
  </si>
  <si>
    <t>INVID:5160-NY Stack VDER Billing</t>
  </si>
  <si>
    <t>X521E022211</t>
  </si>
  <si>
    <t>INVID:5598A-Case &amp; Customer Complaint Management Solution (AppRat)</t>
  </si>
  <si>
    <t>XC175022212</t>
  </si>
  <si>
    <t>90000205936</t>
  </si>
  <si>
    <t>Asset Management System for LNG</t>
  </si>
  <si>
    <t>INVID:4898-Asset Management System for LNG</t>
  </si>
  <si>
    <t>XG383022245</t>
  </si>
  <si>
    <t>INVID:5700-Green Button Connect F&amp;A</t>
  </si>
  <si>
    <t>XC113022246</t>
  </si>
  <si>
    <t>INVID:5384-Supervisor Enablement iPad Advanced Capabilities</t>
  </si>
  <si>
    <t>XG148022247</t>
  </si>
  <si>
    <t>90000206008</t>
  </si>
  <si>
    <t>90000206114</t>
  </si>
  <si>
    <t>INVID:4750M-ODS</t>
  </si>
  <si>
    <t>90000206115</t>
  </si>
  <si>
    <t>XG324022275</t>
  </si>
  <si>
    <t>INVID:5721-Copper to Fiber Migration</t>
  </si>
  <si>
    <t>XG020022277</t>
  </si>
  <si>
    <t>90000206281</t>
  </si>
  <si>
    <t xml:space="preserve">KEDLI Rate Case </t>
  </si>
  <si>
    <t xml:space="preserve">INVID:5722-KEDLI Rate Case </t>
  </si>
  <si>
    <t>X5230022286</t>
  </si>
  <si>
    <t>XC343022288</t>
  </si>
  <si>
    <t>INVID:5750-Directory Services - US</t>
  </si>
  <si>
    <t>INVID:5489A-IBM SNOW Automation</t>
  </si>
  <si>
    <t>XG020022280</t>
  </si>
  <si>
    <t>INVID:5459-Advanced Metering Infrastructure (AMI) NY</t>
  </si>
  <si>
    <t>XC113022284</t>
  </si>
  <si>
    <t>INVID:5775-FY21 Planning Initiative</t>
  </si>
  <si>
    <t>XG020022285</t>
  </si>
  <si>
    <t>INVID:5506-Integration Services</t>
  </si>
  <si>
    <t>XG020022274</t>
  </si>
  <si>
    <t>XG020022281</t>
  </si>
  <si>
    <t>INVID:5461-Total Reward Statement</t>
  </si>
  <si>
    <t>XG020022272</t>
  </si>
  <si>
    <t>INVID:5380A-Blackline: US Implementation</t>
  </si>
  <si>
    <t>XG020022196</t>
  </si>
  <si>
    <t>90000205913</t>
  </si>
  <si>
    <t>90000206280</t>
  </si>
  <si>
    <t>Phy Sec</t>
  </si>
  <si>
    <t>Physical Security Placeholder</t>
  </si>
  <si>
    <t>INVID:Physical Security-Physical Security Placeholder</t>
  </si>
  <si>
    <t>90000206019</t>
  </si>
  <si>
    <t>90000206743</t>
  </si>
  <si>
    <t>90000206775</t>
  </si>
  <si>
    <t>90000206850</t>
  </si>
  <si>
    <t>NY Value Stack Billing</t>
  </si>
  <si>
    <t>INVID:5160-NY Value Stack Billing</t>
  </si>
  <si>
    <t>90000206741</t>
  </si>
  <si>
    <t xml:space="preserve">INVID:5828-Secure Web Gateway </t>
  </si>
  <si>
    <t>XG020022342</t>
  </si>
  <si>
    <t>XG020022343</t>
  </si>
  <si>
    <t>INVID:5487E-ICE Public Folders - Migration/Decom</t>
  </si>
  <si>
    <t>XG020022347</t>
  </si>
  <si>
    <t>XG020022348</t>
  </si>
  <si>
    <t>INVID:5523F-Dedicated CNI Voice Network Buildout</t>
  </si>
  <si>
    <t>XG020022349</t>
  </si>
  <si>
    <t>INVID:5523G-Downstate NY PBX Replacement Upgrade</t>
  </si>
  <si>
    <t>XG020022350</t>
  </si>
  <si>
    <t>X5990022385</t>
  </si>
  <si>
    <t>X5990022386</t>
  </si>
  <si>
    <t>INVID:5734-F&amp;A Global Security: Emergency Notification Platform</t>
  </si>
  <si>
    <t>XG020022399</t>
  </si>
  <si>
    <t>XG020022400</t>
  </si>
  <si>
    <t>X5990022401</t>
  </si>
  <si>
    <t>INVID:5777-US IMS Upgrade</t>
  </si>
  <si>
    <t>XG020022402</t>
  </si>
  <si>
    <t>XG020022403</t>
  </si>
  <si>
    <t>X5990022387</t>
  </si>
  <si>
    <t>X5990022388</t>
  </si>
  <si>
    <t>X5990022389</t>
  </si>
  <si>
    <t>X5990022390</t>
  </si>
  <si>
    <t>90000207204</t>
  </si>
  <si>
    <t>90000207202</t>
  </si>
  <si>
    <t>90000207186</t>
  </si>
  <si>
    <t>INVID:5345B-Bill Print and Bill Composition Implementation</t>
  </si>
  <si>
    <t>XC175022422</t>
  </si>
  <si>
    <t>INVID:5759-UPS Infrastructure</t>
  </si>
  <si>
    <t>XG020022434</t>
  </si>
  <si>
    <t>XG020022435</t>
  </si>
  <si>
    <t>INVID:5774-WiFi Phase 2</t>
  </si>
  <si>
    <t>XG020022436</t>
  </si>
  <si>
    <t>XG020022437</t>
  </si>
  <si>
    <t>INVID:5753-US SAP: Fiori Upgrade Phase 1</t>
  </si>
  <si>
    <t>XG020022427</t>
  </si>
  <si>
    <t>XG020022428</t>
  </si>
  <si>
    <t>INVID:5838-Managed Networks</t>
  </si>
  <si>
    <t>90000206671</t>
  </si>
  <si>
    <t>INVID:5858-Digital Space on Wyman</t>
  </si>
  <si>
    <t>XG020022449</t>
  </si>
  <si>
    <t>2714</t>
  </si>
  <si>
    <t>INVID:5869-Electric MV90 Upgrade F&amp;A</t>
  </si>
  <si>
    <t>XG186022462</t>
  </si>
  <si>
    <t>Substation Network Connectivity &amp; Comms</t>
  </si>
  <si>
    <t>INVID:5846-Substation Network Connectivity &amp; Comms</t>
  </si>
  <si>
    <t>90000206754</t>
  </si>
  <si>
    <t>INVID:5723A-KEDNY Rate Case for Green Gas Initiative (CRIS)</t>
  </si>
  <si>
    <t>X5220022489</t>
  </si>
  <si>
    <t>90000208026</t>
  </si>
  <si>
    <t>90000208017</t>
  </si>
  <si>
    <t>90000208016</t>
  </si>
  <si>
    <t>2708</t>
  </si>
  <si>
    <t>INVID:3683USN-SOAR - Security Orchestration Automation and Response</t>
  </si>
  <si>
    <t>90000208014</t>
  </si>
  <si>
    <t>INVID:4398-Storms-IScheduler Upgrade Stabilization</t>
  </si>
  <si>
    <t>90000208063</t>
  </si>
  <si>
    <t>INVID:5345B-Bill Print and Bill Composition Implementation - CRIS</t>
  </si>
  <si>
    <t>90000208189</t>
  </si>
  <si>
    <t>INVID:5345B-Bill Print and Bill Composition Implementation - CSS</t>
  </si>
  <si>
    <t>90000208193</t>
  </si>
  <si>
    <t>X5990022439</t>
  </si>
  <si>
    <t>90000208490</t>
  </si>
  <si>
    <t>INVID:5872-End of Life Server Modernization</t>
  </si>
  <si>
    <t>XG020022553</t>
  </si>
  <si>
    <t>INVID:5878-Dell Discovery</t>
  </si>
  <si>
    <t>XG020022554</t>
  </si>
  <si>
    <t xml:space="preserve">INVID:5837-Application Virtualization </t>
  </si>
  <si>
    <t>XG020022555</t>
  </si>
  <si>
    <t xml:space="preserve">INVID:5906-MA Distributed Solar Charge </t>
  </si>
  <si>
    <t>XC277022564</t>
  </si>
  <si>
    <t>90000209061</t>
  </si>
  <si>
    <t>INVID:4779-Time Entry and Approval Mobility Enablement</t>
  </si>
  <si>
    <t>XG020022557</t>
  </si>
  <si>
    <t>XG020022575</t>
  </si>
  <si>
    <t>INVID:5905-Nucleus Project</t>
  </si>
  <si>
    <t>XG020022579</t>
  </si>
  <si>
    <t>90000208890</t>
  </si>
  <si>
    <t>INVID:5960-Customer Transformation Blueprint</t>
  </si>
  <si>
    <t>90000208831</t>
  </si>
  <si>
    <t>2704</t>
  </si>
  <si>
    <t>INVID:5912-On My Way (EBU Digital Solution)</t>
  </si>
  <si>
    <t>XG198022581</t>
  </si>
  <si>
    <t>INVID:5570-Electric Field Crew iPad Time Entry and Basic Capability -NE</t>
  </si>
  <si>
    <t>90000209113</t>
  </si>
  <si>
    <t>INVID:5964-Safety Line Inspection</t>
  </si>
  <si>
    <t>90000209573</t>
  </si>
  <si>
    <t>XG207022620</t>
  </si>
  <si>
    <t>MyHub Compliance &amp; Enhancements</t>
  </si>
  <si>
    <t>INVID:5158-MyHub Compliance &amp; Enhancements</t>
  </si>
  <si>
    <t>XG020022612</t>
  </si>
  <si>
    <t>XG020022613</t>
  </si>
  <si>
    <t>INVID:4481-Energy Accounting System Migration to Wholesale Settlement Application - N</t>
  </si>
  <si>
    <t>XG442022565</t>
  </si>
  <si>
    <t>G442</t>
  </si>
  <si>
    <t>90000209683</t>
  </si>
  <si>
    <t>90000209757</t>
  </si>
  <si>
    <t>INVID:5778-Customer Billing Improvement Program - Phase 1</t>
  </si>
  <si>
    <t>XC175022649</t>
  </si>
  <si>
    <t>90000209783</t>
  </si>
  <si>
    <t>90000209786</t>
  </si>
  <si>
    <t>90000209863</t>
  </si>
  <si>
    <t>90000209861</t>
  </si>
  <si>
    <t>90000209859</t>
  </si>
  <si>
    <t>90000209896</t>
  </si>
  <si>
    <t>90000209103</t>
  </si>
  <si>
    <t>COVID 19</t>
  </si>
  <si>
    <t>FY20 COVID-19 Response Activity</t>
  </si>
  <si>
    <t>90000209623</t>
  </si>
  <si>
    <t>FY21 COVID-19 Response Activity</t>
  </si>
  <si>
    <t>90000209624</t>
  </si>
  <si>
    <t>INVID:5125-Customer Connection Program</t>
  </si>
  <si>
    <t>XC175022742</t>
  </si>
  <si>
    <t>INVID:5974-IBM P9 Refresh</t>
  </si>
  <si>
    <t>XG020022743</t>
  </si>
  <si>
    <t>XG020022744</t>
  </si>
  <si>
    <t xml:space="preserve">INVID:5973-FY21 Wholesale Networks and US Capital Delivery Minor Works </t>
  </si>
  <si>
    <t>XG149022766</t>
  </si>
  <si>
    <t>INVID:5889A-Control Room Event Recording</t>
  </si>
  <si>
    <t>XG181022765</t>
  </si>
  <si>
    <t>INVID:5903-Customer Operational Enhancements FY21</t>
  </si>
  <si>
    <t>XC175022762</t>
  </si>
  <si>
    <t>XG186022764</t>
  </si>
  <si>
    <t>90000210931</t>
  </si>
  <si>
    <t>90000211131</t>
  </si>
  <si>
    <t>INVID:5605-US SAP: Infrastructure Landscape FY21</t>
  </si>
  <si>
    <t>XG020022789</t>
  </si>
  <si>
    <t>INVID:5625-Customer Billing Minor Enhancements FY21</t>
  </si>
  <si>
    <t>XC175022790</t>
  </si>
  <si>
    <t>INVID:5788A-FY21 Gas Regulatory and Operational Enhancements (Minor Works)</t>
  </si>
  <si>
    <t>XG210022793</t>
  </si>
  <si>
    <t>CDG Net Crediting Project</t>
  </si>
  <si>
    <t>INVID:5795F-CDG Net Crediting Project</t>
  </si>
  <si>
    <t>X521E022794</t>
  </si>
  <si>
    <t>90000211417</t>
  </si>
  <si>
    <t>INVID:3683USH-Firewall Enhancements</t>
  </si>
  <si>
    <t>90000211419</t>
  </si>
  <si>
    <t>INVID:6013-Azure Cloud Foundation</t>
  </si>
  <si>
    <t>XG020022807</t>
  </si>
  <si>
    <t>XG020022808</t>
  </si>
  <si>
    <t>INVID:5981-Microsoft Teams</t>
  </si>
  <si>
    <t>XG020022830</t>
  </si>
  <si>
    <t>XG020022831</t>
  </si>
  <si>
    <t>INVID:6018-Security Operations Services (SOS)</t>
  </si>
  <si>
    <t>XG020022845</t>
  </si>
  <si>
    <t>INVID:6026-Mainframe Capacity Upgrade</t>
  </si>
  <si>
    <t>XG020022846</t>
  </si>
  <si>
    <t>INVID:5874-Cloud Center of Excellence</t>
  </si>
  <si>
    <t>XG020022847</t>
  </si>
  <si>
    <t>XG020022848</t>
  </si>
  <si>
    <t>90000211466</t>
  </si>
  <si>
    <t>90000212093</t>
  </si>
  <si>
    <t>INVID:5380B-Forecasting and Long Term Planning Solution (Metapraxis)</t>
  </si>
  <si>
    <t>XG020022849</t>
  </si>
  <si>
    <t>INVID:4362-Legacy DMZ Migration to VSTIG</t>
  </si>
  <si>
    <t>XG020022858</t>
  </si>
  <si>
    <t>XG175022859</t>
  </si>
  <si>
    <t>90000212289</t>
  </si>
  <si>
    <t>90000212291</t>
  </si>
  <si>
    <t>90000212292</t>
  </si>
  <si>
    <t>90000212298</t>
  </si>
  <si>
    <t>INVID:5942-Legacy AD Remediation</t>
  </si>
  <si>
    <t>XG020022883</t>
  </si>
  <si>
    <t>INVID:5870-Identity and Access Management</t>
  </si>
  <si>
    <t>90000212293</t>
  </si>
  <si>
    <t>INVID:5795E-MA Electric Vehicle Rebate Program</t>
  </si>
  <si>
    <t>XC277022884</t>
  </si>
  <si>
    <t>INVID:6032-Customer Billing COVID Transition  (Minor Works) - CRIS</t>
  </si>
  <si>
    <t>XC343022888</t>
  </si>
  <si>
    <t>INVID:6032-Customer Billing COVID Transition  (Minor Works) - CSS</t>
  </si>
  <si>
    <t>XC434022889</t>
  </si>
  <si>
    <t>INVID:5795G-Telephone Consumer Protection Act (TCPA)</t>
  </si>
  <si>
    <t>XC175022885</t>
  </si>
  <si>
    <t>INVID:5789B-Stabilization of Critical Gas Legacy Applications (Portal for ArcGIS)</t>
  </si>
  <si>
    <t>XG310022886</t>
  </si>
  <si>
    <t>CDG Consolidated billing</t>
  </si>
  <si>
    <t>INVID:5795H-CDG Consolidated billing</t>
  </si>
  <si>
    <t>X521E022887</t>
  </si>
  <si>
    <t>INVID:5886-Modern Workplace</t>
  </si>
  <si>
    <t>XG020022895</t>
  </si>
  <si>
    <t>INVID:6043-Business Technology Plan Forward - Covid</t>
  </si>
  <si>
    <t>XG020022897</t>
  </si>
  <si>
    <t>90000212616</t>
  </si>
  <si>
    <t>INVID:5963US-Platform Projects Annual Program FY21</t>
  </si>
  <si>
    <t>90000205012</t>
  </si>
  <si>
    <t>INVID:5940-Global VM Enterprise</t>
  </si>
  <si>
    <t>XG020022767</t>
  </si>
  <si>
    <t>XG020022768</t>
  </si>
  <si>
    <t>INVID:5609-Annual HR &amp; Payroll Mandatory Service Pack Upgrade (HRSP) FY21</t>
  </si>
  <si>
    <t>90000212827</t>
  </si>
  <si>
    <t>INVID:6042-Customer US Retail Web Infrastructure Upgrade</t>
  </si>
  <si>
    <t>XC175022899</t>
  </si>
  <si>
    <t>90000213049</t>
  </si>
  <si>
    <t>INVID:5158-MyHub 2.0</t>
  </si>
  <si>
    <t>90000213047</t>
  </si>
  <si>
    <t>90000213050</t>
  </si>
  <si>
    <t>90000213139</t>
  </si>
  <si>
    <t>INVID:6049-Hosting Infrastructure Refresh to HCI</t>
  </si>
  <si>
    <t>XG020022902</t>
  </si>
  <si>
    <t>INVID:5886B-Device Refresh &amp; Break/Fix</t>
  </si>
  <si>
    <t>XG020022903</t>
  </si>
  <si>
    <t>INVID:5886C-Home Areas to OneDrive</t>
  </si>
  <si>
    <t>XG020022904</t>
  </si>
  <si>
    <t>X5990022905</t>
  </si>
  <si>
    <t>X5990022906</t>
  </si>
  <si>
    <t>INVID:5795F-Community Distributed Generation (CDG) Consolidated Billing</t>
  </si>
  <si>
    <t>90000213048</t>
  </si>
  <si>
    <t>INVID:5489B-WiPro SNOW Automation</t>
  </si>
  <si>
    <t>XG020022923</t>
  </si>
  <si>
    <t>INVID:6037-US vSTIG Bandwidth Upgrade (10G)</t>
  </si>
  <si>
    <t>90000213326</t>
  </si>
  <si>
    <t>90000213327</t>
  </si>
  <si>
    <t>90000213324</t>
  </si>
  <si>
    <t>INVID:5917-IT4IT: Data Management</t>
  </si>
  <si>
    <t>XG020022927</t>
  </si>
  <si>
    <t>INVID:5867-Network Security Infrastructure Program</t>
  </si>
  <si>
    <t>XG020022929</t>
  </si>
  <si>
    <t xml:space="preserve">INVID:6046-SD WAN FY21 Expansion </t>
  </si>
  <si>
    <t>XG020022930</t>
  </si>
  <si>
    <t>XG020022928</t>
  </si>
  <si>
    <t>INVID:6050-Migration to IBM P9</t>
  </si>
  <si>
    <t>XG020022926</t>
  </si>
  <si>
    <t xml:space="preserve">INVID:6052-Migration of Current Storage to Strategic Deployment – US </t>
  </si>
  <si>
    <t>XG020022925</t>
  </si>
  <si>
    <t>INVID:6053-EoL Migration Efforts - US</t>
  </si>
  <si>
    <t>XG020022924</t>
  </si>
  <si>
    <t>INVID:5789C-Stabilization of Critical Gas Legacy Applications (CWQ)</t>
  </si>
  <si>
    <t>XC239022935</t>
  </si>
  <si>
    <t>INVID:5785C-Stabilization of Critical Gas Legacy Applications (ePermits)</t>
  </si>
  <si>
    <t>INVID:5900-IT4IT: Service Now</t>
  </si>
  <si>
    <t>XG020022932</t>
  </si>
  <si>
    <t>INVID:5900A-ServiceNow Upgrade to version Orlando</t>
  </si>
  <si>
    <t>XG020022933</t>
  </si>
  <si>
    <t xml:space="preserve">INVID:5901B-Application Lifecycle Management Toolset Phase 2 </t>
  </si>
  <si>
    <t>XG020022934</t>
  </si>
  <si>
    <t>INVID:6066-FCP Upgrade for CSS - Plan Forward</t>
  </si>
  <si>
    <t>XC434022937</t>
  </si>
  <si>
    <t>INVID:5876-Pure Technical Debt Remediation</t>
  </si>
  <si>
    <t>XG020022931</t>
  </si>
  <si>
    <t>Security Enhance Projec</t>
  </si>
  <si>
    <t>INVP 0823A Security Enhance Projec</t>
  </si>
  <si>
    <t>90000096383</t>
  </si>
  <si>
    <t>INVP 0823B Data Loss Protection</t>
  </si>
  <si>
    <t>90000112636</t>
  </si>
  <si>
    <t>INVP 0823C Laptop &amp; Portable Device Protection</t>
  </si>
  <si>
    <t>90000105318</t>
  </si>
  <si>
    <t>INVP 0823D Guardium</t>
  </si>
  <si>
    <t>90000141134</t>
  </si>
  <si>
    <t>XG020010183</t>
  </si>
  <si>
    <t>INVP 0887 Replaced B07255   MF Tape Upgrade</t>
  </si>
  <si>
    <t>90000104061</t>
  </si>
  <si>
    <t>INVP 1041 NY EMS Replacement</t>
  </si>
  <si>
    <t>90000113003</t>
  </si>
  <si>
    <t>INVP:1041-NY EMS Replacement</t>
  </si>
  <si>
    <t>90000089862</t>
  </si>
  <si>
    <t>X521E000246</t>
  </si>
  <si>
    <t>XU181013109</t>
  </si>
  <si>
    <t>INVP 1043 NE EMS Replacement</t>
  </si>
  <si>
    <t>90000097247</t>
  </si>
  <si>
    <t>90000157429</t>
  </si>
  <si>
    <t>XG393008138</t>
  </si>
  <si>
    <t>XU273013110</t>
  </si>
  <si>
    <t>INVP 1047 Gas SCADA security enhancements</t>
  </si>
  <si>
    <t>90000098863</t>
  </si>
  <si>
    <t>8150</t>
  </si>
  <si>
    <t>INVP 1172 AMAG</t>
  </si>
  <si>
    <t>90000112731</t>
  </si>
  <si>
    <t>XG020004604</t>
  </si>
  <si>
    <t>INVP 1182B Gas Transportation Systems Phase 2</t>
  </si>
  <si>
    <t>90000124375</t>
  </si>
  <si>
    <t>XG225007079</t>
  </si>
  <si>
    <t>INVP 1185 Distribution/Outage Management System</t>
  </si>
  <si>
    <t>90000098917</t>
  </si>
  <si>
    <t>XG380008082</t>
  </si>
  <si>
    <t>INVP 1185 DMS/OMS Replace G198</t>
  </si>
  <si>
    <t>XG198010793</t>
  </si>
  <si>
    <t>INVP 1242D ISP Integrated Strat Plan</t>
  </si>
  <si>
    <t>90000096320</t>
  </si>
  <si>
    <t>INVP 1293 FY14 CSS Minor Works   INVP 2853</t>
  </si>
  <si>
    <t>XC434012726</t>
  </si>
  <si>
    <t>INVP 1293 CSS Minor Enhancement release</t>
  </si>
  <si>
    <t>XG206006840</t>
  </si>
  <si>
    <t>1293C</t>
  </si>
  <si>
    <t>FY 13 CSS Minor Works under IN 2853</t>
  </si>
  <si>
    <t>INVP 1293C FY 13 CSS Minor Works under IN 2853</t>
  </si>
  <si>
    <t>INVP 1298 US Corporate Center Minor Projects</t>
  </si>
  <si>
    <t>XG020004605</t>
  </si>
  <si>
    <t>XGT03004605</t>
  </si>
  <si>
    <t>1321A</t>
  </si>
  <si>
    <t>EBB Expansion Upstate New York</t>
  </si>
  <si>
    <t>INVP 1321A EBB Expansion Upstate New York</t>
  </si>
  <si>
    <t>90000101939</t>
  </si>
  <si>
    <t>INVP 1332 Application &amp; Infrastructure Upgrades (Minor Works)</t>
  </si>
  <si>
    <t>XG239007191</t>
  </si>
  <si>
    <t>1332A</t>
  </si>
  <si>
    <t>FY 13 GAS Distribution Application &amp; Infrastructure Upgrades (Minor Works)</t>
  </si>
  <si>
    <t>INVP 1332A FY 13 GAS Distribution Application &amp; Infrastructure Upgrades (Minor Works)</t>
  </si>
  <si>
    <t>INVP 1375 NG US HR Minor Enhancements</t>
  </si>
  <si>
    <t>XG020004607</t>
  </si>
  <si>
    <t>INVP 1461 FY13 HR Talent MGMT Sys Minor Works</t>
  </si>
  <si>
    <t>XG020008995</t>
  </si>
  <si>
    <t>INVP 1462 FY13 HR Global Salary Planning Minor Works</t>
  </si>
  <si>
    <t>XG020004609</t>
  </si>
  <si>
    <t>INVP 1485 Computapole Migration to Windows 7</t>
  </si>
  <si>
    <t>90000134385</t>
  </si>
  <si>
    <t>90000144429</t>
  </si>
  <si>
    <t>INVP 1485 Computapole Migration</t>
  </si>
  <si>
    <t>XG186009333</t>
  </si>
  <si>
    <t>INVP 1488 Remote Access To Fault Recorders</t>
  </si>
  <si>
    <t>90000104110</t>
  </si>
  <si>
    <t>US  Corporate Center Minor Projects</t>
  </si>
  <si>
    <t>INVP 1516 US  Corporate Center Minor Projects</t>
  </si>
  <si>
    <t>XG020004610</t>
  </si>
  <si>
    <t>INVP 1518 Internet MANDATED Items</t>
  </si>
  <si>
    <t>XG384008132</t>
  </si>
  <si>
    <t>1518C</t>
  </si>
  <si>
    <t>Internet Minor Enhancement  under IN 2853</t>
  </si>
  <si>
    <t>INVP 1518C FY 13 Internet Minor Enhancement  under IN 2853</t>
  </si>
  <si>
    <t>US Internet Minor Works</t>
  </si>
  <si>
    <t>INVP 1523 US Internet Minor Works</t>
  </si>
  <si>
    <t>XG018006488</t>
  </si>
  <si>
    <t>INVP 1549 Non Interval Collections Systems Consolidation (ITRON/PP4/MVRS) SW</t>
  </si>
  <si>
    <t>90000107743</t>
  </si>
  <si>
    <t>INVP 1549 Non Interval Collections Systems Consolidation HW</t>
  </si>
  <si>
    <t>90000120504</t>
  </si>
  <si>
    <t>90000120505</t>
  </si>
  <si>
    <t>90000120506</t>
  </si>
  <si>
    <t>90000120507</t>
  </si>
  <si>
    <t>XG376008069</t>
  </si>
  <si>
    <t>INVP 1549B Meter Reading System Consolidation</t>
  </si>
  <si>
    <t>90000120707</t>
  </si>
  <si>
    <t>XG173006524</t>
  </si>
  <si>
    <t>INVP 1564 CAS Minor Enhancements X10654</t>
  </si>
  <si>
    <t>XG248007250</t>
  </si>
  <si>
    <t>1564C</t>
  </si>
  <si>
    <t>FY 13 CAS Minor Works under IN 2853</t>
  </si>
  <si>
    <t>INVP 1564C FY 13 CAS Minor Works under IN 2853</t>
  </si>
  <si>
    <t>INVP 1565 FY14 CRIS Minor Works</t>
  </si>
  <si>
    <t>XC343012727</t>
  </si>
  <si>
    <t>INVP 1565 CRIS Minor Enhancements X10655</t>
  </si>
  <si>
    <t>XG384008133</t>
  </si>
  <si>
    <t>1565C</t>
  </si>
  <si>
    <t>FY 13 CRIS Minor Works under IN 2853</t>
  </si>
  <si>
    <t>INVP 1565C FY 13 CRIS Minor Works under IN 2853</t>
  </si>
  <si>
    <t>1572</t>
  </si>
  <si>
    <t>FY13 Transmission Minor Works</t>
  </si>
  <si>
    <t>INVP 1572 FY13 Transmission Minor Works</t>
  </si>
  <si>
    <t>XG379008075</t>
  </si>
  <si>
    <t>INVP 1642 Radio Console Standarization</t>
  </si>
  <si>
    <t>90000099326</t>
  </si>
  <si>
    <t>INVP 1643A On Bill Financing CSS</t>
  </si>
  <si>
    <t>90000114691</t>
  </si>
  <si>
    <t>XG203006834</t>
  </si>
  <si>
    <t>INVP 1643B NY Commodity Rate Mechanism</t>
  </si>
  <si>
    <t>90000110456</t>
  </si>
  <si>
    <t>XG113006002</t>
  </si>
  <si>
    <t>INVP 1643C NIMO Elec TOU + Deposits (CSS)</t>
  </si>
  <si>
    <t>90000116900</t>
  </si>
  <si>
    <t>XG179006550</t>
  </si>
  <si>
    <t>INVP 1643D Excelsior Job Program Discount Rate</t>
  </si>
  <si>
    <t>XG225006570</t>
  </si>
  <si>
    <t>INVP 1643E CSS Regulatory Mandates</t>
  </si>
  <si>
    <t>90000119154</t>
  </si>
  <si>
    <t>XG113006003</t>
  </si>
  <si>
    <t>INVP 1643F NMPC Rate Case</t>
  </si>
  <si>
    <t>90000123735</t>
  </si>
  <si>
    <t>XG113006521</t>
  </si>
  <si>
    <t>INVP 1643G RI Rate Case</t>
  </si>
  <si>
    <t>XG316006605</t>
  </si>
  <si>
    <t>1651</t>
  </si>
  <si>
    <t>Normal lifecycle replacement of Gas SCADA Telemetry</t>
  </si>
  <si>
    <t>INVP 1651 Normal lifecycle replacement of Gas SCADA Telemetry</t>
  </si>
  <si>
    <t>90000104967</t>
  </si>
  <si>
    <t>Rhode Island RTU Upgrade FY11</t>
  </si>
  <si>
    <t>INVP 1652 Rhode Island RTU Upgrade FY11</t>
  </si>
  <si>
    <t>90000103003</t>
  </si>
  <si>
    <t>INVP 1652 Rhode Island RTU Upgrade</t>
  </si>
  <si>
    <t>90000090829</t>
  </si>
  <si>
    <t>INVP 1652B1 R.I Barn WLAN</t>
  </si>
  <si>
    <t>90000116850</t>
  </si>
  <si>
    <t>INVP 1652B2 R.I Barn WLAN</t>
  </si>
  <si>
    <t>90000116854</t>
  </si>
  <si>
    <t>1656</t>
  </si>
  <si>
    <t>INVP 1656 CUST SYSTEMS AGENT DES</t>
  </si>
  <si>
    <t>90000089314</t>
  </si>
  <si>
    <t>INVP 1656 Customer Systems Agent Desktop</t>
  </si>
  <si>
    <t>90000104112</t>
  </si>
  <si>
    <t>INVP 1694 Operations Apps Minor Works</t>
  </si>
  <si>
    <t>XG380008083</t>
  </si>
  <si>
    <t>INVP 1695 Network Strategy Minor Works</t>
  </si>
  <si>
    <t>XG160008035</t>
  </si>
  <si>
    <t>INVP 1695 NW Strat Minorwrks G204</t>
  </si>
  <si>
    <t>XG204010692</t>
  </si>
  <si>
    <t>XG366008035</t>
  </si>
  <si>
    <t>INVP 2133 Electronic Data Interchange (EDI) Enhancement Program</t>
  </si>
  <si>
    <t>90000113461</t>
  </si>
  <si>
    <t>XG376008070</t>
  </si>
  <si>
    <t>INVP 2135 Customer Choice E mail Tracking</t>
  </si>
  <si>
    <t>90000113005</t>
  </si>
  <si>
    <t>XG225007080</t>
  </si>
  <si>
    <t>INVP 2162 Primavera   Project Management Extensions</t>
  </si>
  <si>
    <t>90000104720</t>
  </si>
  <si>
    <t>XG367008043</t>
  </si>
  <si>
    <t>INVP 2172 IDS Reliability Reporting &amp; Analysis</t>
  </si>
  <si>
    <t>90000106487</t>
  </si>
  <si>
    <t>INVP 2178 Electric Mobile Field Device Replacements</t>
  </si>
  <si>
    <t>90000101818</t>
  </si>
  <si>
    <t>INVP 2178D Mob Fld Dev Repl</t>
  </si>
  <si>
    <t>90000108172</t>
  </si>
  <si>
    <t>90000108173</t>
  </si>
  <si>
    <t>90000108174</t>
  </si>
  <si>
    <t>90000108175</t>
  </si>
  <si>
    <t>2202A</t>
  </si>
  <si>
    <t>Customer Self Service via IVR   Customer Experience</t>
  </si>
  <si>
    <t>INVP 2202A Customer Self Service via IVR   Customer Experience</t>
  </si>
  <si>
    <t>90000112662</t>
  </si>
  <si>
    <t>INVP 2204B Contact Center Technology  At Home Agents</t>
  </si>
  <si>
    <t>90000119936</t>
  </si>
  <si>
    <t>INVP 2204C Northboro + Metrotech Call Centers</t>
  </si>
  <si>
    <t>90000117532</t>
  </si>
  <si>
    <t>XG384008134</t>
  </si>
  <si>
    <t>INVP 2204F Customer Contact Center Technology upgrade Analysis</t>
  </si>
  <si>
    <t>XC173013613</t>
  </si>
  <si>
    <t>INVP 2204F Customer Contact Center Technology Upgrade</t>
  </si>
  <si>
    <t>XC434010180</t>
  </si>
  <si>
    <t>US NG Global Intranet Design</t>
  </si>
  <si>
    <t>INVP 2210 US NG Global Intranet Design</t>
  </si>
  <si>
    <t>90000095332</t>
  </si>
  <si>
    <t>INVP 2318 LIPA Rates &amp; Services</t>
  </si>
  <si>
    <t>X5260000983</t>
  </si>
  <si>
    <t>INVP 2330 ETRM Repl Nucleus   Gas Beneficiaries</t>
  </si>
  <si>
    <t>90000106246</t>
  </si>
  <si>
    <t>INVP 2330 ETRM Repl Nucleus   Electric Beneficiaries</t>
  </si>
  <si>
    <t>90000106247</t>
  </si>
  <si>
    <t>XG020004611</t>
  </si>
  <si>
    <t>INVP 2366 LI CNI Direct Hardware Upgrade</t>
  </si>
  <si>
    <t>90000103869</t>
  </si>
  <si>
    <t>90000124371</t>
  </si>
  <si>
    <t>INVP 2495 Gas SCADA Lifespan Extension</t>
  </si>
  <si>
    <t>90000109548</t>
  </si>
  <si>
    <t>X521G000426</t>
  </si>
  <si>
    <t>INVP 2495C Gas Metretek</t>
  </si>
  <si>
    <t>90000113406</t>
  </si>
  <si>
    <t>INVP 2495E US GMS Update NY Alarm MGMT Datafeed</t>
  </si>
  <si>
    <t>XA521006404</t>
  </si>
  <si>
    <t>INVP 2495F UNY GMS Obsolete Telemetry Replacement FY13 FY14</t>
  </si>
  <si>
    <t>90000121725</t>
  </si>
  <si>
    <t>INVP 2495G CNI GMS IDEN Modem Telemetry Replacement   FY13 FY14</t>
  </si>
  <si>
    <t>90000144019</t>
  </si>
  <si>
    <t>90000144021</t>
  </si>
  <si>
    <t>INVP 2495H GMS EOL Frame Relay</t>
  </si>
  <si>
    <t>90000134425</t>
  </si>
  <si>
    <t>XG018006485</t>
  </si>
  <si>
    <t>INVP 2495H GMS EOLFram G210</t>
  </si>
  <si>
    <t>XG210010693</t>
  </si>
  <si>
    <t>INVP 2495I CNI GMS</t>
  </si>
  <si>
    <t>90000130716</t>
  </si>
  <si>
    <t>INVP 2948A Granite State Day 1</t>
  </si>
  <si>
    <t>X5020000039</t>
  </si>
  <si>
    <t>2965</t>
  </si>
  <si>
    <t>CTA</t>
  </si>
  <si>
    <t>INVP 2498B NH Divestiture Day 2  Energy Mgmt</t>
  </si>
  <si>
    <t>X5020000036</t>
  </si>
  <si>
    <t>INVP 2498C NH Divestiture Day 2  Customer</t>
  </si>
  <si>
    <t>X5020000035</t>
  </si>
  <si>
    <t>INVP 2498D NH Divestiture Day 2  Eng Work Management</t>
  </si>
  <si>
    <t>XA502006364</t>
  </si>
  <si>
    <t>INVP 2498E NH Divestiture Day 2  Eng   Oper R&amp;D</t>
  </si>
  <si>
    <t>X5020000037</t>
  </si>
  <si>
    <t>INVP 2498F NH Divestiture Day 2  Meter Data Mgmt R&amp;D</t>
  </si>
  <si>
    <t>X5020000038</t>
  </si>
  <si>
    <t>INVP 2498G NH Divestiture Day 2  Service Delivery</t>
  </si>
  <si>
    <t>XA502006365</t>
  </si>
  <si>
    <t>INVP 2498H NH Divestiture Day 2  Energy Mgmt</t>
  </si>
  <si>
    <t>XA502006366</t>
  </si>
  <si>
    <t>INVP 2498I NH Divestiture Day 2  Customer Elect</t>
  </si>
  <si>
    <t>XA502006367</t>
  </si>
  <si>
    <t>INVP 2498J NH Divestiture Day 2  Work Mgmt Elect</t>
  </si>
  <si>
    <t>XA502006368</t>
  </si>
  <si>
    <t>INVP 2498K NH Divestiture Day 2  Oper R&amp;D Elect</t>
  </si>
  <si>
    <t>XA502006369</t>
  </si>
  <si>
    <t>INVP 2522 VTL Replacement</t>
  </si>
  <si>
    <t>90000104630</t>
  </si>
  <si>
    <t>INVP 2573B SmartGrid</t>
  </si>
  <si>
    <t>X531E010478</t>
  </si>
  <si>
    <t>INVP 2575A US Front Office Roadmap</t>
  </si>
  <si>
    <t>XG015012730</t>
  </si>
  <si>
    <t>INVP 2577 US GAS GIS consolidation</t>
  </si>
  <si>
    <t>90000108120</t>
  </si>
  <si>
    <t>INVP 2577 GIS Consol Ph 3 5</t>
  </si>
  <si>
    <t>90000109594</t>
  </si>
  <si>
    <t>90000173777</t>
  </si>
  <si>
    <t>INVP 2577 US GAS GIS consolidation Phase 2</t>
  </si>
  <si>
    <t>XG210006545</t>
  </si>
  <si>
    <t>INVP 2577C US GAS GIS upgrade</t>
  </si>
  <si>
    <t>90000172528</t>
  </si>
  <si>
    <t>XG112016278</t>
  </si>
  <si>
    <t>INVP 2582 US CAS Migration to CSS</t>
  </si>
  <si>
    <t>90000117705</t>
  </si>
  <si>
    <t>8K014005723</t>
  </si>
  <si>
    <t>X5230000827</t>
  </si>
  <si>
    <t>INVP 2583 CRIS Convert to CSS</t>
  </si>
  <si>
    <t>90000137859</t>
  </si>
  <si>
    <t>INVP 2583 CRIS Migration</t>
  </si>
  <si>
    <t>XC173100001</t>
  </si>
  <si>
    <t>XC343009848</t>
  </si>
  <si>
    <t>RI Customer Migration CSS</t>
  </si>
  <si>
    <t>INVP 2587 RI Customer Migration CSS</t>
  </si>
  <si>
    <t>90000101942</t>
  </si>
  <si>
    <t>RI Customer Migration   Mworks</t>
  </si>
  <si>
    <t>INVP 2587 RI Customer Migration   Mworks</t>
  </si>
  <si>
    <t>90000104985</t>
  </si>
  <si>
    <t>RI Customer Migration   Meter Data</t>
  </si>
  <si>
    <t>INVP 2587 RI Customer Migration   Meter Data</t>
  </si>
  <si>
    <t>90000104988</t>
  </si>
  <si>
    <t>RI Customer Migration   Gas Trans</t>
  </si>
  <si>
    <t>INVP 2587 RI Customer Migration   Gas Trans</t>
  </si>
  <si>
    <t>90000104986</t>
  </si>
  <si>
    <t>RI Customer Migration   EDI</t>
  </si>
  <si>
    <t>INVP 2587 RI Customer Migration   EDI</t>
  </si>
  <si>
    <t>90000104989</t>
  </si>
  <si>
    <t>RI Customer Migration   Meter Invent</t>
  </si>
  <si>
    <t>INVP 2587 RI Customer Migration   Meter Invent</t>
  </si>
  <si>
    <t>90000104987</t>
  </si>
  <si>
    <t>X5432002398</t>
  </si>
  <si>
    <t>INVP 2610 FY 13 US Finance &amp; SS Minor Enhancements</t>
  </si>
  <si>
    <t>XG020004612</t>
  </si>
  <si>
    <t>INVP 2630 Intelligent Mail Barcode</t>
  </si>
  <si>
    <t>90000107276</t>
  </si>
  <si>
    <t>XG172006570</t>
  </si>
  <si>
    <t>StorSwitchRelay BP382</t>
  </si>
  <si>
    <t>INVP 2732 StorSwitchRelay BP382</t>
  </si>
  <si>
    <t>XG020004613</t>
  </si>
  <si>
    <t>INVP 2830A Remote Access to Dig Fault Recorders N.E Power</t>
  </si>
  <si>
    <t>90000113776</t>
  </si>
  <si>
    <t>X541F002188</t>
  </si>
  <si>
    <t>INVP 2830B Remote Access to Dig Fault Recorders Nig Mohawk</t>
  </si>
  <si>
    <t>90000113777</t>
  </si>
  <si>
    <t>90000114864</t>
  </si>
  <si>
    <t>INVP 2830 Remote Access to Dig Fault Recorders Nig Mohawk</t>
  </si>
  <si>
    <t>90000118719</t>
  </si>
  <si>
    <t>X521E000248</t>
  </si>
  <si>
    <t>INVP 2830C Remote Access to Dig Fault Recorders Narrgansett</t>
  </si>
  <si>
    <t>90000113829</t>
  </si>
  <si>
    <t>X536E001858</t>
  </si>
  <si>
    <t>INVP 2832 ACIS</t>
  </si>
  <si>
    <t>90000112827</t>
  </si>
  <si>
    <t>INVP 2832 ACIS Alliance Contracts, Mgmt</t>
  </si>
  <si>
    <t>XG369008049</t>
  </si>
  <si>
    <t>INVP 2852 MA Elect Purchase of Receivables</t>
  </si>
  <si>
    <t>90000113778</t>
  </si>
  <si>
    <t>X531E001151</t>
  </si>
  <si>
    <t>INVP 2583 Minor Works 521E</t>
  </si>
  <si>
    <t>X521E010169</t>
  </si>
  <si>
    <t>INVP 2583 Minor Works 521G</t>
  </si>
  <si>
    <t>X521G010170</t>
  </si>
  <si>
    <t>INVP 2583 Minor Works 5220</t>
  </si>
  <si>
    <t>X5220010171</t>
  </si>
  <si>
    <t>INVP 2583 Minor Works 5230</t>
  </si>
  <si>
    <t>X5230010172</t>
  </si>
  <si>
    <t>INVP 2583 Minor Works 531E</t>
  </si>
  <si>
    <t>X531E010173</t>
  </si>
  <si>
    <t>INVP 2583 Minor Works 5320</t>
  </si>
  <si>
    <t>X5320010174</t>
  </si>
  <si>
    <t>INVP 2583 Minor Works 5330</t>
  </si>
  <si>
    <t>X5330010175</t>
  </si>
  <si>
    <t>INVP 2583 Minor Works 5340</t>
  </si>
  <si>
    <t>X5340010176</t>
  </si>
  <si>
    <t>INVP 2583 Minor Works 536E</t>
  </si>
  <si>
    <t>X536E010177</t>
  </si>
  <si>
    <t>INVP 2583 Minor Works 536G</t>
  </si>
  <si>
    <t>X536G010178</t>
  </si>
  <si>
    <t>INVP 3139 FY 13 Internet Mandated Items under IN 2583</t>
  </si>
  <si>
    <t>XG226007129</t>
  </si>
  <si>
    <t>INVP 2853 EPM MINOR WORKS</t>
  </si>
  <si>
    <t>XG248007647</t>
  </si>
  <si>
    <t>INVP 2853A FY14 Minor Works CSS (formally INVP1293)</t>
  </si>
  <si>
    <t>INVP 2853B FY14 Minor Works CRIS (formally INVP1565)</t>
  </si>
  <si>
    <t>INVP 2853C FY14 Minor Works FSSC (formally INVP1298)</t>
  </si>
  <si>
    <t>INVP 2853D FY13 CAS Minor Wks (formally INVP1564)</t>
  </si>
  <si>
    <t>INVP 2854 EPM Regulatory Minor Works</t>
  </si>
  <si>
    <t>XG376008071</t>
  </si>
  <si>
    <t>INVP 2858 Implement NERC CIP to EF Barrett PS</t>
  </si>
  <si>
    <t>X5430002269</t>
  </si>
  <si>
    <t>INVP 2859 Implement NERC CIP to Port Jefferson</t>
  </si>
  <si>
    <t>X5430002270</t>
  </si>
  <si>
    <t>INVP 2864 US GIS Lbase 5230</t>
  </si>
  <si>
    <t>X5230010690</t>
  </si>
  <si>
    <t>INVP 2864 US GIS Lbase 5330</t>
  </si>
  <si>
    <t>X5330010691</t>
  </si>
  <si>
    <t>INVP 2881 Infrastructure Upgrade (router etc)</t>
  </si>
  <si>
    <t>90000116440</t>
  </si>
  <si>
    <t>INVP 2881 Infrastructure Upgrades</t>
  </si>
  <si>
    <t>90000151729</t>
  </si>
  <si>
    <t>INVP 2881 CNI Infra MW 521E</t>
  </si>
  <si>
    <t>X521E010698</t>
  </si>
  <si>
    <t>INVP 2881 CNI Infra MW 5220</t>
  </si>
  <si>
    <t>X5220010703</t>
  </si>
  <si>
    <t>INVP 2881 CNI Infra MW 5230</t>
  </si>
  <si>
    <t>X5230010702</t>
  </si>
  <si>
    <t>INVP 2881 CNI Infra MW 531E</t>
  </si>
  <si>
    <t>X531E010696</t>
  </si>
  <si>
    <t>INVP 2881 CNI Infra MW 5330</t>
  </si>
  <si>
    <t>X5330010700</t>
  </si>
  <si>
    <t>INVP 2881 CNI Infra MW 5340</t>
  </si>
  <si>
    <t>X5340010701</t>
  </si>
  <si>
    <t>INVP 2881 CNI Infra MW 536E</t>
  </si>
  <si>
    <t>X536E010699</t>
  </si>
  <si>
    <t>INVP 2881 CNI Infra MW 541T</t>
  </si>
  <si>
    <t>X541T010697</t>
  </si>
  <si>
    <t>INVP 2881 CNI Infra MW 5430</t>
  </si>
  <si>
    <t>X5430010704</t>
  </si>
  <si>
    <t>INVP 2881D US CNI GMS Infrastructure Upgrade</t>
  </si>
  <si>
    <t>90000122015</t>
  </si>
  <si>
    <t>90000122016</t>
  </si>
  <si>
    <t>90000131083</t>
  </si>
  <si>
    <t>INVP 2884 LI CNI Data Historian Resiliency</t>
  </si>
  <si>
    <t>90000112155</t>
  </si>
  <si>
    <t>INVP 2892 UST NERC CIP Compliance</t>
  </si>
  <si>
    <t>90000142290</t>
  </si>
  <si>
    <t>1702</t>
  </si>
  <si>
    <t>XG220006555</t>
  </si>
  <si>
    <t>INVP 2897 Elect Log Control Room</t>
  </si>
  <si>
    <t>XG222013223</t>
  </si>
  <si>
    <t>XG370006554</t>
  </si>
  <si>
    <t>INVP 2901 US Data Storage Organic Growth</t>
  </si>
  <si>
    <t>90000111311</t>
  </si>
  <si>
    <t>INVP 2915 Email &amp; Collaboration</t>
  </si>
  <si>
    <t>XG020012735</t>
  </si>
  <si>
    <t>INVP 2923 IS Enterprise Minor Works   2014</t>
  </si>
  <si>
    <t>90000134625</t>
  </si>
  <si>
    <t>INVP 2923 IS Enterprise Minor Works</t>
  </si>
  <si>
    <t>XG018007513</t>
  </si>
  <si>
    <t>XG020009334</t>
  </si>
  <si>
    <t>INVP 2927 Desktop Refresh</t>
  </si>
  <si>
    <t>90000150615</t>
  </si>
  <si>
    <t>XG020013108</t>
  </si>
  <si>
    <t>INVP 2935 US Mobile Device Refresh</t>
  </si>
  <si>
    <t>90000146046</t>
  </si>
  <si>
    <t>90000146048</t>
  </si>
  <si>
    <t>90000146050</t>
  </si>
  <si>
    <t>90000152843</t>
  </si>
  <si>
    <t>90000159018</t>
  </si>
  <si>
    <t>90000159019</t>
  </si>
  <si>
    <t>90000159020</t>
  </si>
  <si>
    <t>90000159021</t>
  </si>
  <si>
    <t>90000159022</t>
  </si>
  <si>
    <t>90000159023</t>
  </si>
  <si>
    <t>XG173013224</t>
  </si>
  <si>
    <t>INVP 2938 My IS Improvements</t>
  </si>
  <si>
    <t>XG020012736</t>
  </si>
  <si>
    <t>INVP 2940 Global Governance, Risk Compliance</t>
  </si>
  <si>
    <t>90000109629</t>
  </si>
  <si>
    <t>XG020004614</t>
  </si>
  <si>
    <t>XGT03004614</t>
  </si>
  <si>
    <t>INVP 2944 US Pensions Admin Consolidation</t>
  </si>
  <si>
    <t>XG020004615</t>
  </si>
  <si>
    <t>INVP 2951 Legal Hold Implementation</t>
  </si>
  <si>
    <t>90000131880</t>
  </si>
  <si>
    <t>XG020010184</t>
  </si>
  <si>
    <t>XG230007995</t>
  </si>
  <si>
    <t>XG354007995</t>
  </si>
  <si>
    <t>INVP 2955 IHM Absence Management</t>
  </si>
  <si>
    <t>XG018006491</t>
  </si>
  <si>
    <t>INVP 2960B CRM Sales Force SaaS Implementation</t>
  </si>
  <si>
    <t>90000119937</t>
  </si>
  <si>
    <t>XG175006619</t>
  </si>
  <si>
    <t>INVP 2960C GridForce Force SaaS Ph2 Implementation</t>
  </si>
  <si>
    <t>90000131135</t>
  </si>
  <si>
    <t>90000144051</t>
  </si>
  <si>
    <t>INVP 2966 Tiered Security</t>
  </si>
  <si>
    <t>XN130010205</t>
  </si>
  <si>
    <t>INVP 2970 Security Information &amp; Event Management</t>
  </si>
  <si>
    <t>90000133045</t>
  </si>
  <si>
    <t>XG020007652</t>
  </si>
  <si>
    <t>XG020009335</t>
  </si>
  <si>
    <t>INVP 2974 IDS/IPS Asset Refresh (NS)</t>
  </si>
  <si>
    <t>90000114690</t>
  </si>
  <si>
    <t>INVP 2975 Introduction of Transport Layer Security (TLS) for Email</t>
  </si>
  <si>
    <t>90000123586</t>
  </si>
  <si>
    <t>XG018006495</t>
  </si>
  <si>
    <t>INVP 2981 Security Awareness Program</t>
  </si>
  <si>
    <t>90000117533</t>
  </si>
  <si>
    <t>INVP 2982A Identity Management</t>
  </si>
  <si>
    <t>90000113825</t>
  </si>
  <si>
    <t>INVP 2982B Identity Management</t>
  </si>
  <si>
    <t>90000113826</t>
  </si>
  <si>
    <t>INVP 2983A CNI Network Securit</t>
  </si>
  <si>
    <t>90000113827</t>
  </si>
  <si>
    <t>XG020013107</t>
  </si>
  <si>
    <t>INVP 2983B CNI Digital &amp; Risk Secuirty EMS (CO 00036)</t>
  </si>
  <si>
    <t>90000118212</t>
  </si>
  <si>
    <t>INVP 2983B CNI Digital &amp; Risk Secuirty EMS (CO 00010)</t>
  </si>
  <si>
    <t>90000118228</t>
  </si>
  <si>
    <t>90000118328</t>
  </si>
  <si>
    <t>INVP 2983B CNI Digital &amp; Risk Secuirty EMS (CO 01435)</t>
  </si>
  <si>
    <t>8K012001313</t>
  </si>
  <si>
    <t>X521E000249</t>
  </si>
  <si>
    <t>X541F002189</t>
  </si>
  <si>
    <t>X5430002271</t>
  </si>
  <si>
    <t>INVP 2992 MA Gas Single Bill</t>
  </si>
  <si>
    <t>90000124370</t>
  </si>
  <si>
    <t>XG310007675</t>
  </si>
  <si>
    <t>INVP 2997 Earned Value Management Reporting</t>
  </si>
  <si>
    <t>90000120197</t>
  </si>
  <si>
    <t>XG369008050</t>
  </si>
  <si>
    <t>INVP 2997 Earned Value Management Reporting Phase 2</t>
  </si>
  <si>
    <t>90000134297</t>
  </si>
  <si>
    <t>INVP 2997B Earned Value Mgmt</t>
  </si>
  <si>
    <t>XG186009336</t>
  </si>
  <si>
    <t>Expand Aux Ops Automation Prj</t>
  </si>
  <si>
    <t>INVP 2999 Expand Aux Ops Automation Prj</t>
  </si>
  <si>
    <t>90000116902</t>
  </si>
  <si>
    <t>Aux Ops Automation Prj</t>
  </si>
  <si>
    <t>X5220000671</t>
  </si>
  <si>
    <t>90000116903</t>
  </si>
  <si>
    <t>X5230000828</t>
  </si>
  <si>
    <t>INVP 3019A US CNI DKMS</t>
  </si>
  <si>
    <t>90000118114</t>
  </si>
  <si>
    <t>INVP 3022 Internet Hosting Tools</t>
  </si>
  <si>
    <t>90000138893</t>
  </si>
  <si>
    <t>INVP 3022 Internet Toolset G173</t>
  </si>
  <si>
    <t>XG173010694</t>
  </si>
  <si>
    <t>INVP 3032 Database Security Compliance</t>
  </si>
  <si>
    <t>XG018006496</t>
  </si>
  <si>
    <t>INVP 3039 ediscovery</t>
  </si>
  <si>
    <t>90000118116</t>
  </si>
  <si>
    <t>INVP 3040 DRS Tact Sec.Invest</t>
  </si>
  <si>
    <t>XG020009337</t>
  </si>
  <si>
    <t>INVP 3040 FY13 DRS Minor Works</t>
  </si>
  <si>
    <t>XG020010182</t>
  </si>
  <si>
    <t>Aging Server Refresh</t>
  </si>
  <si>
    <t>INVP 3049 Aging Server Refresh</t>
  </si>
  <si>
    <t>90000112663</t>
  </si>
  <si>
    <t>INVP 3059 Outage Comm iFactor Enhance</t>
  </si>
  <si>
    <t>90000112360</t>
  </si>
  <si>
    <t>9999</t>
  </si>
  <si>
    <t>INVP 3076 QAS Address Hygiene</t>
  </si>
  <si>
    <t>90000109487</t>
  </si>
  <si>
    <t>3101</t>
  </si>
  <si>
    <t>Personal Safety Devices</t>
  </si>
  <si>
    <t>INVP 3101 Personal Safety Devices</t>
  </si>
  <si>
    <t>90000108405</t>
  </si>
  <si>
    <t>INVP 3111 Northport Network Infrastructure</t>
  </si>
  <si>
    <t>90000107127</t>
  </si>
  <si>
    <t>INVP 3124B HR Global Strategy</t>
  </si>
  <si>
    <t>90000119765</t>
  </si>
  <si>
    <t>XG020004622</t>
  </si>
  <si>
    <t>INVP 3124B HR Global System   L&amp;D</t>
  </si>
  <si>
    <t>90000131886</t>
  </si>
  <si>
    <t>INVP 3136 NE Gas Leaks Recheck</t>
  </si>
  <si>
    <t>90000124374</t>
  </si>
  <si>
    <t>XG310007676</t>
  </si>
  <si>
    <t>Web Minor Works FY12</t>
  </si>
  <si>
    <t>INVP 3139 Web Minor Works FY12</t>
  </si>
  <si>
    <t>INVP 3195 Storms Archive Tool</t>
  </si>
  <si>
    <t>90000113828</t>
  </si>
  <si>
    <t>XG366008036</t>
  </si>
  <si>
    <t>INVP 3202 Physical Security Mnr Wks Co 41</t>
  </si>
  <si>
    <t>90000118152</t>
  </si>
  <si>
    <t>8155</t>
  </si>
  <si>
    <t>INVP 3202 Physical Security Mnr Wks Co 10</t>
  </si>
  <si>
    <t>90000118151</t>
  </si>
  <si>
    <t>INVP 3202 Physical Security Mnr Wks Co 48</t>
  </si>
  <si>
    <t>90000118153</t>
  </si>
  <si>
    <t>Physical Security Mnr Wks Co 49</t>
  </si>
  <si>
    <t>INVP 3202 Physical Security Mnr Wks Co 49</t>
  </si>
  <si>
    <t>90000118154</t>
  </si>
  <si>
    <t>INVP 3232A   Tallyman &amp; Paperless</t>
  </si>
  <si>
    <t>90000116954</t>
  </si>
  <si>
    <t>INVP 3237 Street Light Outage Improvement</t>
  </si>
  <si>
    <t>90000120335</t>
  </si>
  <si>
    <t>INVP 3237 Street Light Outg</t>
  </si>
  <si>
    <t>XG198010794</t>
  </si>
  <si>
    <t>XG380008086</t>
  </si>
  <si>
    <t>INVP 3277 WebPortal for ArcGIS Implementation</t>
  </si>
  <si>
    <t>XG294007540</t>
  </si>
  <si>
    <t>INVP 3294 PowerPlant Lease Module</t>
  </si>
  <si>
    <t>90000117978</t>
  </si>
  <si>
    <t>INVP 3294 PowerPlant Lease Module   Phase 2</t>
  </si>
  <si>
    <t>90000133798</t>
  </si>
  <si>
    <t>INVP 3307 iFactor Storm Center Hosting</t>
  </si>
  <si>
    <t>90000119141</t>
  </si>
  <si>
    <t>XG380008087</t>
  </si>
  <si>
    <t>INVP 3310   US Applicant Tracking System</t>
  </si>
  <si>
    <t>90000118115</t>
  </si>
  <si>
    <t>XG020004623</t>
  </si>
  <si>
    <t>INVP 3323D Storm ROD</t>
  </si>
  <si>
    <t>XG020007655</t>
  </si>
  <si>
    <t>INVP 3324 AMAG TWIC</t>
  </si>
  <si>
    <t>XG324006614</t>
  </si>
  <si>
    <t>INVP 3325 Automated Update of NIMBA DB for Access Revocation</t>
  </si>
  <si>
    <t>XG018006490</t>
  </si>
  <si>
    <t>INVP 3346 Experian Frame Relay</t>
  </si>
  <si>
    <t>XG179006552</t>
  </si>
  <si>
    <t>INVP 3357 Telcom Minor Works</t>
  </si>
  <si>
    <t>XG018006486</t>
  </si>
  <si>
    <t>INVP 3374 SmallWorld GIS FY13 Release 1   Code 2</t>
  </si>
  <si>
    <t>90000120126</t>
  </si>
  <si>
    <t>INVP 3374 SmallWorld GIS FY13 Release 1   Code 1</t>
  </si>
  <si>
    <t>90000120127</t>
  </si>
  <si>
    <t>XG366008037</t>
  </si>
  <si>
    <t>XG380008088</t>
  </si>
  <si>
    <t>INVP 3375 Challenge the Limits   XML Bill Dlvy</t>
  </si>
  <si>
    <t>XG179006547</t>
  </si>
  <si>
    <t>INVP 3375 Challenge the Limits   DOXO XML</t>
  </si>
  <si>
    <t>90000140573</t>
  </si>
  <si>
    <t>INVP 3375 Challenge the Limits   DOXO Elect Bill</t>
  </si>
  <si>
    <t>XG179006548</t>
  </si>
  <si>
    <t>INVP 3375 Challenge the Limits   Letters</t>
  </si>
  <si>
    <t>90000140579</t>
  </si>
  <si>
    <t>INVP 3375 Challenge the Limits   D&amp;I</t>
  </si>
  <si>
    <t>XC434010181</t>
  </si>
  <si>
    <t>INVP 3375 Challenge the Limits   Reduce Letters</t>
  </si>
  <si>
    <t>XG179006549</t>
  </si>
  <si>
    <t>INVP 3377 NE + NY Web Srvr Refresh</t>
  </si>
  <si>
    <t>XC198012729</t>
  </si>
  <si>
    <t>INVP 3377 NE and UNY Web Server Refresh</t>
  </si>
  <si>
    <t>XG198006553</t>
  </si>
  <si>
    <t>INVP 3378 Rubber Good Testing</t>
  </si>
  <si>
    <t>90000137871</t>
  </si>
  <si>
    <t>INVP 3378 RG Standard Lab G146</t>
  </si>
  <si>
    <t>XG146010791</t>
  </si>
  <si>
    <t>XG186009338</t>
  </si>
  <si>
    <t>INVP 3380 NERC Alarm Migration   REX Reconfiguration</t>
  </si>
  <si>
    <t>90000122659</t>
  </si>
  <si>
    <t>90000122660</t>
  </si>
  <si>
    <t>90000122661</t>
  </si>
  <si>
    <t>XG305006595</t>
  </si>
  <si>
    <t>INVP 3381 USNY Gas Take Station Security Enhancement</t>
  </si>
  <si>
    <t>90000122662</t>
  </si>
  <si>
    <t>INVP 3382 USNY C Cure Conversion to AMAG</t>
  </si>
  <si>
    <t>90000122014</t>
  </si>
  <si>
    <t>INVP 3388 UNY Preservation</t>
  </si>
  <si>
    <t>XG181006522</t>
  </si>
  <si>
    <t>INVP 3393 Enhancement of Reservior Woods' Lobby Security</t>
  </si>
  <si>
    <t>90000122634</t>
  </si>
  <si>
    <t>XG333006497</t>
  </si>
  <si>
    <t>INVP 3399 Power station Video Enhancement</t>
  </si>
  <si>
    <t>XA543006458</t>
  </si>
  <si>
    <t>INVP 3412 New Security Ctr  B</t>
  </si>
  <si>
    <t>90000133046</t>
  </si>
  <si>
    <t>XG018006481</t>
  </si>
  <si>
    <t>INVP 3415 MV90 Upgrade</t>
  </si>
  <si>
    <t>XG198007582</t>
  </si>
  <si>
    <t>INVP 3425 Wireless Network Expansio</t>
  </si>
  <si>
    <t>90000146782</t>
  </si>
  <si>
    <t>90000146784</t>
  </si>
  <si>
    <t>90000146785</t>
  </si>
  <si>
    <t>90000146786</t>
  </si>
  <si>
    <t>90000146788</t>
  </si>
  <si>
    <t>XG020012737</t>
  </si>
  <si>
    <t>INVP 3430 Enterprise Mobility Management Service</t>
  </si>
  <si>
    <t>90000181476</t>
  </si>
  <si>
    <t>XG020016661</t>
  </si>
  <si>
    <t>INVP 3482 RouteSmart Implementation</t>
  </si>
  <si>
    <t>X5230008989</t>
  </si>
  <si>
    <t>INVP 3486 US MDS-Itron Enterprise Edition (IEE)</t>
  </si>
  <si>
    <t>90000181573</t>
  </si>
  <si>
    <t>XG186016621</t>
  </si>
  <si>
    <t>INVP 3492 Comprehensive Integration Services Foundation</t>
  </si>
  <si>
    <t>90000134389</t>
  </si>
  <si>
    <t>INVP 3492 Computer Integration Service Foundation</t>
  </si>
  <si>
    <t>XG020009339</t>
  </si>
  <si>
    <t>INVP 3497 Cascade Server</t>
  </si>
  <si>
    <t>XG198007606</t>
  </si>
  <si>
    <t>INVP 3538 VSTIG Bandwidth Increase Phase 1</t>
  </si>
  <si>
    <t>90000158866</t>
  </si>
  <si>
    <t>XG020015539</t>
  </si>
  <si>
    <t>INVP 3540 Call Center Vendor Replacement</t>
  </si>
  <si>
    <t>XG281008997</t>
  </si>
  <si>
    <t>INVP 3564 Cust Choice ESCO Gas</t>
  </si>
  <si>
    <t>90000134705</t>
  </si>
  <si>
    <t>INVP 3564 CustomerChoice ESCO</t>
  </si>
  <si>
    <t>XC225009340</t>
  </si>
  <si>
    <t>INVP 3600 US Web Initiatives</t>
  </si>
  <si>
    <t>90000131946</t>
  </si>
  <si>
    <t>INVP 3600 Web Initiatives</t>
  </si>
  <si>
    <t>XC175009341</t>
  </si>
  <si>
    <t>INVP 3600B US Web Initiatives 2</t>
  </si>
  <si>
    <t>90000142197</t>
  </si>
  <si>
    <t>XC175012739</t>
  </si>
  <si>
    <t>INVP 3612 OneStep Cashiering Application</t>
  </si>
  <si>
    <t>XCT70010179</t>
  </si>
  <si>
    <t>INVP 3614A1 IAM Phase 2</t>
  </si>
  <si>
    <t>90000141707</t>
  </si>
  <si>
    <t>XG020010185</t>
  </si>
  <si>
    <t>INVP 3614 A2 IAM Ph3 : Web Administration</t>
  </si>
  <si>
    <t>90000141742</t>
  </si>
  <si>
    <t>XG020015878</t>
  </si>
  <si>
    <t>3614B10</t>
  </si>
  <si>
    <t>CNI Segregation</t>
  </si>
  <si>
    <t>INVP 3614B10 CNI Segregation</t>
  </si>
  <si>
    <t>90000141758</t>
  </si>
  <si>
    <t>INVP 3614B11 CNI Patch Management</t>
  </si>
  <si>
    <t>90000141760</t>
  </si>
  <si>
    <t>INVP 3614B12 CNI Access Control</t>
  </si>
  <si>
    <t>90000141761</t>
  </si>
  <si>
    <t>INVP 3614B13 CNI Network Security Controls : US Electricity Generation</t>
  </si>
  <si>
    <t>90000141762</t>
  </si>
  <si>
    <t>3614B14</t>
  </si>
  <si>
    <t>INVP 3614B14 CNI SIEM</t>
  </si>
  <si>
    <t>90000141763</t>
  </si>
  <si>
    <t>3614B16</t>
  </si>
  <si>
    <t>CNI PAV Server</t>
  </si>
  <si>
    <t>INVP 3614B16 CNI PAV Server</t>
  </si>
  <si>
    <t>XG020010188</t>
  </si>
  <si>
    <t>3614B17</t>
  </si>
  <si>
    <t>CNI Secure Comm</t>
  </si>
  <si>
    <t>INVP 3614B17 CNI Secure Comm</t>
  </si>
  <si>
    <t>XG020010189</t>
  </si>
  <si>
    <t>3614B18</t>
  </si>
  <si>
    <t>CNI Firewall</t>
  </si>
  <si>
    <t>INVP 3614B18 CNI Firewall</t>
  </si>
  <si>
    <t>XG020010190</t>
  </si>
  <si>
    <t>INVP 3614B2 CNI Separation of Test and production : GMS   Downstate NY&amp;NE</t>
  </si>
  <si>
    <t>90000141745</t>
  </si>
  <si>
    <t>XG020012994</t>
  </si>
  <si>
    <t>3614B24</t>
  </si>
  <si>
    <t>CNI Proxy Solution</t>
  </si>
  <si>
    <t>INVP 3614B24 CNI Proxy Solution</t>
  </si>
  <si>
    <t>XG020010191</t>
  </si>
  <si>
    <t>3614B26</t>
  </si>
  <si>
    <t>CNI Serparate</t>
  </si>
  <si>
    <t>INVP 3614B26 CNI Serparate</t>
  </si>
  <si>
    <t>XG020010201</t>
  </si>
  <si>
    <t>3614B48</t>
  </si>
  <si>
    <t>CNI Security Comm</t>
  </si>
  <si>
    <t>INVP 3614B48 CNI Security Comm</t>
  </si>
  <si>
    <t>XG020010193</t>
  </si>
  <si>
    <t>3614B55</t>
  </si>
  <si>
    <t>CNI Network Audit</t>
  </si>
  <si>
    <t>INVP 3614B55 CNI Network Audit</t>
  </si>
  <si>
    <t>XG020010194</t>
  </si>
  <si>
    <t>INVP 3614B6 CNI Firewall Management</t>
  </si>
  <si>
    <t>90000141747</t>
  </si>
  <si>
    <t>INVP 3614B6 CNI Firewall Mgmnt</t>
  </si>
  <si>
    <t>XG020012740</t>
  </si>
  <si>
    <t>90000167647</t>
  </si>
  <si>
    <t>3614B9</t>
  </si>
  <si>
    <t>CNI Network Risk &amp; Compliance</t>
  </si>
  <si>
    <t>INVP 3614B9 CNI Network Risk &amp; Compliance</t>
  </si>
  <si>
    <t>90000141756</t>
  </si>
  <si>
    <t>INVP 3614C1 Fine Grained DLP / File Encryption</t>
  </si>
  <si>
    <t>90000141764</t>
  </si>
  <si>
    <t>INVP 3614C1 End User Initiated Secure File &amp; Email Transfer</t>
  </si>
  <si>
    <t>90000170691</t>
  </si>
  <si>
    <t>XG020010200</t>
  </si>
  <si>
    <t>INVP 3614C1 Fine DLP DigSec - DO NOT USE</t>
  </si>
  <si>
    <t>XN130010203</t>
  </si>
  <si>
    <t>3614C2</t>
  </si>
  <si>
    <t>FileEncryp DigSec</t>
  </si>
  <si>
    <t>INVP 3614C2 FileEncryp DigSec</t>
  </si>
  <si>
    <t>XN130010204</t>
  </si>
  <si>
    <t>INVP 3614D1 Network Access Controls (NAC)</t>
  </si>
  <si>
    <t>90000141765</t>
  </si>
  <si>
    <t>INVP 3614D1 Network Access NAC</t>
  </si>
  <si>
    <t>XG020010195</t>
  </si>
  <si>
    <t>INVP 3614D2 Network Risk &amp; Compliance (NRC)</t>
  </si>
  <si>
    <t>90000141766</t>
  </si>
  <si>
    <t>INVP 3614D2 Net Risk NRC</t>
  </si>
  <si>
    <t>XG020010196</t>
  </si>
  <si>
    <t>INVP 3614E1 DB Compliance Mainframe</t>
  </si>
  <si>
    <t>90000141767</t>
  </si>
  <si>
    <t>INVP 3614E1 DB Compliance</t>
  </si>
  <si>
    <t>XG020010197</t>
  </si>
  <si>
    <t>INVP 3614E2 Security Operations Centre (SOC)</t>
  </si>
  <si>
    <t>90000141768</t>
  </si>
  <si>
    <t>XG020015583</t>
  </si>
  <si>
    <t>INVP 3614E3 SIEM 2</t>
  </si>
  <si>
    <t>90000141754</t>
  </si>
  <si>
    <t>XG020015386</t>
  </si>
  <si>
    <t>INVP 3614F1 NERC CIP V5 US</t>
  </si>
  <si>
    <t>90000141769</t>
  </si>
  <si>
    <t>XG020010198</t>
  </si>
  <si>
    <t>INVP 3614F2 Archer Process Enablement</t>
  </si>
  <si>
    <t>90000141770</t>
  </si>
  <si>
    <t>INVP 3614F3 Continuous Controls Monitoring</t>
  </si>
  <si>
    <t>90000141773</t>
  </si>
  <si>
    <t>INVP 3614G1 Security Reference Architecture</t>
  </si>
  <si>
    <t>XG020010199</t>
  </si>
  <si>
    <t>INVP 3615 Success Enterprise Management</t>
  </si>
  <si>
    <t>90000134377</t>
  </si>
  <si>
    <t>INVP 3615 Success Enterprise Rptg</t>
  </si>
  <si>
    <t>XG186009343</t>
  </si>
  <si>
    <t>INVP 3617B DNY Capitalize Asset Replacement &amp; Installation</t>
  </si>
  <si>
    <t>90000145261</t>
  </si>
  <si>
    <t>INVP 3617C NE Capitalize Asset Replacement &amp; Installation</t>
  </si>
  <si>
    <t>90000144710</t>
  </si>
  <si>
    <t>INVP 3623 Pentana Windows 7</t>
  </si>
  <si>
    <t>XG020009849</t>
  </si>
  <si>
    <t>INVP 3629 Cascade System for Gas</t>
  </si>
  <si>
    <t>90000134426</t>
  </si>
  <si>
    <t>XG210009350</t>
  </si>
  <si>
    <t>INVP 3637 Damage Tracking System Enhancements</t>
  </si>
  <si>
    <t>90000136951</t>
  </si>
  <si>
    <t>XG210010202</t>
  </si>
  <si>
    <t>INVP 3638 Windows7 Compatiblty</t>
  </si>
  <si>
    <t>XG020009352</t>
  </si>
  <si>
    <t>INVP 3642 Replace MDSI Device</t>
  </si>
  <si>
    <t>90000144015</t>
  </si>
  <si>
    <t>X5230009850</t>
  </si>
  <si>
    <t>INVP 3644 IE11 Browser Upgrade</t>
  </si>
  <si>
    <t>90000150981</t>
  </si>
  <si>
    <t>XG020009846</t>
  </si>
  <si>
    <t>SP2007 migration</t>
  </si>
  <si>
    <t>INVP 3667 Sharepoint Feasibility</t>
  </si>
  <si>
    <t>XG020012732</t>
  </si>
  <si>
    <t>INVP 3669 Strategy for Ecosystem</t>
  </si>
  <si>
    <t>XN130012734</t>
  </si>
  <si>
    <t>INVP 3670 Legacy JCAPS Decommission</t>
  </si>
  <si>
    <t>XG020012738</t>
  </si>
  <si>
    <t>INVP 3677 Web MinorWorks</t>
  </si>
  <si>
    <t>XG020012733</t>
  </si>
  <si>
    <t>INVP 3678 Nationalgrid.com Upg G020</t>
  </si>
  <si>
    <t>XG020012993</t>
  </si>
  <si>
    <t>INVP 3683 DRS Future Program</t>
  </si>
  <si>
    <t>XG020016334</t>
  </si>
  <si>
    <t>INVP 3683B Cloud Access Security Broker (CASB) US</t>
  </si>
  <si>
    <t>90000186955</t>
  </si>
  <si>
    <t>XG020017624</t>
  </si>
  <si>
    <t xml:space="preserve">IAM Privilege Access Management (PAM) Phase 1 </t>
  </si>
  <si>
    <t xml:space="preserve">INVID:5214US-IAM Privilege Access Management (PAM) Phase 1 </t>
  </si>
  <si>
    <t>XG020018669</t>
  </si>
  <si>
    <t>INVP 3716 US Operations Network Improvements</t>
  </si>
  <si>
    <t>XG027017029</t>
  </si>
  <si>
    <t>INVP 3718 New Medical System</t>
  </si>
  <si>
    <t>90000185436</t>
  </si>
  <si>
    <t>XG027017226</t>
  </si>
  <si>
    <t>INVP 3723 Cust &amp; Digital Mnr Works</t>
  </si>
  <si>
    <t>XC175012725</t>
  </si>
  <si>
    <t>INVP 3737US CNI GMS SCADA Upgrade</t>
  </si>
  <si>
    <t>90000150067</t>
  </si>
  <si>
    <t>INVP 3737 US CNI GMS SCADA Upgrade</t>
  </si>
  <si>
    <t>XC210013757</t>
  </si>
  <si>
    <t>INVP 3749 iScheduler Strat C198</t>
  </si>
  <si>
    <t>XC198010792</t>
  </si>
  <si>
    <t>INVP 3754 Career Site Imp G020</t>
  </si>
  <si>
    <t>XG020010695</t>
  </si>
  <si>
    <t>INVP 3758 MA Inside Serv Inspection</t>
  </si>
  <si>
    <t>XG303012731</t>
  </si>
  <si>
    <t>INVP 3838 Work Mngt FO Gas</t>
  </si>
  <si>
    <t>XG210015036</t>
  </si>
  <si>
    <t>INVP 3839 NY Retail Access Mandate</t>
  </si>
  <si>
    <t>90000141799</t>
  </si>
  <si>
    <t>90000146840</t>
  </si>
  <si>
    <t>INVP 3839 NY Retail Access Mandate - EDI</t>
  </si>
  <si>
    <t>X5220015661</t>
  </si>
  <si>
    <t>INVP 3839 Low Inc &amp; Gas Acc-NY Gas</t>
  </si>
  <si>
    <t>XC207015850</t>
  </si>
  <si>
    <t>XG170012728</t>
  </si>
  <si>
    <t>INVP 3839A NY Retail Access Mandate Phase 2</t>
  </si>
  <si>
    <t>90000170773</t>
  </si>
  <si>
    <t>XC170016130</t>
  </si>
  <si>
    <t>INVP 3851 Consolidated Voice Recorder for US Electric Control Rooms</t>
  </si>
  <si>
    <t>90000181679</t>
  </si>
  <si>
    <t>XG181016623</t>
  </si>
  <si>
    <t>INVP 3853 UNY C Cure Cnvto AMAG</t>
  </si>
  <si>
    <t>90000145855</t>
  </si>
  <si>
    <t>XG113012992</t>
  </si>
  <si>
    <t>INVP 3857 XP Remediation</t>
  </si>
  <si>
    <t>XG020015126</t>
  </si>
  <si>
    <t>INVP 3859 Customer Storm Outage Credit Program</t>
  </si>
  <si>
    <t>90000149006</t>
  </si>
  <si>
    <t>INVP 3859 Custom Storm Outage Cr Prog</t>
  </si>
  <si>
    <t>X521E013555</t>
  </si>
  <si>
    <t>INVP 3862 CCH to Maximo Conversion</t>
  </si>
  <si>
    <t>XG227013226</t>
  </si>
  <si>
    <t>INVP 3871 US Claims Riskmaster Replacement F&amp;A</t>
  </si>
  <si>
    <t>XQ146015612</t>
  </si>
  <si>
    <t>INVP 3882 NYS Pipeline Gas</t>
  </si>
  <si>
    <t>90000161831</t>
  </si>
  <si>
    <t>XG207015657</t>
  </si>
  <si>
    <t>INVP 3883 Mobile Devices for PTO, Meter Operations, GMS, and I&amp;R</t>
  </si>
  <si>
    <t>90000153451</t>
  </si>
  <si>
    <t>XG173013778</t>
  </si>
  <si>
    <t>INVP 3884 Incident Action planning</t>
  </si>
  <si>
    <t>XG027013554</t>
  </si>
  <si>
    <t>INVP 3896 Project Athena</t>
  </si>
  <si>
    <t>90000153520</t>
  </si>
  <si>
    <t>XG020015127</t>
  </si>
  <si>
    <t>INVP 3899 Cloud Enablement - Microsoft Azure</t>
  </si>
  <si>
    <t>XG020017062</t>
  </si>
  <si>
    <t>X5020017405</t>
  </si>
  <si>
    <t>INVP 3901 Virtual Desktop</t>
  </si>
  <si>
    <t>XG020016335</t>
  </si>
  <si>
    <t>INVP 3910 Legal Hold System H/W &amp; S/W Upgrades</t>
  </si>
  <si>
    <t>XG020017090</t>
  </si>
  <si>
    <t>3912</t>
  </si>
  <si>
    <t>Global Talent Ma</t>
  </si>
  <si>
    <t>INVP 3912 Global Talent Ma</t>
  </si>
  <si>
    <t>XG020013776</t>
  </si>
  <si>
    <t>INVP 3914 Bill Print Fac Relocation</t>
  </si>
  <si>
    <t>90000171355</t>
  </si>
  <si>
    <t>XC173016131</t>
  </si>
  <si>
    <t>HRSP - Annual HR Support Packs</t>
  </si>
  <si>
    <t>INVP 3915 Annual HR &amp; Payroll Mandatory Service Pack Upgrade (HRSP)</t>
  </si>
  <si>
    <t>90000178452</t>
  </si>
  <si>
    <t>XG012015186</t>
  </si>
  <si>
    <t>INVP 3918 US SAP Regulatory Requirements, Reporting &amp; Rate Case Support</t>
  </si>
  <si>
    <t>XG020016233</t>
  </si>
  <si>
    <t>INVP 3922 Access Viloation Management</t>
  </si>
  <si>
    <t>90000176039</t>
  </si>
  <si>
    <t>XG020016323</t>
  </si>
  <si>
    <t>INVP 3924 Host Transition</t>
  </si>
  <si>
    <t>XG020016324</t>
  </si>
  <si>
    <t>INVP 3941 Distributed Generation Application Tracking</t>
  </si>
  <si>
    <t>XG175016517</t>
  </si>
  <si>
    <t>INVP 3941 Distributed Generation Application Tracking - DO NOT USE</t>
  </si>
  <si>
    <t>XG198016282</t>
  </si>
  <si>
    <t>INVP 3948 Gas Service Database - DNY (LI and NYC)</t>
  </si>
  <si>
    <t>XG225017740</t>
  </si>
  <si>
    <t>INVP 3949 Gas Service Database - UNY</t>
  </si>
  <si>
    <t>X521G017741</t>
  </si>
  <si>
    <t>INVP 3955 EJ Ward Upgrade</t>
  </si>
  <si>
    <t>90000172325</t>
  </si>
  <si>
    <t>XG235016234</t>
  </si>
  <si>
    <t>INVP 3956 WIFI for Fleet Services Diagnostic Laptops</t>
  </si>
  <si>
    <t>90000182134</t>
  </si>
  <si>
    <t>XG352017050</t>
  </si>
  <si>
    <t>INVP 3970 US CNI-NY EMS Conversion to MPLS</t>
  </si>
  <si>
    <t>90000164885</t>
  </si>
  <si>
    <t>INVP 3976 IDS Next Generation 2.0</t>
  </si>
  <si>
    <t>XG186017427</t>
  </si>
  <si>
    <t>INVP 3982 Substation Monitoring - DobleARMS</t>
  </si>
  <si>
    <t>XT220017833</t>
  </si>
  <si>
    <t>INVP 3985 Document Management System Replacement</t>
  </si>
  <si>
    <t>XG149016296</t>
  </si>
  <si>
    <t>INVP 3986 Cascade Electric Application Upgrade</t>
  </si>
  <si>
    <t>XG185018218</t>
  </si>
  <si>
    <t>INVP 3999A Iris Programme</t>
  </si>
  <si>
    <t>XG020013775</t>
  </si>
  <si>
    <t>INVP 3999B Iris Program</t>
  </si>
  <si>
    <t>XG020015128</t>
  </si>
  <si>
    <t>INVP 4001 Data Center Decommission</t>
  </si>
  <si>
    <t>XG020016526</t>
  </si>
  <si>
    <t>INVP 4024 Soft Off Program</t>
  </si>
  <si>
    <t>90000156429</t>
  </si>
  <si>
    <t>XC207013859</t>
  </si>
  <si>
    <t>INVP 4025 Manadated Minor Works on FSSC Systems</t>
  </si>
  <si>
    <t>XG020015584</t>
  </si>
  <si>
    <t>INVP 4026 Customer Minor Works</t>
  </si>
  <si>
    <t>XC175015189</t>
  </si>
  <si>
    <t>INVP 4041 Operations Minorworks</t>
  </si>
  <si>
    <t>XG015015842</t>
  </si>
  <si>
    <t>INVP 4044 Wires Down</t>
  </si>
  <si>
    <t>X531E015697</t>
  </si>
  <si>
    <t>Double Pole Management Database</t>
  </si>
  <si>
    <t>INVP 4045 Double Pole Management Database Upgrade</t>
  </si>
  <si>
    <t>90000176583</t>
  </si>
  <si>
    <t>XG198016283</t>
  </si>
  <si>
    <t>INVP 4047 Customer and Digital MW FY17</t>
  </si>
  <si>
    <t>XC175015560</t>
  </si>
  <si>
    <t>INVP 4050 Network Strategy Minorworks</t>
  </si>
  <si>
    <t>XG015015526</t>
  </si>
  <si>
    <t>INVP 4055 RI Renewable Energy</t>
  </si>
  <si>
    <t>90000154280</t>
  </si>
  <si>
    <t>90000172025</t>
  </si>
  <si>
    <t>X536E014037</t>
  </si>
  <si>
    <t>INVP 4056 Outdoor Wifi fo</t>
  </si>
  <si>
    <t>X536G013777</t>
  </si>
  <si>
    <t>INVP 4058 Tech MW FY17</t>
  </si>
  <si>
    <t>XG020016568</t>
  </si>
  <si>
    <t>INVP 4074 MA Gas 4 Hour Appointment Window</t>
  </si>
  <si>
    <t>90000160455</t>
  </si>
  <si>
    <t>XC310015613</t>
  </si>
  <si>
    <t>INVP 4102 Plastic Fusion NY Gas</t>
  </si>
  <si>
    <t>90000162166</t>
  </si>
  <si>
    <t>XG207015658</t>
  </si>
  <si>
    <t>INVP 4104 iRestore First Responder App</t>
  </si>
  <si>
    <t>XG198016198</t>
  </si>
  <si>
    <t>XG185016260</t>
  </si>
  <si>
    <t>INVP 4115 Cust Sys Reg Man All Ret</t>
  </si>
  <si>
    <t>XC175015515</t>
  </si>
  <si>
    <t>INVP 4119 AMR Opt-Out Charges</t>
  </si>
  <si>
    <t>XC434015662</t>
  </si>
  <si>
    <t>INVP 4124 Automate Remote Net Metering</t>
  </si>
  <si>
    <t>90000167406</t>
  </si>
  <si>
    <t>90000181796</t>
  </si>
  <si>
    <t>XC198015802</t>
  </si>
  <si>
    <t>INVP 4133 LI Stabilization</t>
  </si>
  <si>
    <t>90000163306</t>
  </si>
  <si>
    <t>X5230015663</t>
  </si>
  <si>
    <t>INVP 4136 DigSafe NE</t>
  </si>
  <si>
    <t>XG303015879</t>
  </si>
  <si>
    <t>INVP 4136 DigSafe NE (includes RI)</t>
  </si>
  <si>
    <t>XG313016520</t>
  </si>
  <si>
    <t>INVP 4137 Massachusetts Retail Access Mandates</t>
  </si>
  <si>
    <t>90000180029</t>
  </si>
  <si>
    <t>XC277016563</t>
  </si>
  <si>
    <t>INVP 4170 Time Transformation Program</t>
  </si>
  <si>
    <t>90000181659</t>
  </si>
  <si>
    <t>XG020016772</t>
  </si>
  <si>
    <t>INVP 4172 Cross Company Enhancements</t>
  </si>
  <si>
    <t>90000164925</t>
  </si>
  <si>
    <t>XC175015801</t>
  </si>
  <si>
    <t>INVP 4176 Operations MW FY17</t>
  </si>
  <si>
    <t>XG146016201</t>
  </si>
  <si>
    <t>INVP 4183 KEDNY Automatic Meter Reading</t>
  </si>
  <si>
    <t>90000167933</t>
  </si>
  <si>
    <t>X5220015835</t>
  </si>
  <si>
    <t>INVP 4185 Customer and Digital Operational Mandates MW FY17</t>
  </si>
  <si>
    <t>XC175016235</t>
  </si>
  <si>
    <t>INVP 4188 - Aging System Stabilize</t>
  </si>
  <si>
    <t>90000176078</t>
  </si>
  <si>
    <t>INVP 4188 Aging System</t>
  </si>
  <si>
    <t>XG175016336</t>
  </si>
  <si>
    <t>X5020017929</t>
  </si>
  <si>
    <t>XG148016519</t>
  </si>
  <si>
    <t>INVP 4192 Windows 2000 Web Servers Risk</t>
  </si>
  <si>
    <t>XG175016284</t>
  </si>
  <si>
    <t>INVP 4193 RI Street Light Metering Pilot</t>
  </si>
  <si>
    <t>X536E016281</t>
  </si>
  <si>
    <t>INVP 4195 Gridforce Connection Security Upgrade</t>
  </si>
  <si>
    <t>90000170289</t>
  </si>
  <si>
    <t>XC173015884</t>
  </si>
  <si>
    <t>INVP 4208 Customer Systems Operations MW FY17</t>
  </si>
  <si>
    <t>XC175016244</t>
  </si>
  <si>
    <t>INVP 4214 FERC Wholesale Customer System</t>
  </si>
  <si>
    <t>90000182645</t>
  </si>
  <si>
    <t>XT221016786</t>
  </si>
  <si>
    <t>XT400017197</t>
  </si>
  <si>
    <t>INVP 4217 BPC - HANA</t>
  </si>
  <si>
    <t>90000186317</t>
  </si>
  <si>
    <t>X5020017921</t>
  </si>
  <si>
    <t>XG020016325</t>
  </si>
  <si>
    <t>INVP 4218 - Blanket WO</t>
  </si>
  <si>
    <t>90000178859</t>
  </si>
  <si>
    <t>XG020016515</t>
  </si>
  <si>
    <t>2745</t>
  </si>
  <si>
    <t>INVP 4219 Power Plan Upgrade</t>
  </si>
  <si>
    <t>90000176040</t>
  </si>
  <si>
    <t>XG020016295</t>
  </si>
  <si>
    <t>INVP 4222 GRC environment upgrade</t>
  </si>
  <si>
    <t>90000186318</t>
  </si>
  <si>
    <t>XG020017505</t>
  </si>
  <si>
    <t>INVP 4223 US SAP: Business Objects Environment (BOE) Update (annual)</t>
  </si>
  <si>
    <t>90000176041</t>
  </si>
  <si>
    <t>2785</t>
  </si>
  <si>
    <t>XG020016285</t>
  </si>
  <si>
    <t>INVP 4224 US SAP: Annual HANA update</t>
  </si>
  <si>
    <t>90000176043</t>
  </si>
  <si>
    <t>XG020016286</t>
  </si>
  <si>
    <t>INVP 4225 US SAP: Ancillary SAP Application Updates</t>
  </si>
  <si>
    <t>90000176046</t>
  </si>
  <si>
    <t>XG020016287</t>
  </si>
  <si>
    <t>INVP 4226 Ariba Updates</t>
  </si>
  <si>
    <t>XG020016326</t>
  </si>
  <si>
    <t>INVP 4244 EBB Gas Trading</t>
  </si>
  <si>
    <t>90000171826</t>
  </si>
  <si>
    <t>XC210015841</t>
  </si>
  <si>
    <t>INVP 4261 Service Now 17/18 Continuous Improvement (Service Now Release 3)</t>
  </si>
  <si>
    <t>X5020018158</t>
  </si>
  <si>
    <t>INVP 4263 US Web Auth</t>
  </si>
  <si>
    <t>90000170290</t>
  </si>
  <si>
    <t>XG020015880</t>
  </si>
  <si>
    <t>INVP 4266 Windows 7 Phase 3</t>
  </si>
  <si>
    <t>90000170292</t>
  </si>
  <si>
    <t>XG020015876</t>
  </si>
  <si>
    <t>INVP4267 US WAN bandwidth upgrades</t>
  </si>
  <si>
    <t>X5020019062</t>
  </si>
  <si>
    <t>INVP4269 US WAN bandwidth upgrades</t>
  </si>
  <si>
    <t>90000187979</t>
  </si>
  <si>
    <t>INVP 4269 RAS/VPN Re-Platform/Mobile</t>
  </si>
  <si>
    <t>X5020017735</t>
  </si>
  <si>
    <t>INVP 4274 VSTIG Hardware Refresh</t>
  </si>
  <si>
    <t>90000181680</t>
  </si>
  <si>
    <t>XG020016788</t>
  </si>
  <si>
    <t>INVP 4279 US Citrix Rationalisation</t>
  </si>
  <si>
    <t>X5020017829</t>
  </si>
  <si>
    <t>INVP 4280 VSTIG Phase 2</t>
  </si>
  <si>
    <t>90000176460</t>
  </si>
  <si>
    <t>XG020016524</t>
  </si>
  <si>
    <t>INVP 4286 AD Blueprint</t>
  </si>
  <si>
    <t>XG020016525</t>
  </si>
  <si>
    <t>INVP 4287 Active Directory upgrade</t>
  </si>
  <si>
    <t>XG020017603</t>
  </si>
  <si>
    <t>INVP 4288 Active Directory Remediation Project</t>
  </si>
  <si>
    <t>XG020016789</t>
  </si>
  <si>
    <t>INVP 4289 US Network Improvement</t>
  </si>
  <si>
    <t>90000178447</t>
  </si>
  <si>
    <t>XG020016337</t>
  </si>
  <si>
    <t>INVP 4298 NY REV Clifton Park Demo IS Readiness</t>
  </si>
  <si>
    <t>90000178432</t>
  </si>
  <si>
    <t>X521E016531</t>
  </si>
  <si>
    <t>INVP 4307 XP to WIN7</t>
  </si>
  <si>
    <t>90000175959</t>
  </si>
  <si>
    <t>XG020016338</t>
  </si>
  <si>
    <t>INVP 4313 Disconnect Notices</t>
  </si>
  <si>
    <t>X5220015834</t>
  </si>
  <si>
    <t>INVP 4323 Mainframe Upgrade</t>
  </si>
  <si>
    <t>90000171825</t>
  </si>
  <si>
    <t>XG020016236</t>
  </si>
  <si>
    <t>INVP 4324 21st Century - Frame Relay Termination</t>
  </si>
  <si>
    <t>XC198015883</t>
  </si>
  <si>
    <t>INVP 4331 T-Systems Data Center Move</t>
  </si>
  <si>
    <t>XG020016231</t>
  </si>
  <si>
    <t>INVP 4347 NYC Leave on for Landlord Program</t>
  </si>
  <si>
    <t>90000176585</t>
  </si>
  <si>
    <t>X5220016327</t>
  </si>
  <si>
    <t>INVP 4348 US SAP: Infrastructure Landscape (Partial R-D)</t>
  </si>
  <si>
    <t>90000185525</t>
  </si>
  <si>
    <t>INVP 4348 US SAP Landscape Infrastructure</t>
  </si>
  <si>
    <t>X5020018221</t>
  </si>
  <si>
    <t>XG020017302</t>
  </si>
  <si>
    <t>INVP 4350 Control Center MW FY17</t>
  </si>
  <si>
    <t>XG146016294</t>
  </si>
  <si>
    <t>INVP 4353 SAP PowerPlan Front Office Maintenance of Business</t>
  </si>
  <si>
    <t>XG020016232</t>
  </si>
  <si>
    <t>INVP 4354 US FSSC MW FY17</t>
  </si>
  <si>
    <t>XG020016245</t>
  </si>
  <si>
    <t>INVP 4357 GIS LED Streetlight</t>
  </si>
  <si>
    <t>XG198016527</t>
  </si>
  <si>
    <t>INVP 4362 Legacy DMZ migration to vSTIG</t>
  </si>
  <si>
    <t>XG020017092</t>
  </si>
  <si>
    <t>INVP 4363 HHS Performance Measures Files</t>
  </si>
  <si>
    <t>XC170016570</t>
  </si>
  <si>
    <t>INVP 4364 Wireless Improvement</t>
  </si>
  <si>
    <t>90000176079</t>
  </si>
  <si>
    <t>XG020016339</t>
  </si>
  <si>
    <t>INVP 4365 Medical System</t>
  </si>
  <si>
    <t>XG027016455</t>
  </si>
  <si>
    <t>INVP 4368 DMZ Migration</t>
  </si>
  <si>
    <t>XG020016340</t>
  </si>
  <si>
    <t>INVP 4373-Contingent Labor Admin Replacement</t>
  </si>
  <si>
    <t>90000180521</t>
  </si>
  <si>
    <t>XG020016663</t>
  </si>
  <si>
    <t>INVP 4377A Data Center Capacity Increase</t>
  </si>
  <si>
    <t>X5020018655</t>
  </si>
  <si>
    <t>INVP 4379 US Control aDMS Functional Testing</t>
  </si>
  <si>
    <t>X521E016632</t>
  </si>
  <si>
    <t>XG198016565</t>
  </si>
  <si>
    <t>INVP 4382 US Digital Communications - Do Not Use</t>
  </si>
  <si>
    <t>XG020016529</t>
  </si>
  <si>
    <t>INVP 4383 NY Community Choice Aggregation</t>
  </si>
  <si>
    <t>90000181728</t>
  </si>
  <si>
    <t>INVP 4383 NY Community Choice Aggregation -</t>
  </si>
  <si>
    <t>XC170016765</t>
  </si>
  <si>
    <t>XC436017536</t>
  </si>
  <si>
    <t>INVP 4386 Audio Conf Migration</t>
  </si>
  <si>
    <t>XG020016564</t>
  </si>
  <si>
    <t>INVP 4390 Plastic Fusion Phase 2</t>
  </si>
  <si>
    <t>90000184883</t>
  </si>
  <si>
    <t>XG210016794</t>
  </si>
  <si>
    <t>INVP 4391 US Operations Minor Works FY18</t>
  </si>
  <si>
    <t>XG148017303</t>
  </si>
  <si>
    <t>INVP 4392 PPM Improvements</t>
  </si>
  <si>
    <t>90000183489</t>
  </si>
  <si>
    <t>XG020016657</t>
  </si>
  <si>
    <t>INVP 4393 Technical Minor Works FY18</t>
  </si>
  <si>
    <t>XG020018049</t>
  </si>
  <si>
    <t>INVP 4394 New England Gas Leakage Rechecks-Rollout to MA Yards</t>
  </si>
  <si>
    <t>XG310016658</t>
  </si>
  <si>
    <t>INVP 4395 US Mobile Device Refresh - FY18</t>
  </si>
  <si>
    <t>90000184599</t>
  </si>
  <si>
    <t>X5020017403</t>
  </si>
  <si>
    <t>XG175017087</t>
  </si>
  <si>
    <t>INVP 4397 Ariba TLS and CI Update</t>
  </si>
  <si>
    <t>90000179463</t>
  </si>
  <si>
    <t>XG020016660</t>
  </si>
  <si>
    <t>INVP 4399 FSSC&amp;HR Minor Works FY18</t>
  </si>
  <si>
    <t>XG020017329</t>
  </si>
  <si>
    <t>INVP 4400 HR &amp; Payroll Mand Svc Pck</t>
  </si>
  <si>
    <t>90000182311</t>
  </si>
  <si>
    <t>XG020017053</t>
  </si>
  <si>
    <t>INVP 4401 SAP Powerplan Maintenance of Business (MOB)</t>
  </si>
  <si>
    <t>XG020017301</t>
  </si>
  <si>
    <t>INVP 4402 Regulatory Support</t>
  </si>
  <si>
    <t>XG020017314</t>
  </si>
  <si>
    <t>INVP 4403 Annual Ariba Upgrades</t>
  </si>
  <si>
    <t>XG020017315</t>
  </si>
  <si>
    <t>INVP 4411A New Customer Connections Program</t>
  </si>
  <si>
    <t>90000179919</t>
  </si>
  <si>
    <t>X521E016630</t>
  </si>
  <si>
    <t>INVP 4411B Distributed Generation NE</t>
  </si>
  <si>
    <t>XC284017278</t>
  </si>
  <si>
    <t>INVP 4411C New Electric Connections</t>
  </si>
  <si>
    <t>XC198017279</t>
  </si>
  <si>
    <t>INVP 4420 US CNI OMS FocalPoint Infrastr</t>
  </si>
  <si>
    <t>90000180815</t>
  </si>
  <si>
    <t>XG198016775</t>
  </si>
  <si>
    <t>INVP 4421 New Arrearage Forgiveness Plan</t>
  </si>
  <si>
    <t>90000185451</t>
  </si>
  <si>
    <t>XG316016709</t>
  </si>
  <si>
    <t>INVP 4429 KEDLI Rate Case</t>
  </si>
  <si>
    <t>X5230016764</t>
  </si>
  <si>
    <t>INVP 4448 Low Income Order - CSS</t>
  </si>
  <si>
    <t>90000179970</t>
  </si>
  <si>
    <t>INVP 4448 Low Income Order - CRIS</t>
  </si>
  <si>
    <t>90000179973</t>
  </si>
  <si>
    <t>X5220016720</t>
  </si>
  <si>
    <t>INVP 4448 Low Income Order -</t>
  </si>
  <si>
    <t>XC170016634</t>
  </si>
  <si>
    <t>XC195016719</t>
  </si>
  <si>
    <t>INVP 4449 EPA Portfolio Manager Intergration</t>
  </si>
  <si>
    <t>90000185433</t>
  </si>
  <si>
    <t>XC175017370</t>
  </si>
  <si>
    <t>INVP 4451 Gas Transportation System Phase II</t>
  </si>
  <si>
    <t>90000181097</t>
  </si>
  <si>
    <t>XG225016725</t>
  </si>
  <si>
    <t>INVP 4453 Continuous Emissions Monitoring Improvements</t>
  </si>
  <si>
    <t>XG324016662</t>
  </si>
  <si>
    <t>INVP 4461 Unix 51 Migration</t>
  </si>
  <si>
    <t>90000182375</t>
  </si>
  <si>
    <t>XG020016767</t>
  </si>
  <si>
    <t>INVP 4462 Computapole Enhancements to Support Inspection Types</t>
  </si>
  <si>
    <t>XT186019060</t>
  </si>
  <si>
    <t>INVP 4464 Data Visualization</t>
  </si>
  <si>
    <t>90000181341</t>
  </si>
  <si>
    <t>XG020016790</t>
  </si>
  <si>
    <t>Gas Capacity Review Database</t>
  </si>
  <si>
    <t>INVP 4468 Gas Capacity Review</t>
  </si>
  <si>
    <t>XC210018316</t>
  </si>
  <si>
    <t>INVP 4469 Informatica Upgrade/Microstrategy Replacement Program F&amp;A</t>
  </si>
  <si>
    <t>XG227017030</t>
  </si>
  <si>
    <t>Mandated IS Projects FY18</t>
  </si>
  <si>
    <t>INVP 4470 Customer Mandated Project FY18</t>
  </si>
  <si>
    <t>XC175017368</t>
  </si>
  <si>
    <t>INVP 4473 US Control-UNY Electric Control Rooms Voice Recorder Upgrade</t>
  </si>
  <si>
    <t>90000182614</t>
  </si>
  <si>
    <t>INVP 4477 Customer Minor Works FY18</t>
  </si>
  <si>
    <t>XC175017300</t>
  </si>
  <si>
    <t>INVP 4478 Mobile Material Assistant Upgrade (MMA)</t>
  </si>
  <si>
    <t>XG020018980</t>
  </si>
  <si>
    <t>INVP 4479 US Control-Gas Electronic Bulletin Board (EBB) Upgrade</t>
  </si>
  <si>
    <t>XG210017831</t>
  </si>
  <si>
    <t>INVP 4480 Gas System Operating Procedure (SOP) Updgrade</t>
  </si>
  <si>
    <t>XG209018657</t>
  </si>
  <si>
    <t>INVP 4486 GL Interface CRIS to SAP</t>
  </si>
  <si>
    <t>90000186849</t>
  </si>
  <si>
    <t>XG384017309</t>
  </si>
  <si>
    <t>Changes to ACIS for PMCC Civil Vendor Billing</t>
  </si>
  <si>
    <t>INVP 4487 Changes to ACIS for PMCC Civil Vendor Billing</t>
  </si>
  <si>
    <t>XR198018224</t>
  </si>
  <si>
    <t>X5020018226</t>
  </si>
  <si>
    <t>X5020017406</t>
  </si>
  <si>
    <t>90000187968</t>
  </si>
  <si>
    <t>INVP 4495 SCI connections</t>
  </si>
  <si>
    <t>X5020017584</t>
  </si>
  <si>
    <t>INVP 4497 US Video Conference Programme</t>
  </si>
  <si>
    <t>90000188239</t>
  </si>
  <si>
    <t>X5020017827</t>
  </si>
  <si>
    <t>INVP 4529 Service Now Deployment- Release 2</t>
  </si>
  <si>
    <t>XG020016766</t>
  </si>
  <si>
    <t>INVP 4554 Nightcrawler Asset Upgrade</t>
  </si>
  <si>
    <t>XC210017832</t>
  </si>
  <si>
    <t>INVP 4555 RI Renew Energy Prog chgs</t>
  </si>
  <si>
    <t>90000185972</t>
  </si>
  <si>
    <t>X536E017306</t>
  </si>
  <si>
    <t>INVP 4557 US SAP: Report Optimization</t>
  </si>
  <si>
    <t>X5020017404</t>
  </si>
  <si>
    <t>XG020017140</t>
  </si>
  <si>
    <t>INVP 4559 US SAP: Access Violation Management, Phase 2</t>
  </si>
  <si>
    <t>90000182171</t>
  </si>
  <si>
    <t>XG020017141</t>
  </si>
  <si>
    <t>INVP 4568 US CNI-EMS and OMS Lifecycle Hardware Upgrade</t>
  </si>
  <si>
    <t>XT186018317</t>
  </si>
  <si>
    <t>INVP 4570 US CNI Network Equip Rep</t>
  </si>
  <si>
    <t>XG186017088</t>
  </si>
  <si>
    <t>INVP 4575 Software Defined Networking</t>
  </si>
  <si>
    <t>90000182164</t>
  </si>
  <si>
    <t>X5020017922</t>
  </si>
  <si>
    <t>XG020017058</t>
  </si>
  <si>
    <t>INVP 4577 Call Manager Upgrade</t>
  </si>
  <si>
    <t>90000182166</t>
  </si>
  <si>
    <t>X5020017923</t>
  </si>
  <si>
    <t>XG020017054</t>
  </si>
  <si>
    <t>INVP 4583 NY REV Distr System Platf</t>
  </si>
  <si>
    <t>X521E017277</t>
  </si>
  <si>
    <t>INVP 4584 Review of DRMS Proposals and Integration of Selected DRMS into Nationa Grid Systems</t>
  </si>
  <si>
    <t>XG198017027</t>
  </si>
  <si>
    <t>INVP 4588 US SAP: Upgrade Solution Manager</t>
  </si>
  <si>
    <t>90000182172</t>
  </si>
  <si>
    <t>XG020017142</t>
  </si>
  <si>
    <t>INVP 4591 NY REV: Distributed System Implementation Plan</t>
  </si>
  <si>
    <t>X521E016797</t>
  </si>
  <si>
    <t>INVP 4593 US GIS Landbase Data Acquisition, Asset Realignment, and Gas Services Mapping</t>
  </si>
  <si>
    <t>XG210016795</t>
  </si>
  <si>
    <t>INVP 4605 Strategy Work - End User Computing, Data Center and Network:</t>
  </si>
  <si>
    <t>X5020017924</t>
  </si>
  <si>
    <t>XG020017066</t>
  </si>
  <si>
    <t>INVP 4606 Data Visualization Expansion</t>
  </si>
  <si>
    <t>90000188602</t>
  </si>
  <si>
    <t>X5020017772</t>
  </si>
  <si>
    <t>INVP 4631 Box Enablement</t>
  </si>
  <si>
    <t>90000183491</t>
  </si>
  <si>
    <t>XG020016858</t>
  </si>
  <si>
    <t>INVP 4632 US Video Conference Room Upgrade for Res Woods</t>
  </si>
  <si>
    <t>90000182162</t>
  </si>
  <si>
    <t>X5020017407</t>
  </si>
  <si>
    <t>XG020017070</t>
  </si>
  <si>
    <t>INVP 4642 Microsoft ELA renewal</t>
  </si>
  <si>
    <t>Corp IS</t>
  </si>
  <si>
    <t>90000183143</t>
  </si>
  <si>
    <t>XG020017065</t>
  </si>
  <si>
    <t>INVP 4645 Refresh of network equipment at Verizon supported Sites (transformed sites-core infrastructure sites)</t>
  </si>
  <si>
    <t>90000182165</t>
  </si>
  <si>
    <t>X5020017925</t>
  </si>
  <si>
    <t>XG020017057</t>
  </si>
  <si>
    <t>INVP 4648 Network Tx-CEMS</t>
  </si>
  <si>
    <t>90000182167</t>
  </si>
  <si>
    <t>XG020017074</t>
  </si>
  <si>
    <t>INVP 4649 HANA Licenses</t>
  </si>
  <si>
    <t>90000182191</t>
  </si>
  <si>
    <t>XG020016976</t>
  </si>
  <si>
    <t>INVP 4651 Operation Telecommunicaton Modernization</t>
  </si>
  <si>
    <t>XG327017091</t>
  </si>
  <si>
    <t>INVP 4653 MyAccount Technical Bluepoint</t>
  </si>
  <si>
    <t>XC175017028</t>
  </si>
  <si>
    <t>INVP 4657 Digital Comms Infonet Audit</t>
  </si>
  <si>
    <t>XG020017247</t>
  </si>
  <si>
    <t>INVP 4662 US SAP Concur Licenses</t>
  </si>
  <si>
    <t>90000188716</t>
  </si>
  <si>
    <t>X5020018222</t>
  </si>
  <si>
    <t>XG020017139</t>
  </si>
  <si>
    <t>INVP 4666 Legal Hold / Clearwell F&amp;A</t>
  </si>
  <si>
    <t>XG020017089</t>
  </si>
  <si>
    <t>INVP 4667 Vision FM Replacement</t>
  </si>
  <si>
    <t>XG331017105</t>
  </si>
  <si>
    <t>INVP 4668 Improve Back-office Syste</t>
  </si>
  <si>
    <t>XG020017085</t>
  </si>
  <si>
    <t>INVP 4669 US SAP: Max attention</t>
  </si>
  <si>
    <t>XG020017143</t>
  </si>
  <si>
    <t>INVP 4670 Acquisition of Remote Sensing Data</t>
  </si>
  <si>
    <t>90000183132</t>
  </si>
  <si>
    <t>INVP 4671 Mobile Device Refresh – FY17</t>
  </si>
  <si>
    <t>90000182190</t>
  </si>
  <si>
    <t>XG175017086</t>
  </si>
  <si>
    <t>INVP 4673 PI Enterprise Deployment</t>
  </si>
  <si>
    <t>90000182192</t>
  </si>
  <si>
    <t>XG327017250</t>
  </si>
  <si>
    <t>INVP 4674 Log Logic</t>
  </si>
  <si>
    <t>90000182182</t>
  </si>
  <si>
    <t>X5020018223</t>
  </si>
  <si>
    <t>XG020017061</t>
  </si>
  <si>
    <t>INVP 4676 VSTIG Forward Proxies Upgrade</t>
  </si>
  <si>
    <t>90000182183</t>
  </si>
  <si>
    <t>XG020017063</t>
  </si>
  <si>
    <t>INVP 4677 App Monitioring</t>
  </si>
  <si>
    <t>90000182184</t>
  </si>
  <si>
    <t>XG020017064</t>
  </si>
  <si>
    <t>INVP 4678 CSC extraction Discovery phase</t>
  </si>
  <si>
    <t>XG020017067</t>
  </si>
  <si>
    <t>INVP 4679 Cisco Prime</t>
  </si>
  <si>
    <t>90000182218</t>
  </si>
  <si>
    <t>X5020017408</t>
  </si>
  <si>
    <t>XG020017069</t>
  </si>
  <si>
    <t>INVP 4680 WAP Density deployment</t>
  </si>
  <si>
    <t>90000182163</t>
  </si>
  <si>
    <t>TIP</t>
  </si>
  <si>
    <t>X5020017926</t>
  </si>
  <si>
    <t>XG020017071</t>
  </si>
  <si>
    <t>INVP 4681 zScaler</t>
  </si>
  <si>
    <t>X5020017927</t>
  </si>
  <si>
    <t>XG020017072</t>
  </si>
  <si>
    <t>INVP 4682 MaaS 360 Payoff</t>
  </si>
  <si>
    <t>XG020017073</t>
  </si>
  <si>
    <t>INVP 4683 RSA Token Purchase</t>
  </si>
  <si>
    <t>90000182175</t>
  </si>
  <si>
    <t>XG020017059</t>
  </si>
  <si>
    <t>INVP 4684 CPE Buyback</t>
  </si>
  <si>
    <t>90000183124</t>
  </si>
  <si>
    <t>X5020017409</t>
  </si>
  <si>
    <t>XG020017060</t>
  </si>
  <si>
    <t>INVP 4687 Network Tx-NB/MTC</t>
  </si>
  <si>
    <t>90000182169</t>
  </si>
  <si>
    <t>XG020017055</t>
  </si>
  <si>
    <t>INVP 4688 Legacy DMZ Firewalls</t>
  </si>
  <si>
    <t>90000182173</t>
  </si>
  <si>
    <t>X5020017928</t>
  </si>
  <si>
    <t>XG020017056</t>
  </si>
  <si>
    <t>INVP 4689 Aged Printer Refresh</t>
  </si>
  <si>
    <t>90000182180</t>
  </si>
  <si>
    <t>XG020017068</t>
  </si>
  <si>
    <t>INVP 4692 Experian NetConnect Upgra</t>
  </si>
  <si>
    <t>X5020017920</t>
  </si>
  <si>
    <t>XG020017308</t>
  </si>
  <si>
    <t>INVP 4693 IS Enterprise Lab</t>
  </si>
  <si>
    <t>90000183035</t>
  </si>
  <si>
    <t>XG020017198</t>
  </si>
  <si>
    <t>INVP 4697 HP Exstream upgra to v9.5</t>
  </si>
  <si>
    <t>XG020017307</t>
  </si>
  <si>
    <t>INVP 4705 NG Labs_US</t>
  </si>
  <si>
    <t>90000183033</t>
  </si>
  <si>
    <t>XG020017229</t>
  </si>
  <si>
    <t>INVP 4706 Apps Interface Remediation</t>
  </si>
  <si>
    <t>X5020018324</t>
  </si>
  <si>
    <t>INVP 4712 DR Remediation F&amp;A</t>
  </si>
  <si>
    <t>X5020018227</t>
  </si>
  <si>
    <t>EMM Phase 2</t>
  </si>
  <si>
    <t>INVP 4714 EMM Phase2</t>
  </si>
  <si>
    <t>90000188992</t>
  </si>
  <si>
    <t>X5020017828</t>
  </si>
  <si>
    <t>INVP 4727 Virtual Desktop - DaaS</t>
  </si>
  <si>
    <t>90000187983</t>
  </si>
  <si>
    <t>X5020017720</t>
  </si>
  <si>
    <t>INVP 4729 Acquisition of Remote Sensing NY Areal Data</t>
  </si>
  <si>
    <t>90000183137</t>
  </si>
  <si>
    <t>INVP 4730 IS Robotics</t>
  </si>
  <si>
    <t>XG020018220</t>
  </si>
  <si>
    <t>INVP 4740 Customer Systems Operational Requirem &amp; Upgr MW FY18</t>
  </si>
  <si>
    <t>XC175017299</t>
  </si>
  <si>
    <t>INVP 4741 Control Ctr Minor Works FY18</t>
  </si>
  <si>
    <t>XG148017305</t>
  </si>
  <si>
    <t>INVP 4742 Electric Operations - Network Strategy MW FY18</t>
  </si>
  <si>
    <t>XG186017298</t>
  </si>
  <si>
    <t>INVP 4748 DG IOAP Phase 2</t>
  </si>
  <si>
    <t>X521E017834</t>
  </si>
  <si>
    <t>INVP 4749 VSTIG refresh IDS card replace</t>
  </si>
  <si>
    <t>90000186956</t>
  </si>
  <si>
    <t>X5020017721</t>
  </si>
  <si>
    <t>INVP 4750 Customer Experience Transformation Tech Program</t>
  </si>
  <si>
    <t>90000187233</t>
  </si>
  <si>
    <t>X5020018230</t>
  </si>
  <si>
    <t>INVP 4750A CXT-Strategic Alignment F&amp;A</t>
  </si>
  <si>
    <t>X5020018325</t>
  </si>
  <si>
    <t>INVP 4750B CXT-My Account Service and Billing Functions F&amp;A</t>
  </si>
  <si>
    <t>X5020018326</t>
  </si>
  <si>
    <t>INVP 4756  IS Sourcing Renewal 2018</t>
  </si>
  <si>
    <t>X5020019061</t>
  </si>
  <si>
    <t>INVP 4757 Cloud Enhancements (Azure Core Service)</t>
  </si>
  <si>
    <t>90000188531</t>
  </si>
  <si>
    <t>X5020017830</t>
  </si>
  <si>
    <t>INVP 4758  Critical Application Resiliency Testing</t>
  </si>
  <si>
    <t>X5020018720</t>
  </si>
  <si>
    <t>XG020018319</t>
  </si>
  <si>
    <t>INVP 4759 MTC and Syracuse Boardrooms &amp; Auditoriums</t>
  </si>
  <si>
    <t>90000187211</t>
  </si>
  <si>
    <t>X5020017722</t>
  </si>
  <si>
    <t>INVP 4760  Mainframe Disaster Recovery Machine</t>
  </si>
  <si>
    <t>90000188532</t>
  </si>
  <si>
    <t>X5020018320</t>
  </si>
  <si>
    <t>INVP 4761 US Foundation Hosting</t>
  </si>
  <si>
    <t>X5020018327</t>
  </si>
  <si>
    <t>INVP 4764-ESCO Calculation forTerminated Customers</t>
  </si>
  <si>
    <t>X5220018979</t>
  </si>
  <si>
    <t>INVP 4778 Dev/Test Migration to Cloud</t>
  </si>
  <si>
    <t>X5020018400</t>
  </si>
  <si>
    <t>INVP 4779 Time Entry Mobility Enab</t>
  </si>
  <si>
    <t>XG020018219</t>
  </si>
  <si>
    <t>INVP 4810  Informatica Upgrade and Microstrategy Replacement</t>
  </si>
  <si>
    <t>XG239018686</t>
  </si>
  <si>
    <t>INVP:4972-Complex Capital Delivery Phase 1</t>
  </si>
  <si>
    <t>90000189378</t>
  </si>
  <si>
    <t>INVP 4972  Complex Capital Delivery Phase 1</t>
  </si>
  <si>
    <t>XG148018687</t>
  </si>
  <si>
    <t>INVP:5029-DXC Capacity Increase</t>
  </si>
  <si>
    <t>90000189283</t>
  </si>
  <si>
    <t>INVP 5029 DXC Capacity Increase</t>
  </si>
  <si>
    <t>X5020018689</t>
  </si>
  <si>
    <t>CIO Office</t>
  </si>
  <si>
    <t>CIO Office Area</t>
  </si>
  <si>
    <t>New CIO Office Area</t>
  </si>
  <si>
    <t>Exec</t>
  </si>
  <si>
    <t>90000172632</t>
  </si>
  <si>
    <t>8362</t>
  </si>
  <si>
    <t>2620</t>
  </si>
  <si>
    <t>Customer Roadmap</t>
  </si>
  <si>
    <t>Customer Systems Roadmap</t>
  </si>
  <si>
    <t>XG020017051</t>
  </si>
  <si>
    <t>FY12D</t>
  </si>
  <si>
    <t>FY12 Design Ops Project Initiation</t>
  </si>
  <si>
    <t>XG020004347</t>
  </si>
  <si>
    <t>FY13F</t>
  </si>
  <si>
    <t>FY13 DESIGN PRJ ST UP (USFP)- BP382</t>
  </si>
  <si>
    <t>XG020004351</t>
  </si>
  <si>
    <t>FY13 Design PRJ ST UP (Net Ops) BP382</t>
  </si>
  <si>
    <t>XG020004350</t>
  </si>
  <si>
    <t>FY13 DESIGN PRJ ST UP (Infrast) BP382</t>
  </si>
  <si>
    <t>XG020004349</t>
  </si>
  <si>
    <t>FY13 DESIGN PRJ ST UP (FSSC)  BP382</t>
  </si>
  <si>
    <t>XG020004348</t>
  </si>
  <si>
    <t>FY13 DESIGN PRJ ST UP (Dig Sec) BP382</t>
  </si>
  <si>
    <t>FY14N</t>
  </si>
  <si>
    <t>XG020004506</t>
  </si>
  <si>
    <t>FY14S</t>
  </si>
  <si>
    <t>FY13 Design PRJ ST UP (Net Strat) BP382</t>
  </si>
  <si>
    <t>IBM Change Mgmt</t>
  </si>
  <si>
    <t>XG020005252</t>
  </si>
  <si>
    <t>PANAS</t>
  </si>
  <si>
    <t>Panasonic XP Rugged Devices</t>
  </si>
  <si>
    <t>INVP Panasonic XP Rugged Devices</t>
  </si>
  <si>
    <t>90000140143</t>
  </si>
  <si>
    <t>5110S IS2736Other Misc RTB BP382 GT03</t>
  </si>
  <si>
    <t>XGT03004516</t>
  </si>
  <si>
    <t>5110S IS2736Other Misc RTB BP382</t>
  </si>
  <si>
    <t>XG020004516</t>
  </si>
  <si>
    <t>W/O 2733</t>
  </si>
  <si>
    <t>XG018006489</t>
  </si>
  <si>
    <t>W/O 2736</t>
  </si>
  <si>
    <t>XG018006494</t>
  </si>
  <si>
    <t>X5020019379</t>
  </si>
  <si>
    <t>INVID:4462-Computapole Enhancements to support Inspection Subtypes</t>
  </si>
  <si>
    <t>90000189709</t>
  </si>
  <si>
    <t>INVID:3986-Cascade Electric Application Upgrade Project</t>
  </si>
  <si>
    <t>90000189707</t>
  </si>
  <si>
    <t>INVID:4480-US Control-Gas System Operating Procedure (SOP) upgrade</t>
  </si>
  <si>
    <t>90000189704</t>
  </si>
  <si>
    <t>INVID:3949-Gas Service Database - UNY</t>
  </si>
  <si>
    <t>90000189701</t>
  </si>
  <si>
    <t>INVID:3948-Gas Service Database - LI</t>
  </si>
  <si>
    <t>90000189698</t>
  </si>
  <si>
    <t>INVID:4411C-New Electric Connections</t>
  </si>
  <si>
    <t>90000189703</t>
  </si>
  <si>
    <t>INVID:4411B-Distributed Generation NE</t>
  </si>
  <si>
    <t>90000189729</t>
  </si>
  <si>
    <t>90000189730</t>
  </si>
  <si>
    <t>INVID:4750B-CXT-My Account Service and Billing Functions F&amp;A</t>
  </si>
  <si>
    <t>90000189747</t>
  </si>
  <si>
    <t xml:space="preserve">Hicksville Fiber </t>
  </si>
  <si>
    <t xml:space="preserve">INVID:4828-Hicksville Fiber </t>
  </si>
  <si>
    <t>XG020019380</t>
  </si>
  <si>
    <t>INVID:4916-Data Management of Mandated Gas Service Line Inspections</t>
  </si>
  <si>
    <t>XG207019362</t>
  </si>
  <si>
    <t>INVID:4975USD-Website Security Protection</t>
  </si>
  <si>
    <t>XG020019071</t>
  </si>
  <si>
    <t>INVID:4975USE-Identity and Access Management (IAM) Unified Platform</t>
  </si>
  <si>
    <t>XG020019072</t>
  </si>
  <si>
    <t>INVID:4529-Service Now Deployment (release 2)</t>
  </si>
  <si>
    <t>90000189992</t>
  </si>
  <si>
    <t>INVID:5150-Smallworld Stabilization (Phase 1)</t>
  </si>
  <si>
    <t>XG162019432</t>
  </si>
  <si>
    <t>INVID:5023-DG IOAP Phase 2 Screens A &amp; B</t>
  </si>
  <si>
    <t>X521E019433</t>
  </si>
  <si>
    <t>INVID:4891-Customer Data Visualization Expansion</t>
  </si>
  <si>
    <t>X5020019436</t>
  </si>
  <si>
    <t>INVID:4771D-@Risk Software for CCDI</t>
  </si>
  <si>
    <t>XG148019447</t>
  </si>
  <si>
    <t>INVID:4914-EMS Lifecycle Hardware and Software Upgrade</t>
  </si>
  <si>
    <t>X5020019448</t>
  </si>
  <si>
    <t>INVID:4941-Robotics / Process Automation Implementation</t>
  </si>
  <si>
    <t>XG020019449</t>
  </si>
  <si>
    <t>Refresh of 100 Legacy Access Points</t>
  </si>
  <si>
    <t>INVID:5087-Refresh of 100 Legacy Access Points</t>
  </si>
  <si>
    <t>X5020019450</t>
  </si>
  <si>
    <t>INVID:5159-NMPC Rate Case</t>
  </si>
  <si>
    <t>XG114019451</t>
  </si>
  <si>
    <t>INVID:4478-Mobile Material Assistant Upgrade (MMA)</t>
  </si>
  <si>
    <t>90000190259</t>
  </si>
  <si>
    <t>X5020019478</t>
  </si>
  <si>
    <t>INVID:4377A-Melville Data Centre Clearance (DXC DC Capacity Increase)</t>
  </si>
  <si>
    <t>90000190321</t>
  </si>
  <si>
    <t>INVID:5090-VC Upgrades - 5 Aged Sites</t>
  </si>
  <si>
    <t>X5020019438</t>
  </si>
  <si>
    <t>INVID:5167-Customer Data Visualization Distributed Generation Expansion</t>
  </si>
  <si>
    <t>X5020019439</t>
  </si>
  <si>
    <t>INVID:4809-US Control-Gas Electronic Bulletin Board (EBB) Upgrade</t>
  </si>
  <si>
    <t>XC378019479</t>
  </si>
  <si>
    <t>INVID:5179-Create new Tableau Regulatory Environment</t>
  </si>
  <si>
    <t>XT148019480</t>
  </si>
  <si>
    <t>INVID:5089-Windows 10 Foundation Deployment</t>
  </si>
  <si>
    <t>X5020019481</t>
  </si>
  <si>
    <t>INVID:4817-Certificate of Compliance Service Transition</t>
  </si>
  <si>
    <t>XG020019483</t>
  </si>
  <si>
    <t>INVID:5088-Res Woods Wireless LAN Enhancements</t>
  </si>
  <si>
    <t>X5020019484</t>
  </si>
  <si>
    <t>90000190718</t>
  </si>
  <si>
    <t>INVID:3982-dobleARMS</t>
  </si>
  <si>
    <t>90000190734</t>
  </si>
  <si>
    <t>90000190738</t>
  </si>
  <si>
    <t>INVID:4468-Gas Capacity Request Database</t>
  </si>
  <si>
    <t>90000190837</t>
  </si>
  <si>
    <t xml:space="preserve">INVID:4771-Complex Capital Delivery Phase 2  </t>
  </si>
  <si>
    <t>90000190928</t>
  </si>
  <si>
    <t xml:space="preserve">US Field Force Help Desk </t>
  </si>
  <si>
    <t xml:space="preserve">INVID:5186-US Field Force Help Desk </t>
  </si>
  <si>
    <t>XG020019612</t>
  </si>
  <si>
    <t xml:space="preserve">INVID:4487-Changes to ACIS for PMCC Civil Vendor Billing  </t>
  </si>
  <si>
    <t>XG185019615</t>
  </si>
  <si>
    <t>INVID:5199-AIX upgrade</t>
  </si>
  <si>
    <t>X5020019614</t>
  </si>
  <si>
    <t>XG378019479</t>
  </si>
  <si>
    <t>INVID:4746-Add Effective Date to CRIS-Customer System (NACHA)</t>
  </si>
  <si>
    <t>XC343019626</t>
  </si>
  <si>
    <t>INVID:5132-Add Effective Date to CSS-Customer System (NACHA)</t>
  </si>
  <si>
    <t>XC434019627</t>
  </si>
  <si>
    <t>INVID:5180-CRIS Transactional Email</t>
  </si>
  <si>
    <t>XC343019628</t>
  </si>
  <si>
    <t>90000191234</t>
  </si>
  <si>
    <t>90000191236</t>
  </si>
  <si>
    <t>INVID:5152-Power Plant Operations Continuous Emissions Monitoring Network Improvement</t>
  </si>
  <si>
    <t>XG324019644</t>
  </si>
  <si>
    <t>90000191451</t>
  </si>
  <si>
    <t>X5020019647</t>
  </si>
  <si>
    <t>90000191474</t>
  </si>
  <si>
    <t>INVID:3901-Virtual Desktop for Offshore</t>
  </si>
  <si>
    <t>90000191659</t>
  </si>
  <si>
    <t>INVID:4584-Review of DRMS Proposals and Integration of Selected DRMS into National Gr</t>
  </si>
  <si>
    <t>90000191661</t>
  </si>
  <si>
    <t>90000191673</t>
  </si>
  <si>
    <t>90000191697</t>
  </si>
  <si>
    <t>90000191696</t>
  </si>
  <si>
    <t>90000191683</t>
  </si>
  <si>
    <t>INVID:5087-Refresh of Legacy Access Points</t>
  </si>
  <si>
    <t>90000191678</t>
  </si>
  <si>
    <t>90000191709</t>
  </si>
  <si>
    <t>90000191789</t>
  </si>
  <si>
    <t>INVID:4493-Monitoring and Alerting</t>
  </si>
  <si>
    <t>XG020019746</t>
  </si>
  <si>
    <t>X5020019747</t>
  </si>
  <si>
    <t>90000191902</t>
  </si>
  <si>
    <t>INVID:4274-VSTIG Reverse Proxy</t>
  </si>
  <si>
    <t>XC175019934</t>
  </si>
  <si>
    <t>CXT IAM Development</t>
  </si>
  <si>
    <t>INVID:4750C-CXT IAM Development</t>
  </si>
  <si>
    <t>XC175020001</t>
  </si>
  <si>
    <t>Customer Roadmap Phase II</t>
  </si>
  <si>
    <t>Customer Systems Roadmap Phase II</t>
  </si>
  <si>
    <t>XC175019978</t>
  </si>
  <si>
    <t>90000192067</t>
  </si>
  <si>
    <t>INVID:4395-US Mobile Device Refresh FY18</t>
  </si>
  <si>
    <t>90000192057</t>
  </si>
  <si>
    <t>90000192058</t>
  </si>
  <si>
    <t>90000192059</t>
  </si>
  <si>
    <t>90000192060</t>
  </si>
  <si>
    <t>90000192061</t>
  </si>
  <si>
    <t>90000192062</t>
  </si>
  <si>
    <t>90000192064</t>
  </si>
  <si>
    <t>90000192065</t>
  </si>
  <si>
    <t>INVID:4267-US WAN bandwidth upgrades</t>
  </si>
  <si>
    <t>XG020019944</t>
  </si>
  <si>
    <t>INVID:4269-US RAS Re-Platform</t>
  </si>
  <si>
    <t>XG020019945</t>
  </si>
  <si>
    <t>INVID:4497-US video Conferencing Program</t>
  </si>
  <si>
    <t>XG020019947</t>
  </si>
  <si>
    <t>INVID:4706-Apps Interface Remediation</t>
  </si>
  <si>
    <t>XG020019948</t>
  </si>
  <si>
    <t>INVID:4712-DR Remediation F&amp;A</t>
  </si>
  <si>
    <t>XG020019949</t>
  </si>
  <si>
    <t>INVID:4714-EMM Phase 2</t>
  </si>
  <si>
    <t>XG020019950</t>
  </si>
  <si>
    <t>INVID:4727-Virtual Desktop - DaaS</t>
  </si>
  <si>
    <t>XG020019951</t>
  </si>
  <si>
    <t>INVID:4749-VSTIG Refresh - IDS cards replacement</t>
  </si>
  <si>
    <t>XG020019952</t>
  </si>
  <si>
    <t>INVID:4756-IS Sourcing Renewal 2018</t>
  </si>
  <si>
    <t>XG020019953</t>
  </si>
  <si>
    <t>INVID:4757-Cloud Enhancements (Azure Core Service)</t>
  </si>
  <si>
    <t>XG020019954</t>
  </si>
  <si>
    <t>INVID:4759-MTC and Syracuse Boardrooms &amp; Auditoriums</t>
  </si>
  <si>
    <t>XG020019955</t>
  </si>
  <si>
    <t>INVID:4760-Mainframe Disaster Recovery Machine</t>
  </si>
  <si>
    <t>XG020019956</t>
  </si>
  <si>
    <t>INVID:4778-Dev/test migration to cloud</t>
  </si>
  <si>
    <t>XC434019958</t>
  </si>
  <si>
    <t>XG020019959</t>
  </si>
  <si>
    <t>XG020019960</t>
  </si>
  <si>
    <t>XN012019961</t>
  </si>
  <si>
    <t>XG020019962</t>
  </si>
  <si>
    <t>XG020019963</t>
  </si>
  <si>
    <t>X5020019965</t>
  </si>
  <si>
    <t>INVID:4606-Data Visualisation Expansion</t>
  </si>
  <si>
    <t>XG020019966</t>
  </si>
  <si>
    <t>INVID:4750A-CXT-Strategic Alignment F&amp;A</t>
  </si>
  <si>
    <t>XC175019967</t>
  </si>
  <si>
    <t>XC175019968</t>
  </si>
  <si>
    <t>XG020019969</t>
  </si>
  <si>
    <t>XC175019970</t>
  </si>
  <si>
    <t>XG186019971</t>
  </si>
  <si>
    <t>90000192151</t>
  </si>
  <si>
    <t>INVID:5178-Nantucket Substation IS Network for Tesla Battery and Solar Mico Turbine s</t>
  </si>
  <si>
    <t>X5320020168</t>
  </si>
  <si>
    <t>INVID:5026-FY19 Customer Billing Operations Minor Works</t>
  </si>
  <si>
    <t>XG020020169</t>
  </si>
  <si>
    <t>90000192328</t>
  </si>
  <si>
    <t>INVID:5186-US Field Force Help Desk - MA Gas</t>
  </si>
  <si>
    <t>90000192342</t>
  </si>
  <si>
    <t>90000192346</t>
  </si>
  <si>
    <t>90000192347</t>
  </si>
  <si>
    <t>90000192349</t>
  </si>
  <si>
    <t>INVID:4813-Global Financial Performance Reporting</t>
  </si>
  <si>
    <t>90000192352</t>
  </si>
  <si>
    <t>90000192752</t>
  </si>
  <si>
    <t>INVID:5216-Customer Minor Works FY19</t>
  </si>
  <si>
    <t>XC175020261</t>
  </si>
  <si>
    <t>INVID:4752-AMAG OS Upgrade 2012 R2</t>
  </si>
  <si>
    <t>XG020020303</t>
  </si>
  <si>
    <t>INVID:5108-GTIS  - Slice of System</t>
  </si>
  <si>
    <t>X521G020307</t>
  </si>
  <si>
    <t>INVID:4966-SAP/PowerPlan/Front Office Maintenance of Business (MOB) - FY19</t>
  </si>
  <si>
    <t>XG020020309</t>
  </si>
  <si>
    <t>INVID:4968-FSSC&amp;HR Corporate Minor Work (non SAP) - FY19</t>
  </si>
  <si>
    <t>XG020020310</t>
  </si>
  <si>
    <t>Annual upgrades for SAP Cloud Modules – FY19</t>
  </si>
  <si>
    <t>INVID:4969-Annual upgrades for SAP Cloud Modules – FY19</t>
  </si>
  <si>
    <t>XG020020311</t>
  </si>
  <si>
    <t>INVID:4923-US Operations and Engineering Minor Works- FY19</t>
  </si>
  <si>
    <t>XG020020312</t>
  </si>
  <si>
    <t>XG020020313</t>
  </si>
  <si>
    <t>90000192808</t>
  </si>
  <si>
    <t>INVID:3910-Legal Hold System Hardware and Software Upgrades</t>
  </si>
  <si>
    <t>XG020020329</t>
  </si>
  <si>
    <t>INVID:5175-NY Gas Service Line Inspection</t>
  </si>
  <si>
    <t>XG207020330</t>
  </si>
  <si>
    <t>INVID:4967-US SAP Regulatory Requirements, Reporting &amp; Rate Case support- FY19</t>
  </si>
  <si>
    <t>XG020020331</t>
  </si>
  <si>
    <t>INVID:4821-NY Tax Remittance and Reporting Corrections</t>
  </si>
  <si>
    <t>XC195020391</t>
  </si>
  <si>
    <t>INVID:5267-Data Visualization Evolution F&amp;A</t>
  </si>
  <si>
    <t>XG020020395</t>
  </si>
  <si>
    <t>INVID:4702-Construction Safety Management</t>
  </si>
  <si>
    <t>XG210020396</t>
  </si>
  <si>
    <t>INVID:4934-CYME Server and Gateway</t>
  </si>
  <si>
    <t>X521E020393</t>
  </si>
  <si>
    <t>INVID:4965-Annual HR &amp; Payroll Mandatory Service Pack Upgrade (HRSP) - FY19</t>
  </si>
  <si>
    <t>XG020020414</t>
  </si>
  <si>
    <t>INVID:4981-Cloud Orchestration, Self service and Broker</t>
  </si>
  <si>
    <t>XG020020461</t>
  </si>
  <si>
    <t>INVID:5228-Rhode Island Rate Case</t>
  </si>
  <si>
    <t>XG316020462</t>
  </si>
  <si>
    <t>INVID:5122-NY Collaborative on AMI</t>
  </si>
  <si>
    <t>XG113020463</t>
  </si>
  <si>
    <t>5110S-INVP5186-USFF Help Desk -All</t>
  </si>
  <si>
    <t>XG020020483</t>
  </si>
  <si>
    <t>90000194681</t>
  </si>
  <si>
    <t>INVID:5223-MA Rate Case</t>
  </si>
  <si>
    <t>XG310020492</t>
  </si>
  <si>
    <t>INVID:5120-NE IPC Phone Upgrade</t>
  </si>
  <si>
    <t>90000194844</t>
  </si>
  <si>
    <t xml:space="preserve">INVID:5226-AVLS - Old 3G Modem Replacement </t>
  </si>
  <si>
    <t>XG434020494</t>
  </si>
  <si>
    <t>INVID:4768-Data Visualization Evolution</t>
  </si>
  <si>
    <t>XG020020495</t>
  </si>
  <si>
    <t>INVID:5092-Application and Database Optimization</t>
  </si>
  <si>
    <t>XG175020488</t>
  </si>
  <si>
    <t>INVID:4750D-CXT MyAccount MVP</t>
  </si>
  <si>
    <t>XC175020518</t>
  </si>
  <si>
    <t>INVID:4926-Waste Disposal Tracking Software Replacement</t>
  </si>
  <si>
    <t>XG020020519</t>
  </si>
  <si>
    <t>90000195204</t>
  </si>
  <si>
    <t>INVID:4003-UPS Replacement for Data Communication Closets</t>
  </si>
  <si>
    <t>XG020020526</t>
  </si>
  <si>
    <t>INVID:5154-Data Center Buildout (Hicksville)</t>
  </si>
  <si>
    <t>XG020020525</t>
  </si>
  <si>
    <t>INVID:4823-Backup to Cloud</t>
  </si>
  <si>
    <t>XG020020527</t>
  </si>
  <si>
    <t>XC175020493</t>
  </si>
  <si>
    <t>XG272020489</t>
  </si>
  <si>
    <t>XG020020499</t>
  </si>
  <si>
    <t>INVID:5269-Rubber Good Testing/Tracking System Replacement F&amp;A</t>
  </si>
  <si>
    <t>XT186020550</t>
  </si>
  <si>
    <t>INVID:5273-General Data Protection Regulation Compliance US IS F&amp;A</t>
  </si>
  <si>
    <t>DR&amp;S (Global)</t>
  </si>
  <si>
    <t>XG020020553</t>
  </si>
  <si>
    <t>INVID:5170-Wireless Network Expansion - FY19</t>
  </si>
  <si>
    <t>XG020020555</t>
  </si>
  <si>
    <t>XG020020556</t>
  </si>
  <si>
    <t>INVID:4704O-NY REV Street Lighting F&amp;A</t>
  </si>
  <si>
    <t>X521E020557</t>
  </si>
  <si>
    <t>INVID:5309-Network Modernization</t>
  </si>
  <si>
    <t>XG020020559</t>
  </si>
  <si>
    <t>XG020020560</t>
  </si>
  <si>
    <t>90000195818</t>
  </si>
  <si>
    <t>90000195888</t>
  </si>
  <si>
    <t>INVID:5316-End User - US T430 Refresh</t>
  </si>
  <si>
    <t>XN012020579</t>
  </si>
  <si>
    <t>XG020020581</t>
  </si>
  <si>
    <t>INVID:4710-Data Security</t>
  </si>
  <si>
    <t>XG020020594</t>
  </si>
  <si>
    <t>90000196106</t>
  </si>
  <si>
    <t>INVID:2591-Tier1 Storage Upgrade at HCB</t>
  </si>
  <si>
    <t>90000099323</t>
  </si>
  <si>
    <t>INVID:2673-HCB + ERCC Mainframe Server Upgrades</t>
  </si>
  <si>
    <t>90000105262</t>
  </si>
  <si>
    <t>2341</t>
  </si>
  <si>
    <t>Ferc 720 Post Daily Gas Volumes</t>
  </si>
  <si>
    <t>INVID:2341-Ferc 720 Post Daily Gas Volumes</t>
  </si>
  <si>
    <t>90000098786</t>
  </si>
  <si>
    <t>1389</t>
  </si>
  <si>
    <t>US Computing Refresh</t>
  </si>
  <si>
    <t>INVID:1389-US Computing Refresh</t>
  </si>
  <si>
    <t>90000104063</t>
  </si>
  <si>
    <t>INVID:2733-Service Delivery, Purchase End of Lease Tape Drives</t>
  </si>
  <si>
    <t>90000103784</t>
  </si>
  <si>
    <t>INVID:2734-US EMC CDL</t>
  </si>
  <si>
    <t>90000107088</t>
  </si>
  <si>
    <t>INVID:2590-Strategic Midrange Shared Infrastrucure</t>
  </si>
  <si>
    <t>90000099322</t>
  </si>
  <si>
    <t>INVID:1088-Datacenter Rationalization (includes specific storage computing &amp; telecoms</t>
  </si>
  <si>
    <t>90000098710</t>
  </si>
  <si>
    <t>INVID:1404-Upstate NY ATM Circuit Transition</t>
  </si>
  <si>
    <t>90000098376</t>
  </si>
  <si>
    <t>INVID:2182-DECUS02 - Mobile Devices for Field Investigators</t>
  </si>
  <si>
    <t>90000098663</t>
  </si>
  <si>
    <t>Verizon CTA eBond/NSSR/SVC Catalog</t>
  </si>
  <si>
    <t>INVID:5314-Verizon CTA eBond/NSSR/SVC Catalog</t>
  </si>
  <si>
    <t>XG020020620</t>
  </si>
  <si>
    <t>Verizon CTA Ethernet/SD WAN Upgrade</t>
  </si>
  <si>
    <t>INVID:5312-Verizon CTA Ethernet/SD WAN Upgrade</t>
  </si>
  <si>
    <t>XG020020621</t>
  </si>
  <si>
    <t>Verizon CTA Infoblox</t>
  </si>
  <si>
    <t>INVID:5311-Verizon CTA Infoblox</t>
  </si>
  <si>
    <t>XG020020623</t>
  </si>
  <si>
    <t xml:space="preserve">INVID:5325-Enable Next Gen Sourcing Strategies </t>
  </si>
  <si>
    <t>XG020020624</t>
  </si>
  <si>
    <t>Verizon CTA Zscaler Cloud Security Gateway</t>
  </si>
  <si>
    <t>INVID:5313-Verizon CTA Zscaler Cloud Security Gateway</t>
  </si>
  <si>
    <t>XG020020622</t>
  </si>
  <si>
    <t>90000196348</t>
  </si>
  <si>
    <t>INVID:5280-Azure Edge Services</t>
  </si>
  <si>
    <t>XG020020631</t>
  </si>
  <si>
    <t>90000196057</t>
  </si>
  <si>
    <t>INVID:5099-EPA Portfolio Manager Integration Phase 2</t>
  </si>
  <si>
    <t>XC175020863</t>
  </si>
  <si>
    <t>XC175020902</t>
  </si>
  <si>
    <t>INVID:3683USAQ-Cloud Access Security Broker Phase 2</t>
  </si>
  <si>
    <t>XG020020903</t>
  </si>
  <si>
    <t>90000196923</t>
  </si>
  <si>
    <t>90000197008</t>
  </si>
  <si>
    <t>INVID:5347-Collaboration Rationalization &amp; Consolidation</t>
  </si>
  <si>
    <t>XG020020933</t>
  </si>
  <si>
    <t>INVID:4936-PI Historian Reporting Environment</t>
  </si>
  <si>
    <t>XT186020934</t>
  </si>
  <si>
    <t>INVID:4400-Annual HR &amp; Payroll Mandatory Service Pack Upgrade (HRSP) - FY18</t>
  </si>
  <si>
    <t>90000186316</t>
  </si>
  <si>
    <t>XG020020554</t>
  </si>
  <si>
    <t>90000197255</t>
  </si>
  <si>
    <t>90000197258</t>
  </si>
  <si>
    <t>INVID:5333-Tallyman upgrade</t>
  </si>
  <si>
    <t>XC434021112</t>
  </si>
  <si>
    <t>90000197308</t>
  </si>
  <si>
    <t>XC284021114</t>
  </si>
  <si>
    <t>INVID:5328-Geographic Information System (GIS) Changes for ADMS F&amp;A</t>
  </si>
  <si>
    <t>XC198021116</t>
  </si>
  <si>
    <t>INVID:5164-Smart Home Rate for Clifton Park</t>
  </si>
  <si>
    <t>X521E021132</t>
  </si>
  <si>
    <t>INVID:5354-North Andover Storm Site</t>
  </si>
  <si>
    <t>XG198021202</t>
  </si>
  <si>
    <t xml:space="preserve">INVID:5310-NetMod Governance </t>
  </si>
  <si>
    <t>XG020021156</t>
  </si>
  <si>
    <t>INVID:5260-Rubber Goods Testing/Tracking System Replacement</t>
  </si>
  <si>
    <t>XT186021169</t>
  </si>
  <si>
    <t>INVID:5370-PI Historian Reporting Environment F&amp;A</t>
  </si>
  <si>
    <t>XT186021170</t>
  </si>
  <si>
    <t>90000197700</t>
  </si>
  <si>
    <t>INVID:4448-Low Income Order</t>
  </si>
  <si>
    <t>90000197680</t>
  </si>
  <si>
    <t>90000197661</t>
  </si>
  <si>
    <t>90000197675</t>
  </si>
  <si>
    <t>INVID:5311-NetMod Infoblox</t>
  </si>
  <si>
    <t>90000197666</t>
  </si>
  <si>
    <t>INVID:5312-NetMod Ethernet/SD WAN Upgrade</t>
  </si>
  <si>
    <t>90000197668</t>
  </si>
  <si>
    <t>INVID:5313-NetMod Zscaler Cloud Security Gateway</t>
  </si>
  <si>
    <t>90000197670</t>
  </si>
  <si>
    <t>INVID:5314-NetMod eBond/NSSR/SVC Catalog</t>
  </si>
  <si>
    <t>90000197673</t>
  </si>
  <si>
    <t>90000197721</t>
  </si>
  <si>
    <t>XN012021188</t>
  </si>
  <si>
    <t xml:space="preserve">Smallworld GIS Upgrade </t>
  </si>
  <si>
    <t xml:space="preserve">INVID:0953-Smallworld GIS Upgrade </t>
  </si>
  <si>
    <t>90000104086</t>
  </si>
  <si>
    <t>INVID:1182B-Gas Transportation Information System Phase II (FY12/13)</t>
  </si>
  <si>
    <t>90000170148</t>
  </si>
  <si>
    <t>1242</t>
  </si>
  <si>
    <t>EDO Transformation - MTA Integrated Strategic Plng</t>
  </si>
  <si>
    <t>90000104178</t>
  </si>
  <si>
    <t>EDO Transformation - MTA Integrated Strategic</t>
  </si>
  <si>
    <t>90000104177</t>
  </si>
  <si>
    <t>90000197780</t>
  </si>
  <si>
    <t>90000197778</t>
  </si>
  <si>
    <t>X5990021204</t>
  </si>
  <si>
    <t xml:space="preserve">Vegetation Management </t>
  </si>
  <si>
    <t xml:space="preserve">INVID:2144-Vegetation Management </t>
  </si>
  <si>
    <t>90000108403</t>
  </si>
  <si>
    <t xml:space="preserve">US CNI GMS IDEN Modem Telemetry Replacements-FY13-FY14 </t>
  </si>
  <si>
    <t xml:space="preserve">INVID:2495G-US CNI GMS IDEN Modem Telemetry Replacements-FY13-FY14 </t>
  </si>
  <si>
    <t>90000121730</t>
  </si>
  <si>
    <t>90000197942</t>
  </si>
  <si>
    <t>INVID:5306-NYC Permit System</t>
  </si>
  <si>
    <t>XG225021263</t>
  </si>
  <si>
    <t>INVID:4750G-CXT MyAccount - Two way Outage SMS Communications</t>
  </si>
  <si>
    <t>XC198021312</t>
  </si>
  <si>
    <t>90000198522</t>
  </si>
  <si>
    <t>90000198517</t>
  </si>
  <si>
    <t>X5990021343</t>
  </si>
  <si>
    <t>X5990021344</t>
  </si>
  <si>
    <t>X5990021345</t>
  </si>
  <si>
    <t>INVID:4910-MA DOR - CRIS</t>
  </si>
  <si>
    <t>XC310021355</t>
  </si>
  <si>
    <t>INVID:5122A-RI Collaborative on AMI </t>
  </si>
  <si>
    <t>XG316021357</t>
  </si>
  <si>
    <t>INVID:4910A-MA DOR – CSS</t>
  </si>
  <si>
    <t>XC277021356</t>
  </si>
  <si>
    <t>90000199510</t>
  </si>
  <si>
    <t>90000199546</t>
  </si>
  <si>
    <t>90000199548</t>
  </si>
  <si>
    <t>INVID:5582-Data Visualization tools = Licenses</t>
  </si>
  <si>
    <t>XG020021426</t>
  </si>
  <si>
    <t>90000200627</t>
  </si>
  <si>
    <t>90000201086</t>
  </si>
  <si>
    <t>INVID:4473-US Control-UNY Electric Control Rooms Voice Recorder Upgrade</t>
  </si>
  <si>
    <t>90000201195</t>
  </si>
  <si>
    <t>90000201199</t>
  </si>
  <si>
    <t>INVID:5355-Control Centers Minor Works FY20</t>
  </si>
  <si>
    <t>XG148021599</t>
  </si>
  <si>
    <t xml:space="preserve">INVID:5366-FERC and CDI Minor Works FY20 </t>
  </si>
  <si>
    <t>XG148021600</t>
  </si>
  <si>
    <t>INVID:5374-Operations &amp; Engineering Infrastructure Improvements FY20</t>
  </si>
  <si>
    <t>XG020021602</t>
  </si>
  <si>
    <t>INVID:5383-Customer Operational Enhancements FY20</t>
  </si>
  <si>
    <t>XC175021607</t>
  </si>
  <si>
    <t xml:space="preserve">INVID:5401-FY20 Gas Operations &amp; Engineering Minor Works </t>
  </si>
  <si>
    <t>XG210021609</t>
  </si>
  <si>
    <t>INVID:4648-Network Tx-CEMS</t>
  </si>
  <si>
    <t>90000191669</t>
  </si>
  <si>
    <t>INVID:5600-ESG Migration to SFTP</t>
  </si>
  <si>
    <t>XG440021712</t>
  </si>
  <si>
    <t>XG149021738</t>
  </si>
  <si>
    <t>90000203071</t>
  </si>
  <si>
    <t>INVID:5685-Tax exemption for NY delivery charges for ESCO customers</t>
  </si>
  <si>
    <t>X5220021913</t>
  </si>
  <si>
    <t>INVID:5502-Unix 51 Phase 2</t>
  </si>
  <si>
    <t>XG020021940</t>
  </si>
  <si>
    <t>INVID:4555-RI Renewable Energy Program changes</t>
  </si>
  <si>
    <t>90000203671</t>
  </si>
  <si>
    <t>INVID:5345A-F&amp;A for Bill Print and Bill Composition</t>
  </si>
  <si>
    <t>XG148021963</t>
  </si>
  <si>
    <t>90000203986</t>
  </si>
  <si>
    <t>XC175021973</t>
  </si>
  <si>
    <t>INVID:4769-Gas Storm Hardening Using Remote Service Valves (RSV's)</t>
  </si>
  <si>
    <t>90000195816</t>
  </si>
  <si>
    <t>90000204473</t>
  </si>
  <si>
    <t>90000204471</t>
  </si>
  <si>
    <t>XG020022044</t>
  </si>
  <si>
    <t>INVID:5737-Customer Technology Roadmap</t>
  </si>
  <si>
    <t>XG175022059</t>
  </si>
  <si>
    <t>INVID:1642-Radio Console Standardization</t>
  </si>
  <si>
    <t>90000205097</t>
  </si>
  <si>
    <t>INVID:5712-Rate Case Data Scrub Application</t>
  </si>
  <si>
    <t>XG020022185</t>
  </si>
  <si>
    <t>INVID:5598B1-Gas Application Rationalization (FY20)</t>
  </si>
  <si>
    <t>XG210022276</t>
  </si>
  <si>
    <t>INVID:5743-F&amp;A Lockbox Payments</t>
  </si>
  <si>
    <t>XC175022287</t>
  </si>
  <si>
    <t>INVID:5487F-Legacy Device Refresh</t>
  </si>
  <si>
    <t>XG020022279</t>
  </si>
  <si>
    <t>90000206769</t>
  </si>
  <si>
    <t>90000205961</t>
  </si>
  <si>
    <t>INVID:4969-Annual upgrades for SAP Cloud Modules (Minor Works) – FY19</t>
  </si>
  <si>
    <t>X5990022567</t>
  </si>
  <si>
    <t>XG020022580</t>
  </si>
  <si>
    <t>90000213045</t>
  </si>
  <si>
    <t>90000141753</t>
  </si>
  <si>
    <t>90000170693</t>
  </si>
  <si>
    <t>90000179806</t>
  </si>
  <si>
    <t>90000179024</t>
  </si>
  <si>
    <t>90000181343</t>
  </si>
  <si>
    <t>90000183145</t>
  </si>
  <si>
    <t>90000182161</t>
  </si>
  <si>
    <t>90000188990</t>
  </si>
  <si>
    <t>90000188608</t>
  </si>
  <si>
    <t>HIX17_SCC Backup Renovation</t>
  </si>
  <si>
    <t>90000180946</t>
  </si>
  <si>
    <t>90000190192</t>
  </si>
  <si>
    <t>90000190936</t>
  </si>
  <si>
    <t>90000190937</t>
  </si>
  <si>
    <t>90000190938</t>
  </si>
  <si>
    <t>90000190945</t>
  </si>
  <si>
    <t>90000191904</t>
  </si>
  <si>
    <t>INVID:4975USG-Gateway Upgrades</t>
  </si>
  <si>
    <t>90000192076</t>
  </si>
  <si>
    <t>INVID:4377B-Melville Data Centre Clearance (Migration and Decommision)</t>
  </si>
  <si>
    <t>90000192368</t>
  </si>
  <si>
    <t>90000192499</t>
  </si>
  <si>
    <t>90000193942</t>
  </si>
  <si>
    <t>90000194044</t>
  </si>
  <si>
    <t>90000194041</t>
  </si>
  <si>
    <t>90000196803</t>
  </si>
  <si>
    <t>90000195073</t>
  </si>
  <si>
    <t>90000195883</t>
  </si>
  <si>
    <t>90000195829</t>
  </si>
  <si>
    <t>90000198267</t>
  </si>
  <si>
    <t>90000198266</t>
  </si>
  <si>
    <t>90000199744</t>
  </si>
  <si>
    <t>90000200637</t>
  </si>
  <si>
    <t>90000204143</t>
  </si>
  <si>
    <t>90000204452</t>
  </si>
  <si>
    <t>INVID:4408-Document Management System Replacement Delivery</t>
  </si>
  <si>
    <t>90000204572</t>
  </si>
  <si>
    <t>90000204707</t>
  </si>
  <si>
    <t>90000205638</t>
  </si>
  <si>
    <t>90000205787</t>
  </si>
  <si>
    <t>90000206018</t>
  </si>
  <si>
    <t>90000207553</t>
  </si>
  <si>
    <t>90000209706</t>
  </si>
  <si>
    <t>XG210006919</t>
  </si>
  <si>
    <t>XG012004035</t>
  </si>
  <si>
    <t>90000128593</t>
  </si>
  <si>
    <t>N0000025420</t>
  </si>
  <si>
    <t>Y5230030707</t>
  </si>
  <si>
    <t>Y5020000281</t>
  </si>
  <si>
    <t>Y5020000282</t>
  </si>
  <si>
    <t>INVP 3655 LI AMR Maint Workorder Sys</t>
  </si>
  <si>
    <t>INVP 3674 Global Talent and Career Development - DO NOT USE</t>
  </si>
  <si>
    <t>90000169425</t>
  </si>
  <si>
    <t>1520</t>
  </si>
  <si>
    <t>INVP 3674 Global Talent and Career Development</t>
  </si>
  <si>
    <t>90000172027</t>
  </si>
  <si>
    <t>1760</t>
  </si>
  <si>
    <t>Y5020002332</t>
  </si>
  <si>
    <t>1762</t>
  </si>
  <si>
    <t>Computing platform for Gas Load Forecasting</t>
  </si>
  <si>
    <t>INVP 3697 Cloud Computing</t>
  </si>
  <si>
    <t>XC175002791</t>
  </si>
  <si>
    <t>INVP 3752 Work associated with Volt Var Optimization in RI</t>
  </si>
  <si>
    <t>90000138239</t>
  </si>
  <si>
    <t>INVP 3860 Gas ERT Read System</t>
  </si>
  <si>
    <t>90000126459</t>
  </si>
  <si>
    <t>Y5330064710</t>
  </si>
  <si>
    <t>INVP 3861 LNG Safety Tagging System</t>
  </si>
  <si>
    <t>XC241003293</t>
  </si>
  <si>
    <t>INVP 3872 Call Center Sourcing 3rd Vendor</t>
  </si>
  <si>
    <t>X531E010828</t>
  </si>
  <si>
    <t>X531E010829</t>
  </si>
  <si>
    <t>XL198006857</t>
  </si>
  <si>
    <t>INVP 3913 Tax Certification Tool Replacement</t>
  </si>
  <si>
    <t>XH173015642</t>
  </si>
  <si>
    <t>INVP 4049 Melville CAC   AMAG Servers Relocation</t>
  </si>
  <si>
    <t>X5190013213</t>
  </si>
  <si>
    <t>INVP 4059 LightLink Digital Signage for Gas Lead Intake</t>
  </si>
  <si>
    <t>XG151006349</t>
  </si>
  <si>
    <t>XG069014664</t>
  </si>
  <si>
    <t>INVP 4382 US Digital Communications</t>
  </si>
  <si>
    <t>XG020004680</t>
  </si>
  <si>
    <t>XG131006685</t>
  </si>
  <si>
    <t>INVP4751 - Electric Supervisor Enablement Pilot</t>
  </si>
  <si>
    <t>XG175016763</t>
  </si>
  <si>
    <t>1010</t>
  </si>
  <si>
    <t>INVID:4750E-Two Way Text Notification for Appointment Scheduling</t>
  </si>
  <si>
    <t>XC175020760</t>
  </si>
  <si>
    <t>Expense Type</t>
  </si>
  <si>
    <t>Consultants</t>
  </si>
  <si>
    <t>GL Account</t>
  </si>
  <si>
    <t>Helen Smith</t>
  </si>
  <si>
    <t>Chris Murphy</t>
  </si>
  <si>
    <t>Anusha Balineni</t>
  </si>
  <si>
    <t>Warren Bamford</t>
  </si>
  <si>
    <t>Jim Reynolds</t>
  </si>
  <si>
    <t>Rohan Kapoor</t>
  </si>
  <si>
    <t>Brian Detota</t>
  </si>
  <si>
    <t>SAP Orders for INVID:</t>
  </si>
  <si>
    <t>SAP Order</t>
  </si>
  <si>
    <t># of Orders:</t>
  </si>
  <si>
    <t>C6355100</t>
  </si>
  <si>
    <t>C6504200</t>
  </si>
  <si>
    <t>C6554250</t>
  </si>
  <si>
    <t>5746B</t>
  </si>
  <si>
    <t>Vision FM &amp; Property Services Replacement</t>
  </si>
  <si>
    <t>3870A</t>
  </si>
  <si>
    <t>90000213555</t>
  </si>
  <si>
    <t>90000213607</t>
  </si>
  <si>
    <t>INVID:6032-Customer Billing COVID Transition  (Minor Works)</t>
  </si>
  <si>
    <t>XC113022982</t>
  </si>
  <si>
    <t>INVID:5430-NY Green Button Connect</t>
  </si>
  <si>
    <t>XC175022983</t>
  </si>
  <si>
    <t>INVID:5836-Lockbox Payments and Credit Payments Implementation</t>
  </si>
  <si>
    <t>90000213641</t>
  </si>
  <si>
    <t>90000213605</t>
  </si>
  <si>
    <t>INVID:5919-US SAP Minor Enhancements</t>
  </si>
  <si>
    <t>Manually entered (optional)</t>
  </si>
  <si>
    <t>Pensions Provider RFP</t>
  </si>
  <si>
    <t>6074US</t>
  </si>
  <si>
    <t>Veg Management Optimization</t>
  </si>
  <si>
    <t>6073</t>
  </si>
  <si>
    <t>Automation and Agile Tooling</t>
  </si>
  <si>
    <t>6072</t>
  </si>
  <si>
    <t>PEVF</t>
  </si>
  <si>
    <t>6071</t>
  </si>
  <si>
    <t>6070</t>
  </si>
  <si>
    <t>6069</t>
  </si>
  <si>
    <t>Electric Incident Reporting System (EIRS)</t>
  </si>
  <si>
    <t>US Applications – Infrastructure &amp; Framework Upgrade</t>
  </si>
  <si>
    <t>CIAP Stabilization</t>
  </si>
  <si>
    <t>5863C</t>
  </si>
  <si>
    <t>Common Front End Stabilization</t>
  </si>
  <si>
    <t>5863B</t>
  </si>
  <si>
    <t>Pensions Provider RFP UK</t>
  </si>
  <si>
    <t>X5990022985</t>
  </si>
  <si>
    <t>X5990022986</t>
  </si>
  <si>
    <t>X5990022987</t>
  </si>
  <si>
    <t>X5990022988</t>
  </si>
  <si>
    <t>XG020022866</t>
  </si>
  <si>
    <t>INVID:5918-Non-SAP Minor Enhancements</t>
  </si>
  <si>
    <t>XG020022867</t>
  </si>
  <si>
    <t>XG020022868</t>
  </si>
  <si>
    <t>XG020022869</t>
  </si>
  <si>
    <t>XG020022870</t>
  </si>
  <si>
    <t>XG020022871</t>
  </si>
  <si>
    <t>XG020022872</t>
  </si>
  <si>
    <t>INVID:5843A-SAP Platform Upgrade: OS and Databases</t>
  </si>
  <si>
    <t>XG020022873</t>
  </si>
  <si>
    <t>INVID:5850USA-SSN Optimization US</t>
  </si>
  <si>
    <t>XG020022919</t>
  </si>
  <si>
    <t>INVID:5850USC-Intrusion Detection System and Intrusion Prevention System US</t>
  </si>
  <si>
    <t>5850USD</t>
  </si>
  <si>
    <t>XG020022921</t>
  </si>
  <si>
    <t>Work Request No.</t>
  </si>
  <si>
    <t xml:space="preserve">Work Request #            </t>
  </si>
  <si>
    <t>(blank)</t>
  </si>
  <si>
    <t>Work Requests</t>
  </si>
  <si>
    <t>P.O. Number
(optional)</t>
  </si>
  <si>
    <t>6079</t>
  </si>
  <si>
    <t>6078</t>
  </si>
  <si>
    <t>Network Controls Programme</t>
  </si>
  <si>
    <t>6077</t>
  </si>
  <si>
    <t>Future Now - validation phase</t>
  </si>
  <si>
    <t>6076</t>
  </si>
  <si>
    <t>VMO Analytics Sprint</t>
  </si>
  <si>
    <t>6075</t>
  </si>
  <si>
    <t>EMR System Strategic Development Ph. 1</t>
  </si>
  <si>
    <t>6074</t>
  </si>
  <si>
    <t>IBM P9 Digital Asset Build</t>
  </si>
  <si>
    <t>6047UK</t>
  </si>
  <si>
    <t>DevOps Tools</t>
  </si>
  <si>
    <t>Secure Web Gateway</t>
  </si>
  <si>
    <t>US SAP Platform Upgrade: Minor Releases</t>
  </si>
  <si>
    <t>90000213858</t>
  </si>
  <si>
    <t>INVID:4898-Asset and Work Management System for LNG</t>
  </si>
  <si>
    <t>Design and Deployment of New Storage Data</t>
  </si>
  <si>
    <t>5843B</t>
  </si>
  <si>
    <t>Content Management for Engineering</t>
  </si>
  <si>
    <t>US Group Functions Minor Enhancements</t>
  </si>
  <si>
    <t>FY22 Planning Initiative</t>
  </si>
  <si>
    <t>6082</t>
  </si>
  <si>
    <t>Post COVID - Data Access Development</t>
  </si>
  <si>
    <t>6081</t>
  </si>
  <si>
    <t>6080</t>
  </si>
  <si>
    <t>XG210023026</t>
  </si>
  <si>
    <t>INVID:5787A-Gas Control Center Simulator</t>
  </si>
  <si>
    <t>XC175023024</t>
  </si>
  <si>
    <t>INVID:5863B-Common Front End Stabilization</t>
  </si>
  <si>
    <t>XC175023025</t>
  </si>
  <si>
    <t>INVID:5863C-CIAP Stabilization</t>
  </si>
  <si>
    <t>INVID:5850USD-Secure Web Gateway</t>
  </si>
  <si>
    <t>90000214161</t>
  </si>
  <si>
    <t>90000214163</t>
  </si>
  <si>
    <t xml:space="preserve">5841A </t>
  </si>
  <si>
    <t>XG020023029</t>
  </si>
  <si>
    <t>INVID:5841A -Pension Administrator Replacement</t>
  </si>
  <si>
    <t>XG020023030</t>
  </si>
  <si>
    <t>INVID:5841A-Pension Administrator Replacement</t>
  </si>
  <si>
    <t>XG020023031</t>
  </si>
  <si>
    <t>INVID:5842A-US SAP: GRC Upgrade</t>
  </si>
  <si>
    <t>XG020023032</t>
  </si>
  <si>
    <t>XG020023033</t>
  </si>
  <si>
    <t>INVID:3870A-Vision FM &amp; Property Services Replacement</t>
  </si>
  <si>
    <t>XG020023034</t>
  </si>
  <si>
    <t>XG210023028</t>
  </si>
  <si>
    <t>INVID:5788D-Interface MyHub To OnBoard LMS OQ External Site</t>
  </si>
  <si>
    <t>XG148023027</t>
  </si>
  <si>
    <t>INVID:5274A-New Storms Respose Management System Implementaition</t>
  </si>
  <si>
    <t>XG385023035</t>
  </si>
  <si>
    <t>Physical Security - Boston Gas</t>
  </si>
  <si>
    <t>Physical Security - Colonial Gas</t>
  </si>
  <si>
    <t>Physical Security - RI Electric</t>
  </si>
  <si>
    <t>Physical Security - RI Gas</t>
  </si>
  <si>
    <t>Physical Security - NIMO EGT</t>
  </si>
  <si>
    <t>Physical Security - NE E &amp; RI G</t>
  </si>
  <si>
    <t>RIIO-2 Readiness for Gas</t>
  </si>
  <si>
    <t>EAGLES plant protection system replacement</t>
  </si>
  <si>
    <t>90000214306</t>
  </si>
  <si>
    <t>INVID:5889A-Electric Incident Reporting System (EIRS)</t>
  </si>
  <si>
    <t>90000214307</t>
  </si>
  <si>
    <t>90000214308</t>
  </si>
  <si>
    <t>EMR Strategic Development Phase 2</t>
  </si>
  <si>
    <t>6089</t>
  </si>
  <si>
    <t>IBM P8 Digital Asset Build</t>
  </si>
  <si>
    <t>6088</t>
  </si>
  <si>
    <t>6087</t>
  </si>
  <si>
    <t>Digital Portfolio</t>
  </si>
  <si>
    <t>6086</t>
  </si>
  <si>
    <t>Contract Quarterback</t>
  </si>
  <si>
    <t>6085</t>
  </si>
  <si>
    <t>6084</t>
  </si>
  <si>
    <t>6083</t>
  </si>
  <si>
    <t>IT4IT: Data Mgmt Business Integrations</t>
  </si>
  <si>
    <t>5917D</t>
  </si>
  <si>
    <t>XG020023069</t>
  </si>
  <si>
    <t>INVID:6082-FY22 Planning Initiative</t>
  </si>
  <si>
    <t>XC198023070</t>
  </si>
  <si>
    <t>INVID:5891B-Field Collection System (FSC) Upgrade POC</t>
  </si>
  <si>
    <t>XG020023119</t>
  </si>
  <si>
    <t>INVID:5901D-EA Strategic Portfolio Planning &amp; Delivery (SPPD)</t>
  </si>
  <si>
    <t>XG020023117</t>
  </si>
  <si>
    <t>INVID:5917A-Data Mgmt: Tooling</t>
  </si>
  <si>
    <t>XG020023118</t>
  </si>
  <si>
    <t>INVID:5899A-Cloud API Migrations Phase 2</t>
  </si>
  <si>
    <t>90000214701</t>
  </si>
  <si>
    <t>90000214697</t>
  </si>
  <si>
    <t>90000213046</t>
  </si>
  <si>
    <t>INVID:5850US-Network Security US</t>
  </si>
  <si>
    <t>COP DDM Phase 2</t>
  </si>
  <si>
    <t>6090</t>
  </si>
  <si>
    <t>Fit For Future - Phase 2</t>
  </si>
  <si>
    <t>6065A</t>
  </si>
  <si>
    <t>Gas Control Center Simulator F&amp;A</t>
  </si>
  <si>
    <t>Global Booking Mgmt (GBM): US implementation</t>
  </si>
  <si>
    <t>ERP Continuous Improvement B - SAP PI to PO</t>
  </si>
  <si>
    <t>5569B</t>
  </si>
  <si>
    <t>ERP Continuous Improvement A - Oracle Upgrades</t>
  </si>
  <si>
    <t>5569A</t>
  </si>
  <si>
    <t>3617O</t>
  </si>
  <si>
    <t>3617N</t>
  </si>
  <si>
    <t>3617M</t>
  </si>
  <si>
    <t>3617L</t>
  </si>
  <si>
    <t>3617K</t>
  </si>
  <si>
    <t>3617J</t>
  </si>
  <si>
    <t>90000214843</t>
  </si>
  <si>
    <t>X5990023166</t>
  </si>
  <si>
    <t>INVID:5557-Treasury Management System</t>
  </si>
  <si>
    <t>X5990023167</t>
  </si>
  <si>
    <t>Core Switch Upgrade</t>
  </si>
  <si>
    <t>6122</t>
  </si>
  <si>
    <t>Disaster Recovery Physical Servers</t>
  </si>
  <si>
    <t>6121</t>
  </si>
  <si>
    <t>6120</t>
  </si>
  <si>
    <t>HCI Lite</t>
  </si>
  <si>
    <t>6119</t>
  </si>
  <si>
    <t>Strand - WiFi expansion</t>
  </si>
  <si>
    <t>6118</t>
  </si>
  <si>
    <t>HCI Lite Design &amp; Deployment</t>
  </si>
  <si>
    <t>6117</t>
  </si>
  <si>
    <t>EV End - End Solution</t>
  </si>
  <si>
    <t>6116</t>
  </si>
  <si>
    <t>Customer COVID-19 Payment Plan for IVR and Web</t>
  </si>
  <si>
    <t>6115</t>
  </si>
  <si>
    <t>Managed Workspace Services Transformation</t>
  </si>
  <si>
    <t>6114</t>
  </si>
  <si>
    <t>OLTA Hardware Refresh FY21 (D-2231)</t>
  </si>
  <si>
    <t>6113</t>
  </si>
  <si>
    <t>6112</t>
  </si>
  <si>
    <t>Customer App Remediation - Plan Forward</t>
  </si>
  <si>
    <t>6111</t>
  </si>
  <si>
    <t>IT Architecture / Foundational Solutions</t>
  </si>
  <si>
    <t>6110</t>
  </si>
  <si>
    <t>IT Enterprise Project Mgmt Office (PMO)</t>
  </si>
  <si>
    <t>6109</t>
  </si>
  <si>
    <t>Sharepoint to Sharepoint Online</t>
  </si>
  <si>
    <t>6108</t>
  </si>
  <si>
    <t>Customer Data Transformation</t>
  </si>
  <si>
    <t>6107</t>
  </si>
  <si>
    <t>Data Protection Suite (DPS)</t>
  </si>
  <si>
    <t>6106</t>
  </si>
  <si>
    <t>HCI Digital Asset Build</t>
  </si>
  <si>
    <t>6105</t>
  </si>
  <si>
    <t>Windows 10 ESO Application Remediation (D-1624)</t>
  </si>
  <si>
    <t>6104</t>
  </si>
  <si>
    <t>HireVue Integration</t>
  </si>
  <si>
    <t>6103</t>
  </si>
  <si>
    <t>2nd DC Cluster</t>
  </si>
  <si>
    <t>6102</t>
  </si>
  <si>
    <t>6101</t>
  </si>
  <si>
    <t>Network and Telecom Strategy Assessment</t>
  </si>
  <si>
    <t>6100</t>
  </si>
  <si>
    <t>Copper Labs Security Assessment</t>
  </si>
  <si>
    <t>6099</t>
  </si>
  <si>
    <t>6098</t>
  </si>
  <si>
    <t>Cloud Video Interoperability</t>
  </si>
  <si>
    <t>6097</t>
  </si>
  <si>
    <t>Azure Capability Enhancement - SOS</t>
  </si>
  <si>
    <t>6096</t>
  </si>
  <si>
    <t>Azure Capability Enhancement - CCoE</t>
  </si>
  <si>
    <t>6095</t>
  </si>
  <si>
    <t>Dynamic Containment – Data Concentrator</t>
  </si>
  <si>
    <t>6094</t>
  </si>
  <si>
    <t>AIMS WFM</t>
  </si>
  <si>
    <t>6093</t>
  </si>
  <si>
    <t>AIMS IVR Reporting</t>
  </si>
  <si>
    <t>6092</t>
  </si>
  <si>
    <t xml:space="preserve">Return to Office Network Changes </t>
  </si>
  <si>
    <t>6091</t>
  </si>
  <si>
    <t>UK Azure Capability Enhancement - ACF</t>
  </si>
  <si>
    <t>T2 Website</t>
  </si>
  <si>
    <t>Contact Center Application Remediation - Misc.</t>
  </si>
  <si>
    <t>6043F1</t>
  </si>
  <si>
    <t>2037</t>
  </si>
  <si>
    <t>Customer - Special  Payment Plan</t>
  </si>
  <si>
    <t>2036</t>
  </si>
  <si>
    <t>Digitizing Files for Generation</t>
  </si>
  <si>
    <t>Vendor Print Management</t>
  </si>
  <si>
    <t>Medical Screening for Plan Forward</t>
  </si>
  <si>
    <t>DocuSign for Plan Forward</t>
  </si>
  <si>
    <t>2032</t>
  </si>
  <si>
    <t>GBM - Global Booking Tool</t>
  </si>
  <si>
    <t>IVR COVID -19 Payment Agreement</t>
  </si>
  <si>
    <t>Task Force for Outreach and Billing Technology Support</t>
  </si>
  <si>
    <t>6043B9</t>
  </si>
  <si>
    <t>IP Telephony for Plan Forward</t>
  </si>
  <si>
    <t>6043B7</t>
  </si>
  <si>
    <t>Mobile devices rollout for Plan Forward</t>
  </si>
  <si>
    <t>6043B6</t>
  </si>
  <si>
    <t>VDI Capacity Increase</t>
  </si>
  <si>
    <t>6043B5</t>
  </si>
  <si>
    <t>Desktop to Laptop Migration</t>
  </si>
  <si>
    <t>6043B2</t>
  </si>
  <si>
    <t>Improve Radio Telco for field</t>
  </si>
  <si>
    <t>6043B10</t>
  </si>
  <si>
    <t>Minor Works for Plan Forward</t>
  </si>
  <si>
    <t>6043A4</t>
  </si>
  <si>
    <t>MFA for Field workers</t>
  </si>
  <si>
    <t>6043A3</t>
  </si>
  <si>
    <t>6025A</t>
  </si>
  <si>
    <t>Helen Smith's Efficiency Target</t>
  </si>
  <si>
    <t>Azure Cloud Mail Routing &amp; Exchange 2010 Decom</t>
  </si>
  <si>
    <t>5487G</t>
  </si>
  <si>
    <t>Load Forecasting</t>
  </si>
  <si>
    <t>5471Z</t>
  </si>
  <si>
    <t>New Storms Response Management System Implementation</t>
  </si>
  <si>
    <t>InDemand Energy Efficiency CY2021 Enhancements</t>
  </si>
  <si>
    <t>1002Y</t>
  </si>
  <si>
    <t>Qualtrics - Employee Engagement Survey and Lifecycle Surveys</t>
  </si>
  <si>
    <t>UK vSTIG network enhancements</t>
  </si>
  <si>
    <t>XG160023171</t>
  </si>
  <si>
    <t>INVID:6051-STORMS Extended Performance</t>
  </si>
  <si>
    <t>XG220023172</t>
  </si>
  <si>
    <t>INVID:5756-Digital Substation Transformation</t>
  </si>
  <si>
    <t>90000214839</t>
  </si>
  <si>
    <t>XG020023174</t>
  </si>
  <si>
    <t>INVID:5896C-Wellness: RedBrick to Virgin Pulse Migration</t>
  </si>
  <si>
    <t>XG020023176</t>
  </si>
  <si>
    <t>INVID:5896B-Warehouse SAP Scanner Replacement (Barcoding)</t>
  </si>
  <si>
    <t>XG020023177</t>
  </si>
  <si>
    <t>INVID:6088-IBM P8 Digital Asset Build</t>
  </si>
  <si>
    <t>90000215213</t>
  </si>
  <si>
    <t>90000214853</t>
  </si>
  <si>
    <t>INVID:6050-IBM P9 Digital Asset Build</t>
  </si>
  <si>
    <t>90000214855</t>
  </si>
  <si>
    <t>90000214856</t>
  </si>
  <si>
    <t>INVID:6052-Design and Deployment of New Storage Data</t>
  </si>
  <si>
    <t>90000214959</t>
  </si>
  <si>
    <t>90000215181</t>
  </si>
  <si>
    <t>90000215025</t>
  </si>
  <si>
    <t>90000215183</t>
  </si>
  <si>
    <t>INVID:5901B-DevOps Tools</t>
  </si>
  <si>
    <t>90000215036</t>
  </si>
  <si>
    <t>INVID:5876-US Applications – Infrastructure &amp; Framework Upgrade</t>
  </si>
  <si>
    <t>90000215184</t>
  </si>
  <si>
    <t>90000215187</t>
  </si>
  <si>
    <t>90000215189</t>
  </si>
  <si>
    <t>INVID:6076-Future Now - validation phase</t>
  </si>
  <si>
    <t>90000214961</t>
  </si>
  <si>
    <t>90000215190</t>
  </si>
  <si>
    <t>INVID:6073-Veg Management Optimization</t>
  </si>
  <si>
    <t>Network IDS (NIDS)</t>
  </si>
  <si>
    <t>XG020023189</t>
  </si>
  <si>
    <t>INVID:6100-Network and Telecom Strategy Assessment</t>
  </si>
  <si>
    <t>XG020022917</t>
  </si>
  <si>
    <t>INVID:5850USB-vSTIG Firewall Upgrade US</t>
  </si>
  <si>
    <t>XG020022918</t>
  </si>
  <si>
    <t>XG020022920</t>
  </si>
  <si>
    <t>XG020022922</t>
  </si>
  <si>
    <t>5850</t>
  </si>
  <si>
    <t>XG020022890</t>
  </si>
  <si>
    <t>INVID:5850-Network Security</t>
  </si>
  <si>
    <t>XG020022891</t>
  </si>
  <si>
    <t>XG020022841</t>
  </si>
  <si>
    <t>XG020022842</t>
  </si>
  <si>
    <r>
      <t>Combine</t>
    </r>
    <r>
      <rPr>
        <b/>
        <sz val="10"/>
        <color theme="1"/>
        <rFont val="Arial"/>
        <family val="2"/>
      </rPr>
      <t xml:space="preserve"> rows 33 + 34</t>
    </r>
    <r>
      <rPr>
        <sz val="10"/>
        <color theme="1"/>
        <rFont val="Arial"/>
        <family val="2"/>
      </rPr>
      <t xml:space="preserve"> for the </t>
    </r>
    <r>
      <rPr>
        <b/>
        <sz val="10"/>
        <color theme="1"/>
        <rFont val="Arial"/>
        <family val="2"/>
      </rPr>
      <t>Dev, Impl, PIS, Close</t>
    </r>
    <r>
      <rPr>
        <sz val="10"/>
        <color theme="1"/>
        <rFont val="Arial"/>
        <family val="2"/>
      </rPr>
      <t xml:space="preserve"> Phases data</t>
    </r>
    <r>
      <rPr>
        <b/>
        <sz val="10"/>
        <color theme="1"/>
        <rFont val="Arial"/>
        <family val="2"/>
      </rPr>
      <t xml:space="preserve"> </t>
    </r>
    <r>
      <rPr>
        <sz val="10"/>
        <color theme="1"/>
        <rFont val="Arial"/>
        <family val="2"/>
      </rPr>
      <t xml:space="preserve">on the </t>
    </r>
    <r>
      <rPr>
        <b/>
        <sz val="10"/>
        <color rgb="FF0070C0"/>
        <rFont val="Arial"/>
        <family val="2"/>
      </rPr>
      <t>Monthly Summary</t>
    </r>
    <r>
      <rPr>
        <sz val="10"/>
        <color theme="1"/>
        <rFont val="Arial"/>
        <family val="2"/>
      </rPr>
      <t xml:space="preserve"> tab by FY</t>
    </r>
  </si>
  <si>
    <r>
      <t>Combine</t>
    </r>
    <r>
      <rPr>
        <b/>
        <sz val="10"/>
        <color theme="1"/>
        <rFont val="Arial"/>
        <family val="2"/>
      </rPr>
      <t xml:space="preserve"> rows 65 + 66</t>
    </r>
    <r>
      <rPr>
        <sz val="10"/>
        <color theme="1"/>
        <rFont val="Arial"/>
        <family val="2"/>
      </rPr>
      <t xml:space="preserve"> for the </t>
    </r>
    <r>
      <rPr>
        <b/>
        <sz val="10"/>
        <color theme="1"/>
        <rFont val="Arial"/>
        <family val="2"/>
      </rPr>
      <t>Dev, Impl, PIS, Close</t>
    </r>
    <r>
      <rPr>
        <sz val="10"/>
        <color theme="1"/>
        <rFont val="Arial"/>
        <family val="2"/>
      </rPr>
      <t xml:space="preserve"> Phases data</t>
    </r>
    <r>
      <rPr>
        <b/>
        <sz val="10"/>
        <color theme="1"/>
        <rFont val="Arial"/>
        <family val="2"/>
      </rPr>
      <t xml:space="preserve"> </t>
    </r>
    <r>
      <rPr>
        <sz val="10"/>
        <color theme="1"/>
        <rFont val="Arial"/>
        <family val="2"/>
      </rPr>
      <t xml:space="preserve">on the </t>
    </r>
    <r>
      <rPr>
        <b/>
        <sz val="10"/>
        <color rgb="FF0070C0"/>
        <rFont val="Arial"/>
        <family val="2"/>
      </rPr>
      <t>Monthly Summary</t>
    </r>
    <r>
      <rPr>
        <sz val="10"/>
        <color theme="1"/>
        <rFont val="Arial"/>
        <family val="2"/>
      </rPr>
      <t xml:space="preserve"> tab by FY</t>
    </r>
  </si>
  <si>
    <t>Connectnow - Phase 2</t>
  </si>
  <si>
    <t>6127</t>
  </si>
  <si>
    <t>CAB Programme</t>
  </si>
  <si>
    <t>6126</t>
  </si>
  <si>
    <t>GIS (Offline Mapping)</t>
  </si>
  <si>
    <t>6125</t>
  </si>
  <si>
    <t>ICE email Exchange Decommision</t>
  </si>
  <si>
    <t>6124</t>
  </si>
  <si>
    <t>6123</t>
  </si>
  <si>
    <t>521E</t>
  </si>
  <si>
    <t>X521E021636</t>
  </si>
  <si>
    <t>5110S-GM-IS-INVP 5471A ADMS NIMO</t>
  </si>
  <si>
    <t>Grid Mod</t>
  </si>
  <si>
    <t>536E</t>
  </si>
  <si>
    <t>X536E021637</t>
  </si>
  <si>
    <t>5110S-GM-IS-INVP 5471A ADMS NECO</t>
  </si>
  <si>
    <t>T277</t>
  </si>
  <si>
    <t>XT277021638</t>
  </si>
  <si>
    <t>5110S-GM-IS-INVP 5471A ADMS MA D</t>
  </si>
  <si>
    <t>T198</t>
  </si>
  <si>
    <t>XT198021639</t>
  </si>
  <si>
    <t>5110S-GM-IS-INVP 5471A ADMS All D</t>
  </si>
  <si>
    <t>90000205013</t>
  </si>
  <si>
    <t>IS - Grid Mod ADMS Phase 1</t>
  </si>
  <si>
    <t>T284</t>
  </si>
  <si>
    <t>XT284023071</t>
  </si>
  <si>
    <t>5110S-Electric Retails New England</t>
  </si>
  <si>
    <t>XT277021464</t>
  </si>
  <si>
    <t>5110S-GM-DSCADA/ADMS MA+Nant</t>
  </si>
  <si>
    <t>X521E021632</t>
  </si>
  <si>
    <t>5110S-GM-IS-GM FY20 Inv NIMO</t>
  </si>
  <si>
    <t>X536E021633</t>
  </si>
  <si>
    <t>5110S-GM-IS-GM FY20 Inv NECO</t>
  </si>
  <si>
    <t>XT277021634</t>
  </si>
  <si>
    <t>5110S-GM-IS-GM FY20 Inv MA D</t>
  </si>
  <si>
    <t>XT198021635</t>
  </si>
  <si>
    <t>5110S-GM-IS-GM FY20 Inv All Dist</t>
  </si>
  <si>
    <t>XT198022811</t>
  </si>
  <si>
    <t>IS - Grid Mod ADMS Phase 2</t>
  </si>
  <si>
    <t>X521E022812</t>
  </si>
  <si>
    <t>5110S-GM-IS INVP5471B ADMS NIMO-D</t>
  </si>
  <si>
    <t>531E</t>
  </si>
  <si>
    <t>X531E022813</t>
  </si>
  <si>
    <t>5110S-GM-IS INVP5471B ADMS MECO-D</t>
  </si>
  <si>
    <t>X5320022814</t>
  </si>
  <si>
    <t>5110S-GM-IS INVP5471B ADMS NANT-D</t>
  </si>
  <si>
    <t>X536E022815</t>
  </si>
  <si>
    <t>5110S-GM-IS INVP5471B ADMS NECO-D</t>
  </si>
  <si>
    <t>X531E022208</t>
  </si>
  <si>
    <t>IS - MA VVO</t>
  </si>
  <si>
    <t>90000213188</t>
  </si>
  <si>
    <t>X521E022326</t>
  </si>
  <si>
    <t>5110S-GMod-IS-Data Mgt-NIMO-D</t>
  </si>
  <si>
    <t>X531E022327</t>
  </si>
  <si>
    <t>5110S-GMod-IS-Data Mgt-MECO-D</t>
  </si>
  <si>
    <t>X536E022328</t>
  </si>
  <si>
    <t>5110S-GMod-IS-Data Mgt-NECO-D</t>
  </si>
  <si>
    <t>XT277022329</t>
  </si>
  <si>
    <t>5110S-GMod-IS-Data Mgt-MA_Nant-D</t>
  </si>
  <si>
    <t>XT198022325</t>
  </si>
  <si>
    <t>5110S-GMod-IS-Data Mgt-All D</t>
  </si>
  <si>
    <t>90000215211</t>
  </si>
  <si>
    <t>IS - Data Management</t>
  </si>
  <si>
    <t>X521E022331</t>
  </si>
  <si>
    <t>5110S-GMod-IS-Integration Svcs-NIMO-D</t>
  </si>
  <si>
    <t>X531E022332</t>
  </si>
  <si>
    <t>5110S-GMod-IS-Integration Svcs-MECO-D</t>
  </si>
  <si>
    <t>X536E022333</t>
  </si>
  <si>
    <t>5110S-GMod-IS-Integration Svcs-NECO-D</t>
  </si>
  <si>
    <t>XT277022334</t>
  </si>
  <si>
    <t>5110S-GMod-IS-Integration Svcs-MA_Nant-D</t>
  </si>
  <si>
    <t>XT198022330</t>
  </si>
  <si>
    <t>5110S-GMod-IS-Integration Svcs-All D</t>
  </si>
  <si>
    <t>90000214152</t>
  </si>
  <si>
    <t>IS - Integration Services</t>
  </si>
  <si>
    <t>XT198022816</t>
  </si>
  <si>
    <t>5110S-GM-IS-Grid Mod GIS NIMO</t>
  </si>
  <si>
    <t>X521E021644</t>
  </si>
  <si>
    <t>X536E021645</t>
  </si>
  <si>
    <t>5110S-GM-IS-Grid Mod GIS NECO</t>
  </si>
  <si>
    <t>XT277021646</t>
  </si>
  <si>
    <t>5110S-GM-IS-Grid Mod GIS MA D</t>
  </si>
  <si>
    <t>5110S-GM-IS-Grid Mod GIS All Dist</t>
  </si>
  <si>
    <t>IS - GIS</t>
  </si>
  <si>
    <t>XT198022817</t>
  </si>
  <si>
    <t>IS - Architecural Assessment</t>
  </si>
  <si>
    <t>T220</t>
  </si>
  <si>
    <t>XT220022818</t>
  </si>
  <si>
    <t>IS - DMX</t>
  </si>
  <si>
    <t>T186</t>
  </si>
  <si>
    <t>XT186022819</t>
  </si>
  <si>
    <t>IS - TOMS Phase 1</t>
  </si>
  <si>
    <t>XT186022820</t>
  </si>
  <si>
    <t>IS - TOMS Phase 2</t>
  </si>
  <si>
    <t>90000215046</t>
  </si>
  <si>
    <t>IS - TOMS Phase 3</t>
  </si>
  <si>
    <t>XT198022821</t>
  </si>
  <si>
    <t>IS - GIS Phase 2</t>
  </si>
  <si>
    <t>XT186022822</t>
  </si>
  <si>
    <t>IS - INOC</t>
  </si>
  <si>
    <t>XT198022824</t>
  </si>
  <si>
    <t>IS - ADMS Mobile</t>
  </si>
  <si>
    <t>XT186021648</t>
  </si>
  <si>
    <t>5110S-GM-IS-OpTel TeAMS D/T</t>
  </si>
  <si>
    <t>XT186022823</t>
  </si>
  <si>
    <t>5110S-GM-IS INVP5653 Telco FA T&amp;D</t>
  </si>
  <si>
    <t>X521E021480</t>
  </si>
  <si>
    <t>5110S-GM-Cybersecurity NIMO</t>
  </si>
  <si>
    <t>X521E021640</t>
  </si>
  <si>
    <t>5110S-GM-IS-Grid Mod Cyber NIMO</t>
  </si>
  <si>
    <t>X536E021641</t>
  </si>
  <si>
    <t>5110S-GM-IS-Grid Mod Cyber NECO</t>
  </si>
  <si>
    <t>XT277021642</t>
  </si>
  <si>
    <t>5110S-GM-IS-Grid Mod Cyber MA D</t>
  </si>
  <si>
    <t>XT198021643</t>
  </si>
  <si>
    <t>5110S-GM-IS-Grid Mod Cyber All D</t>
  </si>
  <si>
    <t>X531E021815</t>
  </si>
  <si>
    <t>5110S-GM-Cybersecurity MECO</t>
  </si>
  <si>
    <t>X536E021481</t>
  </si>
  <si>
    <t>5110S-GM-Cybersecurity NECO</t>
  </si>
  <si>
    <t>XT186022825</t>
  </si>
  <si>
    <t>XT198021479</t>
  </si>
  <si>
    <t>5110S-GM-Cybersecurity All Dist</t>
  </si>
  <si>
    <t>XT277021482</t>
  </si>
  <si>
    <t>5110S-GM-Cybersecurity MA+Nant</t>
  </si>
  <si>
    <t>GSE</t>
  </si>
  <si>
    <t>Bala Lakshmanan</t>
  </si>
  <si>
    <t>John Conley</t>
  </si>
  <si>
    <t>Damon Fordham</t>
  </si>
  <si>
    <t>DO NOT USE Network Controls Programme - Strategic Data Platform</t>
  </si>
  <si>
    <t>DO NOT USE Network Controls Strategy</t>
  </si>
  <si>
    <t>Network Control Programme - Tactical Life Extension</t>
  </si>
  <si>
    <t>5784A</t>
  </si>
  <si>
    <t>RIIO-2 Ways of Working and Authorisations</t>
  </si>
  <si>
    <t>XG020023203</t>
  </si>
  <si>
    <t xml:space="preserve">INVID:6091-Return to Office Network Changes </t>
  </si>
  <si>
    <t>ATOS</t>
  </si>
  <si>
    <t>6128</t>
  </si>
  <si>
    <t>Risk Methods</t>
  </si>
  <si>
    <t>90000215714</t>
  </si>
  <si>
    <t>6131US</t>
  </si>
  <si>
    <t>6131UK</t>
  </si>
  <si>
    <t>6130US</t>
  </si>
  <si>
    <t>6130UK</t>
  </si>
  <si>
    <t>COMIC CSP</t>
  </si>
  <si>
    <t>6129</t>
  </si>
  <si>
    <t>Mobile devices (iPhones) rollout (GBU)</t>
  </si>
  <si>
    <t>Mandatory FERC Form Changes</t>
  </si>
  <si>
    <t>5842B</t>
  </si>
  <si>
    <t>Simone Multi-Scenario Modelling</t>
  </si>
  <si>
    <t>3116B</t>
  </si>
  <si>
    <t>XG020023205</t>
  </si>
  <si>
    <t>INVID:6117-HCI Lite Design &amp; Deployment</t>
  </si>
  <si>
    <t>N/A</t>
  </si>
  <si>
    <t>XG020023206</t>
  </si>
  <si>
    <t>INVID:5901C-MS Project Online Enhancements</t>
  </si>
  <si>
    <t>This is Financial Workbook v7.1</t>
  </si>
  <si>
    <r>
      <rPr>
        <b/>
        <sz val="10"/>
        <color theme="1"/>
        <rFont val="Arial"/>
        <family val="2"/>
      </rPr>
      <t>Row 69</t>
    </r>
    <r>
      <rPr>
        <sz val="10"/>
        <color theme="1"/>
        <rFont val="Arial"/>
        <family val="2"/>
      </rPr>
      <t xml:space="preserve"> for the </t>
    </r>
    <r>
      <rPr>
        <b/>
        <sz val="10"/>
        <color theme="1"/>
        <rFont val="Arial"/>
        <family val="2"/>
      </rPr>
      <t>Dev, Impl</t>
    </r>
    <r>
      <rPr>
        <sz val="10"/>
        <color theme="1"/>
        <rFont val="Arial"/>
        <family val="2"/>
      </rPr>
      <t xml:space="preserve"> Phases data</t>
    </r>
    <r>
      <rPr>
        <b/>
        <sz val="10"/>
        <color theme="1"/>
        <rFont val="Arial"/>
        <family val="2"/>
      </rPr>
      <t xml:space="preserve"> </t>
    </r>
    <r>
      <rPr>
        <sz val="10"/>
        <color theme="1"/>
        <rFont val="Arial"/>
        <family val="2"/>
      </rPr>
      <t xml:space="preserve">on the </t>
    </r>
    <r>
      <rPr>
        <b/>
        <sz val="10"/>
        <color rgb="FF0070C0"/>
        <rFont val="Arial"/>
        <family val="2"/>
      </rPr>
      <t>Monthly Summary</t>
    </r>
    <r>
      <rPr>
        <sz val="10"/>
        <color theme="1"/>
        <rFont val="Arial"/>
        <family val="2"/>
      </rPr>
      <t xml:space="preserve"> tab by FY </t>
    </r>
    <r>
      <rPr>
        <b/>
        <sz val="10"/>
        <color rgb="FFFF0000"/>
        <rFont val="Arial"/>
        <family val="2"/>
      </rPr>
      <t>(Hardware Purchase or Lease)</t>
    </r>
  </si>
  <si>
    <t>WFH Hardware - Plan Forward</t>
  </si>
  <si>
    <t>90000215883</t>
  </si>
  <si>
    <t>90000215885</t>
  </si>
  <si>
    <t>MyFinance Release 3</t>
  </si>
  <si>
    <t>6140</t>
  </si>
  <si>
    <t>Skype for Business Decommission</t>
  </si>
  <si>
    <t>6139</t>
  </si>
  <si>
    <t>GT Cyber Asset Management System</t>
  </si>
  <si>
    <t>6138</t>
  </si>
  <si>
    <t>6136</t>
  </si>
  <si>
    <t>IOS 14 deployment</t>
  </si>
  <si>
    <t>6134</t>
  </si>
  <si>
    <t>Simone Multiscenario Modelling</t>
  </si>
  <si>
    <t>6133</t>
  </si>
  <si>
    <t>Minor C55 enhancements</t>
  </si>
  <si>
    <t>6132</t>
  </si>
  <si>
    <t>ERP Cont Improv SAP Portal</t>
  </si>
  <si>
    <t>5569D</t>
  </si>
  <si>
    <t>ERP Cont Imp - BOBJ migration to 4.2</t>
  </si>
  <si>
    <t>5569C</t>
  </si>
  <si>
    <t>90000216029</t>
  </si>
  <si>
    <t>XT362011870</t>
  </si>
  <si>
    <t>INVID:5895A-Investment Recovery IT Strategy &amp; Roadmap</t>
  </si>
  <si>
    <t>XC198023212</t>
  </si>
  <si>
    <t>XC198023213</t>
  </si>
  <si>
    <t>XT186023216</t>
  </si>
  <si>
    <t>X5990020595</t>
  </si>
  <si>
    <t>90000216092</t>
  </si>
  <si>
    <t>90000216091</t>
  </si>
  <si>
    <t>90000215675</t>
  </si>
  <si>
    <t>INVID:5605-US SAP: Infrastructure Landscape FY21 - GBE</t>
  </si>
  <si>
    <t>90000215677</t>
  </si>
  <si>
    <t>INVID:5605-US SAP: Infrastructure Landscape FY21 - 5360</t>
  </si>
  <si>
    <t>90000215685</t>
  </si>
  <si>
    <t>INVID:5605-US SAP: Infrastructure Landscape FY21 - 5609</t>
  </si>
  <si>
    <t>90000215687</t>
  </si>
  <si>
    <t>INVID:5605-US SAP: Infrastructure Landscape FY21 - 5843A</t>
  </si>
  <si>
    <t>90000215690</t>
  </si>
  <si>
    <t>INVID:5605-US SAP: Infrastructure Landscape FY21 - 5753</t>
  </si>
  <si>
    <t>90000215691</t>
  </si>
  <si>
    <t>INVID:5605-US SAP: Infrastructure Landscape FY21 - 5380A</t>
  </si>
  <si>
    <t>90000215694</t>
  </si>
  <si>
    <t>INVID:5605-US SAP: Infrastructure Landscape FY21 - 5842A</t>
  </si>
  <si>
    <t>90000215695</t>
  </si>
  <si>
    <t>INVID:5605-US SAP: Infrastructure Landscape FY21 - 5896A</t>
  </si>
  <si>
    <t>90000215696</t>
  </si>
  <si>
    <t>INVID:5605-US SAP: Infrastructure Landscape FY21 - 5841A</t>
  </si>
  <si>
    <t>90000215697</t>
  </si>
  <si>
    <t>INVID:5605-US SAP: Infrastructure Landscape FY21 - 4990</t>
  </si>
  <si>
    <t>6165</t>
  </si>
  <si>
    <t>Future Innovation Productionisation</t>
  </si>
  <si>
    <t>6164</t>
  </si>
  <si>
    <t>DSO Information Integration Subcommittee F&amp;A</t>
  </si>
  <si>
    <t>6163</t>
  </si>
  <si>
    <t>CA - Brand Central Design and Implementation</t>
  </si>
  <si>
    <t>6162</t>
  </si>
  <si>
    <t>P415 Facilitating access to wholesale markets for flexibility dispatched by Virtual Lead Parties</t>
  </si>
  <si>
    <t>6161</t>
  </si>
  <si>
    <t>Charging regime and CUSC changes FY22</t>
  </si>
  <si>
    <t>6160</t>
  </si>
  <si>
    <t>Charging and billing asset health</t>
  </si>
  <si>
    <t>6159</t>
  </si>
  <si>
    <t>Kathy Judge's Efficiency Target</t>
  </si>
  <si>
    <t>6158</t>
  </si>
  <si>
    <t>Capital Delivery - New Competency Management system</t>
  </si>
  <si>
    <t>6157</t>
  </si>
  <si>
    <t>EMR Portal Improvements (Capacity Market and Contracts for Difference)</t>
  </si>
  <si>
    <t>6156</t>
  </si>
  <si>
    <t>FY23 CNI Infrastructure Programme</t>
  </si>
  <si>
    <t>6155</t>
  </si>
  <si>
    <t>FY23 IT Operations Programme</t>
  </si>
  <si>
    <t>6154</t>
  </si>
  <si>
    <t>FY23 End User Experience Programme</t>
  </si>
  <si>
    <t>6153</t>
  </si>
  <si>
    <t>FY23 Networks Program</t>
  </si>
  <si>
    <t>6152</t>
  </si>
  <si>
    <t>FY23 Cloud and Hosting Programme</t>
  </si>
  <si>
    <t>6151</t>
  </si>
  <si>
    <t>FY22 CNI Infrastructure Programme</t>
  </si>
  <si>
    <t>6150</t>
  </si>
  <si>
    <t>FY22 End User Experience Programme</t>
  </si>
  <si>
    <t>6149</t>
  </si>
  <si>
    <t>FY22 IT Operations Programme</t>
  </si>
  <si>
    <t>6148</t>
  </si>
  <si>
    <t>FY22 Cloud and Hosting Programme</t>
  </si>
  <si>
    <t>6147</t>
  </si>
  <si>
    <t>FY22 Networks Programmme</t>
  </si>
  <si>
    <t>6146</t>
  </si>
  <si>
    <t>RPA to Azure</t>
  </si>
  <si>
    <t>6145</t>
  </si>
  <si>
    <t>Flex Bens</t>
  </si>
  <si>
    <t>6144</t>
  </si>
  <si>
    <t>P399:  BSAD Identity Visibility</t>
  </si>
  <si>
    <t>6143</t>
  </si>
  <si>
    <t>Gemini Exit Capacity Data to GCS</t>
  </si>
  <si>
    <t>6142</t>
  </si>
  <si>
    <t>ENAMS Integration ET</t>
  </si>
  <si>
    <t>6141</t>
  </si>
  <si>
    <t>5975B</t>
  </si>
  <si>
    <t>5975A</t>
  </si>
  <si>
    <t>Master Data Management</t>
  </si>
  <si>
    <t>5917E</t>
  </si>
  <si>
    <t>WEM Waste Environmental Management</t>
  </si>
  <si>
    <t>5896D</t>
  </si>
  <si>
    <t>Substation Access Points</t>
  </si>
  <si>
    <t>Generation Asset Management Upgrade</t>
  </si>
  <si>
    <t>On My Way (EBU Digital Solution) Phase 2</t>
  </si>
  <si>
    <t>5054</t>
  </si>
  <si>
    <t>Procurement Spend Cube</t>
  </si>
  <si>
    <t>4945</t>
  </si>
  <si>
    <t>HappyFox Replacement</t>
  </si>
  <si>
    <t>4836</t>
  </si>
  <si>
    <t>AIMS Tool Set Refresh</t>
  </si>
  <si>
    <t>4835</t>
  </si>
  <si>
    <t>Pandemic Workforce Response</t>
  </si>
  <si>
    <t>4832</t>
  </si>
  <si>
    <t>Contact Center Dedicated Support</t>
  </si>
  <si>
    <t>4735</t>
  </si>
  <si>
    <t>External Email Campaign Tool</t>
  </si>
  <si>
    <t>4284</t>
  </si>
  <si>
    <t>4275</t>
  </si>
  <si>
    <t>90000216241</t>
  </si>
  <si>
    <t>INVID:4673A-OSIsoft software licensing fulfillment</t>
  </si>
  <si>
    <t>XG020023225</t>
  </si>
  <si>
    <t>INVID:5487G-Azure Cloud Mail Routing &amp; Exchange 2010 Decom</t>
  </si>
  <si>
    <t>XG020023226</t>
  </si>
  <si>
    <t>INVID:6106-Data Protection Suite (DPS)</t>
  </si>
  <si>
    <t>XG020023227</t>
  </si>
  <si>
    <t>INVID:6108-Sharepoint to Sharepoint Online</t>
  </si>
  <si>
    <t>INVID:6114-Managed Workspace Services Transformation</t>
  </si>
  <si>
    <t>XG020023229</t>
  </si>
  <si>
    <t>INVID:5848-Vulnerability Management</t>
  </si>
  <si>
    <t>XG020023230</t>
  </si>
  <si>
    <t>XG020023210</t>
  </si>
  <si>
    <t>INVID:5843B-US SAP Platform Upgrade: Minor Releases</t>
  </si>
  <si>
    <t>XG020023211</t>
  </si>
  <si>
    <t>INVID:6112-WFH Hardware - Plan Forward</t>
  </si>
  <si>
    <t>XG020023233</t>
  </si>
  <si>
    <t>INVID:5631-Global Booking Mgmt (GBM): US implementation</t>
  </si>
  <si>
    <t>XG020023234</t>
  </si>
  <si>
    <t>INVID:5822C-Generation Asset Management Upgrade</t>
  </si>
  <si>
    <t>XC175023268</t>
  </si>
  <si>
    <t>INVID:6115-Customer COVID-19 Payment Plan for IVR and Web</t>
  </si>
  <si>
    <t>XG020023217</t>
  </si>
  <si>
    <t>Non-BM data in ETR and EBGL reports</t>
  </si>
  <si>
    <t>6175</t>
  </si>
  <si>
    <t>Pensions Application Migration</t>
  </si>
  <si>
    <t>6174</t>
  </si>
  <si>
    <t>6173</t>
  </si>
  <si>
    <t>NGG Digital Sprint</t>
  </si>
  <si>
    <t>6172</t>
  </si>
  <si>
    <t>User Written Tool Productionisation</t>
  </si>
  <si>
    <t>6171</t>
  </si>
  <si>
    <t>TNCC Reslience</t>
  </si>
  <si>
    <t>6170</t>
  </si>
  <si>
    <t>Application Assessment &amp; Cloud Planning</t>
  </si>
  <si>
    <t>6169</t>
  </si>
  <si>
    <t>Verizon Data Centre Network Managed Takeover</t>
  </si>
  <si>
    <t>6168</t>
  </si>
  <si>
    <t>Targeted Charging Review - TNUoS</t>
  </si>
  <si>
    <t>6167</t>
  </si>
  <si>
    <t>EMR Pre-qualification Workflow Mgmt Tool (CfD)</t>
  </si>
  <si>
    <t>6166</t>
  </si>
  <si>
    <t>OMS Router Replacement &amp; IT Service Management</t>
  </si>
  <si>
    <t>ERP Cont Improv E - Bottomline PTX SaaS</t>
  </si>
  <si>
    <t>5569E</t>
  </si>
  <si>
    <t>Device Refresh</t>
  </si>
  <si>
    <t>5161</t>
  </si>
  <si>
    <t>5114</t>
  </si>
  <si>
    <t>RSA Archer Upgrade v6.8 and enhancements</t>
  </si>
  <si>
    <t>4418US</t>
  </si>
  <si>
    <t>90000216653</t>
  </si>
  <si>
    <t>INVID:6097-Cloud Video Interoperability</t>
  </si>
  <si>
    <t>90000216658</t>
  </si>
  <si>
    <t>90000216677</t>
  </si>
  <si>
    <t>90000216680</t>
  </si>
  <si>
    <t>XC175023275</t>
  </si>
  <si>
    <t>INVID:6111-Customer App Remediation - Plan Forward</t>
  </si>
  <si>
    <t>90000216754</t>
  </si>
  <si>
    <t>90000216755</t>
  </si>
  <si>
    <t>90000216722</t>
  </si>
  <si>
    <t>XG020022577</t>
  </si>
  <si>
    <t>INVID:5820-Data Protection</t>
  </si>
  <si>
    <t>XG020022578</t>
  </si>
  <si>
    <t>XG020023280</t>
  </si>
  <si>
    <t>XG020023281</t>
  </si>
  <si>
    <t>INVID:6136-System Center Configuration Manager (SCCM)</t>
  </si>
  <si>
    <t>90000216953</t>
  </si>
  <si>
    <t>Data identical to IT Finance Accruals Tool - Work Request # is required.</t>
  </si>
  <si>
    <t>Remaining</t>
  </si>
  <si>
    <t>BU</t>
  </si>
  <si>
    <t>IT Area</t>
  </si>
  <si>
    <t>Investment Type</t>
  </si>
  <si>
    <t>Walk In</t>
  </si>
  <si>
    <t>BP</t>
  </si>
  <si>
    <t>Track</t>
  </si>
  <si>
    <t>Parent</t>
  </si>
  <si>
    <t>Investment Reason</t>
  </si>
  <si>
    <t>RequestID</t>
  </si>
  <si>
    <t>No</t>
  </si>
  <si>
    <t>sites/GRP-INT-US-USITEPMO/PPM/Lists/INVID Archive</t>
  </si>
  <si>
    <t>TARMAP Phase 4 (NCE)</t>
  </si>
  <si>
    <t>Transmission Analysis Improvements project</t>
  </si>
  <si>
    <t>2482</t>
  </si>
  <si>
    <t>TOA Modiications  Ph II</t>
  </si>
  <si>
    <t>2483</t>
  </si>
  <si>
    <t>Integrated Project &amp; Portfolio Planning</t>
  </si>
  <si>
    <t>2484</t>
  </si>
  <si>
    <t>Performance and condition Datamart</t>
  </si>
  <si>
    <t>2495B</t>
  </si>
  <si>
    <t>Upstate NY GMS Replacement of Obsolete Telemetry</t>
  </si>
  <si>
    <t>2495D</t>
  </si>
  <si>
    <t>GAS Metretek Consolidation</t>
  </si>
  <si>
    <t>2500</t>
  </si>
  <si>
    <t>On-Bill Financing - CRIS</t>
  </si>
  <si>
    <t>2503</t>
  </si>
  <si>
    <t>LICAP Modification</t>
  </si>
  <si>
    <t>2506</t>
  </si>
  <si>
    <t>US Back Office</t>
  </si>
  <si>
    <t>2523</t>
  </si>
  <si>
    <t>ERP PeopleTools Upgrade</t>
  </si>
  <si>
    <t>2530</t>
  </si>
  <si>
    <t>Vendor support mandated upgrade of BBM and Eigerpay</t>
  </si>
  <si>
    <t>2531</t>
  </si>
  <si>
    <t>Risk based upgrades to minor applications</t>
  </si>
  <si>
    <t>2532</t>
  </si>
  <si>
    <t>Maintain version concurrency of BO SAP app components</t>
  </si>
  <si>
    <t>2534</t>
  </si>
  <si>
    <t>KSE PeopleSoft HR upgrade</t>
  </si>
  <si>
    <t>2541</t>
  </si>
  <si>
    <t>US Gas Upstate Device purchase</t>
  </si>
  <si>
    <t>2554</t>
  </si>
  <si>
    <t>Shared Services Transformation</t>
  </si>
  <si>
    <t>2555</t>
  </si>
  <si>
    <t>Move of NG Pensions to new office</t>
  </si>
  <si>
    <t>2556</t>
  </si>
  <si>
    <t>U1360 Enhancements</t>
  </si>
  <si>
    <t>2557</t>
  </si>
  <si>
    <t>Employee Portal for Shared Services</t>
  </si>
  <si>
    <t>2558</t>
  </si>
  <si>
    <t>Establishment of Management Training Facility at Eakring</t>
  </si>
  <si>
    <t>2559</t>
  </si>
  <si>
    <t>IS Transformation (US)</t>
  </si>
  <si>
    <t>2559A</t>
  </si>
  <si>
    <t>IS Transformation Solution Delivery Programme</t>
  </si>
  <si>
    <t>2559N</t>
  </si>
  <si>
    <t>IS Transformation Relationship Management</t>
  </si>
  <si>
    <t>2566</t>
  </si>
  <si>
    <t>Process Safety Reporting</t>
  </si>
  <si>
    <t>2569</t>
  </si>
  <si>
    <t>Gas Corrosion Inspections</t>
  </si>
  <si>
    <t>2571</t>
  </si>
  <si>
    <t>Advanced Consumption</t>
  </si>
  <si>
    <t>2572</t>
  </si>
  <si>
    <t>US Warehouse Carousel Software-Hardware Upgrade</t>
  </si>
  <si>
    <t>2574</t>
  </si>
  <si>
    <t>US SAP ERP Back Office</t>
  </si>
  <si>
    <t>2575</t>
  </si>
  <si>
    <t>US SAP Gas Front Office</t>
  </si>
  <si>
    <t>2575B</t>
  </si>
  <si>
    <t>USFO Strategy</t>
  </si>
  <si>
    <t>2575C</t>
  </si>
  <si>
    <t>Front Office Mobilization</t>
  </si>
  <si>
    <t>2576</t>
  </si>
  <si>
    <t>US Mobile Strategic Implementation</t>
  </si>
  <si>
    <t>2577B</t>
  </si>
  <si>
    <t>US Gas GIS Consolidation to ESRI &amp; ArcFM</t>
  </si>
  <si>
    <t>2581</t>
  </si>
  <si>
    <t>US Rhode Island Customer migrations to CSS</t>
  </si>
  <si>
    <t>2598</t>
  </si>
  <si>
    <t>FERC Etariff Solution</t>
  </si>
  <si>
    <t>2608</t>
  </si>
  <si>
    <t>GHG Inventory Management System</t>
  </si>
  <si>
    <t>2628</t>
  </si>
  <si>
    <t>DELETE - GTO Data Model  (DUPLICATE.  DO NOT USE)</t>
  </si>
  <si>
    <t>2636</t>
  </si>
  <si>
    <t>NIMO Sales Tax Reverse Audit</t>
  </si>
  <si>
    <t>2638</t>
  </si>
  <si>
    <t>Gas Extranet for Codes and Standards</t>
  </si>
  <si>
    <t>2648</t>
  </si>
  <si>
    <t>One Bill Option Availability for Gas Marketers in NE</t>
  </si>
  <si>
    <t>2650</t>
  </si>
  <si>
    <t>Massachusetts Gas Rate Case CRIS Implementation</t>
  </si>
  <si>
    <t>2654</t>
  </si>
  <si>
    <t>US Gas Downstate NE Device purchase</t>
  </si>
  <si>
    <t>2661</t>
  </si>
  <si>
    <t>US Conference Room Booking Improvements</t>
  </si>
  <si>
    <t>0696</t>
  </si>
  <si>
    <t>TMS / OC</t>
  </si>
  <si>
    <t>2698A</t>
  </si>
  <si>
    <t>0697</t>
  </si>
  <si>
    <t>Corporate Centre Unregulated Minor Projects</t>
  </si>
  <si>
    <t>0697A</t>
  </si>
  <si>
    <t>BroadPad</t>
  </si>
  <si>
    <t>LIPA Meter Data Management System</t>
  </si>
  <si>
    <t>2731</t>
  </si>
  <si>
    <t>Web Portal: Onyx / Burnham Corporation interface</t>
  </si>
  <si>
    <t>0697B</t>
  </si>
  <si>
    <t>TeamTalk</t>
  </si>
  <si>
    <t>0697D</t>
  </si>
  <si>
    <t>Workforce Planning data extract for Infohrm</t>
  </si>
  <si>
    <t>0713</t>
  </si>
  <si>
    <t>SS Front Desk Telephony</t>
  </si>
  <si>
    <t>2861</t>
  </si>
  <si>
    <t>Mobile Equipment Lifecycle Replacements, issues resolution, Regulatory Requirements and upgrades</t>
  </si>
  <si>
    <t>2862</t>
  </si>
  <si>
    <t>Expand Maximo/MDSI to RI</t>
  </si>
  <si>
    <t>2867</t>
  </si>
  <si>
    <t>AMS 2000 NYC Upgrade</t>
  </si>
  <si>
    <t>2875</t>
  </si>
  <si>
    <t>Energy North FOMSA Project</t>
  </si>
  <si>
    <t>2876</t>
  </si>
  <si>
    <t>Energy North SOMSA Project</t>
  </si>
  <si>
    <t>2877</t>
  </si>
  <si>
    <t>Replacment of meter reading DCUs</t>
  </si>
  <si>
    <t>2878</t>
  </si>
  <si>
    <t>Automation  of Standards, Integration and Self Certification Platform</t>
  </si>
  <si>
    <t>0715A</t>
  </si>
  <si>
    <t>2879</t>
  </si>
  <si>
    <t>Bulk Log consolidation and retention</t>
  </si>
  <si>
    <t>2881B</t>
  </si>
  <si>
    <t>US CNI NY and NY EMS Infrastructure Upgrades and Reliability-FY13</t>
  </si>
  <si>
    <t>2881C</t>
  </si>
  <si>
    <t>US CNI GenCo Infrastructure Upgrades and Reliability-FY13</t>
  </si>
  <si>
    <t>2881E</t>
  </si>
  <si>
    <t>US CNI Tech Services Infrastructure Upgrades and Reliability-FY13</t>
  </si>
  <si>
    <t>2883</t>
  </si>
  <si>
    <t>LDAP implementation (CNI – EMS – All regions)</t>
  </si>
  <si>
    <t>2890</t>
  </si>
  <si>
    <t>Smart Grid Investment Grant to Install Phasor Measurement Units in New England</t>
  </si>
  <si>
    <t>2898</t>
  </si>
  <si>
    <t>DoE Smart Cap Bank</t>
  </si>
  <si>
    <t>2899</t>
  </si>
  <si>
    <t>DoE Smart Training</t>
  </si>
  <si>
    <t>2900</t>
  </si>
  <si>
    <t>NY Smart Storage Project</t>
  </si>
  <si>
    <t>2909</t>
  </si>
  <si>
    <t>US Gas &amp; Electric CNI Data Centre</t>
  </si>
  <si>
    <t>2956</t>
  </si>
  <si>
    <t>Document Management System</t>
  </si>
  <si>
    <t>2959</t>
  </si>
  <si>
    <t>Credit and Collections - Bad Debt Mitigation Initiatives</t>
  </si>
  <si>
    <t>2983</t>
  </si>
  <si>
    <t>CNI Secure Separation from BLAN (AA)  [Rolled into INVP 3614 Program]</t>
  </si>
  <si>
    <t>2999</t>
  </si>
  <si>
    <t>3000</t>
  </si>
  <si>
    <t>CNI Citrix implementation (Upstate New York)</t>
  </si>
  <si>
    <t>3010</t>
  </si>
  <si>
    <t>Integration of US System Strategy</t>
  </si>
  <si>
    <t>3013</t>
  </si>
  <si>
    <t>Mapboard replacement/upgrade</t>
  </si>
  <si>
    <t>3016</t>
  </si>
  <si>
    <t>EMS Test Factory</t>
  </si>
  <si>
    <t>3017</t>
  </si>
  <si>
    <t>US CNI Monitoring</t>
  </si>
  <si>
    <t>3019</t>
  </si>
  <si>
    <t>3019B</t>
  </si>
  <si>
    <t>US IS CNI Document Knowledge Mgt. Sys.</t>
  </si>
  <si>
    <t>3024</t>
  </si>
  <si>
    <t>Web Site Refresh</t>
  </si>
  <si>
    <t>0750B</t>
  </si>
  <si>
    <t>HRMI Phase 2</t>
  </si>
  <si>
    <t>0750</t>
  </si>
  <si>
    <t>3080</t>
  </si>
  <si>
    <t>LIPA Communications Project</t>
  </si>
  <si>
    <t>3081</t>
  </si>
  <si>
    <t>HMRI Project - Phase-III</t>
  </si>
  <si>
    <t>3083</t>
  </si>
  <si>
    <t>Internet Tools and Hosting</t>
  </si>
  <si>
    <t>3084</t>
  </si>
  <si>
    <t>Invester Relation</t>
  </si>
  <si>
    <t>3085</t>
  </si>
  <si>
    <t>Internet Strategy</t>
  </si>
  <si>
    <t>3087</t>
  </si>
  <si>
    <t>Address Hygiene Software</t>
  </si>
  <si>
    <t>3088</t>
  </si>
  <si>
    <t>Bassingstoke Data Room Closure</t>
  </si>
  <si>
    <t>3089</t>
  </si>
  <si>
    <t>Customer Choice Email Tracking</t>
  </si>
  <si>
    <t>3091</t>
  </si>
  <si>
    <t>IVR Projects</t>
  </si>
  <si>
    <t>3092</t>
  </si>
  <si>
    <t>Onyx Interface</t>
  </si>
  <si>
    <t>3093</t>
  </si>
  <si>
    <t>SFTP Resilience (Global Scape) for B2B</t>
  </si>
  <si>
    <t>US Lone Worker Safety Device</t>
  </si>
  <si>
    <t>3102</t>
  </si>
  <si>
    <t>Procurement department - Equipment Rentals Project (business funded)</t>
  </si>
  <si>
    <t>3103</t>
  </si>
  <si>
    <t>iRise Visualization Solution</t>
  </si>
  <si>
    <t>3104</t>
  </si>
  <si>
    <t>NE Verizon Circuit Upgrade - Guild</t>
  </si>
  <si>
    <t>3105</t>
  </si>
  <si>
    <t>UNY and RI Gas Ops Barn WAP</t>
  </si>
  <si>
    <t>3106</t>
  </si>
  <si>
    <t>LIPA Agency Status</t>
  </si>
  <si>
    <t>3110</t>
  </si>
  <si>
    <t>Benefits Validation</t>
  </si>
  <si>
    <t>3116A</t>
  </si>
  <si>
    <t>3128</t>
  </si>
  <si>
    <t>New York City Gas Paving Contracts</t>
  </si>
  <si>
    <t>3130</t>
  </si>
  <si>
    <t>Warehouse Handheld Replacement</t>
  </si>
  <si>
    <t>3147A</t>
  </si>
  <si>
    <t>3162G</t>
  </si>
  <si>
    <t>3198</t>
  </si>
  <si>
    <t>Transfer of SDTP IT, Network and Security Stream Costs from CTA Costs to Capital Investment</t>
  </si>
  <si>
    <t>3199</t>
  </si>
  <si>
    <t>SDTP Secure Connectivity Solution.</t>
  </si>
  <si>
    <t>3203</t>
  </si>
  <si>
    <t>NYC Gas Take Stations Security Enhancements</t>
  </si>
  <si>
    <t>3204</t>
  </si>
  <si>
    <t>Springfield Oper Yard Turnstile (Consolidated into INVP 3202 Minor Works)</t>
  </si>
  <si>
    <t>3205</t>
  </si>
  <si>
    <t>Hicksville SCC Network upgrades (Consolidated into INVP 3202 Minor Works)</t>
  </si>
  <si>
    <t>3206</t>
  </si>
  <si>
    <t>Videofied Detection System</t>
  </si>
  <si>
    <t>3207</t>
  </si>
  <si>
    <t>Long Beach Gas Security Enhancements</t>
  </si>
  <si>
    <t>3208</t>
  </si>
  <si>
    <t>US Security - Capitalized equipment installs / replacement as needed</t>
  </si>
  <si>
    <t>3209</t>
  </si>
  <si>
    <t>NE Capitalized Equipment Replacement due to failure (Consolidated into INVP 3208 Minor Works)</t>
  </si>
  <si>
    <t>3210</t>
  </si>
  <si>
    <t>NE Infographics Conversion to AMAG</t>
  </si>
  <si>
    <t>3211</t>
  </si>
  <si>
    <t>Nextiva Video Platform Upgrade - required field work (Consolidated into INVP 3202 Minor Works)</t>
  </si>
  <si>
    <t>3212</t>
  </si>
  <si>
    <t>DSNY Gate Operators Replacement Plan (Consolidated into INVP 3202 Minor Works)</t>
  </si>
  <si>
    <t>3213</t>
  </si>
  <si>
    <t>NE Gate Operators Replacement Plan (Consolidated into INVP 3202 Minor Works)</t>
  </si>
  <si>
    <t>3214</t>
  </si>
  <si>
    <t>Northboro SCC Network Upgrades (Consolidated into INVP 3202 Minor Works)</t>
  </si>
  <si>
    <t>3215</t>
  </si>
  <si>
    <t>USNY Capitalized Equipment Replacement due to failure (Consolidated into INVP 3208 Minor Works)</t>
  </si>
  <si>
    <t>3216</t>
  </si>
  <si>
    <t>USNY Operating Yards Security Enhancements</t>
  </si>
  <si>
    <t>3217</t>
  </si>
  <si>
    <t>C-Cure Platform System Upgrades (Consolidated into INVP 3202 Minor Works)</t>
  </si>
  <si>
    <t>3222</t>
  </si>
  <si>
    <t>SMART-NY PMU</t>
  </si>
  <si>
    <t>3230</t>
  </si>
  <si>
    <t>US Electric Transmission GIS Conversion to ESRI</t>
  </si>
  <si>
    <t>3232</t>
  </si>
  <si>
    <t>3263</t>
  </si>
  <si>
    <t>Long Beach Gas Take Station video enhancements</t>
  </si>
  <si>
    <t>3264</t>
  </si>
  <si>
    <t>PDU Reboot Field Devices</t>
  </si>
  <si>
    <t>3265</t>
  </si>
  <si>
    <t>Field UPS and Pwr Surge Replacements</t>
  </si>
  <si>
    <t>3266</t>
  </si>
  <si>
    <t>Sandy Pond HVDC Security Enhancements</t>
  </si>
  <si>
    <t>3267</t>
  </si>
  <si>
    <t>LNG Video Present/Bypass/GTS upgrades</t>
  </si>
  <si>
    <t>3277B</t>
  </si>
  <si>
    <t>Web Mapping Intelligence and Outage Data Center (Prior name: ArcGIS Portal Implementation )</t>
  </si>
  <si>
    <t>3284</t>
  </si>
  <si>
    <t>USNY Operating yard Security Enhancements (Consolidated into INVP 3202 Minor Works)</t>
  </si>
  <si>
    <t>3285</t>
  </si>
  <si>
    <t>Babylon Warehouse Security Enhancements (Consolidated into INVP 3202 Minor Works)</t>
  </si>
  <si>
    <t>0846</t>
  </si>
  <si>
    <t>0919</t>
  </si>
  <si>
    <t>Gas SCADA upgrade / modernization</t>
  </si>
  <si>
    <t>0920</t>
  </si>
  <si>
    <t>US Energy Management System Replacement Project</t>
  </si>
  <si>
    <t>3323</t>
  </si>
  <si>
    <t>0922</t>
  </si>
  <si>
    <t>Replacement of Meter Data Collection System for LIPA's Commercial and Industrial customers.</t>
  </si>
  <si>
    <t>3331</t>
  </si>
  <si>
    <t>LIPA Transition - Discovery Phase</t>
  </si>
  <si>
    <t>0943</t>
  </si>
  <si>
    <t>US Mobile Device Upgrades</t>
  </si>
  <si>
    <t>3339</t>
  </si>
  <si>
    <t>MI Stabilisation</t>
  </si>
  <si>
    <t>0946</t>
  </si>
  <si>
    <t>GBU Performance Management System Upgrade</t>
  </si>
  <si>
    <t>0973</t>
  </si>
  <si>
    <t>Transmission GIS migration to Oracle with enhancements</t>
  </si>
  <si>
    <t>3387</t>
  </si>
  <si>
    <t>CMS Supervisor Laptop Replacement</t>
  </si>
  <si>
    <t>0987</t>
  </si>
  <si>
    <t>System Account Initiaition (CRIS)</t>
  </si>
  <si>
    <t>Yes</t>
  </si>
  <si>
    <t>0987A</t>
  </si>
  <si>
    <t>0991</t>
  </si>
  <si>
    <t>Account Management Initiatives (PMP Cris)</t>
  </si>
  <si>
    <t>3442E</t>
  </si>
  <si>
    <t>0991A</t>
  </si>
  <si>
    <t>Account Management Initiatives (PMP CRIS)</t>
  </si>
  <si>
    <t>1002B</t>
  </si>
  <si>
    <t>DSM Energy Efficiency Year End Conversion Requirements </t>
  </si>
  <si>
    <t>3485</t>
  </si>
  <si>
    <t>PTS Disaster Recovery Environment</t>
  </si>
  <si>
    <t>3487</t>
  </si>
  <si>
    <t>Customer Care Module</t>
  </si>
  <si>
    <t>3488</t>
  </si>
  <si>
    <t>Load Research System</t>
  </si>
  <si>
    <t>3489</t>
  </si>
  <si>
    <t>Settlement Systems Consolidation</t>
  </si>
  <si>
    <t>1002C</t>
  </si>
  <si>
    <t>Customer Account Validation For Online Energy efficiency Rebate Reservation</t>
  </si>
  <si>
    <t>3491</t>
  </si>
  <si>
    <t>Meter Data System Refreshes</t>
  </si>
  <si>
    <t>3493</t>
  </si>
  <si>
    <t>Operational Technology - US  [See INVP 3402 UK &amp; US project entry]</t>
  </si>
  <si>
    <t>1002D</t>
  </si>
  <si>
    <t>DSM Energy Efficinecy June 2012 Release Enhancements - R&amp;D Phase</t>
  </si>
  <si>
    <t>1002E</t>
  </si>
  <si>
    <t>DSM EE Oct 2012 Release Enhancements and SAP Conversion Changes</t>
  </si>
  <si>
    <t>1002F</t>
  </si>
  <si>
    <t>DSM EE Year End 2012 Conversion and February 2013 Release Enhancements</t>
  </si>
  <si>
    <t>1002G</t>
  </si>
  <si>
    <t>2013 Liberty Utilities Energy Efficiency Program – DSM / InDemand Changes</t>
  </si>
  <si>
    <t>1002H</t>
  </si>
  <si>
    <t>INVP 1002H - DSM Energy Efficiency June 2013 Release Enhancements</t>
  </si>
  <si>
    <t>1002I</t>
  </si>
  <si>
    <t>DSM EE Nov 2013 Release Enhancements and 2013 Year End Conversion project</t>
  </si>
  <si>
    <t>1002J</t>
  </si>
  <si>
    <t>DSM EE Apr 2014 Release Enhancements</t>
  </si>
  <si>
    <t>1002K</t>
  </si>
  <si>
    <t>DSM EE Aug 2014 Release Enhancements - IBM</t>
  </si>
  <si>
    <t>3570H</t>
  </si>
  <si>
    <t>Single Sourcing Form &amp; Category Strategy Framework</t>
  </si>
  <si>
    <t>1002L</t>
  </si>
  <si>
    <t>DSM Energy Efficiency Nov 2014 Release Enhancements and 2014 Year End Conversion - IBM</t>
  </si>
  <si>
    <t>3578</t>
  </si>
  <si>
    <t>US SAP Stabilization</t>
  </si>
  <si>
    <t>1002M</t>
  </si>
  <si>
    <t>DSM Energy Efficiency Mar 2015 Release Enhancements - IBM</t>
  </si>
  <si>
    <t>1002N</t>
  </si>
  <si>
    <t>DSM Energy Efficiency Aug 2015 Release Enhancements - IBM</t>
  </si>
  <si>
    <t>1002O</t>
  </si>
  <si>
    <t>DSM Energy Efficiency Dec 2015 Release Enhancements and 2015 Year End Conversion - IBM</t>
  </si>
  <si>
    <t>3610</t>
  </si>
  <si>
    <t>Instant Messaging Recording for Energy Traders</t>
  </si>
  <si>
    <t>1002P</t>
  </si>
  <si>
    <t>DSM Energy Efficiency Apr 2016 Release Enhancements - IBM</t>
  </si>
  <si>
    <t>IP-R-D_US CNI Patch Assurance 20 Mar 2015 v1.6</t>
  </si>
  <si>
    <t>1002Q</t>
  </si>
  <si>
    <t>DSM EE Aug 2016 Release Enhancements</t>
  </si>
  <si>
    <t>Physical Security USNY Capex Equipment Replacement</t>
  </si>
  <si>
    <t>3660</t>
  </si>
  <si>
    <t>CNI Infrastructure Upgrades and maintenance</t>
  </si>
  <si>
    <t>3660AA</t>
  </si>
  <si>
    <t>3660AB</t>
  </si>
  <si>
    <t>3660AC</t>
  </si>
  <si>
    <t>3660AD</t>
  </si>
  <si>
    <t>3660AE</t>
  </si>
  <si>
    <t>3660B</t>
  </si>
  <si>
    <t>DWDM Upgrade FY15/ FY16</t>
  </si>
  <si>
    <t>3660E</t>
  </si>
  <si>
    <t>Oracle Names Server Asset Refresh &amp; Rationalisation (Electricity) FY15</t>
  </si>
  <si>
    <t>1009</t>
  </si>
  <si>
    <t>Health &amp; Safety Mgt Med App</t>
  </si>
  <si>
    <t>3660F</t>
  </si>
  <si>
    <t>Domain Names Server Asset Refresh &amp; Strategy Implementation (Electricity)FY15</t>
  </si>
  <si>
    <t>3660G</t>
  </si>
  <si>
    <t>Domain Names Server Asset Refresh (Gas) FY15</t>
  </si>
  <si>
    <t>3660H</t>
  </si>
  <si>
    <t>Wintel Server Asset Refresh (Gas) FY15</t>
  </si>
  <si>
    <t>3660J</t>
  </si>
  <si>
    <t>Servelec VPN Access FY15</t>
  </si>
  <si>
    <t>3660K</t>
  </si>
  <si>
    <t>Oracle Enterprise Manager Upgrade FY15</t>
  </si>
  <si>
    <t>1013A</t>
  </si>
  <si>
    <t>P23 Claims Systems Consolidation</t>
  </si>
  <si>
    <t>1013</t>
  </si>
  <si>
    <t>3669A</t>
  </si>
  <si>
    <t>SMI Conversion Strategy Roadmap (Project Athena)</t>
  </si>
  <si>
    <t>1026</t>
  </si>
  <si>
    <t>ERP Release 18: PowerPlant Upgrade</t>
  </si>
  <si>
    <t>3669B</t>
  </si>
  <si>
    <t>SMI Conversion Mobilization - US (Project Athena)</t>
  </si>
  <si>
    <t>1035</t>
  </si>
  <si>
    <t>PTS Upgrade (P2&amp;3)</t>
  </si>
  <si>
    <t>3683AA</t>
  </si>
  <si>
    <t>3683AB</t>
  </si>
  <si>
    <t>3683AC</t>
  </si>
  <si>
    <t>3683AD</t>
  </si>
  <si>
    <t>3683AE</t>
  </si>
  <si>
    <t>3683AF</t>
  </si>
  <si>
    <t>3683AG</t>
  </si>
  <si>
    <t>3683AH</t>
  </si>
  <si>
    <t>3683AI</t>
  </si>
  <si>
    <t>3683AJ</t>
  </si>
  <si>
    <t>3683AK</t>
  </si>
  <si>
    <t>3683AL</t>
  </si>
  <si>
    <t>3683AM</t>
  </si>
  <si>
    <t>3683AN</t>
  </si>
  <si>
    <t>3683AO</t>
  </si>
  <si>
    <t>3683AP</t>
  </si>
  <si>
    <t>3683AQ</t>
  </si>
  <si>
    <t>3683AR</t>
  </si>
  <si>
    <t>3683AS</t>
  </si>
  <si>
    <t>3683AT</t>
  </si>
  <si>
    <t>3683AU</t>
  </si>
  <si>
    <t>3683AV</t>
  </si>
  <si>
    <t>3683AW</t>
  </si>
  <si>
    <t>3683AX</t>
  </si>
  <si>
    <t>3683AY</t>
  </si>
  <si>
    <t>3683AZ</t>
  </si>
  <si>
    <t>3683BA</t>
  </si>
  <si>
    <t>3683BB</t>
  </si>
  <si>
    <t>3683BC</t>
  </si>
  <si>
    <t>3683BD</t>
  </si>
  <si>
    <t>3683BE</t>
  </si>
  <si>
    <t>3683BF</t>
  </si>
  <si>
    <t>3683BG</t>
  </si>
  <si>
    <t>Cyber</t>
  </si>
  <si>
    <t>3683US</t>
  </si>
  <si>
    <t>3683USAS</t>
  </si>
  <si>
    <t>Electricity Balancing code: Replacement Reserves (RR)</t>
  </si>
  <si>
    <t>3715</t>
  </si>
  <si>
    <t>Process Excellence (PEX) Initiatives</t>
  </si>
  <si>
    <t>3730</t>
  </si>
  <si>
    <t>US CNI GMS-Downstate NY and LI Upgrade End-Of-Life Verizon Back-up Communication</t>
  </si>
  <si>
    <t>3731</t>
  </si>
  <si>
    <t>Contract re-bid T-systems</t>
  </si>
  <si>
    <t>3753I</t>
  </si>
  <si>
    <t>3778</t>
  </si>
  <si>
    <t>Architect Tooling and Methods Project for IS</t>
  </si>
  <si>
    <t>3801I</t>
  </si>
  <si>
    <t>Transmission IS Major Projects, AMPD Technology</t>
  </si>
  <si>
    <t>3801J</t>
  </si>
  <si>
    <t>3805</t>
  </si>
  <si>
    <t>Repair Planning &amp; Dispatch (Process Optimisation) - DUPLICATE see INVP 3792</t>
  </si>
  <si>
    <t>3806</t>
  </si>
  <si>
    <t>Scheduling Improvements (Click) for Dispatch, Res Mgt Repair and Emergency</t>
  </si>
  <si>
    <t>3807</t>
  </si>
  <si>
    <t>Masternaut</t>
  </si>
  <si>
    <t>3808</t>
  </si>
  <si>
    <t>Dispatch: Portals (on behalf of)</t>
  </si>
  <si>
    <t>3809</t>
  </si>
  <si>
    <t>Complete Pressure Systems Database integration into GDFO</t>
  </si>
  <si>
    <t>3810</t>
  </si>
  <si>
    <t>Customer: IPCC Improvements (Stabilisation, Workforce Mgt, Call Recording, Exony Reporting) - DUPLICATE see INVP 3788</t>
  </si>
  <si>
    <t>3811</t>
  </si>
  <si>
    <t>Customer: Speech Analytics - DUPLICATE see INVP 3791</t>
  </si>
  <si>
    <t>3812</t>
  </si>
  <si>
    <t>Dispatch Improvements: CRM Campaign Management, Incident Management - DUPLICATE see INVP 3790</t>
  </si>
  <si>
    <t>3813</t>
  </si>
  <si>
    <t>Northern Ireland Network - DUPLICATE see INVP 3795</t>
  </si>
  <si>
    <t>3814</t>
  </si>
  <si>
    <t>GDSPs: Phase 3</t>
  </si>
  <si>
    <t>3815</t>
  </si>
  <si>
    <t>Shift Management: WTS (Working Time Solution) - DUPLICATE see INVP 3793</t>
  </si>
  <si>
    <t>3816</t>
  </si>
  <si>
    <t>Plant Protection Enquiry Process (Strategic Solution)</t>
  </si>
  <si>
    <t>3817</t>
  </si>
  <si>
    <t>Electronic Attendance Registration - DUPLICATE see INVP 3796</t>
  </si>
  <si>
    <t>3818</t>
  </si>
  <si>
    <t>GDFO Data Governance</t>
  </si>
  <si>
    <t>3819</t>
  </si>
  <si>
    <t>GDSPs: Mobile Applications - iPhone Apps (Winter Planning, Repair, Metering, ER&amp;R, TSE Hire) - DUPLICATE see INVP 3794</t>
  </si>
  <si>
    <t>3820</t>
  </si>
  <si>
    <t>Syclo Improvements / App Development - DUPLICATE see INVP 3797</t>
  </si>
  <si>
    <t>3821</t>
  </si>
  <si>
    <t>Delivery of RIIO Data Capture Requirements - DUPLICATE see INVP 3798</t>
  </si>
  <si>
    <t>3822</t>
  </si>
  <si>
    <t>InField: InVan screens</t>
  </si>
  <si>
    <t>1147</t>
  </si>
  <si>
    <t>3834</t>
  </si>
  <si>
    <t>IQMS Improvements</t>
  </si>
  <si>
    <t>3835</t>
  </si>
  <si>
    <t>GSR Database</t>
  </si>
  <si>
    <t>3837</t>
  </si>
  <si>
    <t>Field Force Helpdesk</t>
  </si>
  <si>
    <t>3840</t>
  </si>
  <si>
    <t>New Redindant SCC</t>
  </si>
  <si>
    <t>3841</t>
  </si>
  <si>
    <t>US Global Security Pelco Video System Conversion to Verint</t>
  </si>
  <si>
    <t>3844</t>
  </si>
  <si>
    <t>Escheatment Service</t>
  </si>
  <si>
    <t>3848</t>
  </si>
  <si>
    <t>Cascade Electric Windows7 SOE for Panasonic FZ G1</t>
  </si>
  <si>
    <t>3849</t>
  </si>
  <si>
    <t>Cloud Computing for Critical Energy Infrastructure Information</t>
  </si>
  <si>
    <t>0205C</t>
  </si>
  <si>
    <t>3856</t>
  </si>
  <si>
    <t>FSA/Commuter Benefit Administrator Replacement</t>
  </si>
  <si>
    <t>3858</t>
  </si>
  <si>
    <t>Batch &amp; Application Monitoring</t>
  </si>
  <si>
    <t>3859ADJ</t>
  </si>
  <si>
    <t>1157</t>
  </si>
  <si>
    <t>3866</t>
  </si>
  <si>
    <t>Connect2Grid / US SAP integration</t>
  </si>
  <si>
    <t>3867</t>
  </si>
  <si>
    <t>Connect2Grid Upgrade (end of contractual service)</t>
  </si>
  <si>
    <t>3868</t>
  </si>
  <si>
    <t>Communi-T Master Data tool / US SAP integration</t>
  </si>
  <si>
    <t>3869</t>
  </si>
  <si>
    <t>3874</t>
  </si>
  <si>
    <t>Phase III Testing Environment</t>
  </si>
  <si>
    <t>3879</t>
  </si>
  <si>
    <t>Bring Your Own Device Feasibility &amp; Analysis</t>
  </si>
  <si>
    <t>3880</t>
  </si>
  <si>
    <t>Bank Services Analysis Tool</t>
  </si>
  <si>
    <t>US_FSSC</t>
  </si>
  <si>
    <t>3897</t>
  </si>
  <si>
    <t>Enterprise Portal</t>
  </si>
  <si>
    <t>3900</t>
  </si>
  <si>
    <t>Active Directory upgrades/improvements</t>
  </si>
  <si>
    <t>3904</t>
  </si>
  <si>
    <t>Electronic Signature for Deferred Payment Agreements</t>
  </si>
  <si>
    <t>3905</t>
  </si>
  <si>
    <t>Contact Center Interactive Voice Recognition (IVR) Minor Works with Verizon</t>
  </si>
  <si>
    <t>3908</t>
  </si>
  <si>
    <t>Direct Tax: OneSource Review and Implementation</t>
  </si>
  <si>
    <t>3909</t>
  </si>
  <si>
    <t>Indirect Tax: Automation Review and Implementation</t>
  </si>
  <si>
    <t>3911</t>
  </si>
  <si>
    <t>Legal Hold System Integration and Remediation</t>
  </si>
  <si>
    <t>Global Talent Management Module Implementation</t>
  </si>
  <si>
    <t>3916</t>
  </si>
  <si>
    <t>EHP"X" - Enhancement Pack Upgrades</t>
  </si>
  <si>
    <t>3919</t>
  </si>
  <si>
    <t>EHR2 - Annual Enhancement HR Release 2 (minor)</t>
  </si>
  <si>
    <t>3920</t>
  </si>
  <si>
    <t>EHR3 - Annual Enhancement HR Enhancement Release 3  (major)</t>
  </si>
  <si>
    <t>3921</t>
  </si>
  <si>
    <t>HANA - Deploy Suite on HANA (SAP Database)</t>
  </si>
  <si>
    <t>1174</t>
  </si>
  <si>
    <t>Treasury Work Station</t>
  </si>
  <si>
    <t>3923</t>
  </si>
  <si>
    <t>SAP Program Delivery - Deploy Enduring SAP Program Delivery Capability  - Void per Joe Howard 9/30/14</t>
  </si>
  <si>
    <t>3925</t>
  </si>
  <si>
    <t>Archiving - SAP/PowerPlan Data Archiving</t>
  </si>
  <si>
    <t>3926</t>
  </si>
  <si>
    <t>Deploy Business As Usual (BAU) and Training (Tng) Environment</t>
  </si>
  <si>
    <t>3927</t>
  </si>
  <si>
    <t>Allegro Upgrades</t>
  </si>
  <si>
    <t>1174A</t>
  </si>
  <si>
    <t>XRT Upgrade from v6.5 to v8.0</t>
  </si>
  <si>
    <t>3933</t>
  </si>
  <si>
    <t>Employment Verification Administrator Replacement (Barnett Associates)</t>
  </si>
  <si>
    <t>3934</t>
  </si>
  <si>
    <t>Healthcare Exchanges / Retiree Choices</t>
  </si>
  <si>
    <t>3935</t>
  </si>
  <si>
    <t>F&amp;A - Integrated Case Management</t>
  </si>
  <si>
    <t>3936</t>
  </si>
  <si>
    <t>Contact Center New Vendor Integration to Syracuse and Metrotech</t>
  </si>
  <si>
    <t>3937</t>
  </si>
  <si>
    <t>Unbuilt Revenue Estimation Model</t>
  </si>
  <si>
    <t>3938</t>
  </si>
  <si>
    <t>Environmental Management Information System</t>
  </si>
  <si>
    <t>3939</t>
  </si>
  <si>
    <t>RI Distributed Generation Web Application Form</t>
  </si>
  <si>
    <t>3940</t>
  </si>
  <si>
    <t>Asset Lifecycle Management Strategy</t>
  </si>
  <si>
    <t>3942</t>
  </si>
  <si>
    <t>Energy Efficiency Sales Tool - COFEE</t>
  </si>
  <si>
    <t>3943</t>
  </si>
  <si>
    <t>NYISO Load Bid Automation</t>
  </si>
  <si>
    <t>3944</t>
  </si>
  <si>
    <t>Web Stabilization Initiative</t>
  </si>
  <si>
    <t>3945</t>
  </si>
  <si>
    <t>Customer Choice Business Stabilization Initiative</t>
  </si>
  <si>
    <t>3946</t>
  </si>
  <si>
    <t>Electric and Gas Service Fulfillment Web Portal</t>
  </si>
  <si>
    <t>3947</t>
  </si>
  <si>
    <t>Electric and Gas Work Planning Tools</t>
  </si>
  <si>
    <t>3950</t>
  </si>
  <si>
    <t>Phase 2 Generation Data Delivery to LIPA/PSEG</t>
  </si>
  <si>
    <t>3951</t>
  </si>
  <si>
    <t>Replacement of Success Enterprise</t>
  </si>
  <si>
    <t>3952</t>
  </si>
  <si>
    <t>Electronic Work Packages for Gas Services Using Mobile Technology</t>
  </si>
  <si>
    <t>3953</t>
  </si>
  <si>
    <t>NY Gas M&amp;C Work Management Productivity System</t>
  </si>
  <si>
    <t>3954</t>
  </si>
  <si>
    <t>Migrate Inspection and Fuel Monitoring System to LAN/WiFi</t>
  </si>
  <si>
    <t>3957</t>
  </si>
  <si>
    <t>Aviation Hangar Project</t>
  </si>
  <si>
    <t>3959</t>
  </si>
  <si>
    <t>Custormer Complaints Workflow Application</t>
  </si>
  <si>
    <t>3961</t>
  </si>
  <si>
    <t>ISI Follow Up Work Creation in WMS and Customer System</t>
  </si>
  <si>
    <t>3962</t>
  </si>
  <si>
    <t>US CNI GMS Obsolete Telemetry Replacements-UNY, DNY, NE</t>
  </si>
  <si>
    <t>3963</t>
  </si>
  <si>
    <t>US CNI GMS-Backup Communication System for Gas Control</t>
  </si>
  <si>
    <t>3964</t>
  </si>
  <si>
    <t>US Control-Control Room Minor Works</t>
  </si>
  <si>
    <t>3965</t>
  </si>
  <si>
    <t>US CNI GMS-Operator Workstation Operating System Upgrade</t>
  </si>
  <si>
    <t>3966</t>
  </si>
  <si>
    <t>US Control-NE EMS and NE GMS Mapboard Replacements</t>
  </si>
  <si>
    <t>3967</t>
  </si>
  <si>
    <t>Secure mobile device access to National Grid network</t>
  </si>
  <si>
    <t>3968</t>
  </si>
  <si>
    <t>NERC CIP v5 Implementation Program</t>
  </si>
  <si>
    <t>NERC CIP</t>
  </si>
  <si>
    <t>3971</t>
  </si>
  <si>
    <t>Primavera Portfolio Management Tool</t>
  </si>
  <si>
    <t>3972</t>
  </si>
  <si>
    <t>Smallworld SDE Export Enhancement</t>
  </si>
  <si>
    <t>3974</t>
  </si>
  <si>
    <t>Electronic Distribution Electric Standards, and EOP's</t>
  </si>
  <si>
    <t>3975</t>
  </si>
  <si>
    <t>Network Model Performance improvement using Cloud Computing</t>
  </si>
  <si>
    <t>3977</t>
  </si>
  <si>
    <t>Gas Corossion Automation Enhancements</t>
  </si>
  <si>
    <t>3978</t>
  </si>
  <si>
    <t>PTF Changes</t>
  </si>
  <si>
    <t>3979</t>
  </si>
  <si>
    <t>CYME Upgrade</t>
  </si>
  <si>
    <t>3980</t>
  </si>
  <si>
    <t>DG Studies Software</t>
  </si>
  <si>
    <t>3981</t>
  </si>
  <si>
    <t>DG Tracking Software</t>
  </si>
  <si>
    <t>3983</t>
  </si>
  <si>
    <t>Documentum Modernization</t>
  </si>
  <si>
    <t>3984</t>
  </si>
  <si>
    <t>Electric Transmission Primavera Changes</t>
  </si>
  <si>
    <t>3987</t>
  </si>
  <si>
    <t>FeedPro Upgrade</t>
  </si>
  <si>
    <t>3988</t>
  </si>
  <si>
    <t>Capital Planning Tool</t>
  </si>
  <si>
    <t>3989</t>
  </si>
  <si>
    <t>DIMP software Implementation</t>
  </si>
  <si>
    <t>3990</t>
  </si>
  <si>
    <t>Gas Materials Software Enhancements</t>
  </si>
  <si>
    <t>3991</t>
  </si>
  <si>
    <t>Helicopter Data Storage</t>
  </si>
  <si>
    <t>3992</t>
  </si>
  <si>
    <t>Synergee Analysis Performance improvement using Cloud Computing</t>
  </si>
  <si>
    <t>3993</t>
  </si>
  <si>
    <t>Increase Cumputing Power using Cloud Computing</t>
  </si>
  <si>
    <t>3995</t>
  </si>
  <si>
    <t>Enterprise Content Management (ECM) Foundation Services (US only) - Upgrade</t>
  </si>
  <si>
    <t>3996</t>
  </si>
  <si>
    <t>Mobility - Mobile Application Development Platform (MADP) (US only)</t>
  </si>
  <si>
    <t>3997</t>
  </si>
  <si>
    <t>Mobility - Mobile VPN (US only)</t>
  </si>
  <si>
    <t>Mark 8 Toughbook</t>
  </si>
  <si>
    <t>4032C</t>
  </si>
  <si>
    <t>4038F</t>
  </si>
  <si>
    <t>INVP 0205E ESO Rapid Development Team</t>
  </si>
  <si>
    <t>1226</t>
  </si>
  <si>
    <t>CATSWEB Regulatory Compliance</t>
  </si>
  <si>
    <t>1227A</t>
  </si>
  <si>
    <t>NERC CIP Access Revocation Automation</t>
  </si>
  <si>
    <t>1232</t>
  </si>
  <si>
    <t>Settlement Solution</t>
  </si>
  <si>
    <t>4199A</t>
  </si>
  <si>
    <t>4199B</t>
  </si>
  <si>
    <t>1250</t>
  </si>
  <si>
    <t>LIPA Service and Rates: Southampton Visual Benefits Surcharge</t>
  </si>
  <si>
    <t>1250A</t>
  </si>
  <si>
    <t>1259</t>
  </si>
  <si>
    <t>Longview Reimplementation</t>
  </si>
  <si>
    <t>4318A</t>
  </si>
  <si>
    <t>1286</t>
  </si>
  <si>
    <t>SS - mysap maintenance patch releases</t>
  </si>
  <si>
    <t>P341 - Forward Publication of MEL and MIL</t>
  </si>
  <si>
    <t>1289</t>
  </si>
  <si>
    <t>KS Print to Mail Outsourcing (CRIS/CAS)</t>
  </si>
  <si>
    <t>NG Smart Centre SMS</t>
  </si>
  <si>
    <t>CNI DECC Risk Mitigation</t>
  </si>
  <si>
    <t>4412A</t>
  </si>
  <si>
    <t>4412B</t>
  </si>
  <si>
    <t>4412C</t>
  </si>
  <si>
    <t>Cleansing and removal of Electricity Firewall Rules</t>
  </si>
  <si>
    <t>4412D</t>
  </si>
  <si>
    <t>4412E</t>
  </si>
  <si>
    <t>1296</t>
  </si>
  <si>
    <t>Salary Planning and performance management for Execs and US directors.</t>
  </si>
  <si>
    <t>iOS Version 10 Upgrade</t>
  </si>
  <si>
    <t>1296A</t>
  </si>
  <si>
    <t>GPCS - Salary Planning Phase 1 (AKA Plan &amp; Perf for Exec &amp; US Dir)</t>
  </si>
  <si>
    <t>1296B</t>
  </si>
  <si>
    <t>GPCS - Performance Mgmt (Phase 2)</t>
  </si>
  <si>
    <t>Global Procurement Ariba Controls Upgrade</t>
  </si>
  <si>
    <t>Corporate SharePoint enhancements</t>
  </si>
  <si>
    <t>F&amp;A Study for Contractor Management</t>
  </si>
  <si>
    <t>Gas Capital Investment Planning Tool</t>
  </si>
  <si>
    <t>STORMS Capital Cost Estimates</t>
  </si>
  <si>
    <t>1304A</t>
  </si>
  <si>
    <t>Abacus VAT Reporting</t>
  </si>
  <si>
    <t>1304</t>
  </si>
  <si>
    <t>4521A</t>
  </si>
  <si>
    <t>4521B</t>
  </si>
  <si>
    <t>4521D</t>
  </si>
  <si>
    <t>4521E</t>
  </si>
  <si>
    <t>4521F</t>
  </si>
  <si>
    <t>4521G</t>
  </si>
  <si>
    <t>4521H</t>
  </si>
  <si>
    <t>IT Process Controls</t>
  </si>
  <si>
    <t>ERP, CRM &amp; Mobility Enhancements</t>
  </si>
  <si>
    <t>Industry &amp; Meter Messaging Enhancements</t>
  </si>
  <si>
    <t>BI Tool</t>
  </si>
  <si>
    <t>Smart Centre Telephony Enhancements</t>
  </si>
  <si>
    <t>Smart Centre Non-Voice</t>
  </si>
  <si>
    <t>Appointment Booking Portal</t>
  </si>
  <si>
    <t>MySAP Enhancements</t>
  </si>
  <si>
    <t>Virtual Desktop Offshore</t>
  </si>
  <si>
    <t>1321</t>
  </si>
  <si>
    <t>EBB Expansion Project</t>
  </si>
  <si>
    <t>4539B</t>
  </si>
  <si>
    <t>SAM Transition</t>
  </si>
  <si>
    <t>EBB Expansion to Upstae NY</t>
  </si>
  <si>
    <t>Customer &amp; Stakeholder Relationship Mgmnt</t>
  </si>
  <si>
    <t>1327</t>
  </si>
  <si>
    <t>INVP 1327 - Inside Service Inspections</t>
  </si>
  <si>
    <t>Email Service Provider</t>
  </si>
  <si>
    <t>Greater Separation of SO (IS Activities)</t>
  </si>
  <si>
    <t>1329A</t>
  </si>
  <si>
    <t>Combine Meter Reading Routes 9000085138</t>
  </si>
  <si>
    <t>4595A</t>
  </si>
  <si>
    <t>1329B</t>
  </si>
  <si>
    <t>SOP - INVESTMENT PROPOSAL K02927</t>
  </si>
  <si>
    <t>1330</t>
  </si>
  <si>
    <t>Valley Gas (Cumberland) Mapping Project 900001330C</t>
  </si>
  <si>
    <t>Software Defined Networking Enablement</t>
  </si>
  <si>
    <t>4633A</t>
  </si>
  <si>
    <t>1367</t>
  </si>
  <si>
    <t>Group Finance FC - Hyperion Upgrade Replacement</t>
  </si>
  <si>
    <t>CSC DIscovery Work</t>
  </si>
  <si>
    <t>1367A</t>
  </si>
  <si>
    <t>Hyperion Infrastructure &amp; Hyperion Enterprise Software Upgrade to 6.5.1</t>
  </si>
  <si>
    <t>1368</t>
  </si>
  <si>
    <t>NG US PowerPlant Minor Enhancements</t>
  </si>
  <si>
    <t>1369</t>
  </si>
  <si>
    <t>KSE PowerPlant Minor Enhancements</t>
  </si>
  <si>
    <t>1371</t>
  </si>
  <si>
    <t>KSE Hyperion Minor Enhancements</t>
  </si>
  <si>
    <t>1373</t>
  </si>
  <si>
    <t>NG US SC Minor Enhancements</t>
  </si>
  <si>
    <t>VSTIG forward proxy replacement</t>
  </si>
  <si>
    <t>1374</t>
  </si>
  <si>
    <t>KSE SC Minor Enhancements</t>
  </si>
  <si>
    <t>Xoserve Separation</t>
  </si>
  <si>
    <t>Enhanced Investment Forecasting</t>
  </si>
  <si>
    <t>1377A</t>
  </si>
  <si>
    <t>Contingent Worker Interface</t>
  </si>
  <si>
    <t>1377</t>
  </si>
  <si>
    <t>Oracle Cloud POC</t>
  </si>
  <si>
    <t>Standalone</t>
  </si>
  <si>
    <t>4763A</t>
  </si>
  <si>
    <t>Complex Capital Delivery Phase 2</t>
  </si>
  <si>
    <t>PlaceHolder for STS</t>
  </si>
  <si>
    <t>TNUoS Embedded Export Tariff (CMP264/265 and P348/P349)</t>
  </si>
  <si>
    <t>Manage Profitability Customer Journey</t>
  </si>
  <si>
    <t>Cognitive and AI</t>
  </si>
  <si>
    <t>1391</t>
  </si>
  <si>
    <t>US Wintel Server Consolidation Project</t>
  </si>
  <si>
    <t>1392</t>
  </si>
  <si>
    <t>4839</t>
  </si>
  <si>
    <t>1398</t>
  </si>
  <si>
    <t>CIS Integration</t>
  </si>
  <si>
    <t>iOS 12 Device Approach</t>
  </si>
  <si>
    <t>DNY LI Automated Meter Reading Routes Restructuring</t>
  </si>
  <si>
    <t>Strategic Estimating tool</t>
  </si>
  <si>
    <t>Power Plan Lease Standards</t>
  </si>
  <si>
    <t>1406</t>
  </si>
  <si>
    <t>Portfolio Planning Tool  (Copperleaf)  for CCDI Gas</t>
  </si>
  <si>
    <t>4974A</t>
  </si>
  <si>
    <t>Engineering Design Software</t>
  </si>
  <si>
    <t>Primavera Upgrade/Stabilization</t>
  </si>
  <si>
    <t>US SAP: Oracle Upgrade</t>
  </si>
  <si>
    <t>US SAP: NetWeaver upgrade</t>
  </si>
  <si>
    <t>Customers Inquiries and Complains, DOT reporting in Remedy</t>
  </si>
  <si>
    <t>1417A</t>
  </si>
  <si>
    <t>Virtual Learning</t>
  </si>
  <si>
    <t>Voice Recording Replacement</t>
  </si>
  <si>
    <t>US SAP: P2P Supplier portal</t>
  </si>
  <si>
    <t>US SAP: P2P / Master Data Governance</t>
  </si>
  <si>
    <t>0213K</t>
  </si>
  <si>
    <t>CIS preparation</t>
  </si>
  <si>
    <t>Video Conferencing replacement of service</t>
  </si>
  <si>
    <t>System Control Reports for EDI</t>
  </si>
  <si>
    <t>New England Gas BMS / CMCS Replacement</t>
  </si>
  <si>
    <t>NY PSC Order Purchase of Receivables (POR) with Recourse.</t>
  </si>
  <si>
    <t>Transportation Services Application (TSA) System Replacement</t>
  </si>
  <si>
    <t>NYISO upload software Upgrade</t>
  </si>
  <si>
    <t>RI Grid Mod Customer Engagement</t>
  </si>
  <si>
    <t>ACIS Infrastructure Upgrade/Stabilization</t>
  </si>
  <si>
    <t>5181A</t>
  </si>
  <si>
    <t>Thorpe Park servers migration</t>
  </si>
  <si>
    <t>NG Exit costs</t>
  </si>
  <si>
    <t>FERC &amp;  NES Minor Works FY19</t>
  </si>
  <si>
    <t>Iconversion Phase2</t>
  </si>
  <si>
    <t>COMIC CSP Process for Legal Separation</t>
  </si>
  <si>
    <t>AVLS - Old 3G Modem Replacement</t>
  </si>
  <si>
    <t>GDPR Compliance – DR&amp;S, Security Controls Assessment</t>
  </si>
  <si>
    <t>RAS &amp; Management Firewall Refresh (VSTIG)</t>
  </si>
  <si>
    <t>Application Hosting Services</t>
  </si>
  <si>
    <t>Expand and Improve Wireless network</t>
  </si>
  <si>
    <t>Refresh End User Devices</t>
  </si>
  <si>
    <t>Maintain Identity and Access Management</t>
  </si>
  <si>
    <t>Mobile Device Management refresh</t>
  </si>
  <si>
    <t>SD-WAN Network Pilot for 50 sites</t>
  </si>
  <si>
    <t>SD WAN network Pilot for 50 sites</t>
  </si>
  <si>
    <t>WAN ethernet Newtwork upgrade</t>
  </si>
  <si>
    <t>1449</t>
  </si>
  <si>
    <t>Treasury &amp; Tax - Corporate Treasury SWIFT Implementation</t>
  </si>
  <si>
    <t>5309A</t>
  </si>
  <si>
    <t>1449B</t>
  </si>
  <si>
    <t>Treasury SWIFT Implementation</t>
  </si>
  <si>
    <t>NetMod Governance</t>
  </si>
  <si>
    <t>Unifier Integration with SAP</t>
  </si>
  <si>
    <t>Enable Next Gen Sourcing Strategies</t>
  </si>
  <si>
    <t>New Technologies</t>
  </si>
  <si>
    <t>Find a file</t>
  </si>
  <si>
    <t>1462C</t>
  </si>
  <si>
    <t>PPRS Changes for 2009/10</t>
  </si>
  <si>
    <t>IS Organizatoin Standup</t>
  </si>
  <si>
    <t>5345C</t>
  </si>
  <si>
    <t>F&amp;A Lockbox Payments and Credit Payments</t>
  </si>
  <si>
    <t>5345D</t>
  </si>
  <si>
    <t>NA</t>
  </si>
  <si>
    <t>Vision Of Leadership in Transmission Initiatives</t>
  </si>
  <si>
    <t>1467B</t>
  </si>
  <si>
    <t>Paymetric Application move to Externally Hosted System</t>
  </si>
  <si>
    <t>1467</t>
  </si>
  <si>
    <t>Transmission Asset Management Planning Phase</t>
  </si>
  <si>
    <t>Digital Substation Lab Network Connections</t>
  </si>
  <si>
    <t>FERC and CDI Minor Works FY20</t>
  </si>
  <si>
    <t>Electric Field Crew iPad Time Entry and Basic Capability</t>
  </si>
  <si>
    <t>5386</t>
  </si>
  <si>
    <t>5388</t>
  </si>
  <si>
    <t>Infrastructure Minor Works</t>
  </si>
  <si>
    <t>FY20 Gas Operations &amp; Engineering Minor Works</t>
  </si>
  <si>
    <t>5406</t>
  </si>
  <si>
    <t>5407</t>
  </si>
  <si>
    <t>5408</t>
  </si>
  <si>
    <t>5412</t>
  </si>
  <si>
    <t>5413</t>
  </si>
  <si>
    <t>5414</t>
  </si>
  <si>
    <t>5415</t>
  </si>
  <si>
    <t>5425</t>
  </si>
  <si>
    <t>5426</t>
  </si>
  <si>
    <t>5427</t>
  </si>
  <si>
    <t>5428</t>
  </si>
  <si>
    <t>Corporate giving donations system upgrade</t>
  </si>
  <si>
    <t>NY REV</t>
  </si>
  <si>
    <t>AMI IT F&amp;A</t>
  </si>
  <si>
    <t>5460</t>
  </si>
  <si>
    <t>AMAG HW and SW Upgrade</t>
  </si>
  <si>
    <t>Redesign and Redeployment of Oracle Fusion Production Platform</t>
  </si>
  <si>
    <t>5470</t>
  </si>
  <si>
    <t>Hicksville Server Relocation from PSEG</t>
  </si>
  <si>
    <t>Infrastrucure Discovery Project</t>
  </si>
  <si>
    <t>5509</t>
  </si>
  <si>
    <t>5510</t>
  </si>
  <si>
    <t>5511</t>
  </si>
  <si>
    <t>5512</t>
  </si>
  <si>
    <t>5513</t>
  </si>
  <si>
    <t>5514</t>
  </si>
  <si>
    <t>5515</t>
  </si>
  <si>
    <t>5516</t>
  </si>
  <si>
    <t>Northborough PBX Replacement/Upgrade (NE Control Room sites)</t>
  </si>
  <si>
    <t>5517</t>
  </si>
  <si>
    <t>5518</t>
  </si>
  <si>
    <t>5519</t>
  </si>
  <si>
    <t>5527A</t>
  </si>
  <si>
    <t>5527B</t>
  </si>
  <si>
    <t>5527C</t>
  </si>
  <si>
    <t>5527D</t>
  </si>
  <si>
    <t>5527E</t>
  </si>
  <si>
    <t>Fortis Upgrade</t>
  </si>
  <si>
    <t>Next Gen LAN Design (Automation and Management)</t>
  </si>
  <si>
    <t>Network Security Infrastructure Programme</t>
  </si>
  <si>
    <t>Voice Infrastructure Programme</t>
  </si>
  <si>
    <t>WAN Infrastructure Programme</t>
  </si>
  <si>
    <t>Wireless Infrastructure Programme</t>
  </si>
  <si>
    <t>Infrastructure Remediation and Lifecycle refresh</t>
  </si>
  <si>
    <t>5549</t>
  </si>
  <si>
    <t>MetroTech Test Building</t>
  </si>
  <si>
    <t>5550</t>
  </si>
  <si>
    <t>Hicksville Building component</t>
  </si>
  <si>
    <t>5553</t>
  </si>
  <si>
    <t>F&amp;A - Booking Mgmt System (US Mod space)</t>
  </si>
  <si>
    <t>NetMod</t>
  </si>
  <si>
    <t>Fieldglass Replacement</t>
  </si>
  <si>
    <t>Decommissioning and Service Separation</t>
  </si>
  <si>
    <t>US Legal: Document Automation</t>
  </si>
  <si>
    <t>Hosting RFP Build &amp; Market Release</t>
  </si>
  <si>
    <t>5587</t>
  </si>
  <si>
    <t>Gas Control Center Investments</t>
  </si>
  <si>
    <t>Gas Application rationalization</t>
  </si>
  <si>
    <t>5758</t>
  </si>
  <si>
    <t>5601</t>
  </si>
  <si>
    <t>F&amp;A - Telematics</t>
  </si>
  <si>
    <t>5602</t>
  </si>
  <si>
    <t>GTIS Datamart and Advanced Reporting Capability</t>
  </si>
  <si>
    <t>RSA Archer &amp; Analytics</t>
  </si>
  <si>
    <t>Digital Services</t>
  </si>
  <si>
    <t>Global Procurement Strategic Contracts</t>
  </si>
  <si>
    <t>IT Strategic Tooling</t>
  </si>
  <si>
    <t>Legal Strategic Tooling</t>
  </si>
  <si>
    <t>5624</t>
  </si>
  <si>
    <t>Decision Analytics Software Implementation</t>
  </si>
  <si>
    <t>RCM non CIS</t>
  </si>
  <si>
    <t>5645</t>
  </si>
  <si>
    <t>S/4 HANA</t>
  </si>
  <si>
    <t>US Telecom Strategy Feasibility and Analysis</t>
  </si>
  <si>
    <t>5660</t>
  </si>
  <si>
    <t>ESRI File Server Reinforcement</t>
  </si>
  <si>
    <t>5662</t>
  </si>
  <si>
    <t>NYISO PMU Requirement for Large Generators</t>
  </si>
  <si>
    <t>ASPEN SQL database for NE</t>
  </si>
  <si>
    <t>5665</t>
  </si>
  <si>
    <t>5666</t>
  </si>
  <si>
    <t>5667</t>
  </si>
  <si>
    <t>5668</t>
  </si>
  <si>
    <t>Managed Workplace Services (MWS) - US</t>
  </si>
  <si>
    <t>Scanning Solution/SAMuel Replacement</t>
  </si>
  <si>
    <t>NY Electric Transmission Dynamic Ratings Pilots</t>
  </si>
  <si>
    <t>5717</t>
  </si>
  <si>
    <t>Cybersecurity GMP Foundational Capabilities</t>
  </si>
  <si>
    <t>MA &amp; RI Battery Storage F&amp;A</t>
  </si>
  <si>
    <t>5744</t>
  </si>
  <si>
    <t>Gas Business Enablement Program - UNY</t>
  </si>
  <si>
    <t>Connectnow</t>
  </si>
  <si>
    <t>5750D</t>
  </si>
  <si>
    <t>5752</t>
  </si>
  <si>
    <t>5755</t>
  </si>
  <si>
    <t>5768</t>
  </si>
  <si>
    <t>Telon Upgrade - F&amp;A</t>
  </si>
  <si>
    <t>MarkIV Upgrade - F&amp;A</t>
  </si>
  <si>
    <t>5779</t>
  </si>
  <si>
    <t>Arial - Robotic Line Inspections</t>
  </si>
  <si>
    <t>NE DigTrack Replacement</t>
  </si>
  <si>
    <t>5786A</t>
  </si>
  <si>
    <t>5788B</t>
  </si>
  <si>
    <t>5788E</t>
  </si>
  <si>
    <t>5788F</t>
  </si>
  <si>
    <t>5789A</t>
  </si>
  <si>
    <t>5791</t>
  </si>
  <si>
    <t>5793</t>
  </si>
  <si>
    <t>CNI EMS/OMS Router Replacement</t>
  </si>
  <si>
    <t>NIMO Rate Case</t>
  </si>
  <si>
    <t>MA GAS Rate Case</t>
  </si>
  <si>
    <t>CRIS Internal Data Balancing</t>
  </si>
  <si>
    <t>5796C</t>
  </si>
  <si>
    <t>Active Accounts CRIS/CSS Write Off</t>
  </si>
  <si>
    <t>5816</t>
  </si>
  <si>
    <t>VAMCO</t>
  </si>
  <si>
    <t>5817</t>
  </si>
  <si>
    <t>5818</t>
  </si>
  <si>
    <t>5819</t>
  </si>
  <si>
    <t>ARC-GIS Transmission Explorer IT Support</t>
  </si>
  <si>
    <t>Capital Delivery Enablement Program</t>
  </si>
  <si>
    <t>Capital Delivery Role-Based Application Access Request in SNOW</t>
  </si>
  <si>
    <t>5836A</t>
  </si>
  <si>
    <t>5836B</t>
  </si>
  <si>
    <t>5836C</t>
  </si>
  <si>
    <t>5836D</t>
  </si>
  <si>
    <t>Application Virtualization</t>
  </si>
  <si>
    <t>1507</t>
  </si>
  <si>
    <t>Regulatory Requirements for All US Mobile Field Systems</t>
  </si>
  <si>
    <t>BAU Laptop Purchase</t>
  </si>
  <si>
    <t>1508</t>
  </si>
  <si>
    <t>Upgrade GPS Modules for Map Based Dispatch</t>
  </si>
  <si>
    <t>Wholesale Networks and US Capital Delivery Document Management Program</t>
  </si>
  <si>
    <t>5845A</t>
  </si>
  <si>
    <t>Document Management System for Capital Delivery Gas</t>
  </si>
  <si>
    <t>5857A</t>
  </si>
  <si>
    <t>Customer and Agent Experience</t>
  </si>
  <si>
    <t>AD Modernisation Integrated Services</t>
  </si>
  <si>
    <t>AD Application Modernisation</t>
  </si>
  <si>
    <t>AD User Device Migration</t>
  </si>
  <si>
    <t>5875A</t>
  </si>
  <si>
    <t>Migration of Current Storage to Strategic Deployment – US</t>
  </si>
  <si>
    <t>5875B</t>
  </si>
  <si>
    <t>5875C</t>
  </si>
  <si>
    <t>Document Management for Substation Engineering</t>
  </si>
  <si>
    <t>Engineering Modernization &amp; Process Improvements</t>
  </si>
  <si>
    <t>1539</t>
  </si>
  <si>
    <t>Special Billing</t>
  </si>
  <si>
    <t>5883</t>
  </si>
  <si>
    <t>Property Systems Review &amp; Replacement</t>
  </si>
  <si>
    <t>Operational excellence - IT solutions for Property Services</t>
  </si>
  <si>
    <t>1542</t>
  </si>
  <si>
    <t>LIPA Net Metering</t>
  </si>
  <si>
    <t>Operationsl Excellence - Meter Data Services</t>
  </si>
  <si>
    <t>1542A</t>
  </si>
  <si>
    <t>Operations Excellense - Control Center Operation</t>
  </si>
  <si>
    <t>Digitizing the Electric Business - Mobility</t>
  </si>
  <si>
    <t>1543</t>
  </si>
  <si>
    <t>LIPA AMI Billing Impacts</t>
  </si>
  <si>
    <t>MA Distributed Solar Charge</t>
  </si>
  <si>
    <t>1550</t>
  </si>
  <si>
    <t>ERS/ESCO Web Phase 2</t>
  </si>
  <si>
    <t>Migration from AWS to Azure - Advance Data Analytics</t>
  </si>
  <si>
    <t>Blueworks - PExProcess Management Software</t>
  </si>
  <si>
    <t>1561</t>
  </si>
  <si>
    <t>Metering Data Services (MDS) Minor Works</t>
  </si>
  <si>
    <t>1563</t>
  </si>
  <si>
    <t>Advantage/LDCM Minor Works</t>
  </si>
  <si>
    <t>Public Folders</t>
  </si>
  <si>
    <t>5963</t>
  </si>
  <si>
    <t>1568</t>
  </si>
  <si>
    <t>TOA Modiications</t>
  </si>
  <si>
    <t>1571</t>
  </si>
  <si>
    <t>Work Delivery Process Development</t>
  </si>
  <si>
    <t>FY21 Wholesale Networks and US Capital Delivery Minor Works</t>
  </si>
  <si>
    <t>CHC upgrade</t>
  </si>
  <si>
    <t>Gas Ray Server Transition</t>
  </si>
  <si>
    <t>Documentum Webtop Enhancements</t>
  </si>
  <si>
    <t>Transmission Minor Works</t>
  </si>
  <si>
    <t>Microsoft teams</t>
  </si>
  <si>
    <t>6006</t>
  </si>
  <si>
    <t>Business Technology Opex Funding</t>
  </si>
  <si>
    <t>GCS Oracle Fusion Upgrade</t>
  </si>
  <si>
    <t>SD WAN FY21 Expansion</t>
  </si>
  <si>
    <t>6057</t>
  </si>
  <si>
    <t>MS Teams Cloud video Interoperabilty</t>
  </si>
  <si>
    <t>MS teams Network Changes</t>
  </si>
  <si>
    <t>DO NOT USE Network Controls Programme</t>
  </si>
  <si>
    <t>Return to Office Network Changes</t>
  </si>
  <si>
    <t>NY Storm Response</t>
  </si>
  <si>
    <t>Data Protection Suite</t>
  </si>
  <si>
    <t>Access Control Group Database SoX Remediation</t>
  </si>
  <si>
    <t>Upgrade of Conference room EOL equipment</t>
  </si>
  <si>
    <t>1609</t>
  </si>
  <si>
    <t>Delivery of global financial reporting capability for IS</t>
  </si>
  <si>
    <t>1609B</t>
  </si>
  <si>
    <t>Financial Reporting Project</t>
  </si>
  <si>
    <t>1614</t>
  </si>
  <si>
    <t>Customer Meter Data Tactical Enhancements</t>
  </si>
  <si>
    <t>1643</t>
  </si>
  <si>
    <t>1652A</t>
  </si>
  <si>
    <t>Rhode Island RTU Upgrade - Phase 2</t>
  </si>
  <si>
    <t>1652B</t>
  </si>
  <si>
    <t>RI Barn WLAN</t>
  </si>
  <si>
    <t>1653</t>
  </si>
  <si>
    <t>Relocation of CNI Metrotech to Hicksville</t>
  </si>
  <si>
    <t>1655</t>
  </si>
  <si>
    <t>Rhode Island Gas customer System Upgrade</t>
  </si>
  <si>
    <t>1664</t>
  </si>
  <si>
    <t>SS - Strategic mySAP Enhancements</t>
  </si>
  <si>
    <t>1665</t>
  </si>
  <si>
    <t>Talent management System upgrade (Global)</t>
  </si>
  <si>
    <t>1666</t>
  </si>
  <si>
    <t>Financial Bridge Enhancements</t>
  </si>
  <si>
    <t>1666A</t>
  </si>
  <si>
    <t>Financial Bridge Enhancements C1.1 IFSR at Legal Entity Level</t>
  </si>
  <si>
    <t>1666B</t>
  </si>
  <si>
    <t>Financial Bridge Enhancements C1.2 Improved accountability Model</t>
  </si>
  <si>
    <t>1666C</t>
  </si>
  <si>
    <t>Financial Bridge Enhancements C1.3 Cross-Charging of Capital</t>
  </si>
  <si>
    <t>1666F</t>
  </si>
  <si>
    <t>Financial Bridge Enhancements C1.6 Enterprise Level Integrated Automated Batch Scheduling</t>
  </si>
  <si>
    <t>1666L</t>
  </si>
  <si>
    <t>Financial Bridge Enhancements C1.12 Automate Creation of AR/AP Intercompany Transactions</t>
  </si>
  <si>
    <t>1666N</t>
  </si>
  <si>
    <t>PSC Audit – Timely Close out of capital work orders</t>
  </si>
  <si>
    <t>1667</t>
  </si>
  <si>
    <t>Sale &amp; Use Tax Initiative</t>
  </si>
  <si>
    <t>1667A</t>
  </si>
  <si>
    <t>1668</t>
  </si>
  <si>
    <t>US HR Maintenance Releases / Upgrades</t>
  </si>
  <si>
    <t>1668A</t>
  </si>
  <si>
    <t>Workforce Planning</t>
  </si>
  <si>
    <t>1671</t>
  </si>
  <si>
    <t>US Transaction Delivery Centre</t>
  </si>
  <si>
    <t>1671A</t>
  </si>
  <si>
    <t>1672</t>
  </si>
  <si>
    <t>SS major initiative placeholder</t>
  </si>
  <si>
    <t>1672B</t>
  </si>
  <si>
    <t>SS Minor Development Budget 2009/10</t>
  </si>
  <si>
    <t>1677</t>
  </si>
  <si>
    <t>Maximo T&amp;D</t>
  </si>
  <si>
    <t>1678</t>
  </si>
  <si>
    <t>Maximo NE</t>
  </si>
  <si>
    <t>1679</t>
  </si>
  <si>
    <t>Maximo Facilities</t>
  </si>
  <si>
    <t>1680</t>
  </si>
  <si>
    <t>Maximo Generation</t>
  </si>
  <si>
    <t>1681</t>
  </si>
  <si>
    <t>Contractor Charges</t>
  </si>
  <si>
    <t>1682</t>
  </si>
  <si>
    <t>Common Work Queue (CWQ)</t>
  </si>
  <si>
    <t>1684</t>
  </si>
  <si>
    <t>Mworks</t>
  </si>
  <si>
    <t>1685</t>
  </si>
  <si>
    <t>Fortis</t>
  </si>
  <si>
    <t>1686</t>
  </si>
  <si>
    <t>ArcFM</t>
  </si>
  <si>
    <t>0294A</t>
  </si>
  <si>
    <t>Treasury Electronic Trading</t>
  </si>
  <si>
    <t>0294</t>
  </si>
  <si>
    <t>2004</t>
  </si>
  <si>
    <t>CSS Revenue Reporting</t>
  </si>
  <si>
    <t>2004A</t>
  </si>
  <si>
    <t>2005</t>
  </si>
  <si>
    <t>Arrearage Management Plan (AMP - CSS)</t>
  </si>
  <si>
    <t>2005A</t>
  </si>
  <si>
    <t>2007</t>
  </si>
  <si>
    <t>LIPA Jan 2010 Billing Changes</t>
  </si>
  <si>
    <t>2007A</t>
  </si>
  <si>
    <t>0295B</t>
  </si>
  <si>
    <t>Group Tax Corporation Tax Reporting Package</t>
  </si>
  <si>
    <t>0295</t>
  </si>
  <si>
    <t>2009</t>
  </si>
  <si>
    <t>US NG Vendor Data Enrichment</t>
  </si>
  <si>
    <t>New England Warehouse Consolidation</t>
  </si>
  <si>
    <t>2032A</t>
  </si>
  <si>
    <t>New England Warehouse Consolidation     </t>
  </si>
  <si>
    <t>0297</t>
  </si>
  <si>
    <t>Treasury &amp; Tax - Insurance Management System</t>
  </si>
  <si>
    <t>ccHubWoo Rollout in the US</t>
  </si>
  <si>
    <t>2036A</t>
  </si>
  <si>
    <t>XIGN Rollout in NGUS</t>
  </si>
  <si>
    <t>2037A</t>
  </si>
  <si>
    <t>XIGN Rollout in Legacy NGUS</t>
  </si>
  <si>
    <t>0305A</t>
  </si>
  <si>
    <t>Treasury BBM Upgrade Brief</t>
  </si>
  <si>
    <t>0305</t>
  </si>
  <si>
    <t>0309</t>
  </si>
  <si>
    <t>SS minor works placeholder – previously envisaged as Engage &amp; VMC</t>
  </si>
  <si>
    <t>2114</t>
  </si>
  <si>
    <t>ISREV8502 ERP Archive &amp; Decommission</t>
  </si>
  <si>
    <t>0319</t>
  </si>
  <si>
    <t>Finance Reconciliation Control Database</t>
  </si>
  <si>
    <t>0319B</t>
  </si>
  <si>
    <t>Global Risk Management System 2008/09</t>
  </si>
  <si>
    <t>0319C</t>
  </si>
  <si>
    <t>GovEval Phase 2 Enhancements</t>
  </si>
  <si>
    <t>0380</t>
  </si>
  <si>
    <t>SS - Back Office Infrastructure refresh</t>
  </si>
  <si>
    <t>2268</t>
  </si>
  <si>
    <t>Smallworld (CM) GIS Upgrade</t>
  </si>
  <si>
    <t>0380A</t>
  </si>
  <si>
    <t>GSOS</t>
  </si>
  <si>
    <t>2269</t>
  </si>
  <si>
    <t>Project Estimating Tool</t>
  </si>
  <si>
    <t>2270</t>
  </si>
  <si>
    <t>Transmission Customer System Upgrade</t>
  </si>
  <si>
    <t>2271</t>
  </si>
  <si>
    <t>US Operations Telecom Investment</t>
  </si>
  <si>
    <t>2272</t>
  </si>
  <si>
    <t>Microwave Infrastructure Upgrade</t>
  </si>
  <si>
    <t>2273</t>
  </si>
  <si>
    <t>DART (Data Analysis &amp; Reporting Tool)</t>
  </si>
  <si>
    <t>2274</t>
  </si>
  <si>
    <t>NE BCC Lincoln Replacement</t>
  </si>
  <si>
    <t>2275</t>
  </si>
  <si>
    <t>NE Conversion to MPLS (Telemetry Modernization)-FY11</t>
  </si>
  <si>
    <t>2276</t>
  </si>
  <si>
    <t>NY EMS Remote Access Enhancement (Citrix)</t>
  </si>
  <si>
    <t>2277</t>
  </si>
  <si>
    <t>NERC-CIP Service Management Toolset/NERC-CIP End-to-End Solution/ITIL Compliance</t>
  </si>
  <si>
    <t>0380B</t>
  </si>
  <si>
    <t>mySAP Landscape Review</t>
  </si>
  <si>
    <t>0380C</t>
  </si>
  <si>
    <t>E-Commerce Upgrade [Cancelled - will use INVP 0380]</t>
  </si>
  <si>
    <t>2287</t>
  </si>
  <si>
    <t>RI LDCM Performance Fixes</t>
  </si>
  <si>
    <t>2288</t>
  </si>
  <si>
    <t>CICS Netron Conversion</t>
  </si>
  <si>
    <t>0380E</t>
  </si>
  <si>
    <t>Ecommerce</t>
  </si>
  <si>
    <t>2306</t>
  </si>
  <si>
    <t>Treasury &amp; Tax - SWIFT banking system upgrades</t>
  </si>
  <si>
    <t>2307</t>
  </si>
  <si>
    <t>Implementation of new Treasury Management System</t>
  </si>
  <si>
    <t>0380F</t>
  </si>
  <si>
    <t>Self Service</t>
  </si>
  <si>
    <t>2310A</t>
  </si>
  <si>
    <t>Reward Recognition Program</t>
  </si>
  <si>
    <t>2311B</t>
  </si>
  <si>
    <t>Implementation of SWIFT for Shared Services</t>
  </si>
  <si>
    <t>2311F</t>
  </si>
  <si>
    <t>2311G</t>
  </si>
  <si>
    <t>2313</t>
  </si>
  <si>
    <t>Upgrades to WBT and e-learning</t>
  </si>
  <si>
    <t>2314</t>
  </si>
  <si>
    <t>Functional upgrades to Global IMS system</t>
  </si>
  <si>
    <t>0380G</t>
  </si>
  <si>
    <t>Warehouse Automation</t>
  </si>
  <si>
    <t>2316</t>
  </si>
  <si>
    <t>Block Reporting - NYC (CRIS)</t>
  </si>
  <si>
    <t>2317</t>
  </si>
  <si>
    <t>Block Reporting - LI  (CAS)</t>
  </si>
  <si>
    <t>2318B</t>
  </si>
  <si>
    <t>LIPA Rates &amp; Services for FY 2013</t>
  </si>
  <si>
    <t>2322</t>
  </si>
  <si>
    <t>BPO Transformation Efficiency Improvements</t>
  </si>
  <si>
    <t>2322A</t>
  </si>
  <si>
    <t>Shared Services Performance Improvement Programme (2011/12)</t>
  </si>
  <si>
    <t>2323</t>
  </si>
  <si>
    <t>Order to Cash E-Commerce app upgrades</t>
  </si>
  <si>
    <t>2324</t>
  </si>
  <si>
    <t>Configuration of BO for renewal of Achillies</t>
  </si>
  <si>
    <t>2325</t>
  </si>
  <si>
    <t>Configuration of BO for renewal of CC-Hubwoo</t>
  </si>
  <si>
    <t>2326</t>
  </si>
  <si>
    <t>Configuration of BO for renewal of Ariba</t>
  </si>
  <si>
    <t>2327</t>
  </si>
  <si>
    <t>Configuration of BO for renewal of Mint Global</t>
  </si>
  <si>
    <t>2328</t>
  </si>
  <si>
    <t>Further functionality releases of Global Engage / GVMC</t>
  </si>
  <si>
    <t>2329</t>
  </si>
  <si>
    <t>Refresh Global Procurement related Infrastructure</t>
  </si>
  <si>
    <t>2332</t>
  </si>
  <si>
    <t>Rollout of global financial reporting to all LOBs</t>
  </si>
  <si>
    <t>2340</t>
  </si>
  <si>
    <t>Rhode Island Work Management</t>
  </si>
  <si>
    <t>2358</t>
  </si>
  <si>
    <t>IS SS Customer (CTO)</t>
  </si>
  <si>
    <t>2376</t>
  </si>
  <si>
    <t>Financial Reporting Project - Phase 1 (budgets &amp; actuals)</t>
  </si>
  <si>
    <t>2376A</t>
  </si>
  <si>
    <t>2382</t>
  </si>
  <si>
    <t>Giro Vend Replacement</t>
  </si>
  <si>
    <t>2389</t>
  </si>
  <si>
    <t>CF29 Field Device Memory Upgrade</t>
  </si>
  <si>
    <t>2390</t>
  </si>
  <si>
    <t>IS Information Security Maturity Assessment</t>
  </si>
  <si>
    <t>2391</t>
  </si>
  <si>
    <t>Regulatory Cost Structure - UI Planner</t>
  </si>
  <si>
    <t>2399</t>
  </si>
  <si>
    <t>2452</t>
  </si>
  <si>
    <t>LIM/ZEMA Replacement K04605</t>
  </si>
  <si>
    <t>SAP Project#</t>
  </si>
  <si>
    <t>Work Order#</t>
  </si>
  <si>
    <t>Internal Order#</t>
  </si>
  <si>
    <t>Old Portolio</t>
  </si>
  <si>
    <t>Old Business Area</t>
  </si>
  <si>
    <t>Verification</t>
  </si>
  <si>
    <t>Closed</t>
  </si>
  <si>
    <t>Zacchilli, Denise</t>
  </si>
  <si>
    <t>Net Ops</t>
  </si>
  <si>
    <t>sites/GRP-INT-US-USITEPMO/PPM/Lists/Project Accounting 2</t>
  </si>
  <si>
    <t>Active</t>
  </si>
  <si>
    <t>Infr</t>
  </si>
  <si>
    <t>S007341</t>
  </si>
  <si>
    <t>S007343</t>
  </si>
  <si>
    <t>S007342</t>
  </si>
  <si>
    <t>S007544</t>
  </si>
  <si>
    <t>C084201</t>
  </si>
  <si>
    <t>C075104</t>
  </si>
  <si>
    <t>C075123</t>
  </si>
  <si>
    <t>C075124</t>
  </si>
  <si>
    <t>C075125</t>
  </si>
  <si>
    <t>C075126</t>
  </si>
  <si>
    <t>C075127</t>
  </si>
  <si>
    <t>C075128</t>
  </si>
  <si>
    <t>C075129</t>
  </si>
  <si>
    <t>S003781</t>
  </si>
  <si>
    <t>0</t>
  </si>
  <si>
    <t>S008179</t>
  </si>
  <si>
    <t>S006641</t>
  </si>
  <si>
    <t>S008281</t>
  </si>
  <si>
    <t>Plan Forward</t>
  </si>
  <si>
    <t>S008297</t>
  </si>
  <si>
    <t>S008299</t>
  </si>
  <si>
    <t>S008294</t>
  </si>
  <si>
    <t>S008293</t>
  </si>
  <si>
    <t>S008277</t>
  </si>
  <si>
    <t>S008257</t>
  </si>
  <si>
    <t>S008268</t>
  </si>
  <si>
    <t>S008263</t>
  </si>
  <si>
    <t>S008264</t>
  </si>
  <si>
    <t>S008260</t>
  </si>
  <si>
    <t>S008267</t>
  </si>
  <si>
    <t>S008228</t>
  </si>
  <si>
    <t>S008222</t>
  </si>
  <si>
    <t>In Service</t>
  </si>
  <si>
    <t>S008221</t>
  </si>
  <si>
    <t>S008231</t>
  </si>
  <si>
    <t>S008206</t>
  </si>
  <si>
    <t>S008205</t>
  </si>
  <si>
    <t>For Vendor Only</t>
  </si>
  <si>
    <t>For employee only</t>
  </si>
  <si>
    <t>S008200</t>
  </si>
  <si>
    <t>Capex UK cross charge</t>
  </si>
  <si>
    <t>Opex UK cross charge</t>
  </si>
  <si>
    <t>Vendor Only</t>
  </si>
  <si>
    <t>Employee Only</t>
  </si>
  <si>
    <t>Vendor only</t>
  </si>
  <si>
    <t>Employee only</t>
  </si>
  <si>
    <t>S008187</t>
  </si>
  <si>
    <t>S008177</t>
  </si>
  <si>
    <t>S008210</t>
  </si>
  <si>
    <t>S008164</t>
  </si>
  <si>
    <t>S008219</t>
  </si>
  <si>
    <t>S008169</t>
  </si>
  <si>
    <t>S008230</t>
  </si>
  <si>
    <t>S008269</t>
  </si>
  <si>
    <t>Tan, William</t>
  </si>
  <si>
    <t>EBU – Grid Mod</t>
  </si>
  <si>
    <t xml:space="preserve"> S008159</t>
  </si>
  <si>
    <t>S008170</t>
  </si>
  <si>
    <t>S008158</t>
  </si>
  <si>
    <t>S008273</t>
  </si>
  <si>
    <t>S008236</t>
  </si>
  <si>
    <t>S008290</t>
  </si>
  <si>
    <t>S008254</t>
  </si>
  <si>
    <t>Cost Center 2742 used in Plant</t>
  </si>
  <si>
    <t>Mandated</t>
  </si>
  <si>
    <t>S008250</t>
  </si>
  <si>
    <t>S008217</t>
  </si>
  <si>
    <t>S008178</t>
  </si>
  <si>
    <t>Capex cross charge</t>
  </si>
  <si>
    <t>Opex cross charge</t>
  </si>
  <si>
    <t>S008234</t>
  </si>
  <si>
    <t>S008204</t>
  </si>
  <si>
    <t>Capex transfer to UK</t>
  </si>
  <si>
    <t>Opex transfer to UK</t>
  </si>
  <si>
    <t>S008189</t>
  </si>
  <si>
    <t>S008233</t>
  </si>
  <si>
    <t>Never Used</t>
  </si>
  <si>
    <t>S008213</t>
  </si>
  <si>
    <t>S008128</t>
  </si>
  <si>
    <t>S008211</t>
  </si>
  <si>
    <t>NG Only</t>
  </si>
  <si>
    <t>S008278</t>
  </si>
  <si>
    <t>S008262</t>
  </si>
  <si>
    <t>S008125</t>
  </si>
  <si>
    <t>S008165</t>
  </si>
  <si>
    <t>S008296</t>
  </si>
  <si>
    <t>Changed INVP from 5114</t>
  </si>
  <si>
    <t>S008224</t>
  </si>
  <si>
    <t>C085885</t>
  </si>
  <si>
    <t>S008214</t>
  </si>
  <si>
    <t>S008253</t>
  </si>
  <si>
    <t>S008252</t>
  </si>
  <si>
    <t>S008259</t>
  </si>
  <si>
    <t>Vendor costs</t>
  </si>
  <si>
    <t>Staff costs</t>
  </si>
  <si>
    <t>S008176</t>
  </si>
  <si>
    <t>S008183</t>
  </si>
  <si>
    <t>S008119</t>
  </si>
  <si>
    <t>S008156</t>
  </si>
  <si>
    <t>DO NOT Use, this is Business funded project</t>
  </si>
  <si>
    <t>S008129</t>
  </si>
  <si>
    <t>S008153</t>
  </si>
  <si>
    <t>S008303</t>
  </si>
  <si>
    <t>Closed/Error</t>
  </si>
  <si>
    <t>C084772</t>
  </si>
  <si>
    <t>Project was Cancelled</t>
  </si>
  <si>
    <t>C084147</t>
  </si>
  <si>
    <t>C084286</t>
  </si>
  <si>
    <t>S008180</t>
  </si>
  <si>
    <t>S008100</t>
  </si>
  <si>
    <t>S008044</t>
  </si>
  <si>
    <t xml:space="preserve"> S008044</t>
  </si>
  <si>
    <t>C083392</t>
  </si>
  <si>
    <t>Work Order will not be placed into service as the dollar spend didn't meet the Capex threshold.</t>
  </si>
  <si>
    <t>S008013</t>
  </si>
  <si>
    <t>S008225</t>
  </si>
  <si>
    <t>GBE</t>
  </si>
  <si>
    <t>INVP 5360</t>
  </si>
  <si>
    <t>INVP 5609</t>
  </si>
  <si>
    <t>INVP 4990</t>
  </si>
  <si>
    <t>S008039</t>
  </si>
  <si>
    <t>S008123</t>
  </si>
  <si>
    <t>S008012</t>
  </si>
  <si>
    <t>Do NOT use this code - The G020 code is correct.</t>
  </si>
  <si>
    <t>S008182</t>
  </si>
  <si>
    <t>S008031</t>
  </si>
  <si>
    <t>S008162</t>
  </si>
  <si>
    <t>Capex cross charge to UK</t>
  </si>
  <si>
    <t>Opex cross charge to UK</t>
  </si>
  <si>
    <t>S008154</t>
  </si>
  <si>
    <t>S008073</t>
  </si>
  <si>
    <t>S008072</t>
  </si>
  <si>
    <t>s008072</t>
  </si>
  <si>
    <t>S008063</t>
  </si>
  <si>
    <t>S008062</t>
  </si>
  <si>
    <t>Cancelled and Activity moved to INVP 5521A</t>
  </si>
  <si>
    <t>S008185</t>
  </si>
  <si>
    <t>S008124</t>
  </si>
  <si>
    <t>This internal order is for Vendor Spend ONLY</t>
  </si>
  <si>
    <t>This for NG Resources Only</t>
  </si>
  <si>
    <t>s008064</t>
  </si>
  <si>
    <t>S008145</t>
  </si>
  <si>
    <t>Put on hold starting from 8/31/2020 to 4/1/2021</t>
  </si>
  <si>
    <t>S008040</t>
  </si>
  <si>
    <t>Opex Cross Charge</t>
  </si>
  <si>
    <t>S008118</t>
  </si>
  <si>
    <t>S007987</t>
  </si>
  <si>
    <t>Cross Charge Opex from US to UK</t>
  </si>
  <si>
    <t>TO - Grid Mod</t>
  </si>
  <si>
    <t>S008196</t>
  </si>
  <si>
    <t>S008079</t>
  </si>
  <si>
    <t>S008226</t>
  </si>
  <si>
    <t>S008274</t>
  </si>
  <si>
    <t>C086093</t>
  </si>
  <si>
    <t>S008020</t>
  </si>
  <si>
    <t>S008092</t>
  </si>
  <si>
    <t>S008157</t>
  </si>
  <si>
    <t>S008261</t>
  </si>
  <si>
    <t>S008045</t>
  </si>
  <si>
    <t>S008229</t>
  </si>
  <si>
    <t>S008212</t>
  </si>
  <si>
    <t>This work order was opened in error with an IT cost center - this is a Business Funded project with Business Accounting</t>
  </si>
  <si>
    <t>S008232</t>
  </si>
  <si>
    <t>S008065</t>
  </si>
  <si>
    <t>C084192</t>
  </si>
  <si>
    <t>S008097</t>
  </si>
  <si>
    <t>Dan Cronin opened this work order in error on company code 5110, therefore, it was closed.</t>
  </si>
  <si>
    <t>S008106</t>
  </si>
  <si>
    <t>S008007</t>
  </si>
  <si>
    <t>S008008</t>
  </si>
  <si>
    <t>S008149</t>
  </si>
  <si>
    <t>Closed because the benefiting companies were incorrect - Transmission should NOT have been included.</t>
  </si>
  <si>
    <t>s008048</t>
  </si>
  <si>
    <t>Capex Cross Charge</t>
  </si>
  <si>
    <t>S007956</t>
  </si>
  <si>
    <t>Took awhile to put into service due to a new utility account needed for a 3 year life.</t>
  </si>
  <si>
    <t>S007971</t>
  </si>
  <si>
    <t>Closed/Program</t>
  </si>
  <si>
    <t>Program code, all costs at the project work order level.</t>
  </si>
  <si>
    <t>S007966</t>
  </si>
  <si>
    <t>S008001</t>
  </si>
  <si>
    <t>S007968</t>
  </si>
  <si>
    <t>C081565</t>
  </si>
  <si>
    <t>S007967</t>
  </si>
  <si>
    <t>C081561</t>
  </si>
  <si>
    <t>S007904</t>
  </si>
  <si>
    <t>S007928</t>
  </si>
  <si>
    <t>S007825</t>
  </si>
  <si>
    <t>S007804</t>
  </si>
  <si>
    <t>S007845</t>
  </si>
  <si>
    <t>S007841</t>
  </si>
  <si>
    <t>S007893</t>
  </si>
  <si>
    <t>S007898</t>
  </si>
  <si>
    <t>S007905</t>
  </si>
  <si>
    <t>NG only</t>
  </si>
  <si>
    <t>S007779</t>
  </si>
  <si>
    <t>FSSC &amp; Customer</t>
  </si>
  <si>
    <t>C084200</t>
  </si>
  <si>
    <t>S007778</t>
  </si>
  <si>
    <t>S008209</t>
  </si>
  <si>
    <t>S007972</t>
  </si>
  <si>
    <t>Not Completed due to Opex Constraints, written off</t>
  </si>
  <si>
    <t>S007840</t>
  </si>
  <si>
    <t>Didn't meet Capex Threshold of $250K</t>
  </si>
  <si>
    <t>C084908</t>
  </si>
  <si>
    <t>S007823</t>
  </si>
  <si>
    <t>S008191</t>
  </si>
  <si>
    <t>S007894</t>
  </si>
  <si>
    <t>C081729</t>
  </si>
  <si>
    <t>S007929</t>
  </si>
  <si>
    <t>S007974</t>
  </si>
  <si>
    <t>S007839</t>
  </si>
  <si>
    <t>Zero Dollars, therefore, no In-Service Date as this project was cancelled.</t>
  </si>
  <si>
    <t>S007822</t>
  </si>
  <si>
    <t>S007821</t>
  </si>
  <si>
    <t>Project put on hold/cancelled</t>
  </si>
  <si>
    <t>S007820</t>
  </si>
  <si>
    <t>Moved balance to INVP 5521A</t>
  </si>
  <si>
    <t>S007931</t>
  </si>
  <si>
    <t>C081361</t>
  </si>
  <si>
    <t>S007741</t>
  </si>
  <si>
    <t>C080286</t>
  </si>
  <si>
    <t>S007776</t>
  </si>
  <si>
    <t>S008096</t>
  </si>
  <si>
    <t>S008000</t>
  </si>
  <si>
    <t>S007923</t>
  </si>
  <si>
    <t>Capex Cross Charge to UK</t>
  </si>
  <si>
    <t>S007980</t>
  </si>
  <si>
    <t>Didn't meet Capex threshold of $250K</t>
  </si>
  <si>
    <t>DR&amp;S - Global</t>
  </si>
  <si>
    <t>S007836</t>
  </si>
  <si>
    <t>S007868</t>
  </si>
  <si>
    <t>S007753</t>
  </si>
  <si>
    <t>S007829</t>
  </si>
  <si>
    <t>S007830</t>
  </si>
  <si>
    <t>S007751</t>
  </si>
  <si>
    <t>S007865</t>
  </si>
  <si>
    <t>Zero Spending; transferred to other projects for Hosting Services</t>
  </si>
  <si>
    <t>S007958</t>
  </si>
  <si>
    <t>Do Not Use this Code in FY18!!!</t>
  </si>
  <si>
    <t>S007828</t>
  </si>
  <si>
    <t>This INVP became part of INVP 5037</t>
  </si>
  <si>
    <t>Network Operations</t>
  </si>
  <si>
    <t>Net Strat</t>
  </si>
  <si>
    <t>Financial Report for FY18 Only</t>
  </si>
  <si>
    <t>S007766</t>
  </si>
  <si>
    <t>S008004</t>
  </si>
  <si>
    <t>This is a Mandate</t>
  </si>
  <si>
    <t>S008003</t>
  </si>
  <si>
    <t>S008130</t>
  </si>
  <si>
    <t>S008208</t>
  </si>
  <si>
    <t>S007777</t>
  </si>
  <si>
    <t>S007834</t>
  </si>
  <si>
    <t>Only implemented a portion of this project, prior to being cancelled.</t>
  </si>
  <si>
    <t>S007872</t>
  </si>
  <si>
    <t>S007838</t>
  </si>
  <si>
    <t>S007851</t>
  </si>
  <si>
    <t>S007782</t>
  </si>
  <si>
    <t>No spending</t>
  </si>
  <si>
    <t>Financial reporting for FY18 Only</t>
  </si>
  <si>
    <t>S007800</t>
  </si>
  <si>
    <t>S007730</t>
  </si>
  <si>
    <t>S007768</t>
  </si>
  <si>
    <t>No spending, program work order</t>
  </si>
  <si>
    <t>S007738</t>
  </si>
  <si>
    <t>This work order was opened in error by Marty Cronin</t>
  </si>
  <si>
    <t>S007892</t>
  </si>
  <si>
    <t>S007739</t>
  </si>
  <si>
    <t>S007724</t>
  </si>
  <si>
    <t>S007690</t>
  </si>
  <si>
    <t>S007723</t>
  </si>
  <si>
    <t>Go Live on 12/18/2018</t>
  </si>
  <si>
    <t>IS Closed</t>
  </si>
  <si>
    <t>S007692</t>
  </si>
  <si>
    <t xml:space="preserve">S007692 </t>
  </si>
  <si>
    <t>S007990</t>
  </si>
  <si>
    <t>Business Accounting</t>
  </si>
  <si>
    <t>1st Month of Depreciation was 1-1-2020</t>
  </si>
  <si>
    <t>Cust</t>
  </si>
  <si>
    <t>Zero Dollars, therefore, no In-Service Date</t>
  </si>
  <si>
    <t>Financials for FY18 Only</t>
  </si>
  <si>
    <t>S007689</t>
  </si>
  <si>
    <t>S007819</t>
  </si>
  <si>
    <t>Did not meet the Capex Threshold of $250K</t>
  </si>
  <si>
    <t>S007601</t>
  </si>
  <si>
    <t>S007708</t>
  </si>
  <si>
    <t>S007740</t>
  </si>
  <si>
    <t>S007837</t>
  </si>
  <si>
    <t>S007596</t>
  </si>
  <si>
    <t>C086336</t>
  </si>
  <si>
    <t>S007592</t>
  </si>
  <si>
    <t>Written off, equipment never used</t>
  </si>
  <si>
    <t>S007575</t>
  </si>
  <si>
    <t>No Dollars, therefore, no In-Service Date</t>
  </si>
  <si>
    <t>S007577</t>
  </si>
  <si>
    <t>S007604</t>
  </si>
  <si>
    <t>Project Cancelled</t>
  </si>
  <si>
    <t>S007576</t>
  </si>
  <si>
    <t>Didn't meet the threshold of $250K</t>
  </si>
  <si>
    <t>S008289</t>
  </si>
  <si>
    <t>S007581</t>
  </si>
  <si>
    <t>S007571</t>
  </si>
  <si>
    <t>S007603</t>
  </si>
  <si>
    <t>S007732</t>
  </si>
  <si>
    <t>S007574</t>
  </si>
  <si>
    <t>S007818</t>
  </si>
  <si>
    <t>Opened by Ron Wilson in error, no spending</t>
  </si>
  <si>
    <t>S007599</t>
  </si>
  <si>
    <t>S007606</t>
  </si>
  <si>
    <t>Did not meet Capex threshold, zero dollars for work order</t>
  </si>
  <si>
    <t>S007728</t>
  </si>
  <si>
    <t>S007580</t>
  </si>
  <si>
    <t>S007817</t>
  </si>
  <si>
    <t>Did not meet Capex Threshold, all OPEX</t>
  </si>
  <si>
    <t>S007569</t>
  </si>
  <si>
    <t>S007597</t>
  </si>
  <si>
    <t>S007900</t>
  </si>
  <si>
    <t>C078581</t>
  </si>
  <si>
    <t>This work order was for the Phase 3 Asset - No longer required by the Business</t>
  </si>
  <si>
    <t>S007762</t>
  </si>
  <si>
    <t>S007717</t>
  </si>
  <si>
    <t>Did not meet Capex Threshold</t>
  </si>
  <si>
    <t>S007707</t>
  </si>
  <si>
    <t>S007621</t>
  </si>
  <si>
    <t>S007729</t>
  </si>
  <si>
    <t>S007784</t>
  </si>
  <si>
    <t>No In-Service Date as project was cancelled</t>
  </si>
  <si>
    <t>S007686</t>
  </si>
  <si>
    <t>S008091</t>
  </si>
  <si>
    <t>C079726</t>
  </si>
  <si>
    <t>S008163</t>
  </si>
  <si>
    <t>C079730</t>
  </si>
  <si>
    <t>S007758</t>
  </si>
  <si>
    <t>S007761</t>
  </si>
  <si>
    <t>C077606</t>
  </si>
  <si>
    <t>S008029</t>
  </si>
  <si>
    <t>S007781</t>
  </si>
  <si>
    <t>S007546</t>
  </si>
  <si>
    <t>S007748</t>
  </si>
  <si>
    <t>Did not meet Capex threshold, therefore, balance was moved to Opex in July 2018.</t>
  </si>
  <si>
    <t>S007584</t>
  </si>
  <si>
    <t>S007545</t>
  </si>
  <si>
    <t>S007673</t>
  </si>
  <si>
    <t>S007481</t>
  </si>
  <si>
    <t>C081658</t>
  </si>
  <si>
    <t>S007668</t>
  </si>
  <si>
    <t>S007542</t>
  </si>
  <si>
    <t>S007759</t>
  </si>
  <si>
    <t>Opened in Error</t>
  </si>
  <si>
    <t>S007322</t>
  </si>
  <si>
    <t>S007549</t>
  </si>
  <si>
    <t>S007583</t>
  </si>
  <si>
    <t>S007680</t>
  </si>
  <si>
    <t>2nd work order opened in error</t>
  </si>
  <si>
    <t>S007321</t>
  </si>
  <si>
    <t>S007382</t>
  </si>
  <si>
    <t>S007622</t>
  </si>
  <si>
    <t>Balances we moved to Op Co</t>
  </si>
  <si>
    <t>C080110</t>
  </si>
  <si>
    <t>Mass Electric Co.</t>
  </si>
  <si>
    <t>C080111</t>
  </si>
  <si>
    <t>Narragansett Electric Company</t>
  </si>
  <si>
    <t>C080114</t>
  </si>
  <si>
    <t>Boston Gas Co.</t>
  </si>
  <si>
    <t>C080115</t>
  </si>
  <si>
    <t>Colonial Gas Company</t>
  </si>
  <si>
    <t>C080121</t>
  </si>
  <si>
    <t>Brooklyn Union Gas - KEDNY</t>
  </si>
  <si>
    <t>C080122</t>
  </si>
  <si>
    <t>KS Gas East Corp-KEDLI</t>
  </si>
  <si>
    <t>C080123</t>
  </si>
  <si>
    <t>Niagara Mohawk Power Co.</t>
  </si>
  <si>
    <t>C080124</t>
  </si>
  <si>
    <t>Narragansett Gas Company</t>
  </si>
  <si>
    <t>S007602</t>
  </si>
  <si>
    <t>S007607</t>
  </si>
  <si>
    <t>Written - Off</t>
  </si>
  <si>
    <t>S007559</t>
  </si>
  <si>
    <t>S007731</t>
  </si>
  <si>
    <t>S007501</t>
  </si>
  <si>
    <t>S006921</t>
  </si>
  <si>
    <t>S007675</t>
  </si>
  <si>
    <t>No Dollars.</t>
  </si>
  <si>
    <t>C074525</t>
  </si>
  <si>
    <t>S006481</t>
  </si>
  <si>
    <t>S006862</t>
  </si>
  <si>
    <t>C075572</t>
  </si>
  <si>
    <t>S007221</t>
  </si>
  <si>
    <t>S006981</t>
  </si>
  <si>
    <t>S007558</t>
  </si>
  <si>
    <t>S007701</t>
  </si>
  <si>
    <t>S006363</t>
  </si>
  <si>
    <t>S006361</t>
  </si>
  <si>
    <t>Did Not meet Capex Threshold</t>
  </si>
  <si>
    <t>S006482</t>
  </si>
  <si>
    <t>S006905</t>
  </si>
  <si>
    <t>S006904</t>
  </si>
  <si>
    <t>S006903</t>
  </si>
  <si>
    <t>S007682</t>
  </si>
  <si>
    <t>S006882</t>
  </si>
  <si>
    <t>S007301</t>
  </si>
  <si>
    <t>S007681</t>
  </si>
  <si>
    <t>S007591</t>
  </si>
  <si>
    <t>S006392</t>
  </si>
  <si>
    <t>S006922</t>
  </si>
  <si>
    <t>C069459</t>
  </si>
  <si>
    <t>S006041</t>
  </si>
  <si>
    <t>S007556</t>
  </si>
  <si>
    <t>S007482</t>
  </si>
  <si>
    <t>S005862</t>
  </si>
  <si>
    <t>S006201</t>
  </si>
  <si>
    <t>S005881</t>
  </si>
  <si>
    <t>S005641</t>
  </si>
  <si>
    <t>S005181</t>
  </si>
  <si>
    <t>C072027</t>
  </si>
  <si>
    <t>S007001</t>
  </si>
  <si>
    <t>S005281</t>
  </si>
  <si>
    <t>S007993</t>
  </si>
  <si>
    <t>S007757</t>
  </si>
  <si>
    <t>S007775</t>
  </si>
  <si>
    <t>C067666</t>
  </si>
  <si>
    <t>S007570</t>
  </si>
  <si>
    <t>S006581</t>
  </si>
  <si>
    <t>C082913</t>
  </si>
  <si>
    <t>S007756</t>
  </si>
  <si>
    <t>S007755</t>
  </si>
  <si>
    <t>S007442</t>
  </si>
  <si>
    <t>S006881</t>
  </si>
  <si>
    <t>S007241</t>
  </si>
  <si>
    <t>S006461</t>
  </si>
  <si>
    <t>S007816</t>
  </si>
  <si>
    <t>S005081</t>
  </si>
  <si>
    <t>S005101</t>
  </si>
  <si>
    <t>S005861</t>
  </si>
  <si>
    <t>S008247</t>
  </si>
  <si>
    <t>CBTC304</t>
  </si>
  <si>
    <t>S004741</t>
  </si>
  <si>
    <t>S004241</t>
  </si>
  <si>
    <t>S007557</t>
  </si>
  <si>
    <t>S006421</t>
  </si>
  <si>
    <t>S003941</t>
  </si>
  <si>
    <t>C057845</t>
  </si>
  <si>
    <t>C053111</t>
  </si>
  <si>
    <t>S004821</t>
  </si>
  <si>
    <t>S007669</t>
  </si>
  <si>
    <t>S007977</t>
  </si>
  <si>
    <t>S007984</t>
  </si>
  <si>
    <t>S007976</t>
  </si>
  <si>
    <t>S007965</t>
  </si>
  <si>
    <t>S008131</t>
  </si>
  <si>
    <t>S008186</t>
  </si>
  <si>
    <t>S008014</t>
  </si>
  <si>
    <t>S007866</t>
  </si>
  <si>
    <t>S007899</t>
  </si>
  <si>
    <t>S008005</t>
  </si>
  <si>
    <t>S007962</t>
  </si>
  <si>
    <t>S007843</t>
  </si>
  <si>
    <t>S007679</t>
  </si>
  <si>
    <t>C069887</t>
  </si>
  <si>
    <t>C072170</t>
  </si>
  <si>
    <t>C048370</t>
  </si>
  <si>
    <t>S004921</t>
  </si>
  <si>
    <t>C056304</t>
  </si>
  <si>
    <t>S003481</t>
  </si>
  <si>
    <t>This was an all Opex Project per the approved Investment Paper</t>
  </si>
  <si>
    <t>S003181</t>
  </si>
  <si>
    <t>S004402</t>
  </si>
  <si>
    <t>S004421</t>
  </si>
  <si>
    <t>S0031003</t>
  </si>
  <si>
    <t>S003184</t>
  </si>
  <si>
    <t>Written Off, therefore, Not on Depreciation Report</t>
  </si>
  <si>
    <t>Zero Dollars, therefore, Not on Depreciation Report</t>
  </si>
  <si>
    <t>Written-Off, therefore, Not on Depreciation Report</t>
  </si>
  <si>
    <t>Zero Dollars, therefore, not on Depreciation Report</t>
  </si>
  <si>
    <t>S002862</t>
  </si>
  <si>
    <t>S003221</t>
  </si>
  <si>
    <t>S005501</t>
  </si>
  <si>
    <t>S003121</t>
  </si>
  <si>
    <t>S007554</t>
  </si>
  <si>
    <t>S008067</t>
  </si>
  <si>
    <t>S007551</t>
  </si>
  <si>
    <t>C058039</t>
  </si>
  <si>
    <t>C058040</t>
  </si>
  <si>
    <t>C058041</t>
  </si>
  <si>
    <t>C058043</t>
  </si>
  <si>
    <t>S004581</t>
  </si>
  <si>
    <t>S002941</t>
  </si>
  <si>
    <t>S002081</t>
  </si>
  <si>
    <t>C044413</t>
  </si>
  <si>
    <t>C044852</t>
  </si>
  <si>
    <t>Balance moved to Opex</t>
  </si>
  <si>
    <t>C044693</t>
  </si>
  <si>
    <t>C044694</t>
  </si>
  <si>
    <t>C044695</t>
  </si>
  <si>
    <t>S003541</t>
  </si>
  <si>
    <t>S003821</t>
  </si>
  <si>
    <t>S001981</t>
  </si>
  <si>
    <t>S001982</t>
  </si>
  <si>
    <t>S001802</t>
  </si>
  <si>
    <t>S001881</t>
  </si>
  <si>
    <t>S001781</t>
  </si>
  <si>
    <t>S002021</t>
  </si>
  <si>
    <t>S001701</t>
  </si>
  <si>
    <t>C042849</t>
  </si>
  <si>
    <t>C042848</t>
  </si>
  <si>
    <t>C042846</t>
  </si>
  <si>
    <t>C042847</t>
  </si>
  <si>
    <t>S001564</t>
  </si>
  <si>
    <t>S002146</t>
  </si>
  <si>
    <t>S002863</t>
  </si>
  <si>
    <t>S001921</t>
  </si>
  <si>
    <t>C038842</t>
  </si>
  <si>
    <t>S001242</t>
  </si>
  <si>
    <t>S001281</t>
  </si>
  <si>
    <t>C040524</t>
  </si>
  <si>
    <t>C040663</t>
  </si>
  <si>
    <t>S001803</t>
  </si>
  <si>
    <t>S003662</t>
  </si>
  <si>
    <t>Didn't meet Capex Threshold</t>
  </si>
  <si>
    <t>S001801</t>
  </si>
  <si>
    <t>C042124</t>
  </si>
  <si>
    <t>C042123</t>
  </si>
  <si>
    <t>S002001</t>
  </si>
  <si>
    <t>C042851</t>
  </si>
  <si>
    <t>C042906</t>
  </si>
  <si>
    <t>C042924</t>
  </si>
  <si>
    <t>S001563</t>
  </si>
  <si>
    <t>S001562</t>
  </si>
  <si>
    <t>S001561</t>
  </si>
  <si>
    <t>S001741</t>
  </si>
  <si>
    <t>S002101</t>
  </si>
  <si>
    <t>S001621</t>
  </si>
  <si>
    <t>S002921</t>
  </si>
  <si>
    <t>S002721</t>
  </si>
  <si>
    <t>S001942</t>
  </si>
  <si>
    <t>S002722</t>
  </si>
  <si>
    <t>S001321</t>
  </si>
  <si>
    <t>C057720</t>
  </si>
  <si>
    <t>C057721</t>
  </si>
  <si>
    <t>C057722</t>
  </si>
  <si>
    <t>C061448</t>
  </si>
  <si>
    <t>C064471</t>
  </si>
  <si>
    <t>C064474</t>
  </si>
  <si>
    <t>C064476</t>
  </si>
  <si>
    <t>C064482</t>
  </si>
  <si>
    <t>C064485</t>
  </si>
  <si>
    <t>C064486</t>
  </si>
  <si>
    <t>S004901</t>
  </si>
  <si>
    <t>S003183</t>
  </si>
  <si>
    <t>S001401</t>
  </si>
  <si>
    <t>S003185</t>
  </si>
  <si>
    <t>C040344</t>
  </si>
  <si>
    <t>C044432</t>
  </si>
  <si>
    <t>C044435</t>
  </si>
  <si>
    <t>S002705</t>
  </si>
  <si>
    <t>S001661</t>
  </si>
  <si>
    <t>S004961</t>
  </si>
  <si>
    <t>C041009</t>
  </si>
  <si>
    <t>S001481</t>
  </si>
  <si>
    <t>C041005</t>
  </si>
  <si>
    <t>C041004</t>
  </si>
  <si>
    <t>C041424</t>
  </si>
  <si>
    <t>C042763</t>
  </si>
  <si>
    <t>C041003</t>
  </si>
  <si>
    <t>S001141</t>
  </si>
  <si>
    <t>S000784</t>
  </si>
  <si>
    <t>S000981</t>
  </si>
  <si>
    <t>S001161</t>
  </si>
  <si>
    <t>S000581</t>
  </si>
  <si>
    <t>S000561</t>
  </si>
  <si>
    <t>C037023</t>
  </si>
  <si>
    <t>S003561</t>
  </si>
  <si>
    <t>This project was cancelled and written-off</t>
  </si>
  <si>
    <t>C042704</t>
  </si>
  <si>
    <t>S006601</t>
  </si>
  <si>
    <t>Allocation Code same as a G310 - MA Gas</t>
  </si>
  <si>
    <t>S001201</t>
  </si>
  <si>
    <t>Written-Off</t>
  </si>
  <si>
    <t>S001301</t>
  </si>
  <si>
    <t>S006661</t>
  </si>
  <si>
    <t>S000901</t>
  </si>
  <si>
    <t>S002623</t>
  </si>
  <si>
    <t>S003182</t>
  </si>
  <si>
    <t>C056344</t>
  </si>
  <si>
    <t>C056364</t>
  </si>
  <si>
    <t>C044354</t>
  </si>
  <si>
    <t>C044353</t>
  </si>
  <si>
    <t>S001521</t>
  </si>
  <si>
    <t>C039625</t>
  </si>
  <si>
    <t>S000521</t>
  </si>
  <si>
    <t>S001062</t>
  </si>
  <si>
    <t>S001063</t>
  </si>
  <si>
    <t>S000181</t>
  </si>
  <si>
    <t>S001742</t>
  </si>
  <si>
    <t>S001941</t>
  </si>
  <si>
    <t>C040646</t>
  </si>
  <si>
    <t>S000301</t>
  </si>
  <si>
    <t>C039172</t>
  </si>
  <si>
    <t>C038985</t>
  </si>
  <si>
    <t>C038986</t>
  </si>
  <si>
    <t>C038987</t>
  </si>
  <si>
    <t>C036872</t>
  </si>
  <si>
    <t>S001101</t>
  </si>
  <si>
    <t>S000941</t>
  </si>
  <si>
    <t>S001222</t>
  </si>
  <si>
    <t>Not an asset</t>
  </si>
  <si>
    <t>S001501</t>
  </si>
  <si>
    <t>S001541</t>
  </si>
  <si>
    <t>B008792</t>
  </si>
  <si>
    <t>S000853</t>
  </si>
  <si>
    <t>C042106</t>
  </si>
  <si>
    <t>C042105</t>
  </si>
  <si>
    <t>C037335</t>
  </si>
  <si>
    <t>C032219</t>
  </si>
  <si>
    <t>C038022</t>
  </si>
  <si>
    <t>C045048</t>
  </si>
  <si>
    <t>C043223</t>
  </si>
  <si>
    <t>S001682</t>
  </si>
  <si>
    <t>S001341</t>
  </si>
  <si>
    <t>C041367</t>
  </si>
  <si>
    <t>S000621</t>
  </si>
  <si>
    <t>S00622</t>
  </si>
  <si>
    <t>S002041</t>
  </si>
  <si>
    <t>S001181</t>
  </si>
  <si>
    <t>C044014</t>
  </si>
  <si>
    <t>C044015</t>
  </si>
  <si>
    <t>C044016</t>
  </si>
  <si>
    <t>C044018</t>
  </si>
  <si>
    <t>S000852</t>
  </si>
  <si>
    <t>S003101</t>
  </si>
  <si>
    <t>S000401</t>
  </si>
  <si>
    <t>S000823</t>
  </si>
  <si>
    <t>C037002</t>
  </si>
  <si>
    <t>S000222</t>
  </si>
  <si>
    <t>S000761</t>
  </si>
  <si>
    <t>S000544</t>
  </si>
  <si>
    <t>S001461</t>
  </si>
  <si>
    <t>S000501</t>
  </si>
  <si>
    <t>C035522</t>
  </si>
  <si>
    <t>S000281</t>
  </si>
  <si>
    <t>S000961</t>
  </si>
  <si>
    <t>C040766</t>
  </si>
  <si>
    <t>C028802</t>
  </si>
  <si>
    <t>S000836</t>
  </si>
  <si>
    <t>S000824</t>
  </si>
  <si>
    <t>S000866</t>
  </si>
  <si>
    <t>S001001</t>
  </si>
  <si>
    <t>S001441</t>
  </si>
  <si>
    <t>S000253</t>
  </si>
  <si>
    <t>Work Order doesn't exist in SAP</t>
  </si>
  <si>
    <t>Changed in PPLNT by R. Wilson 3/24/17</t>
  </si>
  <si>
    <t>Biz Cost Center is 2280 (Corporate FP&amp;A)</t>
  </si>
  <si>
    <t>Biz cost center is 2280 (Corporate FP&amp;A)</t>
  </si>
  <si>
    <t>Please use this code for FY18!!!  This Project is Growth Playbook.</t>
  </si>
  <si>
    <t>DO NOT USE FOR FY18</t>
  </si>
  <si>
    <t>Changed by R. Wilson in PPLNT 3/24/17</t>
  </si>
  <si>
    <t>No Inservice Date as there are no charges</t>
  </si>
  <si>
    <t>Do Not Use</t>
  </si>
  <si>
    <t>This work order is for Phase 1 &amp; 2</t>
  </si>
  <si>
    <t>Used Prior to FY18</t>
  </si>
  <si>
    <t>For FY18 to Include MA</t>
  </si>
  <si>
    <t>changed by Ron Wilson 3/9/17</t>
  </si>
  <si>
    <t>Transferred to Opex, did not meet Capex threshold</t>
  </si>
  <si>
    <t>R&amp;D Phase Only</t>
  </si>
  <si>
    <t>D&amp;I Onward</t>
  </si>
  <si>
    <t>Do Not use</t>
  </si>
  <si>
    <t>Closed, zero dollars</t>
  </si>
  <si>
    <t>No W/O found in Plant</t>
  </si>
  <si>
    <t>Closed with $0 Spending</t>
  </si>
  <si>
    <t>No Spending</t>
  </si>
  <si>
    <t>Do not use, to be closed as opened in default CC 9999.  use new WO 90000173777</t>
  </si>
  <si>
    <t>Zacchilli, Denise: BP-395</t>
  </si>
  <si>
    <t>Does not exist in PP or SAP</t>
  </si>
  <si>
    <t>Written Off, therefore, Not on Depreciation Report</t>
  </si>
  <si>
    <t>Description
([MON]-[Vendor Name]-{Freeform Text})</t>
  </si>
  <si>
    <t>Managed Hosting Services - DXC</t>
  </si>
  <si>
    <t>DXC</t>
  </si>
  <si>
    <t>90000217245</t>
  </si>
  <si>
    <t>S008301</t>
  </si>
  <si>
    <t>90000217437</t>
  </si>
  <si>
    <t>S008306</t>
  </si>
  <si>
    <t>X5990023336</t>
  </si>
  <si>
    <t>INVID:6025-Contract Quarterback - AI PoC</t>
  </si>
  <si>
    <t>XG020023278</t>
  </si>
  <si>
    <t>XG020023277</t>
  </si>
  <si>
    <t>XG020023339</t>
  </si>
  <si>
    <t>XG186023354</t>
  </si>
  <si>
    <t>INVID:5867E-Substation Access Points</t>
  </si>
  <si>
    <t>INVID:5867A-OMS Router Replacement &amp; IT Service Management</t>
  </si>
  <si>
    <t>XG148023353</t>
  </si>
  <si>
    <t>XG225023283</t>
  </si>
  <si>
    <t>90000217309</t>
  </si>
  <si>
    <t>INVID:5161-Device Refresh</t>
  </si>
  <si>
    <t>S008308</t>
  </si>
  <si>
    <t>XG020023337</t>
  </si>
  <si>
    <t>False</t>
  </si>
  <si>
    <t>Program</t>
  </si>
  <si>
    <t>Subproject</t>
  </si>
  <si>
    <t>5673</t>
  </si>
  <si>
    <t>My Business Account (Nucleus Phase 2)</t>
  </si>
  <si>
    <t>5674</t>
  </si>
  <si>
    <t>Gridhome US Enhancements</t>
  </si>
  <si>
    <t>5687</t>
  </si>
  <si>
    <t>ET Operations Ways of Working</t>
  </si>
  <si>
    <t>5688</t>
  </si>
  <si>
    <t>Interconnectors Intraday Gate Changes   - D-1864</t>
  </si>
  <si>
    <t>5689</t>
  </si>
  <si>
    <t>Reactive Power - D-1863</t>
  </si>
  <si>
    <t>5690</t>
  </si>
  <si>
    <t>Dispatch R&amp;D (Future Balancing) - D-1764</t>
  </si>
  <si>
    <t>5691</t>
  </si>
  <si>
    <t>OSLA Largest Generation System Loss Monitor - D-1818</t>
  </si>
  <si>
    <t>5692</t>
  </si>
  <si>
    <t>Transmission Network Topology Optimitsation Innovation Project (Brattle Group) - D-1562</t>
  </si>
  <si>
    <t>5693</t>
  </si>
  <si>
    <t>Network Lifecycle Refresh and Remediation</t>
  </si>
  <si>
    <t>5693 Network Lifecycle Refresh and Remediation</t>
  </si>
  <si>
    <t>5695</t>
  </si>
  <si>
    <t>Brexit Day 1 Preparations/Modifications - D1414</t>
  </si>
  <si>
    <t>5696</t>
  </si>
  <si>
    <t>Zensar Connectivity D-1867</t>
  </si>
  <si>
    <t>5702UK</t>
  </si>
  <si>
    <t>5703</t>
  </si>
  <si>
    <t>Ellipse v9 Upgrade</t>
  </si>
  <si>
    <t>5704</t>
  </si>
  <si>
    <t>Collaboration and Unified Communications (UK)</t>
  </si>
  <si>
    <t>5706</t>
  </si>
  <si>
    <t>CAB Asset Health 19/20</t>
  </si>
  <si>
    <t>5707</t>
  </si>
  <si>
    <t>State of Energy</t>
  </si>
  <si>
    <t>Changed to 5823A</t>
  </si>
  <si>
    <t>ISD</t>
  </si>
  <si>
    <t>Changed to 5836B</t>
  </si>
  <si>
    <t>5746C</t>
  </si>
  <si>
    <t>RI Construction Deployment Scale Up</t>
  </si>
  <si>
    <t>5746D</t>
  </si>
  <si>
    <t>UNY AM Deployment</t>
  </si>
  <si>
    <t>5746E</t>
  </si>
  <si>
    <t>LI November Release</t>
  </si>
  <si>
    <t>5746F</t>
  </si>
  <si>
    <t>MA/NYC 2022 Release</t>
  </si>
  <si>
    <t>5746G</t>
  </si>
  <si>
    <t>AM MA/NYC 2022 Release</t>
  </si>
  <si>
    <t>5748</t>
  </si>
  <si>
    <t>Security Control Center Back-Up</t>
  </si>
  <si>
    <t>Changed to 5830D</t>
  </si>
  <si>
    <t>Changed to 5830A</t>
  </si>
  <si>
    <t>Project One</t>
  </si>
  <si>
    <t>Changed to 5823C</t>
  </si>
  <si>
    <t>ENC</t>
  </si>
  <si>
    <t>Future Balancing Programme</t>
  </si>
  <si>
    <t>5784B</t>
  </si>
  <si>
    <t>Network Controls Programme - Strategic Replacement</t>
  </si>
  <si>
    <t>5784C</t>
  </si>
  <si>
    <t>Network Control Programme - Data &amp; Analytics Platform</t>
  </si>
  <si>
    <t>5790</t>
  </si>
  <si>
    <t>Lands Digitization</t>
  </si>
  <si>
    <t>ENC Programme</t>
  </si>
  <si>
    <t>Changed to 5836C</t>
  </si>
  <si>
    <t>Moved to 5795C</t>
  </si>
  <si>
    <t>Moved to 5795D</t>
  </si>
  <si>
    <t>Moved to 5795E</t>
  </si>
  <si>
    <t>2025</t>
  </si>
  <si>
    <t>2024</t>
  </si>
  <si>
    <t>Capital Delivery Alignment with VolT &amp; SAP/4HANA roadmaps</t>
  </si>
  <si>
    <t>Renumbered to 5985</t>
  </si>
  <si>
    <t>Renumbered to 5836</t>
  </si>
  <si>
    <t>Renumbered to 5986</t>
  </si>
  <si>
    <t>Moved to 5795F</t>
  </si>
  <si>
    <t>5857B</t>
  </si>
  <si>
    <t>Portfolio Planning and Risk Tool Improvements -  Phase 3</t>
  </si>
  <si>
    <t>5857/5857a</t>
  </si>
  <si>
    <t>Transmission-GTO</t>
  </si>
  <si>
    <t>5988</t>
  </si>
  <si>
    <t>IE Non Load tracker</t>
  </si>
  <si>
    <t>6009</t>
  </si>
  <si>
    <t>EDL/EDT/Control Telephony new connections 2020/21</t>
  </si>
  <si>
    <t>6011</t>
  </si>
  <si>
    <t>Simone Enhancements and Multi-Scenario Modelling</t>
  </si>
  <si>
    <t>6012</t>
  </si>
  <si>
    <t>Rapid Development Team 20/21</t>
  </si>
  <si>
    <t>New Markets</t>
  </si>
  <si>
    <t>6016</t>
  </si>
  <si>
    <t>Uptime Rationalisation</t>
  </si>
  <si>
    <t>6017</t>
  </si>
  <si>
    <t>Enhancing the project controls system landscape CAP D UK</t>
  </si>
  <si>
    <t>6020</t>
  </si>
  <si>
    <t>CIS upgrade</t>
  </si>
  <si>
    <t>6021</t>
  </si>
  <si>
    <t>MPaaS Replacement</t>
  </si>
  <si>
    <t>DWM</t>
  </si>
  <si>
    <t>6023</t>
  </si>
  <si>
    <t>FY21 Network Refresh Program</t>
  </si>
  <si>
    <t>6024</t>
  </si>
  <si>
    <t>EMR Pre-qualification Workflow Management</t>
  </si>
  <si>
    <t>6027</t>
  </si>
  <si>
    <t>FY21 Hosting Programme</t>
  </si>
  <si>
    <t>6028</t>
  </si>
  <si>
    <t>CAP D Project Control enhancement</t>
  </si>
  <si>
    <t>6029</t>
  </si>
  <si>
    <t>GeoGrid - Asset health updates and enhancement</t>
  </si>
  <si>
    <t>6036</t>
  </si>
  <si>
    <t>FY21 WAN and LAN Network Refresh</t>
  </si>
  <si>
    <t>6038</t>
  </si>
  <si>
    <t>Stability and Voltage Pathfinders</t>
  </si>
  <si>
    <t>6039</t>
  </si>
  <si>
    <t>IBM SNOW automation</t>
  </si>
  <si>
    <t>2026</t>
  </si>
  <si>
    <t>2029</t>
  </si>
  <si>
    <t>2030</t>
  </si>
  <si>
    <t>2031</t>
  </si>
  <si>
    <t>2034</t>
  </si>
  <si>
    <t>2035</t>
  </si>
  <si>
    <t>6044</t>
  </si>
  <si>
    <t>PAWs ESO/GSO Project</t>
  </si>
  <si>
    <t>6045</t>
  </si>
  <si>
    <t>Service Delivery Application Upgrades</t>
  </si>
  <si>
    <t>6048</t>
  </si>
  <si>
    <t>Network Shared Area</t>
  </si>
  <si>
    <t>6054</t>
  </si>
  <si>
    <t>ECS CRM Rationalisation</t>
  </si>
  <si>
    <t>6055</t>
  </si>
  <si>
    <t>Social Listening Capability</t>
  </si>
  <si>
    <t>6056</t>
  </si>
  <si>
    <t>Web Analytics</t>
  </si>
  <si>
    <t>6058</t>
  </si>
  <si>
    <t>Storage Migration</t>
  </si>
  <si>
    <t>6059</t>
  </si>
  <si>
    <t>Hosting  Refresh to Hyper Converged Infrastructure</t>
  </si>
  <si>
    <t>6060</t>
  </si>
  <si>
    <t>Unified Endpoint Management</t>
  </si>
  <si>
    <t>578B</t>
  </si>
  <si>
    <t>578C</t>
  </si>
  <si>
    <t>Ancillary Services Reform</t>
  </si>
  <si>
    <t>n.a</t>
  </si>
  <si>
    <t>n/a</t>
  </si>
  <si>
    <t>W10 Deployment Project</t>
  </si>
  <si>
    <t>OLTA S/W Refresh</t>
  </si>
  <si>
    <t>na</t>
  </si>
  <si>
    <t>MS Teams</t>
  </si>
  <si>
    <t>MyFinance</t>
  </si>
  <si>
    <t>Regulatory Program</t>
  </si>
  <si>
    <t>none</t>
  </si>
  <si>
    <t>None</t>
  </si>
  <si>
    <t>GB Regulatory</t>
  </si>
  <si>
    <t>6176</t>
  </si>
  <si>
    <t>Service Now upgrade UK</t>
  </si>
  <si>
    <t>6177</t>
  </si>
  <si>
    <t>RI - Advanced Metering Infrastructure (AMI)</t>
  </si>
  <si>
    <t>6178</t>
  </si>
  <si>
    <t>HR Case Management</t>
  </si>
  <si>
    <t>6179UK</t>
  </si>
  <si>
    <t>Candidate Relationship Management</t>
  </si>
  <si>
    <t>6179US</t>
  </si>
  <si>
    <t>6180UK</t>
  </si>
  <si>
    <t>CV Talent Screening / Blind CVs</t>
  </si>
  <si>
    <t>6180US</t>
  </si>
  <si>
    <t>6181UK</t>
  </si>
  <si>
    <t>Global Appreciate System</t>
  </si>
  <si>
    <t>6181US</t>
  </si>
  <si>
    <t>6182UK</t>
  </si>
  <si>
    <t>Global Career Site</t>
  </si>
  <si>
    <t>6182US</t>
  </si>
  <si>
    <t>6183UK</t>
  </si>
  <si>
    <t>HR Reporting Analytics</t>
  </si>
  <si>
    <t>6183US</t>
  </si>
  <si>
    <t>6184UK</t>
  </si>
  <si>
    <t>New Talent Performance Management</t>
  </si>
  <si>
    <t>6184US</t>
  </si>
  <si>
    <t>6185UK</t>
  </si>
  <si>
    <t>Onboarding 2.0</t>
  </si>
  <si>
    <t>6185US</t>
  </si>
  <si>
    <t>6186UK</t>
  </si>
  <si>
    <t>6186US</t>
  </si>
  <si>
    <t>6187UK</t>
  </si>
  <si>
    <t>Reward and Performance</t>
  </si>
  <si>
    <t>6187US</t>
  </si>
  <si>
    <t>6188UK</t>
  </si>
  <si>
    <t>Digital Commercial Proposal Evaluator</t>
  </si>
  <si>
    <t>6188US</t>
  </si>
  <si>
    <t>6189UK</t>
  </si>
  <si>
    <t>6189US</t>
  </si>
  <si>
    <t>6190UK</t>
  </si>
  <si>
    <t>SAP GRC Global Consolidation</t>
  </si>
  <si>
    <t>6190US</t>
  </si>
  <si>
    <t>6191UK</t>
  </si>
  <si>
    <t>E-enablement Supplier and Customer Journey</t>
  </si>
  <si>
    <t>6191US</t>
  </si>
  <si>
    <t>6192UK</t>
  </si>
  <si>
    <t>FP&amp;A DDP Use Cases</t>
  </si>
  <si>
    <t>6192US</t>
  </si>
  <si>
    <t>ADJUST BASE BUDGET</t>
  </si>
  <si>
    <t>FP&amp;A adjustment Base Budget (FY18)</t>
  </si>
  <si>
    <t>Placeholder</t>
  </si>
  <si>
    <t>ADJUST GPB BUDGET</t>
  </si>
  <si>
    <t>FP&amp;A adjustment GPB Budget (FY18)</t>
  </si>
  <si>
    <t>BIZ</t>
  </si>
  <si>
    <t>Biz Funded Projects with Reprioritized Budget</t>
  </si>
  <si>
    <t>BURDEN</t>
  </si>
  <si>
    <t>OpEx Burden Adjustment</t>
  </si>
  <si>
    <t>BURDENS</t>
  </si>
  <si>
    <t>Opex Burden Adjustment</t>
  </si>
  <si>
    <t>Burden</t>
  </si>
  <si>
    <t>BUSINESS</t>
  </si>
  <si>
    <t>Business Hold Back</t>
  </si>
  <si>
    <t>CIO OFFICE</t>
  </si>
  <si>
    <t>CIO Office Placeholder</t>
  </si>
  <si>
    <t>CORPIS-MW</t>
  </si>
  <si>
    <t>CorpIS Minor Works Placeholder</t>
  </si>
  <si>
    <t>CUSTOMER ROADMAP</t>
  </si>
  <si>
    <t>Customer Roadmap Placeholder</t>
  </si>
  <si>
    <t>FY12 Placeholder</t>
  </si>
  <si>
    <t>FY13 Placeholder</t>
  </si>
  <si>
    <t>FY14F</t>
  </si>
  <si>
    <t>5110S-DESIGN PRJ ST UP (FSSC)- BP382</t>
  </si>
  <si>
    <t>FY14 Placeholder</t>
  </si>
  <si>
    <t>GPB</t>
  </si>
  <si>
    <t>Growth Playbook</t>
  </si>
  <si>
    <t>HOLD BACK</t>
  </si>
  <si>
    <t>IS US Committed Overspend</t>
  </si>
  <si>
    <t>HOLDBACK</t>
  </si>
  <si>
    <t>IBM CHANGE MGMT</t>
  </si>
  <si>
    <t>Mgmt Challenge - Ops &amp; Strat</t>
  </si>
  <si>
    <t>IBM CHANGE MGMTSTART-UP</t>
  </si>
  <si>
    <t>Contractor Costs BP382</t>
  </si>
  <si>
    <t>IS-MW</t>
  </si>
  <si>
    <t>Corporate IS- IS4IS Minor Works Placeholder</t>
  </si>
  <si>
    <t>MGMT HOLDBACK -</t>
  </si>
  <si>
    <t>Management Holdback</t>
  </si>
  <si>
    <t>MGMT TASK - FSSC &amp; CUST -</t>
  </si>
  <si>
    <t>Mgmt Challenge - FSSC &amp; Cust</t>
  </si>
  <si>
    <t>MGMT TASK - INFRAST -</t>
  </si>
  <si>
    <t>Mgmt Challenge - Infrast</t>
  </si>
  <si>
    <t>MGMT TASK - OPS &amp; STRAT -</t>
  </si>
  <si>
    <t>MGMTTASK-1</t>
  </si>
  <si>
    <t>Management Task 1 (FY16)</t>
  </si>
  <si>
    <t>MGMTTASK-2</t>
  </si>
  <si>
    <t>Management Task 2 (FY16)</t>
  </si>
  <si>
    <t>MGMTTASK-BASE</t>
  </si>
  <si>
    <t>Management Task IS BASE (FY18)</t>
  </si>
  <si>
    <t>MGMTTASK-GPB</t>
  </si>
  <si>
    <t>Management Task IS GPB (FY18)</t>
  </si>
  <si>
    <t>MGMTTASK-USFP</t>
  </si>
  <si>
    <t>USFP adjustment related to 4401</t>
  </si>
  <si>
    <t>OPEX MGMT ADJ</t>
  </si>
  <si>
    <t>Opex Mgmt Adj</t>
  </si>
  <si>
    <t>Panasonic Devices</t>
  </si>
  <si>
    <t>PHYSICAL SECURITY</t>
  </si>
  <si>
    <t>PPMI</t>
  </si>
  <si>
    <t>PPMI Project</t>
  </si>
  <si>
    <t>Run the Business</t>
  </si>
  <si>
    <t>TBD</t>
  </si>
  <si>
    <t>To Be Determined</t>
  </si>
  <si>
    <t>SAMPLE</t>
  </si>
  <si>
    <t>US-MW</t>
  </si>
  <si>
    <t>US Minor Works Placeholder</t>
  </si>
  <si>
    <t>USFP</t>
  </si>
  <si>
    <t>Charges related to USFP R3 internal order IO X5330001529</t>
  </si>
  <si>
    <t>USFP3915</t>
  </si>
  <si>
    <t>USFP3915-Reversal for INVP3915</t>
  </si>
  <si>
    <t>USMW1</t>
  </si>
  <si>
    <t>Corp Is Minor Works (FY18)</t>
  </si>
  <si>
    <t>USMW2</t>
  </si>
  <si>
    <t>FSSC Minor Works (Customer Billing) FY18</t>
  </si>
  <si>
    <t>W/O</t>
  </si>
  <si>
    <t>5110S-IS2733Contractor Costs BP382</t>
  </si>
  <si>
    <t>W/O_2732</t>
  </si>
  <si>
    <t>Capex Write-off</t>
  </si>
  <si>
    <t>W/O_2733</t>
  </si>
  <si>
    <t>OpEx Write-off - FSSC</t>
  </si>
  <si>
    <t>WALK_IN</t>
  </si>
  <si>
    <t>6196</t>
  </si>
  <si>
    <t>I&amp;O US Operations FY22</t>
  </si>
  <si>
    <t>6209</t>
  </si>
  <si>
    <t>Enterprise Data Archival Platform</t>
  </si>
  <si>
    <t>6208</t>
  </si>
  <si>
    <t>OFSA Replacement</t>
  </si>
  <si>
    <t>6207</t>
  </si>
  <si>
    <t>FAME Remediation</t>
  </si>
  <si>
    <t>6206</t>
  </si>
  <si>
    <t>Customer Smart Target</t>
  </si>
  <si>
    <t>6205</t>
  </si>
  <si>
    <t>Visme - Infographics creation tool</t>
  </si>
  <si>
    <t>6204</t>
  </si>
  <si>
    <t>Ceros - Digital content creation tool</t>
  </si>
  <si>
    <t>6203</t>
  </si>
  <si>
    <t>Enterprise Content Delivery Network F&amp;A</t>
  </si>
  <si>
    <t>6202</t>
  </si>
  <si>
    <t>Apptio TBM FY21</t>
  </si>
  <si>
    <t>6201</t>
  </si>
  <si>
    <t>ET Shared area migration</t>
  </si>
  <si>
    <t>6200</t>
  </si>
  <si>
    <t>I&amp;O US Cloud and Hosting FY22</t>
  </si>
  <si>
    <t>6199</t>
  </si>
  <si>
    <t>I&amp;O US CNI FY22</t>
  </si>
  <si>
    <t>6198</t>
  </si>
  <si>
    <t>I&amp;O US End User Experience FY22</t>
  </si>
  <si>
    <t>6197</t>
  </si>
  <si>
    <t>I&amp;O US Networks FY22</t>
  </si>
  <si>
    <t>True</t>
  </si>
  <si>
    <t>Richard Sheer</t>
  </si>
  <si>
    <t>Aman Aneja</t>
  </si>
  <si>
    <t>1061C</t>
  </si>
  <si>
    <t>SSE PI Gateway Refresh</t>
  </si>
  <si>
    <t>Jeffrey Dailey</t>
  </si>
  <si>
    <t>Sheena Anand</t>
  </si>
  <si>
    <t>Gary Sidoti</t>
  </si>
  <si>
    <t>Ruth Sullivan</t>
  </si>
  <si>
    <t>Tarmap phase  4</t>
  </si>
  <si>
    <t>Wayne Watkins</t>
  </si>
  <si>
    <t>Interconnectors</t>
  </si>
  <si>
    <t>2689</t>
  </si>
  <si>
    <t>Hisham Zahran</t>
  </si>
  <si>
    <t>Simone  3116/Simone Online  3115</t>
  </si>
  <si>
    <t>3116 Demand Forecasting</t>
  </si>
  <si>
    <t>Sally Seltzer</t>
  </si>
  <si>
    <t>Mark Townsend</t>
  </si>
  <si>
    <t>3660 – UK CNI Asset Refresh Programme 2017/18</t>
  </si>
  <si>
    <t>3683 Cyber Security 2 Programme</t>
  </si>
  <si>
    <t>ESO European Network Codes Programme, Phase 1 3695</t>
  </si>
  <si>
    <t>ESO European Network Codes Programme Phase 1 (3695)</t>
  </si>
  <si>
    <t>Electricity Market Reform - Phase 2</t>
  </si>
  <si>
    <t>3753 (EMR)</t>
  </si>
  <si>
    <t>4032 - Work Execution &amp; Data Capture</t>
  </si>
  <si>
    <t>TARMAP</t>
  </si>
  <si>
    <t>GAINS</t>
  </si>
  <si>
    <t>UK Controls Improvement - Strategic</t>
  </si>
  <si>
    <t>OpenText Upgrade &amp; Migration</t>
  </si>
  <si>
    <t>GTORP</t>
  </si>
  <si>
    <t>Customer Experience Transformation</t>
  </si>
  <si>
    <t>SoR</t>
  </si>
  <si>
    <t>5169</t>
  </si>
  <si>
    <t>ETO ITOT</t>
  </si>
  <si>
    <t>IS Separation</t>
  </si>
  <si>
    <t>5279-Richmond</t>
  </si>
  <si>
    <t>TSI</t>
  </si>
  <si>
    <t>ET1588</t>
  </si>
  <si>
    <t>Verizon Cost to Achieve</t>
  </si>
  <si>
    <t>PAC3608 – GT Transmission Foundation Systems</t>
  </si>
  <si>
    <t>VOLT Enablement Implementation</t>
  </si>
  <si>
    <t>Cadent separation</t>
  </si>
  <si>
    <t>Changed to 5822A</t>
  </si>
  <si>
    <t>5309 - Network Modernisation</t>
  </si>
  <si>
    <t>Moved to 5788B</t>
  </si>
  <si>
    <t>Tech Mod</t>
  </si>
  <si>
    <t>IS Separation -Cadent</t>
  </si>
  <si>
    <t>PAS</t>
  </si>
  <si>
    <t>Changed to 5836D</t>
  </si>
  <si>
    <t>Moved to 5823E</t>
  </si>
  <si>
    <t>GT IT Tech Health</t>
  </si>
  <si>
    <t>Changed to 5823D</t>
  </si>
  <si>
    <t>Changed to 5773D</t>
  </si>
  <si>
    <t>ATOS Labor</t>
  </si>
  <si>
    <t>90000217691</t>
  </si>
  <si>
    <t>Brenda Leahy</t>
  </si>
  <si>
    <t>Modified</t>
  </si>
  <si>
    <t>Modified By</t>
  </si>
  <si>
    <t>XC175023368</t>
  </si>
  <si>
    <t>INVP 6206 Customer Smart Target</t>
  </si>
  <si>
    <t>XG020023228</t>
  </si>
  <si>
    <t>XC175023232</t>
  </si>
  <si>
    <t>90000216656</t>
  </si>
  <si>
    <t>S008295</t>
  </si>
  <si>
    <t>XG210023352</t>
  </si>
  <si>
    <t>INVID:6043B6-Mobile devices rollout for Plan Forward</t>
  </si>
  <si>
    <t>X531E022480</t>
  </si>
  <si>
    <t>X521E023362</t>
  </si>
  <si>
    <t>INVID:5987-Smart City Phase II</t>
  </si>
  <si>
    <t>90000216094</t>
  </si>
  <si>
    <t>S008275</t>
  </si>
  <si>
    <t>Was notified 1-8-2021 that this project went live back in August 2020</t>
  </si>
  <si>
    <t xml:space="preserve">Documentum Webtop Enhancements </t>
  </si>
  <si>
    <t xml:space="preserve">INVID:5977-Documentum Webtop Enhancements </t>
  </si>
  <si>
    <t>5915USIT</t>
  </si>
  <si>
    <t>90000216752</t>
  </si>
  <si>
    <t>S008285</t>
  </si>
  <si>
    <t>90000217733</t>
  </si>
  <si>
    <t>S008311</t>
  </si>
  <si>
    <t>XG020023338</t>
  </si>
  <si>
    <t>90000217264</t>
  </si>
  <si>
    <t>5863D</t>
  </si>
  <si>
    <t>AIMS Stability</t>
  </si>
  <si>
    <t>XC175023365</t>
  </si>
  <si>
    <t>INVID:5863D-AIMS Stability</t>
  </si>
  <si>
    <t>XG020022915</t>
  </si>
  <si>
    <t>XG020022916</t>
  </si>
  <si>
    <t>90000217249</t>
  </si>
  <si>
    <t>S008300</t>
  </si>
  <si>
    <t>XC239022936</t>
  </si>
  <si>
    <t>DO NOT USE, as the original benefitting companies were incorrect.</t>
  </si>
  <si>
    <t>INVP 5760 PS - G020</t>
  </si>
  <si>
    <t>XG020022278</t>
  </si>
  <si>
    <t>90000204133</t>
  </si>
  <si>
    <t xml:space="preserve">My Business Account (Nucleus Phase 2) </t>
  </si>
  <si>
    <t>XC175023366</t>
  </si>
  <si>
    <t xml:space="preserve">INVID:5673-My Business Account (Nucleus Phase 2) </t>
  </si>
  <si>
    <t>90000212828</t>
  </si>
  <si>
    <t>S008207</t>
  </si>
  <si>
    <t>XG198023340</t>
  </si>
  <si>
    <t>This new order was created as the original order had the wrong benefitting companies</t>
  </si>
  <si>
    <t>Notified in January that in service date was back in October</t>
  </si>
  <si>
    <t>90000209920</t>
  </si>
  <si>
    <t>S008188</t>
  </si>
  <si>
    <t>Not notified until December 2020 to put into service</t>
  </si>
  <si>
    <t>Verizon Network Modernization : Decommission of SRST</t>
  </si>
  <si>
    <t>XG020020866</t>
  </si>
  <si>
    <t>INVID:5335-Verizon Network Modernization : Decommission of SRST</t>
  </si>
  <si>
    <t>90000217114</t>
  </si>
  <si>
    <t>INVID:5274A-New Storms Response Management System Implementation</t>
  </si>
  <si>
    <t>S008305</t>
  </si>
  <si>
    <t>This work order was opened incorrectly as the work order needs to on the Op Co Directly</t>
  </si>
  <si>
    <t>X541F020479</t>
  </si>
  <si>
    <t>Opened in error, new order on Op Co</t>
  </si>
  <si>
    <t>XC198023361</t>
  </si>
  <si>
    <t>INVID:5054-On My Way (EBU Digital Solution) Phase 2</t>
  </si>
  <si>
    <t>No in-service date as a work order had to be created on the Op Co instead.</t>
  </si>
  <si>
    <t>90000194370</t>
  </si>
  <si>
    <t>S007878</t>
  </si>
  <si>
    <t>XC175023351</t>
  </si>
  <si>
    <t>INVID:4835-AIMS Tool Set Refresh</t>
  </si>
  <si>
    <t>90000205101</t>
  </si>
  <si>
    <t>90000207117</t>
  </si>
  <si>
    <t>S008144</t>
  </si>
  <si>
    <t>Told 1-11-2021 that this project went live back in September.</t>
  </si>
  <si>
    <t>Told in December to place into service</t>
  </si>
  <si>
    <t>NIMO only Asset</t>
  </si>
  <si>
    <t>INVID:3617O-Physical Security - NE E &amp; RI G</t>
  </si>
  <si>
    <t>INVP 3617N PS - NIMO E-G-T</t>
  </si>
  <si>
    <t>INVP 3617M PS - RI Gas</t>
  </si>
  <si>
    <t>Changed by R. Wilson</t>
  </si>
  <si>
    <t>INVP 3617L PS - RI Electric</t>
  </si>
  <si>
    <t>can't change in P_PLNT per R. Wilson</t>
  </si>
  <si>
    <t>INVP 3617K PS - Colonial Gas</t>
  </si>
  <si>
    <t>INVP 3617J PS - Boston Gas</t>
  </si>
  <si>
    <t>INVP 3617I PS - MAE</t>
  </si>
  <si>
    <t>INVP 3617H PS - KEDLI</t>
  </si>
  <si>
    <t>INVP 3617G PS - KEDNY</t>
  </si>
  <si>
    <t>90000144711</t>
  </si>
  <si>
    <t>INVP 3617D UNY Capitalize Asset Replacement &amp; Installation</t>
  </si>
  <si>
    <t>S004403</t>
  </si>
  <si>
    <t>INVP 3617D PS - NIMOE</t>
  </si>
  <si>
    <t>INVP 3617A PS - G020</t>
  </si>
  <si>
    <t>3614000</t>
  </si>
  <si>
    <t>361400</t>
  </si>
  <si>
    <t>36140</t>
  </si>
  <si>
    <t xml:space="preserve">​
</t>
  </si>
  <si>
    <t xml:space="preserve">
This was opened using a Core IT cost center instead of Grid Mod cost  center - Allocation code T186
​
This was opened using a Core IT cost center instead of Grid Mod cost  center
</t>
  </si>
  <si>
    <t>INVP 5843A</t>
  </si>
  <si>
    <t>INVP 5753</t>
  </si>
  <si>
    <t>INVP 5380A</t>
  </si>
  <si>
    <t>INVP 5842A</t>
  </si>
  <si>
    <t>INVP 5896A</t>
  </si>
  <si>
    <t>Waiting for new utility code opened in Plant so this project can be placed into service with a date of 9-6-19 - took sometime to get new utility code  </t>
  </si>
  <si>
    <t>PM originally gave an in-service date of 3-31-2020, later changed to 5-29-2020  </t>
  </si>
  <si>
    <t xml:space="preserve">  </t>
  </si>
  <si>
    <t>Cross Charge Capex from US to UK  </t>
  </si>
  <si>
    <t>Opex Cross Charge  </t>
  </si>
  <si>
    <t>This work order was opened incorrectly on SERVCO; new work order opened on Op Co </t>
  </si>
  <si>
    <t>DO NOT USE - USE Work Order on Company 5110 as the asset will benefit more companies in the future  </t>
  </si>
  <si>
    <t>This was INVP 4934 CYME Server Upgrade but was then consolidated with INVP 5037 to save money.  </t>
  </si>
  <si>
    <t xml:space="preserve">     CNI      Changed by R. Wilson in PPLNT 3/24/17  (This Work Order was created in error, new order was created on SERVCO)</t>
  </si>
  <si>
    <t xml:space="preserve">     Changed by R. Wilson in PPLNT 3/24/17 - Had to Open another work order on company code 5220 = therefore, no in-service date  </t>
  </si>
  <si>
    <t>CNI   Changed by R. Wilson in PPLNT 3/24/17</t>
  </si>
  <si>
    <t>This work order is for Phase 3 and 4.  Phase 4 has been de-scoped and the benefitting companies changed to be a G138 per John Kastler 4-8-2020  </t>
  </si>
  <si>
    <t>Do Not Use For Now    Internal Order was opened for All Electric 1st then NIMO Only</t>
  </si>
  <si>
    <t>Did not meet Capex threshold  </t>
  </si>
  <si>
    <t>Do Not Use, This is biz acctg and no charges have been incurred for this project per Surajit on 11-25-15.  New IS acctg to be opened when project is sanctioned.   </t>
  </si>
  <si>
    <t xml:space="preserve">     Changed in PPLNT by R. Wilson 3/24/17 - The SAP Name is correct as of 1-28-2021</t>
  </si>
  <si>
    <t>Plant closed this order inadvertently.   Description needs to be updated in SAP to 3614E4 CNI SIEM   Chris Hunt Requests to merge E4 to B7, all accounting codes under 3614E4 change to 3614B7</t>
  </si>
  <si>
    <t>Description needs to be updated in SAP to 3614E4 CNI SIEM   Chris Hunt Requests to merge E4 to B7, all accounting codes under 3614E4 change to 3614B7</t>
  </si>
  <si>
    <t>Zero Dollars, therefore, not on Depreciation Report  </t>
  </si>
  <si>
    <t>5110S-INVP3431B ALM Capex-Xcharge</t>
  </si>
  <si>
    <t>5110S-INVP3431B ALM Opex-Xcharge</t>
  </si>
  <si>
    <t xml:space="preserve">     Combined on Depreciation Report with work 90000120127     </t>
  </si>
  <si>
    <t xml:space="preserve">     Does not exist in PP or SAP, Close date added for reporting purposes</t>
  </si>
  <si>
    <t xml:space="preserve">     Zero Dollars, therefore, Not on Depreciation Report</t>
  </si>
  <si>
    <t>Combined with Legacy Order in Plant - Is on Depreciation Report but with Work Order = 1TXFER00099</t>
  </si>
  <si>
    <t>Written Off, therefore, Not on Depreciation Report  </t>
  </si>
  <si>
    <t xml:space="preserve">     Does not exist in PP or SAP Close date added for report purposes</t>
  </si>
  <si>
    <t>Depreciating under work order 90000104112</t>
  </si>
  <si>
    <t xml:space="preserve">     Not sure why on Depreciation Report only $18K</t>
  </si>
  <si>
    <t>   </t>
  </si>
  <si>
    <t>6220</t>
  </si>
  <si>
    <t>US F&amp;BS Minor Enhancements (SAP)</t>
  </si>
  <si>
    <t>XG020023409</t>
  </si>
  <si>
    <t>6219</t>
  </si>
  <si>
    <t>US F&amp;BS Minor Enhancements (Non-SAP)</t>
  </si>
  <si>
    <t>XG020023408</t>
  </si>
  <si>
    <t>XG186023407</t>
  </si>
  <si>
    <t>5785I</t>
  </si>
  <si>
    <t>NRG GIS Replacement Project</t>
  </si>
  <si>
    <t>XG225023410</t>
  </si>
  <si>
    <t>90000218184</t>
  </si>
  <si>
    <t>INVP 5935 Solution Development Lab</t>
  </si>
  <si>
    <t>S008320</t>
  </si>
  <si>
    <t xml:space="preserve">​Opened in Error
</t>
  </si>
  <si>
    <t>Created</t>
  </si>
  <si>
    <t>6043G</t>
  </si>
  <si>
    <t>6043G1</t>
  </si>
  <si>
    <t>6043G10</t>
  </si>
  <si>
    <t>6043G11</t>
  </si>
  <si>
    <t>6043G12</t>
  </si>
  <si>
    <t>6043G4</t>
  </si>
  <si>
    <t>6043G5</t>
  </si>
  <si>
    <t>6043G7</t>
  </si>
  <si>
    <t>6043G8</t>
  </si>
  <si>
    <t>6043G9</t>
  </si>
  <si>
    <t>William Tan</t>
  </si>
  <si>
    <t>6195</t>
  </si>
  <si>
    <t>ALM Phase 2 UK</t>
  </si>
  <si>
    <t>Project related to Program</t>
  </si>
  <si>
    <t>6194</t>
  </si>
  <si>
    <t>SPPD UK</t>
  </si>
  <si>
    <t>6193</t>
  </si>
  <si>
    <t>PMO Tooling UK</t>
  </si>
  <si>
    <t>5900UKA</t>
  </si>
  <si>
    <t>IT4IT</t>
  </si>
  <si>
    <t>5901UKC</t>
  </si>
  <si>
    <t>5901UKD</t>
  </si>
  <si>
    <t xml:space="preserve">SPPD UK </t>
  </si>
  <si>
    <t>6072UK</t>
  </si>
  <si>
    <t>6210US</t>
  </si>
  <si>
    <t>FY22 Platform Tower</t>
  </si>
  <si>
    <t>6210UK</t>
  </si>
  <si>
    <t>5785N</t>
  </si>
  <si>
    <t>UNY Paving and Restoration Work Management</t>
  </si>
  <si>
    <t>6211UK</t>
  </si>
  <si>
    <t xml:space="preserve">FY22 Network Tower </t>
  </si>
  <si>
    <t>6211US</t>
  </si>
  <si>
    <t>6212</t>
  </si>
  <si>
    <t>Gaia &amp; Asset Intelligence Discovery &amp; Validation Sprint</t>
  </si>
  <si>
    <t>ET Digital Roadmap</t>
  </si>
  <si>
    <t>6213</t>
  </si>
  <si>
    <t>G35 MoC</t>
  </si>
  <si>
    <t>6214</t>
  </si>
  <si>
    <t>Customer Operational Enhancements FY22</t>
  </si>
  <si>
    <t>Discretionary</t>
  </si>
  <si>
    <t>6215</t>
  </si>
  <si>
    <t>UK ERP (SAP) Maintenance &amp; Development</t>
  </si>
  <si>
    <t>6216</t>
  </si>
  <si>
    <t>PLUGIN (SNOW) 21/22</t>
  </si>
  <si>
    <t>6217</t>
  </si>
  <si>
    <t>Customer Billing Minor Works FY22</t>
  </si>
  <si>
    <t>6218</t>
  </si>
  <si>
    <t>ET Innovation CRM Phase 3</t>
  </si>
  <si>
    <t>UK IT</t>
  </si>
  <si>
    <t>5843C</t>
  </si>
  <si>
    <t>US SAP Healthcheck: Roadmap and assessment of critical components</t>
  </si>
  <si>
    <t>US Controller</t>
  </si>
  <si>
    <t>Gas Operations</t>
  </si>
  <si>
    <t>6222</t>
  </si>
  <si>
    <t>PIF Replacement</t>
  </si>
  <si>
    <t>Compliance</t>
  </si>
  <si>
    <t>6223</t>
  </si>
  <si>
    <t>I&amp;O US Data Center Transformation</t>
  </si>
  <si>
    <t>6224</t>
  </si>
  <si>
    <t>Common Work Queue Replacement Program</t>
  </si>
  <si>
    <t>5789D</t>
  </si>
  <si>
    <t xml:space="preserve">Urbint Lens for Emergency Response </t>
  </si>
  <si>
    <t>5788G</t>
  </si>
  <si>
    <t>FY22 Gas Regulatory and Operational Enhancements (Minor Works)</t>
  </si>
  <si>
    <t>6225UK</t>
  </si>
  <si>
    <t>R2R Reporting Use Case</t>
  </si>
  <si>
    <t>6225US</t>
  </si>
  <si>
    <t>6226UK</t>
  </si>
  <si>
    <t xml:space="preserve">Apptio TBM </t>
  </si>
  <si>
    <t>6226US</t>
  </si>
  <si>
    <t>6227</t>
  </si>
  <si>
    <t xml:space="preserve">HyperSnap v8 </t>
  </si>
  <si>
    <t>5785O</t>
  </si>
  <si>
    <t>Itron 100G to 500/550G ERT Transition</t>
  </si>
  <si>
    <t>5785P</t>
  </si>
  <si>
    <t>Storm Hardening - Itron Intelis Meter Implementation</t>
  </si>
  <si>
    <t>5787D</t>
  </si>
  <si>
    <t>GTIS Functional Upgrades</t>
  </si>
  <si>
    <t>5789E</t>
  </si>
  <si>
    <t>Summons and Corrective Actions Response (CAR) Work Tracker</t>
  </si>
  <si>
    <t>6229</t>
  </si>
  <si>
    <t>Onboard TPV Velocitii</t>
  </si>
  <si>
    <t>6228</t>
  </si>
  <si>
    <t>SAGE Tool Web Capabilities</t>
  </si>
  <si>
    <t>6230</t>
  </si>
  <si>
    <t>5787E</t>
  </si>
  <si>
    <t>Beamex Implementation in I&amp;R and LNG</t>
  </si>
  <si>
    <t>6221</t>
  </si>
  <si>
    <t>Tech Debt: RiskMaster  Replacement</t>
  </si>
  <si>
    <t>6232</t>
  </si>
  <si>
    <t>Cybergrant Replacement</t>
  </si>
  <si>
    <t>6231</t>
  </si>
  <si>
    <t>US Treasury: Allegro Upgrade Phase 2</t>
  </si>
  <si>
    <t>6233</t>
  </si>
  <si>
    <t>Legal: Digitization</t>
  </si>
  <si>
    <t>6234</t>
  </si>
  <si>
    <t>HR Benefit Vendor Integrations</t>
  </si>
  <si>
    <t>6236</t>
  </si>
  <si>
    <t>Tech Debt: Carousel</t>
  </si>
  <si>
    <t>6235</t>
  </si>
  <si>
    <t>Tech Debt: RFS / SIR / Remedy</t>
  </si>
  <si>
    <t>6237</t>
  </si>
  <si>
    <t>US Group Functions Operational Enhancements FY22</t>
  </si>
  <si>
    <t>6238US</t>
  </si>
  <si>
    <t>Stakeholder and Internal Applications (SIA)</t>
  </si>
  <si>
    <t>6238UK</t>
  </si>
  <si>
    <t>6239US</t>
  </si>
  <si>
    <t>6239UK</t>
  </si>
  <si>
    <t>6240US</t>
  </si>
  <si>
    <t>Federal Affairs: Aristotle Interface</t>
  </si>
  <si>
    <t>6241US</t>
  </si>
  <si>
    <t>RSA Archer Upgrade &amp; Refresh</t>
  </si>
  <si>
    <t>6240UK</t>
  </si>
  <si>
    <t>6241UK</t>
  </si>
  <si>
    <t>6242US</t>
  </si>
  <si>
    <t>ARIBA System Enhancements</t>
  </si>
  <si>
    <t>6242UK</t>
  </si>
  <si>
    <t>6243US</t>
  </si>
  <si>
    <t>BoardVantage</t>
  </si>
  <si>
    <t>6243UK</t>
  </si>
  <si>
    <t>5841C</t>
  </si>
  <si>
    <t>401(k) Administration Changes</t>
  </si>
  <si>
    <t>5841D</t>
  </si>
  <si>
    <t>Credit Card MSP Changes</t>
  </si>
  <si>
    <t>5843D</t>
  </si>
  <si>
    <t>US SAP Healthcheck: Upgrade Critical Components - FY22</t>
  </si>
  <si>
    <t>5785Q</t>
  </si>
  <si>
    <t>Field Collection Systems (FCS) Upgrade (Gas Only)</t>
  </si>
  <si>
    <t>5787F</t>
  </si>
  <si>
    <t>Gas Transportation Information System (GTIS) Phase 3 (F&amp;A)</t>
  </si>
  <si>
    <t>6245US</t>
  </si>
  <si>
    <t>Security Orchestration Automation &amp; Response</t>
  </si>
  <si>
    <t>6244</t>
  </si>
  <si>
    <t>6246US</t>
  </si>
  <si>
    <t>Brand Central Design and Implementation</t>
  </si>
  <si>
    <t>6246UK</t>
  </si>
  <si>
    <t>6247US</t>
  </si>
  <si>
    <t>CA: Strategic External Governance</t>
  </si>
  <si>
    <t>6247UK</t>
  </si>
  <si>
    <t>6248US</t>
  </si>
  <si>
    <t>CA: Video Strategic Management and Archiving (Enterprise)</t>
  </si>
  <si>
    <t>6248UK</t>
  </si>
  <si>
    <t>6249</t>
  </si>
  <si>
    <t>TNCC Alarms Data Ingestion</t>
  </si>
  <si>
    <t>6250</t>
  </si>
  <si>
    <t>EV End-End Solution</t>
  </si>
  <si>
    <t>6251UK</t>
  </si>
  <si>
    <t>Board Pack Management</t>
  </si>
  <si>
    <t>6251US</t>
  </si>
  <si>
    <t>6252UK</t>
  </si>
  <si>
    <t>Data Mgmt Tools and Initiatives</t>
  </si>
  <si>
    <t>6252US</t>
  </si>
  <si>
    <t>6253UK</t>
  </si>
  <si>
    <t>Cloud API Migration - Legacy Integration Tools</t>
  </si>
  <si>
    <t>6253US</t>
  </si>
  <si>
    <t>6254US</t>
  </si>
  <si>
    <t>Platform as a Service (PaaS) on Azure</t>
  </si>
  <si>
    <t>6254UK</t>
  </si>
  <si>
    <t>6255US</t>
  </si>
  <si>
    <t>Digital Foundation Tooling and DevSecOps</t>
  </si>
  <si>
    <t>6255UK</t>
  </si>
  <si>
    <t>6256US</t>
  </si>
  <si>
    <t>Platform Upgrades: Salesforce/Maximo/Mulesoft</t>
  </si>
  <si>
    <t>6256UK</t>
  </si>
  <si>
    <t>6257US</t>
  </si>
  <si>
    <t>GSD Engineering Lab/Data Synchronization</t>
  </si>
  <si>
    <t>6257UK</t>
  </si>
  <si>
    <t>6258US</t>
  </si>
  <si>
    <t>Data Archival</t>
  </si>
  <si>
    <t>6258UK</t>
  </si>
  <si>
    <t>6259US</t>
  </si>
  <si>
    <t>EA Foundation: Tech Debt/Resiliency/Rationalization</t>
  </si>
  <si>
    <t>6260US</t>
  </si>
  <si>
    <t>EA Foundation: Increased Capability</t>
  </si>
  <si>
    <t>6259UK</t>
  </si>
  <si>
    <t>6260UK</t>
  </si>
  <si>
    <t>6261US</t>
  </si>
  <si>
    <t>ServiceNow Upgrade: Stay Current FY22</t>
  </si>
  <si>
    <t>6261UK</t>
  </si>
  <si>
    <t>6262US</t>
  </si>
  <si>
    <t>Additional ServiceNow (SNOW) Capability</t>
  </si>
  <si>
    <t>6262UK</t>
  </si>
  <si>
    <t>6263US</t>
  </si>
  <si>
    <t>6263UK</t>
  </si>
  <si>
    <t>6264US</t>
  </si>
  <si>
    <t>APPTIO Development</t>
  </si>
  <si>
    <t>6264UK</t>
  </si>
  <si>
    <t>5859A</t>
  </si>
  <si>
    <t>Unified Web Portal</t>
  </si>
  <si>
    <t>5859B</t>
  </si>
  <si>
    <t>Preference Center</t>
  </si>
  <si>
    <t>6265</t>
  </si>
  <si>
    <t>HR Policy Compliance</t>
  </si>
  <si>
    <t>6266UK</t>
  </si>
  <si>
    <t>EA Strategic Portfolio Planning &amp; Delivery / Additional Capability</t>
  </si>
  <si>
    <t>6266US</t>
  </si>
  <si>
    <t>6267UK</t>
  </si>
  <si>
    <t xml:space="preserve">IT4IT: Data Management / Business Integrations </t>
  </si>
  <si>
    <t>6267US</t>
  </si>
  <si>
    <t>6268US</t>
  </si>
  <si>
    <t>6268UK</t>
  </si>
  <si>
    <t>6269UK</t>
  </si>
  <si>
    <t xml:space="preserve">Business Objects / Data Warehouse Replacement </t>
  </si>
  <si>
    <t>6269US</t>
  </si>
  <si>
    <t>6270US</t>
  </si>
  <si>
    <t>Digitising Learning</t>
  </si>
  <si>
    <t>6270UK</t>
  </si>
  <si>
    <t>6271US</t>
  </si>
  <si>
    <t>SuccessFactors (MyHub) Upgrade and Enhancements</t>
  </si>
  <si>
    <t>6271UK</t>
  </si>
  <si>
    <t>6272US</t>
  </si>
  <si>
    <t>6272UK</t>
  </si>
  <si>
    <t>6273US</t>
  </si>
  <si>
    <t>Workforce Data Domain, HR data, governance, Tools, Processes, EDM</t>
  </si>
  <si>
    <t>6273UK</t>
  </si>
  <si>
    <t>6274US</t>
  </si>
  <si>
    <t>6274UK</t>
  </si>
  <si>
    <t>5891C</t>
  </si>
  <si>
    <t>Field Collection System (FCS) Upgrade</t>
  </si>
  <si>
    <t>5471B2</t>
  </si>
  <si>
    <t>Grid Modernization ADM Phase 2B DSCADA - Active Grid Control</t>
  </si>
  <si>
    <t>5471B3</t>
  </si>
  <si>
    <t>Grid Moderization ADMS Phase 2C DMS - Advanced Automation</t>
  </si>
  <si>
    <t>Strategic Initative</t>
  </si>
  <si>
    <t>6275</t>
  </si>
  <si>
    <t>K Drive</t>
  </si>
  <si>
    <t>6276</t>
  </si>
  <si>
    <t>GT Cyber Asset Replacement</t>
  </si>
  <si>
    <t>6278</t>
  </si>
  <si>
    <t xml:space="preserve">Interconnector Programme </t>
  </si>
  <si>
    <t>6277</t>
  </si>
  <si>
    <t xml:space="preserve">GT Cyber Asset Management </t>
  </si>
  <si>
    <t>6280</t>
  </si>
  <si>
    <t>UKL&amp;P: Warwick Switchboard Replacement</t>
  </si>
  <si>
    <t>6279</t>
  </si>
  <si>
    <t>ET Minor Works FY22</t>
  </si>
  <si>
    <t>6283</t>
  </si>
  <si>
    <t>Integrated Offshore Development &amp; CATO</t>
  </si>
  <si>
    <t>6281</t>
  </si>
  <si>
    <t>UKL&amp;P - Strategic Procurement Strategy</t>
  </si>
  <si>
    <t>6282</t>
  </si>
  <si>
    <t>Mandatory Half Hour Settlement</t>
  </si>
  <si>
    <t>6285</t>
  </si>
  <si>
    <t>I&amp;O UK Data Center Transformation FY22</t>
  </si>
  <si>
    <t>6284</t>
  </si>
  <si>
    <t>EMR Programme Delivery FY22</t>
  </si>
  <si>
    <t>6286</t>
  </si>
  <si>
    <t>HyperSnap from v7 to v8 upgrade for WIN10 compatibility</t>
  </si>
  <si>
    <t>6287</t>
  </si>
  <si>
    <t>Palantir POC</t>
  </si>
  <si>
    <t>6288</t>
  </si>
  <si>
    <t>Smart Charge program MA - RFP</t>
  </si>
  <si>
    <t>6289</t>
  </si>
  <si>
    <t>Financial Transformation (FTOM) - Record To Report (US)</t>
  </si>
  <si>
    <t>6290</t>
  </si>
  <si>
    <t>Financial Transformation: Source to Pay​</t>
  </si>
  <si>
    <t>6291</t>
  </si>
  <si>
    <t>ICU-Out (Electric Digital)</t>
  </si>
  <si>
    <t>5785J</t>
  </si>
  <si>
    <t>Security &amp; Resilience - SalesForce</t>
  </si>
  <si>
    <t>5785K</t>
  </si>
  <si>
    <t>Security &amp; Resilience - Maximo</t>
  </si>
  <si>
    <t>5785L</t>
  </si>
  <si>
    <t>Security &amp; Resilience - Mulesoft</t>
  </si>
  <si>
    <t>5785M</t>
  </si>
  <si>
    <t>Security &amp; Resilience- Legacy Systems</t>
  </si>
  <si>
    <t>6292</t>
  </si>
  <si>
    <t>NGH Switchboard Replacement</t>
  </si>
  <si>
    <t>6293</t>
  </si>
  <si>
    <t>KUBRA - BULK SMS</t>
  </si>
  <si>
    <t>6294</t>
  </si>
  <si>
    <t>GridMD</t>
  </si>
  <si>
    <t>6295UK</t>
  </si>
  <si>
    <t>Drumbeat Hana Upgrade</t>
  </si>
  <si>
    <t>6295US</t>
  </si>
  <si>
    <t>6296</t>
  </si>
  <si>
    <t>AIMS for MetroTech Call Center</t>
  </si>
  <si>
    <t>6297</t>
  </si>
  <si>
    <t>IT Project Evolution (FY22 Cost Savings &amp; CTA)</t>
  </si>
  <si>
    <t>Raj Banerjee</t>
  </si>
  <si>
    <t>6298</t>
  </si>
  <si>
    <t>US Apptio Implementation</t>
  </si>
  <si>
    <t>5926A</t>
  </si>
  <si>
    <t>NiMO Rate Case</t>
  </si>
  <si>
    <t>5926B</t>
  </si>
  <si>
    <t>MA Gas Rate Case</t>
  </si>
  <si>
    <t>4418USB</t>
  </si>
  <si>
    <t>GRC Archer 2021 Upgrade</t>
  </si>
  <si>
    <t>4418UKB</t>
  </si>
  <si>
    <t>6299US</t>
  </si>
  <si>
    <t>Data Integration from SAP MyHub to Existing NG SQL Server Database</t>
  </si>
  <si>
    <t>6299UK</t>
  </si>
  <si>
    <t>6300UK</t>
  </si>
  <si>
    <t>Ariba Enhancements</t>
  </si>
  <si>
    <t>6300US</t>
  </si>
  <si>
    <t>5890A</t>
  </si>
  <si>
    <t>Corporate PI</t>
  </si>
  <si>
    <t>5890B</t>
  </si>
  <si>
    <t>CYME Gateway</t>
  </si>
  <si>
    <t>5891E</t>
  </si>
  <si>
    <t>MTS Retail Settlement (MDS)</t>
  </si>
  <si>
    <t>5892C</t>
  </si>
  <si>
    <t>IDS-DVD 811 Dig Safe DVD Replacement</t>
  </si>
  <si>
    <t>5892A</t>
  </si>
  <si>
    <t>Control Center EOL Servers and Tool Replacement</t>
  </si>
  <si>
    <t>5887A</t>
  </si>
  <si>
    <t>ARCOS Reporting Replacement</t>
  </si>
  <si>
    <t>5893A</t>
  </si>
  <si>
    <t>Mobility - MWork Replacement for Trouble Crews</t>
  </si>
  <si>
    <t>6301</t>
  </si>
  <si>
    <t>Clean Energy technology platform program</t>
  </si>
  <si>
    <t>5888B</t>
  </si>
  <si>
    <t>Power Quality Upgrade/Replacement</t>
  </si>
  <si>
    <t>6302</t>
  </si>
  <si>
    <t>2022 AIMS Platform</t>
  </si>
  <si>
    <t>5627C</t>
  </si>
  <si>
    <t>Outreach Optimization</t>
  </si>
  <si>
    <t>5627B</t>
  </si>
  <si>
    <t>Experian Platform Upgrade (Tallyman &amp; PMP)</t>
  </si>
  <si>
    <t>5627D</t>
  </si>
  <si>
    <t>Post COVID Collections Restart</t>
  </si>
  <si>
    <t>5891H</t>
  </si>
  <si>
    <t>Price Transmission (Retail Pricing) Replacement F&amp;A</t>
  </si>
  <si>
    <t>5891J</t>
  </si>
  <si>
    <t>MTS Retail Settlement F&amp;A</t>
  </si>
  <si>
    <t>5891I</t>
  </si>
  <si>
    <t>Price Transmission (Retail Pricing) Replacement</t>
  </si>
  <si>
    <t>5890C</t>
  </si>
  <si>
    <t>Computapole Replacement F&amp;A</t>
  </si>
  <si>
    <t>5889C</t>
  </si>
  <si>
    <t>Electric FY22 Regulatory Mandates and Enhancements</t>
  </si>
  <si>
    <t>5871A</t>
  </si>
  <si>
    <t xml:space="preserve">NY 3rd Party BESS </t>
  </si>
  <si>
    <t>5871D</t>
  </si>
  <si>
    <t>Clean Energy Initiatives</t>
  </si>
  <si>
    <t>6303</t>
  </si>
  <si>
    <t>Bob Lorkiewicz's Efficiency Task FY22</t>
  </si>
  <si>
    <t>5877C</t>
  </si>
  <si>
    <t>Engineering Application Rationalization</t>
  </si>
  <si>
    <t>6304US</t>
  </si>
  <si>
    <t>Corporate Audit Data Analytics</t>
  </si>
  <si>
    <t>6304UK</t>
  </si>
  <si>
    <t>2050G</t>
  </si>
  <si>
    <t>ESO RDT FY22</t>
  </si>
  <si>
    <t>3162K</t>
  </si>
  <si>
    <t>EDL/EDT/Control Telephony new connections 2021/22</t>
  </si>
  <si>
    <t>6307</t>
  </si>
  <si>
    <t>Geospatial Information System Tech Health</t>
  </si>
  <si>
    <t>6308</t>
  </si>
  <si>
    <t>Work Management</t>
  </si>
  <si>
    <t>6309</t>
  </si>
  <si>
    <t>Zero Carbon Operability</t>
  </si>
  <si>
    <t>6312</t>
  </si>
  <si>
    <t>UKL&amp;P: Land Rights Ways of Working System Changes</t>
  </si>
  <si>
    <t>6311</t>
  </si>
  <si>
    <t>UKL&amp;P: Grantor Change Digitisation</t>
  </si>
  <si>
    <t>6310</t>
  </si>
  <si>
    <t>4418c</t>
  </si>
  <si>
    <t xml:space="preserve"> GRC Archer 2021/22 Minor Works </t>
  </si>
  <si>
    <t>6313US</t>
  </si>
  <si>
    <t>GDPR Purge Compliance</t>
  </si>
  <si>
    <t>6313UK</t>
  </si>
  <si>
    <t>6315</t>
  </si>
  <si>
    <t>GSO CNI Infrastructure Asset Refresh</t>
  </si>
  <si>
    <t>6314</t>
  </si>
  <si>
    <t>Azure Virtual Machines</t>
  </si>
  <si>
    <t>6316</t>
  </si>
  <si>
    <t>(240) ENCC Asset Health</t>
  </si>
  <si>
    <t>6317US</t>
  </si>
  <si>
    <t>CA: External Emailing Capability</t>
  </si>
  <si>
    <t>6318US</t>
  </si>
  <si>
    <t>CA: Domain Management Services</t>
  </si>
  <si>
    <t>6319US</t>
  </si>
  <si>
    <t>CA: Website Domain Remediation</t>
  </si>
  <si>
    <t>6319UK</t>
  </si>
  <si>
    <t>6318UK</t>
  </si>
  <si>
    <t>6317UK</t>
  </si>
  <si>
    <t>6320</t>
  </si>
  <si>
    <t>Telecom &amp; Network Deep Dive</t>
  </si>
  <si>
    <t>5746H</t>
  </si>
  <si>
    <t>GBE AM LI Release</t>
  </si>
  <si>
    <t>Krishna Seetheram</t>
  </si>
  <si>
    <t>6321</t>
  </si>
  <si>
    <t>VRC Automation Development, Implementation Phase</t>
  </si>
  <si>
    <t>6322</t>
  </si>
  <si>
    <t>CRM Developments</t>
  </si>
  <si>
    <t>6323</t>
  </si>
  <si>
    <t>Customer Connections</t>
  </si>
  <si>
    <t>6324</t>
  </si>
  <si>
    <t>Frequency Visibility</t>
  </si>
  <si>
    <t>6215A</t>
  </si>
  <si>
    <t>UK ERP FY 21_22 Tools &amp; Technology Asset Health</t>
  </si>
  <si>
    <t>6325</t>
  </si>
  <si>
    <t>Data Historian Software Upgrade</t>
  </si>
  <si>
    <t>6326</t>
  </si>
  <si>
    <t>Operational Awareness and Decision Support</t>
  </si>
  <si>
    <t>6327</t>
  </si>
  <si>
    <t>Offline Network Modelling</t>
  </si>
  <si>
    <t>6328</t>
  </si>
  <si>
    <t>Planning and Outage Data Exchange</t>
  </si>
  <si>
    <t>6329</t>
  </si>
  <si>
    <t>RDB/RMS Remediation</t>
  </si>
  <si>
    <t>6331</t>
  </si>
  <si>
    <t xml:space="preserve">PSR Database </t>
  </si>
  <si>
    <t>6330</t>
  </si>
  <si>
    <t>NOA Enhancements</t>
  </si>
  <si>
    <t>6332</t>
  </si>
  <si>
    <t>GT Authorisations</t>
  </si>
  <si>
    <t>6333</t>
  </si>
  <si>
    <t>GSO Operational Safety and Compliance - Continual Improvements</t>
  </si>
  <si>
    <t>6334</t>
  </si>
  <si>
    <t>CA: Digital Helpdesk Replacement</t>
  </si>
  <si>
    <t>6335</t>
  </si>
  <si>
    <t>(210) Balancing asset health</t>
  </si>
  <si>
    <t>6336</t>
  </si>
  <si>
    <t xml:space="preserve">Continued enhancements and IT support for Smart App - 3rd Party Customer Enablement </t>
  </si>
  <si>
    <t>6333B</t>
  </si>
  <si>
    <t>Exit Capacity Phase 2</t>
  </si>
  <si>
    <t>6245UK</t>
  </si>
  <si>
    <t>Security Orchestration, Automation and Response (SOAR)</t>
  </si>
  <si>
    <t>6333A</t>
  </si>
  <si>
    <t>EDSS Contingency Project</t>
  </si>
  <si>
    <t>5888D</t>
  </si>
  <si>
    <t>Fluke Calibration licenses and hardware updates with transfer to IT ownership</t>
  </si>
  <si>
    <t>6337US</t>
  </si>
  <si>
    <t>ET Data Lake Investigation</t>
  </si>
  <si>
    <t>6337UK</t>
  </si>
  <si>
    <t>6338</t>
  </si>
  <si>
    <t>Drumbeat reporting</t>
  </si>
  <si>
    <t>6339</t>
  </si>
  <si>
    <t>Data Security Enhancements</t>
  </si>
  <si>
    <t>6342</t>
  </si>
  <si>
    <t>Gemini Re-platforming</t>
  </si>
  <si>
    <t>6341</t>
  </si>
  <si>
    <t xml:space="preserve">Regulatory Driven Gemini System Enhancements </t>
  </si>
  <si>
    <t>6340</t>
  </si>
  <si>
    <t>Non-Gemini Changes</t>
  </si>
  <si>
    <t>0734</t>
  </si>
  <si>
    <t>Purge Compliance</t>
  </si>
  <si>
    <t>Grid Modernization ADMS Phase 2A  OMS - Refresh</t>
  </si>
  <si>
    <t>I&amp;O US Data Center Transformation FY22</t>
  </si>
  <si>
    <t>XG020023420</t>
  </si>
  <si>
    <t>INVP 6223 I&amp;O US Data Center Transformation FY22</t>
  </si>
  <si>
    <t>XX148023448</t>
  </si>
  <si>
    <t>INVP 6222 PIF Replacement</t>
  </si>
  <si>
    <t>XC175023413</t>
  </si>
  <si>
    <t>INVP 6217 Customer Billing Minor Works FY22</t>
  </si>
  <si>
    <t>XC175023414</t>
  </si>
  <si>
    <t>INVP 6214 Customer Operational Enhancements FY22</t>
  </si>
  <si>
    <t>90000218558</t>
  </si>
  <si>
    <t>S008317</t>
  </si>
  <si>
    <t>XG020023419</t>
  </si>
  <si>
    <t>90000219346</t>
  </si>
  <si>
    <t>S008334</t>
  </si>
  <si>
    <t>XG148023437</t>
  </si>
  <si>
    <t>90000219347</t>
  </si>
  <si>
    <t>S008340</t>
  </si>
  <si>
    <t>XG020023418</t>
  </si>
  <si>
    <t>90000219345</t>
  </si>
  <si>
    <t>S008333</t>
  </si>
  <si>
    <t>XG020023417</t>
  </si>
  <si>
    <t>90000219343</t>
  </si>
  <si>
    <t>S008329</t>
  </si>
  <si>
    <t>XG020023416</t>
  </si>
  <si>
    <t>90000219342</t>
  </si>
  <si>
    <t>S008331</t>
  </si>
  <si>
    <t>X5990023439</t>
  </si>
  <si>
    <t>5110S-INVP6072UK ALM Capex -Xcharge</t>
  </si>
  <si>
    <t>X5990023440</t>
  </si>
  <si>
    <t>5110S-INVP6072UK ALM Opex-Xcharge</t>
  </si>
  <si>
    <t>INVID:6043G1-Content Management for Engineering</t>
  </si>
  <si>
    <t>90000219378</t>
  </si>
  <si>
    <t>INVP 6043G1 Content Management for Engineering</t>
  </si>
  <si>
    <t>S008357</t>
  </si>
  <si>
    <t>XC165023438</t>
  </si>
  <si>
    <t>INVP 6007 Inside Agent</t>
  </si>
  <si>
    <t>90000219147</t>
  </si>
  <si>
    <t>S008344</t>
  </si>
  <si>
    <t>90000219245</t>
  </si>
  <si>
    <t>INVP 5987 Smart City Phase II</t>
  </si>
  <si>
    <t>C087234</t>
  </si>
  <si>
    <t>Mahoney, Michael</t>
  </si>
  <si>
    <t>NG Value</t>
  </si>
  <si>
    <t>XG020023411</t>
  </si>
  <si>
    <t>90000218182</t>
  </si>
  <si>
    <t>INVP 5915 Grid Mod Cyber Security Program</t>
  </si>
  <si>
    <t>S008330</t>
  </si>
  <si>
    <t>X5990023441</t>
  </si>
  <si>
    <t>5110S-INVP5900UKA ServNow Capex-Xcharge</t>
  </si>
  <si>
    <t>X5990023442</t>
  </si>
  <si>
    <t>5110S-INVP5900UKA ServNow Opex-Xcharge</t>
  </si>
  <si>
    <t>XG020023456</t>
  </si>
  <si>
    <t>INVP 5896D WEM Waste Environmental Management</t>
  </si>
  <si>
    <t>90000219243</t>
  </si>
  <si>
    <t>INVP 5896B Warehouse SAP Scanner Replacement (Barcoding)</t>
  </si>
  <si>
    <t>S008319</t>
  </si>
  <si>
    <t>INVID:5896A US Tax: SABRIX Upgrade</t>
  </si>
  <si>
    <t>90000218743</t>
  </si>
  <si>
    <t>INVP 5896A US Tax: SABRIX Upgrade</t>
  </si>
  <si>
    <t>S008342</t>
  </si>
  <si>
    <t>INVP 5895B Everbridge / Critical Event Management</t>
  </si>
  <si>
    <t>90000218742</t>
  </si>
  <si>
    <t>S008341</t>
  </si>
  <si>
    <t>90000219348</t>
  </si>
  <si>
    <t>INVP 5891A Electric MV90 Upgrade</t>
  </si>
  <si>
    <t>S008354</t>
  </si>
  <si>
    <t>XG188022173</t>
  </si>
  <si>
    <t>INVP 5877A Intelligent Substation Design</t>
  </si>
  <si>
    <t>90000219234</t>
  </si>
  <si>
    <t>INVP 5874 Cloud Center of Excellence</t>
  </si>
  <si>
    <t>90000218854</t>
  </si>
  <si>
    <t>INVP 5870 Identity and Access Management</t>
  </si>
  <si>
    <t>90000218518</t>
  </si>
  <si>
    <t>INVP 5850USB vSTIG Firewall Upgrade US</t>
  </si>
  <si>
    <t>90000219122</t>
  </si>
  <si>
    <t>INVP 5822C</t>
  </si>
  <si>
    <t>S008356</t>
  </si>
  <si>
    <t>90000219001</t>
  </si>
  <si>
    <t>INVP 5795G Telephone Consumer Protection Act (TCPA)</t>
  </si>
  <si>
    <t>90000219242</t>
  </si>
  <si>
    <t>INVP 5785L Security &amp; Resilience - Mulesoft</t>
  </si>
  <si>
    <t>S008380</t>
  </si>
  <si>
    <t>90000219240</t>
  </si>
  <si>
    <t>INVP 5785K Security &amp; Resilience - Maximo</t>
  </si>
  <si>
    <t>S008379</t>
  </si>
  <si>
    <t>90000219239</t>
  </si>
  <si>
    <t>INVP 5785J Security &amp; Resilience - SalesForce</t>
  </si>
  <si>
    <t>S008378</t>
  </si>
  <si>
    <t>XG188022481</t>
  </si>
  <si>
    <t>INVP 5756 Digital Substation Transformation</t>
  </si>
  <si>
    <t>XG020023436</t>
  </si>
  <si>
    <t>INVP 5748 Security Control Center Back-Up</t>
  </si>
  <si>
    <t>XC198023445</t>
  </si>
  <si>
    <t>5110S-INVP5486 AVLS Modem Reco-AE</t>
  </si>
  <si>
    <t>X521E023333</t>
  </si>
  <si>
    <t>INVP 5471Z Load Forecasting</t>
  </si>
  <si>
    <t>XT198023430</t>
  </si>
  <si>
    <t>5110S-GM-IS INVP5471P Integ Svcs 2 All D</t>
  </si>
  <si>
    <t>XT198023429</t>
  </si>
  <si>
    <t>5110S-GM-IS INVP5471O Data Mgt 2 All D</t>
  </si>
  <si>
    <t>90000218464</t>
  </si>
  <si>
    <t>90000218466</t>
  </si>
  <si>
    <t>90000219469</t>
  </si>
  <si>
    <t>XC175023412</t>
  </si>
  <si>
    <t>INVP 5125 Customer Connection Program FY22</t>
  </si>
  <si>
    <t>Customer Connection Program - FY22</t>
  </si>
  <si>
    <t>90000219360</t>
  </si>
  <si>
    <t>INVP 5125 Customer Connection Program - FY22</t>
  </si>
  <si>
    <t>90000219168</t>
  </si>
  <si>
    <t>INVP 5054 On My Way (EBU Digital Solution) Phase 2</t>
  </si>
  <si>
    <t>S008346</t>
  </si>
  <si>
    <t>90000218354</t>
  </si>
  <si>
    <t>INVP 4990 Primavera Upgrade/Stabilization</t>
  </si>
  <si>
    <t>90000219015</t>
  </si>
  <si>
    <t>INVP 4987 SOE (Windows) Upgrade and Device Refresh</t>
  </si>
  <si>
    <t>90000219140</t>
  </si>
  <si>
    <t>INVP 4750J Web Self Service</t>
  </si>
  <si>
    <t>XG020023455</t>
  </si>
  <si>
    <t>INVP 4418US RSA Archer Upgrade &amp; Enhancements</t>
  </si>
  <si>
    <t>90000207901</t>
  </si>
  <si>
    <t>90000219142</t>
  </si>
  <si>
    <t>INVP 3923 Customer Contact Center Technology Upgrade Implement Solution</t>
  </si>
  <si>
    <t>90000219002</t>
  </si>
  <si>
    <t>INVP 3683USN SOAR - Security Orchestration Automation and Response</t>
  </si>
  <si>
    <t xml:space="preserve">​Need to Add allocation Code
</t>
  </si>
  <si>
    <t xml:space="preserve">​
</t>
  </si>
  <si>
    <t xml:space="preserve">​This work order is for Phase 1 of project.
</t>
  </si>
  <si>
    <t xml:space="preserve">​This work order is for the 1st part of the asset to be placed into service
</t>
  </si>
  <si>
    <t>Opening another work order to have an allocation of C343.</t>
  </si>
  <si>
    <t xml:space="preserve">​2nd Work Order created to put CRIS portion into service - CSS will be the original work order
</t>
  </si>
  <si>
    <t xml:space="preserve">​This is the correct Opex Code for INVP 5756
</t>
  </si>
  <si>
    <t xml:space="preserve">​DO NOT USE - Wrong Benefitting Companies - New Order Opened for Electric Companies Only
</t>
  </si>
  <si>
    <t xml:space="preserve">​Work order zero'd out
</t>
  </si>
  <si>
    <t>​This work order was created to place Phase 1 activity into service
​</t>
  </si>
  <si>
    <t xml:space="preserve">​Created for MA Gas Rate Case - Delivery through Feb 2021 - $17M
</t>
  </si>
  <si>
    <t xml:space="preserve">​Work Order for Asset for MA Gas Rate Case
</t>
  </si>
  <si>
    <t xml:space="preserve">
</t>
  </si>
  <si>
    <t xml:space="preserve">​Created to place asset into service for MA Gas Rate Case
</t>
  </si>
  <si>
    <t xml:space="preserve">​This work order is for the part of this project to be placed into service
</t>
  </si>
  <si>
    <t>Fred Wright</t>
  </si>
  <si>
    <t>Igor Khot</t>
  </si>
  <si>
    <t>Business Critical</t>
  </si>
  <si>
    <t>Medium</t>
  </si>
  <si>
    <t>High</t>
  </si>
  <si>
    <t>FY 22</t>
  </si>
  <si>
    <t>Start</t>
  </si>
  <si>
    <t>Req</t>
  </si>
  <si>
    <t>Des</t>
  </si>
  <si>
    <t>Dev</t>
  </si>
  <si>
    <t>Impl</t>
  </si>
  <si>
    <t>PIS</t>
  </si>
  <si>
    <t>Close</t>
  </si>
  <si>
    <t>FY 23</t>
  </si>
  <si>
    <t>Customer Ecosystem Stabilization</t>
  </si>
  <si>
    <t>FY22 Placeholder Task</t>
  </si>
  <si>
    <t>Ken Squires</t>
  </si>
  <si>
    <t>Data Archival Program of Work</t>
  </si>
  <si>
    <t>6258USA</t>
  </si>
  <si>
    <t>Data Archival Platform Implementation</t>
  </si>
  <si>
    <t>6343</t>
  </si>
  <si>
    <t>Improved DR Event forecasting by integrating DER information</t>
  </si>
  <si>
    <t>6344</t>
  </si>
  <si>
    <t>SOGL Article 118/119 - Variable ramp rates</t>
  </si>
  <si>
    <t>6345US</t>
  </si>
  <si>
    <t>CA: Social Listening and Community Management</t>
  </si>
  <si>
    <t>6345UK</t>
  </si>
  <si>
    <t>6346US</t>
  </si>
  <si>
    <t>CA: Group Web Digital Evolution Phase 1 - FY22</t>
  </si>
  <si>
    <t>6346UK</t>
  </si>
  <si>
    <t>6347</t>
  </si>
  <si>
    <t>Wincross - Data management tool</t>
  </si>
  <si>
    <t>6348</t>
  </si>
  <si>
    <t>Predictament</t>
  </si>
  <si>
    <t>6349</t>
  </si>
  <si>
    <t xml:space="preserve">Customer Data Platform </t>
  </si>
  <si>
    <t>6350</t>
  </si>
  <si>
    <t>Connections Salesforce CRM backlog</t>
  </si>
  <si>
    <t>6351</t>
  </si>
  <si>
    <t>Digital Content Management</t>
  </si>
  <si>
    <t>6352</t>
  </si>
  <si>
    <t>OT Cyber Back-Up Pilot</t>
  </si>
  <si>
    <t>6353</t>
  </si>
  <si>
    <t>Gas Application Rationalization</t>
  </si>
  <si>
    <t>6353A</t>
  </si>
  <si>
    <t>FY22 Gas Application Rationalization</t>
  </si>
  <si>
    <t>6354</t>
  </si>
  <si>
    <t>IT evaluation for POC with Carbon Lighthouse</t>
  </si>
  <si>
    <t>6355</t>
  </si>
  <si>
    <t>Britned CRM</t>
  </si>
  <si>
    <t>6358</t>
  </si>
  <si>
    <t>Digital Roadmap</t>
  </si>
  <si>
    <t>6356</t>
  </si>
  <si>
    <t>GT AIP Tech Health</t>
  </si>
  <si>
    <t>6357</t>
  </si>
  <si>
    <t>New Infrastructure Repors &amp; Data Warehouse</t>
  </si>
  <si>
    <t>6297A</t>
  </si>
  <si>
    <t>FY22 CTA - App Maintenance</t>
  </si>
  <si>
    <t>6297B</t>
  </si>
  <si>
    <t>FY22 CTA - DC &amp; Cloud</t>
  </si>
  <si>
    <t>6297C</t>
  </si>
  <si>
    <t>FY22 CTA - App Licenses</t>
  </si>
  <si>
    <t>6297D</t>
  </si>
  <si>
    <t>FY22 CTA - App &amp; Plat Rat</t>
  </si>
  <si>
    <t>6297F</t>
  </si>
  <si>
    <t>FY22 CTA - NOC Insource / RFP</t>
  </si>
  <si>
    <t>6297G</t>
  </si>
  <si>
    <t>FY22 CTA - Other Initiatives</t>
  </si>
  <si>
    <t>6297H</t>
  </si>
  <si>
    <t>FY22 CTA - Org. Effectiveness</t>
  </si>
  <si>
    <t>6297J</t>
  </si>
  <si>
    <t>FY22 CTA - End User</t>
  </si>
  <si>
    <t>6297K</t>
  </si>
  <si>
    <t>FY22 CTA - Help Desk</t>
  </si>
  <si>
    <t>6297M</t>
  </si>
  <si>
    <t>FY22 CTA - Travel</t>
  </si>
  <si>
    <t>6359US</t>
  </si>
  <si>
    <t>IT Foundation:  IT Planning</t>
  </si>
  <si>
    <t>6359UK</t>
  </si>
  <si>
    <t>6360US</t>
  </si>
  <si>
    <t>IT Planning: Enterprise PMO</t>
  </si>
  <si>
    <t>6360UK</t>
  </si>
  <si>
    <t>6361</t>
  </si>
  <si>
    <t>Contact Center Operational Reportin</t>
  </si>
  <si>
    <t>6362</t>
  </si>
  <si>
    <t>TNCC Day ROTA solution</t>
  </si>
  <si>
    <t>6363</t>
  </si>
  <si>
    <t>PlugIn Enhancements</t>
  </si>
  <si>
    <t>6364</t>
  </si>
  <si>
    <t>Setup of a semi-trust environment to allow DXC Migration for MODIS</t>
  </si>
  <si>
    <t>5784D</t>
  </si>
  <si>
    <t>FATE IPR</t>
  </si>
  <si>
    <t>6365</t>
  </si>
  <si>
    <t>Decommissioning of Legacy Estate FY22</t>
  </si>
  <si>
    <t>6366</t>
  </si>
  <si>
    <t xml:space="preserve">CMP363/4 (supporting TDR) - behind the meter volume separation </t>
  </si>
  <si>
    <t>6367</t>
  </si>
  <si>
    <t>FY22 Customer Portfolio Placeholder</t>
  </si>
  <si>
    <t>6368</t>
  </si>
  <si>
    <t>6368B</t>
  </si>
  <si>
    <t>FY22 CTA DC &amp; CLOUD</t>
  </si>
  <si>
    <t>6368A</t>
  </si>
  <si>
    <t>FY22 CTA  APP Maintenance</t>
  </si>
  <si>
    <t>6368C</t>
  </si>
  <si>
    <t>FY22 CTA APP Licences</t>
  </si>
  <si>
    <t>6368D</t>
  </si>
  <si>
    <t>FY22 CTA APP &amp; PLAT Rat</t>
  </si>
  <si>
    <t>6368G</t>
  </si>
  <si>
    <t>FY22 CTA Other Initiatives</t>
  </si>
  <si>
    <t>6368F</t>
  </si>
  <si>
    <t>FY22 CTA NOC Insource/RFP</t>
  </si>
  <si>
    <t>6368K</t>
  </si>
  <si>
    <t>FY22 CTA Help Desk</t>
  </si>
  <si>
    <t>6368J</t>
  </si>
  <si>
    <t>FY22 CTA End User</t>
  </si>
  <si>
    <t>5471B4</t>
  </si>
  <si>
    <t>Grid Modernization ADMS OMS Reporting and Analytics</t>
  </si>
  <si>
    <t>yes</t>
  </si>
  <si>
    <t>6370</t>
  </si>
  <si>
    <t>Connections Platform</t>
  </si>
  <si>
    <t>6369</t>
  </si>
  <si>
    <t>ET - IEMS Life Extension</t>
  </si>
  <si>
    <t>6371</t>
  </si>
  <si>
    <t>New Information Provision</t>
  </si>
  <si>
    <t>6372</t>
  </si>
  <si>
    <t>Unifier Construction Safety Management Form Improvements</t>
  </si>
  <si>
    <t>6373</t>
  </si>
  <si>
    <t xml:space="preserve">Mural </t>
  </si>
  <si>
    <t>6374US</t>
  </si>
  <si>
    <t>CA: Website Analytics strategic consolidation</t>
  </si>
  <si>
    <t>6374UK</t>
  </si>
  <si>
    <t>6368L</t>
  </si>
  <si>
    <t>Mid Term Initiatives Opex CTA UK Networks RFP</t>
  </si>
  <si>
    <t>AIMS (TPV)</t>
  </si>
  <si>
    <t>programEpic</t>
  </si>
  <si>
    <t>G018x</t>
  </si>
  <si>
    <t>McLaughlin, Andrew</t>
  </si>
  <si>
    <t>G018</t>
  </si>
  <si>
    <t>GT03</t>
  </si>
  <si>
    <t>G020</t>
  </si>
  <si>
    <t>G251</t>
  </si>
  <si>
    <t>G236</t>
  </si>
  <si>
    <t>G175</t>
  </si>
  <si>
    <t>C175</t>
  </si>
  <si>
    <t>XG020023465</t>
  </si>
  <si>
    <t>5110S-INVP6320 Telecom and Network AC</t>
  </si>
  <si>
    <t>XG020023499</t>
  </si>
  <si>
    <t>5110S-INVP6252US Data Mgmt Tools AC</t>
  </si>
  <si>
    <t>Data Center Transformation</t>
  </si>
  <si>
    <t>90000219982</t>
  </si>
  <si>
    <t>INVP 6223 I&amp;O US Data Center Transformation</t>
  </si>
  <si>
    <t>S008335</t>
  </si>
  <si>
    <t>X148</t>
  </si>
  <si>
    <t>XG020023451</t>
  </si>
  <si>
    <t>XG020023452</t>
  </si>
  <si>
    <t>XG020023449</t>
  </si>
  <si>
    <t>XG020023450</t>
  </si>
  <si>
    <t>5110S-INVP6200.01.01 HCI V-Block-AC</t>
  </si>
  <si>
    <t>INVP 6200.01.01 HCI / V-Block Migration</t>
  </si>
  <si>
    <t>US Migration Team 1</t>
  </si>
  <si>
    <t>XG020023476</t>
  </si>
  <si>
    <t>5110S-INVP6200.01.02 DPS Enable Mig AC</t>
  </si>
  <si>
    <t>XG020023477</t>
  </si>
  <si>
    <t>5110S-INVP6200.01.03 KMS for HCI AC</t>
  </si>
  <si>
    <t>XG020023478</t>
  </si>
  <si>
    <t>5110S-INVP6200.02.01 Stor Migration AC</t>
  </si>
  <si>
    <t>US Migration Team 2</t>
  </si>
  <si>
    <t>XG020023479</t>
  </si>
  <si>
    <t>5110S-INVP6200.02.02 Data Mgmt-Arch AC</t>
  </si>
  <si>
    <t>XG020023480</t>
  </si>
  <si>
    <t>5110S-INVP6200.03.01 Azure Prod Bld AC</t>
  </si>
  <si>
    <t>CCOE</t>
  </si>
  <si>
    <t>XG020023481</t>
  </si>
  <si>
    <t>5110S-INVP6200.04.01 Azure Palo Edge AC</t>
  </si>
  <si>
    <t>Cloud Team 1</t>
  </si>
  <si>
    <t>XG020023482</t>
  </si>
  <si>
    <t>5110S-INVP6200.04.02 Horizon on Azure AC</t>
  </si>
  <si>
    <t>XG020023483</t>
  </si>
  <si>
    <t>5110S-INVP6200.04.03 New Cloud-VDI AC</t>
  </si>
  <si>
    <t>XG020023484</t>
  </si>
  <si>
    <t>5110S-INVP6200.05.01 Glb Act Diretry AC</t>
  </si>
  <si>
    <t>Active Directory</t>
  </si>
  <si>
    <t>XG020023485</t>
  </si>
  <si>
    <t>5110S-INVP6200.05.02 Dell-MS Appli AC</t>
  </si>
  <si>
    <t>90000219907</t>
  </si>
  <si>
    <t>INVP 6200.01.02 DPS Enablement (Migration)</t>
  </si>
  <si>
    <t>90000219909</t>
  </si>
  <si>
    <t>INVP 6200.01.03 KMS for HCI</t>
  </si>
  <si>
    <t>90000219910</t>
  </si>
  <si>
    <t>INVP 6200.02.01 Storage Migration Carry Over</t>
  </si>
  <si>
    <t>90000219911</t>
  </si>
  <si>
    <t>INVP 6200.02.02 Data Management / Archiving</t>
  </si>
  <si>
    <t>90000219915</t>
  </si>
  <si>
    <t>INVP 6200.03.01 Public Cloud (Azure) Product Build</t>
  </si>
  <si>
    <t>90000219916</t>
  </si>
  <si>
    <t>INVP 6200.04.01 Azure and GBE Palo Alto Edge Firewall &amp; Security Stack​</t>
  </si>
  <si>
    <t>90000219917</t>
  </si>
  <si>
    <t>INVP 6200.04.02 Horizon on Azure Central &amp; Replatforming​</t>
  </si>
  <si>
    <t>90000219918</t>
  </si>
  <si>
    <t>INVP 6200.04.03 New Cloud &amp; VDI Capabilities ​</t>
  </si>
  <si>
    <t>90000219919</t>
  </si>
  <si>
    <t>INVP 6200.05.01 New Global Active Directory</t>
  </si>
  <si>
    <t>90000219920</t>
  </si>
  <si>
    <t>INVP 6200.05.02 Dell/Microsoft Application Assessment</t>
  </si>
  <si>
    <t>5110S-6199.02.01 ITSM Implem-ART</t>
  </si>
  <si>
    <t>G148</t>
  </si>
  <si>
    <t>XG186023470</t>
  </si>
  <si>
    <t>5110S-INVP6199.01.01 EoL Assets ET</t>
  </si>
  <si>
    <t>G186</t>
  </si>
  <si>
    <t>Security Infrastructure</t>
  </si>
  <si>
    <t>90000219905</t>
  </si>
  <si>
    <t>INVP 6199.01.01 EoL Assets</t>
  </si>
  <si>
    <t>INVP 6199.02.01 ITSM Implementation</t>
  </si>
  <si>
    <t>CNI ITSM</t>
  </si>
  <si>
    <t>5110S-6198.01.01 Real Time Coll -AC</t>
  </si>
  <si>
    <t>End User Experience</t>
  </si>
  <si>
    <t>INVP 6198.01.01 Real Time Collaboration</t>
  </si>
  <si>
    <t>XG020023471</t>
  </si>
  <si>
    <t>5110S-INVP6198.01.02 Device Data Acc AC</t>
  </si>
  <si>
    <t>XG020023472</t>
  </si>
  <si>
    <t>5110S-INVP6198.01.03 Content Coll AC</t>
  </si>
  <si>
    <t>90000219902</t>
  </si>
  <si>
    <t>INVP 6198.01.02 Device and Data Access</t>
  </si>
  <si>
    <t>90000219904</t>
  </si>
  <si>
    <t>INVP 6198.01.03 Content Collaboration</t>
  </si>
  <si>
    <t>5110S-INVP 6197.01.01 UPS Devices-AC</t>
  </si>
  <si>
    <t>INVP 6197.01.01 UPS Devices</t>
  </si>
  <si>
    <t>LAN</t>
  </si>
  <si>
    <t>XG020023467</t>
  </si>
  <si>
    <t>5110S-INVP6197.01.02 EOL Switch AC</t>
  </si>
  <si>
    <t>XG020023468</t>
  </si>
  <si>
    <t>5110S-INVP6197.01.03 SD WAN AC</t>
  </si>
  <si>
    <t>XG020023469</t>
  </si>
  <si>
    <t>5110S-INVP6197.02.01 WiFi AC</t>
  </si>
  <si>
    <t>WiFi</t>
  </si>
  <si>
    <t>90000219896</t>
  </si>
  <si>
    <t>INVP 6197.01.02 EOL Switch</t>
  </si>
  <si>
    <t>90000219898</t>
  </si>
  <si>
    <t>INVP 6197.01.03 SD WAN</t>
  </si>
  <si>
    <t>90000219951</t>
  </si>
  <si>
    <t xml:space="preserve">INVP 6197.02.01 WiFi </t>
  </si>
  <si>
    <t>5110S-INVP6196.01.01 BAU Dev Ref-AC</t>
  </si>
  <si>
    <t>INVP 6196.01.01 BAU Device Refresh</t>
  </si>
  <si>
    <t>Operations Team 1</t>
  </si>
  <si>
    <t>XG020023473</t>
  </si>
  <si>
    <t>5110S-INVP6196.01.02 App Maint Auto AC</t>
  </si>
  <si>
    <t>XG020023474</t>
  </si>
  <si>
    <t>5110S-INVP6196.02.01 iNOC Unified NOC AC</t>
  </si>
  <si>
    <t>Operations Team 2</t>
  </si>
  <si>
    <t>XG020023475</t>
  </si>
  <si>
    <t>5110S-INVP6196.02.02 CMDB Overhaul AC</t>
  </si>
  <si>
    <t>90000219891</t>
  </si>
  <si>
    <t>INVP 6196.01.02 Application Maintenance Automation</t>
  </si>
  <si>
    <t>90000219893</t>
  </si>
  <si>
    <t>INVP 6196.02.01 iNOC - Unified Network Operations Center</t>
  </si>
  <si>
    <t>90000219894</t>
  </si>
  <si>
    <t>INVP 6196.02.02 CMDB Overhaul</t>
  </si>
  <si>
    <t>X5990023495</t>
  </si>
  <si>
    <t>5110S-INVP6165 ACG Database-Xcharge</t>
  </si>
  <si>
    <t>XG186023488</t>
  </si>
  <si>
    <t>5110S-INVP6163 DSO Info Integ F&amp;A TD</t>
  </si>
  <si>
    <t>G198</t>
  </si>
  <si>
    <t>C198</t>
  </si>
  <si>
    <t>90000219253</t>
  </si>
  <si>
    <t>C434</t>
  </si>
  <si>
    <t>G160</t>
  </si>
  <si>
    <t>G210</t>
  </si>
  <si>
    <t>C343</t>
  </si>
  <si>
    <t>C165</t>
  </si>
  <si>
    <t>G149</t>
  </si>
  <si>
    <t>G207</t>
  </si>
  <si>
    <t>XC113023487</t>
  </si>
  <si>
    <t>5110S-INVP5926A NIMO Rate Case UNYGE</t>
  </si>
  <si>
    <t>C113</t>
  </si>
  <si>
    <t>C277</t>
  </si>
  <si>
    <t>2742</t>
  </si>
  <si>
    <t>T362</t>
  </si>
  <si>
    <t>XT186023466</t>
  </si>
  <si>
    <t>5110S-INVP5889C Electric MW FY22 ET</t>
  </si>
  <si>
    <t>G181</t>
  </si>
  <si>
    <t>G188</t>
  </si>
  <si>
    <t>G324</t>
  </si>
  <si>
    <t>C239</t>
  </si>
  <si>
    <t>G310</t>
  </si>
  <si>
    <t xml:space="preserve">5788G </t>
  </si>
  <si>
    <t>XG148023486</t>
  </si>
  <si>
    <t>5110S-INVP5788G FY22 Gas Reg Oper MW GET</t>
  </si>
  <si>
    <t>C210</t>
  </si>
  <si>
    <t>XC210023491</t>
  </si>
  <si>
    <t>5110S-INVP5785L Se &amp; Res MuleSoft AG</t>
  </si>
  <si>
    <t>XC210023490</t>
  </si>
  <si>
    <t>5110S-INVP5785K Sec &amp; Res Maximo AG</t>
  </si>
  <si>
    <t>XC210023489</t>
  </si>
  <si>
    <t>5110S-INVP5785J Sec &amp; Res SalesForce AG</t>
  </si>
  <si>
    <t>G225</t>
  </si>
  <si>
    <t>90000219704</t>
  </si>
  <si>
    <t>INVP 5785I NRG GIS Replacement Project</t>
  </si>
  <si>
    <t>G385</t>
  </si>
  <si>
    <t>X521T023498</t>
  </si>
  <si>
    <t>5110S-INVP5773D NYISO PMU Req NIMOT</t>
  </si>
  <si>
    <t>521T</t>
  </si>
  <si>
    <t>G220</t>
  </si>
  <si>
    <t>90000219539</t>
  </si>
  <si>
    <t>INVP 5673 My Business Account (Nucleus Phase 2)</t>
  </si>
  <si>
    <t>S008351</t>
  </si>
  <si>
    <t>90000219542</t>
  </si>
  <si>
    <t>INVP 5610 Annual HR &amp; Payroll Mandatory Service Pack Upgrade (HRSP) FY22</t>
  </si>
  <si>
    <t>S008348</t>
  </si>
  <si>
    <t>XG020023453</t>
  </si>
  <si>
    <t>XG020023454</t>
  </si>
  <si>
    <t>G440</t>
  </si>
  <si>
    <t>N012</t>
  </si>
  <si>
    <t>C284</t>
  </si>
  <si>
    <t>2280</t>
  </si>
  <si>
    <t>521G</t>
  </si>
  <si>
    <t>G316</t>
  </si>
  <si>
    <t>G434</t>
  </si>
  <si>
    <t>T148</t>
  </si>
  <si>
    <t>541F</t>
  </si>
  <si>
    <t>G114</t>
  </si>
  <si>
    <t>G162</t>
  </si>
  <si>
    <t>Customer Connection Program - FY21</t>
  </si>
  <si>
    <t>INVID:5125-Customer Connection Program - FY21</t>
  </si>
  <si>
    <t>G113</t>
  </si>
  <si>
    <t>G272</t>
  </si>
  <si>
    <t>G004</t>
  </si>
  <si>
    <t>C310</t>
  </si>
  <si>
    <t>G383</t>
  </si>
  <si>
    <t>C195</t>
  </si>
  <si>
    <t>G239</t>
  </si>
  <si>
    <t>C378</t>
  </si>
  <si>
    <t>G378</t>
  </si>
  <si>
    <t>G116</t>
  </si>
  <si>
    <t>XC113023446</t>
  </si>
  <si>
    <t>INVP 4704 AMI NIMO Project Ramp Up IT Cost</t>
  </si>
  <si>
    <t>XC113023462</t>
  </si>
  <si>
    <t>INVP 4704 5110S-AMI NIMO RampUp IT Deferrable</t>
  </si>
  <si>
    <t>G327</t>
  </si>
  <si>
    <t>G331</t>
  </si>
  <si>
    <t>R198</t>
  </si>
  <si>
    <t>G185</t>
  </si>
  <si>
    <t>G384</t>
  </si>
  <si>
    <t>541T</t>
  </si>
  <si>
    <t>G209</t>
  </si>
  <si>
    <t>G227</t>
  </si>
  <si>
    <t>C170</t>
  </si>
  <si>
    <t>G138</t>
  </si>
  <si>
    <t>C436</t>
  </si>
  <si>
    <t>G131</t>
  </si>
  <si>
    <t>G027</t>
  </si>
  <si>
    <t>G146</t>
  </si>
  <si>
    <t>T400</t>
  </si>
  <si>
    <t>T221</t>
  </si>
  <si>
    <t>C173</t>
  </si>
  <si>
    <t>G303</t>
  </si>
  <si>
    <t>G313</t>
  </si>
  <si>
    <t>G069</t>
  </si>
  <si>
    <t>G151</t>
  </si>
  <si>
    <t>G015</t>
  </si>
  <si>
    <t>C207</t>
  </si>
  <si>
    <t>G352</t>
  </si>
  <si>
    <t>G235</t>
  </si>
  <si>
    <t>G012</t>
  </si>
  <si>
    <t>H173</t>
  </si>
  <si>
    <t>L198</t>
  </si>
  <si>
    <t>G173</t>
  </si>
  <si>
    <t>Q146</t>
  </si>
  <si>
    <t>C241</t>
  </si>
  <si>
    <t>G170</t>
  </si>
  <si>
    <t>N130</t>
  </si>
  <si>
    <t>G286</t>
  </si>
  <si>
    <t>536G</t>
  </si>
  <si>
    <t>G267</t>
  </si>
  <si>
    <t>CT70</t>
  </si>
  <si>
    <t>C225</t>
  </si>
  <si>
    <t>G281</t>
  </si>
  <si>
    <t>J063</t>
  </si>
  <si>
    <t>G333</t>
  </si>
  <si>
    <t>G305</t>
  </si>
  <si>
    <t>G179</t>
  </si>
  <si>
    <t>G380</t>
  </si>
  <si>
    <t>G366</t>
  </si>
  <si>
    <t>G294</t>
  </si>
  <si>
    <t>G226</t>
  </si>
  <si>
    <t>HT71</t>
  </si>
  <si>
    <t>G098</t>
  </si>
  <si>
    <t>G369</t>
  </si>
  <si>
    <t>G230</t>
  </si>
  <si>
    <t>G354</t>
  </si>
  <si>
    <t>G222</t>
  </si>
  <si>
    <t>G370</t>
  </si>
  <si>
    <t>G376</t>
  </si>
  <si>
    <t>G248</t>
  </si>
  <si>
    <t>G206</t>
  </si>
  <si>
    <t>G232</t>
  </si>
  <si>
    <t>G075</t>
  </si>
  <si>
    <t>G172</t>
  </si>
  <si>
    <t>G112</t>
  </si>
  <si>
    <t>G194</t>
  </si>
  <si>
    <t>G367</t>
  </si>
  <si>
    <t>G204</t>
  </si>
  <si>
    <t>G203</t>
  </si>
  <si>
    <t>G379</t>
  </si>
  <si>
    <t>U273</t>
  </si>
  <si>
    <t>G393</t>
  </si>
  <si>
    <t>U181</t>
  </si>
  <si>
    <t>G168</t>
  </si>
  <si>
    <t>G077</t>
  </si>
  <si>
    <t>​​</t>
  </si>
  <si>
    <t xml:space="preserve">​Hardware - 3 year life
</t>
  </si>
  <si>
    <t xml:space="preserve">​Never went into service, zero balance
</t>
  </si>
  <si>
    <t xml:space="preserve">​Added as a minor addition to INVP 5981 MS Teams
</t>
  </si>
  <si>
    <t xml:space="preserve">​AMI
</t>
  </si>
  <si>
    <t>Matillion</t>
  </si>
  <si>
    <t>Orhestration Tool Costs (estimated)</t>
  </si>
  <si>
    <t>Azure VMs for Matillion</t>
  </si>
  <si>
    <t>Bharat Tripathi</t>
  </si>
  <si>
    <t>Tom Towne</t>
  </si>
  <si>
    <t>Training/OCM Lead</t>
  </si>
  <si>
    <t>Bryan Connolly</t>
  </si>
  <si>
    <t>Sean Mcauley</t>
  </si>
  <si>
    <t>Don Rera (Infrastructure)</t>
  </si>
  <si>
    <t>Fred Kwan</t>
  </si>
  <si>
    <t>Kiran Shimikeri</t>
  </si>
  <si>
    <t>Elaine Wilson (Security Oversight)</t>
  </si>
  <si>
    <t>FDM</t>
  </si>
  <si>
    <t>Joel Semmel</t>
  </si>
  <si>
    <t>Nishit Ajwaliya</t>
  </si>
  <si>
    <t>Global Workforce: Data Orchestration tool: Yearly RTB</t>
  </si>
  <si>
    <t>GRIDMOD Customr: Data Orchestration tool: Yearly RTB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</si>
</sst>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5">
    <numFmt numFmtId="44" formatCode="_(&quot;$&quot;* #,##0.00_);_(&quot;$&quot;* \(#,##0.00\);_(&quot;$&quot;* &quot;-&quot;??_);_(@_)"/>
    <numFmt numFmtId="43" formatCode="_(* #,##0.00_);_(* \(#,##0.00\);_(* &quot;-&quot;??_);_(@_)"/>
    <numFmt numFmtId="164" formatCode="_-* #,##0.00_-;\-* #,##0.00_-;_-* &quot;-&quot;??_-;_-@_-"/>
    <numFmt numFmtId="165" formatCode="_(* #,##0_);_(* \(#,##0\);_(* &quot;-&quot;??_);_(@_)"/>
    <numFmt numFmtId="166" formatCode="&quot;$&quot;#,##0"/>
    <numFmt numFmtId="167" formatCode="[$-409]mmm\-yy;@"/>
    <numFmt numFmtId="168" formatCode="0\ \ ;[Red]\(0\)\ "/>
    <numFmt numFmtId="169" formatCode="_(* #,##0.0_);_(* \(#,##0.0\);_(* &quot;-&quot;_);_(@_)"/>
    <numFmt numFmtId="170" formatCode="#,##0.0_);\(#,##0.0\)"/>
    <numFmt numFmtId="171" formatCode="_(* #,##0.000_);_(* \(#,##0.000\);_(* &quot;-&quot;??_);_(@_)"/>
    <numFmt numFmtId="172" formatCode="_([$$-409]* #,##0.00_);_([$$-409]* \(#,##0.00\);_([$$-409]* &quot;-&quot;??_);_(@_)"/>
    <numFmt numFmtId="173" formatCode="_(&quot;$&quot;* #,##0_);_(&quot;$&quot;* \(#,##0\);_(&quot;$&quot;* &quot;-&quot;??_);_(@_)"/>
    <numFmt numFmtId="174" formatCode="mmm\-yyyy"/>
    <numFmt numFmtId="175" formatCode="&quot;$&quot;#,##0.00"/>
    <numFmt numFmtId="176" formatCode="mm/dd/yyyy"/>
    <numFmt numFmtId="177" formatCode="#,##0.000"/>
    <numFmt numFmtId="178" formatCode="_(* #,##0.0_);_(* \(#,##0.0\);_(* &quot;-&quot;?_);_(@_)"/>
    <numFmt numFmtId="179" formatCode="0.000"/>
    <numFmt numFmtId="180" formatCode="_(* #,##0.000_);_(* \(#,##0.000\);_(* &quot;-&quot;???_);_(@_)"/>
    <numFmt numFmtId="181" formatCode="yyyy\ mmmm"/>
    <numFmt numFmtId="182" formatCode="_(* 0.000,,_);_(* \(0.000,,\);_(* &quot;-&quot;??_);_(@_)"/>
    <numFmt numFmtId="183" formatCode="[$-409]d\-mmm\-yyyy;@"/>
    <numFmt numFmtId="184" formatCode="0.0000"/>
    <numFmt numFmtId="185" formatCode="yyyy\-mm\-dd;@"/>
    <numFmt numFmtId="186" formatCode="0.0%"/>
  </numFmts>
  <fonts count="156">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b/>
      <sz val="12"/>
      <color indexed="8"/>
      <name val="Arial"/>
      <family val="2"/>
    </font>
    <font>
      <sz val="10"/>
      <name val="Helv"/>
      <charset val="204"/>
    </font>
    <font>
      <b/>
      <sz val="10"/>
      <name val="Calibri"/>
      <family val="2"/>
    </font>
    <font>
      <b/>
      <sz val="11"/>
      <color theme="0"/>
      <name val="Calibri"/>
      <family val="2"/>
      <scheme val="minor"/>
    </font>
    <font>
      <b/>
      <sz val="11"/>
      <name val="Calibri"/>
      <family val="2"/>
      <scheme val="minor"/>
    </font>
    <font>
      <b/>
      <sz val="9"/>
      <name val="Arial"/>
      <family val="2"/>
    </font>
    <font>
      <sz val="9"/>
      <color theme="1"/>
      <name val="Arial"/>
      <family val="2"/>
    </font>
    <font>
      <b/>
      <sz val="9"/>
      <color theme="1"/>
      <name val="Arial"/>
      <family val="2"/>
    </font>
    <font>
      <sz val="11"/>
      <name val="Calibri"/>
      <family val="2"/>
      <scheme val="minor"/>
    </font>
    <font>
      <b/>
      <sz val="9"/>
      <color theme="0"/>
      <name val="Arial"/>
      <family val="2"/>
    </font>
    <font>
      <sz val="10"/>
      <name val="Calibri"/>
      <family val="2"/>
      <scheme val="minor"/>
    </font>
    <font>
      <b/>
      <sz val="12"/>
      <color theme="1"/>
      <name val="Calibri"/>
      <family val="2"/>
      <scheme val="minor"/>
    </font>
    <font>
      <b/>
      <sz val="10"/>
      <color theme="0"/>
      <name val="Calibri"/>
      <family val="2"/>
    </font>
    <font>
      <sz val="9"/>
      <color indexed="8"/>
      <name val="Calibri"/>
      <family val="2"/>
    </font>
    <font>
      <b/>
      <sz val="9"/>
      <color indexed="9"/>
      <name val="Calibri"/>
      <family val="2"/>
    </font>
    <font>
      <b/>
      <sz val="9"/>
      <color theme="0"/>
      <name val="Calibri"/>
      <family val="2"/>
    </font>
    <font>
      <b/>
      <sz val="9"/>
      <color indexed="8"/>
      <name val="Calibri"/>
      <family val="2"/>
    </font>
    <font>
      <sz val="9"/>
      <name val="Calibri"/>
      <family val="2"/>
    </font>
    <font>
      <b/>
      <sz val="11"/>
      <color indexed="8"/>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0"/>
      <name val="Arial"/>
      <family val="2"/>
    </font>
    <font>
      <sz val="8"/>
      <color theme="1"/>
      <name val="Calibri"/>
      <family val="2"/>
      <scheme val="minor"/>
    </font>
    <font>
      <u/>
      <sz val="11"/>
      <color theme="10"/>
      <name val="Calibri"/>
      <family val="2"/>
      <scheme val="minor"/>
    </font>
    <font>
      <b/>
      <sz val="10"/>
      <color theme="1"/>
      <name val="Arial"/>
      <family val="2"/>
    </font>
    <font>
      <sz val="10"/>
      <color theme="1"/>
      <name val="Arial"/>
      <family val="2"/>
    </font>
    <font>
      <sz val="11"/>
      <name val="Arial"/>
      <family val="2"/>
    </font>
    <font>
      <b/>
      <sz val="10"/>
      <color rgb="FFFFFFFF"/>
      <name val="Arial"/>
      <family val="2"/>
    </font>
    <font>
      <b/>
      <sz val="11"/>
      <color theme="0"/>
      <name val="Arial"/>
      <family val="2"/>
    </font>
    <font>
      <sz val="11"/>
      <color theme="1"/>
      <name val="Arial"/>
      <family val="2"/>
    </font>
    <font>
      <sz val="18"/>
      <name val="Calibri"/>
      <family val="2"/>
      <scheme val="minor"/>
    </font>
    <font>
      <b/>
      <sz val="14"/>
      <color theme="1"/>
      <name val="Calibri"/>
      <family val="2"/>
      <scheme val="minor"/>
    </font>
    <font>
      <sz val="18"/>
      <color theme="0"/>
      <name val="Calibri"/>
      <family val="2"/>
      <scheme val="minor"/>
    </font>
    <font>
      <sz val="9"/>
      <color theme="1"/>
      <name val="Calibri"/>
      <family val="2"/>
      <scheme val="minor"/>
    </font>
    <font>
      <b/>
      <sz val="9"/>
      <color rgb="FFFFFF00"/>
      <name val="Calibri"/>
      <family val="2"/>
      <scheme val="minor"/>
    </font>
    <font>
      <sz val="9"/>
      <color theme="0"/>
      <name val="Arial"/>
      <family val="2"/>
    </font>
    <font>
      <sz val="14"/>
      <color theme="1"/>
      <name val="Arial"/>
      <family val="2"/>
    </font>
    <font>
      <b/>
      <sz val="8"/>
      <name val="Arial"/>
      <family val="2"/>
    </font>
    <font>
      <b/>
      <sz val="8"/>
      <color theme="0"/>
      <name val="Arial"/>
      <family val="2"/>
    </font>
    <font>
      <b/>
      <sz val="8"/>
      <color theme="1"/>
      <name val="Arial"/>
      <family val="2"/>
    </font>
    <font>
      <b/>
      <sz val="8"/>
      <color rgb="FFFFFF00"/>
      <name val="Arial"/>
      <family val="2"/>
    </font>
    <font>
      <b/>
      <sz val="14"/>
      <color theme="0"/>
      <name val="Calibri"/>
      <family val="2"/>
      <scheme val="minor"/>
    </font>
    <font>
      <b/>
      <sz val="12"/>
      <name val="Calibri"/>
      <family val="2"/>
      <scheme val="minor"/>
    </font>
    <font>
      <b/>
      <sz val="10"/>
      <name val="Calibri"/>
      <family val="2"/>
      <scheme val="minor"/>
    </font>
    <font>
      <b/>
      <sz val="10"/>
      <color rgb="FF000000"/>
      <name val="Calibri"/>
      <family val="2"/>
      <scheme val="minor"/>
    </font>
    <font>
      <sz val="10"/>
      <color indexed="8"/>
      <name val="Calibri"/>
      <family val="2"/>
      <scheme val="minor"/>
    </font>
    <font>
      <b/>
      <sz val="10"/>
      <color indexed="8"/>
      <name val="Calibri"/>
      <family val="2"/>
      <scheme val="minor"/>
    </font>
    <font>
      <sz val="10"/>
      <color rgb="FF000000"/>
      <name val="Calibri"/>
      <family val="2"/>
      <scheme val="minor"/>
    </font>
    <font>
      <b/>
      <sz val="11"/>
      <color rgb="FF0000FF"/>
      <name val="Calibri"/>
      <family val="2"/>
      <scheme val="minor"/>
    </font>
    <font>
      <b/>
      <sz val="10"/>
      <color theme="1"/>
      <name val="Calibri"/>
      <family val="2"/>
      <scheme val="minor"/>
    </font>
    <font>
      <sz val="10"/>
      <name val="Calibri"/>
      <family val="2"/>
    </font>
    <font>
      <sz val="10"/>
      <color indexed="8"/>
      <name val="Calibri"/>
      <family val="2"/>
    </font>
    <font>
      <b/>
      <sz val="12"/>
      <name val="Calibri"/>
      <family val="2"/>
    </font>
    <font>
      <u/>
      <sz val="11"/>
      <color indexed="8"/>
      <name val="Calibri"/>
      <family val="2"/>
    </font>
    <font>
      <b/>
      <sz val="11"/>
      <name val="Calibri"/>
      <family val="2"/>
    </font>
    <font>
      <b/>
      <sz val="10"/>
      <color indexed="8"/>
      <name val="Calibri"/>
      <family val="2"/>
    </font>
    <font>
      <b/>
      <sz val="12"/>
      <color indexed="9"/>
      <name val="Calibri"/>
      <family val="2"/>
    </font>
    <font>
      <sz val="14"/>
      <color indexed="8"/>
      <name val="Calibri"/>
      <family val="2"/>
    </font>
    <font>
      <b/>
      <sz val="14"/>
      <color indexed="8"/>
      <name val="Calibri"/>
      <family val="2"/>
    </font>
    <font>
      <b/>
      <u/>
      <sz val="14"/>
      <color indexed="8"/>
      <name val="Calibri"/>
      <family val="2"/>
    </font>
    <font>
      <b/>
      <u/>
      <sz val="16"/>
      <color indexed="8"/>
      <name val="Calibri"/>
      <family val="2"/>
    </font>
    <font>
      <sz val="8"/>
      <color indexed="8"/>
      <name val="Arial"/>
      <family val="2"/>
    </font>
    <font>
      <b/>
      <sz val="8"/>
      <color indexed="8"/>
      <name val="Arial"/>
      <family val="2"/>
    </font>
    <font>
      <b/>
      <sz val="8"/>
      <color rgb="FFFF0000"/>
      <name val="Arial"/>
      <family val="2"/>
    </font>
    <font>
      <b/>
      <sz val="12"/>
      <color theme="0"/>
      <name val="Calibri"/>
      <family val="2"/>
      <scheme val="minor"/>
    </font>
    <font>
      <b/>
      <sz val="9"/>
      <color indexed="81"/>
      <name val="Tahoma"/>
      <family val="2"/>
    </font>
    <font>
      <sz val="9"/>
      <color indexed="81"/>
      <name val="Tahoma"/>
      <family val="2"/>
    </font>
    <font>
      <sz val="10"/>
      <color theme="0"/>
      <name val="Calibri"/>
      <family val="2"/>
    </font>
    <font>
      <sz val="10"/>
      <color theme="1"/>
      <name val="Calibri"/>
      <family val="2"/>
      <scheme val="minor"/>
    </font>
    <font>
      <sz val="10"/>
      <color theme="0"/>
      <name val="Calibri"/>
      <family val="2"/>
      <scheme val="minor"/>
    </font>
    <font>
      <b/>
      <sz val="9"/>
      <color theme="0"/>
      <name val="Calibri"/>
      <family val="2"/>
      <scheme val="minor"/>
    </font>
    <font>
      <sz val="9"/>
      <color theme="0"/>
      <name val="Calibri"/>
      <family val="2"/>
      <scheme val="minor"/>
    </font>
    <font>
      <b/>
      <sz val="9"/>
      <color theme="1"/>
      <name val="Calibri"/>
      <family val="2"/>
      <scheme val="minor"/>
    </font>
    <font>
      <sz val="9"/>
      <name val="Calibri"/>
      <family val="2"/>
      <scheme val="minor"/>
    </font>
    <font>
      <i/>
      <sz val="10"/>
      <color theme="1"/>
      <name val="Calibri"/>
      <family val="2"/>
      <scheme val="minor"/>
    </font>
    <font>
      <i/>
      <sz val="10"/>
      <name val="Calibri"/>
      <family val="2"/>
      <scheme val="minor"/>
    </font>
    <font>
      <b/>
      <sz val="8"/>
      <color theme="2" tint="-0.499984740745262"/>
      <name val="Arial"/>
      <family val="2"/>
    </font>
    <font>
      <b/>
      <sz val="8"/>
      <color rgb="FF00B0F0"/>
      <name val="Arial"/>
      <family val="2"/>
    </font>
    <font>
      <b/>
      <sz val="8"/>
      <color rgb="FFFFC000"/>
      <name val="Arial"/>
      <family val="2"/>
    </font>
    <font>
      <b/>
      <sz val="8"/>
      <color theme="3" tint="0.59999389629810485"/>
      <name val="Arial"/>
      <family val="2"/>
    </font>
    <font>
      <b/>
      <sz val="8"/>
      <color theme="7" tint="0.39997558519241921"/>
      <name val="Arial"/>
      <family val="2"/>
    </font>
    <font>
      <b/>
      <sz val="8"/>
      <color theme="9" tint="-0.249977111117893"/>
      <name val="Arial"/>
      <family val="2"/>
    </font>
    <font>
      <b/>
      <sz val="11"/>
      <color theme="1"/>
      <name val="Arial"/>
      <family val="2"/>
    </font>
    <font>
      <b/>
      <u/>
      <sz val="11"/>
      <color theme="1"/>
      <name val="Arial"/>
      <family val="2"/>
    </font>
    <font>
      <b/>
      <sz val="11"/>
      <color theme="8" tint="-0.249977111117893"/>
      <name val="Arial"/>
      <family val="2"/>
    </font>
    <font>
      <b/>
      <u/>
      <sz val="10"/>
      <color theme="1"/>
      <name val="Arial"/>
      <family val="2"/>
    </font>
    <font>
      <b/>
      <sz val="10"/>
      <color theme="8" tint="-0.249977111117893"/>
      <name val="Arial"/>
      <family val="2"/>
    </font>
    <font>
      <b/>
      <sz val="10"/>
      <color rgb="FFFF0000"/>
      <name val="Arial"/>
      <family val="2"/>
    </font>
    <font>
      <b/>
      <u/>
      <sz val="10"/>
      <color rgb="FFFF0000"/>
      <name val="Arial"/>
      <family val="2"/>
    </font>
    <font>
      <b/>
      <sz val="10"/>
      <color rgb="FF0070C0"/>
      <name val="Arial"/>
      <family val="2"/>
    </font>
    <font>
      <u/>
      <sz val="10"/>
      <color theme="1"/>
      <name val="Arial"/>
      <family val="2"/>
    </font>
    <font>
      <b/>
      <sz val="9"/>
      <color indexed="10"/>
      <name val="Tahoma"/>
      <family val="2"/>
    </font>
    <font>
      <b/>
      <sz val="9"/>
      <color theme="8" tint="-0.249977111117893"/>
      <name val="Arial"/>
      <family val="2"/>
    </font>
    <font>
      <b/>
      <sz val="9"/>
      <name val="Calibri"/>
      <family val="2"/>
      <scheme val="minor"/>
    </font>
    <font>
      <b/>
      <sz val="12"/>
      <color rgb="FF333399"/>
      <name val="Calibri"/>
      <family val="2"/>
      <scheme val="minor"/>
    </font>
    <font>
      <b/>
      <sz val="10"/>
      <color theme="0"/>
      <name val="Calibri"/>
      <family val="2"/>
      <scheme val="minor"/>
    </font>
    <font>
      <b/>
      <sz val="10"/>
      <color indexed="81"/>
      <name val="Calibri"/>
      <family val="2"/>
    </font>
    <font>
      <b/>
      <i/>
      <sz val="8"/>
      <color theme="0"/>
      <name val="Arial"/>
      <family val="2"/>
    </font>
    <font>
      <b/>
      <i/>
      <sz val="12"/>
      <color rgb="FF0070C0"/>
      <name val="Calibri"/>
      <family val="2"/>
      <scheme val="minor"/>
    </font>
    <font>
      <b/>
      <sz val="11"/>
      <color theme="1" tint="4.9989318521683403E-2"/>
      <name val="Calibri"/>
      <family val="2"/>
      <scheme val="minor"/>
    </font>
    <font>
      <b/>
      <sz val="14"/>
      <color rgb="FF00B050"/>
      <name val="Calibri"/>
      <family val="2"/>
      <scheme val="minor"/>
    </font>
    <font>
      <b/>
      <sz val="18"/>
      <color rgb="FF0070C0"/>
      <name val="Calibri"/>
      <family val="2"/>
      <scheme val="minor"/>
    </font>
    <font>
      <b/>
      <sz val="9"/>
      <color rgb="FF00FF00"/>
      <name val="Calibri"/>
      <family val="2"/>
      <scheme val="minor"/>
    </font>
    <font>
      <sz val="9"/>
      <color indexed="8"/>
      <name val="Calibri"/>
      <family val="2"/>
      <scheme val="minor"/>
    </font>
    <font>
      <b/>
      <sz val="9"/>
      <color rgb="FFFF0000"/>
      <name val="Calibri"/>
      <family val="2"/>
      <scheme val="minor"/>
    </font>
    <font>
      <b/>
      <sz val="8"/>
      <color theme="1"/>
      <name val="Calibri"/>
      <family val="2"/>
      <scheme val="minor"/>
    </font>
    <font>
      <b/>
      <i/>
      <sz val="12"/>
      <color rgb="FFC00000"/>
      <name val="Calibri"/>
      <family val="2"/>
      <scheme val="minor"/>
    </font>
    <font>
      <b/>
      <sz val="16"/>
      <color rgb="FF00B050"/>
      <name val="Calibri"/>
      <family val="2"/>
      <scheme val="minor"/>
    </font>
    <font>
      <sz val="9"/>
      <color rgb="FF00FF00"/>
      <name val="Calibri"/>
      <family val="2"/>
      <scheme val="minor"/>
    </font>
    <font>
      <b/>
      <sz val="9"/>
      <color rgb="FFC00000"/>
      <name val="Calibri"/>
      <family val="2"/>
      <scheme val="minor"/>
    </font>
    <font>
      <b/>
      <sz val="12"/>
      <color rgb="FF7030A0"/>
      <name val="Calibri"/>
      <family val="2"/>
      <scheme val="minor"/>
    </font>
    <font>
      <b/>
      <sz val="20"/>
      <name val="Calibri"/>
      <family val="2"/>
      <scheme val="minor"/>
    </font>
    <font>
      <b/>
      <sz val="20"/>
      <color theme="1"/>
      <name val="Calibri"/>
      <family val="2"/>
      <scheme val="minor"/>
    </font>
    <font>
      <b/>
      <sz val="10"/>
      <color theme="1" tint="4.9989318521683403E-2"/>
      <name val="Calibri"/>
      <family val="2"/>
      <scheme val="minor"/>
    </font>
    <font>
      <b/>
      <sz val="18"/>
      <color rgb="FF0062AC"/>
      <name val="Calibri"/>
      <family val="2"/>
      <scheme val="minor"/>
    </font>
    <font>
      <sz val="10"/>
      <color rgb="FF0062AC"/>
      <name val="Calibri"/>
      <family val="2"/>
      <scheme val="minor"/>
    </font>
    <font>
      <sz val="10"/>
      <color rgb="FF0070C0"/>
      <name val="Calibri"/>
      <family val="2"/>
      <scheme val="minor"/>
    </font>
    <font>
      <b/>
      <sz val="16"/>
      <color theme="1"/>
      <name val="Calibri"/>
      <family val="2"/>
      <scheme val="minor"/>
    </font>
    <font>
      <sz val="16"/>
      <color theme="1"/>
      <name val="Calibri"/>
      <family val="2"/>
      <scheme val="minor"/>
    </font>
    <font>
      <b/>
      <sz val="12"/>
      <color rgb="FF0070C0"/>
      <name val="Calibri"/>
      <family val="2"/>
      <scheme val="minor"/>
    </font>
    <font>
      <b/>
      <sz val="12"/>
      <color rgb="FFFFFF00"/>
      <name val="Calibri"/>
      <family val="2"/>
      <scheme val="minor"/>
    </font>
    <font>
      <b/>
      <sz val="12"/>
      <color rgb="FF0000FF"/>
      <name val="Calibri"/>
      <family val="2"/>
      <scheme val="minor"/>
    </font>
    <font>
      <sz val="12"/>
      <name val="Calibri"/>
      <family val="2"/>
      <scheme val="minor"/>
    </font>
    <font>
      <sz val="12"/>
      <color rgb="FF0000FF"/>
      <name val="Calibri"/>
      <family val="2"/>
      <scheme val="minor"/>
    </font>
    <font>
      <b/>
      <sz val="14"/>
      <color rgb="FFFF0000"/>
      <name val="Calibri"/>
      <family val="2"/>
      <scheme val="minor"/>
    </font>
    <font>
      <b/>
      <sz val="9"/>
      <color rgb="FFFFC000"/>
      <name val="Calibri"/>
      <family val="2"/>
      <scheme val="minor"/>
    </font>
    <font>
      <b/>
      <sz val="12"/>
      <color theme="3" tint="0.39997558519241921"/>
      <name val="Calibri"/>
      <family val="2"/>
      <scheme val="minor"/>
    </font>
    <font>
      <sz val="10"/>
      <color rgb="FF000000"/>
      <name val="Calibri"/>
      <family val="2"/>
    </font>
    <font>
      <sz val="9"/>
      <color theme="1" tint="4.9989318521683403E-2"/>
      <name val="Calibri"/>
      <family val="2"/>
      <scheme val="minor"/>
    </font>
    <font>
      <i/>
      <sz val="10"/>
      <color theme="1" tint="4.9989318521683403E-2"/>
      <name val="Calibri"/>
      <family val="2"/>
      <scheme val="minor"/>
    </font>
    <font>
      <b/>
      <sz val="12"/>
      <color rgb="FF00B050"/>
      <name val="Calibri"/>
      <family val="2"/>
      <scheme val="minor"/>
    </font>
    <font>
      <b/>
      <sz val="8"/>
      <color theme="0"/>
      <name val="Calibri"/>
      <family val="2"/>
      <scheme val="minor"/>
    </font>
    <font>
      <b/>
      <sz val="11"/>
      <color rgb="FF00FF00"/>
      <name val="Calibri"/>
      <family val="2"/>
      <scheme val="minor"/>
    </font>
    <font>
      <b/>
      <sz val="10"/>
      <color rgb="FF0070C0"/>
      <name val="Calibri"/>
      <family val="2"/>
      <scheme val="minor"/>
    </font>
    <font>
      <b/>
      <sz val="10"/>
      <color rgb="FF0000FF"/>
      <name val="Calibri"/>
      <family val="2"/>
      <scheme val="minor"/>
    </font>
    <font>
      <sz val="10"/>
      <color rgb="FF0000FF"/>
      <name val="Calibri"/>
      <family val="2"/>
      <scheme val="minor"/>
    </font>
    <font>
      <sz val="10"/>
      <color rgb="FF000000"/>
      <name val="Arial"/>
      <family val="2"/>
    </font>
    <font>
      <b/>
      <sz val="9"/>
      <color indexed="81"/>
      <name val="Tahoma"/>
      <charset val="1"/>
    </font>
  </fonts>
  <fills count="104">
    <fill>
      <patternFill patternType="none"/>
    </fill>
    <fill>
      <patternFill patternType="gray125"/>
    </fill>
    <fill>
      <patternFill patternType="solid">
        <fgColor theme="4"/>
      </patternFill>
    </fill>
    <fill>
      <patternFill patternType="solid">
        <fgColor theme="7" tint="0.79998168889431442"/>
        <bgColor indexed="65"/>
      </patternFill>
    </fill>
    <fill>
      <patternFill patternType="solid">
        <fgColor theme="7" tint="0.59999389629810485"/>
        <bgColor indexed="65"/>
      </patternFill>
    </fill>
    <fill>
      <patternFill patternType="solid">
        <fgColor theme="9" tint="0.59999389629810485"/>
        <bgColor indexed="65"/>
      </patternFill>
    </fill>
    <fill>
      <patternFill patternType="solid">
        <fgColor indexed="43"/>
        <bgColor indexed="64"/>
      </patternFill>
    </fill>
    <fill>
      <patternFill patternType="solid">
        <fgColor indexed="54"/>
        <bgColor indexed="64"/>
      </patternFill>
    </fill>
    <fill>
      <patternFill patternType="solid">
        <fgColor indexed="44"/>
        <bgColor indexed="64"/>
      </patternFill>
    </fill>
    <fill>
      <patternFill patternType="solid">
        <fgColor indexed="41"/>
        <bgColor indexed="64"/>
      </patternFill>
    </fill>
    <fill>
      <patternFill patternType="solid">
        <fgColor indexed="22"/>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1"/>
        <bgColor indexed="64"/>
      </patternFill>
    </fill>
    <fill>
      <patternFill patternType="solid">
        <fgColor rgb="FF00B0F0"/>
        <bgColor indexed="64"/>
      </patternFill>
    </fill>
    <fill>
      <patternFill patternType="solid">
        <fgColor rgb="FF0000FF"/>
        <bgColor indexed="64"/>
      </patternFill>
    </fill>
    <fill>
      <patternFill patternType="solid">
        <fgColor theme="0" tint="-0.249977111117893"/>
        <bgColor auto="1"/>
      </patternFill>
    </fill>
    <fill>
      <patternFill patternType="solid">
        <fgColor rgb="FF00B050"/>
        <bgColor indexed="64"/>
      </patternFill>
    </fill>
    <fill>
      <patternFill patternType="solid">
        <fgColor indexed="9"/>
        <bgColor indexed="64"/>
      </patternFill>
    </fill>
    <fill>
      <patternFill patternType="solid">
        <fgColor rgb="FFFFFFFF"/>
        <bgColor rgb="FF000000"/>
      </patternFill>
    </fill>
    <fill>
      <patternFill patternType="solid">
        <fgColor theme="9" tint="0.59999389629810485"/>
        <bgColor indexed="64"/>
      </patternFill>
    </fill>
    <fill>
      <patternFill patternType="solid">
        <fgColor rgb="FF92D050"/>
        <bgColor indexed="64"/>
      </patternFill>
    </fill>
    <fill>
      <patternFill patternType="solid">
        <fgColor indexed="6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6"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rgb="FF333399"/>
        <bgColor rgb="FF000000"/>
      </patternFill>
    </fill>
    <fill>
      <patternFill patternType="solid">
        <fgColor theme="1"/>
        <bgColor rgb="FF000000"/>
      </patternFill>
    </fill>
    <fill>
      <patternFill patternType="solid">
        <fgColor theme="7" tint="0.59999389629810485"/>
        <bgColor indexed="64"/>
      </patternFill>
    </fill>
    <fill>
      <patternFill patternType="solid">
        <fgColor rgb="FFC00000"/>
        <bgColor indexed="64"/>
      </patternFill>
    </fill>
    <fill>
      <patternFill patternType="solid">
        <fgColor theme="9" tint="0.39997558519241921"/>
        <bgColor indexed="64"/>
      </patternFill>
    </fill>
    <fill>
      <patternFill patternType="solid">
        <fgColor theme="5"/>
        <bgColor indexed="64"/>
      </patternFill>
    </fill>
    <fill>
      <patternFill patternType="solid">
        <fgColor theme="9" tint="-0.499984740745262"/>
        <bgColor indexed="64"/>
      </patternFill>
    </fill>
    <fill>
      <patternFill patternType="solid">
        <fgColor rgb="FFDF9F41"/>
        <bgColor indexed="64"/>
      </patternFill>
    </fill>
    <fill>
      <patternFill patternType="solid">
        <fgColor theme="2" tint="-0.499984740745262"/>
        <bgColor indexed="64"/>
      </patternFill>
    </fill>
    <fill>
      <patternFill patternType="solid">
        <fgColor rgb="FF333399"/>
        <bgColor indexed="64"/>
      </patternFill>
    </fill>
    <fill>
      <patternFill patternType="solid">
        <fgColor theme="7" tint="0.39997558519241921"/>
        <bgColor indexed="64"/>
      </patternFill>
    </fill>
    <fill>
      <patternFill patternType="solid">
        <fgColor theme="4" tint="0.59999389629810485"/>
        <bgColor rgb="FF000000"/>
      </patternFill>
    </fill>
    <fill>
      <patternFill patternType="solid">
        <fgColor theme="9" tint="-0.249977111117893"/>
        <bgColor indexed="64"/>
      </patternFill>
    </fill>
    <fill>
      <patternFill patternType="solid">
        <fgColor rgb="FFFFC000"/>
        <bgColor indexed="64"/>
      </patternFill>
    </fill>
    <fill>
      <patternFill patternType="solid">
        <fgColor theme="0" tint="-0.249977111117893"/>
        <bgColor rgb="FF000000"/>
      </patternFill>
    </fill>
    <fill>
      <patternFill patternType="solid">
        <fgColor indexed="8"/>
        <bgColor indexed="64"/>
      </patternFill>
    </fill>
    <fill>
      <patternFill patternType="solid">
        <fgColor rgb="FFDCE6F1"/>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39997558519241921"/>
        <bgColor rgb="FF000000"/>
      </patternFill>
    </fill>
    <fill>
      <patternFill patternType="solid">
        <fgColor rgb="FFE6E6E6"/>
        <bgColor indexed="64"/>
      </patternFill>
    </fill>
    <fill>
      <patternFill patternType="solid">
        <fgColor rgb="FFFFFF00"/>
        <bgColor indexed="64"/>
      </patternFill>
    </fill>
    <fill>
      <patternFill patternType="solid">
        <fgColor rgb="FFFF66FF"/>
        <bgColor indexed="64"/>
      </patternFill>
    </fill>
    <fill>
      <patternFill patternType="solid">
        <fgColor theme="3" tint="0.59999389629810485"/>
        <bgColor indexed="64"/>
      </patternFill>
    </fill>
    <fill>
      <patternFill patternType="solid">
        <fgColor rgb="FFFFFFFF"/>
        <bgColor indexed="64"/>
      </patternFill>
    </fill>
    <fill>
      <patternFill patternType="solid">
        <fgColor theme="4" tint="0.59999389629810485"/>
        <bgColor indexed="64"/>
      </patternFill>
    </fill>
    <fill>
      <patternFill patternType="solid">
        <fgColor theme="3"/>
        <bgColor indexed="64"/>
      </patternFill>
    </fill>
    <fill>
      <patternFill patternType="solid">
        <fgColor theme="0" tint="-0.499984740745262"/>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9"/>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bgColor theme="5"/>
      </patternFill>
    </fill>
    <fill>
      <patternFill patternType="solid">
        <fgColor theme="6"/>
        <bgColor theme="6"/>
      </patternFill>
    </fill>
    <fill>
      <patternFill patternType="solid">
        <fgColor theme="3"/>
        <bgColor theme="5"/>
      </patternFill>
    </fill>
    <fill>
      <patternFill patternType="solid">
        <fgColor theme="1" tint="4.9989318521683403E-2"/>
        <bgColor indexed="64"/>
      </patternFill>
    </fill>
    <fill>
      <patternFill patternType="solid">
        <fgColor theme="8"/>
        <bgColor indexed="64"/>
      </patternFill>
    </fill>
    <fill>
      <patternFill patternType="solid">
        <fgColor theme="4" tint="-0.249977111117893"/>
        <bgColor indexed="64"/>
      </patternFill>
    </fill>
    <fill>
      <patternFill patternType="solid">
        <fgColor theme="6"/>
        <bgColor indexed="64"/>
      </patternFill>
    </fill>
    <fill>
      <patternFill patternType="solid">
        <fgColor theme="4"/>
        <bgColor theme="4"/>
      </patternFill>
    </fill>
    <fill>
      <patternFill patternType="solid">
        <fgColor theme="0" tint="-4.9989318521683403E-2"/>
        <bgColor indexed="64"/>
      </patternFill>
    </fill>
    <fill>
      <patternFill patternType="solid">
        <fgColor rgb="FFE6EBF6"/>
        <bgColor indexed="64"/>
      </patternFill>
    </fill>
    <fill>
      <patternFill patternType="solid">
        <fgColor rgb="FFFF0000"/>
        <bgColor indexed="64"/>
      </patternFill>
    </fill>
    <fill>
      <patternFill patternType="solid">
        <fgColor theme="4"/>
        <bgColor indexed="64"/>
      </patternFill>
    </fill>
    <fill>
      <patternFill patternType="solid">
        <fgColor rgb="FFFF5050"/>
        <bgColor indexed="64"/>
      </patternFill>
    </fill>
  </fills>
  <borders count="321">
    <border>
      <left/>
      <right/>
      <top/>
      <bottom/>
      <diagonal/>
    </border>
    <border>
      <left style="thin">
        <color indexed="48"/>
      </left>
      <right style="thin">
        <color indexed="48"/>
      </right>
      <top style="thin">
        <color indexed="48"/>
      </top>
      <bottom style="thin">
        <color indexed="48"/>
      </bottom>
      <diagonal/>
    </border>
    <border>
      <left style="thin">
        <color indexed="64"/>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style="thin">
        <color auto="1"/>
      </right>
      <top/>
      <bottom/>
      <diagonal/>
    </border>
    <border>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diagonal/>
    </border>
    <border>
      <left style="thin">
        <color indexed="64"/>
      </left>
      <right/>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medium">
        <color indexed="64"/>
      </right>
      <top/>
      <bottom/>
      <diagonal/>
    </border>
    <border>
      <left style="thin">
        <color auto="1"/>
      </left>
      <right style="medium">
        <color indexed="64"/>
      </right>
      <top style="thin">
        <color auto="1"/>
      </top>
      <bottom style="medium">
        <color indexed="64"/>
      </bottom>
      <diagonal/>
    </border>
    <border>
      <left style="thin">
        <color indexed="64"/>
      </left>
      <right style="medium">
        <color indexed="64"/>
      </right>
      <top style="thin">
        <color indexed="64"/>
      </top>
      <bottom style="medium">
        <color indexed="64"/>
      </bottom>
      <diagonal/>
    </border>
    <border>
      <left/>
      <right style="thin">
        <color theme="0"/>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style="thin">
        <color theme="0"/>
      </right>
      <top/>
      <bottom/>
      <diagonal/>
    </border>
    <border>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indexed="64"/>
      </bottom>
      <diagonal/>
    </border>
    <border>
      <left/>
      <right style="thin">
        <color indexed="64"/>
      </right>
      <top/>
      <bottom/>
      <diagonal/>
    </border>
    <border>
      <left/>
      <right/>
      <top/>
      <bottom style="thin">
        <color indexed="64"/>
      </bottom>
      <diagonal/>
    </border>
    <border>
      <left style="thin">
        <color theme="0"/>
      </left>
      <right/>
      <top style="thin">
        <color theme="0"/>
      </top>
      <bottom style="thin">
        <color theme="0"/>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style="medium">
        <color indexed="64"/>
      </top>
      <bottom style="thin">
        <color auto="1"/>
      </bottom>
      <diagonal/>
    </border>
    <border>
      <left style="thin">
        <color theme="0"/>
      </left>
      <right style="thin">
        <color theme="0"/>
      </right>
      <top style="medium">
        <color indexed="64"/>
      </top>
      <bottom style="thin">
        <color theme="0"/>
      </bottom>
      <diagonal/>
    </border>
    <border>
      <left style="medium">
        <color indexed="64"/>
      </left>
      <right style="thin">
        <color indexed="64"/>
      </right>
      <top/>
      <bottom style="thin">
        <color indexed="64"/>
      </bottom>
      <diagonal/>
    </border>
    <border>
      <left style="medium">
        <color indexed="64"/>
      </left>
      <right style="thin">
        <color auto="1"/>
      </right>
      <top/>
      <bottom/>
      <diagonal/>
    </border>
    <border>
      <left style="medium">
        <color indexed="64"/>
      </left>
      <right/>
      <top/>
      <bottom style="thin">
        <color auto="1"/>
      </bottom>
      <diagonal/>
    </border>
    <border>
      <left style="medium">
        <color indexed="64"/>
      </left>
      <right style="thin">
        <color theme="0"/>
      </right>
      <top/>
      <bottom/>
      <diagonal/>
    </border>
    <border>
      <left style="medium">
        <color indexed="64"/>
      </left>
      <right style="thin">
        <color indexed="64"/>
      </right>
      <top style="thin">
        <color theme="0"/>
      </top>
      <bottom style="thin">
        <color indexed="64"/>
      </bottom>
      <diagonal/>
    </border>
    <border>
      <left style="thin">
        <color auto="1"/>
      </left>
      <right style="thin">
        <color auto="1"/>
      </right>
      <top style="thin">
        <color auto="1"/>
      </top>
      <bottom style="thin">
        <color auto="1"/>
      </bottom>
      <diagonal/>
    </border>
    <border>
      <left/>
      <right style="medium">
        <color indexed="64"/>
      </right>
      <top/>
      <bottom style="thin">
        <color indexed="64"/>
      </bottom>
      <diagonal/>
    </border>
    <border>
      <left style="thin">
        <color theme="0"/>
      </left>
      <right style="medium">
        <color indexed="64"/>
      </right>
      <top/>
      <bottom/>
      <diagonal/>
    </border>
    <border>
      <left/>
      <right style="medium">
        <color indexed="64"/>
      </right>
      <top style="thin">
        <color indexed="64"/>
      </top>
      <bottom/>
      <diagonal/>
    </border>
    <border>
      <left style="medium">
        <color indexed="64"/>
      </left>
      <right style="thin">
        <color indexed="64"/>
      </right>
      <top style="medium">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theme="0"/>
      </left>
      <right style="thin">
        <color auto="1"/>
      </right>
      <top style="thin">
        <color theme="0"/>
      </top>
      <bottom style="thin">
        <color theme="0"/>
      </bottom>
      <diagonal/>
    </border>
    <border>
      <left style="thin">
        <color indexed="64"/>
      </left>
      <right/>
      <top style="thin">
        <color indexed="64"/>
      </top>
      <bottom/>
      <diagonal/>
    </border>
    <border>
      <left/>
      <right/>
      <top style="thin">
        <color indexed="64"/>
      </top>
      <bottom/>
      <diagonal/>
    </border>
    <border>
      <left style="thin">
        <color theme="0"/>
      </left>
      <right/>
      <top/>
      <bottom/>
      <diagonal/>
    </border>
    <border>
      <left style="medium">
        <color theme="0"/>
      </left>
      <right/>
      <top style="medium">
        <color theme="0"/>
      </top>
      <bottom style="medium">
        <color theme="0"/>
      </bottom>
      <diagonal/>
    </border>
    <border>
      <left style="medium">
        <color theme="0"/>
      </left>
      <right/>
      <top style="medium">
        <color theme="0"/>
      </top>
      <bottom style="thin">
        <color theme="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thin">
        <color indexed="64"/>
      </left>
      <right style="medium">
        <color indexed="64"/>
      </right>
      <top style="medium">
        <color indexed="64"/>
      </top>
      <bottom/>
      <diagonal/>
    </border>
    <border>
      <left style="medium">
        <color indexed="64"/>
      </left>
      <right style="medium">
        <color indexed="64"/>
      </right>
      <top style="thin">
        <color auto="1"/>
      </top>
      <bottom style="medium">
        <color indexed="64"/>
      </bottom>
      <diagonal/>
    </border>
    <border>
      <left/>
      <right/>
      <top style="medium">
        <color indexed="64"/>
      </top>
      <bottom/>
      <diagonal/>
    </border>
    <border>
      <left style="medium">
        <color theme="0"/>
      </left>
      <right style="medium">
        <color theme="0"/>
      </right>
      <top style="medium">
        <color indexed="64"/>
      </top>
      <bottom style="medium">
        <color theme="0"/>
      </bottom>
      <diagonal/>
    </border>
    <border>
      <left style="medium">
        <color theme="0"/>
      </left>
      <right style="medium">
        <color indexed="64"/>
      </right>
      <top style="medium">
        <color indexed="64"/>
      </top>
      <bottom style="medium">
        <color theme="0"/>
      </bottom>
      <diagonal/>
    </border>
    <border>
      <left style="medium">
        <color theme="0"/>
      </left>
      <right style="medium">
        <color theme="0"/>
      </right>
      <top style="medium">
        <color theme="0"/>
      </top>
      <bottom style="thin">
        <color indexed="64"/>
      </bottom>
      <diagonal/>
    </border>
    <border>
      <left style="medium">
        <color theme="0"/>
      </left>
      <right style="medium">
        <color indexed="64"/>
      </right>
      <top style="medium">
        <color theme="0"/>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medium">
        <color indexed="64"/>
      </right>
      <top/>
      <bottom style="thin">
        <color auto="1"/>
      </bottom>
      <diagonal/>
    </border>
    <border>
      <left style="thin">
        <color theme="0"/>
      </left>
      <right style="thin">
        <color theme="0"/>
      </right>
      <top style="thin">
        <color indexed="64"/>
      </top>
      <bottom style="thin">
        <color theme="0"/>
      </bottom>
      <diagonal/>
    </border>
    <border>
      <left/>
      <right style="thin">
        <color rgb="FFFFFFFF"/>
      </right>
      <top style="thin">
        <color indexed="64"/>
      </top>
      <bottom/>
      <diagonal/>
    </border>
    <border>
      <left style="thin">
        <color rgb="FFFFFFFF"/>
      </left>
      <right style="thin">
        <color rgb="FFFFFFFF"/>
      </right>
      <top style="thin">
        <color indexed="64"/>
      </top>
      <bottom/>
      <diagonal/>
    </border>
    <border>
      <left style="thin">
        <color rgb="FFFFFFFF"/>
      </left>
      <right/>
      <top style="thin">
        <color indexed="64"/>
      </top>
      <bottom/>
      <diagonal/>
    </border>
    <border>
      <left/>
      <right style="medium">
        <color indexed="64"/>
      </right>
      <top style="medium">
        <color indexed="64"/>
      </top>
      <bottom/>
      <diagonal/>
    </border>
    <border>
      <left/>
      <right/>
      <top style="thin">
        <color theme="0"/>
      </top>
      <bottom/>
      <diagonal/>
    </border>
    <border>
      <left/>
      <right style="medium">
        <color theme="0"/>
      </right>
      <top style="medium">
        <color indexed="64"/>
      </top>
      <bottom style="medium">
        <color theme="0"/>
      </bottom>
      <diagonal/>
    </border>
    <border>
      <left/>
      <right style="medium">
        <color theme="0"/>
      </right>
      <top style="medium">
        <color theme="0"/>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medium">
        <color indexed="64"/>
      </top>
      <bottom style="medium">
        <color indexed="64"/>
      </bottom>
      <diagonal/>
    </border>
    <border>
      <left/>
      <right/>
      <top/>
      <bottom style="medium">
        <color indexed="64"/>
      </bottom>
      <diagonal/>
    </border>
    <border>
      <left/>
      <right style="thin">
        <color indexed="64"/>
      </right>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medium">
        <color indexed="64"/>
      </bottom>
      <diagonal/>
    </border>
    <border>
      <left style="thin">
        <color indexed="64"/>
      </left>
      <right/>
      <top style="thin">
        <color indexed="64"/>
      </top>
      <bottom style="medium">
        <color indexed="64"/>
      </bottom>
      <diagonal/>
    </border>
    <border>
      <left/>
      <right style="thin">
        <color indexed="64"/>
      </right>
      <top style="medium">
        <color indexed="64"/>
      </top>
      <bottom/>
      <diagonal/>
    </border>
    <border>
      <left style="medium">
        <color indexed="64"/>
      </left>
      <right/>
      <top style="thin">
        <color indexed="64"/>
      </top>
      <bottom/>
      <diagonal/>
    </border>
    <border>
      <left/>
      <right style="thin">
        <color indexed="64"/>
      </right>
      <top style="thin">
        <color indexed="64"/>
      </top>
      <bottom/>
      <diagonal/>
    </border>
    <border>
      <left style="thin">
        <color auto="1"/>
      </left>
      <right style="medium">
        <color indexed="64"/>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medium">
        <color indexed="64"/>
      </bottom>
      <diagonal/>
    </border>
    <border>
      <left/>
      <right/>
      <top/>
      <bottom style="thin">
        <color theme="0"/>
      </bottom>
      <diagonal/>
    </border>
    <border>
      <left/>
      <right style="medium">
        <color indexed="64"/>
      </right>
      <top style="thin">
        <color auto="1"/>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auto="1"/>
      </left>
      <right/>
      <top style="medium">
        <color indexed="64"/>
      </top>
      <bottom style="medium">
        <color indexed="64"/>
      </bottom>
      <diagonal/>
    </border>
    <border>
      <left style="thin">
        <color auto="1"/>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right style="medium">
        <color indexed="64"/>
      </right>
      <top style="thin">
        <color auto="1"/>
      </top>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top style="thin">
        <color indexed="9"/>
      </top>
      <bottom style="medium">
        <color indexed="64"/>
      </bottom>
      <diagonal/>
    </border>
    <border>
      <left style="thin">
        <color indexed="64"/>
      </left>
      <right/>
      <top style="thin">
        <color indexed="9"/>
      </top>
      <bottom style="medium">
        <color indexed="64"/>
      </bottom>
      <diagonal/>
    </border>
    <border>
      <left/>
      <right/>
      <top style="thin">
        <color indexed="9"/>
      </top>
      <bottom style="medium">
        <color indexed="64"/>
      </bottom>
      <diagonal/>
    </border>
    <border>
      <left/>
      <right style="thin">
        <color indexed="64"/>
      </right>
      <top style="thin">
        <color indexed="9"/>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thin">
        <color indexed="64"/>
      </left>
      <right/>
      <top style="thin">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indexed="9"/>
      </bottom>
      <diagonal/>
    </border>
    <border>
      <left/>
      <right style="thin">
        <color indexed="64"/>
      </right>
      <top style="thin">
        <color indexed="9"/>
      </top>
      <bottom style="thin">
        <color indexed="9"/>
      </bottom>
      <diagonal/>
    </border>
    <border>
      <left/>
      <right/>
      <top style="thin">
        <color indexed="9"/>
      </top>
      <bottom style="thin">
        <color indexed="9"/>
      </bottom>
      <diagonal/>
    </border>
    <border>
      <left style="thin">
        <color indexed="64"/>
      </left>
      <right/>
      <top style="thin">
        <color indexed="9"/>
      </top>
      <bottom style="thin">
        <color indexed="9"/>
      </bottom>
      <diagonal/>
    </border>
    <border>
      <left style="medium">
        <color indexed="64"/>
      </left>
      <right/>
      <top style="thin">
        <color indexed="9"/>
      </top>
      <bottom style="thin">
        <color indexed="9"/>
      </bottom>
      <diagonal/>
    </border>
    <border>
      <left style="thin">
        <color theme="0"/>
      </left>
      <right style="thin">
        <color indexed="64"/>
      </right>
      <top style="thin">
        <color indexed="64"/>
      </top>
      <bottom style="thin">
        <color indexed="9"/>
      </bottom>
      <diagonal/>
    </border>
    <border>
      <left style="thin">
        <color theme="0"/>
      </left>
      <right style="thin">
        <color theme="0"/>
      </right>
      <top style="thin">
        <color indexed="64"/>
      </top>
      <bottom style="thin">
        <color indexed="9"/>
      </bottom>
      <diagonal/>
    </border>
    <border>
      <left style="thin">
        <color indexed="64"/>
      </left>
      <right style="thin">
        <color theme="0"/>
      </right>
      <top style="thin">
        <color indexed="64"/>
      </top>
      <bottom style="thin">
        <color indexed="9"/>
      </bottom>
      <diagonal/>
    </border>
    <border>
      <left/>
      <right style="medium">
        <color indexed="64"/>
      </right>
      <top style="thin">
        <color auto="1"/>
      </top>
      <bottom style="thin">
        <color indexed="64"/>
      </bottom>
      <diagonal/>
    </border>
    <border>
      <left style="medium">
        <color indexed="64"/>
      </left>
      <right style="thin">
        <color indexed="64"/>
      </right>
      <top style="thin">
        <color indexed="9"/>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right/>
      <top style="thin">
        <color indexed="64"/>
      </top>
      <bottom style="medium">
        <color indexed="64"/>
      </bottom>
      <diagonal/>
    </border>
    <border>
      <left/>
      <right/>
      <top style="thin">
        <color indexed="64"/>
      </top>
      <bottom/>
      <diagonal/>
    </border>
    <border>
      <left style="thin">
        <color indexed="64"/>
      </left>
      <right/>
      <top style="thin">
        <color indexed="64"/>
      </top>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rgb="FFFFFFFF"/>
      </right>
      <top style="thin">
        <color indexed="64"/>
      </top>
      <bottom/>
      <diagonal/>
    </border>
    <border>
      <left/>
      <right/>
      <top style="thin">
        <color auto="1"/>
      </top>
      <bottom style="thin">
        <color indexed="64"/>
      </bottom>
      <diagonal/>
    </border>
    <border>
      <left/>
      <right style="medium">
        <color indexed="64"/>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medium">
        <color indexed="64"/>
      </right>
      <top style="thin">
        <color indexed="64"/>
      </top>
      <bottom style="thin">
        <color indexed="64"/>
      </bottom>
      <diagonal/>
    </border>
    <border>
      <left style="medium">
        <color indexed="64"/>
      </left>
      <right/>
      <top style="thin">
        <color theme="0"/>
      </top>
      <bottom style="thin">
        <color theme="0"/>
      </bottom>
      <diagonal/>
    </border>
    <border>
      <left/>
      <right style="thin">
        <color indexed="64"/>
      </right>
      <top style="thin">
        <color theme="0"/>
      </top>
      <bottom style="thin">
        <color theme="0"/>
      </bottom>
      <diagonal/>
    </border>
    <border>
      <left style="medium">
        <color indexed="64"/>
      </left>
      <right/>
      <top style="thin">
        <color theme="0"/>
      </top>
      <bottom style="medium">
        <color theme="0"/>
      </bottom>
      <diagonal/>
    </border>
    <border>
      <left style="medium">
        <color theme="0"/>
      </left>
      <right/>
      <top/>
      <bottom/>
      <diagonal/>
    </border>
    <border>
      <left style="medium">
        <color theme="0"/>
      </left>
      <right style="medium">
        <color theme="0"/>
      </right>
      <top style="medium">
        <color theme="0"/>
      </top>
      <bottom style="medium">
        <color theme="0"/>
      </bottom>
      <diagonal/>
    </border>
    <border>
      <left style="medium">
        <color theme="0"/>
      </left>
      <right style="thin">
        <color theme="0"/>
      </right>
      <top/>
      <bottom/>
      <diagonal/>
    </border>
    <border>
      <left style="medium">
        <color theme="0"/>
      </left>
      <right style="medium">
        <color theme="0"/>
      </right>
      <top/>
      <bottom style="medium">
        <color theme="0"/>
      </bottom>
      <diagonal/>
    </border>
    <border>
      <left style="medium">
        <color theme="1"/>
      </left>
      <right/>
      <top style="medium">
        <color indexed="64"/>
      </top>
      <bottom style="medium">
        <color theme="0"/>
      </bottom>
      <diagonal/>
    </border>
    <border>
      <left style="medium">
        <color theme="1"/>
      </left>
      <right style="thin">
        <color indexed="64"/>
      </right>
      <top/>
      <bottom/>
      <diagonal/>
    </border>
    <border>
      <left style="medium">
        <color theme="1"/>
      </left>
      <right style="thin">
        <color theme="0"/>
      </right>
      <top style="medium">
        <color theme="0"/>
      </top>
      <bottom/>
      <diagonal/>
    </border>
    <border>
      <left style="medium">
        <color indexed="64"/>
      </left>
      <right/>
      <top/>
      <bottom style="thin">
        <color theme="0"/>
      </bottom>
      <diagonal/>
    </border>
    <border>
      <left style="thin">
        <color indexed="64"/>
      </left>
      <right/>
      <top style="medium">
        <color indexed="64"/>
      </top>
      <bottom style="thin">
        <color theme="0"/>
      </bottom>
      <diagonal/>
    </border>
    <border>
      <left/>
      <right/>
      <top style="medium">
        <color indexed="64"/>
      </top>
      <bottom style="medium">
        <color theme="0"/>
      </bottom>
      <diagonal/>
    </border>
    <border>
      <left style="thin">
        <color indexed="64"/>
      </left>
      <right/>
      <top style="thin">
        <color theme="0"/>
      </top>
      <bottom style="thin">
        <color theme="0"/>
      </bottom>
      <diagonal/>
    </border>
    <border>
      <left/>
      <right style="thin">
        <color theme="0"/>
      </right>
      <top style="medium">
        <color theme="0"/>
      </top>
      <bottom/>
      <diagonal/>
    </border>
    <border>
      <left/>
      <right/>
      <top style="thin">
        <color theme="0"/>
      </top>
      <bottom style="medium">
        <color theme="0"/>
      </bottom>
      <diagonal/>
    </border>
    <border>
      <left/>
      <right style="medium">
        <color theme="0"/>
      </right>
      <top style="medium">
        <color theme="0"/>
      </top>
      <bottom/>
      <diagonal/>
    </border>
    <border>
      <left style="medium">
        <color theme="1"/>
      </left>
      <right style="medium">
        <color theme="0"/>
      </right>
      <top style="medium">
        <color theme="0"/>
      </top>
      <bottom/>
      <diagonal/>
    </border>
    <border>
      <left/>
      <right style="medium">
        <color indexed="64"/>
      </right>
      <top style="thin">
        <color auto="1"/>
      </top>
      <bottom/>
      <diagonal/>
    </border>
    <border>
      <left style="thin">
        <color auto="1"/>
      </left>
      <right style="thin">
        <color auto="1"/>
      </right>
      <top style="thin">
        <color auto="1"/>
      </top>
      <bottom style="thin">
        <color auto="1"/>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thick">
        <color indexed="64"/>
      </right>
      <top style="thick">
        <color indexed="64"/>
      </top>
      <bottom/>
      <diagonal/>
    </border>
    <border>
      <left style="thick">
        <color indexed="64"/>
      </left>
      <right/>
      <top/>
      <bottom/>
      <diagonal/>
    </border>
    <border>
      <left style="medium">
        <color theme="1"/>
      </left>
      <right style="thin">
        <color indexed="64"/>
      </right>
      <top style="medium">
        <color theme="1"/>
      </top>
      <bottom/>
      <diagonal/>
    </border>
    <border>
      <left style="thin">
        <color indexed="64"/>
      </left>
      <right style="medium">
        <color theme="1"/>
      </right>
      <top style="medium">
        <color theme="1"/>
      </top>
      <bottom/>
      <diagonal/>
    </border>
    <border>
      <left style="thick">
        <color indexed="64"/>
      </left>
      <right style="medium">
        <color indexed="64"/>
      </right>
      <top/>
      <bottom style="medium">
        <color indexed="64"/>
      </bottom>
      <diagonal/>
    </border>
    <border>
      <left style="medium">
        <color indexed="64"/>
      </left>
      <right style="thick">
        <color indexed="64"/>
      </right>
      <top/>
      <bottom style="medium">
        <color indexed="64"/>
      </bottom>
      <diagonal/>
    </border>
    <border>
      <left style="medium">
        <color theme="1"/>
      </left>
      <right style="thin">
        <color indexed="64"/>
      </right>
      <top style="medium">
        <color theme="1"/>
      </top>
      <bottom style="medium">
        <color theme="1"/>
      </bottom>
      <diagonal/>
    </border>
    <border>
      <left style="thin">
        <color indexed="64"/>
      </left>
      <right style="medium">
        <color theme="1"/>
      </right>
      <top style="medium">
        <color theme="1"/>
      </top>
      <bottom style="medium">
        <color theme="1"/>
      </bottom>
      <diagonal/>
    </border>
    <border>
      <left/>
      <right style="thick">
        <color indexed="64"/>
      </right>
      <top/>
      <bottom style="medium">
        <color indexed="64"/>
      </bottom>
      <diagonal/>
    </border>
    <border>
      <left style="medium">
        <color theme="1"/>
      </left>
      <right style="thin">
        <color indexed="64"/>
      </right>
      <top/>
      <bottom style="thin">
        <color indexed="64"/>
      </bottom>
      <diagonal/>
    </border>
    <border>
      <left style="thin">
        <color indexed="64"/>
      </left>
      <right style="medium">
        <color theme="1"/>
      </right>
      <top/>
      <bottom style="thin">
        <color indexed="64"/>
      </bottom>
      <diagonal/>
    </border>
    <border>
      <left style="medium">
        <color theme="1"/>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thick">
        <color indexed="64"/>
      </left>
      <right style="medium">
        <color indexed="64"/>
      </right>
      <top style="medium">
        <color indexed="64"/>
      </top>
      <bottom style="medium">
        <color indexed="64"/>
      </bottom>
      <diagonal/>
    </border>
    <border>
      <left style="thick">
        <color indexed="64"/>
      </left>
      <right style="medium">
        <color indexed="64"/>
      </right>
      <top/>
      <bottom style="thick">
        <color indexed="64"/>
      </bottom>
      <diagonal/>
    </border>
    <border>
      <left/>
      <right style="thick">
        <color indexed="64"/>
      </right>
      <top/>
      <bottom/>
      <diagonal/>
    </border>
    <border>
      <left style="medium">
        <color theme="1"/>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thick">
        <color indexed="64"/>
      </left>
      <right style="thick">
        <color indexed="64"/>
      </right>
      <top/>
      <bottom style="thick">
        <color indexed="64"/>
      </bottom>
      <diagonal/>
    </border>
    <border>
      <left/>
      <right style="thick">
        <color indexed="64"/>
      </right>
      <top/>
      <bottom style="thick">
        <color indexed="64"/>
      </bottom>
      <diagonal/>
    </border>
    <border>
      <left style="thick">
        <color indexed="64"/>
      </left>
      <right style="thick">
        <color indexed="64"/>
      </right>
      <top style="thick">
        <color indexed="64"/>
      </top>
      <bottom style="thick">
        <color indexed="64"/>
      </bottom>
      <diagonal/>
    </border>
    <border>
      <left/>
      <right/>
      <top/>
      <bottom style="medium">
        <color theme="1"/>
      </bottom>
      <diagonal/>
    </border>
    <border>
      <left style="medium">
        <color indexed="64"/>
      </left>
      <right style="thick">
        <color indexed="64"/>
      </right>
      <top style="medium">
        <color indexed="64"/>
      </top>
      <bottom style="medium">
        <color indexed="64"/>
      </bottom>
      <diagonal/>
    </border>
    <border>
      <left/>
      <right style="medium">
        <color indexed="64"/>
      </right>
      <top/>
      <bottom style="thick">
        <color indexed="64"/>
      </bottom>
      <diagonal/>
    </border>
    <border>
      <left style="thick">
        <color indexed="64"/>
      </left>
      <right/>
      <top style="medium">
        <color indexed="64"/>
      </top>
      <bottom style="medium">
        <color indexed="64"/>
      </bottom>
      <diagonal/>
    </border>
    <border>
      <left/>
      <right style="thick">
        <color indexed="64"/>
      </right>
      <top style="medium">
        <color indexed="64"/>
      </top>
      <bottom style="medium">
        <color indexed="64"/>
      </bottom>
      <diagonal/>
    </border>
    <border>
      <left style="medium">
        <color theme="1"/>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style="thick">
        <color indexed="64"/>
      </left>
      <right style="medium">
        <color indexed="64"/>
      </right>
      <top style="medium">
        <color indexed="64"/>
      </top>
      <bottom style="thick">
        <color indexed="64"/>
      </bottom>
      <diagonal/>
    </border>
    <border>
      <left style="medium">
        <color indexed="64"/>
      </left>
      <right style="medium">
        <color indexed="64"/>
      </right>
      <top style="medium">
        <color indexed="64"/>
      </top>
      <bottom style="thick">
        <color indexed="64"/>
      </bottom>
      <diagonal/>
    </border>
    <border>
      <left/>
      <right style="medium">
        <color indexed="64"/>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medium">
        <color indexed="64"/>
      </right>
      <top style="thick">
        <color indexed="64"/>
      </top>
      <bottom style="thick">
        <color indexed="64"/>
      </bottom>
      <diagonal/>
    </border>
    <border>
      <left/>
      <right style="medium">
        <color indexed="64"/>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style="medium">
        <color indexed="64"/>
      </right>
      <top/>
      <bottom/>
      <diagonal/>
    </border>
    <border>
      <left style="medium">
        <color theme="1"/>
      </left>
      <right style="thin">
        <color theme="1"/>
      </right>
      <top style="medium">
        <color theme="1"/>
      </top>
      <bottom style="medium">
        <color theme="1"/>
      </bottom>
      <diagonal/>
    </border>
    <border>
      <left style="thin">
        <color theme="1"/>
      </left>
      <right style="medium">
        <color theme="1"/>
      </right>
      <top style="medium">
        <color theme="1"/>
      </top>
      <bottom style="medium">
        <color theme="1"/>
      </bottom>
      <diagonal/>
    </border>
    <border>
      <left/>
      <right/>
      <top/>
      <bottom style="thick">
        <color indexed="64"/>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thick">
        <color indexed="64"/>
      </left>
      <right/>
      <top/>
      <bottom style="medium">
        <color indexed="64"/>
      </bottom>
      <diagonal/>
    </border>
    <border>
      <left style="medium">
        <color indexed="64"/>
      </left>
      <right style="medium">
        <color indexed="64"/>
      </right>
      <top/>
      <bottom style="thick">
        <color indexed="64"/>
      </bottom>
      <diagonal/>
    </border>
    <border>
      <left style="medium">
        <color indexed="64"/>
      </left>
      <right style="thick">
        <color indexed="64"/>
      </right>
      <top/>
      <bottom style="thick">
        <color indexed="64"/>
      </bottom>
      <diagonal/>
    </border>
    <border>
      <left style="medium">
        <color indexed="64"/>
      </left>
      <right style="medium">
        <color indexed="64"/>
      </right>
      <top style="thick">
        <color indexed="64"/>
      </top>
      <bottom style="thick">
        <color indexed="64"/>
      </bottom>
      <diagonal/>
    </border>
    <border>
      <left style="medium">
        <color indexed="64"/>
      </left>
      <right style="thick">
        <color indexed="64"/>
      </right>
      <top style="thick">
        <color indexed="64"/>
      </top>
      <bottom style="thick">
        <color indexed="64"/>
      </bottom>
      <diagonal/>
    </border>
    <border>
      <left style="thick">
        <color indexed="64"/>
      </left>
      <right/>
      <top style="medium">
        <color indexed="64"/>
      </top>
      <bottom/>
      <diagonal/>
    </border>
    <border>
      <left/>
      <right style="thick">
        <color indexed="64"/>
      </right>
      <top style="medium">
        <color indexed="64"/>
      </top>
      <bottom/>
      <diagonal/>
    </border>
    <border>
      <left style="thin">
        <color theme="5"/>
      </left>
      <right/>
      <top style="thin">
        <color theme="5"/>
      </top>
      <bottom/>
      <diagonal/>
    </border>
    <border>
      <left/>
      <right/>
      <top style="thin">
        <color theme="5"/>
      </top>
      <bottom/>
      <diagonal/>
    </border>
    <border>
      <left/>
      <right style="thin">
        <color theme="5"/>
      </right>
      <top style="thin">
        <color theme="5"/>
      </top>
      <bottom/>
      <diagonal/>
    </border>
    <border>
      <left style="thin">
        <color theme="5"/>
      </left>
      <right/>
      <top style="double">
        <color theme="5"/>
      </top>
      <bottom style="thin">
        <color theme="5"/>
      </bottom>
      <diagonal/>
    </border>
    <border>
      <left/>
      <right/>
      <top style="double">
        <color theme="5"/>
      </top>
      <bottom style="thin">
        <color theme="5"/>
      </bottom>
      <diagonal/>
    </border>
    <border>
      <left/>
      <right style="thin">
        <color theme="5"/>
      </right>
      <top style="double">
        <color theme="5"/>
      </top>
      <bottom style="thin">
        <color theme="5"/>
      </bottom>
      <diagonal/>
    </border>
    <border>
      <left style="thin">
        <color auto="1"/>
      </left>
      <right style="thin">
        <color auto="1"/>
      </right>
      <top style="thin">
        <color auto="1"/>
      </top>
      <bottom/>
      <diagonal/>
    </border>
    <border>
      <left style="thin">
        <color auto="1"/>
      </left>
      <right style="thin">
        <color auto="1"/>
      </right>
      <top/>
      <bottom style="double">
        <color auto="1"/>
      </bottom>
      <diagonal/>
    </border>
    <border>
      <left style="thin">
        <color indexed="64"/>
      </left>
      <right/>
      <top style="thin">
        <color indexed="64"/>
      </top>
      <bottom/>
      <diagonal/>
    </border>
    <border>
      <left/>
      <right/>
      <top style="thin">
        <color indexed="64"/>
      </top>
      <bottom/>
      <diagonal/>
    </border>
    <border>
      <left style="thin">
        <color auto="1"/>
      </left>
      <right/>
      <top/>
      <bottom style="double">
        <color auto="1"/>
      </bottom>
      <diagonal/>
    </border>
    <border>
      <left/>
      <right/>
      <top/>
      <bottom style="double">
        <color auto="1"/>
      </bottom>
      <diagonal/>
    </border>
    <border>
      <left/>
      <right style="thin">
        <color auto="1"/>
      </right>
      <top/>
      <bottom style="double">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theme="5"/>
      </left>
      <right/>
      <top style="thin">
        <color theme="5"/>
      </top>
      <bottom style="thin">
        <color theme="5"/>
      </bottom>
      <diagonal/>
    </border>
    <border>
      <left/>
      <right/>
      <top style="thin">
        <color theme="5"/>
      </top>
      <bottom style="thin">
        <color theme="5"/>
      </bottom>
      <diagonal/>
    </border>
    <border>
      <left/>
      <right style="thin">
        <color theme="5"/>
      </right>
      <top style="thin">
        <color theme="5"/>
      </top>
      <bottom style="thin">
        <color theme="5"/>
      </bottom>
      <diagonal/>
    </border>
    <border>
      <left style="thin">
        <color theme="5"/>
      </left>
      <right/>
      <top style="thin">
        <color theme="5"/>
      </top>
      <bottom style="double">
        <color theme="5"/>
      </bottom>
      <diagonal/>
    </border>
    <border>
      <left/>
      <right/>
      <top style="thin">
        <color theme="5"/>
      </top>
      <bottom style="double">
        <color theme="5"/>
      </bottom>
      <diagonal/>
    </border>
    <border>
      <left/>
      <right style="thin">
        <color theme="5"/>
      </right>
      <top style="thin">
        <color theme="5"/>
      </top>
      <bottom style="double">
        <color theme="5"/>
      </bottom>
      <diagonal/>
    </border>
    <border>
      <left style="thin">
        <color theme="5"/>
      </left>
      <right style="thin">
        <color theme="5"/>
      </right>
      <top style="double">
        <color theme="5"/>
      </top>
      <bottom style="thin">
        <color theme="5"/>
      </bottom>
      <diagonal/>
    </border>
    <border>
      <left style="thin">
        <color theme="5"/>
      </left>
      <right style="thin">
        <color theme="5"/>
      </right>
      <top style="thin">
        <color theme="5"/>
      </top>
      <bottom style="thin">
        <color theme="5"/>
      </bottom>
      <diagonal/>
    </border>
    <border>
      <left style="medium">
        <color theme="7"/>
      </left>
      <right style="medium">
        <color theme="7"/>
      </right>
      <top style="medium">
        <color theme="7"/>
      </top>
      <bottom style="medium">
        <color theme="7"/>
      </bottom>
      <diagonal/>
    </border>
    <border>
      <left style="medium">
        <color indexed="64"/>
      </left>
      <right/>
      <top/>
      <bottom style="thick">
        <color indexed="64"/>
      </bottom>
      <diagonal/>
    </border>
    <border>
      <left style="medium">
        <color indexed="64"/>
      </left>
      <right/>
      <top/>
      <bottom style="double">
        <color indexed="64"/>
      </bottom>
      <diagonal/>
    </border>
    <border>
      <left style="medium">
        <color indexed="64"/>
      </left>
      <right style="medium">
        <color indexed="64"/>
      </right>
      <top style="thick">
        <color indexed="64"/>
      </top>
      <bottom/>
      <diagonal/>
    </border>
    <border>
      <left/>
      <right style="medium">
        <color indexed="64"/>
      </right>
      <top/>
      <bottom style="double">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medium">
        <color indexed="64"/>
      </left>
      <right style="medium">
        <color indexed="64"/>
      </right>
      <top style="thin">
        <color indexed="64"/>
      </top>
      <bottom style="double">
        <color indexed="64"/>
      </bottom>
      <diagonal/>
    </border>
    <border>
      <left/>
      <right style="thin">
        <color indexed="64"/>
      </right>
      <top style="thin">
        <color indexed="64"/>
      </top>
      <bottom style="double">
        <color indexed="64"/>
      </bottom>
      <diagonal/>
    </border>
    <border>
      <left/>
      <right/>
      <top style="thin">
        <color theme="0" tint="-0.24994659260841701"/>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medium">
        <color indexed="64"/>
      </left>
      <right style="thin">
        <color indexed="64"/>
      </right>
      <top style="thin">
        <color indexed="64"/>
      </top>
      <bottom/>
      <diagonal/>
    </border>
    <border>
      <left style="thick">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thin">
        <color indexed="64"/>
      </right>
      <top style="thin">
        <color indexed="64"/>
      </top>
      <bottom style="medium">
        <color indexed="64"/>
      </bottom>
      <diagonal/>
    </border>
    <border>
      <left style="thin">
        <color indexed="64"/>
      </left>
      <right style="thick">
        <color indexed="64"/>
      </right>
      <top style="thin">
        <color indexed="64"/>
      </top>
      <bottom style="medium">
        <color indexed="64"/>
      </bottom>
      <diagonal/>
    </border>
    <border>
      <left style="thin">
        <color indexed="64"/>
      </left>
      <right style="thick">
        <color indexed="64"/>
      </right>
      <top style="medium">
        <color indexed="64"/>
      </top>
      <bottom/>
      <diagonal/>
    </border>
    <border>
      <left style="thin">
        <color indexed="64"/>
      </left>
      <right style="thick">
        <color indexed="64"/>
      </right>
      <top/>
      <bottom/>
      <diagonal/>
    </border>
    <border>
      <left style="thick">
        <color indexed="64"/>
      </left>
      <right/>
      <top/>
      <bottom style="thick">
        <color indexed="64"/>
      </bottom>
      <diagonal/>
    </border>
    <border>
      <left style="thin">
        <color indexed="64"/>
      </left>
      <right/>
      <top/>
      <bottom style="thick">
        <color indexed="64"/>
      </bottom>
      <diagonal/>
    </border>
    <border>
      <left style="thin">
        <color indexed="64"/>
      </left>
      <right style="thick">
        <color indexed="64"/>
      </right>
      <top/>
      <bottom style="thick">
        <color indexed="64"/>
      </bottom>
      <diagonal/>
    </border>
    <border>
      <left style="thick">
        <color indexed="64"/>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thin">
        <color indexed="64"/>
      </right>
      <top/>
      <bottom style="thin">
        <color indexed="64"/>
      </bottom>
      <diagonal/>
    </border>
    <border>
      <left style="medium">
        <color indexed="64"/>
      </left>
      <right style="thick">
        <color indexed="64"/>
      </right>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style="thin">
        <color indexed="64"/>
      </right>
      <top/>
      <bottom style="thick">
        <color indexed="64"/>
      </bottom>
      <diagonal/>
    </border>
    <border>
      <left style="thick">
        <color rgb="FFFF0000"/>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right style="thick">
        <color rgb="FFFF0000"/>
      </right>
      <top/>
      <bottom style="thick">
        <color rgb="FFFF0000"/>
      </bottom>
      <diagonal/>
    </border>
    <border>
      <left style="thick">
        <color rgb="FFFF0000"/>
      </left>
      <right style="thick">
        <color rgb="FFFF0000"/>
      </right>
      <top style="thick">
        <color rgb="FFFF0000"/>
      </top>
      <bottom/>
      <diagonal/>
    </border>
    <border>
      <left style="thick">
        <color rgb="FFFF0000"/>
      </left>
      <right style="thick">
        <color rgb="FFFF0000"/>
      </right>
      <top/>
      <bottom/>
      <diagonal/>
    </border>
    <border>
      <left style="thick">
        <color rgb="FFFF0000"/>
      </left>
      <right style="thick">
        <color rgb="FFFF0000"/>
      </right>
      <top/>
      <bottom style="thick">
        <color rgb="FFFF0000"/>
      </bottom>
      <diagonal/>
    </border>
    <border>
      <left style="medium">
        <color rgb="FFC00000"/>
      </left>
      <right style="medium">
        <color rgb="FFC00000"/>
      </right>
      <top style="medium">
        <color rgb="FFC00000"/>
      </top>
      <bottom style="medium">
        <color rgb="FFC00000"/>
      </bottom>
      <diagonal/>
    </border>
    <border>
      <left/>
      <right style="medium">
        <color rgb="FFC00000"/>
      </right>
      <top style="medium">
        <color rgb="FFC00000"/>
      </top>
      <bottom style="medium">
        <color rgb="FFC00000"/>
      </bottom>
      <diagonal/>
    </border>
  </borders>
  <cellStyleXfs count="75">
    <xf numFmtId="0" fontId="0" fillId="0" borderId="0"/>
    <xf numFmtId="0" fontId="3"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5" fillId="0" borderId="0"/>
    <xf numFmtId="0" fontId="5" fillId="0" borderId="0"/>
    <xf numFmtId="0" fontId="5" fillId="0" borderId="0" applyFont="0" applyFill="0" applyBorder="0" applyAlignment="0" applyProtection="0"/>
    <xf numFmtId="164" fontId="5" fillId="0" borderId="0" applyFont="0" applyFill="0" applyBorder="0" applyAlignment="0" applyProtection="0"/>
    <xf numFmtId="43" fontId="4" fillId="0" borderId="0" applyFont="0" applyFill="0" applyBorder="0" applyAlignment="0" applyProtection="0"/>
    <xf numFmtId="44" fontId="5" fillId="0" borderId="0" applyFont="0" applyFill="0" applyBorder="0" applyAlignment="0" applyProtection="0"/>
    <xf numFmtId="44" fontId="4" fillId="0" borderId="0" applyFont="0" applyFill="0" applyBorder="0" applyAlignment="0" applyProtection="0"/>
    <xf numFmtId="0" fontId="5" fillId="0" borderId="0"/>
    <xf numFmtId="0" fontId="1" fillId="0" borderId="0"/>
    <xf numFmtId="9" fontId="5" fillId="0" borderId="0" applyFont="0" applyFill="0" applyBorder="0" applyAlignment="0" applyProtection="0"/>
    <xf numFmtId="9" fontId="4" fillId="0" borderId="0" applyFont="0" applyFill="0" applyBorder="0" applyAlignment="0" applyProtection="0"/>
    <xf numFmtId="4" fontId="7" fillId="6" borderId="1" applyNumberFormat="0" applyProtection="0">
      <alignment vertical="center"/>
    </xf>
    <xf numFmtId="4" fontId="6" fillId="7" borderId="0" applyNumberFormat="0" applyProtection="0">
      <alignment horizontal="left" vertical="center" indent="1"/>
    </xf>
    <xf numFmtId="4" fontId="6" fillId="8" borderId="1" applyNumberFormat="0" applyProtection="0">
      <alignment horizontal="right" vertical="center"/>
    </xf>
    <xf numFmtId="4" fontId="6" fillId="9" borderId="1" applyNumberFormat="0" applyProtection="0">
      <alignment horizontal="right" vertical="center"/>
    </xf>
    <xf numFmtId="4" fontId="7" fillId="8" borderId="1" applyNumberFormat="0" applyProtection="0">
      <alignment horizontal="left" vertical="center" indent="1"/>
    </xf>
    <xf numFmtId="0" fontId="8" fillId="0" borderId="0"/>
    <xf numFmtId="0" fontId="1" fillId="0" borderId="0"/>
    <xf numFmtId="44" fontId="1" fillId="0" borderId="0" applyFont="0" applyFill="0" applyBorder="0" applyAlignment="0" applyProtection="0"/>
    <xf numFmtId="43" fontId="1" fillId="0" borderId="0" applyFont="0" applyFill="0" applyBorder="0" applyAlignment="0" applyProtection="0"/>
    <xf numFmtId="172" fontId="1" fillId="0" borderId="0"/>
    <xf numFmtId="172" fontId="41" fillId="0" borderId="0" applyNumberFormat="0" applyFill="0" applyBorder="0" applyAlignment="0" applyProtection="0"/>
    <xf numFmtId="172" fontId="5" fillId="0" borderId="0"/>
    <xf numFmtId="0" fontId="44" fillId="0" borderId="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 borderId="0" applyNumberFormat="0" applyBorder="0" applyAlignment="0" applyProtection="0"/>
    <xf numFmtId="0" fontId="1" fillId="51" borderId="0" applyNumberFormat="0" applyBorder="0" applyAlignment="0" applyProtection="0"/>
    <xf numFmtId="0" fontId="1" fillId="5" borderId="0" applyNumberFormat="0" applyBorder="0" applyAlignment="0" applyProtection="0"/>
    <xf numFmtId="0" fontId="3" fillId="38"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8" borderId="0" applyNumberFormat="0" applyBorder="0" applyAlignment="0" applyProtection="0"/>
    <xf numFmtId="0" fontId="3" fillId="52" borderId="0" applyNumberFormat="0" applyBorder="0" applyAlignment="0" applyProtection="0"/>
    <xf numFmtId="0" fontId="3" fillId="55" borderId="0" applyNumberFormat="0" applyBorder="0" applyAlignment="0" applyProtection="0"/>
    <xf numFmtId="0" fontId="3" fillId="2"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49" borderId="0" applyNumberFormat="0" applyBorder="0" applyAlignment="0" applyProtection="0"/>
    <xf numFmtId="0" fontId="3" fillId="53" borderId="0" applyNumberFormat="0" applyBorder="0" applyAlignment="0" applyProtection="0"/>
    <xf numFmtId="0" fontId="31" fillId="30" borderId="0" applyNumberFormat="0" applyBorder="0" applyAlignment="0" applyProtection="0"/>
    <xf numFmtId="0" fontId="35" fillId="33" borderId="54" applyNumberFormat="0" applyAlignment="0" applyProtection="0"/>
    <xf numFmtId="0" fontId="10" fillId="34" borderId="57" applyNumberFormat="0" applyAlignment="0" applyProtection="0"/>
    <xf numFmtId="0" fontId="38" fillId="0" borderId="0" applyNumberFormat="0" applyFill="0" applyBorder="0" applyAlignment="0" applyProtection="0"/>
    <xf numFmtId="0" fontId="30" fillId="29" borderId="0" applyNumberFormat="0" applyBorder="0" applyAlignment="0" applyProtection="0"/>
    <xf numFmtId="0" fontId="27" fillId="0" borderId="51" applyNumberFormat="0" applyFill="0" applyAlignment="0" applyProtection="0"/>
    <xf numFmtId="0" fontId="28" fillId="0" borderId="52" applyNumberFormat="0" applyFill="0" applyAlignment="0" applyProtection="0"/>
    <xf numFmtId="0" fontId="29" fillId="0" borderId="53" applyNumberFormat="0" applyFill="0" applyAlignment="0" applyProtection="0"/>
    <xf numFmtId="0" fontId="29" fillId="0" borderId="0" applyNumberFormat="0" applyFill="0" applyBorder="0" applyAlignment="0" applyProtection="0"/>
    <xf numFmtId="0" fontId="33" fillId="32" borderId="54" applyNumberFormat="0" applyAlignment="0" applyProtection="0"/>
    <xf numFmtId="0" fontId="36" fillId="0" borderId="56" applyNumberFormat="0" applyFill="0" applyAlignment="0" applyProtection="0"/>
    <xf numFmtId="0" fontId="32" fillId="31" borderId="0" applyNumberFormat="0" applyBorder="0" applyAlignment="0" applyProtection="0"/>
    <xf numFmtId="0" fontId="1" fillId="35" borderId="58" applyNumberFormat="0" applyFont="0" applyAlignment="0" applyProtection="0"/>
    <xf numFmtId="0" fontId="34" fillId="33" borderId="55" applyNumberFormat="0" applyAlignment="0" applyProtection="0"/>
    <xf numFmtId="0" fontId="26" fillId="0" borderId="0" applyNumberFormat="0" applyFill="0" applyBorder="0" applyAlignment="0" applyProtection="0"/>
    <xf numFmtId="0" fontId="2" fillId="0" borderId="59" applyNumberFormat="0" applyFill="0" applyAlignment="0" applyProtection="0"/>
    <xf numFmtId="0" fontId="37" fillId="0" borderId="0" applyNumberFormat="0" applyFill="0" applyBorder="0" applyAlignment="0" applyProtection="0"/>
    <xf numFmtId="9" fontId="1" fillId="0" borderId="0" applyFont="0" applyFill="0" applyBorder="0" applyAlignment="0" applyProtection="0"/>
    <xf numFmtId="0" fontId="86" fillId="0" borderId="0"/>
    <xf numFmtId="9" fontId="86" fillId="0" borderId="0" applyFont="0" applyFill="0" applyBorder="0" applyAlignment="0" applyProtection="0"/>
    <xf numFmtId="43" fontId="86" fillId="0" borderId="0" applyFont="0" applyFill="0" applyBorder="0" applyAlignment="0" applyProtection="0"/>
    <xf numFmtId="43" fontId="5" fillId="0" borderId="0" applyFont="0" applyFill="0" applyBorder="0" applyAlignment="0" applyProtection="0"/>
  </cellStyleXfs>
  <cellXfs count="1888">
    <xf numFmtId="0" fontId="0" fillId="0" borderId="0" xfId="0"/>
    <xf numFmtId="0" fontId="0" fillId="0" borderId="0" xfId="0" applyBorder="1"/>
    <xf numFmtId="0" fontId="2" fillId="0" borderId="0" xfId="0" applyFont="1"/>
    <xf numFmtId="0" fontId="13" fillId="0" borderId="0" xfId="0" applyFont="1" applyBorder="1"/>
    <xf numFmtId="0" fontId="0" fillId="0" borderId="0" xfId="0" applyFill="1" applyBorder="1"/>
    <xf numFmtId="0" fontId="0" fillId="0" borderId="0" xfId="0" applyAlignment="1">
      <alignment wrapText="1"/>
    </xf>
    <xf numFmtId="0" fontId="0" fillId="0" borderId="0" xfId="0" applyFill="1" applyBorder="1" applyAlignment="1">
      <alignment horizontal="left" indent="1"/>
    </xf>
    <xf numFmtId="0" fontId="10" fillId="16" borderId="0" xfId="0" applyFont="1" applyFill="1" applyBorder="1" applyAlignment="1">
      <alignment horizontal="center"/>
    </xf>
    <xf numFmtId="0" fontId="10" fillId="16" borderId="0" xfId="0" applyFont="1" applyFill="1" applyBorder="1"/>
    <xf numFmtId="0" fontId="2" fillId="15" borderId="0" xfId="0" applyFont="1" applyFill="1" applyBorder="1" applyAlignment="1">
      <alignment horizontal="center"/>
    </xf>
    <xf numFmtId="0" fontId="10" fillId="18" borderId="3" xfId="0" applyFont="1" applyFill="1" applyBorder="1"/>
    <xf numFmtId="0" fontId="11" fillId="22" borderId="3" xfId="0" applyFont="1" applyFill="1" applyBorder="1"/>
    <xf numFmtId="0" fontId="10" fillId="16" borderId="3" xfId="0" applyFont="1" applyFill="1" applyBorder="1"/>
    <xf numFmtId="0" fontId="11" fillId="15" borderId="3" xfId="0" applyFont="1" applyFill="1" applyBorder="1"/>
    <xf numFmtId="0" fontId="11" fillId="0" borderId="0" xfId="0" applyFont="1" applyFill="1" applyBorder="1"/>
    <xf numFmtId="0" fontId="11" fillId="15" borderId="0" xfId="0" applyFont="1" applyFill="1" applyBorder="1"/>
    <xf numFmtId="0" fontId="13" fillId="14" borderId="0" xfId="0" applyFont="1" applyFill="1" applyBorder="1"/>
    <xf numFmtId="0" fontId="13" fillId="0" borderId="0" xfId="0" applyFont="1" applyBorder="1" applyAlignment="1">
      <alignment horizontal="center" vertical="center"/>
    </xf>
    <xf numFmtId="0" fontId="20" fillId="0" borderId="33" xfId="0" applyFont="1" applyBorder="1"/>
    <xf numFmtId="165" fontId="20" fillId="0" borderId="15" xfId="0" applyNumberFormat="1" applyFont="1" applyBorder="1"/>
    <xf numFmtId="165" fontId="20" fillId="0" borderId="0" xfId="0" applyNumberFormat="1" applyFont="1" applyBorder="1"/>
    <xf numFmtId="165" fontId="20" fillId="0" borderId="34" xfId="0" applyNumberFormat="1" applyFont="1" applyBorder="1"/>
    <xf numFmtId="0" fontId="20" fillId="0" borderId="40" xfId="0" applyFont="1" applyBorder="1"/>
    <xf numFmtId="0" fontId="20" fillId="0" borderId="41" xfId="0" applyFont="1" applyBorder="1"/>
    <xf numFmtId="0" fontId="23" fillId="0" borderId="42" xfId="0" applyFont="1" applyBorder="1" applyAlignment="1">
      <alignment horizontal="left" indent="2"/>
    </xf>
    <xf numFmtId="0" fontId="20" fillId="0" borderId="42" xfId="0" applyFont="1" applyBorder="1" applyAlignment="1">
      <alignment horizontal="left" indent="3"/>
    </xf>
    <xf numFmtId="0" fontId="23" fillId="0" borderId="42" xfId="0" applyFont="1" applyBorder="1" applyAlignment="1">
      <alignment horizontal="left" indent="1"/>
    </xf>
    <xf numFmtId="0" fontId="20" fillId="0" borderId="42" xfId="0" applyFont="1" applyBorder="1" applyAlignment="1">
      <alignment horizontal="left" indent="2"/>
    </xf>
    <xf numFmtId="0" fontId="20" fillId="0" borderId="42" xfId="0" applyFont="1" applyBorder="1"/>
    <xf numFmtId="0" fontId="20" fillId="0" borderId="43" xfId="0" applyFont="1" applyBorder="1"/>
    <xf numFmtId="0" fontId="20" fillId="0" borderId="44" xfId="0" applyFont="1" applyBorder="1"/>
    <xf numFmtId="0" fontId="20" fillId="0" borderId="45" xfId="0" applyFont="1" applyBorder="1"/>
    <xf numFmtId="0" fontId="18" fillId="25" borderId="0" xfId="0" applyFont="1" applyFill="1" applyBorder="1" applyAlignment="1">
      <alignment horizontal="left"/>
    </xf>
    <xf numFmtId="0" fontId="18" fillId="25" borderId="0" xfId="0" applyFont="1" applyFill="1" applyBorder="1"/>
    <xf numFmtId="172" fontId="1" fillId="0" borderId="0" xfId="25" applyAlignment="1">
      <alignment vertical="center" wrapText="1"/>
    </xf>
    <xf numFmtId="172" fontId="40" fillId="0" borderId="0" xfId="25" applyFont="1" applyAlignment="1">
      <alignment vertical="center" wrapText="1"/>
    </xf>
    <xf numFmtId="0" fontId="39" fillId="56" borderId="46" xfId="25" applyNumberFormat="1" applyFont="1" applyFill="1" applyBorder="1" applyAlignment="1" applyProtection="1">
      <alignment horizontal="center" vertical="center" wrapText="1"/>
    </xf>
    <xf numFmtId="1" fontId="39" fillId="56" borderId="46" xfId="25" applyNumberFormat="1" applyFont="1" applyFill="1" applyBorder="1" applyAlignment="1" applyProtection="1">
      <alignment horizontal="center" vertical="center" wrapText="1"/>
    </xf>
    <xf numFmtId="172" fontId="39" fillId="56" borderId="46" xfId="25" applyNumberFormat="1" applyFont="1" applyFill="1" applyBorder="1" applyAlignment="1" applyProtection="1">
      <alignment horizontal="center" vertical="center" wrapText="1"/>
    </xf>
    <xf numFmtId="172" fontId="0" fillId="0" borderId="0" xfId="25" applyFont="1" applyAlignment="1">
      <alignment horizontal="center" vertical="center" wrapText="1"/>
    </xf>
    <xf numFmtId="172" fontId="1" fillId="0" borderId="0" xfId="25" applyAlignment="1">
      <alignment horizontal="center" vertical="center" wrapText="1"/>
    </xf>
    <xf numFmtId="172" fontId="1" fillId="0" borderId="0" xfId="25" applyFill="1" applyAlignment="1">
      <alignment vertical="center" wrapText="1"/>
    </xf>
    <xf numFmtId="0" fontId="1" fillId="0" borderId="0" xfId="25" applyNumberFormat="1" applyAlignment="1">
      <alignment horizontal="center" vertical="center" wrapText="1"/>
    </xf>
    <xf numFmtId="1" fontId="1" fillId="0" borderId="0" xfId="25" applyNumberFormat="1" applyAlignment="1">
      <alignment horizontal="center" vertical="center" wrapText="1"/>
    </xf>
    <xf numFmtId="44" fontId="2" fillId="0" borderId="0" xfId="23" applyNumberFormat="1" applyFont="1" applyFill="1" applyAlignment="1">
      <alignment vertical="center" wrapText="1"/>
    </xf>
    <xf numFmtId="44" fontId="0" fillId="0" borderId="0" xfId="23" applyNumberFormat="1" applyFont="1" applyFill="1" applyAlignment="1">
      <alignment vertical="center" wrapText="1"/>
    </xf>
    <xf numFmtId="44" fontId="40" fillId="0" borderId="0" xfId="23" applyNumberFormat="1" applyFont="1" applyFill="1" applyAlignment="1">
      <alignment vertical="center" wrapText="1"/>
    </xf>
    <xf numFmtId="173" fontId="39" fillId="21" borderId="46" xfId="23" applyNumberFormat="1" applyFont="1" applyFill="1" applyBorder="1" applyAlignment="1" applyProtection="1">
      <alignment horizontal="center" vertical="center" wrapText="1"/>
    </xf>
    <xf numFmtId="173" fontId="2" fillId="59" borderId="0" xfId="23" applyNumberFormat="1" applyFont="1" applyFill="1" applyAlignment="1">
      <alignment horizontal="right" vertical="center" wrapText="1"/>
    </xf>
    <xf numFmtId="172" fontId="2" fillId="59" borderId="0" xfId="25" applyFont="1" applyFill="1" applyAlignment="1">
      <alignment horizontal="right" vertical="center" wrapText="1"/>
    </xf>
    <xf numFmtId="0" fontId="21" fillId="23" borderId="39" xfId="0" applyFont="1" applyFill="1" applyBorder="1" applyAlignment="1">
      <alignment vertical="center"/>
    </xf>
    <xf numFmtId="0" fontId="21" fillId="23" borderId="27" xfId="0" applyFont="1" applyFill="1" applyBorder="1" applyAlignment="1">
      <alignment vertical="center"/>
    </xf>
    <xf numFmtId="0" fontId="0" fillId="0" borderId="26" xfId="0" applyBorder="1"/>
    <xf numFmtId="0" fontId="51" fillId="0" borderId="0" xfId="0" applyFont="1"/>
    <xf numFmtId="0" fontId="0" fillId="0" borderId="0" xfId="0" applyAlignment="1">
      <alignment vertical="center" wrapText="1"/>
    </xf>
    <xf numFmtId="0" fontId="0" fillId="0" borderId="0" xfId="0" applyAlignment="1">
      <alignment horizontal="center" vertical="center" wrapText="1"/>
    </xf>
    <xf numFmtId="0" fontId="0" fillId="0" borderId="67" xfId="0" applyBorder="1" applyAlignment="1">
      <alignment vertical="center" wrapText="1"/>
    </xf>
    <xf numFmtId="0" fontId="0" fillId="0" borderId="67" xfId="0" applyBorder="1" applyAlignment="1">
      <alignment horizontal="center" vertical="center" wrapText="1"/>
    </xf>
    <xf numFmtId="166" fontId="12" fillId="10" borderId="38" xfId="13" applyNumberFormat="1" applyFont="1" applyFill="1" applyBorder="1" applyAlignment="1" applyProtection="1">
      <alignment horizontal="center" vertical="center"/>
    </xf>
    <xf numFmtId="44" fontId="49" fillId="21" borderId="46" xfId="23" applyNumberFormat="1" applyFont="1" applyFill="1" applyBorder="1" applyAlignment="1">
      <alignment horizontal="center" vertical="center" wrapText="1"/>
    </xf>
    <xf numFmtId="0" fontId="12" fillId="0" borderId="38" xfId="13" applyNumberFormat="1" applyFont="1" applyFill="1" applyBorder="1" applyAlignment="1" applyProtection="1">
      <alignment horizontal="center" vertical="center"/>
    </xf>
    <xf numFmtId="176" fontId="39" fillId="56" borderId="46" xfId="25" applyNumberFormat="1" applyFont="1" applyFill="1" applyBorder="1" applyAlignment="1" applyProtection="1">
      <alignment horizontal="center" vertical="center" wrapText="1"/>
    </xf>
    <xf numFmtId="176" fontId="1" fillId="0" borderId="0" xfId="25" applyNumberFormat="1" applyAlignment="1">
      <alignment horizontal="center" vertical="center" wrapText="1"/>
    </xf>
    <xf numFmtId="0" fontId="21" fillId="66" borderId="10" xfId="0" applyFont="1" applyFill="1" applyBorder="1" applyAlignment="1">
      <alignment horizontal="center" vertical="center"/>
    </xf>
    <xf numFmtId="0" fontId="59" fillId="14" borderId="0" xfId="0" applyFont="1" applyFill="1" applyBorder="1"/>
    <xf numFmtId="0" fontId="56" fillId="63" borderId="0" xfId="0" applyFont="1" applyFill="1" applyBorder="1" applyAlignment="1">
      <alignment horizontal="center" vertical="center" wrapText="1"/>
    </xf>
    <xf numFmtId="0" fontId="57" fillId="0" borderId="0" xfId="0" applyFont="1" applyAlignment="1">
      <alignment vertical="center" wrapText="1"/>
    </xf>
    <xf numFmtId="0" fontId="57" fillId="0" borderId="0" xfId="0" applyFont="1" applyAlignment="1">
      <alignment horizontal="center" vertical="center"/>
    </xf>
    <xf numFmtId="0" fontId="57" fillId="0" borderId="0" xfId="0" applyFont="1" applyAlignment="1">
      <alignment vertical="center"/>
    </xf>
    <xf numFmtId="0" fontId="56" fillId="0" borderId="68" xfId="0" applyFont="1" applyFill="1" applyBorder="1" applyAlignment="1">
      <alignment vertical="center" wrapText="1"/>
    </xf>
    <xf numFmtId="0" fontId="57" fillId="13" borderId="78" xfId="0" applyFont="1" applyFill="1" applyBorder="1" applyAlignment="1">
      <alignment horizontal="center" vertical="center"/>
    </xf>
    <xf numFmtId="0" fontId="57" fillId="13" borderId="79" xfId="0" applyFont="1" applyFill="1" applyBorder="1" applyAlignment="1">
      <alignment horizontal="center" vertical="center"/>
    </xf>
    <xf numFmtId="0" fontId="57" fillId="13" borderId="80" xfId="0" applyFont="1" applyFill="1" applyBorder="1" applyAlignment="1">
      <alignment horizontal="center" vertical="center"/>
    </xf>
    <xf numFmtId="0" fontId="57" fillId="0" borderId="0" xfId="0" applyFont="1" applyFill="1" applyAlignment="1">
      <alignment horizontal="center" vertical="center"/>
    </xf>
    <xf numFmtId="0" fontId="57" fillId="0" borderId="0" xfId="0" applyFont="1" applyFill="1" applyAlignment="1">
      <alignment vertical="center"/>
    </xf>
    <xf numFmtId="0" fontId="56" fillId="63" borderId="68" xfId="0" applyFont="1" applyFill="1" applyBorder="1" applyAlignment="1">
      <alignment horizontal="center" vertical="center" wrapText="1"/>
    </xf>
    <xf numFmtId="0" fontId="56" fillId="63" borderId="67" xfId="0" applyFont="1" applyFill="1" applyBorder="1" applyAlignment="1">
      <alignment horizontal="center" vertical="center" wrapText="1"/>
    </xf>
    <xf numFmtId="0" fontId="57" fillId="0" borderId="85" xfId="0" applyFont="1" applyBorder="1" applyAlignment="1">
      <alignment vertical="center" wrapText="1"/>
    </xf>
    <xf numFmtId="0" fontId="57" fillId="0" borderId="85" xfId="0" applyFont="1" applyBorder="1" applyAlignment="1">
      <alignment vertical="center"/>
    </xf>
    <xf numFmtId="0" fontId="1" fillId="0" borderId="0" xfId="0" applyFont="1"/>
    <xf numFmtId="171" fontId="17" fillId="20" borderId="3" xfId="22" applyNumberFormat="1" applyFont="1" applyFill="1" applyBorder="1" applyAlignment="1" applyProtection="1">
      <alignment horizontal="center" vertical="center" wrapText="1"/>
    </xf>
    <xf numFmtId="17" fontId="17" fillId="20" borderId="3" xfId="0" applyNumberFormat="1" applyFont="1" applyFill="1" applyBorder="1" applyAlignment="1" applyProtection="1">
      <alignment horizontal="center"/>
    </xf>
    <xf numFmtId="49" fontId="65" fillId="0" borderId="3" xfId="22" applyNumberFormat="1" applyFont="1" applyFill="1" applyBorder="1" applyAlignment="1" applyProtection="1">
      <alignment horizontal="left" vertical="center" wrapText="1"/>
    </xf>
    <xf numFmtId="169" fontId="65" fillId="0" borderId="87" xfId="22" applyNumberFormat="1" applyFont="1" applyFill="1" applyBorder="1" applyAlignment="1">
      <alignment horizontal="center" vertical="center" wrapText="1"/>
    </xf>
    <xf numFmtId="169" fontId="62" fillId="0" borderId="87" xfId="22" applyNumberFormat="1" applyFont="1" applyFill="1" applyBorder="1" applyAlignment="1">
      <alignment horizontal="center" vertical="center" wrapText="1"/>
    </xf>
    <xf numFmtId="171" fontId="17" fillId="20" borderId="87" xfId="22" applyNumberFormat="1" applyFont="1" applyFill="1" applyBorder="1" applyAlignment="1">
      <alignment horizontal="center" vertical="center" wrapText="1"/>
    </xf>
    <xf numFmtId="17" fontId="17" fillId="20" borderId="87" xfId="0" applyNumberFormat="1" applyFont="1" applyFill="1" applyBorder="1" applyAlignment="1">
      <alignment horizontal="center"/>
    </xf>
    <xf numFmtId="171" fontId="65" fillId="0" borderId="88" xfId="22" applyNumberFormat="1" applyFont="1" applyFill="1" applyBorder="1" applyAlignment="1">
      <alignment horizontal="left" vertical="center" wrapText="1"/>
    </xf>
    <xf numFmtId="0" fontId="62" fillId="68" borderId="5" xfId="22" applyFont="1" applyFill="1" applyBorder="1" applyAlignment="1">
      <alignment horizontal="center" vertical="center" wrapText="1"/>
    </xf>
    <xf numFmtId="0" fontId="62" fillId="68" borderId="15" xfId="22" applyFont="1" applyFill="1" applyBorder="1" applyAlignment="1">
      <alignment horizontal="center" vertical="center" wrapText="1"/>
    </xf>
    <xf numFmtId="0" fontId="62" fillId="68" borderId="5" xfId="22" applyFont="1" applyFill="1" applyBorder="1" applyAlignment="1" applyProtection="1">
      <alignment horizontal="center" vertical="center" wrapText="1"/>
    </xf>
    <xf numFmtId="0" fontId="11" fillId="0" borderId="67" xfId="0" applyFont="1" applyFill="1" applyBorder="1" applyAlignment="1">
      <alignment vertical="center" wrapText="1"/>
    </xf>
    <xf numFmtId="0" fontId="2" fillId="0" borderId="0" xfId="0" applyFont="1" applyFill="1" applyAlignment="1">
      <alignment horizontal="center" vertical="center" wrapText="1"/>
    </xf>
    <xf numFmtId="0" fontId="10" fillId="14" borderId="32" xfId="0" applyFont="1" applyFill="1" applyBorder="1" applyAlignment="1">
      <alignment horizontal="center" vertical="center" wrapText="1"/>
    </xf>
    <xf numFmtId="0" fontId="55" fillId="26" borderId="67" xfId="0" applyFont="1" applyFill="1" applyBorder="1" applyAlignment="1">
      <alignment horizontal="center" vertical="center" wrapText="1"/>
    </xf>
    <xf numFmtId="0" fontId="55" fillId="0" borderId="67" xfId="0" applyFont="1" applyFill="1" applyBorder="1" applyAlignment="1">
      <alignment horizontal="center" vertical="center" wrapText="1"/>
    </xf>
    <xf numFmtId="0" fontId="56" fillId="14" borderId="68" xfId="0" applyFont="1" applyFill="1" applyBorder="1" applyAlignment="1">
      <alignment horizontal="center" vertical="center" wrapText="1"/>
    </xf>
    <xf numFmtId="0" fontId="11" fillId="0" borderId="0" xfId="0" applyFont="1" applyFill="1" applyBorder="1" applyAlignment="1">
      <alignment vertical="center" wrapText="1"/>
    </xf>
    <xf numFmtId="0" fontId="0" fillId="0" borderId="0" xfId="0" applyBorder="1" applyAlignment="1">
      <alignment vertical="center" wrapText="1"/>
    </xf>
    <xf numFmtId="0" fontId="56" fillId="14" borderId="67"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10" fillId="14" borderId="67" xfId="0" applyFont="1" applyFill="1" applyBorder="1" applyAlignment="1">
      <alignment horizontal="center" vertical="center" wrapText="1"/>
    </xf>
    <xf numFmtId="0" fontId="0" fillId="0" borderId="0" xfId="0" applyBorder="1" applyAlignment="1">
      <alignment horizontal="center" vertical="center" wrapText="1"/>
    </xf>
    <xf numFmtId="171" fontId="17" fillId="20" borderId="67" xfId="22" applyNumberFormat="1" applyFont="1" applyFill="1" applyBorder="1" applyAlignment="1" applyProtection="1">
      <alignment horizontal="center" vertical="center" wrapText="1"/>
    </xf>
    <xf numFmtId="17" fontId="17" fillId="20" borderId="67" xfId="0" applyNumberFormat="1" applyFont="1" applyFill="1" applyBorder="1" applyAlignment="1" applyProtection="1">
      <alignment horizontal="center"/>
    </xf>
    <xf numFmtId="49" fontId="65" fillId="20" borderId="67" xfId="22" applyNumberFormat="1" applyFont="1" applyFill="1" applyBorder="1" applyAlignment="1" applyProtection="1">
      <alignment horizontal="left" vertical="center" wrapText="1"/>
    </xf>
    <xf numFmtId="0" fontId="12" fillId="0" borderId="30" xfId="13" applyNumberFormat="1" applyFont="1" applyFill="1" applyBorder="1" applyAlignment="1" applyProtection="1">
      <alignment horizontal="center" vertical="center"/>
    </xf>
    <xf numFmtId="0" fontId="18" fillId="14" borderId="0" xfId="0" applyFont="1" applyFill="1" applyBorder="1" applyAlignment="1">
      <alignment horizontal="left"/>
    </xf>
    <xf numFmtId="0" fontId="0" fillId="14" borderId="0" xfId="0" applyFill="1" applyBorder="1" applyAlignment="1">
      <alignment horizontal="left" indent="1"/>
    </xf>
    <xf numFmtId="0" fontId="18" fillId="14" borderId="0" xfId="0" applyFont="1" applyFill="1" applyBorder="1"/>
    <xf numFmtId="0" fontId="10" fillId="14" borderId="0" xfId="0" applyFont="1" applyFill="1" applyBorder="1"/>
    <xf numFmtId="0" fontId="11" fillId="14" borderId="0" xfId="0" applyFont="1" applyFill="1" applyBorder="1"/>
    <xf numFmtId="0" fontId="2" fillId="14" borderId="0" xfId="0" applyFont="1" applyFill="1" applyBorder="1" applyAlignment="1">
      <alignment horizontal="center"/>
    </xf>
    <xf numFmtId="0" fontId="10" fillId="14" borderId="67" xfId="0" applyFont="1" applyFill="1" applyBorder="1"/>
    <xf numFmtId="0" fontId="11" fillId="14" borderId="67" xfId="0" applyFont="1" applyFill="1" applyBorder="1"/>
    <xf numFmtId="0" fontId="2" fillId="0" borderId="90" xfId="0" applyFont="1" applyBorder="1"/>
    <xf numFmtId="0" fontId="2" fillId="14" borderId="67" xfId="0" applyFont="1" applyFill="1" applyBorder="1"/>
    <xf numFmtId="0" fontId="13" fillId="14" borderId="89" xfId="0" applyFont="1" applyFill="1" applyBorder="1"/>
    <xf numFmtId="0" fontId="13" fillId="14" borderId="95" xfId="0" applyFont="1" applyFill="1" applyBorder="1"/>
    <xf numFmtId="0" fontId="0" fillId="14" borderId="2" xfId="0" applyFill="1" applyBorder="1"/>
    <xf numFmtId="0" fontId="0" fillId="14" borderId="38" xfId="0" applyFill="1" applyBorder="1"/>
    <xf numFmtId="0" fontId="21" fillId="23" borderId="10" xfId="0" applyFont="1" applyFill="1" applyBorder="1" applyAlignment="1">
      <alignment vertical="center"/>
    </xf>
    <xf numFmtId="0" fontId="21" fillId="23" borderId="11" xfId="0" applyFont="1" applyFill="1" applyBorder="1" applyAlignment="1">
      <alignment vertical="center"/>
    </xf>
    <xf numFmtId="0" fontId="4" fillId="0" borderId="18" xfId="13" applyFont="1" applyBorder="1"/>
    <xf numFmtId="0" fontId="72" fillId="0" borderId="94" xfId="13" applyFont="1" applyBorder="1" applyAlignment="1">
      <alignment horizontal="center" vertical="center" wrapText="1"/>
    </xf>
    <xf numFmtId="0" fontId="4" fillId="0" borderId="99" xfId="13" quotePrefix="1" applyFont="1" applyBorder="1" applyAlignment="1">
      <alignment vertical="top" wrapText="1"/>
    </xf>
    <xf numFmtId="0" fontId="4" fillId="0" borderId="0" xfId="13" applyFont="1" applyAlignment="1">
      <alignment vertical="top" wrapText="1"/>
    </xf>
    <xf numFmtId="0" fontId="4" fillId="0" borderId="6" xfId="13" applyFont="1" applyBorder="1"/>
    <xf numFmtId="0" fontId="4" fillId="0" borderId="35" xfId="13" applyFont="1" applyBorder="1"/>
    <xf numFmtId="0" fontId="4" fillId="0" borderId="4" xfId="13" applyFont="1" applyBorder="1"/>
    <xf numFmtId="0" fontId="4" fillId="0" borderId="34" xfId="13" applyFont="1" applyBorder="1"/>
    <xf numFmtId="0" fontId="4" fillId="0" borderId="15" xfId="13" applyFont="1" applyBorder="1"/>
    <xf numFmtId="0" fontId="78" fillId="0" borderId="0" xfId="13" applyFont="1" applyAlignment="1">
      <alignment horizontal="left" vertical="center"/>
    </xf>
    <xf numFmtId="0" fontId="37" fillId="0" borderId="0" xfId="0" applyFont="1"/>
    <xf numFmtId="0" fontId="58" fillId="0" borderId="0" xfId="0" applyFont="1" applyFill="1" applyAlignment="1">
      <alignment vertical="center"/>
    </xf>
    <xf numFmtId="0" fontId="81" fillId="0" borderId="0" xfId="0" applyFont="1" applyAlignment="1">
      <alignment vertical="center"/>
    </xf>
    <xf numFmtId="0" fontId="0" fillId="0" borderId="0" xfId="0"/>
    <xf numFmtId="0" fontId="57" fillId="0" borderId="0" xfId="0" applyFont="1" applyBorder="1" applyAlignment="1">
      <alignment vertical="center" wrapText="1"/>
    </xf>
    <xf numFmtId="0" fontId="57" fillId="0" borderId="0" xfId="0" applyFont="1" applyBorder="1" applyAlignment="1">
      <alignment vertical="center"/>
    </xf>
    <xf numFmtId="0" fontId="57" fillId="0" borderId="0" xfId="0" applyFont="1" applyAlignment="1" applyProtection="1">
      <alignment vertical="center"/>
      <protection locked="0"/>
    </xf>
    <xf numFmtId="0" fontId="57" fillId="0" borderId="0" xfId="0" applyFont="1" applyAlignment="1" applyProtection="1">
      <alignment vertical="center"/>
    </xf>
    <xf numFmtId="0" fontId="56" fillId="63" borderId="0" xfId="0" applyFont="1" applyFill="1" applyAlignment="1" applyProtection="1">
      <alignment horizontal="center" vertical="center" wrapText="1"/>
    </xf>
    <xf numFmtId="0" fontId="57" fillId="0" borderId="96" xfId="0" applyFont="1" applyFill="1" applyBorder="1" applyAlignment="1" applyProtection="1">
      <alignment horizontal="center" vertical="center" wrapText="1"/>
    </xf>
    <xf numFmtId="0" fontId="56" fillId="63" borderId="21" xfId="0" applyFont="1" applyFill="1" applyBorder="1" applyAlignment="1" applyProtection="1">
      <alignment horizontal="center" vertical="center" wrapText="1"/>
    </xf>
    <xf numFmtId="0" fontId="56" fillId="63" borderId="0" xfId="0" applyFont="1" applyFill="1" applyBorder="1" applyAlignment="1" applyProtection="1">
      <alignment horizontal="center" vertical="center" wrapText="1"/>
    </xf>
    <xf numFmtId="0" fontId="79" fillId="0" borderId="96" xfId="13" applyFont="1" applyBorder="1" applyAlignment="1" applyProtection="1">
      <alignment horizontal="center" wrapText="1"/>
    </xf>
    <xf numFmtId="0" fontId="80" fillId="0" borderId="102" xfId="13" applyFont="1" applyBorder="1" applyAlignment="1" applyProtection="1">
      <alignment horizontal="center" wrapText="1"/>
    </xf>
    <xf numFmtId="10" fontId="80" fillId="0" borderId="2" xfId="13" applyNumberFormat="1" applyFont="1" applyBorder="1" applyAlignment="1" applyProtection="1">
      <alignment horizontal="center"/>
    </xf>
    <xf numFmtId="171" fontId="80" fillId="0" borderId="101" xfId="13" applyNumberFormat="1" applyFont="1" applyBorder="1" applyProtection="1"/>
    <xf numFmtId="171" fontId="80" fillId="0" borderId="96" xfId="13" applyNumberFormat="1" applyFont="1" applyBorder="1" applyProtection="1"/>
    <xf numFmtId="0" fontId="57" fillId="0" borderId="0" xfId="0" applyFont="1" applyFill="1" applyBorder="1" applyAlignment="1" applyProtection="1">
      <alignment vertical="center"/>
    </xf>
    <xf numFmtId="0" fontId="56" fillId="63" borderId="22" xfId="0" applyFont="1" applyFill="1" applyBorder="1" applyAlignment="1" applyProtection="1">
      <alignment horizontal="center" vertical="center" wrapText="1"/>
    </xf>
    <xf numFmtId="0" fontId="0" fillId="0" borderId="0" xfId="0" applyFill="1"/>
    <xf numFmtId="0" fontId="4" fillId="0" borderId="0" xfId="13" quotePrefix="1" applyFont="1" applyBorder="1" applyAlignment="1">
      <alignment vertical="top" wrapText="1"/>
    </xf>
    <xf numFmtId="0" fontId="68" fillId="0" borderId="0" xfId="13" applyNumberFormat="1" applyFont="1" applyBorder="1" applyAlignment="1">
      <alignment vertical="center"/>
    </xf>
    <xf numFmtId="171" fontId="68" fillId="0" borderId="0" xfId="13" applyNumberFormat="1" applyFont="1" applyBorder="1" applyAlignment="1">
      <alignment vertical="center"/>
    </xf>
    <xf numFmtId="171" fontId="68" fillId="0" borderId="0" xfId="13" quotePrefix="1" applyNumberFormat="1" applyFont="1" applyBorder="1" applyAlignment="1">
      <alignment vertical="center"/>
    </xf>
    <xf numFmtId="0" fontId="14" fillId="70" borderId="0" xfId="0" applyFont="1" applyFill="1" applyBorder="1" applyAlignment="1">
      <alignment horizontal="center" vertical="center"/>
    </xf>
    <xf numFmtId="171" fontId="68" fillId="0" borderId="0" xfId="13" applyNumberFormat="1" applyFont="1" applyFill="1" applyBorder="1" applyAlignment="1">
      <alignment vertical="center"/>
    </xf>
    <xf numFmtId="0" fontId="56" fillId="0" borderId="0" xfId="0" applyFont="1" applyFill="1" applyAlignment="1" applyProtection="1">
      <alignment vertical="center"/>
    </xf>
    <xf numFmtId="0" fontId="0" fillId="0" borderId="0" xfId="0" applyFill="1" applyAlignment="1">
      <alignment vertical="center"/>
    </xf>
    <xf numFmtId="0" fontId="0" fillId="0" borderId="0" xfId="0" applyFill="1" applyAlignment="1">
      <alignment vertical="center" wrapText="1"/>
    </xf>
    <xf numFmtId="171" fontId="68" fillId="0" borderId="114" xfId="13" applyNumberFormat="1" applyFont="1" applyBorder="1" applyAlignment="1">
      <alignment vertical="center" wrapText="1"/>
    </xf>
    <xf numFmtId="0" fontId="17" fillId="14" borderId="73" xfId="0" applyFont="1" applyFill="1" applyBorder="1"/>
    <xf numFmtId="0" fontId="17" fillId="14" borderId="89" xfId="0" applyFont="1" applyFill="1" applyBorder="1"/>
    <xf numFmtId="0" fontId="62" fillId="68" borderId="109" xfId="22" applyFont="1" applyFill="1" applyBorder="1" applyAlignment="1">
      <alignment horizontal="center" vertical="center" wrapText="1"/>
    </xf>
    <xf numFmtId="0" fontId="61" fillId="71" borderId="14" xfId="22" applyFont="1" applyFill="1" applyBorder="1" applyAlignment="1">
      <alignment horizontal="left" vertical="center" wrapText="1"/>
    </xf>
    <xf numFmtId="0" fontId="56" fillId="63" borderId="115" xfId="0" applyFont="1" applyFill="1" applyBorder="1" applyAlignment="1">
      <alignment horizontal="center" vertical="center" wrapText="1"/>
    </xf>
    <xf numFmtId="0" fontId="62" fillId="68" borderId="2" xfId="22" applyFont="1" applyFill="1" applyBorder="1" applyAlignment="1">
      <alignment horizontal="center" vertical="center" wrapText="1"/>
    </xf>
    <xf numFmtId="0" fontId="4" fillId="0" borderId="0" xfId="13" applyFont="1" applyBorder="1" applyAlignment="1">
      <alignment vertical="top" wrapText="1"/>
    </xf>
    <xf numFmtId="0" fontId="4" fillId="0" borderId="0" xfId="13" applyFont="1" applyBorder="1"/>
    <xf numFmtId="0" fontId="61" fillId="58" borderId="0" xfId="13" applyFont="1" applyFill="1" applyBorder="1" applyAlignment="1" applyProtection="1">
      <alignment horizontal="left" vertical="center" wrapText="1"/>
      <protection locked="0"/>
    </xf>
    <xf numFmtId="170" fontId="61" fillId="58" borderId="0" xfId="22" applyNumberFormat="1" applyFont="1" applyFill="1" applyBorder="1" applyAlignment="1">
      <alignment horizontal="center" vertical="center" wrapText="1"/>
    </xf>
    <xf numFmtId="10" fontId="79" fillId="0" borderId="101" xfId="13" applyNumberFormat="1" applyFont="1" applyBorder="1" applyAlignment="1" applyProtection="1">
      <alignment horizontal="center"/>
    </xf>
    <xf numFmtId="10" fontId="79" fillId="0" borderId="96" xfId="13" applyNumberFormat="1" applyFont="1" applyBorder="1" applyAlignment="1" applyProtection="1">
      <alignment horizontal="center"/>
    </xf>
    <xf numFmtId="0" fontId="0" fillId="0" borderId="15" xfId="0" applyBorder="1"/>
    <xf numFmtId="0" fontId="4" fillId="0" borderId="0" xfId="13" applyFont="1" applyBorder="1" applyAlignment="1">
      <alignment horizontal="center" vertical="center" wrapText="1"/>
    </xf>
    <xf numFmtId="0" fontId="25" fillId="10" borderId="73" xfId="13" applyFont="1" applyFill="1" applyBorder="1" applyAlignment="1">
      <alignment horizontal="center" vertical="center" wrapText="1"/>
    </xf>
    <xf numFmtId="0" fontId="25" fillId="10" borderId="71" xfId="13" applyFont="1" applyFill="1" applyBorder="1" applyAlignment="1">
      <alignment horizontal="center" vertical="center" wrapText="1"/>
    </xf>
    <xf numFmtId="171" fontId="4" fillId="0" borderId="79" xfId="13" applyNumberFormat="1" applyFont="1" applyBorder="1" applyAlignment="1">
      <alignment horizontal="center" vertical="center" wrapText="1"/>
    </xf>
    <xf numFmtId="171" fontId="4" fillId="0" borderId="98" xfId="13" applyNumberFormat="1" applyFont="1" applyBorder="1" applyAlignment="1">
      <alignment horizontal="center" vertical="center" wrapText="1"/>
    </xf>
    <xf numFmtId="0" fontId="68" fillId="0" borderId="80" xfId="13" applyNumberFormat="1" applyFont="1" applyBorder="1" applyAlignment="1">
      <alignment vertical="center" wrapText="1"/>
    </xf>
    <xf numFmtId="171" fontId="4" fillId="0" borderId="82" xfId="13" applyNumberFormat="1" applyFont="1" applyBorder="1" applyAlignment="1">
      <alignment horizontal="center" vertical="center" wrapText="1"/>
    </xf>
    <xf numFmtId="171" fontId="4" fillId="0" borderId="11" xfId="13" applyNumberFormat="1" applyFont="1" applyBorder="1" applyAlignment="1">
      <alignment horizontal="center" vertical="center" wrapText="1"/>
    </xf>
    <xf numFmtId="171" fontId="4" fillId="0" borderId="7" xfId="13" applyNumberFormat="1" applyFont="1" applyBorder="1" applyAlignment="1">
      <alignment horizontal="center" vertical="center" wrapText="1"/>
    </xf>
    <xf numFmtId="0" fontId="68" fillId="0" borderId="83" xfId="13" applyNumberFormat="1" applyFont="1" applyBorder="1" applyAlignment="1">
      <alignment vertical="center" wrapText="1"/>
    </xf>
    <xf numFmtId="0" fontId="68" fillId="0" borderId="20" xfId="13" applyNumberFormat="1" applyFont="1" applyBorder="1" applyAlignment="1">
      <alignment vertical="center" wrapText="1"/>
    </xf>
    <xf numFmtId="171" fontId="4" fillId="0" borderId="103" xfId="13" applyNumberFormat="1" applyFont="1" applyBorder="1" applyAlignment="1">
      <alignment horizontal="center" vertical="center" wrapText="1"/>
    </xf>
    <xf numFmtId="171" fontId="4" fillId="0" borderId="100" xfId="13" applyNumberFormat="1" applyFont="1" applyBorder="1" applyAlignment="1">
      <alignment horizontal="center" vertical="center" wrapText="1"/>
    </xf>
    <xf numFmtId="0" fontId="72" fillId="0" borderId="28" xfId="13" applyFont="1" applyBorder="1" applyAlignment="1">
      <alignment horizontal="left" vertical="center" wrapText="1" indent="1"/>
    </xf>
    <xf numFmtId="0" fontId="72" fillId="0" borderId="9" xfId="13" applyFont="1" applyBorder="1" applyAlignment="1">
      <alignment horizontal="left" vertical="center" wrapText="1" indent="1"/>
    </xf>
    <xf numFmtId="0" fontId="72" fillId="0" borderId="97" xfId="13" applyFont="1" applyBorder="1" applyAlignment="1">
      <alignment horizontal="left" vertical="center" wrapText="1" indent="1"/>
    </xf>
    <xf numFmtId="0" fontId="56" fillId="63" borderId="110" xfId="0" applyFont="1" applyFill="1" applyBorder="1" applyAlignment="1" applyProtection="1">
      <alignment horizontal="right" vertical="center" wrapText="1"/>
    </xf>
    <xf numFmtId="0" fontId="62" fillId="68" borderId="15" xfId="22" applyFont="1" applyFill="1" applyBorder="1" applyAlignment="1" applyProtection="1">
      <alignment horizontal="center" vertical="center" wrapText="1"/>
    </xf>
    <xf numFmtId="0" fontId="1" fillId="0" borderId="0" xfId="25" applyNumberFormat="1" applyAlignment="1" applyProtection="1">
      <alignment horizontal="center" vertical="center"/>
      <protection locked="0"/>
    </xf>
    <xf numFmtId="172" fontId="1" fillId="0" borderId="0" xfId="25" applyAlignment="1" applyProtection="1">
      <alignment horizontal="center" vertical="center"/>
      <protection locked="0"/>
    </xf>
    <xf numFmtId="172" fontId="1" fillId="0" borderId="0" xfId="25" applyAlignment="1" applyProtection="1">
      <alignment vertical="center"/>
      <protection locked="0"/>
    </xf>
    <xf numFmtId="172" fontId="1" fillId="0" borderId="0" xfId="25" applyAlignment="1" applyProtection="1">
      <alignment horizontal="center" vertical="center" wrapText="1"/>
      <protection locked="0"/>
    </xf>
    <xf numFmtId="0" fontId="45" fillId="57" borderId="60" xfId="28" applyFont="1" applyFill="1" applyBorder="1" applyAlignment="1" applyProtection="1">
      <alignment horizontal="center" vertical="center" wrapText="1"/>
    </xf>
    <xf numFmtId="4" fontId="45" fillId="57" borderId="60" xfId="28" applyNumberFormat="1" applyFont="1" applyFill="1" applyBorder="1" applyAlignment="1" applyProtection="1">
      <alignment horizontal="center" vertical="center" wrapText="1"/>
    </xf>
    <xf numFmtId="172" fontId="54" fillId="0" borderId="0" xfId="25" applyFont="1" applyAlignment="1" applyProtection="1">
      <alignment vertical="center" wrapText="1"/>
      <protection locked="0"/>
    </xf>
    <xf numFmtId="172" fontId="43" fillId="0" borderId="0" xfId="25" applyFont="1" applyAlignment="1" applyProtection="1">
      <alignment vertical="center" wrapText="1"/>
      <protection locked="0"/>
    </xf>
    <xf numFmtId="172" fontId="43" fillId="0" borderId="0" xfId="25" applyFont="1" applyFill="1" applyAlignment="1" applyProtection="1">
      <alignment vertical="center" wrapText="1"/>
      <protection locked="0"/>
    </xf>
    <xf numFmtId="0" fontId="43" fillId="0" borderId="0" xfId="25" applyNumberFormat="1" applyFont="1" applyAlignment="1" applyProtection="1">
      <alignment horizontal="center" vertical="center" wrapText="1"/>
      <protection locked="0"/>
    </xf>
    <xf numFmtId="175" fontId="43" fillId="0" borderId="0" xfId="25" applyNumberFormat="1" applyFont="1" applyAlignment="1" applyProtection="1">
      <alignment horizontal="center" vertical="center" wrapText="1"/>
      <protection locked="0"/>
    </xf>
    <xf numFmtId="172" fontId="43" fillId="0" borderId="0" xfId="25" applyFont="1" applyAlignment="1" applyProtection="1">
      <alignment horizontal="center" vertical="center" wrapText="1"/>
      <protection locked="0"/>
    </xf>
    <xf numFmtId="0" fontId="25" fillId="10" borderId="16" xfId="13" applyFont="1" applyFill="1" applyBorder="1" applyAlignment="1">
      <alignment horizontal="center" vertical="center" wrapText="1"/>
    </xf>
    <xf numFmtId="0" fontId="25" fillId="10" borderId="89" xfId="13" applyFont="1" applyFill="1" applyBorder="1" applyAlignment="1">
      <alignment horizontal="center" vertical="center" wrapText="1"/>
    </xf>
    <xf numFmtId="179" fontId="69" fillId="0" borderId="82" xfId="13" applyNumberFormat="1" applyFont="1" applyBorder="1" applyAlignment="1">
      <alignment horizontal="right" vertical="center" wrapText="1"/>
    </xf>
    <xf numFmtId="179" fontId="69" fillId="0" borderId="83" xfId="13" applyNumberFormat="1" applyFont="1" applyBorder="1" applyAlignment="1">
      <alignment horizontal="right" vertical="center" wrapText="1"/>
    </xf>
    <xf numFmtId="179" fontId="69" fillId="0" borderId="7" xfId="13" applyNumberFormat="1" applyFont="1" applyBorder="1" applyAlignment="1">
      <alignment horizontal="right" vertical="center" wrapText="1"/>
    </xf>
    <xf numFmtId="179" fontId="69" fillId="0" borderId="20" xfId="13" applyNumberFormat="1" applyFont="1" applyBorder="1" applyAlignment="1">
      <alignment horizontal="right" vertical="center" wrapText="1"/>
    </xf>
    <xf numFmtId="179" fontId="86" fillId="0" borderId="82" xfId="0" applyNumberFormat="1" applyFont="1" applyBorder="1" applyAlignment="1">
      <alignment horizontal="right"/>
    </xf>
    <xf numFmtId="179" fontId="86" fillId="0" borderId="7" xfId="0" applyNumberFormat="1" applyFont="1" applyBorder="1" applyAlignment="1">
      <alignment horizontal="right"/>
    </xf>
    <xf numFmtId="179" fontId="67" fillId="0" borderId="2" xfId="0" applyNumberFormat="1" applyFont="1" applyBorder="1" applyAlignment="1">
      <alignment horizontal="right"/>
    </xf>
    <xf numFmtId="179" fontId="86" fillId="13" borderId="7" xfId="0" applyNumberFormat="1" applyFont="1" applyFill="1" applyBorder="1" applyAlignment="1">
      <alignment horizontal="right" wrapText="1"/>
    </xf>
    <xf numFmtId="0" fontId="68" fillId="14" borderId="120" xfId="13" applyNumberFormat="1" applyFont="1" applyFill="1" applyBorder="1" applyAlignment="1">
      <alignment vertical="center" wrapText="1"/>
    </xf>
    <xf numFmtId="0" fontId="68" fillId="14" borderId="83" xfId="13" applyNumberFormat="1" applyFont="1" applyFill="1" applyBorder="1" applyAlignment="1">
      <alignment vertical="center" wrapText="1"/>
    </xf>
    <xf numFmtId="0" fontId="68" fillId="14" borderId="20" xfId="13" applyNumberFormat="1" applyFont="1" applyFill="1" applyBorder="1" applyAlignment="1">
      <alignment vertical="center" wrapText="1"/>
    </xf>
    <xf numFmtId="0" fontId="18" fillId="73" borderId="0" xfId="0" applyFont="1" applyFill="1" applyBorder="1"/>
    <xf numFmtId="171" fontId="4" fillId="0" borderId="79" xfId="13" applyNumberFormat="1" applyFont="1" applyFill="1" applyBorder="1" applyAlignment="1">
      <alignment horizontal="center" vertical="center" wrapText="1"/>
    </xf>
    <xf numFmtId="171" fontId="4" fillId="0" borderId="82" xfId="13" applyNumberFormat="1" applyFont="1" applyFill="1" applyBorder="1" applyAlignment="1">
      <alignment horizontal="center" vertical="center" wrapText="1"/>
    </xf>
    <xf numFmtId="171" fontId="4" fillId="0" borderId="7" xfId="13" applyNumberFormat="1" applyFont="1" applyFill="1" applyBorder="1" applyAlignment="1">
      <alignment horizontal="center" vertical="center" wrapText="1"/>
    </xf>
    <xf numFmtId="179" fontId="69" fillId="0" borderId="82" xfId="13" applyNumberFormat="1" applyFont="1" applyFill="1" applyBorder="1" applyAlignment="1">
      <alignment horizontal="right" vertical="center" wrapText="1"/>
    </xf>
    <xf numFmtId="179" fontId="69" fillId="0" borderId="7" xfId="13" applyNumberFormat="1" applyFont="1" applyFill="1" applyBorder="1" applyAlignment="1">
      <alignment horizontal="right" vertical="center" wrapText="1"/>
    </xf>
    <xf numFmtId="171" fontId="25" fillId="0" borderId="103" xfId="13" applyNumberFormat="1" applyFont="1" applyBorder="1" applyAlignment="1">
      <alignment horizontal="center" vertical="center" wrapText="1"/>
    </xf>
    <xf numFmtId="171" fontId="25" fillId="0" borderId="100" xfId="13" applyNumberFormat="1" applyFont="1" applyBorder="1" applyAlignment="1">
      <alignment horizontal="center" vertical="center" wrapText="1"/>
    </xf>
    <xf numFmtId="0" fontId="61" fillId="0" borderId="9" xfId="13" applyFont="1" applyFill="1" applyBorder="1" applyAlignment="1" applyProtection="1">
      <alignment horizontal="left" vertical="center" wrapText="1"/>
    </xf>
    <xf numFmtId="0" fontId="61" fillId="0" borderId="8" xfId="13" applyFont="1" applyFill="1" applyBorder="1" applyAlignment="1" applyProtection="1">
      <alignment horizontal="left" vertical="center" wrapText="1"/>
    </xf>
    <xf numFmtId="0" fontId="61" fillId="0" borderId="106" xfId="13" applyFont="1" applyFill="1" applyBorder="1" applyAlignment="1" applyProtection="1">
      <alignment horizontal="left" vertical="center" wrapText="1"/>
    </xf>
    <xf numFmtId="0" fontId="62" fillId="13" borderId="110" xfId="22" applyFont="1" applyFill="1" applyBorder="1" applyAlignment="1">
      <alignment vertical="center" wrapText="1"/>
    </xf>
    <xf numFmtId="0" fontId="62" fillId="13" borderId="112" xfId="22" applyFont="1" applyFill="1" applyBorder="1" applyAlignment="1">
      <alignment vertical="center" wrapText="1"/>
    </xf>
    <xf numFmtId="0" fontId="56" fillId="14" borderId="0" xfId="0" applyFont="1" applyFill="1" applyBorder="1" applyAlignment="1">
      <alignment horizontal="center" vertical="center" wrapText="1"/>
    </xf>
    <xf numFmtId="0" fontId="25" fillId="10" borderId="0" xfId="13" applyFont="1" applyFill="1" applyBorder="1" applyAlignment="1">
      <alignment horizontal="center" vertical="center" wrapText="1"/>
    </xf>
    <xf numFmtId="0" fontId="4" fillId="0" borderId="0" xfId="13" applyFont="1" applyAlignment="1">
      <alignment horizontal="left" vertical="top" wrapText="1"/>
    </xf>
    <xf numFmtId="0" fontId="4" fillId="0" borderId="0" xfId="13" applyFont="1" applyAlignment="1"/>
    <xf numFmtId="0" fontId="55" fillId="0" borderId="0" xfId="13" applyNumberFormat="1" applyFont="1" applyFill="1" applyBorder="1" applyAlignment="1" applyProtection="1">
      <alignment horizontal="center" vertical="center"/>
    </xf>
    <xf numFmtId="0" fontId="56" fillId="14" borderId="130" xfId="0" applyFont="1" applyFill="1" applyBorder="1" applyAlignment="1">
      <alignment horizontal="center" vertical="center" wrapText="1"/>
    </xf>
    <xf numFmtId="165" fontId="20" fillId="24" borderId="15" xfId="9" applyNumberFormat="1" applyFont="1" applyFill="1" applyBorder="1"/>
    <xf numFmtId="165" fontId="20" fillId="24" borderId="0" xfId="9" applyNumberFormat="1" applyFont="1" applyFill="1" applyBorder="1"/>
    <xf numFmtId="165" fontId="20" fillId="24" borderId="34" xfId="9" applyNumberFormat="1" applyFont="1" applyFill="1" applyBorder="1"/>
    <xf numFmtId="165" fontId="20" fillId="0" borderId="31" xfId="9" applyNumberFormat="1" applyFont="1" applyFill="1" applyBorder="1"/>
    <xf numFmtId="165" fontId="20" fillId="0" borderId="15" xfId="9" applyNumberFormat="1" applyFont="1" applyBorder="1"/>
    <xf numFmtId="165" fontId="20" fillId="0" borderId="0" xfId="9" applyNumberFormat="1" applyFont="1" applyBorder="1"/>
    <xf numFmtId="165" fontId="20" fillId="0" borderId="34" xfId="9" applyNumberFormat="1" applyFont="1" applyBorder="1"/>
    <xf numFmtId="165" fontId="23" fillId="0" borderId="15" xfId="9" applyNumberFormat="1" applyFont="1" applyBorder="1"/>
    <xf numFmtId="165" fontId="23" fillId="0" borderId="0" xfId="9" applyNumberFormat="1" applyFont="1" applyBorder="1"/>
    <xf numFmtId="165" fontId="20" fillId="0" borderId="4" xfId="9" applyNumberFormat="1" applyFont="1" applyBorder="1"/>
    <xf numFmtId="165" fontId="20" fillId="0" borderId="35" xfId="9" applyNumberFormat="1" applyFont="1" applyBorder="1"/>
    <xf numFmtId="165" fontId="20" fillId="0" borderId="26" xfId="9" applyNumberFormat="1" applyFont="1" applyBorder="1"/>
    <xf numFmtId="165" fontId="20" fillId="0" borderId="36" xfId="9" applyNumberFormat="1" applyFont="1" applyFill="1" applyBorder="1"/>
    <xf numFmtId="165" fontId="20" fillId="24" borderId="18" xfId="9" applyNumberFormat="1" applyFont="1" applyFill="1" applyBorder="1"/>
    <xf numFmtId="165" fontId="23" fillId="0" borderId="18" xfId="9" applyNumberFormat="1" applyFont="1" applyBorder="1"/>
    <xf numFmtId="165" fontId="20" fillId="0" borderId="18" xfId="9" applyNumberFormat="1" applyFont="1" applyBorder="1"/>
    <xf numFmtId="165" fontId="20" fillId="0" borderId="64" xfId="9" applyNumberFormat="1" applyFont="1" applyBorder="1"/>
    <xf numFmtId="165" fontId="20" fillId="0" borderId="65" xfId="9" applyNumberFormat="1" applyFont="1" applyFill="1" applyBorder="1"/>
    <xf numFmtId="165" fontId="20" fillId="0" borderId="66" xfId="9" applyNumberFormat="1" applyFont="1" applyFill="1" applyBorder="1"/>
    <xf numFmtId="165" fontId="20" fillId="0" borderId="129" xfId="9" applyNumberFormat="1" applyFont="1" applyBorder="1"/>
    <xf numFmtId="165" fontId="20" fillId="0" borderId="99" xfId="9" applyNumberFormat="1" applyFont="1" applyBorder="1"/>
    <xf numFmtId="165" fontId="20" fillId="0" borderId="100" xfId="9" applyNumberFormat="1" applyFont="1" applyBorder="1"/>
    <xf numFmtId="0" fontId="57" fillId="0" borderId="0" xfId="0" applyFont="1" applyFill="1" applyAlignment="1">
      <alignment vertical="center" wrapText="1"/>
    </xf>
    <xf numFmtId="0" fontId="57" fillId="0" borderId="130" xfId="0" applyFont="1" applyFill="1" applyBorder="1" applyAlignment="1" applyProtection="1">
      <alignment horizontal="center" vertical="center" wrapText="1"/>
    </xf>
    <xf numFmtId="9" fontId="57" fillId="0" borderId="130" xfId="0" applyNumberFormat="1" applyFont="1" applyBorder="1" applyAlignment="1" applyProtection="1">
      <alignment horizontal="center" vertical="center"/>
    </xf>
    <xf numFmtId="0" fontId="57" fillId="0" borderId="130" xfId="0" applyFont="1" applyBorder="1" applyAlignment="1" applyProtection="1">
      <alignment horizontal="center" vertical="center" wrapText="1"/>
    </xf>
    <xf numFmtId="165" fontId="20" fillId="0" borderId="130" xfId="0" applyNumberFormat="1" applyFont="1" applyBorder="1"/>
    <xf numFmtId="0" fontId="20" fillId="0" borderId="135" xfId="0" applyFont="1" applyBorder="1" applyAlignment="1"/>
    <xf numFmtId="165" fontId="20" fillId="0" borderId="130" xfId="0" applyNumberFormat="1" applyFont="1" applyFill="1" applyBorder="1"/>
    <xf numFmtId="0" fontId="20" fillId="0" borderId="135" xfId="0" applyFont="1" applyFill="1" applyBorder="1" applyAlignment="1"/>
    <xf numFmtId="0" fontId="21" fillId="18" borderId="130" xfId="0" applyFont="1" applyFill="1" applyBorder="1" applyAlignment="1">
      <alignment horizontal="center"/>
    </xf>
    <xf numFmtId="0" fontId="21" fillId="18" borderId="132" xfId="0" applyFont="1" applyFill="1" applyBorder="1" applyAlignment="1"/>
    <xf numFmtId="0" fontId="21" fillId="24" borderId="130" xfId="0" applyFont="1" applyFill="1" applyBorder="1" applyAlignment="1">
      <alignment horizontal="center"/>
    </xf>
    <xf numFmtId="0" fontId="21" fillId="24" borderId="132" xfId="0" applyFont="1" applyFill="1" applyBorder="1" applyAlignment="1"/>
    <xf numFmtId="165" fontId="20" fillId="0" borderId="136" xfId="9" applyNumberFormat="1" applyFont="1" applyBorder="1"/>
    <xf numFmtId="165" fontId="20" fillId="0" borderId="137" xfId="9" applyNumberFormat="1" applyFont="1" applyBorder="1"/>
    <xf numFmtId="165" fontId="20" fillId="0" borderId="134" xfId="9" applyNumberFormat="1" applyFont="1" applyBorder="1"/>
    <xf numFmtId="165" fontId="20" fillId="0" borderId="138" xfId="0" applyNumberFormat="1" applyFont="1" applyBorder="1"/>
    <xf numFmtId="165" fontId="20" fillId="0" borderId="139" xfId="0" applyNumberFormat="1" applyFont="1" applyBorder="1"/>
    <xf numFmtId="165" fontId="20" fillId="0" borderId="140" xfId="0" applyNumberFormat="1" applyFont="1" applyBorder="1"/>
    <xf numFmtId="0" fontId="20" fillId="0" borderId="141" xfId="0" applyFont="1" applyBorder="1"/>
    <xf numFmtId="0" fontId="21" fillId="24" borderId="133" xfId="0" applyFont="1" applyFill="1" applyBorder="1" applyAlignment="1">
      <alignment horizontal="center"/>
    </xf>
    <xf numFmtId="0" fontId="21" fillId="24" borderId="142" xfId="0" applyFont="1" applyFill="1" applyBorder="1" applyAlignment="1">
      <alignment horizontal="center"/>
    </xf>
    <xf numFmtId="165" fontId="51" fillId="0" borderId="130" xfId="0" applyNumberFormat="1" applyFont="1" applyBorder="1"/>
    <xf numFmtId="0" fontId="51" fillId="0" borderId="130" xfId="0" applyFont="1" applyFill="1" applyBorder="1" applyAlignment="1">
      <alignment horizontal="center"/>
    </xf>
    <xf numFmtId="0" fontId="20" fillId="26" borderId="0" xfId="0" applyFont="1" applyFill="1" applyBorder="1"/>
    <xf numFmtId="0" fontId="20" fillId="0" borderId="31" xfId="0" applyFont="1" applyBorder="1"/>
    <xf numFmtId="165" fontId="51" fillId="0" borderId="34" xfId="0" applyNumberFormat="1" applyFont="1" applyBorder="1"/>
    <xf numFmtId="165" fontId="51" fillId="0" borderId="0" xfId="0" applyNumberFormat="1" applyFont="1" applyBorder="1"/>
    <xf numFmtId="165" fontId="51" fillId="0" borderId="15" xfId="0" applyNumberFormat="1" applyFont="1" applyBorder="1"/>
    <xf numFmtId="165" fontId="20" fillId="24" borderId="143" xfId="9" applyNumberFormat="1" applyFont="1" applyFill="1" applyBorder="1"/>
    <xf numFmtId="165" fontId="20" fillId="24" borderId="144" xfId="9" applyNumberFormat="1" applyFont="1" applyFill="1" applyBorder="1"/>
    <xf numFmtId="165" fontId="20" fillId="24" borderId="145" xfId="9" applyNumberFormat="1" applyFont="1" applyFill="1" applyBorder="1"/>
    <xf numFmtId="0" fontId="22" fillId="24" borderId="146" xfId="0" applyFont="1" applyFill="1" applyBorder="1" applyAlignment="1">
      <alignment horizontal="left" indent="1"/>
    </xf>
    <xf numFmtId="0" fontId="20" fillId="26" borderId="18" xfId="0" applyFont="1" applyFill="1" applyBorder="1"/>
    <xf numFmtId="0" fontId="20" fillId="0" borderId="147" xfId="0" applyFont="1" applyBorder="1"/>
    <xf numFmtId="0" fontId="20" fillId="0" borderId="148" xfId="0" applyFont="1" applyBorder="1"/>
    <xf numFmtId="0" fontId="20" fillId="0" borderId="149" xfId="0" applyFont="1" applyBorder="1"/>
    <xf numFmtId="165" fontId="20" fillId="0" borderId="150" xfId="9" applyNumberFormat="1" applyFont="1" applyBorder="1"/>
    <xf numFmtId="165" fontId="20" fillId="25" borderId="150" xfId="9" applyNumberFormat="1" applyFont="1" applyFill="1" applyBorder="1"/>
    <xf numFmtId="165" fontId="20" fillId="25" borderId="137" xfId="9" applyNumberFormat="1" applyFont="1" applyFill="1" applyBorder="1"/>
    <xf numFmtId="165" fontId="20" fillId="25" borderId="134" xfId="9" applyNumberFormat="1" applyFont="1" applyFill="1" applyBorder="1"/>
    <xf numFmtId="165" fontId="20" fillId="25" borderId="136" xfId="9" applyNumberFormat="1" applyFont="1" applyFill="1" applyBorder="1"/>
    <xf numFmtId="0" fontId="20" fillId="25" borderId="132" xfId="0" applyFont="1" applyFill="1" applyBorder="1" applyAlignment="1">
      <alignment horizontal="left" indent="1"/>
    </xf>
    <xf numFmtId="165" fontId="24" fillId="25" borderId="150" xfId="9" applyNumberFormat="1" applyFont="1" applyFill="1" applyBorder="1"/>
    <xf numFmtId="165" fontId="24" fillId="25" borderId="137" xfId="9" applyNumberFormat="1" applyFont="1" applyFill="1" applyBorder="1"/>
    <xf numFmtId="165" fontId="24" fillId="25" borderId="134" xfId="9" applyNumberFormat="1" applyFont="1" applyFill="1" applyBorder="1"/>
    <xf numFmtId="165" fontId="24" fillId="25" borderId="136" xfId="9" applyNumberFormat="1" applyFont="1" applyFill="1" applyBorder="1"/>
    <xf numFmtId="0" fontId="22" fillId="24" borderId="151" xfId="0" applyFont="1" applyFill="1" applyBorder="1" applyAlignment="1">
      <alignment horizontal="left" indent="1"/>
    </xf>
    <xf numFmtId="0" fontId="21" fillId="24" borderId="125" xfId="0" applyFont="1" applyFill="1" applyBorder="1" applyAlignment="1">
      <alignment horizontal="center"/>
    </xf>
    <xf numFmtId="0" fontId="10" fillId="14" borderId="125" xfId="0" applyFont="1" applyFill="1" applyBorder="1" applyAlignment="1">
      <alignment horizontal="center" vertical="center" wrapText="1"/>
    </xf>
    <xf numFmtId="0" fontId="11" fillId="0" borderId="125" xfId="0" applyFont="1" applyFill="1" applyBorder="1" applyAlignment="1">
      <alignment vertical="center" wrapText="1"/>
    </xf>
    <xf numFmtId="0" fontId="0" fillId="0" borderId="125" xfId="0" applyBorder="1" applyAlignment="1">
      <alignment horizontal="center" vertical="center" wrapText="1"/>
    </xf>
    <xf numFmtId="0" fontId="0" fillId="0" borderId="125" xfId="0" applyBorder="1" applyAlignment="1">
      <alignment vertical="center" wrapText="1"/>
    </xf>
    <xf numFmtId="179" fontId="86" fillId="0" borderId="125" xfId="0" applyNumberFormat="1" applyFont="1" applyBorder="1" applyAlignment="1">
      <alignment horizontal="right"/>
    </xf>
    <xf numFmtId="179" fontId="86" fillId="14" borderId="125" xfId="0" applyNumberFormat="1" applyFont="1" applyFill="1" applyBorder="1" applyAlignment="1">
      <alignment horizontal="right"/>
    </xf>
    <xf numFmtId="179" fontId="69" fillId="0" borderId="133" xfId="13" applyNumberFormat="1" applyFont="1" applyBorder="1" applyAlignment="1">
      <alignment horizontal="right" vertical="center" wrapText="1"/>
    </xf>
    <xf numFmtId="179" fontId="69" fillId="0" borderId="125" xfId="13" applyNumberFormat="1" applyFont="1" applyBorder="1" applyAlignment="1">
      <alignment horizontal="right" vertical="center" wrapText="1"/>
    </xf>
    <xf numFmtId="179" fontId="69" fillId="0" borderId="125" xfId="13" applyNumberFormat="1" applyFont="1" applyFill="1" applyBorder="1" applyAlignment="1">
      <alignment horizontal="right" vertical="center" wrapText="1"/>
    </xf>
    <xf numFmtId="177" fontId="4" fillId="10" borderId="125" xfId="13" applyNumberFormat="1" applyFont="1" applyFill="1" applyBorder="1" applyAlignment="1" applyProtection="1">
      <alignment horizontal="center" vertical="center" wrapText="1"/>
      <protection locked="0"/>
    </xf>
    <xf numFmtId="177" fontId="4" fillId="61" borderId="125" xfId="13" applyNumberFormat="1" applyFont="1" applyFill="1" applyBorder="1" applyAlignment="1" applyProtection="1">
      <alignment horizontal="center" vertical="center" wrapText="1"/>
      <protection locked="0"/>
    </xf>
    <xf numFmtId="0" fontId="69" fillId="0" borderId="125" xfId="13" applyFont="1" applyBorder="1" applyAlignment="1">
      <alignment horizontal="right" vertical="center" wrapText="1"/>
    </xf>
    <xf numFmtId="177" fontId="4" fillId="10" borderId="125" xfId="13" applyNumberFormat="1" applyFont="1" applyFill="1" applyBorder="1" applyAlignment="1" applyProtection="1">
      <alignment horizontal="center" vertical="center" wrapText="1"/>
    </xf>
    <xf numFmtId="0" fontId="69" fillId="0" borderId="125" xfId="13" applyFont="1" applyBorder="1" applyAlignment="1">
      <alignment horizontal="center" vertical="center" wrapText="1"/>
    </xf>
    <xf numFmtId="0" fontId="72" fillId="0" borderId="125" xfId="13" applyFont="1" applyBorder="1" applyAlignment="1">
      <alignment horizontal="left" vertical="center" wrapText="1"/>
    </xf>
    <xf numFmtId="171" fontId="4" fillId="0" borderId="154" xfId="13" applyNumberFormat="1" applyFont="1" applyBorder="1" applyAlignment="1">
      <alignment horizontal="center" vertical="center" wrapText="1"/>
    </xf>
    <xf numFmtId="0" fontId="4" fillId="0" borderId="158" xfId="13" applyFont="1" applyBorder="1"/>
    <xf numFmtId="0" fontId="68" fillId="0" borderId="133" xfId="13" applyNumberFormat="1" applyFont="1" applyBorder="1" applyAlignment="1">
      <alignment vertical="center" wrapText="1"/>
    </xf>
    <xf numFmtId="171" fontId="4" fillId="0" borderId="153" xfId="13" applyNumberFormat="1" applyFont="1" applyBorder="1" applyAlignment="1">
      <alignment horizontal="center" vertical="center" wrapText="1"/>
    </xf>
    <xf numFmtId="171" fontId="4" fillId="0" borderId="125" xfId="13" applyNumberFormat="1" applyFont="1" applyBorder="1" applyAlignment="1">
      <alignment horizontal="center" vertical="center" wrapText="1"/>
    </xf>
    <xf numFmtId="171" fontId="4" fillId="0" borderId="125" xfId="13" applyNumberFormat="1" applyFont="1" applyFill="1" applyBorder="1" applyAlignment="1">
      <alignment horizontal="center" vertical="center" wrapText="1"/>
    </xf>
    <xf numFmtId="0" fontId="25" fillId="10" borderId="155" xfId="13" applyFont="1" applyFill="1" applyBorder="1" applyAlignment="1">
      <alignment horizontal="center" vertical="center" wrapText="1"/>
    </xf>
    <xf numFmtId="0" fontId="17" fillId="0" borderId="160" xfId="22" applyFont="1" applyFill="1" applyBorder="1" applyAlignment="1">
      <alignment horizontal="left" vertical="center" wrapText="1" indent="1"/>
    </xf>
    <xf numFmtId="0" fontId="61" fillId="0" borderId="160" xfId="22" applyFont="1" applyFill="1" applyBorder="1" applyAlignment="1">
      <alignment horizontal="left" vertical="center" wrapText="1" indent="1"/>
    </xf>
    <xf numFmtId="0" fontId="17" fillId="0" borderId="161" xfId="22" applyFont="1" applyFill="1" applyBorder="1" applyAlignment="1">
      <alignment horizontal="left" vertical="center" wrapText="1" indent="1"/>
    </xf>
    <xf numFmtId="0" fontId="61" fillId="68" borderId="16" xfId="22" applyFont="1" applyFill="1" applyBorder="1" applyAlignment="1" applyProtection="1">
      <alignment horizontal="center" vertical="center" wrapText="1"/>
    </xf>
    <xf numFmtId="0" fontId="17" fillId="20" borderId="160" xfId="22" applyFont="1" applyFill="1" applyBorder="1" applyAlignment="1">
      <alignment horizontal="left" vertical="center" wrapText="1"/>
    </xf>
    <xf numFmtId="0" fontId="17" fillId="0" borderId="160" xfId="22" applyFont="1" applyFill="1" applyBorder="1" applyAlignment="1">
      <alignment horizontal="left" vertical="center" wrapText="1"/>
    </xf>
    <xf numFmtId="0" fontId="86" fillId="0" borderId="0" xfId="0" applyFont="1" applyAlignment="1">
      <alignment horizontal="left" vertical="center"/>
    </xf>
    <xf numFmtId="0" fontId="86" fillId="0" borderId="0" xfId="0" applyFont="1" applyAlignment="1" applyProtection="1">
      <alignment horizontal="left" vertical="center"/>
    </xf>
    <xf numFmtId="0" fontId="61" fillId="0" borderId="107" xfId="13" applyFont="1" applyFill="1" applyBorder="1" applyAlignment="1" applyProtection="1">
      <alignment horizontal="center" vertical="center" wrapText="1"/>
    </xf>
    <xf numFmtId="0" fontId="51" fillId="0" borderId="0" xfId="0" applyFont="1" applyFill="1" applyBorder="1" applyAlignment="1">
      <alignment horizontal="center"/>
    </xf>
    <xf numFmtId="0" fontId="51" fillId="0" borderId="0" xfId="0" applyFont="1" applyBorder="1"/>
    <xf numFmtId="0" fontId="1" fillId="0" borderId="0" xfId="0" applyFont="1" applyAlignment="1">
      <alignment horizontal="center"/>
    </xf>
    <xf numFmtId="0" fontId="51" fillId="0" borderId="0" xfId="0" applyFont="1" applyFill="1" applyBorder="1" applyAlignment="1">
      <alignment horizontal="center"/>
    </xf>
    <xf numFmtId="0" fontId="1" fillId="26" borderId="0" xfId="0" applyFont="1" applyFill="1"/>
    <xf numFmtId="16" fontId="0" fillId="0" borderId="0" xfId="0" applyNumberFormat="1" applyAlignment="1">
      <alignment vertical="center" wrapText="1"/>
    </xf>
    <xf numFmtId="0" fontId="90" fillId="0" borderId="164" xfId="0" applyFont="1" applyFill="1" applyBorder="1" applyAlignment="1">
      <alignment horizontal="center"/>
    </xf>
    <xf numFmtId="0" fontId="89" fillId="0" borderId="0" xfId="0" applyFont="1" applyBorder="1" applyAlignment="1">
      <alignment horizontal="center"/>
    </xf>
    <xf numFmtId="0" fontId="90" fillId="0" borderId="0" xfId="0" applyFont="1" applyFill="1" applyBorder="1" applyAlignment="1">
      <alignment horizontal="center"/>
    </xf>
    <xf numFmtId="0" fontId="51" fillId="0" borderId="0" xfId="0" applyFont="1" applyFill="1" applyBorder="1" applyAlignment="1">
      <alignment horizontal="center"/>
    </xf>
    <xf numFmtId="0" fontId="51" fillId="0" borderId="164" xfId="0" applyFont="1" applyFill="1" applyBorder="1" applyAlignment="1">
      <alignment horizontal="center"/>
    </xf>
    <xf numFmtId="0" fontId="72" fillId="10" borderId="38" xfId="13" applyFont="1" applyFill="1" applyBorder="1" applyAlignment="1">
      <alignment horizontal="center" vertical="center" wrapText="1"/>
    </xf>
    <xf numFmtId="179" fontId="4" fillId="14" borderId="82" xfId="13" applyNumberFormat="1" applyFont="1" applyFill="1" applyBorder="1" applyAlignment="1">
      <alignment vertical="center" wrapText="1"/>
    </xf>
    <xf numFmtId="0" fontId="68" fillId="14" borderId="120" xfId="13" applyNumberFormat="1" applyFont="1" applyFill="1" applyBorder="1" applyAlignment="1" applyProtection="1">
      <alignment vertical="center" wrapText="1"/>
    </xf>
    <xf numFmtId="0" fontId="91" fillId="0" borderId="165" xfId="0" applyFont="1" applyBorder="1" applyAlignment="1">
      <alignment horizontal="center"/>
    </xf>
    <xf numFmtId="0" fontId="90" fillId="0" borderId="165" xfId="0" applyFont="1" applyFill="1" applyBorder="1" applyAlignment="1">
      <alignment horizontal="center"/>
    </xf>
    <xf numFmtId="0" fontId="90" fillId="0" borderId="166" xfId="0" applyFont="1" applyFill="1" applyBorder="1" applyAlignment="1">
      <alignment horizontal="center"/>
    </xf>
    <xf numFmtId="0" fontId="51" fillId="0" borderId="166" xfId="0" applyFont="1" applyFill="1" applyBorder="1" applyAlignment="1">
      <alignment horizontal="center"/>
    </xf>
    <xf numFmtId="0" fontId="88" fillId="60" borderId="166" xfId="0" applyFont="1" applyFill="1" applyBorder="1" applyAlignment="1">
      <alignment horizontal="center" vertical="center"/>
    </xf>
    <xf numFmtId="0" fontId="90" fillId="0" borderId="166" xfId="0" applyFont="1" applyFill="1" applyBorder="1" applyAlignment="1">
      <alignment horizontal="center" vertical="center"/>
    </xf>
    <xf numFmtId="0" fontId="89" fillId="0" borderId="166" xfId="0" applyFont="1" applyFill="1" applyBorder="1" applyAlignment="1">
      <alignment horizontal="center" vertical="center"/>
    </xf>
    <xf numFmtId="0" fontId="61" fillId="68" borderId="5" xfId="22" applyFont="1" applyFill="1" applyBorder="1" applyAlignment="1" applyProtection="1">
      <alignment horizontal="center" vertical="center" wrapText="1"/>
    </xf>
    <xf numFmtId="0" fontId="62" fillId="68" borderId="159" xfId="22" applyFont="1" applyFill="1" applyBorder="1" applyAlignment="1">
      <alignment horizontal="center" vertical="center" wrapText="1"/>
    </xf>
    <xf numFmtId="0" fontId="62" fillId="13" borderId="165" xfId="22" applyFont="1" applyFill="1" applyBorder="1" applyAlignment="1">
      <alignment vertical="center" wrapText="1"/>
    </xf>
    <xf numFmtId="167" fontId="17" fillId="58" borderId="0" xfId="0" applyNumberFormat="1" applyFont="1" applyFill="1" applyBorder="1"/>
    <xf numFmtId="0" fontId="17" fillId="58" borderId="0" xfId="0" applyFont="1" applyFill="1" applyBorder="1" applyAlignment="1">
      <alignment wrapText="1"/>
    </xf>
    <xf numFmtId="0" fontId="1" fillId="14" borderId="0" xfId="0" applyFont="1" applyFill="1"/>
    <xf numFmtId="165" fontId="20" fillId="0" borderId="127" xfId="9" applyNumberFormat="1" applyFont="1" applyBorder="1" applyProtection="1">
      <protection locked="0"/>
    </xf>
    <xf numFmtId="165" fontId="20" fillId="0" borderId="128" xfId="9" applyNumberFormat="1" applyFont="1" applyBorder="1" applyProtection="1">
      <protection locked="0"/>
    </xf>
    <xf numFmtId="0" fontId="58" fillId="14" borderId="0" xfId="0" applyFont="1" applyFill="1" applyAlignment="1">
      <alignment vertical="center"/>
    </xf>
    <xf numFmtId="0" fontId="57" fillId="14" borderId="0" xfId="0" applyFont="1" applyFill="1" applyAlignment="1">
      <alignment vertical="center"/>
    </xf>
    <xf numFmtId="0" fontId="2" fillId="0" borderId="0" xfId="0" applyFont="1" applyFill="1"/>
    <xf numFmtId="1" fontId="57" fillId="61" borderId="130" xfId="0" applyNumberFormat="1" applyFont="1" applyFill="1" applyBorder="1" applyAlignment="1" applyProtection="1">
      <alignment horizontal="center" vertical="center"/>
      <protection locked="0"/>
    </xf>
    <xf numFmtId="0" fontId="57" fillId="61" borderId="67" xfId="0" applyFont="1" applyFill="1" applyBorder="1" applyAlignment="1" applyProtection="1">
      <alignment horizontal="center" vertical="center"/>
      <protection locked="0"/>
    </xf>
    <xf numFmtId="0" fontId="11" fillId="0" borderId="0" xfId="0" applyFont="1" applyFill="1"/>
    <xf numFmtId="0" fontId="92" fillId="0" borderId="0" xfId="0" applyFont="1" applyFill="1"/>
    <xf numFmtId="0" fontId="92" fillId="0" borderId="0" xfId="0" applyFont="1" applyFill="1" applyAlignment="1">
      <alignment wrapText="1"/>
    </xf>
    <xf numFmtId="0" fontId="93" fillId="0" borderId="0" xfId="0" applyFont="1" applyFill="1"/>
    <xf numFmtId="0" fontId="97" fillId="11" borderId="81" xfId="0" applyNumberFormat="1" applyFont="1" applyFill="1" applyBorder="1" applyAlignment="1">
      <alignment horizontal="center" vertical="center"/>
    </xf>
    <xf numFmtId="0" fontId="97" fillId="11" borderId="82" xfId="0" applyNumberFormat="1" applyFont="1" applyFill="1" applyBorder="1" applyAlignment="1">
      <alignment horizontal="center" vertical="center"/>
    </xf>
    <xf numFmtId="0" fontId="97" fillId="11" borderId="83" xfId="0" applyNumberFormat="1" applyFont="1" applyFill="1" applyBorder="1" applyAlignment="1">
      <alignment horizontal="center" vertical="center"/>
    </xf>
    <xf numFmtId="0" fontId="94" fillId="65" borderId="81" xfId="0" applyNumberFormat="1" applyFont="1" applyFill="1" applyBorder="1" applyAlignment="1">
      <alignment horizontal="center" vertical="center"/>
    </xf>
    <xf numFmtId="0" fontId="94" fillId="65" borderId="82" xfId="0" applyNumberFormat="1" applyFont="1" applyFill="1" applyBorder="1" applyAlignment="1">
      <alignment horizontal="center" vertical="center"/>
    </xf>
    <xf numFmtId="0" fontId="94" fillId="65" borderId="83" xfId="0" applyNumberFormat="1" applyFont="1" applyFill="1" applyBorder="1" applyAlignment="1">
      <alignment horizontal="center" vertical="center"/>
    </xf>
    <xf numFmtId="0" fontId="98" fillId="67" borderId="81" xfId="0" applyNumberFormat="1" applyFont="1" applyFill="1" applyBorder="1" applyAlignment="1">
      <alignment horizontal="center" vertical="center"/>
    </xf>
    <xf numFmtId="0" fontId="98" fillId="67" borderId="82" xfId="0" applyNumberFormat="1" applyFont="1" applyFill="1" applyBorder="1" applyAlignment="1">
      <alignment horizontal="center" vertical="center"/>
    </xf>
    <xf numFmtId="0" fontId="98" fillId="67" borderId="83" xfId="0" applyNumberFormat="1" applyFont="1" applyFill="1" applyBorder="1" applyAlignment="1">
      <alignment horizontal="center" vertical="center"/>
    </xf>
    <xf numFmtId="0" fontId="99" fillId="69" borderId="81" xfId="0" applyNumberFormat="1" applyFont="1" applyFill="1" applyBorder="1" applyAlignment="1">
      <alignment horizontal="center" vertical="center"/>
    </xf>
    <xf numFmtId="0" fontId="99" fillId="69" borderId="82" xfId="0" applyNumberFormat="1" applyFont="1" applyFill="1" applyBorder="1" applyAlignment="1">
      <alignment horizontal="center" vertical="center"/>
    </xf>
    <xf numFmtId="0" fontId="99" fillId="69" borderId="83" xfId="0" applyNumberFormat="1" applyFont="1" applyFill="1" applyBorder="1" applyAlignment="1">
      <alignment horizontal="center" vertical="center"/>
    </xf>
    <xf numFmtId="0" fontId="96" fillId="70" borderId="81" xfId="0" applyNumberFormat="1" applyFont="1" applyFill="1" applyBorder="1" applyAlignment="1">
      <alignment horizontal="center" vertical="center"/>
    </xf>
    <xf numFmtId="0" fontId="96" fillId="70" borderId="82" xfId="0" applyNumberFormat="1" applyFont="1" applyFill="1" applyBorder="1" applyAlignment="1">
      <alignment horizontal="center" vertical="center"/>
    </xf>
    <xf numFmtId="0" fontId="96" fillId="70" borderId="83" xfId="0" applyNumberFormat="1" applyFont="1" applyFill="1" applyBorder="1" applyAlignment="1">
      <alignment horizontal="center" vertical="center"/>
    </xf>
    <xf numFmtId="0" fontId="95" fillId="15" borderId="81" xfId="0" applyNumberFormat="1" applyFont="1" applyFill="1" applyBorder="1" applyAlignment="1">
      <alignment horizontal="center" vertical="center"/>
    </xf>
    <xf numFmtId="0" fontId="95" fillId="15" borderId="82" xfId="0" applyNumberFormat="1" applyFont="1" applyFill="1" applyBorder="1" applyAlignment="1">
      <alignment horizontal="center" vertical="center"/>
    </xf>
    <xf numFmtId="0" fontId="95" fillId="15" borderId="83" xfId="0" applyNumberFormat="1" applyFont="1" applyFill="1" applyBorder="1" applyAlignment="1">
      <alignment horizontal="center" vertical="center"/>
    </xf>
    <xf numFmtId="166" fontId="12" fillId="70" borderId="121" xfId="0" applyNumberFormat="1" applyFont="1" applyFill="1" applyBorder="1" applyAlignment="1">
      <alignment horizontal="center" vertical="center"/>
    </xf>
    <xf numFmtId="166" fontId="12" fillId="70" borderId="173" xfId="0" applyNumberFormat="1" applyFont="1" applyFill="1" applyBorder="1" applyAlignment="1">
      <alignment horizontal="center" vertical="center"/>
    </xf>
    <xf numFmtId="0" fontId="20" fillId="0" borderId="174" xfId="0" applyFont="1" applyBorder="1"/>
    <xf numFmtId="0" fontId="20" fillId="0" borderId="175" xfId="0" applyFont="1" applyBorder="1"/>
    <xf numFmtId="0" fontId="20" fillId="0" borderId="176" xfId="0" applyFont="1" applyBorder="1"/>
    <xf numFmtId="165" fontId="20" fillId="0" borderId="178" xfId="9" applyNumberFormat="1" applyFont="1" applyFill="1" applyBorder="1"/>
    <xf numFmtId="0" fontId="0" fillId="0" borderId="177" xfId="0" applyBorder="1"/>
    <xf numFmtId="165" fontId="20" fillId="0" borderId="180" xfId="9" applyNumberFormat="1" applyFont="1" applyFill="1" applyBorder="1"/>
    <xf numFmtId="0" fontId="21" fillId="0" borderId="181" xfId="0" applyFont="1" applyFill="1" applyBorder="1" applyAlignment="1">
      <alignment horizontal="center" vertical="center"/>
    </xf>
    <xf numFmtId="0" fontId="22" fillId="24" borderId="155" xfId="0" applyFont="1" applyFill="1" applyBorder="1" applyAlignment="1">
      <alignment horizontal="left" indent="1"/>
    </xf>
    <xf numFmtId="165" fontId="23" fillId="0" borderId="5" xfId="9" applyNumberFormat="1" applyFont="1" applyBorder="1" applyAlignment="1">
      <alignment horizontal="left" indent="2"/>
    </xf>
    <xf numFmtId="165" fontId="20" fillId="0" borderId="5" xfId="9" applyNumberFormat="1" applyFont="1" applyBorder="1" applyAlignment="1">
      <alignment horizontal="left" indent="3"/>
    </xf>
    <xf numFmtId="165" fontId="24" fillId="25" borderId="169" xfId="9" applyNumberFormat="1" applyFont="1" applyFill="1" applyBorder="1" applyAlignment="1">
      <alignment horizontal="left" indent="1"/>
    </xf>
    <xf numFmtId="0" fontId="20" fillId="0" borderId="5" xfId="0" applyFont="1" applyBorder="1" applyAlignment="1">
      <alignment horizontal="left" indent="3"/>
    </xf>
    <xf numFmtId="0" fontId="20" fillId="25" borderId="169" xfId="0" applyFont="1" applyFill="1" applyBorder="1" applyAlignment="1">
      <alignment horizontal="left" indent="2"/>
    </xf>
    <xf numFmtId="0" fontId="23" fillId="0" borderId="5" xfId="0" applyFont="1" applyBorder="1" applyAlignment="1">
      <alignment horizontal="left" indent="2"/>
    </xf>
    <xf numFmtId="0" fontId="20" fillId="0" borderId="2" xfId="0" applyFont="1" applyBorder="1"/>
    <xf numFmtId="165" fontId="20" fillId="0" borderId="182" xfId="9" applyNumberFormat="1" applyFont="1" applyFill="1" applyBorder="1"/>
    <xf numFmtId="165" fontId="24" fillId="0" borderId="182" xfId="9" applyNumberFormat="1" applyFont="1" applyFill="1" applyBorder="1"/>
    <xf numFmtId="0" fontId="21" fillId="0" borderId="183" xfId="0" applyFont="1" applyFill="1" applyBorder="1" applyAlignment="1">
      <alignment horizontal="center"/>
    </xf>
    <xf numFmtId="0" fontId="20" fillId="26" borderId="184" xfId="0" applyFont="1" applyFill="1" applyBorder="1"/>
    <xf numFmtId="0" fontId="20" fillId="25" borderId="168" xfId="0" applyFont="1" applyFill="1" applyBorder="1" applyAlignment="1"/>
    <xf numFmtId="0" fontId="20" fillId="25" borderId="170" xfId="0" applyFont="1" applyFill="1" applyBorder="1" applyAlignment="1"/>
    <xf numFmtId="0" fontId="20" fillId="0" borderId="168" xfId="0" applyFont="1" applyBorder="1" applyAlignment="1"/>
    <xf numFmtId="0" fontId="20" fillId="0" borderId="170" xfId="0" applyFont="1" applyBorder="1" applyAlignment="1"/>
    <xf numFmtId="0" fontId="23" fillId="0" borderId="99" xfId="0" applyFont="1" applyBorder="1" applyAlignment="1"/>
    <xf numFmtId="0" fontId="21" fillId="0" borderId="185" xfId="0" applyFont="1" applyFill="1" applyBorder="1" applyAlignment="1">
      <alignment horizontal="center" vertical="center"/>
    </xf>
    <xf numFmtId="0" fontId="21" fillId="0" borderId="186" xfId="0" applyFont="1" applyFill="1" applyBorder="1" applyAlignment="1">
      <alignment horizontal="center" vertical="center"/>
    </xf>
    <xf numFmtId="0" fontId="21" fillId="0" borderId="187" xfId="0" applyFont="1" applyFill="1" applyBorder="1" applyAlignment="1">
      <alignment horizontal="center"/>
    </xf>
    <xf numFmtId="0" fontId="21" fillId="0" borderId="188" xfId="0" applyFont="1" applyFill="1" applyBorder="1" applyAlignment="1">
      <alignment horizontal="center"/>
    </xf>
    <xf numFmtId="165" fontId="20" fillId="0" borderId="187" xfId="9" applyNumberFormat="1" applyFont="1" applyFill="1" applyBorder="1"/>
    <xf numFmtId="165" fontId="20" fillId="0" borderId="34" xfId="9" applyNumberFormat="1" applyFont="1" applyFill="1" applyBorder="1"/>
    <xf numFmtId="165" fontId="24" fillId="0" borderId="187" xfId="9" applyNumberFormat="1" applyFont="1" applyFill="1" applyBorder="1"/>
    <xf numFmtId="165" fontId="24" fillId="0" borderId="34" xfId="9" applyNumberFormat="1" applyFont="1" applyFill="1" applyBorder="1"/>
    <xf numFmtId="0" fontId="20" fillId="0" borderId="187" xfId="0" applyFont="1" applyFill="1" applyBorder="1"/>
    <xf numFmtId="0" fontId="20" fillId="26" borderId="115" xfId="0" applyFont="1" applyFill="1" applyBorder="1"/>
    <xf numFmtId="0" fontId="20" fillId="0" borderId="189" xfId="0" applyFont="1" applyBorder="1"/>
    <xf numFmtId="165" fontId="20" fillId="0" borderId="190" xfId="9" applyNumberFormat="1" applyFont="1" applyFill="1" applyBorder="1"/>
    <xf numFmtId="0" fontId="23" fillId="0" borderId="94" xfId="0" applyFont="1" applyBorder="1" applyAlignment="1"/>
    <xf numFmtId="0" fontId="0" fillId="0" borderId="99" xfId="0" applyBorder="1"/>
    <xf numFmtId="165" fontId="20" fillId="0" borderId="191" xfId="9" applyNumberFormat="1" applyFont="1" applyFill="1" applyBorder="1"/>
    <xf numFmtId="0" fontId="23" fillId="0" borderId="177" xfId="0" applyFont="1" applyBorder="1" applyAlignment="1"/>
    <xf numFmtId="0" fontId="23" fillId="0" borderId="0" xfId="0" applyFont="1" applyBorder="1" applyAlignment="1"/>
    <xf numFmtId="0" fontId="23" fillId="0" borderId="157" xfId="0" applyFont="1" applyBorder="1" applyAlignment="1"/>
    <xf numFmtId="165" fontId="20" fillId="0" borderId="192" xfId="9" applyNumberFormat="1" applyFont="1" applyBorder="1"/>
    <xf numFmtId="0" fontId="0" fillId="0" borderId="48" xfId="0" applyBorder="1"/>
    <xf numFmtId="0" fontId="0" fillId="0" borderId="14" xfId="0" applyBorder="1"/>
    <xf numFmtId="0" fontId="0" fillId="0" borderId="18" xfId="0" applyBorder="1"/>
    <xf numFmtId="0" fontId="0" fillId="0" borderId="95" xfId="0" applyBorder="1"/>
    <xf numFmtId="0" fontId="0" fillId="0" borderId="94" xfId="0" applyBorder="1"/>
    <xf numFmtId="14" fontId="25" fillId="0" borderId="50" xfId="0" applyNumberFormat="1" applyFont="1" applyBorder="1" applyAlignment="1">
      <alignment horizontal="center" vertical="center" wrapText="1"/>
    </xf>
    <xf numFmtId="9" fontId="57" fillId="61" borderId="130" xfId="0" applyNumberFormat="1" applyFont="1" applyFill="1" applyBorder="1" applyAlignment="1" applyProtection="1">
      <alignment horizontal="center" vertical="center"/>
      <protection locked="0"/>
    </xf>
    <xf numFmtId="10" fontId="57" fillId="61" borderId="109" xfId="0" applyNumberFormat="1" applyFont="1" applyFill="1" applyBorder="1" applyAlignment="1" applyProtection="1">
      <alignment horizontal="center" vertical="center"/>
      <protection locked="0"/>
    </xf>
    <xf numFmtId="14" fontId="25" fillId="27" borderId="41" xfId="0" applyNumberFormat="1" applyFont="1" applyFill="1" applyBorder="1" applyAlignment="1" applyProtection="1">
      <alignment horizontal="center" vertical="center" wrapText="1"/>
      <protection locked="0"/>
    </xf>
    <xf numFmtId="0" fontId="17" fillId="77" borderId="160" xfId="22" applyFont="1" applyFill="1" applyBorder="1" applyAlignment="1" applyProtection="1">
      <alignment horizontal="left" vertical="center" wrapText="1"/>
      <protection locked="0"/>
    </xf>
    <xf numFmtId="0" fontId="17" fillId="61" borderId="160" xfId="22" applyFont="1" applyFill="1" applyBorder="1" applyAlignment="1" applyProtection="1">
      <alignment horizontal="left" vertical="center" wrapText="1"/>
      <protection locked="0"/>
    </xf>
    <xf numFmtId="176" fontId="17" fillId="20" borderId="67" xfId="0" applyNumberFormat="1" applyFont="1" applyFill="1" applyBorder="1" applyAlignment="1" applyProtection="1">
      <alignment horizontal="center"/>
      <protection locked="0"/>
    </xf>
    <xf numFmtId="49" fontId="65" fillId="20" borderId="67" xfId="22" applyNumberFormat="1" applyFont="1" applyFill="1" applyBorder="1" applyAlignment="1" applyProtection="1">
      <alignment horizontal="left" vertical="center" wrapText="1"/>
      <protection locked="0"/>
    </xf>
    <xf numFmtId="176" fontId="17" fillId="20" borderId="164" xfId="0" applyNumberFormat="1" applyFont="1" applyFill="1" applyBorder="1" applyAlignment="1" applyProtection="1">
      <alignment horizontal="center"/>
      <protection locked="0"/>
    </xf>
    <xf numFmtId="49" fontId="65" fillId="20" borderId="164" xfId="22" applyNumberFormat="1" applyFont="1" applyFill="1" applyBorder="1" applyAlignment="1" applyProtection="1">
      <alignment horizontal="left" vertical="center" wrapText="1"/>
      <protection locked="0"/>
    </xf>
    <xf numFmtId="0" fontId="62" fillId="68" borderId="2" xfId="22" applyFont="1" applyFill="1" applyBorder="1" applyAlignment="1" applyProtection="1">
      <alignment horizontal="center" vertical="center" wrapText="1"/>
    </xf>
    <xf numFmtId="0" fontId="62" fillId="68" borderId="16" xfId="22" applyFont="1" applyFill="1" applyBorder="1" applyAlignment="1" applyProtection="1">
      <alignment vertical="center" wrapText="1"/>
    </xf>
    <xf numFmtId="0" fontId="62" fillId="68" borderId="71" xfId="22" applyFont="1" applyFill="1" applyBorder="1" applyAlignment="1" applyProtection="1">
      <alignment vertical="center" wrapText="1"/>
    </xf>
    <xf numFmtId="0" fontId="61" fillId="68" borderId="84" xfId="0" applyFont="1" applyFill="1" applyBorder="1" applyAlignment="1" applyProtection="1">
      <alignment horizontal="center" vertical="center"/>
    </xf>
    <xf numFmtId="0" fontId="61" fillId="68" borderId="2" xfId="22" applyFont="1" applyFill="1" applyBorder="1" applyAlignment="1" applyProtection="1">
      <alignment horizontal="center" vertical="center" wrapText="1"/>
    </xf>
    <xf numFmtId="0" fontId="20" fillId="0" borderId="81" xfId="0" applyFont="1" applyBorder="1" applyAlignment="1">
      <alignment horizontal="left" indent="2"/>
    </xf>
    <xf numFmtId="0" fontId="20" fillId="0" borderId="0" xfId="0" applyFont="1" applyBorder="1"/>
    <xf numFmtId="0" fontId="20" fillId="0" borderId="126" xfId="0" applyFont="1" applyBorder="1" applyAlignment="1">
      <alignment horizontal="left" indent="2"/>
    </xf>
    <xf numFmtId="0" fontId="20" fillId="0" borderId="14" xfId="0" applyFont="1" applyBorder="1" applyAlignment="1">
      <alignment horizontal="left" indent="2"/>
    </xf>
    <xf numFmtId="0" fontId="20" fillId="0" borderId="131" xfId="0" applyFont="1" applyBorder="1" applyAlignment="1">
      <alignment horizontal="left" indent="2"/>
    </xf>
    <xf numFmtId="0" fontId="0" fillId="0" borderId="179" xfId="0" applyBorder="1" applyAlignment="1">
      <alignment horizontal="left" indent="1"/>
    </xf>
    <xf numFmtId="165" fontId="20" fillId="0" borderId="0" xfId="9" applyNumberFormat="1" applyFont="1" applyFill="1" applyBorder="1"/>
    <xf numFmtId="165" fontId="20" fillId="25" borderId="133" xfId="0" applyNumberFormat="1" applyFont="1" applyFill="1" applyBorder="1" applyProtection="1">
      <protection locked="0"/>
    </xf>
    <xf numFmtId="165" fontId="20" fillId="0" borderId="133" xfId="0" applyNumberFormat="1" applyFont="1" applyBorder="1" applyProtection="1">
      <protection locked="0"/>
    </xf>
    <xf numFmtId="165" fontId="20" fillId="25" borderId="133" xfId="0" applyNumberFormat="1" applyFont="1" applyFill="1" applyBorder="1" applyAlignment="1" applyProtection="1">
      <alignment horizontal="center"/>
      <protection locked="0"/>
    </xf>
    <xf numFmtId="165" fontId="20" fillId="0" borderId="133" xfId="0" applyNumberFormat="1" applyFont="1" applyBorder="1" applyAlignment="1" applyProtection="1">
      <alignment horizontal="center"/>
      <protection locked="0"/>
    </xf>
    <xf numFmtId="0" fontId="100" fillId="0" borderId="0" xfId="0" applyFont="1" applyFill="1" applyBorder="1" applyAlignment="1">
      <alignment horizontal="center" vertical="center"/>
    </xf>
    <xf numFmtId="0" fontId="47" fillId="0" borderId="0" xfId="0" applyFont="1" applyBorder="1" applyAlignment="1">
      <alignment horizontal="center" vertical="center"/>
    </xf>
    <xf numFmtId="0" fontId="101" fillId="0" borderId="0" xfId="0" applyFont="1" applyAlignment="1">
      <alignment horizontal="center" wrapText="1"/>
    </xf>
    <xf numFmtId="0" fontId="47" fillId="0" borderId="0" xfId="0" applyFont="1"/>
    <xf numFmtId="0" fontId="100" fillId="0" borderId="0" xfId="0" applyFont="1" applyFill="1"/>
    <xf numFmtId="0" fontId="103" fillId="0" borderId="0" xfId="0" applyFont="1" applyAlignment="1">
      <alignment horizontal="center" wrapText="1"/>
    </xf>
    <xf numFmtId="0" fontId="14" fillId="78" borderId="195" xfId="0" applyFont="1" applyFill="1" applyBorder="1" applyAlignment="1">
      <alignment horizontal="center" vertical="center" wrapText="1"/>
    </xf>
    <xf numFmtId="0" fontId="14" fillId="0" borderId="197" xfId="0" applyFont="1" applyFill="1" applyBorder="1" applyAlignment="1">
      <alignment horizontal="center" vertical="center" wrapText="1"/>
    </xf>
    <xf numFmtId="0" fontId="104" fillId="0" borderId="198" xfId="0" applyFont="1" applyBorder="1" applyAlignment="1">
      <alignment horizontal="center" vertical="top" wrapText="1"/>
    </xf>
    <xf numFmtId="0" fontId="104" fillId="0" borderId="199" xfId="0" applyFont="1" applyBorder="1" applyAlignment="1">
      <alignment horizontal="center" vertical="top" wrapText="1"/>
    </xf>
    <xf numFmtId="0" fontId="14" fillId="78" borderId="95" xfId="0" applyFont="1" applyFill="1" applyBorder="1" applyAlignment="1">
      <alignment horizontal="center" vertical="center" wrapText="1"/>
    </xf>
    <xf numFmtId="180" fontId="42" fillId="78" borderId="204" xfId="0" applyNumberFormat="1" applyFont="1" applyFill="1" applyBorder="1" applyAlignment="1">
      <alignment horizontal="center" vertical="center" wrapText="1"/>
    </xf>
    <xf numFmtId="180" fontId="42" fillId="0" borderId="0" xfId="0" quotePrefix="1" applyNumberFormat="1" applyFont="1" applyFill="1" applyBorder="1" applyAlignment="1">
      <alignment horizontal="center" vertical="center" wrapText="1"/>
    </xf>
    <xf numFmtId="0" fontId="43" fillId="0" borderId="205" xfId="0" quotePrefix="1" applyFont="1" applyBorder="1" applyAlignment="1">
      <alignment vertical="center" wrapText="1"/>
    </xf>
    <xf numFmtId="0" fontId="43" fillId="0" borderId="206" xfId="0" quotePrefix="1" applyFont="1" applyBorder="1" applyAlignment="1">
      <alignment vertical="center" wrapText="1"/>
    </xf>
    <xf numFmtId="0" fontId="43" fillId="0" borderId="207" xfId="0" quotePrefix="1" applyFont="1" applyBorder="1" applyAlignment="1">
      <alignment vertical="center" wrapText="1"/>
    </xf>
    <xf numFmtId="0" fontId="43" fillId="0" borderId="208" xfId="0" quotePrefix="1" applyFont="1" applyBorder="1" applyAlignment="1">
      <alignment vertical="center" wrapText="1"/>
    </xf>
    <xf numFmtId="0" fontId="43" fillId="0" borderId="212" xfId="0" quotePrefix="1" applyFont="1" applyBorder="1" applyAlignment="1">
      <alignment vertical="center" wrapText="1"/>
    </xf>
    <xf numFmtId="0" fontId="43" fillId="0" borderId="213" xfId="0" quotePrefix="1" applyFont="1" applyBorder="1" applyAlignment="1">
      <alignment vertical="center" wrapText="1"/>
    </xf>
    <xf numFmtId="0" fontId="42" fillId="78" borderId="214" xfId="0" applyFont="1" applyFill="1" applyBorder="1" applyAlignment="1">
      <alignment horizontal="right" vertical="center" wrapText="1"/>
    </xf>
    <xf numFmtId="180" fontId="42" fillId="78" borderId="215" xfId="0" applyNumberFormat="1" applyFont="1" applyFill="1" applyBorder="1" applyAlignment="1">
      <alignment horizontal="center" vertical="center" wrapText="1"/>
    </xf>
    <xf numFmtId="180" fontId="42" fillId="0" borderId="0" xfId="0" applyNumberFormat="1" applyFont="1" applyFill="1" applyBorder="1" applyAlignment="1">
      <alignment horizontal="center" vertical="center" wrapText="1"/>
    </xf>
    <xf numFmtId="0" fontId="43" fillId="0" borderId="0" xfId="0" quotePrefix="1" applyFont="1" applyBorder="1" applyAlignment="1">
      <alignment vertical="center" wrapText="1"/>
    </xf>
    <xf numFmtId="0" fontId="47" fillId="0" borderId="197" xfId="0" applyFont="1" applyBorder="1"/>
    <xf numFmtId="180" fontId="47" fillId="0" borderId="0" xfId="0" applyNumberFormat="1" applyFont="1" applyBorder="1"/>
    <xf numFmtId="180" fontId="100" fillId="0" borderId="211" xfId="0" applyNumberFormat="1" applyFont="1" applyBorder="1"/>
    <xf numFmtId="180" fontId="100" fillId="0" borderId="0" xfId="0" applyNumberFormat="1" applyFont="1" applyFill="1" applyBorder="1"/>
    <xf numFmtId="0" fontId="43" fillId="0" borderId="217" xfId="0" applyFont="1" applyBorder="1" applyAlignment="1">
      <alignment vertical="center" wrapText="1"/>
    </xf>
    <xf numFmtId="180" fontId="42" fillId="78" borderId="218" xfId="0" applyNumberFormat="1" applyFont="1" applyFill="1" applyBorder="1" applyAlignment="1">
      <alignment horizontal="center" vertical="center" wrapText="1"/>
    </xf>
    <xf numFmtId="0" fontId="47" fillId="0" borderId="0" xfId="0" applyFont="1" applyBorder="1"/>
    <xf numFmtId="0" fontId="100" fillId="0" borderId="211" xfId="0" applyFont="1" applyBorder="1"/>
    <xf numFmtId="0" fontId="100" fillId="0" borderId="0" xfId="0" applyFont="1" applyFill="1" applyBorder="1"/>
    <xf numFmtId="0" fontId="43" fillId="0" borderId="0" xfId="0" applyFont="1" applyBorder="1" applyAlignment="1">
      <alignment vertical="center" wrapText="1"/>
    </xf>
    <xf numFmtId="0" fontId="42" fillId="0" borderId="0" xfId="0" applyFont="1" applyFill="1" applyBorder="1" applyAlignment="1">
      <alignment horizontal="left" vertical="center" wrapText="1" indent="1"/>
    </xf>
    <xf numFmtId="0" fontId="13" fillId="78" borderId="200" xfId="0" applyFont="1" applyFill="1" applyBorder="1" applyAlignment="1">
      <alignment horizontal="right" vertical="center" wrapText="1"/>
    </xf>
    <xf numFmtId="0" fontId="42" fillId="78" borderId="210" xfId="0" applyFont="1" applyFill="1" applyBorder="1" applyAlignment="1">
      <alignment horizontal="right" vertical="center" wrapText="1"/>
    </xf>
    <xf numFmtId="180" fontId="42" fillId="78" borderId="219" xfId="0" applyNumberFormat="1" applyFont="1" applyFill="1" applyBorder="1" applyAlignment="1">
      <alignment horizontal="center" vertical="center" wrapText="1"/>
    </xf>
    <xf numFmtId="0" fontId="42" fillId="78" borderId="226" xfId="0" applyFont="1" applyFill="1" applyBorder="1" applyAlignment="1">
      <alignment horizontal="right" vertical="center" wrapText="1"/>
    </xf>
    <xf numFmtId="180" fontId="42" fillId="78" borderId="227" xfId="0" applyNumberFormat="1" applyFont="1" applyFill="1" applyBorder="1" applyAlignment="1">
      <alignment horizontal="center" vertical="center" wrapText="1"/>
    </xf>
    <xf numFmtId="0" fontId="105" fillId="0" borderId="0" xfId="0" quotePrefix="1" applyFont="1" applyBorder="1" applyAlignment="1">
      <alignment wrapText="1"/>
    </xf>
    <xf numFmtId="0" fontId="42" fillId="78" borderId="228" xfId="0" applyFont="1" applyFill="1" applyBorder="1" applyAlignment="1">
      <alignment horizontal="right" vertical="center" wrapText="1"/>
    </xf>
    <xf numFmtId="180" fontId="42" fillId="78" borderId="229" xfId="0" applyNumberFormat="1" applyFont="1" applyFill="1" applyBorder="1" applyAlignment="1">
      <alignment horizontal="center" vertical="center" wrapText="1"/>
    </xf>
    <xf numFmtId="0" fontId="43" fillId="0" borderId="0" xfId="0" applyFont="1" applyBorder="1" applyAlignment="1">
      <alignment wrapText="1"/>
    </xf>
    <xf numFmtId="180" fontId="42" fillId="78" borderId="231" xfId="0" applyNumberFormat="1" applyFont="1" applyFill="1" applyBorder="1" applyAlignment="1">
      <alignment horizontal="center" vertical="center" wrapText="1"/>
    </xf>
    <xf numFmtId="0" fontId="105" fillId="0" borderId="0" xfId="0" applyFont="1" applyBorder="1" applyAlignment="1">
      <alignment vertical="center" wrapText="1"/>
    </xf>
    <xf numFmtId="0" fontId="42" fillId="0" borderId="0" xfId="0" applyFont="1" applyFill="1" applyBorder="1" applyAlignment="1">
      <alignment vertical="center" wrapText="1"/>
    </xf>
    <xf numFmtId="0" fontId="108" fillId="0" borderId="0" xfId="0" applyFont="1" applyBorder="1" applyAlignment="1">
      <alignment vertical="center" wrapText="1"/>
    </xf>
    <xf numFmtId="0" fontId="42" fillId="78" borderId="200" xfId="0" applyFont="1" applyFill="1" applyBorder="1" applyAlignment="1">
      <alignment horizontal="right" vertical="center" wrapText="1"/>
    </xf>
    <xf numFmtId="0" fontId="42" fillId="0" borderId="0" xfId="0" applyFont="1" applyFill="1" applyBorder="1" applyAlignment="1">
      <alignment horizontal="left" vertical="center" wrapText="1" indent="3"/>
    </xf>
    <xf numFmtId="0" fontId="42" fillId="78" borderId="209" xfId="0" applyFont="1" applyFill="1" applyBorder="1" applyAlignment="1">
      <alignment horizontal="right" vertical="center" wrapText="1"/>
    </xf>
    <xf numFmtId="180" fontId="42" fillId="78" borderId="30" xfId="0" applyNumberFormat="1" applyFont="1" applyFill="1" applyBorder="1" applyAlignment="1">
      <alignment horizontal="center" vertical="center" wrapText="1"/>
    </xf>
    <xf numFmtId="0" fontId="43" fillId="0" borderId="239" xfId="0" quotePrefix="1" applyFont="1" applyBorder="1" applyAlignment="1">
      <alignment vertical="center" wrapText="1"/>
    </xf>
    <xf numFmtId="0" fontId="105" fillId="0" borderId="240" xfId="0" applyFont="1" applyBorder="1" applyAlignment="1">
      <alignment vertical="top" wrapText="1"/>
    </xf>
    <xf numFmtId="0" fontId="100" fillId="0" borderId="0" xfId="0" applyFont="1"/>
    <xf numFmtId="0" fontId="43" fillId="0" borderId="0" xfId="0" applyFont="1" applyAlignment="1">
      <alignment wrapText="1"/>
    </xf>
    <xf numFmtId="0" fontId="101" fillId="0" borderId="0" xfId="0" applyFont="1" applyFill="1" applyAlignment="1">
      <alignment horizontal="center" wrapText="1"/>
    </xf>
    <xf numFmtId="0" fontId="14" fillId="70" borderId="193" xfId="0" applyFont="1" applyFill="1" applyBorder="1" applyAlignment="1">
      <alignment horizontal="center" vertical="center"/>
    </xf>
    <xf numFmtId="0" fontId="0" fillId="15" borderId="0" xfId="0" applyFill="1" applyBorder="1"/>
    <xf numFmtId="0" fontId="0" fillId="80" borderId="0" xfId="0" applyFill="1" applyBorder="1"/>
    <xf numFmtId="0" fontId="0" fillId="22" borderId="0" xfId="0" applyFill="1" applyBorder="1"/>
    <xf numFmtId="0" fontId="0" fillId="81" borderId="0" xfId="0" applyFill="1" applyBorder="1"/>
    <xf numFmtId="0" fontId="0" fillId="27" borderId="0" xfId="0" applyFill="1" applyBorder="1"/>
    <xf numFmtId="0" fontId="0" fillId="69" borderId="0" xfId="0" applyFill="1" applyBorder="1"/>
    <xf numFmtId="0" fontId="0" fillId="11" borderId="0" xfId="0" applyFill="1" applyBorder="1"/>
    <xf numFmtId="0" fontId="39" fillId="14" borderId="200" xfId="0" applyFont="1" applyFill="1" applyBorder="1" applyAlignment="1">
      <alignment horizontal="right" vertical="center" wrapText="1"/>
    </xf>
    <xf numFmtId="180" fontId="39" fillId="14" borderId="95" xfId="0" applyNumberFormat="1" applyFont="1" applyFill="1" applyBorder="1" applyAlignment="1">
      <alignment horizontal="center" vertical="center" wrapText="1"/>
    </xf>
    <xf numFmtId="180" fontId="39" fillId="14" borderId="204" xfId="0" applyNumberFormat="1" applyFont="1" applyFill="1" applyBorder="1" applyAlignment="1">
      <alignment horizontal="center" vertical="center" wrapText="1"/>
    </xf>
    <xf numFmtId="0" fontId="43" fillId="0" borderId="0" xfId="0" applyFont="1" applyFill="1" applyBorder="1" applyAlignment="1">
      <alignment vertical="center" wrapText="1"/>
    </xf>
    <xf numFmtId="0" fontId="43" fillId="0" borderId="0" xfId="0" quotePrefix="1" applyFont="1" applyFill="1" applyBorder="1" applyAlignment="1">
      <alignment vertical="center" wrapText="1"/>
    </xf>
    <xf numFmtId="176" fontId="17" fillId="20" borderId="67" xfId="0" applyNumberFormat="1" applyFont="1" applyFill="1" applyBorder="1" applyAlignment="1" applyProtection="1">
      <alignment horizontal="center" vertical="center"/>
      <protection locked="0"/>
    </xf>
    <xf numFmtId="180" fontId="47" fillId="0" borderId="0" xfId="0" applyNumberFormat="1" applyFont="1" applyFill="1" applyBorder="1"/>
    <xf numFmtId="180" fontId="100" fillId="0" borderId="211" xfId="0" applyNumberFormat="1" applyFont="1" applyFill="1" applyBorder="1"/>
    <xf numFmtId="180" fontId="42" fillId="78" borderId="241" xfId="0" applyNumberFormat="1" applyFont="1" applyFill="1" applyBorder="1" applyAlignment="1">
      <alignment horizontal="center" vertical="center" wrapText="1"/>
    </xf>
    <xf numFmtId="180" fontId="39" fillId="78" borderId="221" xfId="0" applyNumberFormat="1" applyFont="1" applyFill="1" applyBorder="1" applyAlignment="1">
      <alignment horizontal="center" vertical="center" wrapText="1"/>
    </xf>
    <xf numFmtId="180" fontId="39" fillId="78" borderId="38" xfId="0" applyNumberFormat="1" applyFont="1" applyFill="1" applyBorder="1" applyAlignment="1">
      <alignment horizontal="center" vertical="center" wrapText="1"/>
    </xf>
    <xf numFmtId="180" fontId="39" fillId="78" borderId="218" xfId="0" applyNumberFormat="1" applyFont="1" applyFill="1" applyBorder="1" applyAlignment="1">
      <alignment horizontal="center" vertical="center" wrapText="1"/>
    </xf>
    <xf numFmtId="180" fontId="39" fillId="78" borderId="216" xfId="0" applyNumberFormat="1" applyFont="1" applyFill="1" applyBorder="1" applyAlignment="1">
      <alignment horizontal="center" vertical="center" wrapText="1"/>
    </xf>
    <xf numFmtId="180" fontId="39" fillId="78" borderId="215" xfId="0" applyNumberFormat="1" applyFont="1" applyFill="1" applyBorder="1" applyAlignment="1">
      <alignment horizontal="center" vertical="center" wrapText="1"/>
    </xf>
    <xf numFmtId="180" fontId="43" fillId="14" borderId="95" xfId="0" applyNumberFormat="1" applyFont="1" applyFill="1" applyBorder="1" applyAlignment="1">
      <alignment horizontal="center" vertical="center" wrapText="1"/>
    </xf>
    <xf numFmtId="180" fontId="5" fillId="14" borderId="95" xfId="0" applyNumberFormat="1" applyFont="1" applyFill="1" applyBorder="1" applyAlignment="1">
      <alignment horizontal="center" vertical="center" wrapText="1"/>
    </xf>
    <xf numFmtId="180" fontId="39" fillId="14" borderId="221" xfId="0" applyNumberFormat="1" applyFont="1" applyFill="1" applyBorder="1" applyAlignment="1">
      <alignment horizontal="center" vertical="center" wrapText="1"/>
    </xf>
    <xf numFmtId="180" fontId="5" fillId="14" borderId="18" xfId="0" applyNumberFormat="1" applyFont="1" applyFill="1" applyBorder="1" applyAlignment="1">
      <alignment horizontal="center" vertical="center" wrapText="1"/>
    </xf>
    <xf numFmtId="180" fontId="43" fillId="14" borderId="29" xfId="0" applyNumberFormat="1" applyFont="1" applyFill="1" applyBorder="1" applyAlignment="1">
      <alignment horizontal="center" vertical="center" wrapText="1"/>
    </xf>
    <xf numFmtId="180" fontId="5" fillId="14" borderId="38" xfId="0" applyNumberFormat="1" applyFont="1" applyFill="1" applyBorder="1" applyAlignment="1">
      <alignment horizontal="center" vertical="center" wrapText="1"/>
    </xf>
    <xf numFmtId="180" fontId="5" fillId="14" borderId="0" xfId="0" applyNumberFormat="1" applyFont="1" applyFill="1" applyBorder="1" applyAlignment="1">
      <alignment horizontal="center" vertical="center" wrapText="1"/>
    </xf>
    <xf numFmtId="180" fontId="5" fillId="14" borderId="34" xfId="0" applyNumberFormat="1" applyFont="1" applyFill="1" applyBorder="1" applyAlignment="1">
      <alignment horizontal="center" vertical="center" wrapText="1"/>
    </xf>
    <xf numFmtId="180" fontId="39" fillId="14" borderId="218" xfId="0" applyNumberFormat="1" applyFont="1" applyFill="1" applyBorder="1" applyAlignment="1">
      <alignment horizontal="center" vertical="center" wrapText="1"/>
    </xf>
    <xf numFmtId="180" fontId="5" fillId="78" borderId="30" xfId="0" applyNumberFormat="1" applyFont="1" applyFill="1" applyBorder="1" applyAlignment="1">
      <alignment horizontal="center" vertical="center" wrapText="1"/>
    </xf>
    <xf numFmtId="180" fontId="5" fillId="78" borderId="38" xfId="0" applyNumberFormat="1" applyFont="1" applyFill="1" applyBorder="1" applyAlignment="1">
      <alignment horizontal="center" vertical="center" wrapText="1"/>
    </xf>
    <xf numFmtId="180" fontId="5" fillId="78" borderId="89" xfId="0" applyNumberFormat="1" applyFont="1" applyFill="1" applyBorder="1" applyAlignment="1">
      <alignment horizontal="center" vertical="center" wrapText="1"/>
    </xf>
    <xf numFmtId="180" fontId="5" fillId="78" borderId="0" xfId="0" applyNumberFormat="1" applyFont="1" applyFill="1" applyBorder="1" applyAlignment="1">
      <alignment horizontal="center" vertical="center" wrapText="1"/>
    </xf>
    <xf numFmtId="180" fontId="43" fillId="78" borderId="230" xfId="0" applyNumberFormat="1" applyFont="1" applyFill="1" applyBorder="1" applyAlignment="1">
      <alignment horizontal="center" vertical="center" wrapText="1"/>
    </xf>
    <xf numFmtId="0" fontId="105" fillId="0" borderId="0" xfId="0" quotePrefix="1" applyFont="1" applyFill="1" applyBorder="1" applyAlignment="1">
      <alignment wrapText="1"/>
    </xf>
    <xf numFmtId="0" fontId="39" fillId="0" borderId="0" xfId="0" quotePrefix="1" applyFont="1" applyFill="1" applyBorder="1" applyAlignment="1">
      <alignment wrapText="1"/>
    </xf>
    <xf numFmtId="0" fontId="43" fillId="0" borderId="0" xfId="0" applyFont="1" applyFill="1" applyBorder="1" applyAlignment="1">
      <alignment wrapText="1"/>
    </xf>
    <xf numFmtId="0" fontId="13" fillId="80" borderId="200" xfId="0" applyFont="1" applyFill="1" applyBorder="1" applyAlignment="1">
      <alignment horizontal="right" vertical="center" wrapText="1"/>
    </xf>
    <xf numFmtId="0" fontId="13" fillId="15" borderId="200" xfId="0" applyFont="1" applyFill="1" applyBorder="1" applyAlignment="1">
      <alignment horizontal="right" vertical="center" wrapText="1"/>
    </xf>
    <xf numFmtId="0" fontId="13" fillId="81" borderId="200" xfId="0" applyFont="1" applyFill="1" applyBorder="1" applyAlignment="1">
      <alignment horizontal="right" vertical="center" wrapText="1"/>
    </xf>
    <xf numFmtId="0" fontId="13" fillId="22" borderId="200" xfId="0" applyFont="1" applyFill="1" applyBorder="1" applyAlignment="1">
      <alignment horizontal="right" vertical="center" wrapText="1"/>
    </xf>
    <xf numFmtId="0" fontId="13" fillId="27" borderId="200" xfId="0" applyFont="1" applyFill="1" applyBorder="1" applyAlignment="1">
      <alignment horizontal="right" vertical="center" wrapText="1"/>
    </xf>
    <xf numFmtId="0" fontId="13" fillId="69" borderId="200" xfId="0" applyFont="1" applyFill="1" applyBorder="1" applyAlignment="1">
      <alignment horizontal="right" vertical="center" wrapText="1"/>
    </xf>
    <xf numFmtId="0" fontId="2" fillId="0" borderId="38" xfId="0" applyFont="1" applyBorder="1" applyAlignment="1">
      <alignment horizontal="center"/>
    </xf>
    <xf numFmtId="0" fontId="14" fillId="82" borderId="195" xfId="0" applyFont="1" applyFill="1" applyBorder="1" applyAlignment="1">
      <alignment horizontal="center" vertical="center" wrapText="1"/>
    </xf>
    <xf numFmtId="0" fontId="14" fillId="82" borderId="95" xfId="0" applyFont="1" applyFill="1" applyBorder="1" applyAlignment="1">
      <alignment horizontal="center" vertical="center" wrapText="1"/>
    </xf>
    <xf numFmtId="0" fontId="43" fillId="82" borderId="200" xfId="0" applyFont="1" applyFill="1" applyBorder="1" applyAlignment="1">
      <alignment vertical="center" wrapText="1"/>
    </xf>
    <xf numFmtId="0" fontId="43" fillId="82" borderId="209" xfId="0" applyFont="1" applyFill="1" applyBorder="1" applyAlignment="1">
      <alignment vertical="center" wrapText="1"/>
    </xf>
    <xf numFmtId="0" fontId="43" fillId="82" borderId="210" xfId="0" applyFont="1" applyFill="1" applyBorder="1" applyAlignment="1">
      <alignment vertical="center" wrapText="1"/>
    </xf>
    <xf numFmtId="0" fontId="42" fillId="82" borderId="214" xfId="0" applyFont="1" applyFill="1" applyBorder="1" applyAlignment="1">
      <alignment horizontal="right" vertical="center" wrapText="1"/>
    </xf>
    <xf numFmtId="180" fontId="42" fillId="12" borderId="94" xfId="0" applyNumberFormat="1" applyFont="1" applyFill="1" applyBorder="1" applyAlignment="1">
      <alignment horizontal="center" vertical="center" wrapText="1"/>
    </xf>
    <xf numFmtId="180" fontId="42" fillId="12" borderId="2" xfId="0" applyNumberFormat="1" applyFont="1" applyFill="1" applyBorder="1"/>
    <xf numFmtId="180" fontId="42" fillId="12" borderId="28" xfId="0" applyNumberFormat="1" applyFont="1" applyFill="1" applyBorder="1" applyAlignment="1">
      <alignment horizontal="center" vertical="center" wrapText="1"/>
    </xf>
    <xf numFmtId="180" fontId="42" fillId="12" borderId="79" xfId="0" applyNumberFormat="1" applyFont="1" applyFill="1" applyBorder="1"/>
    <xf numFmtId="180" fontId="42" fillId="78" borderId="221" xfId="0" applyNumberFormat="1" applyFont="1" applyFill="1" applyBorder="1" applyAlignment="1">
      <alignment horizontal="center" vertical="center" wrapText="1"/>
    </xf>
    <xf numFmtId="180" fontId="42" fillId="78" borderId="230" xfId="0" applyNumberFormat="1" applyFont="1" applyFill="1" applyBorder="1" applyAlignment="1">
      <alignment horizontal="center" vertical="center" wrapText="1"/>
    </xf>
    <xf numFmtId="180" fontId="42" fillId="78" borderId="247" xfId="0" applyNumberFormat="1" applyFont="1" applyFill="1" applyBorder="1" applyAlignment="1">
      <alignment horizontal="center" vertical="center" wrapText="1"/>
    </xf>
    <xf numFmtId="180" fontId="42" fillId="78" borderId="248" xfId="0" applyNumberFormat="1" applyFont="1" applyFill="1" applyBorder="1" applyAlignment="1">
      <alignment horizontal="center" vertical="center" wrapText="1"/>
    </xf>
    <xf numFmtId="180" fontId="42" fillId="78" borderId="249" xfId="0" applyNumberFormat="1" applyFont="1" applyFill="1" applyBorder="1" applyAlignment="1">
      <alignment horizontal="center" vertical="center" wrapText="1"/>
    </xf>
    <xf numFmtId="180" fontId="42" fillId="78" borderId="214" xfId="0" applyNumberFormat="1" applyFont="1" applyFill="1" applyBorder="1" applyAlignment="1">
      <alignment horizontal="center" vertical="center" wrapText="1"/>
    </xf>
    <xf numFmtId="0" fontId="13" fillId="0" borderId="0" xfId="0" applyFont="1"/>
    <xf numFmtId="0" fontId="53" fillId="0" borderId="0" xfId="0" applyFont="1" applyFill="1"/>
    <xf numFmtId="0" fontId="13" fillId="78" borderId="200" xfId="0" applyFont="1" applyFill="1" applyBorder="1" applyAlignment="1">
      <alignment vertical="center" wrapText="1"/>
    </xf>
    <xf numFmtId="180" fontId="13" fillId="78" borderId="95" xfId="0" applyNumberFormat="1" applyFont="1" applyFill="1" applyBorder="1" applyAlignment="1">
      <alignment horizontal="center" vertical="center" wrapText="1"/>
    </xf>
    <xf numFmtId="171" fontId="13" fillId="78" borderId="95" xfId="0" applyNumberFormat="1" applyFont="1" applyFill="1" applyBorder="1" applyAlignment="1">
      <alignment horizontal="center" vertical="center" wrapText="1"/>
    </xf>
    <xf numFmtId="180" fontId="14" fillId="78" borderId="204" xfId="0" applyNumberFormat="1" applyFont="1" applyFill="1" applyBorder="1" applyAlignment="1">
      <alignment horizontal="center" vertical="center" wrapText="1"/>
    </xf>
    <xf numFmtId="0" fontId="13" fillId="78" borderId="209" xfId="0" applyFont="1" applyFill="1" applyBorder="1" applyAlignment="1">
      <alignment vertical="center" wrapText="1"/>
    </xf>
    <xf numFmtId="0" fontId="13" fillId="78" borderId="210" xfId="0" applyFont="1" applyFill="1" applyBorder="1" applyAlignment="1">
      <alignment vertical="center" wrapText="1"/>
    </xf>
    <xf numFmtId="180" fontId="13" fillId="78" borderId="18" xfId="0" applyNumberFormat="1" applyFont="1" applyFill="1" applyBorder="1" applyAlignment="1">
      <alignment horizontal="center" vertical="center" wrapText="1"/>
    </xf>
    <xf numFmtId="180" fontId="14" fillId="78" borderId="211" xfId="0" applyNumberFormat="1" applyFont="1" applyFill="1" applyBorder="1" applyAlignment="1">
      <alignment horizontal="center" vertical="center" wrapText="1"/>
    </xf>
    <xf numFmtId="0" fontId="14" fillId="78" borderId="214" xfId="0" applyFont="1" applyFill="1" applyBorder="1" applyAlignment="1">
      <alignment horizontal="right" vertical="center" wrapText="1"/>
    </xf>
    <xf numFmtId="180" fontId="13" fillId="78" borderId="235" xfId="0" applyNumberFormat="1" applyFont="1" applyFill="1" applyBorder="1" applyAlignment="1">
      <alignment horizontal="center" vertical="center" wrapText="1"/>
    </xf>
    <xf numFmtId="180" fontId="13" fillId="78" borderId="236" xfId="0" applyNumberFormat="1" applyFont="1" applyFill="1" applyBorder="1" applyAlignment="1">
      <alignment horizontal="center" vertical="center" wrapText="1"/>
    </xf>
    <xf numFmtId="180" fontId="13" fillId="78" borderId="237" xfId="0" applyNumberFormat="1" applyFont="1" applyFill="1" applyBorder="1" applyAlignment="1">
      <alignment horizontal="center" vertical="center" wrapText="1"/>
    </xf>
    <xf numFmtId="180" fontId="14" fillId="78" borderId="216" xfId="0" applyNumberFormat="1" applyFont="1" applyFill="1" applyBorder="1" applyAlignment="1">
      <alignment horizontal="center" vertical="center" wrapText="1"/>
    </xf>
    <xf numFmtId="0" fontId="13" fillId="0" borderId="197" xfId="0" applyFont="1" applyBorder="1"/>
    <xf numFmtId="180" fontId="13" fillId="0" borderId="0" xfId="0" applyNumberFormat="1" applyFont="1" applyBorder="1"/>
    <xf numFmtId="180" fontId="14" fillId="0" borderId="211" xfId="0" applyNumberFormat="1" applyFont="1" applyBorder="1"/>
    <xf numFmtId="180" fontId="13" fillId="78" borderId="30" xfId="0" applyNumberFormat="1" applyFont="1" applyFill="1" applyBorder="1" applyAlignment="1">
      <alignment horizontal="center" vertical="center" wrapText="1"/>
    </xf>
    <xf numFmtId="180" fontId="14" fillId="78" borderId="218" xfId="0" applyNumberFormat="1" applyFont="1" applyFill="1" applyBorder="1" applyAlignment="1">
      <alignment horizontal="center" vertical="center" wrapText="1"/>
    </xf>
    <xf numFmtId="180" fontId="13" fillId="78" borderId="229" xfId="0" applyNumberFormat="1" applyFont="1" applyFill="1" applyBorder="1" applyAlignment="1">
      <alignment horizontal="center" vertical="center" wrapText="1"/>
    </xf>
    <xf numFmtId="180" fontId="13" fillId="78" borderId="230" xfId="0" applyNumberFormat="1" applyFont="1" applyFill="1" applyBorder="1" applyAlignment="1">
      <alignment horizontal="center" vertical="center" wrapText="1"/>
    </xf>
    <xf numFmtId="180" fontId="14" fillId="78" borderId="215" xfId="0" applyNumberFormat="1" applyFont="1" applyFill="1" applyBorder="1" applyAlignment="1">
      <alignment horizontal="center" vertical="center" wrapText="1"/>
    </xf>
    <xf numFmtId="0" fontId="14" fillId="0" borderId="211" xfId="0" applyFont="1" applyBorder="1"/>
    <xf numFmtId="0" fontId="14" fillId="78" borderId="210" xfId="0" applyFont="1" applyFill="1" applyBorder="1" applyAlignment="1">
      <alignment horizontal="right" vertical="center" wrapText="1"/>
    </xf>
    <xf numFmtId="180" fontId="14" fillId="78" borderId="219" xfId="0" applyNumberFormat="1" applyFont="1" applyFill="1" applyBorder="1" applyAlignment="1">
      <alignment horizontal="center" vertical="center" wrapText="1"/>
    </xf>
    <xf numFmtId="0" fontId="14" fillId="78" borderId="235" xfId="0" applyFont="1" applyFill="1" applyBorder="1" applyAlignment="1">
      <alignment horizontal="right" vertical="center" wrapText="1"/>
    </xf>
    <xf numFmtId="180" fontId="14" fillId="78" borderId="248" xfId="0" applyNumberFormat="1" applyFont="1" applyFill="1" applyBorder="1" applyAlignment="1">
      <alignment horizontal="center" vertical="center" wrapText="1"/>
    </xf>
    <xf numFmtId="180" fontId="14" fillId="78" borderId="249" xfId="0" applyNumberFormat="1" applyFont="1" applyFill="1" applyBorder="1" applyAlignment="1">
      <alignment horizontal="center" vertical="center" wrapText="1"/>
    </xf>
    <xf numFmtId="180" fontId="14" fillId="78" borderId="246" xfId="0" applyNumberFormat="1" applyFont="1" applyFill="1" applyBorder="1" applyAlignment="1">
      <alignment horizontal="center" vertical="center" wrapText="1"/>
    </xf>
    <xf numFmtId="180" fontId="14" fillId="78" borderId="247" xfId="0" applyNumberFormat="1" applyFont="1" applyFill="1" applyBorder="1" applyAlignment="1">
      <alignment horizontal="center" vertical="center" wrapText="1"/>
    </xf>
    <xf numFmtId="0" fontId="14" fillId="78" borderId="228" xfId="0" applyFont="1" applyFill="1" applyBorder="1" applyAlignment="1">
      <alignment horizontal="right" vertical="center" wrapText="1"/>
    </xf>
    <xf numFmtId="180" fontId="14" fillId="78" borderId="231" xfId="0" applyNumberFormat="1" applyFont="1" applyFill="1" applyBorder="1" applyAlignment="1">
      <alignment horizontal="center" vertical="center" wrapText="1"/>
    </xf>
    <xf numFmtId="0" fontId="14" fillId="78" borderId="200" xfId="0" applyFont="1" applyFill="1" applyBorder="1" applyAlignment="1">
      <alignment horizontal="right" vertical="center" wrapText="1"/>
    </xf>
    <xf numFmtId="180" fontId="14" fillId="78" borderId="95" xfId="0" applyNumberFormat="1" applyFont="1" applyFill="1" applyBorder="1" applyAlignment="1">
      <alignment horizontal="center" vertical="center" wrapText="1"/>
    </xf>
    <xf numFmtId="180" fontId="14" fillId="78" borderId="236" xfId="0" applyNumberFormat="1" applyFont="1" applyFill="1" applyBorder="1" applyAlignment="1">
      <alignment horizontal="center" vertical="center" wrapText="1"/>
    </xf>
    <xf numFmtId="180" fontId="14" fillId="78" borderId="237" xfId="0" applyNumberFormat="1" applyFont="1" applyFill="1" applyBorder="1" applyAlignment="1">
      <alignment horizontal="center" vertical="center" wrapText="1"/>
    </xf>
    <xf numFmtId="0" fontId="14" fillId="78" borderId="209" xfId="0" applyFont="1" applyFill="1" applyBorder="1" applyAlignment="1">
      <alignment horizontal="right" vertical="center" wrapText="1"/>
    </xf>
    <xf numFmtId="180" fontId="14" fillId="78" borderId="30" xfId="0" applyNumberFormat="1" applyFont="1" applyFill="1" applyBorder="1" applyAlignment="1">
      <alignment horizontal="center" vertical="center" wrapText="1"/>
    </xf>
    <xf numFmtId="0" fontId="14" fillId="78" borderId="238" xfId="0" applyFont="1" applyFill="1" applyBorder="1" applyAlignment="1">
      <alignment horizontal="right" vertical="center" wrapText="1"/>
    </xf>
    <xf numFmtId="180" fontId="14" fillId="78" borderId="18" xfId="0" applyNumberFormat="1" applyFont="1" applyFill="1" applyBorder="1" applyAlignment="1">
      <alignment horizontal="center" vertical="center" wrapText="1"/>
    </xf>
    <xf numFmtId="0" fontId="14" fillId="0" borderId="0" xfId="0" applyFont="1"/>
    <xf numFmtId="0" fontId="13" fillId="0" borderId="0" xfId="0" applyFont="1" applyFill="1"/>
    <xf numFmtId="0" fontId="17" fillId="0" borderId="69" xfId="13" applyFont="1" applyFill="1" applyBorder="1" applyAlignment="1" applyProtection="1">
      <alignment horizontal="left" vertical="center" wrapText="1"/>
    </xf>
    <xf numFmtId="0" fontId="17" fillId="0" borderId="12" xfId="13" applyFont="1" applyFill="1" applyBorder="1" applyAlignment="1" applyProtection="1">
      <alignment horizontal="left" vertical="center" wrapText="1"/>
    </xf>
    <xf numFmtId="0" fontId="61" fillId="68" borderId="14" xfId="22" applyFont="1" applyFill="1" applyBorder="1" applyAlignment="1" applyProtection="1">
      <alignment horizontal="left" vertical="center" wrapText="1"/>
    </xf>
    <xf numFmtId="0" fontId="17" fillId="20" borderId="67" xfId="22" applyFont="1" applyFill="1" applyBorder="1" applyAlignment="1">
      <alignment horizontal="left" vertical="center" wrapText="1"/>
    </xf>
    <xf numFmtId="0" fontId="17" fillId="0" borderId="67" xfId="22" applyFont="1" applyFill="1" applyBorder="1" applyAlignment="1">
      <alignment horizontal="left" vertical="center" wrapText="1"/>
    </xf>
    <xf numFmtId="0" fontId="17" fillId="77" borderId="67" xfId="22" applyFont="1" applyFill="1" applyBorder="1" applyAlignment="1" applyProtection="1">
      <alignment horizontal="left" vertical="center" wrapText="1"/>
      <protection locked="0"/>
    </xf>
    <xf numFmtId="0" fontId="17" fillId="61" borderId="67" xfId="22" applyFont="1" applyFill="1" applyBorder="1" applyAlignment="1" applyProtection="1">
      <alignment horizontal="left" vertical="center" wrapText="1"/>
      <protection locked="0"/>
    </xf>
    <xf numFmtId="0" fontId="61" fillId="0" borderId="67" xfId="22" applyFont="1" applyFill="1" applyBorder="1" applyAlignment="1">
      <alignment horizontal="left" vertical="center" wrapText="1"/>
    </xf>
    <xf numFmtId="0" fontId="17" fillId="0" borderId="86" xfId="22" applyFont="1" applyFill="1" applyBorder="1" applyAlignment="1">
      <alignment horizontal="left" vertical="center" wrapText="1"/>
    </xf>
    <xf numFmtId="0" fontId="61" fillId="68" borderId="14" xfId="22" applyFont="1" applyFill="1" applyBorder="1" applyAlignment="1">
      <alignment horizontal="left" vertical="center" wrapText="1"/>
    </xf>
    <xf numFmtId="0" fontId="17" fillId="0" borderId="3" xfId="22" applyFont="1" applyFill="1" applyBorder="1" applyAlignment="1">
      <alignment horizontal="left" vertical="center" wrapText="1"/>
    </xf>
    <xf numFmtId="0" fontId="61" fillId="0" borderId="3" xfId="22" applyFont="1" applyFill="1" applyBorder="1" applyAlignment="1">
      <alignment horizontal="left" vertical="center" wrapText="1"/>
    </xf>
    <xf numFmtId="0" fontId="86" fillId="0" borderId="0" xfId="0" applyFont="1" applyAlignment="1">
      <alignment wrapText="1"/>
    </xf>
    <xf numFmtId="0" fontId="111" fillId="0" borderId="82" xfId="0" applyFont="1" applyFill="1" applyBorder="1" applyAlignment="1">
      <alignment horizontal="center" vertical="center" wrapText="1"/>
    </xf>
    <xf numFmtId="176" fontId="91" fillId="61" borderId="83" xfId="13" applyNumberFormat="1" applyFont="1" applyFill="1" applyBorder="1" applyAlignment="1" applyProtection="1">
      <alignment horizontal="center" vertical="center" wrapText="1"/>
      <protection locked="0"/>
    </xf>
    <xf numFmtId="0" fontId="56" fillId="63" borderId="168" xfId="0" applyFont="1" applyFill="1" applyBorder="1" applyAlignment="1" applyProtection="1">
      <alignment horizontal="right" vertical="center" wrapText="1"/>
    </xf>
    <xf numFmtId="0" fontId="86" fillId="14" borderId="0" xfId="71" applyFill="1"/>
    <xf numFmtId="0" fontId="86" fillId="0" borderId="0" xfId="71"/>
    <xf numFmtId="0" fontId="112" fillId="83" borderId="0" xfId="71" applyFont="1" applyFill="1"/>
    <xf numFmtId="0" fontId="113" fillId="84" borderId="0" xfId="71" applyFont="1" applyFill="1" applyAlignment="1">
      <alignment horizontal="center"/>
    </xf>
    <xf numFmtId="0" fontId="67" fillId="27" borderId="28" xfId="71" applyFont="1" applyFill="1" applyBorder="1" applyAlignment="1" applyProtection="1">
      <alignment horizontal="center"/>
      <protection locked="0"/>
    </xf>
    <xf numFmtId="0" fontId="67" fillId="27" borderId="29" xfId="71" applyFont="1" applyFill="1" applyBorder="1" applyAlignment="1" applyProtection="1">
      <alignment horizontal="center"/>
      <protection locked="0"/>
    </xf>
    <xf numFmtId="0" fontId="67" fillId="27" borderId="30" xfId="71" applyFont="1" applyFill="1" applyBorder="1" applyAlignment="1" applyProtection="1">
      <alignment horizontal="center"/>
      <protection locked="0"/>
    </xf>
    <xf numFmtId="0" fontId="56" fillId="14" borderId="67" xfId="0" applyFont="1" applyFill="1" applyBorder="1" applyAlignment="1">
      <alignment horizontal="right" vertical="center" wrapText="1"/>
    </xf>
    <xf numFmtId="49" fontId="0" fillId="0" borderId="0" xfId="0" applyNumberFormat="1" applyAlignment="1"/>
    <xf numFmtId="49" fontId="0" fillId="0" borderId="0" xfId="0" applyNumberFormat="1"/>
    <xf numFmtId="0" fontId="57" fillId="61" borderId="155" xfId="0" applyFont="1" applyFill="1" applyBorder="1" applyAlignment="1" applyProtection="1">
      <alignment vertical="center"/>
      <protection locked="0"/>
    </xf>
    <xf numFmtId="0" fontId="116" fillId="0" borderId="0" xfId="71" applyFont="1"/>
    <xf numFmtId="0" fontId="86" fillId="0" borderId="0" xfId="71" applyBorder="1"/>
    <xf numFmtId="0" fontId="86" fillId="0" borderId="0" xfId="71" applyFill="1" applyBorder="1"/>
    <xf numFmtId="0" fontId="118" fillId="0" borderId="0" xfId="71" applyFont="1"/>
    <xf numFmtId="0" fontId="118" fillId="0" borderId="0" xfId="71" applyFont="1" applyBorder="1"/>
    <xf numFmtId="0" fontId="2" fillId="0" borderId="15" xfId="71" applyFont="1" applyFill="1" applyBorder="1"/>
    <xf numFmtId="0" fontId="86" fillId="0" borderId="15" xfId="71" applyBorder="1"/>
    <xf numFmtId="0" fontId="117" fillId="0" borderId="15" xfId="71" applyFont="1" applyFill="1" applyBorder="1"/>
    <xf numFmtId="0" fontId="117" fillId="0" borderId="0" xfId="71" applyFont="1" applyFill="1"/>
    <xf numFmtId="0" fontId="86" fillId="28" borderId="155" xfId="71" applyFont="1" applyFill="1" applyBorder="1"/>
    <xf numFmtId="0" fontId="86" fillId="86" borderId="193" xfId="71" applyFont="1" applyFill="1" applyBorder="1"/>
    <xf numFmtId="0" fontId="113" fillId="84" borderId="0" xfId="71" applyNumberFormat="1" applyFont="1" applyFill="1" applyBorder="1" applyAlignment="1">
      <alignment horizontal="center"/>
    </xf>
    <xf numFmtId="0" fontId="112" fillId="0" borderId="0" xfId="71" applyFont="1" applyFill="1"/>
    <xf numFmtId="0" fontId="113" fillId="0" borderId="0" xfId="71" applyNumberFormat="1" applyFont="1" applyFill="1" applyBorder="1" applyAlignment="1">
      <alignment horizontal="center"/>
    </xf>
    <xf numFmtId="171" fontId="17" fillId="20" borderId="67" xfId="22" applyNumberFormat="1" applyFont="1" applyFill="1" applyBorder="1" applyAlignment="1" applyProtection="1">
      <alignment horizontal="left" vertical="center" wrapText="1"/>
      <protection locked="0"/>
    </xf>
    <xf numFmtId="0" fontId="86" fillId="0" borderId="193" xfId="0" applyFont="1" applyBorder="1" applyAlignment="1">
      <alignment horizontal="left" vertical="center"/>
    </xf>
    <xf numFmtId="182" fontId="86" fillId="0" borderId="0" xfId="71" applyNumberFormat="1" applyFont="1" applyFill="1" applyBorder="1"/>
    <xf numFmtId="0" fontId="86" fillId="0" borderId="0" xfId="71" applyFont="1" applyFill="1" applyBorder="1"/>
    <xf numFmtId="182" fontId="86" fillId="0" borderId="0" xfId="71" applyNumberFormat="1" applyFont="1"/>
    <xf numFmtId="0" fontId="86" fillId="0" borderId="0" xfId="71" applyFont="1"/>
    <xf numFmtId="0" fontId="113" fillId="84" borderId="0" xfId="71" applyNumberFormat="1" applyFont="1" applyFill="1" applyAlignment="1">
      <alignment horizontal="center"/>
    </xf>
    <xf numFmtId="182" fontId="0" fillId="0" borderId="0" xfId="0" applyNumberFormat="1"/>
    <xf numFmtId="165" fontId="65" fillId="61" borderId="3" xfId="24" applyNumberFormat="1" applyFont="1" applyFill="1" applyBorder="1" applyAlignment="1" applyProtection="1">
      <alignment horizontal="right" vertical="center" wrapText="1"/>
      <protection locked="0"/>
    </xf>
    <xf numFmtId="165" fontId="62" fillId="0" borderId="3" xfId="24" applyNumberFormat="1" applyFont="1" applyFill="1" applyBorder="1" applyAlignment="1">
      <alignment horizontal="right" vertical="center" wrapText="1"/>
    </xf>
    <xf numFmtId="165" fontId="62" fillId="20" borderId="3" xfId="24" applyNumberFormat="1" applyFont="1" applyFill="1" applyBorder="1" applyAlignment="1">
      <alignment horizontal="right" vertical="center" wrapText="1"/>
    </xf>
    <xf numFmtId="165" fontId="65" fillId="61" borderId="167" xfId="24" applyNumberFormat="1" applyFont="1" applyFill="1" applyBorder="1" applyAlignment="1" applyProtection="1">
      <alignment horizontal="right" vertical="center" wrapText="1"/>
      <protection locked="0"/>
    </xf>
    <xf numFmtId="165" fontId="65" fillId="61" borderId="160" xfId="24" applyNumberFormat="1" applyFont="1" applyFill="1" applyBorder="1" applyAlignment="1" applyProtection="1">
      <alignment horizontal="right" vertical="center" wrapText="1"/>
      <protection locked="0"/>
    </xf>
    <xf numFmtId="165" fontId="65" fillId="0" borderId="3" xfId="24" applyNumberFormat="1" applyFont="1" applyFill="1" applyBorder="1" applyAlignment="1">
      <alignment horizontal="right" vertical="center" wrapText="1"/>
    </xf>
    <xf numFmtId="165" fontId="65" fillId="77" borderId="167" xfId="24" applyNumberFormat="1" applyFont="1" applyFill="1" applyBorder="1" applyAlignment="1" applyProtection="1">
      <alignment horizontal="right" vertical="center" wrapText="1"/>
      <protection locked="0"/>
    </xf>
    <xf numFmtId="165" fontId="62" fillId="0" borderId="67" xfId="24" applyNumberFormat="1" applyFont="1" applyFill="1" applyBorder="1" applyAlignment="1">
      <alignment horizontal="right" vertical="center" wrapText="1"/>
    </xf>
    <xf numFmtId="165" fontId="62" fillId="20" borderId="67" xfId="24" applyNumberFormat="1" applyFont="1" applyFill="1" applyBorder="1" applyAlignment="1">
      <alignment horizontal="right" vertical="center" wrapText="1"/>
    </xf>
    <xf numFmtId="165" fontId="65" fillId="77" borderId="67" xfId="24" applyNumberFormat="1" applyFont="1" applyFill="1" applyBorder="1" applyAlignment="1" applyProtection="1">
      <alignment horizontal="right" vertical="center" wrapText="1"/>
      <protection locked="0"/>
    </xf>
    <xf numFmtId="165" fontId="87" fillId="77" borderId="67" xfId="24" applyNumberFormat="1" applyFont="1" applyFill="1" applyBorder="1" applyAlignment="1" applyProtection="1">
      <alignment horizontal="right" vertical="center" wrapText="1"/>
      <protection locked="0"/>
    </xf>
    <xf numFmtId="165" fontId="65" fillId="77" borderId="160" xfId="24" applyNumberFormat="1" applyFont="1" applyFill="1" applyBorder="1" applyAlignment="1" applyProtection="1">
      <alignment horizontal="right" vertical="center" wrapText="1"/>
      <protection locked="0"/>
    </xf>
    <xf numFmtId="165" fontId="65" fillId="0" borderId="67" xfId="24" applyNumberFormat="1" applyFont="1" applyFill="1" applyBorder="1" applyAlignment="1">
      <alignment horizontal="right" vertical="center" wrapText="1"/>
    </xf>
    <xf numFmtId="165" fontId="63" fillId="61" borderId="167" xfId="24" applyNumberFormat="1" applyFont="1" applyFill="1" applyBorder="1" applyAlignment="1" applyProtection="1">
      <alignment horizontal="right" vertical="center" wrapText="1"/>
      <protection locked="0"/>
    </xf>
    <xf numFmtId="165" fontId="64" fillId="0" borderId="158" xfId="24" applyNumberFormat="1" applyFont="1" applyBorder="1" applyAlignment="1">
      <alignment horizontal="right" vertical="center" wrapText="1"/>
    </xf>
    <xf numFmtId="165" fontId="63" fillId="61" borderId="109" xfId="24" applyNumberFormat="1" applyFont="1" applyFill="1" applyBorder="1" applyAlignment="1" applyProtection="1">
      <alignment horizontal="right" vertical="center" wrapText="1"/>
      <protection locked="0"/>
    </xf>
    <xf numFmtId="165" fontId="63" fillId="19" borderId="109" xfId="24" applyNumberFormat="1" applyFont="1" applyFill="1" applyBorder="1" applyAlignment="1">
      <alignment horizontal="right" vertical="center" wrapText="1"/>
    </xf>
    <xf numFmtId="165" fontId="63" fillId="19" borderId="159" xfId="24" applyNumberFormat="1" applyFont="1" applyFill="1" applyBorder="1" applyAlignment="1">
      <alignment horizontal="right" vertical="center" wrapText="1"/>
    </xf>
    <xf numFmtId="165" fontId="64" fillId="0" borderId="159" xfId="24" applyNumberFormat="1" applyFont="1" applyFill="1" applyBorder="1" applyAlignment="1">
      <alignment horizontal="right" vertical="center" wrapText="1"/>
    </xf>
    <xf numFmtId="165" fontId="61" fillId="0" borderId="109" xfId="24" applyNumberFormat="1" applyFont="1" applyFill="1" applyBorder="1" applyAlignment="1">
      <alignment horizontal="right" vertical="center" wrapText="1"/>
    </xf>
    <xf numFmtId="165" fontId="61" fillId="0" borderId="159" xfId="24" applyNumberFormat="1" applyFont="1" applyFill="1" applyBorder="1" applyAlignment="1">
      <alignment horizontal="right" vertical="center" wrapText="1"/>
    </xf>
    <xf numFmtId="165" fontId="63" fillId="0" borderId="109" xfId="24" applyNumberFormat="1" applyFont="1" applyFill="1" applyBorder="1" applyAlignment="1">
      <alignment horizontal="right" vertical="center" wrapText="1"/>
    </xf>
    <xf numFmtId="165" fontId="63" fillId="0" borderId="159" xfId="24" applyNumberFormat="1" applyFont="1" applyFill="1" applyBorder="1" applyAlignment="1">
      <alignment horizontal="right" vertical="center" wrapText="1"/>
    </xf>
    <xf numFmtId="165" fontId="63" fillId="0" borderId="7" xfId="24" applyNumberFormat="1" applyFont="1" applyFill="1" applyBorder="1" applyAlignment="1">
      <alignment horizontal="right" vertical="center" wrapText="1"/>
    </xf>
    <xf numFmtId="165" fontId="63" fillId="0" borderId="104" xfId="24" applyNumberFormat="1" applyFont="1" applyFill="1" applyBorder="1" applyAlignment="1">
      <alignment horizontal="right" vertical="center" wrapText="1"/>
    </xf>
    <xf numFmtId="182" fontId="1" fillId="0" borderId="0" xfId="0" applyNumberFormat="1" applyFont="1"/>
    <xf numFmtId="182" fontId="67" fillId="0" borderId="0" xfId="71" applyNumberFormat="1" applyFont="1"/>
    <xf numFmtId="0" fontId="86" fillId="0" borderId="253" xfId="0" applyFont="1" applyBorder="1"/>
    <xf numFmtId="182" fontId="0" fillId="0" borderId="253" xfId="0" applyNumberFormat="1" applyFont="1" applyBorder="1"/>
    <xf numFmtId="182" fontId="0" fillId="0" borderId="254" xfId="0" applyNumberFormat="1" applyFont="1" applyBorder="1"/>
    <xf numFmtId="0" fontId="67" fillId="0" borderId="256" xfId="0" applyFont="1" applyBorder="1"/>
    <xf numFmtId="182" fontId="2" fillId="0" borderId="256" xfId="0" applyNumberFormat="1" applyFont="1" applyBorder="1"/>
    <xf numFmtId="182" fontId="2" fillId="0" borderId="257" xfId="0" applyNumberFormat="1" applyFont="1" applyBorder="1"/>
    <xf numFmtId="0" fontId="67" fillId="0" borderId="0" xfId="71" applyFont="1"/>
    <xf numFmtId="182" fontId="67" fillId="0" borderId="0" xfId="71" applyNumberFormat="1" applyFont="1" applyFill="1" applyBorder="1"/>
    <xf numFmtId="0" fontId="67" fillId="0" borderId="0" xfId="71" applyFont="1" applyFill="1" applyBorder="1"/>
    <xf numFmtId="0" fontId="113" fillId="91" borderId="252" xfId="71" applyNumberFormat="1" applyFont="1" applyFill="1" applyBorder="1" applyAlignment="1">
      <alignment horizontal="center"/>
    </xf>
    <xf numFmtId="0" fontId="113" fillId="91" borderId="253" xfId="71" applyNumberFormat="1" applyFont="1" applyFill="1" applyBorder="1" applyAlignment="1">
      <alignment horizontal="center"/>
    </xf>
    <xf numFmtId="182" fontId="113" fillId="91" borderId="253" xfId="71" applyNumberFormat="1" applyFont="1" applyFill="1" applyBorder="1" applyAlignment="1">
      <alignment horizontal="center"/>
    </xf>
    <xf numFmtId="182" fontId="113" fillId="91" borderId="254" xfId="71" applyNumberFormat="1" applyFont="1" applyFill="1" applyBorder="1" applyAlignment="1">
      <alignment horizontal="center"/>
    </xf>
    <xf numFmtId="0" fontId="67" fillId="90" borderId="252" xfId="71" applyNumberFormat="1" applyFont="1" applyFill="1" applyBorder="1" applyAlignment="1">
      <alignment horizontal="left"/>
    </xf>
    <xf numFmtId="0" fontId="67" fillId="90" borderId="252" xfId="71" applyNumberFormat="1" applyFont="1" applyFill="1" applyBorder="1" applyAlignment="1"/>
    <xf numFmtId="0" fontId="67" fillId="0" borderId="255" xfId="0" applyNumberFormat="1" applyFont="1" applyBorder="1" applyAlignment="1"/>
    <xf numFmtId="182" fontId="86" fillId="0" borderId="5" xfId="71" applyNumberFormat="1" applyBorder="1"/>
    <xf numFmtId="182" fontId="86" fillId="0" borderId="259" xfId="71" applyNumberFormat="1" applyBorder="1"/>
    <xf numFmtId="182" fontId="86" fillId="56" borderId="5" xfId="71" applyNumberFormat="1" applyFill="1" applyBorder="1"/>
    <xf numFmtId="182" fontId="86" fillId="56" borderId="260" xfId="71" applyNumberFormat="1" applyFill="1" applyBorder="1"/>
    <xf numFmtId="182" fontId="86" fillId="56" borderId="261" xfId="71" applyNumberFormat="1" applyFill="1" applyBorder="1"/>
    <xf numFmtId="182" fontId="86" fillId="56" borderId="258" xfId="71" applyNumberFormat="1" applyFill="1" applyBorder="1"/>
    <xf numFmtId="182" fontId="86" fillId="56" borderId="15" xfId="71" applyNumberFormat="1" applyFill="1" applyBorder="1"/>
    <xf numFmtId="182" fontId="86" fillId="56" borderId="0" xfId="71" applyNumberFormat="1" applyFill="1" applyBorder="1"/>
    <xf numFmtId="182" fontId="86" fillId="56" borderId="4" xfId="71" applyNumberFormat="1" applyFill="1" applyBorder="1"/>
    <xf numFmtId="182" fontId="86" fillId="56" borderId="35" xfId="71" applyNumberFormat="1" applyFill="1" applyBorder="1"/>
    <xf numFmtId="182" fontId="86" fillId="56" borderId="2" xfId="71" applyNumberFormat="1" applyFill="1" applyBorder="1"/>
    <xf numFmtId="182" fontId="86" fillId="0" borderId="15" xfId="71" applyNumberFormat="1" applyBorder="1"/>
    <xf numFmtId="182" fontId="86" fillId="0" borderId="0" xfId="71" applyNumberFormat="1" applyBorder="1"/>
    <xf numFmtId="182" fontId="86" fillId="0" borderId="34" xfId="71" applyNumberFormat="1" applyBorder="1"/>
    <xf numFmtId="182" fontId="86" fillId="0" borderId="262" xfId="71" applyNumberFormat="1" applyBorder="1"/>
    <xf numFmtId="182" fontId="86" fillId="0" borderId="263" xfId="71" applyNumberFormat="1" applyBorder="1"/>
    <xf numFmtId="182" fontId="86" fillId="0" borderId="264" xfId="71" applyNumberFormat="1" applyBorder="1"/>
    <xf numFmtId="182" fontId="86" fillId="56" borderId="6" xfId="71" applyNumberFormat="1" applyFill="1" applyBorder="1"/>
    <xf numFmtId="0" fontId="57" fillId="0" borderId="0" xfId="0" applyFont="1" applyAlignment="1" applyProtection="1">
      <alignment vertical="center" wrapText="1"/>
      <protection locked="0"/>
    </xf>
    <xf numFmtId="0" fontId="117" fillId="0" borderId="0" xfId="71" applyFont="1" applyFill="1" applyBorder="1"/>
    <xf numFmtId="0" fontId="88" fillId="66" borderId="0" xfId="0" applyFont="1" applyFill="1" applyBorder="1" applyAlignment="1">
      <alignment vertical="center"/>
    </xf>
    <xf numFmtId="0" fontId="51" fillId="0" borderId="0" xfId="0" applyFont="1" applyBorder="1" applyProtection="1"/>
    <xf numFmtId="0" fontId="51" fillId="0" borderId="0" xfId="0" applyFont="1" applyBorder="1" applyAlignment="1" applyProtection="1">
      <alignment horizontal="center"/>
    </xf>
    <xf numFmtId="0" fontId="51" fillId="14" borderId="0" xfId="0" applyFont="1" applyFill="1" applyBorder="1" applyProtection="1"/>
    <xf numFmtId="0" fontId="51" fillId="0" borderId="0" xfId="0" applyFont="1" applyBorder="1" applyAlignment="1" applyProtection="1">
      <alignment horizontal="center" vertical="center"/>
    </xf>
    <xf numFmtId="0" fontId="51" fillId="14" borderId="0" xfId="0" applyNumberFormat="1" applyFont="1" applyFill="1" applyBorder="1" applyProtection="1"/>
    <xf numFmtId="0" fontId="51" fillId="0" borderId="0" xfId="0" applyFont="1" applyFill="1" applyBorder="1" applyProtection="1"/>
    <xf numFmtId="0" fontId="111" fillId="0" borderId="41" xfId="13" applyNumberFormat="1" applyFont="1" applyFill="1" applyBorder="1" applyAlignment="1" applyProtection="1">
      <alignment horizontal="center" vertical="center"/>
    </xf>
    <xf numFmtId="0" fontId="111" fillId="0" borderId="82" xfId="13" applyNumberFormat="1" applyFont="1" applyFill="1" applyBorder="1" applyAlignment="1" applyProtection="1">
      <alignment horizontal="center" vertical="center"/>
    </xf>
    <xf numFmtId="0" fontId="51" fillId="0" borderId="0" xfId="0" applyFont="1" applyBorder="1" applyProtection="1">
      <protection locked="0"/>
    </xf>
    <xf numFmtId="0" fontId="111" fillId="17" borderId="7" xfId="13" applyFont="1" applyFill="1" applyBorder="1" applyAlignment="1" applyProtection="1">
      <alignment horizontal="center" vertical="center"/>
    </xf>
    <xf numFmtId="0" fontId="111" fillId="10" borderId="7" xfId="13" applyFont="1" applyFill="1" applyBorder="1" applyAlignment="1" applyProtection="1">
      <alignment horizontal="center" vertical="center"/>
    </xf>
    <xf numFmtId="0" fontId="90" fillId="70" borderId="109" xfId="0" applyFont="1" applyFill="1" applyBorder="1" applyAlignment="1" applyProtection="1">
      <alignment horizontal="center" vertical="center" wrapText="1"/>
    </xf>
    <xf numFmtId="0" fontId="91" fillId="0" borderId="0" xfId="13" applyNumberFormat="1" applyFont="1" applyFill="1" applyBorder="1" applyAlignment="1" applyProtection="1">
      <alignment horizontal="left" vertical="center" wrapText="1"/>
      <protection locked="0"/>
    </xf>
    <xf numFmtId="0" fontId="91" fillId="0" borderId="0" xfId="13" applyNumberFormat="1" applyFont="1" applyFill="1" applyBorder="1" applyAlignment="1" applyProtection="1">
      <alignment horizontal="center" vertical="center" wrapText="1"/>
      <protection locked="0"/>
    </xf>
    <xf numFmtId="2" fontId="121" fillId="0" borderId="17" xfId="13" applyNumberFormat="1" applyFont="1" applyFill="1" applyBorder="1" applyAlignment="1" applyProtection="1">
      <alignment horizontal="right" vertical="center"/>
      <protection locked="0"/>
    </xf>
    <xf numFmtId="166" fontId="51" fillId="0" borderId="0" xfId="0" applyNumberFormat="1" applyFont="1" applyBorder="1" applyProtection="1"/>
    <xf numFmtId="2" fontId="121" fillId="0" borderId="15" xfId="13" applyNumberFormat="1" applyFont="1" applyFill="1" applyBorder="1" applyAlignment="1" applyProtection="1">
      <alignment horizontal="right" vertical="center"/>
      <protection locked="0"/>
    </xf>
    <xf numFmtId="0" fontId="121" fillId="0" borderId="0" xfId="0" applyFont="1" applyBorder="1" applyAlignment="1" applyProtection="1">
      <alignment horizontal="left"/>
      <protection locked="0"/>
    </xf>
    <xf numFmtId="0" fontId="51" fillId="14" borderId="0" xfId="0" applyFont="1" applyFill="1" applyBorder="1" applyAlignment="1" applyProtection="1">
      <alignment horizontal="center"/>
    </xf>
    <xf numFmtId="0" fontId="51" fillId="14" borderId="15" xfId="0" applyFont="1" applyFill="1" applyBorder="1" applyProtection="1"/>
    <xf numFmtId="0" fontId="51" fillId="14" borderId="34" xfId="0" applyFont="1" applyFill="1" applyBorder="1" applyProtection="1"/>
    <xf numFmtId="0" fontId="111" fillId="12" borderId="0" xfId="13" applyNumberFormat="1" applyFont="1" applyFill="1" applyBorder="1" applyAlignment="1" applyProtection="1">
      <alignment horizontal="center" vertical="center" wrapText="1"/>
    </xf>
    <xf numFmtId="4" fontId="51" fillId="0" borderId="15" xfId="0" applyNumberFormat="1" applyFont="1" applyBorder="1" applyProtection="1"/>
    <xf numFmtId="2" fontId="51" fillId="0" borderId="0" xfId="0" applyNumberFormat="1" applyFont="1" applyBorder="1" applyProtection="1"/>
    <xf numFmtId="2" fontId="51" fillId="0" borderId="34" xfId="0" applyNumberFormat="1" applyFont="1" applyBorder="1" applyProtection="1"/>
    <xf numFmtId="2" fontId="51" fillId="0" borderId="15" xfId="0" applyNumberFormat="1" applyFont="1" applyBorder="1" applyProtection="1"/>
    <xf numFmtId="166" fontId="51" fillId="14" borderId="0" xfId="0" applyNumberFormat="1" applyFont="1" applyFill="1" applyBorder="1" applyProtection="1"/>
    <xf numFmtId="0" fontId="111" fillId="0" borderId="0" xfId="13" applyNumberFormat="1" applyFont="1" applyFill="1" applyBorder="1" applyAlignment="1" applyProtection="1">
      <alignment horizontal="center" vertical="center" wrapText="1"/>
    </xf>
    <xf numFmtId="0" fontId="51" fillId="0" borderId="15" xfId="0" applyFont="1" applyBorder="1" applyProtection="1"/>
    <xf numFmtId="0" fontId="51" fillId="0" borderId="34" xfId="0" applyFont="1" applyBorder="1" applyProtection="1"/>
    <xf numFmtId="0" fontId="90" fillId="13" borderId="0" xfId="0" applyFont="1" applyFill="1" applyBorder="1" applyProtection="1"/>
    <xf numFmtId="9" fontId="90" fillId="0" borderId="30" xfId="0" applyNumberFormat="1" applyFont="1" applyBorder="1" applyAlignment="1" applyProtection="1">
      <alignment horizontal="center" vertical="center"/>
    </xf>
    <xf numFmtId="173" fontId="90" fillId="0" borderId="0" xfId="23" quotePrefix="1" applyNumberFormat="1" applyFont="1" applyBorder="1" applyAlignment="1" applyProtection="1"/>
    <xf numFmtId="0" fontId="122" fillId="13" borderId="0" xfId="0" applyFont="1" applyFill="1" applyBorder="1" applyProtection="1"/>
    <xf numFmtId="173" fontId="90" fillId="0" borderId="0" xfId="23" quotePrefix="1" applyNumberFormat="1" applyFont="1" applyBorder="1" applyAlignment="1" applyProtection="1">
      <alignment wrapText="1"/>
    </xf>
    <xf numFmtId="0" fontId="90" fillId="0" borderId="0" xfId="0" applyFont="1" applyBorder="1" applyProtection="1"/>
    <xf numFmtId="0" fontId="51" fillId="0" borderId="0" xfId="0" applyFont="1" applyBorder="1" applyAlignment="1" applyProtection="1"/>
    <xf numFmtId="0" fontId="51" fillId="0" borderId="0" xfId="0" applyFont="1" applyBorder="1" applyAlignment="1" applyProtection="1">
      <protection locked="0"/>
    </xf>
    <xf numFmtId="0" fontId="91" fillId="0" borderId="0" xfId="0" applyFont="1" applyFill="1" applyBorder="1" applyAlignment="1" applyProtection="1"/>
    <xf numFmtId="0" fontId="91" fillId="0" borderId="0" xfId="0" applyFont="1" applyFill="1" applyBorder="1" applyAlignment="1" applyProtection="1">
      <protection locked="0"/>
    </xf>
    <xf numFmtId="0" fontId="91" fillId="0" borderId="0" xfId="0" applyFont="1" applyFill="1" applyBorder="1" applyProtection="1">
      <protection locked="0"/>
    </xf>
    <xf numFmtId="0" fontId="51" fillId="0" borderId="0" xfId="0" applyFont="1" applyBorder="1" applyAlignment="1" applyProtection="1">
      <alignment horizontal="center"/>
      <protection locked="0"/>
    </xf>
    <xf numFmtId="0" fontId="88" fillId="66" borderId="0" xfId="0" applyFont="1" applyFill="1" applyBorder="1" applyAlignment="1">
      <alignment horizontal="center" vertical="center" wrapText="1"/>
    </xf>
    <xf numFmtId="0" fontId="86" fillId="25" borderId="0" xfId="71" applyFont="1" applyFill="1"/>
    <xf numFmtId="0" fontId="86" fillId="25" borderId="0" xfId="71" applyFont="1" applyFill="1" applyAlignment="1">
      <alignment horizontal="left"/>
    </xf>
    <xf numFmtId="0" fontId="86" fillId="0" borderId="0" xfId="71" applyFont="1" applyFill="1" applyAlignment="1">
      <alignment horizontal="left" vertical="center"/>
    </xf>
    <xf numFmtId="0" fontId="86" fillId="25" borderId="0" xfId="71" applyFont="1" applyFill="1" applyAlignment="1">
      <alignment horizontal="center"/>
    </xf>
    <xf numFmtId="0" fontId="86" fillId="0" borderId="0" xfId="71" applyFont="1" applyFill="1"/>
    <xf numFmtId="49" fontId="86" fillId="0" borderId="0" xfId="71" applyNumberFormat="1" applyFont="1" applyAlignment="1">
      <alignment horizontal="center"/>
    </xf>
    <xf numFmtId="0" fontId="86" fillId="25" borderId="0" xfId="71" applyNumberFormat="1" applyFont="1" applyFill="1"/>
    <xf numFmtId="49" fontId="86" fillId="0" borderId="0" xfId="71" applyNumberFormat="1" applyFont="1"/>
    <xf numFmtId="0" fontId="86" fillId="0" borderId="0" xfId="71" applyNumberFormat="1" applyFont="1" applyAlignment="1">
      <alignment horizontal="center"/>
    </xf>
    <xf numFmtId="0" fontId="86" fillId="0" borderId="0" xfId="71" applyFont="1" applyAlignment="1">
      <alignment horizontal="left"/>
    </xf>
    <xf numFmtId="49" fontId="86" fillId="0" borderId="0" xfId="71" applyNumberFormat="1" applyFont="1" applyAlignment="1">
      <alignment horizontal="left"/>
    </xf>
    <xf numFmtId="49" fontId="86" fillId="0" borderId="0" xfId="71" applyNumberFormat="1" applyFont="1" applyFill="1"/>
    <xf numFmtId="0" fontId="51" fillId="0" borderId="0" xfId="71" applyFont="1"/>
    <xf numFmtId="0" fontId="86" fillId="67" borderId="261" xfId="71" applyFill="1" applyBorder="1"/>
    <xf numFmtId="0" fontId="86" fillId="27" borderId="121" xfId="71" applyFont="1" applyFill="1" applyBorder="1" applyProtection="1">
      <protection locked="0"/>
    </xf>
    <xf numFmtId="0" fontId="86" fillId="27" borderId="118" xfId="71" applyFont="1" applyFill="1" applyBorder="1" applyProtection="1">
      <protection locked="0"/>
    </xf>
    <xf numFmtId="0" fontId="86" fillId="27" borderId="117" xfId="71" applyFont="1" applyFill="1" applyBorder="1" applyProtection="1">
      <protection locked="0"/>
    </xf>
    <xf numFmtId="0" fontId="86" fillId="67" borderId="165" xfId="71" applyNumberFormat="1" applyFont="1" applyFill="1" applyBorder="1" applyAlignment="1"/>
    <xf numFmtId="0" fontId="86" fillId="67" borderId="261" xfId="71" applyNumberFormat="1" applyFont="1" applyFill="1" applyBorder="1" applyAlignment="1"/>
    <xf numFmtId="0" fontId="51" fillId="0" borderId="0" xfId="0" applyFont="1" applyBorder="1" applyAlignment="1">
      <alignment horizontal="center"/>
    </xf>
    <xf numFmtId="0" fontId="51" fillId="0" borderId="0" xfId="0" applyFont="1" applyBorder="1" applyAlignment="1">
      <alignment vertical="center"/>
    </xf>
    <xf numFmtId="0" fontId="51" fillId="0" borderId="0" xfId="0" applyFont="1" applyFill="1" applyBorder="1" applyAlignment="1">
      <alignment vertical="center"/>
    </xf>
    <xf numFmtId="0" fontId="51" fillId="0" borderId="0" xfId="0" applyFont="1" applyBorder="1" applyAlignment="1">
      <alignment vertical="center" wrapText="1"/>
    </xf>
    <xf numFmtId="169" fontId="111" fillId="0" borderId="82" xfId="13" applyNumberFormat="1" applyFont="1" applyFill="1" applyBorder="1" applyAlignment="1" applyProtection="1">
      <alignment horizontal="center" vertical="center"/>
    </xf>
    <xf numFmtId="169" fontId="111" fillId="10" borderId="7" xfId="13" applyNumberFormat="1" applyFont="1" applyFill="1" applyBorder="1" applyAlignment="1" applyProtection="1">
      <alignment horizontal="center" vertical="center"/>
    </xf>
    <xf numFmtId="0" fontId="90" fillId="0" borderId="0" xfId="0" applyFont="1" applyFill="1" applyBorder="1" applyAlignment="1">
      <alignment vertical="center"/>
    </xf>
    <xf numFmtId="0" fontId="51" fillId="0" borderId="0" xfId="0" applyFont="1" applyBorder="1" applyAlignment="1" applyProtection="1">
      <alignment vertical="center"/>
    </xf>
    <xf numFmtId="0" fontId="51" fillId="14" borderId="0" xfId="0" applyFont="1" applyFill="1" applyBorder="1" applyAlignment="1" applyProtection="1">
      <alignment vertical="center"/>
    </xf>
    <xf numFmtId="0" fontId="51" fillId="14" borderId="0" xfId="0" applyFont="1" applyFill="1" applyBorder="1" applyAlignment="1" applyProtection="1">
      <alignment vertical="center" wrapText="1"/>
    </xf>
    <xf numFmtId="169" fontId="90" fillId="14" borderId="15" xfId="0" applyNumberFormat="1" applyFont="1" applyFill="1" applyBorder="1" applyAlignment="1" applyProtection="1">
      <alignment horizontal="center" vertical="center"/>
    </xf>
    <xf numFmtId="169" fontId="51" fillId="14" borderId="0" xfId="0" applyNumberFormat="1" applyFont="1" applyFill="1" applyBorder="1" applyAlignment="1" applyProtection="1">
      <alignment horizontal="center" vertical="center"/>
    </xf>
    <xf numFmtId="169" fontId="51" fillId="14" borderId="15" xfId="0" applyNumberFormat="1" applyFont="1" applyFill="1" applyBorder="1" applyAlignment="1" applyProtection="1">
      <alignment horizontal="center" vertical="center"/>
    </xf>
    <xf numFmtId="0" fontId="89" fillId="0" borderId="0" xfId="0" applyFont="1" applyBorder="1" applyAlignment="1" applyProtection="1">
      <alignment vertical="center"/>
    </xf>
    <xf numFmtId="165" fontId="51" fillId="0" borderId="15" xfId="0" applyNumberFormat="1" applyFont="1" applyBorder="1" applyProtection="1"/>
    <xf numFmtId="165" fontId="51" fillId="0" borderId="0" xfId="0" applyNumberFormat="1" applyFont="1" applyBorder="1" applyProtection="1"/>
    <xf numFmtId="169" fontId="51" fillId="0" borderId="0" xfId="0" applyNumberFormat="1" applyFont="1" applyBorder="1" applyProtection="1"/>
    <xf numFmtId="169" fontId="51" fillId="0" borderId="15" xfId="0" applyNumberFormat="1" applyFont="1" applyBorder="1" applyProtection="1"/>
    <xf numFmtId="165" fontId="51" fillId="0" borderId="34" xfId="0" applyNumberFormat="1" applyFont="1" applyBorder="1" applyProtection="1"/>
    <xf numFmtId="169" fontId="90" fillId="0" borderId="15" xfId="0" applyNumberFormat="1" applyFont="1" applyBorder="1" applyAlignment="1">
      <alignment horizontal="center" vertical="center"/>
    </xf>
    <xf numFmtId="169" fontId="51" fillId="0" borderId="0" xfId="0" applyNumberFormat="1" applyFont="1" applyBorder="1" applyAlignment="1">
      <alignment horizontal="center" vertical="center"/>
    </xf>
    <xf numFmtId="169" fontId="51" fillId="0" borderId="15" xfId="0" applyNumberFormat="1" applyFont="1" applyBorder="1" applyAlignment="1">
      <alignment horizontal="center" vertical="center"/>
    </xf>
    <xf numFmtId="165" fontId="51" fillId="0" borderId="15" xfId="0" applyNumberFormat="1" applyFont="1" applyFill="1" applyBorder="1" applyProtection="1"/>
    <xf numFmtId="165" fontId="51" fillId="0" borderId="0" xfId="0" applyNumberFormat="1" applyFont="1" applyFill="1" applyBorder="1" applyProtection="1"/>
    <xf numFmtId="165" fontId="51" fillId="0" borderId="34" xfId="0" applyNumberFormat="1" applyFont="1" applyFill="1" applyBorder="1" applyProtection="1"/>
    <xf numFmtId="165" fontId="51" fillId="0" borderId="14" xfId="0" applyNumberFormat="1" applyFont="1" applyBorder="1" applyProtection="1"/>
    <xf numFmtId="0" fontId="51" fillId="0" borderId="0" xfId="0" applyFont="1" applyFill="1" applyBorder="1" applyAlignment="1" applyProtection="1">
      <alignment vertical="center"/>
    </xf>
    <xf numFmtId="0" fontId="51" fillId="0" borderId="18" xfId="0" applyFont="1" applyFill="1" applyBorder="1" applyAlignment="1" applyProtection="1">
      <alignment vertical="center"/>
    </xf>
    <xf numFmtId="0" fontId="51" fillId="0" borderId="18" xfId="0" applyFont="1" applyBorder="1" applyProtection="1"/>
    <xf numFmtId="165" fontId="51" fillId="0" borderId="14" xfId="0" applyNumberFormat="1" applyFont="1" applyFill="1" applyBorder="1" applyProtection="1"/>
    <xf numFmtId="169" fontId="51" fillId="0" borderId="18" xfId="0" applyNumberFormat="1" applyFont="1" applyFill="1" applyBorder="1" applyProtection="1"/>
    <xf numFmtId="165" fontId="51" fillId="0" borderId="93" xfId="0" applyNumberFormat="1" applyFont="1" applyBorder="1" applyProtection="1"/>
    <xf numFmtId="165" fontId="51" fillId="0" borderId="73" xfId="0" applyNumberFormat="1" applyFont="1" applyBorder="1" applyProtection="1"/>
    <xf numFmtId="0" fontId="51" fillId="0" borderId="18" xfId="0" applyFont="1" applyBorder="1" applyAlignment="1" applyProtection="1">
      <alignment vertical="center"/>
    </xf>
    <xf numFmtId="0" fontId="123" fillId="74" borderId="109" xfId="0" applyFont="1" applyFill="1" applyBorder="1" applyAlignment="1" applyProtection="1">
      <alignment horizontal="center" vertical="center" wrapText="1"/>
    </xf>
    <xf numFmtId="0" fontId="123" fillId="28" borderId="109" xfId="0" applyFont="1" applyFill="1" applyBorder="1" applyAlignment="1" applyProtection="1">
      <alignment horizontal="center" vertical="center" wrapText="1"/>
    </xf>
    <xf numFmtId="0" fontId="123" fillId="75" borderId="109" xfId="0" applyFont="1" applyFill="1" applyBorder="1" applyAlignment="1" applyProtection="1">
      <alignment horizontal="center" vertical="center" wrapText="1"/>
    </xf>
    <xf numFmtId="0" fontId="123" fillId="76" borderId="109" xfId="0" applyFont="1" applyFill="1" applyBorder="1" applyAlignment="1" applyProtection="1">
      <alignment horizontal="center" vertical="center" wrapText="1"/>
    </xf>
    <xf numFmtId="0" fontId="123" fillId="61" borderId="109" xfId="0" applyFont="1" applyFill="1" applyBorder="1" applyAlignment="1" applyProtection="1">
      <alignment horizontal="center" vertical="center" wrapText="1"/>
    </xf>
    <xf numFmtId="0" fontId="123" fillId="67" borderId="109" xfId="0" applyFont="1" applyFill="1" applyBorder="1" applyAlignment="1" applyProtection="1">
      <alignment horizontal="center" vertical="center" wrapText="1"/>
    </xf>
    <xf numFmtId="0" fontId="117" fillId="92" borderId="35" xfId="71" applyNumberFormat="1" applyFont="1" applyFill="1" applyBorder="1" applyAlignment="1"/>
    <xf numFmtId="0" fontId="117" fillId="0" borderId="35" xfId="71" applyFont="1" applyFill="1" applyBorder="1"/>
    <xf numFmtId="0" fontId="86" fillId="67" borderId="165" xfId="71" applyFill="1" applyBorder="1"/>
    <xf numFmtId="0" fontId="86" fillId="74" borderId="165" xfId="71" applyNumberFormat="1" applyFont="1" applyFill="1" applyBorder="1" applyAlignment="1"/>
    <xf numFmtId="0" fontId="86" fillId="74" borderId="261" xfId="71" applyNumberFormat="1" applyFont="1" applyFill="1" applyBorder="1" applyAlignment="1"/>
    <xf numFmtId="0" fontId="124" fillId="0" borderId="0" xfId="71" applyFont="1"/>
    <xf numFmtId="0" fontId="86" fillId="28" borderId="193" xfId="71" applyFont="1" applyFill="1" applyBorder="1"/>
    <xf numFmtId="0" fontId="56" fillId="63" borderId="0" xfId="0" applyFont="1" applyFill="1" applyBorder="1" applyAlignment="1" applyProtection="1">
      <alignment horizontal="right" vertical="center" wrapText="1"/>
    </xf>
    <xf numFmtId="0" fontId="57" fillId="0" borderId="0" xfId="0" applyFont="1" applyFill="1" applyBorder="1" applyAlignment="1" applyProtection="1">
      <alignment horizontal="left" vertical="center"/>
    </xf>
    <xf numFmtId="0" fontId="111" fillId="79" borderId="0" xfId="13" applyNumberFormat="1" applyFont="1" applyFill="1" applyBorder="1" applyAlignment="1" applyProtection="1">
      <alignment horizontal="center" vertical="center" wrapText="1"/>
    </xf>
    <xf numFmtId="0" fontId="86" fillId="67" borderId="193" xfId="71" applyFill="1" applyBorder="1"/>
    <xf numFmtId="0" fontId="86" fillId="11" borderId="193" xfId="71" applyFill="1" applyBorder="1"/>
    <xf numFmtId="0" fontId="86" fillId="74" borderId="193" xfId="71" applyFill="1" applyBorder="1"/>
    <xf numFmtId="0" fontId="115" fillId="0" borderId="0" xfId="0" applyFont="1" applyFill="1" applyBorder="1" applyAlignment="1" applyProtection="1">
      <alignment horizontal="center" vertical="center" wrapText="1"/>
    </xf>
    <xf numFmtId="0" fontId="118" fillId="0" borderId="0" xfId="0" applyFont="1"/>
    <xf numFmtId="0" fontId="88" fillId="66" borderId="0" xfId="0" applyFont="1" applyFill="1" applyBorder="1" applyAlignment="1">
      <alignment horizontal="center" vertical="center"/>
    </xf>
    <xf numFmtId="0" fontId="90" fillId="0" borderId="266" xfId="0" applyFont="1" applyBorder="1" applyAlignment="1" applyProtection="1">
      <alignment vertical="center" wrapText="1"/>
      <protection locked="0"/>
    </xf>
    <xf numFmtId="0" fontId="90" fillId="0" borderId="267" xfId="0" applyFont="1" applyBorder="1" applyAlignment="1" applyProtection="1">
      <alignment vertical="center" wrapText="1"/>
      <protection locked="0"/>
    </xf>
    <xf numFmtId="0" fontId="90" fillId="0" borderId="268" xfId="0" applyFont="1" applyBorder="1" applyAlignment="1" applyProtection="1">
      <alignment vertical="center" wrapText="1"/>
      <protection locked="0"/>
    </xf>
    <xf numFmtId="0" fontId="90" fillId="70" borderId="266" xfId="0" applyFont="1" applyFill="1" applyBorder="1" applyAlignment="1" applyProtection="1">
      <alignment vertical="center" wrapText="1"/>
      <protection locked="0"/>
    </xf>
    <xf numFmtId="0" fontId="2" fillId="0" borderId="35" xfId="71" applyNumberFormat="1" applyFont="1" applyFill="1" applyBorder="1" applyAlignment="1"/>
    <xf numFmtId="0" fontId="2" fillId="0" borderId="35" xfId="71" applyFont="1" applyFill="1" applyBorder="1"/>
    <xf numFmtId="0" fontId="90" fillId="70" borderId="268" xfId="0" applyFont="1" applyFill="1" applyBorder="1" applyAlignment="1" applyProtection="1">
      <alignment vertical="center" wrapText="1"/>
      <protection locked="0"/>
    </xf>
    <xf numFmtId="0" fontId="2" fillId="0" borderId="0" xfId="71" applyFont="1" applyFill="1" applyBorder="1"/>
    <xf numFmtId="0" fontId="90" fillId="70" borderId="267" xfId="0" applyFont="1" applyFill="1" applyBorder="1" applyAlignment="1" applyProtection="1">
      <alignment vertical="center" wrapText="1"/>
      <protection locked="0"/>
    </xf>
    <xf numFmtId="43" fontId="51" fillId="0" borderId="0" xfId="24" applyFont="1" applyBorder="1" applyProtection="1"/>
    <xf numFmtId="43" fontId="51" fillId="0" borderId="34" xfId="24" applyFont="1" applyBorder="1" applyProtection="1"/>
    <xf numFmtId="43" fontId="51" fillId="0" borderId="89" xfId="24" applyFont="1" applyBorder="1" applyProtection="1"/>
    <xf numFmtId="43" fontId="51" fillId="0" borderId="18" xfId="24" applyFont="1" applyBorder="1" applyProtection="1"/>
    <xf numFmtId="43" fontId="51" fillId="0" borderId="95" xfId="24" applyFont="1" applyBorder="1" applyProtection="1"/>
    <xf numFmtId="43" fontId="51" fillId="0" borderId="93" xfId="24" applyFont="1" applyBorder="1" applyProtection="1"/>
    <xf numFmtId="43" fontId="51" fillId="0" borderId="14" xfId="24" applyFont="1" applyBorder="1" applyProtection="1"/>
    <xf numFmtId="43" fontId="51" fillId="0" borderId="94" xfId="24" applyFont="1" applyBorder="1" applyProtection="1"/>
    <xf numFmtId="43" fontId="51" fillId="0" borderId="15" xfId="24" applyFont="1" applyBorder="1" applyProtection="1"/>
    <xf numFmtId="43" fontId="51" fillId="0" borderId="73" xfId="24" applyFont="1" applyBorder="1" applyProtection="1"/>
    <xf numFmtId="43" fontId="51" fillId="0" borderId="99" xfId="24" applyFont="1" applyBorder="1" applyProtection="1"/>
    <xf numFmtId="43" fontId="90" fillId="0" borderId="28" xfId="24" applyFont="1" applyBorder="1" applyProtection="1"/>
    <xf numFmtId="43" fontId="9" fillId="73" borderId="37" xfId="24" applyFont="1" applyFill="1" applyBorder="1" applyAlignment="1" applyProtection="1">
      <alignment horizontal="center" vertical="center"/>
    </xf>
    <xf numFmtId="43" fontId="9" fillId="73" borderId="70" xfId="24" applyFont="1" applyFill="1" applyBorder="1" applyAlignment="1" applyProtection="1">
      <alignment horizontal="center" vertical="center"/>
    </xf>
    <xf numFmtId="43" fontId="9" fillId="73" borderId="111" xfId="24" applyFont="1" applyFill="1" applyBorder="1" applyAlignment="1" applyProtection="1">
      <alignment horizontal="center" vertical="center"/>
    </xf>
    <xf numFmtId="43" fontId="9" fillId="0" borderId="37" xfId="24" applyFont="1" applyFill="1" applyBorder="1" applyAlignment="1" applyProtection="1">
      <alignment horizontal="center" vertical="center"/>
    </xf>
    <xf numFmtId="43" fontId="9" fillId="0" borderId="3" xfId="24" applyFont="1" applyFill="1" applyBorder="1" applyAlignment="1" applyProtection="1">
      <alignment horizontal="center" vertical="center"/>
    </xf>
    <xf numFmtId="43" fontId="9" fillId="0" borderId="70" xfId="24" applyFont="1" applyFill="1" applyBorder="1" applyAlignment="1" applyProtection="1">
      <alignment horizontal="center" vertical="center"/>
    </xf>
    <xf numFmtId="43" fontId="9" fillId="0" borderId="110" xfId="24" applyFont="1" applyFill="1" applyBorder="1" applyAlignment="1" applyProtection="1">
      <alignment horizontal="center" vertical="center"/>
    </xf>
    <xf numFmtId="43" fontId="9" fillId="0" borderId="109" xfId="24" applyFont="1" applyFill="1" applyBorder="1" applyAlignment="1" applyProtection="1">
      <alignment horizontal="center" vertical="center"/>
    </xf>
    <xf numFmtId="43" fontId="9" fillId="0" borderId="116" xfId="24" applyFont="1" applyFill="1" applyBorder="1" applyAlignment="1" applyProtection="1">
      <alignment horizontal="center" vertical="center"/>
    </xf>
    <xf numFmtId="43" fontId="0" fillId="0" borderId="111" xfId="24" applyFont="1" applyFill="1" applyBorder="1"/>
    <xf numFmtId="43" fontId="0" fillId="15" borderId="0" xfId="24" applyFont="1" applyFill="1" applyBorder="1"/>
    <xf numFmtId="43" fontId="9" fillId="73" borderId="108" xfId="24" applyFont="1" applyFill="1" applyBorder="1" applyAlignment="1" applyProtection="1">
      <alignment horizontal="center" vertical="center"/>
    </xf>
    <xf numFmtId="43" fontId="0" fillId="0" borderId="0" xfId="24" applyFont="1" applyFill="1" applyBorder="1"/>
    <xf numFmtId="43" fontId="9" fillId="0" borderId="111" xfId="24" applyFont="1" applyFill="1" applyBorder="1" applyAlignment="1" applyProtection="1">
      <alignment horizontal="center" vertical="center"/>
    </xf>
    <xf numFmtId="43" fontId="9" fillId="0" borderId="47" xfId="24" applyFont="1" applyFill="1" applyBorder="1" applyAlignment="1" applyProtection="1">
      <alignment horizontal="center" vertical="center"/>
    </xf>
    <xf numFmtId="43" fontId="9" fillId="0" borderId="84" xfId="24" applyFont="1" applyFill="1" applyBorder="1" applyAlignment="1" applyProtection="1">
      <alignment horizontal="center" vertical="center"/>
    </xf>
    <xf numFmtId="43" fontId="9" fillId="0" borderId="101" xfId="24" applyFont="1" applyFill="1" applyBorder="1" applyAlignment="1" applyProtection="1">
      <alignment horizontal="center" vertical="center"/>
    </xf>
    <xf numFmtId="43" fontId="0" fillId="22" borderId="0" xfId="24" applyFont="1" applyFill="1" applyBorder="1"/>
    <xf numFmtId="43" fontId="0" fillId="0" borderId="69" xfId="24" applyFont="1" applyFill="1" applyBorder="1"/>
    <xf numFmtId="43" fontId="0" fillId="0" borderId="6" xfId="24" applyFont="1" applyFill="1" applyBorder="1"/>
    <xf numFmtId="43" fontId="0" fillId="80" borderId="0" xfId="24" applyFont="1" applyFill="1" applyBorder="1"/>
    <xf numFmtId="43" fontId="0" fillId="11" borderId="0" xfId="24" applyFont="1" applyFill="1" applyBorder="1"/>
    <xf numFmtId="43" fontId="9" fillId="14" borderId="6" xfId="24" applyFont="1" applyFill="1" applyBorder="1" applyAlignment="1" applyProtection="1">
      <alignment horizontal="center" vertical="center"/>
    </xf>
    <xf numFmtId="43" fontId="9" fillId="0" borderId="6" xfId="24" applyFont="1" applyFill="1" applyBorder="1" applyAlignment="1" applyProtection="1">
      <alignment horizontal="center" vertical="center"/>
    </xf>
    <xf numFmtId="43" fontId="9" fillId="61" borderId="101" xfId="24" applyFont="1" applyFill="1" applyBorder="1" applyAlignment="1" applyProtection="1">
      <alignment horizontal="center" vertical="center"/>
      <protection locked="0"/>
    </xf>
    <xf numFmtId="43" fontId="9" fillId="61" borderId="171" xfId="24" applyFont="1" applyFill="1" applyBorder="1" applyAlignment="1" applyProtection="1">
      <alignment horizontal="center" vertical="center"/>
      <protection locked="0"/>
    </xf>
    <xf numFmtId="43" fontId="9" fillId="61" borderId="172" xfId="24" applyFont="1" applyFill="1" applyBorder="1" applyAlignment="1" applyProtection="1">
      <alignment horizontal="center" vertical="center"/>
      <protection locked="0"/>
    </xf>
    <xf numFmtId="43" fontId="9" fillId="61" borderId="169" xfId="24" applyFont="1" applyFill="1" applyBorder="1" applyAlignment="1" applyProtection="1">
      <alignment horizontal="center" vertical="center"/>
      <protection locked="0"/>
    </xf>
    <xf numFmtId="43" fontId="9" fillId="61" borderId="170" xfId="24" applyFont="1" applyFill="1" applyBorder="1" applyAlignment="1" applyProtection="1">
      <alignment horizontal="center" vertical="center"/>
      <protection locked="0"/>
    </xf>
    <xf numFmtId="43" fontId="9" fillId="61" borderId="84" xfId="24" applyFont="1" applyFill="1" applyBorder="1" applyAlignment="1" applyProtection="1">
      <alignment horizontal="center" vertical="center"/>
      <protection locked="0"/>
    </xf>
    <xf numFmtId="43" fontId="0" fillId="27" borderId="0" xfId="24" applyFont="1" applyFill="1" applyBorder="1"/>
    <xf numFmtId="43" fontId="19" fillId="16" borderId="37" xfId="24" applyFont="1" applyFill="1" applyBorder="1" applyAlignment="1" applyProtection="1">
      <alignment horizontal="center" vertical="center"/>
    </xf>
    <xf numFmtId="43" fontId="19" fillId="16" borderId="70" xfId="24" applyFont="1" applyFill="1" applyBorder="1" applyAlignment="1" applyProtection="1">
      <alignment horizontal="center" vertical="center"/>
    </xf>
    <xf numFmtId="43" fontId="19" fillId="16" borderId="111" xfId="24" applyFont="1" applyFill="1" applyBorder="1" applyAlignment="1" applyProtection="1">
      <alignment horizontal="center" vertical="center"/>
    </xf>
    <xf numFmtId="43" fontId="11" fillId="0" borderId="21" xfId="24" applyFont="1" applyFill="1" applyBorder="1"/>
    <xf numFmtId="43" fontId="11" fillId="0" borderId="26" xfId="24" applyFont="1" applyFill="1" applyBorder="1"/>
    <xf numFmtId="43" fontId="9" fillId="73" borderId="69" xfId="24" applyFont="1" applyFill="1" applyBorder="1" applyAlignment="1" applyProtection="1">
      <alignment horizontal="center" vertical="center"/>
    </xf>
    <xf numFmtId="43" fontId="9" fillId="73" borderId="116" xfId="24" applyFont="1" applyFill="1" applyBorder="1" applyAlignment="1" applyProtection="1">
      <alignment horizontal="center" vertical="center"/>
    </xf>
    <xf numFmtId="43" fontId="9" fillId="0" borderId="112" xfId="24" applyFont="1" applyFill="1" applyBorder="1" applyAlignment="1" applyProtection="1">
      <alignment horizontal="center" vertical="center"/>
    </xf>
    <xf numFmtId="43" fontId="9" fillId="73" borderId="123" xfId="24" applyFont="1" applyFill="1" applyBorder="1" applyAlignment="1" applyProtection="1">
      <alignment horizontal="center" vertical="center"/>
    </xf>
    <xf numFmtId="43" fontId="9" fillId="0" borderId="69" xfId="24" applyFont="1" applyFill="1" applyBorder="1" applyAlignment="1" applyProtection="1">
      <alignment horizontal="center" vertical="center"/>
    </xf>
    <xf numFmtId="43" fontId="9" fillId="61" borderId="111" xfId="24" applyFont="1" applyFill="1" applyBorder="1" applyAlignment="1" applyProtection="1">
      <alignment horizontal="center" vertical="center"/>
      <protection locked="0"/>
    </xf>
    <xf numFmtId="43" fontId="9" fillId="0" borderId="172" xfId="24" applyFont="1" applyFill="1" applyBorder="1" applyAlignment="1" applyProtection="1">
      <alignment horizontal="center" vertical="center"/>
    </xf>
    <xf numFmtId="43" fontId="9" fillId="0" borderId="171" xfId="24" applyFont="1" applyFill="1" applyBorder="1" applyAlignment="1" applyProtection="1">
      <alignment horizontal="center" vertical="center"/>
    </xf>
    <xf numFmtId="43" fontId="0" fillId="69" borderId="0" xfId="24" applyFont="1" applyFill="1" applyBorder="1"/>
    <xf numFmtId="43" fontId="9" fillId="15" borderId="13" xfId="24" applyFont="1" applyFill="1" applyBorder="1" applyAlignment="1" applyProtection="1">
      <alignment horizontal="center" vertical="center"/>
    </xf>
    <xf numFmtId="43" fontId="9" fillId="15" borderId="7" xfId="24" applyFont="1" applyFill="1" applyBorder="1" applyAlignment="1" applyProtection="1">
      <alignment horizontal="center" vertical="center"/>
    </xf>
    <xf numFmtId="43" fontId="9" fillId="15" borderId="20" xfId="24" applyFont="1" applyFill="1" applyBorder="1" applyAlignment="1" applyProtection="1">
      <alignment horizontal="center" vertical="center"/>
    </xf>
    <xf numFmtId="43" fontId="9" fillId="15" borderId="12" xfId="24" applyFont="1" applyFill="1" applyBorder="1" applyAlignment="1" applyProtection="1">
      <alignment horizontal="center" vertical="center"/>
    </xf>
    <xf numFmtId="43" fontId="9" fillId="15" borderId="19" xfId="24" applyFont="1" applyFill="1" applyBorder="1" applyAlignment="1" applyProtection="1">
      <alignment horizontal="center" vertical="center"/>
    </xf>
    <xf numFmtId="43" fontId="0" fillId="0" borderId="0" xfId="24" applyFont="1" applyBorder="1"/>
    <xf numFmtId="43" fontId="9" fillId="0" borderId="22" xfId="24" applyFont="1" applyFill="1" applyBorder="1" applyAlignment="1" applyProtection="1">
      <alignment horizontal="center" vertical="center"/>
    </xf>
    <xf numFmtId="43" fontId="9" fillId="0" borderId="23" xfId="24" applyFont="1" applyFill="1" applyBorder="1" applyAlignment="1" applyProtection="1">
      <alignment horizontal="center" vertical="center"/>
    </xf>
    <xf numFmtId="43" fontId="2" fillId="0" borderId="24" xfId="24" applyFont="1" applyBorder="1"/>
    <xf numFmtId="43" fontId="2" fillId="0" borderId="25" xfId="24" applyFont="1" applyBorder="1"/>
    <xf numFmtId="43" fontId="2" fillId="0" borderId="0" xfId="24" applyFont="1"/>
    <xf numFmtId="43" fontId="11" fillId="22" borderId="3" xfId="24" applyFont="1" applyFill="1" applyBorder="1" applyProtection="1">
      <protection locked="0"/>
    </xf>
    <xf numFmtId="43" fontId="11" fillId="22" borderId="167" xfId="24" applyFont="1" applyFill="1" applyBorder="1" applyProtection="1">
      <protection locked="0"/>
    </xf>
    <xf numFmtId="43" fontId="10" fillId="18" borderId="3" xfId="24" applyFont="1" applyFill="1" applyBorder="1" applyProtection="1">
      <protection locked="0"/>
    </xf>
    <xf numFmtId="43" fontId="10" fillId="18" borderId="167" xfId="24" applyFont="1" applyFill="1" applyBorder="1" applyProtection="1">
      <protection locked="0"/>
    </xf>
    <xf numFmtId="43" fontId="11" fillId="15" borderId="3" xfId="24" applyFont="1" applyFill="1" applyBorder="1"/>
    <xf numFmtId="43" fontId="11" fillId="15" borderId="3" xfId="24" applyFont="1" applyFill="1" applyBorder="1" applyProtection="1"/>
    <xf numFmtId="43" fontId="10" fillId="16" borderId="3" xfId="24" applyFont="1" applyFill="1" applyBorder="1"/>
    <xf numFmtId="43" fontId="10" fillId="16" borderId="3" xfId="24" applyFont="1" applyFill="1" applyBorder="1" applyProtection="1"/>
    <xf numFmtId="43" fontId="2" fillId="0" borderId="0" xfId="24" applyFont="1" applyFill="1"/>
    <xf numFmtId="43" fontId="92" fillId="0" borderId="0" xfId="24" applyFont="1" applyFill="1"/>
    <xf numFmtId="43" fontId="93" fillId="0" borderId="0" xfId="24" applyFont="1" applyFill="1"/>
    <xf numFmtId="0" fontId="120" fillId="87" borderId="0" xfId="0" applyFont="1" applyFill="1" applyBorder="1" applyAlignment="1">
      <alignment horizontal="center" vertical="center"/>
    </xf>
    <xf numFmtId="0" fontId="51" fillId="14" borderId="15" xfId="0" applyFont="1" applyFill="1" applyBorder="1" applyAlignment="1" applyProtection="1">
      <alignment vertical="center"/>
    </xf>
    <xf numFmtId="0" fontId="88" fillId="66" borderId="269" xfId="0" applyFont="1" applyFill="1" applyBorder="1" applyAlignment="1" applyProtection="1">
      <alignment vertical="center"/>
    </xf>
    <xf numFmtId="0" fontId="88" fillId="66" borderId="270" xfId="0" applyFont="1" applyFill="1" applyBorder="1" applyAlignment="1" applyProtection="1">
      <alignment vertical="center"/>
    </xf>
    <xf numFmtId="0" fontId="88" fillId="66" borderId="270" xfId="0" applyFont="1" applyFill="1" applyBorder="1" applyAlignment="1" applyProtection="1">
      <alignment horizontal="center" vertical="center" wrapText="1"/>
    </xf>
    <xf numFmtId="182" fontId="113" fillId="91" borderId="270" xfId="71" applyNumberFormat="1" applyFont="1" applyFill="1" applyBorder="1" applyAlignment="1" applyProtection="1">
      <alignment horizontal="center"/>
    </xf>
    <xf numFmtId="182" fontId="113" fillId="91" borderId="271" xfId="71" applyNumberFormat="1" applyFont="1" applyFill="1" applyBorder="1" applyAlignment="1" applyProtection="1">
      <alignment horizontal="center"/>
    </xf>
    <xf numFmtId="0" fontId="51" fillId="0" borderId="269" xfId="0" applyFont="1" applyBorder="1" applyProtection="1"/>
    <xf numFmtId="0" fontId="51" fillId="0" borderId="270" xfId="0" applyFont="1" applyBorder="1" applyProtection="1"/>
    <xf numFmtId="0" fontId="51" fillId="0" borderId="272" xfId="0" applyFont="1" applyBorder="1" applyProtection="1"/>
    <xf numFmtId="0" fontId="51" fillId="0" borderId="273" xfId="0" applyFont="1" applyBorder="1" applyProtection="1"/>
    <xf numFmtId="0" fontId="86" fillId="0" borderId="0" xfId="0" applyFont="1"/>
    <xf numFmtId="0" fontId="51" fillId="26" borderId="0" xfId="71" applyFont="1" applyFill="1" applyBorder="1"/>
    <xf numFmtId="0" fontId="51" fillId="26" borderId="0" xfId="71" applyFont="1" applyFill="1" applyBorder="1" applyProtection="1"/>
    <xf numFmtId="0" fontId="127" fillId="88" borderId="0" xfId="71" applyFont="1" applyFill="1" applyBorder="1" applyAlignment="1">
      <alignment horizontal="center" vertical="center"/>
    </xf>
    <xf numFmtId="0" fontId="88" fillId="66" borderId="0" xfId="71" applyFont="1" applyFill="1" applyBorder="1" applyAlignment="1" applyProtection="1">
      <alignment vertical="center"/>
    </xf>
    <xf numFmtId="0" fontId="88" fillId="66" borderId="0" xfId="71" applyFont="1" applyFill="1" applyBorder="1" applyAlignment="1">
      <alignment vertical="center"/>
    </xf>
    <xf numFmtId="0" fontId="88" fillId="66" borderId="0" xfId="71" applyFont="1" applyFill="1" applyBorder="1" applyAlignment="1">
      <alignment horizontal="left" vertical="center"/>
    </xf>
    <xf numFmtId="0" fontId="88" fillId="66" borderId="0" xfId="71" applyFont="1" applyFill="1" applyBorder="1" applyAlignment="1" applyProtection="1">
      <alignment horizontal="left" vertical="center" indent="2"/>
    </xf>
    <xf numFmtId="0" fontId="51" fillId="26" borderId="0" xfId="71" applyFont="1" applyFill="1" applyBorder="1" applyAlignment="1">
      <alignment vertical="center"/>
    </xf>
    <xf numFmtId="0" fontId="51" fillId="0" borderId="0" xfId="71" applyFont="1" applyBorder="1" applyAlignment="1">
      <alignment vertical="center"/>
    </xf>
    <xf numFmtId="0" fontId="51" fillId="0" borderId="0" xfId="73" applyNumberFormat="1" applyFont="1" applyBorder="1" applyAlignment="1" applyProtection="1">
      <alignment horizontal="left" vertical="center"/>
      <protection locked="0"/>
    </xf>
    <xf numFmtId="0" fontId="51" fillId="0" borderId="0" xfId="73" applyNumberFormat="1" applyFont="1" applyBorder="1" applyAlignment="1" applyProtection="1">
      <alignment vertical="center" wrapText="1"/>
      <protection locked="0"/>
    </xf>
    <xf numFmtId="0" fontId="51" fillId="0" borderId="0" xfId="73" applyNumberFormat="1" applyFont="1" applyFill="1" applyBorder="1" applyAlignment="1">
      <alignment vertical="center" wrapText="1"/>
    </xf>
    <xf numFmtId="0" fontId="51" fillId="0" borderId="0" xfId="73" applyNumberFormat="1" applyFont="1" applyBorder="1" applyAlignment="1" applyProtection="1">
      <alignment horizontal="center" vertical="center" wrapText="1"/>
      <protection locked="0"/>
    </xf>
    <xf numFmtId="165" fontId="51" fillId="89" borderId="0" xfId="73" applyNumberFormat="1" applyFont="1" applyFill="1" applyBorder="1" applyAlignment="1" applyProtection="1">
      <alignment vertical="center"/>
      <protection locked="0"/>
    </xf>
    <xf numFmtId="165" fontId="90" fillId="0" borderId="0" xfId="73" applyNumberFormat="1" applyFont="1" applyFill="1" applyBorder="1" applyAlignment="1">
      <alignment vertical="center"/>
    </xf>
    <xf numFmtId="0" fontId="51" fillId="0" borderId="0" xfId="73" applyNumberFormat="1" applyFont="1" applyBorder="1" applyAlignment="1" applyProtection="1">
      <alignment horizontal="left" vertical="top"/>
      <protection locked="0"/>
    </xf>
    <xf numFmtId="0" fontId="51" fillId="0" borderId="0" xfId="71" applyFont="1" applyBorder="1"/>
    <xf numFmtId="0" fontId="51" fillId="0" borderId="0" xfId="73" applyNumberFormat="1" applyFont="1" applyBorder="1" applyAlignment="1">
      <alignment vertical="center" wrapText="1"/>
    </xf>
    <xf numFmtId="165" fontId="51" fillId="0" borderId="0" xfId="73" applyNumberFormat="1" applyFont="1" applyFill="1" applyBorder="1" applyAlignment="1" applyProtection="1">
      <alignment vertical="center"/>
      <protection locked="0"/>
    </xf>
    <xf numFmtId="165" fontId="51" fillId="0" borderId="0" xfId="73" applyNumberFormat="1" applyFont="1" applyFill="1" applyBorder="1" applyAlignment="1">
      <alignment vertical="center"/>
    </xf>
    <xf numFmtId="0" fontId="51" fillId="26" borderId="0" xfId="71" applyFont="1" applyFill="1" applyBorder="1" applyProtection="1">
      <protection locked="0"/>
    </xf>
    <xf numFmtId="0" fontId="51" fillId="0" borderId="0" xfId="73" applyNumberFormat="1" applyFont="1" applyFill="1" applyBorder="1" applyAlignment="1" applyProtection="1">
      <alignment vertical="center" wrapText="1"/>
      <protection locked="0"/>
    </xf>
    <xf numFmtId="0" fontId="51" fillId="0" borderId="0" xfId="71" applyFont="1" applyBorder="1" applyAlignment="1" applyProtection="1">
      <alignment vertical="center"/>
      <protection locked="0"/>
    </xf>
    <xf numFmtId="0" fontId="51" fillId="0" borderId="0" xfId="71" applyFont="1" applyBorder="1" applyProtection="1">
      <protection locked="0"/>
    </xf>
    <xf numFmtId="0" fontId="90" fillId="66" borderId="0" xfId="71" applyFont="1" applyFill="1" applyBorder="1"/>
    <xf numFmtId="0" fontId="120" fillId="87" borderId="0" xfId="71" applyFont="1" applyFill="1" applyBorder="1" applyAlignment="1" applyProtection="1">
      <alignment horizontal="center" vertical="center"/>
    </xf>
    <xf numFmtId="0" fontId="90" fillId="26" borderId="0" xfId="71" applyFont="1" applyFill="1" applyBorder="1"/>
    <xf numFmtId="171" fontId="67" fillId="90" borderId="252" xfId="71" applyNumberFormat="1" applyFont="1" applyFill="1" applyBorder="1" applyAlignment="1">
      <alignment horizontal="left"/>
    </xf>
    <xf numFmtId="0" fontId="0" fillId="0" borderId="35" xfId="0" applyFill="1" applyBorder="1" applyAlignment="1">
      <alignment horizontal="left" indent="1"/>
    </xf>
    <xf numFmtId="0" fontId="86" fillId="74" borderId="193" xfId="71" applyNumberFormat="1" applyFont="1" applyFill="1" applyBorder="1" applyAlignment="1"/>
    <xf numFmtId="183" fontId="57" fillId="0" borderId="0" xfId="0" applyNumberFormat="1" applyFont="1" applyFill="1" applyBorder="1" applyAlignment="1" applyProtection="1">
      <alignment horizontal="left" vertical="center"/>
    </xf>
    <xf numFmtId="0" fontId="56" fillId="63" borderId="193" xfId="0" applyFont="1" applyFill="1" applyBorder="1" applyAlignment="1" applyProtection="1">
      <alignment horizontal="right" vertical="center" wrapText="1"/>
    </xf>
    <xf numFmtId="0" fontId="67" fillId="0" borderId="0" xfId="71" applyFont="1" applyAlignment="1">
      <alignment horizontal="right"/>
    </xf>
    <xf numFmtId="182" fontId="51" fillId="0" borderId="270" xfId="0" applyNumberFormat="1" applyFont="1" applyBorder="1" applyProtection="1"/>
    <xf numFmtId="182" fontId="51" fillId="0" borderId="271" xfId="0" applyNumberFormat="1" applyFont="1" applyBorder="1" applyProtection="1"/>
    <xf numFmtId="182" fontId="51" fillId="0" borderId="273" xfId="0" applyNumberFormat="1" applyFont="1" applyBorder="1" applyProtection="1"/>
    <xf numFmtId="182" fontId="51" fillId="0" borderId="274" xfId="0" applyNumberFormat="1" applyFont="1" applyBorder="1" applyProtection="1"/>
    <xf numFmtId="0" fontId="61" fillId="68" borderId="14" xfId="22" applyFont="1" applyFill="1" applyBorder="1" applyAlignment="1" applyProtection="1">
      <alignment horizontal="left" vertical="top" wrapText="1"/>
    </xf>
    <xf numFmtId="0" fontId="119" fillId="26" borderId="0" xfId="0" applyFont="1" applyFill="1" applyBorder="1" applyAlignment="1">
      <alignment horizontal="left" vertical="center"/>
    </xf>
    <xf numFmtId="0" fontId="12" fillId="70" borderId="95" xfId="0" applyNumberFormat="1" applyFont="1" applyFill="1" applyBorder="1" applyAlignment="1">
      <alignment horizontal="center" vertical="center"/>
    </xf>
    <xf numFmtId="166" fontId="128" fillId="0" borderId="277" xfId="0" applyNumberFormat="1" applyFont="1" applyBorder="1" applyAlignment="1">
      <alignment horizontal="center" vertical="center"/>
    </xf>
    <xf numFmtId="0" fontId="113" fillId="93" borderId="253" xfId="71" applyNumberFormat="1" applyFont="1" applyFill="1" applyBorder="1" applyAlignment="1">
      <alignment horizontal="center"/>
    </xf>
    <xf numFmtId="0" fontId="91" fillId="0" borderId="0" xfId="12" applyFont="1"/>
    <xf numFmtId="182" fontId="91" fillId="0" borderId="0" xfId="12" applyNumberFormat="1" applyFont="1"/>
    <xf numFmtId="182" fontId="91" fillId="94" borderId="0" xfId="12" applyNumberFormat="1" applyFont="1" applyFill="1"/>
    <xf numFmtId="182" fontId="86" fillId="0" borderId="0" xfId="0" applyNumberFormat="1" applyFont="1"/>
    <xf numFmtId="182" fontId="51" fillId="0" borderId="0" xfId="0" applyNumberFormat="1" applyFont="1"/>
    <xf numFmtId="0" fontId="51" fillId="0" borderId="278" xfId="0" applyFont="1" applyBorder="1"/>
    <xf numFmtId="0" fontId="51" fillId="0" borderId="241" xfId="0" applyFont="1" applyBorder="1"/>
    <xf numFmtId="182" fontId="51" fillId="0" borderId="241" xfId="0" applyNumberFormat="1" applyFont="1" applyBorder="1"/>
    <xf numFmtId="0" fontId="86" fillId="0" borderId="279" xfId="0" applyFont="1" applyBorder="1"/>
    <xf numFmtId="0" fontId="86" fillId="0" borderId="263" xfId="0" applyFont="1" applyBorder="1"/>
    <xf numFmtId="182" fontId="86" fillId="0" borderId="263" xfId="0" applyNumberFormat="1" applyFont="1" applyBorder="1"/>
    <xf numFmtId="182" fontId="91" fillId="0" borderId="118" xfId="12" applyNumberFormat="1" applyFont="1" applyBorder="1"/>
    <xf numFmtId="182" fontId="91" fillId="0" borderId="246" xfId="12" applyNumberFormat="1" applyFont="1" applyBorder="1"/>
    <xf numFmtId="182" fontId="91" fillId="0" borderId="280" xfId="12" applyNumberFormat="1" applyFont="1" applyBorder="1"/>
    <xf numFmtId="182" fontId="91" fillId="0" borderId="117" xfId="12" applyNumberFormat="1" applyFont="1" applyBorder="1"/>
    <xf numFmtId="182" fontId="86" fillId="0" borderId="281" xfId="0" applyNumberFormat="1" applyFont="1" applyBorder="1"/>
    <xf numFmtId="0" fontId="86" fillId="0" borderId="0" xfId="0" pivotButton="1" applyFont="1"/>
    <xf numFmtId="0" fontId="113" fillId="96" borderId="193" xfId="71" applyFont="1" applyFill="1" applyBorder="1" applyAlignment="1">
      <alignment horizontal="center"/>
    </xf>
    <xf numFmtId="0" fontId="67" fillId="0" borderId="0" xfId="0" pivotButton="1" applyFont="1"/>
    <xf numFmtId="0" fontId="67" fillId="0" borderId="0" xfId="0" applyFont="1"/>
    <xf numFmtId="0" fontId="2" fillId="0" borderId="0" xfId="71" applyFont="1" applyAlignment="1">
      <alignment horizontal="right"/>
    </xf>
    <xf numFmtId="0" fontId="67" fillId="0" borderId="0" xfId="71" applyFont="1"/>
    <xf numFmtId="0" fontId="67" fillId="0" borderId="0" xfId="71" applyFont="1"/>
    <xf numFmtId="0" fontId="67" fillId="0" borderId="0" xfId="0" applyFont="1" applyAlignment="1">
      <alignment horizontal="center"/>
    </xf>
    <xf numFmtId="0" fontId="113" fillId="96" borderId="258" xfId="71" applyFont="1" applyFill="1" applyBorder="1" applyAlignment="1">
      <alignment horizontal="center"/>
    </xf>
    <xf numFmtId="0" fontId="86" fillId="0" borderId="4" xfId="0" applyFont="1" applyBorder="1"/>
    <xf numFmtId="0" fontId="86" fillId="0" borderId="35" xfId="0" applyFont="1" applyBorder="1"/>
    <xf numFmtId="182" fontId="86" fillId="0" borderId="35" xfId="0" applyNumberFormat="1" applyFont="1" applyBorder="1"/>
    <xf numFmtId="182" fontId="86" fillId="94" borderId="35" xfId="0" applyNumberFormat="1" applyFont="1" applyFill="1" applyBorder="1"/>
    <xf numFmtId="0" fontId="86" fillId="0" borderId="168" xfId="0" applyFont="1" applyBorder="1"/>
    <xf numFmtId="0" fontId="86" fillId="0" borderId="282" xfId="0" applyFont="1" applyBorder="1"/>
    <xf numFmtId="182" fontId="86" fillId="0" borderId="282" xfId="0" applyNumberFormat="1" applyFont="1" applyBorder="1"/>
    <xf numFmtId="182" fontId="86" fillId="94" borderId="282" xfId="0" applyNumberFormat="1" applyFont="1" applyFill="1" applyBorder="1"/>
    <xf numFmtId="182" fontId="86" fillId="0" borderId="283" xfId="0" applyNumberFormat="1" applyFont="1" applyBorder="1"/>
    <xf numFmtId="0" fontId="113" fillId="96" borderId="260" xfId="71" applyFont="1" applyFill="1" applyBorder="1" applyAlignment="1">
      <alignment horizontal="center"/>
    </xf>
    <xf numFmtId="0" fontId="113" fillId="96" borderId="283" xfId="71" applyFont="1" applyFill="1" applyBorder="1" applyAlignment="1">
      <alignment horizontal="center"/>
    </xf>
    <xf numFmtId="0" fontId="113" fillId="96" borderId="268" xfId="71" applyFont="1" applyFill="1" applyBorder="1" applyAlignment="1">
      <alignment horizontal="center"/>
    </xf>
    <xf numFmtId="182" fontId="86" fillId="0" borderId="173" xfId="0" applyNumberFormat="1" applyFont="1" applyBorder="1"/>
    <xf numFmtId="166" fontId="61" fillId="70" borderId="122" xfId="0" applyNumberFormat="1" applyFont="1" applyFill="1" applyBorder="1" applyAlignment="1">
      <alignment horizontal="center" vertical="center"/>
    </xf>
    <xf numFmtId="0" fontId="86" fillId="96" borderId="118" xfId="0" applyFont="1" applyFill="1" applyBorder="1"/>
    <xf numFmtId="0" fontId="67" fillId="0" borderId="168" xfId="0" applyFont="1" applyBorder="1"/>
    <xf numFmtId="0" fontId="113" fillId="96" borderId="5" xfId="71" applyFont="1" applyFill="1" applyBorder="1" applyAlignment="1">
      <alignment horizontal="center"/>
    </xf>
    <xf numFmtId="0" fontId="67" fillId="0" borderId="284" xfId="0" applyFont="1" applyBorder="1"/>
    <xf numFmtId="0" fontId="86" fillId="0" borderId="285" xfId="0" applyFont="1" applyBorder="1"/>
    <xf numFmtId="182" fontId="86" fillId="0" borderId="286" xfId="0" applyNumberFormat="1" applyFont="1" applyBorder="1"/>
    <xf numFmtId="182" fontId="86" fillId="0" borderId="285" xfId="0" applyNumberFormat="1" applyFont="1" applyBorder="1"/>
    <xf numFmtId="182" fontId="86" fillId="94" borderId="285" xfId="0" applyNumberFormat="1" applyFont="1" applyFill="1" applyBorder="1"/>
    <xf numFmtId="182" fontId="86" fillId="0" borderId="287" xfId="0" applyNumberFormat="1" applyFont="1" applyBorder="1"/>
    <xf numFmtId="0" fontId="67" fillId="83" borderId="0" xfId="0" applyFont="1" applyFill="1"/>
    <xf numFmtId="0" fontId="86" fillId="83" borderId="0" xfId="0" applyFont="1" applyFill="1"/>
    <xf numFmtId="182" fontId="86" fillId="83" borderId="0" xfId="0" applyNumberFormat="1" applyFont="1" applyFill="1"/>
    <xf numFmtId="182" fontId="67" fillId="83" borderId="0" xfId="0" applyNumberFormat="1" applyFont="1" applyFill="1"/>
    <xf numFmtId="0" fontId="86" fillId="0" borderId="0" xfId="0" applyFont="1" applyAlignment="1">
      <alignment horizontal="center"/>
    </xf>
    <xf numFmtId="182" fontId="86" fillId="94" borderId="263" xfId="0" applyNumberFormat="1" applyFont="1" applyFill="1" applyBorder="1"/>
    <xf numFmtId="0" fontId="113" fillId="96" borderId="16" xfId="71" applyFont="1" applyFill="1" applyBorder="1" applyAlignment="1">
      <alignment horizontal="center"/>
    </xf>
    <xf numFmtId="0" fontId="86" fillId="0" borderId="262" xfId="0" applyFont="1" applyBorder="1"/>
    <xf numFmtId="0" fontId="113" fillId="96" borderId="0" xfId="71" applyFont="1" applyFill="1" applyAlignment="1">
      <alignment horizontal="right"/>
    </xf>
    <xf numFmtId="0" fontId="131" fillId="0" borderId="0" xfId="71" applyFont="1" applyFill="1" applyBorder="1" applyAlignment="1">
      <alignment horizontal="left"/>
    </xf>
    <xf numFmtId="0" fontId="86" fillId="0" borderId="0" xfId="0" applyFont="1" applyFill="1"/>
    <xf numFmtId="0" fontId="86" fillId="94" borderId="285" xfId="0" applyFont="1" applyFill="1" applyBorder="1"/>
    <xf numFmtId="0" fontId="86" fillId="0" borderId="284" xfId="0" applyFont="1" applyBorder="1"/>
    <xf numFmtId="182" fontId="113" fillId="84" borderId="5" xfId="71" applyNumberFormat="1" applyFont="1" applyFill="1" applyBorder="1" applyAlignment="1">
      <alignment horizontal="center"/>
    </xf>
    <xf numFmtId="0" fontId="88" fillId="66" borderId="0" xfId="71" applyFont="1" applyFill="1" applyBorder="1" applyAlignment="1" applyProtection="1">
      <alignment horizontal="center" vertical="center"/>
    </xf>
    <xf numFmtId="0" fontId="86" fillId="0" borderId="0" xfId="0" applyFont="1" applyAlignment="1">
      <alignment horizontal="left"/>
    </xf>
    <xf numFmtId="182" fontId="113" fillId="96" borderId="5" xfId="71" applyNumberFormat="1" applyFont="1" applyFill="1" applyBorder="1" applyAlignment="1">
      <alignment horizontal="center"/>
    </xf>
    <xf numFmtId="182" fontId="113" fillId="96" borderId="258" xfId="71" applyNumberFormat="1" applyFont="1" applyFill="1" applyBorder="1"/>
    <xf numFmtId="182" fontId="113" fillId="96" borderId="0" xfId="71" applyNumberFormat="1" applyFont="1" applyFill="1"/>
    <xf numFmtId="0" fontId="87" fillId="96" borderId="0" xfId="0" applyFont="1" applyFill="1"/>
    <xf numFmtId="0" fontId="87" fillId="96" borderId="0" xfId="0" applyFont="1" applyFill="1" applyAlignment="1">
      <alignment horizontal="left"/>
    </xf>
    <xf numFmtId="182" fontId="87" fillId="96" borderId="0" xfId="0" applyNumberFormat="1" applyFont="1" applyFill="1"/>
    <xf numFmtId="0" fontId="67" fillId="83" borderId="20" xfId="0" applyFont="1" applyFill="1" applyBorder="1"/>
    <xf numFmtId="0" fontId="67" fillId="0" borderId="267" xfId="71" applyFont="1" applyBorder="1" applyAlignment="1">
      <alignment horizontal="right"/>
    </xf>
    <xf numFmtId="0" fontId="86" fillId="0" borderId="15" xfId="0" applyFont="1" applyBorder="1"/>
    <xf numFmtId="182" fontId="113" fillId="96" borderId="0" xfId="71" applyNumberFormat="1" applyFont="1" applyFill="1" applyBorder="1"/>
    <xf numFmtId="0" fontId="86" fillId="96" borderId="15" xfId="0" applyFont="1" applyFill="1" applyBorder="1"/>
    <xf numFmtId="0" fontId="67" fillId="0" borderId="15" xfId="0" applyFont="1" applyBorder="1"/>
    <xf numFmtId="0" fontId="67" fillId="83" borderId="104" xfId="0" applyFont="1" applyFill="1" applyBorder="1"/>
    <xf numFmtId="0" fontId="67" fillId="0" borderId="258" xfId="71" applyFont="1" applyBorder="1" applyAlignment="1">
      <alignment horizontal="right"/>
    </xf>
    <xf numFmtId="182" fontId="113" fillId="96" borderId="5" xfId="71" applyNumberFormat="1" applyFont="1" applyFill="1" applyBorder="1"/>
    <xf numFmtId="0" fontId="67" fillId="0" borderId="5" xfId="0" applyFont="1" applyBorder="1"/>
    <xf numFmtId="182" fontId="67" fillId="0" borderId="5" xfId="0" applyNumberFormat="1" applyFont="1" applyBorder="1"/>
    <xf numFmtId="0" fontId="86" fillId="0" borderId="5" xfId="0" applyFont="1" applyBorder="1" applyAlignment="1">
      <alignment horizontal="right"/>
    </xf>
    <xf numFmtId="182" fontId="86" fillId="0" borderId="5" xfId="0" applyNumberFormat="1" applyFont="1" applyBorder="1"/>
    <xf numFmtId="0" fontId="86" fillId="0" borderId="2" xfId="0" applyFont="1" applyBorder="1" applyAlignment="1">
      <alignment horizontal="right"/>
    </xf>
    <xf numFmtId="182" fontId="86" fillId="0" borderId="2" xfId="0" applyNumberFormat="1" applyFont="1" applyBorder="1"/>
    <xf numFmtId="9" fontId="67" fillId="83" borderId="193" xfId="70" applyFont="1" applyFill="1" applyBorder="1"/>
    <xf numFmtId="0" fontId="90" fillId="0" borderId="0" xfId="0" applyFont="1" applyFill="1" applyBorder="1" applyProtection="1"/>
    <xf numFmtId="43" fontId="9" fillId="0" borderId="283" xfId="24" applyFont="1" applyFill="1" applyBorder="1" applyAlignment="1" applyProtection="1">
      <alignment horizontal="center" vertical="center"/>
    </xf>
    <xf numFmtId="43" fontId="9" fillId="0" borderId="163" xfId="24" applyFont="1" applyFill="1" applyBorder="1" applyAlignment="1" applyProtection="1">
      <alignment horizontal="center" vertical="center"/>
    </xf>
    <xf numFmtId="183" fontId="57" fillId="0" borderId="260" xfId="0" applyNumberFormat="1" applyFont="1" applyFill="1" applyBorder="1" applyAlignment="1" applyProtection="1">
      <alignment horizontal="center" vertical="center"/>
    </xf>
    <xf numFmtId="0" fontId="112" fillId="83" borderId="0" xfId="0" applyFont="1" applyFill="1" applyBorder="1"/>
    <xf numFmtId="0" fontId="86" fillId="67" borderId="267" xfId="71" applyNumberFormat="1" applyFont="1" applyFill="1" applyBorder="1" applyAlignment="1"/>
    <xf numFmtId="0" fontId="90" fillId="70" borderId="282" xfId="0" applyFont="1" applyFill="1" applyBorder="1" applyAlignment="1">
      <alignment vertical="center" wrapText="1"/>
    </xf>
    <xf numFmtId="0" fontId="90" fillId="0" borderId="282" xfId="0" applyFont="1" applyBorder="1" applyAlignment="1">
      <alignment vertical="center" wrapText="1"/>
    </xf>
    <xf numFmtId="0" fontId="90" fillId="0" borderId="267" xfId="0" applyFont="1" applyBorder="1" applyAlignment="1">
      <alignment vertical="center" wrapText="1"/>
    </xf>
    <xf numFmtId="0" fontId="10" fillId="98" borderId="35" xfId="71" applyNumberFormat="1" applyFont="1" applyFill="1" applyBorder="1" applyAlignment="1"/>
    <xf numFmtId="182" fontId="92" fillId="0" borderId="258" xfId="0" applyNumberFormat="1" applyFont="1" applyBorder="1"/>
    <xf numFmtId="182" fontId="92" fillId="0" borderId="5" xfId="0" applyNumberFormat="1" applyFont="1" applyBorder="1"/>
    <xf numFmtId="182" fontId="92" fillId="0" borderId="2" xfId="0" applyNumberFormat="1" applyFont="1" applyBorder="1"/>
    <xf numFmtId="182" fontId="92" fillId="0" borderId="0" xfId="0" applyNumberFormat="1" applyFont="1"/>
    <xf numFmtId="0" fontId="132" fillId="26" borderId="0" xfId="0" applyFont="1" applyFill="1" applyBorder="1" applyAlignment="1" applyProtection="1">
      <alignment horizontal="left" vertical="center" indent="1"/>
    </xf>
    <xf numFmtId="0" fontId="133" fillId="26" borderId="0" xfId="0" applyFont="1" applyFill="1" applyBorder="1" applyProtection="1"/>
    <xf numFmtId="0" fontId="134" fillId="26" borderId="0" xfId="0" applyFont="1" applyFill="1" applyBorder="1" applyProtection="1"/>
    <xf numFmtId="0" fontId="86" fillId="26" borderId="0" xfId="0" applyFont="1" applyFill="1" applyBorder="1" applyProtection="1"/>
    <xf numFmtId="0" fontId="0" fillId="0" borderId="0" xfId="0" applyProtection="1"/>
    <xf numFmtId="0" fontId="0" fillId="0" borderId="0" xfId="0" applyAlignment="1" applyProtection="1">
      <alignment vertical="center"/>
    </xf>
    <xf numFmtId="0" fontId="86" fillId="0" borderId="0" xfId="0" applyFont="1" applyAlignment="1" applyProtection="1">
      <alignment vertical="center"/>
    </xf>
    <xf numFmtId="0" fontId="86" fillId="0" borderId="0" xfId="0" applyFont="1" applyAlignment="1" applyProtection="1">
      <alignment horizontal="center" vertical="center"/>
    </xf>
    <xf numFmtId="0" fontId="60" fillId="83" borderId="288" xfId="12" applyFont="1" applyFill="1" applyBorder="1" applyAlignment="1" applyProtection="1">
      <alignment horizontal="left" vertical="center"/>
    </xf>
    <xf numFmtId="0" fontId="0" fillId="83" borderId="288" xfId="0" applyFill="1" applyBorder="1" applyAlignment="1" applyProtection="1">
      <alignment vertical="center"/>
    </xf>
    <xf numFmtId="2" fontId="67" fillId="83" borderId="288" xfId="0" applyNumberFormat="1" applyFont="1" applyFill="1" applyBorder="1" applyAlignment="1" applyProtection="1">
      <alignment horizontal="center" vertical="center"/>
    </xf>
    <xf numFmtId="0" fontId="86" fillId="83" borderId="288" xfId="0" applyFont="1" applyFill="1" applyBorder="1" applyAlignment="1" applyProtection="1">
      <alignment vertical="center"/>
    </xf>
    <xf numFmtId="9" fontId="92" fillId="99" borderId="288" xfId="72" applyFont="1" applyFill="1" applyBorder="1" applyAlignment="1" applyProtection="1">
      <alignment horizontal="center" vertical="center"/>
    </xf>
    <xf numFmtId="0" fontId="86" fillId="0" borderId="289" xfId="0" applyFont="1" applyBorder="1" applyAlignment="1" applyProtection="1">
      <alignment vertical="center" wrapText="1"/>
    </xf>
    <xf numFmtId="0" fontId="60" fillId="83" borderId="0" xfId="12" applyFont="1" applyFill="1" applyBorder="1" applyAlignment="1" applyProtection="1">
      <alignment horizontal="left" vertical="center"/>
    </xf>
    <xf numFmtId="0" fontId="0" fillId="83" borderId="0" xfId="0" applyFill="1" applyAlignment="1" applyProtection="1">
      <alignment vertical="center"/>
    </xf>
    <xf numFmtId="2" fontId="67" fillId="83" borderId="0" xfId="0" applyNumberFormat="1" applyFont="1" applyFill="1" applyAlignment="1" applyProtection="1">
      <alignment horizontal="center" vertical="center"/>
    </xf>
    <xf numFmtId="0" fontId="86" fillId="83" borderId="0" xfId="0" applyFont="1" applyFill="1" applyAlignment="1" applyProtection="1">
      <alignment vertical="center"/>
    </xf>
    <xf numFmtId="0" fontId="92" fillId="99" borderId="0" xfId="0" applyFont="1" applyFill="1" applyAlignment="1" applyProtection="1">
      <alignment horizontal="center" vertical="center"/>
    </xf>
    <xf numFmtId="0" fontId="0" fillId="100" borderId="0" xfId="0" applyFill="1" applyAlignment="1" applyProtection="1">
      <alignment vertical="center"/>
    </xf>
    <xf numFmtId="0" fontId="60" fillId="100" borderId="0" xfId="12" applyFont="1" applyFill="1" applyBorder="1" applyAlignment="1" applyProtection="1">
      <alignment horizontal="left" vertical="center"/>
    </xf>
    <xf numFmtId="0" fontId="86" fillId="100" borderId="0" xfId="0" applyFont="1" applyFill="1" applyAlignment="1" applyProtection="1">
      <alignment horizontal="center" vertical="center"/>
    </xf>
    <xf numFmtId="2" fontId="86" fillId="100" borderId="0" xfId="0" applyNumberFormat="1" applyFont="1" applyFill="1" applyAlignment="1" applyProtection="1">
      <alignment horizontal="center" vertical="center"/>
    </xf>
    <xf numFmtId="0" fontId="86" fillId="0" borderId="289" xfId="0" applyFont="1" applyBorder="1" applyAlignment="1" applyProtection="1">
      <alignment horizontal="left" vertical="center" wrapText="1"/>
    </xf>
    <xf numFmtId="0" fontId="86" fillId="0" borderId="289" xfId="0" quotePrefix="1" applyFont="1" applyBorder="1" applyAlignment="1" applyProtection="1">
      <alignment horizontal="left" vertical="center" wrapText="1"/>
    </xf>
    <xf numFmtId="0" fontId="86" fillId="83" borderId="288" xfId="0" applyFont="1" applyFill="1" applyBorder="1" applyAlignment="1" applyProtection="1">
      <alignment horizontal="center" vertical="center"/>
    </xf>
    <xf numFmtId="0" fontId="92" fillId="99" borderId="288" xfId="0" applyFont="1" applyFill="1" applyBorder="1" applyAlignment="1" applyProtection="1">
      <alignment horizontal="center" vertical="center"/>
    </xf>
    <xf numFmtId="0" fontId="86" fillId="83" borderId="0" xfId="0" applyFont="1" applyFill="1" applyAlignment="1" applyProtection="1">
      <alignment horizontal="center" vertical="center"/>
    </xf>
    <xf numFmtId="0" fontId="86" fillId="0" borderId="291" xfId="0" applyFont="1" applyBorder="1" applyAlignment="1" applyProtection="1">
      <alignment vertical="center" wrapText="1"/>
    </xf>
    <xf numFmtId="9" fontId="92" fillId="99" borderId="0" xfId="72" applyFont="1" applyFill="1" applyAlignment="1" applyProtection="1">
      <alignment horizontal="center" vertical="center"/>
    </xf>
    <xf numFmtId="0" fontId="0" fillId="100" borderId="290" xfId="0" applyFill="1" applyBorder="1" applyAlignment="1" applyProtection="1">
      <alignment vertical="center"/>
    </xf>
    <xf numFmtId="0" fontId="60" fillId="100" borderId="290" xfId="12" applyFont="1" applyFill="1" applyBorder="1" applyAlignment="1" applyProtection="1">
      <alignment horizontal="left" vertical="center"/>
    </xf>
    <xf numFmtId="0" fontId="86" fillId="100" borderId="290" xfId="0" applyFont="1" applyFill="1" applyBorder="1" applyAlignment="1" applyProtection="1">
      <alignment horizontal="center" vertical="center"/>
    </xf>
    <xf numFmtId="2" fontId="86" fillId="100" borderId="290" xfId="0" applyNumberFormat="1" applyFont="1" applyFill="1" applyBorder="1" applyAlignment="1" applyProtection="1">
      <alignment horizontal="center" vertical="center"/>
    </xf>
    <xf numFmtId="2" fontId="86" fillId="0" borderId="0" xfId="0" applyNumberFormat="1" applyFont="1" applyAlignment="1" applyProtection="1">
      <alignment vertical="center"/>
    </xf>
    <xf numFmtId="0" fontId="135" fillId="11" borderId="0" xfId="0" applyFont="1" applyFill="1" applyAlignment="1" applyProtection="1">
      <alignment vertical="center"/>
    </xf>
    <xf numFmtId="0" fontId="136" fillId="11" borderId="0" xfId="0" applyFont="1" applyFill="1" applyAlignment="1" applyProtection="1">
      <alignment vertical="center"/>
    </xf>
    <xf numFmtId="1" fontId="135" fillId="11" borderId="0" xfId="0" applyNumberFormat="1" applyFont="1" applyFill="1" applyAlignment="1" applyProtection="1">
      <alignment horizontal="center" vertical="center"/>
    </xf>
    <xf numFmtId="0" fontId="86" fillId="11" borderId="0" xfId="0" applyFont="1" applyFill="1" applyAlignment="1" applyProtection="1">
      <alignment vertical="center"/>
    </xf>
    <xf numFmtId="0" fontId="86" fillId="11" borderId="0" xfId="0" applyFont="1" applyFill="1" applyAlignment="1" applyProtection="1">
      <alignment horizontal="center" vertical="center"/>
    </xf>
    <xf numFmtId="0" fontId="86" fillId="0" borderId="0" xfId="0" applyFont="1" applyProtection="1"/>
    <xf numFmtId="0" fontId="82" fillId="96" borderId="0" xfId="0" applyFont="1" applyFill="1"/>
    <xf numFmtId="0" fontId="82" fillId="96" borderId="0" xfId="71" applyFont="1" applyFill="1" applyAlignment="1">
      <alignment horizontal="right"/>
    </xf>
    <xf numFmtId="0" fontId="18" fillId="0" borderId="0" xfId="0" applyFont="1"/>
    <xf numFmtId="182" fontId="82" fillId="96" borderId="0" xfId="0" applyNumberFormat="1" applyFont="1" applyFill="1"/>
    <xf numFmtId="37" fontId="92" fillId="99" borderId="290" xfId="0" applyNumberFormat="1" applyFont="1" applyFill="1" applyBorder="1" applyAlignment="1" applyProtection="1">
      <alignment horizontal="center" vertical="center"/>
    </xf>
    <xf numFmtId="0" fontId="18" fillId="0" borderId="0" xfId="0" applyFont="1" applyFill="1"/>
    <xf numFmtId="0" fontId="60" fillId="25" borderId="0" xfId="12" applyFont="1" applyFill="1" applyBorder="1" applyAlignment="1">
      <alignment horizontal="left" indent="1"/>
    </xf>
    <xf numFmtId="14" fontId="60" fillId="25" borderId="0" xfId="12" applyNumberFormat="1" applyFont="1" applyFill="1" applyBorder="1" applyAlignment="1">
      <alignment horizontal="left" indent="1"/>
    </xf>
    <xf numFmtId="14" fontId="60" fillId="25" borderId="0" xfId="12" applyNumberFormat="1" applyFont="1" applyFill="1" applyBorder="1" applyAlignment="1">
      <alignment horizontal="right" indent="1"/>
    </xf>
    <xf numFmtId="0" fontId="60" fillId="25" borderId="0" xfId="12" applyFont="1" applyFill="1" applyBorder="1" applyAlignment="1">
      <alignment horizontal="left"/>
    </xf>
    <xf numFmtId="0" fontId="140" fillId="25" borderId="0" xfId="12" applyFont="1" applyFill="1" applyBorder="1"/>
    <xf numFmtId="165" fontId="140" fillId="25" borderId="0" xfId="74" applyNumberFormat="1" applyFont="1" applyFill="1" applyBorder="1"/>
    <xf numFmtId="0" fontId="139" fillId="25" borderId="0" xfId="12" applyNumberFormat="1" applyFont="1" applyFill="1" applyBorder="1" applyAlignment="1"/>
    <xf numFmtId="181" fontId="139" fillId="25" borderId="0" xfId="12" applyNumberFormat="1" applyFont="1" applyFill="1" applyBorder="1" applyAlignment="1">
      <alignment horizontal="left"/>
    </xf>
    <xf numFmtId="0" fontId="141" fillId="25" borderId="0" xfId="12" applyFont="1" applyFill="1" applyBorder="1"/>
    <xf numFmtId="165" fontId="139" fillId="25" borderId="0" xfId="74" applyNumberFormat="1" applyFont="1" applyFill="1" applyBorder="1" applyAlignment="1">
      <alignment horizontal="center"/>
    </xf>
    <xf numFmtId="165" fontId="141" fillId="25" borderId="0" xfId="74" applyNumberFormat="1" applyFont="1" applyFill="1" applyBorder="1"/>
    <xf numFmtId="0" fontId="60" fillId="25" borderId="0" xfId="12" applyFont="1" applyFill="1" applyBorder="1" applyAlignment="1">
      <alignment horizontal="right" indent="1"/>
    </xf>
    <xf numFmtId="0" fontId="139" fillId="25" borderId="0" xfId="12" applyFont="1" applyFill="1" applyBorder="1"/>
    <xf numFmtId="0" fontId="137" fillId="25" borderId="0" xfId="12" applyFont="1" applyFill="1" applyBorder="1"/>
    <xf numFmtId="0" fontId="140" fillId="0" borderId="0" xfId="12" applyFont="1"/>
    <xf numFmtId="0" fontId="140" fillId="0" borderId="0" xfId="12" applyFont="1" applyFill="1" applyBorder="1"/>
    <xf numFmtId="0" fontId="139" fillId="25" borderId="0" xfId="12" applyFont="1" applyFill="1" applyBorder="1" applyAlignment="1"/>
    <xf numFmtId="0" fontId="140" fillId="26" borderId="0" xfId="12" applyFont="1" applyFill="1"/>
    <xf numFmtId="0" fontId="137" fillId="25" borderId="0" xfId="12" applyFont="1" applyFill="1" applyBorder="1" applyAlignment="1">
      <alignment horizontal="left"/>
    </xf>
    <xf numFmtId="0" fontId="137" fillId="25" borderId="0" xfId="12" applyNumberFormat="1" applyFont="1" applyFill="1" applyBorder="1" applyAlignment="1"/>
    <xf numFmtId="181" fontId="137" fillId="25" borderId="0" xfId="12" applyNumberFormat="1" applyFont="1" applyFill="1" applyBorder="1" applyAlignment="1">
      <alignment horizontal="left"/>
    </xf>
    <xf numFmtId="0" fontId="113" fillId="66" borderId="269" xfId="0" applyFont="1" applyFill="1" applyBorder="1" applyAlignment="1" applyProtection="1">
      <alignment vertical="center"/>
    </xf>
    <xf numFmtId="0" fontId="113" fillId="66" borderId="270" xfId="0" applyFont="1" applyFill="1" applyBorder="1" applyAlignment="1" applyProtection="1">
      <alignment vertical="center"/>
    </xf>
    <xf numFmtId="0" fontId="113" fillId="66" borderId="270" xfId="0" applyFont="1" applyFill="1" applyBorder="1" applyAlignment="1" applyProtection="1">
      <alignment horizontal="center" vertical="center" wrapText="1"/>
    </xf>
    <xf numFmtId="182" fontId="113" fillId="84" borderId="15" xfId="71" applyNumberFormat="1" applyFont="1" applyFill="1" applyBorder="1" applyAlignment="1">
      <alignment horizontal="center"/>
    </xf>
    <xf numFmtId="182" fontId="113" fillId="91" borderId="121" xfId="71" applyNumberFormat="1" applyFont="1" applyFill="1" applyBorder="1" applyAlignment="1">
      <alignment horizontal="center"/>
    </xf>
    <xf numFmtId="182" fontId="113" fillId="91" borderId="193" xfId="71" applyNumberFormat="1" applyFont="1" applyFill="1" applyBorder="1" applyAlignment="1" applyProtection="1">
      <alignment horizontal="center"/>
    </xf>
    <xf numFmtId="0" fontId="113" fillId="62" borderId="193" xfId="71" applyFont="1" applyFill="1" applyBorder="1" applyAlignment="1">
      <alignment horizontal="center"/>
    </xf>
    <xf numFmtId="0" fontId="119" fillId="26" borderId="0" xfId="0" applyFont="1" applyFill="1" applyBorder="1" applyAlignment="1">
      <alignment horizontal="center" vertical="center"/>
    </xf>
    <xf numFmtId="0" fontId="119" fillId="26" borderId="0" xfId="0" applyFont="1" applyFill="1" applyBorder="1" applyAlignment="1">
      <alignment vertical="center"/>
    </xf>
    <xf numFmtId="0" fontId="142" fillId="26" borderId="0" xfId="0" applyFont="1" applyFill="1" applyBorder="1" applyAlignment="1">
      <alignment vertical="center"/>
    </xf>
    <xf numFmtId="0" fontId="88" fillId="66" borderId="0" xfId="0" applyFont="1" applyFill="1" applyBorder="1" applyAlignment="1">
      <alignment vertical="center" wrapText="1"/>
    </xf>
    <xf numFmtId="182" fontId="88" fillId="85" borderId="5" xfId="0" applyNumberFormat="1" applyFont="1" applyFill="1" applyBorder="1"/>
    <xf numFmtId="0" fontId="82" fillId="0" borderId="0" xfId="0" applyFont="1" applyFill="1" applyBorder="1" applyAlignment="1">
      <alignment horizontal="left" wrapText="1"/>
    </xf>
    <xf numFmtId="0" fontId="82" fillId="0" borderId="0" xfId="0" applyFont="1" applyFill="1" applyBorder="1" applyAlignment="1">
      <alignment horizontal="left"/>
    </xf>
    <xf numFmtId="182" fontId="82" fillId="0" borderId="0" xfId="0" applyNumberFormat="1" applyFont="1" applyFill="1" applyBorder="1"/>
    <xf numFmtId="0" fontId="126" fillId="87" borderId="0" xfId="0" applyFont="1" applyFill="1" applyBorder="1" applyAlignment="1">
      <alignment horizontal="center" vertical="center"/>
    </xf>
    <xf numFmtId="0" fontId="90" fillId="0" borderId="0" xfId="0" applyFont="1" applyAlignment="1">
      <alignment vertical="center" wrapText="1"/>
    </xf>
    <xf numFmtId="0" fontId="119" fillId="26" borderId="0" xfId="0" applyFont="1" applyFill="1" applyBorder="1" applyAlignment="1">
      <alignment horizontal="center" vertical="center" wrapText="1"/>
    </xf>
    <xf numFmtId="0" fontId="0" fillId="0" borderId="0" xfId="0" applyAlignment="1">
      <alignment horizontal="center"/>
    </xf>
    <xf numFmtId="0" fontId="88" fillId="66" borderId="0" xfId="0" applyFont="1" applyFill="1" applyAlignment="1">
      <alignment horizontal="center" vertical="center"/>
    </xf>
    <xf numFmtId="182" fontId="51" fillId="89" borderId="0" xfId="73" applyNumberFormat="1" applyFont="1" applyFill="1" applyBorder="1" applyAlignment="1">
      <alignment vertical="center"/>
    </xf>
    <xf numFmtId="182" fontId="90" fillId="89" borderId="0" xfId="0" applyNumberFormat="1" applyFont="1" applyFill="1" applyBorder="1" applyAlignment="1">
      <alignment vertical="center"/>
    </xf>
    <xf numFmtId="0" fontId="144" fillId="26" borderId="0" xfId="0" applyFont="1" applyFill="1" applyBorder="1" applyAlignment="1">
      <alignment vertical="center"/>
    </xf>
    <xf numFmtId="0" fontId="143" fillId="66" borderId="0" xfId="0" applyFont="1" applyFill="1" applyBorder="1" applyAlignment="1">
      <alignment vertical="center" wrapText="1"/>
    </xf>
    <xf numFmtId="9" fontId="69" fillId="74" borderId="268" xfId="70" applyFont="1" applyFill="1" applyBorder="1" applyAlignment="1" applyProtection="1">
      <alignment vertical="center" wrapText="1"/>
      <protection locked="0"/>
    </xf>
    <xf numFmtId="9" fontId="69" fillId="74" borderId="34" xfId="70" applyFont="1" applyFill="1" applyBorder="1" applyAlignment="1" applyProtection="1">
      <alignment vertical="center" wrapText="1"/>
      <protection locked="0"/>
    </xf>
    <xf numFmtId="10" fontId="90" fillId="70" borderId="0" xfId="0" applyNumberFormat="1" applyFont="1" applyFill="1" applyAlignment="1">
      <alignment vertical="center"/>
    </xf>
    <xf numFmtId="0" fontId="51" fillId="0" borderId="35" xfId="71" applyFont="1" applyFill="1" applyBorder="1"/>
    <xf numFmtId="0" fontId="145" fillId="25" borderId="282" xfId="0" applyFont="1" applyFill="1" applyBorder="1" applyAlignment="1">
      <alignment vertical="center"/>
    </xf>
    <xf numFmtId="0" fontId="145" fillId="25" borderId="267" xfId="0" applyFont="1" applyFill="1" applyBorder="1" applyAlignment="1">
      <alignment vertical="center"/>
    </xf>
    <xf numFmtId="0" fontId="145" fillId="25" borderId="267" xfId="71" applyFont="1" applyFill="1" applyBorder="1" applyAlignment="1">
      <alignment vertical="center"/>
    </xf>
    <xf numFmtId="169" fontId="111" fillId="0" borderId="293" xfId="13" applyNumberFormat="1" applyFont="1" applyFill="1" applyBorder="1" applyAlignment="1" applyProtection="1">
      <alignment horizontal="center" vertical="center"/>
    </xf>
    <xf numFmtId="169" fontId="111" fillId="0" borderId="294" xfId="13" applyNumberFormat="1" applyFont="1" applyFill="1" applyBorder="1" applyAlignment="1" applyProtection="1">
      <alignment horizontal="center" vertical="center"/>
    </xf>
    <xf numFmtId="169" fontId="111" fillId="10" borderId="295" xfId="13" applyNumberFormat="1" applyFont="1" applyFill="1" applyBorder="1" applyAlignment="1" applyProtection="1">
      <alignment horizontal="center" vertical="center"/>
    </xf>
    <xf numFmtId="169" fontId="111" fillId="10" borderId="296" xfId="13" applyNumberFormat="1" applyFont="1" applyFill="1" applyBorder="1" applyAlignment="1" applyProtection="1">
      <alignment horizontal="center" vertical="center"/>
    </xf>
    <xf numFmtId="0" fontId="111" fillId="0" borderId="305" xfId="13" applyNumberFormat="1" applyFont="1" applyFill="1" applyBorder="1" applyAlignment="1" applyProtection="1">
      <alignment horizontal="center" vertical="center"/>
    </xf>
    <xf numFmtId="0" fontId="111" fillId="0" borderId="306" xfId="13" applyNumberFormat="1" applyFont="1" applyFill="1" applyBorder="1" applyAlignment="1" applyProtection="1">
      <alignment horizontal="center" vertical="center"/>
    </xf>
    <xf numFmtId="0" fontId="111" fillId="10" borderId="295" xfId="13" applyFont="1" applyFill="1" applyBorder="1" applyAlignment="1" applyProtection="1">
      <alignment horizontal="center" vertical="center"/>
    </xf>
    <xf numFmtId="0" fontId="111" fillId="10" borderId="155" xfId="13" applyFont="1" applyFill="1" applyBorder="1" applyAlignment="1" applyProtection="1">
      <alignment horizontal="center" vertical="center"/>
    </xf>
    <xf numFmtId="0" fontId="111" fillId="10" borderId="296" xfId="13" applyFont="1" applyFill="1" applyBorder="1" applyAlignment="1" applyProtection="1">
      <alignment horizontal="center" vertical="center"/>
    </xf>
    <xf numFmtId="2" fontId="121" fillId="0" borderId="250" xfId="13" applyNumberFormat="1" applyFont="1" applyFill="1" applyBorder="1" applyAlignment="1" applyProtection="1">
      <alignment horizontal="right" vertical="center"/>
      <protection locked="0"/>
    </xf>
    <xf numFmtId="2" fontId="121" fillId="0" borderId="297" xfId="13" applyNumberFormat="1" applyFont="1" applyFill="1" applyBorder="1" applyAlignment="1" applyProtection="1">
      <alignment horizontal="right" vertical="center"/>
      <protection locked="0"/>
    </xf>
    <xf numFmtId="2" fontId="121" fillId="0" borderId="197" xfId="13" applyNumberFormat="1" applyFont="1" applyFill="1" applyBorder="1" applyAlignment="1" applyProtection="1">
      <alignment horizontal="right" vertical="center"/>
      <protection locked="0"/>
    </xf>
    <xf numFmtId="2" fontId="121" fillId="0" borderId="298" xfId="13" applyNumberFormat="1" applyFont="1" applyFill="1" applyBorder="1" applyAlignment="1" applyProtection="1">
      <alignment horizontal="right" vertical="center"/>
      <protection locked="0"/>
    </xf>
    <xf numFmtId="2" fontId="121" fillId="0" borderId="299" xfId="13" applyNumberFormat="1" applyFont="1" applyFill="1" applyBorder="1" applyAlignment="1" applyProtection="1">
      <alignment horizontal="right" vertical="center"/>
      <protection locked="0"/>
    </xf>
    <xf numFmtId="2" fontId="121" fillId="0" borderId="300" xfId="13" applyNumberFormat="1" applyFont="1" applyFill="1" applyBorder="1" applyAlignment="1" applyProtection="1">
      <alignment horizontal="right" vertical="center"/>
      <protection locked="0"/>
    </xf>
    <xf numFmtId="2" fontId="121" fillId="0" borderId="301" xfId="13" applyNumberFormat="1" applyFont="1" applyFill="1" applyBorder="1" applyAlignment="1" applyProtection="1">
      <alignment horizontal="right" vertical="center"/>
      <protection locked="0"/>
    </xf>
    <xf numFmtId="0" fontId="111" fillId="0" borderId="293" xfId="13" applyNumberFormat="1" applyFont="1" applyFill="1" applyBorder="1" applyAlignment="1" applyProtection="1">
      <alignment horizontal="center" vertical="center"/>
    </xf>
    <xf numFmtId="0" fontId="111" fillId="0" borderId="294" xfId="13" applyNumberFormat="1" applyFont="1" applyFill="1" applyBorder="1" applyAlignment="1" applyProtection="1">
      <alignment horizontal="center" vertical="center"/>
    </xf>
    <xf numFmtId="43" fontId="51" fillId="0" borderId="307" xfId="24" applyFont="1" applyBorder="1" applyProtection="1"/>
    <xf numFmtId="43" fontId="51" fillId="0" borderId="5" xfId="24" applyFont="1" applyBorder="1" applyProtection="1"/>
    <xf numFmtId="43" fontId="51" fillId="0" borderId="297" xfId="24" applyFont="1" applyBorder="1" applyProtection="1"/>
    <xf numFmtId="43" fontId="51" fillId="0" borderId="298" xfId="24" applyFont="1" applyBorder="1" applyProtection="1"/>
    <xf numFmtId="43" fontId="51" fillId="0" borderId="308" xfId="24" applyFont="1" applyBorder="1" applyProtection="1"/>
    <xf numFmtId="43" fontId="51" fillId="0" borderId="309" xfId="24" applyFont="1" applyBorder="1" applyProtection="1"/>
    <xf numFmtId="43" fontId="51" fillId="0" borderId="301" xfId="24" applyFont="1" applyBorder="1" applyProtection="1"/>
    <xf numFmtId="0" fontId="90" fillId="70" borderId="283" xfId="0" applyFont="1" applyFill="1" applyBorder="1" applyAlignment="1" applyProtection="1">
      <alignment horizontal="center" vertical="center"/>
    </xf>
    <xf numFmtId="43" fontId="1" fillId="0" borderId="0" xfId="25" applyNumberFormat="1" applyAlignment="1">
      <alignment vertical="center" wrapText="1"/>
    </xf>
    <xf numFmtId="43" fontId="1" fillId="0" borderId="0" xfId="25" applyNumberFormat="1" applyAlignment="1" applyProtection="1">
      <alignment horizontal="center" vertical="center"/>
      <protection locked="0"/>
    </xf>
    <xf numFmtId="43" fontId="43" fillId="0" borderId="0" xfId="25" applyNumberFormat="1" applyFont="1" applyAlignment="1" applyProtection="1">
      <alignment horizontal="center" vertical="center" wrapText="1"/>
      <protection locked="0"/>
    </xf>
    <xf numFmtId="43" fontId="39" fillId="59" borderId="46" xfId="23" applyNumberFormat="1" applyFont="1" applyFill="1" applyBorder="1" applyAlignment="1" applyProtection="1">
      <alignment horizontal="center" vertical="center" wrapText="1"/>
    </xf>
    <xf numFmtId="43" fontId="4" fillId="59" borderId="46" xfId="23" applyNumberFormat="1" applyFont="1" applyFill="1" applyBorder="1" applyAlignment="1">
      <alignment vertical="center" wrapText="1"/>
    </xf>
    <xf numFmtId="43" fontId="0" fillId="59" borderId="46" xfId="23" applyNumberFormat="1" applyFont="1" applyFill="1" applyBorder="1" applyAlignment="1">
      <alignment vertical="center" wrapText="1"/>
    </xf>
    <xf numFmtId="43" fontId="1" fillId="0" borderId="0" xfId="23" applyNumberFormat="1" applyFont="1" applyFill="1" applyAlignment="1">
      <alignment vertical="center" wrapText="1"/>
    </xf>
    <xf numFmtId="43" fontId="0" fillId="0" borderId="0" xfId="23" applyNumberFormat="1" applyFont="1" applyFill="1" applyAlignment="1">
      <alignment vertical="center" wrapText="1"/>
    </xf>
    <xf numFmtId="43" fontId="2" fillId="59" borderId="0" xfId="23" applyNumberFormat="1" applyFont="1" applyFill="1" applyAlignment="1">
      <alignment vertical="center" wrapText="1"/>
    </xf>
    <xf numFmtId="43" fontId="2" fillId="59" borderId="46" xfId="23" applyNumberFormat="1" applyFont="1" applyFill="1" applyBorder="1" applyAlignment="1">
      <alignment horizontal="center" vertical="center" wrapText="1"/>
    </xf>
    <xf numFmtId="43" fontId="2" fillId="14" borderId="0" xfId="23" applyNumberFormat="1" applyFont="1" applyFill="1" applyAlignment="1">
      <alignment vertical="center" wrapText="1"/>
    </xf>
    <xf numFmtId="43" fontId="40" fillId="0" borderId="0" xfId="23" applyNumberFormat="1" applyFont="1" applyFill="1" applyAlignment="1">
      <alignment vertical="center" wrapText="1"/>
    </xf>
    <xf numFmtId="43" fontId="54" fillId="0" borderId="0" xfId="25" applyNumberFormat="1" applyFont="1" applyAlignment="1" applyProtection="1">
      <alignment vertical="center" wrapText="1"/>
      <protection locked="0"/>
    </xf>
    <xf numFmtId="43" fontId="43" fillId="0" borderId="0" xfId="25" applyNumberFormat="1" applyFont="1" applyAlignment="1" applyProtection="1">
      <alignment vertical="center" wrapText="1"/>
      <protection locked="0"/>
    </xf>
    <xf numFmtId="43" fontId="43" fillId="0" borderId="0" xfId="25" applyNumberFormat="1" applyFont="1" applyFill="1" applyAlignment="1" applyProtection="1">
      <alignment vertical="center" wrapText="1"/>
      <protection locked="0"/>
    </xf>
    <xf numFmtId="43" fontId="45" fillId="57" borderId="60" xfId="24" applyNumberFormat="1" applyFont="1" applyFill="1" applyBorder="1" applyAlignment="1" applyProtection="1">
      <alignment horizontal="center" vertical="center" wrapText="1"/>
    </xf>
    <xf numFmtId="0" fontId="146" fillId="0" borderId="0" xfId="0" applyFont="1" applyBorder="1" applyProtection="1"/>
    <xf numFmtId="0" fontId="146" fillId="0" borderId="0" xfId="0" applyFont="1" applyFill="1" applyBorder="1" applyProtection="1"/>
    <xf numFmtId="0" fontId="146" fillId="0" borderId="0" xfId="0" applyFont="1" applyBorder="1" applyAlignment="1" applyProtection="1">
      <alignment vertical="center"/>
    </xf>
    <xf numFmtId="183" fontId="57" fillId="61" borderId="258" xfId="0" applyNumberFormat="1" applyFont="1" applyFill="1" applyBorder="1" applyAlignment="1" applyProtection="1">
      <alignment horizontal="center" vertical="center"/>
      <protection locked="0"/>
    </xf>
    <xf numFmtId="0" fontId="57" fillId="61" borderId="258" xfId="0" applyFont="1" applyFill="1" applyBorder="1" applyAlignment="1" applyProtection="1">
      <alignment horizontal="center" vertical="center" wrapText="1"/>
      <protection locked="0"/>
    </xf>
    <xf numFmtId="0" fontId="57" fillId="61" borderId="155" xfId="0" applyFont="1" applyFill="1" applyBorder="1" applyAlignment="1" applyProtection="1">
      <alignment horizontal="center" vertical="center" wrapText="1"/>
      <protection locked="0"/>
    </xf>
    <xf numFmtId="0" fontId="57" fillId="61" borderId="193" xfId="0" applyFont="1" applyFill="1" applyBorder="1" applyAlignment="1" applyProtection="1">
      <alignment horizontal="center" vertical="center" wrapText="1"/>
      <protection locked="0"/>
    </xf>
    <xf numFmtId="0" fontId="57" fillId="61" borderId="109" xfId="0" applyFont="1" applyFill="1" applyBorder="1" applyAlignment="1" applyProtection="1">
      <alignment horizontal="center" vertical="center"/>
      <protection locked="0"/>
    </xf>
    <xf numFmtId="0" fontId="118" fillId="0" borderId="0" xfId="0" applyFont="1" applyProtection="1"/>
    <xf numFmtId="182" fontId="113" fillId="91" borderId="254" xfId="71" applyNumberFormat="1" applyFont="1" applyFill="1" applyBorder="1" applyAlignment="1" applyProtection="1">
      <alignment horizontal="center"/>
    </xf>
    <xf numFmtId="0" fontId="67" fillId="0" borderId="255" xfId="0" applyNumberFormat="1" applyFont="1" applyBorder="1" applyAlignment="1" applyProtection="1"/>
    <xf numFmtId="0" fontId="67" fillId="0" borderId="256" xfId="0" applyFont="1" applyBorder="1" applyProtection="1"/>
    <xf numFmtId="182" fontId="2" fillId="0" borderId="256" xfId="0" applyNumberFormat="1" applyFont="1" applyBorder="1" applyProtection="1"/>
    <xf numFmtId="182" fontId="2" fillId="0" borderId="275" xfId="0" applyNumberFormat="1" applyFont="1" applyBorder="1" applyProtection="1"/>
    <xf numFmtId="173" fontId="90" fillId="0" borderId="0" xfId="23" quotePrefix="1" applyNumberFormat="1" applyFont="1" applyBorder="1" applyProtection="1"/>
    <xf numFmtId="0" fontId="51" fillId="0" borderId="0" xfId="0" applyFont="1" applyFill="1" applyBorder="1" applyAlignment="1" applyProtection="1">
      <alignment vertical="center"/>
      <protection locked="0"/>
    </xf>
    <xf numFmtId="0" fontId="51" fillId="0" borderId="0" xfId="0" applyNumberFormat="1" applyFont="1" applyFill="1" applyBorder="1" applyAlignment="1" applyProtection="1">
      <alignment vertical="center"/>
      <protection locked="0"/>
    </xf>
    <xf numFmtId="0" fontId="51" fillId="0" borderId="0" xfId="0" applyNumberFormat="1" applyFont="1" applyFill="1" applyBorder="1" applyAlignment="1" applyProtection="1">
      <alignment vertical="center" wrapText="1"/>
      <protection locked="0"/>
    </xf>
    <xf numFmtId="165" fontId="51" fillId="0" borderId="250" xfId="0" applyNumberFormat="1" applyFont="1" applyFill="1" applyBorder="1" applyAlignment="1" applyProtection="1">
      <alignment horizontal="center" vertical="center"/>
      <protection locked="0"/>
    </xf>
    <xf numFmtId="165" fontId="51" fillId="0" borderId="17" xfId="0" applyNumberFormat="1" applyFont="1" applyFill="1" applyBorder="1" applyAlignment="1" applyProtection="1">
      <alignment horizontal="center" vertical="center"/>
      <protection locked="0"/>
    </xf>
    <xf numFmtId="165" fontId="51" fillId="0" borderId="297" xfId="0" applyNumberFormat="1" applyFont="1" applyFill="1" applyBorder="1" applyAlignment="1" applyProtection="1">
      <alignment horizontal="center" vertical="center"/>
      <protection locked="0"/>
    </xf>
    <xf numFmtId="165" fontId="51" fillId="0" borderId="197" xfId="0" applyNumberFormat="1" applyFont="1" applyFill="1" applyBorder="1" applyAlignment="1" applyProtection="1">
      <alignment horizontal="center" vertical="center"/>
      <protection locked="0"/>
    </xf>
    <xf numFmtId="165" fontId="51" fillId="0" borderId="15" xfId="0" applyNumberFormat="1" applyFont="1" applyFill="1" applyBorder="1" applyAlignment="1" applyProtection="1">
      <alignment horizontal="center" vertical="center"/>
      <protection locked="0"/>
    </xf>
    <xf numFmtId="165" fontId="51" fillId="0" borderId="298" xfId="0" applyNumberFormat="1" applyFont="1" applyFill="1" applyBorder="1" applyAlignment="1" applyProtection="1">
      <alignment horizontal="center" vertical="center"/>
      <protection locked="0"/>
    </xf>
    <xf numFmtId="0" fontId="51" fillId="0" borderId="0" xfId="0" applyFont="1" applyFill="1" applyBorder="1" applyAlignment="1" applyProtection="1">
      <alignment vertical="center" wrapText="1"/>
      <protection locked="0"/>
    </xf>
    <xf numFmtId="0" fontId="90" fillId="0" borderId="0" xfId="0" applyFont="1" applyFill="1" applyBorder="1" applyAlignment="1" applyProtection="1">
      <alignment vertical="center" wrapText="1"/>
      <protection locked="0"/>
    </xf>
    <xf numFmtId="165" fontId="51" fillId="0" borderId="299" xfId="0" applyNumberFormat="1" applyFont="1" applyFill="1" applyBorder="1" applyAlignment="1" applyProtection="1">
      <alignment horizontal="center" vertical="center"/>
      <protection locked="0"/>
    </xf>
    <xf numFmtId="165" fontId="51" fillId="0" borderId="300" xfId="0" applyNumberFormat="1" applyFont="1" applyFill="1" applyBorder="1" applyAlignment="1" applyProtection="1">
      <alignment horizontal="center" vertical="center"/>
      <protection locked="0"/>
    </xf>
    <xf numFmtId="165" fontId="51" fillId="0" borderId="301" xfId="0" applyNumberFormat="1" applyFont="1" applyFill="1" applyBorder="1" applyAlignment="1" applyProtection="1">
      <alignment horizontal="center" vertical="center"/>
      <protection locked="0"/>
    </xf>
    <xf numFmtId="0" fontId="123" fillId="70" borderId="283" xfId="0" applyFont="1" applyFill="1" applyBorder="1" applyAlignment="1" applyProtection="1">
      <alignment horizontal="center" vertical="center"/>
    </xf>
    <xf numFmtId="0" fontId="123" fillId="70" borderId="168" xfId="0" applyFont="1" applyFill="1" applyBorder="1" applyAlignment="1" applyProtection="1">
      <alignment horizontal="center" vertical="center"/>
    </xf>
    <xf numFmtId="165" fontId="51" fillId="0" borderId="0" xfId="0" applyNumberFormat="1" applyFont="1" applyFill="1" applyBorder="1" applyAlignment="1" applyProtection="1">
      <alignment vertical="center"/>
    </xf>
    <xf numFmtId="0" fontId="146" fillId="0" borderId="312" xfId="0" applyFont="1" applyFill="1" applyBorder="1" applyAlignment="1" applyProtection="1">
      <alignment vertical="center"/>
    </xf>
    <xf numFmtId="0" fontId="146" fillId="0" borderId="313" xfId="0" applyFont="1" applyFill="1" applyBorder="1" applyAlignment="1" applyProtection="1">
      <alignment vertical="center"/>
    </xf>
    <xf numFmtId="0" fontId="89" fillId="0" borderId="0" xfId="0" applyFont="1" applyFill="1" applyBorder="1" applyAlignment="1" applyProtection="1">
      <alignment vertical="center"/>
    </xf>
    <xf numFmtId="0" fontId="51" fillId="0" borderId="269" xfId="0" applyFont="1" applyFill="1" applyBorder="1" applyAlignment="1" applyProtection="1">
      <alignment vertical="center"/>
    </xf>
    <xf numFmtId="0" fontId="51" fillId="0" borderId="270" xfId="0" applyFont="1" applyFill="1" applyBorder="1" applyAlignment="1" applyProtection="1">
      <alignment vertical="center"/>
    </xf>
    <xf numFmtId="182" fontId="51" fillId="0" borderId="270" xfId="0" applyNumberFormat="1" applyFont="1" applyFill="1" applyBorder="1" applyAlignment="1" applyProtection="1">
      <alignment vertical="center"/>
    </xf>
    <xf numFmtId="182" fontId="51" fillId="0" borderId="271" xfId="0" applyNumberFormat="1" applyFont="1" applyFill="1" applyBorder="1" applyAlignment="1" applyProtection="1">
      <alignment vertical="center"/>
    </xf>
    <xf numFmtId="182" fontId="51" fillId="0" borderId="276" xfId="0" applyNumberFormat="1" applyFont="1" applyFill="1" applyBorder="1" applyAlignment="1" applyProtection="1">
      <alignment vertical="center"/>
    </xf>
    <xf numFmtId="165" fontId="51" fillId="0" borderId="0" xfId="0" applyNumberFormat="1" applyFont="1" applyBorder="1" applyAlignment="1" applyProtection="1">
      <alignment vertical="center"/>
    </xf>
    <xf numFmtId="0" fontId="90" fillId="0" borderId="0" xfId="0" applyFont="1" applyFill="1" applyBorder="1" applyAlignment="1" applyProtection="1">
      <alignment vertical="center"/>
    </xf>
    <xf numFmtId="0" fontId="146" fillId="0" borderId="314" xfId="0" applyFont="1" applyFill="1" applyBorder="1" applyAlignment="1" applyProtection="1">
      <alignment vertical="center"/>
    </xf>
    <xf numFmtId="0" fontId="146" fillId="0" borderId="315" xfId="0" applyFont="1" applyFill="1" applyBorder="1" applyAlignment="1" applyProtection="1">
      <alignment vertical="center"/>
    </xf>
    <xf numFmtId="0" fontId="51" fillId="0" borderId="273" xfId="0" applyFont="1" applyFill="1" applyBorder="1" applyAlignment="1" applyProtection="1">
      <alignment vertical="center"/>
    </xf>
    <xf numFmtId="182" fontId="67" fillId="0" borderId="256" xfId="0" applyNumberFormat="1" applyFont="1" applyBorder="1" applyProtection="1"/>
    <xf numFmtId="182" fontId="67" fillId="0" borderId="275" xfId="0" applyNumberFormat="1" applyFont="1" applyBorder="1" applyProtection="1"/>
    <xf numFmtId="0" fontId="51" fillId="0" borderId="0" xfId="0" applyFont="1" applyFill="1" applyBorder="1" applyAlignment="1" applyProtection="1">
      <alignment vertical="center" wrapText="1"/>
    </xf>
    <xf numFmtId="0" fontId="51" fillId="0" borderId="15" xfId="0" applyFont="1" applyBorder="1" applyAlignment="1" applyProtection="1">
      <alignment vertical="center"/>
    </xf>
    <xf numFmtId="169" fontId="51" fillId="0" borderId="94" xfId="0" applyNumberFormat="1" applyFont="1" applyBorder="1" applyAlignment="1" applyProtection="1">
      <alignment vertical="center"/>
    </xf>
    <xf numFmtId="169" fontId="51" fillId="0" borderId="99" xfId="0" applyNumberFormat="1" applyFont="1" applyBorder="1" applyAlignment="1" applyProtection="1">
      <alignment vertical="center"/>
    </xf>
    <xf numFmtId="0" fontId="51" fillId="0" borderId="95" xfId="0" applyFont="1" applyBorder="1" applyAlignment="1" applyProtection="1">
      <alignment vertical="center"/>
    </xf>
    <xf numFmtId="0" fontId="51" fillId="0" borderId="94" xfId="0" applyFont="1" applyBorder="1" applyAlignment="1" applyProtection="1">
      <alignment vertical="center"/>
    </xf>
    <xf numFmtId="0" fontId="51" fillId="0" borderId="99" xfId="0" applyFont="1" applyBorder="1" applyAlignment="1" applyProtection="1">
      <alignment vertical="center"/>
    </xf>
    <xf numFmtId="169" fontId="51" fillId="0" borderId="14" xfId="0" applyNumberFormat="1" applyFont="1" applyBorder="1" applyAlignment="1" applyProtection="1">
      <alignment vertical="center"/>
    </xf>
    <xf numFmtId="169" fontId="51" fillId="0" borderId="0" xfId="0" applyNumberFormat="1" applyFont="1" applyBorder="1" applyAlignment="1" applyProtection="1">
      <alignment vertical="center"/>
    </xf>
    <xf numFmtId="165" fontId="51" fillId="0" borderId="14" xfId="0" applyNumberFormat="1" applyFont="1" applyBorder="1" applyAlignment="1" applyProtection="1">
      <alignment vertical="center"/>
    </xf>
    <xf numFmtId="0" fontId="51" fillId="0" borderId="28" xfId="0" applyFont="1" applyBorder="1" applyAlignment="1" applyProtection="1">
      <alignment vertical="center"/>
    </xf>
    <xf numFmtId="0" fontId="90" fillId="0" borderId="29" xfId="0" applyFont="1" applyBorder="1" applyAlignment="1" applyProtection="1">
      <alignment vertical="center"/>
    </xf>
    <xf numFmtId="0" fontId="90" fillId="0" borderId="28" xfId="0" applyFont="1" applyBorder="1" applyAlignment="1" applyProtection="1">
      <alignment vertical="center"/>
    </xf>
    <xf numFmtId="9" fontId="90" fillId="0" borderId="29" xfId="0" applyNumberFormat="1" applyFont="1" applyBorder="1" applyAlignment="1" applyProtection="1">
      <alignment horizontal="center" vertical="center"/>
    </xf>
    <xf numFmtId="165" fontId="90" fillId="0" borderId="28" xfId="0" applyNumberFormat="1" applyFont="1" applyBorder="1" applyAlignment="1" applyProtection="1">
      <alignment vertical="center"/>
    </xf>
    <xf numFmtId="165" fontId="90" fillId="0" borderId="29" xfId="0" applyNumberFormat="1" applyFont="1" applyBorder="1" applyAlignment="1" applyProtection="1">
      <alignment vertical="center"/>
    </xf>
    <xf numFmtId="169" fontId="90" fillId="14" borderId="30" xfId="0" applyNumberFormat="1" applyFont="1" applyFill="1" applyBorder="1" applyAlignment="1" applyProtection="1">
      <alignment vertical="center"/>
    </xf>
    <xf numFmtId="0" fontId="90" fillId="14" borderId="30" xfId="0" applyFont="1" applyFill="1" applyBorder="1" applyAlignment="1" applyProtection="1">
      <alignment vertical="center"/>
    </xf>
    <xf numFmtId="165" fontId="90" fillId="0" borderId="28" xfId="0" applyNumberFormat="1" applyFont="1" applyFill="1" applyBorder="1" applyAlignment="1" applyProtection="1">
      <alignment vertical="center"/>
    </xf>
    <xf numFmtId="165" fontId="90" fillId="0" borderId="29" xfId="0" applyNumberFormat="1" applyFont="1" applyFill="1" applyBorder="1" applyAlignment="1" applyProtection="1">
      <alignment vertical="center"/>
    </xf>
    <xf numFmtId="165" fontId="90" fillId="0" borderId="30" xfId="0" applyNumberFormat="1" applyFont="1" applyFill="1" applyBorder="1" applyAlignment="1" applyProtection="1">
      <alignment vertical="center"/>
    </xf>
    <xf numFmtId="178" fontId="90" fillId="14" borderId="38" xfId="70" applyNumberFormat="1" applyFont="1" applyFill="1" applyBorder="1" applyAlignment="1" applyProtection="1">
      <alignment vertical="center"/>
    </xf>
    <xf numFmtId="0" fontId="90" fillId="0" borderId="0" xfId="0" applyFont="1" applyBorder="1" applyAlignment="1" applyProtection="1">
      <alignment vertical="center"/>
    </xf>
    <xf numFmtId="0" fontId="90" fillId="0" borderId="117" xfId="0" applyFont="1" applyFill="1" applyBorder="1" applyAlignment="1" applyProtection="1">
      <alignment vertical="center"/>
    </xf>
    <xf numFmtId="0" fontId="90" fillId="0" borderId="0" xfId="0" quotePrefix="1" applyFont="1" applyBorder="1" applyAlignment="1" applyProtection="1">
      <alignment vertical="center"/>
    </xf>
    <xf numFmtId="169" fontId="90" fillId="0" borderId="0" xfId="0" applyNumberFormat="1" applyFont="1" applyFill="1" applyBorder="1" applyAlignment="1" applyProtection="1">
      <alignment vertical="center"/>
    </xf>
    <xf numFmtId="179" fontId="4" fillId="61" borderId="119" xfId="13" applyNumberFormat="1" applyFont="1" applyFill="1" applyBorder="1" applyAlignment="1" applyProtection="1">
      <alignment vertical="center" wrapText="1"/>
      <protection locked="0"/>
    </xf>
    <xf numFmtId="179" fontId="4" fillId="61" borderId="82" xfId="13" applyNumberFormat="1" applyFont="1" applyFill="1" applyBorder="1" applyAlignment="1" applyProtection="1">
      <alignment vertical="center" wrapText="1"/>
      <protection locked="0"/>
    </xf>
    <xf numFmtId="179" fontId="4" fillId="61" borderId="166" xfId="13" applyNumberFormat="1" applyFont="1" applyFill="1" applyBorder="1" applyAlignment="1" applyProtection="1">
      <alignment vertical="center" wrapText="1"/>
      <protection locked="0"/>
    </xf>
    <xf numFmtId="179" fontId="4" fillId="61" borderId="114" xfId="13" applyNumberFormat="1" applyFont="1" applyFill="1" applyBorder="1" applyAlignment="1" applyProtection="1">
      <alignment vertical="center" wrapText="1"/>
      <protection locked="0"/>
    </xf>
    <xf numFmtId="0" fontId="68" fillId="61" borderId="80" xfId="13" applyNumberFormat="1" applyFont="1" applyFill="1" applyBorder="1" applyAlignment="1" applyProtection="1">
      <alignment vertical="center" wrapText="1"/>
      <protection locked="0"/>
    </xf>
    <xf numFmtId="0" fontId="68" fillId="61" borderId="83" xfId="13" applyNumberFormat="1" applyFont="1" applyFill="1" applyBorder="1" applyAlignment="1" applyProtection="1">
      <alignment vertical="center" wrapText="1"/>
      <protection locked="0"/>
    </xf>
    <xf numFmtId="0" fontId="68" fillId="61" borderId="120" xfId="13" applyNumberFormat="1" applyFont="1" applyFill="1" applyBorder="1" applyAlignment="1" applyProtection="1">
      <alignment vertical="center" wrapText="1"/>
      <protection locked="0"/>
    </xf>
    <xf numFmtId="179" fontId="86" fillId="61" borderId="7" xfId="0" applyNumberFormat="1" applyFont="1" applyFill="1" applyBorder="1" applyAlignment="1" applyProtection="1">
      <alignment horizontal="right"/>
      <protection locked="0"/>
    </xf>
    <xf numFmtId="43" fontId="147" fillId="0" borderId="0" xfId="24" applyFont="1" applyFill="1"/>
    <xf numFmtId="180" fontId="43" fillId="78" borderId="95" xfId="0" applyNumberFormat="1" applyFont="1" applyFill="1" applyBorder="1" applyAlignment="1" applyProtection="1">
      <alignment horizontal="center" vertical="center" wrapText="1"/>
      <protection locked="0"/>
    </xf>
    <xf numFmtId="180" fontId="43" fillId="78" borderId="30" xfId="0" applyNumberFormat="1" applyFont="1" applyFill="1" applyBorder="1" applyAlignment="1" applyProtection="1">
      <alignment horizontal="center" vertical="center" wrapText="1"/>
      <protection locked="0"/>
    </xf>
    <xf numFmtId="180" fontId="43" fillId="78" borderId="29" xfId="0" applyNumberFormat="1" applyFont="1" applyFill="1" applyBorder="1" applyAlignment="1" applyProtection="1">
      <alignment horizontal="center" vertical="center" wrapText="1"/>
      <protection locked="0"/>
    </xf>
    <xf numFmtId="173" fontId="90" fillId="70" borderId="168" xfId="23" applyNumberFormat="1" applyFont="1" applyFill="1" applyBorder="1" applyAlignment="1" applyProtection="1">
      <alignment horizontal="center" vertical="center"/>
    </xf>
    <xf numFmtId="0" fontId="51" fillId="0" borderId="317" xfId="0" applyFont="1" applyBorder="1" applyProtection="1"/>
    <xf numFmtId="0" fontId="90" fillId="101" borderId="316" xfId="0" applyFont="1" applyFill="1" applyBorder="1" applyAlignment="1" applyProtection="1">
      <alignment horizontal="center" vertical="center"/>
    </xf>
    <xf numFmtId="0" fontId="57" fillId="0" borderId="38" xfId="0" applyFont="1" applyBorder="1" applyAlignment="1">
      <alignment vertical="center" wrapText="1"/>
    </xf>
    <xf numFmtId="0" fontId="56" fillId="63" borderId="2" xfId="0" applyFont="1" applyFill="1" applyBorder="1" applyAlignment="1" applyProtection="1">
      <alignment horizontal="right" vertical="center" wrapText="1"/>
    </xf>
    <xf numFmtId="0" fontId="131" fillId="61" borderId="193" xfId="12" applyNumberFormat="1" applyFont="1" applyFill="1" applyBorder="1" applyAlignment="1" applyProtection="1">
      <alignment horizontal="center" vertical="center"/>
      <protection locked="0"/>
    </xf>
    <xf numFmtId="0" fontId="131" fillId="61" borderId="193" xfId="12" applyNumberFormat="1" applyFont="1" applyFill="1" applyBorder="1" applyAlignment="1" applyProtection="1">
      <alignment horizontal="center"/>
      <protection locked="0"/>
    </xf>
    <xf numFmtId="0" fontId="86" fillId="28" borderId="258" xfId="71" applyFont="1" applyFill="1" applyBorder="1"/>
    <xf numFmtId="0" fontId="117" fillId="0" borderId="0" xfId="71" applyFont="1"/>
    <xf numFmtId="182" fontId="86" fillId="56" borderId="34" xfId="71" applyNumberFormat="1" applyFill="1" applyBorder="1"/>
    <xf numFmtId="0" fontId="55" fillId="0" borderId="78" xfId="13" applyNumberFormat="1" applyFont="1" applyFill="1" applyBorder="1" applyAlignment="1" applyProtection="1">
      <alignment horizontal="center" vertical="center"/>
      <protection locked="0"/>
    </xf>
    <xf numFmtId="0" fontId="55" fillId="0" borderId="28" xfId="13" applyNumberFormat="1" applyFont="1" applyFill="1" applyBorder="1" applyAlignment="1" applyProtection="1">
      <alignment horizontal="center" vertical="center"/>
      <protection locked="0"/>
    </xf>
    <xf numFmtId="0" fontId="55" fillId="0" borderId="38" xfId="13" applyNumberFormat="1" applyFont="1" applyFill="1" applyBorder="1" applyAlignment="1" applyProtection="1">
      <alignment horizontal="center" vertical="center"/>
      <protection locked="0"/>
    </xf>
    <xf numFmtId="0" fontId="88" fillId="0" borderId="0" xfId="0" quotePrefix="1" applyFont="1" applyFill="1" applyBorder="1" applyAlignment="1">
      <alignment vertical="center" wrapText="1"/>
    </xf>
    <xf numFmtId="0" fontId="88" fillId="0" borderId="0" xfId="0" applyFont="1" applyFill="1" applyBorder="1" applyAlignment="1">
      <alignment vertical="center" wrapText="1"/>
    </xf>
    <xf numFmtId="0" fontId="120" fillId="87" borderId="0" xfId="0" applyFont="1" applyFill="1" applyBorder="1" applyAlignment="1">
      <alignment vertical="center"/>
    </xf>
    <xf numFmtId="0" fontId="120" fillId="0" borderId="0" xfId="0" applyFont="1" applyFill="1" applyBorder="1" applyAlignment="1">
      <alignment vertical="center"/>
    </xf>
    <xf numFmtId="185" fontId="43" fillId="0" borderId="0" xfId="25" applyNumberFormat="1" applyFont="1" applyAlignment="1" applyProtection="1">
      <alignment horizontal="center" vertical="center" wrapText="1"/>
      <protection locked="0"/>
    </xf>
    <xf numFmtId="185" fontId="49" fillId="21" borderId="46" xfId="23" applyNumberFormat="1" applyFont="1" applyFill="1" applyBorder="1" applyAlignment="1" applyProtection="1">
      <alignment horizontal="center" vertical="center" wrapText="1"/>
    </xf>
    <xf numFmtId="0" fontId="43" fillId="0" borderId="0" xfId="25" applyNumberFormat="1" applyFont="1" applyAlignment="1" applyProtection="1">
      <alignment vertical="center" wrapText="1"/>
      <protection locked="0"/>
    </xf>
    <xf numFmtId="0" fontId="45" fillId="57" borderId="60" xfId="28" applyNumberFormat="1" applyFont="1" applyFill="1" applyBorder="1" applyAlignment="1" applyProtection="1">
      <alignment horizontal="center" vertical="center" wrapText="1"/>
    </xf>
    <xf numFmtId="0" fontId="1" fillId="0" borderId="0" xfId="25" applyNumberFormat="1" applyAlignment="1" applyProtection="1">
      <alignment horizontal="center" vertical="center" wrapText="1"/>
      <protection locked="0"/>
    </xf>
    <xf numFmtId="0" fontId="45" fillId="57" borderId="62" xfId="28" applyNumberFormat="1" applyFont="1" applyFill="1" applyBorder="1" applyAlignment="1" applyProtection="1">
      <alignment horizontal="center" vertical="center" wrapText="1"/>
    </xf>
    <xf numFmtId="0" fontId="1" fillId="0" borderId="0" xfId="25" applyNumberFormat="1" applyAlignment="1" applyProtection="1">
      <alignment vertical="center"/>
      <protection locked="0"/>
    </xf>
    <xf numFmtId="0" fontId="46" fillId="14" borderId="32" xfId="25" applyNumberFormat="1" applyFont="1" applyFill="1" applyBorder="1" applyAlignment="1" applyProtection="1">
      <alignment horizontal="center" vertical="center"/>
    </xf>
    <xf numFmtId="0" fontId="47" fillId="12" borderId="2" xfId="25" applyNumberFormat="1" applyFont="1" applyFill="1" applyBorder="1" applyAlignment="1" applyProtection="1">
      <alignment vertical="center"/>
      <protection locked="0"/>
    </xf>
    <xf numFmtId="0" fontId="47" fillId="12" borderId="46" xfId="25" applyNumberFormat="1" applyFont="1" applyFill="1" applyBorder="1" applyAlignment="1" applyProtection="1">
      <alignment vertical="center"/>
      <protection locked="0"/>
    </xf>
    <xf numFmtId="0" fontId="47" fillId="12" borderId="46" xfId="25" applyNumberFormat="1" applyFont="1" applyFill="1" applyBorder="1" applyAlignment="1" applyProtection="1">
      <alignment vertical="center" wrapText="1"/>
      <protection locked="0"/>
    </xf>
    <xf numFmtId="0" fontId="59" fillId="0" borderId="0" xfId="71" applyFont="1" applyFill="1" applyAlignment="1"/>
    <xf numFmtId="0" fontId="90" fillId="70" borderId="267" xfId="0" applyFont="1" applyFill="1" applyBorder="1" applyAlignment="1">
      <alignment vertical="center" wrapText="1"/>
    </xf>
    <xf numFmtId="0" fontId="90" fillId="0" borderId="268" xfId="0" applyFont="1" applyBorder="1" applyAlignment="1">
      <alignment vertical="center" wrapText="1"/>
    </xf>
    <xf numFmtId="0" fontId="90" fillId="70" borderId="265" xfId="0" applyFont="1" applyFill="1" applyBorder="1" applyAlignment="1" applyProtection="1">
      <alignment vertical="center" wrapText="1"/>
      <protection locked="0"/>
    </xf>
    <xf numFmtId="0" fontId="90" fillId="70" borderId="268" xfId="0" applyFont="1" applyFill="1" applyBorder="1" applyAlignment="1">
      <alignment vertical="center" wrapText="1"/>
    </xf>
    <xf numFmtId="0" fontId="120" fillId="87" borderId="0" xfId="0" applyFont="1" applyFill="1" applyBorder="1" applyAlignment="1">
      <alignment horizontal="center" vertical="center"/>
    </xf>
    <xf numFmtId="43" fontId="11" fillId="70" borderId="67" xfId="0" applyNumberFormat="1" applyFont="1" applyFill="1" applyBorder="1" applyProtection="1">
      <protection locked="0"/>
    </xf>
    <xf numFmtId="167" fontId="1" fillId="0" borderId="0" xfId="25" applyNumberFormat="1" applyAlignment="1" applyProtection="1">
      <alignment vertical="center"/>
      <protection locked="0"/>
    </xf>
    <xf numFmtId="0" fontId="51" fillId="0" borderId="318" xfId="0" applyFont="1" applyBorder="1" applyProtection="1"/>
    <xf numFmtId="0" fontId="149" fillId="0" borderId="0" xfId="0" applyFont="1" applyFill="1" applyAlignment="1">
      <alignment vertical="center"/>
    </xf>
    <xf numFmtId="0" fontId="88" fillId="101" borderId="0" xfId="0" applyFont="1" applyFill="1" applyAlignment="1">
      <alignment horizontal="center" vertical="center"/>
    </xf>
    <xf numFmtId="0" fontId="88" fillId="101" borderId="0" xfId="0" applyFont="1" applyFill="1" applyBorder="1" applyAlignment="1" applyProtection="1">
      <alignment horizontal="center" vertical="center" wrapText="1"/>
    </xf>
    <xf numFmtId="43" fontId="93" fillId="0" borderId="0" xfId="24" applyFont="1" applyFill="1" applyAlignment="1">
      <alignment horizontal="center"/>
    </xf>
    <xf numFmtId="0" fontId="41" fillId="0" borderId="193" xfId="26" applyNumberFormat="1" applyBorder="1" applyAlignment="1">
      <alignment horizontal="center" vertical="center"/>
    </xf>
    <xf numFmtId="0" fontId="0" fillId="0" borderId="193" xfId="0" applyBorder="1" applyAlignment="1">
      <alignment wrapText="1"/>
    </xf>
    <xf numFmtId="172" fontId="41" fillId="0" borderId="193" xfId="26" applyBorder="1" applyAlignment="1">
      <alignment horizontal="center" vertical="top"/>
    </xf>
    <xf numFmtId="0" fontId="41" fillId="0" borderId="193" xfId="26" applyNumberFormat="1" applyBorder="1" applyAlignment="1">
      <alignment horizontal="center" vertical="top"/>
    </xf>
    <xf numFmtId="0" fontId="0" fillId="0" borderId="193" xfId="0" quotePrefix="1" applyBorder="1" applyAlignment="1">
      <alignment wrapText="1"/>
    </xf>
    <xf numFmtId="0" fontId="10" fillId="102" borderId="193" xfId="0" applyFont="1" applyFill="1" applyBorder="1" applyAlignment="1">
      <alignment horizontal="center"/>
    </xf>
    <xf numFmtId="0" fontId="59" fillId="0" borderId="0" xfId="71" applyFont="1" applyFill="1" applyAlignment="1">
      <alignment horizontal="left"/>
    </xf>
    <xf numFmtId="0" fontId="113" fillId="0" borderId="0" xfId="71" applyFont="1" applyFill="1" applyBorder="1" applyAlignment="1" applyProtection="1">
      <alignment vertical="center"/>
    </xf>
    <xf numFmtId="0" fontId="113" fillId="70" borderId="0" xfId="71" applyFont="1" applyFill="1" applyBorder="1" applyAlignment="1" applyProtection="1">
      <alignment vertical="center"/>
    </xf>
    <xf numFmtId="0" fontId="67" fillId="0" borderId="0" xfId="0" quotePrefix="1" applyFont="1"/>
    <xf numFmtId="0" fontId="4" fillId="0" borderId="0" xfId="13" applyFont="1" applyBorder="1" applyAlignment="1">
      <alignment horizontal="left" vertical="center" wrapText="1"/>
    </xf>
    <xf numFmtId="0" fontId="0" fillId="0" borderId="34" xfId="0" applyBorder="1"/>
    <xf numFmtId="0" fontId="4" fillId="0" borderId="267" xfId="13" applyFont="1" applyBorder="1"/>
    <xf numFmtId="0" fontId="4" fillId="0" borderId="35" xfId="13" applyFont="1" applyBorder="1" applyAlignment="1">
      <alignment vertical="center" wrapText="1"/>
    </xf>
    <xf numFmtId="0" fontId="4" fillId="0" borderId="35" xfId="13" applyFont="1" applyBorder="1" applyAlignment="1">
      <alignment vertical="center"/>
    </xf>
    <xf numFmtId="0" fontId="87" fillId="14" borderId="15" xfId="0" quotePrefix="1" applyFont="1" applyFill="1" applyBorder="1" applyAlignment="1">
      <alignment vertical="top" wrapText="1"/>
    </xf>
    <xf numFmtId="0" fontId="87" fillId="0" borderId="15" xfId="0" quotePrefix="1" applyFont="1" applyFill="1" applyBorder="1" applyAlignment="1">
      <alignment vertical="top" wrapText="1"/>
    </xf>
    <xf numFmtId="0" fontId="17" fillId="25" borderId="0" xfId="12" applyFont="1" applyFill="1" applyBorder="1"/>
    <xf numFmtId="165" fontId="17" fillId="25" borderId="0" xfId="74" applyNumberFormat="1" applyFont="1" applyFill="1" applyBorder="1"/>
    <xf numFmtId="0" fontId="61" fillId="25" borderId="0" xfId="12" applyFont="1" applyFill="1" applyBorder="1" applyAlignment="1">
      <alignment horizontal="left" indent="1"/>
    </xf>
    <xf numFmtId="0" fontId="151" fillId="25" borderId="0" xfId="12" applyFont="1" applyFill="1" applyBorder="1" applyAlignment="1" applyProtection="1">
      <alignment horizontal="left"/>
    </xf>
    <xf numFmtId="0" fontId="61" fillId="25" borderId="0" xfId="12" applyFont="1" applyFill="1" applyBorder="1" applyAlignment="1">
      <alignment horizontal="left"/>
    </xf>
    <xf numFmtId="0" fontId="17" fillId="0" borderId="0" xfId="12" applyFont="1" applyFill="1" applyBorder="1"/>
    <xf numFmtId="0" fontId="61" fillId="25" borderId="0" xfId="12" applyFont="1" applyFill="1" applyBorder="1" applyAlignment="1">
      <alignment horizontal="right"/>
    </xf>
    <xf numFmtId="184" fontId="151" fillId="25" borderId="0" xfId="12" applyNumberFormat="1" applyFont="1" applyFill="1" applyBorder="1"/>
    <xf numFmtId="0" fontId="152" fillId="25" borderId="0" xfId="12" applyFont="1" applyFill="1" applyBorder="1" applyAlignment="1"/>
    <xf numFmtId="0" fontId="151" fillId="25" borderId="0" xfId="12" applyNumberFormat="1" applyFont="1" applyFill="1" applyBorder="1" applyAlignment="1" applyProtection="1">
      <alignment horizontal="left"/>
    </xf>
    <xf numFmtId="0" fontId="152" fillId="25" borderId="0" xfId="12" applyNumberFormat="1" applyFont="1" applyFill="1" applyBorder="1" applyAlignment="1"/>
    <xf numFmtId="181" fontId="151" fillId="25" borderId="0" xfId="12" applyNumberFormat="1" applyFont="1" applyFill="1" applyBorder="1" applyAlignment="1" applyProtection="1">
      <alignment horizontal="left"/>
    </xf>
    <xf numFmtId="181" fontId="152" fillId="25" borderId="0" xfId="12" applyNumberFormat="1" applyFont="1" applyFill="1" applyBorder="1" applyAlignment="1">
      <alignment horizontal="left"/>
    </xf>
    <xf numFmtId="14" fontId="61" fillId="25" borderId="0" xfId="12" applyNumberFormat="1" applyFont="1" applyFill="1" applyBorder="1" applyAlignment="1">
      <alignment horizontal="left" indent="1"/>
    </xf>
    <xf numFmtId="14" fontId="61" fillId="25" borderId="0" xfId="12" applyNumberFormat="1" applyFont="1" applyFill="1" applyBorder="1" applyAlignment="1">
      <alignment horizontal="right" indent="1"/>
    </xf>
    <xf numFmtId="0" fontId="153" fillId="25" borderId="0" xfId="12" applyFont="1" applyFill="1" applyBorder="1"/>
    <xf numFmtId="165" fontId="152" fillId="25" borderId="0" xfId="74" applyNumberFormat="1" applyFont="1" applyFill="1" applyBorder="1" applyAlignment="1">
      <alignment horizontal="center"/>
    </xf>
    <xf numFmtId="165" fontId="153" fillId="25" borderId="0" xfId="74" applyNumberFormat="1" applyFont="1" applyFill="1" applyBorder="1"/>
    <xf numFmtId="0" fontId="61" fillId="25" borderId="0" xfId="12" applyFont="1" applyFill="1" applyBorder="1" applyAlignment="1">
      <alignment horizontal="right" indent="1"/>
    </xf>
    <xf numFmtId="0" fontId="151" fillId="25" borderId="0" xfId="12" applyFont="1" applyFill="1" applyBorder="1" applyAlignment="1">
      <alignment horizontal="right"/>
    </xf>
    <xf numFmtId="0" fontId="152" fillId="25" borderId="0" xfId="12" applyFont="1" applyFill="1" applyBorder="1"/>
    <xf numFmtId="1" fontId="151" fillId="25" borderId="38" xfId="12" applyNumberFormat="1" applyFont="1" applyFill="1" applyBorder="1"/>
    <xf numFmtId="0" fontId="0" fillId="83" borderId="0" xfId="0" applyFill="1" applyBorder="1" applyAlignment="1" applyProtection="1">
      <alignment vertical="center"/>
    </xf>
    <xf numFmtId="2" fontId="67" fillId="83" borderId="0" xfId="0" applyNumberFormat="1" applyFont="1" applyFill="1" applyBorder="1" applyAlignment="1" applyProtection="1">
      <alignment horizontal="center" vertical="center"/>
    </xf>
    <xf numFmtId="0" fontId="86" fillId="83" borderId="0" xfId="0" applyFont="1" applyFill="1" applyBorder="1" applyAlignment="1" applyProtection="1">
      <alignment vertical="center"/>
    </xf>
    <xf numFmtId="0" fontId="92" fillId="99" borderId="0" xfId="0" applyFont="1" applyFill="1" applyBorder="1" applyAlignment="1" applyProtection="1">
      <alignment horizontal="center" vertical="center"/>
    </xf>
    <xf numFmtId="186" fontId="67" fillId="83" borderId="193" xfId="70" applyNumberFormat="1" applyFont="1" applyFill="1" applyBorder="1"/>
    <xf numFmtId="0" fontId="86" fillId="25" borderId="0" xfId="0" applyFont="1" applyFill="1" applyBorder="1"/>
    <xf numFmtId="0" fontId="86" fillId="74" borderId="282" xfId="71" applyNumberFormat="1" applyFont="1" applyFill="1" applyBorder="1" applyAlignment="1"/>
    <xf numFmtId="0" fontId="86" fillId="74" borderId="266" xfId="71" applyNumberFormat="1" applyFont="1" applyFill="1" applyBorder="1" applyAlignment="1"/>
    <xf numFmtId="0" fontId="86" fillId="74" borderId="267" xfId="71" applyNumberFormat="1" applyFont="1" applyFill="1" applyBorder="1" applyAlignment="1"/>
    <xf numFmtId="185" fontId="2" fillId="21" borderId="46" xfId="25" applyNumberFormat="1" applyFont="1" applyFill="1" applyBorder="1" applyAlignment="1" applyProtection="1">
      <alignment horizontal="center" vertical="center" wrapText="1"/>
    </xf>
    <xf numFmtId="0" fontId="2" fillId="56" borderId="46" xfId="25" applyNumberFormat="1" applyFont="1" applyFill="1" applyBorder="1" applyAlignment="1" applyProtection="1">
      <alignment horizontal="center" vertical="center" wrapText="1"/>
    </xf>
    <xf numFmtId="185" fontId="2" fillId="56" borderId="46" xfId="25" applyNumberFormat="1" applyFont="1" applyFill="1" applyBorder="1" applyAlignment="1" applyProtection="1">
      <alignment horizontal="center" vertical="center" wrapText="1"/>
    </xf>
    <xf numFmtId="175" fontId="2" fillId="56" borderId="46" xfId="25" applyNumberFormat="1" applyFont="1" applyFill="1" applyBorder="1" applyAlignment="1" applyProtection="1">
      <alignment horizontal="center" vertical="center" wrapText="1"/>
    </xf>
    <xf numFmtId="0" fontId="2" fillId="59" borderId="46" xfId="25" applyNumberFormat="1" applyFont="1" applyFill="1" applyBorder="1" applyAlignment="1" applyProtection="1">
      <alignment horizontal="center" vertical="center" wrapText="1"/>
    </xf>
    <xf numFmtId="0" fontId="2" fillId="21" borderId="46" xfId="25" applyNumberFormat="1" applyFont="1" applyFill="1" applyBorder="1" applyAlignment="1" applyProtection="1">
      <alignment horizontal="center" vertical="center" wrapText="1"/>
    </xf>
    <xf numFmtId="43" fontId="2" fillId="21" borderId="46" xfId="25" applyNumberFormat="1" applyFont="1" applyFill="1" applyBorder="1" applyAlignment="1" applyProtection="1">
      <alignment horizontal="center" vertical="center" wrapText="1"/>
    </xf>
    <xf numFmtId="174" fontId="2" fillId="21" borderId="46" xfId="25" applyNumberFormat="1" applyFont="1" applyFill="1" applyBorder="1" applyAlignment="1" applyProtection="1">
      <alignment horizontal="center" vertical="center" wrapText="1"/>
    </xf>
    <xf numFmtId="172" fontId="2" fillId="21" borderId="46" xfId="25" applyFont="1" applyFill="1" applyBorder="1" applyAlignment="1" applyProtection="1">
      <alignment horizontal="center" vertical="center" wrapText="1"/>
    </xf>
    <xf numFmtId="43" fontId="2" fillId="0" borderId="0" xfId="25" applyNumberFormat="1" applyFont="1" applyAlignment="1" applyProtection="1">
      <alignment horizontal="center" vertical="center" wrapText="1"/>
      <protection locked="0"/>
    </xf>
    <xf numFmtId="172" fontId="2" fillId="0" borderId="0" xfId="25" applyFont="1" applyAlignment="1" applyProtection="1">
      <alignment horizontal="center" vertical="center" wrapText="1"/>
      <protection locked="0"/>
    </xf>
    <xf numFmtId="0" fontId="1" fillId="59" borderId="46" xfId="25" applyNumberFormat="1" applyFont="1" applyFill="1" applyBorder="1" applyAlignment="1" applyProtection="1">
      <alignment horizontal="center" vertical="center" wrapText="1"/>
    </xf>
    <xf numFmtId="185" fontId="1" fillId="0" borderId="46" xfId="25" applyNumberFormat="1" applyFont="1" applyFill="1" applyBorder="1" applyAlignment="1" applyProtection="1">
      <alignment horizontal="center" vertical="center" wrapText="1"/>
      <protection locked="0"/>
    </xf>
    <xf numFmtId="0" fontId="15" fillId="0" borderId="46" xfId="27" applyNumberFormat="1" applyFont="1" applyFill="1" applyBorder="1" applyAlignment="1" applyProtection="1">
      <alignment horizontal="center" vertical="center" wrapText="1"/>
      <protection locked="0"/>
    </xf>
    <xf numFmtId="185" fontId="15" fillId="0" borderId="46" xfId="27" applyNumberFormat="1" applyFont="1" applyFill="1" applyBorder="1" applyAlignment="1" applyProtection="1">
      <alignment horizontal="center" vertical="center" wrapText="1"/>
      <protection locked="0"/>
    </xf>
    <xf numFmtId="4" fontId="1" fillId="0" borderId="46" xfId="25" applyNumberFormat="1" applyFont="1" applyFill="1" applyBorder="1" applyAlignment="1" applyProtection="1">
      <alignment horizontal="center" vertical="center" wrapText="1"/>
      <protection locked="0"/>
    </xf>
    <xf numFmtId="0" fontId="1" fillId="0" borderId="46" xfId="25" applyNumberFormat="1" applyFont="1" applyFill="1" applyBorder="1" applyAlignment="1" applyProtection="1">
      <alignment horizontal="center" vertical="center" wrapText="1"/>
      <protection locked="0"/>
    </xf>
    <xf numFmtId="43" fontId="15" fillId="0" borderId="46" xfId="27" applyNumberFormat="1" applyFont="1" applyFill="1" applyBorder="1" applyAlignment="1" applyProtection="1">
      <alignment horizontal="center" vertical="center" wrapText="1"/>
      <protection locked="0"/>
    </xf>
    <xf numFmtId="174" fontId="1" fillId="0" borderId="46" xfId="25" applyNumberFormat="1" applyFont="1" applyFill="1" applyBorder="1" applyAlignment="1" applyProtection="1">
      <alignment horizontal="center" vertical="center" wrapText="1"/>
      <protection locked="0"/>
    </xf>
    <xf numFmtId="0" fontId="1" fillId="0" borderId="46" xfId="25" applyNumberFormat="1" applyFont="1" applyFill="1" applyBorder="1" applyAlignment="1" applyProtection="1">
      <alignment vertical="center" wrapText="1"/>
      <protection locked="0"/>
    </xf>
    <xf numFmtId="172" fontId="1" fillId="0" borderId="46" xfId="25" applyFont="1" applyFill="1" applyBorder="1" applyAlignment="1" applyProtection="1">
      <alignment horizontal="center" vertical="center" wrapText="1"/>
      <protection locked="0"/>
    </xf>
    <xf numFmtId="0" fontId="15" fillId="0" borderId="46" xfId="25" applyNumberFormat="1" applyFont="1" applyFill="1" applyBorder="1" applyAlignment="1" applyProtection="1">
      <alignment vertical="center" wrapText="1"/>
      <protection locked="0"/>
    </xf>
    <xf numFmtId="0" fontId="1" fillId="0" borderId="46" xfId="25" quotePrefix="1" applyNumberFormat="1" applyFont="1" applyFill="1" applyBorder="1" applyAlignment="1" applyProtection="1">
      <alignment horizontal="center" vertical="center" wrapText="1"/>
      <protection locked="0"/>
    </xf>
    <xf numFmtId="185" fontId="1" fillId="0" borderId="46" xfId="25" quotePrefix="1" applyNumberFormat="1" applyFont="1" applyFill="1" applyBorder="1" applyAlignment="1" applyProtection="1">
      <alignment horizontal="center" vertical="center" wrapText="1"/>
      <protection locked="0"/>
    </xf>
    <xf numFmtId="0" fontId="5" fillId="0" borderId="46" xfId="28" applyNumberFormat="1" applyFont="1" applyFill="1" applyBorder="1" applyAlignment="1" applyProtection="1">
      <alignment horizontal="center" vertical="center"/>
      <protection locked="0"/>
    </xf>
    <xf numFmtId="0" fontId="5" fillId="0" borderId="46" xfId="28" applyNumberFormat="1" applyFont="1" applyFill="1" applyBorder="1" applyAlignment="1" applyProtection="1">
      <alignment horizontal="center" vertical="center" wrapText="1"/>
      <protection locked="0"/>
    </xf>
    <xf numFmtId="43" fontId="5" fillId="0" borderId="46" xfId="24" applyNumberFormat="1" applyFont="1" applyFill="1" applyBorder="1" applyAlignment="1" applyProtection="1">
      <alignment horizontal="center" vertical="center"/>
      <protection locked="0"/>
    </xf>
    <xf numFmtId="14" fontId="0" fillId="0" borderId="0" xfId="0" applyNumberFormat="1"/>
    <xf numFmtId="43" fontId="50" fillId="14" borderId="61" xfId="25" applyNumberFormat="1" applyFont="1" applyFill="1" applyBorder="1" applyAlignment="1" applyProtection="1">
      <alignment horizontal="center" vertical="center"/>
    </xf>
    <xf numFmtId="0" fontId="42" fillId="0" borderId="0" xfId="0" applyNumberFormat="1" applyFont="1"/>
    <xf numFmtId="0" fontId="42" fillId="59" borderId="193" xfId="0" applyFont="1" applyFill="1" applyBorder="1" applyAlignment="1" applyProtection="1">
      <alignment vertical="center"/>
      <protection locked="0"/>
    </xf>
    <xf numFmtId="0" fontId="42" fillId="0" borderId="0" xfId="0" applyFont="1"/>
    <xf numFmtId="0" fontId="42" fillId="59" borderId="0" xfId="0" applyFont="1" applyFill="1"/>
    <xf numFmtId="0" fontId="43" fillId="0" borderId="193" xfId="0" applyFont="1" applyBorder="1"/>
    <xf numFmtId="0" fontId="43" fillId="0" borderId="193" xfId="0" applyFont="1" applyBorder="1" applyAlignment="1">
      <alignment horizontal="center"/>
    </xf>
    <xf numFmtId="0" fontId="5" fillId="59" borderId="46" xfId="28" applyNumberFormat="1" applyFont="1" applyFill="1" applyBorder="1" applyAlignment="1" applyProtection="1">
      <alignment horizontal="center" vertical="center"/>
    </xf>
    <xf numFmtId="0" fontId="43" fillId="59" borderId="46" xfId="28" applyNumberFormat="1" applyFont="1" applyFill="1" applyBorder="1" applyAlignment="1" applyProtection="1">
      <alignment horizontal="center" vertical="center"/>
    </xf>
    <xf numFmtId="0" fontId="5" fillId="59" borderId="46" xfId="28" applyFont="1" applyFill="1" applyBorder="1" applyAlignment="1" applyProtection="1">
      <alignment horizontal="center" vertical="center" wrapText="1"/>
    </xf>
    <xf numFmtId="0" fontId="154" fillId="59" borderId="46" xfId="25" applyNumberFormat="1" applyFont="1" applyFill="1" applyBorder="1" applyAlignment="1" applyProtection="1">
      <alignment horizontal="center" vertical="center" wrapText="1"/>
    </xf>
    <xf numFmtId="0" fontId="5" fillId="0" borderId="193" xfId="27" applyNumberFormat="1" applyFont="1" applyFill="1" applyBorder="1" applyAlignment="1" applyProtection="1">
      <alignment horizontal="center" vertical="center" wrapText="1"/>
      <protection locked="0"/>
    </xf>
    <xf numFmtId="0" fontId="0" fillId="0" borderId="0" xfId="0" pivotButton="1"/>
    <xf numFmtId="0" fontId="0" fillId="0" borderId="0" xfId="0" applyAlignment="1">
      <alignment horizontal="left"/>
    </xf>
    <xf numFmtId="0" fontId="0" fillId="0" borderId="46" xfId="25" applyNumberFormat="1" applyFont="1" applyFill="1" applyBorder="1" applyAlignment="1" applyProtection="1">
      <alignment horizontal="center" vertical="center" wrapText="1"/>
      <protection locked="0"/>
    </xf>
    <xf numFmtId="176" fontId="1" fillId="0" borderId="46" xfId="25" applyNumberFormat="1" applyFill="1" applyBorder="1" applyAlignment="1" applyProtection="1">
      <alignment horizontal="center" vertical="center" wrapText="1"/>
      <protection locked="0"/>
    </xf>
    <xf numFmtId="0" fontId="0" fillId="0" borderId="193" xfId="25" applyNumberFormat="1" applyFont="1" applyFill="1" applyBorder="1" applyAlignment="1" applyProtection="1">
      <alignment horizontal="center" vertical="center" wrapText="1"/>
      <protection locked="0"/>
    </xf>
    <xf numFmtId="43" fontId="0" fillId="0" borderId="46" xfId="23" applyNumberFormat="1" applyFont="1" applyFill="1" applyBorder="1" applyAlignment="1" applyProtection="1">
      <alignment vertical="center" wrapText="1"/>
      <protection locked="0"/>
    </xf>
    <xf numFmtId="176" fontId="0" fillId="0" borderId="46" xfId="25" applyNumberFormat="1" applyFont="1" applyFill="1" applyBorder="1" applyAlignment="1" applyProtection="1">
      <alignment horizontal="center" vertical="center" wrapText="1"/>
      <protection locked="0"/>
    </xf>
    <xf numFmtId="0" fontId="0" fillId="0" borderId="46" xfId="25" applyNumberFormat="1" applyFont="1" applyFill="1" applyBorder="1" applyAlignment="1" applyProtection="1">
      <alignment horizontal="center" vertical="center"/>
      <protection locked="0"/>
    </xf>
    <xf numFmtId="176" fontId="0" fillId="0" borderId="46" xfId="25" applyNumberFormat="1" applyFont="1" applyFill="1" applyBorder="1" applyAlignment="1" applyProtection="1">
      <alignment horizontal="center" vertical="center"/>
      <protection locked="0"/>
    </xf>
    <xf numFmtId="0" fontId="0" fillId="0" borderId="46" xfId="25" applyNumberFormat="1" applyFont="1" applyFill="1" applyBorder="1" applyAlignment="1" applyProtection="1">
      <alignment horizontal="center"/>
      <protection locked="0"/>
    </xf>
    <xf numFmtId="176" fontId="0" fillId="0" borderId="46" xfId="25" applyNumberFormat="1" applyFont="1" applyFill="1" applyBorder="1" applyAlignment="1" applyProtection="1">
      <alignment horizontal="center"/>
      <protection locked="0"/>
    </xf>
    <xf numFmtId="0" fontId="1" fillId="0" borderId="46" xfId="25" applyNumberFormat="1" applyFill="1" applyBorder="1" applyAlignment="1" applyProtection="1">
      <alignment horizontal="center" vertical="center" wrapText="1"/>
      <protection locked="0"/>
    </xf>
    <xf numFmtId="0" fontId="0" fillId="0" borderId="193" xfId="25" applyNumberFormat="1" applyFont="1" applyFill="1" applyBorder="1" applyAlignment="1" applyProtection="1">
      <alignment horizontal="center" vertical="center"/>
      <protection locked="0"/>
    </xf>
    <xf numFmtId="176" fontId="0" fillId="0" borderId="193" xfId="25" applyNumberFormat="1" applyFont="1" applyFill="1" applyBorder="1" applyAlignment="1" applyProtection="1">
      <alignment horizontal="center" vertical="center"/>
      <protection locked="0"/>
    </xf>
    <xf numFmtId="43" fontId="0" fillId="0" borderId="193" xfId="23" applyNumberFormat="1" applyFont="1" applyFill="1" applyBorder="1" applyAlignment="1" applyProtection="1">
      <alignment vertical="center" wrapText="1"/>
      <protection locked="0"/>
    </xf>
    <xf numFmtId="0" fontId="0" fillId="0" borderId="46" xfId="25" applyNumberFormat="1" applyFont="1" applyFill="1" applyBorder="1" applyAlignment="1" applyProtection="1">
      <alignment vertical="center" wrapText="1"/>
      <protection locked="0"/>
    </xf>
    <xf numFmtId="0" fontId="0" fillId="0" borderId="46" xfId="25" applyNumberFormat="1" applyFont="1" applyFill="1" applyBorder="1" applyAlignment="1" applyProtection="1">
      <alignment horizontal="left" vertical="center" wrapText="1"/>
      <protection locked="0"/>
    </xf>
    <xf numFmtId="0" fontId="1" fillId="0" borderId="46" xfId="25" applyNumberFormat="1" applyFill="1" applyBorder="1" applyAlignment="1" applyProtection="1">
      <alignment vertical="center" wrapText="1"/>
      <protection locked="0"/>
    </xf>
    <xf numFmtId="0" fontId="1" fillId="0" borderId="46" xfId="25" applyNumberFormat="1" applyFill="1" applyBorder="1" applyAlignment="1" applyProtection="1">
      <alignment horizontal="left" vertical="center" wrapText="1"/>
      <protection locked="0"/>
    </xf>
    <xf numFmtId="0" fontId="1" fillId="0" borderId="193" xfId="25" applyNumberFormat="1" applyFill="1" applyBorder="1" applyAlignment="1" applyProtection="1">
      <alignment vertical="center" wrapText="1"/>
      <protection locked="0"/>
    </xf>
    <xf numFmtId="167" fontId="154" fillId="26" borderId="2" xfId="25" applyNumberFormat="1" applyFont="1" applyFill="1" applyBorder="1" applyAlignment="1" applyProtection="1">
      <alignment horizontal="center" vertical="center" wrapText="1"/>
      <protection locked="0"/>
    </xf>
    <xf numFmtId="0" fontId="45" fillId="57" borderId="258" xfId="28" applyNumberFormat="1" applyFont="1" applyFill="1" applyBorder="1" applyAlignment="1" applyProtection="1">
      <alignment horizontal="center" vertical="center" wrapText="1"/>
    </xf>
    <xf numFmtId="0" fontId="0" fillId="0" borderId="0" xfId="0" applyNumberFormat="1"/>
    <xf numFmtId="0" fontId="39" fillId="56" borderId="168" xfId="25" applyNumberFormat="1" applyFont="1" applyFill="1" applyBorder="1" applyAlignment="1" applyProtection="1">
      <alignment horizontal="center" vertical="center" wrapText="1"/>
    </xf>
    <xf numFmtId="172" fontId="39" fillId="56" borderId="283" xfId="25" applyNumberFormat="1" applyFont="1" applyFill="1" applyBorder="1" applyAlignment="1" applyProtection="1">
      <alignment horizontal="center" vertical="center" wrapText="1"/>
    </xf>
    <xf numFmtId="0" fontId="0" fillId="0" borderId="2" xfId="25" applyNumberFormat="1" applyFont="1" applyFill="1" applyBorder="1" applyAlignment="1" applyProtection="1">
      <alignment horizontal="center" vertical="center" wrapText="1"/>
      <protection locked="0"/>
    </xf>
    <xf numFmtId="0" fontId="39" fillId="103" borderId="320" xfId="25" applyNumberFormat="1" applyFont="1" applyFill="1" applyBorder="1" applyAlignment="1" applyProtection="1">
      <alignment horizontal="center" vertical="center" wrapText="1"/>
    </xf>
    <xf numFmtId="172" fontId="39" fillId="103" borderId="319" xfId="25" applyNumberFormat="1" applyFont="1" applyFill="1" applyBorder="1" applyAlignment="1" applyProtection="1">
      <alignment horizontal="center" vertical="center" wrapText="1"/>
    </xf>
    <xf numFmtId="172" fontId="39" fillId="56" borderId="168" xfId="25" applyNumberFormat="1" applyFont="1" applyFill="1" applyBorder="1" applyAlignment="1" applyProtection="1">
      <alignment horizontal="center" vertical="center" wrapText="1"/>
    </xf>
    <xf numFmtId="44" fontId="39" fillId="21" borderId="283" xfId="23" applyNumberFormat="1" applyFont="1" applyFill="1" applyBorder="1" applyAlignment="1" applyProtection="1">
      <alignment horizontal="center" vertical="center" wrapText="1"/>
    </xf>
    <xf numFmtId="0" fontId="5" fillId="0" borderId="2" xfId="27" applyNumberFormat="1" applyFont="1" applyFill="1" applyBorder="1" applyAlignment="1" applyProtection="1">
      <alignment horizontal="center" vertical="center" wrapText="1"/>
      <protection locked="0"/>
    </xf>
    <xf numFmtId="14" fontId="0" fillId="0" borderId="0" xfId="0" applyNumberFormat="1" applyAlignment="1"/>
    <xf numFmtId="165" fontId="51" fillId="79" borderId="298" xfId="0" applyNumberFormat="1" applyFont="1" applyFill="1" applyBorder="1" applyAlignment="1" applyProtection="1">
      <alignment horizontal="center" vertical="center"/>
      <protection locked="0"/>
    </xf>
    <xf numFmtId="0" fontId="56" fillId="101" borderId="0" xfId="0" applyFont="1" applyFill="1" applyAlignment="1">
      <alignment horizontal="center" vertical="center"/>
    </xf>
    <xf numFmtId="0" fontId="56" fillId="14" borderId="0" xfId="0" quotePrefix="1" applyFont="1" applyFill="1" applyAlignment="1">
      <alignment horizontal="left" vertical="center"/>
    </xf>
    <xf numFmtId="0" fontId="115" fillId="85" borderId="15" xfId="0" applyFont="1" applyFill="1" applyBorder="1" applyAlignment="1" applyProtection="1">
      <alignment horizontal="center" vertical="center" wrapText="1"/>
    </xf>
    <xf numFmtId="0" fontId="115" fillId="85" borderId="0" xfId="0" applyFont="1" applyFill="1" applyBorder="1" applyAlignment="1" applyProtection="1">
      <alignment horizontal="center" vertical="center" wrapText="1"/>
    </xf>
    <xf numFmtId="0" fontId="57" fillId="0" borderId="168" xfId="0" applyFont="1" applyFill="1" applyBorder="1" applyAlignment="1" applyProtection="1">
      <alignment vertical="center"/>
    </xf>
    <xf numFmtId="0" fontId="57" fillId="0" borderId="165" xfId="0" applyFont="1" applyFill="1" applyBorder="1" applyAlignment="1" applyProtection="1">
      <alignment vertical="center"/>
    </xf>
    <xf numFmtId="0" fontId="57" fillId="0" borderId="170" xfId="0" applyFont="1" applyFill="1" applyBorder="1" applyAlignment="1" applyProtection="1">
      <alignment vertical="center"/>
    </xf>
    <xf numFmtId="0" fontId="57" fillId="61" borderId="168" xfId="0" applyFont="1" applyFill="1" applyBorder="1" applyAlignment="1" applyProtection="1">
      <alignment horizontal="left" vertical="center"/>
      <protection locked="0"/>
    </xf>
    <xf numFmtId="0" fontId="57" fillId="61" borderId="282" xfId="0" applyFont="1" applyFill="1" applyBorder="1" applyAlignment="1" applyProtection="1">
      <alignment horizontal="left" vertical="center"/>
      <protection locked="0"/>
    </xf>
    <xf numFmtId="0" fontId="57" fillId="61" borderId="283" xfId="0" applyFont="1" applyFill="1" applyBorder="1" applyAlignment="1" applyProtection="1">
      <alignment horizontal="left" vertical="center"/>
      <protection locked="0"/>
    </xf>
    <xf numFmtId="0" fontId="57" fillId="61" borderId="165" xfId="0" applyFont="1" applyFill="1" applyBorder="1" applyAlignment="1" applyProtection="1">
      <alignment horizontal="left" vertical="center"/>
      <protection locked="0"/>
    </xf>
    <xf numFmtId="0" fontId="57" fillId="61" borderId="170" xfId="0" applyFont="1" applyFill="1" applyBorder="1" applyAlignment="1" applyProtection="1">
      <alignment horizontal="left" vertical="center"/>
      <protection locked="0"/>
    </xf>
    <xf numFmtId="0" fontId="55" fillId="15" borderId="50" xfId="0" applyNumberFormat="1" applyFont="1" applyFill="1" applyBorder="1" applyAlignment="1">
      <alignment horizontal="center" vertical="center"/>
    </xf>
    <xf numFmtId="0" fontId="55" fillId="15" borderId="16" xfId="0" applyNumberFormat="1" applyFont="1" applyFill="1" applyBorder="1" applyAlignment="1">
      <alignment horizontal="center" vertical="center"/>
    </xf>
    <xf numFmtId="0" fontId="55" fillId="15" borderId="71" xfId="0" applyNumberFormat="1" applyFont="1" applyFill="1" applyBorder="1" applyAlignment="1">
      <alignment horizontal="center" vertical="center"/>
    </xf>
    <xf numFmtId="0" fontId="55" fillId="70" borderId="50" xfId="0" applyNumberFormat="1" applyFont="1" applyFill="1" applyBorder="1" applyAlignment="1">
      <alignment horizontal="center" vertical="center"/>
    </xf>
    <xf numFmtId="0" fontId="55" fillId="70" borderId="16" xfId="0" applyNumberFormat="1" applyFont="1" applyFill="1" applyBorder="1" applyAlignment="1">
      <alignment horizontal="center" vertical="center"/>
    </xf>
    <xf numFmtId="0" fontId="55" fillId="70" borderId="71" xfId="0" applyNumberFormat="1" applyFont="1" applyFill="1" applyBorder="1" applyAlignment="1">
      <alignment horizontal="center" vertical="center"/>
    </xf>
    <xf numFmtId="0" fontId="57" fillId="61" borderId="193" xfId="0" applyFont="1" applyFill="1" applyBorder="1" applyAlignment="1" applyProtection="1">
      <alignment horizontal="left" vertical="center"/>
      <protection locked="0"/>
    </xf>
    <xf numFmtId="0" fontId="55" fillId="69" borderId="50" xfId="0" applyNumberFormat="1" applyFont="1" applyFill="1" applyBorder="1" applyAlignment="1">
      <alignment horizontal="center" vertical="center"/>
    </xf>
    <xf numFmtId="0" fontId="55" fillId="69" borderId="16" xfId="0" applyNumberFormat="1" applyFont="1" applyFill="1" applyBorder="1" applyAlignment="1">
      <alignment horizontal="center" vertical="center"/>
    </xf>
    <xf numFmtId="0" fontId="55" fillId="69" borderId="71" xfId="0" applyNumberFormat="1" applyFont="1" applyFill="1" applyBorder="1" applyAlignment="1">
      <alignment horizontal="center" vertical="center"/>
    </xf>
    <xf numFmtId="0" fontId="55" fillId="11" borderId="50" xfId="0" applyNumberFormat="1" applyFont="1" applyFill="1" applyBorder="1" applyAlignment="1">
      <alignment horizontal="center" vertical="center"/>
    </xf>
    <xf numFmtId="0" fontId="55" fillId="11" borderId="16" xfId="0" applyNumberFormat="1" applyFont="1" applyFill="1" applyBorder="1" applyAlignment="1">
      <alignment horizontal="center" vertical="center"/>
    </xf>
    <xf numFmtId="0" fontId="55" fillId="11" borderId="71" xfId="0" applyNumberFormat="1" applyFont="1" applyFill="1" applyBorder="1" applyAlignment="1">
      <alignment horizontal="center" vertical="center"/>
    </xf>
    <xf numFmtId="0" fontId="56" fillId="65" borderId="50" xfId="0" applyNumberFormat="1" applyFont="1" applyFill="1" applyBorder="1" applyAlignment="1">
      <alignment horizontal="center" vertical="center"/>
    </xf>
    <xf numFmtId="0" fontId="56" fillId="65" borderId="16" xfId="0" applyNumberFormat="1" applyFont="1" applyFill="1" applyBorder="1" applyAlignment="1">
      <alignment horizontal="center" vertical="center"/>
    </xf>
    <xf numFmtId="0" fontId="56" fillId="65" borderId="71" xfId="0" applyNumberFormat="1" applyFont="1" applyFill="1" applyBorder="1" applyAlignment="1">
      <alignment horizontal="center" vertical="center"/>
    </xf>
    <xf numFmtId="0" fontId="131" fillId="61" borderId="168" xfId="12" applyNumberFormat="1" applyFont="1" applyFill="1" applyBorder="1" applyAlignment="1" applyProtection="1">
      <alignment horizontal="center" vertical="center"/>
      <protection locked="0"/>
    </xf>
    <xf numFmtId="0" fontId="131" fillId="61" borderId="282" xfId="12" applyNumberFormat="1" applyFont="1" applyFill="1" applyBorder="1" applyAlignment="1" applyProtection="1">
      <alignment horizontal="center" vertical="center"/>
      <protection locked="0"/>
    </xf>
    <xf numFmtId="0" fontId="131" fillId="61" borderId="283" xfId="12" applyNumberFormat="1" applyFont="1" applyFill="1" applyBorder="1" applyAlignment="1" applyProtection="1">
      <alignment horizontal="center" vertical="center"/>
      <protection locked="0"/>
    </xf>
    <xf numFmtId="0" fontId="55" fillId="67" borderId="50" xfId="0" applyNumberFormat="1" applyFont="1" applyFill="1" applyBorder="1" applyAlignment="1">
      <alignment horizontal="center" vertical="center"/>
    </xf>
    <xf numFmtId="0" fontId="55" fillId="67" borderId="16" xfId="0" applyNumberFormat="1" applyFont="1" applyFill="1" applyBorder="1" applyAlignment="1">
      <alignment horizontal="center" vertical="center"/>
    </xf>
    <xf numFmtId="0" fontId="55" fillId="67" borderId="71" xfId="0" applyNumberFormat="1" applyFont="1" applyFill="1" applyBorder="1" applyAlignment="1">
      <alignment horizontal="center" vertical="center"/>
    </xf>
    <xf numFmtId="183" fontId="57" fillId="61" borderId="168" xfId="0" applyNumberFormat="1" applyFont="1" applyFill="1" applyBorder="1" applyAlignment="1" applyProtection="1">
      <alignment horizontal="left" vertical="center"/>
      <protection locked="0"/>
    </xf>
    <xf numFmtId="183" fontId="57" fillId="61" borderId="170" xfId="0" applyNumberFormat="1" applyFont="1" applyFill="1" applyBorder="1" applyAlignment="1" applyProtection="1">
      <alignment horizontal="left" vertical="center"/>
      <protection locked="0"/>
    </xf>
    <xf numFmtId="0" fontId="56" fillId="14" borderId="0" xfId="0" applyFont="1" applyFill="1" applyAlignment="1" applyProtection="1">
      <alignment horizontal="center" vertical="center" wrapText="1"/>
    </xf>
    <xf numFmtId="0" fontId="56" fillId="14" borderId="0" xfId="0" applyFont="1" applyFill="1" applyBorder="1" applyAlignment="1" applyProtection="1">
      <alignment horizontal="center" vertical="center" wrapText="1"/>
    </xf>
    <xf numFmtId="0" fontId="58" fillId="14" borderId="0" xfId="0" applyFont="1" applyFill="1" applyAlignment="1">
      <alignment horizontal="left" vertical="center"/>
    </xf>
    <xf numFmtId="0" fontId="57" fillId="0" borderId="0" xfId="0" applyFont="1" applyFill="1" applyBorder="1" applyAlignment="1">
      <alignment horizontal="left" vertical="center"/>
    </xf>
    <xf numFmtId="0" fontId="56" fillId="101" borderId="0" xfId="0" applyFont="1" applyFill="1" applyAlignment="1" applyProtection="1">
      <alignment horizontal="left" vertical="center"/>
    </xf>
    <xf numFmtId="0" fontId="119" fillId="26" borderId="0" xfId="0" applyFont="1" applyFill="1" applyBorder="1" applyAlignment="1">
      <alignment horizontal="left" vertical="center" indent="1"/>
    </xf>
    <xf numFmtId="0" fontId="88" fillId="101" borderId="0" xfId="0" applyFont="1" applyFill="1" applyAlignment="1">
      <alignment horizontal="center" vertical="center"/>
    </xf>
    <xf numFmtId="9" fontId="51" fillId="0" borderId="73" xfId="0" applyNumberFormat="1" applyFont="1" applyBorder="1" applyAlignment="1" applyProtection="1">
      <alignment horizontal="center" vertical="center"/>
    </xf>
    <xf numFmtId="9" fontId="51" fillId="0" borderId="0" xfId="0" applyNumberFormat="1" applyFont="1" applyBorder="1" applyAlignment="1" applyProtection="1">
      <alignment horizontal="center" vertical="center"/>
    </xf>
    <xf numFmtId="0" fontId="90" fillId="70" borderId="121" xfId="0" applyFont="1" applyFill="1" applyBorder="1" applyAlignment="1" applyProtection="1">
      <alignment horizontal="center" vertical="center" textRotation="180"/>
    </xf>
    <xf numFmtId="0" fontId="90" fillId="70" borderId="118" xfId="0" applyFont="1" applyFill="1" applyBorder="1" applyAlignment="1" applyProtection="1">
      <alignment horizontal="center" vertical="center" textRotation="180"/>
    </xf>
    <xf numFmtId="0" fontId="90" fillId="70" borderId="117" xfId="0" applyFont="1" applyFill="1" applyBorder="1" applyAlignment="1" applyProtection="1">
      <alignment horizontal="center" vertical="center" textRotation="180"/>
    </xf>
    <xf numFmtId="9" fontId="51" fillId="0" borderId="99" xfId="0" applyNumberFormat="1" applyFont="1" applyBorder="1" applyAlignment="1" applyProtection="1">
      <alignment horizontal="center" vertical="center"/>
    </xf>
    <xf numFmtId="0" fontId="111" fillId="67" borderId="302" xfId="0" applyNumberFormat="1" applyFont="1" applyFill="1" applyBorder="1" applyAlignment="1" applyProtection="1">
      <alignment horizontal="center"/>
    </xf>
    <xf numFmtId="0" fontId="111" fillId="67" borderId="303" xfId="0" applyNumberFormat="1" applyFont="1" applyFill="1" applyBorder="1" applyAlignment="1" applyProtection="1">
      <alignment horizontal="center"/>
    </xf>
    <xf numFmtId="0" fontId="111" fillId="67" borderId="304" xfId="0" applyNumberFormat="1" applyFont="1" applyFill="1" applyBorder="1" applyAlignment="1" applyProtection="1">
      <alignment horizontal="center"/>
    </xf>
    <xf numFmtId="0" fontId="88" fillId="65" borderId="302" xfId="0" applyNumberFormat="1" applyFont="1" applyFill="1" applyBorder="1" applyAlignment="1" applyProtection="1">
      <alignment horizontal="center"/>
    </xf>
    <xf numFmtId="0" fontId="88" fillId="65" borderId="303" xfId="0" applyNumberFormat="1" applyFont="1" applyFill="1" applyBorder="1" applyAlignment="1" applyProtection="1">
      <alignment horizontal="center"/>
    </xf>
    <xf numFmtId="0" fontId="88" fillId="65" borderId="304" xfId="0" applyNumberFormat="1" applyFont="1" applyFill="1" applyBorder="1" applyAlignment="1" applyProtection="1">
      <alignment horizontal="center"/>
    </xf>
    <xf numFmtId="0" fontId="111" fillId="11" borderId="302" xfId="0" applyNumberFormat="1" applyFont="1" applyFill="1" applyBorder="1" applyAlignment="1" applyProtection="1">
      <alignment horizontal="center"/>
    </xf>
    <xf numFmtId="0" fontId="111" fillId="11" borderId="303" xfId="0" applyNumberFormat="1" applyFont="1" applyFill="1" applyBorder="1" applyAlignment="1" applyProtection="1">
      <alignment horizontal="center"/>
    </xf>
    <xf numFmtId="0" fontId="111" fillId="11" borderId="304" xfId="0" applyNumberFormat="1" applyFont="1" applyFill="1" applyBorder="1" applyAlignment="1" applyProtection="1">
      <alignment horizontal="center"/>
    </xf>
    <xf numFmtId="0" fontId="111" fillId="69" borderId="302" xfId="0" applyNumberFormat="1" applyFont="1" applyFill="1" applyBorder="1" applyAlignment="1" applyProtection="1">
      <alignment horizontal="center"/>
    </xf>
    <xf numFmtId="0" fontId="111" fillId="69" borderId="303" xfId="0" applyNumberFormat="1" applyFont="1" applyFill="1" applyBorder="1" applyAlignment="1" applyProtection="1">
      <alignment horizontal="center"/>
    </xf>
    <xf numFmtId="0" fontId="111" fillId="69" borderId="304" xfId="0" applyNumberFormat="1" applyFont="1" applyFill="1" applyBorder="1" applyAlignment="1" applyProtection="1">
      <alignment horizontal="center"/>
    </xf>
    <xf numFmtId="0" fontId="88" fillId="16" borderId="0" xfId="0" applyFont="1" applyFill="1" applyBorder="1" applyAlignment="1" applyProtection="1">
      <alignment horizontal="center"/>
    </xf>
    <xf numFmtId="0" fontId="111" fillId="15" borderId="302" xfId="0" applyNumberFormat="1" applyFont="1" applyFill="1" applyBorder="1" applyAlignment="1" applyProtection="1">
      <alignment horizontal="center"/>
    </xf>
    <xf numFmtId="0" fontId="111" fillId="15" borderId="303" xfId="0" applyNumberFormat="1" applyFont="1" applyFill="1" applyBorder="1" applyAlignment="1" applyProtection="1">
      <alignment horizontal="center"/>
    </xf>
    <xf numFmtId="0" fontId="111" fillId="15" borderId="304" xfId="0" applyNumberFormat="1" applyFont="1" applyFill="1" applyBorder="1" applyAlignment="1" applyProtection="1">
      <alignment horizontal="center"/>
    </xf>
    <xf numFmtId="0" fontId="111" fillId="70" borderId="302" xfId="0" applyNumberFormat="1" applyFont="1" applyFill="1" applyBorder="1" applyAlignment="1" applyProtection="1">
      <alignment horizontal="center"/>
    </xf>
    <xf numFmtId="0" fontId="111" fillId="70" borderId="303" xfId="0" applyNumberFormat="1" applyFont="1" applyFill="1" applyBorder="1" applyAlignment="1" applyProtection="1">
      <alignment horizontal="center"/>
    </xf>
    <xf numFmtId="0" fontId="111" fillId="70" borderId="304" xfId="0" applyNumberFormat="1" applyFont="1" applyFill="1" applyBorder="1" applyAlignment="1" applyProtection="1">
      <alignment horizontal="center"/>
    </xf>
    <xf numFmtId="0" fontId="88" fillId="62" borderId="0" xfId="0" applyFont="1" applyFill="1" applyBorder="1" applyAlignment="1" applyProtection="1">
      <alignment horizontal="center"/>
    </xf>
    <xf numFmtId="0" fontId="120" fillId="87" borderId="0" xfId="0" applyFont="1" applyFill="1" applyBorder="1" applyAlignment="1">
      <alignment horizontal="center" vertical="center"/>
    </xf>
    <xf numFmtId="9" fontId="51" fillId="14" borderId="0" xfId="70" applyFont="1" applyFill="1" applyBorder="1" applyAlignment="1" applyProtection="1">
      <alignment horizontal="center" vertical="center"/>
    </xf>
    <xf numFmtId="0" fontId="90" fillId="101" borderId="310" xfId="0" applyFont="1" applyFill="1" applyBorder="1" applyAlignment="1" applyProtection="1">
      <alignment horizontal="center" vertical="center"/>
    </xf>
    <xf numFmtId="0" fontId="90" fillId="101" borderId="311" xfId="0" applyFont="1" applyFill="1" applyBorder="1" applyAlignment="1" applyProtection="1">
      <alignment horizontal="center" vertical="center"/>
    </xf>
    <xf numFmtId="0" fontId="90" fillId="76" borderId="28" xfId="0" applyFont="1" applyFill="1" applyBorder="1" applyAlignment="1" applyProtection="1">
      <alignment horizontal="center" vertical="center"/>
    </xf>
    <xf numFmtId="0" fontId="90" fillId="76" borderId="29" xfId="0" applyFont="1" applyFill="1" applyBorder="1" applyAlignment="1" applyProtection="1">
      <alignment horizontal="center" vertical="center"/>
    </xf>
    <xf numFmtId="0" fontId="90" fillId="76" borderId="30" xfId="0" applyFont="1" applyFill="1" applyBorder="1" applyAlignment="1" applyProtection="1">
      <alignment horizontal="center" vertical="center"/>
    </xf>
    <xf numFmtId="0" fontId="90" fillId="61" borderId="28" xfId="0" applyFont="1" applyFill="1" applyBorder="1" applyAlignment="1" applyProtection="1">
      <alignment horizontal="center" vertical="center"/>
    </xf>
    <xf numFmtId="0" fontId="90" fillId="61" borderId="29" xfId="0" applyFont="1" applyFill="1" applyBorder="1" applyAlignment="1" applyProtection="1">
      <alignment horizontal="center" vertical="center"/>
    </xf>
    <xf numFmtId="0" fontId="90" fillId="61" borderId="30" xfId="0" applyFont="1" applyFill="1" applyBorder="1" applyAlignment="1" applyProtection="1">
      <alignment horizontal="center" vertical="center"/>
    </xf>
    <xf numFmtId="0" fontId="90" fillId="67" borderId="28" xfId="0" applyFont="1" applyFill="1" applyBorder="1" applyAlignment="1" applyProtection="1">
      <alignment horizontal="center" vertical="center"/>
    </xf>
    <xf numFmtId="0" fontId="90" fillId="67" borderId="29" xfId="0" applyFont="1" applyFill="1" applyBorder="1" applyAlignment="1" applyProtection="1">
      <alignment horizontal="center" vertical="center"/>
    </xf>
    <xf numFmtId="0" fontId="90" fillId="67" borderId="30" xfId="0" applyFont="1" applyFill="1" applyBorder="1" applyAlignment="1" applyProtection="1">
      <alignment horizontal="center" vertical="center"/>
    </xf>
    <xf numFmtId="169" fontId="111" fillId="11" borderId="232" xfId="0" applyNumberFormat="1" applyFont="1" applyFill="1" applyBorder="1" applyAlignment="1">
      <alignment horizontal="center" vertical="center"/>
    </xf>
    <xf numFmtId="169" fontId="111" fillId="11" borderId="233" xfId="0" applyNumberFormat="1" applyFont="1" applyFill="1" applyBorder="1" applyAlignment="1">
      <alignment horizontal="center" vertical="center"/>
    </xf>
    <xf numFmtId="169" fontId="111" fillId="11" borderId="234" xfId="0" applyNumberFormat="1" applyFont="1" applyFill="1" applyBorder="1" applyAlignment="1">
      <alignment horizontal="center" vertical="center"/>
    </xf>
    <xf numFmtId="169" fontId="88" fillId="65" borderId="232" xfId="0" applyNumberFormat="1" applyFont="1" applyFill="1" applyBorder="1" applyAlignment="1">
      <alignment horizontal="center" vertical="center"/>
    </xf>
    <xf numFmtId="169" fontId="88" fillId="65" borderId="233" xfId="0" applyNumberFormat="1" applyFont="1" applyFill="1" applyBorder="1" applyAlignment="1">
      <alignment horizontal="center" vertical="center"/>
    </xf>
    <xf numFmtId="169" fontId="88" fillId="65" borderId="234" xfId="0" applyNumberFormat="1" applyFont="1" applyFill="1" applyBorder="1" applyAlignment="1">
      <alignment horizontal="center" vertical="center"/>
    </xf>
    <xf numFmtId="169" fontId="88" fillId="16" borderId="0" xfId="0" applyNumberFormat="1" applyFont="1" applyFill="1" applyBorder="1" applyAlignment="1">
      <alignment horizontal="center"/>
    </xf>
    <xf numFmtId="9" fontId="51" fillId="0" borderId="18" xfId="0" applyNumberFormat="1" applyFont="1" applyBorder="1" applyAlignment="1" applyProtection="1">
      <alignment horizontal="center" vertical="center"/>
    </xf>
    <xf numFmtId="169" fontId="111" fillId="69" borderId="232" xfId="0" applyNumberFormat="1" applyFont="1" applyFill="1" applyBorder="1" applyAlignment="1">
      <alignment horizontal="center" vertical="center"/>
    </xf>
    <xf numFmtId="169" fontId="111" fillId="69" borderId="233" xfId="0" applyNumberFormat="1" applyFont="1" applyFill="1" applyBorder="1" applyAlignment="1">
      <alignment horizontal="center" vertical="center"/>
    </xf>
    <xf numFmtId="169" fontId="111" fillId="69" borderId="234" xfId="0" applyNumberFormat="1" applyFont="1" applyFill="1" applyBorder="1" applyAlignment="1">
      <alignment horizontal="center" vertical="center"/>
    </xf>
    <xf numFmtId="169" fontId="111" fillId="67" borderId="232" xfId="0" applyNumberFormat="1" applyFont="1" applyFill="1" applyBorder="1" applyAlignment="1">
      <alignment horizontal="center" vertical="center"/>
    </xf>
    <xf numFmtId="169" fontId="111" fillId="67" borderId="233" xfId="0" applyNumberFormat="1" applyFont="1" applyFill="1" applyBorder="1" applyAlignment="1">
      <alignment horizontal="center" vertical="center"/>
    </xf>
    <xf numFmtId="169" fontId="111" fillId="67" borderId="234" xfId="0" applyNumberFormat="1" applyFont="1" applyFill="1" applyBorder="1" applyAlignment="1">
      <alignment horizontal="center" vertical="center"/>
    </xf>
    <xf numFmtId="169" fontId="111" fillId="15" borderId="232" xfId="0" applyNumberFormat="1" applyFont="1" applyFill="1" applyBorder="1" applyAlignment="1">
      <alignment horizontal="center" vertical="center"/>
    </xf>
    <xf numFmtId="169" fontId="111" fillId="15" borderId="233" xfId="0" applyNumberFormat="1" applyFont="1" applyFill="1" applyBorder="1" applyAlignment="1">
      <alignment horizontal="center" vertical="center"/>
    </xf>
    <xf numFmtId="169" fontId="111" fillId="15" borderId="234" xfId="0" applyNumberFormat="1" applyFont="1" applyFill="1" applyBorder="1" applyAlignment="1">
      <alignment horizontal="center" vertical="center"/>
    </xf>
    <xf numFmtId="169" fontId="111" fillId="70" borderId="232" xfId="0" applyNumberFormat="1" applyFont="1" applyFill="1" applyBorder="1" applyAlignment="1">
      <alignment horizontal="center" vertical="center"/>
    </xf>
    <xf numFmtId="169" fontId="111" fillId="70" borderId="233" xfId="0" applyNumberFormat="1" applyFont="1" applyFill="1" applyBorder="1" applyAlignment="1">
      <alignment horizontal="center" vertical="center"/>
    </xf>
    <xf numFmtId="169" fontId="111" fillId="70" borderId="234" xfId="0" applyNumberFormat="1" applyFont="1" applyFill="1" applyBorder="1" applyAlignment="1">
      <alignment horizontal="center" vertical="center"/>
    </xf>
    <xf numFmtId="0" fontId="90" fillId="75" borderId="28" xfId="0" applyFont="1" applyFill="1" applyBorder="1" applyAlignment="1" applyProtection="1">
      <alignment horizontal="center" vertical="center"/>
    </xf>
    <xf numFmtId="0" fontId="90" fillId="75" borderId="29" xfId="0" applyFont="1" applyFill="1" applyBorder="1" applyAlignment="1" applyProtection="1">
      <alignment horizontal="center" vertical="center"/>
    </xf>
    <xf numFmtId="0" fontId="90" fillId="75" borderId="30" xfId="0" applyFont="1" applyFill="1" applyBorder="1" applyAlignment="1" applyProtection="1">
      <alignment horizontal="center" vertical="center"/>
    </xf>
    <xf numFmtId="9" fontId="51" fillId="0" borderId="0" xfId="0" applyNumberFormat="1" applyFont="1" applyFill="1" applyBorder="1" applyAlignment="1" applyProtection="1">
      <alignment horizontal="center" vertical="center"/>
    </xf>
    <xf numFmtId="9" fontId="51" fillId="14" borderId="0" xfId="0" applyNumberFormat="1" applyFont="1" applyFill="1" applyBorder="1" applyAlignment="1" applyProtection="1">
      <alignment horizontal="center" vertical="center"/>
    </xf>
    <xf numFmtId="169" fontId="90" fillId="74" borderId="28" xfId="0" quotePrefix="1" applyNumberFormat="1" applyFont="1" applyFill="1" applyBorder="1" applyAlignment="1" applyProtection="1">
      <alignment horizontal="center"/>
    </xf>
    <xf numFmtId="169" fontId="90" fillId="74" borderId="29" xfId="0" quotePrefix="1" applyNumberFormat="1" applyFont="1" applyFill="1" applyBorder="1" applyAlignment="1" applyProtection="1">
      <alignment horizontal="center"/>
    </xf>
    <xf numFmtId="169" fontId="90" fillId="74" borderId="30" xfId="0" quotePrefix="1" applyNumberFormat="1" applyFont="1" applyFill="1" applyBorder="1" applyAlignment="1" applyProtection="1">
      <alignment horizontal="center"/>
    </xf>
    <xf numFmtId="169" fontId="90" fillId="28" borderId="28" xfId="0" quotePrefix="1" applyNumberFormat="1" applyFont="1" applyFill="1" applyBorder="1" applyAlignment="1" applyProtection="1">
      <alignment horizontal="center"/>
    </xf>
    <xf numFmtId="169" fontId="90" fillId="28" borderId="29" xfId="0" quotePrefix="1" applyNumberFormat="1" applyFont="1" applyFill="1" applyBorder="1" applyAlignment="1" applyProtection="1">
      <alignment horizontal="center"/>
    </xf>
    <xf numFmtId="169" fontId="90" fillId="28" borderId="30" xfId="0" quotePrefix="1" applyNumberFormat="1" applyFont="1" applyFill="1" applyBorder="1" applyAlignment="1" applyProtection="1">
      <alignment horizontal="center"/>
    </xf>
    <xf numFmtId="9" fontId="51" fillId="0" borderId="18" xfId="0" applyNumberFormat="1" applyFont="1" applyFill="1" applyBorder="1" applyAlignment="1" applyProtection="1">
      <alignment horizontal="center" vertical="center"/>
    </xf>
    <xf numFmtId="0" fontId="60" fillId="12" borderId="28" xfId="22" applyFont="1" applyFill="1" applyBorder="1" applyAlignment="1">
      <alignment horizontal="center" vertical="center"/>
    </xf>
    <xf numFmtId="0" fontId="60" fillId="12" borderId="29" xfId="22" applyFont="1" applyFill="1" applyBorder="1" applyAlignment="1">
      <alignment horizontal="center" vertical="center"/>
    </xf>
    <xf numFmtId="0" fontId="60" fillId="12" borderId="30" xfId="22" applyFont="1" applyFill="1" applyBorder="1" applyAlignment="1">
      <alignment horizontal="center" vertical="center"/>
    </xf>
    <xf numFmtId="0" fontId="60" fillId="12" borderId="28" xfId="22" applyFont="1" applyFill="1" applyBorder="1" applyAlignment="1">
      <alignment horizontal="center" vertical="center" wrapText="1"/>
    </xf>
    <xf numFmtId="0" fontId="60" fillId="12" borderId="29" xfId="22" applyFont="1" applyFill="1" applyBorder="1" applyAlignment="1">
      <alignment horizontal="center" vertical="center" wrapText="1"/>
    </xf>
    <xf numFmtId="0" fontId="60" fillId="12" borderId="30" xfId="22" applyFont="1" applyFill="1" applyBorder="1" applyAlignment="1">
      <alignment horizontal="center" vertical="center" wrapText="1"/>
    </xf>
    <xf numFmtId="0" fontId="61" fillId="68" borderId="292" xfId="22" applyFont="1" applyFill="1" applyBorder="1" applyAlignment="1">
      <alignment horizontal="left" vertical="center" wrapText="1"/>
    </xf>
    <xf numFmtId="0" fontId="61" fillId="68" borderId="41" xfId="22" applyFont="1" applyFill="1" applyBorder="1" applyAlignment="1">
      <alignment horizontal="left" vertical="center" wrapText="1"/>
    </xf>
    <xf numFmtId="0" fontId="61" fillId="68" borderId="159" xfId="0" applyFont="1" applyFill="1" applyBorder="1" applyAlignment="1">
      <alignment horizontal="center"/>
    </xf>
    <xf numFmtId="0" fontId="61" fillId="68" borderId="165" xfId="0" applyFont="1" applyFill="1" applyBorder="1" applyAlignment="1">
      <alignment horizontal="center"/>
    </xf>
    <xf numFmtId="0" fontId="61" fillId="68" borderId="153" xfId="0" applyFont="1" applyFill="1" applyBorder="1" applyAlignment="1">
      <alignment horizontal="center"/>
    </xf>
    <xf numFmtId="0" fontId="17" fillId="68" borderId="159" xfId="0" applyFont="1" applyFill="1" applyBorder="1" applyAlignment="1">
      <alignment horizontal="center"/>
    </xf>
    <xf numFmtId="0" fontId="17" fillId="68" borderId="165" xfId="0" applyFont="1" applyFill="1" applyBorder="1" applyAlignment="1">
      <alignment horizontal="center"/>
    </xf>
    <xf numFmtId="0" fontId="17" fillId="68" borderId="153" xfId="0" applyFont="1" applyFill="1" applyBorder="1" applyAlignment="1">
      <alignment horizontal="center"/>
    </xf>
    <xf numFmtId="0" fontId="62" fillId="13" borderId="159" xfId="22" applyFont="1" applyFill="1" applyBorder="1" applyAlignment="1">
      <alignment horizontal="center" vertical="center" wrapText="1"/>
    </xf>
    <xf numFmtId="0" fontId="62" fillId="13" borderId="165" xfId="22" applyFont="1" applyFill="1" applyBorder="1" applyAlignment="1">
      <alignment horizontal="center" vertical="center" wrapText="1"/>
    </xf>
    <xf numFmtId="0" fontId="62" fillId="13" borderId="153" xfId="22" applyFont="1" applyFill="1" applyBorder="1" applyAlignment="1">
      <alignment horizontal="center" vertical="center" wrapText="1"/>
    </xf>
    <xf numFmtId="0" fontId="61" fillId="61" borderId="159" xfId="0" applyFont="1" applyFill="1" applyBorder="1" applyAlignment="1" applyProtection="1">
      <alignment horizontal="center" vertical="center" wrapText="1"/>
      <protection locked="0"/>
    </xf>
    <xf numFmtId="0" fontId="61" fillId="61" borderId="165" xfId="0" applyFont="1" applyFill="1" applyBorder="1" applyAlignment="1" applyProtection="1">
      <alignment horizontal="center" vertical="center" wrapText="1"/>
      <protection locked="0"/>
    </xf>
    <xf numFmtId="0" fontId="61" fillId="61" borderId="153" xfId="0" applyFont="1" applyFill="1" applyBorder="1" applyAlignment="1" applyProtection="1">
      <alignment horizontal="center" vertical="center" wrapText="1"/>
      <protection locked="0"/>
    </xf>
    <xf numFmtId="0" fontId="67" fillId="61" borderId="159" xfId="0" applyFont="1" applyFill="1" applyBorder="1" applyAlignment="1" applyProtection="1">
      <alignment horizontal="center"/>
      <protection locked="0"/>
    </xf>
    <xf numFmtId="0" fontId="67" fillId="61" borderId="165" xfId="0" applyFont="1" applyFill="1" applyBorder="1" applyAlignment="1" applyProtection="1">
      <alignment horizontal="center"/>
      <protection locked="0"/>
    </xf>
    <xf numFmtId="0" fontId="67" fillId="61" borderId="153" xfId="0" applyFont="1" applyFill="1" applyBorder="1" applyAlignment="1" applyProtection="1">
      <alignment horizontal="center"/>
      <protection locked="0"/>
    </xf>
    <xf numFmtId="0" fontId="82" fillId="14" borderId="0" xfId="0" applyFont="1" applyFill="1" applyBorder="1" applyAlignment="1" applyProtection="1">
      <alignment horizontal="center" vertical="center" wrapText="1"/>
    </xf>
    <xf numFmtId="0" fontId="82" fillId="14" borderId="18" xfId="0" applyFont="1" applyFill="1" applyBorder="1" applyAlignment="1" applyProtection="1">
      <alignment horizontal="center" vertical="center" wrapText="1"/>
    </xf>
    <xf numFmtId="0" fontId="17" fillId="0" borderId="110" xfId="0" applyFont="1" applyFill="1" applyBorder="1" applyAlignment="1">
      <alignment horizontal="left" vertical="center" wrapText="1"/>
    </xf>
    <xf numFmtId="0" fontId="17" fillId="0" borderId="112" xfId="0" applyFont="1" applyFill="1" applyBorder="1" applyAlignment="1">
      <alignment horizontal="left" vertical="center" wrapText="1"/>
    </xf>
    <xf numFmtId="0" fontId="17" fillId="0" borderId="111" xfId="0" applyFont="1" applyFill="1" applyBorder="1" applyAlignment="1">
      <alignment horizontal="left" vertical="center" wrapText="1"/>
    </xf>
    <xf numFmtId="0" fontId="82" fillId="14" borderId="93" xfId="13" applyFont="1" applyFill="1" applyBorder="1" applyAlignment="1" applyProtection="1">
      <alignment horizontal="center" vertical="top" wrapText="1"/>
    </xf>
    <xf numFmtId="0" fontId="82" fillId="14" borderId="73" xfId="13" applyFont="1" applyFill="1" applyBorder="1" applyAlignment="1" applyProtection="1">
      <alignment horizontal="center" vertical="top" wrapText="1"/>
    </xf>
    <xf numFmtId="0" fontId="82" fillId="14" borderId="105" xfId="13" applyFont="1" applyFill="1" applyBorder="1" applyAlignment="1" applyProtection="1">
      <alignment horizontal="center" vertical="top" wrapText="1"/>
    </xf>
    <xf numFmtId="168" fontId="17" fillId="0" borderId="82" xfId="13" applyNumberFormat="1" applyFont="1" applyFill="1" applyBorder="1" applyAlignment="1" applyProtection="1">
      <alignment horizontal="left" vertical="center" wrapText="1"/>
    </xf>
    <xf numFmtId="0" fontId="17" fillId="0" borderId="82" xfId="0" applyFont="1" applyFill="1" applyBorder="1" applyAlignment="1" applyProtection="1">
      <alignment horizontal="left" vertical="center" wrapText="1"/>
    </xf>
    <xf numFmtId="0" fontId="17" fillId="0" borderId="113" xfId="0" applyFont="1" applyFill="1" applyBorder="1" applyAlignment="1">
      <alignment horizontal="left" vertical="center" wrapText="1"/>
    </xf>
    <xf numFmtId="0" fontId="17" fillId="0" borderId="49" xfId="0" applyFont="1" applyFill="1" applyBorder="1" applyAlignment="1">
      <alignment horizontal="left" vertical="center" wrapText="1"/>
    </xf>
    <xf numFmtId="0" fontId="17" fillId="0" borderId="159" xfId="0" applyNumberFormat="1" applyFont="1" applyFill="1" applyBorder="1" applyAlignment="1">
      <alignment horizontal="left" vertical="center" wrapText="1"/>
    </xf>
    <xf numFmtId="0" fontId="17" fillId="0" borderId="162" xfId="0" applyNumberFormat="1" applyFont="1" applyFill="1" applyBorder="1" applyAlignment="1">
      <alignment horizontal="left" vertical="center" wrapText="1"/>
    </xf>
    <xf numFmtId="0" fontId="17" fillId="0" borderId="163" xfId="0" applyNumberFormat="1" applyFont="1" applyFill="1" applyBorder="1" applyAlignment="1">
      <alignment horizontal="left" vertical="center" wrapText="1"/>
    </xf>
    <xf numFmtId="0" fontId="126" fillId="87" borderId="0" xfId="71" applyFont="1" applyFill="1" applyBorder="1" applyAlignment="1" applyProtection="1">
      <alignment horizontal="center" vertical="center"/>
    </xf>
    <xf numFmtId="0" fontId="125" fillId="26" borderId="0" xfId="71" applyFont="1" applyFill="1" applyBorder="1" applyAlignment="1" applyProtection="1">
      <alignment horizontal="left" vertical="center" indent="1"/>
    </xf>
    <xf numFmtId="0" fontId="113" fillId="14" borderId="0" xfId="71" applyFont="1" applyFill="1" applyBorder="1" applyAlignment="1" applyProtection="1">
      <alignment vertical="center"/>
    </xf>
    <xf numFmtId="0" fontId="67" fillId="0" borderId="4" xfId="0" applyFont="1" applyBorder="1" applyAlignment="1">
      <alignment horizontal="left"/>
    </xf>
    <xf numFmtId="0" fontId="67" fillId="0" borderId="6" xfId="0" applyFont="1" applyBorder="1" applyAlignment="1">
      <alignment horizontal="left"/>
    </xf>
    <xf numFmtId="0" fontId="59" fillId="84" borderId="73" xfId="0" applyFont="1" applyFill="1" applyBorder="1" applyAlignment="1">
      <alignment horizontal="left" vertical="center" textRotation="90"/>
    </xf>
    <xf numFmtId="0" fontId="59" fillId="84" borderId="0" xfId="0" applyFont="1" applyFill="1" applyBorder="1" applyAlignment="1">
      <alignment horizontal="left" vertical="center" textRotation="90"/>
    </xf>
    <xf numFmtId="0" fontId="49" fillId="97" borderId="0" xfId="0" applyFont="1" applyFill="1" applyAlignment="1">
      <alignment horizontal="center" vertical="center" textRotation="90"/>
    </xf>
    <xf numFmtId="0" fontId="67" fillId="83" borderId="168" xfId="0" applyFont="1" applyFill="1" applyBorder="1" applyAlignment="1">
      <alignment horizontal="left"/>
    </xf>
    <xf numFmtId="0" fontId="67" fillId="83" borderId="282" xfId="0" applyFont="1" applyFill="1" applyBorder="1" applyAlignment="1">
      <alignment horizontal="left"/>
    </xf>
    <xf numFmtId="0" fontId="67" fillId="83" borderId="283" xfId="0" applyFont="1" applyFill="1" applyBorder="1" applyAlignment="1">
      <alignment horizontal="left"/>
    </xf>
    <xf numFmtId="0" fontId="49" fillId="74" borderId="121" xfId="0" applyFont="1" applyFill="1" applyBorder="1" applyAlignment="1">
      <alignment horizontal="center" vertical="center" textRotation="90"/>
    </xf>
    <xf numFmtId="0" fontId="49" fillId="74" borderId="118" xfId="0" applyFont="1" applyFill="1" applyBorder="1" applyAlignment="1">
      <alignment horizontal="center" vertical="center" textRotation="90"/>
    </xf>
    <xf numFmtId="0" fontId="49" fillId="74" borderId="117" xfId="0" applyFont="1" applyFill="1" applyBorder="1" applyAlignment="1">
      <alignment horizontal="center" vertical="center" textRotation="90"/>
    </xf>
    <xf numFmtId="0" fontId="49" fillId="11" borderId="121" xfId="0" applyFont="1" applyFill="1" applyBorder="1" applyAlignment="1">
      <alignment horizontal="center" vertical="center" textRotation="90"/>
    </xf>
    <xf numFmtId="0" fontId="49" fillId="11" borderId="118" xfId="0" applyFont="1" applyFill="1" applyBorder="1" applyAlignment="1">
      <alignment horizontal="center" vertical="center" textRotation="90"/>
    </xf>
    <xf numFmtId="0" fontId="49" fillId="11" borderId="117" xfId="0" applyFont="1" applyFill="1" applyBorder="1" applyAlignment="1">
      <alignment horizontal="center" vertical="center" textRotation="90"/>
    </xf>
    <xf numFmtId="0" fontId="18" fillId="86" borderId="258" xfId="71" applyFont="1" applyFill="1" applyBorder="1" applyAlignment="1">
      <alignment horizontal="center" vertical="center" textRotation="90" wrapText="1"/>
    </xf>
    <xf numFmtId="0" fontId="18" fillId="86" borderId="5" xfId="71" applyFont="1" applyFill="1" applyBorder="1" applyAlignment="1">
      <alignment horizontal="center" vertical="center" textRotation="90"/>
    </xf>
    <xf numFmtId="0" fontId="18" fillId="86" borderId="2" xfId="71" applyFont="1" applyFill="1" applyBorder="1" applyAlignment="1">
      <alignment horizontal="center" vertical="center" textRotation="90"/>
    </xf>
    <xf numFmtId="0" fontId="67" fillId="0" borderId="4" xfId="0" applyFont="1" applyBorder="1"/>
    <xf numFmtId="0" fontId="67" fillId="0" borderId="6" xfId="0" applyFont="1" applyBorder="1"/>
    <xf numFmtId="0" fontId="131" fillId="83" borderId="29" xfId="71" applyFont="1" applyFill="1" applyBorder="1" applyAlignment="1">
      <alignment horizontal="left"/>
    </xf>
    <xf numFmtId="0" fontId="131" fillId="83" borderId="30" xfId="71" applyFont="1" applyFill="1" applyBorder="1" applyAlignment="1">
      <alignment horizontal="left"/>
    </xf>
    <xf numFmtId="0" fontId="67" fillId="0" borderId="15" xfId="0" applyFont="1" applyBorder="1"/>
    <xf numFmtId="0" fontId="67" fillId="0" borderId="34" xfId="0" applyFont="1" applyBorder="1"/>
    <xf numFmtId="0" fontId="131" fillId="83" borderId="28" xfId="71" applyFont="1" applyFill="1" applyBorder="1" applyAlignment="1">
      <alignment horizontal="left"/>
    </xf>
    <xf numFmtId="0" fontId="148" fillId="96" borderId="0" xfId="71" applyFont="1" applyFill="1" applyBorder="1" applyAlignment="1">
      <alignment horizontal="left"/>
    </xf>
    <xf numFmtId="0" fontId="138" fillId="96" borderId="0" xfId="71" applyFont="1" applyFill="1" applyBorder="1" applyAlignment="1">
      <alignment horizontal="left"/>
    </xf>
    <xf numFmtId="0" fontId="18" fillId="28" borderId="155" xfId="71" applyFont="1" applyFill="1" applyBorder="1" applyAlignment="1">
      <alignment horizontal="center" vertical="center" textRotation="90"/>
    </xf>
    <xf numFmtId="0" fontId="18" fillId="28" borderId="5" xfId="71" applyFont="1" applyFill="1" applyBorder="1" applyAlignment="1">
      <alignment horizontal="center" vertical="center" textRotation="90"/>
    </xf>
    <xf numFmtId="0" fontId="18" fillId="28" borderId="2" xfId="71" applyFont="1" applyFill="1" applyBorder="1" applyAlignment="1">
      <alignment horizontal="center" vertical="center" textRotation="90"/>
    </xf>
    <xf numFmtId="0" fontId="61" fillId="25" borderId="0" xfId="12" applyFont="1" applyFill="1" applyBorder="1" applyAlignment="1">
      <alignment horizontal="left" indent="1"/>
    </xf>
    <xf numFmtId="0" fontId="61" fillId="25" borderId="0" xfId="12" applyFont="1" applyFill="1" applyBorder="1" applyAlignment="1">
      <alignment horizontal="left"/>
    </xf>
    <xf numFmtId="0" fontId="151" fillId="25" borderId="0" xfId="12" applyFont="1" applyFill="1" applyBorder="1" applyAlignment="1">
      <alignment horizontal="left"/>
    </xf>
    <xf numFmtId="0" fontId="135" fillId="11" borderId="0" xfId="0" applyFont="1" applyFill="1" applyAlignment="1" applyProtection="1">
      <alignment horizontal="left" vertical="center"/>
    </xf>
    <xf numFmtId="0" fontId="135" fillId="11" borderId="0" xfId="0" applyFont="1" applyFill="1" applyAlignment="1" applyProtection="1">
      <alignment vertical="center"/>
    </xf>
    <xf numFmtId="0" fontId="60" fillId="25" borderId="0" xfId="12" applyFont="1" applyFill="1" applyBorder="1" applyAlignment="1">
      <alignment horizontal="left"/>
    </xf>
    <xf numFmtId="0" fontId="129" fillId="95" borderId="121" xfId="12" applyFont="1" applyFill="1" applyBorder="1" applyAlignment="1">
      <alignment horizontal="center" vertical="top" textRotation="90"/>
    </xf>
    <xf numFmtId="0" fontId="129" fillId="95" borderId="118" xfId="12" applyFont="1" applyFill="1" applyBorder="1" applyAlignment="1">
      <alignment horizontal="center" vertical="top" textRotation="90"/>
    </xf>
    <xf numFmtId="0" fontId="130" fillId="88" borderId="121" xfId="0" applyFont="1" applyFill="1" applyBorder="1" applyAlignment="1">
      <alignment horizontal="center" vertical="top" textRotation="90"/>
    </xf>
    <xf numFmtId="0" fontId="130" fillId="88" borderId="118" xfId="0" applyFont="1" applyFill="1" applyBorder="1" applyAlignment="1">
      <alignment horizontal="center" vertical="top" textRotation="90"/>
    </xf>
    <xf numFmtId="0" fontId="130" fillId="88" borderId="117" xfId="0" applyFont="1" applyFill="1" applyBorder="1" applyAlignment="1">
      <alignment horizontal="center" vertical="top" textRotation="90"/>
    </xf>
    <xf numFmtId="0" fontId="130" fillId="74" borderId="121" xfId="0" applyFont="1" applyFill="1" applyBorder="1" applyAlignment="1">
      <alignment horizontal="center" vertical="top" textRotation="90"/>
    </xf>
    <xf numFmtId="0" fontId="130" fillId="74" borderId="118" xfId="0" applyFont="1" applyFill="1" applyBorder="1" applyAlignment="1">
      <alignment horizontal="center" vertical="top" textRotation="90"/>
    </xf>
    <xf numFmtId="0" fontId="130" fillId="74" borderId="117" xfId="0" applyFont="1" applyFill="1" applyBorder="1" applyAlignment="1">
      <alignment horizontal="center" vertical="top" textRotation="90"/>
    </xf>
    <xf numFmtId="0" fontId="67" fillId="0" borderId="0" xfId="71" applyFont="1"/>
    <xf numFmtId="0" fontId="137" fillId="25" borderId="0" xfId="12" applyFont="1" applyFill="1" applyBorder="1" applyAlignment="1">
      <alignment horizontal="left"/>
    </xf>
    <xf numFmtId="0" fontId="119" fillId="26" borderId="0" xfId="0" applyFont="1" applyFill="1" applyBorder="1" applyAlignment="1">
      <alignment horizontal="center" vertical="center" wrapText="1"/>
    </xf>
    <xf numFmtId="0" fontId="127" fillId="70" borderId="0" xfId="0" applyFont="1" applyFill="1" applyBorder="1" applyAlignment="1">
      <alignment horizontal="center" vertical="top"/>
    </xf>
    <xf numFmtId="0" fontId="85" fillId="14" borderId="0" xfId="13" applyNumberFormat="1" applyFont="1" applyFill="1" applyBorder="1" applyAlignment="1">
      <alignment horizontal="center" vertical="center" wrapText="1"/>
    </xf>
    <xf numFmtId="0" fontId="70" fillId="10" borderId="28" xfId="13" applyFont="1" applyFill="1" applyBorder="1" applyAlignment="1">
      <alignment horizontal="center" vertical="center" wrapText="1"/>
    </xf>
    <xf numFmtId="0" fontId="70" fillId="10" borderId="98" xfId="13" applyFont="1" applyFill="1" applyBorder="1" applyAlignment="1">
      <alignment horizontal="center" vertical="center" wrapText="1"/>
    </xf>
    <xf numFmtId="0" fontId="74" fillId="72" borderId="28" xfId="13" applyFont="1" applyFill="1" applyBorder="1" applyAlignment="1">
      <alignment horizontal="center" vertical="center"/>
    </xf>
    <xf numFmtId="0" fontId="74" fillId="72" borderId="29" xfId="13" applyFont="1" applyFill="1" applyBorder="1" applyAlignment="1">
      <alignment horizontal="center" vertical="center"/>
    </xf>
    <xf numFmtId="0" fontId="74" fillId="72" borderId="73" xfId="13" applyFont="1" applyFill="1" applyBorder="1" applyAlignment="1">
      <alignment horizontal="center" vertical="center"/>
    </xf>
    <xf numFmtId="0" fontId="4" fillId="0" borderId="30" xfId="13" applyFont="1" applyBorder="1" applyAlignment="1"/>
    <xf numFmtId="0" fontId="25" fillId="10" borderId="0" xfId="13" applyFont="1" applyFill="1" applyBorder="1" applyAlignment="1">
      <alignment horizontal="center" vertical="center" wrapText="1"/>
    </xf>
    <xf numFmtId="0" fontId="25" fillId="10" borderId="34" xfId="13" applyFont="1" applyFill="1" applyBorder="1" applyAlignment="1">
      <alignment horizontal="center" vertical="center" wrapText="1"/>
    </xf>
    <xf numFmtId="0" fontId="72" fillId="0" borderId="121" xfId="13" applyFont="1" applyBorder="1" applyAlignment="1">
      <alignment horizontal="left" vertical="center" wrapText="1" indent="1"/>
    </xf>
    <xf numFmtId="0" fontId="72" fillId="0" borderId="118" xfId="13" applyFont="1" applyBorder="1" applyAlignment="1">
      <alignment horizontal="left" vertical="center" wrapText="1" indent="1"/>
    </xf>
    <xf numFmtId="0" fontId="72" fillId="0" borderId="117" xfId="13" applyFont="1" applyBorder="1" applyAlignment="1">
      <alignment horizontal="left" vertical="center" wrapText="1" indent="1"/>
    </xf>
    <xf numFmtId="0" fontId="69" fillId="0" borderId="29" xfId="13" applyFont="1" applyBorder="1" applyAlignment="1">
      <alignment horizontal="left" vertical="center" wrapText="1"/>
    </xf>
    <xf numFmtId="0" fontId="4" fillId="0" borderId="98" xfId="13" applyFont="1" applyBorder="1" applyAlignment="1">
      <alignment vertical="center" wrapText="1"/>
    </xf>
    <xf numFmtId="0" fontId="69" fillId="0" borderId="73" xfId="13" applyFont="1" applyBorder="1" applyAlignment="1">
      <alignment horizontal="left" vertical="center" wrapText="1"/>
    </xf>
    <xf numFmtId="0" fontId="69" fillId="0" borderId="105" xfId="13" applyFont="1" applyBorder="1" applyAlignment="1">
      <alignment horizontal="left" vertical="center" wrapText="1"/>
    </xf>
    <xf numFmtId="0" fontId="69" fillId="0" borderId="0" xfId="13" applyFont="1" applyBorder="1" applyAlignment="1">
      <alignment horizontal="left" vertical="center" wrapText="1"/>
    </xf>
    <xf numFmtId="0" fontId="69" fillId="0" borderId="34" xfId="13" applyFont="1" applyBorder="1" applyAlignment="1">
      <alignment horizontal="left" vertical="center" wrapText="1"/>
    </xf>
    <xf numFmtId="0" fontId="69" fillId="0" borderId="99" xfId="13" applyFont="1" applyBorder="1" applyAlignment="1">
      <alignment horizontal="left" vertical="center" wrapText="1"/>
    </xf>
    <xf numFmtId="0" fontId="69" fillId="0" borderId="100" xfId="13" applyFont="1" applyBorder="1" applyAlignment="1">
      <alignment horizontal="left" vertical="center" wrapText="1"/>
    </xf>
    <xf numFmtId="0" fontId="73" fillId="0" borderId="99" xfId="13" applyFont="1" applyBorder="1" applyAlignment="1">
      <alignment horizontal="left" vertical="center" wrapText="1"/>
    </xf>
    <xf numFmtId="0" fontId="25" fillId="0" borderId="100" xfId="13" applyFont="1" applyBorder="1" applyAlignment="1">
      <alignment vertical="center" wrapText="1"/>
    </xf>
    <xf numFmtId="0" fontId="72" fillId="0" borderId="122" xfId="13" applyFont="1" applyBorder="1" applyAlignment="1">
      <alignment horizontal="left" vertical="center" wrapText="1" indent="1"/>
    </xf>
    <xf numFmtId="0" fontId="4" fillId="0" borderId="72" xfId="13" applyFont="1" applyBorder="1" applyAlignment="1">
      <alignment horizontal="left" vertical="center" wrapText="1" indent="1"/>
    </xf>
    <xf numFmtId="0" fontId="69" fillId="0" borderId="156" xfId="13" applyFont="1" applyBorder="1" applyAlignment="1">
      <alignment horizontal="left" vertical="center" wrapText="1"/>
    </xf>
    <xf numFmtId="0" fontId="69" fillId="0" borderId="154" xfId="13" applyFont="1" applyBorder="1" applyAlignment="1">
      <alignment vertical="center" wrapText="1"/>
    </xf>
    <xf numFmtId="0" fontId="4" fillId="0" borderId="29" xfId="13" applyFont="1" applyBorder="1" applyAlignment="1">
      <alignment horizontal="left" vertical="center" wrapText="1"/>
    </xf>
    <xf numFmtId="0" fontId="4" fillId="0" borderId="10" xfId="13" applyFont="1" applyBorder="1" applyAlignment="1">
      <alignment horizontal="left" vertical="center" wrapText="1"/>
    </xf>
    <xf numFmtId="0" fontId="4" fillId="0" borderId="11" xfId="13" applyFont="1" applyBorder="1" applyAlignment="1">
      <alignment vertical="center" wrapText="1"/>
    </xf>
    <xf numFmtId="0" fontId="69" fillId="0" borderId="10" xfId="13" applyFont="1" applyBorder="1" applyAlignment="1">
      <alignment horizontal="left" vertical="center" wrapText="1"/>
    </xf>
    <xf numFmtId="0" fontId="69" fillId="0" borderId="11" xfId="13" applyFont="1" applyBorder="1" applyAlignment="1">
      <alignment horizontal="left" vertical="center" wrapText="1"/>
    </xf>
    <xf numFmtId="0" fontId="4" fillId="0" borderId="0" xfId="13" applyFont="1" applyAlignment="1">
      <alignment horizontal="left" vertical="top" wrapText="1"/>
    </xf>
    <xf numFmtId="0" fontId="4" fillId="0" borderId="0" xfId="13" applyFont="1" applyAlignment="1"/>
    <xf numFmtId="0" fontId="76" fillId="0" borderId="0" xfId="13" applyFont="1" applyAlignment="1">
      <alignment horizontal="center" vertical="center"/>
    </xf>
    <xf numFmtId="0" fontId="75" fillId="0" borderId="0" xfId="13" applyFont="1" applyAlignment="1">
      <alignment horizontal="center"/>
    </xf>
    <xf numFmtId="0" fontId="4" fillId="0" borderId="0" xfId="13" quotePrefix="1" applyFont="1" applyAlignment="1">
      <alignment horizontal="left" vertical="top" wrapText="1"/>
    </xf>
    <xf numFmtId="0" fontId="4" fillId="0" borderId="93" xfId="13" applyFont="1" applyBorder="1" applyAlignment="1">
      <alignment horizontal="left" vertical="center" wrapText="1"/>
    </xf>
    <xf numFmtId="0" fontId="4" fillId="0" borderId="73" xfId="13" applyFont="1" applyBorder="1" applyAlignment="1">
      <alignment horizontal="left" vertical="center" wrapText="1"/>
    </xf>
    <xf numFmtId="0" fontId="4" fillId="0" borderId="89" xfId="13" applyFont="1" applyBorder="1" applyAlignment="1">
      <alignment horizontal="left" vertical="center" wrapText="1"/>
    </xf>
    <xf numFmtId="0" fontId="4" fillId="0" borderId="14" xfId="13" applyFont="1" applyBorder="1" applyAlignment="1">
      <alignment horizontal="left" vertical="center" wrapText="1"/>
    </xf>
    <xf numFmtId="0" fontId="4" fillId="0" borderId="0" xfId="13" applyFont="1" applyBorder="1" applyAlignment="1">
      <alignment horizontal="left" vertical="center" wrapText="1"/>
    </xf>
    <xf numFmtId="0" fontId="4" fillId="0" borderId="18" xfId="13" applyFont="1" applyBorder="1" applyAlignment="1">
      <alignment horizontal="left" vertical="center" wrapText="1"/>
    </xf>
    <xf numFmtId="0" fontId="4" fillId="0" borderId="94" xfId="13" applyFont="1" applyBorder="1" applyAlignment="1">
      <alignment horizontal="left" vertical="center" wrapText="1"/>
    </xf>
    <xf numFmtId="0" fontId="4" fillId="0" borderId="99" xfId="13" applyFont="1" applyBorder="1" applyAlignment="1">
      <alignment horizontal="left" vertical="center" wrapText="1"/>
    </xf>
    <xf numFmtId="0" fontId="4" fillId="0" borderId="95" xfId="13" applyFont="1" applyBorder="1" applyAlignment="1">
      <alignment horizontal="left" vertical="center" wrapText="1"/>
    </xf>
    <xf numFmtId="0" fontId="69" fillId="0" borderId="135" xfId="13" applyFont="1" applyBorder="1" applyAlignment="1">
      <alignment horizontal="center" vertical="center" wrapText="1"/>
    </xf>
    <xf numFmtId="0" fontId="69" fillId="0" borderId="153" xfId="13" applyFont="1" applyBorder="1" applyAlignment="1">
      <alignment horizontal="center" vertical="center" wrapText="1"/>
    </xf>
    <xf numFmtId="0" fontId="25" fillId="0" borderId="99" xfId="13" applyFont="1" applyBorder="1" applyAlignment="1">
      <alignment horizontal="left" vertical="center" wrapText="1"/>
    </xf>
    <xf numFmtId="0" fontId="73" fillId="10" borderId="28" xfId="13" applyFont="1" applyFill="1" applyBorder="1" applyAlignment="1">
      <alignment horizontal="center" vertical="center" wrapText="1"/>
    </xf>
    <xf numFmtId="0" fontId="73" fillId="10" borderId="29" xfId="13" applyFont="1" applyFill="1" applyBorder="1" applyAlignment="1">
      <alignment horizontal="center" vertical="center" wrapText="1"/>
    </xf>
    <xf numFmtId="0" fontId="73" fillId="10" borderId="30" xfId="13" applyFont="1" applyFill="1" applyBorder="1" applyAlignment="1">
      <alignment horizontal="center" vertical="center" wrapText="1"/>
    </xf>
    <xf numFmtId="0" fontId="69" fillId="0" borderId="9" xfId="13" applyFont="1" applyBorder="1" applyAlignment="1">
      <alignment horizontal="center" vertical="center" wrapText="1"/>
    </xf>
    <xf numFmtId="0" fontId="69" fillId="0" borderId="11" xfId="13" applyFont="1" applyBorder="1" applyAlignment="1">
      <alignment horizontal="center" vertical="center" wrapText="1"/>
    </xf>
    <xf numFmtId="0" fontId="69" fillId="0" borderId="155" xfId="13" applyFont="1" applyBorder="1" applyAlignment="1">
      <alignment horizontal="center" vertical="center" wrapText="1"/>
    </xf>
    <xf numFmtId="0" fontId="69" fillId="0" borderId="2" xfId="13" applyFont="1" applyBorder="1" applyAlignment="1">
      <alignment horizontal="center" vertical="center" wrapText="1"/>
    </xf>
    <xf numFmtId="0" fontId="4" fillId="0" borderId="267" xfId="13" applyFont="1" applyBorder="1" applyAlignment="1">
      <alignment horizontal="left" vertical="center" wrapText="1"/>
    </xf>
    <xf numFmtId="0" fontId="4" fillId="0" borderId="0" xfId="13" applyFont="1" applyBorder="1" applyAlignment="1">
      <alignment horizontal="center" vertical="center"/>
    </xf>
    <xf numFmtId="0" fontId="85" fillId="14" borderId="15" xfId="13" applyNumberFormat="1" applyFont="1" applyFill="1" applyBorder="1" applyAlignment="1" applyProtection="1">
      <alignment horizontal="left" vertical="center" wrapText="1"/>
    </xf>
    <xf numFmtId="0" fontId="85" fillId="14" borderId="0" xfId="13" applyNumberFormat="1" applyFont="1" applyFill="1" applyBorder="1" applyAlignment="1" applyProtection="1">
      <alignment horizontal="left" vertical="center" wrapText="1"/>
    </xf>
    <xf numFmtId="171" fontId="85" fillId="14" borderId="0" xfId="13" applyNumberFormat="1" applyFont="1" applyFill="1" applyBorder="1" applyAlignment="1">
      <alignment horizontal="center" vertical="top" wrapText="1"/>
    </xf>
    <xf numFmtId="0" fontId="69" fillId="0" borderId="97" xfId="13" applyFont="1" applyBorder="1" applyAlignment="1">
      <alignment horizontal="center" vertical="center" wrapText="1"/>
    </xf>
    <xf numFmtId="0" fontId="69" fillId="0" borderId="154" xfId="13" applyFont="1" applyBorder="1" applyAlignment="1">
      <alignment horizontal="center" vertical="center" wrapText="1"/>
    </xf>
    <xf numFmtId="0" fontId="67" fillId="13" borderId="12" xfId="0" applyFont="1" applyFill="1" applyBorder="1" applyAlignment="1">
      <alignment horizontal="center" wrapText="1"/>
    </xf>
    <xf numFmtId="0" fontId="67" fillId="13" borderId="7" xfId="0" applyFont="1" applyFill="1" applyBorder="1" applyAlignment="1">
      <alignment horizontal="center" wrapText="1"/>
    </xf>
    <xf numFmtId="0" fontId="86" fillId="0" borderId="81" xfId="0" applyFont="1" applyBorder="1" applyAlignment="1">
      <alignment horizontal="center"/>
    </xf>
    <xf numFmtId="0" fontId="86" fillId="0" borderId="82" xfId="0" applyFont="1" applyBorder="1" applyAlignment="1">
      <alignment horizontal="center"/>
    </xf>
    <xf numFmtId="0" fontId="86" fillId="0" borderId="132" xfId="0" applyFont="1" applyBorder="1" applyAlignment="1">
      <alignment horizontal="center"/>
    </xf>
    <xf numFmtId="0" fontId="86" fillId="0" borderId="125" xfId="0" applyFont="1" applyBorder="1" applyAlignment="1">
      <alignment horizontal="center"/>
    </xf>
    <xf numFmtId="0" fontId="86" fillId="0" borderId="97" xfId="0" applyFont="1" applyBorder="1" applyAlignment="1">
      <alignment horizontal="center"/>
    </xf>
    <xf numFmtId="0" fontId="86" fillId="0" borderId="154" xfId="0" applyFont="1" applyBorder="1" applyAlignment="1">
      <alignment horizontal="center"/>
    </xf>
    <xf numFmtId="0" fontId="67" fillId="0" borderId="41" xfId="0" applyFont="1" applyBorder="1" applyAlignment="1">
      <alignment horizontal="center"/>
    </xf>
    <xf numFmtId="0" fontId="67" fillId="0" borderId="2" xfId="0" applyFont="1" applyBorder="1" applyAlignment="1">
      <alignment horizontal="center"/>
    </xf>
    <xf numFmtId="0" fontId="4" fillId="0" borderId="156" xfId="13" applyFont="1" applyBorder="1" applyAlignment="1">
      <alignment horizontal="left" vertical="center" wrapText="1"/>
    </xf>
    <xf numFmtId="0" fontId="4" fillId="0" borderId="154" xfId="13" applyFont="1" applyBorder="1" applyAlignment="1">
      <alignment horizontal="left" vertical="center" wrapText="1"/>
    </xf>
    <xf numFmtId="0" fontId="47" fillId="70" borderId="250" xfId="0" applyFont="1" applyFill="1" applyBorder="1" applyAlignment="1">
      <alignment horizontal="left" vertical="center" wrapText="1"/>
    </xf>
    <xf numFmtId="0" fontId="47" fillId="70" borderId="73" xfId="0" applyFont="1" applyFill="1" applyBorder="1" applyAlignment="1">
      <alignment horizontal="left" vertical="center" wrapText="1"/>
    </xf>
    <xf numFmtId="0" fontId="47" fillId="70" borderId="251" xfId="0" applyFont="1" applyFill="1" applyBorder="1" applyAlignment="1">
      <alignment horizontal="left" vertical="center" wrapText="1"/>
    </xf>
    <xf numFmtId="0" fontId="47" fillId="70" borderId="245" xfId="0" applyFont="1" applyFill="1" applyBorder="1" applyAlignment="1">
      <alignment horizontal="left" vertical="center" wrapText="1"/>
    </xf>
    <xf numFmtId="0" fontId="47" fillId="70" borderId="99" xfId="0" applyFont="1" applyFill="1" applyBorder="1" applyAlignment="1">
      <alignment horizontal="left" vertical="center" wrapText="1"/>
    </xf>
    <xf numFmtId="0" fontId="47" fillId="70" borderId="204" xfId="0" applyFont="1" applyFill="1" applyBorder="1" applyAlignment="1">
      <alignment horizontal="left" vertical="center" wrapText="1"/>
    </xf>
    <xf numFmtId="0" fontId="42" fillId="82" borderId="220" xfId="0" applyFont="1" applyFill="1" applyBorder="1" applyAlignment="1">
      <alignment horizontal="left" vertical="center" wrapText="1" indent="1"/>
    </xf>
    <xf numFmtId="0" fontId="42" fillId="82" borderId="29" xfId="0" applyFont="1" applyFill="1" applyBorder="1" applyAlignment="1">
      <alignment horizontal="left" vertical="center" wrapText="1" indent="1"/>
    </xf>
    <xf numFmtId="0" fontId="42" fillId="82" borderId="221" xfId="0" applyFont="1" applyFill="1" applyBorder="1" applyAlignment="1">
      <alignment horizontal="left" vertical="center" wrapText="1" indent="1"/>
    </xf>
    <xf numFmtId="0" fontId="39" fillId="14" borderId="232" xfId="0" applyFont="1" applyFill="1" applyBorder="1" applyAlignment="1">
      <alignment vertical="center" wrapText="1"/>
    </xf>
    <xf numFmtId="0" fontId="39" fillId="14" borderId="233" xfId="0" applyFont="1" applyFill="1" applyBorder="1" applyAlignment="1">
      <alignment vertical="center" wrapText="1"/>
    </xf>
    <xf numFmtId="0" fontId="39" fillId="14" borderId="234" xfId="0" applyFont="1" applyFill="1" applyBorder="1" applyAlignment="1">
      <alignment vertical="center" wrapText="1"/>
    </xf>
    <xf numFmtId="0" fontId="100" fillId="0" borderId="28" xfId="0" applyFont="1" applyBorder="1" applyAlignment="1">
      <alignment horizontal="center" vertical="center"/>
    </xf>
    <xf numFmtId="0" fontId="100" fillId="0" borderId="29" xfId="0" applyFont="1" applyBorder="1" applyAlignment="1">
      <alignment horizontal="center" vertical="center"/>
    </xf>
    <xf numFmtId="0" fontId="100" fillId="0" borderId="30" xfId="0" applyFont="1" applyBorder="1" applyAlignment="1">
      <alignment horizontal="center" vertical="center"/>
    </xf>
    <xf numFmtId="0" fontId="102" fillId="0" borderId="168" xfId="0" applyFont="1" applyBorder="1" applyAlignment="1">
      <alignment horizontal="left" vertical="center"/>
    </xf>
    <xf numFmtId="0" fontId="102" fillId="0" borderId="165" xfId="0" applyFont="1" applyBorder="1" applyAlignment="1">
      <alignment horizontal="left" vertical="center"/>
    </xf>
    <xf numFmtId="0" fontId="102" fillId="0" borderId="170" xfId="0" applyFont="1" applyBorder="1" applyAlignment="1">
      <alignment horizontal="left" vertical="center"/>
    </xf>
    <xf numFmtId="0" fontId="42" fillId="82" borderId="194" xfId="0" applyFont="1" applyFill="1" applyBorder="1" applyAlignment="1">
      <alignment vertical="center" wrapText="1"/>
    </xf>
    <xf numFmtId="0" fontId="42" fillId="82" borderId="200" xfId="0" applyFont="1" applyFill="1" applyBorder="1" applyAlignment="1">
      <alignment vertical="center" wrapText="1"/>
    </xf>
    <xf numFmtId="0" fontId="14" fillId="82" borderId="196" xfId="0" applyFont="1" applyFill="1" applyBorder="1" applyAlignment="1">
      <alignment horizontal="center" vertical="center" wrapText="1"/>
    </xf>
    <xf numFmtId="0" fontId="14" fillId="82" borderId="201" xfId="0" applyFont="1" applyFill="1" applyBorder="1" applyAlignment="1">
      <alignment horizontal="center" vertical="center" wrapText="1"/>
    </xf>
    <xf numFmtId="0" fontId="43" fillId="69" borderId="224" xfId="0" quotePrefix="1" applyFont="1" applyFill="1" applyBorder="1" applyAlignment="1">
      <alignment horizontal="left" vertical="center" wrapText="1"/>
    </xf>
    <xf numFmtId="0" fontId="43" fillId="69" borderId="225" xfId="0" quotePrefix="1" applyFont="1" applyFill="1" applyBorder="1" applyAlignment="1">
      <alignment horizontal="left" vertical="center" wrapText="1"/>
    </xf>
    <xf numFmtId="0" fontId="43" fillId="11" borderId="207" xfId="0" quotePrefix="1" applyFont="1" applyFill="1" applyBorder="1" applyAlignment="1">
      <alignment horizontal="left" vertical="center" wrapText="1"/>
    </xf>
    <xf numFmtId="0" fontId="43" fillId="11" borderId="208" xfId="0" quotePrefix="1" applyFont="1" applyFill="1" applyBorder="1" applyAlignment="1">
      <alignment horizontal="left" vertical="center" wrapText="1"/>
    </xf>
    <xf numFmtId="0" fontId="43" fillId="27" borderId="212" xfId="0" quotePrefix="1" applyFont="1" applyFill="1" applyBorder="1" applyAlignment="1">
      <alignment horizontal="left" vertical="center" wrapText="1"/>
    </xf>
    <xf numFmtId="0" fontId="43" fillId="27" borderId="213" xfId="0" quotePrefix="1" applyFont="1" applyFill="1" applyBorder="1" applyAlignment="1">
      <alignment horizontal="left" vertical="center" wrapText="1"/>
    </xf>
    <xf numFmtId="0" fontId="14" fillId="0" borderId="232" xfId="0" applyFont="1" applyFill="1" applyBorder="1" applyAlignment="1">
      <alignment vertical="center" wrapText="1"/>
    </xf>
    <xf numFmtId="0" fontId="14" fillId="0" borderId="233" xfId="0" applyFont="1" applyFill="1" applyBorder="1" applyAlignment="1">
      <alignment vertical="center" wrapText="1"/>
    </xf>
    <xf numFmtId="0" fontId="14" fillId="0" borderId="234" xfId="0" applyFont="1" applyFill="1" applyBorder="1" applyAlignment="1">
      <alignment vertical="center" wrapText="1"/>
    </xf>
    <xf numFmtId="0" fontId="14" fillId="78" borderId="232" xfId="0" applyFont="1" applyFill="1" applyBorder="1" applyAlignment="1">
      <alignment horizontal="left" vertical="center" wrapText="1" indent="3"/>
    </xf>
    <xf numFmtId="0" fontId="14" fillId="78" borderId="233" xfId="0" applyFont="1" applyFill="1" applyBorder="1" applyAlignment="1">
      <alignment horizontal="left" vertical="center" wrapText="1" indent="3"/>
    </xf>
    <xf numFmtId="0" fontId="14" fillId="78" borderId="234" xfId="0" applyFont="1" applyFill="1" applyBorder="1" applyAlignment="1">
      <alignment horizontal="left" vertical="center" wrapText="1" indent="3"/>
    </xf>
    <xf numFmtId="0" fontId="43" fillId="0" borderId="242" xfId="0" applyFont="1" applyBorder="1" applyAlignment="1">
      <alignment horizontal="left" vertical="center" wrapText="1"/>
    </xf>
    <xf numFmtId="0" fontId="43" fillId="0" borderId="243" xfId="0" applyFont="1" applyBorder="1" applyAlignment="1">
      <alignment horizontal="left" vertical="center" wrapText="1"/>
    </xf>
    <xf numFmtId="0" fontId="43" fillId="0" borderId="244" xfId="0" applyFont="1" applyBorder="1" applyAlignment="1">
      <alignment horizontal="left" vertical="center" wrapText="1"/>
    </xf>
    <xf numFmtId="0" fontId="43" fillId="22" borderId="224" xfId="0" quotePrefix="1" applyFont="1" applyFill="1" applyBorder="1" applyAlignment="1">
      <alignment horizontal="left" vertical="center" wrapText="1"/>
    </xf>
    <xf numFmtId="0" fontId="43" fillId="22" borderId="225" xfId="0" quotePrefix="1" applyFont="1" applyFill="1" applyBorder="1" applyAlignment="1">
      <alignment horizontal="left" vertical="center" wrapText="1"/>
    </xf>
    <xf numFmtId="0" fontId="14" fillId="78" borderId="220" xfId="0" applyFont="1" applyFill="1" applyBorder="1" applyAlignment="1">
      <alignment horizontal="left" vertical="center" wrapText="1" indent="1"/>
    </xf>
    <xf numFmtId="0" fontId="14" fillId="78" borderId="29" xfId="0" applyFont="1" applyFill="1" applyBorder="1" applyAlignment="1">
      <alignment horizontal="left" vertical="center" wrapText="1" indent="1"/>
    </xf>
    <xf numFmtId="0" fontId="14" fillId="78" borderId="221" xfId="0" applyFont="1" applyFill="1" applyBorder="1" applyAlignment="1">
      <alignment horizontal="left" vertical="center" wrapText="1" indent="1"/>
    </xf>
    <xf numFmtId="0" fontId="43" fillId="0" borderId="0" xfId="0" applyFont="1" applyBorder="1" applyAlignment="1">
      <alignment horizontal="center" vertical="center" wrapText="1"/>
    </xf>
    <xf numFmtId="0" fontId="43" fillId="15" borderId="222" xfId="0" quotePrefix="1" applyFont="1" applyFill="1" applyBorder="1" applyAlignment="1">
      <alignment horizontal="left" vertical="center" wrapText="1"/>
    </xf>
    <xf numFmtId="0" fontId="43" fillId="15" borderId="223" xfId="0" quotePrefix="1" applyFont="1" applyFill="1" applyBorder="1" applyAlignment="1">
      <alignment horizontal="left" vertical="center" wrapText="1"/>
    </xf>
    <xf numFmtId="0" fontId="43" fillId="80" borderId="224" xfId="0" quotePrefix="1" applyFont="1" applyFill="1" applyBorder="1" applyAlignment="1">
      <alignment horizontal="left" vertical="center" wrapText="1"/>
    </xf>
    <xf numFmtId="0" fontId="43" fillId="80" borderId="225" xfId="0" quotePrefix="1" applyFont="1" applyFill="1" applyBorder="1" applyAlignment="1">
      <alignment horizontal="left" vertical="center" wrapText="1"/>
    </xf>
    <xf numFmtId="0" fontId="43" fillId="81" borderId="207" xfId="0" quotePrefix="1" applyFont="1" applyFill="1" applyBorder="1" applyAlignment="1">
      <alignment horizontal="left" vertical="center" wrapText="1"/>
    </xf>
    <xf numFmtId="0" fontId="43" fillId="81" borderId="208" xfId="0" quotePrefix="1" applyFont="1" applyFill="1" applyBorder="1" applyAlignment="1">
      <alignment horizontal="left" vertical="center" wrapText="1"/>
    </xf>
    <xf numFmtId="0" fontId="14" fillId="0" borderId="28" xfId="0" applyFont="1" applyBorder="1" applyAlignment="1">
      <alignment horizontal="center" vertical="center"/>
    </xf>
    <xf numFmtId="0" fontId="14" fillId="0" borderId="29" xfId="0" applyFont="1" applyBorder="1" applyAlignment="1">
      <alignment horizontal="center" vertical="center"/>
    </xf>
    <xf numFmtId="0" fontId="14" fillId="0" borderId="30" xfId="0" applyFont="1" applyBorder="1" applyAlignment="1">
      <alignment horizontal="center" vertical="center"/>
    </xf>
    <xf numFmtId="0" fontId="101" fillId="0" borderId="0" xfId="0" applyFont="1" applyAlignment="1">
      <alignment horizontal="center" wrapText="1"/>
    </xf>
    <xf numFmtId="0" fontId="110" fillId="0" borderId="168" xfId="0" applyFont="1" applyBorder="1" applyAlignment="1">
      <alignment horizontal="left" vertical="center"/>
    </xf>
    <xf numFmtId="0" fontId="110" fillId="0" borderId="165" xfId="0" applyFont="1" applyBorder="1" applyAlignment="1">
      <alignment horizontal="left" vertical="center"/>
    </xf>
    <xf numFmtId="0" fontId="110" fillId="0" borderId="170" xfId="0" applyFont="1" applyBorder="1" applyAlignment="1">
      <alignment horizontal="left" vertical="center"/>
    </xf>
    <xf numFmtId="0" fontId="14" fillId="78" borderId="194" xfId="0" applyFont="1" applyFill="1" applyBorder="1" applyAlignment="1">
      <alignment vertical="center" wrapText="1"/>
    </xf>
    <xf numFmtId="0" fontId="14" fillId="78" borderId="200" xfId="0" applyFont="1" applyFill="1" applyBorder="1" applyAlignment="1">
      <alignment vertical="center" wrapText="1"/>
    </xf>
    <xf numFmtId="0" fontId="14" fillId="78" borderId="196" xfId="0" applyFont="1" applyFill="1" applyBorder="1" applyAlignment="1">
      <alignment horizontal="center" vertical="center" wrapText="1"/>
    </xf>
    <xf numFmtId="0" fontId="14" fillId="78" borderId="201" xfId="0" applyFont="1" applyFill="1" applyBorder="1" applyAlignment="1">
      <alignment horizontal="center" vertical="center" wrapText="1"/>
    </xf>
    <xf numFmtId="0" fontId="105" fillId="0" borderId="202" xfId="0" applyFont="1" applyBorder="1" applyAlignment="1">
      <alignment horizontal="left" vertical="top" wrapText="1"/>
    </xf>
    <xf numFmtId="0" fontId="105" fillId="0" borderId="203" xfId="0" applyFont="1" applyBorder="1" applyAlignment="1">
      <alignment horizontal="left" vertical="top" wrapText="1"/>
    </xf>
    <xf numFmtId="0" fontId="51" fillId="0" borderId="2" xfId="0" applyFont="1" applyFill="1" applyBorder="1" applyAlignment="1">
      <alignment horizontal="center"/>
    </xf>
    <xf numFmtId="0" fontId="51" fillId="0" borderId="130" xfId="0" applyFont="1" applyFill="1" applyBorder="1" applyAlignment="1">
      <alignment horizontal="center"/>
    </xf>
    <xf numFmtId="0" fontId="51" fillId="0" borderId="134" xfId="0" applyFont="1" applyFill="1" applyBorder="1" applyAlignment="1">
      <alignment horizontal="center"/>
    </xf>
    <xf numFmtId="0" fontId="51" fillId="0" borderId="136" xfId="0" applyFont="1" applyFill="1" applyBorder="1" applyAlignment="1">
      <alignment horizontal="center"/>
    </xf>
    <xf numFmtId="0" fontId="67" fillId="27" borderId="73" xfId="0" applyFont="1" applyFill="1" applyBorder="1" applyAlignment="1">
      <alignment horizontal="center" wrapText="1"/>
    </xf>
    <xf numFmtId="0" fontId="67" fillId="27" borderId="0" xfId="0" applyFont="1" applyFill="1" applyBorder="1" applyAlignment="1">
      <alignment horizontal="center" wrapText="1"/>
    </xf>
    <xf numFmtId="0" fontId="51" fillId="0" borderId="124" xfId="0" applyFont="1" applyFill="1" applyBorder="1" applyAlignment="1">
      <alignment horizontal="center"/>
    </xf>
    <xf numFmtId="0" fontId="51" fillId="13" borderId="62" xfId="0" applyFont="1" applyFill="1" applyBorder="1" applyAlignment="1">
      <alignment horizontal="center"/>
    </xf>
    <xf numFmtId="0" fontId="51" fillId="13" borderId="152" xfId="0" applyFont="1" applyFill="1" applyBorder="1" applyAlignment="1">
      <alignment horizontal="center"/>
    </xf>
    <xf numFmtId="0" fontId="51" fillId="13" borderId="4" xfId="0" applyFont="1" applyFill="1" applyBorder="1" applyAlignment="1">
      <alignment horizontal="center"/>
    </xf>
    <xf numFmtId="0" fontId="51" fillId="13" borderId="6" xfId="0" applyFont="1" applyFill="1" applyBorder="1" applyAlignment="1">
      <alignment horizontal="center"/>
    </xf>
    <xf numFmtId="0" fontId="52" fillId="60" borderId="63" xfId="0" applyFont="1" applyFill="1" applyBorder="1" applyAlignment="1">
      <alignment horizontal="center"/>
    </xf>
    <xf numFmtId="0" fontId="51" fillId="13" borderId="15" xfId="0" applyFont="1" applyFill="1" applyBorder="1" applyAlignment="1">
      <alignment horizontal="center"/>
    </xf>
    <xf numFmtId="0" fontId="51" fillId="13" borderId="34" xfId="0" applyFont="1" applyFill="1" applyBorder="1" applyAlignment="1">
      <alignment horizontal="center"/>
    </xf>
    <xf numFmtId="0" fontId="119" fillId="26" borderId="18" xfId="0" applyFont="1" applyFill="1" applyBorder="1" applyAlignment="1">
      <alignment horizontal="left" vertical="center"/>
    </xf>
    <xf numFmtId="43" fontId="9" fillId="0" borderId="8" xfId="24" applyFont="1" applyFill="1" applyBorder="1" applyAlignment="1" applyProtection="1">
      <alignment horizontal="center" vertical="center"/>
    </xf>
    <xf numFmtId="43" fontId="9" fillId="0" borderId="112" xfId="24" applyFont="1" applyFill="1" applyBorder="1" applyAlignment="1" applyProtection="1">
      <alignment horizontal="center" vertical="center"/>
    </xf>
    <xf numFmtId="43" fontId="9" fillId="0" borderId="116" xfId="24" applyFont="1" applyFill="1" applyBorder="1" applyAlignment="1" applyProtection="1">
      <alignment horizontal="center" vertical="center"/>
    </xf>
    <xf numFmtId="0" fontId="12" fillId="70" borderId="50" xfId="0" applyNumberFormat="1" applyFont="1" applyFill="1" applyBorder="1" applyAlignment="1">
      <alignment horizontal="center" vertical="center"/>
    </xf>
    <xf numFmtId="0" fontId="12" fillId="70" borderId="16" xfId="0" applyNumberFormat="1" applyFont="1" applyFill="1" applyBorder="1" applyAlignment="1">
      <alignment horizontal="center" vertical="center"/>
    </xf>
    <xf numFmtId="0" fontId="12" fillId="70" borderId="71" xfId="0" applyNumberFormat="1" applyFont="1" applyFill="1" applyBorder="1" applyAlignment="1">
      <alignment horizontal="center" vertical="center"/>
    </xf>
    <xf numFmtId="166" fontId="9" fillId="0" borderId="74" xfId="13" applyNumberFormat="1" applyFont="1" applyFill="1" applyBorder="1" applyAlignment="1" applyProtection="1">
      <alignment horizontal="center" vertical="center"/>
    </xf>
    <xf numFmtId="166" fontId="9" fillId="0" borderId="75" xfId="13" applyNumberFormat="1" applyFont="1" applyFill="1" applyBorder="1" applyAlignment="1" applyProtection="1">
      <alignment horizontal="center" vertical="center"/>
    </xf>
    <xf numFmtId="166" fontId="9" fillId="0" borderId="76" xfId="13" applyNumberFormat="1" applyFont="1" applyFill="1" applyBorder="1" applyAlignment="1" applyProtection="1">
      <alignment horizontal="center" vertical="center"/>
    </xf>
    <xf numFmtId="166" fontId="9" fillId="0" borderId="77" xfId="13" applyNumberFormat="1" applyFont="1" applyFill="1" applyBorder="1" applyAlignment="1" applyProtection="1">
      <alignment horizontal="center" vertical="center"/>
    </xf>
    <xf numFmtId="166" fontId="9" fillId="0" borderId="91" xfId="13" applyNumberFormat="1" applyFont="1" applyFill="1" applyBorder="1" applyAlignment="1" applyProtection="1">
      <alignment horizontal="center" vertical="center"/>
    </xf>
    <xf numFmtId="0" fontId="12" fillId="69" borderId="50" xfId="0" applyNumberFormat="1" applyFont="1" applyFill="1" applyBorder="1" applyAlignment="1">
      <alignment horizontal="center" vertical="center"/>
    </xf>
    <xf numFmtId="0" fontId="12" fillId="69" borderId="16" xfId="0" applyNumberFormat="1" applyFont="1" applyFill="1" applyBorder="1" applyAlignment="1">
      <alignment horizontal="center" vertical="center"/>
    </xf>
    <xf numFmtId="0" fontId="12" fillId="69" borderId="71" xfId="0" applyNumberFormat="1" applyFont="1" applyFill="1" applyBorder="1" applyAlignment="1">
      <alignment horizontal="center" vertical="center"/>
    </xf>
    <xf numFmtId="0" fontId="12" fillId="67" borderId="50" xfId="0" applyNumberFormat="1" applyFont="1" applyFill="1" applyBorder="1" applyAlignment="1">
      <alignment horizontal="center" vertical="center"/>
    </xf>
    <xf numFmtId="0" fontId="12" fillId="67" borderId="16" xfId="0" applyNumberFormat="1" applyFont="1" applyFill="1" applyBorder="1" applyAlignment="1">
      <alignment horizontal="center" vertical="center"/>
    </xf>
    <xf numFmtId="0" fontId="12" fillId="67" borderId="71" xfId="0" applyNumberFormat="1" applyFont="1" applyFill="1" applyBorder="1" applyAlignment="1">
      <alignment horizontal="center" vertical="center"/>
    </xf>
    <xf numFmtId="43" fontId="0" fillId="79" borderId="15" xfId="24" applyFont="1" applyFill="1" applyBorder="1" applyAlignment="1">
      <alignment horizontal="center"/>
    </xf>
    <xf numFmtId="43" fontId="0" fillId="79" borderId="0" xfId="24" applyFont="1" applyFill="1" applyBorder="1" applyAlignment="1">
      <alignment horizontal="center"/>
    </xf>
    <xf numFmtId="0" fontId="16" fillId="65" borderId="50" xfId="0" applyNumberFormat="1" applyFont="1" applyFill="1" applyBorder="1" applyAlignment="1">
      <alignment horizontal="center" vertical="center"/>
    </xf>
    <xf numFmtId="0" fontId="16" fillId="65" borderId="16" xfId="0" applyNumberFormat="1" applyFont="1" applyFill="1" applyBorder="1" applyAlignment="1">
      <alignment horizontal="center" vertical="center"/>
    </xf>
    <xf numFmtId="0" fontId="16" fillId="65" borderId="71" xfId="0" applyNumberFormat="1" applyFont="1" applyFill="1" applyBorder="1" applyAlignment="1">
      <alignment horizontal="center" vertical="center"/>
    </xf>
    <xf numFmtId="0" fontId="12" fillId="11" borderId="105" xfId="0" applyNumberFormat="1" applyFont="1" applyFill="1" applyBorder="1" applyAlignment="1">
      <alignment horizontal="center" vertical="center"/>
    </xf>
    <xf numFmtId="0" fontId="12" fillId="11" borderId="16" xfId="0" applyNumberFormat="1" applyFont="1" applyFill="1" applyBorder="1" applyAlignment="1">
      <alignment horizontal="center" vertical="center"/>
    </xf>
    <xf numFmtId="0" fontId="12" fillId="11" borderId="71" xfId="0" applyNumberFormat="1" applyFont="1" applyFill="1" applyBorder="1" applyAlignment="1">
      <alignment horizontal="center" vertical="center"/>
    </xf>
    <xf numFmtId="166" fontId="9" fillId="0" borderId="92" xfId="13" applyNumberFormat="1" applyFont="1" applyFill="1" applyBorder="1" applyAlignment="1" applyProtection="1">
      <alignment horizontal="center" vertical="center"/>
    </xf>
    <xf numFmtId="0" fontId="12" fillId="15" borderId="50" xfId="0" applyNumberFormat="1" applyFont="1" applyFill="1" applyBorder="1" applyAlignment="1">
      <alignment horizontal="center" vertical="center"/>
    </xf>
    <xf numFmtId="0" fontId="12" fillId="15" borderId="16" xfId="0" applyNumberFormat="1" applyFont="1" applyFill="1" applyBorder="1" applyAlignment="1">
      <alignment horizontal="center" vertical="center"/>
    </xf>
    <xf numFmtId="0" fontId="12" fillId="15" borderId="71" xfId="0" applyNumberFormat="1" applyFont="1" applyFill="1" applyBorder="1" applyAlignment="1">
      <alignment horizontal="center" vertical="center"/>
    </xf>
    <xf numFmtId="43" fontId="49" fillId="59" borderId="46" xfId="23" applyNumberFormat="1" applyFont="1" applyFill="1" applyBorder="1" applyAlignment="1">
      <alignment horizontal="center" vertical="center" wrapText="1"/>
    </xf>
    <xf numFmtId="0" fontId="49" fillId="56" borderId="168" xfId="25" applyNumberFormat="1" applyFont="1" applyFill="1" applyBorder="1" applyAlignment="1">
      <alignment horizontal="center" vertical="center" wrapText="1"/>
    </xf>
    <xf numFmtId="0" fontId="49" fillId="56" borderId="282" xfId="25" applyNumberFormat="1" applyFont="1" applyFill="1" applyBorder="1" applyAlignment="1">
      <alignment horizontal="center" vertical="center" wrapText="1"/>
    </xf>
    <xf numFmtId="0" fontId="49" fillId="56" borderId="267" xfId="25" applyNumberFormat="1" applyFont="1" applyFill="1" applyBorder="1" applyAlignment="1">
      <alignment horizontal="center" vertical="center" wrapText="1"/>
    </xf>
    <xf numFmtId="0" fontId="49" fillId="56" borderId="268" xfId="25" applyNumberFormat="1" applyFont="1" applyFill="1" applyBorder="1" applyAlignment="1">
      <alignment horizontal="center" vertical="center" wrapText="1"/>
    </xf>
    <xf numFmtId="0" fontId="49" fillId="56" borderId="46" xfId="25" applyNumberFormat="1" applyFont="1" applyFill="1" applyBorder="1" applyAlignment="1" applyProtection="1">
      <alignment horizontal="center" vertical="center" wrapText="1"/>
    </xf>
    <xf numFmtId="44" fontId="49" fillId="21" borderId="46" xfId="23" applyNumberFormat="1" applyFont="1" applyFill="1" applyBorder="1" applyAlignment="1" applyProtection="1">
      <alignment horizontal="center" vertical="center" wrapText="1"/>
    </xf>
    <xf numFmtId="172" fontId="48" fillId="64" borderId="4" xfId="25" applyFont="1" applyFill="1" applyBorder="1" applyAlignment="1" applyProtection="1">
      <alignment horizontal="center" vertical="center"/>
    </xf>
    <xf numFmtId="172" fontId="48" fillId="64" borderId="35" xfId="25" applyFont="1" applyFill="1" applyBorder="1" applyAlignment="1" applyProtection="1">
      <alignment horizontal="center" vertical="center"/>
    </xf>
    <xf numFmtId="172" fontId="48" fillId="64" borderId="6" xfId="25" applyFont="1" applyFill="1" applyBorder="1" applyAlignment="1" applyProtection="1">
      <alignment horizontal="center" vertical="center"/>
    </xf>
    <xf numFmtId="0" fontId="59" fillId="63" borderId="0" xfId="71" applyFont="1" applyFill="1" applyAlignment="1">
      <alignment horizontal="left"/>
    </xf>
    <xf numFmtId="0" fontId="150" fillId="87" borderId="0" xfId="0" applyFont="1" applyFill="1" applyBorder="1" applyAlignment="1">
      <alignment horizontal="left" vertical="center"/>
    </xf>
    <xf numFmtId="0" fontId="112" fillId="83" borderId="0" xfId="71" applyFont="1" applyFill="1" applyAlignment="1">
      <alignment horizontal="center"/>
    </xf>
  </cellXfs>
  <cellStyles count="78">
    <cellStyle name="%_MJP_July Accrual_7_17_12_V1" xfId="28" xr:uid="{00000000-0005-0000-0000-000000000000}"/>
    <cellStyle name="_Capital Plan - IS UK" xfId="5" xr:uid="{00000000-0005-0000-0000-000001000000}"/>
    <cellStyle name="_Capital Plan - IS UK_Project Timeline" xfId="6" xr:uid="{00000000-0005-0000-0000-000002000000}"/>
    <cellStyle name="_Test scoring_UKGDx_20070924_Pilot (DV)" xfId="7" xr:uid="{00000000-0005-0000-0000-000003000000}"/>
    <cellStyle name="20% - Accent1 2" xfId="29" xr:uid="{00000000-0005-0000-0000-000004000000}"/>
    <cellStyle name="20% - Accent2 2" xfId="30" xr:uid="{00000000-0005-0000-0000-000005000000}"/>
    <cellStyle name="20% - Accent3 2" xfId="31" xr:uid="{00000000-0005-0000-0000-000006000000}"/>
    <cellStyle name="20% - Accent4" xfId="2" builtinId="42" hidden="1"/>
    <cellStyle name="20% - Accent4 2" xfId="32" xr:uid="{00000000-0005-0000-0000-000008000000}"/>
    <cellStyle name="20% - Accent5 2" xfId="33" xr:uid="{00000000-0005-0000-0000-000009000000}"/>
    <cellStyle name="20% - Accent6 2" xfId="34" xr:uid="{00000000-0005-0000-0000-00000A000000}"/>
    <cellStyle name="40% - Accent1 2" xfId="35" xr:uid="{00000000-0005-0000-0000-00000B000000}"/>
    <cellStyle name="40% - Accent2 2" xfId="36" xr:uid="{00000000-0005-0000-0000-00000C000000}"/>
    <cellStyle name="40% - Accent3 2" xfId="37" xr:uid="{00000000-0005-0000-0000-00000D000000}"/>
    <cellStyle name="40% - Accent4" xfId="3" builtinId="43" hidden="1"/>
    <cellStyle name="40% - Accent4 2" xfId="38" xr:uid="{00000000-0005-0000-0000-00000F000000}"/>
    <cellStyle name="40% - Accent5 2" xfId="39" xr:uid="{00000000-0005-0000-0000-000010000000}"/>
    <cellStyle name="40% - Accent6" xfId="4" builtinId="51" hidden="1"/>
    <cellStyle name="40% - Accent6 2" xfId="40" xr:uid="{00000000-0005-0000-0000-000012000000}"/>
    <cellStyle name="60% - Accent1 2" xfId="41" xr:uid="{00000000-0005-0000-0000-000013000000}"/>
    <cellStyle name="60% - Accent2 2" xfId="42" xr:uid="{00000000-0005-0000-0000-000014000000}"/>
    <cellStyle name="60% - Accent3 2" xfId="43" xr:uid="{00000000-0005-0000-0000-000015000000}"/>
    <cellStyle name="60% - Accent4 2" xfId="44" xr:uid="{00000000-0005-0000-0000-000016000000}"/>
    <cellStyle name="60% - Accent5 2" xfId="45" xr:uid="{00000000-0005-0000-0000-000017000000}"/>
    <cellStyle name="60% - Accent6 2" xfId="46" xr:uid="{00000000-0005-0000-0000-000018000000}"/>
    <cellStyle name="Accent1" xfId="1" builtinId="29" hidden="1"/>
    <cellStyle name="Accent1 2" xfId="47" xr:uid="{00000000-0005-0000-0000-00001A000000}"/>
    <cellStyle name="Accent2 2" xfId="48" xr:uid="{00000000-0005-0000-0000-00001B000000}"/>
    <cellStyle name="Accent3 2" xfId="49" xr:uid="{00000000-0005-0000-0000-00001C000000}"/>
    <cellStyle name="Accent4 2" xfId="50" xr:uid="{00000000-0005-0000-0000-00001D000000}"/>
    <cellStyle name="Accent5 2" xfId="51" xr:uid="{00000000-0005-0000-0000-00001E000000}"/>
    <cellStyle name="Accent6 2" xfId="52" xr:uid="{00000000-0005-0000-0000-00001F000000}"/>
    <cellStyle name="Bad 2" xfId="53" xr:uid="{00000000-0005-0000-0000-000020000000}"/>
    <cellStyle name="Calculation 2" xfId="54" xr:uid="{00000000-0005-0000-0000-000021000000}"/>
    <cellStyle name="Check Cell 2" xfId="55" xr:uid="{00000000-0005-0000-0000-000022000000}"/>
    <cellStyle name="Comma" xfId="24" builtinId="3"/>
    <cellStyle name="Comma 2" xfId="8" xr:uid="{00000000-0005-0000-0000-000024000000}"/>
    <cellStyle name="Comma 2 2" xfId="74" xr:uid="{92C0228B-F97E-49D5-9FAB-4B18BB413F67}"/>
    <cellStyle name="Comma 3" xfId="9" xr:uid="{00000000-0005-0000-0000-000025000000}"/>
    <cellStyle name="Comma 4" xfId="9" xr:uid="{00000000-0005-0000-0000-000026000000}"/>
    <cellStyle name="Comma 5" xfId="73" xr:uid="{D2870D9A-ADB5-47B5-B85C-197C5A0BBD26}"/>
    <cellStyle name="Currency" xfId="23" builtinId="4"/>
    <cellStyle name="Currency 2" xfId="10" xr:uid="{00000000-0005-0000-0000-000028000000}"/>
    <cellStyle name="Currency 3" xfId="11" xr:uid="{00000000-0005-0000-0000-000029000000}"/>
    <cellStyle name="Currency 4" xfId="11" xr:uid="{00000000-0005-0000-0000-00002A000000}"/>
    <cellStyle name="Explanatory Text 2" xfId="56" xr:uid="{00000000-0005-0000-0000-00002B000000}"/>
    <cellStyle name="Good 2" xfId="57" xr:uid="{00000000-0005-0000-0000-00002C000000}"/>
    <cellStyle name="Heading 1 2" xfId="58" xr:uid="{00000000-0005-0000-0000-00002D000000}"/>
    <cellStyle name="Heading 2 2" xfId="59" xr:uid="{00000000-0005-0000-0000-00002E000000}"/>
    <cellStyle name="Heading 3 2" xfId="60" xr:uid="{00000000-0005-0000-0000-00002F000000}"/>
    <cellStyle name="Heading 4 2" xfId="61" xr:uid="{00000000-0005-0000-0000-000030000000}"/>
    <cellStyle name="Hyperlink" xfId="26" builtinId="8"/>
    <cellStyle name="Input 2" xfId="62" xr:uid="{00000000-0005-0000-0000-000032000000}"/>
    <cellStyle name="Linked Cell 2" xfId="63" xr:uid="{00000000-0005-0000-0000-000033000000}"/>
    <cellStyle name="Neutral 2" xfId="64" xr:uid="{00000000-0005-0000-0000-000034000000}"/>
    <cellStyle name="Normal" xfId="0" builtinId="0"/>
    <cellStyle name="Normal 2" xfId="12" xr:uid="{00000000-0005-0000-0000-000036000000}"/>
    <cellStyle name="Normal 3" xfId="25" xr:uid="{00000000-0005-0000-0000-000037000000}"/>
    <cellStyle name="Normal 3 2" xfId="13" xr:uid="{00000000-0005-0000-0000-000038000000}"/>
    <cellStyle name="Normal 3 2 2" xfId="22" xr:uid="{00000000-0005-0000-0000-000039000000}"/>
    <cellStyle name="Normal 4" xfId="71" xr:uid="{DA2F7CE3-C563-48DD-90DE-9515F89C9609}"/>
    <cellStyle name="Normal_National Grid T&amp;M Invoice NGA12AX Draft" xfId="27" xr:uid="{00000000-0005-0000-0000-00003A000000}"/>
    <cellStyle name="Note 2" xfId="65" xr:uid="{00000000-0005-0000-0000-00003B000000}"/>
    <cellStyle name="Output 2" xfId="66" xr:uid="{00000000-0005-0000-0000-00003C000000}"/>
    <cellStyle name="Percent" xfId="70" builtinId="5"/>
    <cellStyle name="Percent 2" xfId="14" xr:uid="{00000000-0005-0000-0000-00003E000000}"/>
    <cellStyle name="Percent 2 2" xfId="15" xr:uid="{00000000-0005-0000-0000-00003F000000}"/>
    <cellStyle name="Percent 3" xfId="15" xr:uid="{00000000-0005-0000-0000-000040000000}"/>
    <cellStyle name="Percent 4" xfId="72" xr:uid="{E6BAA9A8-631B-4CB5-93DF-933084822E29}"/>
    <cellStyle name="SAPBEXaggData" xfId="16" xr:uid="{00000000-0005-0000-0000-000041000000}"/>
    <cellStyle name="SAPBEXchaText" xfId="17" xr:uid="{00000000-0005-0000-0000-000042000000}"/>
    <cellStyle name="SAPBEXformats" xfId="18" xr:uid="{00000000-0005-0000-0000-000043000000}"/>
    <cellStyle name="SAPBEXstdData" xfId="19" xr:uid="{00000000-0005-0000-0000-000044000000}"/>
    <cellStyle name="SAPBEXstdItem" xfId="20" xr:uid="{00000000-0005-0000-0000-000045000000}"/>
    <cellStyle name="Style 1" xfId="21" xr:uid="{00000000-0005-0000-0000-000046000000}"/>
    <cellStyle name="Title 2" xfId="67" xr:uid="{00000000-0005-0000-0000-000047000000}"/>
    <cellStyle name="Total 2" xfId="68" xr:uid="{00000000-0005-0000-0000-000048000000}"/>
    <cellStyle name="Warning Text 2" xfId="69" xr:uid="{00000000-0005-0000-0000-000049000000}"/>
  </cellStyles>
  <dxfs count="912">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m/d/yyyy"/>
    </dxf>
    <dxf>
      <numFmt numFmtId="30" formatCode="@"/>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dxf>
    <dxf>
      <numFmt numFmtId="30" formatCode="@"/>
    </dxf>
    <dxf>
      <numFmt numFmtId="30" formatCode="@"/>
      <alignment horizontal="general" vertical="bottom" textRotation="0" wrapText="0" indent="0" justifyLastLine="0" shrinkToFit="0" readingOrder="0"/>
    </dxf>
    <dxf>
      <numFmt numFmtId="30" formatCode="@"/>
    </dxf>
    <dxf>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theme="5" tint="0.59999389629810485"/>
        </patternFill>
      </fill>
      <border diagonalUp="0" diagonalDown="0">
        <left style="medium">
          <color indexed="64"/>
        </left>
        <right style="medium">
          <color indexed="64"/>
        </right>
        <top/>
        <bottom/>
        <vertical/>
        <horizontal/>
      </border>
      <protection locked="0" hidden="0"/>
    </dxf>
    <dxf>
      <border outline="0">
        <bottom style="medium">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5" tint="0.59999389629810485"/>
        </patternFill>
      </fill>
      <protection locked="0" hidden="0"/>
    </dxf>
    <dxf>
      <font>
        <b/>
        <i val="0"/>
        <strike val="0"/>
        <condense val="0"/>
        <extend val="0"/>
        <outline val="0"/>
        <shadow val="0"/>
        <u val="none"/>
        <vertAlign val="baseline"/>
        <sz val="12"/>
        <color rgb="FF333399"/>
        <name val="Calibri"/>
        <family val="2"/>
        <scheme val="minor"/>
      </font>
      <fill>
        <patternFill patternType="solid">
          <fgColor indexed="64"/>
          <bgColor theme="4" tint="0.59999389629810485"/>
        </patternFill>
      </fill>
    </dxf>
    <dxf>
      <font>
        <b val="0"/>
        <i val="0"/>
        <strike val="0"/>
        <condense val="0"/>
        <extend val="0"/>
        <outline val="0"/>
        <shadow val="0"/>
        <u val="none"/>
        <vertAlign val="baseline"/>
        <sz val="10"/>
        <color rgb="FF000000"/>
        <name val="Calibri"/>
        <family val="2"/>
        <scheme val="none"/>
      </font>
      <fill>
        <patternFill patternType="solid">
          <fgColor indexed="64"/>
          <bgColor theme="4" tint="0.79998168889431442"/>
        </patternFill>
      </fill>
      <alignment horizontal="general" vertical="center" textRotation="0" wrapText="0" indent="0" justifyLastLine="0" shrinkToFit="0" readingOrder="0"/>
      <border diagonalUp="0" diagonalDown="0" outline="0">
        <left/>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fill>
        <patternFill patternType="solid">
          <fgColor indexed="64"/>
          <bgColor theme="4" tint="0.79998168889431442"/>
        </patternFill>
      </fill>
      <alignment horizontal="general" vertical="center" textRotation="0" wrapText="0" indent="0" justifyLastLine="0" shrinkToFit="0" readingOrder="0"/>
    </dxf>
    <dxf>
      <border>
        <bottom style="thin">
          <color indexed="64"/>
        </bottom>
      </border>
    </dxf>
    <dxf>
      <font>
        <b val="0"/>
        <i val="0"/>
        <strike val="0"/>
        <condense val="0"/>
        <extend val="0"/>
        <outline val="0"/>
        <shadow val="0"/>
        <u val="none"/>
        <vertAlign val="baseline"/>
        <sz val="9"/>
        <color theme="1"/>
        <name val="Calibri"/>
        <family val="2"/>
        <scheme val="minor"/>
      </font>
      <fill>
        <patternFill patternType="none">
          <fgColor indexed="64"/>
          <bgColor indexed="65"/>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4" tint="0.79998168889431442"/>
        </patternFill>
      </fill>
    </dxf>
    <dxf>
      <font>
        <b val="0"/>
        <i val="0"/>
        <strike val="0"/>
        <condense val="0"/>
        <extend val="0"/>
        <outline val="0"/>
        <shadow val="0"/>
        <u val="none"/>
        <vertAlign val="baseline"/>
        <sz val="10"/>
        <color theme="1"/>
        <name val="Calibri"/>
        <family val="2"/>
        <scheme val="minor"/>
      </font>
      <fill>
        <patternFill patternType="solid">
          <fgColor indexed="64"/>
          <bgColor theme="4" tint="0.79998168889431442"/>
        </patternFill>
      </fill>
    </dxf>
    <dxf>
      <font>
        <b/>
        <i val="0"/>
        <strike val="0"/>
        <condense val="0"/>
        <extend val="0"/>
        <outline val="0"/>
        <shadow val="0"/>
        <u val="none"/>
        <vertAlign val="baseline"/>
        <sz val="12"/>
        <color rgb="FF333399"/>
        <name val="Calibri"/>
        <family val="2"/>
        <scheme val="minor"/>
      </font>
      <fill>
        <patternFill patternType="solid">
          <fgColor indexed="64"/>
          <bgColor theme="4" tint="0.59999389629810485"/>
        </patternFill>
      </fill>
    </dxf>
    <dxf>
      <font>
        <b val="0"/>
        <i val="0"/>
        <strike val="0"/>
        <condense val="0"/>
        <extend val="0"/>
        <outline val="0"/>
        <shadow val="0"/>
        <u val="none"/>
        <vertAlign val="baseline"/>
        <sz val="10"/>
        <color theme="1"/>
        <name val="Calibri"/>
        <family val="2"/>
        <scheme val="minor"/>
      </font>
      <fill>
        <patternFill patternType="solid">
          <fgColor indexed="64"/>
          <bgColor theme="4" tint="0.79998168889431442"/>
        </patternFill>
      </fill>
    </dxf>
    <dxf>
      <font>
        <b val="0"/>
        <i val="0"/>
        <strike val="0"/>
        <condense val="0"/>
        <extend val="0"/>
        <outline val="0"/>
        <shadow val="0"/>
        <u val="none"/>
        <vertAlign val="baseline"/>
        <sz val="10"/>
        <color theme="1"/>
        <name val="Calibri"/>
        <family val="2"/>
        <scheme val="minor"/>
      </font>
      <fill>
        <patternFill patternType="solid">
          <fgColor indexed="64"/>
          <bgColor theme="4" tint="0.79998168889431442"/>
        </patternFill>
      </fill>
    </dxf>
    <dxf>
      <font>
        <b/>
        <i val="0"/>
        <strike val="0"/>
        <condense val="0"/>
        <extend val="0"/>
        <outline val="0"/>
        <shadow val="0"/>
        <u val="none"/>
        <vertAlign val="baseline"/>
        <sz val="12"/>
        <color rgb="FF333399"/>
        <name val="Calibri"/>
        <family val="2"/>
        <scheme val="minor"/>
      </font>
      <fill>
        <patternFill patternType="solid">
          <fgColor indexed="64"/>
          <bgColor theme="4" tint="0.59999389629810485"/>
        </patternFill>
      </fill>
    </dxf>
    <dxf>
      <font>
        <strike val="0"/>
        <outline val="0"/>
        <shadow val="0"/>
        <u val="none"/>
        <vertAlign val="baseline"/>
        <name val="Calibri"/>
        <family val="2"/>
        <scheme val="minor"/>
      </font>
      <numFmt numFmtId="0" formatCode="General"/>
      <fill>
        <patternFill patternType="solid">
          <fgColor indexed="64"/>
          <bgColor theme="4" tint="0.79998168889431442"/>
        </patternFill>
      </fill>
    </dxf>
    <dxf>
      <font>
        <strike val="0"/>
        <outline val="0"/>
        <shadow val="0"/>
        <u val="none"/>
        <vertAlign val="baseline"/>
        <name val="Calibri"/>
        <family val="2"/>
        <scheme val="minor"/>
      </font>
      <fill>
        <patternFill patternType="solid">
          <fgColor indexed="64"/>
          <bgColor theme="4" tint="0.79998168889431442"/>
        </patternFill>
      </fill>
    </dxf>
    <dxf>
      <font>
        <strike val="0"/>
        <outline val="0"/>
        <shadow val="0"/>
        <u val="none"/>
        <vertAlign val="baseline"/>
        <name val="Calibri"/>
        <family val="2"/>
        <scheme val="minor"/>
      </font>
      <numFmt numFmtId="0" formatCode="General"/>
      <fill>
        <patternFill patternType="solid">
          <fgColor indexed="64"/>
          <bgColor theme="4" tint="0.79998168889431442"/>
        </patternFill>
      </fill>
    </dxf>
    <dxf>
      <font>
        <b/>
        <i val="0"/>
        <strike val="0"/>
        <condense val="0"/>
        <extend val="0"/>
        <outline val="0"/>
        <shadow val="0"/>
        <u val="none"/>
        <vertAlign val="baseline"/>
        <sz val="10"/>
        <color theme="0"/>
        <name val="Calibri"/>
        <family val="2"/>
        <scheme val="minor"/>
      </font>
      <numFmt numFmtId="0" formatCode="General"/>
      <fill>
        <patternFill patternType="solid">
          <fgColor indexed="64"/>
          <bgColor theme="3"/>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6" tint="0.79998168889431442"/>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Calibri"/>
        <family val="2"/>
        <scheme val="minor"/>
      </font>
      <fill>
        <patternFill patternType="solid">
          <fgColor indexed="64"/>
          <bgColor theme="6" tint="0.39997558519241921"/>
        </patternFill>
      </fill>
      <border diagonalUp="0" diagonalDown="0">
        <left style="thin">
          <color auto="1"/>
        </left>
        <right style="thin">
          <color auto="1"/>
        </right>
        <top style="thin">
          <color auto="1"/>
        </top>
        <bottom style="thin">
          <color auto="1"/>
        </bottom>
        <vertical/>
        <horizontal/>
      </border>
    </dxf>
    <dxf>
      <border outline="0">
        <bottom style="thin">
          <color auto="1"/>
        </bottom>
      </border>
    </dxf>
    <dxf>
      <font>
        <b/>
        <i val="0"/>
        <strike val="0"/>
        <condense val="0"/>
        <extend val="0"/>
        <outline val="0"/>
        <shadow val="0"/>
        <u val="none"/>
        <vertAlign val="baseline"/>
        <sz val="11"/>
        <color theme="1" tint="4.9989318521683403E-2"/>
        <name val="Calibri"/>
        <family val="2"/>
        <scheme val="minor"/>
      </font>
    </dxf>
    <dxf>
      <border outline="0">
        <left style="thin">
          <color indexed="64"/>
        </left>
        <right style="thin">
          <color indexed="64"/>
        </right>
        <top style="thin">
          <color indexed="64"/>
        </top>
      </border>
    </dxf>
    <dxf>
      <font>
        <b/>
        <i val="0"/>
        <strike val="0"/>
        <condense val="0"/>
        <extend val="0"/>
        <outline val="0"/>
        <shadow val="0"/>
        <u val="none"/>
        <vertAlign val="baseline"/>
        <sz val="11"/>
        <color theme="1" tint="4.9989318521683403E-2"/>
        <name val="Calibri"/>
        <family val="2"/>
        <scheme val="minor"/>
      </font>
      <fill>
        <patternFill patternType="none">
          <fgColor indexed="64"/>
          <bgColor auto="1"/>
        </patternFill>
      </fill>
    </dxf>
    <dxf>
      <border outline="0">
        <left style="thin">
          <color indexed="64"/>
        </left>
        <right style="thin">
          <color indexed="64"/>
        </right>
        <top style="thin">
          <color indexed="64"/>
        </top>
      </border>
    </dxf>
    <dxf>
      <font>
        <b/>
        <i val="0"/>
        <strike val="0"/>
        <condense val="0"/>
        <extend val="0"/>
        <outline val="0"/>
        <shadow val="0"/>
        <u val="none"/>
        <vertAlign val="baseline"/>
        <sz val="11"/>
        <color theme="1" tint="4.9989318521683403E-2"/>
        <name val="Calibri"/>
        <family val="2"/>
        <scheme val="minor"/>
      </font>
      <fill>
        <patternFill patternType="none">
          <fgColor indexed="64"/>
          <bgColor auto="1"/>
        </patternFill>
      </fill>
    </dxf>
    <dxf>
      <border outline="0">
        <right style="thin">
          <color indexed="64"/>
        </right>
        <top style="thin">
          <color indexed="64"/>
        </top>
      </border>
    </dxf>
    <dxf>
      <font>
        <b/>
        <i val="0"/>
        <strike val="0"/>
        <condense val="0"/>
        <extend val="0"/>
        <outline val="0"/>
        <shadow val="0"/>
        <u val="none"/>
        <vertAlign val="baseline"/>
        <sz val="11"/>
        <color theme="1" tint="4.9989318521683403E-2"/>
        <name val="Calibri"/>
        <family val="2"/>
        <scheme val="minor"/>
      </font>
      <fill>
        <patternFill patternType="none">
          <fgColor indexed="64"/>
          <bgColor auto="1"/>
        </patternFill>
      </fill>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5" tint="0.39997558519241921"/>
        </patternFill>
      </fill>
      <alignment horizontal="general" vertical="bottom"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5" tint="0.39997558519241921"/>
        </patternFill>
      </fill>
      <alignment horizontal="general"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7" tint="0.39997558519241921"/>
        </patternFill>
      </fill>
      <alignment horizontal="general" vertical="bottom" textRotation="0" wrapText="0" indent="0" justifyLastLine="0" shrinkToFit="0" readingOrder="0"/>
      <border diagonalUp="0" diagonalDown="0">
        <left/>
        <right/>
        <top style="thin">
          <color indexed="64"/>
        </top>
        <bottom style="thin">
          <color indexed="64"/>
        </bottom>
        <vertical/>
        <horizontal/>
      </border>
    </dxf>
    <dxf>
      <border outline="0">
        <top style="thin">
          <color indexed="64"/>
        </top>
      </border>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7" tint="0.39997558519241921"/>
        </patternFill>
      </fill>
      <alignment horizontal="general"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7" tint="0.39997558519241921"/>
        </patternFill>
      </fill>
      <alignment horizontal="general" vertical="bottom" textRotation="0" wrapText="0" indent="0" justifyLastLine="0" shrinkToFit="0" readingOrder="0"/>
      <border diagonalUp="0" diagonalDown="0">
        <left/>
        <right/>
        <top style="thin">
          <color indexed="64"/>
        </top>
        <bottom/>
        <vertical/>
        <horizontal/>
      </border>
    </dxf>
    <dxf>
      <border outline="0">
        <top style="thin">
          <color indexed="64"/>
        </top>
      </border>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7" tint="0.39997558519241921"/>
        </patternFill>
      </fill>
      <alignment horizontal="general"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7" tint="0.39997558519241921"/>
        </patternFill>
      </fill>
      <alignment horizontal="general" vertical="bottom" textRotation="0" wrapText="0" indent="0" justifyLastLine="0" shrinkToFit="0" readingOrder="0"/>
      <border diagonalUp="0" diagonalDown="0">
        <left/>
        <right/>
        <top style="thin">
          <color indexed="64"/>
        </top>
        <bottom style="thin">
          <color indexed="64"/>
        </bottom>
        <vertical/>
        <horizontal/>
      </border>
    </dxf>
    <dxf>
      <border outline="0">
        <top style="thin">
          <color indexed="64"/>
        </top>
      </border>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7" tint="0.39997558519241921"/>
        </patternFill>
      </fill>
      <alignment horizontal="general"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7" tint="0.39997558519241921"/>
        </patternFill>
      </fill>
      <alignment horizontal="general" vertical="bottom" textRotation="0" wrapText="0" indent="0" justifyLastLine="0" shrinkToFit="0" readingOrder="0"/>
      <border diagonalUp="0" diagonalDown="0">
        <left/>
        <right/>
        <top style="thin">
          <color indexed="64"/>
        </top>
        <bottom/>
        <vertical/>
        <horizontal/>
      </border>
    </dxf>
    <dxf>
      <border outline="0">
        <top style="thin">
          <color indexed="64"/>
        </top>
      </border>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7" tint="0.39997558519241921"/>
        </patternFill>
      </fill>
      <alignment horizontal="general"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5" tint="0.39997558519241921"/>
        </patternFill>
      </fill>
      <alignment horizontal="general" vertical="bottom" textRotation="0" wrapText="0" indent="0" justifyLastLine="0" shrinkToFit="0" readingOrder="0"/>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5" tint="0.39997558519241921"/>
        </patternFill>
      </fill>
      <alignment horizontal="general"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5" tint="0.39997558519241921"/>
        </patternFill>
      </fill>
      <alignment horizontal="general" vertical="bottom" textRotation="0" wrapText="0" indent="0" justifyLastLine="0" shrinkToFit="0" readingOrder="0"/>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5" tint="0.39997558519241921"/>
        </patternFill>
      </fill>
      <alignment horizontal="general"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5" tint="0.39997558519241921"/>
        </patternFill>
      </fill>
      <alignment horizontal="general" vertical="bottom" textRotation="0" wrapText="0" indent="0" justifyLastLine="0" shrinkToFit="0" readingOrder="0"/>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5" tint="0.39997558519241921"/>
        </patternFill>
      </fill>
      <alignment horizontal="general"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5" tint="0.39997558519241921"/>
        </patternFill>
      </fill>
      <alignment horizontal="general" vertical="bottom" textRotation="0" wrapText="0" indent="0" justifyLastLine="0" shrinkToFit="0" readingOrder="0"/>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5" tint="0.39997558519241921"/>
        </patternFill>
      </fill>
      <alignment horizontal="general"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5" tint="0.39997558519241921"/>
        </patternFill>
      </fill>
      <alignment horizontal="general" vertical="bottom" textRotation="0" wrapText="0" indent="0" justifyLastLine="0" shrinkToFit="0" readingOrder="0"/>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5" tint="0.39997558519241921"/>
        </patternFill>
      </fill>
      <alignment horizontal="general"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5" tint="0.39997558519241921"/>
        </patternFill>
      </fill>
      <alignment horizontal="general" vertical="bottom" textRotation="0" wrapText="0" indent="0" justifyLastLine="0" shrinkToFit="0" readingOrder="0"/>
      <border diagonalUp="0" diagonalDown="0" outline="0">
        <left/>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5" tint="0.39997558519241921"/>
        </patternFill>
      </fill>
      <alignment horizontal="general"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5" tint="0.39997558519241921"/>
        </patternFill>
      </fill>
      <alignment horizontal="general" vertical="bottom" textRotation="0" wrapText="0" indent="0" justifyLastLine="0" shrinkToFit="0" readingOrder="0"/>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5" tint="0.39997558519241921"/>
        </patternFill>
      </fill>
      <alignment horizontal="general"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5" tint="0.39997558519241921"/>
        </patternFill>
      </fill>
      <alignment horizontal="general" vertical="bottom" textRotation="0" wrapText="0" indent="0" justifyLastLine="0" shrinkToFit="0" readingOrder="0"/>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5" tint="0.39997558519241921"/>
        </patternFill>
      </fill>
      <alignment horizontal="general"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5" tint="0.39997558519241921"/>
        </patternFill>
      </fill>
      <alignment horizontal="general" vertical="bottom" textRotation="0" wrapText="0" indent="0" justifyLastLine="0" shrinkToFit="0" readingOrder="0"/>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5" tint="0.39997558519241921"/>
        </patternFill>
      </fill>
      <alignment horizontal="general"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5" tint="0.39997558519241921"/>
        </patternFill>
      </fill>
      <alignment horizontal="general" vertical="bottom" textRotation="0" wrapText="0" indent="0" justifyLastLine="0" shrinkToFit="0" readingOrder="0"/>
      <border diagonalUp="0" diagonalDown="0" outline="0">
        <left/>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5" tint="0.39997558519241921"/>
        </patternFill>
      </fill>
      <alignment horizontal="general"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5" tint="0.39997558519241921"/>
        </patternFill>
      </fill>
      <alignment horizontal="general" vertical="bottom" textRotation="0" wrapText="0" indent="0" justifyLastLine="0" shrinkToFit="0" readingOrder="0"/>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5" tint="0.39997558519241921"/>
        </patternFill>
      </fill>
      <alignment horizontal="general"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7" tint="0.39997558519241921"/>
        </patternFill>
      </fill>
      <alignment horizontal="general" vertical="bottom" textRotation="0" wrapText="0" indent="0" justifyLastLine="0" shrinkToFit="0" readingOrder="0"/>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7" tint="0.39997558519241921"/>
        </patternFill>
      </fill>
      <alignment horizontal="general"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7" tint="0.39997558519241921"/>
        </patternFill>
      </fill>
      <alignment horizontal="general" vertical="bottom" textRotation="0" wrapText="0" indent="0" justifyLastLine="0" shrinkToFit="0" readingOrder="0"/>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7" tint="0.39997558519241921"/>
        </patternFill>
      </fill>
      <alignment horizontal="general"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5" tint="0.39997558519241921"/>
        </patternFill>
      </fill>
      <alignment horizontal="general" vertical="bottom" textRotation="0" wrapText="0" indent="0" justifyLastLine="0" shrinkToFit="0" readingOrder="0"/>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5" tint="0.39997558519241921"/>
        </patternFill>
      </fill>
      <alignment horizontal="general"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7" tint="0.39997558519241921"/>
        </patternFill>
      </fill>
      <alignment horizontal="general" vertical="bottom" textRotation="0" wrapText="0" indent="0" justifyLastLine="0" shrinkToFit="0" readingOrder="0"/>
      <border diagonalUp="0" diagonalDown="0">
        <left/>
        <right/>
        <top style="thin">
          <color indexed="64"/>
        </top>
        <bottom style="thin">
          <color indexed="64"/>
        </bottom>
        <vertical/>
        <horizontal/>
      </border>
    </dxf>
    <dxf>
      <border outline="0">
        <top style="thin">
          <color indexed="64"/>
        </top>
      </border>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7" tint="0.39997558519241921"/>
        </patternFill>
      </fill>
      <alignment horizontal="general"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7" tint="0.39997558519241921"/>
        </patternFill>
      </fill>
      <alignment horizontal="general" vertical="bottom" textRotation="0" wrapText="0" indent="0" justifyLastLine="0" shrinkToFit="0" readingOrder="0"/>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7" tint="0.39997558519241921"/>
        </patternFill>
      </fill>
      <alignment horizontal="general"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7" tint="0.39997558519241921"/>
        </patternFill>
      </fill>
      <alignment horizontal="general" vertical="bottom" textRotation="0" wrapText="0" indent="0" justifyLastLine="0" shrinkToFit="0" readingOrder="0"/>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7" tint="0.39997558519241921"/>
        </patternFill>
      </fill>
      <alignment horizontal="general"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ill>
        <patternFill patternType="solid">
          <fgColor indexed="64"/>
          <bgColor theme="7" tint="0.39997558519241921"/>
        </patternFill>
      </fill>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theme="7" tint="0.39997558519241921"/>
        </patternFill>
      </fill>
    </dxf>
    <dxf>
      <border>
        <bottom style="thin">
          <color indexed="64"/>
        </bottom>
      </border>
    </dxf>
    <dxf>
      <font>
        <b/>
        <i val="0"/>
        <strike val="0"/>
        <condense val="0"/>
        <extend val="0"/>
        <outline val="0"/>
        <shadow val="0"/>
        <u val="none"/>
        <vertAlign val="baseline"/>
        <sz val="11"/>
        <color theme="1" tint="4.9989318521683403E-2"/>
        <name val="Calibri"/>
        <family val="2"/>
        <scheme val="minor"/>
      </font>
      <numFmt numFmtId="0" formatCode="General"/>
      <fill>
        <patternFill patternType="solid">
          <fgColor theme="6"/>
          <bgColor theme="6"/>
        </patternFill>
      </fill>
      <alignment horizontal="general"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ill>
        <patternFill patternType="solid">
          <fgColor indexed="64"/>
          <bgColor theme="7" tint="0.39997558519241921"/>
        </patternFill>
      </fill>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theme="7" tint="0.39997558519241921"/>
        </patternFill>
      </fill>
    </dxf>
    <dxf>
      <border>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ill>
        <patternFill patternType="solid">
          <fgColor indexed="64"/>
          <bgColor theme="7" tint="0.39997558519241921"/>
        </patternFill>
      </fill>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theme="7" tint="0.39997558519241921"/>
        </patternFill>
      </fill>
    </dxf>
    <dxf>
      <border>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ill>
        <patternFill patternType="solid">
          <fgColor indexed="64"/>
          <bgColor theme="7" tint="0.39997558519241921"/>
        </patternFill>
      </fill>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theme="7" tint="0.39997558519241921"/>
        </patternFill>
      </fill>
    </dxf>
    <dxf>
      <border>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ill>
        <patternFill patternType="solid">
          <fgColor indexed="64"/>
          <bgColor theme="7" tint="0.39997558519241921"/>
        </patternFill>
      </fill>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theme="7" tint="0.39997558519241921"/>
        </patternFill>
      </fill>
    </dxf>
    <dxf>
      <border>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9"/>
        <color theme="1"/>
        <name val="Calibri"/>
        <family val="2"/>
        <scheme val="minor"/>
      </font>
      <alignment horizontal="general" vertical="center" textRotation="0" wrapText="1" indent="0" justifyLastLine="0" shrinkToFit="0" readingOrder="0"/>
      <border diagonalUp="0" diagonalDown="0">
        <left/>
        <right/>
        <top style="thin">
          <color indexed="64"/>
        </top>
        <bottom/>
        <vertical/>
        <horizontal/>
      </border>
    </dxf>
    <dxf>
      <border outline="0">
        <top style="thin">
          <color indexed="64"/>
        </top>
      </border>
    </dxf>
    <dxf>
      <border outline="0">
        <left style="thin">
          <color auto="1"/>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alignment horizontal="general"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4"/>
          <bgColor theme="4"/>
        </patternFill>
      </fill>
      <alignment horizontal="general" vertical="bottom" textRotation="0" wrapText="0" indent="0" justifyLastLine="0" shrinkToFit="0" readingOrder="0"/>
    </dxf>
    <dxf>
      <font>
        <b/>
        <i val="0"/>
        <strike val="0"/>
        <condense val="0"/>
        <extend val="0"/>
        <outline val="0"/>
        <shadow val="0"/>
        <u val="none"/>
        <vertAlign val="baseline"/>
        <sz val="9"/>
        <color theme="1"/>
        <name val="Calibri"/>
        <family val="2"/>
        <scheme val="minor"/>
      </font>
      <alignment horizontal="general" vertical="center" textRotation="0" wrapText="1" indent="0" justifyLastLine="0" shrinkToFit="0" readingOrder="0"/>
      <border diagonalUp="0" diagonalDown="0">
        <left/>
        <right/>
        <top style="thin">
          <color indexed="64"/>
        </top>
        <bottom/>
        <vertical/>
        <horizontal/>
      </border>
    </dxf>
    <dxf>
      <border outline="0">
        <top style="thin">
          <color indexed="64"/>
        </top>
      </border>
    </dxf>
    <dxf>
      <border outline="0">
        <left style="thin">
          <color auto="1"/>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alignment horizontal="general"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4"/>
          <bgColor theme="4"/>
        </patternFill>
      </fill>
      <alignment horizontal="general" vertical="bottom" textRotation="0" wrapText="0" indent="0" justifyLastLine="0" shrinkToFit="0" readingOrder="0"/>
    </dxf>
    <dxf>
      <font>
        <b/>
        <i val="0"/>
        <strike val="0"/>
        <condense val="0"/>
        <extend val="0"/>
        <outline val="0"/>
        <shadow val="0"/>
        <u val="none"/>
        <vertAlign val="baseline"/>
        <sz val="9"/>
        <color theme="1"/>
        <name val="Calibri"/>
        <family val="2"/>
        <scheme val="minor"/>
      </font>
      <alignment horizontal="general" vertical="center" textRotation="0" wrapText="1" indent="0" justifyLastLine="0" shrinkToFit="0" readingOrder="0"/>
      <border diagonalUp="0" diagonalDown="0">
        <left/>
        <right/>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alignment horizontal="general" vertical="center" textRotation="0" wrapText="1" indent="0" justifyLastLine="0" shrinkToFit="0" readingOrder="0"/>
      <protection locked="0" hidden="0"/>
    </dxf>
    <dxf>
      <border>
        <bottom style="thin">
          <color indexed="64"/>
        </bottom>
      </border>
    </dxf>
    <dxf>
      <font>
        <b/>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9"/>
        <color theme="1"/>
        <name val="Calibri"/>
        <family val="2"/>
        <scheme val="minor"/>
      </font>
      <alignment horizontal="general" vertical="center" textRotation="0" wrapText="1" indent="0" justifyLastLine="0" shrinkToFit="0" readingOrder="0"/>
      <border diagonalUp="0" diagonalDown="0">
        <left/>
        <right/>
        <top style="thin">
          <color indexed="64"/>
        </top>
        <bottom style="thin">
          <color indexed="64"/>
        </bottom>
        <vertical/>
        <horizontal/>
      </border>
      <protection locked="0" hidden="0"/>
    </dxf>
    <dxf>
      <border outline="0">
        <left style="thin">
          <color auto="1"/>
        </left>
        <right style="thin">
          <color indexed="64"/>
        </right>
        <bottom style="thin">
          <color indexed="64"/>
        </bottom>
      </border>
    </dxf>
    <dxf>
      <font>
        <b/>
        <i val="0"/>
        <strike val="0"/>
        <condense val="0"/>
        <extend val="0"/>
        <outline val="0"/>
        <shadow val="0"/>
        <u val="none"/>
        <vertAlign val="baseline"/>
        <sz val="9"/>
        <color theme="1"/>
        <name val="Calibri"/>
        <family val="2"/>
        <scheme val="minor"/>
      </font>
      <alignment horizontal="general" vertical="center" textRotation="0" wrapText="1" indent="0" justifyLastLine="0" shrinkToFit="0" readingOrder="0"/>
      <protection locked="0" hidden="0"/>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font>
        <b/>
        <i val="0"/>
        <strike val="0"/>
        <condense val="0"/>
        <extend val="0"/>
        <outline val="0"/>
        <shadow val="0"/>
        <u val="none"/>
        <vertAlign val="baseline"/>
        <sz val="9"/>
        <color theme="1"/>
        <name val="Calibri"/>
        <family val="2"/>
        <scheme val="minor"/>
      </font>
      <alignment horizontal="general" vertical="center" textRotation="0" wrapText="1" indent="0" justifyLastLine="0" shrinkToFit="0" readingOrder="0"/>
      <border diagonalUp="0" diagonalDown="0">
        <left/>
        <right style="thin">
          <color indexed="64"/>
        </right>
        <top style="thin">
          <color indexed="64"/>
        </top>
        <bottom/>
        <vertical/>
        <horizontal/>
      </border>
      <protection locked="0" hidden="0"/>
    </dxf>
    <dxf>
      <border outline="0">
        <left style="thin">
          <color auto="1"/>
        </left>
        <bottom style="thin">
          <color indexed="64"/>
        </bottom>
      </border>
    </dxf>
    <dxf>
      <font>
        <b/>
        <i val="0"/>
        <strike val="0"/>
        <condense val="0"/>
        <extend val="0"/>
        <outline val="0"/>
        <shadow val="0"/>
        <u val="none"/>
        <vertAlign val="baseline"/>
        <sz val="9"/>
        <color theme="1"/>
        <name val="Calibri"/>
        <family val="2"/>
        <scheme val="minor"/>
      </font>
      <alignment horizontal="general" vertical="center" textRotation="0" wrapText="1" indent="0" justifyLastLine="0" shrinkToFit="0" readingOrder="0"/>
      <protection locked="0" hidden="0"/>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font>
        <b/>
        <i val="0"/>
        <strike val="0"/>
        <condense val="0"/>
        <extend val="0"/>
        <outline val="0"/>
        <shadow val="0"/>
        <u val="none"/>
        <vertAlign val="baseline"/>
        <sz val="9"/>
        <color theme="1"/>
        <name val="Calibri"/>
        <family val="2"/>
        <scheme val="minor"/>
      </font>
      <alignment horizontal="general" vertical="center" textRotation="0" wrapText="1" indent="0" justifyLastLine="0" shrinkToFit="0" readingOrder="0"/>
      <border diagonalUp="0" diagonalDown="0">
        <left/>
        <right style="thin">
          <color indexed="64"/>
        </right>
        <top style="thin">
          <color indexed="64"/>
        </top>
        <bottom/>
        <vertical/>
        <horizontal/>
      </border>
      <protection locked="0" hidden="0"/>
    </dxf>
    <dxf>
      <border outline="0">
        <left style="thin">
          <color auto="1"/>
        </left>
        <bottom style="thin">
          <color indexed="64"/>
        </bottom>
      </border>
    </dxf>
    <dxf>
      <font>
        <b/>
        <i val="0"/>
        <strike val="0"/>
        <condense val="0"/>
        <extend val="0"/>
        <outline val="0"/>
        <shadow val="0"/>
        <u val="none"/>
        <vertAlign val="baseline"/>
        <sz val="9"/>
        <color theme="1"/>
        <name val="Calibri"/>
        <family val="2"/>
        <scheme val="minor"/>
      </font>
      <alignment horizontal="general" vertical="center" textRotation="0" wrapText="1" indent="0" justifyLastLine="0" shrinkToFit="0" readingOrder="0"/>
      <protection locked="0" hidden="0"/>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font>
        <b/>
        <i val="0"/>
        <strike val="0"/>
        <condense val="0"/>
        <extend val="0"/>
        <outline val="0"/>
        <shadow val="0"/>
        <u val="none"/>
        <vertAlign val="baseline"/>
        <sz val="9"/>
        <color theme="1"/>
        <name val="Calibri"/>
        <family val="2"/>
        <scheme val="minor"/>
      </font>
      <alignment horizontal="general" vertical="center" textRotation="0" wrapText="1" indent="0" justifyLastLine="0" shrinkToFit="0" readingOrder="0"/>
      <border diagonalUp="0" diagonalDown="0">
        <left/>
        <right style="thin">
          <color indexed="64"/>
        </right>
        <top style="thin">
          <color indexed="64"/>
        </top>
        <bottom/>
        <vertical/>
        <horizontal/>
      </border>
      <protection locked="0" hidden="0"/>
    </dxf>
    <dxf>
      <border outline="0">
        <top style="thin">
          <color indexed="64"/>
        </top>
      </border>
    </dxf>
    <dxf>
      <border outline="0">
        <left style="thin">
          <color auto="1"/>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alignment horizontal="general" vertical="center" textRotation="0" wrapText="1" indent="0" justifyLastLine="0" shrinkToFit="0" readingOrder="0"/>
      <protection locked="0" hidden="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font>
        <b/>
        <i val="0"/>
        <strike val="0"/>
        <condense val="0"/>
        <extend val="0"/>
        <outline val="0"/>
        <shadow val="0"/>
        <u val="none"/>
        <vertAlign val="baseline"/>
        <sz val="9"/>
        <color theme="1"/>
        <name val="Calibri"/>
        <family val="2"/>
        <scheme val="minor"/>
      </font>
      <alignment horizontal="general" vertical="center" textRotation="0" wrapText="1" indent="0" justifyLastLine="0" shrinkToFit="0" readingOrder="0"/>
      <border diagonalUp="0" diagonalDown="0">
        <left/>
        <right/>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alignment horizontal="general" vertical="center" textRotation="0" wrapText="1" indent="0" justifyLastLine="0" shrinkToFit="0" readingOrder="0"/>
      <protection locked="0" hidden="0"/>
    </dxf>
    <dxf>
      <border>
        <bottom style="thin">
          <color indexed="64"/>
        </bottom>
      </border>
    </dxf>
    <dxf>
      <font>
        <b/>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bottom/>
      </border>
    </dxf>
    <dxf>
      <font>
        <b/>
        <i val="0"/>
        <color rgb="FFC00000"/>
      </font>
      <fill>
        <patternFill>
          <bgColor theme="5" tint="0.39994506668294322"/>
        </patternFill>
      </fill>
      <border>
        <left style="thin">
          <color rgb="FFC00000"/>
        </left>
        <right style="thin">
          <color rgb="FFC00000"/>
        </right>
        <top style="thin">
          <color rgb="FFC00000"/>
        </top>
        <bottom style="thin">
          <color rgb="FFC00000"/>
        </bottom>
        <vertical/>
        <horizontal/>
      </border>
    </dxf>
    <dxf>
      <font>
        <b/>
        <i val="0"/>
        <color rgb="FFC00000"/>
      </font>
      <fill>
        <patternFill>
          <bgColor theme="5" tint="0.39994506668294322"/>
        </patternFill>
      </fill>
      <border>
        <left style="thin">
          <color rgb="FFC00000"/>
        </left>
        <right style="thin">
          <color rgb="FFC00000"/>
        </right>
        <top style="thin">
          <color rgb="FFC00000"/>
        </top>
        <bottom style="thin">
          <color rgb="FFC00000"/>
        </bottom>
        <vertical/>
        <horizontal/>
      </border>
    </dxf>
    <dxf>
      <font>
        <b/>
        <i val="0"/>
        <color rgb="FFC00000"/>
      </font>
      <fill>
        <patternFill>
          <bgColor theme="5" tint="0.39994506668294322"/>
        </patternFill>
      </fill>
      <border>
        <left style="thin">
          <color rgb="FFC00000"/>
        </left>
        <right style="thin">
          <color rgb="FFC00000"/>
        </right>
        <top style="thin">
          <color rgb="FFC00000"/>
        </top>
        <bottom style="thin">
          <color rgb="FFC00000"/>
        </bottom>
        <vertical/>
        <horizontal/>
      </border>
    </dxf>
    <dxf>
      <font>
        <b/>
        <i val="0"/>
        <color rgb="FFC00000"/>
      </font>
      <fill>
        <patternFill>
          <bgColor theme="5" tint="0.39994506668294322"/>
        </patternFill>
      </fill>
      <border>
        <left style="thin">
          <color rgb="FFC00000"/>
        </left>
        <right style="thin">
          <color rgb="FFC00000"/>
        </right>
        <top style="thin">
          <color rgb="FFC00000"/>
        </top>
        <bottom style="thin">
          <color rgb="FFC00000"/>
        </bottom>
        <vertical/>
        <horizontal/>
      </border>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b/>
        <i val="0"/>
        <color rgb="FFFFFF00"/>
      </font>
      <fill>
        <patternFill>
          <bgColor rgb="FFC000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b/>
        <i val="0"/>
        <color rgb="FFFFFF00"/>
      </font>
      <fill>
        <patternFill>
          <bgColor rgb="FFC00000"/>
        </patternFill>
      </fill>
    </dxf>
    <dxf>
      <fill>
        <patternFill>
          <bgColor theme="5" tint="0.39994506668294322"/>
        </patternFill>
      </fill>
    </dxf>
    <dxf>
      <fill>
        <patternFill>
          <bgColor rgb="FFFFFF00"/>
        </patternFill>
      </fill>
    </dxf>
    <dxf>
      <fill>
        <patternFill>
          <bgColor rgb="FFFFFF00"/>
        </patternFill>
      </fill>
    </dxf>
    <dxf>
      <font>
        <b/>
        <i val="0"/>
        <color rgb="FFFFFF00"/>
      </font>
      <fill>
        <patternFill>
          <bgColor rgb="FFFF0000"/>
        </patternFill>
      </fill>
    </dxf>
    <dxf>
      <fill>
        <patternFill>
          <bgColor rgb="FFFFFF00"/>
        </patternFill>
      </fill>
    </dxf>
    <dxf>
      <fill>
        <patternFill>
          <bgColor rgb="FFFFFF00"/>
        </patternFill>
      </fill>
    </dxf>
    <dxf>
      <font>
        <b/>
        <i val="0"/>
        <color rgb="FFFFFF00"/>
      </font>
      <fill>
        <patternFill>
          <bgColor rgb="FFFF0000"/>
        </patternFill>
      </fill>
    </dxf>
    <dxf>
      <fill>
        <patternFill>
          <bgColor rgb="FFFFFF00"/>
        </patternFill>
      </fill>
    </dxf>
    <dxf>
      <font>
        <b/>
        <i val="0"/>
        <color rgb="FFFF0000"/>
      </font>
      <fill>
        <patternFill>
          <bgColor rgb="FFFFFF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color theme="0"/>
      </font>
    </dxf>
    <dxf>
      <font>
        <color theme="0"/>
      </font>
      <fill>
        <patternFill>
          <bgColor rgb="FFFF5050"/>
        </patternFill>
      </fill>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color theme="0"/>
      </font>
    </dxf>
    <dxf>
      <font>
        <color theme="0"/>
      </font>
      <fill>
        <patternFill>
          <bgColor rgb="FF66CCFF"/>
        </patternFill>
      </fill>
    </dxf>
    <dxf>
      <font>
        <color theme="0"/>
      </font>
      <fill>
        <patternFill>
          <bgColor theme="1"/>
        </patternFill>
      </fill>
    </dxf>
    <dxf>
      <font>
        <color theme="0"/>
      </font>
      <fill>
        <patternFill>
          <bgColor rgb="FF7030A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b/>
        <i val="0"/>
        <color rgb="FFFFFF00"/>
      </font>
      <fill>
        <patternFill>
          <bgColor rgb="FFFF0000"/>
        </patternFill>
      </fill>
    </dxf>
    <dxf>
      <fill>
        <patternFill>
          <bgColor rgb="FF92D050"/>
        </patternFill>
      </fill>
    </dxf>
    <dxf>
      <fill>
        <patternFill>
          <bgColor theme="5" tint="0.59996337778862885"/>
        </patternFill>
      </fill>
    </dxf>
    <dxf>
      <fill>
        <patternFill>
          <bgColor rgb="FFFFC000"/>
        </patternFill>
      </fill>
    </dxf>
    <dxf>
      <font>
        <b/>
        <i val="0"/>
        <color rgb="FFFFFF00"/>
      </font>
      <fill>
        <patternFill>
          <bgColor rgb="FFFF0000"/>
        </patternFill>
      </fill>
    </dxf>
    <dxf>
      <font>
        <b/>
        <i val="0"/>
        <color rgb="FFFFFF00"/>
      </font>
      <fill>
        <patternFill>
          <bgColor rgb="FFFF0000"/>
        </patternFill>
      </fill>
    </dxf>
    <dxf>
      <fill>
        <patternFill>
          <bgColor rgb="FFFFC000"/>
        </patternFill>
      </fill>
    </dxf>
    <dxf>
      <fill>
        <patternFill>
          <bgColor rgb="FFFFC000"/>
        </patternFill>
      </fill>
    </dxf>
    <dxf>
      <font>
        <b/>
        <i val="0"/>
        <color rgb="FFFFFF00"/>
      </font>
      <fill>
        <patternFill>
          <bgColor rgb="FFFF0000"/>
        </patternFill>
      </fill>
    </dxf>
    <dxf>
      <fill>
        <patternFill>
          <bgColor theme="5" tint="0.59996337778862885"/>
        </patternFill>
      </fill>
    </dxf>
    <dxf>
      <font>
        <b/>
        <i val="0"/>
        <color rgb="FFFFFF00"/>
      </font>
      <fill>
        <patternFill>
          <bgColor rgb="FFC00000"/>
        </patternFill>
      </fill>
    </dxf>
    <dxf>
      <font>
        <b/>
        <i val="0"/>
        <color rgb="FFFFFF00"/>
      </font>
      <fill>
        <patternFill>
          <bgColor rgb="FFFF0000"/>
        </patternFill>
      </fill>
    </dxf>
    <dxf>
      <fill>
        <patternFill>
          <bgColor rgb="FFFFC000"/>
        </patternFill>
      </fill>
    </dxf>
    <dxf>
      <font>
        <b/>
        <i val="0"/>
        <color rgb="FFFFFF00"/>
      </font>
      <fill>
        <patternFill>
          <bgColor rgb="FFFF0000"/>
        </patternFill>
      </fill>
    </dxf>
    <dxf>
      <fill>
        <patternFill>
          <bgColor rgb="FFFFC000"/>
        </patternFill>
      </fill>
    </dxf>
    <dxf>
      <fill>
        <patternFill>
          <bgColor rgb="FFFFC000"/>
        </patternFill>
      </fill>
    </dxf>
    <dxf>
      <font>
        <b/>
        <i val="0"/>
        <color rgb="FFFFFF00"/>
      </font>
      <fill>
        <patternFill>
          <bgColor rgb="FFFF0000"/>
        </patternFill>
      </fill>
    </dxf>
    <dxf>
      <font>
        <b/>
        <i val="0"/>
        <color rgb="FFFFFF00"/>
      </font>
      <fill>
        <patternFill>
          <bgColor rgb="FFFF0000"/>
        </patternFill>
      </fill>
    </dxf>
    <dxf>
      <fill>
        <patternFill>
          <bgColor rgb="FFFFC000"/>
        </patternFill>
      </fill>
    </dxf>
    <dxf>
      <font>
        <b/>
        <i val="0"/>
        <color rgb="FFFFFF00"/>
      </font>
      <fill>
        <patternFill>
          <bgColor rgb="FFFF0000"/>
        </patternFill>
      </fill>
    </dxf>
    <dxf>
      <fill>
        <patternFill>
          <bgColor theme="5" tint="0.59996337778862885"/>
        </patternFill>
      </fill>
    </dxf>
    <dxf>
      <font>
        <b/>
        <i val="0"/>
        <color rgb="FFFFFF00"/>
      </font>
      <fill>
        <patternFill>
          <bgColor rgb="FFFF0000"/>
        </patternFill>
      </fill>
    </dxf>
    <dxf>
      <font>
        <b/>
        <i val="0"/>
        <color rgb="FFFFFF00"/>
      </font>
      <fill>
        <patternFill>
          <bgColor rgb="FFFF0000"/>
        </patternFill>
      </fill>
    </dxf>
    <dxf>
      <fill>
        <patternFill>
          <bgColor rgb="FFFFC000"/>
        </patternFill>
      </fill>
    </dxf>
    <dxf>
      <font>
        <b/>
        <i val="0"/>
        <color rgb="FFFFFF00"/>
      </font>
      <fill>
        <patternFill>
          <bgColor rgb="FFFF0000"/>
        </patternFill>
      </fill>
    </dxf>
    <dxf>
      <font>
        <b/>
        <i val="0"/>
        <color rgb="FFFFFF00"/>
      </font>
      <fill>
        <patternFill>
          <bgColor rgb="FFFF0000"/>
        </patternFill>
      </fill>
    </dxf>
    <dxf>
      <fill>
        <patternFill>
          <bgColor rgb="FFFFC000"/>
        </patternFill>
      </fill>
    </dxf>
    <dxf>
      <font>
        <b/>
        <i val="0"/>
        <color rgb="FFFFFF00"/>
      </font>
      <fill>
        <patternFill>
          <bgColor rgb="FFC00000"/>
        </patternFill>
      </fill>
    </dxf>
    <dxf>
      <font>
        <b/>
        <i val="0"/>
        <color rgb="FFFFFF00"/>
      </font>
      <fill>
        <patternFill>
          <bgColor rgb="FFC00000"/>
        </patternFill>
      </fill>
    </dxf>
    <dxf>
      <font>
        <b/>
        <i val="0"/>
        <color rgb="FFFFFF00"/>
      </font>
      <fill>
        <patternFill>
          <bgColor rgb="FFC00000"/>
        </patternFill>
      </fill>
    </dxf>
    <dxf>
      <font>
        <b/>
        <i val="0"/>
        <color rgb="FFFFFF00"/>
      </font>
      <fill>
        <patternFill>
          <bgColor rgb="FFC00000"/>
        </patternFill>
      </fill>
    </dxf>
    <dxf>
      <font>
        <b/>
        <i val="0"/>
        <color rgb="FFFFFF00"/>
      </font>
      <fill>
        <patternFill>
          <bgColor rgb="FFC00000"/>
        </patternFill>
      </fill>
    </dxf>
    <dxf>
      <font>
        <b/>
        <i val="0"/>
        <color rgb="FFFFFF00"/>
      </font>
      <fill>
        <patternFill>
          <bgColor rgb="FFC0000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ont>
        <color rgb="FFFFFFFF"/>
      </font>
      <fill>
        <patternFill>
          <bgColor rgb="FFFF0000"/>
        </patternFill>
      </fill>
    </dxf>
    <dxf>
      <fill>
        <patternFill>
          <bgColor rgb="FF00FF00"/>
        </patternFill>
      </fill>
    </dxf>
    <dxf>
      <font>
        <color theme="0"/>
      </font>
      <fill>
        <patternFill>
          <bgColor rgb="FFFF0000"/>
        </patternFill>
      </fill>
    </dxf>
    <dxf>
      <fill>
        <patternFill>
          <bgColor rgb="FF00FF00"/>
        </patternFill>
      </fill>
    </dxf>
    <dxf>
      <font>
        <color rgb="FFFFFFFF"/>
      </font>
      <fill>
        <patternFill>
          <bgColor rgb="FFFF0000"/>
        </patternFill>
      </fill>
    </dxf>
    <dxf>
      <fill>
        <patternFill>
          <bgColor rgb="FF00FF00"/>
        </patternFill>
      </fill>
    </dxf>
    <dxf>
      <font>
        <color theme="0"/>
      </font>
      <fill>
        <patternFill>
          <bgColor rgb="FFFF0000"/>
        </patternFill>
      </fill>
    </dxf>
    <dxf>
      <fill>
        <patternFill>
          <bgColor rgb="FF00FF00"/>
        </patternFill>
      </fill>
    </dxf>
    <dxf>
      <font>
        <color rgb="FFFFFFFF"/>
      </font>
      <fill>
        <patternFill>
          <bgColor rgb="FFFF0000"/>
        </patternFill>
      </fill>
    </dxf>
    <dxf>
      <fill>
        <patternFill>
          <bgColor rgb="FF00FF00"/>
        </patternFill>
      </fill>
    </dxf>
    <dxf>
      <font>
        <color theme="0"/>
      </font>
      <fill>
        <patternFill>
          <bgColor rgb="FFFF0000"/>
        </patternFill>
      </fill>
    </dxf>
    <dxf>
      <fill>
        <patternFill>
          <bgColor rgb="FF00FF00"/>
        </patternFill>
      </fill>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59996337778862885"/>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ont>
        <b/>
        <i val="0"/>
        <color rgb="FFC00000"/>
      </font>
      <fill>
        <patternFill>
          <bgColor theme="5" tint="0.59996337778862885"/>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9"/>
        <color theme="1"/>
        <name val="Calibri"/>
        <family val="2"/>
        <scheme val="minor"/>
      </font>
      <numFmt numFmtId="182" formatCode="_(* 0.000,,_);_(* \(0.000,,\);_(* &quot;-&quot;??_);_(@_)"/>
      <fill>
        <patternFill patternType="solid">
          <fgColor indexed="64"/>
          <bgColor theme="9" tint="0.79998168889431442"/>
        </patternFill>
      </fill>
      <alignment horizontal="general" vertical="center" textRotation="0" wrapText="0" indent="0" justifyLastLine="0" shrinkToFit="0" readingOrder="0"/>
      <border outline="0">
        <left style="thin">
          <color indexed="64"/>
        </left>
        <right/>
      </border>
    </dxf>
    <dxf>
      <font>
        <b/>
        <i val="0"/>
        <strike val="0"/>
        <condense val="0"/>
        <extend val="0"/>
        <outline val="0"/>
        <shadow val="0"/>
        <u val="none"/>
        <vertAlign val="baseline"/>
        <sz val="9"/>
        <color theme="1"/>
        <name val="Calibri"/>
        <family val="2"/>
        <scheme val="minor"/>
      </font>
      <numFmt numFmtId="14" formatCode="0.00%"/>
      <fill>
        <patternFill patternType="solid">
          <fgColor indexed="64"/>
          <bgColor rgb="FFFFC000"/>
        </patternFill>
      </fill>
      <alignment horizontal="general" vertical="center" textRotation="0" wrapText="0" indent="0" justifyLastLine="0" shrinkToFit="0" readingOrder="0"/>
    </dxf>
    <dxf>
      <font>
        <strike val="0"/>
        <outline val="0"/>
        <shadow val="0"/>
        <u val="none"/>
        <vertAlign val="baseline"/>
        <sz val="10"/>
        <color indexed="8"/>
        <name val="Calibri"/>
        <family val="2"/>
        <scheme val="none"/>
      </font>
      <fill>
        <patternFill patternType="solid">
          <fgColor indexed="64"/>
          <bgColor theme="5" tint="0.39997558519241921"/>
        </patternFill>
      </fill>
      <alignment horizontal="general" vertical="center" textRotation="0" wrapText="1" indent="0" justifyLastLine="0" shrinkToFit="0" readingOrder="0"/>
      <protection locked="0" hidden="0"/>
    </dxf>
    <dxf>
      <font>
        <b/>
        <i val="0"/>
        <strike val="0"/>
        <condense val="0"/>
        <extend val="0"/>
        <outline val="0"/>
        <shadow val="0"/>
        <u val="none"/>
        <vertAlign val="baseline"/>
        <sz val="9"/>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333399"/>
        </patternFill>
      </fill>
      <alignment horizontal="center" vertical="center" textRotation="0" wrapText="0" indent="0" justifyLastLine="0" shrinkToFit="0" readingOrder="0"/>
    </dxf>
    <dxf>
      <font>
        <color rgb="FF006100"/>
      </font>
      <fill>
        <patternFill>
          <bgColor rgb="FFC6EFCE"/>
        </patternFill>
      </fill>
    </dxf>
    <dxf>
      <font>
        <color rgb="FF9C0006"/>
      </font>
      <fill>
        <patternFill>
          <bgColor rgb="FFFFC7CE"/>
        </patternFill>
      </fill>
    </dxf>
    <dxf>
      <fill>
        <patternFill>
          <bgColor theme="0"/>
        </patternFill>
      </fill>
    </dxf>
    <dxf>
      <alignment horizontal="center"/>
    </dxf>
    <dxf>
      <font>
        <b/>
      </font>
    </dxf>
    <dxf>
      <font>
        <b/>
      </font>
    </dxf>
    <dxf>
      <font>
        <b/>
      </font>
    </dxf>
    <dxf>
      <font>
        <b/>
      </font>
    </dxf>
    <dxf>
      <font>
        <b/>
      </font>
    </dxf>
    <dxf>
      <font>
        <b/>
      </font>
    </dxf>
    <dxf>
      <font>
        <b/>
      </font>
    </dxf>
    <dxf>
      <font>
        <b/>
      </font>
    </dxf>
    <dxf>
      <font>
        <b/>
      </font>
    </dxf>
    <dxf>
      <numFmt numFmtId="182" formatCode="_(* 0.000,,_);_(* \(0.000,,\);_(* &quot;-&quot;??_);_(@_)"/>
    </dxf>
    <dxf>
      <font>
        <sz val="10"/>
      </font>
    </dxf>
    <dxf>
      <fill>
        <patternFill patternType="solid">
          <bgColor theme="4" tint="0.59999389629810485"/>
        </patternFill>
      </fill>
    </dxf>
    <dxf>
      <fill>
        <patternFill patternType="solid">
          <bgColor theme="4" tint="0.59999389629810485"/>
        </patternFill>
      </fill>
    </dxf>
    <dxf>
      <alignment horizontal="center"/>
    </dxf>
    <dxf>
      <numFmt numFmtId="182" formatCode="_(* 0.000,,_);_(* \(0.000,,\);_(* &quot;-&quot;??_);_(@_)"/>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theme="4" tint="0.59999389629810485"/>
        </patternFill>
      </fill>
    </dxf>
    <dxf>
      <fill>
        <patternFill patternType="solid">
          <bgColor theme="4" tint="0.59999389629810485"/>
        </patternFill>
      </fill>
    </dxf>
    <dxf>
      <alignment horizontal="center"/>
    </dxf>
    <dxf>
      <font>
        <sz val="10"/>
      </font>
    </dxf>
    <dxf>
      <numFmt numFmtId="182" formatCode="_(* 0.000,,_);_(* \(0.000,,\);_(* &quot;-&quot;??_);_(@_)"/>
    </dxf>
    <dxf>
      <font>
        <sz val="10"/>
      </font>
    </dxf>
    <dxf>
      <font>
        <sz val="10"/>
      </font>
    </dxf>
    <dxf>
      <font>
        <sz val="10"/>
      </font>
    </dxf>
    <dxf>
      <font>
        <sz val="10"/>
      </font>
    </dxf>
    <dxf>
      <font>
        <sz val="10"/>
      </font>
    </dxf>
    <dxf>
      <font>
        <sz val="10"/>
      </font>
    </dxf>
    <dxf>
      <font>
        <sz val="10"/>
      </font>
    </dxf>
    <dxf>
      <font>
        <sz val="10"/>
      </font>
    </dxf>
    <dxf>
      <font>
        <sz val="10"/>
      </font>
    </dxf>
    <dxf>
      <alignment horizontal="center"/>
    </dxf>
    <dxf>
      <font>
        <color theme="0"/>
      </font>
    </dxf>
    <dxf>
      <font>
        <color theme="0"/>
      </font>
    </dxf>
    <dxf>
      <fill>
        <patternFill patternType="solid">
          <bgColor theme="4" tint="-0.249977111117893"/>
        </patternFill>
      </fill>
    </dxf>
    <dxf>
      <fill>
        <patternFill patternType="solid">
          <bgColor theme="4" tint="-0.249977111117893"/>
        </patternFill>
      </fill>
    </dxf>
    <dxf>
      <numFmt numFmtId="182" formatCode="_(* 0.000,,_);_(* \(0.000,,\);_(* &quot;-&quot;??_);_(@_)"/>
    </dxf>
    <dxf>
      <font>
        <sz val="10"/>
      </font>
    </dxf>
    <dxf>
      <font>
        <sz val="10"/>
      </font>
    </dxf>
    <dxf>
      <font>
        <sz val="10"/>
      </font>
    </dxf>
    <dxf>
      <font>
        <sz val="10"/>
      </font>
    </dxf>
    <dxf>
      <font>
        <sz val="10"/>
      </font>
    </dxf>
    <dxf>
      <font>
        <sz val="10"/>
      </font>
    </dxf>
    <dxf>
      <font>
        <b val="0"/>
        <i val="0"/>
        <strike val="0"/>
        <condense val="0"/>
        <extend val="0"/>
        <outline val="0"/>
        <shadow val="0"/>
        <u val="none"/>
        <vertAlign val="baseline"/>
        <sz val="9"/>
        <color theme="1"/>
        <name val="Calibri"/>
        <family val="2"/>
        <scheme val="minor"/>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9"/>
        <color theme="1"/>
        <name val="Calibri"/>
        <family val="2"/>
        <scheme val="minor"/>
      </font>
      <numFmt numFmtId="165" formatCode="_(* #,##0_);_(* \(#,##0\);_(* &quot;-&quot;??_);_(@_)"/>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numFmt numFmtId="165" formatCode="_(* #,##0_);_(* \(#,##0\);_(* &quot;-&quot;??_);_(@_)"/>
      <fill>
        <patternFill patternType="solid">
          <fgColor indexed="64"/>
          <bgColor theme="9" tint="0.79998168889431442"/>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9"/>
        <color theme="1"/>
        <name val="Calibri"/>
        <family val="2"/>
        <scheme val="minor"/>
      </font>
      <numFmt numFmtId="165" formatCode="_(* #,##0_);_(* \(#,##0\);_(* &quot;-&quot;??_);_(@_)"/>
      <fill>
        <patternFill patternType="solid">
          <fgColor indexed="64"/>
          <bgColor theme="9" tint="0.79998168889431442"/>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9"/>
        <color theme="1"/>
        <name val="Calibri"/>
        <family val="2"/>
        <scheme val="minor"/>
      </font>
      <numFmt numFmtId="165" formatCode="_(* #,##0_);_(* \(#,##0\);_(* &quot;-&quot;??_);_(@_)"/>
      <fill>
        <patternFill patternType="solid">
          <fgColor indexed="64"/>
          <bgColor theme="9" tint="0.79998168889431442"/>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9"/>
        <color theme="1"/>
        <name val="Calibri"/>
        <family val="2"/>
        <scheme val="minor"/>
      </font>
      <numFmt numFmtId="165" formatCode="_(* #,##0_);_(* \(#,##0\);_(* &quot;-&quot;??_);_(@_)"/>
      <fill>
        <patternFill patternType="solid">
          <fgColor indexed="64"/>
          <bgColor theme="9" tint="0.79998168889431442"/>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9"/>
        <color theme="1"/>
        <name val="Calibri"/>
        <family val="2"/>
        <scheme val="minor"/>
      </font>
      <numFmt numFmtId="165" formatCode="_(* #,##0_);_(* \(#,##0\);_(* &quot;-&quot;??_);_(@_)"/>
      <fill>
        <patternFill patternType="solid">
          <fgColor indexed="64"/>
          <bgColor theme="9" tint="0.79998168889431442"/>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9"/>
        <color theme="1"/>
        <name val="Calibri"/>
        <family val="2"/>
        <scheme val="minor"/>
      </font>
      <numFmt numFmtId="165" formatCode="_(* #,##0_);_(* \(#,##0\);_(* &quot;-&quot;??_);_(@_)"/>
      <fill>
        <patternFill patternType="solid">
          <fgColor indexed="64"/>
          <bgColor theme="9" tint="0.79998168889431442"/>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9"/>
        <color theme="1"/>
        <name val="Calibri"/>
        <family val="2"/>
        <scheme val="minor"/>
      </font>
      <numFmt numFmtId="165" formatCode="_(* #,##0_);_(* \(#,##0\);_(* &quot;-&quot;??_);_(@_)"/>
      <fill>
        <patternFill patternType="none">
          <fgColor indexed="64"/>
          <bgColor indexed="65"/>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9"/>
        <color theme="1"/>
        <name val="Calibri"/>
        <family val="2"/>
        <scheme val="minor"/>
      </font>
      <numFmt numFmtId="165" formatCode="_(* #,##0_);_(* \(#,##0\);_(* &quot;-&quot;??_);_(@_)"/>
      <fill>
        <patternFill patternType="none">
          <fgColor indexed="64"/>
          <bgColor indexed="65"/>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9"/>
        <color theme="1"/>
        <name val="Calibri"/>
        <family val="2"/>
        <scheme val="minor"/>
      </font>
      <numFmt numFmtId="165" formatCode="_(* #,##0_);_(* \(#,##0\);_(* &quot;-&quot;??_);_(@_)"/>
      <fill>
        <patternFill patternType="none">
          <fgColor indexed="64"/>
          <bgColor indexed="65"/>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9"/>
        <color theme="1"/>
        <name val="Calibri"/>
        <family val="2"/>
        <scheme val="minor"/>
      </font>
      <numFmt numFmtId="165" formatCode="_(* #,##0_);_(* \(#,##0\);_(* &quot;-&quot;??_);_(@_)"/>
      <fill>
        <patternFill patternType="none">
          <fgColor indexed="64"/>
          <bgColor indexed="65"/>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9"/>
        <color theme="1"/>
        <name val="Calibri"/>
        <family val="2"/>
        <scheme val="minor"/>
      </font>
      <numFmt numFmtId="165" formatCode="_(* #,##0_);_(* \(#,##0\);_(* &quot;-&quot;??_);_(@_)"/>
      <fill>
        <patternFill patternType="none">
          <fgColor indexed="64"/>
          <bgColor indexed="65"/>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9"/>
        <color theme="1"/>
        <name val="Calibri"/>
        <family val="2"/>
        <scheme val="minor"/>
      </font>
      <numFmt numFmtId="0" formatCode="General"/>
      <alignment horizontal="center" vertical="center" textRotation="0" wrapText="1" indent="0" justifyLastLine="0" shrinkToFit="0" readingOrder="0"/>
      <protection locked="0" hidden="0"/>
    </dxf>
    <dxf>
      <font>
        <b val="0"/>
        <i val="0"/>
        <strike val="0"/>
        <condense val="0"/>
        <extend val="0"/>
        <outline val="0"/>
        <shadow val="0"/>
        <u val="none"/>
        <vertAlign val="baseline"/>
        <sz val="9"/>
        <color theme="1"/>
        <name val="Calibri"/>
        <family val="2"/>
        <scheme val="minor"/>
      </font>
      <numFmt numFmtId="0" formatCode="General"/>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9"/>
        <color theme="1"/>
        <name val="Calibri"/>
        <family val="2"/>
        <scheme val="minor"/>
      </font>
      <numFmt numFmtId="0" formatCode="General"/>
      <alignment horizontal="general" vertical="center" textRotation="0" wrapText="1" indent="0" justifyLastLine="0" shrinkToFit="0" readingOrder="0"/>
      <protection locked="0" hidden="0"/>
    </dxf>
    <dxf>
      <font>
        <b val="0"/>
        <i val="0"/>
        <strike val="0"/>
        <condense val="0"/>
        <extend val="0"/>
        <outline val="0"/>
        <shadow val="0"/>
        <u val="none"/>
        <vertAlign val="baseline"/>
        <sz val="9"/>
        <color theme="1"/>
        <name val="Calibri"/>
        <family val="2"/>
        <scheme val="minor"/>
      </font>
      <numFmt numFmtId="0" formatCode="General"/>
      <alignment horizontal="left" vertical="center" textRotation="0" wrapText="0" indent="0" justifyLastLine="0" shrinkToFit="0" readingOrder="0"/>
      <protection locked="0" hidden="0"/>
    </dxf>
    <dxf>
      <font>
        <b val="0"/>
        <i val="0"/>
        <strike val="0"/>
        <condense val="0"/>
        <extend val="0"/>
        <outline val="0"/>
        <shadow val="0"/>
        <u val="none"/>
        <vertAlign val="baseline"/>
        <sz val="9"/>
        <color theme="1"/>
        <name val="Calibri"/>
        <family val="2"/>
        <scheme val="minor"/>
      </font>
      <fill>
        <patternFill patternType="none">
          <fgColor indexed="64"/>
          <bgColor indexed="65"/>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333399"/>
        </patternFill>
      </fill>
      <alignment horizontal="left" vertical="center" textRotation="0" wrapText="0" indent="0" justifyLastLine="0" shrinkToFit="0" readingOrder="0"/>
    </dxf>
    <dxf>
      <fill>
        <patternFill>
          <bgColor theme="7" tint="0.79998168889431442"/>
        </patternFill>
      </fill>
      <border>
        <left style="thin">
          <color auto="1"/>
        </left>
        <right style="thin">
          <color auto="1"/>
        </right>
        <top style="thin">
          <color auto="1"/>
        </top>
        <bottom style="thin">
          <color auto="1"/>
        </bottom>
      </border>
    </dxf>
    <dxf>
      <fill>
        <patternFill>
          <bgColor theme="7" tint="0.79998168889431442"/>
        </patternFill>
      </fill>
      <border>
        <left style="thin">
          <color theme="1"/>
        </left>
        <right style="thin">
          <color theme="1"/>
        </right>
        <top style="thin">
          <color theme="1"/>
        </top>
        <bottom style="thin">
          <color theme="1"/>
        </bottom>
        <vertical/>
        <horizontal/>
      </border>
    </dxf>
    <dxf>
      <fill>
        <patternFill>
          <bgColor theme="7" tint="0.79998168889431442"/>
        </patternFill>
      </fill>
      <border>
        <left style="thin">
          <color auto="1"/>
        </left>
        <right style="thin">
          <color auto="1"/>
        </right>
        <top style="thin">
          <color auto="1"/>
        </top>
        <bottom style="thin">
          <color auto="1"/>
        </bottom>
      </border>
    </dxf>
    <dxf>
      <fill>
        <patternFill>
          <bgColor theme="7" tint="0.79998168889431442"/>
        </patternFill>
      </fill>
      <border>
        <left style="thin">
          <color theme="1"/>
        </left>
        <right style="thin">
          <color theme="1"/>
        </right>
        <top style="thin">
          <color theme="1"/>
        </top>
        <bottom style="thin">
          <color theme="1"/>
        </bottom>
        <vertical/>
        <horizontal/>
      </border>
    </dxf>
    <dxf>
      <fill>
        <patternFill>
          <bgColor theme="7" tint="0.79998168889431442"/>
        </patternFill>
      </fill>
      <border>
        <left style="thin">
          <color auto="1"/>
        </left>
        <right style="thin">
          <color auto="1"/>
        </right>
        <top style="thin">
          <color auto="1"/>
        </top>
        <bottom style="thin">
          <color auto="1"/>
        </bottom>
      </border>
    </dxf>
    <dxf>
      <fill>
        <patternFill>
          <bgColor theme="7" tint="0.79998168889431442"/>
        </patternFill>
      </fill>
      <border>
        <left style="thin">
          <color theme="1"/>
        </left>
        <right style="thin">
          <color theme="1"/>
        </right>
        <top style="thin">
          <color theme="1"/>
        </top>
        <bottom style="thin">
          <color theme="1"/>
        </bottom>
        <vertical/>
        <horizontal/>
      </border>
    </dxf>
    <dxf>
      <fill>
        <patternFill>
          <bgColor theme="7" tint="0.79998168889431442"/>
        </patternFill>
      </fill>
      <border>
        <left style="thin">
          <color auto="1"/>
        </left>
        <right style="thin">
          <color auto="1"/>
        </right>
        <top style="thin">
          <color auto="1"/>
        </top>
        <bottom style="thin">
          <color auto="1"/>
        </bottom>
      </border>
    </dxf>
    <dxf>
      <fill>
        <patternFill>
          <bgColor theme="7" tint="0.79998168889431442"/>
        </patternFill>
      </fill>
      <border>
        <left style="thin">
          <color theme="1"/>
        </left>
        <right style="thin">
          <color theme="1"/>
        </right>
        <top style="thin">
          <color theme="1"/>
        </top>
        <bottom style="thin">
          <color theme="1"/>
        </bottom>
        <vertical/>
        <horizontal/>
      </border>
    </dxf>
    <dxf>
      <border>
        <left style="thin">
          <color theme="0" tint="-0.14996795556505021"/>
        </left>
        <right style="thin">
          <color theme="0" tint="-0.14996795556505021"/>
        </right>
        <top style="thin">
          <color theme="0" tint="-0.14996795556505021"/>
        </top>
        <bottom style="thin">
          <color theme="0" tint="-0.14996795556505021"/>
        </bottom>
        <vertical/>
        <horizontal/>
      </border>
    </dxf>
    <dxf>
      <border>
        <left style="thin">
          <color theme="0" tint="-0.14996795556505021"/>
        </left>
        <right style="thin">
          <color theme="0" tint="-0.14996795556505021"/>
        </right>
        <top style="thin">
          <color theme="0" tint="-0.14996795556505021"/>
        </top>
        <bottom style="thin">
          <color theme="0" tint="-0.14996795556505021"/>
        </bottom>
        <vertical/>
        <horizontal/>
      </border>
    </dxf>
    <dxf>
      <fill>
        <patternFill>
          <bgColor theme="0"/>
        </patternFill>
      </fill>
    </dxf>
    <dxf>
      <fill>
        <patternFill>
          <bgColor theme="0"/>
        </patternFill>
      </fill>
    </dxf>
    <dxf>
      <fill>
        <patternFill>
          <bgColor theme="0"/>
        </patternFill>
      </fill>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0"/>
        </patternFill>
      </fill>
    </dxf>
    <dxf>
      <fill>
        <patternFill>
          <bgColor theme="0"/>
        </patternFill>
      </fill>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border>
    </dxf>
    <dxf>
      <fill>
        <patternFill>
          <bgColor theme="0"/>
        </patternFill>
      </fill>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0"/>
        </patternFill>
      </fill>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border>
    </dxf>
    <dxf>
      <fill>
        <patternFill>
          <bgColor theme="0"/>
        </patternFill>
      </fill>
    </dxf>
    <dxf>
      <fill>
        <patternFill>
          <bgColor theme="0"/>
        </patternFill>
      </fill>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border>
    </dxf>
    <dxf>
      <fill>
        <patternFill>
          <bgColor theme="0"/>
        </patternFill>
      </fill>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fill>
        <patternFill>
          <bgColor rgb="FFFF0000"/>
        </patternFill>
      </fill>
    </dxf>
    <dxf>
      <font>
        <color rgb="FF00B050"/>
      </font>
      <fill>
        <patternFill>
          <bgColor rgb="FF00B050"/>
        </patternFill>
      </fill>
    </dxf>
    <dxf>
      <font>
        <color rgb="FFFF0000"/>
      </font>
      <fill>
        <patternFill>
          <bgColor rgb="FFFF0000"/>
        </patternFill>
      </fill>
    </dxf>
    <dxf>
      <font>
        <color rgb="FF00B050"/>
      </font>
      <fill>
        <patternFill>
          <bgColor rgb="FF00B050"/>
        </patternFill>
      </fill>
    </dxf>
    <dxf>
      <font>
        <color rgb="FFFF0000"/>
      </font>
      <fill>
        <patternFill>
          <bgColor rgb="FFFF0000"/>
        </patternFill>
      </fill>
    </dxf>
    <dxf>
      <font>
        <color rgb="FF00B050"/>
      </font>
      <fill>
        <patternFill>
          <bgColor rgb="FF00B050"/>
        </patternFill>
      </fill>
    </dxf>
    <dxf>
      <font>
        <color rgb="FFFF0000"/>
      </font>
      <fill>
        <patternFill>
          <bgColor rgb="FFFF0000"/>
        </patternFill>
      </fill>
    </dxf>
    <dxf>
      <font>
        <color rgb="FF00B050"/>
      </font>
      <fill>
        <patternFill>
          <bgColor rgb="FF00B050"/>
        </patternFill>
      </fill>
    </dxf>
    <dxf>
      <font>
        <color rgb="FFFF0000"/>
      </font>
      <fill>
        <patternFill>
          <bgColor rgb="FFFF0000"/>
        </patternFill>
      </fill>
    </dxf>
    <dxf>
      <font>
        <color rgb="FF00B050"/>
      </font>
      <fill>
        <patternFill>
          <bgColor rgb="FF00B050"/>
        </patternFill>
      </fill>
    </dxf>
    <dxf>
      <font>
        <color rgb="FFFF0000"/>
      </font>
      <fill>
        <patternFill>
          <bgColor rgb="FFFF0000"/>
        </patternFill>
      </fill>
    </dxf>
    <dxf>
      <font>
        <color rgb="FF00B050"/>
      </font>
      <fill>
        <patternFill>
          <bgColor rgb="FF00B050"/>
        </patternFill>
      </fill>
    </dxf>
    <dxf>
      <font>
        <color rgb="FFFF0000"/>
      </font>
      <fill>
        <patternFill>
          <bgColor rgb="FFFF0000"/>
        </patternFill>
      </fill>
    </dxf>
    <dxf>
      <font>
        <color rgb="FF00B050"/>
      </font>
      <fill>
        <patternFill>
          <bgColor rgb="FF00B050"/>
        </patternFill>
      </fill>
    </dxf>
    <dxf>
      <font>
        <color rgb="FFFF0000"/>
      </font>
      <fill>
        <patternFill>
          <bgColor rgb="FFFF0000"/>
        </patternFill>
      </fill>
    </dxf>
    <dxf>
      <font>
        <color rgb="FF00B050"/>
      </font>
      <fill>
        <patternFill>
          <bgColor rgb="FF00B050"/>
        </patternFill>
      </fill>
    </dxf>
    <dxf>
      <fill>
        <patternFill>
          <bgColor rgb="FFC00000"/>
        </patternFill>
      </fill>
    </dxf>
    <dxf>
      <fill>
        <patternFill>
          <bgColor theme="5" tint="0.39994506668294322"/>
        </patternFill>
      </fill>
      <border>
        <left style="thin">
          <color rgb="FFFF0000"/>
        </left>
        <right style="thin">
          <color rgb="FFFF0000"/>
        </right>
        <top style="thin">
          <color rgb="FFFF0000"/>
        </top>
        <bottom style="thin">
          <color rgb="FFFF0000"/>
        </bottom>
      </border>
    </dxf>
    <dxf>
      <fill>
        <patternFill>
          <bgColor theme="0"/>
        </patternFill>
      </fill>
    </dxf>
    <dxf>
      <font>
        <b/>
        <i val="0"/>
        <color rgb="FFFFFF00"/>
      </font>
      <fill>
        <patternFill>
          <bgColor rgb="FFC00000"/>
        </patternFill>
      </fill>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border>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border>
    </dxf>
    <dxf>
      <font>
        <color theme="4" tint="0.59996337778862885"/>
      </font>
    </dxf>
    <dxf>
      <font>
        <color theme="4" tint="0.59996337778862885"/>
      </font>
    </dxf>
    <dxf>
      <font>
        <color theme="4" tint="0.59996337778862885"/>
      </font>
    </dxf>
    <dxf>
      <font>
        <color theme="4" tint="0.59996337778862885"/>
      </font>
    </dxf>
    <dxf>
      <font>
        <color theme="4" tint="0.59996337778862885"/>
      </font>
    </dxf>
    <dxf>
      <font>
        <color theme="4" tint="0.59996337778862885"/>
      </font>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border>
    </dxf>
    <dxf>
      <fill>
        <patternFill>
          <bgColor theme="5" tint="0.39994506668294322"/>
        </patternFill>
      </fill>
      <border>
        <left style="thin">
          <color rgb="FFFF0000"/>
        </left>
        <right style="thin">
          <color rgb="FFFF0000"/>
        </right>
        <top style="thin">
          <color rgb="FFFF0000"/>
        </top>
        <bottom style="thin">
          <color rgb="FFFF0000"/>
        </bottom>
      </border>
    </dxf>
    <dxf>
      <font>
        <b/>
        <i val="0"/>
        <color rgb="FFC00000"/>
      </font>
      <fill>
        <patternFill>
          <bgColor theme="5" tint="0.39994506668294322"/>
        </patternFill>
      </fill>
      <border>
        <left style="thin">
          <color rgb="FFC00000"/>
        </left>
        <right style="thin">
          <color rgb="FFC00000"/>
        </right>
        <top style="thin">
          <color rgb="FFC00000"/>
        </top>
        <bottom style="thin">
          <color rgb="FFC00000"/>
        </bottom>
        <vertical/>
        <horizontal/>
      </border>
    </dxf>
    <dxf>
      <font>
        <b/>
        <i val="0"/>
        <color rgb="FFC00000"/>
      </font>
      <fill>
        <patternFill>
          <bgColor theme="5" tint="0.39994506668294322"/>
        </patternFill>
      </fill>
      <border>
        <left style="thin">
          <color rgb="FFC00000"/>
        </left>
        <right style="thin">
          <color rgb="FFC00000"/>
        </right>
        <top style="thin">
          <color rgb="FFC00000"/>
        </top>
        <bottom style="thin">
          <color rgb="FFC00000"/>
        </bottom>
        <vertical/>
        <horizontal/>
      </border>
    </dxf>
    <dxf>
      <fill>
        <patternFill>
          <bgColor theme="5" tint="0.39994506668294322"/>
        </patternFill>
      </fill>
      <border>
        <left style="thin">
          <color rgb="FFFF0000"/>
        </left>
        <right style="thin">
          <color rgb="FFFF0000"/>
        </right>
        <top style="thin">
          <color rgb="FFFF0000"/>
        </top>
        <bottom style="thin">
          <color rgb="FFFF0000"/>
        </bottom>
      </border>
    </dxf>
    <dxf>
      <font>
        <b/>
        <i val="0"/>
        <color rgb="FFC00000"/>
      </font>
      <fill>
        <patternFill>
          <bgColor theme="5" tint="0.39994506668294322"/>
        </patternFill>
      </fill>
      <border>
        <left style="thin">
          <color rgb="FFC00000"/>
        </left>
        <right style="thin">
          <color rgb="FFC00000"/>
        </right>
        <top style="thin">
          <color rgb="FFC00000"/>
        </top>
        <bottom style="thin">
          <color rgb="FFC00000"/>
        </bottom>
        <vertical/>
        <horizontal/>
      </border>
    </dxf>
    <dxf>
      <font>
        <b/>
        <i val="0"/>
        <color rgb="FFC00000"/>
      </font>
      <fill>
        <patternFill>
          <bgColor theme="5" tint="0.39994506668294322"/>
        </patternFill>
      </fill>
      <border>
        <left style="thin">
          <color rgb="FFC00000"/>
        </left>
        <right style="thin">
          <color rgb="FFC00000"/>
        </right>
        <top style="thin">
          <color rgb="FFC00000"/>
        </top>
        <bottom style="thin">
          <color rgb="FFC00000"/>
        </bottom>
        <vertical/>
        <horizontal/>
      </border>
    </dxf>
    <dxf>
      <font>
        <b/>
        <i val="0"/>
        <color rgb="FFC00000"/>
      </font>
      <fill>
        <patternFill>
          <bgColor theme="5" tint="0.39994506668294322"/>
        </patternFill>
      </fill>
      <border>
        <left style="thin">
          <color rgb="FFC00000"/>
        </left>
        <right style="thin">
          <color rgb="FFC00000"/>
        </right>
        <top style="thin">
          <color rgb="FFC00000"/>
        </top>
        <bottom style="thin">
          <color rgb="FFC00000"/>
        </bottom>
        <vertical/>
        <horizontal/>
      </border>
    </dxf>
    <dxf>
      <font>
        <color theme="0"/>
      </font>
      <fill>
        <patternFill>
          <bgColor theme="1"/>
        </patternFill>
      </fill>
    </dxf>
    <dxf>
      <font>
        <color theme="0"/>
      </font>
      <fill>
        <patternFill>
          <bgColor rgb="FF66CCFF"/>
        </patternFill>
      </fill>
    </dxf>
    <dxf>
      <font>
        <color theme="0"/>
      </font>
      <fill>
        <patternFill>
          <bgColor rgb="FFFF5050"/>
        </patternFill>
      </fill>
    </dxf>
    <dxf>
      <font>
        <color theme="0"/>
      </font>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7030A0"/>
        </patternFill>
      </fill>
    </dxf>
    <dxf>
      <font>
        <color theme="0"/>
      </font>
    </dxf>
    <dxf>
      <font>
        <color theme="0"/>
      </font>
      <fill>
        <patternFill>
          <bgColor theme="1"/>
        </patternFill>
      </fill>
    </dxf>
    <dxf>
      <font>
        <color theme="0"/>
      </font>
      <fill>
        <patternFill>
          <bgColor rgb="FF66CCFF"/>
        </patternFill>
      </fill>
    </dxf>
    <dxf>
      <font>
        <color theme="0"/>
      </font>
      <fill>
        <patternFill>
          <bgColor rgb="FFFF5050"/>
        </patternFill>
      </fill>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b/>
        <i/>
        <color rgb="FFFFFF00"/>
      </font>
      <fill>
        <patternFill>
          <bgColor rgb="FFC00000"/>
        </patternFill>
      </fill>
    </dxf>
    <dxf>
      <font>
        <color theme="0"/>
      </font>
    </dxf>
    <dxf>
      <font>
        <color theme="0"/>
      </font>
      <fill>
        <patternFill>
          <bgColor theme="1"/>
        </patternFill>
      </fill>
    </dxf>
    <dxf>
      <font>
        <color theme="0"/>
      </font>
      <fill>
        <patternFill>
          <bgColor rgb="FF66CCFF"/>
        </patternFill>
      </fill>
    </dxf>
    <dxf>
      <font>
        <color theme="0"/>
      </font>
      <fill>
        <patternFill>
          <bgColor rgb="FFFF5050"/>
        </patternFill>
      </fill>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b/>
        <i/>
        <color rgb="FFFFFF00"/>
      </font>
      <fill>
        <patternFill>
          <bgColor rgb="FFC00000"/>
        </patternFill>
      </fill>
    </dxf>
    <dxf>
      <font>
        <color theme="0"/>
      </font>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b/>
        <i/>
        <color rgb="FFFFFF00"/>
      </font>
      <fill>
        <patternFill>
          <bgColor rgb="FFC00000"/>
        </patternFill>
      </fill>
    </dxf>
    <dxf>
      <font>
        <b/>
        <i/>
        <color rgb="FFFFFF00"/>
      </font>
      <fill>
        <patternFill>
          <bgColor rgb="FFC00000"/>
        </patternFill>
      </fill>
    </dxf>
    <dxf>
      <font>
        <b/>
        <i/>
        <color rgb="FFFFFF00"/>
      </font>
      <fill>
        <patternFill>
          <bgColor rgb="FFC00000"/>
        </patternFill>
      </fill>
    </dxf>
    <dxf>
      <font>
        <b/>
        <i val="0"/>
        <color rgb="FFC00000"/>
      </font>
      <fill>
        <patternFill>
          <bgColor theme="5" tint="0.39994506668294322"/>
        </patternFill>
      </fill>
      <border>
        <left style="thin">
          <color rgb="FFC00000"/>
        </left>
        <right style="thin">
          <color rgb="FFC00000"/>
        </right>
        <top style="thin">
          <color rgb="FFC00000"/>
        </top>
        <bottom style="thin">
          <color rgb="FFC00000"/>
        </bottom>
        <vertical/>
        <horizontal/>
      </border>
    </dxf>
    <dxf>
      <font>
        <b/>
        <i val="0"/>
        <color rgb="FFC00000"/>
      </font>
      <fill>
        <patternFill>
          <bgColor theme="5" tint="0.39994506668294322"/>
        </patternFill>
      </fill>
      <border>
        <left style="thin">
          <color rgb="FFC00000"/>
        </left>
        <right style="thin">
          <color rgb="FFC00000"/>
        </right>
        <top style="thin">
          <color rgb="FFC00000"/>
        </top>
        <bottom style="thin">
          <color rgb="FFC00000"/>
        </bottom>
        <vertical/>
        <horizontal/>
      </border>
    </dxf>
    <dxf>
      <font>
        <b/>
        <i val="0"/>
        <color rgb="FFC00000"/>
      </font>
      <fill>
        <patternFill>
          <bgColor theme="5" tint="0.39994506668294322"/>
        </patternFill>
      </fill>
      <border>
        <left style="thin">
          <color rgb="FFC00000"/>
        </left>
        <right style="thin">
          <color rgb="FFC00000"/>
        </right>
        <top style="thin">
          <color rgb="FFC00000"/>
        </top>
        <bottom style="thin">
          <color rgb="FFC00000"/>
        </bottom>
        <vertical/>
        <horizontal/>
      </border>
    </dxf>
    <dxf>
      <font>
        <b/>
        <i val="0"/>
        <color rgb="FFC00000"/>
      </font>
      <fill>
        <patternFill>
          <bgColor theme="5" tint="0.39994506668294322"/>
        </patternFill>
      </fill>
      <border>
        <left style="thin">
          <color rgb="FFC00000"/>
        </left>
        <right style="thin">
          <color rgb="FFC00000"/>
        </right>
        <top style="thin">
          <color rgb="FFC00000"/>
        </top>
        <bottom style="thin">
          <color rgb="FFC00000"/>
        </bottom>
        <vertical/>
        <horizontal/>
      </border>
    </dxf>
    <dxf>
      <font>
        <b/>
        <i val="0"/>
        <color rgb="FFC00000"/>
      </font>
      <fill>
        <patternFill>
          <bgColor theme="5" tint="0.39994506668294322"/>
        </patternFill>
      </fill>
      <border>
        <left style="thin">
          <color rgb="FFC00000"/>
        </left>
        <right style="thin">
          <color rgb="FFC00000"/>
        </right>
        <top style="thin">
          <color rgb="FFC00000"/>
        </top>
        <bottom style="thin">
          <color rgb="FFC00000"/>
        </bottom>
        <vertical/>
        <horizontal/>
      </border>
    </dxf>
    <dxf>
      <font>
        <b/>
        <i val="0"/>
        <color rgb="FFC00000"/>
      </font>
      <fill>
        <patternFill>
          <bgColor theme="5" tint="0.39994506668294322"/>
        </patternFill>
      </fill>
      <border>
        <left style="thin">
          <color rgb="FFC00000"/>
        </left>
        <right style="thin">
          <color rgb="FFC00000"/>
        </right>
        <top style="thin">
          <color rgb="FFC00000"/>
        </top>
        <bottom style="thin">
          <color rgb="FFC00000"/>
        </bottom>
        <vertical/>
        <horizontal/>
      </border>
    </dxf>
    <dxf>
      <font>
        <color theme="0"/>
      </font>
      <fill>
        <patternFill>
          <bgColor theme="1"/>
        </patternFill>
      </fill>
    </dxf>
    <dxf>
      <font>
        <color theme="0"/>
      </font>
      <fill>
        <patternFill>
          <bgColor rgb="FF66CCFF"/>
        </patternFill>
      </fill>
    </dxf>
    <dxf>
      <font>
        <color theme="0"/>
      </font>
      <fill>
        <patternFill>
          <bgColor rgb="FFFF5050"/>
        </patternFill>
      </fill>
    </dxf>
    <dxf>
      <font>
        <color theme="0"/>
      </font>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7030A0"/>
        </patternFill>
      </fill>
    </dxf>
    <dxf>
      <font>
        <color theme="0"/>
      </font>
      <fill>
        <patternFill>
          <bgColor theme="1"/>
        </patternFill>
      </fill>
    </dxf>
    <dxf>
      <font>
        <color theme="0"/>
      </font>
      <fill>
        <patternFill>
          <bgColor rgb="FF66CCFF"/>
        </patternFill>
      </fill>
    </dxf>
    <dxf>
      <font>
        <color theme="0"/>
      </font>
      <fill>
        <patternFill>
          <bgColor rgb="FFFF5050"/>
        </patternFill>
      </fill>
    </dxf>
    <dxf>
      <font>
        <color theme="0"/>
      </font>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b/>
        <i val="0"/>
        <color rgb="FFFFFF00"/>
      </font>
      <fill>
        <patternFill>
          <bgColor rgb="FFC00000"/>
        </patternFill>
      </fill>
    </dxf>
    <dxf>
      <font>
        <color theme="0"/>
      </font>
      <fill>
        <patternFill>
          <bgColor theme="1"/>
        </patternFill>
      </fill>
    </dxf>
    <dxf>
      <font>
        <color theme="0"/>
      </font>
      <fill>
        <patternFill>
          <bgColor rgb="FF66CCFF"/>
        </patternFill>
      </fill>
    </dxf>
    <dxf>
      <font>
        <color theme="0"/>
      </font>
      <fill>
        <patternFill>
          <bgColor rgb="FFFF5050"/>
        </patternFill>
      </fill>
    </dxf>
    <dxf>
      <font>
        <color theme="0"/>
      </font>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b/>
        <i val="0"/>
        <color rgb="FFFFFF00"/>
      </font>
      <fill>
        <patternFill>
          <bgColor rgb="FFC00000"/>
        </patternFill>
      </fill>
    </dxf>
    <dxf>
      <font>
        <color theme="0"/>
      </font>
    </dxf>
    <dxf>
      <font>
        <color theme="0"/>
      </font>
      <fill>
        <patternFill>
          <bgColor theme="1"/>
        </patternFill>
      </fill>
    </dxf>
    <dxf>
      <font>
        <color theme="0"/>
      </font>
      <fill>
        <patternFill>
          <bgColor rgb="FF66CCFF"/>
        </patternFill>
      </fill>
    </dxf>
    <dxf>
      <font>
        <color theme="0"/>
      </font>
      <fill>
        <patternFill>
          <bgColor rgb="FFFF5050"/>
        </patternFill>
      </fill>
    </dxf>
    <dxf>
      <font>
        <color theme="0"/>
      </font>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theme="1"/>
        </patternFill>
      </fill>
    </dxf>
    <dxf>
      <font>
        <color theme="0"/>
      </font>
      <fill>
        <patternFill>
          <bgColor rgb="FF66CCFF"/>
        </patternFill>
      </fill>
    </dxf>
    <dxf>
      <font>
        <color theme="0"/>
      </font>
      <fill>
        <patternFill>
          <bgColor rgb="FFFF5050"/>
        </patternFill>
      </fill>
    </dxf>
    <dxf>
      <font>
        <color theme="0"/>
      </font>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b/>
        <i val="0"/>
        <color rgb="FFFFFF00"/>
      </font>
      <fill>
        <patternFill>
          <bgColor rgb="FFC00000"/>
        </patternFill>
      </fill>
    </dxf>
    <dxf>
      <font>
        <color theme="0"/>
      </font>
      <fill>
        <patternFill>
          <bgColor theme="1"/>
        </patternFill>
      </fill>
    </dxf>
    <dxf>
      <font>
        <color theme="0"/>
      </font>
      <fill>
        <patternFill>
          <bgColor rgb="FF66CCFF"/>
        </patternFill>
      </fill>
    </dxf>
    <dxf>
      <font>
        <color theme="0"/>
      </font>
      <fill>
        <patternFill>
          <bgColor rgb="FFFF5050"/>
        </patternFill>
      </fill>
    </dxf>
    <dxf>
      <font>
        <color theme="0"/>
      </font>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b/>
        <i val="0"/>
        <color rgb="FFFFFF00"/>
      </font>
      <fill>
        <patternFill>
          <bgColor rgb="FFC00000"/>
        </patternFill>
      </fill>
    </dxf>
    <dxf>
      <font>
        <color theme="0"/>
      </font>
      <fill>
        <patternFill>
          <bgColor theme="1"/>
        </patternFill>
      </fill>
    </dxf>
    <dxf>
      <font>
        <color theme="0"/>
      </font>
      <fill>
        <patternFill>
          <bgColor rgb="FF66CCFF"/>
        </patternFill>
      </fill>
    </dxf>
    <dxf>
      <font>
        <color theme="0"/>
      </font>
      <fill>
        <patternFill>
          <bgColor rgb="FFFF5050"/>
        </patternFill>
      </fill>
    </dxf>
    <dxf>
      <font>
        <color theme="0"/>
      </font>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b/>
        <i val="0"/>
        <color rgb="FFFFFF00"/>
      </font>
      <fill>
        <patternFill>
          <bgColor rgb="FFC00000"/>
        </patternFill>
      </fill>
    </dxf>
    <dxf>
      <font>
        <b/>
        <i val="0"/>
        <color rgb="FFFFFF00"/>
      </font>
      <fill>
        <patternFill>
          <bgColor rgb="FFC00000"/>
        </patternFill>
      </fill>
    </dxf>
    <dxf>
      <font>
        <b/>
        <i val="0"/>
        <color rgb="FFFFFF00"/>
      </font>
      <fill>
        <patternFill>
          <bgColor rgb="FFC00000"/>
        </patternFill>
      </fill>
    </dxf>
    <dxf>
      <font>
        <color theme="0"/>
      </font>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FF5050"/>
        </patternFill>
      </fill>
    </dxf>
    <dxf>
      <font>
        <color theme="0"/>
      </font>
      <fill>
        <patternFill>
          <bgColor rgb="FF66CCFF"/>
        </patternFill>
      </fill>
    </dxf>
    <dxf>
      <font>
        <color theme="0"/>
      </font>
      <fill>
        <patternFill>
          <bgColor theme="1"/>
        </patternFill>
      </fill>
    </dxf>
    <dxf>
      <font>
        <color theme="0"/>
      </font>
      <fill>
        <patternFill>
          <bgColor rgb="FF7030A0"/>
        </patternFill>
      </fill>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FF5050"/>
        </patternFill>
      </fill>
    </dxf>
    <dxf>
      <font>
        <color theme="0"/>
      </font>
      <fill>
        <patternFill>
          <bgColor rgb="FF66CCFF"/>
        </patternFill>
      </fill>
    </dxf>
    <dxf>
      <font>
        <color theme="0"/>
      </font>
      <fill>
        <patternFill>
          <bgColor rgb="FF33CC33"/>
        </patternFill>
      </fill>
    </dxf>
    <dxf>
      <font>
        <color theme="0"/>
      </font>
      <fill>
        <patternFill>
          <bgColor rgb="FF33CC33"/>
        </patternFill>
      </fill>
    </dxf>
    <dxf>
      <font>
        <color theme="1"/>
      </font>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FF5050"/>
        </patternFill>
      </fill>
    </dxf>
    <dxf>
      <font>
        <color theme="0"/>
      </font>
      <fill>
        <patternFill>
          <bgColor rgb="FF66CCFF"/>
        </patternFill>
      </fill>
    </dxf>
    <dxf>
      <font>
        <color theme="0"/>
      </font>
      <fill>
        <patternFill>
          <bgColor theme="1"/>
        </patternFill>
      </fill>
    </dxf>
    <dxf>
      <font>
        <color theme="0"/>
      </font>
      <fill>
        <patternFill>
          <bgColor rgb="FF7030A0"/>
        </patternFill>
      </fill>
    </dxf>
    <dxf>
      <font>
        <color rgb="FFFFC000"/>
      </font>
    </dxf>
    <dxf>
      <font>
        <color rgb="FF00B0F0"/>
      </font>
    </dxf>
    <dxf>
      <font>
        <color theme="9" tint="-0.24994659260841701"/>
      </font>
    </dxf>
    <dxf>
      <font>
        <color theme="7" tint="0.39994506668294322"/>
      </font>
    </dxf>
    <dxf>
      <font>
        <color theme="2" tint="-0.499984740745262"/>
      </font>
    </dxf>
    <dxf>
      <font>
        <color theme="3" tint="0.59996337778862885"/>
      </font>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FF5050"/>
        </patternFill>
      </fill>
    </dxf>
    <dxf>
      <font>
        <color theme="0"/>
      </font>
      <fill>
        <patternFill>
          <bgColor rgb="FF66CCFF"/>
        </patternFill>
      </fill>
    </dxf>
    <dxf>
      <font>
        <color theme="0"/>
      </font>
      <fill>
        <patternFill>
          <bgColor rgb="FF33CC33"/>
        </patternFill>
      </fill>
    </dxf>
    <dxf>
      <font>
        <color theme="0"/>
      </font>
      <fill>
        <patternFill>
          <bgColor rgb="FF33CC33"/>
        </patternFill>
      </fill>
    </dxf>
    <dxf>
      <font>
        <color rgb="FFFFC000"/>
      </font>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color rgb="FF00B0F0"/>
      </font>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color theme="9" tint="-0.24994659260841701"/>
      </font>
    </dxf>
    <dxf>
      <font>
        <color theme="0"/>
      </font>
    </dxf>
    <dxf>
      <font>
        <color theme="0"/>
      </font>
    </dxf>
    <dxf>
      <font>
        <color theme="0"/>
      </font>
    </dxf>
    <dxf>
      <font>
        <color theme="0"/>
      </font>
    </dxf>
    <dxf>
      <font>
        <color theme="7" tint="0.39994506668294322"/>
      </font>
    </dxf>
    <dxf>
      <font>
        <color theme="2" tint="-0.499984740745262"/>
      </font>
    </dxf>
    <dxf>
      <font>
        <strike val="0"/>
        <color theme="0"/>
      </font>
    </dxf>
    <dxf>
      <font>
        <color theme="0"/>
      </font>
      <fill>
        <patternFill>
          <bgColor rgb="FF0070C0"/>
        </patternFill>
      </fill>
    </dxf>
    <dxf>
      <font>
        <color theme="0"/>
      </font>
      <fill>
        <patternFill>
          <bgColor rgb="FF00B050"/>
        </patternFill>
      </fill>
    </dxf>
    <dxf>
      <fill>
        <patternFill>
          <bgColor rgb="FFFFFF00"/>
        </patternFill>
      </fill>
    </dxf>
    <dxf>
      <fill>
        <patternFill>
          <bgColor rgb="FFFFC000"/>
        </patternFill>
      </fill>
    </dxf>
    <dxf>
      <font>
        <color theme="0"/>
      </font>
      <fill>
        <patternFill>
          <bgColor rgb="FFFF0000"/>
        </patternFill>
      </fill>
    </dxf>
    <dxf>
      <font>
        <color theme="3" tint="0.59996337778862885"/>
      </font>
    </dxf>
    <dxf>
      <font>
        <b/>
        <i val="0"/>
        <color theme="0"/>
      </font>
      <fill>
        <patternFill>
          <bgColor rgb="FF00B050"/>
        </patternFill>
      </fill>
    </dxf>
    <dxf>
      <font>
        <b/>
        <i val="0"/>
        <color rgb="FFFFFF00"/>
      </font>
      <fill>
        <patternFill>
          <bgColor rgb="FFC00000"/>
        </patternFill>
      </fill>
    </dxf>
    <dxf>
      <font>
        <b/>
        <i val="0"/>
        <color theme="0"/>
      </font>
      <fill>
        <patternFill>
          <bgColor rgb="FF00B050"/>
        </patternFill>
      </fill>
    </dxf>
    <dxf>
      <font>
        <b/>
        <i val="0"/>
        <color rgb="FFFFFF00"/>
      </font>
      <fill>
        <patternFill>
          <bgColor rgb="FFC00000"/>
        </patternFill>
      </fill>
    </dxf>
    <dxf>
      <font>
        <b/>
        <i val="0"/>
        <color theme="0"/>
      </font>
      <fill>
        <patternFill>
          <bgColor rgb="FF00B050"/>
        </patternFill>
      </fill>
    </dxf>
    <dxf>
      <font>
        <b/>
        <i val="0"/>
        <color rgb="FFFFFF00"/>
      </font>
      <fill>
        <patternFill>
          <bgColor rgb="FFC00000"/>
        </patternFill>
      </fill>
    </dxf>
    <dxf>
      <font>
        <b/>
        <i val="0"/>
        <color theme="0"/>
      </font>
      <fill>
        <patternFill>
          <bgColor rgb="FF00B050"/>
        </patternFill>
      </fill>
    </dxf>
    <dxf>
      <font>
        <b/>
        <i val="0"/>
        <color rgb="FFFFFF00"/>
      </font>
      <fill>
        <patternFill>
          <bgColor rgb="FFC00000"/>
        </patternFill>
      </fill>
    </dxf>
    <dxf>
      <font>
        <b/>
        <i val="0"/>
        <color theme="0"/>
      </font>
      <fill>
        <patternFill>
          <bgColor rgb="FF00B050"/>
        </patternFill>
      </fill>
    </dxf>
    <dxf>
      <font>
        <b/>
        <i val="0"/>
        <color rgb="FFFFFF00"/>
      </font>
      <fill>
        <patternFill>
          <bgColor rgb="FFC00000"/>
        </patternFill>
      </fill>
    </dxf>
    <dxf>
      <font>
        <b/>
        <i val="0"/>
        <color theme="0"/>
      </font>
      <fill>
        <patternFill>
          <bgColor rgb="FF00B050"/>
        </patternFill>
      </fill>
    </dxf>
    <dxf>
      <font>
        <b/>
        <i val="0"/>
        <color rgb="FFFFFF00"/>
      </font>
      <fill>
        <patternFill>
          <bgColor rgb="FFC00000"/>
        </patternFill>
      </fill>
    </dxf>
    <dxf>
      <font>
        <b/>
        <i val="0"/>
        <color theme="0"/>
      </font>
      <fill>
        <patternFill>
          <bgColor rgb="FF00B050"/>
        </patternFill>
      </fill>
    </dxf>
    <dxf>
      <font>
        <b/>
        <i val="0"/>
        <color rgb="FFFFFF00"/>
      </font>
      <fill>
        <patternFill>
          <bgColor rgb="FFC00000"/>
        </patternFill>
      </fill>
    </dxf>
    <dxf>
      <font>
        <b/>
        <i val="0"/>
        <color theme="0"/>
      </font>
      <fill>
        <patternFill>
          <bgColor rgb="FF00B050"/>
        </patternFill>
      </fill>
    </dxf>
    <dxf>
      <font>
        <b/>
        <i val="0"/>
        <color rgb="FFFFFF00"/>
      </font>
      <fill>
        <patternFill>
          <bgColor rgb="FFC00000"/>
        </patternFill>
      </fill>
    </dxf>
    <dxf>
      <font>
        <b/>
        <i val="0"/>
        <color theme="0"/>
      </font>
      <fill>
        <patternFill>
          <bgColor rgb="FF00B050"/>
        </patternFill>
      </fill>
    </dxf>
    <dxf>
      <font>
        <b/>
        <i val="0"/>
        <color rgb="FFFFFF00"/>
      </font>
      <fill>
        <patternFill>
          <bgColor rgb="FFC00000"/>
        </patternFill>
      </fill>
    </dxf>
    <dxf>
      <font>
        <b/>
        <i val="0"/>
        <color theme="0"/>
      </font>
      <fill>
        <patternFill>
          <bgColor rgb="FF00B050"/>
        </patternFill>
      </fill>
    </dxf>
    <dxf>
      <font>
        <b/>
        <i val="0"/>
        <color rgb="FFFFFF00"/>
      </font>
      <fill>
        <patternFill>
          <bgColor rgb="FFC00000"/>
        </patternFill>
      </fill>
    </dxf>
    <dxf>
      <font>
        <b/>
        <i val="0"/>
        <color theme="0"/>
      </font>
      <fill>
        <patternFill>
          <bgColor rgb="FF00B050"/>
        </patternFill>
      </fill>
    </dxf>
    <dxf>
      <font>
        <b/>
        <i val="0"/>
        <color rgb="FFFFFF00"/>
      </font>
      <fill>
        <patternFill>
          <bgColor rgb="FFC00000"/>
        </patternFill>
      </fill>
    </dxf>
    <dxf>
      <font>
        <b/>
        <i val="0"/>
        <color rgb="FFFFFF00"/>
      </font>
      <fill>
        <patternFill>
          <bgColor rgb="FFC00000"/>
        </patternFill>
      </fill>
    </dxf>
    <dxf>
      <font>
        <b/>
        <i val="0"/>
        <color theme="0"/>
      </font>
      <fill>
        <patternFill>
          <bgColor rgb="FF00B050"/>
        </patternFill>
      </fill>
    </dxf>
    <dxf>
      <font>
        <b/>
        <i val="0"/>
        <color rgb="FFFFFF00"/>
      </font>
      <fill>
        <patternFill>
          <bgColor rgb="FFC00000"/>
        </patternFill>
      </fill>
    </dxf>
    <dxf>
      <font>
        <b/>
        <i val="0"/>
        <color theme="0"/>
      </font>
      <fill>
        <patternFill>
          <bgColor rgb="FF002060"/>
        </patternFill>
      </fill>
    </dxf>
    <dxf>
      <border>
        <left style="thin">
          <color auto="1"/>
        </left>
        <right style="thin">
          <color auto="1"/>
        </right>
        <top style="thin">
          <color auto="1"/>
        </top>
        <bottom style="thin">
          <color auto="1"/>
        </bottom>
        <vertical style="thin">
          <color auto="1"/>
        </vertical>
        <horizontal style="thin">
          <color auto="1"/>
        </horizontal>
      </border>
    </dxf>
    <dxf>
      <font>
        <b/>
        <i val="0"/>
        <color theme="0"/>
      </font>
      <fill>
        <patternFill>
          <bgColor rgb="FF002060"/>
        </patternFill>
      </fill>
    </dxf>
  </dxfs>
  <tableStyles count="2" defaultTableStyle="TableStyleMedium2" defaultPivotStyle="PivotStyleMedium9">
    <tableStyle name="Table Style 1" pivot="0" count="1" xr9:uid="{F1A23A9A-0F50-4021-861E-0692F69F2B5C}">
      <tableStyleElement type="headerRow" dxfId="911"/>
    </tableStyle>
    <tableStyle name="Table Style 2" pivot="0" count="2" xr9:uid="{74070DE9-CF9B-48A0-AFB6-8A5B3D506296}">
      <tableStyleElement type="wholeTable" dxfId="910"/>
      <tableStyleElement type="headerRow" dxfId="909"/>
    </tableStyle>
  </tableStyles>
  <colors>
    <mruColors>
      <color rgb="FFFF5050"/>
      <color rgb="FFFFFFFF"/>
      <color rgb="FF0000FF"/>
      <color rgb="FFFFFFCC"/>
      <color rgb="FFE6E6E6"/>
      <color rgb="FFFF66FF"/>
      <color rgb="FF00FF00"/>
      <color rgb="FF66CCFF"/>
      <color rgb="FFE83504"/>
      <color rgb="FFDCE6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pivotCacheDefinition" Target="pivotCache/pivotCacheDefinition1.xml"/><Relationship Id="rId42" Type="http://schemas.openxmlformats.org/officeDocument/2006/relationships/sharedStrings" Target="sharedStrings.xml"/><Relationship Id="rId47"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microsoft.com/office/2007/relationships/slicerCache" Target="slicerCaches/slicerCache1.xml"/><Relationship Id="rId46"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pivotCacheDefinition" Target="pivotCache/pivotCacheDefinition4.xml"/><Relationship Id="rId40" Type="http://schemas.openxmlformats.org/officeDocument/2006/relationships/connections" Target="connections.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2.xml"/><Relationship Id="rId43"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rot="0" vert="horz"/>
          <a:lstStyle/>
          <a:p>
            <a:pPr>
              <a:defRPr/>
            </a:pPr>
            <a:r>
              <a:rPr lang="en-US"/>
              <a:t>Current Sanction</a:t>
            </a:r>
          </a:p>
        </c:rich>
      </c:tx>
      <c:overlay val="0"/>
    </c:title>
    <c:autoTitleDeleted val="0"/>
    <c:plotArea>
      <c:layout>
        <c:manualLayout>
          <c:layoutTarget val="inner"/>
          <c:xMode val="edge"/>
          <c:yMode val="edge"/>
          <c:x val="0.17709913003389632"/>
          <c:y val="0.12479875527206184"/>
          <c:w val="0.79790096082011586"/>
          <c:h val="0.63402942247509109"/>
        </c:manualLayout>
      </c:layout>
      <c:barChart>
        <c:barDir val="col"/>
        <c:grouping val="clustered"/>
        <c:varyColors val="0"/>
        <c:ser>
          <c:idx val="4"/>
          <c:order val="4"/>
          <c:tx>
            <c:strRef>
              <c:f>'Financial Summary'!$D$10</c:f>
              <c:strCache>
                <c:ptCount val="1"/>
                <c:pt idx="0">
                  <c:v>SANCTION TOTAL</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'Financial Summary'!$E$5:$G$5</c:f>
              <c:strCache>
                <c:ptCount val="3"/>
                <c:pt idx="0">
                  <c:v>OPEX</c:v>
                </c:pt>
                <c:pt idx="1">
                  <c:v>CAPEX</c:v>
                </c:pt>
                <c:pt idx="2">
                  <c:v>TOTAL</c:v>
                </c:pt>
              </c:strCache>
            </c:strRef>
          </c:cat>
          <c:val>
            <c:numRef>
              <c:f>'Financial Summary'!$E$10:$G$10</c:f>
              <c:numCache>
                <c:formatCode>_(* #,##0_);_(* \(#,##0\);_(* "-"??_);_(@_)</c:formatCode>
                <c:ptCount val="3"/>
                <c:pt idx="0">
                  <c:v>0</c:v>
                </c:pt>
                <c:pt idx="1">
                  <c:v>0</c:v>
                </c:pt>
                <c:pt idx="2">
                  <c:v>0</c:v>
                </c:pt>
              </c:numCache>
            </c:numRef>
          </c:val>
          <c:extLst>
            <c:ext xmlns:c16="http://schemas.microsoft.com/office/drawing/2014/chart" uri="{C3380CC4-5D6E-409C-BE32-E72D297353CC}">
              <c16:uniqueId val="{00000002-00BB-4E64-8C8F-2FF6AA2EF73A}"/>
            </c:ext>
          </c:extLst>
        </c:ser>
        <c:ser>
          <c:idx val="8"/>
          <c:order val="8"/>
          <c:tx>
            <c:strRef>
              <c:f>'Financial Summary'!$D$14</c:f>
              <c:strCache>
                <c:ptCount val="1"/>
                <c:pt idx="0">
                  <c:v>FAC TOTAL (for current Sanction)</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'Financial Summary'!$E$5:$G$5</c:f>
              <c:strCache>
                <c:ptCount val="3"/>
                <c:pt idx="0">
                  <c:v>OPEX</c:v>
                </c:pt>
                <c:pt idx="1">
                  <c:v>CAPEX</c:v>
                </c:pt>
                <c:pt idx="2">
                  <c:v>TOTAL</c:v>
                </c:pt>
              </c:strCache>
            </c:strRef>
          </c:cat>
          <c:val>
            <c:numRef>
              <c:f>'Financial Summary'!$E$14:$G$14</c:f>
              <c:numCache>
                <c:formatCode>_(* #,##0_);_(* \(#,##0\);_(* "-"??_);_(@_)</c:formatCode>
                <c:ptCount val="3"/>
                <c:pt idx="0">
                  <c:v>0</c:v>
                </c:pt>
                <c:pt idx="1">
                  <c:v>108236.30720328816</c:v>
                </c:pt>
                <c:pt idx="2">
                  <c:v>108236.30720328816</c:v>
                </c:pt>
              </c:numCache>
            </c:numRef>
          </c:val>
          <c:extLst>
            <c:ext xmlns:c16="http://schemas.microsoft.com/office/drawing/2014/chart" uri="{C3380CC4-5D6E-409C-BE32-E72D297353CC}">
              <c16:uniqueId val="{00000005-00BB-4E64-8C8F-2FF6AA2EF73A}"/>
            </c:ext>
          </c:extLst>
        </c:ser>
        <c:dLbls>
          <c:showLegendKey val="0"/>
          <c:showVal val="0"/>
          <c:showCatName val="0"/>
          <c:showSerName val="0"/>
          <c:showPercent val="0"/>
          <c:showBubbleSize val="0"/>
        </c:dLbls>
        <c:gapWidth val="100"/>
        <c:overlap val="-50"/>
        <c:axId val="88709376"/>
        <c:axId val="88727552"/>
        <c:extLst>
          <c:ext xmlns:c15="http://schemas.microsoft.com/office/drawing/2012/chart" uri="{02D57815-91ED-43cb-92C2-25804820EDAC}">
            <c15:filteredBarSeries>
              <c15:ser>
                <c:idx val="0"/>
                <c:order val="0"/>
                <c:tx>
                  <c:strRef>
                    <c:extLst>
                      <c:ext uri="{02D57815-91ED-43cb-92C2-25804820EDAC}">
                        <c15:formulaRef>
                          <c15:sqref>'Financial Summary'!$D$6</c15:sqref>
                        </c15:formulaRef>
                      </c:ext>
                    </c:extLst>
                    <c:strCache>
                      <c:ptCount val="1"/>
                      <c:pt idx="0">
                        <c:v>Sanctioned Amount</c:v>
                      </c:pt>
                    </c:strCache>
                  </c:strRef>
                </c:tx>
                <c:spPr>
                  <a:solidFill>
                    <a:schemeClr val="accent1"/>
                  </a:solidFill>
                  <a:ln>
                    <a:noFill/>
                  </a:ln>
                  <a:effectLst/>
                </c:spPr>
                <c:invertIfNegative val="0"/>
                <c:cat>
                  <c:strRef>
                    <c:extLst>
                      <c:ext uri="{02D57815-91ED-43cb-92C2-25804820EDAC}">
                        <c15:formulaRef>
                          <c15:sqref>'Financial Summary'!$E$5:$G$5</c15:sqref>
                        </c15:formulaRef>
                      </c:ext>
                    </c:extLst>
                    <c:strCache>
                      <c:ptCount val="3"/>
                      <c:pt idx="0">
                        <c:v>OPEX</c:v>
                      </c:pt>
                      <c:pt idx="1">
                        <c:v>CAPEX</c:v>
                      </c:pt>
                      <c:pt idx="2">
                        <c:v>TOTAL</c:v>
                      </c:pt>
                    </c:strCache>
                  </c:strRef>
                </c:cat>
                <c:val>
                  <c:numRef>
                    <c:extLst>
                      <c:ext uri="{02D57815-91ED-43cb-92C2-25804820EDAC}">
                        <c15:formulaRef>
                          <c15:sqref>'Financial Summary'!$E$6:$G$6</c15:sqref>
                        </c15:formulaRef>
                      </c:ext>
                    </c:extLst>
                    <c:numCache>
                      <c:formatCode>_(* #,##0_);_(* \(#,##0\);_(* "-"??_);_(@_)</c:formatCode>
                      <c:ptCount val="3"/>
                    </c:numCache>
                  </c:numRef>
                </c:val>
                <c:extLst>
                  <c:ext xmlns:c16="http://schemas.microsoft.com/office/drawing/2014/chart" uri="{C3380CC4-5D6E-409C-BE32-E72D297353CC}">
                    <c16:uniqueId val="{00000007-00BB-4E64-8C8F-2FF6AA2EF73A}"/>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'Financial Summary'!$D$7</c15:sqref>
                        </c15:formulaRef>
                      </c:ext>
                    </c:extLst>
                    <c:strCache>
                      <c:ptCount val="1"/>
                      <c:pt idx="0">
                        <c:v>SANCTIONED</c:v>
                      </c:pt>
                    </c:strCache>
                  </c:strRef>
                </c:tx>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'Financial Summary'!$E$5:$G$5</c15:sqref>
                        </c15:formulaRef>
                      </c:ext>
                    </c:extLst>
                    <c:strCache>
                      <c:ptCount val="3"/>
                      <c:pt idx="0">
                        <c:v>OPEX</c:v>
                      </c:pt>
                      <c:pt idx="1">
                        <c:v>CAPEX</c:v>
                      </c:pt>
                      <c:pt idx="2">
                        <c:v>TOTAL</c:v>
                      </c:pt>
                    </c:strCache>
                  </c:strRef>
                </c:cat>
                <c:val>
                  <c:numRef>
                    <c:extLst xmlns:c15="http://schemas.microsoft.com/office/drawing/2012/chart">
                      <c:ext xmlns:c15="http://schemas.microsoft.com/office/drawing/2012/chart" uri="{02D57815-91ED-43cb-92C2-25804820EDAC}">
                        <c15:formulaRef>
                          <c15:sqref>'Financial Summary'!$E$7:$G$7</c15:sqref>
                        </c15:formulaRef>
                      </c:ext>
                    </c:extLst>
                    <c:numCache>
                      <c:formatCode>_(* #,##0_);_(* \(#,##0\);_(* "-"??_);_(@_)</c:formatCode>
                      <c:ptCount val="3"/>
                    </c:numCache>
                  </c:numRef>
                </c:val>
                <c:extLst xmlns:c15="http://schemas.microsoft.com/office/drawing/2012/chart">
                  <c:ext xmlns:c16="http://schemas.microsoft.com/office/drawing/2014/chart" uri="{C3380CC4-5D6E-409C-BE32-E72D297353CC}">
                    <c16:uniqueId val="{00000008-00BB-4E64-8C8F-2FF6AA2EF73A}"/>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'Financial Summary'!$D$8</c15:sqref>
                        </c15:formulaRef>
                      </c:ext>
                    </c:extLst>
                    <c:strCache>
                      <c:ptCount val="1"/>
                      <c:pt idx="0">
                        <c:v>Sanction Amount</c:v>
                      </c:pt>
                    </c:strCache>
                  </c:strRef>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'Financial Summary'!$E$5:$G$5</c15:sqref>
                        </c15:formulaRef>
                      </c:ext>
                    </c:extLst>
                    <c:strCache>
                      <c:ptCount val="3"/>
                      <c:pt idx="0">
                        <c:v>OPEX</c:v>
                      </c:pt>
                      <c:pt idx="1">
                        <c:v>CAPEX</c:v>
                      </c:pt>
                      <c:pt idx="2">
                        <c:v>TOTAL</c:v>
                      </c:pt>
                    </c:strCache>
                  </c:strRef>
                </c:cat>
                <c:val>
                  <c:numRef>
                    <c:extLst xmlns:c15="http://schemas.microsoft.com/office/drawing/2012/chart">
                      <c:ext xmlns:c15="http://schemas.microsoft.com/office/drawing/2012/chart" uri="{02D57815-91ED-43cb-92C2-25804820EDAC}">
                        <c15:formulaRef>
                          <c15:sqref>'Financial Summary'!$E$8:$G$8</c15:sqref>
                        </c15:formulaRef>
                      </c:ext>
                    </c:extLst>
                    <c:numCache>
                      <c:formatCode>_(* #,##0_);_(* \(#,##0\);_(* "-"??_);_(@_)</c:formatCode>
                      <c:ptCount val="3"/>
                      <c:pt idx="2">
                        <c:v>0</c:v>
                      </c:pt>
                    </c:numCache>
                  </c:numRef>
                </c:val>
                <c:extLst xmlns:c15="http://schemas.microsoft.com/office/drawing/2012/chart">
                  <c:ext xmlns:c16="http://schemas.microsoft.com/office/drawing/2014/chart" uri="{C3380CC4-5D6E-409C-BE32-E72D297353CC}">
                    <c16:uniqueId val="{00000000-00BB-4E64-8C8F-2FF6AA2EF73A}"/>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'Financial Summary'!$D$9</c15:sqref>
                        </c15:formulaRef>
                      </c:ext>
                    </c:extLst>
                    <c:strCache>
                      <c:ptCount val="1"/>
                    </c:strCache>
                  </c:strRef>
                </c:tx>
                <c:spPr>
                  <a:solidFill>
                    <a:schemeClr val="accent4"/>
                  </a:solidFill>
                  <a:ln>
                    <a:noFill/>
                  </a:ln>
                  <a:effectLst/>
                </c:spPr>
                <c:invertIfNegative val="0"/>
                <c:cat>
                  <c:strRef>
                    <c:extLst xmlns:c15="http://schemas.microsoft.com/office/drawing/2012/chart">
                      <c:ext xmlns:c15="http://schemas.microsoft.com/office/drawing/2012/chart" uri="{02D57815-91ED-43cb-92C2-25804820EDAC}">
                        <c15:formulaRef>
                          <c15:sqref>'Financial Summary'!$E$5:$G$5</c15:sqref>
                        </c15:formulaRef>
                      </c:ext>
                    </c:extLst>
                    <c:strCache>
                      <c:ptCount val="3"/>
                      <c:pt idx="0">
                        <c:v>OPEX</c:v>
                      </c:pt>
                      <c:pt idx="1">
                        <c:v>CAPEX</c:v>
                      </c:pt>
                      <c:pt idx="2">
                        <c:v>TOTAL</c:v>
                      </c:pt>
                    </c:strCache>
                  </c:strRef>
                </c:cat>
                <c:val>
                  <c:numRef>
                    <c:extLst xmlns:c15="http://schemas.microsoft.com/office/drawing/2012/chart">
                      <c:ext xmlns:c15="http://schemas.microsoft.com/office/drawing/2012/chart" uri="{02D57815-91ED-43cb-92C2-25804820EDAC}">
                        <c15:formulaRef>
                          <c15:sqref>'Financial Summary'!$E$9:$G$9</c15:sqref>
                        </c15:formulaRef>
                      </c:ext>
                    </c:extLst>
                    <c:numCache>
                      <c:formatCode>_(* #,##0_);_(* \(#,##0\);_(* "-"??_);_(@_)</c:formatCode>
                      <c:ptCount val="3"/>
                    </c:numCache>
                  </c:numRef>
                </c:val>
                <c:extLst xmlns:c15="http://schemas.microsoft.com/office/drawing/2012/chart">
                  <c:ext xmlns:c16="http://schemas.microsoft.com/office/drawing/2014/chart" uri="{C3380CC4-5D6E-409C-BE32-E72D297353CC}">
                    <c16:uniqueId val="{00000001-00BB-4E64-8C8F-2FF6AA2EF73A}"/>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'Financial Summary'!$D$11</c15:sqref>
                        </c15:formulaRef>
                      </c:ext>
                    </c:extLst>
                    <c:strCache>
                      <c:ptCount val="1"/>
                      <c:pt idx="0">
                        <c:v>DELIVERY</c:v>
                      </c:pt>
                    </c:strCache>
                  </c:strRef>
                </c:tx>
                <c:spPr>
                  <a:solidFill>
                    <a:schemeClr val="accent6"/>
                  </a:solidFill>
                  <a:ln>
                    <a:noFill/>
                  </a:ln>
                  <a:effectLst/>
                </c:spPr>
                <c:invertIfNegative val="0"/>
                <c:cat>
                  <c:strRef>
                    <c:extLst xmlns:c15="http://schemas.microsoft.com/office/drawing/2012/chart">
                      <c:ext xmlns:c15="http://schemas.microsoft.com/office/drawing/2012/chart" uri="{02D57815-91ED-43cb-92C2-25804820EDAC}">
                        <c15:formulaRef>
                          <c15:sqref>'Financial Summary'!$E$5:$G$5</c15:sqref>
                        </c15:formulaRef>
                      </c:ext>
                    </c:extLst>
                    <c:strCache>
                      <c:ptCount val="3"/>
                      <c:pt idx="0">
                        <c:v>OPEX</c:v>
                      </c:pt>
                      <c:pt idx="1">
                        <c:v>CAPEX</c:v>
                      </c:pt>
                      <c:pt idx="2">
                        <c:v>TOTAL</c:v>
                      </c:pt>
                    </c:strCache>
                  </c:strRef>
                </c:cat>
                <c:val>
                  <c:numRef>
                    <c:extLst xmlns:c15="http://schemas.microsoft.com/office/drawing/2012/chart">
                      <c:ext xmlns:c15="http://schemas.microsoft.com/office/drawing/2012/chart" uri="{02D57815-91ED-43cb-92C2-25804820EDAC}">
                        <c15:formulaRef>
                          <c15:sqref>'Financial Summary'!$E$11:$G$11</c15:sqref>
                        </c15:formulaRef>
                      </c:ext>
                    </c:extLst>
                    <c:numCache>
                      <c:formatCode>_(* #,##0_);_(* \(#,##0\);_(* "-"??_);_(@_)</c:formatCode>
                      <c:ptCount val="3"/>
                    </c:numCache>
                  </c:numRef>
                </c:val>
                <c:extLst xmlns:c15="http://schemas.microsoft.com/office/drawing/2012/chart">
                  <c:ext xmlns:c16="http://schemas.microsoft.com/office/drawing/2014/chart" uri="{C3380CC4-5D6E-409C-BE32-E72D297353CC}">
                    <c16:uniqueId val="{00000009-00BB-4E64-8C8F-2FF6AA2EF73A}"/>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'Financial Summary'!$D$12</c15:sqref>
                        </c15:formulaRef>
                      </c:ext>
                    </c:extLst>
                    <c:strCache>
                      <c:ptCount val="1"/>
                      <c:pt idx="0">
                        <c:v>VOWD</c:v>
                      </c:pt>
                    </c:strCache>
                  </c:strRef>
                </c:tx>
                <c:spPr>
                  <a:solidFill>
                    <a:schemeClr val="accent1">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'Financial Summary'!$E$5:$G$5</c15:sqref>
                        </c15:formulaRef>
                      </c:ext>
                    </c:extLst>
                    <c:strCache>
                      <c:ptCount val="3"/>
                      <c:pt idx="0">
                        <c:v>OPEX</c:v>
                      </c:pt>
                      <c:pt idx="1">
                        <c:v>CAPEX</c:v>
                      </c:pt>
                      <c:pt idx="2">
                        <c:v>TOTAL</c:v>
                      </c:pt>
                    </c:strCache>
                  </c:strRef>
                </c:cat>
                <c:val>
                  <c:numRef>
                    <c:extLst xmlns:c15="http://schemas.microsoft.com/office/drawing/2012/chart">
                      <c:ext xmlns:c15="http://schemas.microsoft.com/office/drawing/2012/chart" uri="{02D57815-91ED-43cb-92C2-25804820EDAC}">
                        <c15:formulaRef>
                          <c15:sqref>'Financial Summary'!$E$12:$G$12</c15:sqref>
                        </c15:formulaRef>
                      </c:ext>
                    </c:extLst>
                    <c:numCache>
                      <c:formatCode>_(* #,##0_);_(* \(#,##0\);_(* "-"??_);_(@_)</c:formatCode>
                      <c:ptCount val="3"/>
                      <c:pt idx="0">
                        <c:v>0</c:v>
                      </c:pt>
                      <c:pt idx="1">
                        <c:v>0</c:v>
                      </c:pt>
                      <c:pt idx="2">
                        <c:v>0</c:v>
                      </c:pt>
                    </c:numCache>
                  </c:numRef>
                </c:val>
                <c:extLst xmlns:c15="http://schemas.microsoft.com/office/drawing/2012/chart">
                  <c:ext xmlns:c16="http://schemas.microsoft.com/office/drawing/2014/chart" uri="{C3380CC4-5D6E-409C-BE32-E72D297353CC}">
                    <c16:uniqueId val="{00000003-00BB-4E64-8C8F-2FF6AA2EF73A}"/>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'Financial Summary'!$D$13</c15:sqref>
                        </c15:formulaRef>
                      </c:ext>
                    </c:extLst>
                    <c:strCache>
                      <c:ptCount val="1"/>
                      <c:pt idx="0">
                        <c:v>FTC (for current Sanction)</c:v>
                      </c:pt>
                    </c:strCache>
                  </c:strRef>
                </c:tx>
                <c:spPr>
                  <a:solidFill>
                    <a:schemeClr val="accent2">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'Financial Summary'!$E$5:$G$5</c15:sqref>
                        </c15:formulaRef>
                      </c:ext>
                    </c:extLst>
                    <c:strCache>
                      <c:ptCount val="3"/>
                      <c:pt idx="0">
                        <c:v>OPEX</c:v>
                      </c:pt>
                      <c:pt idx="1">
                        <c:v>CAPEX</c:v>
                      </c:pt>
                      <c:pt idx="2">
                        <c:v>TOTAL</c:v>
                      </c:pt>
                    </c:strCache>
                  </c:strRef>
                </c:cat>
                <c:val>
                  <c:numRef>
                    <c:extLst xmlns:c15="http://schemas.microsoft.com/office/drawing/2012/chart">
                      <c:ext xmlns:c15="http://schemas.microsoft.com/office/drawing/2012/chart" uri="{02D57815-91ED-43cb-92C2-25804820EDAC}">
                        <c15:formulaRef>
                          <c15:sqref>'Financial Summary'!$E$13:$G$13</c15:sqref>
                        </c15:formulaRef>
                      </c:ext>
                    </c:extLst>
                    <c:numCache>
                      <c:formatCode>_(* #,##0_);_(* \(#,##0\);_(* "-"??_);_(@_)</c:formatCode>
                      <c:ptCount val="3"/>
                      <c:pt idx="0">
                        <c:v>0</c:v>
                      </c:pt>
                      <c:pt idx="1">
                        <c:v>108236.30720328816</c:v>
                      </c:pt>
                      <c:pt idx="2">
                        <c:v>108236.30720328816</c:v>
                      </c:pt>
                    </c:numCache>
                  </c:numRef>
                </c:val>
                <c:extLst xmlns:c15="http://schemas.microsoft.com/office/drawing/2012/chart">
                  <c:ext xmlns:c16="http://schemas.microsoft.com/office/drawing/2014/chart" uri="{C3380CC4-5D6E-409C-BE32-E72D297353CC}">
                    <c16:uniqueId val="{00000004-00BB-4E64-8C8F-2FF6AA2EF73A}"/>
                  </c:ext>
                </c:extLst>
              </c15:ser>
            </c15:filteredBarSeries>
          </c:ext>
        </c:extLst>
      </c:barChart>
      <c:catAx>
        <c:axId val="88709376"/>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88727552"/>
        <c:crosses val="autoZero"/>
        <c:auto val="1"/>
        <c:lblAlgn val="ctr"/>
        <c:lblOffset val="100"/>
        <c:noMultiLvlLbl val="0"/>
      </c:catAx>
      <c:valAx>
        <c:axId val="88727552"/>
        <c:scaling>
          <c:orientation val="minMax"/>
        </c:scaling>
        <c:delete val="0"/>
        <c:axPos val="l"/>
        <c:majorGridlines/>
        <c:title>
          <c:tx>
            <c:rich>
              <a:bodyPr rot="-5400000" vert="horz"/>
              <a:lstStyle/>
              <a:p>
                <a:pPr>
                  <a:defRPr/>
                </a:pPr>
                <a:r>
                  <a:rPr lang="en-US"/>
                  <a:t>Dollars</a:t>
                </a:r>
              </a:p>
            </c:rich>
          </c:tx>
          <c:overlay val="0"/>
        </c:title>
        <c:numFmt formatCode="_(* #,##0_);_(* \(#,##0\);_(* &quot;-&quot;??_);_(@_)" sourceLinked="1"/>
        <c:majorTickMark val="none"/>
        <c:minorTickMark val="none"/>
        <c:tickLblPos val="nextTo"/>
        <c:txPr>
          <a:bodyPr rot="-60000000" vert="horz"/>
          <a:lstStyle/>
          <a:p>
            <a:pPr>
              <a:defRPr/>
            </a:pPr>
            <a:endParaRPr lang="en-US"/>
          </a:p>
        </c:txPr>
        <c:crossAx val="8870937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rot="0" vert="horz"/>
          <a:lstStyle/>
          <a:p>
            <a:pPr>
              <a:defRPr/>
            </a:pPr>
            <a:r>
              <a:rPr lang="en-US"/>
              <a:t>Unsanctioned</a:t>
            </a:r>
          </a:p>
        </c:rich>
      </c:tx>
      <c:overlay val="0"/>
    </c:title>
    <c:autoTitleDeleted val="0"/>
    <c:plotArea>
      <c:layout>
        <c:manualLayout>
          <c:layoutTarget val="inner"/>
          <c:xMode val="edge"/>
          <c:yMode val="edge"/>
          <c:x val="0.1103045258026191"/>
          <c:y val="0.12479875527206184"/>
          <c:w val="0.86469564195471205"/>
          <c:h val="0.63402942247509109"/>
        </c:manualLayout>
      </c:layout>
      <c:barChart>
        <c:barDir val="col"/>
        <c:grouping val="clustered"/>
        <c:varyColors val="0"/>
        <c:ser>
          <c:idx val="4"/>
          <c:order val="4"/>
          <c:tx>
            <c:strRef>
              <c:f>'Financial Summary'!$D$18</c:f>
              <c:strCache>
                <c:ptCount val="1"/>
                <c:pt idx="0">
                  <c:v>Remaining portion of potential investment</c:v>
                </c:pt>
              </c:strCache>
            </c:strRef>
          </c:tx>
          <c:spPr>
            <a:solidFill>
              <a:schemeClr val="bg1">
                <a:lumMod val="65000"/>
              </a:schemeClr>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3"/>
              <c:pt idx="0">
                <c:v>Opex</c:v>
              </c:pt>
              <c:pt idx="1">
                <c:v> Capex</c:v>
              </c:pt>
              <c:pt idx="2">
                <c:v> Total</c:v>
              </c:pt>
            </c:strLit>
          </c:cat>
          <c:val>
            <c:numRef>
              <c:f>'Financial Summary'!$E$18:$G$18</c:f>
              <c:numCache>
                <c:formatCode>_(* #,##0_);_(* \(#,##0\);_(* "-"??_);_(@_)</c:formatCode>
                <c:ptCount val="3"/>
                <c:pt idx="2">
                  <c:v>0</c:v>
                </c:pt>
              </c:numCache>
            </c:numRef>
          </c:val>
          <c:extLst>
            <c:ext xmlns:c16="http://schemas.microsoft.com/office/drawing/2014/chart" uri="{C3380CC4-5D6E-409C-BE32-E72D297353CC}">
              <c16:uniqueId val="{00000002-00BB-4E64-8C8F-2FF6AA2EF73A}"/>
            </c:ext>
          </c:extLst>
        </c:ser>
        <c:ser>
          <c:idx val="8"/>
          <c:order val="8"/>
          <c:tx>
            <c:strRef>
              <c:f>'Financial Summary'!$D$19</c:f>
              <c:strCache>
                <c:ptCount val="1"/>
                <c:pt idx="0">
                  <c:v>VOWD (Past current Sanction)</c:v>
                </c:pt>
              </c:strCache>
            </c:strRef>
          </c:tx>
          <c:spPr>
            <a:solidFill>
              <a:srgbClr val="FF000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3"/>
              <c:pt idx="0">
                <c:v>Opex</c:v>
              </c:pt>
              <c:pt idx="1">
                <c:v> Capex</c:v>
              </c:pt>
              <c:pt idx="2">
                <c:v> Total</c:v>
              </c:pt>
            </c:strLit>
          </c:cat>
          <c:val>
            <c:numRef>
              <c:f>'Financial Summary'!$E$19:$G$19</c:f>
              <c:numCache>
                <c:formatCode>_(* #,##0_);_(* \(#,##0\);_(* "-"??_);_(@_)</c:formatCode>
                <c:ptCount val="3"/>
                <c:pt idx="0">
                  <c:v>0</c:v>
                </c:pt>
                <c:pt idx="1">
                  <c:v>0</c:v>
                </c:pt>
                <c:pt idx="2">
                  <c:v>0</c:v>
                </c:pt>
              </c:numCache>
            </c:numRef>
          </c:val>
          <c:extLst>
            <c:ext xmlns:c16="http://schemas.microsoft.com/office/drawing/2014/chart" uri="{C3380CC4-5D6E-409C-BE32-E72D297353CC}">
              <c16:uniqueId val="{00000005-00BB-4E64-8C8F-2FF6AA2EF73A}"/>
            </c:ext>
          </c:extLst>
        </c:ser>
        <c:ser>
          <c:idx val="0"/>
          <c:order val="9"/>
          <c:tx>
            <c:strRef>
              <c:f>'Financial Summary'!$D$20</c:f>
              <c:strCache>
                <c:ptCount val="1"/>
                <c:pt idx="0">
                  <c:v>FTC (Past current Sanction)</c:v>
                </c:pt>
              </c:strCache>
            </c:strRef>
          </c:tx>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'Financial Summary'!$E$20:$G$20</c:f>
              <c:numCache>
                <c:formatCode>_(* #,##0_);_(* \(#,##0\);_(* "-"??_);_(@_)</c:formatCode>
                <c:ptCount val="3"/>
                <c:pt idx="0">
                  <c:v>0</c:v>
                </c:pt>
                <c:pt idx="1">
                  <c:v>0</c:v>
                </c:pt>
                <c:pt idx="2">
                  <c:v>0</c:v>
                </c:pt>
              </c:numCache>
            </c:numRef>
          </c:val>
          <c:extLst>
            <c:ext xmlns:c16="http://schemas.microsoft.com/office/drawing/2014/chart" uri="{C3380CC4-5D6E-409C-BE32-E72D297353CC}">
              <c16:uniqueId val="{00000000-380B-42F8-BF4C-9033E15CCE0E}"/>
            </c:ext>
          </c:extLst>
        </c:ser>
        <c:dLbls>
          <c:showLegendKey val="0"/>
          <c:showVal val="0"/>
          <c:showCatName val="0"/>
          <c:showSerName val="0"/>
          <c:showPercent val="0"/>
          <c:showBubbleSize val="0"/>
        </c:dLbls>
        <c:gapWidth val="100"/>
        <c:overlap val="-50"/>
        <c:axId val="104825216"/>
        <c:axId val="104826752"/>
        <c:extLst>
          <c:ext xmlns:c15="http://schemas.microsoft.com/office/drawing/2012/chart" uri="{02D57815-91ED-43cb-92C2-25804820EDAC}">
            <c15:filteredBarSeries>
              <c15:ser>
                <c:idx val="1"/>
                <c:order val="0"/>
                <c:tx>
                  <c:strRef>
                    <c:extLst>
                      <c:ext uri="{02D57815-91ED-43cb-92C2-25804820EDAC}">
                        <c15:formulaRef>
                          <c15:sqref>'Financial Summary'!$D$6</c15:sqref>
                        </c15:formulaRef>
                      </c:ext>
                    </c:extLst>
                    <c:strCache>
                      <c:ptCount val="1"/>
                      <c:pt idx="0">
                        <c:v>Sanctioned Amount</c:v>
                      </c:pt>
                    </c:strCache>
                  </c:strRef>
                </c:tx>
                <c:spPr>
                  <a:solidFill>
                    <a:schemeClr val="accent1"/>
                  </a:solidFill>
                  <a:ln>
                    <a:noFill/>
                  </a:ln>
                  <a:effectLst/>
                </c:spPr>
                <c:invertIfNegative val="0"/>
                <c:cat>
                  <c:strRef>
                    <c:extLst>
                      <c:ext uri="{02D57815-91ED-43cb-92C2-25804820EDAC}">
                        <c15:formulaRef>
                          <c15:sqref>'Financial Summary'!$E$5:$G$5</c15:sqref>
                        </c15:formulaRef>
                      </c:ext>
                    </c:extLst>
                    <c:strCache>
                      <c:ptCount val="3"/>
                      <c:pt idx="0">
                        <c:v>OPEX</c:v>
                      </c:pt>
                      <c:pt idx="1">
                        <c:v>CAPEX</c:v>
                      </c:pt>
                      <c:pt idx="2">
                        <c:v>TOTAL</c:v>
                      </c:pt>
                    </c:strCache>
                  </c:strRef>
                </c:cat>
                <c:val>
                  <c:numRef>
                    <c:extLst>
                      <c:ext uri="{02D57815-91ED-43cb-92C2-25804820EDAC}">
                        <c15:formulaRef>
                          <c15:sqref>'Financial Summary'!$E$6:$G$6</c15:sqref>
                        </c15:formulaRef>
                      </c:ext>
                    </c:extLst>
                    <c:numCache>
                      <c:formatCode>_(* #,##0_);_(* \(#,##0\);_(* "-"??_);_(@_)</c:formatCode>
                      <c:ptCount val="3"/>
                    </c:numCache>
                  </c:numRef>
                </c:val>
                <c:extLst>
                  <c:ext xmlns:c16="http://schemas.microsoft.com/office/drawing/2014/chart" uri="{C3380CC4-5D6E-409C-BE32-E72D297353CC}">
                    <c16:uniqueId val="{00000007-00BB-4E64-8C8F-2FF6AA2EF73A}"/>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'Financial Summary'!$D$7</c15:sqref>
                        </c15:formulaRef>
                      </c:ext>
                    </c:extLst>
                    <c:strCache>
                      <c:ptCount val="1"/>
                      <c:pt idx="0">
                        <c:v>SANCTIONED</c:v>
                      </c:pt>
                    </c:strCache>
                  </c:strRef>
                </c:tx>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'Financial Summary'!$E$5:$G$5</c15:sqref>
                        </c15:formulaRef>
                      </c:ext>
                    </c:extLst>
                    <c:strCache>
                      <c:ptCount val="3"/>
                      <c:pt idx="0">
                        <c:v>OPEX</c:v>
                      </c:pt>
                      <c:pt idx="1">
                        <c:v>CAPEX</c:v>
                      </c:pt>
                      <c:pt idx="2">
                        <c:v>TOTAL</c:v>
                      </c:pt>
                    </c:strCache>
                  </c:strRef>
                </c:cat>
                <c:val>
                  <c:numRef>
                    <c:extLst xmlns:c15="http://schemas.microsoft.com/office/drawing/2012/chart">
                      <c:ext xmlns:c15="http://schemas.microsoft.com/office/drawing/2012/chart" uri="{02D57815-91ED-43cb-92C2-25804820EDAC}">
                        <c15:formulaRef>
                          <c15:sqref>'Financial Summary'!$E$7:$G$7</c15:sqref>
                        </c15:formulaRef>
                      </c:ext>
                    </c:extLst>
                    <c:numCache>
                      <c:formatCode>_(* #,##0_);_(* \(#,##0\);_(* "-"??_);_(@_)</c:formatCode>
                      <c:ptCount val="3"/>
                    </c:numCache>
                  </c:numRef>
                </c:val>
                <c:extLst xmlns:c15="http://schemas.microsoft.com/office/drawing/2012/chart">
                  <c:ext xmlns:c16="http://schemas.microsoft.com/office/drawing/2014/chart" uri="{C3380CC4-5D6E-409C-BE32-E72D297353CC}">
                    <c16:uniqueId val="{00000008-00BB-4E64-8C8F-2FF6AA2EF73A}"/>
                  </c:ext>
                </c:extLst>
              </c15:ser>
            </c15:filteredBarSeries>
            <c15:filteredBarSeries>
              <c15:ser>
                <c:idx val="3"/>
                <c:order val="2"/>
                <c:tx>
                  <c:strRef>
                    <c:extLst xmlns:c15="http://schemas.microsoft.com/office/drawing/2012/chart">
                      <c:ext xmlns:c15="http://schemas.microsoft.com/office/drawing/2012/chart" uri="{02D57815-91ED-43cb-92C2-25804820EDAC}">
                        <c15:formulaRef>
                          <c15:sqref>'Financial Summary'!$D$8</c15:sqref>
                        </c15:formulaRef>
                      </c:ext>
                    </c:extLst>
                    <c:strCache>
                      <c:ptCount val="1"/>
                      <c:pt idx="0">
                        <c:v>Sanction Amount</c:v>
                      </c:pt>
                    </c:strCache>
                  </c:strRef>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'Financial Summary'!$E$5:$G$5</c15:sqref>
                        </c15:formulaRef>
                      </c:ext>
                    </c:extLst>
                    <c:strCache>
                      <c:ptCount val="3"/>
                      <c:pt idx="0">
                        <c:v>OPEX</c:v>
                      </c:pt>
                      <c:pt idx="1">
                        <c:v>CAPEX</c:v>
                      </c:pt>
                      <c:pt idx="2">
                        <c:v>TOTAL</c:v>
                      </c:pt>
                    </c:strCache>
                  </c:strRef>
                </c:cat>
                <c:val>
                  <c:numRef>
                    <c:extLst xmlns:c15="http://schemas.microsoft.com/office/drawing/2012/chart">
                      <c:ext xmlns:c15="http://schemas.microsoft.com/office/drawing/2012/chart" uri="{02D57815-91ED-43cb-92C2-25804820EDAC}">
                        <c15:formulaRef>
                          <c15:sqref>'Financial Summary'!$E$8:$G$8</c15:sqref>
                        </c15:formulaRef>
                      </c:ext>
                    </c:extLst>
                    <c:numCache>
                      <c:formatCode>_(* #,##0_);_(* \(#,##0\);_(* "-"??_);_(@_)</c:formatCode>
                      <c:ptCount val="3"/>
                      <c:pt idx="2">
                        <c:v>0</c:v>
                      </c:pt>
                    </c:numCache>
                  </c:numRef>
                </c:val>
                <c:extLst xmlns:c15="http://schemas.microsoft.com/office/drawing/2012/chart">
                  <c:ext xmlns:c16="http://schemas.microsoft.com/office/drawing/2014/chart" uri="{C3380CC4-5D6E-409C-BE32-E72D297353CC}">
                    <c16:uniqueId val="{00000000-00BB-4E64-8C8F-2FF6AA2EF73A}"/>
                  </c:ext>
                </c:extLst>
              </c15:ser>
            </c15:filteredBarSeries>
            <c15:filteredBarSeries>
              <c15:ser>
                <c:idx val="5"/>
                <c:order val="3"/>
                <c:tx>
                  <c:strRef>
                    <c:extLst xmlns:c15="http://schemas.microsoft.com/office/drawing/2012/chart">
                      <c:ext xmlns:c15="http://schemas.microsoft.com/office/drawing/2012/chart" uri="{02D57815-91ED-43cb-92C2-25804820EDAC}">
                        <c15:formulaRef>
                          <c15:sqref>'Financial Summary'!$D$9</c15:sqref>
                        </c15:formulaRef>
                      </c:ext>
                    </c:extLst>
                    <c:strCache>
                      <c:ptCount val="1"/>
                    </c:strCache>
                  </c:strRef>
                </c:tx>
                <c:spPr>
                  <a:solidFill>
                    <a:schemeClr val="accent4"/>
                  </a:solidFill>
                  <a:ln>
                    <a:noFill/>
                  </a:ln>
                  <a:effectLst/>
                </c:spPr>
                <c:invertIfNegative val="0"/>
                <c:cat>
                  <c:strRef>
                    <c:extLst xmlns:c15="http://schemas.microsoft.com/office/drawing/2012/chart">
                      <c:ext xmlns:c15="http://schemas.microsoft.com/office/drawing/2012/chart" uri="{02D57815-91ED-43cb-92C2-25804820EDAC}">
                        <c15:formulaRef>
                          <c15:sqref>'Financial Summary'!$E$5:$G$5</c15:sqref>
                        </c15:formulaRef>
                      </c:ext>
                    </c:extLst>
                    <c:strCache>
                      <c:ptCount val="3"/>
                      <c:pt idx="0">
                        <c:v>OPEX</c:v>
                      </c:pt>
                      <c:pt idx="1">
                        <c:v>CAPEX</c:v>
                      </c:pt>
                      <c:pt idx="2">
                        <c:v>TOTAL</c:v>
                      </c:pt>
                    </c:strCache>
                  </c:strRef>
                </c:cat>
                <c:val>
                  <c:numRef>
                    <c:extLst xmlns:c15="http://schemas.microsoft.com/office/drawing/2012/chart">
                      <c:ext xmlns:c15="http://schemas.microsoft.com/office/drawing/2012/chart" uri="{02D57815-91ED-43cb-92C2-25804820EDAC}">
                        <c15:formulaRef>
                          <c15:sqref>'Financial Summary'!$E$9:$G$9</c15:sqref>
                        </c15:formulaRef>
                      </c:ext>
                    </c:extLst>
                    <c:numCache>
                      <c:formatCode>_(* #,##0_);_(* \(#,##0\);_(* "-"??_);_(@_)</c:formatCode>
                      <c:ptCount val="3"/>
                    </c:numCache>
                  </c:numRef>
                </c:val>
                <c:extLst xmlns:c15="http://schemas.microsoft.com/office/drawing/2012/chart">
                  <c:ext xmlns:c16="http://schemas.microsoft.com/office/drawing/2014/chart" uri="{C3380CC4-5D6E-409C-BE32-E72D297353CC}">
                    <c16:uniqueId val="{00000001-00BB-4E64-8C8F-2FF6AA2EF73A}"/>
                  </c:ext>
                </c:extLst>
              </c15:ser>
            </c15:filteredBarSeries>
            <c15:filteredBarSeries>
              <c15:ser>
                <c:idx val="6"/>
                <c:order val="5"/>
                <c:tx>
                  <c:strRef>
                    <c:extLst xmlns:c15="http://schemas.microsoft.com/office/drawing/2012/chart">
                      <c:ext xmlns:c15="http://schemas.microsoft.com/office/drawing/2012/chart" uri="{02D57815-91ED-43cb-92C2-25804820EDAC}">
                        <c15:formulaRef>
                          <c15:sqref>'Financial Summary'!$D$11</c15:sqref>
                        </c15:formulaRef>
                      </c:ext>
                    </c:extLst>
                    <c:strCache>
                      <c:ptCount val="1"/>
                      <c:pt idx="0">
                        <c:v>DELIVERY</c:v>
                      </c:pt>
                    </c:strCache>
                  </c:strRef>
                </c:tx>
                <c:spPr>
                  <a:solidFill>
                    <a:schemeClr val="accent6"/>
                  </a:solidFill>
                  <a:ln>
                    <a:noFill/>
                  </a:ln>
                  <a:effectLst/>
                </c:spPr>
                <c:invertIfNegative val="0"/>
                <c:cat>
                  <c:strRef>
                    <c:extLst xmlns:c15="http://schemas.microsoft.com/office/drawing/2012/chart">
                      <c:ext xmlns:c15="http://schemas.microsoft.com/office/drawing/2012/chart" uri="{02D57815-91ED-43cb-92C2-25804820EDAC}">
                        <c15:formulaRef>
                          <c15:sqref>'Financial Summary'!$E$5:$G$5</c15:sqref>
                        </c15:formulaRef>
                      </c:ext>
                    </c:extLst>
                    <c:strCache>
                      <c:ptCount val="3"/>
                      <c:pt idx="0">
                        <c:v>OPEX</c:v>
                      </c:pt>
                      <c:pt idx="1">
                        <c:v>CAPEX</c:v>
                      </c:pt>
                      <c:pt idx="2">
                        <c:v>TOTAL</c:v>
                      </c:pt>
                    </c:strCache>
                  </c:strRef>
                </c:cat>
                <c:val>
                  <c:numRef>
                    <c:extLst xmlns:c15="http://schemas.microsoft.com/office/drawing/2012/chart">
                      <c:ext xmlns:c15="http://schemas.microsoft.com/office/drawing/2012/chart" uri="{02D57815-91ED-43cb-92C2-25804820EDAC}">
                        <c15:formulaRef>
                          <c15:sqref>'Financial Summary'!$E$11:$G$11</c15:sqref>
                        </c15:formulaRef>
                      </c:ext>
                    </c:extLst>
                    <c:numCache>
                      <c:formatCode>_(* #,##0_);_(* \(#,##0\);_(* "-"??_);_(@_)</c:formatCode>
                      <c:ptCount val="3"/>
                    </c:numCache>
                  </c:numRef>
                </c:val>
                <c:extLst xmlns:c15="http://schemas.microsoft.com/office/drawing/2012/chart">
                  <c:ext xmlns:c16="http://schemas.microsoft.com/office/drawing/2014/chart" uri="{C3380CC4-5D6E-409C-BE32-E72D297353CC}">
                    <c16:uniqueId val="{00000009-00BB-4E64-8C8F-2FF6AA2EF73A}"/>
                  </c:ext>
                </c:extLst>
              </c15:ser>
            </c15:filteredBarSeries>
            <c15:filteredBarSeries>
              <c15:ser>
                <c:idx val="7"/>
                <c:order val="6"/>
                <c:tx>
                  <c:strRef>
                    <c:extLst xmlns:c15="http://schemas.microsoft.com/office/drawing/2012/chart">
                      <c:ext xmlns:c15="http://schemas.microsoft.com/office/drawing/2012/chart" uri="{02D57815-91ED-43cb-92C2-25804820EDAC}">
                        <c15:formulaRef>
                          <c15:sqref>'Financial Summary'!$D$12</c15:sqref>
                        </c15:formulaRef>
                      </c:ext>
                    </c:extLst>
                    <c:strCache>
                      <c:ptCount val="1"/>
                      <c:pt idx="0">
                        <c:v>VOWD</c:v>
                      </c:pt>
                    </c:strCache>
                  </c:strRef>
                </c:tx>
                <c:spPr>
                  <a:solidFill>
                    <a:schemeClr val="accent1">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'Financial Summary'!$E$5:$G$5</c15:sqref>
                        </c15:formulaRef>
                      </c:ext>
                    </c:extLst>
                    <c:strCache>
                      <c:ptCount val="3"/>
                      <c:pt idx="0">
                        <c:v>OPEX</c:v>
                      </c:pt>
                      <c:pt idx="1">
                        <c:v>CAPEX</c:v>
                      </c:pt>
                      <c:pt idx="2">
                        <c:v>TOTAL</c:v>
                      </c:pt>
                    </c:strCache>
                  </c:strRef>
                </c:cat>
                <c:val>
                  <c:numRef>
                    <c:extLst xmlns:c15="http://schemas.microsoft.com/office/drawing/2012/chart">
                      <c:ext xmlns:c15="http://schemas.microsoft.com/office/drawing/2012/chart" uri="{02D57815-91ED-43cb-92C2-25804820EDAC}">
                        <c15:formulaRef>
                          <c15:sqref>'Financial Summary'!$E$12:$G$12</c15:sqref>
                        </c15:formulaRef>
                      </c:ext>
                    </c:extLst>
                    <c:numCache>
                      <c:formatCode>_(* #,##0_);_(* \(#,##0\);_(* "-"??_);_(@_)</c:formatCode>
                      <c:ptCount val="3"/>
                      <c:pt idx="0">
                        <c:v>0</c:v>
                      </c:pt>
                      <c:pt idx="1">
                        <c:v>0</c:v>
                      </c:pt>
                      <c:pt idx="2">
                        <c:v>0</c:v>
                      </c:pt>
                    </c:numCache>
                  </c:numRef>
                </c:val>
                <c:extLst xmlns:c15="http://schemas.microsoft.com/office/drawing/2012/chart">
                  <c:ext xmlns:c16="http://schemas.microsoft.com/office/drawing/2014/chart" uri="{C3380CC4-5D6E-409C-BE32-E72D297353CC}">
                    <c16:uniqueId val="{00000003-00BB-4E64-8C8F-2FF6AA2EF73A}"/>
                  </c:ext>
                </c:extLst>
              </c15:ser>
            </c15:filteredBarSeries>
            <c15:filteredBarSeries>
              <c15:ser>
                <c:idx val="9"/>
                <c:order val="7"/>
                <c:tx>
                  <c:strRef>
                    <c:extLst xmlns:c15="http://schemas.microsoft.com/office/drawing/2012/chart">
                      <c:ext xmlns:c15="http://schemas.microsoft.com/office/drawing/2012/chart" uri="{02D57815-91ED-43cb-92C2-25804820EDAC}">
                        <c15:formulaRef>
                          <c15:sqref>'Financial Summary'!$D$13</c15:sqref>
                        </c15:formulaRef>
                      </c:ext>
                    </c:extLst>
                    <c:strCache>
                      <c:ptCount val="1"/>
                      <c:pt idx="0">
                        <c:v>FTC (for current Sanction)</c:v>
                      </c:pt>
                    </c:strCache>
                  </c:strRef>
                </c:tx>
                <c:spPr>
                  <a:solidFill>
                    <a:schemeClr val="accent2">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'Financial Summary'!$E$5:$G$5</c15:sqref>
                        </c15:formulaRef>
                      </c:ext>
                    </c:extLst>
                    <c:strCache>
                      <c:ptCount val="3"/>
                      <c:pt idx="0">
                        <c:v>OPEX</c:v>
                      </c:pt>
                      <c:pt idx="1">
                        <c:v>CAPEX</c:v>
                      </c:pt>
                      <c:pt idx="2">
                        <c:v>TOTAL</c:v>
                      </c:pt>
                    </c:strCache>
                  </c:strRef>
                </c:cat>
                <c:val>
                  <c:numRef>
                    <c:extLst xmlns:c15="http://schemas.microsoft.com/office/drawing/2012/chart">
                      <c:ext xmlns:c15="http://schemas.microsoft.com/office/drawing/2012/chart" uri="{02D57815-91ED-43cb-92C2-25804820EDAC}">
                        <c15:formulaRef>
                          <c15:sqref>'Financial Summary'!$E$13:$G$13</c15:sqref>
                        </c15:formulaRef>
                      </c:ext>
                    </c:extLst>
                    <c:numCache>
                      <c:formatCode>_(* #,##0_);_(* \(#,##0\);_(* "-"??_);_(@_)</c:formatCode>
                      <c:ptCount val="3"/>
                      <c:pt idx="0">
                        <c:v>0</c:v>
                      </c:pt>
                      <c:pt idx="1">
                        <c:v>108236.30720328816</c:v>
                      </c:pt>
                      <c:pt idx="2">
                        <c:v>108236.30720328816</c:v>
                      </c:pt>
                    </c:numCache>
                  </c:numRef>
                </c:val>
                <c:extLst xmlns:c15="http://schemas.microsoft.com/office/drawing/2012/chart">
                  <c:ext xmlns:c16="http://schemas.microsoft.com/office/drawing/2014/chart" uri="{C3380CC4-5D6E-409C-BE32-E72D297353CC}">
                    <c16:uniqueId val="{00000004-00BB-4E64-8C8F-2FF6AA2EF73A}"/>
                  </c:ext>
                </c:extLst>
              </c15:ser>
            </c15:filteredBarSeries>
          </c:ext>
        </c:extLst>
      </c:barChart>
      <c:catAx>
        <c:axId val="104825216"/>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104826752"/>
        <c:crosses val="autoZero"/>
        <c:auto val="1"/>
        <c:lblAlgn val="ctr"/>
        <c:lblOffset val="100"/>
        <c:noMultiLvlLbl val="0"/>
      </c:catAx>
      <c:valAx>
        <c:axId val="104826752"/>
        <c:scaling>
          <c:orientation val="minMax"/>
        </c:scaling>
        <c:delete val="0"/>
        <c:axPos val="l"/>
        <c:majorGridlines/>
        <c:title>
          <c:tx>
            <c:rich>
              <a:bodyPr rot="-5400000" vert="horz"/>
              <a:lstStyle/>
              <a:p>
                <a:pPr>
                  <a:defRPr/>
                </a:pPr>
                <a:r>
                  <a:rPr lang="en-US"/>
                  <a:t>Dollars</a:t>
                </a:r>
              </a:p>
            </c:rich>
          </c:tx>
          <c:overlay val="0"/>
        </c:title>
        <c:numFmt formatCode="_(* #,##0_);_(* \(#,##0\);_(* &quot;-&quot;??_);_(@_)" sourceLinked="1"/>
        <c:majorTickMark val="none"/>
        <c:minorTickMark val="none"/>
        <c:tickLblPos val="nextTo"/>
        <c:txPr>
          <a:bodyPr rot="-60000000" vert="horz"/>
          <a:lstStyle/>
          <a:p>
            <a:pPr>
              <a:defRPr/>
            </a:pPr>
            <a:endParaRPr lang="en-US"/>
          </a:p>
        </c:txPr>
        <c:crossAx val="104825216"/>
        <c:crosses val="autoZero"/>
        <c:crossBetween val="between"/>
      </c:valAx>
    </c:plotArea>
    <c:legend>
      <c:legendPos val="b"/>
      <c:layout>
        <c:manualLayout>
          <c:xMode val="edge"/>
          <c:yMode val="edge"/>
          <c:x val="7.5645679831597035E-2"/>
          <c:y val="0.85859469760233931"/>
          <c:w val="0.89707697812643894"/>
          <c:h val="0.12054179409743422"/>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a:lstStyle/>
          <a:p>
            <a:pPr>
              <a:defRPr/>
            </a:pPr>
            <a:r>
              <a:rPr lang="en-US"/>
              <a:t>Remaining Risk vs Remaining Spend</a:t>
            </a:r>
          </a:p>
        </c:rich>
      </c:tx>
      <c:overlay val="0"/>
    </c:title>
    <c:autoTitleDeleted val="0"/>
    <c:plotArea>
      <c:layout/>
      <c:barChart>
        <c:barDir val="col"/>
        <c:grouping val="clustered"/>
        <c:varyColors val="0"/>
        <c:ser>
          <c:idx val="0"/>
          <c:order val="0"/>
          <c:tx>
            <c:v>Opex Risk Rem</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1"/>
            </c:numLit>
          </c:cat>
          <c:val>
            <c:numRef>
              <c:f>'Monthly Summary'!$BW$85</c:f>
              <c:numCache>
                <c:formatCode>_(* #,##0.00_);_(* \(#,##0.00\);_(* "-"??_);_(@_)</c:formatCode>
                <c:ptCount val="1"/>
                <c:pt idx="0">
                  <c:v>0</c:v>
                </c:pt>
              </c:numCache>
            </c:numRef>
          </c:val>
          <c:extLst>
            <c:ext xmlns:c16="http://schemas.microsoft.com/office/drawing/2014/chart" uri="{C3380CC4-5D6E-409C-BE32-E72D297353CC}">
              <c16:uniqueId val="{00000000-370C-4D4B-AD6D-42CF678EFC3E}"/>
            </c:ext>
          </c:extLst>
        </c:ser>
        <c:ser>
          <c:idx val="1"/>
          <c:order val="1"/>
          <c:tx>
            <c:v>Opex Rem</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1"/>
            </c:numLit>
          </c:cat>
          <c:val>
            <c:numRef>
              <c:f>'Monthly Summary'!$BW$78</c:f>
              <c:numCache>
                <c:formatCode>_(* #,##0.00_);_(* \(#,##0.00\);_(* "-"??_);_(@_)</c:formatCode>
                <c:ptCount val="1"/>
                <c:pt idx="0">
                  <c:v>0</c:v>
                </c:pt>
              </c:numCache>
            </c:numRef>
          </c:val>
          <c:extLst>
            <c:ext xmlns:c16="http://schemas.microsoft.com/office/drawing/2014/chart" uri="{C3380CC4-5D6E-409C-BE32-E72D297353CC}">
              <c16:uniqueId val="{00000001-370C-4D4B-AD6D-42CF678EFC3E}"/>
            </c:ext>
          </c:extLst>
        </c:ser>
        <c:ser>
          <c:idx val="2"/>
          <c:order val="2"/>
          <c:tx>
            <c:v>Capex Risk Rem</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1"/>
            </c:numLit>
          </c:cat>
          <c:val>
            <c:numRef>
              <c:f>'Monthly Summary'!$BW$86</c:f>
              <c:numCache>
                <c:formatCode>_(* #,##0.00_);_(* \(#,##0.00\);_(* "-"??_);_(@_)</c:formatCode>
                <c:ptCount val="1"/>
                <c:pt idx="0">
                  <c:v>9760</c:v>
                </c:pt>
              </c:numCache>
            </c:numRef>
          </c:val>
          <c:extLst>
            <c:ext xmlns:c16="http://schemas.microsoft.com/office/drawing/2014/chart" uri="{C3380CC4-5D6E-409C-BE32-E72D297353CC}">
              <c16:uniqueId val="{00000002-370C-4D4B-AD6D-42CF678EFC3E}"/>
            </c:ext>
          </c:extLst>
        </c:ser>
        <c:ser>
          <c:idx val="3"/>
          <c:order val="3"/>
          <c:tx>
            <c:v>Capex Rem</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1"/>
            </c:numLit>
          </c:cat>
          <c:val>
            <c:numRef>
              <c:f>'Monthly Summary'!$BW$77</c:f>
              <c:numCache>
                <c:formatCode>_(* #,##0.00_);_(* \(#,##0.00\);_(* "-"??_);_(@_)</c:formatCode>
                <c:ptCount val="1"/>
                <c:pt idx="0">
                  <c:v>108236.30720328816</c:v>
                </c:pt>
              </c:numCache>
            </c:numRef>
          </c:val>
          <c:extLst>
            <c:ext xmlns:c16="http://schemas.microsoft.com/office/drawing/2014/chart" uri="{C3380CC4-5D6E-409C-BE32-E72D297353CC}">
              <c16:uniqueId val="{00000003-370C-4D4B-AD6D-42CF678EFC3E}"/>
            </c:ext>
          </c:extLst>
        </c:ser>
        <c:dLbls>
          <c:showLegendKey val="0"/>
          <c:showVal val="0"/>
          <c:showCatName val="0"/>
          <c:showSerName val="0"/>
          <c:showPercent val="0"/>
          <c:showBubbleSize val="0"/>
        </c:dLbls>
        <c:gapWidth val="100"/>
        <c:overlap val="-50"/>
        <c:axId val="112161152"/>
        <c:axId val="112162688"/>
      </c:barChart>
      <c:catAx>
        <c:axId val="112161152"/>
        <c:scaling>
          <c:orientation val="minMax"/>
        </c:scaling>
        <c:delete val="0"/>
        <c:axPos val="b"/>
        <c:numFmt formatCode="General" sourceLinked="1"/>
        <c:majorTickMark val="out"/>
        <c:minorTickMark val="none"/>
        <c:tickLblPos val="nextTo"/>
        <c:crossAx val="112162688"/>
        <c:crosses val="autoZero"/>
        <c:auto val="1"/>
        <c:lblAlgn val="ctr"/>
        <c:lblOffset val="100"/>
        <c:noMultiLvlLbl val="0"/>
      </c:catAx>
      <c:valAx>
        <c:axId val="112162688"/>
        <c:scaling>
          <c:orientation val="minMax"/>
        </c:scaling>
        <c:delete val="0"/>
        <c:axPos val="l"/>
        <c:majorGridlines/>
        <c:numFmt formatCode="_(* #,##0.00_);_(* \(#,##0.00\);_(* &quot;-&quot;??_);_(@_)" sourceLinked="1"/>
        <c:majorTickMark val="out"/>
        <c:minorTickMark val="none"/>
        <c:tickLblPos val="nextTo"/>
        <c:crossAx val="112161152"/>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Remaining Risk Over Time</a:t>
            </a:r>
          </a:p>
        </c:rich>
      </c:tx>
      <c:overlay val="0"/>
    </c:title>
    <c:autoTitleDeleted val="0"/>
    <c:plotArea>
      <c:layout/>
      <c:lineChart>
        <c:grouping val="standard"/>
        <c:varyColors val="0"/>
        <c:ser>
          <c:idx val="0"/>
          <c:order val="0"/>
          <c:tx>
            <c:strRef>
              <c:f>'Monthly Summary'!$A$85</c:f>
              <c:strCache>
                <c:ptCount val="1"/>
                <c:pt idx="0">
                  <c:v>Opex Risk</c:v>
                </c:pt>
              </c:strCache>
            </c:strRef>
          </c:tx>
          <c:marker>
            <c:symbol val="none"/>
          </c:marker>
          <c:cat>
            <c:strRef>
              <c:f>[0]!Risk_Mths</c:f>
              <c:strCache>
                <c:ptCount val="12"/>
                <c:pt idx="0">
                  <c:v> Jun </c:v>
                </c:pt>
                <c:pt idx="1">
                  <c:v> Jul </c:v>
                </c:pt>
                <c:pt idx="2">
                  <c:v> Aug </c:v>
                </c:pt>
                <c:pt idx="3">
                  <c:v> Sep </c:v>
                </c:pt>
                <c:pt idx="4">
                  <c:v> Oct </c:v>
                </c:pt>
                <c:pt idx="5">
                  <c:v> Nov </c:v>
                </c:pt>
                <c:pt idx="6">
                  <c:v> Dec </c:v>
                </c:pt>
                <c:pt idx="7">
                  <c:v> Jan </c:v>
                </c:pt>
                <c:pt idx="8">
                  <c:v> Feb </c:v>
                </c:pt>
                <c:pt idx="9">
                  <c:v> Mar </c:v>
                </c:pt>
                <c:pt idx="10">
                  <c:v> Apr </c:v>
                </c:pt>
                <c:pt idx="11">
                  <c:v> May </c:v>
                </c:pt>
              </c:strCache>
            </c:strRef>
          </c:cat>
          <c:val>
            <c:numRef>
              <c:f>[0]!Opex_Risk</c:f>
              <c:numCache>
                <c:formatCode>_(* #,##0.00_);_(* \(#,##0.00\);_(*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FE27-4962-88B7-3E2662B36C76}"/>
            </c:ext>
          </c:extLst>
        </c:ser>
        <c:ser>
          <c:idx val="1"/>
          <c:order val="1"/>
          <c:tx>
            <c:strRef>
              <c:f>'Monthly Summary'!$A$86</c:f>
              <c:strCache>
                <c:ptCount val="1"/>
                <c:pt idx="0">
                  <c:v>Capex Risk</c:v>
                </c:pt>
              </c:strCache>
            </c:strRef>
          </c:tx>
          <c:marker>
            <c:symbol val="none"/>
          </c:marker>
          <c:cat>
            <c:strRef>
              <c:f>[0]!Risk_Mths</c:f>
              <c:strCache>
                <c:ptCount val="12"/>
                <c:pt idx="0">
                  <c:v> Jun </c:v>
                </c:pt>
                <c:pt idx="1">
                  <c:v> Jul </c:v>
                </c:pt>
                <c:pt idx="2">
                  <c:v> Aug </c:v>
                </c:pt>
                <c:pt idx="3">
                  <c:v> Sep </c:v>
                </c:pt>
                <c:pt idx="4">
                  <c:v> Oct </c:v>
                </c:pt>
                <c:pt idx="5">
                  <c:v> Nov </c:v>
                </c:pt>
                <c:pt idx="6">
                  <c:v> Dec </c:v>
                </c:pt>
                <c:pt idx="7">
                  <c:v> Jan </c:v>
                </c:pt>
                <c:pt idx="8">
                  <c:v> Feb </c:v>
                </c:pt>
                <c:pt idx="9">
                  <c:v> Mar </c:v>
                </c:pt>
                <c:pt idx="10">
                  <c:v> Apr </c:v>
                </c:pt>
                <c:pt idx="11">
                  <c:v> May </c:v>
                </c:pt>
              </c:strCache>
            </c:strRef>
          </c:cat>
          <c:val>
            <c:numRef>
              <c:f>[0]!Capex_Risk</c:f>
              <c:numCache>
                <c:formatCode>_(* #,##0.00_);_(* \(#,##0.00\);_(* "-"??_);_(@_)</c:formatCode>
                <c:ptCount val="12"/>
                <c:pt idx="0">
                  <c:v>0</c:v>
                </c:pt>
                <c:pt idx="1">
                  <c:v>2440</c:v>
                </c:pt>
                <c:pt idx="2">
                  <c:v>2440</c:v>
                </c:pt>
                <c:pt idx="3">
                  <c:v>2440</c:v>
                </c:pt>
                <c:pt idx="4">
                  <c:v>2440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FE27-4962-88B7-3E2662B36C76}"/>
            </c:ext>
          </c:extLst>
        </c:ser>
        <c:dLbls>
          <c:showLegendKey val="0"/>
          <c:showVal val="0"/>
          <c:showCatName val="0"/>
          <c:showSerName val="0"/>
          <c:showPercent val="0"/>
          <c:showBubbleSize val="0"/>
        </c:dLbls>
        <c:smooth val="0"/>
        <c:axId val="106638720"/>
        <c:axId val="106648704"/>
      </c:lineChart>
      <c:catAx>
        <c:axId val="106638720"/>
        <c:scaling>
          <c:orientation val="minMax"/>
        </c:scaling>
        <c:delete val="0"/>
        <c:axPos val="b"/>
        <c:majorGridlines/>
        <c:numFmt formatCode="General" sourceLinked="0"/>
        <c:majorTickMark val="out"/>
        <c:minorTickMark val="in"/>
        <c:tickLblPos val="nextTo"/>
        <c:txPr>
          <a:bodyPr anchor="ctr" anchorCtr="1"/>
          <a:lstStyle/>
          <a:p>
            <a:pPr>
              <a:defRPr b="1"/>
            </a:pPr>
            <a:endParaRPr lang="en-US"/>
          </a:p>
        </c:txPr>
        <c:crossAx val="106648704"/>
        <c:crosses val="autoZero"/>
        <c:auto val="1"/>
        <c:lblAlgn val="ctr"/>
        <c:lblOffset val="100"/>
        <c:tickMarkSkip val="1"/>
        <c:noMultiLvlLbl val="0"/>
      </c:catAx>
      <c:valAx>
        <c:axId val="106648704"/>
        <c:scaling>
          <c:orientation val="minMax"/>
        </c:scaling>
        <c:delete val="0"/>
        <c:axPos val="l"/>
        <c:majorGridlines/>
        <c:title>
          <c:tx>
            <c:rich>
              <a:bodyPr/>
              <a:lstStyle/>
              <a:p>
                <a:pPr>
                  <a:defRPr/>
                </a:pPr>
                <a:r>
                  <a:rPr lang="en-US"/>
                  <a:t>Risk Amount</a:t>
                </a:r>
              </a:p>
            </c:rich>
          </c:tx>
          <c:overlay val="0"/>
        </c:title>
        <c:numFmt formatCode="_(* #,##0.00_);_(* \(#,##0.00\);_(* &quot;-&quot;??_);_(@_)" sourceLinked="1"/>
        <c:majorTickMark val="none"/>
        <c:minorTickMark val="none"/>
        <c:tickLblPos val="nextTo"/>
        <c:crossAx val="10663872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33353</xdr:colOff>
      <xdr:row>3</xdr:row>
      <xdr:rowOff>69417</xdr:rowOff>
    </xdr:from>
    <xdr:to>
      <xdr:col>9</xdr:col>
      <xdr:colOff>211576</xdr:colOff>
      <xdr:row>3</xdr:row>
      <xdr:rowOff>158832</xdr:rowOff>
    </xdr:to>
    <xdr:sp macro="" textlink="">
      <xdr:nvSpPr>
        <xdr:cNvPr id="2" name="Down Arrow 1">
          <a:extLst>
            <a:ext uri="{FF2B5EF4-FFF2-40B4-BE49-F238E27FC236}">
              <a16:creationId xmlns:a16="http://schemas.microsoft.com/office/drawing/2014/main" id="{00000000-0008-0000-0900-000002000000}"/>
            </a:ext>
          </a:extLst>
        </xdr:cNvPr>
        <xdr:cNvSpPr/>
      </xdr:nvSpPr>
      <xdr:spPr>
        <a:xfrm rot="3832683">
          <a:off x="11192699" y="750378"/>
          <a:ext cx="89415" cy="178223"/>
        </a:xfrm>
        <a:prstGeom prst="downArrow">
          <a:avLst>
            <a:gd name="adj1" fmla="val 50000"/>
            <a:gd name="adj2" fmla="val 47995"/>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552450</xdr:colOff>
      <xdr:row>0</xdr:row>
      <xdr:rowOff>28575</xdr:rowOff>
    </xdr:from>
    <xdr:to>
      <xdr:col>10</xdr:col>
      <xdr:colOff>57150</xdr:colOff>
      <xdr:row>11</xdr:row>
      <xdr:rowOff>57149</xdr:rowOff>
    </xdr:to>
    <mc:AlternateContent xmlns:mc="http://schemas.openxmlformats.org/markup-compatibility/2006" xmlns:a14="http://schemas.microsoft.com/office/drawing/2010/main">
      <mc:Choice Requires="a14">
        <xdr:graphicFrame macro="">
          <xdr:nvGraphicFramePr>
            <xdr:cNvPr id="2" name="Delivery Center">
              <a:extLst>
                <a:ext uri="{FF2B5EF4-FFF2-40B4-BE49-F238E27FC236}">
                  <a16:creationId xmlns:a16="http://schemas.microsoft.com/office/drawing/2014/main" id="{D44305D6-A5AE-4B04-9CA8-31A791B0B8D7}"/>
                </a:ext>
              </a:extLst>
            </xdr:cNvPr>
            <xdr:cNvGraphicFramePr/>
          </xdr:nvGraphicFramePr>
          <xdr:xfrm>
            <a:off x="0" y="0"/>
            <a:ext cx="0" cy="0"/>
          </xdr:xfrm>
          <a:graphic>
            <a:graphicData uri="http://schemas.microsoft.com/office/drawing/2010/slicer">
              <sle:slicer xmlns:sle="http://schemas.microsoft.com/office/drawing/2010/slicer" name="Delivery Center"/>
            </a:graphicData>
          </a:graphic>
        </xdr:graphicFrame>
      </mc:Choice>
      <mc:Fallback xmlns="">
        <xdr:sp macro="" textlink="">
          <xdr:nvSpPr>
            <xdr:cNvPr id="0" name=""/>
            <xdr:cNvSpPr>
              <a:spLocks noTextEdit="1"/>
            </xdr:cNvSpPr>
          </xdr:nvSpPr>
          <xdr:spPr>
            <a:xfrm>
              <a:off x="9848850" y="28575"/>
              <a:ext cx="1828800" cy="2257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10584</xdr:colOff>
      <xdr:row>0</xdr:row>
      <xdr:rowOff>74083</xdr:rowOff>
    </xdr:from>
    <xdr:to>
      <xdr:col>10</xdr:col>
      <xdr:colOff>0</xdr:colOff>
      <xdr:row>19</xdr:row>
      <xdr:rowOff>106893</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0</xdr:row>
      <xdr:rowOff>74083</xdr:rowOff>
    </xdr:from>
    <xdr:to>
      <xdr:col>19</xdr:col>
      <xdr:colOff>603250</xdr:colOff>
      <xdr:row>19</xdr:row>
      <xdr:rowOff>106893</xdr:rowOff>
    </xdr:to>
    <xdr:graphicFrame macro="">
      <xdr:nvGraphicFramePr>
        <xdr:cNvPr id="13" name="Chart 12">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21</xdr:row>
      <xdr:rowOff>127000</xdr:rowOff>
    </xdr:from>
    <xdr:to>
      <xdr:col>10</xdr:col>
      <xdr:colOff>0</xdr:colOff>
      <xdr:row>38</xdr:row>
      <xdr:rowOff>76200</xdr:rowOff>
    </xdr:to>
    <xdr:graphicFrame macro="">
      <xdr:nvGraphicFramePr>
        <xdr:cNvPr id="14" name="Chart 13">
          <a:extLst>
            <a:ext uri="{FF2B5EF4-FFF2-40B4-BE49-F238E27FC236}">
              <a16:creationId xmlns:a16="http://schemas.microsoft.com/office/drawing/2014/main" id="{00000000-0008-0000-0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xdr:colOff>
      <xdr:row>40</xdr:row>
      <xdr:rowOff>10583</xdr:rowOff>
    </xdr:from>
    <xdr:to>
      <xdr:col>16</xdr:col>
      <xdr:colOff>127001</xdr:colOff>
      <xdr:row>64</xdr:row>
      <xdr:rowOff>0</xdr:rowOff>
    </xdr:to>
    <xdr:graphicFrame macro="">
      <xdr:nvGraphicFramePr>
        <xdr:cNvPr id="15" name="Chart 14">
          <a:extLst>
            <a:ext uri="{FF2B5EF4-FFF2-40B4-BE49-F238E27FC236}">
              <a16:creationId xmlns:a16="http://schemas.microsoft.com/office/drawing/2014/main" id="{00000000-0008-0000-0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nationalgridplc-my.sharepoint.com/Users/khotig/AppData/Local/Microsoft/Windows/INetCache/Content.Outlook/OP0RUWOS/Copy%20of%20INVP%205917A%20Data%20Mgmt%20Tooling%20Bus%20Case%20v1.1.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nationalgridplc-my.sharepoint.com/personal/igor_khot_us_nationalgrid_com/Documents/Microsoft%20Teams%20Chat%20Files/INVID%205917A%20Enterprise%20Data%20Mgmt%20FWB%204.7.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1. Business Case Definitions"/>
      <sheetName val="2. Detail Costs"/>
      <sheetName val="3. Detail Benefits"/>
      <sheetName val="4. Value Story"/>
      <sheetName val="Report Views►"/>
      <sheetName val="SUMMARY"/>
      <sheetName val="UK Allocation Driver"/>
      <sheetName val="IT SUMMARY"/>
      <sheetName val="CZModel"/>
      <sheetName val="Priority Scoring"/>
      <sheetName val="Infra &amp; Operations"/>
      <sheetName val="Individual Cost View"/>
      <sheetName val="Security"/>
      <sheetName val="App Developmnet"/>
      <sheetName val="Software"/>
      <sheetName val="Architecture"/>
      <sheetName val="Business Costs View"/>
      <sheetName val="Benefits View"/>
      <sheetName val="◄Report Views"/>
      <sheetName val="Sample Data"/>
      <sheetName val="Change Log"/>
      <sheetName val="Drop Down Values►"/>
      <sheetName val="Miscellaneous"/>
      <sheetName val="Cost Drop Down Values"/>
      <sheetName val="Benefits Drop Down Values"/>
    </sheetNames>
    <sheetDataSet>
      <sheetData sheetId="0"/>
      <sheetData sheetId="1">
        <row r="2">
          <cell r="G2" t="str">
            <v>US</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rror Check"/>
      <sheetName val="Data Entry►"/>
      <sheetName val="Variables"/>
      <sheetName val="Resource Costs"/>
      <sheetName val="Other Costs"/>
      <sheetName val="Monthly Summary"/>
      <sheetName val="Financial Summary"/>
      <sheetName val="RTB for Srvc Trans"/>
      <sheetName val="Benefits"/>
      <sheetName val="◄Data Entry | Bus. Case Views►"/>
      <sheetName val="Business Case Summary"/>
      <sheetName val="Priority Scoring"/>
      <sheetName val="Individual FTC Cost View"/>
      <sheetName val="UK Allocation Driver"/>
      <sheetName val="◄Bus. Case Views | FWB Views►"/>
      <sheetName val="Long Form Output"/>
      <sheetName val="Short Form Output"/>
      <sheetName val="Charts"/>
      <sheetName val="◄FWB Views | P2P►"/>
      <sheetName val="POs"/>
      <sheetName val="Invoices"/>
      <sheetName val="Accruals"/>
      <sheetName val="◄P2P | Drop Down Values►"/>
      <sheetName val="Roles by Org"/>
      <sheetName val="Cost Drop Down Values"/>
      <sheetName val="Benefits Drop Down Values"/>
      <sheetName val="Miscellaneous"/>
      <sheetName val="Links"/>
      <sheetName val="Cntl Tables"/>
      <sheetName val="INV_ID"/>
      <sheetName val="SAP Order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218.533168402777" createdVersion="6" refreshedVersion="6" minRefreshableVersion="3" recordCount="18" xr:uid="{C567159C-9989-412D-898F-50F8701963A9}">
  <cacheSource type="worksheet">
    <worksheetSource ref="B91:Q109" sheet="Business Case Summary"/>
  </cacheSource>
  <cacheFields count="16">
    <cacheField name="Delivery Center / Function" numFmtId="182">
      <sharedItems/>
    </cacheField>
    <cacheField name="Signoff Lead" numFmtId="182">
      <sharedItems containsMixedTypes="1" containsNumber="1" containsInteger="1" minValue="0" maxValue="0"/>
    </cacheField>
    <cacheField name="Benefits Details" numFmtId="182">
      <sharedItems/>
    </cacheField>
    <cacheField name="Accounting Type" numFmtId="182">
      <sharedItems count="3">
        <s v="Opex"/>
        <s v="Capex"/>
        <s v="RTB"/>
      </sharedItems>
    </cacheField>
    <cacheField name="Year 1" numFmtId="182">
      <sharedItems containsSemiMixedTypes="0" containsString="0" containsNumber="1" containsInteger="1" minValue="0" maxValue="0"/>
    </cacheField>
    <cacheField name="Year 2" numFmtId="182">
      <sharedItems containsSemiMixedTypes="0" containsString="0" containsNumber="1" containsInteger="1" minValue="0" maxValue="0"/>
    </cacheField>
    <cacheField name="Year 3" numFmtId="182">
      <sharedItems containsSemiMixedTypes="0" containsString="0" containsNumber="1" containsInteger="1" minValue="0" maxValue="0"/>
    </cacheField>
    <cacheField name="Year 4" numFmtId="182">
      <sharedItems containsSemiMixedTypes="0" containsString="0" containsNumber="1" containsInteger="1" minValue="0" maxValue="0"/>
    </cacheField>
    <cacheField name="Year 5" numFmtId="182">
      <sharedItems containsSemiMixedTypes="0" containsString="0" containsNumber="1" containsInteger="1" minValue="0" maxValue="0"/>
    </cacheField>
    <cacheField name="Year 6" numFmtId="182">
      <sharedItems containsSemiMixedTypes="0" containsString="0" containsNumber="1" containsInteger="1" minValue="0" maxValue="0"/>
    </cacheField>
    <cacheField name="Year 7" numFmtId="182">
      <sharedItems containsSemiMixedTypes="0" containsString="0" containsNumber="1" containsInteger="1" minValue="0" maxValue="0"/>
    </cacheField>
    <cacheField name="Year 8" numFmtId="182">
      <sharedItems containsSemiMixedTypes="0" containsString="0" containsNumber="1" containsInteger="1" minValue="0" maxValue="0"/>
    </cacheField>
    <cacheField name="Year 9" numFmtId="182">
      <sharedItems containsSemiMixedTypes="0" containsString="0" containsNumber="1" containsInteger="1" minValue="0" maxValue="0"/>
    </cacheField>
    <cacheField name="Year 10" numFmtId="182">
      <sharedItems containsSemiMixedTypes="0" containsString="0" containsNumber="1" containsInteger="1" minValue="0" maxValue="0"/>
    </cacheField>
    <cacheField name="Year 11" numFmtId="182">
      <sharedItems containsSemiMixedTypes="0" containsString="0" containsNumber="1" containsInteger="1" minValue="0" maxValue="0"/>
    </cacheField>
    <cacheField name="Total" numFmtId="182">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uthor" refreshedDate="44319.675400347223" missingItemsLimit="0" createdVersion="6" refreshedVersion="6" minRefreshableVersion="3" recordCount="255" xr:uid="{0104F5A2-DDB5-47A0-8D8B-E8300E38A540}">
  <cacheSource type="worksheet">
    <worksheetSource ref="G2:G1048576" sheet="POs"/>
  </cacheSource>
  <cacheFields count="1">
    <cacheField name="Work Request No."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uthor" refreshedDate="44319.675400810185" missingItemsLimit="0" createdVersion="6" refreshedVersion="6" minRefreshableVersion="3" recordCount="447" xr:uid="{A6AC5152-4881-4699-9A80-8FD2F0FDAA0C}">
  <cacheSource type="worksheet">
    <worksheetSource ref="AB2:AR449" sheet="Individual FTC Cost View"/>
  </cacheSource>
  <cacheFields count="17">
    <cacheField name="Delivery Center" numFmtId="0">
      <sharedItems count="2">
        <s v="Architecture"/>
        <s v=""/>
      </sharedItems>
    </cacheField>
    <cacheField name="Category" numFmtId="0">
      <sharedItems count="3">
        <s v="Architecture_Interfaces"/>
        <s v=""/>
        <s v="Ongoing Costs"/>
      </sharedItems>
    </cacheField>
    <cacheField name="Detail" numFmtId="0">
      <sharedItems count="23">
        <s v="Labor"/>
        <s v=""/>
        <s v="App Support - IBM"/>
        <s v="App Support - Wipro"/>
        <s v="App Support - TCS"/>
        <s v="App Support - Capgemini"/>
        <s v="App Support - Other"/>
        <s v="COE Support - NG "/>
        <s v="Telcom/Network Services - Verizon"/>
        <s v="Telcom/Network Services - Other"/>
        <s v="Client Services (Laptops, Desktops, etc)"/>
        <s v="Managed Hosting Services - DXC"/>
        <s v="Managed Hosting Services - Syntax"/>
        <s v="Managed Hosting Services - Other"/>
        <s v="Cloud Core Infrastructure Costs "/>
        <s v="Cloud Core Infrastructure Support "/>
        <s v="Cloud Infrastructure Hosting Costs (per app) "/>
        <s v="Cloud Infrastructure Support Costs (per app)"/>
        <s v="DaaS Infrastructure Hosting Costs  "/>
        <s v="DaaS Infrastructure Support Costs "/>
        <s v="3rd Party Software Support &amp; Maintenance"/>
        <s v="Software Subscription License"/>
        <s v="SaaS software license costs"/>
      </sharedItems>
    </cacheField>
    <cacheField name="Signoff Lead" numFmtId="0">
      <sharedItems count="2">
        <s v="Lisa Pratico"/>
        <s v=""/>
      </sharedItems>
    </cacheField>
    <cacheField name="Accounting Type" numFmtId="0">
      <sharedItems count="3">
        <s v="Capex"/>
        <s v=""/>
        <s v="RTB"/>
      </sharedItems>
    </cacheField>
    <cacheField name="Year 1" numFmtId="182">
      <sharedItems containsSemiMixedTypes="0" containsString="0" containsNumber="1" containsInteger="1" minValue="0" maxValue="0"/>
    </cacheField>
    <cacheField name="Year 2" numFmtId="182">
      <sharedItems containsSemiMixedTypes="0" containsString="0" containsNumber="1" containsInteger="1" minValue="0" maxValue="0"/>
    </cacheField>
    <cacheField name="Year 3" numFmtId="182">
      <sharedItems containsSemiMixedTypes="0" containsString="0" containsNumber="1" containsInteger="1" minValue="0" maxValue="0"/>
    </cacheField>
    <cacheField name="Year 4" numFmtId="182">
      <sharedItems containsSemiMixedTypes="0" containsString="0" containsNumber="1" containsInteger="1" minValue="0" maxValue="0"/>
    </cacheField>
    <cacheField name="Year 5" numFmtId="182">
      <sharedItems containsSemiMixedTypes="0" containsString="0" containsNumber="1" containsInteger="1" minValue="0" maxValue="0"/>
    </cacheField>
    <cacheField name="Year 6" numFmtId="182">
      <sharedItems containsSemiMixedTypes="0" containsString="0" containsNumber="1" containsInteger="1" minValue="0" maxValue="0"/>
    </cacheField>
    <cacheField name="Year 7" numFmtId="182">
      <sharedItems containsString="0" containsBlank="1" containsNumber="1" containsInteger="1" minValue="0" maxValue="0"/>
    </cacheField>
    <cacheField name="Year 8" numFmtId="182">
      <sharedItems containsString="0" containsBlank="1" containsNumber="1" containsInteger="1" minValue="0" maxValue="0"/>
    </cacheField>
    <cacheField name="Year 9" numFmtId="182">
      <sharedItems containsString="0" containsBlank="1" containsNumber="1" containsInteger="1" minValue="0" maxValue="0"/>
    </cacheField>
    <cacheField name="Year 10" numFmtId="182">
      <sharedItems containsString="0" containsBlank="1" containsNumber="1" containsInteger="1" minValue="0" maxValue="0"/>
    </cacheField>
    <cacheField name="Year 11" numFmtId="182">
      <sharedItems containsString="0" containsBlank="1" containsNumber="1" containsInteger="1" minValue="0" maxValue="0"/>
    </cacheField>
    <cacheField name="Total" numFmtId="182">
      <sharedItems containsSemiMixedTypes="0" containsString="0" containsNumber="1" containsInteger="1" minValue="0" maxValue="0"/>
    </cacheField>
  </cacheFields>
  <extLst>
    <ext xmlns:x14="http://schemas.microsoft.com/office/spreadsheetml/2009/9/main" uri="{725AE2AE-9491-48be-B2B4-4EB974FC3084}">
      <x14:pivotCacheDefinition pivotCacheId="18009986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uthor" refreshedDate="44319.675402314817" missingItemsLimit="0" createdVersion="6" refreshedVersion="6" minRefreshableVersion="3" recordCount="250" xr:uid="{C2826B2A-1709-42EE-93FA-A771624EAB34}">
  <cacheSource type="worksheet">
    <worksheetSource ref="G2:K252" sheet="POs"/>
  </cacheSource>
  <cacheFields count="5">
    <cacheField name="Work Request No." numFmtId="0">
      <sharedItems containsNonDate="0" containsString="0" containsBlank="1" count="1">
        <m/>
      </sharedItems>
    </cacheField>
    <cacheField name="PO Number" numFmtId="0">
      <sharedItems containsNonDate="0" containsString="0" containsBlank="1" count="1">
        <m/>
      </sharedItems>
    </cacheField>
    <cacheField name="Doc Status" numFmtId="0">
      <sharedItems containsNonDate="0" containsString="0" containsBlank="1"/>
    </cacheField>
    <cacheField name="Vendor Number" numFmtId="0">
      <sharedItems containsNonDate="0" containsString="0" containsBlank="1"/>
    </cacheField>
    <cacheField name="Vendor Name"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
  <r>
    <s v="Business"/>
    <n v="0"/>
    <s v="Cost Avoidance"/>
    <x v="0"/>
    <n v="0"/>
    <n v="0"/>
    <n v="0"/>
    <n v="0"/>
    <n v="0"/>
    <n v="0"/>
    <n v="0"/>
    <n v="0"/>
    <n v="0"/>
    <n v="0"/>
    <n v="0"/>
    <n v="0"/>
  </r>
  <r>
    <s v="Business"/>
    <n v="0"/>
    <s v="Cost Avoidance"/>
    <x v="1"/>
    <n v="0"/>
    <n v="0"/>
    <n v="0"/>
    <n v="0"/>
    <n v="0"/>
    <n v="0"/>
    <n v="0"/>
    <n v="0"/>
    <n v="0"/>
    <n v="0"/>
    <n v="0"/>
    <n v="0"/>
  </r>
  <r>
    <s v="Business"/>
    <n v="0"/>
    <s v="Limit Customer Bill Increase"/>
    <x v="0"/>
    <n v="0"/>
    <n v="0"/>
    <n v="0"/>
    <n v="0"/>
    <n v="0"/>
    <n v="0"/>
    <n v="0"/>
    <n v="0"/>
    <n v="0"/>
    <n v="0"/>
    <n v="0"/>
    <n v="0"/>
  </r>
  <r>
    <s v="Business"/>
    <n v="0"/>
    <s v="Limit Customer Bill Increase"/>
    <x v="1"/>
    <n v="0"/>
    <n v="0"/>
    <n v="0"/>
    <n v="0"/>
    <n v="0"/>
    <n v="0"/>
    <n v="0"/>
    <n v="0"/>
    <n v="0"/>
    <n v="0"/>
    <n v="0"/>
    <n v="0"/>
  </r>
  <r>
    <s v="Business"/>
    <n v="0"/>
    <s v="Penalty/fines reduction"/>
    <x v="0"/>
    <n v="0"/>
    <n v="0"/>
    <n v="0"/>
    <n v="0"/>
    <n v="0"/>
    <n v="0"/>
    <n v="0"/>
    <n v="0"/>
    <n v="0"/>
    <n v="0"/>
    <n v="0"/>
    <n v="0"/>
  </r>
  <r>
    <s v="Business"/>
    <n v="0"/>
    <s v="Penalty/fines reduction"/>
    <x v="1"/>
    <n v="0"/>
    <n v="0"/>
    <n v="0"/>
    <n v="0"/>
    <n v="0"/>
    <n v="0"/>
    <n v="0"/>
    <n v="0"/>
    <n v="0"/>
    <n v="0"/>
    <n v="0"/>
    <n v="0"/>
  </r>
  <r>
    <s v="Business"/>
    <n v="0"/>
    <s v="Revenue improvements"/>
    <x v="0"/>
    <n v="0"/>
    <n v="0"/>
    <n v="0"/>
    <n v="0"/>
    <n v="0"/>
    <n v="0"/>
    <n v="0"/>
    <n v="0"/>
    <n v="0"/>
    <n v="0"/>
    <n v="0"/>
    <n v="0"/>
  </r>
  <r>
    <s v="Business"/>
    <n v="0"/>
    <s v="Revenue improvements"/>
    <x v="1"/>
    <n v="0"/>
    <n v="0"/>
    <n v="0"/>
    <n v="0"/>
    <n v="0"/>
    <n v="0"/>
    <n v="0"/>
    <n v="0"/>
    <n v="0"/>
    <n v="0"/>
    <n v="0"/>
    <n v="0"/>
  </r>
  <r>
    <s v="Business"/>
    <n v="0"/>
    <s v="Reduced Business Costs"/>
    <x v="2"/>
    <n v="0"/>
    <n v="0"/>
    <n v="0"/>
    <n v="0"/>
    <n v="0"/>
    <n v="0"/>
    <n v="0"/>
    <n v="0"/>
    <n v="0"/>
    <n v="0"/>
    <n v="0"/>
    <n v="0"/>
  </r>
  <r>
    <s v="Infra_Operations"/>
    <s v="Shannon Soland"/>
    <s v="IT Bus App Services"/>
    <x v="2"/>
    <n v="0"/>
    <n v="0"/>
    <n v="0"/>
    <n v="0"/>
    <n v="0"/>
    <n v="0"/>
    <n v="0"/>
    <n v="0"/>
    <n v="0"/>
    <n v="0"/>
    <n v="0"/>
    <n v="0"/>
  </r>
  <r>
    <s v="Infra_Operations"/>
    <s v="Shannon Soland"/>
    <s v="IT Network Infra Services"/>
    <x v="2"/>
    <n v="0"/>
    <n v="0"/>
    <n v="0"/>
    <n v="0"/>
    <n v="0"/>
    <n v="0"/>
    <n v="0"/>
    <n v="0"/>
    <n v="0"/>
    <n v="0"/>
    <n v="0"/>
    <n v="0"/>
  </r>
  <r>
    <s v="Infra_Operations"/>
    <s v="Shannon Soland"/>
    <s v="IT End User &amp; Collab Services"/>
    <x v="2"/>
    <n v="0"/>
    <n v="0"/>
    <n v="0"/>
    <n v="0"/>
    <n v="0"/>
    <n v="0"/>
    <n v="0"/>
    <n v="0"/>
    <n v="0"/>
    <n v="0"/>
    <n v="0"/>
    <n v="0"/>
  </r>
  <r>
    <s v="Infra_Operations"/>
    <s v="Shannon Soland"/>
    <s v="IT Cloud &amp; Hosting Services"/>
    <x v="2"/>
    <n v="0"/>
    <n v="0"/>
    <n v="0"/>
    <n v="0"/>
    <n v="0"/>
    <n v="0"/>
    <n v="0"/>
    <n v="0"/>
    <n v="0"/>
    <n v="0"/>
    <n v="0"/>
    <n v="0"/>
  </r>
  <r>
    <s v="Software"/>
    <s v="John Conley"/>
    <s v="IT Commercial"/>
    <x v="2"/>
    <n v="0"/>
    <n v="0"/>
    <n v="0"/>
    <n v="0"/>
    <n v="0"/>
    <n v="0"/>
    <n v="0"/>
    <n v="0"/>
    <n v="0"/>
    <n v="0"/>
    <n v="0"/>
    <n v="0"/>
  </r>
  <r>
    <s v="Security"/>
    <s v="Simon Jenner "/>
    <s v="IT Security"/>
    <x v="2"/>
    <n v="0"/>
    <n v="0"/>
    <n v="0"/>
    <n v="0"/>
    <n v="0"/>
    <n v="0"/>
    <n v="0"/>
    <n v="0"/>
    <n v="0"/>
    <n v="0"/>
    <n v="0"/>
    <n v="0"/>
  </r>
  <r>
    <s v="AppDevelopment"/>
    <e v="#N/A"/>
    <s v="GSE"/>
    <x v="2"/>
    <n v="0"/>
    <n v="0"/>
    <n v="0"/>
    <n v="0"/>
    <n v="0"/>
    <n v="0"/>
    <n v="0"/>
    <n v="0"/>
    <n v="0"/>
    <n v="0"/>
    <n v="0"/>
    <n v="0"/>
  </r>
  <r>
    <s v="CNI"/>
    <s v="Steve Olive"/>
    <s v="CNI"/>
    <x v="2"/>
    <n v="0"/>
    <n v="0"/>
    <n v="0"/>
    <n v="0"/>
    <n v="0"/>
    <n v="0"/>
    <n v="0"/>
    <n v="0"/>
    <n v="0"/>
    <n v="0"/>
    <n v="0"/>
    <n v="0"/>
  </r>
  <r>
    <s v="Other"/>
    <s v="Steve Olive"/>
    <s v="Other"/>
    <x v="2"/>
    <n v="0"/>
    <n v="0"/>
    <n v="0"/>
    <n v="0"/>
    <n v="0"/>
    <n v="0"/>
    <n v="0"/>
    <n v="0"/>
    <n v="0"/>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7">
  <r>
    <x v="0"/>
    <x v="0"/>
    <x v="0"/>
    <x v="0"/>
    <x v="0"/>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m/>
    <m/>
    <m/>
    <m/>
    <m/>
    <n v="0"/>
  </r>
  <r>
    <x v="1"/>
    <x v="1"/>
    <x v="0"/>
    <x v="1"/>
    <x v="1"/>
    <n v="0"/>
    <n v="0"/>
    <n v="0"/>
    <n v="0"/>
    <n v="0"/>
    <n v="0"/>
    <m/>
    <m/>
    <m/>
    <m/>
    <m/>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0"/>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1"/>
    <x v="1"/>
    <x v="1"/>
    <x v="1"/>
    <n v="0"/>
    <n v="0"/>
    <n v="0"/>
    <n v="0"/>
    <n v="0"/>
    <n v="0"/>
    <n v="0"/>
    <n v="0"/>
    <n v="0"/>
    <n v="0"/>
    <n v="0"/>
    <n v="0"/>
  </r>
  <r>
    <x v="1"/>
    <x v="2"/>
    <x v="2"/>
    <x v="1"/>
    <x v="2"/>
    <n v="0"/>
    <n v="0"/>
    <n v="0"/>
    <n v="0"/>
    <n v="0"/>
    <n v="0"/>
    <n v="0"/>
    <n v="0"/>
    <n v="0"/>
    <n v="0"/>
    <n v="0"/>
    <n v="0"/>
  </r>
  <r>
    <x v="1"/>
    <x v="2"/>
    <x v="3"/>
    <x v="1"/>
    <x v="2"/>
    <n v="0"/>
    <n v="0"/>
    <n v="0"/>
    <n v="0"/>
    <n v="0"/>
    <n v="0"/>
    <n v="0"/>
    <n v="0"/>
    <n v="0"/>
    <n v="0"/>
    <n v="0"/>
    <n v="0"/>
  </r>
  <r>
    <x v="1"/>
    <x v="2"/>
    <x v="4"/>
    <x v="1"/>
    <x v="2"/>
    <n v="0"/>
    <n v="0"/>
    <n v="0"/>
    <n v="0"/>
    <n v="0"/>
    <n v="0"/>
    <n v="0"/>
    <n v="0"/>
    <n v="0"/>
    <n v="0"/>
    <n v="0"/>
    <n v="0"/>
  </r>
  <r>
    <x v="1"/>
    <x v="2"/>
    <x v="5"/>
    <x v="1"/>
    <x v="2"/>
    <n v="0"/>
    <n v="0"/>
    <n v="0"/>
    <n v="0"/>
    <n v="0"/>
    <n v="0"/>
    <n v="0"/>
    <n v="0"/>
    <n v="0"/>
    <n v="0"/>
    <n v="0"/>
    <n v="0"/>
  </r>
  <r>
    <x v="1"/>
    <x v="2"/>
    <x v="6"/>
    <x v="1"/>
    <x v="2"/>
    <n v="0"/>
    <n v="0"/>
    <n v="0"/>
    <n v="0"/>
    <n v="0"/>
    <n v="0"/>
    <n v="0"/>
    <n v="0"/>
    <n v="0"/>
    <n v="0"/>
    <n v="0"/>
    <n v="0"/>
  </r>
  <r>
    <x v="1"/>
    <x v="2"/>
    <x v="7"/>
    <x v="1"/>
    <x v="2"/>
    <n v="0"/>
    <n v="0"/>
    <n v="0"/>
    <n v="0"/>
    <n v="0"/>
    <n v="0"/>
    <n v="0"/>
    <n v="0"/>
    <n v="0"/>
    <n v="0"/>
    <n v="0"/>
    <n v="0"/>
  </r>
  <r>
    <x v="1"/>
    <x v="2"/>
    <x v="8"/>
    <x v="1"/>
    <x v="2"/>
    <n v="0"/>
    <n v="0"/>
    <n v="0"/>
    <n v="0"/>
    <n v="0"/>
    <n v="0"/>
    <n v="0"/>
    <n v="0"/>
    <n v="0"/>
    <n v="0"/>
    <n v="0"/>
    <n v="0"/>
  </r>
  <r>
    <x v="1"/>
    <x v="2"/>
    <x v="9"/>
    <x v="1"/>
    <x v="2"/>
    <n v="0"/>
    <n v="0"/>
    <n v="0"/>
    <n v="0"/>
    <n v="0"/>
    <n v="0"/>
    <n v="0"/>
    <n v="0"/>
    <n v="0"/>
    <n v="0"/>
    <n v="0"/>
    <n v="0"/>
  </r>
  <r>
    <x v="1"/>
    <x v="2"/>
    <x v="10"/>
    <x v="1"/>
    <x v="2"/>
    <n v="0"/>
    <n v="0"/>
    <n v="0"/>
    <n v="0"/>
    <n v="0"/>
    <n v="0"/>
    <n v="0"/>
    <n v="0"/>
    <n v="0"/>
    <n v="0"/>
    <n v="0"/>
    <n v="0"/>
  </r>
  <r>
    <x v="1"/>
    <x v="2"/>
    <x v="11"/>
    <x v="1"/>
    <x v="2"/>
    <n v="0"/>
    <n v="0"/>
    <n v="0"/>
    <n v="0"/>
    <n v="0"/>
    <n v="0"/>
    <n v="0"/>
    <n v="0"/>
    <n v="0"/>
    <n v="0"/>
    <n v="0"/>
    <n v="0"/>
  </r>
  <r>
    <x v="1"/>
    <x v="2"/>
    <x v="12"/>
    <x v="1"/>
    <x v="2"/>
    <n v="0"/>
    <n v="0"/>
    <n v="0"/>
    <n v="0"/>
    <n v="0"/>
    <n v="0"/>
    <n v="0"/>
    <n v="0"/>
    <n v="0"/>
    <n v="0"/>
    <n v="0"/>
    <n v="0"/>
  </r>
  <r>
    <x v="1"/>
    <x v="2"/>
    <x v="13"/>
    <x v="1"/>
    <x v="2"/>
    <n v="0"/>
    <n v="0"/>
    <n v="0"/>
    <n v="0"/>
    <n v="0"/>
    <n v="0"/>
    <n v="0"/>
    <n v="0"/>
    <n v="0"/>
    <n v="0"/>
    <n v="0"/>
    <n v="0"/>
  </r>
  <r>
    <x v="1"/>
    <x v="2"/>
    <x v="14"/>
    <x v="1"/>
    <x v="2"/>
    <n v="0"/>
    <n v="0"/>
    <n v="0"/>
    <n v="0"/>
    <n v="0"/>
    <n v="0"/>
    <n v="0"/>
    <n v="0"/>
    <n v="0"/>
    <n v="0"/>
    <n v="0"/>
    <n v="0"/>
  </r>
  <r>
    <x v="1"/>
    <x v="2"/>
    <x v="15"/>
    <x v="1"/>
    <x v="2"/>
    <n v="0"/>
    <n v="0"/>
    <n v="0"/>
    <n v="0"/>
    <n v="0"/>
    <n v="0"/>
    <n v="0"/>
    <n v="0"/>
    <n v="0"/>
    <n v="0"/>
    <n v="0"/>
    <n v="0"/>
  </r>
  <r>
    <x v="1"/>
    <x v="2"/>
    <x v="16"/>
    <x v="1"/>
    <x v="2"/>
    <n v="0"/>
    <n v="0"/>
    <n v="0"/>
    <n v="0"/>
    <n v="0"/>
    <n v="0"/>
    <n v="0"/>
    <n v="0"/>
    <n v="0"/>
    <n v="0"/>
    <n v="0"/>
    <n v="0"/>
  </r>
  <r>
    <x v="1"/>
    <x v="2"/>
    <x v="17"/>
    <x v="1"/>
    <x v="2"/>
    <n v="0"/>
    <n v="0"/>
    <n v="0"/>
    <n v="0"/>
    <n v="0"/>
    <n v="0"/>
    <n v="0"/>
    <n v="0"/>
    <n v="0"/>
    <n v="0"/>
    <n v="0"/>
    <n v="0"/>
  </r>
  <r>
    <x v="1"/>
    <x v="2"/>
    <x v="18"/>
    <x v="1"/>
    <x v="2"/>
    <n v="0"/>
    <n v="0"/>
    <n v="0"/>
    <n v="0"/>
    <n v="0"/>
    <n v="0"/>
    <n v="0"/>
    <n v="0"/>
    <n v="0"/>
    <n v="0"/>
    <n v="0"/>
    <n v="0"/>
  </r>
  <r>
    <x v="1"/>
    <x v="2"/>
    <x v="19"/>
    <x v="1"/>
    <x v="2"/>
    <n v="0"/>
    <n v="0"/>
    <n v="0"/>
    <n v="0"/>
    <n v="0"/>
    <n v="0"/>
    <n v="0"/>
    <n v="0"/>
    <n v="0"/>
    <n v="0"/>
    <n v="0"/>
    <n v="0"/>
  </r>
  <r>
    <x v="1"/>
    <x v="2"/>
    <x v="20"/>
    <x v="1"/>
    <x v="2"/>
    <n v="0"/>
    <n v="0"/>
    <n v="0"/>
    <n v="0"/>
    <n v="0"/>
    <n v="0"/>
    <n v="0"/>
    <n v="0"/>
    <n v="0"/>
    <n v="0"/>
    <n v="0"/>
    <n v="0"/>
  </r>
  <r>
    <x v="1"/>
    <x v="2"/>
    <x v="21"/>
    <x v="1"/>
    <x v="2"/>
    <n v="0"/>
    <n v="0"/>
    <n v="0"/>
    <n v="0"/>
    <n v="0"/>
    <n v="0"/>
    <n v="0"/>
    <n v="0"/>
    <n v="0"/>
    <n v="0"/>
    <n v="0"/>
    <n v="0"/>
  </r>
  <r>
    <x v="1"/>
    <x v="2"/>
    <x v="22"/>
    <x v="1"/>
    <x v="2"/>
    <n v="0"/>
    <n v="0"/>
    <n v="0"/>
    <n v="0"/>
    <n v="0"/>
    <n v="0"/>
    <n v="0"/>
    <n v="0"/>
    <n v="0"/>
    <n v="0"/>
    <n v="0"/>
    <n v="0"/>
  </r>
  <r>
    <x v="1"/>
    <x v="2"/>
    <x v="1"/>
    <x v="1"/>
    <x v="2"/>
    <n v="0"/>
    <n v="0"/>
    <n v="0"/>
    <n v="0"/>
    <n v="0"/>
    <n v="0"/>
    <n v="0"/>
    <n v="0"/>
    <n v="0"/>
    <n v="0"/>
    <n v="0"/>
    <n v="0"/>
  </r>
  <r>
    <x v="1"/>
    <x v="2"/>
    <x v="1"/>
    <x v="1"/>
    <x v="2"/>
    <n v="0"/>
    <n v="0"/>
    <n v="0"/>
    <n v="0"/>
    <n v="0"/>
    <n v="0"/>
    <n v="0"/>
    <n v="0"/>
    <n v="0"/>
    <n v="0"/>
    <n v="0"/>
    <n v="0"/>
  </r>
  <r>
    <x v="1"/>
    <x v="2"/>
    <x v="1"/>
    <x v="1"/>
    <x v="2"/>
    <n v="0"/>
    <n v="0"/>
    <n v="0"/>
    <n v="0"/>
    <n v="0"/>
    <n v="0"/>
    <n v="0"/>
    <n v="0"/>
    <n v="0"/>
    <n v="0"/>
    <n v="0"/>
    <n v="0"/>
  </r>
  <r>
    <x v="1"/>
    <x v="2"/>
    <x v="1"/>
    <x v="1"/>
    <x v="2"/>
    <n v="0"/>
    <n v="0"/>
    <n v="0"/>
    <n v="0"/>
    <n v="0"/>
    <n v="0"/>
    <n v="0"/>
    <n v="0"/>
    <n v="0"/>
    <n v="0"/>
    <n v="0"/>
    <n v="0"/>
  </r>
  <r>
    <x v="1"/>
    <x v="2"/>
    <x v="1"/>
    <x v="1"/>
    <x v="2"/>
    <n v="0"/>
    <n v="0"/>
    <n v="0"/>
    <n v="0"/>
    <n v="0"/>
    <n v="0"/>
    <n v="0"/>
    <n v="0"/>
    <n v="0"/>
    <n v="0"/>
    <n v="0"/>
    <n v="0"/>
  </r>
  <r>
    <x v="1"/>
    <x v="2"/>
    <x v="1"/>
    <x v="1"/>
    <x v="2"/>
    <n v="0"/>
    <n v="0"/>
    <n v="0"/>
    <n v="0"/>
    <n v="0"/>
    <n v="0"/>
    <n v="0"/>
    <n v="0"/>
    <n v="0"/>
    <n v="0"/>
    <n v="0"/>
    <n v="0"/>
  </r>
  <r>
    <x v="1"/>
    <x v="2"/>
    <x v="1"/>
    <x v="1"/>
    <x v="2"/>
    <n v="0"/>
    <n v="0"/>
    <n v="0"/>
    <n v="0"/>
    <n v="0"/>
    <n v="0"/>
    <n v="0"/>
    <n v="0"/>
    <n v="0"/>
    <n v="0"/>
    <n v="0"/>
    <n v="0"/>
  </r>
  <r>
    <x v="1"/>
    <x v="2"/>
    <x v="1"/>
    <x v="1"/>
    <x v="2"/>
    <n v="0"/>
    <n v="0"/>
    <n v="0"/>
    <n v="0"/>
    <n v="0"/>
    <n v="0"/>
    <n v="0"/>
    <n v="0"/>
    <n v="0"/>
    <n v="0"/>
    <n v="0"/>
    <n v="0"/>
  </r>
  <r>
    <x v="1"/>
    <x v="2"/>
    <x v="1"/>
    <x v="1"/>
    <x v="2"/>
    <n v="0"/>
    <n v="0"/>
    <n v="0"/>
    <n v="0"/>
    <n v="0"/>
    <n v="0"/>
    <n v="0"/>
    <n v="0"/>
    <n v="0"/>
    <n v="0"/>
    <n v="0"/>
    <n v="0"/>
  </r>
  <r>
    <x v="1"/>
    <x v="2"/>
    <x v="1"/>
    <x v="1"/>
    <x v="2"/>
    <n v="0"/>
    <n v="0"/>
    <n v="0"/>
    <n v="0"/>
    <n v="0"/>
    <n v="0"/>
    <n v="0"/>
    <n v="0"/>
    <n v="0"/>
    <n v="0"/>
    <n v="0"/>
    <n v="0"/>
  </r>
  <r>
    <x v="1"/>
    <x v="2"/>
    <x v="1"/>
    <x v="1"/>
    <x v="2"/>
    <n v="0"/>
    <n v="0"/>
    <n v="0"/>
    <n v="0"/>
    <n v="0"/>
    <n v="0"/>
    <n v="0"/>
    <n v="0"/>
    <n v="0"/>
    <n v="0"/>
    <n v="0"/>
    <n v="0"/>
  </r>
  <r>
    <x v="1"/>
    <x v="2"/>
    <x v="1"/>
    <x v="1"/>
    <x v="2"/>
    <n v="0"/>
    <n v="0"/>
    <n v="0"/>
    <n v="0"/>
    <n v="0"/>
    <n v="0"/>
    <n v="0"/>
    <n v="0"/>
    <n v="0"/>
    <n v="0"/>
    <n v="0"/>
    <n v="0"/>
  </r>
  <r>
    <x v="1"/>
    <x v="2"/>
    <x v="1"/>
    <x v="1"/>
    <x v="2"/>
    <n v="0"/>
    <n v="0"/>
    <n v="0"/>
    <n v="0"/>
    <n v="0"/>
    <n v="0"/>
    <n v="0"/>
    <n v="0"/>
    <n v="0"/>
    <n v="0"/>
    <n v="0"/>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r>
    <x v="0"/>
    <x v="0"/>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71610D-6BB8-4874-AADA-577B8C2EF93A}" name="PivotTable3" cacheId="2" applyNumberFormats="0" applyBorderFormats="0" applyFontFormats="0" applyPatternFormats="0" applyAlignmentFormats="0" applyWidthHeightFormats="1" dataCaption="Values" grandTotalCaption="TOTAL (TOTEX)" updatedVersion="6" minRefreshableVersion="3" showDrill="0" itemPrintTitles="1" createdVersion="6" indent="0" compact="0" compactData="0" multipleFieldFilters="0">
  <location ref="E69:Q71" firstHeaderRow="0" firstDataRow="1" firstDataCol="1"/>
  <pivotFields count="17">
    <pivotField compact="0" outline="0" showAll="0"/>
    <pivotField compact="0" outline="0" showAll="0"/>
    <pivotField compact="0" outline="0" showAll="0"/>
    <pivotField compact="0" outline="0" showAll="0"/>
    <pivotField axis="axisRow" compact="0" outline="0" showAll="0">
      <items count="4">
        <item h="1" x="1"/>
        <item x="2"/>
        <item h="1" x="0"/>
        <item t="default"/>
      </items>
    </pivotField>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s>
  <rowFields count="1">
    <field x="4"/>
  </rowFields>
  <rowItems count="2">
    <i>
      <x v="1"/>
    </i>
    <i t="grand">
      <x/>
    </i>
  </rowItems>
  <colFields count="1">
    <field x="-2"/>
  </colFields>
  <colItems count="12">
    <i>
      <x/>
    </i>
    <i i="1">
      <x v="1"/>
    </i>
    <i i="2">
      <x v="2"/>
    </i>
    <i i="3">
      <x v="3"/>
    </i>
    <i i="4">
      <x v="4"/>
    </i>
    <i i="5">
      <x v="5"/>
    </i>
    <i i="6">
      <x v="6"/>
    </i>
    <i i="7">
      <x v="7"/>
    </i>
    <i i="8">
      <x v="8"/>
    </i>
    <i i="9">
      <x v="9"/>
    </i>
    <i i="10">
      <x v="10"/>
    </i>
    <i i="11">
      <x v="11"/>
    </i>
  </colItems>
  <dataFields count="12">
    <dataField name=" Year 1" fld="5" baseField="0" baseItem="0"/>
    <dataField name=" Year 2" fld="6" baseField="0" baseItem="0"/>
    <dataField name=" Year 3" fld="7" baseField="0" baseItem="0"/>
    <dataField name=" Year 4" fld="8" baseField="0" baseItem="0"/>
    <dataField name=" Year 5" fld="9" baseField="0" baseItem="0"/>
    <dataField name=" Year 6" fld="10" baseField="0" baseItem="0"/>
    <dataField name=" Year 7" fld="11" baseField="0" baseItem="0"/>
    <dataField name=" Year 8" fld="12" baseField="0" baseItem="0"/>
    <dataField name=" Year 9" fld="13" baseField="0" baseItem="0"/>
    <dataField name=" Year 10" fld="14" baseField="0" baseItem="0"/>
    <dataField name=" Year 11" fld="15" baseField="0" baseItem="0"/>
    <dataField name=" Total" fld="16" baseField="0" baseItem="0"/>
  </dataFields>
  <formats count="10">
    <format dxfId="563">
      <pivotArea type="all" dataOnly="0" outline="0" fieldPosition="0"/>
    </format>
    <format dxfId="562">
      <pivotArea outline="0" collapsedLevelsAreSubtotals="1" fieldPosition="0"/>
    </format>
    <format dxfId="561">
      <pivotArea field="4" type="button" dataOnly="0" labelOnly="1" outline="0" axis="axisRow" fieldPosition="0"/>
    </format>
    <format dxfId="560">
      <pivotArea dataOnly="0" labelOnly="1" fieldPosition="0">
        <references count="1">
          <reference field="4" count="0"/>
        </references>
      </pivotArea>
    </format>
    <format dxfId="559">
      <pivotArea dataOnly="0" labelOnly="1" grandRow="1" outline="0" fieldPosition="0"/>
    </format>
    <format dxfId="558">
      <pivotArea dataOnly="0" labelOnly="1" outline="0" fieldPosition="0">
        <references count="1">
          <reference field="4294967294" count="12">
            <x v="0"/>
            <x v="1"/>
            <x v="2"/>
            <x v="3"/>
            <x v="4"/>
            <x v="5"/>
            <x v="6"/>
            <x v="7"/>
            <x v="8"/>
            <x v="9"/>
            <x v="10"/>
            <x v="11"/>
          </reference>
        </references>
      </pivotArea>
    </format>
    <format dxfId="557">
      <pivotArea outline="0" collapsedLevelsAreSubtotals="1" fieldPosition="0"/>
    </format>
    <format dxfId="556">
      <pivotArea dataOnly="0" labelOnly="1" outline="0" fieldPosition="0">
        <references count="1">
          <reference field="4294967294" count="11">
            <x v="0"/>
            <x v="1"/>
            <x v="2"/>
            <x v="3"/>
            <x v="4"/>
            <x v="5"/>
            <x v="6"/>
            <x v="7"/>
            <x v="8"/>
            <x v="9"/>
            <x v="10"/>
          </reference>
        </references>
      </pivotArea>
    </format>
    <format dxfId="555">
      <pivotArea grandRow="1" outline="0" collapsedLevelsAreSubtotals="1" fieldPosition="0"/>
    </format>
    <format dxfId="554">
      <pivotArea dataOnly="0" labelOnly="1" grandRow="1" outline="0" fieldPosition="0"/>
    </format>
  </formats>
  <pivotTableStyleInfo name="PivotStyleMedium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D48FFF-01DD-4A8A-873B-F04E06F63B18}" name="PivotTable1" cacheId="2" applyNumberFormats="0" applyBorderFormats="0" applyFontFormats="0" applyPatternFormats="0" applyAlignmentFormats="0" applyWidthHeightFormats="1" dataCaption="Values" grandTotalCaption="TOTAL (TOTEX)" updatedVersion="6" minRefreshableVersion="3" showDrill="0" itemPrintTitles="1" createdVersion="6" indent="0" compact="0" compactData="0">
  <location ref="B25:Q29" firstHeaderRow="0" firstDataRow="1" firstDataCol="4"/>
  <pivotFields count="17">
    <pivotField axis="axisRow"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defaultSubtotal="0">
      <items count="3">
        <item x="1"/>
        <item x="2"/>
        <item x="0"/>
      </items>
      <extLst>
        <ext xmlns:x14="http://schemas.microsoft.com/office/spreadsheetml/2009/9/main" uri="{2946ED86-A175-432a-8AC1-64E0C546D7DE}">
          <x14:pivotField fillDownLabels="1"/>
        </ext>
      </extLst>
    </pivotField>
    <pivotField compact="0" outline="0" showAll="0"/>
    <pivotField axis="axisRow"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defaultSubtotal="0">
      <items count="3">
        <item x="1"/>
        <item x="2"/>
        <item x="0"/>
      </items>
      <extLst>
        <ext xmlns:x14="http://schemas.microsoft.com/office/spreadsheetml/2009/9/main" uri="{2946ED86-A175-432a-8AC1-64E0C546D7DE}">
          <x14:pivotField fillDownLabels="1"/>
        </ext>
      </extLst>
    </pivotField>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numFmtId="182" outline="0" showAll="0"/>
  </pivotFields>
  <rowFields count="4">
    <field x="0"/>
    <field x="3"/>
    <field x="1"/>
    <field x="4"/>
  </rowFields>
  <rowItems count="4">
    <i>
      <x/>
      <x/>
      <x/>
      <x/>
    </i>
    <i r="2">
      <x v="1"/>
      <x v="1"/>
    </i>
    <i>
      <x v="1"/>
      <x v="1"/>
      <x v="2"/>
      <x v="2"/>
    </i>
    <i t="grand">
      <x/>
    </i>
  </rowItems>
  <colFields count="1">
    <field x="-2"/>
  </colFields>
  <colItems count="12">
    <i>
      <x/>
    </i>
    <i i="1">
      <x v="1"/>
    </i>
    <i i="2">
      <x v="2"/>
    </i>
    <i i="3">
      <x v="3"/>
    </i>
    <i i="4">
      <x v="4"/>
    </i>
    <i i="5">
      <x v="5"/>
    </i>
    <i i="6">
      <x v="6"/>
    </i>
    <i i="7">
      <x v="7"/>
    </i>
    <i i="8">
      <x v="8"/>
    </i>
    <i i="9">
      <x v="9"/>
    </i>
    <i i="10">
      <x v="10"/>
    </i>
    <i i="11">
      <x v="11"/>
    </i>
  </colItems>
  <dataFields count="12">
    <dataField name=" Year 1" fld="5" baseField="0" baseItem="0"/>
    <dataField name=" Year 2" fld="6" baseField="0" baseItem="0"/>
    <dataField name=" Year 3" fld="7" baseField="0" baseItem="0"/>
    <dataField name=" Year 4" fld="8" baseField="0" baseItem="0"/>
    <dataField name=" Year 5" fld="9" baseField="0" baseItem="0"/>
    <dataField name=" Year 6" fld="10" baseField="0" baseItem="0"/>
    <dataField name=" Year 7" fld="11" baseField="0" baseItem="0"/>
    <dataField name=" Year 8" fld="12" baseField="0" baseItem="0"/>
    <dataField name=" Year 9" fld="13" baseField="0" baseItem="0"/>
    <dataField name=" Year 10" fld="14" baseField="0" baseItem="0"/>
    <dataField name=" Year 11" fld="15" baseField="0" baseItem="0"/>
    <dataField name=" Total" fld="16" baseField="0" baseItem="0"/>
  </dataFields>
  <formats count="23">
    <format dxfId="586">
      <pivotArea outline="0" collapsedLevelsAreSubtotals="1" fieldPosition="0"/>
    </format>
    <format dxfId="585">
      <pivotArea dataOnly="0" labelOnly="1" outline="0" fieldPosition="0">
        <references count="1">
          <reference field="0" count="0" defaultSubtotal="1"/>
        </references>
      </pivotArea>
    </format>
    <format dxfId="584">
      <pivotArea dataOnly="0" labelOnly="1" grandRow="1" outline="0" fieldPosition="0"/>
    </format>
    <format dxfId="583">
      <pivotArea dataOnly="0" labelOnly="1" outline="0" fieldPosition="0">
        <references count="2">
          <reference field="0" count="1" selected="0">
            <x v="0"/>
          </reference>
          <reference field="3" count="1">
            <x v="0"/>
          </reference>
        </references>
      </pivotArea>
    </format>
    <format dxfId="582">
      <pivotArea dataOnly="0" labelOnly="1" outline="0" fieldPosition="0">
        <references count="2">
          <reference field="0" count="1" selected="0">
            <x v="0"/>
          </reference>
          <reference field="3" count="1" defaultSubtotal="1">
            <x v="0"/>
          </reference>
        </references>
      </pivotArea>
    </format>
    <format dxfId="581">
      <pivotArea dataOnly="0" labelOnly="1" outline="0" fieldPosition="0">
        <references count="3">
          <reference field="0" count="1" selected="0">
            <x v="0"/>
          </reference>
          <reference field="1" count="2">
            <x v="0"/>
            <x v="1"/>
          </reference>
          <reference field="3" count="1" selected="0">
            <x v="0"/>
          </reference>
        </references>
      </pivotArea>
    </format>
    <format dxfId="580">
      <pivotArea dataOnly="0" labelOnly="1" outline="0" fieldPosition="0">
        <references count="3">
          <reference field="0" count="1" selected="0">
            <x v="0"/>
          </reference>
          <reference field="1" count="2" defaultSubtotal="1">
            <x v="0"/>
            <x v="1"/>
          </reference>
          <reference field="3" count="1" selected="0">
            <x v="0"/>
          </reference>
        </references>
      </pivotArea>
    </format>
    <format dxfId="579">
      <pivotArea dataOnly="0" labelOnly="1" outline="0" fieldPosition="0">
        <references count="4">
          <reference field="0" count="1" selected="0">
            <x v="0"/>
          </reference>
          <reference field="1" count="1" selected="0">
            <x v="0"/>
          </reference>
          <reference field="3" count="1" selected="0">
            <x v="0"/>
          </reference>
          <reference field="4" count="1">
            <x v="0"/>
          </reference>
        </references>
      </pivotArea>
    </format>
    <format dxfId="578">
      <pivotArea dataOnly="0" labelOnly="1" outline="0" fieldPosition="0">
        <references count="4">
          <reference field="0" count="1" selected="0">
            <x v="0"/>
          </reference>
          <reference field="1" count="1" selected="0">
            <x v="1"/>
          </reference>
          <reference field="3" count="1" selected="0">
            <x v="0"/>
          </reference>
          <reference field="4" count="1">
            <x v="1"/>
          </reference>
        </references>
      </pivotArea>
    </format>
    <format dxfId="577">
      <pivotArea outline="0" collapsedLevelsAreSubtotals="1" fieldPosition="0"/>
    </format>
    <format dxfId="576">
      <pivotArea dataOnly="0" labelOnly="1" outline="0" fieldPosition="0">
        <references count="1">
          <reference field="4294967294" count="12">
            <x v="0"/>
            <x v="1"/>
            <x v="2"/>
            <x v="3"/>
            <x v="4"/>
            <x v="5"/>
            <x v="6"/>
            <x v="7"/>
            <x v="8"/>
            <x v="9"/>
            <x v="10"/>
            <x v="11"/>
          </reference>
        </references>
      </pivotArea>
    </format>
    <format dxfId="575">
      <pivotArea dataOnly="0" labelOnly="1" outline="0" fieldPosition="0">
        <references count="1">
          <reference field="4294967294" count="12">
            <x v="0"/>
            <x v="1"/>
            <x v="2"/>
            <x v="3"/>
            <x v="4"/>
            <x v="5"/>
            <x v="6"/>
            <x v="7"/>
            <x v="8"/>
            <x v="9"/>
            <x v="10"/>
            <x v="11"/>
          </reference>
        </references>
      </pivotArea>
    </format>
    <format dxfId="574">
      <pivotArea grandRow="1" outline="0" collapsedLevelsAreSubtotals="1" fieldPosition="0"/>
    </format>
    <format dxfId="573">
      <pivotArea dataOnly="0" labelOnly="1" grandRow="1" outline="0" fieldPosition="0"/>
    </format>
    <format dxfId="572">
      <pivotArea type="all" dataOnly="0" outline="0" fieldPosition="0"/>
    </format>
    <format dxfId="571">
      <pivotArea outline="0" collapsedLevelsAreSubtotals="1" fieldPosition="0"/>
    </format>
    <format dxfId="570">
      <pivotArea field="0" type="button" dataOnly="0" labelOnly="1" outline="0" axis="axisRow" fieldPosition="0"/>
    </format>
    <format dxfId="569">
      <pivotArea field="3" type="button" dataOnly="0" labelOnly="1" outline="0" axis="axisRow" fieldPosition="1"/>
    </format>
    <format dxfId="568">
      <pivotArea field="1" type="button" dataOnly="0" labelOnly="1" outline="0" axis="axisRow" fieldPosition="2"/>
    </format>
    <format dxfId="567">
      <pivotArea field="4" type="button" dataOnly="0" labelOnly="1" outline="0" axis="axisRow" fieldPosition="3"/>
    </format>
    <format dxfId="566">
      <pivotArea dataOnly="0" labelOnly="1" outline="0" fieldPosition="0">
        <references count="1">
          <reference field="0" count="0"/>
        </references>
      </pivotArea>
    </format>
    <format dxfId="565">
      <pivotArea dataOnly="0" labelOnly="1" grandRow="1" outline="0" fieldPosition="0"/>
    </format>
    <format dxfId="564">
      <pivotArea dataOnly="0" labelOnly="1" outline="0" fieldPosition="0">
        <references count="1">
          <reference field="4294967294" count="12">
            <x v="0"/>
            <x v="1"/>
            <x v="2"/>
            <x v="3"/>
            <x v="4"/>
            <x v="5"/>
            <x v="6"/>
            <x v="7"/>
            <x v="8"/>
            <x v="9"/>
            <x v="10"/>
            <x v="11"/>
          </reference>
        </references>
      </pivotArea>
    </format>
  </formats>
  <pivotTableStyleInfo name="PivotStyleMedium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2D1F96-923F-4BA1-AC14-A6A58903B37D}" name="PivotTable2" cacheId="0" applyNumberFormats="0" applyBorderFormats="0" applyFontFormats="0" applyPatternFormats="0" applyAlignmentFormats="0" applyWidthHeightFormats="1" dataCaption="Values" grandTotalCaption="TOTAL (TOTEX)" updatedVersion="6" minRefreshableVersion="3" itemPrintTitles="1" createdVersion="6" indent="0" outline="1" outlineData="1" multipleFieldFilters="0" rowHeaderCaption="Accounting Type">
  <location ref="E113:Q117" firstHeaderRow="0" firstDataRow="1" firstDataCol="1"/>
  <pivotFields count="16">
    <pivotField showAll="0"/>
    <pivotField showAll="0"/>
    <pivotField showAll="0"/>
    <pivotField axis="axisRow" showAll="0">
      <items count="4">
        <item x="1"/>
        <item x="0"/>
        <item x="2"/>
        <item t="default"/>
      </items>
    </pivotField>
    <pivotField dataField="1" numFmtId="182" showAll="0"/>
    <pivotField dataField="1" numFmtId="182" showAll="0"/>
    <pivotField dataField="1" numFmtId="182" showAll="0"/>
    <pivotField dataField="1" numFmtId="182" showAll="0"/>
    <pivotField dataField="1" numFmtId="182" showAll="0"/>
    <pivotField dataField="1" numFmtId="182" showAll="0"/>
    <pivotField dataField="1" numFmtId="182" showAll="0"/>
    <pivotField dataField="1" numFmtId="182" showAll="0"/>
    <pivotField dataField="1" numFmtId="182" showAll="0"/>
    <pivotField dataField="1" numFmtId="182" showAll="0"/>
    <pivotField dataField="1" numFmtId="182" showAll="0"/>
    <pivotField dataField="1" numFmtId="182" showAll="0"/>
  </pivotFields>
  <rowFields count="1">
    <field x="3"/>
  </rowFields>
  <rowItems count="4">
    <i>
      <x/>
    </i>
    <i>
      <x v="1"/>
    </i>
    <i>
      <x v="2"/>
    </i>
    <i t="grand">
      <x/>
    </i>
  </rowItems>
  <colFields count="1">
    <field x="-2"/>
  </colFields>
  <colItems count="12">
    <i>
      <x/>
    </i>
    <i i="1">
      <x v="1"/>
    </i>
    <i i="2">
      <x v="2"/>
    </i>
    <i i="3">
      <x v="3"/>
    </i>
    <i i="4">
      <x v="4"/>
    </i>
    <i i="5">
      <x v="5"/>
    </i>
    <i i="6">
      <x v="6"/>
    </i>
    <i i="7">
      <x v="7"/>
    </i>
    <i i="8">
      <x v="8"/>
    </i>
    <i i="9">
      <x v="9"/>
    </i>
    <i i="10">
      <x v="10"/>
    </i>
    <i i="11">
      <x v="11"/>
    </i>
  </colItems>
  <dataFields count="12">
    <dataField name=" Year 1" fld="4" baseField="0" baseItem="0"/>
    <dataField name=" Year 2" fld="5" baseField="0" baseItem="0"/>
    <dataField name=" Year 3" fld="6" baseField="0" baseItem="0"/>
    <dataField name=" Year 4" fld="7" baseField="0" baseItem="0"/>
    <dataField name=" Year 5" fld="8" baseField="0" baseItem="0"/>
    <dataField name=" Year 6" fld="9" baseField="0" baseItem="0"/>
    <dataField name=" Year 7" fld="10" baseField="0" baseItem="0"/>
    <dataField name=" Year 8" fld="11" baseField="0" baseItem="0"/>
    <dataField name=" Year 9" fld="12" baseField="0" baseItem="0"/>
    <dataField name=" Year 10" fld="13" baseField="0" baseItem="0"/>
    <dataField name=" Year 11" fld="14" baseField="0" baseItem="0"/>
    <dataField name=" Total" fld="15" baseField="0" baseItem="0"/>
  </dataFields>
  <formats count="12">
    <format dxfId="598">
      <pivotArea type="all" dataOnly="0" outline="0" fieldPosition="0"/>
    </format>
    <format dxfId="597">
      <pivotArea outline="0" collapsedLevelsAreSubtotals="1" fieldPosition="0"/>
    </format>
    <format dxfId="596">
      <pivotArea field="3" type="button" dataOnly="0" labelOnly="1" outline="0" axis="axisRow" fieldPosition="0"/>
    </format>
    <format dxfId="595">
      <pivotArea dataOnly="0" labelOnly="1" fieldPosition="0">
        <references count="1">
          <reference field="3" count="0"/>
        </references>
      </pivotArea>
    </format>
    <format dxfId="594">
      <pivotArea dataOnly="0" labelOnly="1" grandRow="1" outline="0" fieldPosition="0"/>
    </format>
    <format dxfId="593">
      <pivotArea dataOnly="0" labelOnly="1" outline="0" fieldPosition="0">
        <references count="1">
          <reference field="4294967294" count="12">
            <x v="0"/>
            <x v="1"/>
            <x v="2"/>
            <x v="3"/>
            <x v="4"/>
            <x v="5"/>
            <x v="6"/>
            <x v="7"/>
            <x v="8"/>
            <x v="9"/>
            <x v="10"/>
            <x v="11"/>
          </reference>
        </references>
      </pivotArea>
    </format>
    <format dxfId="592">
      <pivotArea outline="0" collapsedLevelsAreSubtotals="1" fieldPosition="0"/>
    </format>
    <format dxfId="591">
      <pivotArea grandRow="1" outline="0" collapsedLevelsAreSubtotals="1" fieldPosition="0"/>
    </format>
    <format dxfId="590">
      <pivotArea dataOnly="0" labelOnly="1" grandRow="1" outline="0" fieldPosition="0"/>
    </format>
    <format dxfId="589">
      <pivotArea grandRow="1" outline="0" collapsedLevelsAreSubtotals="1" fieldPosition="0"/>
    </format>
    <format dxfId="588">
      <pivotArea dataOnly="0" labelOnly="1" grandRow="1" outline="0" fieldPosition="0"/>
    </format>
    <format dxfId="587">
      <pivotArea dataOnly="0" labelOnly="1" outline="0" fieldPosition="0">
        <references count="1">
          <reference field="4294967294" count="12">
            <x v="0"/>
            <x v="1"/>
            <x v="2"/>
            <x v="3"/>
            <x v="4"/>
            <x v="5"/>
            <x v="6"/>
            <x v="7"/>
            <x v="8"/>
            <x v="9"/>
            <x v="10"/>
            <x v="11"/>
          </reference>
        </references>
      </pivotArea>
    </format>
  </formats>
  <pivotTableStyleInfo name="PivotStyleMedium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761981-58F9-4E64-959A-9FA242FBC409}" name="PivotTable1" cacheId="2" applyNumberFormats="0" applyBorderFormats="0" applyFontFormats="0" applyPatternFormats="0" applyAlignmentFormats="0" applyWidthHeightFormats="1" dataCaption="Values" updatedVersion="6" minRefreshableVersion="3" showDrill="0" itemPrintTitles="1" createdVersion="6" indent="0" compact="0" compactData="0" multipleFieldFilters="0">
  <location ref="B14:R40" firstHeaderRow="0" firstDataRow="1" firstDataCol="5"/>
  <pivotFields count="17">
    <pivotField axis="axisRow" compact="0" outline="0" showAll="0" defaultSubtotal="0">
      <items count="2">
        <item x="1"/>
        <item x="0"/>
      </items>
    </pivotField>
    <pivotField axis="axisRow" compact="0" outline="0" showAll="0" defaultSubtotal="0">
      <items count="3">
        <item x="2"/>
        <item x="1"/>
        <item x="0"/>
      </items>
    </pivotField>
    <pivotField axis="axisRow" compact="0" outline="0" showAll="0" defaultSubtotal="0">
      <items count="23">
        <item x="20"/>
        <item x="5"/>
        <item x="2"/>
        <item x="6"/>
        <item x="4"/>
        <item x="3"/>
        <item x="10"/>
        <item x="14"/>
        <item x="15"/>
        <item x="16"/>
        <item x="17"/>
        <item x="7"/>
        <item x="18"/>
        <item x="19"/>
        <item x="13"/>
        <item x="22"/>
        <item x="21"/>
        <item x="9"/>
        <item x="8"/>
        <item x="1"/>
        <item x="0"/>
        <item x="12"/>
        <item x="11"/>
      </items>
    </pivotField>
    <pivotField axis="axisRow" compact="0" outline="0" showAll="0" defaultSubtotal="0">
      <items count="2">
        <item x="1"/>
        <item x="0"/>
      </items>
    </pivotField>
    <pivotField axis="axisRow" compact="0" outline="0" showAll="0" defaultSubtotal="0">
      <items count="3">
        <item x="2"/>
        <item x="1"/>
        <item x="0"/>
      </items>
    </pivotField>
    <pivotField dataField="1" compact="0" outline="0" showAll="0"/>
    <pivotField dataField="1" compact="0" outline="0" showAll="0"/>
    <pivotField dataField="1" compact="0" numFmtId="182" outline="0" showAll="0"/>
    <pivotField dataField="1" compact="0" numFmtId="182" outline="0" showAll="0"/>
    <pivotField dataField="1" compact="0" numFmtId="182" outline="0" showAll="0"/>
    <pivotField dataField="1" compact="0" numFmtId="182" outline="0" showAll="0"/>
    <pivotField dataField="1" compact="0" outline="0" showAl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numFmtId="182" outline="0" showAll="0"/>
  </pivotFields>
  <rowFields count="5">
    <field x="0"/>
    <field x="1"/>
    <field x="3"/>
    <field x="2"/>
    <field x="4"/>
  </rowFields>
  <rowItems count="26">
    <i>
      <x/>
      <x/>
      <x/>
      <x/>
      <x/>
    </i>
    <i r="3">
      <x v="1"/>
      <x/>
    </i>
    <i r="3">
      <x v="2"/>
      <x/>
    </i>
    <i r="3">
      <x v="3"/>
      <x/>
    </i>
    <i r="3">
      <x v="4"/>
      <x/>
    </i>
    <i r="3">
      <x v="5"/>
      <x/>
    </i>
    <i r="3">
      <x v="6"/>
      <x/>
    </i>
    <i r="3">
      <x v="7"/>
      <x/>
    </i>
    <i r="3">
      <x v="8"/>
      <x/>
    </i>
    <i r="3">
      <x v="9"/>
      <x/>
    </i>
    <i r="3">
      <x v="10"/>
      <x/>
    </i>
    <i r="3">
      <x v="11"/>
      <x/>
    </i>
    <i r="3">
      <x v="12"/>
      <x/>
    </i>
    <i r="3">
      <x v="13"/>
      <x/>
    </i>
    <i r="3">
      <x v="14"/>
      <x/>
    </i>
    <i r="3">
      <x v="15"/>
      <x/>
    </i>
    <i r="3">
      <x v="16"/>
      <x/>
    </i>
    <i r="3">
      <x v="17"/>
      <x/>
    </i>
    <i r="3">
      <x v="18"/>
      <x/>
    </i>
    <i r="3">
      <x v="19"/>
      <x/>
    </i>
    <i r="3">
      <x v="21"/>
      <x/>
    </i>
    <i r="3">
      <x v="22"/>
      <x/>
    </i>
    <i r="1">
      <x v="1"/>
      <x/>
      <x v="19"/>
      <x v="1"/>
    </i>
    <i r="3">
      <x v="20"/>
      <x v="1"/>
    </i>
    <i>
      <x v="1"/>
      <x v="2"/>
      <x v="1"/>
      <x v="20"/>
      <x v="2"/>
    </i>
    <i t="grand">
      <x/>
    </i>
  </rowItems>
  <colFields count="1">
    <field x="-2"/>
  </colFields>
  <colItems count="12">
    <i>
      <x/>
    </i>
    <i i="1">
      <x v="1"/>
    </i>
    <i i="2">
      <x v="2"/>
    </i>
    <i i="3">
      <x v="3"/>
    </i>
    <i i="4">
      <x v="4"/>
    </i>
    <i i="5">
      <x v="5"/>
    </i>
    <i i="6">
      <x v="6"/>
    </i>
    <i i="7">
      <x v="7"/>
    </i>
    <i i="8">
      <x v="8"/>
    </i>
    <i i="9">
      <x v="9"/>
    </i>
    <i i="10">
      <x v="10"/>
    </i>
    <i i="11">
      <x v="11"/>
    </i>
  </colItems>
  <dataFields count="12">
    <dataField name=" Year 1" fld="5" baseField="0" baseItem="0"/>
    <dataField name=" Year 2" fld="6" baseField="0" baseItem="0"/>
    <dataField name=" Year 3" fld="7" baseField="0" baseItem="0"/>
    <dataField name=" Year 4" fld="8" baseField="0" baseItem="0"/>
    <dataField name=" Year 5" fld="9" baseField="0" baseItem="0"/>
    <dataField name=" Year 6" fld="10" baseField="0" baseItem="0"/>
    <dataField name=" Year 7" fld="11" baseField="0" baseItem="0"/>
    <dataField name=" Year 8" fld="12" baseField="4" baseItem="1"/>
    <dataField name=" Year 9" fld="13" baseField="4" baseItem="1"/>
    <dataField name=" Year 10" fld="14" baseField="4" baseItem="1"/>
    <dataField name=" Year 11" fld="15" baseField="4" baseItem="1"/>
    <dataField name=" Total" fld="16" baseField="0" baseItem="0"/>
  </dataFields>
  <formats count="12">
    <format dxfId="553">
      <pivotArea type="all" dataOnly="0" outline="0" fieldPosition="0"/>
    </format>
    <format dxfId="552">
      <pivotArea outline="0" collapsedLevelsAreSubtotals="1" fieldPosition="0"/>
    </format>
    <format dxfId="551">
      <pivotArea field="1" type="button" dataOnly="0" labelOnly="1" outline="0" axis="axisRow" fieldPosition="1"/>
    </format>
    <format dxfId="550">
      <pivotArea field="3" type="button" dataOnly="0" labelOnly="1" outline="0" axis="axisRow" fieldPosition="2"/>
    </format>
    <format dxfId="549">
      <pivotArea field="2" type="button" dataOnly="0" labelOnly="1" outline="0" axis="axisRow" fieldPosition="3"/>
    </format>
    <format dxfId="548">
      <pivotArea field="4" type="button" dataOnly="0" labelOnly="1" outline="0" axis="axisRow" fieldPosition="4"/>
    </format>
    <format dxfId="547">
      <pivotArea dataOnly="0" labelOnly="1" outline="0" fieldPosition="0">
        <references count="1">
          <reference field="4294967294" count="12">
            <x v="0"/>
            <x v="1"/>
            <x v="2"/>
            <x v="3"/>
            <x v="4"/>
            <x v="5"/>
            <x v="6"/>
            <x v="7"/>
            <x v="8"/>
            <x v="9"/>
            <x v="10"/>
            <x v="11"/>
          </reference>
        </references>
      </pivotArea>
    </format>
    <format dxfId="546">
      <pivotArea type="origin" dataOnly="0" labelOnly="1" outline="0" fieldPosition="0"/>
    </format>
    <format dxfId="545">
      <pivotArea field="0" type="button" dataOnly="0" labelOnly="1" outline="0" axis="axisRow" fieldPosition="0"/>
    </format>
    <format dxfId="544">
      <pivotArea dataOnly="0" labelOnly="1" outline="0" fieldPosition="0">
        <references count="1">
          <reference field="0" count="0"/>
        </references>
      </pivotArea>
    </format>
    <format dxfId="543">
      <pivotArea dataOnly="0" labelOnly="1" grandRow="1" outline="0" fieldPosition="0"/>
    </format>
    <format dxfId="542">
      <pivotArea dataOnly="0" labelOnly="1" outline="0" fieldPosition="0">
        <references count="1">
          <reference field="4294967294" count="12">
            <x v="0"/>
            <x v="1"/>
            <x v="2"/>
            <x v="3"/>
            <x v="4"/>
            <x v="5"/>
            <x v="6"/>
            <x v="7"/>
            <x v="8"/>
            <x v="9"/>
            <x v="10"/>
            <x v="11"/>
          </reference>
        </references>
      </pivotArea>
    </format>
  </formats>
  <pivotTableStyleInfo name="PivotStyleMedium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E3FE1B-2EF2-48D8-A8BF-96E1FAF3766E}" name="Work_Req_tbl"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Work Requests">
  <location ref="H1:H2" firstHeaderRow="1" firstDataRow="1" firstDataCol="1"/>
  <pivotFields count="1">
    <pivotField axis="axisRow" showAll="0" sortType="ascending" defaultSubtotal="0">
      <items count="1">
        <item x="0"/>
      </items>
    </pivotField>
  </pivotFields>
  <rowFields count="1">
    <field x="0"/>
  </rowFields>
  <rowItems count="1">
    <i>
      <x/>
    </i>
  </rowItems>
  <colItems count="1">
    <i/>
  </colItem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06D37C-BBC7-437C-A252-9485512B190B}" name="PivotTable1" cacheId="3"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compact="0" compactData="0" gridDropZones="1" multipleFieldFilters="0">
  <location ref="K1:S3" firstHeaderRow="2" firstDataRow="2" firstDataCol="3"/>
  <pivotFields count="5">
    <pivotField axis="axisRow" compact="0" outline="0" showAll="0" sortType="ascending"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pivotField>
    <pivotField compact="0" outline="0" showAll="0"/>
    <pivotField compact="0" outline="0" showAll="0"/>
    <pivotField axis="axisRow" compact="0" outline="0" showAll="0">
      <items count="2">
        <item x="0"/>
        <item t="default"/>
      </items>
    </pivotField>
  </pivotFields>
  <rowFields count="3">
    <field x="0"/>
    <field x="1"/>
    <field x="4"/>
  </rowFields>
  <rowItems count="1">
    <i>
      <x/>
      <x/>
      <x/>
    </i>
  </rowItems>
  <colItems count="1">
    <i/>
  </colItem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refreshOnLoad="1" connectionId="1" xr16:uid="{21AB4022-3CDB-40C2-8689-DD7A433CC5BA}" autoFormatId="16" applyNumberFormats="0" applyBorderFormats="0" applyFontFormats="0" applyPatternFormats="0" applyAlignmentFormats="0" applyWidthHeightFormats="0">
  <queryTableRefresh nextId="18">
    <queryTableFields count="17">
      <queryTableField id="1" name="INVID" tableColumnId="1"/>
      <queryTableField id="3" name="Region" tableColumnId="2"/>
      <queryTableField id="2" name="Investment Name" tableColumnId="3"/>
      <queryTableField id="7" name="Investment Type" tableColumnId="4"/>
      <queryTableField id="8" name="FY" tableColumnId="5"/>
      <queryTableField id="4" name="BU" tableColumnId="6"/>
      <queryTableField id="5" name="Portfolio" tableColumnId="7"/>
      <queryTableField id="6" name="IT Area" tableColumnId="8"/>
      <queryTableField id="9" name="Walk In" tableColumnId="9"/>
      <queryTableField id="10" name="BP" tableColumnId="10"/>
      <queryTableField id="11" name="Track" tableColumnId="11"/>
      <queryTableField id="12" name="Parent" tableColumnId="12"/>
      <queryTableField id="13" name="Investment Reason" tableColumnId="13"/>
      <queryTableField id="14" name="RequestID" tableColumnId="14"/>
      <queryTableField id="16" name="Item Type" tableColumnId="15"/>
      <queryTableField id="15" name="Path" tableColumnId="16"/>
      <queryTableField id="17" name="Created"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owssvr_1" refreshOnLoad="1" connectionId="2" xr16:uid="{7D3E5ABE-B302-4548-AF9D-9AF840F5DDE2}" autoFormatId="16" applyNumberFormats="0" applyBorderFormats="0" applyFontFormats="0" applyPatternFormats="0" applyAlignmentFormats="0" applyWidthHeightFormats="0">
  <queryTableRefresh nextId="58">
    <queryTableFields count="28">
      <queryTableField id="18" name="INVID" tableColumnId="1"/>
      <queryTableField id="19" name="Name" tableColumnId="2"/>
      <queryTableField id="3" name="Cost Category" tableColumnId="6"/>
      <queryTableField id="7" name="Consolidated Order" tableColumnId="7"/>
      <queryTableField id="20" name="Status" tableColumnId="3"/>
      <queryTableField id="14" name="Date Closed" tableColumnId="12"/>
      <queryTableField id="21" name="SAP Name" tableColumnId="5"/>
      <queryTableField id="22" name="Company#" tableColumnId="9"/>
      <queryTableField id="23" name="SAP Project#" tableColumnId="14"/>
      <queryTableField id="24" name="Work Order#" tableColumnId="17"/>
      <queryTableField id="25" name="Operation Code" tableColumnId="18"/>
      <queryTableField id="26" name="Internal Order#" tableColumnId="19"/>
      <queryTableField id="5" name="Allocation Code" tableColumnId="8"/>
      <queryTableField id="6" name="Exclusion" tableColumnId="13"/>
      <queryTableField id="8" name="Cost Center" tableColumnId="10"/>
      <queryTableField id="27" name="Comments" tableColumnId="20"/>
      <queryTableField id="13" name="Date Opened" tableColumnId="11"/>
      <queryTableField id="28" name="In-Service Date" tableColumnId="21"/>
      <queryTableField id="12" name="BusinessArea" tableColumnId="4"/>
      <queryTableField id="33" name="Old Portolio" tableColumnId="26"/>
      <queryTableField id="34" name="Old Business Area" tableColumnId="27"/>
      <queryTableField id="35" name="FERC" tableColumnId="28"/>
      <queryTableField id="36" name="Verification" tableColumnId="29"/>
      <queryTableField id="16" name="Item Type" tableColumnId="15"/>
      <queryTableField id="15" name="Path" tableColumnId="16"/>
      <queryTableField id="55" name="Modified" tableColumnId="22"/>
      <queryTableField id="56" name="Modified By" tableColumnId="23"/>
      <queryTableField id="57" name="programEpic"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Center" xr10:uid="{E24BF4C8-6A68-430C-8B0D-FC1B447EBDEE}" sourceName="Delivery Center">
  <pivotTables>
    <pivotTable tabId="38" name="PivotTable1"/>
  </pivotTables>
  <data>
    <tabular pivotCacheId="180099864">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 Center" xr10:uid="{02A81444-A2AB-4669-8F11-22DF4027B003}" cache="Slicer_Delivery_Center" caption="Delivery Center" rowHeight="241300"/>
</slicers>
</file>

<file path=xl/tables/_rels/table4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FE68FE72-A824-44FE-B16C-E5F4D90CA570}" name="BenDet_tbl" displayName="BenDet_tbl" ref="A4:Q6" totalsRowShown="0" headerRowDxfId="617" dataDxfId="616" headerRowCellStyle="Normal 4" dataCellStyle="Comma 5">
  <autoFilter ref="A4:Q6" xr:uid="{BCC92244-6BDB-4DB7-8052-804BF58207B0}"/>
  <tableColumns count="17">
    <tableColumn id="2" xr3:uid="{ED962B23-47AA-4537-AF38-F305FD0BFE72}" name="Category" dataDxfId="615" dataCellStyle="Comma 5"/>
    <tableColumn id="3" xr3:uid="{15770843-5355-4B37-B3C7-4BE9EF688EB0}" name="Detail" dataDxfId="614" dataCellStyle="Comma 5"/>
    <tableColumn id="4" xr3:uid="{00EA7C5D-F4B7-436D-BB28-B9149A732476}" name="Signoff Lead" dataDxfId="613" dataCellStyle="Comma 5">
      <calculatedColumnFormula>IF(ISNA(VLOOKUP(B5,'Benefits Drop Down Values'!G:H,2,0)),"",VLOOKUP(B5,'Benefits Drop Down Values'!G:H,2,0))</calculatedColumnFormula>
    </tableColumn>
    <tableColumn id="5" xr3:uid="{EEA24169-6A45-4A67-A985-416C6D172595}" name="Accounting Type" dataDxfId="612" dataCellStyle="Comma 5"/>
    <tableColumn id="6" xr3:uid="{D76A4CA1-4482-401C-8EC2-54744864E28C}" name="Year 1" dataDxfId="611" dataCellStyle="Comma 5"/>
    <tableColumn id="7" xr3:uid="{51DDC4F0-A0DE-4D38-934F-67FEB5EA34DB}" name="Year 2" dataDxfId="610" dataCellStyle="Comma 5"/>
    <tableColumn id="8" xr3:uid="{EA855157-9F5D-40D1-B2A0-36D351DAAA5F}" name="Year 3" dataDxfId="609" dataCellStyle="Comma 5"/>
    <tableColumn id="9" xr3:uid="{9CCD626D-FD0B-443A-B6B2-35B0B383A8DE}" name="Year 4" dataDxfId="608" dataCellStyle="Comma 5"/>
    <tableColumn id="10" xr3:uid="{628A79DE-AA1E-467A-8D34-C4339E83DD9A}" name="Year 5" dataDxfId="607" dataCellStyle="Comma 5"/>
    <tableColumn id="11" xr3:uid="{8D7576DC-6DE5-4E2D-8BB7-C0A1269936C5}" name="Year 6" dataDxfId="606" dataCellStyle="Comma 5"/>
    <tableColumn id="12" xr3:uid="{6EA1D4D0-E94F-4DC7-834D-99CC456ED42B}" name="Year 7" dataDxfId="605" dataCellStyle="Comma 5"/>
    <tableColumn id="13" xr3:uid="{E4DD2983-DEB2-4ED1-B99D-43499494F4B1}" name="Year 8" dataDxfId="604" dataCellStyle="Comma 5"/>
    <tableColumn id="14" xr3:uid="{9966D2C6-CFC1-4F23-BEFB-FD7B909075F6}" name="Year 9" dataDxfId="603" dataCellStyle="Comma 5"/>
    <tableColumn id="15" xr3:uid="{5F223922-C029-46C9-9D65-A045CA2ADE58}" name="Year 10" dataDxfId="602" dataCellStyle="Comma 5"/>
    <tableColumn id="16" xr3:uid="{D36657E2-51B7-4D0A-B42E-6C1C043C79A3}" name="Year 11" dataDxfId="601" dataCellStyle="Comma 5"/>
    <tableColumn id="17" xr3:uid="{BE70DE68-C0A2-4DFF-BA4C-28F45F81C078}" name="Total" dataDxfId="600" dataCellStyle="Comma 5">
      <calculatedColumnFormula>SUM(BenDet_tbl[[#This Row],[Year 1]:[Year 11]])</calculatedColumnFormula>
    </tableColumn>
    <tableColumn id="18" xr3:uid="{DB659B3B-C146-4AD2-A4B6-CD4161A34443}" name="Notes / Commentary" dataDxfId="599" dataCellStyle="Comma 5"/>
  </tableColumns>
  <tableStyleInfo name="Table Style 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418D997F-284B-4CDD-99B0-7F34A57877DE}" name="Table23" displayName="Table23" ref="A6:AF12" totalsRowCount="1" headerRowDxfId="538" dataDxfId="537">
  <autoFilter ref="A6:AF11" xr:uid="{72CB2A7C-D01E-4AFB-96BE-EDF418AEEA32}"/>
  <tableColumns count="32">
    <tableColumn id="1" xr3:uid="{0B4113B3-DA61-4E10-931D-E8067CFE7ECF}" name="Form Control" totalsRowLabel="TOTAL" dataDxfId="536" totalsRowDxfId="535"/>
    <tableColumn id="2" xr3:uid="{62162043-94CD-440D-A5AD-917B37E54AE9}" name="% Allocation" totalsRowFunction="custom" dataDxfId="534" totalsRowDxfId="533" dataCellStyle="Percent">
      <totalsRowFormula>SUM(Table23[% Allocation])</totalsRowFormula>
    </tableColumn>
    <tableColumn id="3" xr3:uid="{61959B83-AEDD-4C87-A043-6CE4FE19F4C5}" name="Year 1" totalsRowFunction="custom" dataDxfId="532" totalsRowDxfId="531" dataCellStyle="Comma">
      <calculatedColumnFormula>$B7*C$3</calculatedColumnFormula>
      <totalsRowFormula>SUM(Table23[Year 1])</totalsRowFormula>
    </tableColumn>
    <tableColumn id="4" xr3:uid="{C074D738-A3CB-4F97-92DE-D62D65D507E7}" name="Year 2" totalsRowFunction="custom" dataDxfId="530" totalsRowDxfId="529" dataCellStyle="Comma">
      <calculatedColumnFormula>$B7*D$3</calculatedColumnFormula>
      <totalsRowFormula>SUM(Table23[Year 2])</totalsRowFormula>
    </tableColumn>
    <tableColumn id="5" xr3:uid="{ED8EF002-3AD2-40EB-8577-1537327F3461}" name="Year 3" totalsRowFunction="custom" dataDxfId="528" totalsRowDxfId="527" dataCellStyle="Comma">
      <calculatedColumnFormula>$B7*E$3</calculatedColumnFormula>
      <totalsRowFormula>SUM(Table23[Year 3])</totalsRowFormula>
    </tableColumn>
    <tableColumn id="6" xr3:uid="{46A32167-D7A9-4952-B58F-C31820F19D18}" name="Year 4" totalsRowFunction="custom" dataDxfId="526" totalsRowDxfId="525" dataCellStyle="Comma">
      <calculatedColumnFormula>$B7*F$3</calculatedColumnFormula>
      <totalsRowFormula>SUM(Table23[Year 4])</totalsRowFormula>
    </tableColumn>
    <tableColumn id="7" xr3:uid="{B1C5FB11-43AB-4B09-A1BA-72664DB03F14}" name="Year 5" totalsRowFunction="custom" dataDxfId="524" totalsRowDxfId="523" dataCellStyle="Comma">
      <calculatedColumnFormula>$B7*G$3</calculatedColumnFormula>
      <totalsRowFormula>SUM(Table23[Year 5])</totalsRowFormula>
    </tableColumn>
    <tableColumn id="8" xr3:uid="{541FDE30-857B-4AEC-B55F-9768ED6CF0D6}" name="Year 6" totalsRowFunction="custom" dataDxfId="522" totalsRowDxfId="521" dataCellStyle="Comma">
      <calculatedColumnFormula>$B7*H$3</calculatedColumnFormula>
      <totalsRowFormula>SUM(Table23[Year 6])</totalsRowFormula>
    </tableColumn>
    <tableColumn id="9" xr3:uid="{16631D93-BFC6-49A1-966C-92D7F67DB011}" name="Year 7" totalsRowFunction="custom" dataDxfId="520" totalsRowDxfId="519" dataCellStyle="Comma">
      <calculatedColumnFormula>$B7*I$3</calculatedColumnFormula>
      <totalsRowFormula>SUM(Table23[Year 7])</totalsRowFormula>
    </tableColumn>
    <tableColumn id="10" xr3:uid="{CE09214B-6FED-45F3-9E00-12EF31C78183}" name="Year 8" totalsRowFunction="custom" dataDxfId="518" totalsRowDxfId="517" dataCellStyle="Comma">
      <calculatedColumnFormula>$B7*J$3</calculatedColumnFormula>
      <totalsRowFormula>SUM(Table23[Year 8])</totalsRowFormula>
    </tableColumn>
    <tableColumn id="11" xr3:uid="{54467060-3886-4869-AB77-AA510D64AD9C}" name="Year 9" totalsRowFunction="custom" dataDxfId="516" totalsRowDxfId="515" dataCellStyle="Comma">
      <calculatedColumnFormula>$B7*K$3</calculatedColumnFormula>
      <totalsRowFormula>SUM(Table23[Year 9])</totalsRowFormula>
    </tableColumn>
    <tableColumn id="12" xr3:uid="{558C1270-BFC5-44EA-ACBB-4A4DEA511D18}" name="Year 10" totalsRowFunction="custom" dataDxfId="514" totalsRowDxfId="513" dataCellStyle="Comma">
      <calculatedColumnFormula>$B7*L$3</calculatedColumnFormula>
      <totalsRowFormula>SUM(Table23[Year 10])</totalsRowFormula>
    </tableColumn>
    <tableColumn id="13" xr3:uid="{C7FAADF8-B709-4AD1-B0B8-B1FCB0282307}" name="Year 11" totalsRowFunction="custom" dataDxfId="512" totalsRowDxfId="511" dataCellStyle="Comma">
      <calculatedColumnFormula>$B7*M$3</calculatedColumnFormula>
      <totalsRowFormula>SUM(Table23[Year 11])</totalsRowFormula>
    </tableColumn>
    <tableColumn id="14" xr3:uid="{098A42B8-5433-4213-BDFD-2A97A65E1AD6}" name="Year 12" totalsRowFunction="custom" dataDxfId="510" totalsRowDxfId="509" dataCellStyle="Comma">
      <calculatedColumnFormula>$B7*N$3</calculatedColumnFormula>
      <totalsRowFormula>SUM(Table23[Year 12])</totalsRowFormula>
    </tableColumn>
    <tableColumn id="15" xr3:uid="{0B3E29F9-7FE7-49DF-B7F5-D285029EDAAE}" name="Year 13" totalsRowFunction="custom" dataDxfId="508" totalsRowDxfId="507" dataCellStyle="Comma">
      <calculatedColumnFormula>$B7*O$3</calculatedColumnFormula>
      <totalsRowFormula>SUM(Table23[Year 13])</totalsRowFormula>
    </tableColumn>
    <tableColumn id="16" xr3:uid="{A0D05D9C-17B5-48B5-9693-FC59AB271B6C}" name="Year 14" totalsRowFunction="custom" dataDxfId="506" totalsRowDxfId="505" dataCellStyle="Comma">
      <calculatedColumnFormula>$B7*P$3</calculatedColumnFormula>
      <totalsRowFormula>SUM(Table23[Year 14])</totalsRowFormula>
    </tableColumn>
    <tableColumn id="17" xr3:uid="{0F9E1C6A-8764-4D4F-A8F7-7BE86A352B6C}" name="Year 15" totalsRowFunction="custom" dataDxfId="504" totalsRowDxfId="503" dataCellStyle="Comma">
      <calculatedColumnFormula>$B7*Q$3</calculatedColumnFormula>
      <totalsRowFormula>SUM(Table23[Year 15])</totalsRowFormula>
    </tableColumn>
    <tableColumn id="18" xr3:uid="{89144E5D-9A3C-4B36-9961-D181720245F7}" name="Year 16" totalsRowFunction="custom" dataDxfId="502" totalsRowDxfId="501" dataCellStyle="Comma">
      <calculatedColumnFormula>$B7*R$3</calculatedColumnFormula>
      <totalsRowFormula>SUM(Table23[Year 16])</totalsRowFormula>
    </tableColumn>
    <tableColumn id="19" xr3:uid="{19CE2A3E-7673-4415-B0C2-7F956FF32197}" name="Year 17" totalsRowFunction="custom" dataDxfId="500" totalsRowDxfId="499" dataCellStyle="Comma">
      <calculatedColumnFormula>$B7*S$3</calculatedColumnFormula>
      <totalsRowFormula>SUM(Table23[Year 17])</totalsRowFormula>
    </tableColumn>
    <tableColumn id="20" xr3:uid="{2257F995-EA2B-43CF-8C7F-D64DF5A8431B}" name="Year 18" totalsRowFunction="custom" dataDxfId="498" totalsRowDxfId="497" dataCellStyle="Comma">
      <calculatedColumnFormula>$B7*T$3</calculatedColumnFormula>
      <totalsRowFormula>SUM(Table23[Year 18])</totalsRowFormula>
    </tableColumn>
    <tableColumn id="21" xr3:uid="{79DB08F3-705E-459F-9A57-6F9AC405B505}" name="Year 19" totalsRowFunction="custom" dataDxfId="496" totalsRowDxfId="495" dataCellStyle="Comma">
      <calculatedColumnFormula>$B7*U$3</calculatedColumnFormula>
      <totalsRowFormula>SUM(Table23[Year 19])</totalsRowFormula>
    </tableColumn>
    <tableColumn id="22" xr3:uid="{6C1FDD17-8FC7-4606-9608-51836ED376EC}" name="Year 20" totalsRowFunction="custom" dataDxfId="494" totalsRowDxfId="493" dataCellStyle="Comma">
      <calculatedColumnFormula>$B7*V$3</calculatedColumnFormula>
      <totalsRowFormula>SUM(Table23[Year 20])</totalsRowFormula>
    </tableColumn>
    <tableColumn id="23" xr3:uid="{7F84E991-9FD5-432E-A9C1-6DE5D74C5D1A}" name="Year 21" totalsRowFunction="custom" dataDxfId="492" totalsRowDxfId="491" dataCellStyle="Comma">
      <calculatedColumnFormula>$B7*W$3</calculatedColumnFormula>
      <totalsRowFormula>SUM(Table23[Year 21])</totalsRowFormula>
    </tableColumn>
    <tableColumn id="24" xr3:uid="{E1D4AF9B-B007-422E-90F4-464321C31933}" name="Year 22" totalsRowFunction="custom" dataDxfId="490" totalsRowDxfId="489" dataCellStyle="Comma">
      <calculatedColumnFormula>$B7*X$3</calculatedColumnFormula>
      <totalsRowFormula>SUM(Table23[Year 22])</totalsRowFormula>
    </tableColumn>
    <tableColumn id="25" xr3:uid="{4F34D7CF-899D-46DF-9157-1898A2D67393}" name="Year 23" totalsRowFunction="custom" dataDxfId="488" totalsRowDxfId="487" dataCellStyle="Comma">
      <calculatedColumnFormula>$B7*Y$3</calculatedColumnFormula>
      <totalsRowFormula>SUM(Table23[Year 23])</totalsRowFormula>
    </tableColumn>
    <tableColumn id="26" xr3:uid="{0DF3B783-CB0A-43D7-A970-DCB2E4091F48}" name="Year 24" totalsRowFunction="custom" dataDxfId="486" totalsRowDxfId="485" dataCellStyle="Comma">
      <calculatedColumnFormula>$B7*Z$3</calculatedColumnFormula>
      <totalsRowFormula>SUM(Table23[Year 24])</totalsRowFormula>
    </tableColumn>
    <tableColumn id="27" xr3:uid="{9E03DD9A-6EA6-431F-B51B-F1B8B6AD1852}" name="Year 25" totalsRowFunction="custom" dataDxfId="484" totalsRowDxfId="483" dataCellStyle="Comma">
      <calculatedColumnFormula>$B7*AA$3</calculatedColumnFormula>
      <totalsRowFormula>SUM(Table23[Year 25])</totalsRowFormula>
    </tableColumn>
    <tableColumn id="28" xr3:uid="{18CD4B02-F6C1-4942-83E0-F2E3CCC05390}" name="Year 26" totalsRowFunction="custom" dataDxfId="482" totalsRowDxfId="481" dataCellStyle="Comma">
      <calculatedColumnFormula>$B7*AB$3</calculatedColumnFormula>
      <totalsRowFormula>SUM(Table23[Year 26])</totalsRowFormula>
    </tableColumn>
    <tableColumn id="29" xr3:uid="{FDB2776C-50DF-43EA-A27A-228D1265AB73}" name="Year 27" totalsRowFunction="custom" dataDxfId="480" totalsRowDxfId="479" dataCellStyle="Comma">
      <calculatedColumnFormula>$B7*AC$3</calculatedColumnFormula>
      <totalsRowFormula>SUM(Table23[Year 27])</totalsRowFormula>
    </tableColumn>
    <tableColumn id="30" xr3:uid="{4D57C560-4A4D-4AC0-83D3-EC9B90FCAFAB}" name="Year 28" totalsRowFunction="custom" dataDxfId="478" totalsRowDxfId="477" dataCellStyle="Comma">
      <calculatedColumnFormula>$B7*AD$3</calculatedColumnFormula>
      <totalsRowFormula>SUM(Table23[Year 28])</totalsRowFormula>
    </tableColumn>
    <tableColumn id="31" xr3:uid="{28D5D917-89FA-41BC-827C-00D75390D47A}" name="Year 29" totalsRowFunction="custom" dataDxfId="476" totalsRowDxfId="475" dataCellStyle="Comma">
      <calculatedColumnFormula>$B7*AE$3</calculatedColumnFormula>
      <totalsRowFormula>SUM(Table23[Year 29])</totalsRowFormula>
    </tableColumn>
    <tableColumn id="32" xr3:uid="{FBED4068-BBE1-4EC6-AEF4-6646E33E2D4F}" name="Year 30" totalsRowFunction="custom" dataDxfId="474" totalsRowDxfId="473" dataCellStyle="Comma">
      <calculatedColumnFormula>$B7*AF$3</calculatedColumnFormula>
      <totalsRowFormula>SUM(Table23[Year 30])</totalsRowFormula>
    </tableColumn>
  </tableColumns>
  <tableStyleInfo name="Table Style 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7D6F5312-872A-4D82-8CDC-E7FE5811B3E0}" name="US_IT_Roles_tbl" displayName="US_IT_Roles_tbl" ref="A7:A15" totalsRowShown="0" headerRowDxfId="283" dataDxfId="281" headerRowBorderDxfId="282" tableBorderDxfId="280" totalsRowBorderDxfId="279" headerRowCellStyle="Normal 4">
  <autoFilter ref="A7:A15" xr:uid="{45DF5217-06AA-4079-9CF5-05A4946295F2}"/>
  <tableColumns count="1">
    <tableColumn id="1" xr3:uid="{362956FB-0E01-4DBF-8656-ACC4FD4017BD}" name="US_IT" dataDxfId="278"/>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7363BD0E-A2BA-4C58-84EB-048F6054294E}" name="Security_Roles_tbl" displayName="Security_Roles_tbl" ref="C7:C21" totalsRowShown="0" headerRowDxfId="277" dataDxfId="275" headerRowBorderDxfId="276" tableBorderDxfId="274" totalsRowBorderDxfId="273" headerRowCellStyle="Normal 4">
  <autoFilter ref="C7:C21" xr:uid="{11852D67-64C2-40B3-9FCE-89BEC3926607}"/>
  <sortState xmlns:xlrd2="http://schemas.microsoft.com/office/spreadsheetml/2017/richdata2" ref="C8:C21">
    <sortCondition ref="C8:C21"/>
  </sortState>
  <tableColumns count="1">
    <tableColumn id="1" xr3:uid="{C662B591-191D-42A6-B12A-F6ACF1CF8055}" name="Security" dataDxfId="272"/>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90AEA5C-2280-46DE-AA89-A40A39CB8815}" name="IO_Roles_tbl" displayName="IO_Roles_tbl" ref="D7:D21" totalsRowShown="0" headerRowDxfId="271" dataDxfId="270" tableBorderDxfId="269" headerRowCellStyle="Normal 4">
  <autoFilter ref="D7:D21" xr:uid="{6DBD9446-DC07-4FF1-8C51-1775585AB897}"/>
  <sortState xmlns:xlrd2="http://schemas.microsoft.com/office/spreadsheetml/2017/richdata2" ref="D8:D21">
    <sortCondition ref="D8:D21"/>
  </sortState>
  <tableColumns count="1">
    <tableColumn id="1" xr3:uid="{A19B624D-B94E-441C-830F-3602C2A63765}" name="Infra_Operations" dataDxfId="268"/>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A93B2566-78DC-4731-A238-72EBD5442249}" name="Arch_Roles_tbl" displayName="Arch_Roles_tbl" ref="E7:E8" totalsRowShown="0" headerRowDxfId="267" dataDxfId="266" tableBorderDxfId="265" headerRowCellStyle="Normal 4">
  <autoFilter ref="E7:E8" xr:uid="{E47BA63E-4BE2-44B6-B25D-DA55D233D7F3}"/>
  <tableColumns count="1">
    <tableColumn id="1" xr3:uid="{60316315-C739-47CB-B6FC-B3C4556ED5FD}" name="Architecture" dataDxfId="264"/>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149024DF-3173-4B96-BED7-BF142A52FFB4}" name="Bus_Roles_tbl" displayName="Bus_Roles_tbl" ref="F7:F13" totalsRowShown="0" headerRowDxfId="263" dataDxfId="262" tableBorderDxfId="261" headerRowCellStyle="Normal 4">
  <autoFilter ref="F7:F13" xr:uid="{A5A142F8-5158-41C5-A707-9A8EE33F74E6}"/>
  <tableColumns count="1">
    <tableColumn id="1" xr3:uid="{F9464EBF-4917-4A1E-8E67-FC6F62A02440}" name="Business" dataDxfId="26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B412E3C5-E668-4DE6-83CA-2BE776248564}" name="UK_IT_Roles_tbl" displayName="UK_IT_Roles_tbl" ref="G7:G15" totalsRowShown="0" headerRowDxfId="259" dataDxfId="257" headerRowBorderDxfId="258" tableBorderDxfId="256" totalsRowBorderDxfId="255" headerRowCellStyle="Normal 4">
  <autoFilter ref="G7:G15" xr:uid="{11EE8A29-625C-4324-8D5E-EFA0B7BDDBFB}"/>
  <tableColumns count="1">
    <tableColumn id="1" xr3:uid="{2D0002B8-FCD6-4626-9742-DD1AA80F5483}" name="UK_IT" dataDxfId="254"/>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39EBFF1C-DA7F-4320-8480-A8B24CC1FD19}" name="GF_Roles_tbl" displayName="GF_Roles_tbl" ref="H7:H21" totalsRowShown="0" headerRowDxfId="253" dataDxfId="251" headerRowBorderDxfId="252" tableBorderDxfId="250" totalsRowBorderDxfId="249" headerRowCellStyle="Normal 4">
  <autoFilter ref="H7:H21" xr:uid="{B3B222D5-AC23-4836-BC6D-9F79D50DFD64}"/>
  <tableColumns count="1">
    <tableColumn id="1" xr3:uid="{31A565C2-BAB0-4648-9A12-46CB2529956F}" name="GroupFunction" dataDxfId="248"/>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879B8EF3-ACD5-4FE5-B390-1A420CBAA58C}" name="AD_Roles_tbl" displayName="AD_Roles_tbl" ref="B7:B23" totalsRowShown="0" headerRowDxfId="247" dataDxfId="245" headerRowBorderDxfId="246" tableBorderDxfId="244" totalsRowBorderDxfId="243" headerRowCellStyle="Normal 4">
  <autoFilter ref="B7:B23" xr:uid="{70CCDCAF-9DCC-44E4-AA7F-DBC1BCFF9139}"/>
  <sortState xmlns:xlrd2="http://schemas.microsoft.com/office/spreadsheetml/2017/richdata2" ref="B8:B23">
    <sortCondition ref="B8:B23"/>
  </sortState>
  <tableColumns count="1">
    <tableColumn id="1" xr3:uid="{F125217D-2F17-40CE-8CE7-B0855C827D51}" name="AppDevelopment" dataDxfId="242"/>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C7759F-60B5-4F63-8A6A-E4A781AA2340}" name="Security_tbl" displayName="Security_tbl" ref="C2:C5" totalsRowShown="0" headerRowDxfId="241" dataDxfId="239" headerRowBorderDxfId="240" tableBorderDxfId="238" totalsRowBorderDxfId="237">
  <autoFilter ref="C2:C5" xr:uid="{00000000-0009-0000-0100-000005000000}"/>
  <tableColumns count="1">
    <tableColumn id="1" xr3:uid="{3DAB96EB-7E2F-46A3-B837-0C0DD17447CB}" name="Security" dataDxfId="236"/>
  </tableColumns>
  <tableStyleInfo name="TableStyleLight1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0FFE2A5-330A-4130-8A4F-2FD42DE4DF94}" name="IO_Tbl" displayName="IO_Tbl" ref="D2:D6" totalsRowShown="0" headerRowDxfId="235" headerRowBorderDxfId="234" tableBorderDxfId="233" totalsRowBorderDxfId="232">
  <autoFilter ref="D2:D6" xr:uid="{00000000-0009-0000-0100-000006000000}"/>
  <tableColumns count="1">
    <tableColumn id="1" xr3:uid="{222ADBAF-534C-4CEA-AAAF-E8C0B959F7BC}" name="Infra_Operations" dataDxfId="231"/>
  </tableColumns>
  <tableStyleInfo name="TableStyleLight1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F7E1F88-0288-47E4-A549-308229D0F86E}" name="AD_tbl" displayName="AD_tbl" ref="B2:B5" totalsRowShown="0" headerRowDxfId="230" dataDxfId="228" headerRowBorderDxfId="229" tableBorderDxfId="227" totalsRowBorderDxfId="226">
  <autoFilter ref="B2:B5" xr:uid="{00000000-0009-0000-0100-000007000000}"/>
  <tableColumns count="1">
    <tableColumn id="1" xr3:uid="{16AB9275-A13A-4280-ADA8-E17F5EB4F1F1}" name="AppDevelopment" dataDxfId="225"/>
  </tableColumns>
  <tableStyleInfo name="TableStyleLight1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5175494-3941-480C-B729-84BC4D80AFEF}" name="Arch_tbl" displayName="Arch_tbl" ref="E2:E3" totalsRowShown="0" headerRowDxfId="224" dataDxfId="222" headerRowBorderDxfId="223" tableBorderDxfId="221" totalsRowBorderDxfId="220">
  <autoFilter ref="E2:E3" xr:uid="{00000000-0009-0000-0100-000009000000}"/>
  <tableColumns count="1">
    <tableColumn id="1" xr3:uid="{8116EF98-B027-45C0-98C6-E8BFB5BF078F}" name="Architecture" dataDxfId="219"/>
  </tableColumns>
  <tableStyleInfo name="TableStyleLight1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CB77BC9-03DD-4C31-B421-F690D986A340}" name="Business_tbl" displayName="Business_tbl" ref="F2:F3" totalsRowShown="0" headerRowDxfId="218" dataDxfId="216" headerRowBorderDxfId="217" tableBorderDxfId="215" totalsRowBorderDxfId="214">
  <autoFilter ref="F2:F3" xr:uid="{00000000-0009-0000-0100-00000A000000}"/>
  <tableColumns count="1">
    <tableColumn id="1" xr3:uid="{281E1125-E4F9-4B9E-A081-D1F178A629CC}" name="Business" dataDxfId="213"/>
  </tableColumns>
  <tableStyleInfo name="TableStyleLight1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1EB906B9-8921-4696-9D97-911017AD2B22}" name="US_IT_tbl" displayName="US_IT_tbl" ref="A2:A3" totalsRowShown="0" headerRowDxfId="212" dataDxfId="210" headerRowBorderDxfId="211" tableBorderDxfId="209" totalsRowBorderDxfId="208" headerRowCellStyle="Normal 4" dataCellStyle="Normal 4">
  <autoFilter ref="A2:A3" xr:uid="{CCED7AE3-7272-4568-85F3-5AB8EA0A65B4}"/>
  <tableColumns count="1">
    <tableColumn id="1" xr3:uid="{26005DB6-AC04-42B9-9646-BDCAFF8CC201}" name="US_IT" dataDxfId="207" dataCellStyle="Normal 4"/>
  </tableColumns>
  <tableStyleInfo name="TableStyleLight1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9F05D80-2CDD-4C0F-AA05-57E2DEB80973}" name="US_IT_Oth_tbl" displayName="US_IT_Oth_tbl" ref="A12:A13" totalsRowShown="0" headerRowDxfId="206" dataDxfId="204" headerRowBorderDxfId="205" tableBorderDxfId="203" totalsRowBorderDxfId="202" headerRowCellStyle="Normal 4" dataCellStyle="Normal 4">
  <autoFilter ref="A12:A13" xr:uid="{193DAB6D-FCEB-48C8-B7A5-1211C063CAA8}"/>
  <tableColumns count="1">
    <tableColumn id="1" xr3:uid="{C3B0180E-9B3E-4EA3-A404-1951F2B7A858}" name="US_IT" dataDxfId="201" dataCellStyle="Normal 4"/>
  </tableColumns>
  <tableStyleInfo name="TableStyleLight1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AA42034-AEDD-46AA-92AB-A56EBEC911BE}" name="AD_Oth_tbl" displayName="AD_Oth_tbl" ref="B12:B15" totalsRowShown="0" headerRowDxfId="200" dataDxfId="198" headerRowBorderDxfId="199" tableBorderDxfId="197" totalsRowBorderDxfId="196" headerRowCellStyle="Normal 4" dataCellStyle="Normal 4">
  <autoFilter ref="B12:B15" xr:uid="{E55D60AF-30EE-487A-A885-5C6515C5971A}"/>
  <tableColumns count="1">
    <tableColumn id="1" xr3:uid="{F691064D-22DB-4BA1-9DE6-7334604677F8}" name="AppDevelopment" dataDxfId="195" dataCellStyle="Normal 4"/>
  </tableColumns>
  <tableStyleInfo name="TableStyleLight1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09E3792-0789-4F71-AC13-D279670DFE69}" name="Security_Oth_tbl" displayName="Security_Oth_tbl" ref="C12:C15" totalsRowShown="0" headerRowDxfId="194" dataDxfId="192" headerRowBorderDxfId="193" tableBorderDxfId="191" totalsRowBorderDxfId="190" headerRowCellStyle="Normal 4" dataCellStyle="Normal 4">
  <autoFilter ref="C12:C15" xr:uid="{A5D81633-331F-4582-8DED-74474DCBE28B}"/>
  <tableColumns count="1">
    <tableColumn id="1" xr3:uid="{16A6FD9B-1C0F-431F-B6B9-8A055CC59A1A}" name="Security" dataDxfId="189" dataCellStyle="Normal 4"/>
  </tableColumns>
  <tableStyleInfo name="TableStyleLight1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5DB5F87-AB7F-425A-BE5E-6B56D5AB5FAF}" name="IO_Oth_tbl" displayName="IO_Oth_tbl" ref="D12:D19" totalsRowShown="0" headerRowDxfId="188" dataDxfId="186" headerRowBorderDxfId="187" tableBorderDxfId="185" totalsRowBorderDxfId="184" headerRowCellStyle="Normal 4" dataCellStyle="Normal 4">
  <autoFilter ref="D12:D19" xr:uid="{2B1B4AFF-C04C-452E-8622-FF03C5AE5A01}"/>
  <tableColumns count="1">
    <tableColumn id="1" xr3:uid="{0A8C0690-BD03-4946-9598-2DD05F46043F}" name="Infra_Operations" dataDxfId="183" dataCellStyle="Normal 4"/>
  </tableColumns>
  <tableStyleInfo name="TableStyleLight1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0164232-9160-4033-90E2-2A5C72C9671E}" name="Arch_Oth_tbl" displayName="Arch_Oth_tbl" ref="E12:E13" totalsRowShown="0" headerRowDxfId="182" dataDxfId="180" headerRowBorderDxfId="181" tableBorderDxfId="179" totalsRowBorderDxfId="178" headerRowCellStyle="Normal 4" dataCellStyle="Normal 4">
  <autoFilter ref="E12:E13" xr:uid="{1B86F026-F8D7-48CF-8FF6-433AFC58532D}"/>
  <tableColumns count="1">
    <tableColumn id="1" xr3:uid="{845687C0-90ED-4554-92B2-244FEDC14880}" name="Architecture" dataDxfId="177" dataCellStyle="Normal 4"/>
  </tableColumns>
  <tableStyleInfo name="TableStyleLight1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EE8933D-E886-4D58-AFC2-20F298532B11}" name="Business_Oth_tbl" displayName="Business_Oth_tbl" ref="G12:G13" totalsRowShown="0" headerRowDxfId="176" dataDxfId="174" headerRowBorderDxfId="175" tableBorderDxfId="173" totalsRowBorderDxfId="172" headerRowCellStyle="Normal 4" dataCellStyle="Normal 4">
  <autoFilter ref="G12:G13" xr:uid="{9DE0B29F-D514-4E29-A5BE-10F6F98B8D05}"/>
  <tableColumns count="1">
    <tableColumn id="1" xr3:uid="{46D7DFDF-13BF-44E4-BA52-83036A743194}" name="Business" dataDxfId="171" dataCellStyle="Normal 4"/>
  </tableColumns>
  <tableStyleInfo name="TableStyleLight1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C02FE2C2-8A65-4993-B88B-EEBAEE2C8CF1}" name="Software_tbl" displayName="Software_tbl" ref="F12:F13" totalsRowShown="0" headerRowDxfId="170" dataDxfId="168" headerRowBorderDxfId="169" tableBorderDxfId="167" totalsRowBorderDxfId="166" headerRowCellStyle="Normal 4" dataCellStyle="Normal 4">
  <autoFilter ref="F12:F13" xr:uid="{9570368A-3F72-4283-93B0-7C94E8BC3D13}"/>
  <tableColumns count="1">
    <tableColumn id="1" xr3:uid="{E7A6104B-C82D-4C32-A45B-62A63392A8C9}" name="Software" dataDxfId="165" dataCellStyle="Normal 4"/>
  </tableColumns>
  <tableStyleInfo name="TableStyleLight1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0859761-C5A0-47C1-81F5-AC15A25B82B0}" name="Planning_Oth_tbl" displayName="Planning_Oth_tbl" ref="A25:A26" totalsRowShown="0" headerRowDxfId="164" dataDxfId="162" headerRowBorderDxfId="163" tableBorderDxfId="161" totalsRowBorderDxfId="160" headerRowCellStyle="Normal 4" dataCellStyle="Normal 4">
  <autoFilter ref="A25:A26" xr:uid="{7BD42F3B-902F-41F5-A735-85D6FA7005A3}"/>
  <tableColumns count="1">
    <tableColumn id="1" xr3:uid="{0C12506A-9B62-4F3B-B363-A33841E208E4}" name="Planning" dataDxfId="159" dataCellStyle="Normal 4"/>
  </tableColumns>
  <tableStyleInfo name="TableStyleLight1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3791D3B4-862A-4196-838B-6A241ACE64BE}" name="Pilot_Imp_Oth_tbl" displayName="Pilot_Imp_Oth_tbl" ref="B25:B38" totalsRowShown="0" headerRowDxfId="158" dataDxfId="156" headerRowBorderDxfId="157" tableBorderDxfId="155" totalsRowBorderDxfId="154" headerRowCellStyle="Normal 4" dataCellStyle="Normal 4">
  <autoFilter ref="B25:B38" xr:uid="{DDB53A04-C991-43CC-A856-1E067394463E}"/>
  <tableColumns count="1">
    <tableColumn id="1" xr3:uid="{EFC7F407-9A08-4901-BD61-539222D97D64}" name="Pilot_Implementation" dataDxfId="153" dataCellStyle="Normal 4"/>
  </tableColumns>
  <tableStyleInfo name="TableStyleLight11"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54677589-F8D6-4533-ADF9-F5E5BE569E95}" name="DevTest_Oth_tbl" displayName="DevTest_Oth_tbl" ref="C25:C37" totalsRowShown="0" headerRowDxfId="152" dataDxfId="150" headerRowBorderDxfId="151" tableBorderDxfId="149" totalsRowBorderDxfId="148" headerRowCellStyle="Normal 4" dataCellStyle="Normal 4">
  <autoFilter ref="C25:C37" xr:uid="{FE98E2BE-1EBA-438E-8975-AFA43144FCCF}"/>
  <tableColumns count="1">
    <tableColumn id="1" xr3:uid="{12243304-A7F8-4264-B355-94D4BCB4F7E7}" name="Development_Testing" dataDxfId="147" dataCellStyle="Normal 4"/>
  </tableColumns>
  <tableStyleInfo name="TableStyleLight11"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A6798CAA-3BD1-4F16-A0E9-596BE1072F4E}" name="Init_Install_Oth_tbl" displayName="Init_Install_Oth_tbl" ref="D25:D30" totalsRowShown="0" headerRowDxfId="146" dataDxfId="144" headerRowBorderDxfId="145" tableBorderDxfId="143" totalsRowBorderDxfId="142" headerRowCellStyle="Normal 4" dataCellStyle="Normal 4">
  <autoFilter ref="D25:D30" xr:uid="{38161294-6C3C-4C1F-8822-CCD7B4E6A3D9}"/>
  <tableColumns count="1">
    <tableColumn id="1" xr3:uid="{AD739EE2-D42C-40A8-82A7-7EB5CBCE9EF8}" name="Initial_Installation" dataDxfId="141" dataCellStyle="Normal 4"/>
  </tableColumns>
  <tableStyleInfo name="TableStyleLight1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6452D54E-0CF8-4687-A32E-9A20B742D90B}" name="Arch_Int_Oth_tbl" displayName="Arch_Int_Oth_tbl" ref="E25:E28" totalsRowShown="0" headerRowDxfId="140" dataDxfId="138" headerRowBorderDxfId="139" tableBorderDxfId="137" totalsRowBorderDxfId="136" headerRowCellStyle="Normal 4" dataCellStyle="Normal 4">
  <autoFilter ref="E25:E28" xr:uid="{167F1E68-CE69-4E39-B38A-5837319CE5A6}"/>
  <tableColumns count="1">
    <tableColumn id="1" xr3:uid="{C51CBF36-980C-444B-8C2C-DD511DE246E1}" name="Architecture_Interfaces" dataDxfId="135" dataCellStyle="Normal 4"/>
  </tableColumns>
  <tableStyleInfo name="TableStyleLight1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8A34A07E-3602-4791-B433-C0E79D388B98}" name="Bus_Cost_Oth_tbl" displayName="Bus_Cost_Oth_tbl" ref="J25:J27" totalsRowShown="0" headerRowDxfId="134" dataDxfId="132" headerRowBorderDxfId="133" tableBorderDxfId="131" totalsRowBorderDxfId="130" headerRowCellStyle="Normal 4" dataCellStyle="Normal 4">
  <autoFilter ref="J25:J27" xr:uid="{75A334A6-B539-4808-B9F5-29FB4DFD71CB}"/>
  <tableColumns count="1">
    <tableColumn id="1" xr3:uid="{B83E9693-A613-49BF-B044-DBDEED805F03}" name="Business_Cost" dataDxfId="129" dataCellStyle="Normal 4"/>
  </tableColumns>
  <tableStyleInfo name="TableStyleLight1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70F731DE-1C2E-446D-AEF9-A4B025946168}" name="Hardware_tbl" displayName="Hardware_tbl" ref="H25:H30" totalsRowShown="0" headerRowDxfId="128" dataDxfId="126" headerRowBorderDxfId="127" tableBorderDxfId="125" totalsRowBorderDxfId="124" headerRowCellStyle="Normal 4" dataCellStyle="Normal 4">
  <autoFilter ref="H25:H30" xr:uid="{C70D21D4-8F3E-49FD-8AB7-4BA95692E4E1}"/>
  <tableColumns count="1">
    <tableColumn id="1" xr3:uid="{7DD7FB34-E53E-49D7-9996-B25E054233AD}" name="Hardware" dataDxfId="123" dataCellStyle="Normal 4"/>
  </tableColumns>
  <tableStyleInfo name="TableStyleLight1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2CBE4E9-A2CF-401B-96B0-C5CE8D7DF080}" name="Software_Costs_tbl" displayName="Software_Costs_tbl" ref="I25:I33" totalsRowShown="0" headerRowDxfId="122" dataDxfId="120" headerRowBorderDxfId="121" tableBorderDxfId="119" totalsRowBorderDxfId="118" headerRowCellStyle="Normal 4" dataCellStyle="Normal 4">
  <autoFilter ref="I25:I33" xr:uid="{17F38261-7529-4975-BD8B-B8ABB6444924}"/>
  <tableColumns count="1">
    <tableColumn id="1" xr3:uid="{1D70E9DD-476A-49E2-831D-F5A69D8D6384}" name="Software_Costs" dataDxfId="117" dataCellStyle="Normal 4"/>
  </tableColumns>
  <tableStyleInfo name="TableStyleLight1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873078A7-8782-4C28-8975-EDD4AF50C9D1}" name="Telecom_tbl" displayName="Telecom_tbl" ref="F25:F28" totalsRowShown="0" headerRowDxfId="116" dataDxfId="114" headerRowBorderDxfId="115" tableBorderDxfId="113" totalsRowBorderDxfId="112" headerRowCellStyle="Normal 4" dataCellStyle="Normal 4">
  <autoFilter ref="F25:F28" xr:uid="{1BF433F4-CFC7-46B0-AC2D-997081AD032E}"/>
  <tableColumns count="1">
    <tableColumn id="1" xr3:uid="{0395ED0B-CBA5-4B0A-BF66-EFA9AAF26EBE}" name="Telecommunications" dataDxfId="111" dataCellStyle="Normal 4"/>
  </tableColumns>
  <tableStyleInfo name="TableStyleLight1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947F3A1-EBAF-4E84-B8B1-0BAAEB99E317}" name="Misc_tbl" displayName="Misc_tbl" ref="G25:G29" totalsRowShown="0" headerRowDxfId="110" dataDxfId="108" headerRowBorderDxfId="109" tableBorderDxfId="107" totalsRowBorderDxfId="106" headerRowCellStyle="Normal 4" dataCellStyle="Normal 4">
  <autoFilter ref="G25:G29" xr:uid="{E0F2E9DC-1B25-437C-B2AB-CE233CA92934}"/>
  <tableColumns count="1">
    <tableColumn id="1" xr3:uid="{F092C306-B9E0-4A9A-8674-1948E121E384}" name="Miscellaneous" dataDxfId="105" dataCellStyle="Normal 4"/>
  </tableColumns>
  <tableStyleInfo name="TableStyleLight11"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B6ACF1FA-7C32-425F-B996-8B1AA3E4534A}" name="UK_IT_tbl" displayName="UK_IT_tbl" ref="G2:G6" totalsRowShown="0" headerRowDxfId="104" dataDxfId="102" headerRowBorderDxfId="103" tableBorderDxfId="101" totalsRowBorderDxfId="100" headerRowCellStyle="Normal 4" dataCellStyle="Normal 4">
  <autoFilter ref="G2:G6" xr:uid="{D24FFB9A-8EE3-4FCC-90DB-7F3629E65361}"/>
  <tableColumns count="1">
    <tableColumn id="1" xr3:uid="{4893134B-44EC-4361-B29F-FF10B227E6D3}" name="UK_IT" dataDxfId="99" dataCellStyle="Normal 4"/>
  </tableColumns>
  <tableStyleInfo name="TableStyleLight1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DFDD74E5-CA83-414B-A73E-958EF0F7AEF6}" name="GroupFunc_tbl" displayName="GroupFunc_tbl" ref="H2:H4" totalsRowShown="0" headerRowDxfId="98" dataDxfId="96" headerRowBorderDxfId="97" tableBorderDxfId="95" totalsRowBorderDxfId="94" headerRowCellStyle="Normal 4" dataCellStyle="Normal 4">
  <autoFilter ref="H2:H4" xr:uid="{80C4C08D-DCBA-44DF-88CA-3B2F8FA23F2A}"/>
  <tableColumns count="1">
    <tableColumn id="1" xr3:uid="{0E410D4F-2A4A-431D-B358-A9A3AB67B798}" name="GroupFunction" dataDxfId="93" dataCellStyle="Normal 4"/>
  </tableColumns>
  <tableStyleInfo name="TableStyleLight11"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910F1DAC-C3F9-4D98-B59B-D04519E2F269}" name="UK_IT_Oth_tbl" displayName="UK_IT_Oth_tbl" ref="H12:H16" totalsRowShown="0" headerRowDxfId="92" dataDxfId="90" headerRowBorderDxfId="91" tableBorderDxfId="89" totalsRowBorderDxfId="88" headerRowCellStyle="Normal 4" dataCellStyle="Normal 4">
  <autoFilter ref="H12:H16" xr:uid="{5D709AEF-41AB-4925-B09B-22933245DFDE}"/>
  <tableColumns count="1">
    <tableColumn id="1" xr3:uid="{AFB2D934-B0AE-4913-87B7-9095C3900182}" name="UK_IT" dataDxfId="87" dataCellStyle="Normal 4"/>
  </tableColumns>
  <tableStyleInfo name="TableStyleLight1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C850E04A-7A96-41A7-A89E-9C33C93331A9}" name="GroupFunc_Oth_tbl" displayName="GroupFunc_Oth_tbl" ref="I12:I14" totalsRowShown="0" headerRowDxfId="86" dataDxfId="84" headerRowBorderDxfId="85" tableBorderDxfId="83" totalsRowBorderDxfId="82" headerRowCellStyle="Normal 4" dataCellStyle="Normal 4">
  <autoFilter ref="I12:I14" xr:uid="{FBE02352-6273-46EA-A345-AE566AD4829F}"/>
  <tableColumns count="1">
    <tableColumn id="1" xr3:uid="{D2FCBFC4-AF63-483B-8B3D-4BC6FBB29D8E}" name="GroupFunction" dataDxfId="81" dataCellStyle="Normal 4"/>
  </tableColumns>
  <tableStyleInfo name="TableStyleLight11"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DB058F19-8ECE-4FFF-9AFE-414A98BF61E3}" name="Cent_Perf_PMO_Oth_tbl" displayName="Cent_Perf_PMO_Oth_tbl" ref="K25:K27" totalsRowShown="0" headerRowDxfId="80" dataDxfId="78" headerRowBorderDxfId="79" tableBorderDxfId="77" totalsRowBorderDxfId="76" headerRowCellStyle="Normal 4" dataCellStyle="Normal 4">
  <autoFilter ref="K25:K27" xr:uid="{B56AFEC6-00ED-4B3D-9B10-EDC2F16F2098}"/>
  <tableColumns count="1">
    <tableColumn id="1" xr3:uid="{6DA1D458-352D-456D-8256-EB03D7DCA062}" name="Central_Performance_PMO" dataDxfId="75" dataCellStyle="Normal 4"/>
  </tableColumns>
  <tableStyleInfo name="TableStyleLight11"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55EA9E26-95FA-4617-AD60-47EBBD20209F}" name="Benefit_Type" displayName="Benefit_Type" ref="A2:A4" totalsRowShown="0" headerRowDxfId="74" tableBorderDxfId="73">
  <autoFilter ref="A2:A4" xr:uid="{00000000-0009-0000-0100-000001000000}"/>
  <tableColumns count="1">
    <tableColumn id="1" xr3:uid="{E64D0EAD-602A-479B-A601-8F64E5E5858B}" name="Benefits"/>
  </tableColumns>
  <tableStyleInfo name="TableStyleLight11"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12E879F9-CD75-40E5-9AEA-9EDD1B4D898A}" name="BenType1" displayName="BenType1" ref="C2:C3" totalsRowShown="0" headerRowDxfId="72" tableBorderDxfId="71">
  <autoFilter ref="C2:C3" xr:uid="{00000000-0009-0000-0100-000002000000}"/>
  <tableColumns count="1">
    <tableColumn id="1" xr3:uid="{8C1DCD31-D515-4BFE-855D-BDF76CF192BA}" name="Type1"/>
  </tableColumns>
  <tableStyleInfo name="TableStyleMedium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6146B706-BC63-4C84-9CA9-C5CAC786DDCD}" name="BenType2" displayName="BenType2" ref="E2:E5" totalsRowShown="0" headerRowDxfId="70" tableBorderDxfId="69">
  <autoFilter ref="E2:E5" xr:uid="{00000000-0009-0000-0100-000003000000}"/>
  <tableColumns count="1">
    <tableColumn id="1" xr3:uid="{17CF55CC-355B-4500-BAC6-2911BC529E40}" name="Type2"/>
  </tableColumns>
  <tableStyleInfo name="TableStyleMedium4"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ACF8DD0C-2C5A-4478-ABB2-4BCFA6FBE6A5}" name="Bene_Owner_tbl" displayName="Bene_Owner_tbl" ref="G2:H8" totalsRowShown="0" headerRowDxfId="68" tableBorderDxfId="67" headerRowCellStyle="Normal 4">
  <autoFilter ref="G2:H8" xr:uid="{720556A8-04EB-48C7-A0DF-CCC7F1BA8DA0}"/>
  <tableColumns count="2">
    <tableColumn id="1" xr3:uid="{9B692BC7-DF91-4ECC-8877-0B74DEC8A36B}" name="Benefit" dataDxfId="66" dataCellStyle="Normal 4"/>
    <tableColumn id="2" xr3:uid="{60D830F1-885D-4B21-8CF6-DCC755D5B485}" name="Owner" dataDxfId="65" dataCellStyle="Normal 4">
      <calculatedColumnFormula>'Benefits Drop Down Values'!F2</calculatedColumnFormula>
    </tableColumn>
  </tableColumns>
  <tableStyleInfo name="TableStyleLight11"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831B8B01-E806-4958-A546-F1C648ACF440}" name="RTB_BudgetOwner_tbl" displayName="RTB_BudgetOwner_tbl" ref="P2:Q12" totalsRowShown="0" headerRowDxfId="64" dataDxfId="63" headerRowCellStyle="Normal 4" dataCellStyle="Normal 4">
  <autoFilter ref="P2:Q12" xr:uid="{3CD40F96-E67B-46D5-AD02-4140C1B46521}"/>
  <tableColumns count="2">
    <tableColumn id="1" xr3:uid="{49E0B553-3BF5-42DB-B2BD-8ABEABACD45B}" name="Core Budget Owners" dataDxfId="62" dataCellStyle="Normal 4"/>
    <tableColumn id="2" xr3:uid="{3A6E0B69-1301-483A-9E16-D6BCC724F153}" name="Function" dataDxfId="61" dataCellStyle="Normal 4"/>
  </tableColumns>
  <tableStyleInfo name="Table Style 1"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2694A23D-FCBB-48ED-8BB8-0047D542DB42}" name="US_tbl" displayName="US_tbl" ref="A1:A14" totalsRowShown="0" headerRowDxfId="60" dataDxfId="59" headerRowCellStyle="Normal 4" dataCellStyle="Normal 4">
  <autoFilter ref="A1:A14" xr:uid="{84B57694-F48B-4246-AFAB-B2ED3E0AC7E6}"/>
  <tableColumns count="1">
    <tableColumn id="1" xr3:uid="{E62590E1-A9D5-4404-B66E-EF355F7260E1}" name="US Business Area" dataDxfId="58" dataCellStyle="Normal 4"/>
  </tableColumns>
  <tableStyleInfo name="TableStyleLight9"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F8ED8324-24BB-4D42-9482-608CB79FBFEC}" name="UK_tbl" displayName="UK_tbl" ref="A16:A30" totalsRowShown="0" headerRowDxfId="57" dataDxfId="56">
  <autoFilter ref="A16:A30" xr:uid="{CF2D23D8-80CE-4462-ACFC-6BE014BE9585}"/>
  <tableColumns count="1">
    <tableColumn id="1" xr3:uid="{B8A531A3-6A40-4BE1-A311-8FB969B8ABAD}" name="UK Business Area" dataDxfId="55"/>
  </tableColumns>
  <tableStyleInfo name="TableStyleLight9"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7F55EAE5-26D5-4573-9D9B-81E0753D3A1C}" name="Opex_Rules_tbl" displayName="Opex_Rules_tbl" ref="X2:X10" totalsRowShown="0" headerRowDxfId="54" dataDxfId="52" headerRowBorderDxfId="53" tableBorderDxfId="51" totalsRowBorderDxfId="50" headerRowCellStyle="Normal 4">
  <autoFilter ref="X2:X10" xr:uid="{2FB80DC7-B948-4A46-8720-E93FF33F1B11}"/>
  <tableColumns count="1">
    <tableColumn id="1" xr3:uid="{66AA3B56-8B76-48D4-8075-0333CFEB8518}" name="OpEx Categories of Work" dataDxfId="49"/>
  </tableColumns>
  <tableStyleInfo name="Table Style 2"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F6B95A61-6C52-46D2-8186-D30BE3EAC87D}" name="Biz_Partners_tbl" displayName="Biz_Partners_tbl" ref="C1:C17" totalsRowShown="0" headerRowDxfId="48" dataDxfId="47" tableBorderDxfId="46" headerRowCellStyle="Normal 4" dataCellStyle="Normal 4">
  <autoFilter ref="C1:C17" xr:uid="{263CAF32-C15E-421D-9439-394AEE00254C}"/>
  <tableColumns count="1">
    <tableColumn id="1" xr3:uid="{9DC8171A-644C-4FCC-8DCE-AAE9122BEE0F}" name="Business Partners" dataDxfId="45" dataCellStyle="Normal 4"/>
  </tableColumns>
  <tableStyleInfo name="TableStyleLight9"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802F7A1-F928-4889-A894-0808E07481C7}" name="INVID_qry" displayName="INVID_qry" ref="A1:Q5769" tableType="queryTable" totalsRowShown="0">
  <autoFilter ref="A1:Q5769" xr:uid="{DF21AA1D-EFDB-4F74-BF7F-42E322970936}"/>
  <sortState xmlns:xlrd2="http://schemas.microsoft.com/office/spreadsheetml/2017/richdata2" ref="A2:Q5769">
    <sortCondition descending="1" ref="A1:A5769"/>
  </sortState>
  <tableColumns count="17">
    <tableColumn id="1" xr3:uid="{F1968BAB-6547-4D32-A2C1-51ADAC5B6EE0}" uniqueName="Title" name="INVID" queryTableFieldId="1" dataDxfId="44"/>
    <tableColumn id="2" xr3:uid="{88144058-C7A5-4407-87F0-98BF75FD256B}" uniqueName="Region" name="Region" queryTableFieldId="3" dataDxfId="43"/>
    <tableColumn id="3" xr3:uid="{8C469BF2-93C5-45EE-B262-7E5B0987EA70}" uniqueName="Investment_x005f_x0020_Name" name="Investment Name" queryTableFieldId="2" dataDxfId="42"/>
    <tableColumn id="4" xr3:uid="{660F6C3B-3CBD-4D45-A183-DC13722E3CA6}" uniqueName="Investment_x005f_x0020_Type" name="Investment Type" queryTableFieldId="7" dataDxfId="41"/>
    <tableColumn id="5" xr3:uid="{49E7BE1C-5074-4259-AFF5-76F532A9638B}" uniqueName="FY" name="FY" queryTableFieldId="8" dataDxfId="40"/>
    <tableColumn id="6" xr3:uid="{BF1D3317-F908-41FC-9618-B65D5430742B}" uniqueName="BU" name="BU" queryTableFieldId="4" dataDxfId="39"/>
    <tableColumn id="7" xr3:uid="{CE2B82C5-5445-49D3-8245-7633DC0B060C}" uniqueName="Portfolio" name="Portfolio" queryTableFieldId="5" dataDxfId="38"/>
    <tableColumn id="8" xr3:uid="{A0123EEC-A1A8-4FD7-B186-28AA9CC44D37}" uniqueName="IT_x005f_x0020_Area" name="IT Area" queryTableFieldId="6" dataDxfId="37"/>
    <tableColumn id="9" xr3:uid="{3FAD4D1A-E497-482D-8FC9-3CCEBD382651}" uniqueName="Walk_x005f_x0020_In" name="Walk In" queryTableFieldId="9" dataDxfId="36"/>
    <tableColumn id="10" xr3:uid="{AA14072A-4B49-47E4-BB07-6D79D39DFFF2}" uniqueName="BP" name="BP" queryTableFieldId="10" dataDxfId="35"/>
    <tableColumn id="11" xr3:uid="{9574A939-1971-494F-AEDC-BF71D0C94BBD}" uniqueName="Track" name="Track" queryTableFieldId="11" dataDxfId="34"/>
    <tableColumn id="12" xr3:uid="{41CC1FB7-C4CB-4154-BCC4-81DE683E6E0F}" uniqueName="Parent" name="Parent" queryTableFieldId="12" dataDxfId="33"/>
    <tableColumn id="13" xr3:uid="{8676FCBE-3FEB-4EB5-84EC-B2D127EDFB9A}" uniqueName="Investment_x005f_x0020_Reason" name="Investment Reason" queryTableFieldId="13" dataDxfId="32"/>
    <tableColumn id="14" xr3:uid="{C180363F-20F5-41B3-B136-F32D9D1A87C4}" uniqueName="RequestID" name="RequestID" queryTableFieldId="14" dataDxfId="31"/>
    <tableColumn id="15" xr3:uid="{98E746AC-6A0A-45C1-ACAC-3BB21C7E6ABD}" uniqueName="FSObjType" name="Item Type" queryTableFieldId="16" dataDxfId="30"/>
    <tableColumn id="16" xr3:uid="{32D9416B-0177-414F-B0C5-F45EA6833360}" uniqueName="FileDirRef" name="Path" queryTableFieldId="15" dataDxfId="29"/>
    <tableColumn id="17" xr3:uid="{6B40164A-DFFC-47AE-A843-00445AB80507}" uniqueName="Created" name="Created" queryTableFieldId="17" dataDxfId="28"/>
  </tableColumns>
  <tableStyleInfo name="TableStyleMedium2"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27D5F17-D273-4F0A-A09A-809F7CA6C11E}" name="Order_qry" displayName="Order_qry" ref="A1:AB1870" tableType="queryTable" totalsRowShown="0">
  <autoFilter ref="A1:AB1870" xr:uid="{0D14353D-DFD1-453B-B723-8A87C35C1FBF}"/>
  <tableColumns count="28">
    <tableColumn id="1" xr3:uid="{D66B0D38-6270-4548-A921-5CD2A2EC3CD0}" uniqueName="Title" name="INVID" queryTableFieldId="18" dataDxfId="27"/>
    <tableColumn id="2" xr3:uid="{10E3DFB9-D6CD-45E8-9EB3-29A49262E139}" uniqueName="Name1" name="Name" queryTableFieldId="19" dataDxfId="26"/>
    <tableColumn id="6" xr3:uid="{083F3712-2724-4949-8054-C5088EF7EDF5}" uniqueName="Cost_x005f_x0020_Category" name="Cost Category" queryTableFieldId="3" dataDxfId="25"/>
    <tableColumn id="7" xr3:uid="{2BBE243F-9691-4949-BC98-AAFA2768F9EB}" uniqueName="Consolidated_x005f_x0020_Order" name="Consolidated Order" queryTableFieldId="7" dataDxfId="24"/>
    <tableColumn id="3" xr3:uid="{EE5150E8-D42F-4D80-86C9-9B892697FCBF}" uniqueName="Status" name="Status" queryTableFieldId="20" dataDxfId="23"/>
    <tableColumn id="12" xr3:uid="{DA619999-B85F-4C44-9D84-D90127C97DC3}" uniqueName="Date_x005f_x0020_Closed" name="Date Closed" queryTableFieldId="14" dataDxfId="22"/>
    <tableColumn id="5" xr3:uid="{D2A2215B-CD24-41AB-973A-6D5927448381}" uniqueName="SAP_x005f_x0020_Name" name="SAP Name" queryTableFieldId="21" dataDxfId="21"/>
    <tableColumn id="9" xr3:uid="{168635D6-0FFB-4F55-9199-6C05361A0389}" uniqueName="Company_x005f_x0023_" name="Company#" queryTableFieldId="22" dataDxfId="20"/>
    <tableColumn id="14" xr3:uid="{E6F9E456-5DD4-420A-BF20-484D81926B0A}" uniqueName="SAP_x005f_x0020_Project_x005f_x0023_" name="SAP Project#" queryTableFieldId="23" dataDxfId="19"/>
    <tableColumn id="17" xr3:uid="{1A7E7E65-42EB-44F6-9442-88E380A0DE69}" uniqueName="Work_x005f_x0020_Order_x005f_x0023_" name="Work Order#" queryTableFieldId="24" dataDxfId="18"/>
    <tableColumn id="18" xr3:uid="{7756755E-2193-43CA-A5EE-AD87D88F0E66}" uniqueName="Operation_x005f_x0020_Code" name="Operation Code" queryTableFieldId="25" dataDxfId="17"/>
    <tableColumn id="19" xr3:uid="{45EEBA32-682A-4AFE-9CF8-E21C73A89C07}" uniqueName="Internal_x005f_x0020_Order_x005f_x0023_" name="Internal Order#" queryTableFieldId="26" dataDxfId="16"/>
    <tableColumn id="8" xr3:uid="{31C02B92-0FDC-4CE9-9F67-45BB1458B2F7}" uniqueName="Allocation_x005f_x0020_Code" name="Allocation Code" queryTableFieldId="5" dataDxfId="15"/>
    <tableColumn id="13" xr3:uid="{ED6B0270-FEF3-4203-A09D-E22041FBF895}" uniqueName="Exclusion" name="Exclusion" queryTableFieldId="6" dataDxfId="14"/>
    <tableColumn id="10" xr3:uid="{807EDE1A-9BAB-4DA7-9497-E5E820FBB370}" uniqueName="Cost_x005f_x0020_Center" name="Cost Center" queryTableFieldId="8" dataDxfId="13"/>
    <tableColumn id="20" xr3:uid="{0C0EE4C5-646B-4C65-AF52-B5E62904A348}" uniqueName="Comments" name="Comments" queryTableFieldId="27" dataDxfId="12"/>
    <tableColumn id="11" xr3:uid="{AC52E5E0-9025-488F-84E5-9E597FA1E182}" uniqueName="Date_x005f_x0020_Opened" name="Date Opened" queryTableFieldId="13" dataDxfId="11"/>
    <tableColumn id="21" xr3:uid="{78925269-B2CE-49EE-B12B-7F0CC9A3094D}" uniqueName="In_x005f_x002d_Service_x005f_x0020_Date" name="In-Service Date" queryTableFieldId="28" dataDxfId="10"/>
    <tableColumn id="4" xr3:uid="{03AE1A10-774D-4FAF-AA84-8B3E6317A16E}" uniqueName="BusinessArea" name="BusinessArea" queryTableFieldId="12" dataDxfId="9"/>
    <tableColumn id="26" xr3:uid="{CB456116-37BD-48B8-861D-F79DC01DB4BD}" uniqueName="Old_x005f_x0020_Portolio" name="Old Portolio" queryTableFieldId="33" dataDxfId="8"/>
    <tableColumn id="27" xr3:uid="{2335EA41-3AA3-4D19-844E-F83737F6F343}" uniqueName="Old_x005f_x0020_Business_x005f_x0020_Area" name="Old Business Area" queryTableFieldId="34" dataDxfId="7"/>
    <tableColumn id="28" xr3:uid="{0B58924A-E549-493C-A621-C23534C89487}" uniqueName="FERC" name="FERC" queryTableFieldId="35" dataDxfId="6"/>
    <tableColumn id="29" xr3:uid="{016CDD39-8397-40C4-90DF-0CDB2501B07C}" uniqueName="Verification" name="Verification" queryTableFieldId="36" dataDxfId="5"/>
    <tableColumn id="15" xr3:uid="{B84094F6-BABD-486A-A764-0DBE0C9D93ED}" uniqueName="FSObjType" name="Item Type" queryTableFieldId="16" dataDxfId="4"/>
    <tableColumn id="16" xr3:uid="{C5564A77-95D8-400C-B9B2-5FF66122D9A8}" uniqueName="FileDirRef" name="Path" queryTableFieldId="15" dataDxfId="3"/>
    <tableColumn id="22" xr3:uid="{DC7E58DA-635F-40F1-A34B-16545B3698AD}" uniqueName="Modified" name="Modified" queryTableFieldId="55" dataDxfId="2"/>
    <tableColumn id="23" xr3:uid="{E1A90F3A-698B-4CE0-B09E-D941E9BABA20}" uniqueName="Editor" name="Modified By" queryTableFieldId="56" dataDxfId="1"/>
    <tableColumn id="24" xr3:uid="{1AF0B249-F373-4FDF-BE3F-08857D548242}" uniqueName="programEpic" name="programEpic" queryTableFieldId="57"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externalLinkPath" Target="https://teams.nationalgrid.com/sites/USPD/Financial_Workbook/Development%20Private/Benefits%20Framework/Financial%20Workbook%20Template%20(US)%20-%20V7.xlsx" TargetMode="External"/><Relationship Id="rId7" Type="http://schemas.microsoft.com/office/2007/relationships/slicer" Target="../slicers/slicer1.xml"/><Relationship Id="rId2" Type="http://schemas.openxmlformats.org/officeDocument/2006/relationships/externalLinkPath" Target="https://teams.nationalgrid.com/sites/USPD/Financial_Workbook/Development%20Private/Benefits%20Framework/Financial%20Workbook%20Template%20(US)%20-%20V7.xlsx" TargetMode="External"/><Relationship Id="rId1" Type="http://schemas.openxmlformats.org/officeDocument/2006/relationships/pivotTable" Target="../pivotTables/pivotTable4.xm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externalLinkPath" Target="https://teams.nationalgrid.com/sites/USPD/Financial_Workbook/Development%20Private/Benefits%20Framework/Financial%20Workbook%20Template%20(US)%20-%20V7.xlsx" TargetMode="External"/></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printerSettings" Target="../printerSettings/printerSettings19.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 Id="rId9" Type="http://schemas.openxmlformats.org/officeDocument/2006/relationships/table" Target="../tables/table10.xml"/></Relationships>
</file>

<file path=xl/worksheets/_rels/sheet25.xml.rels><?xml version="1.0" encoding="UTF-8" standalone="yes"?>
<Relationships xmlns="http://schemas.openxmlformats.org/package/2006/relationships"><Relationship Id="rId8" Type="http://schemas.openxmlformats.org/officeDocument/2006/relationships/table" Target="../tables/table17.xml"/><Relationship Id="rId13" Type="http://schemas.openxmlformats.org/officeDocument/2006/relationships/table" Target="../tables/table22.xml"/><Relationship Id="rId18" Type="http://schemas.openxmlformats.org/officeDocument/2006/relationships/table" Target="../tables/table27.xml"/><Relationship Id="rId26" Type="http://schemas.openxmlformats.org/officeDocument/2006/relationships/table" Target="../tables/table35.xml"/><Relationship Id="rId3" Type="http://schemas.openxmlformats.org/officeDocument/2006/relationships/table" Target="../tables/table12.xml"/><Relationship Id="rId21" Type="http://schemas.openxmlformats.org/officeDocument/2006/relationships/table" Target="../tables/table30.xml"/><Relationship Id="rId7" Type="http://schemas.openxmlformats.org/officeDocument/2006/relationships/table" Target="../tables/table16.xml"/><Relationship Id="rId12" Type="http://schemas.openxmlformats.org/officeDocument/2006/relationships/table" Target="../tables/table21.xml"/><Relationship Id="rId17" Type="http://schemas.openxmlformats.org/officeDocument/2006/relationships/table" Target="../tables/table26.xml"/><Relationship Id="rId25" Type="http://schemas.openxmlformats.org/officeDocument/2006/relationships/table" Target="../tables/table34.xml"/><Relationship Id="rId2" Type="http://schemas.openxmlformats.org/officeDocument/2006/relationships/table" Target="../tables/table11.xml"/><Relationship Id="rId16" Type="http://schemas.openxmlformats.org/officeDocument/2006/relationships/table" Target="../tables/table25.xml"/><Relationship Id="rId20" Type="http://schemas.openxmlformats.org/officeDocument/2006/relationships/table" Target="../tables/table29.xml"/><Relationship Id="rId29" Type="http://schemas.openxmlformats.org/officeDocument/2006/relationships/table" Target="../tables/table38.xml"/><Relationship Id="rId1" Type="http://schemas.openxmlformats.org/officeDocument/2006/relationships/printerSettings" Target="../printerSettings/printerSettings20.bin"/><Relationship Id="rId6" Type="http://schemas.openxmlformats.org/officeDocument/2006/relationships/table" Target="../tables/table15.xml"/><Relationship Id="rId11" Type="http://schemas.openxmlformats.org/officeDocument/2006/relationships/table" Target="../tables/table20.xml"/><Relationship Id="rId24" Type="http://schemas.openxmlformats.org/officeDocument/2006/relationships/table" Target="../tables/table33.xml"/><Relationship Id="rId5" Type="http://schemas.openxmlformats.org/officeDocument/2006/relationships/table" Target="../tables/table14.xml"/><Relationship Id="rId15" Type="http://schemas.openxmlformats.org/officeDocument/2006/relationships/table" Target="../tables/table24.xml"/><Relationship Id="rId23" Type="http://schemas.openxmlformats.org/officeDocument/2006/relationships/table" Target="../tables/table32.xml"/><Relationship Id="rId28" Type="http://schemas.openxmlformats.org/officeDocument/2006/relationships/table" Target="../tables/table37.xml"/><Relationship Id="rId10" Type="http://schemas.openxmlformats.org/officeDocument/2006/relationships/table" Target="../tables/table19.xml"/><Relationship Id="rId19" Type="http://schemas.openxmlformats.org/officeDocument/2006/relationships/table" Target="../tables/table28.xml"/><Relationship Id="rId4" Type="http://schemas.openxmlformats.org/officeDocument/2006/relationships/table" Target="../tables/table13.xml"/><Relationship Id="rId9" Type="http://schemas.openxmlformats.org/officeDocument/2006/relationships/table" Target="../tables/table18.xml"/><Relationship Id="rId14" Type="http://schemas.openxmlformats.org/officeDocument/2006/relationships/table" Target="../tables/table23.xml"/><Relationship Id="rId22" Type="http://schemas.openxmlformats.org/officeDocument/2006/relationships/table" Target="../tables/table31.xml"/><Relationship Id="rId27" Type="http://schemas.openxmlformats.org/officeDocument/2006/relationships/table" Target="../tables/table36.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40.xml"/><Relationship Id="rId2" Type="http://schemas.openxmlformats.org/officeDocument/2006/relationships/table" Target="../tables/table39.xml"/><Relationship Id="rId1" Type="http://schemas.openxmlformats.org/officeDocument/2006/relationships/printerSettings" Target="../printerSettings/printerSettings21.bin"/><Relationship Id="rId5" Type="http://schemas.openxmlformats.org/officeDocument/2006/relationships/table" Target="../tables/table42.xml"/><Relationship Id="rId4" Type="http://schemas.openxmlformats.org/officeDocument/2006/relationships/table" Target="../tables/table41.xml"/></Relationships>
</file>

<file path=xl/worksheets/_rels/sheet27.xml.rels><?xml version="1.0" encoding="UTF-8" standalone="yes"?>
<Relationships xmlns="http://schemas.openxmlformats.org/package/2006/relationships"><Relationship Id="rId8" Type="http://schemas.openxmlformats.org/officeDocument/2006/relationships/comments" Target="../comments8.xml"/><Relationship Id="rId3" Type="http://schemas.openxmlformats.org/officeDocument/2006/relationships/table" Target="../tables/table43.xml"/><Relationship Id="rId7" Type="http://schemas.openxmlformats.org/officeDocument/2006/relationships/table" Target="../tables/table47.xml"/><Relationship Id="rId2" Type="http://schemas.openxmlformats.org/officeDocument/2006/relationships/vmlDrawing" Target="../drawings/vmlDrawing8.vml"/><Relationship Id="rId1" Type="http://schemas.openxmlformats.org/officeDocument/2006/relationships/printerSettings" Target="../printerSettings/printerSettings22.bin"/><Relationship Id="rId6" Type="http://schemas.openxmlformats.org/officeDocument/2006/relationships/table" Target="../tables/table46.xml"/><Relationship Id="rId5" Type="http://schemas.openxmlformats.org/officeDocument/2006/relationships/table" Target="../tables/table45.xml"/><Relationship Id="rId4" Type="http://schemas.openxmlformats.org/officeDocument/2006/relationships/table" Target="../tables/table44.xml"/></Relationships>
</file>

<file path=xl/worksheets/_rels/sheet28.xml.rels><?xml version="1.0" encoding="UTF-8" standalone="yes"?>
<Relationships xmlns="http://schemas.openxmlformats.org/package/2006/relationships"><Relationship Id="rId3" Type="http://schemas.openxmlformats.org/officeDocument/2006/relationships/hyperlink" Target="https://teams.nationalgrid.com/sites/USPD/Financial_Workbook/default.aspx" TargetMode="External"/><Relationship Id="rId2" Type="http://schemas.openxmlformats.org/officeDocument/2006/relationships/hyperlink" Target="http://spis/sites/SC/SD/default.aspx" TargetMode="External"/><Relationship Id="rId1" Type="http://schemas.openxmlformats.org/officeDocument/2006/relationships/hyperlink" Target="https://nationalgridplc.sharepoint.com/sites/GRP-INT-US-USITEPMO/PPM/SitePages/Homepage.aspx" TargetMode="External"/><Relationship Id="rId4"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4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1"/>
    <pageSetUpPr fitToPage="1"/>
  </sheetPr>
  <dimension ref="A1:L27"/>
  <sheetViews>
    <sheetView workbookViewId="0">
      <selection activeCell="A2" sqref="A2"/>
    </sheetView>
  </sheetViews>
  <sheetFormatPr defaultColWidth="9.1796875" defaultRowHeight="14.5"/>
  <cols>
    <col min="1" max="1" width="5.7265625" style="55" customWidth="1"/>
    <col min="2" max="2" width="25" style="54" customWidth="1"/>
    <col min="3" max="3" width="12.453125" style="55" customWidth="1"/>
    <col min="4" max="4" width="37.54296875" style="54" customWidth="1"/>
    <col min="5" max="5" width="73.54296875" style="54" customWidth="1"/>
    <col min="6" max="6" width="9.1796875" style="54" customWidth="1"/>
    <col min="7" max="16384" width="9.1796875" style="54"/>
  </cols>
  <sheetData>
    <row r="1" spans="1:12" s="92" customFormat="1">
      <c r="A1" s="93" t="s">
        <v>147</v>
      </c>
      <c r="B1" s="93" t="s">
        <v>140</v>
      </c>
      <c r="C1" s="93" t="s">
        <v>134</v>
      </c>
      <c r="D1" s="93" t="s">
        <v>135</v>
      </c>
      <c r="E1" s="93" t="s">
        <v>137</v>
      </c>
    </row>
    <row r="2" spans="1:12">
      <c r="J2" s="344"/>
    </row>
    <row r="3" spans="1:12" ht="72.5">
      <c r="A3" s="101">
        <v>1</v>
      </c>
      <c r="B3" s="91" t="s">
        <v>8765</v>
      </c>
      <c r="C3" s="57" t="str">
        <f>IF(OR(Variables!B2="", Variables!B3="",  Variables!B4="", Variables!B5="", Variables!B6="",Variables!B7="", Variables!B8="",Variables!B9=""),"Errors Found","No Errors Found")</f>
        <v>No Errors Found</v>
      </c>
      <c r="D3" s="56" t="s">
        <v>8731</v>
      </c>
      <c r="E3" s="56" t="s">
        <v>8730</v>
      </c>
    </row>
    <row r="5" spans="1:12" ht="29">
      <c r="A5" s="101">
        <v>2</v>
      </c>
      <c r="B5" s="91" t="s">
        <v>148</v>
      </c>
      <c r="C5" s="57" t="str">
        <f>IF(Variables!B19="","Errors Found","No Errors Found")</f>
        <v>No Errors Found</v>
      </c>
      <c r="D5" s="56" t="s">
        <v>143</v>
      </c>
      <c r="E5" s="56" t="s">
        <v>154</v>
      </c>
    </row>
    <row r="7" spans="1:12" ht="29">
      <c r="A7" s="101">
        <v>3</v>
      </c>
      <c r="B7" s="91" t="s">
        <v>149</v>
      </c>
      <c r="C7" s="57" t="str">
        <f>IF(Variables!B32="","Errors Found","No Errors Found")</f>
        <v>No Errors Found</v>
      </c>
      <c r="D7" s="56" t="s">
        <v>8767</v>
      </c>
      <c r="E7" s="56" t="s">
        <v>8766</v>
      </c>
    </row>
    <row r="8" spans="1:12">
      <c r="A8" s="100"/>
      <c r="B8" s="97"/>
      <c r="C8" s="102"/>
      <c r="D8" s="98"/>
      <c r="E8" s="98"/>
    </row>
    <row r="9" spans="1:12" ht="29">
      <c r="A9" s="101">
        <v>4</v>
      </c>
      <c r="B9" s="91" t="s">
        <v>150</v>
      </c>
      <c r="C9" s="102" t="str">
        <f>IF(Variables!B32&lt;Variables!B19,"Errors Found","No Errors Found")</f>
        <v>No Errors Found</v>
      </c>
      <c r="D9" s="56" t="s">
        <v>145</v>
      </c>
      <c r="E9" s="56" t="s">
        <v>155</v>
      </c>
    </row>
    <row r="11" spans="1:12" ht="29">
      <c r="A11" s="101">
        <v>5</v>
      </c>
      <c r="B11" s="91" t="s">
        <v>213</v>
      </c>
      <c r="C11" s="57" t="str">
        <f ca="1">IF(OR('RTB for Srvc Trans'!I2="",'RTB for Srvc Trans'!I2&gt;TODAY()),"Errors Found","No Errors Found")</f>
        <v>Errors Found</v>
      </c>
      <c r="D11" s="56" t="s">
        <v>284</v>
      </c>
      <c r="E11" s="56" t="s">
        <v>214</v>
      </c>
      <c r="G11" s="160"/>
      <c r="H11" s="161"/>
      <c r="I11" s="161"/>
      <c r="J11" s="161"/>
      <c r="K11" s="161"/>
      <c r="L11" s="161"/>
    </row>
    <row r="13" spans="1:12" ht="130.5">
      <c r="A13" s="101">
        <v>6</v>
      </c>
      <c r="B13" s="91" t="s">
        <v>151</v>
      </c>
      <c r="C13" s="57" t="str">
        <f>IF('Financial Summary'!A9+'Financial Summary'!B9+'Financial Summary'!A14+'Financial Summary'!B14+'Financial Summary'!A19+'Financial Summary'!B19+'Financial Summary'!A24+'Financial Summary'!B24=0,"No Errors Found","Errors Found")</f>
        <v>No Errors Found</v>
      </c>
      <c r="D13" s="56" t="s">
        <v>136</v>
      </c>
      <c r="E13" s="56" t="s">
        <v>323</v>
      </c>
    </row>
    <row r="15" spans="1:12" ht="101.5">
      <c r="A15" s="101">
        <v>7</v>
      </c>
      <c r="B15" s="91" t="s">
        <v>152</v>
      </c>
      <c r="C15" s="57" t="str">
        <f>IF(SUM('Resource Costs'!CC294:EV294)=0,"No Errors Found","Errors Found")</f>
        <v>No Errors Found</v>
      </c>
      <c r="D15" s="56" t="s">
        <v>138</v>
      </c>
      <c r="E15" s="56" t="s">
        <v>404</v>
      </c>
    </row>
    <row r="17" spans="1:5" ht="58">
      <c r="A17" s="101">
        <v>8</v>
      </c>
      <c r="B17" s="91" t="s">
        <v>153</v>
      </c>
      <c r="C17" s="57" t="str">
        <f>IF(SUM('Other Costs'!H199:CA199)=0,"No Errors Found","Errors Found")</f>
        <v>No Errors Found</v>
      </c>
      <c r="D17" s="56" t="s">
        <v>139</v>
      </c>
      <c r="E17" s="56" t="s">
        <v>144</v>
      </c>
    </row>
    <row r="19" spans="1:5" ht="45" customHeight="1">
      <c r="A19" s="308">
        <v>9</v>
      </c>
      <c r="B19" s="309" t="s">
        <v>291</v>
      </c>
      <c r="C19" s="310" t="str">
        <f>IF(Variables!B18 = "","Errors Found","No Errors Found")</f>
        <v>No Errors Found</v>
      </c>
      <c r="D19" s="311" t="s">
        <v>257</v>
      </c>
      <c r="E19" s="311" t="s">
        <v>290</v>
      </c>
    </row>
    <row r="21" spans="1:5" ht="45" customHeight="1">
      <c r="A21" s="308">
        <v>10</v>
      </c>
      <c r="B21" s="309" t="s">
        <v>258</v>
      </c>
      <c r="C21" s="310" t="str">
        <f>IF(COUNTIF(Variables!B24:BU24,  "Yes") &gt;= 1,"No Errors Found","Errors Found")</f>
        <v>No Errors Found</v>
      </c>
      <c r="D21" s="311" t="s">
        <v>259</v>
      </c>
      <c r="E21" s="311" t="s">
        <v>260</v>
      </c>
    </row>
    <row r="23" spans="1:5" ht="43.5">
      <c r="A23" s="101">
        <v>11</v>
      </c>
      <c r="B23" s="91" t="s">
        <v>300</v>
      </c>
      <c r="C23" s="57" t="str">
        <f>IF(OR('RTB for Srvc Trans'!A25=FALSE,'RTB for Srvc Trans'!A28=FALSE,'RTB for Srvc Trans'!A31=FALSE,'RTB for Srvc Trans'!A34=FALSE,'RTB for Srvc Trans'!A66=FALSE,'RTB for Srvc Trans'!A69=FALSE,'RTB for Srvc Trans'!A72=FALSE,'RTB for Srvc Trans'!A75=FALSE),"Errors Found","No Errors Found")</f>
        <v>No Errors Found</v>
      </c>
      <c r="D23" s="56" t="s">
        <v>301</v>
      </c>
      <c r="E23" s="56" t="s">
        <v>302</v>
      </c>
    </row>
    <row r="25" spans="1:5" ht="60" customHeight="1">
      <c r="A25" s="101">
        <v>12</v>
      </c>
      <c r="B25" s="91" t="s">
        <v>318</v>
      </c>
      <c r="C25" s="57" t="str">
        <f>IF(SUM('Other Costs'!DC5:DC167)=0,"No Errors Found","Errors Found")</f>
        <v>No Errors Found</v>
      </c>
      <c r="D25" s="56" t="s">
        <v>316</v>
      </c>
      <c r="E25" s="56" t="s">
        <v>317</v>
      </c>
    </row>
    <row r="27" spans="1:5" ht="60" customHeight="1">
      <c r="A27" s="101">
        <v>13</v>
      </c>
      <c r="B27" s="91" t="s">
        <v>8768</v>
      </c>
      <c r="C27" s="57" t="str">
        <f>IF(SUM('Other Costs'!DB5:DB167)=0,"No Errors Found","Errors Found")</f>
        <v>No Errors Found</v>
      </c>
      <c r="D27" s="56" t="s">
        <v>8769</v>
      </c>
      <c r="E27" s="56" t="s">
        <v>8770</v>
      </c>
    </row>
  </sheetData>
  <sheetProtection algorithmName="SHA-512" hashValue="H8Uf1WDvOvd5SYtA+zedEPlaKcVwvF6khu5FSYvnVhLlawr6mFXdciy1MwGMMuWLfOp/v67au/5Dc3qgjpl1nA==" saltValue="lWPgIg8gpefkYel0g03ajA==" spinCount="100000" sheet="1" objects="1" scenarios="1"/>
  <conditionalFormatting sqref="C13:C17">
    <cfRule type="cellIs" dxfId="908" priority="28" operator="equal">
      <formula>"Errors Found"</formula>
    </cfRule>
    <cfRule type="cellIs" dxfId="907" priority="29" operator="equal">
      <formula>"No Errors Found"</formula>
    </cfRule>
    <cfRule type="containsErrors" dxfId="906" priority="29">
      <formula>ISERROR(C13)</formula>
    </cfRule>
  </conditionalFormatting>
  <conditionalFormatting sqref="C4 C12 C10">
    <cfRule type="cellIs" dxfId="905" priority="26" operator="equal">
      <formula>"Errors Found"</formula>
    </cfRule>
    <cfRule type="cellIs" dxfId="904" priority="27" operator="equal">
      <formula>"No Errors FOund"</formula>
    </cfRule>
  </conditionalFormatting>
  <conditionalFormatting sqref="C11">
    <cfRule type="cellIs" dxfId="903" priority="24" operator="equal">
      <formula>"Errors Found"</formula>
    </cfRule>
    <cfRule type="cellIs" dxfId="902" priority="25" operator="equal">
      <formula>"No Errors FOund"</formula>
    </cfRule>
  </conditionalFormatting>
  <conditionalFormatting sqref="C7:C9">
    <cfRule type="cellIs" dxfId="901" priority="20" operator="equal">
      <formula>"Errors Found"</formula>
    </cfRule>
    <cfRule type="cellIs" dxfId="900" priority="21" operator="equal">
      <formula>"No Errors FOund"</formula>
    </cfRule>
  </conditionalFormatting>
  <conditionalFormatting sqref="C3">
    <cfRule type="cellIs" dxfId="899" priority="18" operator="equal">
      <formula>"Errors Found"</formula>
    </cfRule>
    <cfRule type="cellIs" dxfId="898" priority="19" operator="equal">
      <formula>"No Errors FOund"</formula>
    </cfRule>
  </conditionalFormatting>
  <conditionalFormatting sqref="C6">
    <cfRule type="cellIs" dxfId="897" priority="16" operator="equal">
      <formula>"Errors Found"</formula>
    </cfRule>
    <cfRule type="cellIs" dxfId="896" priority="17" operator="equal">
      <formula>"No Errors FOund"</formula>
    </cfRule>
  </conditionalFormatting>
  <conditionalFormatting sqref="C5">
    <cfRule type="cellIs" dxfId="895" priority="14" operator="equal">
      <formula>"Errors Found"</formula>
    </cfRule>
    <cfRule type="cellIs" dxfId="894" priority="15" operator="equal">
      <formula>"No Errors FOund"</formula>
    </cfRule>
  </conditionalFormatting>
  <conditionalFormatting sqref="C21">
    <cfRule type="cellIs" dxfId="893" priority="10" operator="equal">
      <formula>"Errors Found"</formula>
    </cfRule>
    <cfRule type="cellIs" dxfId="892" priority="11" operator="equal">
      <formula>"No Errors FOund"</formula>
    </cfRule>
  </conditionalFormatting>
  <conditionalFormatting sqref="C19">
    <cfRule type="cellIs" dxfId="891" priority="12" operator="equal">
      <formula>"Errors Found"</formula>
    </cfRule>
    <cfRule type="cellIs" dxfId="890" priority="13" operator="equal">
      <formula>"No Errors FOund"</formula>
    </cfRule>
  </conditionalFormatting>
  <conditionalFormatting sqref="C23">
    <cfRule type="cellIs" dxfId="889" priority="8" operator="equal">
      <formula>"Errors Found"</formula>
    </cfRule>
    <cfRule type="cellIs" dxfId="888" priority="9" operator="equal">
      <formula>"No Errors FOund"</formula>
    </cfRule>
  </conditionalFormatting>
  <conditionalFormatting sqref="C25">
    <cfRule type="cellIs" dxfId="887" priority="6" operator="equal">
      <formula>"Errors Found"</formula>
    </cfRule>
    <cfRule type="cellIs" dxfId="886" priority="7" operator="equal">
      <formula>"No Errors FOund"</formula>
    </cfRule>
  </conditionalFormatting>
  <conditionalFormatting sqref="C27">
    <cfRule type="cellIs" dxfId="885" priority="4" operator="equal">
      <formula>"Errors Found"</formula>
    </cfRule>
    <cfRule type="cellIs" dxfId="884" priority="5" operator="equal">
      <formula>"No Errors FOund"</formula>
    </cfRule>
  </conditionalFormatting>
  <pageMargins left="0.25" right="0.25" top="0.75" bottom="0.75" header="0.3" footer="0.3"/>
  <pageSetup scale="74"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AA7CF-3C8E-4B1C-9C0B-AE98E6252B46}">
  <sheetPr codeName="Sheet2">
    <tabColor theme="1"/>
  </sheetPr>
  <dimension ref="A1:AU117"/>
  <sheetViews>
    <sheetView showGridLines="0" workbookViewId="0"/>
  </sheetViews>
  <sheetFormatPr defaultColWidth="9.1796875" defaultRowHeight="13"/>
  <cols>
    <col min="1" max="16384" width="9.1796875" style="649"/>
  </cols>
  <sheetData>
    <row r="1" spans="1:47">
      <c r="A1" s="648"/>
      <c r="B1" s="648"/>
      <c r="C1" s="648"/>
      <c r="D1" s="648"/>
      <c r="E1" s="648"/>
      <c r="F1" s="648"/>
      <c r="G1" s="648"/>
      <c r="H1" s="648"/>
      <c r="I1" s="648"/>
      <c r="J1" s="648"/>
      <c r="K1" s="648"/>
      <c r="L1" s="648"/>
      <c r="M1" s="648"/>
      <c r="N1" s="648"/>
      <c r="O1" s="648"/>
      <c r="P1" s="648"/>
      <c r="Q1" s="648"/>
      <c r="R1" s="648"/>
      <c r="S1" s="648"/>
      <c r="T1" s="648"/>
      <c r="U1" s="648"/>
      <c r="V1" s="648"/>
      <c r="W1" s="648"/>
      <c r="X1" s="648"/>
      <c r="Y1" s="648"/>
      <c r="Z1" s="648"/>
      <c r="AA1" s="648"/>
      <c r="AB1" s="648"/>
      <c r="AC1" s="648"/>
      <c r="AD1" s="648"/>
      <c r="AE1" s="648"/>
      <c r="AF1" s="648"/>
      <c r="AG1" s="648"/>
      <c r="AH1" s="648"/>
      <c r="AI1" s="648"/>
      <c r="AJ1" s="648"/>
      <c r="AK1" s="648"/>
      <c r="AL1" s="648"/>
      <c r="AM1" s="648"/>
      <c r="AN1" s="648"/>
      <c r="AO1" s="648"/>
      <c r="AP1" s="648"/>
      <c r="AQ1" s="648"/>
      <c r="AR1" s="648"/>
      <c r="AS1" s="648"/>
      <c r="AT1" s="648"/>
      <c r="AU1" s="648"/>
    </row>
    <row r="2" spans="1:47">
      <c r="A2" s="648"/>
      <c r="B2" s="648"/>
      <c r="C2" s="648"/>
      <c r="D2" s="648"/>
      <c r="E2" s="648"/>
      <c r="F2" s="648"/>
      <c r="G2" s="648"/>
      <c r="H2" s="648"/>
      <c r="I2" s="648"/>
      <c r="J2" s="648"/>
      <c r="K2" s="648"/>
      <c r="L2" s="648"/>
      <c r="M2" s="648"/>
      <c r="N2" s="648"/>
      <c r="O2" s="648"/>
      <c r="P2" s="648"/>
      <c r="Q2" s="648"/>
      <c r="R2" s="648"/>
      <c r="S2" s="648"/>
      <c r="T2" s="648"/>
      <c r="U2" s="648"/>
      <c r="V2" s="648"/>
      <c r="W2" s="648"/>
      <c r="X2" s="648"/>
      <c r="Y2" s="648"/>
      <c r="Z2" s="648"/>
      <c r="AA2" s="648"/>
      <c r="AB2" s="648"/>
      <c r="AC2" s="648"/>
      <c r="AD2" s="648"/>
      <c r="AE2" s="648"/>
      <c r="AF2" s="648"/>
      <c r="AG2" s="648"/>
      <c r="AH2" s="648"/>
      <c r="AI2" s="648"/>
      <c r="AJ2" s="648"/>
      <c r="AK2" s="648"/>
      <c r="AL2" s="648"/>
      <c r="AM2" s="648"/>
      <c r="AN2" s="648"/>
      <c r="AO2" s="648"/>
      <c r="AP2" s="648"/>
      <c r="AQ2" s="648"/>
      <c r="AR2" s="648"/>
      <c r="AS2" s="648"/>
      <c r="AT2" s="648"/>
      <c r="AU2" s="648"/>
    </row>
    <row r="3" spans="1:47">
      <c r="A3" s="648"/>
      <c r="B3" s="648"/>
      <c r="C3" s="648"/>
      <c r="D3" s="648"/>
      <c r="E3" s="648"/>
      <c r="F3" s="648"/>
      <c r="G3" s="648"/>
      <c r="H3" s="648"/>
      <c r="I3" s="648"/>
      <c r="J3" s="648"/>
      <c r="K3" s="648"/>
      <c r="L3" s="648"/>
      <c r="M3" s="648"/>
      <c r="N3" s="648"/>
      <c r="O3" s="648"/>
      <c r="P3" s="648"/>
      <c r="Q3" s="648"/>
      <c r="R3" s="648"/>
      <c r="S3" s="648"/>
      <c r="T3" s="648"/>
      <c r="U3" s="648"/>
      <c r="V3" s="648"/>
      <c r="W3" s="648"/>
      <c r="X3" s="648"/>
      <c r="Y3" s="648"/>
      <c r="Z3" s="648"/>
      <c r="AA3" s="648"/>
      <c r="AB3" s="648"/>
      <c r="AC3" s="648"/>
      <c r="AD3" s="648"/>
      <c r="AE3" s="648"/>
      <c r="AF3" s="648"/>
      <c r="AG3" s="648"/>
      <c r="AH3" s="648"/>
      <c r="AI3" s="648"/>
      <c r="AJ3" s="648"/>
      <c r="AK3" s="648"/>
      <c r="AL3" s="648"/>
      <c r="AM3" s="648"/>
      <c r="AN3" s="648"/>
      <c r="AO3" s="648"/>
      <c r="AP3" s="648"/>
      <c r="AQ3" s="648"/>
      <c r="AR3" s="648"/>
      <c r="AS3" s="648"/>
      <c r="AT3" s="648"/>
      <c r="AU3" s="648"/>
    </row>
    <row r="4" spans="1:47">
      <c r="A4" s="648"/>
      <c r="B4" s="648"/>
      <c r="C4" s="648"/>
      <c r="D4" s="648"/>
      <c r="E4" s="648"/>
      <c r="F4" s="648"/>
      <c r="G4" s="648"/>
      <c r="H4" s="648"/>
      <c r="I4" s="648"/>
      <c r="J4" s="648"/>
      <c r="K4" s="648"/>
      <c r="L4" s="648"/>
      <c r="M4" s="648"/>
      <c r="N4" s="648"/>
      <c r="O4" s="648"/>
      <c r="P4" s="648"/>
      <c r="Q4" s="648"/>
      <c r="R4" s="648"/>
      <c r="S4" s="648"/>
      <c r="T4" s="648"/>
      <c r="U4" s="648"/>
      <c r="V4" s="648"/>
      <c r="W4" s="648"/>
      <c r="X4" s="648"/>
      <c r="Y4" s="648"/>
      <c r="Z4" s="648"/>
      <c r="AA4" s="648"/>
      <c r="AB4" s="648"/>
      <c r="AC4" s="648"/>
      <c r="AD4" s="648"/>
      <c r="AE4" s="648"/>
      <c r="AF4" s="648"/>
      <c r="AG4" s="648"/>
      <c r="AH4" s="648"/>
      <c r="AI4" s="648"/>
      <c r="AJ4" s="648"/>
      <c r="AK4" s="648"/>
      <c r="AL4" s="648"/>
      <c r="AM4" s="648"/>
      <c r="AN4" s="648"/>
      <c r="AO4" s="648"/>
      <c r="AP4" s="648"/>
      <c r="AQ4" s="648"/>
      <c r="AR4" s="648"/>
      <c r="AS4" s="648"/>
      <c r="AT4" s="648"/>
      <c r="AU4" s="648"/>
    </row>
    <row r="5" spans="1:47">
      <c r="A5" s="648"/>
      <c r="B5" s="648"/>
      <c r="C5" s="648"/>
      <c r="D5" s="648"/>
      <c r="E5" s="648"/>
      <c r="F5" s="648"/>
      <c r="G5" s="648"/>
      <c r="H5" s="648"/>
      <c r="I5" s="648"/>
      <c r="J5" s="648"/>
      <c r="K5" s="648"/>
      <c r="L5" s="648"/>
      <c r="M5" s="648"/>
      <c r="N5" s="648"/>
      <c r="O5" s="648"/>
      <c r="P5" s="648"/>
      <c r="Q5" s="648"/>
      <c r="R5" s="648"/>
      <c r="S5" s="648"/>
      <c r="T5" s="648"/>
      <c r="U5" s="648"/>
      <c r="V5" s="648"/>
      <c r="W5" s="648"/>
      <c r="X5" s="648"/>
      <c r="Y5" s="648"/>
      <c r="Z5" s="648"/>
      <c r="AA5" s="648"/>
      <c r="AB5" s="648"/>
      <c r="AC5" s="648"/>
      <c r="AD5" s="648"/>
      <c r="AE5" s="648"/>
      <c r="AF5" s="648"/>
      <c r="AG5" s="648"/>
      <c r="AH5" s="648"/>
      <c r="AI5" s="648"/>
      <c r="AJ5" s="648"/>
      <c r="AK5" s="648"/>
      <c r="AL5" s="648"/>
      <c r="AM5" s="648"/>
      <c r="AN5" s="648"/>
      <c r="AO5" s="648"/>
      <c r="AP5" s="648"/>
      <c r="AQ5" s="648"/>
      <c r="AR5" s="648"/>
      <c r="AS5" s="648"/>
      <c r="AT5" s="648"/>
      <c r="AU5" s="648"/>
    </row>
    <row r="6" spans="1:47">
      <c r="A6" s="648"/>
      <c r="B6" s="648"/>
      <c r="C6" s="648"/>
      <c r="D6" s="648"/>
      <c r="E6" s="648"/>
      <c r="F6" s="648"/>
      <c r="G6" s="648"/>
      <c r="H6" s="648"/>
      <c r="I6" s="648"/>
      <c r="J6" s="648"/>
      <c r="K6" s="648"/>
      <c r="L6" s="648"/>
      <c r="M6" s="648"/>
      <c r="N6" s="648"/>
      <c r="O6" s="648"/>
      <c r="P6" s="648"/>
      <c r="Q6" s="648"/>
      <c r="R6" s="648"/>
      <c r="S6" s="648"/>
      <c r="T6" s="648"/>
      <c r="U6" s="648"/>
      <c r="V6" s="648"/>
      <c r="W6" s="648"/>
      <c r="X6" s="648"/>
      <c r="Y6" s="648"/>
      <c r="Z6" s="648"/>
      <c r="AA6" s="648"/>
      <c r="AB6" s="648"/>
      <c r="AC6" s="648"/>
      <c r="AD6" s="648"/>
      <c r="AE6" s="648"/>
      <c r="AF6" s="648"/>
      <c r="AG6" s="648"/>
      <c r="AH6" s="648"/>
      <c r="AI6" s="648"/>
      <c r="AJ6" s="648"/>
      <c r="AK6" s="648"/>
      <c r="AL6" s="648"/>
      <c r="AM6" s="648"/>
      <c r="AN6" s="648"/>
      <c r="AO6" s="648"/>
      <c r="AP6" s="648"/>
      <c r="AQ6" s="648"/>
      <c r="AR6" s="648"/>
      <c r="AS6" s="648"/>
      <c r="AT6" s="648"/>
      <c r="AU6" s="648"/>
    </row>
    <row r="7" spans="1:47">
      <c r="A7" s="648"/>
      <c r="B7" s="648"/>
      <c r="C7" s="648"/>
      <c r="D7" s="648"/>
      <c r="E7" s="648"/>
      <c r="F7" s="648"/>
      <c r="G7" s="648"/>
      <c r="H7" s="648"/>
      <c r="I7" s="648"/>
      <c r="J7" s="648"/>
      <c r="K7" s="648"/>
      <c r="L7" s="648"/>
      <c r="M7" s="648"/>
      <c r="N7" s="648"/>
      <c r="O7" s="648"/>
      <c r="P7" s="648"/>
      <c r="Q7" s="648"/>
      <c r="R7" s="648"/>
      <c r="S7" s="648"/>
      <c r="T7" s="648"/>
      <c r="U7" s="648"/>
      <c r="V7" s="648"/>
      <c r="W7" s="648"/>
      <c r="X7" s="648"/>
      <c r="Y7" s="648"/>
      <c r="Z7" s="648"/>
      <c r="AA7" s="648"/>
      <c r="AB7" s="648"/>
      <c r="AC7" s="648"/>
      <c r="AD7" s="648"/>
      <c r="AE7" s="648"/>
      <c r="AF7" s="648"/>
      <c r="AG7" s="648"/>
      <c r="AH7" s="648"/>
      <c r="AI7" s="648"/>
      <c r="AJ7" s="648"/>
      <c r="AK7" s="648"/>
      <c r="AL7" s="648"/>
      <c r="AM7" s="648"/>
      <c r="AN7" s="648"/>
      <c r="AO7" s="648"/>
      <c r="AP7" s="648"/>
      <c r="AQ7" s="648"/>
      <c r="AR7" s="648"/>
      <c r="AS7" s="648"/>
      <c r="AT7" s="648"/>
      <c r="AU7" s="648"/>
    </row>
    <row r="8" spans="1:47">
      <c r="A8" s="648"/>
      <c r="B8" s="648"/>
      <c r="C8" s="648"/>
      <c r="D8" s="648"/>
      <c r="E8" s="648"/>
      <c r="F8" s="648"/>
      <c r="G8" s="648"/>
      <c r="H8" s="648"/>
      <c r="I8" s="648"/>
      <c r="J8" s="648"/>
      <c r="K8" s="648"/>
      <c r="L8" s="648"/>
      <c r="M8" s="648"/>
      <c r="N8" s="648"/>
      <c r="O8" s="648"/>
      <c r="P8" s="648"/>
      <c r="Q8" s="648"/>
      <c r="R8" s="648"/>
      <c r="S8" s="648"/>
      <c r="T8" s="648"/>
      <c r="U8" s="648"/>
      <c r="V8" s="648"/>
      <c r="W8" s="648"/>
      <c r="X8" s="648"/>
      <c r="Y8" s="648"/>
      <c r="Z8" s="648"/>
      <c r="AA8" s="648"/>
      <c r="AB8" s="648"/>
      <c r="AC8" s="648"/>
      <c r="AD8" s="648"/>
      <c r="AE8" s="648"/>
      <c r="AF8" s="648"/>
      <c r="AG8" s="648"/>
      <c r="AH8" s="648"/>
      <c r="AI8" s="648"/>
      <c r="AJ8" s="648"/>
      <c r="AK8" s="648"/>
      <c r="AL8" s="648"/>
      <c r="AM8" s="648"/>
      <c r="AN8" s="648"/>
      <c r="AO8" s="648"/>
      <c r="AP8" s="648"/>
      <c r="AQ8" s="648"/>
      <c r="AR8" s="648"/>
      <c r="AS8" s="648"/>
      <c r="AT8" s="648"/>
      <c r="AU8" s="648"/>
    </row>
    <row r="9" spans="1:47">
      <c r="A9" s="648"/>
      <c r="B9" s="648"/>
      <c r="C9" s="648"/>
      <c r="D9" s="648"/>
      <c r="E9" s="648"/>
      <c r="F9" s="648"/>
      <c r="G9" s="648"/>
      <c r="H9" s="648"/>
      <c r="I9" s="648"/>
      <c r="J9" s="648"/>
      <c r="K9" s="648"/>
      <c r="L9" s="648"/>
      <c r="M9" s="648"/>
      <c r="N9" s="648"/>
      <c r="O9" s="648"/>
      <c r="P9" s="648"/>
      <c r="Q9" s="648"/>
      <c r="R9" s="648"/>
      <c r="S9" s="648"/>
      <c r="T9" s="648"/>
      <c r="U9" s="648"/>
      <c r="V9" s="648"/>
      <c r="W9" s="648"/>
      <c r="X9" s="648"/>
      <c r="Y9" s="648"/>
      <c r="Z9" s="648"/>
      <c r="AA9" s="648"/>
      <c r="AB9" s="648"/>
      <c r="AC9" s="648"/>
      <c r="AD9" s="648"/>
      <c r="AE9" s="648"/>
      <c r="AF9" s="648"/>
      <c r="AG9" s="648"/>
      <c r="AH9" s="648"/>
      <c r="AI9" s="648"/>
      <c r="AJ9" s="648"/>
      <c r="AK9" s="648"/>
      <c r="AL9" s="648"/>
      <c r="AM9" s="648"/>
      <c r="AN9" s="648"/>
      <c r="AO9" s="648"/>
      <c r="AP9" s="648"/>
      <c r="AQ9" s="648"/>
      <c r="AR9" s="648"/>
      <c r="AS9" s="648"/>
      <c r="AT9" s="648"/>
      <c r="AU9" s="648"/>
    </row>
    <row r="10" spans="1:47">
      <c r="A10" s="648"/>
      <c r="B10" s="648"/>
      <c r="C10" s="648"/>
      <c r="D10" s="648"/>
      <c r="E10" s="648"/>
      <c r="F10" s="648"/>
      <c r="G10" s="648"/>
      <c r="H10" s="648"/>
      <c r="I10" s="648"/>
      <c r="J10" s="648"/>
      <c r="K10" s="648"/>
      <c r="L10" s="648"/>
      <c r="M10" s="648"/>
      <c r="N10" s="648"/>
      <c r="O10" s="648"/>
      <c r="P10" s="648"/>
      <c r="Q10" s="648"/>
      <c r="R10" s="648"/>
      <c r="S10" s="648"/>
      <c r="T10" s="648"/>
      <c r="U10" s="648"/>
      <c r="V10" s="648"/>
      <c r="W10" s="648"/>
      <c r="X10" s="648"/>
      <c r="Y10" s="648"/>
      <c r="Z10" s="648"/>
      <c r="AA10" s="648"/>
      <c r="AB10" s="648"/>
      <c r="AC10" s="648"/>
      <c r="AD10" s="648"/>
      <c r="AE10" s="648"/>
      <c r="AF10" s="648"/>
      <c r="AG10" s="648"/>
      <c r="AH10" s="648"/>
      <c r="AI10" s="648"/>
      <c r="AJ10" s="648"/>
      <c r="AK10" s="648"/>
      <c r="AL10" s="648"/>
      <c r="AM10" s="648"/>
      <c r="AN10" s="648"/>
      <c r="AO10" s="648"/>
      <c r="AP10" s="648"/>
      <c r="AQ10" s="648"/>
      <c r="AR10" s="648"/>
      <c r="AS10" s="648"/>
      <c r="AT10" s="648"/>
      <c r="AU10" s="648"/>
    </row>
    <row r="11" spans="1:47">
      <c r="A11" s="648"/>
      <c r="B11" s="648"/>
      <c r="C11" s="648"/>
      <c r="D11" s="648"/>
      <c r="E11" s="648"/>
      <c r="F11" s="648"/>
      <c r="G11" s="648"/>
      <c r="H11" s="648"/>
      <c r="I11" s="648"/>
      <c r="J11" s="648"/>
      <c r="K11" s="648"/>
      <c r="L11" s="648"/>
      <c r="M11" s="648"/>
      <c r="N11" s="648"/>
      <c r="O11" s="648"/>
      <c r="P11" s="648"/>
      <c r="Q11" s="648"/>
      <c r="R11" s="648"/>
      <c r="S11" s="648"/>
      <c r="T11" s="648"/>
      <c r="U11" s="648"/>
      <c r="V11" s="648"/>
      <c r="W11" s="648"/>
      <c r="X11" s="648"/>
      <c r="Y11" s="648"/>
      <c r="Z11" s="648"/>
      <c r="AA11" s="648"/>
      <c r="AB11" s="648"/>
      <c r="AC11" s="648"/>
      <c r="AD11" s="648"/>
      <c r="AE11" s="648"/>
      <c r="AF11" s="648"/>
      <c r="AG11" s="648"/>
      <c r="AH11" s="648"/>
      <c r="AI11" s="648"/>
      <c r="AJ11" s="648"/>
      <c r="AK11" s="648"/>
      <c r="AL11" s="648"/>
      <c r="AM11" s="648"/>
      <c r="AN11" s="648"/>
      <c r="AO11" s="648"/>
      <c r="AP11" s="648"/>
      <c r="AQ11" s="648"/>
      <c r="AR11" s="648"/>
      <c r="AS11" s="648"/>
      <c r="AT11" s="648"/>
      <c r="AU11" s="648"/>
    </row>
    <row r="12" spans="1:47">
      <c r="A12" s="648"/>
      <c r="B12" s="648"/>
      <c r="C12" s="648"/>
      <c r="D12" s="648"/>
      <c r="E12" s="648"/>
      <c r="F12" s="648"/>
      <c r="G12" s="648"/>
      <c r="H12" s="648"/>
      <c r="I12" s="648"/>
      <c r="J12" s="648"/>
      <c r="K12" s="648"/>
      <c r="L12" s="648"/>
      <c r="M12" s="648"/>
      <c r="N12" s="648"/>
      <c r="O12" s="648"/>
      <c r="P12" s="648"/>
      <c r="Q12" s="648"/>
      <c r="R12" s="648"/>
      <c r="S12" s="648"/>
      <c r="T12" s="648"/>
      <c r="U12" s="648"/>
      <c r="V12" s="648"/>
      <c r="W12" s="648"/>
      <c r="X12" s="648"/>
      <c r="Y12" s="648"/>
      <c r="Z12" s="648"/>
      <c r="AA12" s="648"/>
      <c r="AB12" s="648"/>
      <c r="AC12" s="648"/>
      <c r="AD12" s="648"/>
      <c r="AE12" s="648"/>
      <c r="AF12" s="648"/>
      <c r="AG12" s="648"/>
      <c r="AH12" s="648"/>
      <c r="AI12" s="648"/>
      <c r="AJ12" s="648"/>
      <c r="AK12" s="648"/>
      <c r="AL12" s="648"/>
      <c r="AM12" s="648"/>
      <c r="AN12" s="648"/>
      <c r="AO12" s="648"/>
      <c r="AP12" s="648"/>
      <c r="AQ12" s="648"/>
      <c r="AR12" s="648"/>
      <c r="AS12" s="648"/>
      <c r="AT12" s="648"/>
      <c r="AU12" s="648"/>
    </row>
    <row r="13" spans="1:47">
      <c r="A13" s="648"/>
      <c r="B13" s="648"/>
      <c r="C13" s="648"/>
      <c r="D13" s="648"/>
      <c r="E13" s="648"/>
      <c r="F13" s="648"/>
      <c r="G13" s="648"/>
      <c r="H13" s="648"/>
      <c r="I13" s="648"/>
      <c r="J13" s="648"/>
      <c r="K13" s="648"/>
      <c r="L13" s="648"/>
      <c r="M13" s="648"/>
      <c r="N13" s="648"/>
      <c r="O13" s="648"/>
      <c r="P13" s="648"/>
      <c r="Q13" s="648"/>
      <c r="R13" s="648"/>
      <c r="S13" s="648"/>
      <c r="T13" s="648"/>
      <c r="U13" s="648"/>
      <c r="V13" s="648"/>
      <c r="W13" s="648"/>
      <c r="X13" s="648"/>
      <c r="Y13" s="648"/>
      <c r="Z13" s="648"/>
      <c r="AA13" s="648"/>
      <c r="AB13" s="648"/>
      <c r="AC13" s="648"/>
      <c r="AD13" s="648"/>
      <c r="AE13" s="648"/>
      <c r="AF13" s="648"/>
      <c r="AG13" s="648"/>
      <c r="AH13" s="648"/>
      <c r="AI13" s="648"/>
      <c r="AJ13" s="648"/>
      <c r="AK13" s="648"/>
      <c r="AL13" s="648"/>
      <c r="AM13" s="648"/>
      <c r="AN13" s="648"/>
      <c r="AO13" s="648"/>
      <c r="AP13" s="648"/>
      <c r="AQ13" s="648"/>
      <c r="AR13" s="648"/>
      <c r="AS13" s="648"/>
      <c r="AT13" s="648"/>
      <c r="AU13" s="648"/>
    </row>
    <row r="14" spans="1:47">
      <c r="A14" s="648"/>
      <c r="B14" s="648"/>
      <c r="C14" s="648"/>
      <c r="D14" s="648"/>
      <c r="E14" s="648"/>
      <c r="F14" s="648"/>
      <c r="G14" s="648"/>
      <c r="H14" s="648"/>
      <c r="I14" s="648"/>
      <c r="J14" s="648"/>
      <c r="K14" s="648"/>
      <c r="L14" s="648"/>
      <c r="M14" s="648"/>
      <c r="N14" s="648"/>
      <c r="O14" s="648"/>
      <c r="P14" s="648"/>
      <c r="Q14" s="648"/>
      <c r="R14" s="648"/>
      <c r="S14" s="648"/>
      <c r="T14" s="648"/>
      <c r="U14" s="648"/>
      <c r="V14" s="648"/>
      <c r="W14" s="648"/>
      <c r="X14" s="648"/>
      <c r="Y14" s="648"/>
      <c r="Z14" s="648"/>
      <c r="AA14" s="648"/>
      <c r="AB14" s="648"/>
      <c r="AC14" s="648"/>
      <c r="AD14" s="648"/>
      <c r="AE14" s="648"/>
      <c r="AF14" s="648"/>
      <c r="AG14" s="648"/>
      <c r="AH14" s="648"/>
      <c r="AI14" s="648"/>
      <c r="AJ14" s="648"/>
      <c r="AK14" s="648"/>
      <c r="AL14" s="648"/>
      <c r="AM14" s="648"/>
      <c r="AN14" s="648"/>
      <c r="AO14" s="648"/>
      <c r="AP14" s="648"/>
      <c r="AQ14" s="648"/>
      <c r="AR14" s="648"/>
      <c r="AS14" s="648"/>
      <c r="AT14" s="648"/>
      <c r="AU14" s="648"/>
    </row>
    <row r="15" spans="1:47">
      <c r="A15" s="648"/>
      <c r="B15" s="648"/>
      <c r="C15" s="648"/>
      <c r="D15" s="648"/>
      <c r="E15" s="648"/>
      <c r="F15" s="648"/>
      <c r="G15" s="648"/>
      <c r="H15" s="648"/>
      <c r="I15" s="648"/>
      <c r="J15" s="648"/>
      <c r="K15" s="648"/>
      <c r="L15" s="648"/>
      <c r="M15" s="648"/>
      <c r="N15" s="648"/>
      <c r="O15" s="648"/>
      <c r="P15" s="648"/>
      <c r="Q15" s="648"/>
      <c r="R15" s="648"/>
      <c r="S15" s="648"/>
      <c r="T15" s="648"/>
      <c r="U15" s="648"/>
      <c r="V15" s="648"/>
      <c r="W15" s="648"/>
      <c r="X15" s="648"/>
      <c r="Y15" s="648"/>
      <c r="Z15" s="648"/>
      <c r="AA15" s="648"/>
      <c r="AB15" s="648"/>
      <c r="AC15" s="648"/>
      <c r="AD15" s="648"/>
      <c r="AE15" s="648"/>
      <c r="AF15" s="648"/>
      <c r="AG15" s="648"/>
      <c r="AH15" s="648"/>
      <c r="AI15" s="648"/>
      <c r="AJ15" s="648"/>
      <c r="AK15" s="648"/>
      <c r="AL15" s="648"/>
      <c r="AM15" s="648"/>
      <c r="AN15" s="648"/>
      <c r="AO15" s="648"/>
      <c r="AP15" s="648"/>
      <c r="AQ15" s="648"/>
      <c r="AR15" s="648"/>
      <c r="AS15" s="648"/>
      <c r="AT15" s="648"/>
      <c r="AU15" s="648"/>
    </row>
    <row r="16" spans="1:47">
      <c r="A16" s="648"/>
      <c r="B16" s="648"/>
      <c r="C16" s="648"/>
      <c r="D16" s="648"/>
      <c r="E16" s="648"/>
      <c r="F16" s="648"/>
      <c r="G16" s="648"/>
      <c r="H16" s="648"/>
      <c r="I16" s="648"/>
      <c r="J16" s="648"/>
      <c r="K16" s="648"/>
      <c r="L16" s="648"/>
      <c r="M16" s="648"/>
      <c r="N16" s="648"/>
      <c r="O16" s="648"/>
      <c r="P16" s="648"/>
      <c r="Q16" s="648"/>
      <c r="R16" s="648"/>
      <c r="S16" s="648"/>
      <c r="T16" s="648"/>
      <c r="U16" s="648"/>
      <c r="V16" s="648"/>
      <c r="W16" s="648"/>
      <c r="X16" s="648"/>
      <c r="Y16" s="648"/>
      <c r="Z16" s="648"/>
      <c r="AA16" s="648"/>
      <c r="AB16" s="648"/>
      <c r="AC16" s="648"/>
      <c r="AD16" s="648"/>
      <c r="AE16" s="648"/>
      <c r="AF16" s="648"/>
      <c r="AG16" s="648"/>
      <c r="AH16" s="648"/>
      <c r="AI16" s="648"/>
      <c r="AJ16" s="648"/>
      <c r="AK16" s="648"/>
      <c r="AL16" s="648"/>
      <c r="AM16" s="648"/>
      <c r="AN16" s="648"/>
      <c r="AO16" s="648"/>
      <c r="AP16" s="648"/>
      <c r="AQ16" s="648"/>
      <c r="AR16" s="648"/>
      <c r="AS16" s="648"/>
      <c r="AT16" s="648"/>
      <c r="AU16" s="648"/>
    </row>
    <row r="17" spans="1:47">
      <c r="A17" s="648"/>
      <c r="B17" s="648"/>
      <c r="C17" s="648"/>
      <c r="D17" s="648"/>
      <c r="E17" s="648"/>
      <c r="F17" s="648"/>
      <c r="G17" s="648"/>
      <c r="H17" s="648"/>
      <c r="I17" s="648"/>
      <c r="J17" s="648"/>
      <c r="K17" s="648"/>
      <c r="L17" s="648"/>
      <c r="M17" s="648"/>
      <c r="N17" s="648"/>
      <c r="O17" s="648"/>
      <c r="P17" s="648"/>
      <c r="Q17" s="648"/>
      <c r="R17" s="648"/>
      <c r="S17" s="648"/>
      <c r="T17" s="648"/>
      <c r="U17" s="648"/>
      <c r="V17" s="648"/>
      <c r="W17" s="648"/>
      <c r="X17" s="648"/>
      <c r="Y17" s="648"/>
      <c r="Z17" s="648"/>
      <c r="AA17" s="648"/>
      <c r="AB17" s="648"/>
      <c r="AC17" s="648"/>
      <c r="AD17" s="648"/>
      <c r="AE17" s="648"/>
      <c r="AF17" s="648"/>
      <c r="AG17" s="648"/>
      <c r="AH17" s="648"/>
      <c r="AI17" s="648"/>
      <c r="AJ17" s="648"/>
      <c r="AK17" s="648"/>
      <c r="AL17" s="648"/>
      <c r="AM17" s="648"/>
      <c r="AN17" s="648"/>
      <c r="AO17" s="648"/>
      <c r="AP17" s="648"/>
      <c r="AQ17" s="648"/>
      <c r="AR17" s="648"/>
      <c r="AS17" s="648"/>
      <c r="AT17" s="648"/>
      <c r="AU17" s="648"/>
    </row>
    <row r="18" spans="1:47">
      <c r="A18" s="648"/>
      <c r="B18" s="648"/>
      <c r="C18" s="648"/>
      <c r="D18" s="648"/>
      <c r="E18" s="648"/>
      <c r="F18" s="648"/>
      <c r="G18" s="648"/>
      <c r="H18" s="648"/>
      <c r="I18" s="648"/>
      <c r="J18" s="648"/>
      <c r="K18" s="648"/>
      <c r="L18" s="648"/>
      <c r="M18" s="648"/>
      <c r="N18" s="648"/>
      <c r="O18" s="648"/>
      <c r="P18" s="648"/>
      <c r="Q18" s="648"/>
      <c r="R18" s="648"/>
      <c r="S18" s="648"/>
      <c r="T18" s="648"/>
      <c r="U18" s="648"/>
      <c r="V18" s="648"/>
      <c r="W18" s="648"/>
      <c r="X18" s="648"/>
      <c r="Y18" s="648"/>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row>
    <row r="19" spans="1:47">
      <c r="A19" s="648"/>
      <c r="B19" s="648"/>
      <c r="C19" s="648"/>
      <c r="D19" s="648"/>
      <c r="E19" s="648"/>
      <c r="F19" s="648"/>
      <c r="G19" s="648"/>
      <c r="H19" s="648"/>
      <c r="I19" s="648"/>
      <c r="J19" s="648"/>
      <c r="K19" s="648"/>
      <c r="L19" s="648"/>
      <c r="M19" s="648"/>
      <c r="N19" s="648"/>
      <c r="O19" s="648"/>
      <c r="P19" s="648"/>
      <c r="Q19" s="648"/>
      <c r="R19" s="648"/>
      <c r="S19" s="648"/>
      <c r="T19" s="648"/>
      <c r="U19" s="648"/>
      <c r="V19" s="648"/>
      <c r="W19" s="648"/>
      <c r="X19" s="648"/>
      <c r="Y19" s="648"/>
      <c r="Z19" s="648"/>
      <c r="AA19" s="648"/>
      <c r="AB19" s="648"/>
      <c r="AC19" s="648"/>
      <c r="AD19" s="648"/>
      <c r="AE19" s="648"/>
      <c r="AF19" s="648"/>
      <c r="AG19" s="648"/>
      <c r="AH19" s="648"/>
      <c r="AI19" s="648"/>
      <c r="AJ19" s="648"/>
      <c r="AK19" s="648"/>
      <c r="AL19" s="648"/>
      <c r="AM19" s="648"/>
      <c r="AN19" s="648"/>
      <c r="AO19" s="648"/>
      <c r="AP19" s="648"/>
      <c r="AQ19" s="648"/>
      <c r="AR19" s="648"/>
      <c r="AS19" s="648"/>
      <c r="AT19" s="648"/>
      <c r="AU19" s="648"/>
    </row>
    <row r="20" spans="1:47">
      <c r="A20" s="648"/>
      <c r="B20" s="648"/>
      <c r="C20" s="648"/>
      <c r="D20" s="648"/>
      <c r="E20" s="648"/>
      <c r="F20" s="648"/>
      <c r="G20" s="648"/>
      <c r="H20" s="648"/>
      <c r="I20" s="648"/>
      <c r="J20" s="648"/>
      <c r="K20" s="648"/>
      <c r="L20" s="648"/>
      <c r="M20" s="648"/>
      <c r="N20" s="648"/>
      <c r="O20" s="648"/>
      <c r="P20" s="648"/>
      <c r="Q20" s="648"/>
      <c r="R20" s="648"/>
      <c r="S20" s="648"/>
      <c r="T20" s="648"/>
      <c r="U20" s="648"/>
      <c r="V20" s="648"/>
      <c r="W20" s="648"/>
      <c r="X20" s="648"/>
      <c r="Y20" s="648"/>
      <c r="Z20" s="648"/>
      <c r="AA20" s="648"/>
      <c r="AB20" s="648"/>
      <c r="AC20" s="648"/>
      <c r="AD20" s="648"/>
      <c r="AE20" s="648"/>
      <c r="AF20" s="648"/>
      <c r="AG20" s="648"/>
      <c r="AH20" s="648"/>
      <c r="AI20" s="648"/>
      <c r="AJ20" s="648"/>
      <c r="AK20" s="648"/>
      <c r="AL20" s="648"/>
      <c r="AM20" s="648"/>
      <c r="AN20" s="648"/>
      <c r="AO20" s="648"/>
      <c r="AP20" s="648"/>
      <c r="AQ20" s="648"/>
      <c r="AR20" s="648"/>
      <c r="AS20" s="648"/>
      <c r="AT20" s="648"/>
      <c r="AU20" s="648"/>
    </row>
    <row r="21" spans="1:47">
      <c r="A21" s="648"/>
      <c r="B21" s="648"/>
      <c r="C21" s="648"/>
      <c r="D21" s="648"/>
      <c r="E21" s="648"/>
      <c r="F21" s="648"/>
      <c r="G21" s="648"/>
      <c r="H21" s="648"/>
      <c r="I21" s="648"/>
      <c r="J21" s="648"/>
      <c r="K21" s="648"/>
      <c r="L21" s="648"/>
      <c r="M21" s="648"/>
      <c r="N21" s="648"/>
      <c r="O21" s="648"/>
      <c r="P21" s="648"/>
      <c r="Q21" s="648"/>
      <c r="R21" s="648"/>
      <c r="S21" s="648"/>
      <c r="T21" s="648"/>
      <c r="U21" s="648"/>
      <c r="V21" s="648"/>
      <c r="W21" s="648"/>
      <c r="X21" s="648"/>
      <c r="Y21" s="648"/>
      <c r="Z21" s="648"/>
      <c r="AA21" s="648"/>
      <c r="AB21" s="648"/>
      <c r="AC21" s="648"/>
      <c r="AD21" s="648"/>
      <c r="AE21" s="648"/>
      <c r="AF21" s="648"/>
      <c r="AG21" s="648"/>
      <c r="AH21" s="648"/>
      <c r="AI21" s="648"/>
      <c r="AJ21" s="648"/>
      <c r="AK21" s="648"/>
      <c r="AL21" s="648"/>
      <c r="AM21" s="648"/>
      <c r="AN21" s="648"/>
      <c r="AO21" s="648"/>
      <c r="AP21" s="648"/>
      <c r="AQ21" s="648"/>
      <c r="AR21" s="648"/>
      <c r="AS21" s="648"/>
      <c r="AT21" s="648"/>
      <c r="AU21" s="648"/>
    </row>
    <row r="22" spans="1:47">
      <c r="A22" s="648"/>
      <c r="B22" s="648"/>
      <c r="C22" s="648"/>
      <c r="D22" s="648"/>
      <c r="E22" s="648"/>
      <c r="F22" s="648"/>
      <c r="G22" s="648"/>
      <c r="H22" s="648"/>
      <c r="I22" s="648"/>
      <c r="J22" s="648"/>
      <c r="K22" s="648"/>
      <c r="L22" s="648"/>
      <c r="M22" s="648"/>
      <c r="N22" s="648"/>
      <c r="O22" s="648"/>
      <c r="P22" s="648"/>
      <c r="Q22" s="648"/>
      <c r="R22" s="648"/>
      <c r="S22" s="648"/>
      <c r="T22" s="648"/>
      <c r="U22" s="648"/>
      <c r="V22" s="648"/>
      <c r="W22" s="648"/>
      <c r="X22" s="648"/>
      <c r="Y22" s="648"/>
      <c r="Z22" s="648"/>
      <c r="AA22" s="648"/>
      <c r="AB22" s="648"/>
      <c r="AC22" s="648"/>
      <c r="AD22" s="648"/>
      <c r="AE22" s="648"/>
      <c r="AF22" s="648"/>
      <c r="AG22" s="648"/>
      <c r="AH22" s="648"/>
      <c r="AI22" s="648"/>
      <c r="AJ22" s="648"/>
      <c r="AK22" s="648"/>
      <c r="AL22" s="648"/>
      <c r="AM22" s="648"/>
      <c r="AN22" s="648"/>
      <c r="AO22" s="648"/>
      <c r="AP22" s="648"/>
      <c r="AQ22" s="648"/>
      <c r="AR22" s="648"/>
      <c r="AS22" s="648"/>
      <c r="AT22" s="648"/>
      <c r="AU22" s="648"/>
    </row>
    <row r="23" spans="1:47">
      <c r="A23" s="648"/>
      <c r="B23" s="648"/>
      <c r="C23" s="648"/>
      <c r="D23" s="648"/>
      <c r="E23" s="648"/>
      <c r="F23" s="648"/>
      <c r="G23" s="648"/>
      <c r="H23" s="648"/>
      <c r="I23" s="648"/>
      <c r="J23" s="648"/>
      <c r="K23" s="648"/>
      <c r="L23" s="648"/>
      <c r="M23" s="648"/>
      <c r="N23" s="648"/>
      <c r="O23" s="648"/>
      <c r="P23" s="648"/>
      <c r="Q23" s="648"/>
      <c r="R23" s="648"/>
      <c r="S23" s="648"/>
      <c r="T23" s="648"/>
      <c r="U23" s="648"/>
      <c r="V23" s="648"/>
      <c r="W23" s="648"/>
      <c r="X23" s="648"/>
      <c r="Y23" s="648"/>
      <c r="Z23" s="648"/>
      <c r="AA23" s="648"/>
      <c r="AB23" s="648"/>
      <c r="AC23" s="648"/>
      <c r="AD23" s="648"/>
      <c r="AE23" s="648"/>
      <c r="AF23" s="648"/>
      <c r="AG23" s="648"/>
      <c r="AH23" s="648"/>
      <c r="AI23" s="648"/>
      <c r="AJ23" s="648"/>
      <c r="AK23" s="648"/>
      <c r="AL23" s="648"/>
      <c r="AM23" s="648"/>
      <c r="AN23" s="648"/>
      <c r="AO23" s="648"/>
      <c r="AP23" s="648"/>
      <c r="AQ23" s="648"/>
      <c r="AR23" s="648"/>
      <c r="AS23" s="648"/>
      <c r="AT23" s="648"/>
      <c r="AU23" s="648"/>
    </row>
    <row r="24" spans="1:47">
      <c r="A24" s="648"/>
      <c r="B24" s="648"/>
      <c r="C24" s="648"/>
      <c r="D24" s="648"/>
      <c r="E24" s="648"/>
      <c r="F24" s="648"/>
      <c r="G24" s="648"/>
      <c r="H24" s="648"/>
      <c r="I24" s="648"/>
      <c r="J24" s="648"/>
      <c r="K24" s="648"/>
      <c r="L24" s="648"/>
      <c r="M24" s="648"/>
      <c r="N24" s="648"/>
      <c r="O24" s="648"/>
      <c r="P24" s="648"/>
      <c r="Q24" s="648"/>
      <c r="R24" s="648"/>
      <c r="S24" s="648"/>
      <c r="T24" s="648"/>
      <c r="U24" s="648"/>
      <c r="V24" s="648"/>
      <c r="W24" s="648"/>
      <c r="X24" s="648"/>
      <c r="Y24" s="648"/>
      <c r="Z24" s="648"/>
      <c r="AA24" s="648"/>
      <c r="AB24" s="648"/>
      <c r="AC24" s="648"/>
      <c r="AD24" s="648"/>
      <c r="AE24" s="648"/>
      <c r="AF24" s="648"/>
      <c r="AG24" s="648"/>
      <c r="AH24" s="648"/>
      <c r="AI24" s="648"/>
      <c r="AJ24" s="648"/>
      <c r="AK24" s="648"/>
      <c r="AL24" s="648"/>
      <c r="AM24" s="648"/>
      <c r="AN24" s="648"/>
      <c r="AO24" s="648"/>
      <c r="AP24" s="648"/>
      <c r="AQ24" s="648"/>
      <c r="AR24" s="648"/>
      <c r="AS24" s="648"/>
      <c r="AT24" s="648"/>
      <c r="AU24" s="648"/>
    </row>
    <row r="25" spans="1:47">
      <c r="A25" s="648"/>
      <c r="B25" s="648"/>
      <c r="C25" s="648"/>
      <c r="D25" s="648"/>
      <c r="E25" s="648"/>
      <c r="F25" s="648"/>
      <c r="G25" s="648"/>
      <c r="H25" s="648"/>
      <c r="I25" s="648"/>
      <c r="J25" s="648"/>
      <c r="K25" s="648"/>
      <c r="L25" s="648"/>
      <c r="M25" s="648"/>
      <c r="N25" s="648"/>
      <c r="O25" s="648"/>
      <c r="P25" s="648"/>
      <c r="Q25" s="648"/>
      <c r="R25" s="648"/>
      <c r="S25" s="648"/>
      <c r="T25" s="648"/>
      <c r="U25" s="648"/>
      <c r="V25" s="648"/>
      <c r="W25" s="648"/>
      <c r="X25" s="648"/>
      <c r="Y25" s="648"/>
      <c r="Z25" s="648"/>
      <c r="AA25" s="648"/>
      <c r="AB25" s="648"/>
      <c r="AC25" s="648"/>
      <c r="AD25" s="648"/>
      <c r="AE25" s="648"/>
      <c r="AF25" s="648"/>
      <c r="AG25" s="648"/>
      <c r="AH25" s="648"/>
      <c r="AI25" s="648"/>
      <c r="AJ25" s="648"/>
      <c r="AK25" s="648"/>
      <c r="AL25" s="648"/>
      <c r="AM25" s="648"/>
      <c r="AN25" s="648"/>
      <c r="AO25" s="648"/>
      <c r="AP25" s="648"/>
      <c r="AQ25" s="648"/>
      <c r="AR25" s="648"/>
      <c r="AS25" s="648"/>
      <c r="AT25" s="648"/>
      <c r="AU25" s="648"/>
    </row>
    <row r="26" spans="1:47">
      <c r="A26" s="648"/>
      <c r="B26" s="648"/>
      <c r="C26" s="648"/>
      <c r="D26" s="648"/>
      <c r="E26" s="648"/>
      <c r="F26" s="648"/>
      <c r="G26" s="648"/>
      <c r="H26" s="648"/>
      <c r="I26" s="648"/>
      <c r="J26" s="648"/>
      <c r="K26" s="648"/>
      <c r="L26" s="648"/>
      <c r="M26" s="648"/>
      <c r="N26" s="648"/>
      <c r="O26" s="648"/>
      <c r="P26" s="648"/>
      <c r="Q26" s="648"/>
      <c r="R26" s="648"/>
      <c r="S26" s="648"/>
      <c r="T26" s="648"/>
      <c r="U26" s="648"/>
      <c r="V26" s="648"/>
      <c r="W26" s="648"/>
      <c r="X26" s="648"/>
      <c r="Y26" s="648"/>
      <c r="Z26" s="648"/>
      <c r="AA26" s="648"/>
      <c r="AB26" s="648"/>
      <c r="AC26" s="648"/>
      <c r="AD26" s="648"/>
      <c r="AE26" s="648"/>
      <c r="AF26" s="648"/>
      <c r="AG26" s="648"/>
      <c r="AH26" s="648"/>
      <c r="AI26" s="648"/>
      <c r="AJ26" s="648"/>
      <c r="AK26" s="648"/>
      <c r="AL26" s="648"/>
      <c r="AM26" s="648"/>
      <c r="AN26" s="648"/>
      <c r="AO26" s="648"/>
      <c r="AP26" s="648"/>
      <c r="AQ26" s="648"/>
      <c r="AR26" s="648"/>
      <c r="AS26" s="648"/>
      <c r="AT26" s="648"/>
      <c r="AU26" s="648"/>
    </row>
    <row r="27" spans="1:47">
      <c r="A27" s="648"/>
      <c r="B27" s="648"/>
      <c r="C27" s="648"/>
      <c r="D27" s="648"/>
      <c r="E27" s="648"/>
      <c r="F27" s="648"/>
      <c r="G27" s="648"/>
      <c r="H27" s="648"/>
      <c r="I27" s="648"/>
      <c r="J27" s="648"/>
      <c r="K27" s="648"/>
      <c r="L27" s="648"/>
      <c r="M27" s="648"/>
      <c r="N27" s="648"/>
      <c r="O27" s="648"/>
      <c r="P27" s="648"/>
      <c r="Q27" s="648"/>
      <c r="R27" s="648"/>
      <c r="S27" s="648"/>
      <c r="T27" s="648"/>
      <c r="U27" s="648"/>
      <c r="V27" s="648"/>
      <c r="W27" s="648"/>
      <c r="X27" s="648"/>
      <c r="Y27" s="648"/>
      <c r="Z27" s="648"/>
      <c r="AA27" s="648"/>
      <c r="AB27" s="648"/>
      <c r="AC27" s="648"/>
      <c r="AD27" s="648"/>
      <c r="AE27" s="648"/>
      <c r="AF27" s="648"/>
      <c r="AG27" s="648"/>
      <c r="AH27" s="648"/>
      <c r="AI27" s="648"/>
      <c r="AJ27" s="648"/>
      <c r="AK27" s="648"/>
      <c r="AL27" s="648"/>
      <c r="AM27" s="648"/>
      <c r="AN27" s="648"/>
      <c r="AO27" s="648"/>
      <c r="AP27" s="648"/>
      <c r="AQ27" s="648"/>
      <c r="AR27" s="648"/>
      <c r="AS27" s="648"/>
      <c r="AT27" s="648"/>
      <c r="AU27" s="648"/>
    </row>
    <row r="28" spans="1:47">
      <c r="A28" s="648"/>
      <c r="B28" s="648"/>
      <c r="C28" s="648"/>
      <c r="D28" s="648"/>
      <c r="E28" s="648"/>
      <c r="F28" s="648"/>
      <c r="G28" s="648"/>
      <c r="H28" s="648"/>
      <c r="I28" s="648"/>
      <c r="J28" s="648"/>
      <c r="K28" s="648"/>
      <c r="L28" s="648"/>
      <c r="M28" s="648"/>
      <c r="N28" s="648"/>
      <c r="O28" s="648"/>
      <c r="P28" s="648"/>
      <c r="Q28" s="648"/>
      <c r="R28" s="648"/>
      <c r="S28" s="648"/>
      <c r="T28" s="648"/>
      <c r="U28" s="648"/>
      <c r="V28" s="648"/>
      <c r="W28" s="648"/>
      <c r="X28" s="648"/>
      <c r="Y28" s="648"/>
      <c r="Z28" s="648"/>
      <c r="AA28" s="648"/>
      <c r="AB28" s="648"/>
      <c r="AC28" s="648"/>
      <c r="AD28" s="648"/>
      <c r="AE28" s="648"/>
      <c r="AF28" s="648"/>
      <c r="AG28" s="648"/>
      <c r="AH28" s="648"/>
      <c r="AI28" s="648"/>
      <c r="AJ28" s="648"/>
      <c r="AK28" s="648"/>
      <c r="AL28" s="648"/>
      <c r="AM28" s="648"/>
      <c r="AN28" s="648"/>
      <c r="AO28" s="648"/>
      <c r="AP28" s="648"/>
      <c r="AQ28" s="648"/>
      <c r="AR28" s="648"/>
      <c r="AS28" s="648"/>
      <c r="AT28" s="648"/>
      <c r="AU28" s="648"/>
    </row>
    <row r="29" spans="1:47">
      <c r="A29" s="648"/>
      <c r="B29" s="648"/>
      <c r="C29" s="648"/>
      <c r="D29" s="648"/>
      <c r="E29" s="648"/>
      <c r="F29" s="648"/>
      <c r="G29" s="648"/>
      <c r="H29" s="648"/>
      <c r="I29" s="648"/>
      <c r="J29" s="648"/>
      <c r="K29" s="648"/>
      <c r="L29" s="648"/>
      <c r="M29" s="648"/>
      <c r="N29" s="648"/>
      <c r="O29" s="648"/>
      <c r="P29" s="648"/>
      <c r="Q29" s="648"/>
      <c r="R29" s="648"/>
      <c r="S29" s="648"/>
      <c r="T29" s="648"/>
      <c r="U29" s="648"/>
      <c r="V29" s="648"/>
      <c r="W29" s="648"/>
      <c r="X29" s="648"/>
      <c r="Y29" s="648"/>
      <c r="Z29" s="648"/>
      <c r="AA29" s="648"/>
      <c r="AB29" s="648"/>
      <c r="AC29" s="648"/>
      <c r="AD29" s="648"/>
      <c r="AE29" s="648"/>
      <c r="AF29" s="648"/>
      <c r="AG29" s="648"/>
      <c r="AH29" s="648"/>
      <c r="AI29" s="648"/>
      <c r="AJ29" s="648"/>
      <c r="AK29" s="648"/>
      <c r="AL29" s="648"/>
      <c r="AM29" s="648"/>
      <c r="AN29" s="648"/>
      <c r="AO29" s="648"/>
      <c r="AP29" s="648"/>
      <c r="AQ29" s="648"/>
      <c r="AR29" s="648"/>
      <c r="AS29" s="648"/>
      <c r="AT29" s="648"/>
      <c r="AU29" s="648"/>
    </row>
    <row r="30" spans="1:47">
      <c r="A30" s="648"/>
      <c r="B30" s="648"/>
      <c r="C30" s="648"/>
      <c r="D30" s="648"/>
      <c r="E30" s="648"/>
      <c r="F30" s="648"/>
      <c r="G30" s="648"/>
      <c r="H30" s="648"/>
      <c r="I30" s="648"/>
      <c r="J30" s="648"/>
      <c r="K30" s="648"/>
      <c r="L30" s="648"/>
      <c r="M30" s="648"/>
      <c r="N30" s="648"/>
      <c r="O30" s="648"/>
      <c r="P30" s="648"/>
      <c r="Q30" s="648"/>
      <c r="R30" s="648"/>
      <c r="S30" s="648"/>
      <c r="T30" s="648"/>
      <c r="U30" s="648"/>
      <c r="V30" s="648"/>
      <c r="W30" s="648"/>
      <c r="X30" s="648"/>
      <c r="Y30" s="648"/>
      <c r="Z30" s="648"/>
      <c r="AA30" s="648"/>
      <c r="AB30" s="648"/>
      <c r="AC30" s="648"/>
      <c r="AD30" s="648"/>
      <c r="AE30" s="648"/>
      <c r="AF30" s="648"/>
      <c r="AG30" s="648"/>
      <c r="AH30" s="648"/>
      <c r="AI30" s="648"/>
      <c r="AJ30" s="648"/>
      <c r="AK30" s="648"/>
      <c r="AL30" s="648"/>
      <c r="AM30" s="648"/>
      <c r="AN30" s="648"/>
      <c r="AO30" s="648"/>
      <c r="AP30" s="648"/>
      <c r="AQ30" s="648"/>
      <c r="AR30" s="648"/>
      <c r="AS30" s="648"/>
      <c r="AT30" s="648"/>
      <c r="AU30" s="648"/>
    </row>
    <row r="31" spans="1:47">
      <c r="A31" s="648"/>
      <c r="B31" s="648"/>
      <c r="C31" s="648"/>
      <c r="D31" s="648"/>
      <c r="E31" s="648"/>
      <c r="F31" s="648"/>
      <c r="G31" s="648"/>
      <c r="H31" s="648"/>
      <c r="I31" s="648"/>
      <c r="J31" s="648"/>
      <c r="K31" s="648"/>
      <c r="L31" s="648"/>
      <c r="M31" s="648"/>
      <c r="N31" s="648"/>
      <c r="O31" s="648"/>
      <c r="P31" s="648"/>
      <c r="Q31" s="648"/>
      <c r="R31" s="648"/>
      <c r="S31" s="648"/>
      <c r="T31" s="648"/>
      <c r="U31" s="648"/>
      <c r="V31" s="648"/>
      <c r="W31" s="648"/>
      <c r="X31" s="648"/>
      <c r="Y31" s="648"/>
      <c r="Z31" s="648"/>
      <c r="AA31" s="648"/>
      <c r="AB31" s="648"/>
      <c r="AC31" s="648"/>
      <c r="AD31" s="648"/>
      <c r="AE31" s="648"/>
      <c r="AF31" s="648"/>
      <c r="AG31" s="648"/>
      <c r="AH31" s="648"/>
      <c r="AI31" s="648"/>
      <c r="AJ31" s="648"/>
      <c r="AK31" s="648"/>
      <c r="AL31" s="648"/>
      <c r="AM31" s="648"/>
      <c r="AN31" s="648"/>
      <c r="AO31" s="648"/>
      <c r="AP31" s="648"/>
      <c r="AQ31" s="648"/>
      <c r="AR31" s="648"/>
      <c r="AS31" s="648"/>
      <c r="AT31" s="648"/>
      <c r="AU31" s="648"/>
    </row>
    <row r="32" spans="1:47">
      <c r="A32" s="648"/>
      <c r="B32" s="648"/>
      <c r="C32" s="648"/>
      <c r="D32" s="648"/>
      <c r="E32" s="648"/>
      <c r="F32" s="648"/>
      <c r="G32" s="648"/>
      <c r="H32" s="648"/>
      <c r="I32" s="648"/>
      <c r="J32" s="648"/>
      <c r="K32" s="648"/>
      <c r="L32" s="648"/>
      <c r="M32" s="648"/>
      <c r="N32" s="648"/>
      <c r="O32" s="648"/>
      <c r="P32" s="648"/>
      <c r="Q32" s="648"/>
      <c r="R32" s="648"/>
      <c r="S32" s="648"/>
      <c r="T32" s="648"/>
      <c r="U32" s="648"/>
      <c r="V32" s="648"/>
      <c r="W32" s="648"/>
      <c r="X32" s="648"/>
      <c r="Y32" s="648"/>
      <c r="Z32" s="648"/>
      <c r="AA32" s="648"/>
      <c r="AB32" s="648"/>
      <c r="AC32" s="648"/>
      <c r="AD32" s="648"/>
      <c r="AE32" s="648"/>
      <c r="AF32" s="648"/>
      <c r="AG32" s="648"/>
      <c r="AH32" s="648"/>
      <c r="AI32" s="648"/>
      <c r="AJ32" s="648"/>
      <c r="AK32" s="648"/>
      <c r="AL32" s="648"/>
      <c r="AM32" s="648"/>
      <c r="AN32" s="648"/>
      <c r="AO32" s="648"/>
      <c r="AP32" s="648"/>
      <c r="AQ32" s="648"/>
      <c r="AR32" s="648"/>
      <c r="AS32" s="648"/>
      <c r="AT32" s="648"/>
      <c r="AU32" s="648"/>
    </row>
    <row r="33" spans="1:47">
      <c r="A33" s="648"/>
      <c r="B33" s="648"/>
      <c r="C33" s="648"/>
      <c r="D33" s="648"/>
      <c r="E33" s="648"/>
      <c r="F33" s="648"/>
      <c r="G33" s="648"/>
      <c r="H33" s="648"/>
      <c r="I33" s="648"/>
      <c r="J33" s="648"/>
      <c r="K33" s="648"/>
      <c r="L33" s="648"/>
      <c r="M33" s="648"/>
      <c r="N33" s="648"/>
      <c r="O33" s="648"/>
      <c r="P33" s="648"/>
      <c r="Q33" s="648"/>
      <c r="R33" s="648"/>
      <c r="S33" s="648"/>
      <c r="T33" s="648"/>
      <c r="U33" s="648"/>
      <c r="V33" s="648"/>
      <c r="W33" s="648"/>
      <c r="X33" s="648"/>
      <c r="Y33" s="648"/>
      <c r="Z33" s="648"/>
      <c r="AA33" s="648"/>
      <c r="AB33" s="648"/>
      <c r="AC33" s="648"/>
      <c r="AD33" s="648"/>
      <c r="AE33" s="648"/>
      <c r="AF33" s="648"/>
      <c r="AG33" s="648"/>
      <c r="AH33" s="648"/>
      <c r="AI33" s="648"/>
      <c r="AJ33" s="648"/>
      <c r="AK33" s="648"/>
      <c r="AL33" s="648"/>
      <c r="AM33" s="648"/>
      <c r="AN33" s="648"/>
      <c r="AO33" s="648"/>
      <c r="AP33" s="648"/>
      <c r="AQ33" s="648"/>
      <c r="AR33" s="648"/>
      <c r="AS33" s="648"/>
      <c r="AT33" s="648"/>
      <c r="AU33" s="648"/>
    </row>
    <row r="34" spans="1:47">
      <c r="A34" s="648"/>
      <c r="B34" s="648"/>
      <c r="C34" s="648"/>
      <c r="D34" s="648"/>
      <c r="E34" s="648"/>
      <c r="F34" s="648"/>
      <c r="G34" s="648"/>
      <c r="H34" s="648"/>
      <c r="I34" s="648"/>
      <c r="J34" s="648"/>
      <c r="K34" s="648"/>
      <c r="L34" s="648"/>
      <c r="M34" s="648"/>
      <c r="N34" s="648"/>
      <c r="O34" s="648"/>
      <c r="P34" s="648"/>
      <c r="Q34" s="648"/>
      <c r="R34" s="648"/>
      <c r="S34" s="648"/>
      <c r="T34" s="648"/>
      <c r="U34" s="648"/>
      <c r="V34" s="648"/>
      <c r="W34" s="648"/>
      <c r="X34" s="648"/>
      <c r="Y34" s="648"/>
      <c r="Z34" s="648"/>
      <c r="AA34" s="648"/>
      <c r="AB34" s="648"/>
      <c r="AC34" s="648"/>
      <c r="AD34" s="648"/>
      <c r="AE34" s="648"/>
      <c r="AF34" s="648"/>
      <c r="AG34" s="648"/>
      <c r="AH34" s="648"/>
      <c r="AI34" s="648"/>
      <c r="AJ34" s="648"/>
      <c r="AK34" s="648"/>
      <c r="AL34" s="648"/>
      <c r="AM34" s="648"/>
      <c r="AN34" s="648"/>
      <c r="AO34" s="648"/>
      <c r="AP34" s="648"/>
      <c r="AQ34" s="648"/>
      <c r="AR34" s="648"/>
      <c r="AS34" s="648"/>
      <c r="AT34" s="648"/>
      <c r="AU34" s="648"/>
    </row>
    <row r="35" spans="1:47">
      <c r="A35" s="648"/>
      <c r="B35" s="648"/>
      <c r="C35" s="648"/>
      <c r="D35" s="648"/>
      <c r="E35" s="648"/>
      <c r="F35" s="648"/>
      <c r="G35" s="648"/>
      <c r="H35" s="648"/>
      <c r="I35" s="648"/>
      <c r="J35" s="648"/>
      <c r="K35" s="648"/>
      <c r="L35" s="648"/>
      <c r="M35" s="648"/>
      <c r="N35" s="648"/>
      <c r="O35" s="648"/>
      <c r="P35" s="648"/>
      <c r="Q35" s="648"/>
      <c r="R35" s="648"/>
      <c r="S35" s="648"/>
      <c r="T35" s="648"/>
      <c r="U35" s="648"/>
      <c r="V35" s="648"/>
      <c r="W35" s="648"/>
      <c r="X35" s="648"/>
      <c r="Y35" s="648"/>
      <c r="Z35" s="648"/>
      <c r="AA35" s="648"/>
      <c r="AB35" s="648"/>
      <c r="AC35" s="648"/>
      <c r="AD35" s="648"/>
      <c r="AE35" s="648"/>
      <c r="AF35" s="648"/>
      <c r="AG35" s="648"/>
      <c r="AH35" s="648"/>
      <c r="AI35" s="648"/>
      <c r="AJ35" s="648"/>
      <c r="AK35" s="648"/>
      <c r="AL35" s="648"/>
      <c r="AM35" s="648"/>
      <c r="AN35" s="648"/>
      <c r="AO35" s="648"/>
      <c r="AP35" s="648"/>
      <c r="AQ35" s="648"/>
      <c r="AR35" s="648"/>
      <c r="AS35" s="648"/>
      <c r="AT35" s="648"/>
      <c r="AU35" s="648"/>
    </row>
    <row r="36" spans="1:47">
      <c r="A36" s="648"/>
      <c r="B36" s="648"/>
      <c r="C36" s="648"/>
      <c r="D36" s="648"/>
      <c r="E36" s="648"/>
      <c r="F36" s="648"/>
      <c r="G36" s="648"/>
      <c r="H36" s="648"/>
      <c r="I36" s="648"/>
      <c r="J36" s="648"/>
      <c r="K36" s="648"/>
      <c r="L36" s="648"/>
      <c r="M36" s="648"/>
      <c r="N36" s="648"/>
      <c r="O36" s="648"/>
      <c r="P36" s="648"/>
      <c r="Q36" s="648"/>
      <c r="R36" s="648"/>
      <c r="S36" s="648"/>
      <c r="T36" s="648"/>
      <c r="U36" s="648"/>
      <c r="V36" s="648"/>
      <c r="W36" s="648"/>
      <c r="X36" s="648"/>
      <c r="Y36" s="648"/>
      <c r="Z36" s="648"/>
      <c r="AA36" s="648"/>
      <c r="AB36" s="648"/>
      <c r="AC36" s="648"/>
      <c r="AD36" s="648"/>
      <c r="AE36" s="648"/>
      <c r="AF36" s="648"/>
      <c r="AG36" s="648"/>
      <c r="AH36" s="648"/>
      <c r="AI36" s="648"/>
      <c r="AJ36" s="648"/>
      <c r="AK36" s="648"/>
      <c r="AL36" s="648"/>
      <c r="AM36" s="648"/>
      <c r="AN36" s="648"/>
      <c r="AO36" s="648"/>
      <c r="AP36" s="648"/>
      <c r="AQ36" s="648"/>
      <c r="AR36" s="648"/>
      <c r="AS36" s="648"/>
      <c r="AT36" s="648"/>
      <c r="AU36" s="648"/>
    </row>
    <row r="37" spans="1:47">
      <c r="A37" s="648"/>
      <c r="B37" s="648"/>
      <c r="C37" s="648"/>
      <c r="D37" s="648"/>
      <c r="E37" s="648"/>
      <c r="F37" s="648"/>
      <c r="G37" s="648"/>
      <c r="H37" s="648"/>
      <c r="I37" s="648"/>
      <c r="J37" s="648"/>
      <c r="K37" s="648"/>
      <c r="L37" s="648"/>
      <c r="M37" s="648"/>
      <c r="N37" s="648"/>
      <c r="O37" s="648"/>
      <c r="P37" s="648"/>
      <c r="Q37" s="648"/>
      <c r="R37" s="648"/>
      <c r="S37" s="648"/>
      <c r="T37" s="648"/>
      <c r="U37" s="648"/>
      <c r="V37" s="648"/>
      <c r="W37" s="648"/>
      <c r="X37" s="648"/>
      <c r="Y37" s="648"/>
      <c r="Z37" s="648"/>
      <c r="AA37" s="648"/>
      <c r="AB37" s="648"/>
      <c r="AC37" s="648"/>
      <c r="AD37" s="648"/>
      <c r="AE37" s="648"/>
      <c r="AF37" s="648"/>
      <c r="AG37" s="648"/>
      <c r="AH37" s="648"/>
      <c r="AI37" s="648"/>
      <c r="AJ37" s="648"/>
      <c r="AK37" s="648"/>
      <c r="AL37" s="648"/>
      <c r="AM37" s="648"/>
      <c r="AN37" s="648"/>
      <c r="AO37" s="648"/>
      <c r="AP37" s="648"/>
      <c r="AQ37" s="648"/>
      <c r="AR37" s="648"/>
      <c r="AS37" s="648"/>
      <c r="AT37" s="648"/>
      <c r="AU37" s="648"/>
    </row>
    <row r="38" spans="1:47">
      <c r="A38" s="648"/>
      <c r="B38" s="648"/>
      <c r="C38" s="648"/>
      <c r="D38" s="648"/>
      <c r="E38" s="648"/>
      <c r="F38" s="648"/>
      <c r="G38" s="648"/>
      <c r="H38" s="648"/>
      <c r="I38" s="648"/>
      <c r="J38" s="648"/>
      <c r="K38" s="648"/>
      <c r="L38" s="648"/>
      <c r="M38" s="648"/>
      <c r="N38" s="648"/>
      <c r="O38" s="648"/>
      <c r="P38" s="648"/>
      <c r="Q38" s="648"/>
      <c r="R38" s="648"/>
      <c r="S38" s="648"/>
      <c r="T38" s="648"/>
      <c r="U38" s="648"/>
      <c r="V38" s="648"/>
      <c r="W38" s="648"/>
      <c r="X38" s="648"/>
      <c r="Y38" s="648"/>
      <c r="Z38" s="648"/>
      <c r="AA38" s="648"/>
      <c r="AB38" s="648"/>
      <c r="AC38" s="648"/>
      <c r="AD38" s="648"/>
      <c r="AE38" s="648"/>
      <c r="AF38" s="648"/>
      <c r="AG38" s="648"/>
      <c r="AH38" s="648"/>
      <c r="AI38" s="648"/>
      <c r="AJ38" s="648"/>
      <c r="AK38" s="648"/>
      <c r="AL38" s="648"/>
      <c r="AM38" s="648"/>
      <c r="AN38" s="648"/>
      <c r="AO38" s="648"/>
      <c r="AP38" s="648"/>
      <c r="AQ38" s="648"/>
      <c r="AR38" s="648"/>
      <c r="AS38" s="648"/>
      <c r="AT38" s="648"/>
      <c r="AU38" s="648"/>
    </row>
    <row r="39" spans="1:47">
      <c r="A39" s="648"/>
      <c r="B39" s="648"/>
      <c r="C39" s="648"/>
      <c r="D39" s="648"/>
      <c r="E39" s="648"/>
      <c r="F39" s="648"/>
      <c r="G39" s="648"/>
      <c r="H39" s="648"/>
      <c r="I39" s="648"/>
      <c r="J39" s="648"/>
      <c r="K39" s="648"/>
      <c r="L39" s="648"/>
      <c r="M39" s="648"/>
      <c r="N39" s="648"/>
      <c r="O39" s="648"/>
      <c r="P39" s="648"/>
      <c r="Q39" s="648"/>
      <c r="R39" s="648"/>
      <c r="S39" s="648"/>
      <c r="T39" s="648"/>
      <c r="U39" s="648"/>
      <c r="V39" s="648"/>
      <c r="W39" s="648"/>
      <c r="X39" s="648"/>
      <c r="Y39" s="648"/>
      <c r="Z39" s="648"/>
      <c r="AA39" s="648"/>
      <c r="AB39" s="648"/>
      <c r="AC39" s="648"/>
      <c r="AD39" s="648"/>
      <c r="AE39" s="648"/>
      <c r="AF39" s="648"/>
      <c r="AG39" s="648"/>
      <c r="AH39" s="648"/>
      <c r="AI39" s="648"/>
      <c r="AJ39" s="648"/>
      <c r="AK39" s="648"/>
      <c r="AL39" s="648"/>
      <c r="AM39" s="648"/>
      <c r="AN39" s="648"/>
      <c r="AO39" s="648"/>
      <c r="AP39" s="648"/>
      <c r="AQ39" s="648"/>
      <c r="AR39" s="648"/>
      <c r="AS39" s="648"/>
      <c r="AT39" s="648"/>
      <c r="AU39" s="648"/>
    </row>
    <row r="40" spans="1:47">
      <c r="A40" s="648"/>
      <c r="B40" s="648"/>
      <c r="C40" s="648"/>
      <c r="D40" s="648"/>
      <c r="E40" s="648"/>
      <c r="F40" s="648"/>
      <c r="G40" s="648"/>
      <c r="H40" s="648"/>
      <c r="I40" s="648"/>
      <c r="J40" s="648"/>
      <c r="K40" s="648"/>
      <c r="L40" s="648"/>
      <c r="M40" s="648"/>
      <c r="N40" s="648"/>
      <c r="O40" s="648"/>
      <c r="P40" s="648"/>
      <c r="Q40" s="648"/>
      <c r="R40" s="648"/>
      <c r="S40" s="648"/>
      <c r="T40" s="648"/>
      <c r="U40" s="648"/>
      <c r="V40" s="648"/>
      <c r="W40" s="648"/>
      <c r="X40" s="648"/>
      <c r="Y40" s="648"/>
      <c r="Z40" s="648"/>
      <c r="AA40" s="648"/>
      <c r="AB40" s="648"/>
      <c r="AC40" s="648"/>
      <c r="AD40" s="648"/>
      <c r="AE40" s="648"/>
      <c r="AF40" s="648"/>
      <c r="AG40" s="648"/>
      <c r="AH40" s="648"/>
      <c r="AI40" s="648"/>
      <c r="AJ40" s="648"/>
      <c r="AK40" s="648"/>
      <c r="AL40" s="648"/>
      <c r="AM40" s="648"/>
      <c r="AN40" s="648"/>
      <c r="AO40" s="648"/>
      <c r="AP40" s="648"/>
      <c r="AQ40" s="648"/>
      <c r="AR40" s="648"/>
      <c r="AS40" s="648"/>
      <c r="AT40" s="648"/>
      <c r="AU40" s="648"/>
    </row>
    <row r="41" spans="1:47">
      <c r="A41" s="648"/>
      <c r="B41" s="648"/>
      <c r="C41" s="648"/>
      <c r="D41" s="648"/>
      <c r="E41" s="648"/>
      <c r="F41" s="648"/>
      <c r="G41" s="648"/>
      <c r="H41" s="648"/>
      <c r="I41" s="648"/>
      <c r="J41" s="648"/>
      <c r="K41" s="648"/>
      <c r="L41" s="648"/>
      <c r="M41" s="648"/>
      <c r="N41" s="648"/>
      <c r="O41" s="648"/>
      <c r="P41" s="648"/>
      <c r="Q41" s="648"/>
      <c r="R41" s="648"/>
      <c r="S41" s="648"/>
      <c r="T41" s="648"/>
      <c r="U41" s="648"/>
      <c r="V41" s="648"/>
      <c r="W41" s="648"/>
      <c r="X41" s="648"/>
      <c r="Y41" s="648"/>
      <c r="Z41" s="648"/>
      <c r="AA41" s="648"/>
      <c r="AB41" s="648"/>
      <c r="AC41" s="648"/>
      <c r="AD41" s="648"/>
      <c r="AE41" s="648"/>
      <c r="AF41" s="648"/>
      <c r="AG41" s="648"/>
      <c r="AH41" s="648"/>
      <c r="AI41" s="648"/>
      <c r="AJ41" s="648"/>
      <c r="AK41" s="648"/>
      <c r="AL41" s="648"/>
      <c r="AM41" s="648"/>
      <c r="AN41" s="648"/>
      <c r="AO41" s="648"/>
      <c r="AP41" s="648"/>
      <c r="AQ41" s="648"/>
      <c r="AR41" s="648"/>
      <c r="AS41" s="648"/>
      <c r="AT41" s="648"/>
      <c r="AU41" s="648"/>
    </row>
    <row r="42" spans="1:47">
      <c r="A42" s="648"/>
      <c r="B42" s="648"/>
      <c r="C42" s="648"/>
      <c r="D42" s="648"/>
      <c r="E42" s="648"/>
      <c r="F42" s="648"/>
      <c r="G42" s="648"/>
      <c r="H42" s="648"/>
      <c r="I42" s="648"/>
      <c r="J42" s="648"/>
      <c r="K42" s="648"/>
      <c r="L42" s="648"/>
      <c r="M42" s="648"/>
      <c r="N42" s="648"/>
      <c r="O42" s="648"/>
      <c r="P42" s="648"/>
      <c r="Q42" s="648"/>
      <c r="R42" s="648"/>
      <c r="S42" s="648"/>
      <c r="T42" s="648"/>
      <c r="U42" s="648"/>
      <c r="V42" s="648"/>
      <c r="W42" s="648"/>
      <c r="X42" s="648"/>
      <c r="Y42" s="648"/>
      <c r="Z42" s="648"/>
      <c r="AA42" s="648"/>
      <c r="AB42" s="648"/>
      <c r="AC42" s="648"/>
      <c r="AD42" s="648"/>
      <c r="AE42" s="648"/>
      <c r="AF42" s="648"/>
      <c r="AG42" s="648"/>
      <c r="AH42" s="648"/>
      <c r="AI42" s="648"/>
      <c r="AJ42" s="648"/>
      <c r="AK42" s="648"/>
      <c r="AL42" s="648"/>
      <c r="AM42" s="648"/>
      <c r="AN42" s="648"/>
      <c r="AO42" s="648"/>
      <c r="AP42" s="648"/>
      <c r="AQ42" s="648"/>
      <c r="AR42" s="648"/>
      <c r="AS42" s="648"/>
      <c r="AT42" s="648"/>
      <c r="AU42" s="648"/>
    </row>
    <row r="43" spans="1:47">
      <c r="A43" s="648"/>
      <c r="B43" s="648"/>
      <c r="C43" s="648"/>
      <c r="D43" s="648"/>
      <c r="E43" s="648"/>
      <c r="F43" s="648"/>
      <c r="G43" s="648"/>
      <c r="H43" s="648"/>
      <c r="I43" s="648"/>
      <c r="J43" s="648"/>
      <c r="K43" s="648"/>
      <c r="L43" s="648"/>
      <c r="M43" s="648"/>
      <c r="N43" s="648"/>
      <c r="O43" s="648"/>
      <c r="P43" s="648"/>
      <c r="Q43" s="648"/>
      <c r="R43" s="648"/>
      <c r="S43" s="648"/>
      <c r="T43" s="648"/>
      <c r="U43" s="648"/>
      <c r="V43" s="648"/>
      <c r="W43" s="648"/>
      <c r="X43" s="648"/>
      <c r="Y43" s="648"/>
      <c r="Z43" s="648"/>
      <c r="AA43" s="648"/>
      <c r="AB43" s="648"/>
      <c r="AC43" s="648"/>
      <c r="AD43" s="648"/>
      <c r="AE43" s="648"/>
      <c r="AF43" s="648"/>
      <c r="AG43" s="648"/>
      <c r="AH43" s="648"/>
      <c r="AI43" s="648"/>
      <c r="AJ43" s="648"/>
      <c r="AK43" s="648"/>
      <c r="AL43" s="648"/>
      <c r="AM43" s="648"/>
      <c r="AN43" s="648"/>
      <c r="AO43" s="648"/>
      <c r="AP43" s="648"/>
      <c r="AQ43" s="648"/>
      <c r="AR43" s="648"/>
      <c r="AS43" s="648"/>
      <c r="AT43" s="648"/>
      <c r="AU43" s="648"/>
    </row>
    <row r="44" spans="1:47">
      <c r="A44" s="648"/>
      <c r="B44" s="648"/>
      <c r="C44" s="648"/>
      <c r="D44" s="648"/>
      <c r="E44" s="648"/>
      <c r="F44" s="648"/>
      <c r="G44" s="648"/>
      <c r="H44" s="648"/>
      <c r="I44" s="648"/>
      <c r="J44" s="648"/>
      <c r="K44" s="648"/>
      <c r="L44" s="648"/>
      <c r="M44" s="648"/>
      <c r="N44" s="648"/>
      <c r="O44" s="648"/>
      <c r="P44" s="648"/>
      <c r="Q44" s="648"/>
      <c r="R44" s="648"/>
      <c r="S44" s="648"/>
      <c r="T44" s="648"/>
      <c r="U44" s="648"/>
      <c r="V44" s="648"/>
      <c r="W44" s="648"/>
      <c r="X44" s="648"/>
      <c r="Y44" s="648"/>
      <c r="Z44" s="648"/>
      <c r="AA44" s="648"/>
      <c r="AB44" s="648"/>
      <c r="AC44" s="648"/>
      <c r="AD44" s="648"/>
      <c r="AE44" s="648"/>
      <c r="AF44" s="648"/>
      <c r="AG44" s="648"/>
      <c r="AH44" s="648"/>
      <c r="AI44" s="648"/>
      <c r="AJ44" s="648"/>
      <c r="AK44" s="648"/>
      <c r="AL44" s="648"/>
      <c r="AM44" s="648"/>
      <c r="AN44" s="648"/>
      <c r="AO44" s="648"/>
      <c r="AP44" s="648"/>
      <c r="AQ44" s="648"/>
      <c r="AR44" s="648"/>
      <c r="AS44" s="648"/>
      <c r="AT44" s="648"/>
      <c r="AU44" s="648"/>
    </row>
    <row r="45" spans="1:47">
      <c r="A45" s="648"/>
      <c r="B45" s="648"/>
      <c r="C45" s="648"/>
      <c r="D45" s="648"/>
      <c r="E45" s="648"/>
      <c r="F45" s="648"/>
      <c r="G45" s="648"/>
      <c r="H45" s="648"/>
      <c r="I45" s="648"/>
      <c r="J45" s="648"/>
      <c r="K45" s="648"/>
      <c r="L45" s="648"/>
      <c r="M45" s="648"/>
      <c r="N45" s="648"/>
      <c r="O45" s="648"/>
      <c r="P45" s="648"/>
      <c r="Q45" s="648"/>
      <c r="R45" s="648"/>
      <c r="S45" s="648"/>
      <c r="T45" s="648"/>
      <c r="U45" s="648"/>
      <c r="V45" s="648"/>
      <c r="W45" s="648"/>
      <c r="X45" s="648"/>
      <c r="Y45" s="648"/>
      <c r="Z45" s="648"/>
      <c r="AA45" s="648"/>
      <c r="AB45" s="648"/>
      <c r="AC45" s="648"/>
      <c r="AD45" s="648"/>
      <c r="AE45" s="648"/>
      <c r="AF45" s="648"/>
      <c r="AG45" s="648"/>
      <c r="AH45" s="648"/>
      <c r="AI45" s="648"/>
      <c r="AJ45" s="648"/>
      <c r="AK45" s="648"/>
      <c r="AL45" s="648"/>
      <c r="AM45" s="648"/>
      <c r="AN45" s="648"/>
      <c r="AO45" s="648"/>
      <c r="AP45" s="648"/>
      <c r="AQ45" s="648"/>
      <c r="AR45" s="648"/>
      <c r="AS45" s="648"/>
      <c r="AT45" s="648"/>
      <c r="AU45" s="648"/>
    </row>
    <row r="46" spans="1:47">
      <c r="A46" s="648"/>
      <c r="B46" s="648"/>
      <c r="C46" s="648"/>
      <c r="D46" s="648"/>
      <c r="E46" s="648"/>
      <c r="F46" s="648"/>
      <c r="G46" s="648"/>
      <c r="H46" s="648"/>
      <c r="I46" s="648"/>
      <c r="J46" s="648"/>
      <c r="K46" s="648"/>
      <c r="L46" s="648"/>
      <c r="M46" s="648"/>
      <c r="N46" s="648"/>
      <c r="O46" s="648"/>
      <c r="P46" s="648"/>
      <c r="Q46" s="648"/>
      <c r="R46" s="648"/>
      <c r="S46" s="648"/>
      <c r="T46" s="648"/>
      <c r="U46" s="648"/>
      <c r="V46" s="648"/>
      <c r="W46" s="648"/>
      <c r="X46" s="648"/>
      <c r="Y46" s="648"/>
      <c r="Z46" s="648"/>
      <c r="AA46" s="648"/>
      <c r="AB46" s="648"/>
      <c r="AC46" s="648"/>
      <c r="AD46" s="648"/>
      <c r="AE46" s="648"/>
      <c r="AF46" s="648"/>
      <c r="AG46" s="648"/>
      <c r="AH46" s="648"/>
      <c r="AI46" s="648"/>
      <c r="AJ46" s="648"/>
      <c r="AK46" s="648"/>
      <c r="AL46" s="648"/>
      <c r="AM46" s="648"/>
      <c r="AN46" s="648"/>
      <c r="AO46" s="648"/>
      <c r="AP46" s="648"/>
      <c r="AQ46" s="648"/>
      <c r="AR46" s="648"/>
      <c r="AS46" s="648"/>
      <c r="AT46" s="648"/>
      <c r="AU46" s="648"/>
    </row>
    <row r="47" spans="1:47">
      <c r="A47" s="648"/>
      <c r="B47" s="648"/>
      <c r="C47" s="648"/>
      <c r="D47" s="648"/>
      <c r="E47" s="648"/>
      <c r="F47" s="648"/>
      <c r="G47" s="648"/>
      <c r="H47" s="648"/>
      <c r="I47" s="648"/>
      <c r="J47" s="648"/>
      <c r="K47" s="648"/>
      <c r="L47" s="648"/>
      <c r="M47" s="648"/>
      <c r="N47" s="648"/>
      <c r="O47" s="648"/>
      <c r="P47" s="648"/>
      <c r="Q47" s="648"/>
      <c r="R47" s="648"/>
      <c r="S47" s="648"/>
      <c r="T47" s="648"/>
      <c r="U47" s="648"/>
      <c r="V47" s="648"/>
      <c r="W47" s="648"/>
      <c r="X47" s="648"/>
      <c r="Y47" s="648"/>
      <c r="Z47" s="648"/>
      <c r="AA47" s="648"/>
      <c r="AB47" s="648"/>
      <c r="AC47" s="648"/>
      <c r="AD47" s="648"/>
      <c r="AE47" s="648"/>
      <c r="AF47" s="648"/>
      <c r="AG47" s="648"/>
      <c r="AH47" s="648"/>
      <c r="AI47" s="648"/>
      <c r="AJ47" s="648"/>
      <c r="AK47" s="648"/>
      <c r="AL47" s="648"/>
      <c r="AM47" s="648"/>
      <c r="AN47" s="648"/>
      <c r="AO47" s="648"/>
      <c r="AP47" s="648"/>
      <c r="AQ47" s="648"/>
      <c r="AR47" s="648"/>
      <c r="AS47" s="648"/>
      <c r="AT47" s="648"/>
      <c r="AU47" s="648"/>
    </row>
    <row r="48" spans="1:47">
      <c r="A48" s="648"/>
      <c r="B48" s="648"/>
      <c r="C48" s="648"/>
      <c r="D48" s="648"/>
      <c r="E48" s="648"/>
      <c r="F48" s="648"/>
      <c r="G48" s="648"/>
      <c r="H48" s="648"/>
      <c r="I48" s="648"/>
      <c r="J48" s="648"/>
      <c r="K48" s="648"/>
      <c r="L48" s="648"/>
      <c r="M48" s="648"/>
      <c r="N48" s="648"/>
      <c r="O48" s="648"/>
      <c r="P48" s="648"/>
      <c r="Q48" s="648"/>
      <c r="R48" s="648"/>
      <c r="S48" s="648"/>
      <c r="T48" s="648"/>
      <c r="U48" s="648"/>
      <c r="V48" s="648"/>
      <c r="W48" s="648"/>
      <c r="X48" s="648"/>
      <c r="Y48" s="648"/>
      <c r="Z48" s="648"/>
      <c r="AA48" s="648"/>
      <c r="AB48" s="648"/>
      <c r="AC48" s="648"/>
      <c r="AD48" s="648"/>
      <c r="AE48" s="648"/>
      <c r="AF48" s="648"/>
      <c r="AG48" s="648"/>
      <c r="AH48" s="648"/>
      <c r="AI48" s="648"/>
      <c r="AJ48" s="648"/>
      <c r="AK48" s="648"/>
      <c r="AL48" s="648"/>
      <c r="AM48" s="648"/>
      <c r="AN48" s="648"/>
      <c r="AO48" s="648"/>
      <c r="AP48" s="648"/>
      <c r="AQ48" s="648"/>
      <c r="AR48" s="648"/>
      <c r="AS48" s="648"/>
      <c r="AT48" s="648"/>
      <c r="AU48" s="648"/>
    </row>
    <row r="49" spans="1:47">
      <c r="A49" s="648"/>
      <c r="B49" s="648"/>
      <c r="C49" s="648"/>
      <c r="D49" s="648"/>
      <c r="E49" s="648"/>
      <c r="F49" s="648"/>
      <c r="G49" s="648"/>
      <c r="H49" s="648"/>
      <c r="I49" s="648"/>
      <c r="J49" s="648"/>
      <c r="K49" s="648"/>
      <c r="L49" s="648"/>
      <c r="M49" s="648"/>
      <c r="N49" s="648"/>
      <c r="O49" s="648"/>
      <c r="P49" s="648"/>
      <c r="Q49" s="648"/>
      <c r="R49" s="648"/>
      <c r="S49" s="648"/>
      <c r="T49" s="648"/>
      <c r="U49" s="648"/>
      <c r="V49" s="648"/>
      <c r="W49" s="648"/>
      <c r="X49" s="648"/>
      <c r="Y49" s="648"/>
      <c r="Z49" s="648"/>
      <c r="AA49" s="648"/>
      <c r="AB49" s="648"/>
      <c r="AC49" s="648"/>
      <c r="AD49" s="648"/>
      <c r="AE49" s="648"/>
      <c r="AF49" s="648"/>
      <c r="AG49" s="648"/>
      <c r="AH49" s="648"/>
      <c r="AI49" s="648"/>
      <c r="AJ49" s="648"/>
      <c r="AK49" s="648"/>
      <c r="AL49" s="648"/>
      <c r="AM49" s="648"/>
      <c r="AN49" s="648"/>
      <c r="AO49" s="648"/>
      <c r="AP49" s="648"/>
      <c r="AQ49" s="648"/>
      <c r="AR49" s="648"/>
      <c r="AS49" s="648"/>
      <c r="AT49" s="648"/>
      <c r="AU49" s="648"/>
    </row>
    <row r="50" spans="1:47">
      <c r="A50" s="648"/>
      <c r="B50" s="648"/>
      <c r="C50" s="648"/>
      <c r="D50" s="648"/>
      <c r="E50" s="648"/>
      <c r="F50" s="648"/>
      <c r="G50" s="648"/>
      <c r="H50" s="648"/>
      <c r="I50" s="648"/>
      <c r="J50" s="648"/>
      <c r="K50" s="648"/>
      <c r="L50" s="648"/>
      <c r="M50" s="648"/>
      <c r="N50" s="648"/>
      <c r="O50" s="648"/>
      <c r="P50" s="648"/>
      <c r="Q50" s="648"/>
      <c r="R50" s="648"/>
      <c r="S50" s="648"/>
      <c r="T50" s="648"/>
      <c r="U50" s="648"/>
      <c r="V50" s="648"/>
      <c r="W50" s="648"/>
      <c r="X50" s="648"/>
      <c r="Y50" s="648"/>
      <c r="Z50" s="648"/>
      <c r="AA50" s="648"/>
      <c r="AB50" s="648"/>
      <c r="AC50" s="648"/>
      <c r="AD50" s="648"/>
      <c r="AE50" s="648"/>
      <c r="AF50" s="648"/>
      <c r="AG50" s="648"/>
      <c r="AH50" s="648"/>
      <c r="AI50" s="648"/>
      <c r="AJ50" s="648"/>
      <c r="AK50" s="648"/>
      <c r="AL50" s="648"/>
      <c r="AM50" s="648"/>
      <c r="AN50" s="648"/>
      <c r="AO50" s="648"/>
      <c r="AP50" s="648"/>
      <c r="AQ50" s="648"/>
      <c r="AR50" s="648"/>
      <c r="AS50" s="648"/>
      <c r="AT50" s="648"/>
      <c r="AU50" s="648"/>
    </row>
    <row r="51" spans="1:47">
      <c r="A51" s="648"/>
      <c r="B51" s="648"/>
      <c r="C51" s="648"/>
      <c r="D51" s="648"/>
      <c r="E51" s="648"/>
      <c r="F51" s="648"/>
      <c r="G51" s="648"/>
      <c r="H51" s="648"/>
      <c r="I51" s="648"/>
      <c r="J51" s="648"/>
      <c r="K51" s="648"/>
      <c r="L51" s="648"/>
      <c r="M51" s="648"/>
      <c r="N51" s="648"/>
      <c r="O51" s="648"/>
      <c r="P51" s="648"/>
      <c r="Q51" s="648"/>
      <c r="R51" s="648"/>
      <c r="S51" s="648"/>
      <c r="T51" s="648"/>
      <c r="U51" s="648"/>
      <c r="V51" s="648"/>
      <c r="W51" s="648"/>
      <c r="X51" s="648"/>
      <c r="Y51" s="648"/>
      <c r="Z51" s="648"/>
      <c r="AA51" s="648"/>
      <c r="AB51" s="648"/>
      <c r="AC51" s="648"/>
      <c r="AD51" s="648"/>
      <c r="AE51" s="648"/>
      <c r="AF51" s="648"/>
      <c r="AG51" s="648"/>
      <c r="AH51" s="648"/>
      <c r="AI51" s="648"/>
      <c r="AJ51" s="648"/>
      <c r="AK51" s="648"/>
      <c r="AL51" s="648"/>
      <c r="AM51" s="648"/>
      <c r="AN51" s="648"/>
      <c r="AO51" s="648"/>
      <c r="AP51" s="648"/>
      <c r="AQ51" s="648"/>
      <c r="AR51" s="648"/>
      <c r="AS51" s="648"/>
      <c r="AT51" s="648"/>
      <c r="AU51" s="648"/>
    </row>
    <row r="52" spans="1:47">
      <c r="A52" s="648"/>
      <c r="B52" s="648"/>
      <c r="C52" s="648"/>
      <c r="D52" s="648"/>
      <c r="E52" s="648"/>
      <c r="F52" s="648"/>
      <c r="G52" s="648"/>
      <c r="H52" s="648"/>
      <c r="I52" s="648"/>
      <c r="J52" s="648"/>
      <c r="K52" s="648"/>
      <c r="L52" s="648"/>
      <c r="M52" s="648"/>
      <c r="N52" s="648"/>
      <c r="O52" s="648"/>
      <c r="P52" s="648"/>
      <c r="Q52" s="648"/>
      <c r="R52" s="648"/>
      <c r="S52" s="648"/>
      <c r="T52" s="648"/>
      <c r="U52" s="648"/>
      <c r="V52" s="648"/>
      <c r="W52" s="648"/>
      <c r="X52" s="648"/>
      <c r="Y52" s="648"/>
      <c r="Z52" s="648"/>
      <c r="AA52" s="648"/>
      <c r="AB52" s="648"/>
      <c r="AC52" s="648"/>
      <c r="AD52" s="648"/>
      <c r="AE52" s="648"/>
      <c r="AF52" s="648"/>
      <c r="AG52" s="648"/>
      <c r="AH52" s="648"/>
      <c r="AI52" s="648"/>
      <c r="AJ52" s="648"/>
      <c r="AK52" s="648"/>
      <c r="AL52" s="648"/>
      <c r="AM52" s="648"/>
      <c r="AN52" s="648"/>
      <c r="AO52" s="648"/>
      <c r="AP52" s="648"/>
      <c r="AQ52" s="648"/>
      <c r="AR52" s="648"/>
      <c r="AS52" s="648"/>
      <c r="AT52" s="648"/>
      <c r="AU52" s="648"/>
    </row>
    <row r="53" spans="1:47">
      <c r="A53" s="648"/>
      <c r="B53" s="648"/>
      <c r="C53" s="648"/>
      <c r="D53" s="648"/>
      <c r="E53" s="648"/>
      <c r="F53" s="648"/>
      <c r="G53" s="648"/>
      <c r="H53" s="648"/>
      <c r="I53" s="648"/>
      <c r="J53" s="648"/>
      <c r="K53" s="648"/>
      <c r="L53" s="648"/>
      <c r="M53" s="648"/>
      <c r="N53" s="648"/>
      <c r="O53" s="648"/>
      <c r="P53" s="648"/>
      <c r="Q53" s="648"/>
      <c r="R53" s="648"/>
      <c r="S53" s="648"/>
      <c r="T53" s="648"/>
      <c r="U53" s="648"/>
      <c r="V53" s="648"/>
      <c r="W53" s="648"/>
      <c r="X53" s="648"/>
      <c r="Y53" s="648"/>
      <c r="Z53" s="648"/>
      <c r="AA53" s="648"/>
      <c r="AB53" s="648"/>
      <c r="AC53" s="648"/>
      <c r="AD53" s="648"/>
      <c r="AE53" s="648"/>
      <c r="AF53" s="648"/>
      <c r="AG53" s="648"/>
      <c r="AH53" s="648"/>
      <c r="AI53" s="648"/>
      <c r="AJ53" s="648"/>
      <c r="AK53" s="648"/>
      <c r="AL53" s="648"/>
      <c r="AM53" s="648"/>
      <c r="AN53" s="648"/>
      <c r="AO53" s="648"/>
      <c r="AP53" s="648"/>
      <c r="AQ53" s="648"/>
      <c r="AR53" s="648"/>
      <c r="AS53" s="648"/>
      <c r="AT53" s="648"/>
      <c r="AU53" s="648"/>
    </row>
    <row r="54" spans="1:47">
      <c r="A54" s="648"/>
      <c r="B54" s="648"/>
      <c r="C54" s="648"/>
      <c r="D54" s="648"/>
      <c r="E54" s="648"/>
      <c r="F54" s="648"/>
      <c r="G54" s="648"/>
      <c r="H54" s="648"/>
      <c r="I54" s="648"/>
      <c r="J54" s="648"/>
      <c r="K54" s="648"/>
      <c r="L54" s="648"/>
      <c r="M54" s="648"/>
      <c r="N54" s="648"/>
      <c r="O54" s="648"/>
      <c r="P54" s="648"/>
      <c r="Q54" s="648"/>
      <c r="R54" s="648"/>
      <c r="S54" s="648"/>
      <c r="T54" s="648"/>
      <c r="U54" s="648"/>
      <c r="V54" s="648"/>
      <c r="W54" s="648"/>
      <c r="X54" s="648"/>
      <c r="Y54" s="648"/>
      <c r="Z54" s="648"/>
      <c r="AA54" s="648"/>
      <c r="AB54" s="648"/>
      <c r="AC54" s="648"/>
      <c r="AD54" s="648"/>
      <c r="AE54" s="648"/>
      <c r="AF54" s="648"/>
      <c r="AG54" s="648"/>
      <c r="AH54" s="648"/>
      <c r="AI54" s="648"/>
      <c r="AJ54" s="648"/>
      <c r="AK54" s="648"/>
      <c r="AL54" s="648"/>
      <c r="AM54" s="648"/>
      <c r="AN54" s="648"/>
      <c r="AO54" s="648"/>
      <c r="AP54" s="648"/>
      <c r="AQ54" s="648"/>
      <c r="AR54" s="648"/>
      <c r="AS54" s="648"/>
      <c r="AT54" s="648"/>
      <c r="AU54" s="648"/>
    </row>
    <row r="55" spans="1:47">
      <c r="A55" s="648"/>
      <c r="B55" s="648"/>
      <c r="C55" s="648"/>
      <c r="D55" s="648"/>
      <c r="E55" s="648"/>
      <c r="F55" s="648"/>
      <c r="G55" s="648"/>
      <c r="H55" s="648"/>
      <c r="I55" s="648"/>
      <c r="J55" s="648"/>
      <c r="K55" s="648"/>
      <c r="L55" s="648"/>
      <c r="M55" s="648"/>
      <c r="N55" s="648"/>
      <c r="O55" s="648"/>
      <c r="P55" s="648"/>
      <c r="Q55" s="648"/>
      <c r="R55" s="648"/>
      <c r="S55" s="648"/>
      <c r="T55" s="648"/>
      <c r="U55" s="648"/>
      <c r="V55" s="648"/>
      <c r="W55" s="648"/>
      <c r="X55" s="648"/>
      <c r="Y55" s="648"/>
      <c r="Z55" s="648"/>
      <c r="AA55" s="648"/>
      <c r="AB55" s="648"/>
      <c r="AC55" s="648"/>
      <c r="AD55" s="648"/>
      <c r="AE55" s="648"/>
      <c r="AF55" s="648"/>
      <c r="AG55" s="648"/>
      <c r="AH55" s="648"/>
      <c r="AI55" s="648"/>
      <c r="AJ55" s="648"/>
      <c r="AK55" s="648"/>
      <c r="AL55" s="648"/>
      <c r="AM55" s="648"/>
      <c r="AN55" s="648"/>
      <c r="AO55" s="648"/>
      <c r="AP55" s="648"/>
      <c r="AQ55" s="648"/>
      <c r="AR55" s="648"/>
      <c r="AS55" s="648"/>
      <c r="AT55" s="648"/>
      <c r="AU55" s="648"/>
    </row>
    <row r="56" spans="1:47">
      <c r="A56" s="648"/>
      <c r="B56" s="648"/>
      <c r="C56" s="648"/>
      <c r="D56" s="648"/>
      <c r="E56" s="648"/>
      <c r="F56" s="648"/>
      <c r="G56" s="648"/>
      <c r="H56" s="648"/>
      <c r="I56" s="648"/>
      <c r="J56" s="648"/>
      <c r="K56" s="648"/>
      <c r="L56" s="648"/>
      <c r="M56" s="648"/>
      <c r="N56" s="648"/>
      <c r="O56" s="648"/>
      <c r="P56" s="648"/>
      <c r="Q56" s="648"/>
      <c r="R56" s="648"/>
      <c r="S56" s="648"/>
      <c r="T56" s="648"/>
      <c r="U56" s="648"/>
      <c r="V56" s="648"/>
      <c r="W56" s="648"/>
      <c r="X56" s="648"/>
      <c r="Y56" s="648"/>
      <c r="Z56" s="648"/>
      <c r="AA56" s="648"/>
      <c r="AB56" s="648"/>
      <c r="AC56" s="648"/>
      <c r="AD56" s="648"/>
      <c r="AE56" s="648"/>
      <c r="AF56" s="648"/>
      <c r="AG56" s="648"/>
      <c r="AH56" s="648"/>
      <c r="AI56" s="648"/>
      <c r="AJ56" s="648"/>
      <c r="AK56" s="648"/>
      <c r="AL56" s="648"/>
      <c r="AM56" s="648"/>
      <c r="AN56" s="648"/>
      <c r="AO56" s="648"/>
      <c r="AP56" s="648"/>
      <c r="AQ56" s="648"/>
      <c r="AR56" s="648"/>
      <c r="AS56" s="648"/>
      <c r="AT56" s="648"/>
      <c r="AU56" s="648"/>
    </row>
    <row r="57" spans="1:47">
      <c r="A57" s="648"/>
      <c r="B57" s="648"/>
      <c r="C57" s="648"/>
      <c r="D57" s="648"/>
      <c r="E57" s="648"/>
      <c r="F57" s="648"/>
      <c r="G57" s="648"/>
      <c r="H57" s="648"/>
      <c r="I57" s="648"/>
      <c r="J57" s="648"/>
      <c r="K57" s="648"/>
      <c r="L57" s="648"/>
      <c r="M57" s="648"/>
      <c r="N57" s="648"/>
      <c r="O57" s="648"/>
      <c r="P57" s="648"/>
      <c r="Q57" s="648"/>
      <c r="R57" s="648"/>
      <c r="S57" s="648"/>
      <c r="T57" s="648"/>
      <c r="U57" s="648"/>
      <c r="V57" s="648"/>
      <c r="W57" s="648"/>
      <c r="X57" s="648"/>
      <c r="Y57" s="648"/>
      <c r="Z57" s="648"/>
      <c r="AA57" s="648"/>
      <c r="AB57" s="648"/>
      <c r="AC57" s="648"/>
      <c r="AD57" s="648"/>
      <c r="AE57" s="648"/>
      <c r="AF57" s="648"/>
      <c r="AG57" s="648"/>
      <c r="AH57" s="648"/>
      <c r="AI57" s="648"/>
      <c r="AJ57" s="648"/>
      <c r="AK57" s="648"/>
      <c r="AL57" s="648"/>
      <c r="AM57" s="648"/>
      <c r="AN57" s="648"/>
      <c r="AO57" s="648"/>
      <c r="AP57" s="648"/>
      <c r="AQ57" s="648"/>
      <c r="AR57" s="648"/>
      <c r="AS57" s="648"/>
      <c r="AT57" s="648"/>
      <c r="AU57" s="648"/>
    </row>
    <row r="58" spans="1:47">
      <c r="A58" s="648"/>
      <c r="B58" s="648"/>
      <c r="C58" s="648"/>
      <c r="D58" s="648"/>
      <c r="E58" s="648"/>
      <c r="F58" s="648"/>
      <c r="G58" s="648"/>
      <c r="H58" s="648"/>
      <c r="I58" s="648"/>
      <c r="J58" s="648"/>
      <c r="K58" s="648"/>
      <c r="L58" s="648"/>
      <c r="M58" s="648"/>
      <c r="N58" s="648"/>
      <c r="O58" s="648"/>
      <c r="P58" s="648"/>
      <c r="Q58" s="648"/>
      <c r="R58" s="648"/>
      <c r="S58" s="648"/>
      <c r="T58" s="648"/>
      <c r="U58" s="648"/>
      <c r="V58" s="648"/>
      <c r="W58" s="648"/>
      <c r="X58" s="648"/>
      <c r="Y58" s="648"/>
      <c r="Z58" s="648"/>
      <c r="AA58" s="648"/>
      <c r="AB58" s="648"/>
      <c r="AC58" s="648"/>
      <c r="AD58" s="648"/>
      <c r="AE58" s="648"/>
      <c r="AF58" s="648"/>
      <c r="AG58" s="648"/>
      <c r="AH58" s="648"/>
      <c r="AI58" s="648"/>
      <c r="AJ58" s="648"/>
      <c r="AK58" s="648"/>
      <c r="AL58" s="648"/>
      <c r="AM58" s="648"/>
      <c r="AN58" s="648"/>
      <c r="AO58" s="648"/>
      <c r="AP58" s="648"/>
      <c r="AQ58" s="648"/>
      <c r="AR58" s="648"/>
      <c r="AS58" s="648"/>
      <c r="AT58" s="648"/>
      <c r="AU58" s="648"/>
    </row>
    <row r="59" spans="1:47">
      <c r="A59" s="648"/>
      <c r="B59" s="648"/>
      <c r="C59" s="648"/>
      <c r="D59" s="648"/>
      <c r="E59" s="648"/>
      <c r="F59" s="648"/>
      <c r="G59" s="648"/>
      <c r="H59" s="648"/>
      <c r="I59" s="648"/>
      <c r="J59" s="648"/>
      <c r="K59" s="648"/>
      <c r="L59" s="648"/>
      <c r="M59" s="648"/>
      <c r="N59" s="648"/>
      <c r="O59" s="648"/>
      <c r="P59" s="648"/>
      <c r="Q59" s="648"/>
      <c r="R59" s="648"/>
      <c r="S59" s="648"/>
      <c r="T59" s="648"/>
      <c r="U59" s="648"/>
      <c r="V59" s="648"/>
      <c r="W59" s="648"/>
      <c r="X59" s="648"/>
      <c r="Y59" s="648"/>
      <c r="Z59" s="648"/>
      <c r="AA59" s="648"/>
      <c r="AB59" s="648"/>
      <c r="AC59" s="648"/>
      <c r="AD59" s="648"/>
      <c r="AE59" s="648"/>
      <c r="AF59" s="648"/>
      <c r="AG59" s="648"/>
      <c r="AH59" s="648"/>
      <c r="AI59" s="648"/>
      <c r="AJ59" s="648"/>
      <c r="AK59" s="648"/>
      <c r="AL59" s="648"/>
      <c r="AM59" s="648"/>
      <c r="AN59" s="648"/>
      <c r="AO59" s="648"/>
      <c r="AP59" s="648"/>
      <c r="AQ59" s="648"/>
      <c r="AR59" s="648"/>
      <c r="AS59" s="648"/>
      <c r="AT59" s="648"/>
      <c r="AU59" s="648"/>
    </row>
    <row r="60" spans="1:47">
      <c r="A60" s="648"/>
      <c r="B60" s="648"/>
      <c r="C60" s="648"/>
      <c r="D60" s="648"/>
      <c r="E60" s="648"/>
      <c r="F60" s="648"/>
      <c r="G60" s="648"/>
      <c r="H60" s="648"/>
      <c r="I60" s="648"/>
      <c r="J60" s="648"/>
      <c r="K60" s="648"/>
      <c r="L60" s="648"/>
      <c r="M60" s="648"/>
      <c r="N60" s="648"/>
      <c r="O60" s="648"/>
      <c r="P60" s="648"/>
      <c r="Q60" s="648"/>
      <c r="R60" s="648"/>
      <c r="S60" s="648"/>
      <c r="T60" s="648"/>
      <c r="U60" s="648"/>
      <c r="V60" s="648"/>
      <c r="W60" s="648"/>
      <c r="X60" s="648"/>
      <c r="Y60" s="648"/>
      <c r="Z60" s="648"/>
      <c r="AA60" s="648"/>
      <c r="AB60" s="648"/>
      <c r="AC60" s="648"/>
      <c r="AD60" s="648"/>
      <c r="AE60" s="648"/>
      <c r="AF60" s="648"/>
      <c r="AG60" s="648"/>
      <c r="AH60" s="648"/>
      <c r="AI60" s="648"/>
      <c r="AJ60" s="648"/>
      <c r="AK60" s="648"/>
      <c r="AL60" s="648"/>
      <c r="AM60" s="648"/>
      <c r="AN60" s="648"/>
      <c r="AO60" s="648"/>
      <c r="AP60" s="648"/>
      <c r="AQ60" s="648"/>
      <c r="AR60" s="648"/>
      <c r="AS60" s="648"/>
      <c r="AT60" s="648"/>
      <c r="AU60" s="648"/>
    </row>
    <row r="61" spans="1:47">
      <c r="A61" s="648"/>
      <c r="B61" s="648"/>
      <c r="C61" s="648"/>
      <c r="D61" s="648"/>
      <c r="E61" s="648"/>
      <c r="F61" s="648"/>
      <c r="G61" s="648"/>
      <c r="H61" s="648"/>
      <c r="I61" s="648"/>
      <c r="J61" s="648"/>
      <c r="K61" s="648"/>
      <c r="L61" s="648"/>
      <c r="M61" s="648"/>
      <c r="N61" s="648"/>
      <c r="O61" s="648"/>
      <c r="P61" s="648"/>
      <c r="Q61" s="648"/>
      <c r="R61" s="648"/>
      <c r="S61" s="648"/>
      <c r="T61" s="648"/>
      <c r="U61" s="648"/>
      <c r="V61" s="648"/>
      <c r="W61" s="648"/>
      <c r="X61" s="648"/>
      <c r="Y61" s="648"/>
      <c r="Z61" s="648"/>
      <c r="AA61" s="648"/>
      <c r="AB61" s="648"/>
      <c r="AC61" s="648"/>
      <c r="AD61" s="648"/>
      <c r="AE61" s="648"/>
      <c r="AF61" s="648"/>
      <c r="AG61" s="648"/>
      <c r="AH61" s="648"/>
      <c r="AI61" s="648"/>
      <c r="AJ61" s="648"/>
      <c r="AK61" s="648"/>
      <c r="AL61" s="648"/>
      <c r="AM61" s="648"/>
      <c r="AN61" s="648"/>
      <c r="AO61" s="648"/>
      <c r="AP61" s="648"/>
      <c r="AQ61" s="648"/>
      <c r="AR61" s="648"/>
      <c r="AS61" s="648"/>
      <c r="AT61" s="648"/>
      <c r="AU61" s="648"/>
    </row>
    <row r="62" spans="1:47">
      <c r="A62" s="648"/>
      <c r="B62" s="648"/>
      <c r="C62" s="648"/>
      <c r="D62" s="648"/>
      <c r="E62" s="648"/>
      <c r="F62" s="648"/>
      <c r="G62" s="648"/>
      <c r="H62" s="648"/>
      <c r="I62" s="648"/>
      <c r="J62" s="648"/>
      <c r="K62" s="648"/>
      <c r="L62" s="648"/>
      <c r="M62" s="648"/>
      <c r="N62" s="648"/>
      <c r="O62" s="648"/>
      <c r="P62" s="648"/>
      <c r="Q62" s="648"/>
      <c r="R62" s="648"/>
      <c r="S62" s="648"/>
      <c r="T62" s="648"/>
      <c r="U62" s="648"/>
      <c r="V62" s="648"/>
      <c r="W62" s="648"/>
      <c r="X62" s="648"/>
      <c r="Y62" s="648"/>
      <c r="Z62" s="648"/>
      <c r="AA62" s="648"/>
      <c r="AB62" s="648"/>
      <c r="AC62" s="648"/>
      <c r="AD62" s="648"/>
      <c r="AE62" s="648"/>
      <c r="AF62" s="648"/>
      <c r="AG62" s="648"/>
      <c r="AH62" s="648"/>
      <c r="AI62" s="648"/>
      <c r="AJ62" s="648"/>
      <c r="AK62" s="648"/>
      <c r="AL62" s="648"/>
      <c r="AM62" s="648"/>
      <c r="AN62" s="648"/>
      <c r="AO62" s="648"/>
      <c r="AP62" s="648"/>
      <c r="AQ62" s="648"/>
      <c r="AR62" s="648"/>
      <c r="AS62" s="648"/>
      <c r="AT62" s="648"/>
      <c r="AU62" s="648"/>
    </row>
    <row r="63" spans="1:47">
      <c r="A63" s="648"/>
      <c r="B63" s="648"/>
      <c r="C63" s="648"/>
      <c r="D63" s="648"/>
      <c r="E63" s="648"/>
      <c r="F63" s="648"/>
      <c r="G63" s="648"/>
      <c r="H63" s="648"/>
      <c r="I63" s="648"/>
      <c r="J63" s="648"/>
      <c r="K63" s="648"/>
      <c r="L63" s="648"/>
      <c r="M63" s="648"/>
      <c r="N63" s="648"/>
      <c r="O63" s="648"/>
      <c r="P63" s="648"/>
      <c r="Q63" s="648"/>
      <c r="R63" s="648"/>
      <c r="S63" s="648"/>
      <c r="T63" s="648"/>
      <c r="U63" s="648"/>
      <c r="V63" s="648"/>
      <c r="W63" s="648"/>
      <c r="X63" s="648"/>
      <c r="Y63" s="648"/>
      <c r="Z63" s="648"/>
      <c r="AA63" s="648"/>
      <c r="AB63" s="648"/>
      <c r="AC63" s="648"/>
      <c r="AD63" s="648"/>
      <c r="AE63" s="648"/>
      <c r="AF63" s="648"/>
      <c r="AG63" s="648"/>
      <c r="AH63" s="648"/>
      <c r="AI63" s="648"/>
      <c r="AJ63" s="648"/>
      <c r="AK63" s="648"/>
      <c r="AL63" s="648"/>
      <c r="AM63" s="648"/>
      <c r="AN63" s="648"/>
      <c r="AO63" s="648"/>
      <c r="AP63" s="648"/>
      <c r="AQ63" s="648"/>
      <c r="AR63" s="648"/>
      <c r="AS63" s="648"/>
      <c r="AT63" s="648"/>
      <c r="AU63" s="648"/>
    </row>
    <row r="64" spans="1:47">
      <c r="A64" s="648"/>
      <c r="B64" s="648"/>
      <c r="C64" s="648"/>
      <c r="D64" s="648"/>
      <c r="E64" s="648"/>
      <c r="F64" s="648"/>
      <c r="G64" s="648"/>
      <c r="H64" s="648"/>
      <c r="I64" s="648"/>
      <c r="J64" s="648"/>
      <c r="K64" s="648"/>
      <c r="L64" s="648"/>
      <c r="M64" s="648"/>
      <c r="N64" s="648"/>
      <c r="O64" s="648"/>
      <c r="P64" s="648"/>
      <c r="Q64" s="648"/>
      <c r="R64" s="648"/>
      <c r="S64" s="648"/>
      <c r="T64" s="648"/>
      <c r="U64" s="648"/>
      <c r="V64" s="648"/>
      <c r="W64" s="648"/>
      <c r="X64" s="648"/>
      <c r="Y64" s="648"/>
      <c r="Z64" s="648"/>
      <c r="AA64" s="648"/>
      <c r="AB64" s="648"/>
      <c r="AC64" s="648"/>
      <c r="AD64" s="648"/>
      <c r="AE64" s="648"/>
      <c r="AF64" s="648"/>
      <c r="AG64" s="648"/>
      <c r="AH64" s="648"/>
      <c r="AI64" s="648"/>
      <c r="AJ64" s="648"/>
      <c r="AK64" s="648"/>
      <c r="AL64" s="648"/>
      <c r="AM64" s="648"/>
      <c r="AN64" s="648"/>
      <c r="AO64" s="648"/>
      <c r="AP64" s="648"/>
      <c r="AQ64" s="648"/>
      <c r="AR64" s="648"/>
      <c r="AS64" s="648"/>
      <c r="AT64" s="648"/>
      <c r="AU64" s="648"/>
    </row>
    <row r="65" spans="1:47">
      <c r="A65" s="648"/>
      <c r="B65" s="648"/>
      <c r="C65" s="648"/>
      <c r="D65" s="648"/>
      <c r="E65" s="648"/>
      <c r="F65" s="648"/>
      <c r="G65" s="648"/>
      <c r="H65" s="648"/>
      <c r="I65" s="648"/>
      <c r="J65" s="648"/>
      <c r="K65" s="648"/>
      <c r="L65" s="648"/>
      <c r="M65" s="648"/>
      <c r="N65" s="648"/>
      <c r="O65" s="648"/>
      <c r="P65" s="648"/>
      <c r="Q65" s="648"/>
      <c r="R65" s="648"/>
      <c r="S65" s="648"/>
      <c r="T65" s="648"/>
      <c r="U65" s="648"/>
      <c r="V65" s="648"/>
      <c r="W65" s="648"/>
      <c r="X65" s="648"/>
      <c r="Y65" s="648"/>
      <c r="Z65" s="648"/>
      <c r="AA65" s="648"/>
      <c r="AB65" s="648"/>
      <c r="AC65" s="648"/>
      <c r="AD65" s="648"/>
      <c r="AE65" s="648"/>
      <c r="AF65" s="648"/>
      <c r="AG65" s="648"/>
      <c r="AH65" s="648"/>
      <c r="AI65" s="648"/>
      <c r="AJ65" s="648"/>
      <c r="AK65" s="648"/>
      <c r="AL65" s="648"/>
      <c r="AM65" s="648"/>
      <c r="AN65" s="648"/>
      <c r="AO65" s="648"/>
      <c r="AP65" s="648"/>
      <c r="AQ65" s="648"/>
      <c r="AR65" s="648"/>
      <c r="AS65" s="648"/>
      <c r="AT65" s="648"/>
      <c r="AU65" s="648"/>
    </row>
    <row r="66" spans="1:47">
      <c r="A66" s="648"/>
      <c r="B66" s="648"/>
      <c r="C66" s="648"/>
      <c r="D66" s="648"/>
      <c r="E66" s="648"/>
      <c r="F66" s="648"/>
      <c r="G66" s="648"/>
      <c r="H66" s="648"/>
      <c r="I66" s="648"/>
      <c r="J66" s="648"/>
      <c r="K66" s="648"/>
      <c r="L66" s="648"/>
      <c r="M66" s="648"/>
      <c r="N66" s="648"/>
      <c r="O66" s="648"/>
      <c r="P66" s="648"/>
      <c r="Q66" s="648"/>
      <c r="R66" s="648"/>
      <c r="S66" s="648"/>
      <c r="T66" s="648"/>
      <c r="U66" s="648"/>
      <c r="V66" s="648"/>
      <c r="W66" s="648"/>
      <c r="X66" s="648"/>
      <c r="Y66" s="648"/>
      <c r="Z66" s="648"/>
      <c r="AA66" s="648"/>
      <c r="AB66" s="648"/>
      <c r="AC66" s="648"/>
      <c r="AD66" s="648"/>
      <c r="AE66" s="648"/>
      <c r="AF66" s="648"/>
      <c r="AG66" s="648"/>
      <c r="AH66" s="648"/>
      <c r="AI66" s="648"/>
      <c r="AJ66" s="648"/>
      <c r="AK66" s="648"/>
      <c r="AL66" s="648"/>
      <c r="AM66" s="648"/>
      <c r="AN66" s="648"/>
      <c r="AO66" s="648"/>
      <c r="AP66" s="648"/>
      <c r="AQ66" s="648"/>
      <c r="AR66" s="648"/>
      <c r="AS66" s="648"/>
      <c r="AT66" s="648"/>
      <c r="AU66" s="648"/>
    </row>
    <row r="67" spans="1:47">
      <c r="A67" s="648"/>
      <c r="B67" s="648"/>
      <c r="C67" s="648"/>
      <c r="D67" s="648"/>
      <c r="E67" s="648"/>
      <c r="F67" s="648"/>
      <c r="G67" s="648"/>
      <c r="H67" s="648"/>
      <c r="I67" s="648"/>
      <c r="J67" s="648"/>
      <c r="K67" s="648"/>
      <c r="L67" s="648"/>
      <c r="M67" s="648"/>
      <c r="N67" s="648"/>
      <c r="O67" s="648"/>
      <c r="P67" s="648"/>
      <c r="Q67" s="648"/>
      <c r="R67" s="648"/>
      <c r="S67" s="648"/>
      <c r="T67" s="648"/>
      <c r="U67" s="648"/>
      <c r="V67" s="648"/>
      <c r="W67" s="648"/>
      <c r="X67" s="648"/>
      <c r="Y67" s="648"/>
      <c r="Z67" s="648"/>
      <c r="AA67" s="648"/>
      <c r="AB67" s="648"/>
      <c r="AC67" s="648"/>
      <c r="AD67" s="648"/>
      <c r="AE67" s="648"/>
      <c r="AF67" s="648"/>
      <c r="AG67" s="648"/>
      <c r="AH67" s="648"/>
      <c r="AI67" s="648"/>
      <c r="AJ67" s="648"/>
      <c r="AK67" s="648"/>
      <c r="AL67" s="648"/>
      <c r="AM67" s="648"/>
      <c r="AN67" s="648"/>
      <c r="AO67" s="648"/>
      <c r="AP67" s="648"/>
      <c r="AQ67" s="648"/>
      <c r="AR67" s="648"/>
      <c r="AS67" s="648"/>
      <c r="AT67" s="648"/>
      <c r="AU67" s="648"/>
    </row>
    <row r="68" spans="1:47">
      <c r="A68" s="648"/>
      <c r="B68" s="648"/>
      <c r="C68" s="648"/>
      <c r="D68" s="648"/>
      <c r="E68" s="648"/>
      <c r="F68" s="648"/>
      <c r="G68" s="648"/>
      <c r="H68" s="648"/>
      <c r="I68" s="648"/>
      <c r="J68" s="648"/>
      <c r="K68" s="648"/>
      <c r="L68" s="648"/>
      <c r="M68" s="648"/>
      <c r="N68" s="648"/>
      <c r="O68" s="648"/>
      <c r="P68" s="648"/>
      <c r="Q68" s="648"/>
      <c r="R68" s="648"/>
      <c r="S68" s="648"/>
      <c r="T68" s="648"/>
      <c r="U68" s="648"/>
      <c r="V68" s="648"/>
      <c r="W68" s="648"/>
      <c r="X68" s="648"/>
      <c r="Y68" s="648"/>
      <c r="Z68" s="648"/>
      <c r="AA68" s="648"/>
      <c r="AB68" s="648"/>
      <c r="AC68" s="648"/>
      <c r="AD68" s="648"/>
      <c r="AE68" s="648"/>
      <c r="AF68" s="648"/>
      <c r="AG68" s="648"/>
      <c r="AH68" s="648"/>
      <c r="AI68" s="648"/>
      <c r="AJ68" s="648"/>
      <c r="AK68" s="648"/>
      <c r="AL68" s="648"/>
      <c r="AM68" s="648"/>
      <c r="AN68" s="648"/>
      <c r="AO68" s="648"/>
      <c r="AP68" s="648"/>
      <c r="AQ68" s="648"/>
      <c r="AR68" s="648"/>
      <c r="AS68" s="648"/>
      <c r="AT68" s="648"/>
      <c r="AU68" s="648"/>
    </row>
    <row r="69" spans="1:47">
      <c r="A69" s="648"/>
      <c r="B69" s="648"/>
      <c r="C69" s="648"/>
      <c r="D69" s="648"/>
      <c r="E69" s="648"/>
      <c r="F69" s="648"/>
      <c r="G69" s="648"/>
      <c r="H69" s="648"/>
      <c r="I69" s="648"/>
      <c r="J69" s="648"/>
      <c r="K69" s="648"/>
      <c r="L69" s="648"/>
      <c r="M69" s="648"/>
      <c r="N69" s="648"/>
      <c r="O69" s="648"/>
      <c r="P69" s="648"/>
      <c r="Q69" s="648"/>
      <c r="R69" s="648"/>
      <c r="S69" s="648"/>
      <c r="T69" s="648"/>
      <c r="U69" s="648"/>
      <c r="V69" s="648"/>
      <c r="W69" s="648"/>
      <c r="X69" s="648"/>
      <c r="Y69" s="648"/>
      <c r="Z69" s="648"/>
      <c r="AA69" s="648"/>
      <c r="AB69" s="648"/>
      <c r="AC69" s="648"/>
      <c r="AD69" s="648"/>
      <c r="AE69" s="648"/>
      <c r="AF69" s="648"/>
      <c r="AG69" s="648"/>
      <c r="AH69" s="648"/>
      <c r="AI69" s="648"/>
      <c r="AJ69" s="648"/>
      <c r="AK69" s="648"/>
      <c r="AL69" s="648"/>
      <c r="AM69" s="648"/>
      <c r="AN69" s="648"/>
      <c r="AO69" s="648"/>
      <c r="AP69" s="648"/>
      <c r="AQ69" s="648"/>
      <c r="AR69" s="648"/>
      <c r="AS69" s="648"/>
      <c r="AT69" s="648"/>
      <c r="AU69" s="648"/>
    </row>
    <row r="70" spans="1:47">
      <c r="A70" s="648"/>
      <c r="B70" s="648"/>
      <c r="C70" s="648"/>
      <c r="D70" s="648"/>
      <c r="E70" s="648"/>
      <c r="F70" s="648"/>
      <c r="G70" s="648"/>
      <c r="H70" s="648"/>
      <c r="I70" s="648"/>
      <c r="J70" s="648"/>
      <c r="K70" s="648"/>
      <c r="L70" s="648"/>
      <c r="M70" s="648"/>
      <c r="N70" s="648"/>
      <c r="O70" s="648"/>
      <c r="P70" s="648"/>
      <c r="Q70" s="648"/>
      <c r="R70" s="648"/>
      <c r="S70" s="648"/>
      <c r="T70" s="648"/>
      <c r="U70" s="648"/>
      <c r="V70" s="648"/>
      <c r="W70" s="648"/>
      <c r="X70" s="648"/>
      <c r="Y70" s="648"/>
      <c r="Z70" s="648"/>
      <c r="AA70" s="648"/>
      <c r="AB70" s="648"/>
      <c r="AC70" s="648"/>
      <c r="AD70" s="648"/>
      <c r="AE70" s="648"/>
      <c r="AF70" s="648"/>
      <c r="AG70" s="648"/>
      <c r="AH70" s="648"/>
      <c r="AI70" s="648"/>
      <c r="AJ70" s="648"/>
      <c r="AK70" s="648"/>
      <c r="AL70" s="648"/>
      <c r="AM70" s="648"/>
      <c r="AN70" s="648"/>
      <c r="AO70" s="648"/>
      <c r="AP70" s="648"/>
      <c r="AQ70" s="648"/>
      <c r="AR70" s="648"/>
      <c r="AS70" s="648"/>
      <c r="AT70" s="648"/>
      <c r="AU70" s="648"/>
    </row>
    <row r="71" spans="1:47">
      <c r="A71" s="648"/>
      <c r="B71" s="648"/>
      <c r="C71" s="648"/>
      <c r="D71" s="648"/>
      <c r="E71" s="648"/>
      <c r="F71" s="648"/>
      <c r="G71" s="648"/>
      <c r="H71" s="648"/>
      <c r="I71" s="648"/>
      <c r="J71" s="648"/>
      <c r="K71" s="648"/>
      <c r="L71" s="648"/>
      <c r="M71" s="648"/>
      <c r="N71" s="648"/>
      <c r="O71" s="648"/>
      <c r="P71" s="648"/>
      <c r="Q71" s="648"/>
      <c r="R71" s="648"/>
      <c r="S71" s="648"/>
      <c r="T71" s="648"/>
      <c r="U71" s="648"/>
      <c r="V71" s="648"/>
      <c r="W71" s="648"/>
      <c r="X71" s="648"/>
      <c r="Y71" s="648"/>
      <c r="Z71" s="648"/>
      <c r="AA71" s="648"/>
      <c r="AB71" s="648"/>
      <c r="AC71" s="648"/>
      <c r="AD71" s="648"/>
      <c r="AE71" s="648"/>
      <c r="AF71" s="648"/>
      <c r="AG71" s="648"/>
      <c r="AH71" s="648"/>
      <c r="AI71" s="648"/>
      <c r="AJ71" s="648"/>
      <c r="AK71" s="648"/>
      <c r="AL71" s="648"/>
      <c r="AM71" s="648"/>
      <c r="AN71" s="648"/>
      <c r="AO71" s="648"/>
      <c r="AP71" s="648"/>
      <c r="AQ71" s="648"/>
      <c r="AR71" s="648"/>
      <c r="AS71" s="648"/>
      <c r="AT71" s="648"/>
      <c r="AU71" s="648"/>
    </row>
    <row r="72" spans="1:47">
      <c r="A72" s="648"/>
      <c r="B72" s="648"/>
      <c r="C72" s="648"/>
      <c r="D72" s="648"/>
      <c r="E72" s="648"/>
      <c r="F72" s="648"/>
      <c r="G72" s="648"/>
      <c r="H72" s="648"/>
      <c r="I72" s="648"/>
      <c r="J72" s="648"/>
      <c r="K72" s="648"/>
      <c r="L72" s="648"/>
      <c r="M72" s="648"/>
      <c r="N72" s="648"/>
      <c r="O72" s="648"/>
      <c r="P72" s="648"/>
      <c r="Q72" s="648"/>
      <c r="R72" s="648"/>
      <c r="S72" s="648"/>
      <c r="T72" s="648"/>
      <c r="U72" s="648"/>
      <c r="V72" s="648"/>
      <c r="W72" s="648"/>
      <c r="X72" s="648"/>
      <c r="Y72" s="648"/>
      <c r="Z72" s="648"/>
      <c r="AA72" s="648"/>
      <c r="AB72" s="648"/>
      <c r="AC72" s="648"/>
      <c r="AD72" s="648"/>
      <c r="AE72" s="648"/>
      <c r="AF72" s="648"/>
      <c r="AG72" s="648"/>
      <c r="AH72" s="648"/>
      <c r="AI72" s="648"/>
      <c r="AJ72" s="648"/>
      <c r="AK72" s="648"/>
      <c r="AL72" s="648"/>
      <c r="AM72" s="648"/>
      <c r="AN72" s="648"/>
      <c r="AO72" s="648"/>
      <c r="AP72" s="648"/>
      <c r="AQ72" s="648"/>
      <c r="AR72" s="648"/>
      <c r="AS72" s="648"/>
      <c r="AT72" s="648"/>
      <c r="AU72" s="648"/>
    </row>
    <row r="73" spans="1:47">
      <c r="A73" s="648"/>
      <c r="B73" s="648"/>
      <c r="C73" s="648"/>
      <c r="D73" s="648"/>
      <c r="E73" s="648"/>
      <c r="F73" s="648"/>
      <c r="G73" s="648"/>
      <c r="H73" s="648"/>
      <c r="I73" s="648"/>
      <c r="J73" s="648"/>
      <c r="K73" s="648"/>
      <c r="L73" s="648"/>
      <c r="M73" s="648"/>
      <c r="N73" s="648"/>
      <c r="O73" s="648"/>
      <c r="P73" s="648"/>
      <c r="Q73" s="648"/>
      <c r="R73" s="648"/>
      <c r="S73" s="648"/>
      <c r="T73" s="648"/>
      <c r="U73" s="648"/>
      <c r="V73" s="648"/>
      <c r="W73" s="648"/>
      <c r="X73" s="648"/>
      <c r="Y73" s="648"/>
      <c r="Z73" s="648"/>
      <c r="AA73" s="648"/>
      <c r="AB73" s="648"/>
      <c r="AC73" s="648"/>
      <c r="AD73" s="648"/>
      <c r="AE73" s="648"/>
      <c r="AF73" s="648"/>
      <c r="AG73" s="648"/>
      <c r="AH73" s="648"/>
      <c r="AI73" s="648"/>
      <c r="AJ73" s="648"/>
      <c r="AK73" s="648"/>
      <c r="AL73" s="648"/>
      <c r="AM73" s="648"/>
      <c r="AN73" s="648"/>
      <c r="AO73" s="648"/>
      <c r="AP73" s="648"/>
      <c r="AQ73" s="648"/>
      <c r="AR73" s="648"/>
      <c r="AS73" s="648"/>
      <c r="AT73" s="648"/>
      <c r="AU73" s="648"/>
    </row>
    <row r="74" spans="1:47">
      <c r="A74" s="648"/>
      <c r="B74" s="648"/>
      <c r="C74" s="648"/>
      <c r="D74" s="648"/>
      <c r="E74" s="648"/>
      <c r="F74" s="648"/>
      <c r="G74" s="648"/>
      <c r="H74" s="648"/>
      <c r="I74" s="648"/>
      <c r="J74" s="648"/>
      <c r="K74" s="648"/>
      <c r="L74" s="648"/>
      <c r="M74" s="648"/>
      <c r="N74" s="648"/>
      <c r="O74" s="648"/>
      <c r="P74" s="648"/>
      <c r="Q74" s="648"/>
      <c r="R74" s="648"/>
      <c r="S74" s="648"/>
      <c r="T74" s="648"/>
      <c r="U74" s="648"/>
      <c r="V74" s="648"/>
      <c r="W74" s="648"/>
      <c r="X74" s="648"/>
      <c r="Y74" s="648"/>
      <c r="Z74" s="648"/>
      <c r="AA74" s="648"/>
      <c r="AB74" s="648"/>
      <c r="AC74" s="648"/>
      <c r="AD74" s="648"/>
      <c r="AE74" s="648"/>
      <c r="AF74" s="648"/>
      <c r="AG74" s="648"/>
      <c r="AH74" s="648"/>
      <c r="AI74" s="648"/>
      <c r="AJ74" s="648"/>
      <c r="AK74" s="648"/>
      <c r="AL74" s="648"/>
      <c r="AM74" s="648"/>
      <c r="AN74" s="648"/>
      <c r="AO74" s="648"/>
      <c r="AP74" s="648"/>
      <c r="AQ74" s="648"/>
      <c r="AR74" s="648"/>
      <c r="AS74" s="648"/>
      <c r="AT74" s="648"/>
      <c r="AU74" s="648"/>
    </row>
    <row r="75" spans="1:47">
      <c r="A75" s="648"/>
      <c r="B75" s="648"/>
      <c r="C75" s="648"/>
      <c r="D75" s="648"/>
      <c r="E75" s="648"/>
      <c r="F75" s="648"/>
      <c r="G75" s="648"/>
      <c r="H75" s="648"/>
      <c r="I75" s="648"/>
      <c r="J75" s="648"/>
      <c r="K75" s="648"/>
      <c r="L75" s="648"/>
      <c r="M75" s="648"/>
      <c r="N75" s="648"/>
      <c r="O75" s="648"/>
      <c r="P75" s="648"/>
      <c r="Q75" s="648"/>
      <c r="R75" s="648"/>
      <c r="S75" s="648"/>
      <c r="T75" s="648"/>
      <c r="U75" s="648"/>
      <c r="V75" s="648"/>
      <c r="W75" s="648"/>
      <c r="X75" s="648"/>
      <c r="Y75" s="648"/>
      <c r="Z75" s="648"/>
      <c r="AA75" s="648"/>
      <c r="AB75" s="648"/>
      <c r="AC75" s="648"/>
      <c r="AD75" s="648"/>
      <c r="AE75" s="648"/>
      <c r="AF75" s="648"/>
      <c r="AG75" s="648"/>
      <c r="AH75" s="648"/>
      <c r="AI75" s="648"/>
      <c r="AJ75" s="648"/>
      <c r="AK75" s="648"/>
      <c r="AL75" s="648"/>
      <c r="AM75" s="648"/>
      <c r="AN75" s="648"/>
      <c r="AO75" s="648"/>
      <c r="AP75" s="648"/>
      <c r="AQ75" s="648"/>
      <c r="AR75" s="648"/>
      <c r="AS75" s="648"/>
      <c r="AT75" s="648"/>
      <c r="AU75" s="648"/>
    </row>
    <row r="76" spans="1:47">
      <c r="A76" s="648"/>
      <c r="B76" s="648"/>
      <c r="C76" s="648"/>
      <c r="D76" s="648"/>
      <c r="E76" s="648"/>
      <c r="F76" s="648"/>
      <c r="G76" s="648"/>
      <c r="H76" s="648"/>
      <c r="I76" s="648"/>
      <c r="J76" s="648"/>
      <c r="K76" s="648"/>
      <c r="L76" s="648"/>
      <c r="M76" s="648"/>
      <c r="N76" s="648"/>
      <c r="O76" s="648"/>
      <c r="P76" s="648"/>
      <c r="Q76" s="648"/>
      <c r="R76" s="648"/>
      <c r="S76" s="648"/>
      <c r="T76" s="648"/>
      <c r="U76" s="648"/>
      <c r="V76" s="648"/>
      <c r="W76" s="648"/>
      <c r="X76" s="648"/>
      <c r="Y76" s="648"/>
      <c r="Z76" s="648"/>
      <c r="AA76" s="648"/>
      <c r="AB76" s="648"/>
      <c r="AC76" s="648"/>
      <c r="AD76" s="648"/>
      <c r="AE76" s="648"/>
      <c r="AF76" s="648"/>
      <c r="AG76" s="648"/>
      <c r="AH76" s="648"/>
      <c r="AI76" s="648"/>
      <c r="AJ76" s="648"/>
      <c r="AK76" s="648"/>
      <c r="AL76" s="648"/>
      <c r="AM76" s="648"/>
      <c r="AN76" s="648"/>
      <c r="AO76" s="648"/>
      <c r="AP76" s="648"/>
      <c r="AQ76" s="648"/>
      <c r="AR76" s="648"/>
      <c r="AS76" s="648"/>
      <c r="AT76" s="648"/>
      <c r="AU76" s="648"/>
    </row>
    <row r="77" spans="1:47">
      <c r="A77" s="648"/>
      <c r="B77" s="648"/>
      <c r="C77" s="648"/>
      <c r="D77" s="648"/>
      <c r="E77" s="648"/>
      <c r="F77" s="648"/>
      <c r="G77" s="648"/>
      <c r="H77" s="648"/>
      <c r="I77" s="648"/>
      <c r="J77" s="648"/>
      <c r="K77" s="648"/>
      <c r="L77" s="648"/>
      <c r="M77" s="648"/>
      <c r="N77" s="648"/>
      <c r="O77" s="648"/>
      <c r="P77" s="648"/>
      <c r="Q77" s="648"/>
      <c r="R77" s="648"/>
      <c r="S77" s="648"/>
      <c r="T77" s="648"/>
      <c r="U77" s="648"/>
      <c r="V77" s="648"/>
      <c r="W77" s="648"/>
      <c r="X77" s="648"/>
      <c r="Y77" s="648"/>
      <c r="Z77" s="648"/>
      <c r="AA77" s="648"/>
      <c r="AB77" s="648"/>
      <c r="AC77" s="648"/>
      <c r="AD77" s="648"/>
      <c r="AE77" s="648"/>
      <c r="AF77" s="648"/>
      <c r="AG77" s="648"/>
      <c r="AH77" s="648"/>
      <c r="AI77" s="648"/>
      <c r="AJ77" s="648"/>
      <c r="AK77" s="648"/>
      <c r="AL77" s="648"/>
      <c r="AM77" s="648"/>
      <c r="AN77" s="648"/>
      <c r="AO77" s="648"/>
      <c r="AP77" s="648"/>
      <c r="AQ77" s="648"/>
      <c r="AR77" s="648"/>
      <c r="AS77" s="648"/>
      <c r="AT77" s="648"/>
      <c r="AU77" s="648"/>
    </row>
    <row r="78" spans="1:47">
      <c r="A78" s="648"/>
      <c r="B78" s="648"/>
      <c r="C78" s="648"/>
      <c r="D78" s="648"/>
      <c r="E78" s="648"/>
      <c r="F78" s="648"/>
      <c r="G78" s="648"/>
      <c r="H78" s="648"/>
      <c r="I78" s="648"/>
      <c r="J78" s="648"/>
      <c r="K78" s="648"/>
      <c r="L78" s="648"/>
      <c r="M78" s="648"/>
      <c r="N78" s="648"/>
      <c r="O78" s="648"/>
      <c r="P78" s="648"/>
      <c r="Q78" s="648"/>
      <c r="R78" s="648"/>
      <c r="S78" s="648"/>
      <c r="T78" s="648"/>
      <c r="U78" s="648"/>
      <c r="V78" s="648"/>
      <c r="W78" s="648"/>
      <c r="X78" s="648"/>
      <c r="Y78" s="648"/>
      <c r="Z78" s="648"/>
      <c r="AA78" s="648"/>
      <c r="AB78" s="648"/>
      <c r="AC78" s="648"/>
      <c r="AD78" s="648"/>
      <c r="AE78" s="648"/>
      <c r="AF78" s="648"/>
      <c r="AG78" s="648"/>
      <c r="AH78" s="648"/>
      <c r="AI78" s="648"/>
      <c r="AJ78" s="648"/>
      <c r="AK78" s="648"/>
      <c r="AL78" s="648"/>
      <c r="AM78" s="648"/>
      <c r="AN78" s="648"/>
      <c r="AO78" s="648"/>
      <c r="AP78" s="648"/>
      <c r="AQ78" s="648"/>
      <c r="AR78" s="648"/>
      <c r="AS78" s="648"/>
      <c r="AT78" s="648"/>
      <c r="AU78" s="648"/>
    </row>
    <row r="79" spans="1:47">
      <c r="A79" s="648"/>
      <c r="B79" s="648"/>
      <c r="C79" s="648"/>
      <c r="D79" s="648"/>
      <c r="E79" s="648"/>
      <c r="F79" s="648"/>
      <c r="G79" s="648"/>
      <c r="H79" s="648"/>
      <c r="I79" s="648"/>
      <c r="J79" s="648"/>
      <c r="K79" s="648"/>
      <c r="L79" s="648"/>
      <c r="M79" s="648"/>
      <c r="N79" s="648"/>
      <c r="O79" s="648"/>
      <c r="P79" s="648"/>
      <c r="Q79" s="648"/>
      <c r="R79" s="648"/>
      <c r="S79" s="648"/>
      <c r="T79" s="648"/>
      <c r="U79" s="648"/>
      <c r="V79" s="648"/>
      <c r="W79" s="648"/>
      <c r="X79" s="648"/>
      <c r="Y79" s="648"/>
      <c r="Z79" s="648"/>
      <c r="AA79" s="648"/>
      <c r="AB79" s="648"/>
      <c r="AC79" s="648"/>
      <c r="AD79" s="648"/>
      <c r="AE79" s="648"/>
      <c r="AF79" s="648"/>
      <c r="AG79" s="648"/>
      <c r="AH79" s="648"/>
      <c r="AI79" s="648"/>
      <c r="AJ79" s="648"/>
      <c r="AK79" s="648"/>
      <c r="AL79" s="648"/>
      <c r="AM79" s="648"/>
      <c r="AN79" s="648"/>
      <c r="AO79" s="648"/>
      <c r="AP79" s="648"/>
      <c r="AQ79" s="648"/>
      <c r="AR79" s="648"/>
      <c r="AS79" s="648"/>
      <c r="AT79" s="648"/>
      <c r="AU79" s="648"/>
    </row>
    <row r="80" spans="1:47">
      <c r="A80" s="648"/>
      <c r="B80" s="648"/>
      <c r="C80" s="648"/>
      <c r="D80" s="648"/>
      <c r="E80" s="648"/>
      <c r="F80" s="648"/>
      <c r="G80" s="648"/>
      <c r="H80" s="648"/>
      <c r="I80" s="648"/>
      <c r="J80" s="648"/>
      <c r="K80" s="648"/>
      <c r="L80" s="648"/>
      <c r="M80" s="648"/>
      <c r="N80" s="648"/>
      <c r="O80" s="648"/>
      <c r="P80" s="648"/>
      <c r="Q80" s="648"/>
      <c r="R80" s="648"/>
      <c r="S80" s="648"/>
      <c r="T80" s="648"/>
      <c r="U80" s="648"/>
      <c r="V80" s="648"/>
      <c r="W80" s="648"/>
      <c r="X80" s="648"/>
      <c r="Y80" s="648"/>
      <c r="Z80" s="648"/>
      <c r="AA80" s="648"/>
      <c r="AB80" s="648"/>
      <c r="AC80" s="648"/>
      <c r="AD80" s="648"/>
      <c r="AE80" s="648"/>
      <c r="AF80" s="648"/>
      <c r="AG80" s="648"/>
      <c r="AH80" s="648"/>
      <c r="AI80" s="648"/>
      <c r="AJ80" s="648"/>
      <c r="AK80" s="648"/>
      <c r="AL80" s="648"/>
      <c r="AM80" s="648"/>
      <c r="AN80" s="648"/>
      <c r="AO80" s="648"/>
      <c r="AP80" s="648"/>
      <c r="AQ80" s="648"/>
      <c r="AR80" s="648"/>
      <c r="AS80" s="648"/>
      <c r="AT80" s="648"/>
      <c r="AU80" s="648"/>
    </row>
    <row r="81" spans="1:47">
      <c r="A81" s="648"/>
      <c r="B81" s="648"/>
      <c r="C81" s="648"/>
      <c r="D81" s="648"/>
      <c r="E81" s="648"/>
      <c r="F81" s="648"/>
      <c r="G81" s="648"/>
      <c r="H81" s="648"/>
      <c r="I81" s="648"/>
      <c r="J81" s="648"/>
      <c r="K81" s="648"/>
      <c r="L81" s="648"/>
      <c r="M81" s="648"/>
      <c r="N81" s="648"/>
      <c r="O81" s="648"/>
      <c r="P81" s="648"/>
      <c r="Q81" s="648"/>
      <c r="R81" s="648"/>
      <c r="S81" s="648"/>
      <c r="T81" s="648"/>
      <c r="U81" s="648"/>
      <c r="V81" s="648"/>
      <c r="W81" s="648"/>
      <c r="X81" s="648"/>
      <c r="Y81" s="648"/>
      <c r="Z81" s="648"/>
      <c r="AA81" s="648"/>
      <c r="AB81" s="648"/>
      <c r="AC81" s="648"/>
      <c r="AD81" s="648"/>
      <c r="AE81" s="648"/>
      <c r="AF81" s="648"/>
      <c r="AG81" s="648"/>
      <c r="AH81" s="648"/>
      <c r="AI81" s="648"/>
      <c r="AJ81" s="648"/>
      <c r="AK81" s="648"/>
      <c r="AL81" s="648"/>
      <c r="AM81" s="648"/>
      <c r="AN81" s="648"/>
      <c r="AO81" s="648"/>
      <c r="AP81" s="648"/>
      <c r="AQ81" s="648"/>
      <c r="AR81" s="648"/>
      <c r="AS81" s="648"/>
      <c r="AT81" s="648"/>
      <c r="AU81" s="648"/>
    </row>
    <row r="82" spans="1:47">
      <c r="A82" s="648"/>
      <c r="B82" s="648"/>
      <c r="C82" s="648"/>
      <c r="D82" s="648"/>
      <c r="E82" s="648"/>
      <c r="F82" s="648"/>
      <c r="G82" s="648"/>
      <c r="H82" s="648"/>
      <c r="I82" s="648"/>
      <c r="J82" s="648"/>
      <c r="K82" s="648"/>
      <c r="L82" s="648"/>
      <c r="M82" s="648"/>
      <c r="N82" s="648"/>
      <c r="O82" s="648"/>
      <c r="P82" s="648"/>
      <c r="Q82" s="648"/>
      <c r="R82" s="648"/>
      <c r="S82" s="648"/>
      <c r="T82" s="648"/>
      <c r="U82" s="648"/>
      <c r="V82" s="648"/>
      <c r="W82" s="648"/>
      <c r="X82" s="648"/>
      <c r="Y82" s="648"/>
      <c r="Z82" s="648"/>
      <c r="AA82" s="648"/>
      <c r="AB82" s="648"/>
      <c r="AC82" s="648"/>
      <c r="AD82" s="648"/>
      <c r="AE82" s="648"/>
      <c r="AF82" s="648"/>
      <c r="AG82" s="648"/>
      <c r="AH82" s="648"/>
      <c r="AI82" s="648"/>
      <c r="AJ82" s="648"/>
      <c r="AK82" s="648"/>
      <c r="AL82" s="648"/>
      <c r="AM82" s="648"/>
      <c r="AN82" s="648"/>
      <c r="AO82" s="648"/>
      <c r="AP82" s="648"/>
      <c r="AQ82" s="648"/>
      <c r="AR82" s="648"/>
      <c r="AS82" s="648"/>
      <c r="AT82" s="648"/>
      <c r="AU82" s="648"/>
    </row>
    <row r="83" spans="1:47">
      <c r="A83" s="648"/>
      <c r="B83" s="648"/>
      <c r="C83" s="648"/>
      <c r="D83" s="648"/>
      <c r="E83" s="648"/>
      <c r="F83" s="648"/>
      <c r="G83" s="648"/>
      <c r="H83" s="648"/>
      <c r="I83" s="648"/>
      <c r="J83" s="648"/>
      <c r="K83" s="648"/>
      <c r="L83" s="648"/>
      <c r="M83" s="648"/>
      <c r="N83" s="648"/>
      <c r="O83" s="648"/>
      <c r="P83" s="648"/>
      <c r="Q83" s="648"/>
      <c r="R83" s="648"/>
      <c r="S83" s="648"/>
      <c r="T83" s="648"/>
      <c r="U83" s="648"/>
      <c r="V83" s="648"/>
      <c r="W83" s="648"/>
      <c r="X83" s="648"/>
      <c r="Y83" s="648"/>
      <c r="Z83" s="648"/>
      <c r="AA83" s="648"/>
      <c r="AB83" s="648"/>
      <c r="AC83" s="648"/>
      <c r="AD83" s="648"/>
      <c r="AE83" s="648"/>
      <c r="AF83" s="648"/>
      <c r="AG83" s="648"/>
      <c r="AH83" s="648"/>
      <c r="AI83" s="648"/>
      <c r="AJ83" s="648"/>
      <c r="AK83" s="648"/>
      <c r="AL83" s="648"/>
      <c r="AM83" s="648"/>
      <c r="AN83" s="648"/>
      <c r="AO83" s="648"/>
      <c r="AP83" s="648"/>
      <c r="AQ83" s="648"/>
      <c r="AR83" s="648"/>
      <c r="AS83" s="648"/>
      <c r="AT83" s="648"/>
      <c r="AU83" s="648"/>
    </row>
    <row r="84" spans="1:47">
      <c r="A84" s="648"/>
      <c r="B84" s="648"/>
      <c r="C84" s="648"/>
      <c r="D84" s="648"/>
      <c r="E84" s="648"/>
      <c r="F84" s="648"/>
      <c r="G84" s="648"/>
      <c r="H84" s="648"/>
      <c r="I84" s="648"/>
      <c r="J84" s="648"/>
      <c r="K84" s="648"/>
      <c r="L84" s="648"/>
      <c r="M84" s="648"/>
      <c r="N84" s="648"/>
      <c r="O84" s="648"/>
      <c r="P84" s="648"/>
      <c r="Q84" s="648"/>
      <c r="R84" s="648"/>
      <c r="S84" s="648"/>
      <c r="T84" s="648"/>
      <c r="U84" s="648"/>
      <c r="V84" s="648"/>
      <c r="W84" s="648"/>
      <c r="X84" s="648"/>
      <c r="Y84" s="648"/>
      <c r="Z84" s="648"/>
      <c r="AA84" s="648"/>
      <c r="AB84" s="648"/>
      <c r="AC84" s="648"/>
      <c r="AD84" s="648"/>
      <c r="AE84" s="648"/>
      <c r="AF84" s="648"/>
      <c r="AG84" s="648"/>
      <c r="AH84" s="648"/>
      <c r="AI84" s="648"/>
      <c r="AJ84" s="648"/>
      <c r="AK84" s="648"/>
      <c r="AL84" s="648"/>
      <c r="AM84" s="648"/>
      <c r="AN84" s="648"/>
      <c r="AO84" s="648"/>
      <c r="AP84" s="648"/>
      <c r="AQ84" s="648"/>
      <c r="AR84" s="648"/>
      <c r="AS84" s="648"/>
      <c r="AT84" s="648"/>
      <c r="AU84" s="648"/>
    </row>
    <row r="85" spans="1:47">
      <c r="A85" s="648"/>
      <c r="B85" s="648"/>
      <c r="C85" s="648"/>
      <c r="D85" s="648"/>
      <c r="E85" s="648"/>
      <c r="F85" s="648"/>
      <c r="G85" s="648"/>
      <c r="H85" s="648"/>
      <c r="I85" s="648"/>
      <c r="J85" s="648"/>
      <c r="K85" s="648"/>
      <c r="L85" s="648"/>
      <c r="M85" s="648"/>
      <c r="N85" s="648"/>
      <c r="O85" s="648"/>
      <c r="P85" s="648"/>
      <c r="Q85" s="648"/>
      <c r="R85" s="648"/>
      <c r="S85" s="648"/>
      <c r="T85" s="648"/>
      <c r="U85" s="648"/>
      <c r="V85" s="648"/>
      <c r="W85" s="648"/>
      <c r="X85" s="648"/>
      <c r="Y85" s="648"/>
      <c r="Z85" s="648"/>
      <c r="AA85" s="648"/>
      <c r="AB85" s="648"/>
      <c r="AC85" s="648"/>
      <c r="AD85" s="648"/>
      <c r="AE85" s="648"/>
      <c r="AF85" s="648"/>
      <c r="AG85" s="648"/>
      <c r="AH85" s="648"/>
      <c r="AI85" s="648"/>
      <c r="AJ85" s="648"/>
      <c r="AK85" s="648"/>
      <c r="AL85" s="648"/>
      <c r="AM85" s="648"/>
      <c r="AN85" s="648"/>
      <c r="AO85" s="648"/>
      <c r="AP85" s="648"/>
      <c r="AQ85" s="648"/>
      <c r="AR85" s="648"/>
      <c r="AS85" s="648"/>
      <c r="AT85" s="648"/>
      <c r="AU85" s="648"/>
    </row>
    <row r="86" spans="1:47">
      <c r="A86" s="648"/>
      <c r="B86" s="648"/>
      <c r="C86" s="648"/>
      <c r="D86" s="648"/>
      <c r="E86" s="648"/>
      <c r="F86" s="648"/>
      <c r="G86" s="648"/>
      <c r="H86" s="648"/>
      <c r="I86" s="648"/>
      <c r="J86" s="648"/>
      <c r="K86" s="648"/>
      <c r="L86" s="648"/>
      <c r="M86" s="648"/>
      <c r="N86" s="648"/>
      <c r="O86" s="648"/>
      <c r="P86" s="648"/>
      <c r="Q86" s="648"/>
      <c r="R86" s="648"/>
      <c r="S86" s="648"/>
      <c r="T86" s="648"/>
      <c r="U86" s="648"/>
      <c r="V86" s="648"/>
      <c r="W86" s="648"/>
      <c r="X86" s="648"/>
      <c r="Y86" s="648"/>
      <c r="Z86" s="648"/>
      <c r="AA86" s="648"/>
      <c r="AB86" s="648"/>
      <c r="AC86" s="648"/>
      <c r="AD86" s="648"/>
      <c r="AE86" s="648"/>
      <c r="AF86" s="648"/>
      <c r="AG86" s="648"/>
      <c r="AH86" s="648"/>
      <c r="AI86" s="648"/>
      <c r="AJ86" s="648"/>
      <c r="AK86" s="648"/>
      <c r="AL86" s="648"/>
      <c r="AM86" s="648"/>
      <c r="AN86" s="648"/>
      <c r="AO86" s="648"/>
      <c r="AP86" s="648"/>
      <c r="AQ86" s="648"/>
      <c r="AR86" s="648"/>
      <c r="AS86" s="648"/>
      <c r="AT86" s="648"/>
      <c r="AU86" s="648"/>
    </row>
    <row r="87" spans="1:47">
      <c r="A87" s="648"/>
      <c r="B87" s="648"/>
      <c r="C87" s="648"/>
      <c r="D87" s="648"/>
      <c r="E87" s="648"/>
      <c r="F87" s="648"/>
      <c r="G87" s="648"/>
      <c r="H87" s="648"/>
      <c r="I87" s="648"/>
      <c r="J87" s="648"/>
      <c r="K87" s="648"/>
      <c r="L87" s="648"/>
      <c r="M87" s="648"/>
      <c r="N87" s="648"/>
      <c r="O87" s="648"/>
      <c r="P87" s="648"/>
      <c r="Q87" s="648"/>
      <c r="R87" s="648"/>
      <c r="S87" s="648"/>
      <c r="T87" s="648"/>
      <c r="U87" s="648"/>
      <c r="V87" s="648"/>
      <c r="W87" s="648"/>
      <c r="X87" s="648"/>
      <c r="Y87" s="648"/>
      <c r="Z87" s="648"/>
      <c r="AA87" s="648"/>
      <c r="AB87" s="648"/>
      <c r="AC87" s="648"/>
      <c r="AD87" s="648"/>
      <c r="AE87" s="648"/>
      <c r="AF87" s="648"/>
      <c r="AG87" s="648"/>
      <c r="AH87" s="648"/>
      <c r="AI87" s="648"/>
      <c r="AJ87" s="648"/>
      <c r="AK87" s="648"/>
      <c r="AL87" s="648"/>
      <c r="AM87" s="648"/>
      <c r="AN87" s="648"/>
      <c r="AO87" s="648"/>
      <c r="AP87" s="648"/>
      <c r="AQ87" s="648"/>
      <c r="AR87" s="648"/>
      <c r="AS87" s="648"/>
      <c r="AT87" s="648"/>
      <c r="AU87" s="648"/>
    </row>
    <row r="88" spans="1:47">
      <c r="A88" s="648"/>
      <c r="B88" s="648"/>
      <c r="C88" s="648"/>
      <c r="D88" s="648"/>
      <c r="E88" s="648"/>
      <c r="F88" s="648"/>
      <c r="G88" s="648"/>
      <c r="H88" s="648"/>
      <c r="I88" s="648"/>
      <c r="J88" s="648"/>
      <c r="K88" s="648"/>
      <c r="L88" s="648"/>
      <c r="M88" s="648"/>
      <c r="N88" s="648"/>
      <c r="O88" s="648"/>
      <c r="P88" s="648"/>
      <c r="Q88" s="648"/>
      <c r="R88" s="648"/>
      <c r="S88" s="648"/>
      <c r="T88" s="648"/>
      <c r="U88" s="648"/>
      <c r="V88" s="648"/>
      <c r="W88" s="648"/>
      <c r="X88" s="648"/>
      <c r="Y88" s="648"/>
      <c r="Z88" s="648"/>
      <c r="AA88" s="648"/>
      <c r="AB88" s="648"/>
      <c r="AC88" s="648"/>
      <c r="AD88" s="648"/>
      <c r="AE88" s="648"/>
      <c r="AF88" s="648"/>
      <c r="AG88" s="648"/>
      <c r="AH88" s="648"/>
      <c r="AI88" s="648"/>
      <c r="AJ88" s="648"/>
      <c r="AK88" s="648"/>
      <c r="AL88" s="648"/>
      <c r="AM88" s="648"/>
      <c r="AN88" s="648"/>
      <c r="AO88" s="648"/>
      <c r="AP88" s="648"/>
      <c r="AQ88" s="648"/>
      <c r="AR88" s="648"/>
      <c r="AS88" s="648"/>
      <c r="AT88" s="648"/>
      <c r="AU88" s="648"/>
    </row>
    <row r="89" spans="1:47">
      <c r="A89" s="648"/>
      <c r="B89" s="648"/>
      <c r="C89" s="648"/>
      <c r="D89" s="648"/>
      <c r="E89" s="648"/>
      <c r="F89" s="648"/>
      <c r="G89" s="648"/>
      <c r="H89" s="648"/>
      <c r="I89" s="648"/>
      <c r="J89" s="648"/>
      <c r="K89" s="648"/>
      <c r="L89" s="648"/>
      <c r="M89" s="648"/>
      <c r="N89" s="648"/>
      <c r="O89" s="648"/>
      <c r="P89" s="648"/>
      <c r="Q89" s="648"/>
      <c r="R89" s="648"/>
      <c r="S89" s="648"/>
      <c r="T89" s="648"/>
      <c r="U89" s="648"/>
      <c r="V89" s="648"/>
      <c r="W89" s="648"/>
      <c r="X89" s="648"/>
      <c r="Y89" s="648"/>
      <c r="Z89" s="648"/>
      <c r="AA89" s="648"/>
      <c r="AB89" s="648"/>
      <c r="AC89" s="648"/>
      <c r="AD89" s="648"/>
      <c r="AE89" s="648"/>
      <c r="AF89" s="648"/>
      <c r="AG89" s="648"/>
      <c r="AH89" s="648"/>
      <c r="AI89" s="648"/>
      <c r="AJ89" s="648"/>
      <c r="AK89" s="648"/>
      <c r="AL89" s="648"/>
      <c r="AM89" s="648"/>
      <c r="AN89" s="648"/>
      <c r="AO89" s="648"/>
      <c r="AP89" s="648"/>
      <c r="AQ89" s="648"/>
      <c r="AR89" s="648"/>
      <c r="AS89" s="648"/>
      <c r="AT89" s="648"/>
      <c r="AU89" s="648"/>
    </row>
    <row r="90" spans="1:47">
      <c r="A90" s="648"/>
      <c r="B90" s="648"/>
      <c r="C90" s="648"/>
      <c r="D90" s="648"/>
      <c r="E90" s="648"/>
      <c r="F90" s="648"/>
      <c r="G90" s="648"/>
      <c r="H90" s="648"/>
      <c r="I90" s="648"/>
      <c r="J90" s="648"/>
      <c r="K90" s="648"/>
      <c r="L90" s="648"/>
      <c r="M90" s="648"/>
      <c r="N90" s="648"/>
      <c r="O90" s="648"/>
      <c r="P90" s="648"/>
      <c r="Q90" s="648"/>
      <c r="R90" s="648"/>
      <c r="S90" s="648"/>
      <c r="T90" s="648"/>
      <c r="U90" s="648"/>
      <c r="V90" s="648"/>
      <c r="W90" s="648"/>
      <c r="X90" s="648"/>
      <c r="Y90" s="648"/>
      <c r="Z90" s="648"/>
      <c r="AA90" s="648"/>
      <c r="AB90" s="648"/>
      <c r="AC90" s="648"/>
      <c r="AD90" s="648"/>
      <c r="AE90" s="648"/>
      <c r="AF90" s="648"/>
      <c r="AG90" s="648"/>
      <c r="AH90" s="648"/>
      <c r="AI90" s="648"/>
      <c r="AJ90" s="648"/>
      <c r="AK90" s="648"/>
      <c r="AL90" s="648"/>
      <c r="AM90" s="648"/>
      <c r="AN90" s="648"/>
      <c r="AO90" s="648"/>
      <c r="AP90" s="648"/>
      <c r="AQ90" s="648"/>
      <c r="AR90" s="648"/>
      <c r="AS90" s="648"/>
      <c r="AT90" s="648"/>
      <c r="AU90" s="648"/>
    </row>
    <row r="91" spans="1:47">
      <c r="A91" s="648"/>
      <c r="B91" s="648"/>
      <c r="C91" s="648"/>
      <c r="D91" s="648"/>
      <c r="E91" s="648"/>
      <c r="F91" s="648"/>
      <c r="G91" s="648"/>
      <c r="H91" s="648"/>
      <c r="I91" s="648"/>
      <c r="J91" s="648"/>
      <c r="K91" s="648"/>
      <c r="L91" s="648"/>
      <c r="M91" s="648"/>
      <c r="N91" s="648"/>
      <c r="O91" s="648"/>
      <c r="P91" s="648"/>
      <c r="Q91" s="648"/>
      <c r="R91" s="648"/>
      <c r="S91" s="648"/>
      <c r="T91" s="648"/>
      <c r="U91" s="648"/>
      <c r="V91" s="648"/>
      <c r="W91" s="648"/>
      <c r="X91" s="648"/>
      <c r="Y91" s="648"/>
      <c r="Z91" s="648"/>
      <c r="AA91" s="648"/>
      <c r="AB91" s="648"/>
      <c r="AC91" s="648"/>
      <c r="AD91" s="648"/>
      <c r="AE91" s="648"/>
      <c r="AF91" s="648"/>
      <c r="AG91" s="648"/>
      <c r="AH91" s="648"/>
      <c r="AI91" s="648"/>
      <c r="AJ91" s="648"/>
      <c r="AK91" s="648"/>
      <c r="AL91" s="648"/>
      <c r="AM91" s="648"/>
      <c r="AN91" s="648"/>
      <c r="AO91" s="648"/>
      <c r="AP91" s="648"/>
      <c r="AQ91" s="648"/>
      <c r="AR91" s="648"/>
      <c r="AS91" s="648"/>
      <c r="AT91" s="648"/>
      <c r="AU91" s="648"/>
    </row>
    <row r="92" spans="1:47">
      <c r="A92" s="648"/>
      <c r="B92" s="648"/>
      <c r="C92" s="648"/>
      <c r="D92" s="648"/>
      <c r="E92" s="648"/>
      <c r="F92" s="648"/>
      <c r="G92" s="648"/>
      <c r="H92" s="648"/>
      <c r="I92" s="648"/>
      <c r="J92" s="648"/>
      <c r="K92" s="648"/>
      <c r="L92" s="648"/>
      <c r="M92" s="648"/>
      <c r="N92" s="648"/>
      <c r="O92" s="648"/>
      <c r="P92" s="648"/>
      <c r="Q92" s="648"/>
      <c r="R92" s="648"/>
      <c r="S92" s="648"/>
      <c r="T92" s="648"/>
      <c r="U92" s="648"/>
      <c r="V92" s="648"/>
      <c r="W92" s="648"/>
      <c r="X92" s="648"/>
      <c r="Y92" s="648"/>
      <c r="Z92" s="648"/>
      <c r="AA92" s="648"/>
      <c r="AB92" s="648"/>
      <c r="AC92" s="648"/>
      <c r="AD92" s="648"/>
      <c r="AE92" s="648"/>
      <c r="AF92" s="648"/>
      <c r="AG92" s="648"/>
      <c r="AH92" s="648"/>
      <c r="AI92" s="648"/>
      <c r="AJ92" s="648"/>
      <c r="AK92" s="648"/>
      <c r="AL92" s="648"/>
      <c r="AM92" s="648"/>
      <c r="AN92" s="648"/>
      <c r="AO92" s="648"/>
      <c r="AP92" s="648"/>
      <c r="AQ92" s="648"/>
      <c r="AR92" s="648"/>
      <c r="AS92" s="648"/>
      <c r="AT92" s="648"/>
      <c r="AU92" s="648"/>
    </row>
    <row r="93" spans="1:47">
      <c r="A93" s="648"/>
      <c r="B93" s="648"/>
      <c r="C93" s="648"/>
      <c r="D93" s="648"/>
      <c r="E93" s="648"/>
      <c r="F93" s="648"/>
      <c r="G93" s="648"/>
      <c r="H93" s="648"/>
      <c r="I93" s="648"/>
      <c r="J93" s="648"/>
      <c r="K93" s="648"/>
      <c r="L93" s="648"/>
      <c r="M93" s="648"/>
      <c r="N93" s="648"/>
      <c r="O93" s="648"/>
      <c r="P93" s="648"/>
      <c r="Q93" s="648"/>
      <c r="R93" s="648"/>
      <c r="S93" s="648"/>
      <c r="T93" s="648"/>
      <c r="U93" s="648"/>
      <c r="V93" s="648"/>
      <c r="W93" s="648"/>
      <c r="X93" s="648"/>
      <c r="Y93" s="648"/>
      <c r="Z93" s="648"/>
      <c r="AA93" s="648"/>
      <c r="AB93" s="648"/>
      <c r="AC93" s="648"/>
      <c r="AD93" s="648"/>
      <c r="AE93" s="648"/>
      <c r="AF93" s="648"/>
      <c r="AG93" s="648"/>
      <c r="AH93" s="648"/>
      <c r="AI93" s="648"/>
      <c r="AJ93" s="648"/>
      <c r="AK93" s="648"/>
      <c r="AL93" s="648"/>
      <c r="AM93" s="648"/>
      <c r="AN93" s="648"/>
      <c r="AO93" s="648"/>
      <c r="AP93" s="648"/>
      <c r="AQ93" s="648"/>
      <c r="AR93" s="648"/>
      <c r="AS93" s="648"/>
      <c r="AT93" s="648"/>
      <c r="AU93" s="648"/>
    </row>
    <row r="94" spans="1:47">
      <c r="A94" s="648"/>
      <c r="B94" s="648"/>
      <c r="C94" s="648"/>
      <c r="D94" s="648"/>
      <c r="E94" s="648"/>
      <c r="F94" s="648"/>
      <c r="G94" s="648"/>
      <c r="H94" s="648"/>
      <c r="I94" s="648"/>
      <c r="J94" s="648"/>
      <c r="K94" s="648"/>
      <c r="L94" s="648"/>
      <c r="M94" s="648"/>
      <c r="N94" s="648"/>
      <c r="O94" s="648"/>
      <c r="P94" s="648"/>
      <c r="Q94" s="648"/>
      <c r="R94" s="648"/>
      <c r="S94" s="648"/>
      <c r="T94" s="648"/>
      <c r="U94" s="648"/>
      <c r="V94" s="648"/>
      <c r="W94" s="648"/>
      <c r="X94" s="648"/>
      <c r="Y94" s="648"/>
      <c r="Z94" s="648"/>
      <c r="AA94" s="648"/>
      <c r="AB94" s="648"/>
      <c r="AC94" s="648"/>
      <c r="AD94" s="648"/>
      <c r="AE94" s="648"/>
      <c r="AF94" s="648"/>
      <c r="AG94" s="648"/>
      <c r="AH94" s="648"/>
      <c r="AI94" s="648"/>
      <c r="AJ94" s="648"/>
      <c r="AK94" s="648"/>
      <c r="AL94" s="648"/>
      <c r="AM94" s="648"/>
      <c r="AN94" s="648"/>
      <c r="AO94" s="648"/>
      <c r="AP94" s="648"/>
      <c r="AQ94" s="648"/>
      <c r="AR94" s="648"/>
      <c r="AS94" s="648"/>
      <c r="AT94" s="648"/>
      <c r="AU94" s="648"/>
    </row>
    <row r="95" spans="1:47">
      <c r="A95" s="648"/>
      <c r="B95" s="648"/>
      <c r="C95" s="648"/>
      <c r="D95" s="648"/>
      <c r="E95" s="648"/>
      <c r="F95" s="648"/>
      <c r="G95" s="648"/>
      <c r="H95" s="648"/>
      <c r="I95" s="648"/>
      <c r="J95" s="648"/>
      <c r="K95" s="648"/>
      <c r="L95" s="648"/>
      <c r="M95" s="648"/>
      <c r="N95" s="648"/>
      <c r="O95" s="648"/>
      <c r="P95" s="648"/>
      <c r="Q95" s="648"/>
      <c r="R95" s="648"/>
      <c r="S95" s="648"/>
      <c r="T95" s="648"/>
      <c r="U95" s="648"/>
      <c r="V95" s="648"/>
      <c r="W95" s="648"/>
      <c r="X95" s="648"/>
      <c r="Y95" s="648"/>
      <c r="Z95" s="648"/>
      <c r="AA95" s="648"/>
      <c r="AB95" s="648"/>
      <c r="AC95" s="648"/>
      <c r="AD95" s="648"/>
      <c r="AE95" s="648"/>
      <c r="AF95" s="648"/>
      <c r="AG95" s="648"/>
      <c r="AH95" s="648"/>
      <c r="AI95" s="648"/>
      <c r="AJ95" s="648"/>
      <c r="AK95" s="648"/>
      <c r="AL95" s="648"/>
      <c r="AM95" s="648"/>
      <c r="AN95" s="648"/>
      <c r="AO95" s="648"/>
      <c r="AP95" s="648"/>
      <c r="AQ95" s="648"/>
      <c r="AR95" s="648"/>
      <c r="AS95" s="648"/>
      <c r="AT95" s="648"/>
      <c r="AU95" s="648"/>
    </row>
    <row r="96" spans="1:47">
      <c r="A96" s="648"/>
      <c r="B96" s="648"/>
      <c r="C96" s="648"/>
      <c r="D96" s="648"/>
      <c r="E96" s="648"/>
      <c r="F96" s="648"/>
      <c r="G96" s="648"/>
      <c r="H96" s="648"/>
      <c r="I96" s="648"/>
      <c r="J96" s="648"/>
      <c r="K96" s="648"/>
      <c r="L96" s="648"/>
      <c r="M96" s="648"/>
      <c r="N96" s="648"/>
      <c r="O96" s="648"/>
      <c r="P96" s="648"/>
      <c r="Q96" s="648"/>
      <c r="R96" s="648"/>
      <c r="S96" s="648"/>
      <c r="T96" s="648"/>
      <c r="U96" s="648"/>
      <c r="V96" s="648"/>
      <c r="W96" s="648"/>
      <c r="X96" s="648"/>
      <c r="Y96" s="648"/>
      <c r="Z96" s="648"/>
      <c r="AA96" s="648"/>
      <c r="AB96" s="648"/>
      <c r="AC96" s="648"/>
      <c r="AD96" s="648"/>
      <c r="AE96" s="648"/>
      <c r="AF96" s="648"/>
      <c r="AG96" s="648"/>
      <c r="AH96" s="648"/>
      <c r="AI96" s="648"/>
      <c r="AJ96" s="648"/>
      <c r="AK96" s="648"/>
      <c r="AL96" s="648"/>
      <c r="AM96" s="648"/>
      <c r="AN96" s="648"/>
      <c r="AO96" s="648"/>
      <c r="AP96" s="648"/>
      <c r="AQ96" s="648"/>
      <c r="AR96" s="648"/>
      <c r="AS96" s="648"/>
      <c r="AT96" s="648"/>
      <c r="AU96" s="648"/>
    </row>
    <row r="97" spans="1:47">
      <c r="A97" s="648"/>
      <c r="B97" s="648"/>
      <c r="C97" s="648"/>
      <c r="D97" s="648"/>
      <c r="E97" s="648"/>
      <c r="F97" s="648"/>
      <c r="G97" s="648"/>
      <c r="H97" s="648"/>
      <c r="I97" s="648"/>
      <c r="J97" s="648"/>
      <c r="K97" s="648"/>
      <c r="L97" s="648"/>
      <c r="M97" s="648"/>
      <c r="N97" s="648"/>
      <c r="O97" s="648"/>
      <c r="P97" s="648"/>
      <c r="Q97" s="648"/>
      <c r="R97" s="648"/>
      <c r="S97" s="648"/>
      <c r="T97" s="648"/>
      <c r="U97" s="648"/>
      <c r="V97" s="648"/>
      <c r="W97" s="648"/>
      <c r="X97" s="648"/>
      <c r="Y97" s="648"/>
      <c r="Z97" s="648"/>
      <c r="AA97" s="648"/>
      <c r="AB97" s="648"/>
      <c r="AC97" s="648"/>
      <c r="AD97" s="648"/>
      <c r="AE97" s="648"/>
      <c r="AF97" s="648"/>
      <c r="AG97" s="648"/>
      <c r="AH97" s="648"/>
      <c r="AI97" s="648"/>
      <c r="AJ97" s="648"/>
      <c r="AK97" s="648"/>
      <c r="AL97" s="648"/>
      <c r="AM97" s="648"/>
      <c r="AN97" s="648"/>
      <c r="AO97" s="648"/>
      <c r="AP97" s="648"/>
      <c r="AQ97" s="648"/>
      <c r="AR97" s="648"/>
      <c r="AS97" s="648"/>
      <c r="AT97" s="648"/>
      <c r="AU97" s="648"/>
    </row>
    <row r="98" spans="1:47">
      <c r="A98" s="648"/>
      <c r="B98" s="648"/>
      <c r="C98" s="648"/>
      <c r="D98" s="648"/>
      <c r="E98" s="648"/>
      <c r="F98" s="648"/>
      <c r="G98" s="648"/>
      <c r="H98" s="648"/>
      <c r="I98" s="648"/>
      <c r="J98" s="648"/>
      <c r="K98" s="648"/>
      <c r="L98" s="648"/>
      <c r="M98" s="648"/>
      <c r="N98" s="648"/>
      <c r="O98" s="648"/>
      <c r="P98" s="648"/>
      <c r="Q98" s="648"/>
      <c r="R98" s="648"/>
      <c r="S98" s="648"/>
      <c r="T98" s="648"/>
      <c r="U98" s="648"/>
      <c r="V98" s="648"/>
      <c r="W98" s="648"/>
      <c r="X98" s="648"/>
      <c r="Y98" s="648"/>
      <c r="Z98" s="648"/>
      <c r="AA98" s="648"/>
      <c r="AB98" s="648"/>
      <c r="AC98" s="648"/>
      <c r="AD98" s="648"/>
      <c r="AE98" s="648"/>
      <c r="AF98" s="648"/>
      <c r="AG98" s="648"/>
      <c r="AH98" s="648"/>
      <c r="AI98" s="648"/>
      <c r="AJ98" s="648"/>
      <c r="AK98" s="648"/>
      <c r="AL98" s="648"/>
      <c r="AM98" s="648"/>
      <c r="AN98" s="648"/>
      <c r="AO98" s="648"/>
      <c r="AP98" s="648"/>
      <c r="AQ98" s="648"/>
      <c r="AR98" s="648"/>
      <c r="AS98" s="648"/>
      <c r="AT98" s="648"/>
      <c r="AU98" s="648"/>
    </row>
    <row r="99" spans="1:47">
      <c r="A99" s="648"/>
      <c r="B99" s="648"/>
      <c r="C99" s="648"/>
      <c r="D99" s="648"/>
      <c r="E99" s="648"/>
      <c r="F99" s="648"/>
      <c r="G99" s="648"/>
      <c r="H99" s="648"/>
      <c r="I99" s="648"/>
      <c r="J99" s="648"/>
      <c r="K99" s="648"/>
      <c r="L99" s="648"/>
      <c r="M99" s="648"/>
      <c r="N99" s="648"/>
      <c r="O99" s="648"/>
      <c r="P99" s="648"/>
      <c r="Q99" s="648"/>
      <c r="R99" s="648"/>
      <c r="S99" s="648"/>
      <c r="T99" s="648"/>
      <c r="U99" s="648"/>
      <c r="V99" s="648"/>
      <c r="W99" s="648"/>
      <c r="X99" s="648"/>
      <c r="Y99" s="648"/>
      <c r="Z99" s="648"/>
      <c r="AA99" s="648"/>
      <c r="AB99" s="648"/>
      <c r="AC99" s="648"/>
      <c r="AD99" s="648"/>
      <c r="AE99" s="648"/>
      <c r="AF99" s="648"/>
      <c r="AG99" s="648"/>
      <c r="AH99" s="648"/>
      <c r="AI99" s="648"/>
      <c r="AJ99" s="648"/>
      <c r="AK99" s="648"/>
      <c r="AL99" s="648"/>
      <c r="AM99" s="648"/>
      <c r="AN99" s="648"/>
      <c r="AO99" s="648"/>
      <c r="AP99" s="648"/>
      <c r="AQ99" s="648"/>
      <c r="AR99" s="648"/>
      <c r="AS99" s="648"/>
      <c r="AT99" s="648"/>
      <c r="AU99" s="648"/>
    </row>
    <row r="100" spans="1:47">
      <c r="A100" s="648"/>
      <c r="B100" s="648"/>
      <c r="C100" s="648"/>
      <c r="D100" s="648"/>
      <c r="E100" s="648"/>
      <c r="F100" s="648"/>
      <c r="G100" s="648"/>
      <c r="H100" s="648"/>
      <c r="I100" s="648"/>
      <c r="J100" s="648"/>
      <c r="K100" s="648"/>
      <c r="L100" s="648"/>
      <c r="M100" s="648"/>
      <c r="N100" s="648"/>
      <c r="O100" s="648"/>
      <c r="P100" s="648"/>
      <c r="Q100" s="648"/>
      <c r="R100" s="648"/>
      <c r="S100" s="648"/>
      <c r="T100" s="648"/>
      <c r="U100" s="648"/>
      <c r="V100" s="648"/>
      <c r="W100" s="648"/>
      <c r="X100" s="648"/>
      <c r="Y100" s="648"/>
      <c r="Z100" s="648"/>
      <c r="AA100" s="648"/>
      <c r="AB100" s="648"/>
      <c r="AC100" s="648"/>
      <c r="AD100" s="648"/>
      <c r="AE100" s="648"/>
      <c r="AF100" s="648"/>
      <c r="AG100" s="648"/>
      <c r="AH100" s="648"/>
      <c r="AI100" s="648"/>
      <c r="AJ100" s="648"/>
      <c r="AK100" s="648"/>
      <c r="AL100" s="648"/>
      <c r="AM100" s="648"/>
      <c r="AN100" s="648"/>
      <c r="AO100" s="648"/>
      <c r="AP100" s="648"/>
      <c r="AQ100" s="648"/>
      <c r="AR100" s="648"/>
      <c r="AS100" s="648"/>
      <c r="AT100" s="648"/>
      <c r="AU100" s="648"/>
    </row>
    <row r="101" spans="1:47">
      <c r="A101" s="648"/>
      <c r="B101" s="648"/>
      <c r="C101" s="648"/>
      <c r="D101" s="648"/>
      <c r="E101" s="648"/>
      <c r="F101" s="648"/>
      <c r="G101" s="648"/>
      <c r="H101" s="648"/>
      <c r="I101" s="648"/>
      <c r="J101" s="648"/>
      <c r="K101" s="648"/>
      <c r="L101" s="648"/>
      <c r="M101" s="648"/>
      <c r="N101" s="648"/>
      <c r="O101" s="648"/>
      <c r="P101" s="648"/>
      <c r="Q101" s="648"/>
      <c r="R101" s="648"/>
      <c r="S101" s="648"/>
      <c r="T101" s="648"/>
      <c r="U101" s="648"/>
      <c r="V101" s="648"/>
      <c r="W101" s="648"/>
      <c r="X101" s="648"/>
      <c r="Y101" s="648"/>
      <c r="Z101" s="648"/>
      <c r="AA101" s="648"/>
      <c r="AB101" s="648"/>
      <c r="AC101" s="648"/>
      <c r="AD101" s="648"/>
      <c r="AE101" s="648"/>
      <c r="AF101" s="648"/>
      <c r="AG101" s="648"/>
      <c r="AH101" s="648"/>
      <c r="AI101" s="648"/>
      <c r="AJ101" s="648"/>
      <c r="AK101" s="648"/>
      <c r="AL101" s="648"/>
      <c r="AM101" s="648"/>
      <c r="AN101" s="648"/>
      <c r="AO101" s="648"/>
      <c r="AP101" s="648"/>
      <c r="AQ101" s="648"/>
      <c r="AR101" s="648"/>
      <c r="AS101" s="648"/>
      <c r="AT101" s="648"/>
      <c r="AU101" s="648"/>
    </row>
    <row r="102" spans="1:47">
      <c r="A102" s="648"/>
      <c r="B102" s="648"/>
      <c r="C102" s="648"/>
      <c r="D102" s="648"/>
      <c r="E102" s="648"/>
      <c r="F102" s="648"/>
      <c r="G102" s="648"/>
      <c r="H102" s="648"/>
      <c r="I102" s="648"/>
      <c r="J102" s="648"/>
      <c r="K102" s="648"/>
      <c r="L102" s="648"/>
      <c r="M102" s="648"/>
      <c r="N102" s="648"/>
      <c r="O102" s="648"/>
      <c r="P102" s="648"/>
      <c r="Q102" s="648"/>
      <c r="R102" s="648"/>
      <c r="S102" s="648"/>
      <c r="T102" s="648"/>
      <c r="U102" s="648"/>
      <c r="V102" s="648"/>
      <c r="W102" s="648"/>
      <c r="X102" s="648"/>
      <c r="Y102" s="648"/>
      <c r="Z102" s="648"/>
      <c r="AA102" s="648"/>
      <c r="AB102" s="648"/>
      <c r="AC102" s="648"/>
      <c r="AD102" s="648"/>
      <c r="AE102" s="648"/>
      <c r="AF102" s="648"/>
      <c r="AG102" s="648"/>
      <c r="AH102" s="648"/>
      <c r="AI102" s="648"/>
      <c r="AJ102" s="648"/>
      <c r="AK102" s="648"/>
      <c r="AL102" s="648"/>
      <c r="AM102" s="648"/>
      <c r="AN102" s="648"/>
      <c r="AO102" s="648"/>
      <c r="AP102" s="648"/>
      <c r="AQ102" s="648"/>
      <c r="AR102" s="648"/>
      <c r="AS102" s="648"/>
      <c r="AT102" s="648"/>
      <c r="AU102" s="648"/>
    </row>
    <row r="103" spans="1:47">
      <c r="A103" s="648"/>
      <c r="B103" s="648"/>
      <c r="C103" s="648"/>
      <c r="D103" s="648"/>
      <c r="E103" s="648"/>
      <c r="F103" s="648"/>
      <c r="G103" s="648"/>
      <c r="H103" s="648"/>
      <c r="I103" s="648"/>
      <c r="J103" s="648"/>
      <c r="K103" s="648"/>
      <c r="L103" s="648"/>
      <c r="M103" s="648"/>
      <c r="N103" s="648"/>
      <c r="O103" s="648"/>
      <c r="P103" s="648"/>
      <c r="Q103" s="648"/>
      <c r="R103" s="648"/>
      <c r="S103" s="648"/>
      <c r="T103" s="648"/>
      <c r="U103" s="648"/>
      <c r="V103" s="648"/>
      <c r="W103" s="648"/>
      <c r="X103" s="648"/>
      <c r="Y103" s="648"/>
      <c r="Z103" s="648"/>
      <c r="AA103" s="648"/>
      <c r="AB103" s="648"/>
      <c r="AC103" s="648"/>
      <c r="AD103" s="648"/>
      <c r="AE103" s="648"/>
      <c r="AF103" s="648"/>
      <c r="AG103" s="648"/>
      <c r="AH103" s="648"/>
      <c r="AI103" s="648"/>
      <c r="AJ103" s="648"/>
      <c r="AK103" s="648"/>
      <c r="AL103" s="648"/>
      <c r="AM103" s="648"/>
      <c r="AN103" s="648"/>
      <c r="AO103" s="648"/>
      <c r="AP103" s="648"/>
      <c r="AQ103" s="648"/>
      <c r="AR103" s="648"/>
      <c r="AS103" s="648"/>
      <c r="AT103" s="648"/>
      <c r="AU103" s="648"/>
    </row>
    <row r="104" spans="1:47">
      <c r="A104" s="648"/>
      <c r="B104" s="648"/>
      <c r="C104" s="648"/>
      <c r="D104" s="648"/>
      <c r="E104" s="648"/>
      <c r="F104" s="648"/>
      <c r="G104" s="648"/>
      <c r="H104" s="648"/>
      <c r="I104" s="648"/>
      <c r="J104" s="648"/>
      <c r="K104" s="648"/>
      <c r="L104" s="648"/>
      <c r="M104" s="648"/>
      <c r="N104" s="648"/>
      <c r="O104" s="648"/>
      <c r="P104" s="648"/>
      <c r="Q104" s="648"/>
      <c r="R104" s="648"/>
      <c r="S104" s="648"/>
      <c r="T104" s="648"/>
      <c r="U104" s="648"/>
      <c r="V104" s="648"/>
      <c r="W104" s="648"/>
      <c r="X104" s="648"/>
      <c r="Y104" s="648"/>
      <c r="Z104" s="648"/>
      <c r="AA104" s="648"/>
      <c r="AB104" s="648"/>
      <c r="AC104" s="648"/>
      <c r="AD104" s="648"/>
      <c r="AE104" s="648"/>
      <c r="AF104" s="648"/>
      <c r="AG104" s="648"/>
      <c r="AH104" s="648"/>
      <c r="AI104" s="648"/>
      <c r="AJ104" s="648"/>
      <c r="AK104" s="648"/>
      <c r="AL104" s="648"/>
      <c r="AM104" s="648"/>
      <c r="AN104" s="648"/>
      <c r="AO104" s="648"/>
      <c r="AP104" s="648"/>
      <c r="AQ104" s="648"/>
      <c r="AR104" s="648"/>
      <c r="AS104" s="648"/>
      <c r="AT104" s="648"/>
      <c r="AU104" s="648"/>
    </row>
    <row r="105" spans="1:47">
      <c r="A105" s="648"/>
      <c r="B105" s="648"/>
      <c r="C105" s="648"/>
      <c r="D105" s="648"/>
      <c r="E105" s="648"/>
      <c r="F105" s="648"/>
      <c r="G105" s="648"/>
      <c r="H105" s="648"/>
      <c r="I105" s="648"/>
      <c r="J105" s="648"/>
      <c r="K105" s="648"/>
      <c r="L105" s="648"/>
      <c r="M105" s="648"/>
      <c r="N105" s="648"/>
      <c r="O105" s="648"/>
      <c r="P105" s="648"/>
      <c r="Q105" s="648"/>
      <c r="R105" s="648"/>
      <c r="S105" s="648"/>
      <c r="T105" s="648"/>
      <c r="U105" s="648"/>
      <c r="V105" s="648"/>
      <c r="W105" s="648"/>
      <c r="X105" s="648"/>
      <c r="Y105" s="648"/>
      <c r="Z105" s="648"/>
      <c r="AA105" s="648"/>
      <c r="AB105" s="648"/>
      <c r="AC105" s="648"/>
      <c r="AD105" s="648"/>
      <c r="AE105" s="648"/>
      <c r="AF105" s="648"/>
      <c r="AG105" s="648"/>
      <c r="AH105" s="648"/>
      <c r="AI105" s="648"/>
      <c r="AJ105" s="648"/>
      <c r="AK105" s="648"/>
      <c r="AL105" s="648"/>
      <c r="AM105" s="648"/>
      <c r="AN105" s="648"/>
      <c r="AO105" s="648"/>
      <c r="AP105" s="648"/>
      <c r="AQ105" s="648"/>
      <c r="AR105" s="648"/>
      <c r="AS105" s="648"/>
      <c r="AT105" s="648"/>
      <c r="AU105" s="648"/>
    </row>
    <row r="106" spans="1:47">
      <c r="A106" s="648"/>
      <c r="B106" s="648"/>
      <c r="C106" s="648"/>
      <c r="D106" s="648"/>
      <c r="E106" s="648"/>
      <c r="F106" s="648"/>
      <c r="G106" s="648"/>
      <c r="H106" s="648"/>
      <c r="I106" s="648"/>
      <c r="J106" s="648"/>
      <c r="K106" s="648"/>
      <c r="L106" s="648"/>
      <c r="M106" s="648"/>
      <c r="N106" s="648"/>
      <c r="O106" s="648"/>
      <c r="P106" s="648"/>
      <c r="Q106" s="648"/>
      <c r="R106" s="648"/>
      <c r="S106" s="648"/>
      <c r="T106" s="648"/>
      <c r="U106" s="648"/>
      <c r="V106" s="648"/>
      <c r="W106" s="648"/>
      <c r="X106" s="648"/>
      <c r="Y106" s="648"/>
      <c r="Z106" s="648"/>
      <c r="AA106" s="648"/>
      <c r="AB106" s="648"/>
      <c r="AC106" s="648"/>
      <c r="AD106" s="648"/>
      <c r="AE106" s="648"/>
      <c r="AF106" s="648"/>
      <c r="AG106" s="648"/>
      <c r="AH106" s="648"/>
      <c r="AI106" s="648"/>
      <c r="AJ106" s="648"/>
      <c r="AK106" s="648"/>
      <c r="AL106" s="648"/>
      <c r="AM106" s="648"/>
      <c r="AN106" s="648"/>
      <c r="AO106" s="648"/>
      <c r="AP106" s="648"/>
      <c r="AQ106" s="648"/>
      <c r="AR106" s="648"/>
      <c r="AS106" s="648"/>
      <c r="AT106" s="648"/>
      <c r="AU106" s="648"/>
    </row>
    <row r="107" spans="1:47">
      <c r="A107" s="648"/>
      <c r="B107" s="648"/>
      <c r="C107" s="648"/>
      <c r="D107" s="648"/>
      <c r="E107" s="648"/>
      <c r="F107" s="648"/>
      <c r="G107" s="648"/>
      <c r="H107" s="648"/>
      <c r="I107" s="648"/>
      <c r="J107" s="648"/>
      <c r="K107" s="648"/>
      <c r="L107" s="648"/>
      <c r="M107" s="648"/>
      <c r="N107" s="648"/>
      <c r="O107" s="648"/>
      <c r="P107" s="648"/>
      <c r="Q107" s="648"/>
      <c r="R107" s="648"/>
      <c r="S107" s="648"/>
      <c r="T107" s="648"/>
      <c r="U107" s="648"/>
      <c r="V107" s="648"/>
      <c r="W107" s="648"/>
      <c r="X107" s="648"/>
      <c r="Y107" s="648"/>
      <c r="Z107" s="648"/>
      <c r="AA107" s="648"/>
      <c r="AB107" s="648"/>
      <c r="AC107" s="648"/>
      <c r="AD107" s="648"/>
      <c r="AE107" s="648"/>
      <c r="AF107" s="648"/>
      <c r="AG107" s="648"/>
      <c r="AH107" s="648"/>
      <c r="AI107" s="648"/>
      <c r="AJ107" s="648"/>
      <c r="AK107" s="648"/>
      <c r="AL107" s="648"/>
      <c r="AM107" s="648"/>
      <c r="AN107" s="648"/>
      <c r="AO107" s="648"/>
      <c r="AP107" s="648"/>
      <c r="AQ107" s="648"/>
      <c r="AR107" s="648"/>
      <c r="AS107" s="648"/>
      <c r="AT107" s="648"/>
      <c r="AU107" s="648"/>
    </row>
    <row r="108" spans="1:47">
      <c r="A108" s="648"/>
      <c r="B108" s="648"/>
      <c r="C108" s="648"/>
      <c r="D108" s="648"/>
      <c r="E108" s="648"/>
      <c r="F108" s="648"/>
      <c r="G108" s="648"/>
      <c r="H108" s="648"/>
      <c r="I108" s="648"/>
      <c r="J108" s="648"/>
      <c r="K108" s="648"/>
      <c r="L108" s="648"/>
      <c r="M108" s="648"/>
      <c r="N108" s="648"/>
      <c r="O108" s="648"/>
      <c r="P108" s="648"/>
      <c r="Q108" s="648"/>
      <c r="R108" s="648"/>
      <c r="S108" s="648"/>
      <c r="T108" s="648"/>
      <c r="U108" s="648"/>
      <c r="V108" s="648"/>
      <c r="W108" s="648"/>
      <c r="X108" s="648"/>
      <c r="Y108" s="648"/>
      <c r="Z108" s="648"/>
      <c r="AA108" s="648"/>
      <c r="AB108" s="648"/>
      <c r="AC108" s="648"/>
      <c r="AD108" s="648"/>
      <c r="AE108" s="648"/>
      <c r="AF108" s="648"/>
      <c r="AG108" s="648"/>
      <c r="AH108" s="648"/>
      <c r="AI108" s="648"/>
      <c r="AJ108" s="648"/>
      <c r="AK108" s="648"/>
      <c r="AL108" s="648"/>
      <c r="AM108" s="648"/>
      <c r="AN108" s="648"/>
      <c r="AO108" s="648"/>
      <c r="AP108" s="648"/>
      <c r="AQ108" s="648"/>
      <c r="AR108" s="648"/>
      <c r="AS108" s="648"/>
      <c r="AT108" s="648"/>
      <c r="AU108" s="648"/>
    </row>
    <row r="109" spans="1:47">
      <c r="A109" s="648"/>
      <c r="B109" s="648"/>
      <c r="C109" s="648"/>
      <c r="D109" s="648"/>
      <c r="E109" s="648"/>
      <c r="F109" s="648"/>
      <c r="G109" s="648"/>
      <c r="H109" s="648"/>
      <c r="I109" s="648"/>
      <c r="J109" s="648"/>
      <c r="K109" s="648"/>
      <c r="L109" s="648"/>
      <c r="M109" s="648"/>
      <c r="N109" s="648"/>
      <c r="O109" s="648"/>
      <c r="P109" s="648"/>
      <c r="Q109" s="648"/>
      <c r="R109" s="648"/>
      <c r="S109" s="648"/>
      <c r="T109" s="648"/>
      <c r="U109" s="648"/>
      <c r="V109" s="648"/>
      <c r="W109" s="648"/>
      <c r="X109" s="648"/>
      <c r="Y109" s="648"/>
      <c r="Z109" s="648"/>
      <c r="AA109" s="648"/>
      <c r="AB109" s="648"/>
      <c r="AC109" s="648"/>
      <c r="AD109" s="648"/>
      <c r="AE109" s="648"/>
      <c r="AF109" s="648"/>
      <c r="AG109" s="648"/>
      <c r="AH109" s="648"/>
      <c r="AI109" s="648"/>
      <c r="AJ109" s="648"/>
      <c r="AK109" s="648"/>
      <c r="AL109" s="648"/>
      <c r="AM109" s="648"/>
      <c r="AN109" s="648"/>
      <c r="AO109" s="648"/>
      <c r="AP109" s="648"/>
      <c r="AQ109" s="648"/>
      <c r="AR109" s="648"/>
      <c r="AS109" s="648"/>
      <c r="AT109" s="648"/>
      <c r="AU109" s="648"/>
    </row>
    <row r="110" spans="1:47">
      <c r="A110" s="648"/>
      <c r="B110" s="648"/>
      <c r="C110" s="648"/>
      <c r="D110" s="648"/>
      <c r="E110" s="648"/>
      <c r="F110" s="648"/>
      <c r="G110" s="648"/>
      <c r="H110" s="648"/>
      <c r="I110" s="648"/>
      <c r="J110" s="648"/>
      <c r="K110" s="648"/>
      <c r="L110" s="648"/>
      <c r="M110" s="648"/>
      <c r="N110" s="648"/>
      <c r="O110" s="648"/>
      <c r="P110" s="648"/>
      <c r="Q110" s="648"/>
      <c r="R110" s="648"/>
      <c r="S110" s="648"/>
      <c r="T110" s="648"/>
      <c r="U110" s="648"/>
      <c r="V110" s="648"/>
      <c r="W110" s="648"/>
      <c r="X110" s="648"/>
      <c r="Y110" s="648"/>
      <c r="Z110" s="648"/>
      <c r="AA110" s="648"/>
      <c r="AB110" s="648"/>
      <c r="AC110" s="648"/>
      <c r="AD110" s="648"/>
      <c r="AE110" s="648"/>
      <c r="AF110" s="648"/>
      <c r="AG110" s="648"/>
      <c r="AH110" s="648"/>
      <c r="AI110" s="648"/>
      <c r="AJ110" s="648"/>
      <c r="AK110" s="648"/>
      <c r="AL110" s="648"/>
      <c r="AM110" s="648"/>
      <c r="AN110" s="648"/>
      <c r="AO110" s="648"/>
      <c r="AP110" s="648"/>
      <c r="AQ110" s="648"/>
      <c r="AR110" s="648"/>
      <c r="AS110" s="648"/>
      <c r="AT110" s="648"/>
      <c r="AU110" s="648"/>
    </row>
    <row r="111" spans="1:47">
      <c r="A111" s="648"/>
      <c r="B111" s="648"/>
      <c r="C111" s="648"/>
      <c r="D111" s="648"/>
      <c r="E111" s="648"/>
      <c r="F111" s="648"/>
      <c r="G111" s="648"/>
      <c r="H111" s="648"/>
      <c r="I111" s="648"/>
      <c r="J111" s="648"/>
      <c r="K111" s="648"/>
      <c r="L111" s="648"/>
      <c r="M111" s="648"/>
      <c r="N111" s="648"/>
      <c r="O111" s="648"/>
      <c r="P111" s="648"/>
      <c r="Q111" s="648"/>
      <c r="R111" s="648"/>
      <c r="S111" s="648"/>
      <c r="T111" s="648"/>
      <c r="U111" s="648"/>
      <c r="V111" s="648"/>
      <c r="W111" s="648"/>
      <c r="X111" s="648"/>
      <c r="Y111" s="648"/>
      <c r="Z111" s="648"/>
      <c r="AA111" s="648"/>
      <c r="AB111" s="648"/>
      <c r="AC111" s="648"/>
      <c r="AD111" s="648"/>
      <c r="AE111" s="648"/>
      <c r="AF111" s="648"/>
      <c r="AG111" s="648"/>
      <c r="AH111" s="648"/>
      <c r="AI111" s="648"/>
      <c r="AJ111" s="648"/>
      <c r="AK111" s="648"/>
      <c r="AL111" s="648"/>
      <c r="AM111" s="648"/>
      <c r="AN111" s="648"/>
      <c r="AO111" s="648"/>
      <c r="AP111" s="648"/>
      <c r="AQ111" s="648"/>
      <c r="AR111" s="648"/>
      <c r="AS111" s="648"/>
      <c r="AT111" s="648"/>
      <c r="AU111" s="648"/>
    </row>
    <row r="112" spans="1:47">
      <c r="A112" s="648"/>
      <c r="B112" s="648"/>
      <c r="C112" s="648"/>
      <c r="D112" s="648"/>
      <c r="E112" s="648"/>
      <c r="F112" s="648"/>
      <c r="G112" s="648"/>
      <c r="H112" s="648"/>
      <c r="I112" s="648"/>
      <c r="J112" s="648"/>
      <c r="K112" s="648"/>
      <c r="L112" s="648"/>
      <c r="M112" s="648"/>
      <c r="N112" s="648"/>
      <c r="O112" s="648"/>
      <c r="P112" s="648"/>
      <c r="Q112" s="648"/>
      <c r="R112" s="648"/>
      <c r="S112" s="648"/>
      <c r="T112" s="648"/>
      <c r="U112" s="648"/>
      <c r="V112" s="648"/>
      <c r="W112" s="648"/>
      <c r="X112" s="648"/>
      <c r="Y112" s="648"/>
      <c r="Z112" s="648"/>
      <c r="AA112" s="648"/>
      <c r="AB112" s="648"/>
      <c r="AC112" s="648"/>
      <c r="AD112" s="648"/>
      <c r="AE112" s="648"/>
      <c r="AF112" s="648"/>
      <c r="AG112" s="648"/>
      <c r="AH112" s="648"/>
      <c r="AI112" s="648"/>
      <c r="AJ112" s="648"/>
      <c r="AK112" s="648"/>
      <c r="AL112" s="648"/>
      <c r="AM112" s="648"/>
      <c r="AN112" s="648"/>
      <c r="AO112" s="648"/>
      <c r="AP112" s="648"/>
      <c r="AQ112" s="648"/>
      <c r="AR112" s="648"/>
      <c r="AS112" s="648"/>
      <c r="AT112" s="648"/>
      <c r="AU112" s="648"/>
    </row>
    <row r="113" spans="1:47">
      <c r="A113" s="648"/>
      <c r="B113" s="648"/>
      <c r="C113" s="648"/>
      <c r="D113" s="648"/>
      <c r="E113" s="648"/>
      <c r="F113" s="648"/>
      <c r="G113" s="648"/>
      <c r="H113" s="648"/>
      <c r="I113" s="648"/>
      <c r="J113" s="648"/>
      <c r="K113" s="648"/>
      <c r="L113" s="648"/>
      <c r="M113" s="648"/>
      <c r="N113" s="648"/>
      <c r="O113" s="648"/>
      <c r="P113" s="648"/>
      <c r="Q113" s="648"/>
      <c r="R113" s="648"/>
      <c r="S113" s="648"/>
      <c r="T113" s="648"/>
      <c r="U113" s="648"/>
      <c r="V113" s="648"/>
      <c r="W113" s="648"/>
      <c r="X113" s="648"/>
      <c r="Y113" s="648"/>
      <c r="Z113" s="648"/>
      <c r="AA113" s="648"/>
      <c r="AB113" s="648"/>
      <c r="AC113" s="648"/>
      <c r="AD113" s="648"/>
      <c r="AE113" s="648"/>
      <c r="AF113" s="648"/>
      <c r="AG113" s="648"/>
      <c r="AH113" s="648"/>
      <c r="AI113" s="648"/>
      <c r="AJ113" s="648"/>
      <c r="AK113" s="648"/>
      <c r="AL113" s="648"/>
      <c r="AM113" s="648"/>
      <c r="AN113" s="648"/>
      <c r="AO113" s="648"/>
      <c r="AP113" s="648"/>
      <c r="AQ113" s="648"/>
      <c r="AR113" s="648"/>
      <c r="AS113" s="648"/>
      <c r="AT113" s="648"/>
      <c r="AU113" s="648"/>
    </row>
    <row r="114" spans="1:47">
      <c r="A114" s="648"/>
      <c r="B114" s="648"/>
      <c r="C114" s="648"/>
      <c r="D114" s="648"/>
      <c r="E114" s="648"/>
      <c r="F114" s="648"/>
      <c r="G114" s="648"/>
      <c r="H114" s="648"/>
      <c r="I114" s="648"/>
      <c r="J114" s="648"/>
      <c r="K114" s="648"/>
      <c r="L114" s="648"/>
      <c r="M114" s="648"/>
      <c r="N114" s="648"/>
      <c r="O114" s="648"/>
      <c r="P114" s="648"/>
      <c r="Q114" s="648"/>
      <c r="R114" s="648"/>
      <c r="S114" s="648"/>
      <c r="T114" s="648"/>
      <c r="U114" s="648"/>
      <c r="V114" s="648"/>
      <c r="W114" s="648"/>
      <c r="X114" s="648"/>
      <c r="Y114" s="648"/>
      <c r="Z114" s="648"/>
      <c r="AA114" s="648"/>
      <c r="AB114" s="648"/>
      <c r="AC114" s="648"/>
      <c r="AD114" s="648"/>
      <c r="AE114" s="648"/>
      <c r="AF114" s="648"/>
      <c r="AG114" s="648"/>
      <c r="AH114" s="648"/>
      <c r="AI114" s="648"/>
      <c r="AJ114" s="648"/>
      <c r="AK114" s="648"/>
      <c r="AL114" s="648"/>
      <c r="AM114" s="648"/>
      <c r="AN114" s="648"/>
      <c r="AO114" s="648"/>
      <c r="AP114" s="648"/>
      <c r="AQ114" s="648"/>
      <c r="AR114" s="648"/>
      <c r="AS114" s="648"/>
      <c r="AT114" s="648"/>
      <c r="AU114" s="648"/>
    </row>
    <row r="115" spans="1:47">
      <c r="A115" s="648"/>
      <c r="B115" s="648"/>
      <c r="C115" s="648"/>
      <c r="D115" s="648"/>
      <c r="E115" s="648"/>
      <c r="F115" s="648"/>
      <c r="G115" s="648"/>
      <c r="H115" s="648"/>
      <c r="I115" s="648"/>
      <c r="J115" s="648"/>
      <c r="K115" s="648"/>
      <c r="L115" s="648"/>
      <c r="M115" s="648"/>
      <c r="N115" s="648"/>
      <c r="O115" s="648"/>
      <c r="P115" s="648"/>
      <c r="Q115" s="648"/>
      <c r="R115" s="648"/>
      <c r="S115" s="648"/>
      <c r="T115" s="648"/>
      <c r="U115" s="648"/>
      <c r="V115" s="648"/>
      <c r="W115" s="648"/>
      <c r="X115" s="648"/>
      <c r="Y115" s="648"/>
      <c r="Z115" s="648"/>
      <c r="AA115" s="648"/>
      <c r="AB115" s="648"/>
      <c r="AC115" s="648"/>
      <c r="AD115" s="648"/>
      <c r="AE115" s="648"/>
      <c r="AF115" s="648"/>
      <c r="AG115" s="648"/>
      <c r="AH115" s="648"/>
      <c r="AI115" s="648"/>
      <c r="AJ115" s="648"/>
      <c r="AK115" s="648"/>
      <c r="AL115" s="648"/>
      <c r="AM115" s="648"/>
      <c r="AN115" s="648"/>
      <c r="AO115" s="648"/>
      <c r="AP115" s="648"/>
      <c r="AQ115" s="648"/>
      <c r="AR115" s="648"/>
      <c r="AS115" s="648"/>
      <c r="AT115" s="648"/>
      <c r="AU115" s="648"/>
    </row>
    <row r="116" spans="1:47">
      <c r="A116" s="648"/>
      <c r="B116" s="648"/>
      <c r="C116" s="648"/>
      <c r="D116" s="648"/>
      <c r="E116" s="648"/>
      <c r="F116" s="648"/>
      <c r="G116" s="648"/>
      <c r="H116" s="648"/>
      <c r="I116" s="648"/>
      <c r="J116" s="648"/>
      <c r="K116" s="648"/>
      <c r="L116" s="648"/>
      <c r="M116" s="648"/>
      <c r="N116" s="648"/>
      <c r="O116" s="648"/>
      <c r="P116" s="648"/>
      <c r="Q116" s="648"/>
      <c r="R116" s="648"/>
      <c r="S116" s="648"/>
      <c r="T116" s="648"/>
      <c r="U116" s="648"/>
      <c r="V116" s="648"/>
      <c r="W116" s="648"/>
      <c r="X116" s="648"/>
      <c r="Y116" s="648"/>
      <c r="Z116" s="648"/>
      <c r="AA116" s="648"/>
      <c r="AB116" s="648"/>
      <c r="AC116" s="648"/>
      <c r="AD116" s="648"/>
      <c r="AE116" s="648"/>
      <c r="AF116" s="648"/>
      <c r="AG116" s="648"/>
      <c r="AH116" s="648"/>
      <c r="AI116" s="648"/>
      <c r="AJ116" s="648"/>
      <c r="AK116" s="648"/>
      <c r="AL116" s="648"/>
      <c r="AM116" s="648"/>
      <c r="AN116" s="648"/>
      <c r="AO116" s="648"/>
      <c r="AP116" s="648"/>
      <c r="AQ116" s="648"/>
      <c r="AR116" s="648"/>
      <c r="AS116" s="648"/>
      <c r="AT116" s="648"/>
      <c r="AU116" s="648"/>
    </row>
    <row r="117" spans="1:47">
      <c r="A117" s="648"/>
      <c r="B117" s="648"/>
      <c r="C117" s="648"/>
      <c r="D117" s="648"/>
      <c r="E117" s="648"/>
      <c r="F117" s="648"/>
      <c r="G117" s="648"/>
      <c r="H117" s="648"/>
      <c r="I117" s="648"/>
      <c r="J117" s="648"/>
      <c r="K117" s="648"/>
      <c r="L117" s="648"/>
      <c r="M117" s="648"/>
      <c r="N117" s="648"/>
      <c r="O117" s="648"/>
      <c r="P117" s="648"/>
      <c r="Q117" s="648"/>
      <c r="R117" s="648"/>
      <c r="S117" s="648"/>
      <c r="T117" s="648"/>
      <c r="U117" s="648"/>
      <c r="V117" s="648"/>
      <c r="W117" s="648"/>
      <c r="X117" s="648"/>
      <c r="Y117" s="648"/>
      <c r="Z117" s="648"/>
      <c r="AA117" s="648"/>
      <c r="AB117" s="648"/>
      <c r="AC117" s="648"/>
      <c r="AD117" s="648"/>
      <c r="AE117" s="648"/>
      <c r="AF117" s="648"/>
      <c r="AG117" s="648"/>
      <c r="AH117" s="648"/>
      <c r="AI117" s="648"/>
      <c r="AJ117" s="648"/>
      <c r="AK117" s="648"/>
      <c r="AL117" s="648"/>
      <c r="AM117" s="648"/>
      <c r="AN117" s="648"/>
      <c r="AO117" s="648"/>
      <c r="AP117" s="648"/>
      <c r="AQ117" s="648"/>
      <c r="AR117" s="648"/>
      <c r="AS117" s="648"/>
      <c r="AT117" s="648"/>
      <c r="AU117" s="648"/>
    </row>
  </sheetData>
  <sheetProtection selectLockedCells="1" selectUnlockedCells="1"/>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theme="9" tint="-0.499984740745262"/>
  </sheetPr>
  <dimension ref="A1:BU140"/>
  <sheetViews>
    <sheetView showGridLines="0" topLeftCell="A56" workbookViewId="0">
      <selection activeCell="B51" sqref="B51"/>
    </sheetView>
  </sheetViews>
  <sheetFormatPr defaultColWidth="9.1796875" defaultRowHeight="10.5"/>
  <cols>
    <col min="1" max="1" width="34.1796875" style="66" bestFit="1" customWidth="1"/>
    <col min="2" max="2" width="8" style="68" customWidth="1"/>
    <col min="3" max="5" width="7.1796875" style="68" customWidth="1"/>
    <col min="6" max="7" width="6.81640625" style="68" customWidth="1"/>
    <col min="8" max="8" width="8.1796875" style="68" customWidth="1"/>
    <col min="9" max="14" width="7.1796875" style="68" customWidth="1"/>
    <col min="15" max="18" width="7" style="68" customWidth="1"/>
    <col min="19" max="49" width="7.1796875" style="68" customWidth="1"/>
    <col min="50" max="16384" width="9.1796875" style="68"/>
  </cols>
  <sheetData>
    <row r="1" spans="1:18">
      <c r="A1" s="137"/>
      <c r="B1" s="138"/>
      <c r="C1" s="138"/>
      <c r="D1" s="138"/>
      <c r="E1" s="138"/>
      <c r="F1" s="138"/>
    </row>
    <row r="2" spans="1:18" ht="11.25" customHeight="1">
      <c r="A2" s="192" t="s">
        <v>227</v>
      </c>
      <c r="B2" s="658" t="s">
        <v>15629</v>
      </c>
      <c r="L2" s="1494" t="s">
        <v>487</v>
      </c>
      <c r="M2" s="1494"/>
      <c r="N2" s="1494"/>
      <c r="O2" s="1493" t="s">
        <v>8819</v>
      </c>
      <c r="P2" s="1493"/>
      <c r="Q2" s="1493"/>
      <c r="R2" s="1493"/>
    </row>
    <row r="3" spans="1:18">
      <c r="A3" s="192" t="s">
        <v>24</v>
      </c>
      <c r="B3" s="1497" t="str">
        <f>IFERROR(VLOOKUP($B$2,INV_ID!A:C,3,0),"")</f>
        <v>Data Mgmt Tools and Initiatives</v>
      </c>
      <c r="C3" s="1498"/>
      <c r="D3" s="1498"/>
      <c r="E3" s="1498"/>
      <c r="F3" s="1498"/>
      <c r="G3" s="1498"/>
      <c r="H3" s="1498"/>
      <c r="I3" s="1498"/>
      <c r="J3" s="1498"/>
      <c r="K3" s="1499"/>
    </row>
    <row r="4" spans="1:18">
      <c r="A4" s="994" t="s">
        <v>8641</v>
      </c>
      <c r="B4" s="1249" t="s">
        <v>202</v>
      </c>
      <c r="C4" s="1094" t="str">
        <f>IF($B$4="US",Miscellaneous!$N$17,IF($B$4="UK",Miscellaneous!$N$18,""))</f>
        <v>$</v>
      </c>
      <c r="D4" s="993"/>
      <c r="E4" s="855"/>
      <c r="F4" s="855"/>
      <c r="G4" s="855"/>
      <c r="H4" s="860"/>
      <c r="I4" s="860"/>
      <c r="J4" s="860"/>
      <c r="L4" s="1494" t="s">
        <v>487</v>
      </c>
      <c r="M4" s="1494"/>
      <c r="N4" s="1494"/>
      <c r="O4" s="1493" t="s">
        <v>8819</v>
      </c>
      <c r="P4" s="1493"/>
      <c r="Q4" s="1493"/>
      <c r="R4" s="1493"/>
    </row>
    <row r="5" spans="1:18">
      <c r="A5" s="647" t="s">
        <v>438</v>
      </c>
      <c r="B5" s="1500" t="s">
        <v>477</v>
      </c>
      <c r="C5" s="1501"/>
      <c r="D5" s="1501"/>
      <c r="E5" s="1501"/>
      <c r="F5" s="1502"/>
      <c r="L5" s="1494" t="s">
        <v>487</v>
      </c>
      <c r="M5" s="1494"/>
      <c r="N5" s="1494"/>
      <c r="O5" s="1493" t="s">
        <v>8819</v>
      </c>
      <c r="P5" s="1493"/>
      <c r="Q5" s="1493"/>
      <c r="R5" s="1493"/>
    </row>
    <row r="6" spans="1:18">
      <c r="A6" s="647" t="s">
        <v>439</v>
      </c>
      <c r="B6" s="1500" t="s">
        <v>453</v>
      </c>
      <c r="C6" s="1503"/>
      <c r="D6" s="1503"/>
      <c r="E6" s="1503"/>
      <c r="F6" s="1504"/>
    </row>
    <row r="7" spans="1:18" ht="11.25" customHeight="1">
      <c r="A7" s="192" t="s">
        <v>440</v>
      </c>
      <c r="B7" s="1500" t="s">
        <v>463</v>
      </c>
      <c r="C7" s="1503"/>
      <c r="D7" s="1503"/>
      <c r="E7" s="1503"/>
      <c r="F7" s="1504"/>
      <c r="G7" s="1495" t="s">
        <v>8397</v>
      </c>
      <c r="H7" s="1496"/>
      <c r="I7" s="1496"/>
      <c r="J7" s="1496"/>
      <c r="L7" s="1494" t="s">
        <v>487</v>
      </c>
      <c r="M7" s="1494"/>
      <c r="N7" s="1494"/>
      <c r="O7" s="1493" t="s">
        <v>8819</v>
      </c>
      <c r="P7" s="1493"/>
      <c r="Q7" s="1493"/>
      <c r="R7" s="1493"/>
    </row>
    <row r="8" spans="1:18">
      <c r="A8" s="192" t="s">
        <v>25</v>
      </c>
      <c r="B8" s="1511" t="s">
        <v>16058</v>
      </c>
      <c r="C8" s="1511"/>
      <c r="D8" s="1511"/>
      <c r="E8" s="1511"/>
      <c r="F8" s="1511"/>
      <c r="G8" s="1495"/>
      <c r="H8" s="1496"/>
      <c r="I8" s="1496"/>
      <c r="J8" s="1496"/>
    </row>
    <row r="9" spans="1:18">
      <c r="A9" s="854" t="s">
        <v>8503</v>
      </c>
      <c r="B9" s="1527">
        <v>44354</v>
      </c>
      <c r="C9" s="1528"/>
      <c r="D9" s="855"/>
      <c r="E9" s="855"/>
      <c r="F9" s="855"/>
      <c r="G9" s="860"/>
      <c r="H9" s="860"/>
      <c r="I9" s="860"/>
      <c r="J9" s="860"/>
    </row>
    <row r="10" spans="1:18" ht="11" thickBot="1">
      <c r="A10" s="137"/>
      <c r="B10" s="138"/>
      <c r="C10" s="138"/>
      <c r="D10" s="138"/>
      <c r="E10" s="138"/>
      <c r="F10" s="138"/>
    </row>
    <row r="11" spans="1:18" ht="11" thickBot="1">
      <c r="A11" s="1334" t="s">
        <v>8790</v>
      </c>
      <c r="B11" s="138"/>
      <c r="C11" s="138"/>
      <c r="D11" s="138"/>
      <c r="E11" s="138"/>
      <c r="F11" s="138"/>
    </row>
    <row r="12" spans="1:18" ht="13">
      <c r="A12" s="1335" t="s">
        <v>8677</v>
      </c>
      <c r="B12" s="1521" t="s">
        <v>16059</v>
      </c>
      <c r="C12" s="1522"/>
      <c r="D12" s="1523"/>
      <c r="E12" s="138"/>
      <c r="F12" s="1494" t="s">
        <v>487</v>
      </c>
      <c r="G12" s="1494"/>
      <c r="H12" s="1494"/>
      <c r="I12" s="1493" t="s">
        <v>8819</v>
      </c>
      <c r="J12" s="1493"/>
      <c r="K12" s="1493"/>
      <c r="L12" s="1493"/>
    </row>
    <row r="13" spans="1:18" ht="13">
      <c r="A13" s="994" t="s">
        <v>8679</v>
      </c>
      <c r="B13" s="1336" t="s">
        <v>16060</v>
      </c>
      <c r="C13" s="138"/>
      <c r="D13" s="138"/>
      <c r="E13" s="138"/>
      <c r="F13" s="1494" t="s">
        <v>487</v>
      </c>
      <c r="G13" s="1494"/>
      <c r="H13" s="1494"/>
      <c r="I13" s="1493" t="s">
        <v>8819</v>
      </c>
      <c r="J13" s="1493"/>
      <c r="K13" s="1493"/>
      <c r="L13" s="1493"/>
    </row>
    <row r="14" spans="1:18" ht="13">
      <c r="A14" s="994" t="s">
        <v>8643</v>
      </c>
      <c r="B14" s="1336" t="s">
        <v>16061</v>
      </c>
      <c r="C14" s="138"/>
      <c r="D14" s="138"/>
      <c r="E14" s="138"/>
      <c r="F14" s="1494" t="s">
        <v>487</v>
      </c>
      <c r="G14" s="1494"/>
      <c r="H14" s="1494"/>
      <c r="I14" s="1493" t="s">
        <v>8819</v>
      </c>
      <c r="J14" s="1493"/>
      <c r="K14" s="1493"/>
      <c r="L14" s="1493"/>
    </row>
    <row r="15" spans="1:18" ht="13">
      <c r="A15" s="994" t="s">
        <v>8646</v>
      </c>
      <c r="B15" s="1337" t="s">
        <v>13051</v>
      </c>
      <c r="C15" s="138"/>
      <c r="D15" s="138"/>
      <c r="E15" s="138"/>
      <c r="F15" s="1494" t="s">
        <v>487</v>
      </c>
      <c r="G15" s="1494"/>
      <c r="H15" s="1494"/>
      <c r="I15" s="1493" t="s">
        <v>8819</v>
      </c>
      <c r="J15" s="1493"/>
      <c r="K15" s="1493"/>
      <c r="L15" s="1493"/>
    </row>
    <row r="16" spans="1:18" ht="13">
      <c r="A16" s="994" t="s">
        <v>9063</v>
      </c>
      <c r="B16" s="1337" t="s">
        <v>13051</v>
      </c>
      <c r="C16" s="138"/>
      <c r="D16" s="138"/>
      <c r="E16" s="138"/>
      <c r="F16" s="1494" t="s">
        <v>487</v>
      </c>
      <c r="G16" s="1494"/>
      <c r="H16" s="1494"/>
      <c r="I16" s="1493" t="s">
        <v>8819</v>
      </c>
      <c r="J16" s="1493"/>
      <c r="K16" s="1493"/>
      <c r="L16" s="1493"/>
    </row>
    <row r="17" spans="1:73">
      <c r="A17" s="137"/>
      <c r="B17" s="138"/>
      <c r="C17" s="138"/>
      <c r="D17" s="138"/>
      <c r="E17" s="138"/>
      <c r="F17" s="138"/>
    </row>
    <row r="18" spans="1:73">
      <c r="A18" s="237" t="s">
        <v>250</v>
      </c>
      <c r="B18" s="371">
        <v>1</v>
      </c>
      <c r="C18" s="138"/>
      <c r="D18" s="138"/>
      <c r="E18" s="138"/>
      <c r="F18" s="138"/>
    </row>
    <row r="19" spans="1:73">
      <c r="A19" s="99" t="s">
        <v>486</v>
      </c>
      <c r="B19" s="372" t="s">
        <v>16062</v>
      </c>
      <c r="C19" s="67"/>
      <c r="D19" s="1494" t="s">
        <v>487</v>
      </c>
      <c r="E19" s="1494"/>
      <c r="F19" s="1494"/>
      <c r="G19" s="1493" t="s">
        <v>8819</v>
      </c>
      <c r="H19" s="1493"/>
      <c r="I19" s="1493"/>
      <c r="J19" s="1493"/>
    </row>
    <row r="20" spans="1:73" ht="11" thickBot="1">
      <c r="B20" s="67"/>
      <c r="C20" s="67"/>
      <c r="D20" s="67"/>
      <c r="E20" s="67"/>
      <c r="F20" s="67"/>
    </row>
    <row r="21" spans="1:73" ht="11" thickBot="1">
      <c r="A21" s="75" t="s">
        <v>141</v>
      </c>
      <c r="B21" s="1515" t="str">
        <f>B19</f>
        <v>FY 22</v>
      </c>
      <c r="C21" s="1516"/>
      <c r="D21" s="1516"/>
      <c r="E21" s="1516"/>
      <c r="F21" s="1516"/>
      <c r="G21" s="1516"/>
      <c r="H21" s="1516"/>
      <c r="I21" s="1516"/>
      <c r="J21" s="1516"/>
      <c r="K21" s="1516"/>
      <c r="L21" s="1516"/>
      <c r="M21" s="1517"/>
      <c r="N21" s="1518" t="str">
        <f>CONCATENATE("FY ",RIGHT($B21,2)+1)</f>
        <v>FY 23</v>
      </c>
      <c r="O21" s="1519"/>
      <c r="P21" s="1519"/>
      <c r="Q21" s="1519"/>
      <c r="R21" s="1519"/>
      <c r="S21" s="1519"/>
      <c r="T21" s="1519"/>
      <c r="U21" s="1519"/>
      <c r="V21" s="1519"/>
      <c r="W21" s="1519"/>
      <c r="X21" s="1519"/>
      <c r="Y21" s="1520"/>
      <c r="Z21" s="1524" t="str">
        <f>CONCATENATE("FY ",RIGHT($N21,2)+1)</f>
        <v>FY 24</v>
      </c>
      <c r="AA21" s="1525"/>
      <c r="AB21" s="1525"/>
      <c r="AC21" s="1525"/>
      <c r="AD21" s="1525"/>
      <c r="AE21" s="1525"/>
      <c r="AF21" s="1525"/>
      <c r="AG21" s="1525"/>
      <c r="AH21" s="1525"/>
      <c r="AI21" s="1525"/>
      <c r="AJ21" s="1525"/>
      <c r="AK21" s="1526"/>
      <c r="AL21" s="1512" t="str">
        <f>CONCATENATE("FY ",RIGHT($Z21,2)+1)</f>
        <v>FY 25</v>
      </c>
      <c r="AM21" s="1513"/>
      <c r="AN21" s="1513"/>
      <c r="AO21" s="1513"/>
      <c r="AP21" s="1513"/>
      <c r="AQ21" s="1513"/>
      <c r="AR21" s="1513"/>
      <c r="AS21" s="1513"/>
      <c r="AT21" s="1513"/>
      <c r="AU21" s="1513"/>
      <c r="AV21" s="1513"/>
      <c r="AW21" s="1514"/>
      <c r="AX21" s="1505" t="str">
        <f>CONCATENATE("FY ",RIGHT($AL21,2)+1)</f>
        <v>FY 26</v>
      </c>
      <c r="AY21" s="1506"/>
      <c r="AZ21" s="1506"/>
      <c r="BA21" s="1506"/>
      <c r="BB21" s="1506"/>
      <c r="BC21" s="1506"/>
      <c r="BD21" s="1506"/>
      <c r="BE21" s="1506"/>
      <c r="BF21" s="1506"/>
      <c r="BG21" s="1506"/>
      <c r="BH21" s="1506"/>
      <c r="BI21" s="1507"/>
      <c r="BJ21" s="1508" t="str">
        <f>CONCATENATE("FY ",RIGHT($AX21,2)+1)</f>
        <v>FY 27</v>
      </c>
      <c r="BK21" s="1509"/>
      <c r="BL21" s="1509"/>
      <c r="BM21" s="1509"/>
      <c r="BN21" s="1509"/>
      <c r="BO21" s="1509"/>
      <c r="BP21" s="1509"/>
      <c r="BQ21" s="1509"/>
      <c r="BR21" s="1509"/>
      <c r="BS21" s="1509"/>
      <c r="BT21" s="1509"/>
      <c r="BU21" s="1510"/>
    </row>
    <row r="22" spans="1:73" ht="11" thickBot="1">
      <c r="A22" s="69"/>
      <c r="B22" s="70" t="s">
        <v>0</v>
      </c>
      <c r="C22" s="71" t="s">
        <v>1</v>
      </c>
      <c r="D22" s="71" t="s">
        <v>2</v>
      </c>
      <c r="E22" s="71" t="s">
        <v>3</v>
      </c>
      <c r="F22" s="71" t="s">
        <v>4</v>
      </c>
      <c r="G22" s="71" t="s">
        <v>5</v>
      </c>
      <c r="H22" s="71" t="s">
        <v>6</v>
      </c>
      <c r="I22" s="71" t="s">
        <v>7</v>
      </c>
      <c r="J22" s="71" t="s">
        <v>8</v>
      </c>
      <c r="K22" s="71" t="s">
        <v>9</v>
      </c>
      <c r="L22" s="71" t="s">
        <v>10</v>
      </c>
      <c r="M22" s="72" t="s">
        <v>11</v>
      </c>
      <c r="N22" s="70" t="s">
        <v>0</v>
      </c>
      <c r="O22" s="71" t="s">
        <v>1</v>
      </c>
      <c r="P22" s="71" t="s">
        <v>2</v>
      </c>
      <c r="Q22" s="71" t="s">
        <v>3</v>
      </c>
      <c r="R22" s="71" t="s">
        <v>4</v>
      </c>
      <c r="S22" s="71" t="s">
        <v>5</v>
      </c>
      <c r="T22" s="71" t="s">
        <v>6</v>
      </c>
      <c r="U22" s="71" t="s">
        <v>7</v>
      </c>
      <c r="V22" s="71" t="s">
        <v>8</v>
      </c>
      <c r="W22" s="71" t="s">
        <v>9</v>
      </c>
      <c r="X22" s="71" t="s">
        <v>10</v>
      </c>
      <c r="Y22" s="72" t="s">
        <v>11</v>
      </c>
      <c r="Z22" s="70" t="s">
        <v>0</v>
      </c>
      <c r="AA22" s="71" t="s">
        <v>1</v>
      </c>
      <c r="AB22" s="71" t="s">
        <v>2</v>
      </c>
      <c r="AC22" s="71" t="s">
        <v>3</v>
      </c>
      <c r="AD22" s="71" t="s">
        <v>4</v>
      </c>
      <c r="AE22" s="71" t="s">
        <v>5</v>
      </c>
      <c r="AF22" s="71" t="s">
        <v>6</v>
      </c>
      <c r="AG22" s="71" t="s">
        <v>7</v>
      </c>
      <c r="AH22" s="71" t="s">
        <v>8</v>
      </c>
      <c r="AI22" s="71" t="s">
        <v>9</v>
      </c>
      <c r="AJ22" s="71" t="s">
        <v>10</v>
      </c>
      <c r="AK22" s="72" t="s">
        <v>11</v>
      </c>
      <c r="AL22" s="70" t="s">
        <v>0</v>
      </c>
      <c r="AM22" s="71" t="s">
        <v>1</v>
      </c>
      <c r="AN22" s="71" t="s">
        <v>2</v>
      </c>
      <c r="AO22" s="71" t="s">
        <v>3</v>
      </c>
      <c r="AP22" s="71" t="s">
        <v>4</v>
      </c>
      <c r="AQ22" s="71" t="s">
        <v>5</v>
      </c>
      <c r="AR22" s="71" t="s">
        <v>6</v>
      </c>
      <c r="AS22" s="71" t="s">
        <v>7</v>
      </c>
      <c r="AT22" s="71" t="s">
        <v>8</v>
      </c>
      <c r="AU22" s="71" t="s">
        <v>9</v>
      </c>
      <c r="AV22" s="71" t="s">
        <v>10</v>
      </c>
      <c r="AW22" s="72" t="s">
        <v>11</v>
      </c>
      <c r="AX22" s="70" t="s">
        <v>0</v>
      </c>
      <c r="AY22" s="71" t="s">
        <v>1</v>
      </c>
      <c r="AZ22" s="71" t="s">
        <v>2</v>
      </c>
      <c r="BA22" s="71" t="s">
        <v>3</v>
      </c>
      <c r="BB22" s="71" t="s">
        <v>4</v>
      </c>
      <c r="BC22" s="71" t="s">
        <v>5</v>
      </c>
      <c r="BD22" s="71" t="s">
        <v>6</v>
      </c>
      <c r="BE22" s="71" t="s">
        <v>7</v>
      </c>
      <c r="BF22" s="71" t="s">
        <v>8</v>
      </c>
      <c r="BG22" s="71" t="s">
        <v>9</v>
      </c>
      <c r="BH22" s="71" t="s">
        <v>10</v>
      </c>
      <c r="BI22" s="72" t="s">
        <v>11</v>
      </c>
      <c r="BJ22" s="70" t="s">
        <v>0</v>
      </c>
      <c r="BK22" s="71" t="s">
        <v>1</v>
      </c>
      <c r="BL22" s="71" t="s">
        <v>2</v>
      </c>
      <c r="BM22" s="71" t="s">
        <v>3</v>
      </c>
      <c r="BN22" s="71" t="s">
        <v>4</v>
      </c>
      <c r="BO22" s="71" t="s">
        <v>5</v>
      </c>
      <c r="BP22" s="71" t="s">
        <v>6</v>
      </c>
      <c r="BQ22" s="71" t="s">
        <v>7</v>
      </c>
      <c r="BR22" s="71" t="s">
        <v>8</v>
      </c>
      <c r="BS22" s="71" t="s">
        <v>9</v>
      </c>
      <c r="BT22" s="71" t="s">
        <v>10</v>
      </c>
      <c r="BU22" s="72" t="s">
        <v>11</v>
      </c>
    </row>
    <row r="23" spans="1:73" ht="22.5" customHeight="1" thickBot="1">
      <c r="A23" s="96" t="s">
        <v>146</v>
      </c>
      <c r="B23" s="1341"/>
      <c r="C23" s="1341"/>
      <c r="D23" s="1341" t="s">
        <v>16063</v>
      </c>
      <c r="E23" s="1341" t="s">
        <v>16064</v>
      </c>
      <c r="F23" s="1341" t="s">
        <v>16065</v>
      </c>
      <c r="G23" s="1341" t="s">
        <v>16065</v>
      </c>
      <c r="H23" s="1341" t="s">
        <v>16066</v>
      </c>
      <c r="I23" s="1341" t="s">
        <v>16066</v>
      </c>
      <c r="J23" s="1341" t="s">
        <v>16066</v>
      </c>
      <c r="K23" s="1341" t="s">
        <v>16067</v>
      </c>
      <c r="L23" s="1341" t="s">
        <v>16068</v>
      </c>
      <c r="M23" s="1341" t="s">
        <v>16069</v>
      </c>
      <c r="N23" s="1341" t="s">
        <v>16069</v>
      </c>
      <c r="O23" s="1341" t="s">
        <v>16069</v>
      </c>
      <c r="P23" s="1341"/>
      <c r="Q23" s="1341"/>
      <c r="R23" s="1341"/>
      <c r="S23" s="1341"/>
      <c r="T23" s="1341"/>
      <c r="U23" s="1341"/>
      <c r="V23" s="1341"/>
      <c r="W23" s="1341"/>
      <c r="X23" s="1341"/>
      <c r="Y23" s="1341"/>
      <c r="Z23" s="1341"/>
      <c r="AA23" s="1341"/>
      <c r="AB23" s="1341"/>
      <c r="AC23" s="1341"/>
      <c r="AD23" s="1341"/>
      <c r="AE23" s="1341"/>
      <c r="AF23" s="1341"/>
      <c r="AG23" s="1341"/>
      <c r="AH23" s="1341"/>
      <c r="AI23" s="1341"/>
      <c r="AJ23" s="1341"/>
      <c r="AK23" s="1341"/>
      <c r="AL23" s="1341"/>
      <c r="AM23" s="1341"/>
      <c r="AN23" s="1341"/>
      <c r="AO23" s="1341"/>
      <c r="AP23" s="1341"/>
      <c r="AQ23" s="1341"/>
      <c r="AR23" s="1341"/>
      <c r="AS23" s="1341"/>
      <c r="AT23" s="1341"/>
      <c r="AU23" s="1341"/>
      <c r="AV23" s="1341"/>
      <c r="AW23" s="1341"/>
      <c r="AX23" s="1341"/>
      <c r="AY23" s="1341"/>
      <c r="AZ23" s="1341"/>
      <c r="BA23" s="1341"/>
      <c r="BB23" s="1341"/>
      <c r="BC23" s="1341"/>
      <c r="BD23" s="1341"/>
      <c r="BE23" s="1341"/>
      <c r="BF23" s="1341"/>
      <c r="BG23" s="1341"/>
      <c r="BH23" s="1341"/>
      <c r="BI23" s="1341"/>
      <c r="BJ23" s="1341"/>
      <c r="BK23" s="1341"/>
      <c r="BL23" s="1341"/>
      <c r="BM23" s="1341"/>
      <c r="BN23" s="1341"/>
      <c r="BO23" s="1341"/>
      <c r="BP23" s="1341"/>
      <c r="BQ23" s="1341"/>
      <c r="BR23" s="1341"/>
      <c r="BS23" s="1341"/>
      <c r="BT23" s="1341"/>
      <c r="BU23" s="1343"/>
    </row>
    <row r="24" spans="1:73" ht="32" thickBot="1">
      <c r="A24" s="232" t="s">
        <v>297</v>
      </c>
      <c r="B24" s="1342"/>
      <c r="C24" s="1342"/>
      <c r="D24" s="1342" t="s">
        <v>13334</v>
      </c>
      <c r="E24" s="1342"/>
      <c r="F24" s="1342"/>
      <c r="G24" s="1342"/>
      <c r="H24" s="1342"/>
      <c r="I24" s="1342"/>
      <c r="J24" s="1342"/>
      <c r="K24" s="1342" t="s">
        <v>13334</v>
      </c>
      <c r="L24" s="1342"/>
      <c r="M24" s="1342"/>
      <c r="N24" s="1342"/>
      <c r="O24" s="1342"/>
      <c r="P24" s="1342"/>
      <c r="Q24" s="1342"/>
      <c r="R24" s="1342"/>
      <c r="S24" s="1342"/>
      <c r="T24" s="1342"/>
      <c r="U24" s="1342"/>
      <c r="V24" s="1342"/>
      <c r="W24" s="1342"/>
      <c r="X24" s="1342"/>
      <c r="Y24" s="1342"/>
      <c r="Z24" s="1342"/>
      <c r="AA24" s="1342"/>
      <c r="AB24" s="1342"/>
      <c r="AC24" s="1342"/>
      <c r="AD24" s="1342"/>
      <c r="AE24" s="1342"/>
      <c r="AF24" s="1342"/>
      <c r="AG24" s="1342"/>
      <c r="AH24" s="1342"/>
      <c r="AI24" s="1342"/>
      <c r="AJ24" s="1342"/>
      <c r="AK24" s="1342"/>
      <c r="AL24" s="1342"/>
      <c r="AM24" s="1342"/>
      <c r="AN24" s="1342"/>
      <c r="AO24" s="1342"/>
      <c r="AP24" s="1342"/>
      <c r="AQ24" s="1342"/>
      <c r="AR24" s="1342"/>
      <c r="AS24" s="1342"/>
      <c r="AT24" s="1342"/>
      <c r="AU24" s="1342"/>
      <c r="AV24" s="1342"/>
      <c r="AW24" s="1342"/>
      <c r="AX24" s="1342"/>
      <c r="AY24" s="1342"/>
      <c r="AZ24" s="1342"/>
      <c r="BA24" s="1342"/>
      <c r="BB24" s="1342"/>
      <c r="BC24" s="1342"/>
      <c r="BD24" s="1342"/>
      <c r="BE24" s="1342"/>
      <c r="BF24" s="1342"/>
      <c r="BG24" s="1342"/>
      <c r="BH24" s="1342"/>
      <c r="BI24" s="1342"/>
      <c r="BJ24" s="1342"/>
      <c r="BK24" s="1342"/>
      <c r="BL24" s="1342"/>
      <c r="BM24" s="1342"/>
      <c r="BN24" s="1342"/>
      <c r="BO24" s="1342"/>
      <c r="BP24" s="1342"/>
      <c r="BQ24" s="1342"/>
      <c r="BR24" s="1342"/>
      <c r="BS24" s="1342"/>
      <c r="BT24" s="1342"/>
      <c r="BU24" s="1343"/>
    </row>
    <row r="25" spans="1:73" ht="11" thickBot="1">
      <c r="A25" s="232" t="s">
        <v>298</v>
      </c>
      <c r="B25" s="236" t="str">
        <f>IF(B23="","",IF(B24&gt;"",B27,IF(A23="",B27,A26)))</f>
        <v/>
      </c>
      <c r="C25" s="236" t="str">
        <f t="shared" ref="C25:AH25" si="0">IF(C23="","",IF(C24&gt;"",C27,IF(B23="",C27,B25)))</f>
        <v/>
      </c>
      <c r="D25" s="236">
        <f t="shared" si="0"/>
        <v>1</v>
      </c>
      <c r="E25" s="236">
        <f t="shared" si="0"/>
        <v>1</v>
      </c>
      <c r="F25" s="236">
        <f t="shared" si="0"/>
        <v>1</v>
      </c>
      <c r="G25" s="236">
        <f t="shared" si="0"/>
        <v>1</v>
      </c>
      <c r="H25" s="236">
        <f t="shared" si="0"/>
        <v>1</v>
      </c>
      <c r="I25" s="236">
        <f t="shared" si="0"/>
        <v>1</v>
      </c>
      <c r="J25" s="236">
        <f t="shared" si="0"/>
        <v>1</v>
      </c>
      <c r="K25" s="236">
        <f t="shared" si="0"/>
        <v>2</v>
      </c>
      <c r="L25" s="236">
        <f t="shared" si="0"/>
        <v>2</v>
      </c>
      <c r="M25" s="236">
        <f t="shared" si="0"/>
        <v>2</v>
      </c>
      <c r="N25" s="236">
        <f t="shared" si="0"/>
        <v>2</v>
      </c>
      <c r="O25" s="236">
        <f t="shared" si="0"/>
        <v>2</v>
      </c>
      <c r="P25" s="236" t="str">
        <f t="shared" si="0"/>
        <v/>
      </c>
      <c r="Q25" s="236" t="str">
        <f t="shared" si="0"/>
        <v/>
      </c>
      <c r="R25" s="236" t="str">
        <f t="shared" si="0"/>
        <v/>
      </c>
      <c r="S25" s="236" t="str">
        <f t="shared" si="0"/>
        <v/>
      </c>
      <c r="T25" s="236" t="str">
        <f t="shared" si="0"/>
        <v/>
      </c>
      <c r="U25" s="236" t="str">
        <f t="shared" si="0"/>
        <v/>
      </c>
      <c r="V25" s="236" t="str">
        <f t="shared" si="0"/>
        <v/>
      </c>
      <c r="W25" s="236" t="str">
        <f t="shared" si="0"/>
        <v/>
      </c>
      <c r="X25" s="236" t="str">
        <f t="shared" si="0"/>
        <v/>
      </c>
      <c r="Y25" s="236" t="str">
        <f t="shared" si="0"/>
        <v/>
      </c>
      <c r="Z25" s="236" t="str">
        <f t="shared" si="0"/>
        <v/>
      </c>
      <c r="AA25" s="236" t="str">
        <f t="shared" si="0"/>
        <v/>
      </c>
      <c r="AB25" s="236" t="str">
        <f t="shared" si="0"/>
        <v/>
      </c>
      <c r="AC25" s="236" t="str">
        <f t="shared" si="0"/>
        <v/>
      </c>
      <c r="AD25" s="236" t="str">
        <f t="shared" si="0"/>
        <v/>
      </c>
      <c r="AE25" s="236" t="str">
        <f t="shared" si="0"/>
        <v/>
      </c>
      <c r="AF25" s="236" t="str">
        <f t="shared" si="0"/>
        <v/>
      </c>
      <c r="AG25" s="236" t="str">
        <f t="shared" si="0"/>
        <v/>
      </c>
      <c r="AH25" s="236" t="str">
        <f t="shared" si="0"/>
        <v/>
      </c>
      <c r="AI25" s="236" t="str">
        <f t="shared" ref="AI25:BN25" si="1">IF(AI23="","",IF(AI24&gt;"",AI27,IF(AH23="",AI27,AH25)))</f>
        <v/>
      </c>
      <c r="AJ25" s="236" t="str">
        <f t="shared" si="1"/>
        <v/>
      </c>
      <c r="AK25" s="236" t="str">
        <f t="shared" si="1"/>
        <v/>
      </c>
      <c r="AL25" s="236" t="str">
        <f t="shared" si="1"/>
        <v/>
      </c>
      <c r="AM25" s="236" t="str">
        <f t="shared" si="1"/>
        <v/>
      </c>
      <c r="AN25" s="236" t="str">
        <f t="shared" si="1"/>
        <v/>
      </c>
      <c r="AO25" s="236" t="str">
        <f t="shared" si="1"/>
        <v/>
      </c>
      <c r="AP25" s="236" t="str">
        <f t="shared" si="1"/>
        <v/>
      </c>
      <c r="AQ25" s="236" t="str">
        <f t="shared" si="1"/>
        <v/>
      </c>
      <c r="AR25" s="236" t="str">
        <f t="shared" si="1"/>
        <v/>
      </c>
      <c r="AS25" s="236" t="str">
        <f t="shared" si="1"/>
        <v/>
      </c>
      <c r="AT25" s="236" t="str">
        <f t="shared" si="1"/>
        <v/>
      </c>
      <c r="AU25" s="236" t="str">
        <f t="shared" si="1"/>
        <v/>
      </c>
      <c r="AV25" s="236" t="str">
        <f t="shared" si="1"/>
        <v/>
      </c>
      <c r="AW25" s="236" t="str">
        <f t="shared" si="1"/>
        <v/>
      </c>
      <c r="AX25" s="236" t="str">
        <f t="shared" si="1"/>
        <v/>
      </c>
      <c r="AY25" s="236" t="str">
        <f t="shared" si="1"/>
        <v/>
      </c>
      <c r="AZ25" s="236" t="str">
        <f t="shared" si="1"/>
        <v/>
      </c>
      <c r="BA25" s="236" t="str">
        <f t="shared" si="1"/>
        <v/>
      </c>
      <c r="BB25" s="236" t="str">
        <f t="shared" si="1"/>
        <v/>
      </c>
      <c r="BC25" s="236" t="str">
        <f t="shared" si="1"/>
        <v/>
      </c>
      <c r="BD25" s="236" t="str">
        <f t="shared" si="1"/>
        <v/>
      </c>
      <c r="BE25" s="236" t="str">
        <f t="shared" si="1"/>
        <v/>
      </c>
      <c r="BF25" s="236" t="str">
        <f t="shared" si="1"/>
        <v/>
      </c>
      <c r="BG25" s="236" t="str">
        <f t="shared" si="1"/>
        <v/>
      </c>
      <c r="BH25" s="236" t="str">
        <f t="shared" si="1"/>
        <v/>
      </c>
      <c r="BI25" s="236" t="str">
        <f t="shared" si="1"/>
        <v/>
      </c>
      <c r="BJ25" s="236" t="str">
        <f t="shared" si="1"/>
        <v/>
      </c>
      <c r="BK25" s="236" t="str">
        <f t="shared" si="1"/>
        <v/>
      </c>
      <c r="BL25" s="236" t="str">
        <f t="shared" si="1"/>
        <v/>
      </c>
      <c r="BM25" s="236" t="str">
        <f t="shared" si="1"/>
        <v/>
      </c>
      <c r="BN25" s="236" t="str">
        <f t="shared" si="1"/>
        <v/>
      </c>
      <c r="BO25" s="236" t="str">
        <f t="shared" ref="BO25:BU25" si="2">IF(BO23="","",IF(BO24&gt;"",BO27,IF(BN23="",BO27,BN25)))</f>
        <v/>
      </c>
      <c r="BP25" s="236" t="str">
        <f t="shared" si="2"/>
        <v/>
      </c>
      <c r="BQ25" s="236" t="str">
        <f t="shared" si="2"/>
        <v/>
      </c>
      <c r="BR25" s="236" t="str">
        <f t="shared" si="2"/>
        <v/>
      </c>
      <c r="BS25" s="236" t="str">
        <f t="shared" si="2"/>
        <v/>
      </c>
      <c r="BT25" s="236" t="str">
        <f t="shared" si="2"/>
        <v/>
      </c>
      <c r="BU25" s="236" t="str">
        <f t="shared" si="2"/>
        <v/>
      </c>
    </row>
    <row r="26" spans="1:73" ht="11" hidden="1" thickBot="1">
      <c r="A26" s="232">
        <v>0</v>
      </c>
      <c r="B26" s="236" t="str">
        <f t="shared" ref="B26:BN26" si="3">IF(B24="Yes",1,"")</f>
        <v/>
      </c>
      <c r="C26" s="236" t="str">
        <f t="shared" si="3"/>
        <v/>
      </c>
      <c r="D26" s="236">
        <f>IF(D24="Yes",1,"")</f>
        <v>1</v>
      </c>
      <c r="E26" s="236" t="str">
        <f t="shared" si="3"/>
        <v/>
      </c>
      <c r="F26" s="236" t="str">
        <f t="shared" si="3"/>
        <v/>
      </c>
      <c r="G26" s="236" t="str">
        <f t="shared" si="3"/>
        <v/>
      </c>
      <c r="H26" s="236" t="str">
        <f t="shared" si="3"/>
        <v/>
      </c>
      <c r="I26" s="236" t="str">
        <f t="shared" si="3"/>
        <v/>
      </c>
      <c r="J26" s="236" t="str">
        <f t="shared" si="3"/>
        <v/>
      </c>
      <c r="K26" s="236">
        <f t="shared" si="3"/>
        <v>1</v>
      </c>
      <c r="L26" s="236" t="str">
        <f t="shared" si="3"/>
        <v/>
      </c>
      <c r="M26" s="236" t="str">
        <f t="shared" si="3"/>
        <v/>
      </c>
      <c r="N26" s="236" t="str">
        <f t="shared" si="3"/>
        <v/>
      </c>
      <c r="O26" s="236" t="str">
        <f t="shared" si="3"/>
        <v/>
      </c>
      <c r="P26" s="236" t="str">
        <f t="shared" si="3"/>
        <v/>
      </c>
      <c r="Q26" s="236" t="str">
        <f t="shared" si="3"/>
        <v/>
      </c>
      <c r="R26" s="236" t="str">
        <f t="shared" si="3"/>
        <v/>
      </c>
      <c r="S26" s="236" t="str">
        <f t="shared" si="3"/>
        <v/>
      </c>
      <c r="T26" s="236" t="str">
        <f t="shared" si="3"/>
        <v/>
      </c>
      <c r="U26" s="236" t="str">
        <f t="shared" si="3"/>
        <v/>
      </c>
      <c r="V26" s="236" t="str">
        <f t="shared" si="3"/>
        <v/>
      </c>
      <c r="W26" s="236" t="str">
        <f t="shared" si="3"/>
        <v/>
      </c>
      <c r="X26" s="236" t="str">
        <f t="shared" si="3"/>
        <v/>
      </c>
      <c r="Y26" s="236" t="str">
        <f t="shared" si="3"/>
        <v/>
      </c>
      <c r="Z26" s="236" t="str">
        <f t="shared" si="3"/>
        <v/>
      </c>
      <c r="AA26" s="236" t="str">
        <f t="shared" si="3"/>
        <v/>
      </c>
      <c r="AB26" s="236" t="str">
        <f t="shared" si="3"/>
        <v/>
      </c>
      <c r="AC26" s="236" t="str">
        <f t="shared" si="3"/>
        <v/>
      </c>
      <c r="AD26" s="236" t="str">
        <f t="shared" si="3"/>
        <v/>
      </c>
      <c r="AE26" s="236" t="str">
        <f t="shared" si="3"/>
        <v/>
      </c>
      <c r="AF26" s="236" t="str">
        <f t="shared" si="3"/>
        <v/>
      </c>
      <c r="AG26" s="236" t="str">
        <f t="shared" si="3"/>
        <v/>
      </c>
      <c r="AH26" s="236" t="str">
        <f t="shared" si="3"/>
        <v/>
      </c>
      <c r="AI26" s="236" t="str">
        <f t="shared" si="3"/>
        <v/>
      </c>
      <c r="AJ26" s="236" t="str">
        <f t="shared" si="3"/>
        <v/>
      </c>
      <c r="AK26" s="236" t="str">
        <f t="shared" si="3"/>
        <v/>
      </c>
      <c r="AL26" s="236" t="str">
        <f t="shared" si="3"/>
        <v/>
      </c>
      <c r="AM26" s="236" t="str">
        <f t="shared" si="3"/>
        <v/>
      </c>
      <c r="AN26" s="236" t="str">
        <f t="shared" si="3"/>
        <v/>
      </c>
      <c r="AO26" s="236" t="str">
        <f t="shared" si="3"/>
        <v/>
      </c>
      <c r="AP26" s="236" t="str">
        <f t="shared" si="3"/>
        <v/>
      </c>
      <c r="AQ26" s="236" t="str">
        <f t="shared" si="3"/>
        <v/>
      </c>
      <c r="AR26" s="236" t="str">
        <f t="shared" si="3"/>
        <v/>
      </c>
      <c r="AS26" s="236" t="str">
        <f t="shared" si="3"/>
        <v/>
      </c>
      <c r="AT26" s="236" t="str">
        <f t="shared" si="3"/>
        <v/>
      </c>
      <c r="AU26" s="236" t="str">
        <f t="shared" si="3"/>
        <v/>
      </c>
      <c r="AV26" s="236" t="str">
        <f t="shared" si="3"/>
        <v/>
      </c>
      <c r="AW26" s="236" t="str">
        <f t="shared" si="3"/>
        <v/>
      </c>
      <c r="AX26" s="236" t="str">
        <f t="shared" si="3"/>
        <v/>
      </c>
      <c r="AY26" s="236" t="str">
        <f t="shared" si="3"/>
        <v/>
      </c>
      <c r="AZ26" s="236" t="str">
        <f t="shared" si="3"/>
        <v/>
      </c>
      <c r="BA26" s="236" t="str">
        <f t="shared" si="3"/>
        <v/>
      </c>
      <c r="BB26" s="236" t="str">
        <f t="shared" si="3"/>
        <v/>
      </c>
      <c r="BC26" s="236" t="str">
        <f t="shared" si="3"/>
        <v/>
      </c>
      <c r="BD26" s="236" t="str">
        <f t="shared" si="3"/>
        <v/>
      </c>
      <c r="BE26" s="236" t="str">
        <f t="shared" si="3"/>
        <v/>
      </c>
      <c r="BF26" s="236" t="str">
        <f t="shared" si="3"/>
        <v/>
      </c>
      <c r="BG26" s="236" t="str">
        <f t="shared" si="3"/>
        <v/>
      </c>
      <c r="BH26" s="236" t="str">
        <f t="shared" si="3"/>
        <v/>
      </c>
      <c r="BI26" s="236" t="str">
        <f t="shared" si="3"/>
        <v/>
      </c>
      <c r="BJ26" s="236" t="str">
        <f t="shared" si="3"/>
        <v/>
      </c>
      <c r="BK26" s="236" t="str">
        <f t="shared" si="3"/>
        <v/>
      </c>
      <c r="BL26" s="236" t="str">
        <f t="shared" si="3"/>
        <v/>
      </c>
      <c r="BM26" s="236" t="str">
        <f t="shared" si="3"/>
        <v/>
      </c>
      <c r="BN26" s="236" t="str">
        <f t="shared" si="3"/>
        <v/>
      </c>
      <c r="BO26" s="236" t="str">
        <f t="shared" ref="BO26:BU26" si="4">IF(BO24="Yes",1,"")</f>
        <v/>
      </c>
      <c r="BP26" s="236" t="str">
        <f t="shared" si="4"/>
        <v/>
      </c>
      <c r="BQ26" s="236" t="str">
        <f t="shared" si="4"/>
        <v/>
      </c>
      <c r="BR26" s="236" t="str">
        <f t="shared" si="4"/>
        <v/>
      </c>
      <c r="BS26" s="236" t="str">
        <f t="shared" si="4"/>
        <v/>
      </c>
      <c r="BT26" s="236" t="str">
        <f t="shared" si="4"/>
        <v/>
      </c>
      <c r="BU26" s="236" t="str">
        <f t="shared" si="4"/>
        <v/>
      </c>
    </row>
    <row r="27" spans="1:73">
      <c r="A27" s="75" t="s">
        <v>249</v>
      </c>
      <c r="B27" s="377" t="str">
        <f>IF(B26=1,SUM($A26:B$26),IF(B23&gt;"",0,""))</f>
        <v/>
      </c>
      <c r="C27" s="378" t="str">
        <f>IF(C26=1,SUM($A26:C$26),IF(C23&gt;"",0,""))</f>
        <v/>
      </c>
      <c r="D27" s="378">
        <f>IF(D26=1,SUM($A26:D$26),IF(D23&gt;"",0,""))</f>
        <v>1</v>
      </c>
      <c r="E27" s="378">
        <f>IF(E26=1,SUM($A26:E$26),IF(E23&gt;"",0,""))</f>
        <v>0</v>
      </c>
      <c r="F27" s="378">
        <f>IF(F26=1,SUM($A26:F$26),IF(F23&gt;"",0,""))</f>
        <v>0</v>
      </c>
      <c r="G27" s="378">
        <f>IF(G26=1,SUM($A26:G$26),IF(G23&gt;"",0,""))</f>
        <v>0</v>
      </c>
      <c r="H27" s="378">
        <f>IF(H26=1,SUM($A26:H$26),IF(H23&gt;"",0,""))</f>
        <v>0</v>
      </c>
      <c r="I27" s="378">
        <f>IF(I26=1,SUM($A26:I$26),IF(I23&gt;"",0,""))</f>
        <v>0</v>
      </c>
      <c r="J27" s="378">
        <f>IF(J26=1,SUM($A26:J$26),IF(J23&gt;"",0,""))</f>
        <v>0</v>
      </c>
      <c r="K27" s="378">
        <f>IF(K26=1,SUM($A26:K$26),IF(K23&gt;"",0,""))</f>
        <v>2</v>
      </c>
      <c r="L27" s="378">
        <f>IF(L26=1,SUM($A26:L$26),IF(L23&gt;"",0,""))</f>
        <v>0</v>
      </c>
      <c r="M27" s="379">
        <f>IF(M26=1,SUM($A26:M$26),IF(M23&gt;"",0,""))</f>
        <v>0</v>
      </c>
      <c r="N27" s="380">
        <f>IF(N26=1,SUM($A26:N$26),IF(N23&gt;"",0,""))</f>
        <v>0</v>
      </c>
      <c r="O27" s="381">
        <f>IF(O26=1,SUM($A26:O$26),IF(O23&gt;"",0,""))</f>
        <v>0</v>
      </c>
      <c r="P27" s="381" t="str">
        <f>IF(P26=1,SUM($A26:P$26),IF(P23&gt;"",0,""))</f>
        <v/>
      </c>
      <c r="Q27" s="381" t="str">
        <f>IF(Q26=1,SUM($A26:Q$26),IF(Q23&gt;"",0,""))</f>
        <v/>
      </c>
      <c r="R27" s="381" t="str">
        <f>IF(R26=1,SUM($A26:R$26),IF(R23&gt;"",0,""))</f>
        <v/>
      </c>
      <c r="S27" s="381" t="str">
        <f>IF(S26=1,SUM($A26:S$26),IF(S23&gt;"",0,""))</f>
        <v/>
      </c>
      <c r="T27" s="381" t="str">
        <f>IF(T26=1,SUM($A26:T$26),IF(T23&gt;"",0,""))</f>
        <v/>
      </c>
      <c r="U27" s="381" t="str">
        <f>IF(U26=1,SUM($A26:U$26),IF(U23&gt;"",0,""))</f>
        <v/>
      </c>
      <c r="V27" s="381" t="str">
        <f>IF(V26=1,SUM($A26:V$26),IF(V23&gt;"",0,""))</f>
        <v/>
      </c>
      <c r="W27" s="381" t="str">
        <f>IF(W26=1,SUM($A26:W$26),IF(W23&gt;"",0,""))</f>
        <v/>
      </c>
      <c r="X27" s="381" t="str">
        <f>IF(X26=1,SUM($A26:X$26),IF(X23&gt;"",0,""))</f>
        <v/>
      </c>
      <c r="Y27" s="382" t="str">
        <f>IF(Y26=1,SUM($A26:Y$26),IF(Y23&gt;"",0,""))</f>
        <v/>
      </c>
      <c r="Z27" s="383" t="str">
        <f>IF(Z26=1,SUM($A26:Z$26),IF(Z23&gt;"",0,""))</f>
        <v/>
      </c>
      <c r="AA27" s="384" t="str">
        <f>IF(AA26=1,SUM($A26:AA$26),IF(AA23&gt;"",0,""))</f>
        <v/>
      </c>
      <c r="AB27" s="384" t="str">
        <f>IF(AB26=1,SUM($A26:AB$26),IF(AB23&gt;"",0,""))</f>
        <v/>
      </c>
      <c r="AC27" s="384" t="str">
        <f>IF(AC26=1,SUM($A26:AC$26),IF(AC23&gt;"",0,""))</f>
        <v/>
      </c>
      <c r="AD27" s="384" t="str">
        <f>IF(AD26=1,SUM($A26:AD$26),IF(AD23&gt;"",0,""))</f>
        <v/>
      </c>
      <c r="AE27" s="384" t="str">
        <f>IF(AE26=1,SUM($A26:AE$26),IF(AE23&gt;"",0,""))</f>
        <v/>
      </c>
      <c r="AF27" s="384" t="str">
        <f>IF(AF26=1,SUM($A26:AF$26),IF(AF23&gt;"",0,""))</f>
        <v/>
      </c>
      <c r="AG27" s="384" t="str">
        <f>IF(AG26=1,SUM($A26:AG$26),IF(AG23&gt;"",0,""))</f>
        <v/>
      </c>
      <c r="AH27" s="384" t="str">
        <f>IF(AH26=1,SUM($A26:AH$26),IF(AH23&gt;"",0,""))</f>
        <v/>
      </c>
      <c r="AI27" s="384" t="str">
        <f>IF(AI26=1,SUM($A26:AI$26),IF(AI23&gt;"",0,""))</f>
        <v/>
      </c>
      <c r="AJ27" s="384" t="str">
        <f>IF(AJ26=1,SUM($A26:AJ$26),IF(AJ23&gt;"",0,""))</f>
        <v/>
      </c>
      <c r="AK27" s="385" t="str">
        <f>IF(AK26=1,SUM($A26:AK$26),IF(AK23&gt;"",0,""))</f>
        <v/>
      </c>
      <c r="AL27" s="386" t="str">
        <f>IF(AL26=1,SUM($A26:AL$26),IF(AL23&gt;"",0,""))</f>
        <v/>
      </c>
      <c r="AM27" s="387" t="str">
        <f>IF(AM26=1,SUM($A26:AM$26),IF(AM23&gt;"",0,""))</f>
        <v/>
      </c>
      <c r="AN27" s="387" t="str">
        <f>IF(AN26=1,SUM($A26:AN$26),IF(AN23&gt;"",0,""))</f>
        <v/>
      </c>
      <c r="AO27" s="387" t="str">
        <f>IF(AO26=1,SUM($A26:AO$26),IF(AO23&gt;"",0,""))</f>
        <v/>
      </c>
      <c r="AP27" s="387" t="str">
        <f>IF(AP26=1,SUM($A26:AP$26),IF(AP23&gt;"",0,""))</f>
        <v/>
      </c>
      <c r="AQ27" s="387" t="str">
        <f>IF(AQ26=1,SUM($A26:AQ$26),IF(AQ23&gt;"",0,""))</f>
        <v/>
      </c>
      <c r="AR27" s="387" t="str">
        <f>IF(AR26=1,SUM($A26:AR$26),IF(AR23&gt;"",0,""))</f>
        <v/>
      </c>
      <c r="AS27" s="387" t="str">
        <f>IF(AS26=1,SUM($A26:AS$26),IF(AS23&gt;"",0,""))</f>
        <v/>
      </c>
      <c r="AT27" s="387" t="str">
        <f>IF(AT26=1,SUM($A26:AT$26),IF(AT23&gt;"",0,""))</f>
        <v/>
      </c>
      <c r="AU27" s="387" t="str">
        <f>IF(AU26=1,SUM($A26:AU$26),IF(AU23&gt;"",0,""))</f>
        <v/>
      </c>
      <c r="AV27" s="387" t="str">
        <f>IF(AV26=1,SUM($A26:AV$26),IF(AV23&gt;"",0,""))</f>
        <v/>
      </c>
      <c r="AW27" s="388" t="str">
        <f>IF(AW26=1,SUM($A26:AW$26),IF(AW23&gt;"",0,""))</f>
        <v/>
      </c>
      <c r="AX27" s="392" t="str">
        <f>IF(AX26=1,SUM($A26:AX$26),IF(AX23&gt;"",0,""))</f>
        <v/>
      </c>
      <c r="AY27" s="393" t="str">
        <f>IF(AY26=1,SUM($A26:AY$26),IF(AY23&gt;"",0,""))</f>
        <v/>
      </c>
      <c r="AZ27" s="393" t="str">
        <f>IF(AZ26=1,SUM($A26:AZ$26),IF(AZ23&gt;"",0,""))</f>
        <v/>
      </c>
      <c r="BA27" s="393" t="str">
        <f>IF(BA26=1,SUM($A26:BA$26),IF(BA23&gt;"",0,""))</f>
        <v/>
      </c>
      <c r="BB27" s="393" t="str">
        <f>IF(BB26=1,SUM($A26:BB$26),IF(BB23&gt;"",0,""))</f>
        <v/>
      </c>
      <c r="BC27" s="393" t="str">
        <f>IF(BC26=1,SUM($A26:BC$26),IF(BC23&gt;"",0,""))</f>
        <v/>
      </c>
      <c r="BD27" s="393" t="str">
        <f>IF(BD26=1,SUM($A26:BD$26),IF(BD23&gt;"",0,""))</f>
        <v/>
      </c>
      <c r="BE27" s="393" t="str">
        <f>IF(BE26=1,SUM($A26:BE$26),IF(BE23&gt;"",0,""))</f>
        <v/>
      </c>
      <c r="BF27" s="393" t="str">
        <f>IF(BF26=1,SUM($A26:BF$26),IF(BF23&gt;"",0,""))</f>
        <v/>
      </c>
      <c r="BG27" s="393" t="str">
        <f>IF(BG26=1,SUM($A26:BG$26),IF(BG23&gt;"",0,""))</f>
        <v/>
      </c>
      <c r="BH27" s="393" t="str">
        <f>IF(BH26=1,SUM($A26:BH$26),IF(BH23&gt;"",0,""))</f>
        <v/>
      </c>
      <c r="BI27" s="394" t="str">
        <f>IF(BI26=1,SUM($A26:BI$26),IF(BI23&gt;"",0,""))</f>
        <v/>
      </c>
      <c r="BJ27" s="389" t="str">
        <f>IF(BJ26=1,SUM($A26:BJ$26),IF(BJ23&gt;"",0,""))</f>
        <v/>
      </c>
      <c r="BK27" s="390" t="str">
        <f>IF(BK26=1,SUM($A26:BK$26),IF(BK23&gt;"",0,""))</f>
        <v/>
      </c>
      <c r="BL27" s="390" t="str">
        <f>IF(BL26=1,SUM($A26:BL$26),IF(BL23&gt;"",0,""))</f>
        <v/>
      </c>
      <c r="BM27" s="390" t="str">
        <f>IF(BM26=1,SUM($A26:BM$26),IF(BM23&gt;"",0,""))</f>
        <v/>
      </c>
      <c r="BN27" s="390" t="str">
        <f>IF(BN26=1,SUM($A26:BN$26),IF(BN23&gt;"",0,""))</f>
        <v/>
      </c>
      <c r="BO27" s="390" t="str">
        <f>IF(BO26=1,SUM($A26:BO$26),IF(BO23&gt;"",0,""))</f>
        <v/>
      </c>
      <c r="BP27" s="390" t="str">
        <f>IF(BP26=1,SUM($A26:BP$26),IF(BP23&gt;"",0,""))</f>
        <v/>
      </c>
      <c r="BQ27" s="390" t="str">
        <f>IF(BQ26=1,SUM($A26:BQ$26),IF(BQ23&gt;"",0,""))</f>
        <v/>
      </c>
      <c r="BR27" s="390" t="str">
        <f>IF(BR26=1,SUM($A26:BR$26),IF(BR23&gt;"",0,""))</f>
        <v/>
      </c>
      <c r="BS27" s="390" t="str">
        <f>IF(BS26=1,SUM($A26:BS$26),IF(BS23&gt;"",0,""))</f>
        <v/>
      </c>
      <c r="BT27" s="390" t="str">
        <f>IF(BT26=1,SUM($A26:BT$26),IF(BT23&gt;"",0,""))</f>
        <v/>
      </c>
      <c r="BU27" s="391" t="str">
        <f>IF(BU26=1,SUM($A26:BU$26),IF(BU23&gt;"",0,""))</f>
        <v/>
      </c>
    </row>
    <row r="28" spans="1:73">
      <c r="A28" s="67"/>
      <c r="B28" s="67"/>
      <c r="C28" s="67"/>
      <c r="D28" s="67"/>
      <c r="E28" s="67"/>
      <c r="F28" s="67"/>
    </row>
    <row r="29" spans="1:73">
      <c r="A29" s="655" t="s">
        <v>489</v>
      </c>
      <c r="B29" s="372" t="s">
        <v>16070</v>
      </c>
      <c r="C29" s="67"/>
      <c r="D29" s="1494" t="s">
        <v>487</v>
      </c>
      <c r="E29" s="1494"/>
      <c r="F29" s="1494"/>
      <c r="G29" s="1493" t="s">
        <v>8819</v>
      </c>
      <c r="H29" s="1493"/>
      <c r="I29" s="1493"/>
      <c r="J29" s="1493"/>
    </row>
    <row r="30" spans="1:73">
      <c r="A30" s="655" t="s">
        <v>488</v>
      </c>
      <c r="B30" s="372" t="s">
        <v>16062</v>
      </c>
      <c r="C30" s="67"/>
      <c r="D30" s="1494"/>
      <c r="E30" s="1494"/>
      <c r="F30" s="1494"/>
      <c r="G30" s="1493" t="s">
        <v>8819</v>
      </c>
      <c r="H30" s="1493"/>
      <c r="I30" s="1493"/>
      <c r="J30" s="1493"/>
    </row>
    <row r="31" spans="1:73">
      <c r="A31" s="67"/>
      <c r="B31" s="67"/>
      <c r="C31" s="67"/>
      <c r="D31" s="67"/>
      <c r="E31" s="67"/>
      <c r="F31" s="67"/>
    </row>
    <row r="32" spans="1:73">
      <c r="A32" s="99" t="s">
        <v>490</v>
      </c>
      <c r="B32" s="372" t="s">
        <v>16062</v>
      </c>
      <c r="C32" s="67"/>
      <c r="D32" s="1494" t="s">
        <v>487</v>
      </c>
      <c r="E32" s="1494"/>
      <c r="F32" s="1494"/>
      <c r="G32" s="1493" t="s">
        <v>8819</v>
      </c>
      <c r="H32" s="1493"/>
      <c r="I32" s="1493"/>
      <c r="J32" s="1493"/>
    </row>
    <row r="33" spans="1:6">
      <c r="A33" s="260"/>
      <c r="B33" s="73"/>
      <c r="C33" s="73"/>
      <c r="D33" s="73"/>
      <c r="E33" s="73"/>
      <c r="F33" s="73"/>
    </row>
    <row r="34" spans="1:6" s="66" customFormat="1">
      <c r="A34" s="76" t="s">
        <v>142</v>
      </c>
      <c r="B34" s="95" t="str">
        <f>B32</f>
        <v>FY 22</v>
      </c>
      <c r="C34" s="94" t="str">
        <f>CONCATENATE("FY ",RIGHT(B34,2)+1)</f>
        <v>FY 23</v>
      </c>
      <c r="D34" s="94" t="str">
        <f t="shared" ref="D34:F34" si="5">CONCATENATE("FY ",RIGHT(C34,2)+1)</f>
        <v>FY 24</v>
      </c>
      <c r="E34" s="94" t="str">
        <f t="shared" si="5"/>
        <v>FY 25</v>
      </c>
      <c r="F34" s="94" t="str">
        <f t="shared" si="5"/>
        <v>FY 26</v>
      </c>
    </row>
    <row r="35" spans="1:6">
      <c r="A35" s="77"/>
      <c r="B35" s="78"/>
      <c r="C35" s="78"/>
      <c r="D35" s="78"/>
      <c r="E35" s="78"/>
      <c r="F35" s="78"/>
    </row>
    <row r="37" spans="1:6">
      <c r="A37" s="141" t="s">
        <v>8733</v>
      </c>
    </row>
    <row r="38" spans="1:6">
      <c r="A38" s="142" t="s">
        <v>8507</v>
      </c>
    </row>
    <row r="39" spans="1:6">
      <c r="A39" s="142" t="s">
        <v>12</v>
      </c>
    </row>
    <row r="40" spans="1:6">
      <c r="A40" s="142" t="s">
        <v>437</v>
      </c>
    </row>
    <row r="41" spans="1:6">
      <c r="A41" s="142" t="s">
        <v>12830</v>
      </c>
      <c r="B41" s="74"/>
    </row>
    <row r="42" spans="1:6">
      <c r="A42" s="142" t="s">
        <v>33</v>
      </c>
    </row>
    <row r="43" spans="1:6">
      <c r="A43" s="142" t="s">
        <v>109</v>
      </c>
    </row>
    <row r="44" spans="1:6">
      <c r="A44" s="142" t="s">
        <v>198</v>
      </c>
    </row>
    <row r="45" spans="1:6">
      <c r="A45" s="1250" t="s">
        <v>8447</v>
      </c>
      <c r="C45" s="1529" t="s">
        <v>199</v>
      </c>
      <c r="D45" s="1529"/>
      <c r="E45" s="1529"/>
      <c r="F45" s="1529"/>
    </row>
    <row r="46" spans="1:6">
      <c r="A46" s="1250" t="s">
        <v>8746</v>
      </c>
      <c r="C46" s="1529"/>
      <c r="D46" s="1529"/>
      <c r="E46" s="1529"/>
      <c r="F46" s="1529"/>
    </row>
    <row r="47" spans="1:6">
      <c r="A47" s="1251" t="s">
        <v>414</v>
      </c>
      <c r="C47" s="1529"/>
      <c r="D47" s="1529"/>
      <c r="E47" s="1529"/>
      <c r="F47" s="1529"/>
    </row>
    <row r="48" spans="1:6">
      <c r="A48" s="1251" t="s">
        <v>415</v>
      </c>
      <c r="C48" s="1529"/>
      <c r="D48" s="1529"/>
      <c r="E48" s="1529"/>
      <c r="F48" s="1529"/>
    </row>
    <row r="49" spans="1:20">
      <c r="A49" s="1252" t="s">
        <v>416</v>
      </c>
      <c r="C49" s="1529"/>
      <c r="D49" s="1529"/>
      <c r="E49" s="1529"/>
      <c r="F49" s="1529"/>
    </row>
    <row r="51" spans="1:20">
      <c r="A51" s="167" t="s">
        <v>127</v>
      </c>
      <c r="B51" s="447">
        <v>4.8800000000000003E-2</v>
      </c>
      <c r="D51" s="1531" t="s">
        <v>8548</v>
      </c>
      <c r="E51" s="1531"/>
      <c r="F51" s="1531"/>
      <c r="G51" s="1531"/>
      <c r="H51" s="1531"/>
      <c r="I51" s="134"/>
      <c r="J51" s="134"/>
      <c r="K51" s="134"/>
    </row>
    <row r="52" spans="1:20" ht="6" customHeight="1">
      <c r="B52" s="67"/>
      <c r="I52" s="74"/>
      <c r="J52" s="74"/>
      <c r="K52" s="74"/>
    </row>
    <row r="53" spans="1:20">
      <c r="A53" s="65" t="s">
        <v>125</v>
      </c>
      <c r="B53" s="1253">
        <v>20</v>
      </c>
      <c r="D53" s="1531" t="s">
        <v>128</v>
      </c>
      <c r="E53" s="1531"/>
      <c r="F53" s="1531"/>
      <c r="G53" s="1531"/>
      <c r="H53" s="1531"/>
      <c r="I53" s="1531"/>
      <c r="J53" s="134"/>
      <c r="K53" s="134"/>
    </row>
    <row r="54" spans="1:20" ht="6" customHeight="1"/>
    <row r="55" spans="1:20" hidden="1">
      <c r="A55" s="143" t="s">
        <v>293</v>
      </c>
      <c r="B55" s="447">
        <v>0</v>
      </c>
      <c r="C55" s="135"/>
      <c r="D55" s="368" t="s">
        <v>8549</v>
      </c>
      <c r="E55" s="368"/>
      <c r="F55" s="368"/>
      <c r="G55" s="368"/>
      <c r="H55" s="368"/>
      <c r="I55" s="369"/>
      <c r="M55" s="140"/>
      <c r="N55" s="139"/>
    </row>
    <row r="56" spans="1:20" ht="6" customHeight="1"/>
    <row r="57" spans="1:20">
      <c r="A57" s="143" t="s">
        <v>485</v>
      </c>
      <c r="B57" s="447">
        <v>0.06</v>
      </c>
      <c r="D57" s="368" t="s">
        <v>8739</v>
      </c>
      <c r="E57" s="368"/>
      <c r="F57" s="368"/>
      <c r="G57" s="368"/>
      <c r="H57" s="368"/>
      <c r="I57" s="369"/>
    </row>
    <row r="59" spans="1:20" ht="45.75" customHeight="1">
      <c r="A59" s="144" t="s">
        <v>200</v>
      </c>
      <c r="B59" s="145" t="s">
        <v>206</v>
      </c>
      <c r="C59" s="145" t="s">
        <v>207</v>
      </c>
      <c r="D59" s="145" t="s">
        <v>208</v>
      </c>
      <c r="E59" s="145" t="s">
        <v>233</v>
      </c>
      <c r="F59" s="145" t="s">
        <v>234</v>
      </c>
      <c r="G59" s="140"/>
      <c r="H59" s="1530" t="s">
        <v>246</v>
      </c>
      <c r="I59" s="1530"/>
      <c r="J59" s="1530"/>
    </row>
    <row r="60" spans="1:20" ht="15.75" customHeight="1">
      <c r="A60" s="146" t="s">
        <v>205</v>
      </c>
      <c r="B60" s="173" t="str">
        <f>Variables!$N$21</f>
        <v>FY 23</v>
      </c>
      <c r="C60" s="174" t="str">
        <f>Variables!$Z$21</f>
        <v>FY 24</v>
      </c>
      <c r="D60" s="174" t="str">
        <f>Variables!$AL$21</f>
        <v>FY 25</v>
      </c>
      <c r="E60" s="174" t="str">
        <f>Variables!$AX$21</f>
        <v>FY 26</v>
      </c>
      <c r="F60" s="174" t="str">
        <f>Variables!$BJ$21</f>
        <v>FY 27</v>
      </c>
      <c r="G60" s="140"/>
      <c r="H60" s="1530"/>
      <c r="I60" s="1530"/>
      <c r="J60" s="1530"/>
    </row>
    <row r="61" spans="1:20" ht="16.5" customHeight="1">
      <c r="A61" s="147">
        <v>2.5000000000000001E-2</v>
      </c>
      <c r="B61" s="148">
        <f>1+A61</f>
        <v>1.0249999999999999</v>
      </c>
      <c r="C61" s="149">
        <f>$B61^2</f>
        <v>1.0506249999999999</v>
      </c>
      <c r="D61" s="149">
        <f>$B61^3</f>
        <v>1.0768906249999999</v>
      </c>
      <c r="E61" s="149">
        <f>$B61^4</f>
        <v>1.1038128906249998</v>
      </c>
      <c r="F61" s="149">
        <f>$B61^5</f>
        <v>1.1314082128906247</v>
      </c>
      <c r="G61" s="150"/>
      <c r="H61" s="1530"/>
      <c r="I61" s="1530"/>
      <c r="J61" s="1530"/>
      <c r="R61" s="1532"/>
      <c r="S61" s="1532"/>
      <c r="T61" s="1532"/>
    </row>
    <row r="63" spans="1:20" ht="11.25" customHeight="1">
      <c r="A63" s="151" t="s">
        <v>295</v>
      </c>
      <c r="B63" s="143" t="s">
        <v>210</v>
      </c>
      <c r="D63" s="159"/>
      <c r="E63" s="159"/>
      <c r="F63" s="159"/>
    </row>
    <row r="64" spans="1:20" ht="11.25" customHeight="1">
      <c r="A64" s="261">
        <v>0</v>
      </c>
      <c r="B64" s="262">
        <v>0</v>
      </c>
      <c r="D64" s="159"/>
      <c r="E64" s="159"/>
      <c r="F64" s="159"/>
    </row>
    <row r="65" spans="1:14" ht="11.25" customHeight="1">
      <c r="A65" s="263">
        <v>1</v>
      </c>
      <c r="B65" s="446">
        <v>0.1</v>
      </c>
      <c r="D65" s="1533" t="s">
        <v>8820</v>
      </c>
      <c r="E65" s="1533"/>
      <c r="F65" s="1533"/>
      <c r="G65" s="1533"/>
      <c r="H65" s="1533"/>
      <c r="I65" s="1533"/>
      <c r="J65" s="1533"/>
      <c r="K65" s="1533"/>
      <c r="L65" s="1533"/>
      <c r="M65" s="1533"/>
      <c r="N65" s="1533"/>
    </row>
    <row r="66" spans="1:14">
      <c r="A66" s="263">
        <v>2</v>
      </c>
      <c r="B66" s="446">
        <v>0.1</v>
      </c>
      <c r="D66" s="1529" t="s">
        <v>215</v>
      </c>
      <c r="E66" s="1529"/>
      <c r="F66" s="1529"/>
      <c r="G66" s="1529"/>
    </row>
    <row r="67" spans="1:14">
      <c r="A67" s="263">
        <v>3</v>
      </c>
      <c r="B67" s="446">
        <v>0.1</v>
      </c>
      <c r="D67" s="1529"/>
      <c r="E67" s="1529"/>
      <c r="F67" s="1529"/>
      <c r="G67" s="1529"/>
    </row>
    <row r="68" spans="1:14">
      <c r="A68" s="263">
        <v>4</v>
      </c>
      <c r="B68" s="446">
        <v>0.1</v>
      </c>
      <c r="D68" s="1529"/>
      <c r="E68" s="1529"/>
      <c r="F68" s="1529"/>
      <c r="G68" s="1529"/>
    </row>
    <row r="69" spans="1:14">
      <c r="A69" s="263">
        <v>5</v>
      </c>
      <c r="B69" s="446">
        <v>0.1</v>
      </c>
      <c r="D69" s="1529"/>
      <c r="E69" s="1529"/>
      <c r="F69" s="1529"/>
      <c r="G69" s="1529"/>
    </row>
    <row r="70" spans="1:14">
      <c r="A70" s="263">
        <v>6</v>
      </c>
      <c r="B70" s="446">
        <v>0.1</v>
      </c>
    </row>
    <row r="71" spans="1:14">
      <c r="A71" s="263">
        <v>7</v>
      </c>
      <c r="B71" s="446">
        <v>0.1</v>
      </c>
    </row>
    <row r="72" spans="1:14">
      <c r="A72" s="263">
        <v>8</v>
      </c>
      <c r="B72" s="446">
        <v>0.1</v>
      </c>
    </row>
    <row r="73" spans="1:14">
      <c r="A73" s="263">
        <v>9</v>
      </c>
      <c r="B73" s="446">
        <v>0.1</v>
      </c>
    </row>
    <row r="74" spans="1:14">
      <c r="A74" s="263">
        <v>10</v>
      </c>
      <c r="B74" s="446">
        <v>0.1</v>
      </c>
    </row>
    <row r="75" spans="1:14">
      <c r="I75" s="139"/>
    </row>
    <row r="93" spans="1:1">
      <c r="A93" s="742"/>
    </row>
    <row r="94" spans="1:1">
      <c r="A94" s="742"/>
    </row>
    <row r="95" spans="1:1">
      <c r="A95" s="742"/>
    </row>
    <row r="96" spans="1:1">
      <c r="A96" s="742"/>
    </row>
    <row r="97" spans="1:1">
      <c r="A97" s="742"/>
    </row>
    <row r="98" spans="1:1">
      <c r="A98" s="742"/>
    </row>
    <row r="99" spans="1:1">
      <c r="A99" s="742"/>
    </row>
    <row r="100" spans="1:1">
      <c r="A100" s="742"/>
    </row>
    <row r="101" spans="1:1">
      <c r="A101" s="742"/>
    </row>
    <row r="102" spans="1:1">
      <c r="A102" s="742"/>
    </row>
    <row r="103" spans="1:1">
      <c r="A103" s="742"/>
    </row>
    <row r="104" spans="1:1">
      <c r="A104" s="742"/>
    </row>
    <row r="105" spans="1:1">
      <c r="A105" s="742"/>
    </row>
    <row r="106" spans="1:1">
      <c r="A106" s="742"/>
    </row>
    <row r="107" spans="1:1">
      <c r="A107" s="742"/>
    </row>
    <row r="108" spans="1:1">
      <c r="A108" s="742"/>
    </row>
    <row r="109" spans="1:1">
      <c r="A109" s="742"/>
    </row>
    <row r="110" spans="1:1">
      <c r="A110" s="742"/>
    </row>
    <row r="111" spans="1:1">
      <c r="A111" s="742"/>
    </row>
    <row r="112" spans="1:1">
      <c r="A112" s="742"/>
    </row>
    <row r="113" spans="1:1">
      <c r="A113" s="742"/>
    </row>
    <row r="114" spans="1:1">
      <c r="A114" s="742"/>
    </row>
    <row r="115" spans="1:1">
      <c r="A115" s="742"/>
    </row>
    <row r="116" spans="1:1">
      <c r="A116" s="742"/>
    </row>
    <row r="117" spans="1:1">
      <c r="A117" s="742"/>
    </row>
    <row r="118" spans="1:1">
      <c r="A118" s="742"/>
    </row>
    <row r="119" spans="1:1">
      <c r="A119" s="742"/>
    </row>
    <row r="120" spans="1:1">
      <c r="A120" s="742"/>
    </row>
    <row r="121" spans="1:1">
      <c r="A121" s="742"/>
    </row>
    <row r="122" spans="1:1">
      <c r="A122" s="742"/>
    </row>
    <row r="123" spans="1:1">
      <c r="A123" s="742"/>
    </row>
    <row r="124" spans="1:1">
      <c r="A124" s="742"/>
    </row>
    <row r="125" spans="1:1">
      <c r="A125" s="742"/>
    </row>
    <row r="126" spans="1:1">
      <c r="A126" s="742"/>
    </row>
    <row r="127" spans="1:1">
      <c r="A127" s="742"/>
    </row>
    <row r="128" spans="1:1">
      <c r="A128" s="742"/>
    </row>
    <row r="129" spans="1:1">
      <c r="A129" s="742"/>
    </row>
    <row r="130" spans="1:1">
      <c r="A130" s="742"/>
    </row>
    <row r="131" spans="1:1">
      <c r="A131" s="742"/>
    </row>
    <row r="132" spans="1:1">
      <c r="A132" s="742"/>
    </row>
    <row r="133" spans="1:1">
      <c r="A133" s="742"/>
    </row>
    <row r="134" spans="1:1">
      <c r="A134" s="742"/>
    </row>
    <row r="135" spans="1:1">
      <c r="A135" s="742"/>
    </row>
    <row r="136" spans="1:1">
      <c r="A136" s="742"/>
    </row>
    <row r="137" spans="1:1">
      <c r="A137" s="742"/>
    </row>
    <row r="138" spans="1:1">
      <c r="A138" s="742"/>
    </row>
    <row r="139" spans="1:1">
      <c r="A139" s="742"/>
    </row>
    <row r="140" spans="1:1">
      <c r="A140" s="742"/>
    </row>
  </sheetData>
  <sheetProtection algorithmName="SHA-512" hashValue="vG8AfHMtf7RFCQhSA2tGZ3SfBiIQcii+R0I4IXljBc7B+CXwQo3ND2Q8ZJrLMFtstRLMYDjOCUpqVxbFBHnFMg==" saltValue="Lw6JX3MvyXGfT3koqYjCYg==" spinCount="100000" sheet="1" objects="1" scenarios="1" selectLockedCells="1"/>
  <protectedRanges>
    <protectedRange sqref="B65:B68" name="Risk Percentages"/>
    <protectedRange sqref="A47:A49" name="Firms"/>
    <protectedRange sqref="B32" name="RTB FY"/>
    <protectedRange sqref="B23:BU24" name="Phases"/>
    <protectedRange sqref="B51" name="AFUDC"/>
    <protectedRange sqref="B53 B55 B57" name="Days Per Month"/>
    <protectedRange sqref="B5:F9 B2 C4:G4 B3:K3" name="RTB Tab"/>
    <protectedRange sqref="A45:A46" name="Firms_1"/>
  </protectedRanges>
  <mergeCells count="46">
    <mergeCell ref="I14:L14"/>
    <mergeCell ref="I15:L15"/>
    <mergeCell ref="G19:J19"/>
    <mergeCell ref="G29:J29"/>
    <mergeCell ref="G30:J30"/>
    <mergeCell ref="F16:H16"/>
    <mergeCell ref="I16:L16"/>
    <mergeCell ref="C45:F49"/>
    <mergeCell ref="D66:G69"/>
    <mergeCell ref="H59:J61"/>
    <mergeCell ref="D53:I53"/>
    <mergeCell ref="R61:T61"/>
    <mergeCell ref="D51:H51"/>
    <mergeCell ref="D65:N65"/>
    <mergeCell ref="AX21:BI21"/>
    <mergeCell ref="BJ21:BU21"/>
    <mergeCell ref="B8:F8"/>
    <mergeCell ref="B7:F7"/>
    <mergeCell ref="D19:F19"/>
    <mergeCell ref="AL21:AW21"/>
    <mergeCell ref="B21:M21"/>
    <mergeCell ref="N21:Y21"/>
    <mergeCell ref="B12:D12"/>
    <mergeCell ref="F12:H12"/>
    <mergeCell ref="F13:H13"/>
    <mergeCell ref="F14:H14"/>
    <mergeCell ref="Z21:AK21"/>
    <mergeCell ref="B9:C9"/>
    <mergeCell ref="O7:R7"/>
    <mergeCell ref="I12:L12"/>
    <mergeCell ref="O2:R2"/>
    <mergeCell ref="F15:H15"/>
    <mergeCell ref="D32:F32"/>
    <mergeCell ref="D29:F30"/>
    <mergeCell ref="G32:J32"/>
    <mergeCell ref="L2:N2"/>
    <mergeCell ref="L5:N5"/>
    <mergeCell ref="L7:N7"/>
    <mergeCell ref="G7:J8"/>
    <mergeCell ref="B3:K3"/>
    <mergeCell ref="B5:F5"/>
    <mergeCell ref="B6:F6"/>
    <mergeCell ref="L4:N4"/>
    <mergeCell ref="O4:R4"/>
    <mergeCell ref="O5:R5"/>
    <mergeCell ref="I13:L13"/>
  </mergeCells>
  <conditionalFormatting sqref="B21:M21">
    <cfRule type="cellIs" dxfId="883" priority="220" operator="equal">
      <formula>0</formula>
    </cfRule>
  </conditionalFormatting>
  <conditionalFormatting sqref="B25:AW26">
    <cfRule type="cellIs" dxfId="882" priority="213" stopIfTrue="1" operator="equal">
      <formula>"Start"</formula>
    </cfRule>
    <cfRule type="cellIs" dxfId="881" priority="214" stopIfTrue="1" operator="equal">
      <formula>"Req"</formula>
    </cfRule>
    <cfRule type="cellIs" dxfId="880" priority="215" stopIfTrue="1" operator="equal">
      <formula>"Des"</formula>
    </cfRule>
    <cfRule type="cellIs" dxfId="879" priority="216" stopIfTrue="1" operator="equal">
      <formula>"Dev"</formula>
    </cfRule>
    <cfRule type="cellIs" dxfId="878" priority="217" operator="equal">
      <formula>"Impl"</formula>
    </cfRule>
  </conditionalFormatting>
  <conditionalFormatting sqref="B34">
    <cfRule type="cellIs" dxfId="877" priority="210" operator="equal">
      <formula>0</formula>
    </cfRule>
  </conditionalFormatting>
  <conditionalFormatting sqref="N21:Y21">
    <cfRule type="cellIs" dxfId="876" priority="209" operator="equal">
      <formula>"FY 1/1"</formula>
    </cfRule>
  </conditionalFormatting>
  <conditionalFormatting sqref="Z21:AW21">
    <cfRule type="cellIs" dxfId="875" priority="208" operator="equal">
      <formula>"FY 2/2"</formula>
    </cfRule>
  </conditionalFormatting>
  <conditionalFormatting sqref="C34:F34">
    <cfRule type="cellIs" dxfId="874" priority="204" operator="equal">
      <formula>"FY 4/4"</formula>
    </cfRule>
    <cfRule type="cellIs" dxfId="873" priority="205" stopIfTrue="1" operator="equal">
      <formula>"FY 3/3"</formula>
    </cfRule>
    <cfRule type="cellIs" dxfId="872" priority="206" stopIfTrue="1" operator="equal">
      <formula>"FY 2/2"</formula>
    </cfRule>
    <cfRule type="cellIs" dxfId="871" priority="207" stopIfTrue="1" operator="equal">
      <formula>"FY 1/1"</formula>
    </cfRule>
  </conditionalFormatting>
  <conditionalFormatting sqref="AL21:AW21">
    <cfRule type="cellIs" dxfId="870" priority="203" operator="equal">
      <formula>"FY 3/3"</formula>
    </cfRule>
  </conditionalFormatting>
  <conditionalFormatting sqref="AX25:BI26">
    <cfRule type="cellIs" dxfId="869" priority="198" stopIfTrue="1" operator="equal">
      <formula>"Start"</formula>
    </cfRule>
    <cfRule type="cellIs" dxfId="868" priority="199" stopIfTrue="1" operator="equal">
      <formula>"Req"</formula>
    </cfRule>
    <cfRule type="cellIs" dxfId="867" priority="200" stopIfTrue="1" operator="equal">
      <formula>"Des"</formula>
    </cfRule>
    <cfRule type="cellIs" dxfId="866" priority="201" stopIfTrue="1" operator="equal">
      <formula>"Dev"</formula>
    </cfRule>
    <cfRule type="cellIs" dxfId="865" priority="202" operator="equal">
      <formula>"Impl"</formula>
    </cfRule>
  </conditionalFormatting>
  <conditionalFormatting sqref="AX21:BI21">
    <cfRule type="cellIs" dxfId="864" priority="196" operator="equal">
      <formula>"FY 4/4"</formula>
    </cfRule>
  </conditionalFormatting>
  <conditionalFormatting sqref="BJ25:BU26">
    <cfRule type="cellIs" dxfId="863" priority="191" stopIfTrue="1" operator="equal">
      <formula>"Start"</formula>
    </cfRule>
    <cfRule type="cellIs" dxfId="862" priority="192" stopIfTrue="1" operator="equal">
      <formula>"Req"</formula>
    </cfRule>
    <cfRule type="cellIs" dxfId="861" priority="193" stopIfTrue="1" operator="equal">
      <formula>"Des"</formula>
    </cfRule>
    <cfRule type="cellIs" dxfId="860" priority="194" stopIfTrue="1" operator="equal">
      <formula>"Dev"</formula>
    </cfRule>
    <cfRule type="cellIs" dxfId="859" priority="195" operator="equal">
      <formula>"Impl"</formula>
    </cfRule>
  </conditionalFormatting>
  <conditionalFormatting sqref="BJ21:BU21">
    <cfRule type="cellIs" dxfId="858" priority="189" operator="equal">
      <formula>"FY 5/5"</formula>
    </cfRule>
  </conditionalFormatting>
  <conditionalFormatting sqref="B24:C24 P24:BU24">
    <cfRule type="cellIs" dxfId="857" priority="171" stopIfTrue="1" operator="equal">
      <formula>"CLR"</formula>
    </cfRule>
    <cfRule type="cellIs" dxfId="856" priority="172" stopIfTrue="1" operator="equal">
      <formula>"PIS"</formula>
    </cfRule>
    <cfRule type="cellIs" dxfId="855" priority="173" stopIfTrue="1" operator="equal">
      <formula>"Rel"</formula>
    </cfRule>
    <cfRule type="cellIs" dxfId="854" priority="174" stopIfTrue="1" operator="equal">
      <formula>"Sprint0"</formula>
    </cfRule>
    <cfRule type="cellIs" dxfId="853" priority="175" stopIfTrue="1" operator="equal">
      <formula>"Start"</formula>
    </cfRule>
    <cfRule type="cellIs" dxfId="852" priority="176" stopIfTrue="1" operator="equal">
      <formula>"Req"</formula>
    </cfRule>
    <cfRule type="cellIs" dxfId="851" priority="177" stopIfTrue="1" operator="equal">
      <formula>"Des"</formula>
    </cfRule>
    <cfRule type="cellIs" dxfId="850" priority="178" stopIfTrue="1" operator="equal">
      <formula>"Dev"</formula>
    </cfRule>
    <cfRule type="cellIs" dxfId="849" priority="179" operator="equal">
      <formula>"Impl"</formula>
    </cfRule>
  </conditionalFormatting>
  <conditionalFormatting sqref="B27:M27">
    <cfRule type="cellIs" dxfId="848" priority="170" operator="equal">
      <formula>0</formula>
    </cfRule>
  </conditionalFormatting>
  <conditionalFormatting sqref="N27:Y27">
    <cfRule type="cellIs" dxfId="847" priority="169" operator="equal">
      <formula>"FY 1/1"</formula>
    </cfRule>
  </conditionalFormatting>
  <conditionalFormatting sqref="Z27:AW27">
    <cfRule type="cellIs" dxfId="846" priority="168" operator="equal">
      <formula>"FY 2/2"</formula>
    </cfRule>
  </conditionalFormatting>
  <conditionalFormatting sqref="AL27:AW27">
    <cfRule type="cellIs" dxfId="845" priority="167" operator="equal">
      <formula>"FY 3/3"</formula>
    </cfRule>
  </conditionalFormatting>
  <conditionalFormatting sqref="AX27:BI27">
    <cfRule type="cellIs" dxfId="844" priority="166" operator="equal">
      <formula>"FY 4/4"</formula>
    </cfRule>
  </conditionalFormatting>
  <conditionalFormatting sqref="BJ27:BU27">
    <cfRule type="cellIs" dxfId="843" priority="165" operator="equal">
      <formula>"FY 5/5"</formula>
    </cfRule>
  </conditionalFormatting>
  <conditionalFormatting sqref="B23:C23 P23:BU23">
    <cfRule type="cellIs" dxfId="842" priority="19" operator="equal">
      <formula>"PIS"</formula>
    </cfRule>
    <cfRule type="cellIs" dxfId="841" priority="146" stopIfTrue="1" operator="equal">
      <formula>"Close"</formula>
    </cfRule>
    <cfRule type="cellIs" dxfId="840" priority="148" stopIfTrue="1" operator="equal">
      <formula>"Rel"</formula>
    </cfRule>
    <cfRule type="cellIs" dxfId="839" priority="149" stopIfTrue="1" operator="equal">
      <formula>"Sprint0"</formula>
    </cfRule>
    <cfRule type="cellIs" dxfId="838" priority="160" stopIfTrue="1" operator="equal">
      <formula>"Start"</formula>
    </cfRule>
    <cfRule type="cellIs" dxfId="837" priority="161" stopIfTrue="1" operator="equal">
      <formula>"Req"</formula>
    </cfRule>
    <cfRule type="cellIs" dxfId="836" priority="162" stopIfTrue="1" operator="equal">
      <formula>"Des"</formula>
    </cfRule>
    <cfRule type="cellIs" dxfId="835" priority="163" stopIfTrue="1" operator="equal">
      <formula>"Dev"</formula>
    </cfRule>
    <cfRule type="cellIs" dxfId="834" priority="164" operator="equal">
      <formula>"Impl"</formula>
    </cfRule>
  </conditionalFormatting>
  <conditionalFormatting sqref="B27:BU27">
    <cfRule type="cellIs" dxfId="833" priority="145" operator="greaterThan">
      <formula>0</formula>
    </cfRule>
  </conditionalFormatting>
  <conditionalFormatting sqref="D24:O24">
    <cfRule type="cellIs" dxfId="832" priority="10" stopIfTrue="1" operator="equal">
      <formula>"CLR"</formula>
    </cfRule>
    <cfRule type="cellIs" dxfId="831" priority="11" stopIfTrue="1" operator="equal">
      <formula>"PIS"</formula>
    </cfRule>
    <cfRule type="cellIs" dxfId="830" priority="12" stopIfTrue="1" operator="equal">
      <formula>"Rel"</formula>
    </cfRule>
    <cfRule type="cellIs" dxfId="829" priority="13" stopIfTrue="1" operator="equal">
      <formula>"Sprint0"</formula>
    </cfRule>
    <cfRule type="cellIs" dxfId="828" priority="14" stopIfTrue="1" operator="equal">
      <formula>"Start"</formula>
    </cfRule>
    <cfRule type="cellIs" dxfId="827" priority="15" stopIfTrue="1" operator="equal">
      <formula>"Req"</formula>
    </cfRule>
    <cfRule type="cellIs" dxfId="826" priority="16" stopIfTrue="1" operator="equal">
      <formula>"Des"</formula>
    </cfRule>
    <cfRule type="cellIs" dxfId="825" priority="17" stopIfTrue="1" operator="equal">
      <formula>"Dev"</formula>
    </cfRule>
    <cfRule type="cellIs" dxfId="824" priority="18" operator="equal">
      <formula>"Impl"</formula>
    </cfRule>
  </conditionalFormatting>
  <conditionalFormatting sqref="D23:O23">
    <cfRule type="cellIs" dxfId="823" priority="1" operator="equal">
      <formula>"PIS"</formula>
    </cfRule>
    <cfRule type="cellIs" dxfId="822" priority="2" stopIfTrue="1" operator="equal">
      <formula>"Close"</formula>
    </cfRule>
    <cfRule type="cellIs" dxfId="821" priority="3" stopIfTrue="1" operator="equal">
      <formula>"Rel"</formula>
    </cfRule>
    <cfRule type="cellIs" dxfId="820" priority="4" stopIfTrue="1" operator="equal">
      <formula>"Sprint0"</formula>
    </cfRule>
    <cfRule type="cellIs" dxfId="819" priority="5" stopIfTrue="1" operator="equal">
      <formula>"Start"</formula>
    </cfRule>
    <cfRule type="cellIs" dxfId="818" priority="6" stopIfTrue="1" operator="equal">
      <formula>"Req"</formula>
    </cfRule>
    <cfRule type="cellIs" dxfId="817" priority="7" stopIfTrue="1" operator="equal">
      <formula>"Des"</formula>
    </cfRule>
    <cfRule type="cellIs" dxfId="816" priority="8" stopIfTrue="1" operator="equal">
      <formula>"Dev"</formula>
    </cfRule>
    <cfRule type="cellIs" dxfId="815" priority="9" operator="equal">
      <formula>"Impl"</formula>
    </cfRule>
  </conditionalFormatting>
  <dataValidations count="14">
    <dataValidation type="list" allowBlank="1" showInputMessage="1" showErrorMessage="1" sqref="B19 B30" xr:uid="{00000000-0002-0000-0100-000000000000}">
      <formula1>FY_ProjRel</formula1>
    </dataValidation>
    <dataValidation type="list" allowBlank="1" showInputMessage="1" showErrorMessage="1" sqref="B32" xr:uid="{00000000-0002-0000-0100-000001000000}">
      <formula1>FY_RTB</formula1>
    </dataValidation>
    <dataValidation type="list" allowBlank="1" showInputMessage="1" showErrorMessage="1" sqref="B18" xr:uid="{00000000-0002-0000-0100-000002000000}">
      <formula1>"0,1,2,3,4,5,6,7,8,9,10"</formula1>
    </dataValidation>
    <dataValidation type="list" allowBlank="1" showInputMessage="1" showErrorMessage="1" sqref="B24:BU24" xr:uid="{00000000-0002-0000-0100-000003000000}">
      <formula1>"Yes"</formula1>
    </dataValidation>
    <dataValidation type="list" allowBlank="1" showInputMessage="1" showErrorMessage="1" sqref="B23:BU23" xr:uid="{00000000-0002-0000-0100-000004000000}">
      <formula1>"Start, Req, Des, Dev, Impl, PIS, Sprint0, Rel, Close"</formula1>
    </dataValidation>
    <dataValidation type="list" allowBlank="1" showInputMessage="1" showErrorMessage="1" sqref="B29" xr:uid="{E184F1ED-0C7E-4F6B-A51D-1881B3787279}">
      <formula1>FY_Benefits</formula1>
    </dataValidation>
    <dataValidation type="list" allowBlank="1" showInputMessage="1" showErrorMessage="1" sqref="B5:F5" xr:uid="{12A49691-9E41-40C1-9262-E7522EADAFDE}">
      <formula1>INDIRECT(CONCATENATE($B$4,"_BusinessAreas"))</formula1>
    </dataValidation>
    <dataValidation type="list" allowBlank="1" showInputMessage="1" showErrorMessage="1" sqref="B7:F7" xr:uid="{070A5725-F98A-4CFA-8495-74C4D7DD0985}">
      <formula1>BizPartners</formula1>
    </dataValidation>
    <dataValidation type="list" allowBlank="1" showInputMessage="1" showErrorMessage="1" sqref="B2" xr:uid="{1267BF42-EB49-4E6C-906D-43A15F97984B}">
      <formula1>INV_ID</formula1>
    </dataValidation>
    <dataValidation type="list" allowBlank="1" showInputMessage="1" showErrorMessage="1" sqref="B4" xr:uid="{A280E8CE-417C-4523-B898-9B2BB2541A7C}">
      <formula1>Country</formula1>
    </dataValidation>
    <dataValidation type="list" allowBlank="1" showInputMessage="1" showErrorMessage="1" sqref="B14" xr:uid="{41821D87-A994-4C55-9E43-A2698B56960E}">
      <formula1>"High,Medium,Low,No"</formula1>
    </dataValidation>
    <dataValidation type="list" allowBlank="1" showInputMessage="1" showErrorMessage="1" sqref="B12" xr:uid="{E32C5F55-1773-4E61-ACDF-C36CAD33A9DD}">
      <formula1>"Business Critical,Operational Critical,Other"</formula1>
    </dataValidation>
    <dataValidation type="list" allowBlank="1" showInputMessage="1" showErrorMessage="1" sqref="B13" xr:uid="{BE214E03-8A31-4A8E-A1C0-65B6B875B9BC}">
      <formula1>"High,Medium,Low"</formula1>
    </dataValidation>
    <dataValidation type="list" allowBlank="1" showInputMessage="1" showErrorMessage="1" sqref="B15:B16" xr:uid="{707A231C-4FD9-4522-9F3E-205B5FC1BF36}">
      <formula1>"Yes,No"</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tabColor theme="3" tint="0.59999389629810485"/>
    <pageSetUpPr fitToPage="1"/>
  </sheetPr>
  <dimension ref="A1:FN301"/>
  <sheetViews>
    <sheetView tabSelected="1" zoomScale="90" zoomScaleNormal="90" workbookViewId="0">
      <pane xSplit="6" ySplit="4" topLeftCell="G5" activePane="bottomRight" state="frozen"/>
      <selection pane="topRight" activeCell="G1" sqref="G1"/>
      <selection pane="bottomLeft" activeCell="A5" sqref="A5"/>
      <selection pane="bottomRight" activeCell="G11" sqref="G11"/>
    </sheetView>
  </sheetViews>
  <sheetFormatPr defaultColWidth="9.1796875" defaultRowHeight="12"/>
  <cols>
    <col min="1" max="1" width="14.7265625" style="753" customWidth="1"/>
    <col min="2" max="2" width="21.81640625" style="753" bestFit="1" customWidth="1"/>
    <col min="3" max="3" width="27.1796875" style="753" bestFit="1" customWidth="1"/>
    <col min="4" max="4" width="20.7265625" style="753" customWidth="1"/>
    <col min="5" max="5" width="14.81640625" style="753" bestFit="1" customWidth="1"/>
    <col min="6" max="6" width="15.1796875" style="786" bestFit="1" customWidth="1"/>
    <col min="7" max="7" width="14.54296875" style="753" bestFit="1" customWidth="1"/>
    <col min="8" max="79" width="8.54296875" style="753" customWidth="1"/>
    <col min="80" max="80" width="3.7265625" style="753" customWidth="1"/>
    <col min="81" max="81" width="9.453125" style="745" bestFit="1" customWidth="1"/>
    <col min="82" max="97" width="10" style="745" bestFit="1" customWidth="1"/>
    <col min="98" max="104" width="9.453125" style="745" bestFit="1" customWidth="1"/>
    <col min="105" max="109" width="10" style="745" bestFit="1" customWidth="1"/>
    <col min="110" max="116" width="9.453125" style="745" bestFit="1" customWidth="1"/>
    <col min="117" max="121" width="10" style="745" bestFit="1" customWidth="1"/>
    <col min="122" max="128" width="9.453125" style="745" bestFit="1" customWidth="1"/>
    <col min="129" max="133" width="10" style="745" bestFit="1" customWidth="1"/>
    <col min="134" max="140" width="9.453125" style="745" bestFit="1" customWidth="1"/>
    <col min="141" max="145" width="10" style="745" bestFit="1" customWidth="1"/>
    <col min="146" max="152" width="9.453125" style="745" bestFit="1" customWidth="1"/>
    <col min="153" max="153" width="9.81640625" style="745" bestFit="1" customWidth="1"/>
    <col min="154" max="154" width="9.1796875" style="745"/>
    <col min="155" max="155" width="16" style="745" customWidth="1"/>
    <col min="156" max="156" width="9.81640625" style="745" customWidth="1"/>
    <col min="157" max="157" width="13.453125" style="745" bestFit="1" customWidth="1"/>
    <col min="158" max="158" width="9.1796875" style="745"/>
    <col min="159" max="159" width="14.7265625" style="745" customWidth="1"/>
    <col min="160" max="160" width="19.7265625" style="745" customWidth="1"/>
    <col min="161" max="161" width="45.453125" style="745" customWidth="1"/>
    <col min="162" max="162" width="15.7265625" style="745" bestFit="1" customWidth="1"/>
    <col min="163" max="170" width="9.1796875" style="745"/>
    <col min="171" max="16384" width="9.1796875" style="753"/>
  </cols>
  <sheetData>
    <row r="1" spans="1:170" s="745" customFormat="1" ht="15.75" customHeight="1" thickBot="1">
      <c r="A1" s="1534" t="s">
        <v>8475</v>
      </c>
      <c r="B1" s="1534"/>
      <c r="C1" s="1562" t="s">
        <v>8530</v>
      </c>
      <c r="D1" s="1562"/>
      <c r="F1" s="746"/>
      <c r="H1" s="1554" t="s">
        <v>8840</v>
      </c>
      <c r="I1" s="1554"/>
      <c r="J1" s="1554"/>
      <c r="K1" s="1554"/>
      <c r="L1" s="1554"/>
      <c r="M1" s="1554"/>
      <c r="N1" s="1554"/>
      <c r="O1" s="1554"/>
      <c r="P1" s="1554"/>
      <c r="Q1" s="1554"/>
      <c r="R1" s="1554"/>
      <c r="S1" s="1554"/>
      <c r="T1" s="1554" t="str">
        <f>H1</f>
        <v>Enter Level of Effort Allocations as n.nn (where 0.25 = 25% allocation)</v>
      </c>
      <c r="U1" s="1554"/>
      <c r="V1" s="1554"/>
      <c r="W1" s="1554"/>
      <c r="X1" s="1554"/>
      <c r="Y1" s="1554"/>
      <c r="Z1" s="1554"/>
      <c r="AA1" s="1554"/>
      <c r="AB1" s="1554"/>
      <c r="AC1" s="1554"/>
      <c r="AD1" s="1554"/>
      <c r="AE1" s="1554"/>
      <c r="AF1" s="1554" t="str">
        <f>T1</f>
        <v>Enter Level of Effort Allocations as n.nn (where 0.25 = 25% allocation)</v>
      </c>
      <c r="AG1" s="1554"/>
      <c r="AH1" s="1554"/>
      <c r="AI1" s="1554"/>
      <c r="AJ1" s="1554"/>
      <c r="AK1" s="1554"/>
      <c r="AL1" s="1554"/>
      <c r="AM1" s="1554"/>
      <c r="AN1" s="1554"/>
      <c r="AO1" s="1554"/>
      <c r="AP1" s="1554"/>
      <c r="AQ1" s="1554"/>
      <c r="AR1" s="1554" t="str">
        <f>AF1</f>
        <v>Enter Level of Effort Allocations as n.nn (where 0.25 = 25% allocation)</v>
      </c>
      <c r="AS1" s="1554"/>
      <c r="AT1" s="1554"/>
      <c r="AU1" s="1554"/>
      <c r="AV1" s="1554"/>
      <c r="AW1" s="1554"/>
      <c r="AX1" s="1554"/>
      <c r="AY1" s="1554"/>
      <c r="AZ1" s="1554"/>
      <c r="BA1" s="1554"/>
      <c r="BB1" s="1554"/>
      <c r="BC1" s="1554"/>
      <c r="BD1" s="1554" t="str">
        <f>AR1</f>
        <v>Enter Level of Effort Allocations as n.nn (where 0.25 = 25% allocation)</v>
      </c>
      <c r="BE1" s="1554"/>
      <c r="BF1" s="1554"/>
      <c r="BG1" s="1554"/>
      <c r="BH1" s="1554"/>
      <c r="BI1" s="1554"/>
      <c r="BJ1" s="1554"/>
      <c r="BK1" s="1554"/>
      <c r="BL1" s="1554"/>
      <c r="BM1" s="1554"/>
      <c r="BN1" s="1554"/>
      <c r="BO1" s="1554"/>
      <c r="BP1" s="1554" t="str">
        <f>BD1</f>
        <v>Enter Level of Effort Allocations as n.nn (where 0.25 = 25% allocation)</v>
      </c>
      <c r="BQ1" s="1554"/>
      <c r="BR1" s="1554"/>
      <c r="BS1" s="1554"/>
      <c r="BT1" s="1554"/>
      <c r="BU1" s="1554"/>
      <c r="BV1" s="1554"/>
      <c r="BW1" s="1554"/>
      <c r="BX1" s="1554"/>
      <c r="BY1" s="1554"/>
      <c r="BZ1" s="1554"/>
      <c r="CA1" s="1554"/>
      <c r="CB1" s="747"/>
      <c r="CC1" s="1561" t="str">
        <f>CONCATENATE("Costs are calculated into these columns (",Variables!$C$4,")")</f>
        <v>Costs are calculated into these columns ($)</v>
      </c>
      <c r="CD1" s="1561"/>
      <c r="CE1" s="1561"/>
      <c r="CF1" s="1561"/>
      <c r="CG1" s="1561"/>
      <c r="CH1" s="1561"/>
      <c r="CI1" s="1561"/>
      <c r="CJ1" s="1561"/>
      <c r="CK1" s="1561"/>
      <c r="CL1" s="1561"/>
      <c r="CM1" s="1561"/>
      <c r="CN1" s="1561"/>
      <c r="CO1" s="1561" t="str">
        <f>CC1</f>
        <v>Costs are calculated into these columns ($)</v>
      </c>
      <c r="CP1" s="1561"/>
      <c r="CQ1" s="1561"/>
      <c r="CR1" s="1561"/>
      <c r="CS1" s="1561"/>
      <c r="CT1" s="1561"/>
      <c r="CU1" s="1561"/>
      <c r="CV1" s="1561"/>
      <c r="CW1" s="1561"/>
      <c r="CX1" s="1561"/>
      <c r="CY1" s="1561"/>
      <c r="CZ1" s="1561"/>
      <c r="DA1" s="1561" t="str">
        <f>CO1</f>
        <v>Costs are calculated into these columns ($)</v>
      </c>
      <c r="DB1" s="1561"/>
      <c r="DC1" s="1561"/>
      <c r="DD1" s="1561"/>
      <c r="DE1" s="1561"/>
      <c r="DF1" s="1561"/>
      <c r="DG1" s="1561"/>
      <c r="DH1" s="1561"/>
      <c r="DI1" s="1561"/>
      <c r="DJ1" s="1561"/>
      <c r="DK1" s="1561"/>
      <c r="DL1" s="1561"/>
      <c r="DM1" s="1561" t="str">
        <f>DA1</f>
        <v>Costs are calculated into these columns ($)</v>
      </c>
      <c r="DN1" s="1561"/>
      <c r="DO1" s="1561"/>
      <c r="DP1" s="1561"/>
      <c r="DQ1" s="1561"/>
      <c r="DR1" s="1561"/>
      <c r="DS1" s="1561"/>
      <c r="DT1" s="1561"/>
      <c r="DU1" s="1561"/>
      <c r="DV1" s="1561"/>
      <c r="DW1" s="1561"/>
      <c r="DX1" s="1561"/>
      <c r="DY1" s="1561" t="str">
        <f>DM1</f>
        <v>Costs are calculated into these columns ($)</v>
      </c>
      <c r="DZ1" s="1561"/>
      <c r="EA1" s="1561"/>
      <c r="EB1" s="1561"/>
      <c r="EC1" s="1561"/>
      <c r="ED1" s="1561"/>
      <c r="EE1" s="1561"/>
      <c r="EF1" s="1561"/>
      <c r="EG1" s="1561"/>
      <c r="EH1" s="1561"/>
      <c r="EI1" s="1561"/>
      <c r="EJ1" s="1561"/>
      <c r="EK1" s="1561" t="str">
        <f>DY1</f>
        <v>Costs are calculated into these columns ($)</v>
      </c>
      <c r="EL1" s="1561"/>
      <c r="EM1" s="1561"/>
      <c r="EN1" s="1561"/>
      <c r="EO1" s="1561"/>
      <c r="EP1" s="1561"/>
      <c r="EQ1" s="1561"/>
      <c r="ER1" s="1561"/>
      <c r="ES1" s="1561"/>
      <c r="ET1" s="1561"/>
      <c r="EU1" s="1561"/>
      <c r="EV1" s="1561"/>
    </row>
    <row r="2" spans="1:170" s="745" customFormat="1" ht="25" thickTop="1" thickBot="1">
      <c r="A2" s="1535" t="s">
        <v>8819</v>
      </c>
      <c r="B2" s="1535"/>
      <c r="C2" s="1368"/>
      <c r="D2" s="748"/>
      <c r="F2" s="1369" t="s">
        <v>8822</v>
      </c>
      <c r="G2" s="1370" t="s">
        <v>8855</v>
      </c>
      <c r="H2" s="1548" t="str">
        <f>Variables!B21</f>
        <v>FY 22</v>
      </c>
      <c r="I2" s="1549"/>
      <c r="J2" s="1549"/>
      <c r="K2" s="1549"/>
      <c r="L2" s="1549"/>
      <c r="M2" s="1549"/>
      <c r="N2" s="1549"/>
      <c r="O2" s="1549"/>
      <c r="P2" s="1549"/>
      <c r="Q2" s="1549"/>
      <c r="R2" s="1549"/>
      <c r="S2" s="1550"/>
      <c r="T2" s="1545" t="str">
        <f>Variables!N21</f>
        <v>FY 23</v>
      </c>
      <c r="U2" s="1546"/>
      <c r="V2" s="1546"/>
      <c r="W2" s="1546"/>
      <c r="X2" s="1546"/>
      <c r="Y2" s="1546"/>
      <c r="Z2" s="1546"/>
      <c r="AA2" s="1546"/>
      <c r="AB2" s="1546"/>
      <c r="AC2" s="1546"/>
      <c r="AD2" s="1546"/>
      <c r="AE2" s="1547"/>
      <c r="AF2" s="1542" t="str">
        <f>Variables!Z21</f>
        <v>FY 24</v>
      </c>
      <c r="AG2" s="1543"/>
      <c r="AH2" s="1543"/>
      <c r="AI2" s="1543"/>
      <c r="AJ2" s="1543"/>
      <c r="AK2" s="1543"/>
      <c r="AL2" s="1543"/>
      <c r="AM2" s="1543"/>
      <c r="AN2" s="1543"/>
      <c r="AO2" s="1543"/>
      <c r="AP2" s="1543"/>
      <c r="AQ2" s="1544"/>
      <c r="AR2" s="1551" t="str">
        <f>Variables!AL21</f>
        <v>FY 25</v>
      </c>
      <c r="AS2" s="1552"/>
      <c r="AT2" s="1552"/>
      <c r="AU2" s="1552"/>
      <c r="AV2" s="1552"/>
      <c r="AW2" s="1552"/>
      <c r="AX2" s="1552"/>
      <c r="AY2" s="1552"/>
      <c r="AZ2" s="1552"/>
      <c r="BA2" s="1552"/>
      <c r="BB2" s="1552"/>
      <c r="BC2" s="1553"/>
      <c r="BD2" s="1555" t="str">
        <f>Variables!AX21</f>
        <v>FY 26</v>
      </c>
      <c r="BE2" s="1556"/>
      <c r="BF2" s="1556"/>
      <c r="BG2" s="1556"/>
      <c r="BH2" s="1556"/>
      <c r="BI2" s="1556"/>
      <c r="BJ2" s="1556"/>
      <c r="BK2" s="1556"/>
      <c r="BL2" s="1556"/>
      <c r="BM2" s="1556"/>
      <c r="BN2" s="1556"/>
      <c r="BO2" s="1557"/>
      <c r="BP2" s="1558" t="str">
        <f>Variables!BJ21</f>
        <v>FY 27</v>
      </c>
      <c r="BQ2" s="1559"/>
      <c r="BR2" s="1559"/>
      <c r="BS2" s="1559"/>
      <c r="BT2" s="1559"/>
      <c r="BU2" s="1559"/>
      <c r="BV2" s="1559"/>
      <c r="BW2" s="1559"/>
      <c r="BX2" s="1559"/>
      <c r="BY2" s="1559"/>
      <c r="BZ2" s="1559"/>
      <c r="CA2" s="1560"/>
      <c r="CB2" s="749"/>
      <c r="CC2" s="1548" t="str">
        <f>Variables!B21</f>
        <v>FY 22</v>
      </c>
      <c r="CD2" s="1549"/>
      <c r="CE2" s="1549"/>
      <c r="CF2" s="1549"/>
      <c r="CG2" s="1549"/>
      <c r="CH2" s="1549"/>
      <c r="CI2" s="1549"/>
      <c r="CJ2" s="1549"/>
      <c r="CK2" s="1549"/>
      <c r="CL2" s="1549"/>
      <c r="CM2" s="1549"/>
      <c r="CN2" s="1550"/>
      <c r="CO2" s="1545" t="str">
        <f>Variables!N21</f>
        <v>FY 23</v>
      </c>
      <c r="CP2" s="1546"/>
      <c r="CQ2" s="1546"/>
      <c r="CR2" s="1546"/>
      <c r="CS2" s="1546"/>
      <c r="CT2" s="1546"/>
      <c r="CU2" s="1546"/>
      <c r="CV2" s="1546"/>
      <c r="CW2" s="1546"/>
      <c r="CX2" s="1546"/>
      <c r="CY2" s="1546"/>
      <c r="CZ2" s="1547"/>
      <c r="DA2" s="1542" t="str">
        <f>Variables!Z21</f>
        <v>FY 24</v>
      </c>
      <c r="DB2" s="1543"/>
      <c r="DC2" s="1543"/>
      <c r="DD2" s="1543"/>
      <c r="DE2" s="1543"/>
      <c r="DF2" s="1543"/>
      <c r="DG2" s="1543"/>
      <c r="DH2" s="1543"/>
      <c r="DI2" s="1543"/>
      <c r="DJ2" s="1543"/>
      <c r="DK2" s="1543"/>
      <c r="DL2" s="1544"/>
      <c r="DM2" s="1551" t="str">
        <f>Variables!AL21</f>
        <v>FY 25</v>
      </c>
      <c r="DN2" s="1552"/>
      <c r="DO2" s="1552"/>
      <c r="DP2" s="1552"/>
      <c r="DQ2" s="1552"/>
      <c r="DR2" s="1552"/>
      <c r="DS2" s="1552"/>
      <c r="DT2" s="1552"/>
      <c r="DU2" s="1552"/>
      <c r="DV2" s="1552"/>
      <c r="DW2" s="1552"/>
      <c r="DX2" s="1553"/>
      <c r="DY2" s="1555" t="str">
        <f>Variables!AX21</f>
        <v>FY 26</v>
      </c>
      <c r="DZ2" s="1556"/>
      <c r="EA2" s="1556"/>
      <c r="EB2" s="1556"/>
      <c r="EC2" s="1556"/>
      <c r="ED2" s="1556"/>
      <c r="EE2" s="1556"/>
      <c r="EF2" s="1556"/>
      <c r="EG2" s="1556"/>
      <c r="EH2" s="1556"/>
      <c r="EI2" s="1556"/>
      <c r="EJ2" s="1557"/>
      <c r="EK2" s="1558" t="str">
        <f>Variables!BJ21</f>
        <v>FY 27</v>
      </c>
      <c r="EL2" s="1559"/>
      <c r="EM2" s="1559"/>
      <c r="EN2" s="1559"/>
      <c r="EO2" s="1559"/>
      <c r="EP2" s="1559"/>
      <c r="EQ2" s="1559"/>
      <c r="ER2" s="1559"/>
      <c r="ES2" s="1559"/>
      <c r="ET2" s="1559"/>
      <c r="EU2" s="1559"/>
      <c r="EV2" s="1560"/>
      <c r="EY2" s="750"/>
      <c r="FC2" s="1254" t="str">
        <f>CONCATENATE("Forecasted Remaining Resource Costs Summary by Fiscal Year (",Variables!$C$4,"M)")</f>
        <v>Forecasted Remaining Resource Costs Summary by Fiscal Year ($M)</v>
      </c>
    </row>
    <row r="3" spans="1:170" s="745" customFormat="1" ht="15" customHeight="1" thickBot="1">
      <c r="A3" s="1364" t="s">
        <v>8531</v>
      </c>
      <c r="B3" s="1364" t="s">
        <v>8532</v>
      </c>
      <c r="C3" s="1364" t="s">
        <v>8533</v>
      </c>
      <c r="D3" s="1364" t="s">
        <v>8843</v>
      </c>
      <c r="E3" s="1364" t="s">
        <v>8842</v>
      </c>
      <c r="F3" s="1364" t="s">
        <v>8536</v>
      </c>
      <c r="G3" s="1364" t="s">
        <v>8841</v>
      </c>
      <c r="H3" s="1208">
        <f>'Monthly Summary'!C2</f>
        <v>0</v>
      </c>
      <c r="I3" s="751">
        <f>'Monthly Summary'!D2</f>
        <v>0</v>
      </c>
      <c r="J3" s="751" t="str">
        <f>'Monthly Summary'!E2</f>
        <v>Start</v>
      </c>
      <c r="K3" s="751" t="str">
        <f>'Monthly Summary'!F2</f>
        <v>Req</v>
      </c>
      <c r="L3" s="751" t="str">
        <f>'Monthly Summary'!G2</f>
        <v>Des</v>
      </c>
      <c r="M3" s="751" t="str">
        <f>'Monthly Summary'!H2</f>
        <v>Des</v>
      </c>
      <c r="N3" s="751" t="str">
        <f>'Monthly Summary'!I2</f>
        <v>Dev</v>
      </c>
      <c r="O3" s="751" t="str">
        <f>'Monthly Summary'!J2</f>
        <v>Dev</v>
      </c>
      <c r="P3" s="751" t="str">
        <f>'Monthly Summary'!K2</f>
        <v>Dev</v>
      </c>
      <c r="Q3" s="751" t="str">
        <f>'Monthly Summary'!L2</f>
        <v>Impl</v>
      </c>
      <c r="R3" s="751" t="str">
        <f>'Monthly Summary'!M2</f>
        <v>PIS</v>
      </c>
      <c r="S3" s="1209" t="str">
        <f>'Monthly Summary'!N2</f>
        <v>Close</v>
      </c>
      <c r="T3" s="1208" t="str">
        <f>'Monthly Summary'!O2</f>
        <v>Close</v>
      </c>
      <c r="U3" s="751" t="str">
        <f>'Monthly Summary'!P2</f>
        <v>Close</v>
      </c>
      <c r="V3" s="751">
        <f>'Monthly Summary'!Q2</f>
        <v>0</v>
      </c>
      <c r="W3" s="751">
        <f>'Monthly Summary'!R2</f>
        <v>0</v>
      </c>
      <c r="X3" s="751">
        <f>'Monthly Summary'!S2</f>
        <v>0</v>
      </c>
      <c r="Y3" s="751">
        <f>'Monthly Summary'!T2</f>
        <v>0</v>
      </c>
      <c r="Z3" s="751">
        <f>'Monthly Summary'!U2</f>
        <v>0</v>
      </c>
      <c r="AA3" s="751">
        <f>'Monthly Summary'!V2</f>
        <v>0</v>
      </c>
      <c r="AB3" s="751">
        <f>'Monthly Summary'!W2</f>
        <v>0</v>
      </c>
      <c r="AC3" s="751">
        <f>'Monthly Summary'!X2</f>
        <v>0</v>
      </c>
      <c r="AD3" s="751">
        <f>'Monthly Summary'!Y2</f>
        <v>0</v>
      </c>
      <c r="AE3" s="1209">
        <f>'Monthly Summary'!Z2</f>
        <v>0</v>
      </c>
      <c r="AF3" s="1208">
        <f>'Monthly Summary'!AA2</f>
        <v>0</v>
      </c>
      <c r="AG3" s="751">
        <f>'Monthly Summary'!AB2</f>
        <v>0</v>
      </c>
      <c r="AH3" s="751">
        <f>'Monthly Summary'!AC2</f>
        <v>0</v>
      </c>
      <c r="AI3" s="751">
        <f>'Monthly Summary'!AD2</f>
        <v>0</v>
      </c>
      <c r="AJ3" s="751">
        <f>'Monthly Summary'!AE2</f>
        <v>0</v>
      </c>
      <c r="AK3" s="751">
        <f>'Monthly Summary'!AF2</f>
        <v>0</v>
      </c>
      <c r="AL3" s="751">
        <f>'Monthly Summary'!AG2</f>
        <v>0</v>
      </c>
      <c r="AM3" s="751">
        <f>'Monthly Summary'!AH2</f>
        <v>0</v>
      </c>
      <c r="AN3" s="751">
        <f>'Monthly Summary'!AI2</f>
        <v>0</v>
      </c>
      <c r="AO3" s="751">
        <f>'Monthly Summary'!AJ2</f>
        <v>0</v>
      </c>
      <c r="AP3" s="751">
        <f>'Monthly Summary'!AK2</f>
        <v>0</v>
      </c>
      <c r="AQ3" s="1209">
        <f>'Monthly Summary'!AL2</f>
        <v>0</v>
      </c>
      <c r="AR3" s="1220">
        <f>'Monthly Summary'!AM2</f>
        <v>0</v>
      </c>
      <c r="AS3" s="752">
        <f>'Monthly Summary'!AN2</f>
        <v>0</v>
      </c>
      <c r="AT3" s="752">
        <f>'Monthly Summary'!AO2</f>
        <v>0</v>
      </c>
      <c r="AU3" s="752">
        <f>'Monthly Summary'!AP2</f>
        <v>0</v>
      </c>
      <c r="AV3" s="752">
        <f>'Monthly Summary'!AQ2</f>
        <v>0</v>
      </c>
      <c r="AW3" s="752">
        <f>'Monthly Summary'!AR2</f>
        <v>0</v>
      </c>
      <c r="AX3" s="752">
        <f>'Monthly Summary'!AS2</f>
        <v>0</v>
      </c>
      <c r="AY3" s="752">
        <f>'Monthly Summary'!AT2</f>
        <v>0</v>
      </c>
      <c r="AZ3" s="752">
        <f>'Monthly Summary'!AU2</f>
        <v>0</v>
      </c>
      <c r="BA3" s="752">
        <f>'Monthly Summary'!AV2</f>
        <v>0</v>
      </c>
      <c r="BB3" s="752">
        <f>'Monthly Summary'!AW2</f>
        <v>0</v>
      </c>
      <c r="BC3" s="1221">
        <f>'Monthly Summary'!AX2</f>
        <v>0</v>
      </c>
      <c r="BD3" s="1220">
        <f>'Monthly Summary'!AY2</f>
        <v>0</v>
      </c>
      <c r="BE3" s="752">
        <f>'Monthly Summary'!AZ2</f>
        <v>0</v>
      </c>
      <c r="BF3" s="752">
        <f>'Monthly Summary'!BA2</f>
        <v>0</v>
      </c>
      <c r="BG3" s="752">
        <f>'Monthly Summary'!BB2</f>
        <v>0</v>
      </c>
      <c r="BH3" s="752">
        <f>'Monthly Summary'!BC2</f>
        <v>0</v>
      </c>
      <c r="BI3" s="752">
        <f>'Monthly Summary'!BD2</f>
        <v>0</v>
      </c>
      <c r="BJ3" s="752">
        <f>'Monthly Summary'!BE2</f>
        <v>0</v>
      </c>
      <c r="BK3" s="752">
        <f>'Monthly Summary'!BF2</f>
        <v>0</v>
      </c>
      <c r="BL3" s="752">
        <f>'Monthly Summary'!BG2</f>
        <v>0</v>
      </c>
      <c r="BM3" s="752">
        <f>'Monthly Summary'!BH2</f>
        <v>0</v>
      </c>
      <c r="BN3" s="752">
        <f>'Monthly Summary'!BI2</f>
        <v>0</v>
      </c>
      <c r="BO3" s="1221">
        <f>'Monthly Summary'!BJ2</f>
        <v>0</v>
      </c>
      <c r="BP3" s="1220">
        <f>'Monthly Summary'!BK2</f>
        <v>0</v>
      </c>
      <c r="BQ3" s="752">
        <f>'Monthly Summary'!BL2</f>
        <v>0</v>
      </c>
      <c r="BR3" s="752">
        <f>'Monthly Summary'!BM2</f>
        <v>0</v>
      </c>
      <c r="BS3" s="752">
        <f>'Monthly Summary'!BN2</f>
        <v>0</v>
      </c>
      <c r="BT3" s="752">
        <f>'Monthly Summary'!BO2</f>
        <v>0</v>
      </c>
      <c r="BU3" s="752">
        <f>'Monthly Summary'!BP2</f>
        <v>0</v>
      </c>
      <c r="BV3" s="752">
        <f>'Monthly Summary'!BQ2</f>
        <v>0</v>
      </c>
      <c r="BW3" s="752">
        <f>'Monthly Summary'!BR2</f>
        <v>0</v>
      </c>
      <c r="BX3" s="752">
        <f>'Monthly Summary'!BS2</f>
        <v>0</v>
      </c>
      <c r="BY3" s="752">
        <f>'Monthly Summary'!BT2</f>
        <v>0</v>
      </c>
      <c r="BZ3" s="752">
        <f>'Monthly Summary'!BU2</f>
        <v>0</v>
      </c>
      <c r="CA3" s="1221">
        <f>'Monthly Summary'!BV2</f>
        <v>0</v>
      </c>
      <c r="CB3" s="749"/>
      <c r="CC3" s="1220">
        <f t="shared" ref="CC3:DH3" si="0">H3</f>
        <v>0</v>
      </c>
      <c r="CD3" s="752">
        <f t="shared" si="0"/>
        <v>0</v>
      </c>
      <c r="CE3" s="752" t="str">
        <f t="shared" si="0"/>
        <v>Start</v>
      </c>
      <c r="CF3" s="752" t="str">
        <f t="shared" si="0"/>
        <v>Req</v>
      </c>
      <c r="CG3" s="752" t="str">
        <f t="shared" si="0"/>
        <v>Des</v>
      </c>
      <c r="CH3" s="752" t="str">
        <f t="shared" si="0"/>
        <v>Des</v>
      </c>
      <c r="CI3" s="752" t="str">
        <f t="shared" si="0"/>
        <v>Dev</v>
      </c>
      <c r="CJ3" s="752" t="str">
        <f t="shared" si="0"/>
        <v>Dev</v>
      </c>
      <c r="CK3" s="752" t="str">
        <f t="shared" si="0"/>
        <v>Dev</v>
      </c>
      <c r="CL3" s="752" t="str">
        <f t="shared" si="0"/>
        <v>Impl</v>
      </c>
      <c r="CM3" s="752" t="str">
        <f t="shared" si="0"/>
        <v>PIS</v>
      </c>
      <c r="CN3" s="1221" t="str">
        <f t="shared" si="0"/>
        <v>Close</v>
      </c>
      <c r="CO3" s="1220" t="str">
        <f t="shared" si="0"/>
        <v>Close</v>
      </c>
      <c r="CP3" s="752" t="str">
        <f t="shared" si="0"/>
        <v>Close</v>
      </c>
      <c r="CQ3" s="752">
        <f t="shared" si="0"/>
        <v>0</v>
      </c>
      <c r="CR3" s="752">
        <f t="shared" si="0"/>
        <v>0</v>
      </c>
      <c r="CS3" s="752">
        <f t="shared" si="0"/>
        <v>0</v>
      </c>
      <c r="CT3" s="752">
        <f t="shared" si="0"/>
        <v>0</v>
      </c>
      <c r="CU3" s="752">
        <f t="shared" si="0"/>
        <v>0</v>
      </c>
      <c r="CV3" s="752">
        <f t="shared" si="0"/>
        <v>0</v>
      </c>
      <c r="CW3" s="752">
        <f t="shared" si="0"/>
        <v>0</v>
      </c>
      <c r="CX3" s="752">
        <f t="shared" si="0"/>
        <v>0</v>
      </c>
      <c r="CY3" s="752">
        <f t="shared" si="0"/>
        <v>0</v>
      </c>
      <c r="CZ3" s="1221">
        <f t="shared" si="0"/>
        <v>0</v>
      </c>
      <c r="DA3" s="1220">
        <f t="shared" si="0"/>
        <v>0</v>
      </c>
      <c r="DB3" s="752">
        <f t="shared" si="0"/>
        <v>0</v>
      </c>
      <c r="DC3" s="752">
        <f t="shared" si="0"/>
        <v>0</v>
      </c>
      <c r="DD3" s="752">
        <f t="shared" si="0"/>
        <v>0</v>
      </c>
      <c r="DE3" s="752">
        <f t="shared" si="0"/>
        <v>0</v>
      </c>
      <c r="DF3" s="752">
        <f t="shared" si="0"/>
        <v>0</v>
      </c>
      <c r="DG3" s="752">
        <f t="shared" si="0"/>
        <v>0</v>
      </c>
      <c r="DH3" s="752">
        <f t="shared" si="0"/>
        <v>0</v>
      </c>
      <c r="DI3" s="752">
        <f t="shared" ref="DI3:EN3" si="1">AN3</f>
        <v>0</v>
      </c>
      <c r="DJ3" s="752">
        <f t="shared" si="1"/>
        <v>0</v>
      </c>
      <c r="DK3" s="752">
        <f t="shared" si="1"/>
        <v>0</v>
      </c>
      <c r="DL3" s="1221">
        <f t="shared" si="1"/>
        <v>0</v>
      </c>
      <c r="DM3" s="1220">
        <f t="shared" si="1"/>
        <v>0</v>
      </c>
      <c r="DN3" s="752">
        <f t="shared" si="1"/>
        <v>0</v>
      </c>
      <c r="DO3" s="752">
        <f t="shared" si="1"/>
        <v>0</v>
      </c>
      <c r="DP3" s="752">
        <f t="shared" si="1"/>
        <v>0</v>
      </c>
      <c r="DQ3" s="752">
        <f t="shared" si="1"/>
        <v>0</v>
      </c>
      <c r="DR3" s="752">
        <f t="shared" si="1"/>
        <v>0</v>
      </c>
      <c r="DS3" s="752">
        <f t="shared" si="1"/>
        <v>0</v>
      </c>
      <c r="DT3" s="752">
        <f t="shared" si="1"/>
        <v>0</v>
      </c>
      <c r="DU3" s="752">
        <f t="shared" si="1"/>
        <v>0</v>
      </c>
      <c r="DV3" s="752">
        <f t="shared" si="1"/>
        <v>0</v>
      </c>
      <c r="DW3" s="752">
        <f t="shared" si="1"/>
        <v>0</v>
      </c>
      <c r="DX3" s="1221">
        <f t="shared" si="1"/>
        <v>0</v>
      </c>
      <c r="DY3" s="1220">
        <f t="shared" si="1"/>
        <v>0</v>
      </c>
      <c r="DZ3" s="752">
        <f t="shared" si="1"/>
        <v>0</v>
      </c>
      <c r="EA3" s="752">
        <f t="shared" si="1"/>
        <v>0</v>
      </c>
      <c r="EB3" s="752">
        <f t="shared" si="1"/>
        <v>0</v>
      </c>
      <c r="EC3" s="752">
        <f t="shared" si="1"/>
        <v>0</v>
      </c>
      <c r="ED3" s="752">
        <f t="shared" si="1"/>
        <v>0</v>
      </c>
      <c r="EE3" s="752">
        <f t="shared" si="1"/>
        <v>0</v>
      </c>
      <c r="EF3" s="752">
        <f t="shared" si="1"/>
        <v>0</v>
      </c>
      <c r="EG3" s="752">
        <f t="shared" si="1"/>
        <v>0</v>
      </c>
      <c r="EH3" s="752">
        <f t="shared" si="1"/>
        <v>0</v>
      </c>
      <c r="EI3" s="752">
        <f t="shared" si="1"/>
        <v>0</v>
      </c>
      <c r="EJ3" s="1221">
        <f t="shared" si="1"/>
        <v>0</v>
      </c>
      <c r="EK3" s="1220">
        <f t="shared" si="1"/>
        <v>0</v>
      </c>
      <c r="EL3" s="752">
        <f t="shared" si="1"/>
        <v>0</v>
      </c>
      <c r="EM3" s="752">
        <f t="shared" si="1"/>
        <v>0</v>
      </c>
      <c r="EN3" s="752">
        <f t="shared" si="1"/>
        <v>0</v>
      </c>
      <c r="EO3" s="752">
        <f t="shared" ref="EO3:EV3" si="2">BT3</f>
        <v>0</v>
      </c>
      <c r="EP3" s="752">
        <f t="shared" si="2"/>
        <v>0</v>
      </c>
      <c r="EQ3" s="752">
        <f t="shared" si="2"/>
        <v>0</v>
      </c>
      <c r="ER3" s="752">
        <f t="shared" si="2"/>
        <v>0</v>
      </c>
      <c r="ES3" s="752">
        <f t="shared" si="2"/>
        <v>0</v>
      </c>
      <c r="ET3" s="752">
        <f t="shared" si="2"/>
        <v>0</v>
      </c>
      <c r="EU3" s="752">
        <f t="shared" si="2"/>
        <v>0</v>
      </c>
      <c r="EV3" s="1221">
        <f t="shared" si="2"/>
        <v>0</v>
      </c>
    </row>
    <row r="4" spans="1:170" ht="25" thickTop="1" thickBot="1">
      <c r="A4" s="744" t="s">
        <v>8476</v>
      </c>
      <c r="B4" s="744" t="s">
        <v>8429</v>
      </c>
      <c r="C4" s="744" t="s">
        <v>8614</v>
      </c>
      <c r="D4" s="744" t="s">
        <v>8740</v>
      </c>
      <c r="E4" s="744" t="s">
        <v>46</v>
      </c>
      <c r="F4" s="787" t="s">
        <v>226</v>
      </c>
      <c r="G4" s="862" t="str">
        <f>CONCATENATE("Daily Rate (",Variables!$C$4,")")</f>
        <v>Daily Rate ($)</v>
      </c>
      <c r="H4" s="1210" t="s">
        <v>0</v>
      </c>
      <c r="I4" s="1211" t="s">
        <v>1</v>
      </c>
      <c r="J4" s="754" t="s">
        <v>2</v>
      </c>
      <c r="K4" s="754" t="s">
        <v>3</v>
      </c>
      <c r="L4" s="754" t="s">
        <v>4</v>
      </c>
      <c r="M4" s="754" t="s">
        <v>5</v>
      </c>
      <c r="N4" s="755" t="s">
        <v>6</v>
      </c>
      <c r="O4" s="755" t="s">
        <v>7</v>
      </c>
      <c r="P4" s="755" t="s">
        <v>8</v>
      </c>
      <c r="Q4" s="755" t="s">
        <v>9</v>
      </c>
      <c r="R4" s="755" t="s">
        <v>10</v>
      </c>
      <c r="S4" s="1212" t="s">
        <v>11</v>
      </c>
      <c r="T4" s="1210" t="s">
        <v>0</v>
      </c>
      <c r="U4" s="1211" t="s">
        <v>1</v>
      </c>
      <c r="V4" s="755" t="s">
        <v>2</v>
      </c>
      <c r="W4" s="755" t="s">
        <v>3</v>
      </c>
      <c r="X4" s="755" t="s">
        <v>4</v>
      </c>
      <c r="Y4" s="755" t="s">
        <v>5</v>
      </c>
      <c r="Z4" s="755" t="s">
        <v>6</v>
      </c>
      <c r="AA4" s="755" t="s">
        <v>7</v>
      </c>
      <c r="AB4" s="755" t="s">
        <v>8</v>
      </c>
      <c r="AC4" s="755" t="s">
        <v>9</v>
      </c>
      <c r="AD4" s="755" t="s">
        <v>10</v>
      </c>
      <c r="AE4" s="1212" t="s">
        <v>11</v>
      </c>
      <c r="AF4" s="1210" t="s">
        <v>0</v>
      </c>
      <c r="AG4" s="755" t="s">
        <v>1</v>
      </c>
      <c r="AH4" s="755" t="s">
        <v>2</v>
      </c>
      <c r="AI4" s="755" t="s">
        <v>3</v>
      </c>
      <c r="AJ4" s="755" t="s">
        <v>4</v>
      </c>
      <c r="AK4" s="755" t="s">
        <v>5</v>
      </c>
      <c r="AL4" s="755" t="s">
        <v>6</v>
      </c>
      <c r="AM4" s="755" t="s">
        <v>7</v>
      </c>
      <c r="AN4" s="755" t="s">
        <v>8</v>
      </c>
      <c r="AO4" s="755" t="s">
        <v>9</v>
      </c>
      <c r="AP4" s="755" t="s">
        <v>10</v>
      </c>
      <c r="AQ4" s="1212" t="s">
        <v>11</v>
      </c>
      <c r="AR4" s="1210" t="s">
        <v>0</v>
      </c>
      <c r="AS4" s="755" t="s">
        <v>1</v>
      </c>
      <c r="AT4" s="755" t="s">
        <v>2</v>
      </c>
      <c r="AU4" s="755" t="s">
        <v>3</v>
      </c>
      <c r="AV4" s="755" t="s">
        <v>4</v>
      </c>
      <c r="AW4" s="755" t="s">
        <v>5</v>
      </c>
      <c r="AX4" s="755" t="s">
        <v>6</v>
      </c>
      <c r="AY4" s="755" t="s">
        <v>7</v>
      </c>
      <c r="AZ4" s="755" t="s">
        <v>8</v>
      </c>
      <c r="BA4" s="755" t="s">
        <v>9</v>
      </c>
      <c r="BB4" s="755" t="s">
        <v>10</v>
      </c>
      <c r="BC4" s="1212" t="s">
        <v>11</v>
      </c>
      <c r="BD4" s="1210" t="s">
        <v>0</v>
      </c>
      <c r="BE4" s="755" t="s">
        <v>1</v>
      </c>
      <c r="BF4" s="755" t="s">
        <v>2</v>
      </c>
      <c r="BG4" s="755" t="s">
        <v>3</v>
      </c>
      <c r="BH4" s="755" t="s">
        <v>4</v>
      </c>
      <c r="BI4" s="755" t="s">
        <v>5</v>
      </c>
      <c r="BJ4" s="755" t="s">
        <v>6</v>
      </c>
      <c r="BK4" s="755" t="s">
        <v>7</v>
      </c>
      <c r="BL4" s="755" t="s">
        <v>8</v>
      </c>
      <c r="BM4" s="755" t="s">
        <v>9</v>
      </c>
      <c r="BN4" s="755" t="s">
        <v>10</v>
      </c>
      <c r="BO4" s="1212" t="s">
        <v>11</v>
      </c>
      <c r="BP4" s="1210" t="s">
        <v>0</v>
      </c>
      <c r="BQ4" s="755" t="s">
        <v>1</v>
      </c>
      <c r="BR4" s="755" t="s">
        <v>2</v>
      </c>
      <c r="BS4" s="755" t="s">
        <v>3</v>
      </c>
      <c r="BT4" s="755" t="s">
        <v>4</v>
      </c>
      <c r="BU4" s="755" t="s">
        <v>5</v>
      </c>
      <c r="BV4" s="755" t="s">
        <v>6</v>
      </c>
      <c r="BW4" s="755" t="s">
        <v>7</v>
      </c>
      <c r="BX4" s="755" t="s">
        <v>8</v>
      </c>
      <c r="BY4" s="755" t="s">
        <v>9</v>
      </c>
      <c r="BZ4" s="755" t="s">
        <v>10</v>
      </c>
      <c r="CA4" s="1212" t="s">
        <v>11</v>
      </c>
      <c r="CB4" s="747"/>
      <c r="CC4" s="1210" t="s">
        <v>0</v>
      </c>
      <c r="CD4" s="755" t="s">
        <v>1</v>
      </c>
      <c r="CE4" s="754" t="s">
        <v>2</v>
      </c>
      <c r="CF4" s="754" t="s">
        <v>3</v>
      </c>
      <c r="CG4" s="754" t="s">
        <v>4</v>
      </c>
      <c r="CH4" s="754" t="s">
        <v>5</v>
      </c>
      <c r="CI4" s="755" t="s">
        <v>6</v>
      </c>
      <c r="CJ4" s="755" t="s">
        <v>7</v>
      </c>
      <c r="CK4" s="755" t="s">
        <v>8</v>
      </c>
      <c r="CL4" s="755" t="s">
        <v>9</v>
      </c>
      <c r="CM4" s="755" t="s">
        <v>10</v>
      </c>
      <c r="CN4" s="1212" t="s">
        <v>11</v>
      </c>
      <c r="CO4" s="1210" t="s">
        <v>0</v>
      </c>
      <c r="CP4" s="755" t="s">
        <v>1</v>
      </c>
      <c r="CQ4" s="755" t="s">
        <v>2</v>
      </c>
      <c r="CR4" s="755" t="s">
        <v>3</v>
      </c>
      <c r="CS4" s="755" t="s">
        <v>4</v>
      </c>
      <c r="CT4" s="755" t="s">
        <v>5</v>
      </c>
      <c r="CU4" s="755" t="s">
        <v>6</v>
      </c>
      <c r="CV4" s="755" t="s">
        <v>7</v>
      </c>
      <c r="CW4" s="755" t="s">
        <v>8</v>
      </c>
      <c r="CX4" s="755" t="s">
        <v>9</v>
      </c>
      <c r="CY4" s="755" t="s">
        <v>10</v>
      </c>
      <c r="CZ4" s="1212" t="s">
        <v>11</v>
      </c>
      <c r="DA4" s="1210" t="s">
        <v>0</v>
      </c>
      <c r="DB4" s="755" t="s">
        <v>1</v>
      </c>
      <c r="DC4" s="755" t="s">
        <v>2</v>
      </c>
      <c r="DD4" s="755" t="s">
        <v>3</v>
      </c>
      <c r="DE4" s="755" t="s">
        <v>4</v>
      </c>
      <c r="DF4" s="755" t="s">
        <v>5</v>
      </c>
      <c r="DG4" s="755" t="s">
        <v>6</v>
      </c>
      <c r="DH4" s="755" t="s">
        <v>7</v>
      </c>
      <c r="DI4" s="755" t="s">
        <v>8</v>
      </c>
      <c r="DJ4" s="755" t="s">
        <v>9</v>
      </c>
      <c r="DK4" s="755" t="s">
        <v>10</v>
      </c>
      <c r="DL4" s="1212" t="s">
        <v>11</v>
      </c>
      <c r="DM4" s="1210" t="s">
        <v>0</v>
      </c>
      <c r="DN4" s="755" t="s">
        <v>1</v>
      </c>
      <c r="DO4" s="755" t="s">
        <v>2</v>
      </c>
      <c r="DP4" s="755" t="s">
        <v>3</v>
      </c>
      <c r="DQ4" s="755" t="s">
        <v>4</v>
      </c>
      <c r="DR4" s="755" t="s">
        <v>5</v>
      </c>
      <c r="DS4" s="755" t="s">
        <v>6</v>
      </c>
      <c r="DT4" s="755" t="s">
        <v>7</v>
      </c>
      <c r="DU4" s="755" t="s">
        <v>8</v>
      </c>
      <c r="DV4" s="755" t="s">
        <v>9</v>
      </c>
      <c r="DW4" s="755" t="s">
        <v>10</v>
      </c>
      <c r="DX4" s="1212" t="s">
        <v>11</v>
      </c>
      <c r="DY4" s="1210" t="s">
        <v>0</v>
      </c>
      <c r="DZ4" s="755" t="s">
        <v>1</v>
      </c>
      <c r="EA4" s="755" t="s">
        <v>2</v>
      </c>
      <c r="EB4" s="755" t="s">
        <v>3</v>
      </c>
      <c r="EC4" s="755" t="s">
        <v>4</v>
      </c>
      <c r="ED4" s="755" t="s">
        <v>5</v>
      </c>
      <c r="EE4" s="755" t="s">
        <v>6</v>
      </c>
      <c r="EF4" s="755" t="s">
        <v>7</v>
      </c>
      <c r="EG4" s="755" t="s">
        <v>8</v>
      </c>
      <c r="EH4" s="755" t="s">
        <v>9</v>
      </c>
      <c r="EI4" s="755" t="s">
        <v>10</v>
      </c>
      <c r="EJ4" s="1212" t="s">
        <v>11</v>
      </c>
      <c r="EK4" s="1210" t="s">
        <v>0</v>
      </c>
      <c r="EL4" s="755" t="s">
        <v>1</v>
      </c>
      <c r="EM4" s="755" t="s">
        <v>2</v>
      </c>
      <c r="EN4" s="755" t="s">
        <v>3</v>
      </c>
      <c r="EO4" s="755" t="s">
        <v>4</v>
      </c>
      <c r="EP4" s="755" t="s">
        <v>5</v>
      </c>
      <c r="EQ4" s="755" t="s">
        <v>6</v>
      </c>
      <c r="ER4" s="755" t="s">
        <v>7</v>
      </c>
      <c r="ES4" s="755" t="s">
        <v>8</v>
      </c>
      <c r="ET4" s="755" t="s">
        <v>9</v>
      </c>
      <c r="EU4" s="755" t="s">
        <v>10</v>
      </c>
      <c r="EV4" s="1212" t="s">
        <v>11</v>
      </c>
      <c r="EW4" s="1229" t="str">
        <f>CONCATENATE("TotEx (",Variables!$C$4,")")</f>
        <v>TotEx ($)</v>
      </c>
      <c r="EX4" s="756" t="str">
        <f>CONCATENATE("Estimated VoWD (",Variables!$C$4,")")</f>
        <v>Estimated VoWD ($)</v>
      </c>
      <c r="EY4" s="756" t="s">
        <v>235</v>
      </c>
      <c r="EZ4" s="1331" t="str">
        <f>CONCATENATE("FTC (",Variables!$C$4,")")</f>
        <v>FTC ($)</v>
      </c>
      <c r="FA4" s="1333" t="s">
        <v>8742</v>
      </c>
      <c r="FC4" s="953" t="s">
        <v>8476</v>
      </c>
      <c r="FD4" s="954" t="s">
        <v>8429</v>
      </c>
      <c r="FE4" s="954" t="s">
        <v>8430</v>
      </c>
      <c r="FF4" s="954" t="s">
        <v>8431</v>
      </c>
      <c r="FG4" s="955" t="s">
        <v>226</v>
      </c>
      <c r="FH4" s="956" t="str">
        <f>CC2</f>
        <v>FY 22</v>
      </c>
      <c r="FI4" s="956" t="str">
        <f>CO2</f>
        <v>FY 23</v>
      </c>
      <c r="FJ4" s="956" t="str">
        <f>DA2</f>
        <v>FY 24</v>
      </c>
      <c r="FK4" s="956" t="str">
        <f>DM2</f>
        <v>FY 25</v>
      </c>
      <c r="FL4" s="956" t="str">
        <f>DY2</f>
        <v>FY 26</v>
      </c>
      <c r="FM4" s="957" t="str">
        <f>EK2</f>
        <v>FY 27</v>
      </c>
      <c r="FN4" s="1255" t="s">
        <v>18</v>
      </c>
    </row>
    <row r="5" spans="1:170">
      <c r="A5" s="753" t="s">
        <v>460</v>
      </c>
      <c r="B5" s="753" t="s">
        <v>8400</v>
      </c>
      <c r="C5" s="757" t="s">
        <v>8472</v>
      </c>
      <c r="D5" s="757" t="s">
        <v>16057</v>
      </c>
      <c r="E5" s="758" t="s">
        <v>8507</v>
      </c>
      <c r="F5" s="758" t="s">
        <v>21</v>
      </c>
      <c r="G5" s="758">
        <v>1220</v>
      </c>
      <c r="H5" s="1213"/>
      <c r="I5" s="759"/>
      <c r="J5" s="759"/>
      <c r="K5" s="759">
        <v>1</v>
      </c>
      <c r="L5" s="759">
        <v>1</v>
      </c>
      <c r="M5" s="759">
        <v>1</v>
      </c>
      <c r="N5" s="759">
        <v>1</v>
      </c>
      <c r="O5" s="759"/>
      <c r="P5" s="759"/>
      <c r="Q5" s="759"/>
      <c r="R5" s="759"/>
      <c r="S5" s="1214"/>
      <c r="T5" s="1213"/>
      <c r="U5" s="759"/>
      <c r="V5" s="759"/>
      <c r="W5" s="759"/>
      <c r="X5" s="759"/>
      <c r="Y5" s="759"/>
      <c r="Z5" s="759"/>
      <c r="AA5" s="759"/>
      <c r="AB5" s="759"/>
      <c r="AC5" s="759"/>
      <c r="AD5" s="759"/>
      <c r="AE5" s="1214"/>
      <c r="AF5" s="1213"/>
      <c r="AG5" s="759"/>
      <c r="AH5" s="759"/>
      <c r="AI5" s="759"/>
      <c r="AJ5" s="759"/>
      <c r="AK5" s="759"/>
      <c r="AL5" s="759"/>
      <c r="AM5" s="759"/>
      <c r="AN5" s="759"/>
      <c r="AO5" s="759"/>
      <c r="AP5" s="759"/>
      <c r="AQ5" s="1214"/>
      <c r="AR5" s="1213"/>
      <c r="AS5" s="759"/>
      <c r="AT5" s="759"/>
      <c r="AU5" s="759"/>
      <c r="AV5" s="759"/>
      <c r="AW5" s="759"/>
      <c r="AX5" s="759"/>
      <c r="AY5" s="759"/>
      <c r="AZ5" s="759"/>
      <c r="BA5" s="759"/>
      <c r="BB5" s="759"/>
      <c r="BC5" s="1214"/>
      <c r="BD5" s="1213"/>
      <c r="BE5" s="759"/>
      <c r="BF5" s="759"/>
      <c r="BG5" s="759"/>
      <c r="BH5" s="759"/>
      <c r="BI5" s="759"/>
      <c r="BJ5" s="759"/>
      <c r="BK5" s="759"/>
      <c r="BL5" s="759"/>
      <c r="BM5" s="759"/>
      <c r="BN5" s="759"/>
      <c r="BO5" s="1214"/>
      <c r="BP5" s="1213"/>
      <c r="BQ5" s="759"/>
      <c r="BR5" s="759"/>
      <c r="BS5" s="759"/>
      <c r="BT5" s="759"/>
      <c r="BU5" s="759"/>
      <c r="BV5" s="759"/>
      <c r="BW5" s="759"/>
      <c r="BX5" s="759"/>
      <c r="BY5" s="759"/>
      <c r="BZ5" s="759"/>
      <c r="CA5" s="1214"/>
      <c r="CB5" s="747"/>
      <c r="CC5" s="1222">
        <f>$G5*H5*Variables!$B$53</f>
        <v>0</v>
      </c>
      <c r="CD5" s="1223">
        <f>$G5*I5*Variables!$B$53</f>
        <v>0</v>
      </c>
      <c r="CE5" s="1223">
        <f>$G5*J5*Variables!$B$53</f>
        <v>0</v>
      </c>
      <c r="CF5" s="1223">
        <f>$G5*K5*Variables!$B$53</f>
        <v>24400</v>
      </c>
      <c r="CG5" s="1223">
        <f>$G5*L5*Variables!$B$53</f>
        <v>24400</v>
      </c>
      <c r="CH5" s="1223">
        <f>$G5*M5*Variables!$B$53</f>
        <v>24400</v>
      </c>
      <c r="CI5" s="1223">
        <f>$G5*N5*Variables!$B$53</f>
        <v>24400</v>
      </c>
      <c r="CJ5" s="1223">
        <f>$G5*O5*Variables!$B$53</f>
        <v>0</v>
      </c>
      <c r="CK5" s="1223">
        <f>$G5*P5*Variables!$B$53</f>
        <v>0</v>
      </c>
      <c r="CL5" s="1223">
        <f>$G5*Q5*Variables!$B$53</f>
        <v>0</v>
      </c>
      <c r="CM5" s="1223">
        <f>$G5*R5*Variables!$B$53</f>
        <v>0</v>
      </c>
      <c r="CN5" s="1224">
        <f>$G5*S5*Variables!$B$53</f>
        <v>0</v>
      </c>
      <c r="CO5" s="1222">
        <f>$G5*T5*Variables!$B$53*HLOOKUP($CO$2,Variables!$B$60:$F$61,2,FALSE)</f>
        <v>0</v>
      </c>
      <c r="CP5" s="1223">
        <f>$G5*U5*Variables!$B$53*HLOOKUP($CO$2,Variables!$B$60:$F$61,2,FALSE)</f>
        <v>0</v>
      </c>
      <c r="CQ5" s="1223">
        <f>$G5*V5*Variables!$B$53*HLOOKUP($CO$2,Variables!$B$60:$F$61,2,FALSE)</f>
        <v>0</v>
      </c>
      <c r="CR5" s="1223">
        <f>$G5*W5*Variables!$B$53*HLOOKUP($CO$2,Variables!$B$60:$F$61,2,FALSE)</f>
        <v>0</v>
      </c>
      <c r="CS5" s="1223">
        <f>$G5*X5*Variables!$B$53*HLOOKUP($CO$2,Variables!$B$60:$F$61,2,FALSE)</f>
        <v>0</v>
      </c>
      <c r="CT5" s="1223">
        <f>$G5*Y5*Variables!$B$53*HLOOKUP($CO$2,Variables!$B$60:$F$61,2,FALSE)</f>
        <v>0</v>
      </c>
      <c r="CU5" s="1223">
        <f>$G5*Z5*Variables!$B$53*HLOOKUP($CO$2,Variables!$B$60:$F$61,2,FALSE)</f>
        <v>0</v>
      </c>
      <c r="CV5" s="1223">
        <f>$G5*AA5*Variables!$B$53*HLOOKUP($CO$2,Variables!$B$60:$F$61,2,FALSE)</f>
        <v>0</v>
      </c>
      <c r="CW5" s="1223">
        <f>$G5*AB5*Variables!$B$53*HLOOKUP($CO$2,Variables!$B$60:$F$61,2,FALSE)</f>
        <v>0</v>
      </c>
      <c r="CX5" s="1223">
        <f>$G5*AC5*Variables!$B$53*HLOOKUP($CO$2,Variables!$B$60:$F$61,2,FALSE)</f>
        <v>0</v>
      </c>
      <c r="CY5" s="1223">
        <f>$G5*AD5*Variables!$B$53*HLOOKUP($CO$2,Variables!$B$60:$F$61,2,FALSE)</f>
        <v>0</v>
      </c>
      <c r="CZ5" s="1224">
        <f>$G5*AE5*Variables!$B$53*HLOOKUP($CO$2,Variables!$B$60:$F$61,2,FALSE)</f>
        <v>0</v>
      </c>
      <c r="DA5" s="1222">
        <f>$G5*AF5*Variables!$B$53*HLOOKUP($DA$2,Variables!$B$60:$F$61,2,FALSE)</f>
        <v>0</v>
      </c>
      <c r="DB5" s="1223">
        <f>$G5*AG5*Variables!$B$53*HLOOKUP($DA$2,Variables!$B$60:$F$61,2,FALSE)</f>
        <v>0</v>
      </c>
      <c r="DC5" s="1223">
        <f>$G5*AH5*Variables!$B$53*HLOOKUP($DA$2,Variables!$B$60:$F$61,2,FALSE)</f>
        <v>0</v>
      </c>
      <c r="DD5" s="1223">
        <f>$G5*AI5*Variables!$B$53*HLOOKUP($DA$2,Variables!$B$60:$F$61,2,FALSE)</f>
        <v>0</v>
      </c>
      <c r="DE5" s="1223">
        <f>$G5*AJ5*Variables!$B$53*HLOOKUP($DA$2,Variables!$B$60:$F$61,2,FALSE)</f>
        <v>0</v>
      </c>
      <c r="DF5" s="1223">
        <f>$G5*AK5*Variables!$B$53*HLOOKUP($DA$2,Variables!$B$60:$F$61,2,FALSE)</f>
        <v>0</v>
      </c>
      <c r="DG5" s="1223">
        <f>$G5*AL5*Variables!$B$53*HLOOKUP($DA$2,Variables!$B$60:$F$61,2,FALSE)</f>
        <v>0</v>
      </c>
      <c r="DH5" s="1223">
        <f>$G5*AM5*Variables!$B$53*HLOOKUP($DA$2,Variables!$B$60:$F$61,2,FALSE)</f>
        <v>0</v>
      </c>
      <c r="DI5" s="1223">
        <f>$G5*AN5*Variables!$B$53*HLOOKUP($DA$2,Variables!$B$60:$F$61,2,FALSE)</f>
        <v>0</v>
      </c>
      <c r="DJ5" s="1223">
        <f>$G5*AO5*Variables!$B$53*HLOOKUP($DA$2,Variables!$B$60:$F$61,2,FALSE)</f>
        <v>0</v>
      </c>
      <c r="DK5" s="1223">
        <f>$G5*AP5*Variables!$B$53*HLOOKUP($DA$2,Variables!$B$60:$F$61,2,FALSE)</f>
        <v>0</v>
      </c>
      <c r="DL5" s="1224">
        <f>$G5*AQ5*Variables!$B$53*HLOOKUP($DA$2,Variables!$B$60:$F$61,2,FALSE)</f>
        <v>0</v>
      </c>
      <c r="DM5" s="1222">
        <f>$G5*AR5*Variables!$B$53*HLOOKUP($DM$2,Variables!$B$60:$F$61,2,FALSE)</f>
        <v>0</v>
      </c>
      <c r="DN5" s="1223">
        <f>$G5*AS5*Variables!$B$53*HLOOKUP($DM$2,Variables!$B$60:$F$61,2,FALSE)</f>
        <v>0</v>
      </c>
      <c r="DO5" s="1223">
        <f>$G5*AT5*Variables!$B$53*HLOOKUP($DM$2,Variables!$B$60:$F$61,2,FALSE)</f>
        <v>0</v>
      </c>
      <c r="DP5" s="1223">
        <f>$G5*AU5*Variables!$B$53*HLOOKUP($DM$2,Variables!$B$60:$F$61,2,FALSE)</f>
        <v>0</v>
      </c>
      <c r="DQ5" s="1223">
        <f>$G5*AV5*Variables!$B$53*HLOOKUP($DM$2,Variables!$B$60:$F$61,2,FALSE)</f>
        <v>0</v>
      </c>
      <c r="DR5" s="1223">
        <f>$G5*AW5*Variables!$B$53*HLOOKUP($DM$2,Variables!$B$60:$F$61,2,FALSE)</f>
        <v>0</v>
      </c>
      <c r="DS5" s="1223">
        <f>$G5*AX5*Variables!$B$53*HLOOKUP($DM$2,Variables!$B$60:$F$61,2,FALSE)</f>
        <v>0</v>
      </c>
      <c r="DT5" s="1223">
        <f>$G5*AY5*Variables!$B$53*HLOOKUP($DM$2,Variables!$B$60:$F$61,2,FALSE)</f>
        <v>0</v>
      </c>
      <c r="DU5" s="1223">
        <f>$G5*AZ5*Variables!$B$53*HLOOKUP($DM$2,Variables!$B$60:$F$61,2,FALSE)</f>
        <v>0</v>
      </c>
      <c r="DV5" s="1223">
        <f>$G5*BA5*Variables!$B$53*HLOOKUP($DM$2,Variables!$B$60:$F$61,2,FALSE)</f>
        <v>0</v>
      </c>
      <c r="DW5" s="1223">
        <f>$G5*BB5*Variables!$B$53*HLOOKUP($DM$2,Variables!$B$60:$F$61,2,FALSE)</f>
        <v>0</v>
      </c>
      <c r="DX5" s="1224">
        <f>$G5*BC5*Variables!$B$53*HLOOKUP($DM$2,Variables!$B$60:$F$61,2,FALSE)</f>
        <v>0</v>
      </c>
      <c r="DY5" s="1222">
        <f>$G5*BD5*Variables!$B$53*HLOOKUP($DY$2,Variables!$B$60:$F$61,2,FALSE)</f>
        <v>0</v>
      </c>
      <c r="DZ5" s="1223">
        <f>$G5*BE5*Variables!$B$53*HLOOKUP($DY$2,Variables!$B$60:$F$61,2,FALSE)</f>
        <v>0</v>
      </c>
      <c r="EA5" s="1223">
        <f>$G5*BF5*Variables!$B$53*HLOOKUP($DY$2,Variables!$B$60:$F$61,2,FALSE)</f>
        <v>0</v>
      </c>
      <c r="EB5" s="1223">
        <f>$G5*BG5*Variables!$B$53*HLOOKUP($DY$2,Variables!$B$60:$F$61,2,FALSE)</f>
        <v>0</v>
      </c>
      <c r="EC5" s="1223">
        <f>$G5*BH5*Variables!$B$53*HLOOKUP($DY$2,Variables!$B$60:$F$61,2,FALSE)</f>
        <v>0</v>
      </c>
      <c r="ED5" s="1223">
        <f>$G5*BI5*Variables!$B$53*HLOOKUP($DY$2,Variables!$B$60:$F$61,2,FALSE)</f>
        <v>0</v>
      </c>
      <c r="EE5" s="1223">
        <f>$G5*BJ5*Variables!$B$53*HLOOKUP($DY$2,Variables!$B$60:$F$61,2,FALSE)</f>
        <v>0</v>
      </c>
      <c r="EF5" s="1223">
        <f>$G5*BK5*Variables!$B$53*HLOOKUP($DY$2,Variables!$B$60:$F$61,2,FALSE)</f>
        <v>0</v>
      </c>
      <c r="EG5" s="1223">
        <f>$G5*BL5*Variables!$B$53*HLOOKUP($DY$2,Variables!$B$60:$F$61,2,FALSE)</f>
        <v>0</v>
      </c>
      <c r="EH5" s="1223">
        <f>$G5*BM5*Variables!$B$53*HLOOKUP($DY$2,Variables!$B$60:$F$61,2,FALSE)</f>
        <v>0</v>
      </c>
      <c r="EI5" s="1223">
        <f>$G5*BN5*Variables!$B$53*HLOOKUP($DY$2,Variables!$B$60:$F$61,2,FALSE)</f>
        <v>0</v>
      </c>
      <c r="EJ5" s="1224">
        <f>$G5*BO5*Variables!$B$53*HLOOKUP($DY$2,Variables!$B$60:$F$61,2,FALSE)</f>
        <v>0</v>
      </c>
      <c r="EK5" s="1222">
        <f>$G5*BP5*Variables!$B$53*HLOOKUP($EK$2,Variables!$B$60:$F$61,2,FALSE)</f>
        <v>0</v>
      </c>
      <c r="EL5" s="1223">
        <f>$G5*BQ5*Variables!$B$53*HLOOKUP($EK$2,Variables!$B$60:$F$61,2,FALSE)</f>
        <v>0</v>
      </c>
      <c r="EM5" s="1223">
        <f>$G5*BR5*Variables!$B$53*HLOOKUP($EK$2,Variables!$B$60:$F$61,2,FALSE)</f>
        <v>0</v>
      </c>
      <c r="EN5" s="1223">
        <f>$G5*BS5*Variables!$B$53*HLOOKUP($EK$2,Variables!$B$60:$F$61,2,FALSE)</f>
        <v>0</v>
      </c>
      <c r="EO5" s="1223">
        <f>$G5*BT5*Variables!$B$53*HLOOKUP($EK$2,Variables!$B$60:$F$61,2,FALSE)</f>
        <v>0</v>
      </c>
      <c r="EP5" s="1223">
        <f>$G5*BU5*Variables!$B$53*HLOOKUP($EK$2,Variables!$B$60:$F$61,2,FALSE)</f>
        <v>0</v>
      </c>
      <c r="EQ5" s="1223">
        <f>$G5*BV5*Variables!$B$53*HLOOKUP($EK$2,Variables!$B$60:$F$61,2,FALSE)</f>
        <v>0</v>
      </c>
      <c r="ER5" s="1223">
        <f>$G5*BW5*Variables!$B$53*HLOOKUP($EK$2,Variables!$B$60:$F$61,2,FALSE)</f>
        <v>0</v>
      </c>
      <c r="ES5" s="1223">
        <f>$G5*BX5*Variables!$B$53*HLOOKUP($EK$2,Variables!$B$60:$F$61,2,FALSE)</f>
        <v>0</v>
      </c>
      <c r="ET5" s="1223">
        <f>$G5*BY5*Variables!$B$53*HLOOKUP($EK$2,Variables!$B$60:$F$61,2,FALSE)</f>
        <v>0</v>
      </c>
      <c r="EU5" s="1223">
        <f>$G5*BZ5*Variables!$B$53*HLOOKUP($EK$2,Variables!$B$60:$F$61,2,FALSE)</f>
        <v>0</v>
      </c>
      <c r="EV5" s="1224">
        <f>$G5*CA5*Variables!$B$53*HLOOKUP($EK$2,Variables!$B$60:$F$61,2,FALSE)</f>
        <v>0</v>
      </c>
      <c r="EW5" s="872">
        <f>SUM(CC5:EV5)</f>
        <v>97600</v>
      </c>
      <c r="EX5" s="872"/>
      <c r="EY5" s="872"/>
      <c r="EZ5" s="872"/>
      <c r="FA5" s="1332"/>
      <c r="FC5" s="958" t="str">
        <f t="shared" ref="FC5:FC36" si="3">IF(ISBLANK(A5),"",A5)</f>
        <v>Architecture</v>
      </c>
      <c r="FD5" s="959" t="str">
        <f t="shared" ref="FD5:FD36" si="4">IF(ISBLANK(B5),"",B5)</f>
        <v>Architecture_Interfaces</v>
      </c>
      <c r="FE5" s="959" t="s">
        <v>8407</v>
      </c>
      <c r="FF5" s="959" t="str">
        <f>IF(ISNA(VLOOKUP(FC5,Miscellaneous!E:F,2,0)),"",VLOOKUP(FC5,Miscellaneous!E:F,2,0))</f>
        <v>Lisa Pratico</v>
      </c>
      <c r="FG5" s="959" t="str">
        <f t="shared" ref="FG5:FG36" si="5">IF(ISBLANK(F5),"",F5)</f>
        <v>Capex</v>
      </c>
      <c r="FH5" s="996">
        <f>IF($FG5="Opex",SUMIF('Monthly Summary'!$C$75:$N$75,"",CC5:CN5),SUMIF('Monthly Summary'!$C$74:$N$74,"",CC5:CN5))</f>
        <v>97600</v>
      </c>
      <c r="FI5" s="996">
        <f>IF($FG5="Opex",SUMIF('Monthly Summary'!$O$75:$Z$75,"",CO5:CZ5),SUMIF('Monthly Summary'!$O$74:$Z$74,"",CO5:CZ5))</f>
        <v>0</v>
      </c>
      <c r="FJ5" s="996">
        <f>IF($FG5="Opex",SUMIF('Monthly Summary'!$AA$75:$AL$75,"",DA5:DL5),SUMIF('Monthly Summary'!$AA$74:$AL$74,"",DA5:DL5))</f>
        <v>0</v>
      </c>
      <c r="FK5" s="996">
        <f>IF($FG5="Opex",SUMIF('Monthly Summary'!$AM$75:$AX$75,"",DM5:DX5),SUMIF('Monthly Summary'!$AM$74:$AX$74,"",DM5:DX5))</f>
        <v>0</v>
      </c>
      <c r="FL5" s="996">
        <f>IF($FG5="Opex",SUMIF('Monthly Summary'!$AY$75:$BJ$75,"",DY5:EJ5),SUMIF('Monthly Summary'!$AY$74:$BJ$74,"",DY5:EJ5))</f>
        <v>0</v>
      </c>
      <c r="FM5" s="997">
        <f>IF($FG5="Opex",SUMIF('Monthly Summary'!$BK$75:$BV$75,"",EK5:EV5),SUMIF('Monthly Summary'!$BK$74:$BV$74,"",EK5:EV5))</f>
        <v>0</v>
      </c>
      <c r="FN5" s="997">
        <f>SUM(FH5:FM5)</f>
        <v>97600</v>
      </c>
    </row>
    <row r="6" spans="1:170">
      <c r="A6" s="753" t="s">
        <v>8668</v>
      </c>
      <c r="B6" s="753" t="s">
        <v>8487</v>
      </c>
      <c r="C6" s="757" t="s">
        <v>8485</v>
      </c>
      <c r="D6" s="757" t="s">
        <v>16483</v>
      </c>
      <c r="E6" s="758" t="s">
        <v>8507</v>
      </c>
      <c r="F6" s="758" t="s">
        <v>21</v>
      </c>
      <c r="G6" s="758">
        <v>1388</v>
      </c>
      <c r="H6" s="1215"/>
      <c r="I6" s="761"/>
      <c r="J6" s="761"/>
      <c r="K6" s="761"/>
      <c r="L6" s="761"/>
      <c r="M6" s="761"/>
      <c r="N6" s="761"/>
      <c r="O6" s="761"/>
      <c r="P6" s="761"/>
      <c r="Q6" s="761"/>
      <c r="R6" s="761"/>
      <c r="S6" s="1216"/>
      <c r="T6" s="1215"/>
      <c r="U6" s="761"/>
      <c r="V6" s="761"/>
      <c r="W6" s="761"/>
      <c r="X6" s="761"/>
      <c r="Y6" s="761"/>
      <c r="Z6" s="761"/>
      <c r="AA6" s="761"/>
      <c r="AB6" s="761"/>
      <c r="AC6" s="761"/>
      <c r="AD6" s="761"/>
      <c r="AE6" s="1216"/>
      <c r="AF6" s="1215"/>
      <c r="AG6" s="761"/>
      <c r="AH6" s="761"/>
      <c r="AI6" s="761"/>
      <c r="AJ6" s="761"/>
      <c r="AK6" s="761"/>
      <c r="AL6" s="761"/>
      <c r="AM6" s="761"/>
      <c r="AN6" s="761"/>
      <c r="AO6" s="761"/>
      <c r="AP6" s="761"/>
      <c r="AQ6" s="1216"/>
      <c r="AR6" s="1215"/>
      <c r="AS6" s="761"/>
      <c r="AT6" s="761"/>
      <c r="AU6" s="761"/>
      <c r="AV6" s="761"/>
      <c r="AW6" s="761"/>
      <c r="AX6" s="761"/>
      <c r="AY6" s="761"/>
      <c r="AZ6" s="761"/>
      <c r="BA6" s="761"/>
      <c r="BB6" s="761"/>
      <c r="BC6" s="1216"/>
      <c r="BD6" s="1215"/>
      <c r="BE6" s="761"/>
      <c r="BF6" s="761"/>
      <c r="BG6" s="761"/>
      <c r="BH6" s="761"/>
      <c r="BI6" s="761"/>
      <c r="BJ6" s="761"/>
      <c r="BK6" s="761"/>
      <c r="BL6" s="761"/>
      <c r="BM6" s="761"/>
      <c r="BN6" s="761"/>
      <c r="BO6" s="1216"/>
      <c r="BP6" s="1215"/>
      <c r="BQ6" s="761"/>
      <c r="BR6" s="761"/>
      <c r="BS6" s="761"/>
      <c r="BT6" s="761"/>
      <c r="BU6" s="761"/>
      <c r="BV6" s="761"/>
      <c r="BW6" s="761"/>
      <c r="BX6" s="761"/>
      <c r="BY6" s="761"/>
      <c r="BZ6" s="761"/>
      <c r="CA6" s="1216"/>
      <c r="CB6" s="747"/>
      <c r="CC6" s="1222">
        <f>$G6*H6*Variables!$B$53</f>
        <v>0</v>
      </c>
      <c r="CD6" s="1223">
        <f>$G6*I6*Variables!$B$53</f>
        <v>0</v>
      </c>
      <c r="CE6" s="1223">
        <f>$G6*J6*Variables!$B$53</f>
        <v>0</v>
      </c>
      <c r="CF6" s="1223">
        <f>$G6*K6*Variables!$B$53</f>
        <v>0</v>
      </c>
      <c r="CG6" s="1223">
        <f>$G6*L6*Variables!$B$53</f>
        <v>0</v>
      </c>
      <c r="CH6" s="1223">
        <f>$G6*M6*Variables!$B$53</f>
        <v>0</v>
      </c>
      <c r="CI6" s="1223">
        <f>$G6*N6*Variables!$B$53</f>
        <v>0</v>
      </c>
      <c r="CJ6" s="1223">
        <f>$G6*O6*Variables!$B$53</f>
        <v>0</v>
      </c>
      <c r="CK6" s="1223">
        <f>$G6*P6*Variables!$B$53</f>
        <v>0</v>
      </c>
      <c r="CL6" s="1223">
        <f>$G6*Q6*Variables!$B$53</f>
        <v>0</v>
      </c>
      <c r="CM6" s="1223">
        <f>$G6*R6*Variables!$B$53</f>
        <v>0</v>
      </c>
      <c r="CN6" s="1225">
        <f>$G6*S6*Variables!$B$53</f>
        <v>0</v>
      </c>
      <c r="CO6" s="1222">
        <f>$G6*T6*Variables!$B$53*HLOOKUP($CO$2,Variables!$B$60:$F$61,2,FALSE)</f>
        <v>0</v>
      </c>
      <c r="CP6" s="1223">
        <f>$G6*U6*Variables!$B$53*HLOOKUP($CO$2,Variables!$B$60:$F$61,2,FALSE)</f>
        <v>0</v>
      </c>
      <c r="CQ6" s="1223">
        <f>$G6*V6*Variables!$B$53*HLOOKUP($CO$2,Variables!$B$60:$F$61,2,FALSE)</f>
        <v>0</v>
      </c>
      <c r="CR6" s="1223">
        <f>$G6*W6*Variables!$B$53*HLOOKUP($CO$2,Variables!$B$60:$F$61,2,FALSE)</f>
        <v>0</v>
      </c>
      <c r="CS6" s="1223">
        <f>$G6*X6*Variables!$B$53*HLOOKUP($CO$2,Variables!$B$60:$F$61,2,FALSE)</f>
        <v>0</v>
      </c>
      <c r="CT6" s="1223">
        <f>$G6*Y6*Variables!$B$53*HLOOKUP($CO$2,Variables!$B$60:$F$61,2,FALSE)</f>
        <v>0</v>
      </c>
      <c r="CU6" s="1223">
        <f>$G6*Z6*Variables!$B$53*HLOOKUP($CO$2,Variables!$B$60:$F$61,2,FALSE)</f>
        <v>0</v>
      </c>
      <c r="CV6" s="1223">
        <f>$G6*AA6*Variables!$B$53*HLOOKUP($CO$2,Variables!$B$60:$F$61,2,FALSE)</f>
        <v>0</v>
      </c>
      <c r="CW6" s="1223">
        <f>$G6*AB6*Variables!$B$53*HLOOKUP($CO$2,Variables!$B$60:$F$61,2,FALSE)</f>
        <v>0</v>
      </c>
      <c r="CX6" s="1223">
        <f>$G6*AC6*Variables!$B$53*HLOOKUP($CO$2,Variables!$B$60:$F$61,2,FALSE)</f>
        <v>0</v>
      </c>
      <c r="CY6" s="1223">
        <f>$G6*AD6*Variables!$B$53*HLOOKUP($CO$2,Variables!$B$60:$F$61,2,FALSE)</f>
        <v>0</v>
      </c>
      <c r="CZ6" s="1225">
        <f>$G6*AE6*Variables!$B$53*HLOOKUP($CO$2,Variables!$B$60:$F$61,2,FALSE)</f>
        <v>0</v>
      </c>
      <c r="DA6" s="1222">
        <f>$G6*AF6*Variables!$B$53*HLOOKUP($DA$2,Variables!$B$60:$F$61,2,FALSE)</f>
        <v>0</v>
      </c>
      <c r="DB6" s="1223">
        <f>$G6*AG6*Variables!$B$53*HLOOKUP($DA$2,Variables!$B$60:$F$61,2,FALSE)</f>
        <v>0</v>
      </c>
      <c r="DC6" s="1223">
        <f>$G6*AH6*Variables!$B$53*HLOOKUP($DA$2,Variables!$B$60:$F$61,2,FALSE)</f>
        <v>0</v>
      </c>
      <c r="DD6" s="1223">
        <f>$G6*AI6*Variables!$B$53*HLOOKUP($DA$2,Variables!$B$60:$F$61,2,FALSE)</f>
        <v>0</v>
      </c>
      <c r="DE6" s="1223">
        <f>$G6*AJ6*Variables!$B$53*HLOOKUP($DA$2,Variables!$B$60:$F$61,2,FALSE)</f>
        <v>0</v>
      </c>
      <c r="DF6" s="1223">
        <f>$G6*AK6*Variables!$B$53*HLOOKUP($DA$2,Variables!$B$60:$F$61,2,FALSE)</f>
        <v>0</v>
      </c>
      <c r="DG6" s="1223">
        <f>$G6*AL6*Variables!$B$53*HLOOKUP($DA$2,Variables!$B$60:$F$61,2,FALSE)</f>
        <v>0</v>
      </c>
      <c r="DH6" s="1223">
        <f>$G6*AM6*Variables!$B$53*HLOOKUP($DA$2,Variables!$B$60:$F$61,2,FALSE)</f>
        <v>0</v>
      </c>
      <c r="DI6" s="1223">
        <f>$G6*AN6*Variables!$B$53*HLOOKUP($DA$2,Variables!$B$60:$F$61,2,FALSE)</f>
        <v>0</v>
      </c>
      <c r="DJ6" s="1223">
        <f>$G6*AO6*Variables!$B$53*HLOOKUP($DA$2,Variables!$B$60:$F$61,2,FALSE)</f>
        <v>0</v>
      </c>
      <c r="DK6" s="1223">
        <f>$G6*AP6*Variables!$B$53*HLOOKUP($DA$2,Variables!$B$60:$F$61,2,FALSE)</f>
        <v>0</v>
      </c>
      <c r="DL6" s="1225">
        <f>$G6*AQ6*Variables!$B$53*HLOOKUP($DA$2,Variables!$B$60:$F$61,2,FALSE)</f>
        <v>0</v>
      </c>
      <c r="DM6" s="1222">
        <f>$G6*AR6*Variables!$B$53*HLOOKUP($DM$2,Variables!$B$60:$F$61,2,FALSE)</f>
        <v>0</v>
      </c>
      <c r="DN6" s="1223">
        <f>$G6*AS6*Variables!$B$53*HLOOKUP($DM$2,Variables!$B$60:$F$61,2,FALSE)</f>
        <v>0</v>
      </c>
      <c r="DO6" s="1223">
        <f>$G6*AT6*Variables!$B$53*HLOOKUP($DM$2,Variables!$B$60:$F$61,2,FALSE)</f>
        <v>0</v>
      </c>
      <c r="DP6" s="1223">
        <f>$G6*AU6*Variables!$B$53*HLOOKUP($DM$2,Variables!$B$60:$F$61,2,FALSE)</f>
        <v>0</v>
      </c>
      <c r="DQ6" s="1223">
        <f>$G6*AV6*Variables!$B$53*HLOOKUP($DM$2,Variables!$B$60:$F$61,2,FALSE)</f>
        <v>0</v>
      </c>
      <c r="DR6" s="1223">
        <f>$G6*AW6*Variables!$B$53*HLOOKUP($DM$2,Variables!$B$60:$F$61,2,FALSE)</f>
        <v>0</v>
      </c>
      <c r="DS6" s="1223">
        <f>$G6*AX6*Variables!$B$53*HLOOKUP($DM$2,Variables!$B$60:$F$61,2,FALSE)</f>
        <v>0</v>
      </c>
      <c r="DT6" s="1223">
        <f>$G6*AY6*Variables!$B$53*HLOOKUP($DM$2,Variables!$B$60:$F$61,2,FALSE)</f>
        <v>0</v>
      </c>
      <c r="DU6" s="1223">
        <f>$G6*AZ6*Variables!$B$53*HLOOKUP($DM$2,Variables!$B$60:$F$61,2,FALSE)</f>
        <v>0</v>
      </c>
      <c r="DV6" s="1223">
        <f>$G6*BA6*Variables!$B$53*HLOOKUP($DM$2,Variables!$B$60:$F$61,2,FALSE)</f>
        <v>0</v>
      </c>
      <c r="DW6" s="1223">
        <f>$G6*BB6*Variables!$B$53*HLOOKUP($DM$2,Variables!$B$60:$F$61,2,FALSE)</f>
        <v>0</v>
      </c>
      <c r="DX6" s="1225">
        <f>$G6*BC6*Variables!$B$53*HLOOKUP($DM$2,Variables!$B$60:$F$61,2,FALSE)</f>
        <v>0</v>
      </c>
      <c r="DY6" s="1222">
        <f>$G6*BD6*Variables!$B$53*HLOOKUP($DY$2,Variables!$B$60:$F$61,2,FALSE)</f>
        <v>0</v>
      </c>
      <c r="DZ6" s="1223">
        <f>$G6*BE6*Variables!$B$53*HLOOKUP($DY$2,Variables!$B$60:$F$61,2,FALSE)</f>
        <v>0</v>
      </c>
      <c r="EA6" s="1223">
        <f>$G6*BF6*Variables!$B$53*HLOOKUP($DY$2,Variables!$B$60:$F$61,2,FALSE)</f>
        <v>0</v>
      </c>
      <c r="EB6" s="1223">
        <f>$G6*BG6*Variables!$B$53*HLOOKUP($DY$2,Variables!$B$60:$F$61,2,FALSE)</f>
        <v>0</v>
      </c>
      <c r="EC6" s="1223">
        <f>$G6*BH6*Variables!$B$53*HLOOKUP($DY$2,Variables!$B$60:$F$61,2,FALSE)</f>
        <v>0</v>
      </c>
      <c r="ED6" s="1223">
        <f>$G6*BI6*Variables!$B$53*HLOOKUP($DY$2,Variables!$B$60:$F$61,2,FALSE)</f>
        <v>0</v>
      </c>
      <c r="EE6" s="1223">
        <f>$G6*BJ6*Variables!$B$53*HLOOKUP($DY$2,Variables!$B$60:$F$61,2,FALSE)</f>
        <v>0</v>
      </c>
      <c r="EF6" s="1223">
        <f>$G6*BK6*Variables!$B$53*HLOOKUP($DY$2,Variables!$B$60:$F$61,2,FALSE)</f>
        <v>0</v>
      </c>
      <c r="EG6" s="1223">
        <f>$G6*BL6*Variables!$B$53*HLOOKUP($DY$2,Variables!$B$60:$F$61,2,FALSE)</f>
        <v>0</v>
      </c>
      <c r="EH6" s="1223">
        <f>$G6*BM6*Variables!$B$53*HLOOKUP($DY$2,Variables!$B$60:$F$61,2,FALSE)</f>
        <v>0</v>
      </c>
      <c r="EI6" s="1223">
        <f>$G6*BN6*Variables!$B$53*HLOOKUP($DY$2,Variables!$B$60:$F$61,2,FALSE)</f>
        <v>0</v>
      </c>
      <c r="EJ6" s="1225">
        <f>$G6*BO6*Variables!$B$53*HLOOKUP($DY$2,Variables!$B$60:$F$61,2,FALSE)</f>
        <v>0</v>
      </c>
      <c r="EK6" s="1222">
        <f>$G6*BP6*Variables!$B$53*HLOOKUP($EK$2,Variables!$B$60:$F$61,2,FALSE)</f>
        <v>0</v>
      </c>
      <c r="EL6" s="1223">
        <f>$G6*BQ6*Variables!$B$53*HLOOKUP($EK$2,Variables!$B$60:$F$61,2,FALSE)</f>
        <v>0</v>
      </c>
      <c r="EM6" s="1223">
        <f>$G6*BR6*Variables!$B$53*HLOOKUP($EK$2,Variables!$B$60:$F$61,2,FALSE)</f>
        <v>0</v>
      </c>
      <c r="EN6" s="1223">
        <f>$G6*BS6*Variables!$B$53*HLOOKUP($EK$2,Variables!$B$60:$F$61,2,FALSE)</f>
        <v>0</v>
      </c>
      <c r="EO6" s="1223">
        <f>$G6*BT6*Variables!$B$53*HLOOKUP($EK$2,Variables!$B$60:$F$61,2,FALSE)</f>
        <v>0</v>
      </c>
      <c r="EP6" s="1223">
        <f>$G6*BU6*Variables!$B$53*HLOOKUP($EK$2,Variables!$B$60:$F$61,2,FALSE)</f>
        <v>0</v>
      </c>
      <c r="EQ6" s="1223">
        <f>$G6*BV6*Variables!$B$53*HLOOKUP($EK$2,Variables!$B$60:$F$61,2,FALSE)</f>
        <v>0</v>
      </c>
      <c r="ER6" s="1223">
        <f>$G6*BW6*Variables!$B$53*HLOOKUP($EK$2,Variables!$B$60:$F$61,2,FALSE)</f>
        <v>0</v>
      </c>
      <c r="ES6" s="1223">
        <f>$G6*BX6*Variables!$B$53*HLOOKUP($EK$2,Variables!$B$60:$F$61,2,FALSE)</f>
        <v>0</v>
      </c>
      <c r="ET6" s="1223">
        <f>$G6*BY6*Variables!$B$53*HLOOKUP($EK$2,Variables!$B$60:$F$61,2,FALSE)</f>
        <v>0</v>
      </c>
      <c r="EU6" s="1223">
        <f>$G6*BZ6*Variables!$B$53*HLOOKUP($EK$2,Variables!$B$60:$F$61,2,FALSE)</f>
        <v>0</v>
      </c>
      <c r="EV6" s="1225">
        <f>$G6*CA6*Variables!$B$53*HLOOKUP($EK$2,Variables!$B$60:$F$61,2,FALSE)</f>
        <v>0</v>
      </c>
      <c r="EW6" s="872">
        <f t="shared" ref="EW6:EW74" si="6">SUM(CC6:EV6)</f>
        <v>0</v>
      </c>
      <c r="EX6" s="872"/>
      <c r="EY6" s="872"/>
      <c r="EZ6" s="872"/>
      <c r="FA6" s="1332"/>
      <c r="FC6" s="958" t="str">
        <f t="shared" si="3"/>
        <v>US_IT</v>
      </c>
      <c r="FD6" s="959" t="str">
        <f t="shared" si="4"/>
        <v>Planning</v>
      </c>
      <c r="FE6" s="959" t="s">
        <v>8407</v>
      </c>
      <c r="FF6" s="959" t="str">
        <f>IF(ISNA(VLOOKUP(FC6,Miscellaneous!E:F,2,0)),"",VLOOKUP(FC6,Miscellaneous!E:F,2,0))</f>
        <v>Steve Olive</v>
      </c>
      <c r="FG6" s="959" t="str">
        <f t="shared" si="5"/>
        <v>Capex</v>
      </c>
      <c r="FH6" s="996">
        <f>IF($FG6="Opex",SUMIF('Monthly Summary'!$C$75:$N$75,"",CC6:CN6),SUMIF('Monthly Summary'!$C$74:$N$74,"",CC6:CN6))</f>
        <v>0</v>
      </c>
      <c r="FI6" s="996">
        <f>IF($FG6="Opex",SUMIF('Monthly Summary'!$O$75:$Z$75,"",CO6:CZ6),SUMIF('Monthly Summary'!$O$74:$Z$74,"",CO6:CZ6))</f>
        <v>0</v>
      </c>
      <c r="FJ6" s="996">
        <f>IF($FG6="Opex",SUMIF('Monthly Summary'!$AA$75:$AL$75,"",DA6:DL6),SUMIF('Monthly Summary'!$AA$74:$AL$74,"",DA6:DL6))</f>
        <v>0</v>
      </c>
      <c r="FK6" s="996">
        <f>IF($FG6="Opex",SUMIF('Monthly Summary'!$AM$75:$AX$75,"",DM6:DX6),SUMIF('Monthly Summary'!$AM$74:$AX$74,"",DM6:DX6))</f>
        <v>0</v>
      </c>
      <c r="FL6" s="996">
        <f>IF($FG6="Opex",SUMIF('Monthly Summary'!$AY$75:$BJ$75,"",DY6:EJ6),SUMIF('Monthly Summary'!$AY$74:$BJ$74,"",DY6:EJ6))</f>
        <v>0</v>
      </c>
      <c r="FM6" s="997">
        <f>IF($FG6="Opex",SUMIF('Monthly Summary'!$BK$75:$BV$75,"",EK6:EV6),SUMIF('Monthly Summary'!$BK$74:$BV$74,"",EK6:EV6))</f>
        <v>0</v>
      </c>
      <c r="FN6" s="997">
        <f t="shared" ref="FN6:FN69" si="7">SUM(FH6:FM6)</f>
        <v>0</v>
      </c>
    </row>
    <row r="7" spans="1:170">
      <c r="A7" s="753" t="s">
        <v>452</v>
      </c>
      <c r="B7" s="753" t="s">
        <v>8398</v>
      </c>
      <c r="C7" s="757" t="s">
        <v>8479</v>
      </c>
      <c r="D7" s="757" t="s">
        <v>16473</v>
      </c>
      <c r="E7" s="758" t="s">
        <v>8507</v>
      </c>
      <c r="F7" s="758" t="s">
        <v>21</v>
      </c>
      <c r="G7" s="758">
        <v>1215</v>
      </c>
      <c r="H7" s="1215"/>
      <c r="I7" s="761"/>
      <c r="J7" s="761"/>
      <c r="K7" s="761"/>
      <c r="L7" s="761"/>
      <c r="M7" s="761"/>
      <c r="N7" s="761"/>
      <c r="O7" s="761"/>
      <c r="P7" s="761"/>
      <c r="Q7" s="761"/>
      <c r="R7" s="761"/>
      <c r="S7" s="1216"/>
      <c r="T7" s="1215"/>
      <c r="U7" s="761"/>
      <c r="V7" s="761"/>
      <c r="W7" s="761"/>
      <c r="X7" s="761"/>
      <c r="Y7" s="761"/>
      <c r="Z7" s="761"/>
      <c r="AA7" s="761"/>
      <c r="AB7" s="761"/>
      <c r="AC7" s="761"/>
      <c r="AD7" s="761"/>
      <c r="AE7" s="1216"/>
      <c r="AF7" s="1215"/>
      <c r="AG7" s="761"/>
      <c r="AH7" s="761"/>
      <c r="AI7" s="761"/>
      <c r="AJ7" s="761"/>
      <c r="AK7" s="761"/>
      <c r="AL7" s="761"/>
      <c r="AM7" s="761"/>
      <c r="AN7" s="761"/>
      <c r="AO7" s="761"/>
      <c r="AP7" s="761"/>
      <c r="AQ7" s="1216"/>
      <c r="AR7" s="1215"/>
      <c r="AS7" s="761"/>
      <c r="AT7" s="761"/>
      <c r="AU7" s="761"/>
      <c r="AV7" s="761"/>
      <c r="AW7" s="761"/>
      <c r="AX7" s="761"/>
      <c r="AY7" s="761"/>
      <c r="AZ7" s="761"/>
      <c r="BA7" s="761"/>
      <c r="BB7" s="761"/>
      <c r="BC7" s="1216"/>
      <c r="BD7" s="1215"/>
      <c r="BE7" s="761"/>
      <c r="BF7" s="761"/>
      <c r="BG7" s="761"/>
      <c r="BH7" s="761"/>
      <c r="BI7" s="761"/>
      <c r="BJ7" s="761"/>
      <c r="BK7" s="761"/>
      <c r="BL7" s="761"/>
      <c r="BM7" s="761"/>
      <c r="BN7" s="761"/>
      <c r="BO7" s="1216"/>
      <c r="BP7" s="1215"/>
      <c r="BQ7" s="761"/>
      <c r="BR7" s="761"/>
      <c r="BS7" s="761"/>
      <c r="BT7" s="761"/>
      <c r="BU7" s="761"/>
      <c r="BV7" s="761"/>
      <c r="BW7" s="761"/>
      <c r="BX7" s="761"/>
      <c r="BY7" s="761"/>
      <c r="BZ7" s="761"/>
      <c r="CA7" s="1216"/>
      <c r="CB7" s="747"/>
      <c r="CC7" s="1222">
        <f>$G7*H7*Variables!$B$53</f>
        <v>0</v>
      </c>
      <c r="CD7" s="1223">
        <f>$G7*I7*Variables!$B$53</f>
        <v>0</v>
      </c>
      <c r="CE7" s="1223">
        <f>$G7*J7*Variables!$B$53</f>
        <v>0</v>
      </c>
      <c r="CF7" s="1223">
        <f>$G7*K7*Variables!$B$53</f>
        <v>0</v>
      </c>
      <c r="CG7" s="1223">
        <f>$G7*L7*Variables!$B$53</f>
        <v>0</v>
      </c>
      <c r="CH7" s="1223">
        <f>$G7*M7*Variables!$B$53</f>
        <v>0</v>
      </c>
      <c r="CI7" s="1223">
        <f>$G7*N7*Variables!$B$53</f>
        <v>0</v>
      </c>
      <c r="CJ7" s="1223">
        <f>$G7*O7*Variables!$B$53</f>
        <v>0</v>
      </c>
      <c r="CK7" s="1223">
        <f>$G7*P7*Variables!$B$53</f>
        <v>0</v>
      </c>
      <c r="CL7" s="1223">
        <f>$G7*Q7*Variables!$B$53</f>
        <v>0</v>
      </c>
      <c r="CM7" s="1223">
        <f>$G7*R7*Variables!$B$53</f>
        <v>0</v>
      </c>
      <c r="CN7" s="1225">
        <f>$G7*S7*Variables!$B$53</f>
        <v>0</v>
      </c>
      <c r="CO7" s="1222">
        <f>$G7*T7*Variables!$B$53*HLOOKUP($CO$2,Variables!$B$60:$F$61,2,FALSE)</f>
        <v>0</v>
      </c>
      <c r="CP7" s="1223">
        <f>$G7*U7*Variables!$B$53*HLOOKUP($CO$2,Variables!$B$60:$F$61,2,FALSE)</f>
        <v>0</v>
      </c>
      <c r="CQ7" s="1223">
        <f>$G7*V7*Variables!$B$53*HLOOKUP($CO$2,Variables!$B$60:$F$61,2,FALSE)</f>
        <v>0</v>
      </c>
      <c r="CR7" s="1223">
        <f>$G7*W7*Variables!$B$53*HLOOKUP($CO$2,Variables!$B$60:$F$61,2,FALSE)</f>
        <v>0</v>
      </c>
      <c r="CS7" s="1223">
        <f>$G7*X7*Variables!$B$53*HLOOKUP($CO$2,Variables!$B$60:$F$61,2,FALSE)</f>
        <v>0</v>
      </c>
      <c r="CT7" s="1223">
        <f>$G7*Y7*Variables!$B$53*HLOOKUP($CO$2,Variables!$B$60:$F$61,2,FALSE)</f>
        <v>0</v>
      </c>
      <c r="CU7" s="1223">
        <f>$G7*Z7*Variables!$B$53*HLOOKUP($CO$2,Variables!$B$60:$F$61,2,FALSE)</f>
        <v>0</v>
      </c>
      <c r="CV7" s="1223">
        <f>$G7*AA7*Variables!$B$53*HLOOKUP($CO$2,Variables!$B$60:$F$61,2,FALSE)</f>
        <v>0</v>
      </c>
      <c r="CW7" s="1223">
        <f>$G7*AB7*Variables!$B$53*HLOOKUP($CO$2,Variables!$B$60:$F$61,2,FALSE)</f>
        <v>0</v>
      </c>
      <c r="CX7" s="1223">
        <f>$G7*AC7*Variables!$B$53*HLOOKUP($CO$2,Variables!$B$60:$F$61,2,FALSE)</f>
        <v>0</v>
      </c>
      <c r="CY7" s="1223">
        <f>$G7*AD7*Variables!$B$53*HLOOKUP($CO$2,Variables!$B$60:$F$61,2,FALSE)</f>
        <v>0</v>
      </c>
      <c r="CZ7" s="1225">
        <f>$G7*AE7*Variables!$B$53*HLOOKUP($CO$2,Variables!$B$60:$F$61,2,FALSE)</f>
        <v>0</v>
      </c>
      <c r="DA7" s="1222">
        <f>$G7*AF7*Variables!$B$53*HLOOKUP($DA$2,Variables!$B$60:$F$61,2,FALSE)</f>
        <v>0</v>
      </c>
      <c r="DB7" s="1223">
        <f>$G7*AG7*Variables!$B$53*HLOOKUP($DA$2,Variables!$B$60:$F$61,2,FALSE)</f>
        <v>0</v>
      </c>
      <c r="DC7" s="1223">
        <f>$G7*AH7*Variables!$B$53*HLOOKUP($DA$2,Variables!$B$60:$F$61,2,FALSE)</f>
        <v>0</v>
      </c>
      <c r="DD7" s="1223">
        <f>$G7*AI7*Variables!$B$53*HLOOKUP($DA$2,Variables!$B$60:$F$61,2,FALSE)</f>
        <v>0</v>
      </c>
      <c r="DE7" s="1223">
        <f>$G7*AJ7*Variables!$B$53*HLOOKUP($DA$2,Variables!$B$60:$F$61,2,FALSE)</f>
        <v>0</v>
      </c>
      <c r="DF7" s="1223">
        <f>$G7*AK7*Variables!$B$53*HLOOKUP($DA$2,Variables!$B$60:$F$61,2,FALSE)</f>
        <v>0</v>
      </c>
      <c r="DG7" s="1223">
        <f>$G7*AL7*Variables!$B$53*HLOOKUP($DA$2,Variables!$B$60:$F$61,2,FALSE)</f>
        <v>0</v>
      </c>
      <c r="DH7" s="1223">
        <f>$G7*AM7*Variables!$B$53*HLOOKUP($DA$2,Variables!$B$60:$F$61,2,FALSE)</f>
        <v>0</v>
      </c>
      <c r="DI7" s="1223">
        <f>$G7*AN7*Variables!$B$53*HLOOKUP($DA$2,Variables!$B$60:$F$61,2,FALSE)</f>
        <v>0</v>
      </c>
      <c r="DJ7" s="1223">
        <f>$G7*AO7*Variables!$B$53*HLOOKUP($DA$2,Variables!$B$60:$F$61,2,FALSE)</f>
        <v>0</v>
      </c>
      <c r="DK7" s="1223">
        <f>$G7*AP7*Variables!$B$53*HLOOKUP($DA$2,Variables!$B$60:$F$61,2,FALSE)</f>
        <v>0</v>
      </c>
      <c r="DL7" s="1225">
        <f>$G7*AQ7*Variables!$B$53*HLOOKUP($DA$2,Variables!$B$60:$F$61,2,FALSE)</f>
        <v>0</v>
      </c>
      <c r="DM7" s="1222">
        <f>$G7*AR7*Variables!$B$53*HLOOKUP($DM$2,Variables!$B$60:$F$61,2,FALSE)</f>
        <v>0</v>
      </c>
      <c r="DN7" s="1223">
        <f>$G7*AS7*Variables!$B$53*HLOOKUP($DM$2,Variables!$B$60:$F$61,2,FALSE)</f>
        <v>0</v>
      </c>
      <c r="DO7" s="1223">
        <f>$G7*AT7*Variables!$B$53*HLOOKUP($DM$2,Variables!$B$60:$F$61,2,FALSE)</f>
        <v>0</v>
      </c>
      <c r="DP7" s="1223">
        <f>$G7*AU7*Variables!$B$53*HLOOKUP($DM$2,Variables!$B$60:$F$61,2,FALSE)</f>
        <v>0</v>
      </c>
      <c r="DQ7" s="1223">
        <f>$G7*AV7*Variables!$B$53*HLOOKUP($DM$2,Variables!$B$60:$F$61,2,FALSE)</f>
        <v>0</v>
      </c>
      <c r="DR7" s="1223">
        <f>$G7*AW7*Variables!$B$53*HLOOKUP($DM$2,Variables!$B$60:$F$61,2,FALSE)</f>
        <v>0</v>
      </c>
      <c r="DS7" s="1223">
        <f>$G7*AX7*Variables!$B$53*HLOOKUP($DM$2,Variables!$B$60:$F$61,2,FALSE)</f>
        <v>0</v>
      </c>
      <c r="DT7" s="1223">
        <f>$G7*AY7*Variables!$B$53*HLOOKUP($DM$2,Variables!$B$60:$F$61,2,FALSE)</f>
        <v>0</v>
      </c>
      <c r="DU7" s="1223">
        <f>$G7*AZ7*Variables!$B$53*HLOOKUP($DM$2,Variables!$B$60:$F$61,2,FALSE)</f>
        <v>0</v>
      </c>
      <c r="DV7" s="1223">
        <f>$G7*BA7*Variables!$B$53*HLOOKUP($DM$2,Variables!$B$60:$F$61,2,FALSE)</f>
        <v>0</v>
      </c>
      <c r="DW7" s="1223">
        <f>$G7*BB7*Variables!$B$53*HLOOKUP($DM$2,Variables!$B$60:$F$61,2,FALSE)</f>
        <v>0</v>
      </c>
      <c r="DX7" s="1225">
        <f>$G7*BC7*Variables!$B$53*HLOOKUP($DM$2,Variables!$B$60:$F$61,2,FALSE)</f>
        <v>0</v>
      </c>
      <c r="DY7" s="1222">
        <f>$G7*BD7*Variables!$B$53*HLOOKUP($DY$2,Variables!$B$60:$F$61,2,FALSE)</f>
        <v>0</v>
      </c>
      <c r="DZ7" s="1223">
        <f>$G7*BE7*Variables!$B$53*HLOOKUP($DY$2,Variables!$B$60:$F$61,2,FALSE)</f>
        <v>0</v>
      </c>
      <c r="EA7" s="1223">
        <f>$G7*BF7*Variables!$B$53*HLOOKUP($DY$2,Variables!$B$60:$F$61,2,FALSE)</f>
        <v>0</v>
      </c>
      <c r="EB7" s="1223">
        <f>$G7*BG7*Variables!$B$53*HLOOKUP($DY$2,Variables!$B$60:$F$61,2,FALSE)</f>
        <v>0</v>
      </c>
      <c r="EC7" s="1223">
        <f>$G7*BH7*Variables!$B$53*HLOOKUP($DY$2,Variables!$B$60:$F$61,2,FALSE)</f>
        <v>0</v>
      </c>
      <c r="ED7" s="1223">
        <f>$G7*BI7*Variables!$B$53*HLOOKUP($DY$2,Variables!$B$60:$F$61,2,FALSE)</f>
        <v>0</v>
      </c>
      <c r="EE7" s="1223">
        <f>$G7*BJ7*Variables!$B$53*HLOOKUP($DY$2,Variables!$B$60:$F$61,2,FALSE)</f>
        <v>0</v>
      </c>
      <c r="EF7" s="1223">
        <f>$G7*BK7*Variables!$B$53*HLOOKUP($DY$2,Variables!$B$60:$F$61,2,FALSE)</f>
        <v>0</v>
      </c>
      <c r="EG7" s="1223">
        <f>$G7*BL7*Variables!$B$53*HLOOKUP($DY$2,Variables!$B$60:$F$61,2,FALSE)</f>
        <v>0</v>
      </c>
      <c r="EH7" s="1223">
        <f>$G7*BM7*Variables!$B$53*HLOOKUP($DY$2,Variables!$B$60:$F$61,2,FALSE)</f>
        <v>0</v>
      </c>
      <c r="EI7" s="1223">
        <f>$G7*BN7*Variables!$B$53*HLOOKUP($DY$2,Variables!$B$60:$F$61,2,FALSE)</f>
        <v>0</v>
      </c>
      <c r="EJ7" s="1225">
        <f>$G7*BO7*Variables!$B$53*HLOOKUP($DY$2,Variables!$B$60:$F$61,2,FALSE)</f>
        <v>0</v>
      </c>
      <c r="EK7" s="1222">
        <f>$G7*BP7*Variables!$B$53*HLOOKUP($EK$2,Variables!$B$60:$F$61,2,FALSE)</f>
        <v>0</v>
      </c>
      <c r="EL7" s="1223">
        <f>$G7*BQ7*Variables!$B$53*HLOOKUP($EK$2,Variables!$B$60:$F$61,2,FALSE)</f>
        <v>0</v>
      </c>
      <c r="EM7" s="1223">
        <f>$G7*BR7*Variables!$B$53*HLOOKUP($EK$2,Variables!$B$60:$F$61,2,FALSE)</f>
        <v>0</v>
      </c>
      <c r="EN7" s="1223">
        <f>$G7*BS7*Variables!$B$53*HLOOKUP($EK$2,Variables!$B$60:$F$61,2,FALSE)</f>
        <v>0</v>
      </c>
      <c r="EO7" s="1223">
        <f>$G7*BT7*Variables!$B$53*HLOOKUP($EK$2,Variables!$B$60:$F$61,2,FALSE)</f>
        <v>0</v>
      </c>
      <c r="EP7" s="1223">
        <f>$G7*BU7*Variables!$B$53*HLOOKUP($EK$2,Variables!$B$60:$F$61,2,FALSE)</f>
        <v>0</v>
      </c>
      <c r="EQ7" s="1223">
        <f>$G7*BV7*Variables!$B$53*HLOOKUP($EK$2,Variables!$B$60:$F$61,2,FALSE)</f>
        <v>0</v>
      </c>
      <c r="ER7" s="1223">
        <f>$G7*BW7*Variables!$B$53*HLOOKUP($EK$2,Variables!$B$60:$F$61,2,FALSE)</f>
        <v>0</v>
      </c>
      <c r="ES7" s="1223">
        <f>$G7*BX7*Variables!$B$53*HLOOKUP($EK$2,Variables!$B$60:$F$61,2,FALSE)</f>
        <v>0</v>
      </c>
      <c r="ET7" s="1223">
        <f>$G7*BY7*Variables!$B$53*HLOOKUP($EK$2,Variables!$B$60:$F$61,2,FALSE)</f>
        <v>0</v>
      </c>
      <c r="EU7" s="1223">
        <f>$G7*BZ7*Variables!$B$53*HLOOKUP($EK$2,Variables!$B$60:$F$61,2,FALSE)</f>
        <v>0</v>
      </c>
      <c r="EV7" s="1225">
        <f>$G7*CA7*Variables!$B$53*HLOOKUP($EK$2,Variables!$B$60:$F$61,2,FALSE)</f>
        <v>0</v>
      </c>
      <c r="EW7" s="872">
        <f t="shared" si="6"/>
        <v>0</v>
      </c>
      <c r="EX7" s="872"/>
      <c r="EY7" s="872"/>
      <c r="EZ7" s="872"/>
      <c r="FA7" s="1332"/>
      <c r="FC7" s="958" t="str">
        <f t="shared" si="3"/>
        <v>AppDevelopment</v>
      </c>
      <c r="FD7" s="959" t="str">
        <f t="shared" si="4"/>
        <v>Pilot_Implementation</v>
      </c>
      <c r="FE7" s="959" t="s">
        <v>8407</v>
      </c>
      <c r="FF7" s="959" t="str">
        <f>IF(ISNA(VLOOKUP(FC7,Miscellaneous!E:F,2,0)),"",VLOOKUP(FC7,Miscellaneous!E:F,2,0))</f>
        <v>Narayan Devireddy</v>
      </c>
      <c r="FG7" s="959" t="str">
        <f t="shared" si="5"/>
        <v>Capex</v>
      </c>
      <c r="FH7" s="996">
        <f>IF($FG7="Opex",SUMIF('Monthly Summary'!$C$75:$N$75,"",CC7:CN7),SUMIF('Monthly Summary'!$C$74:$N$74,"",CC7:CN7))</f>
        <v>0</v>
      </c>
      <c r="FI7" s="996">
        <f>IF($FG7="Opex",SUMIF('Monthly Summary'!$O$75:$Z$75,"",CO7:CZ7),SUMIF('Monthly Summary'!$O$74:$Z$74,"",CO7:CZ7))</f>
        <v>0</v>
      </c>
      <c r="FJ7" s="996">
        <f>IF($FG7="Opex",SUMIF('Monthly Summary'!$AA$75:$AL$75,"",DA7:DL7),SUMIF('Monthly Summary'!$AA$74:$AL$74,"",DA7:DL7))</f>
        <v>0</v>
      </c>
      <c r="FK7" s="996">
        <f>IF($FG7="Opex",SUMIF('Monthly Summary'!$AM$75:$AX$75,"",DM7:DX7),SUMIF('Monthly Summary'!$AM$74:$AX$74,"",DM7:DX7))</f>
        <v>0</v>
      </c>
      <c r="FL7" s="996">
        <f>IF($FG7="Opex",SUMIF('Monthly Summary'!$AY$75:$BJ$75,"",DY7:EJ7),SUMIF('Monthly Summary'!$AY$74:$BJ$74,"",DY7:EJ7))</f>
        <v>0</v>
      </c>
      <c r="FM7" s="997">
        <f>IF($FG7="Opex",SUMIF('Monthly Summary'!$BK$75:$BV$75,"",EK7:EV7),SUMIF('Monthly Summary'!$BK$74:$BV$74,"",EK7:EV7))</f>
        <v>0</v>
      </c>
      <c r="FN7" s="997">
        <f t="shared" si="7"/>
        <v>0</v>
      </c>
    </row>
    <row r="8" spans="1:170">
      <c r="A8" s="753" t="s">
        <v>452</v>
      </c>
      <c r="B8" s="753" t="s">
        <v>8402</v>
      </c>
      <c r="C8" s="757" t="s">
        <v>8480</v>
      </c>
      <c r="D8" s="757" t="s">
        <v>16474</v>
      </c>
      <c r="E8" s="758" t="s">
        <v>8507</v>
      </c>
      <c r="F8" s="758" t="s">
        <v>21</v>
      </c>
      <c r="G8" s="758">
        <v>1018</v>
      </c>
      <c r="H8" s="1215"/>
      <c r="I8" s="761"/>
      <c r="J8" s="761"/>
      <c r="K8" s="761"/>
      <c r="L8" s="761"/>
      <c r="M8" s="761"/>
      <c r="N8" s="761"/>
      <c r="O8" s="761"/>
      <c r="P8" s="761"/>
      <c r="Q8" s="761"/>
      <c r="R8" s="761"/>
      <c r="S8" s="1216"/>
      <c r="T8" s="1215"/>
      <c r="U8" s="761"/>
      <c r="V8" s="761"/>
      <c r="W8" s="761"/>
      <c r="X8" s="761"/>
      <c r="Y8" s="761"/>
      <c r="Z8" s="761"/>
      <c r="AA8" s="761"/>
      <c r="AB8" s="761"/>
      <c r="AC8" s="761"/>
      <c r="AD8" s="761"/>
      <c r="AE8" s="1216"/>
      <c r="AF8" s="1215"/>
      <c r="AG8" s="761"/>
      <c r="AH8" s="761"/>
      <c r="AI8" s="761"/>
      <c r="AJ8" s="761"/>
      <c r="AK8" s="761"/>
      <c r="AL8" s="761"/>
      <c r="AM8" s="761"/>
      <c r="AN8" s="761"/>
      <c r="AO8" s="761"/>
      <c r="AP8" s="761"/>
      <c r="AQ8" s="1216"/>
      <c r="AR8" s="1215"/>
      <c r="AS8" s="761"/>
      <c r="AT8" s="761"/>
      <c r="AU8" s="761"/>
      <c r="AV8" s="761"/>
      <c r="AW8" s="761"/>
      <c r="AX8" s="761"/>
      <c r="AY8" s="761"/>
      <c r="AZ8" s="761"/>
      <c r="BA8" s="761"/>
      <c r="BB8" s="761"/>
      <c r="BC8" s="1216"/>
      <c r="BD8" s="1215"/>
      <c r="BE8" s="761"/>
      <c r="BF8" s="761"/>
      <c r="BG8" s="761"/>
      <c r="BH8" s="761"/>
      <c r="BI8" s="761"/>
      <c r="BJ8" s="761"/>
      <c r="BK8" s="761"/>
      <c r="BL8" s="761"/>
      <c r="BM8" s="761"/>
      <c r="BN8" s="761"/>
      <c r="BO8" s="1216"/>
      <c r="BP8" s="1215"/>
      <c r="BQ8" s="761"/>
      <c r="BR8" s="761"/>
      <c r="BS8" s="761"/>
      <c r="BT8" s="761"/>
      <c r="BU8" s="761"/>
      <c r="BV8" s="761"/>
      <c r="BW8" s="761"/>
      <c r="BX8" s="761"/>
      <c r="BY8" s="761"/>
      <c r="BZ8" s="761"/>
      <c r="CA8" s="1216"/>
      <c r="CB8" s="747"/>
      <c r="CC8" s="1222">
        <f>$G8*H8*Variables!$B$53</f>
        <v>0</v>
      </c>
      <c r="CD8" s="1223">
        <f>$G8*I8*Variables!$B$53</f>
        <v>0</v>
      </c>
      <c r="CE8" s="1223">
        <f>$G8*J8*Variables!$B$53</f>
        <v>0</v>
      </c>
      <c r="CF8" s="1223">
        <f>$G8*K8*Variables!$B$53</f>
        <v>0</v>
      </c>
      <c r="CG8" s="1223">
        <f>$G8*L8*Variables!$B$53</f>
        <v>0</v>
      </c>
      <c r="CH8" s="1223">
        <f>$G8*M8*Variables!$B$53</f>
        <v>0</v>
      </c>
      <c r="CI8" s="1223">
        <f>$G8*N8*Variables!$B$53</f>
        <v>0</v>
      </c>
      <c r="CJ8" s="1223">
        <f>$G8*O8*Variables!$B$53</f>
        <v>0</v>
      </c>
      <c r="CK8" s="1223">
        <f>$G8*P8*Variables!$B$53</f>
        <v>0</v>
      </c>
      <c r="CL8" s="1223">
        <f>$G8*Q8*Variables!$B$53</f>
        <v>0</v>
      </c>
      <c r="CM8" s="1223">
        <f>$G8*R8*Variables!$B$53</f>
        <v>0</v>
      </c>
      <c r="CN8" s="1225">
        <f>$G8*S8*Variables!$B$53</f>
        <v>0</v>
      </c>
      <c r="CO8" s="1222">
        <f>$G8*T8*Variables!$B$53*HLOOKUP($CO$2,Variables!$B$60:$F$61,2,FALSE)</f>
        <v>0</v>
      </c>
      <c r="CP8" s="1223">
        <f>$G8*U8*Variables!$B$53*HLOOKUP($CO$2,Variables!$B$60:$F$61,2,FALSE)</f>
        <v>0</v>
      </c>
      <c r="CQ8" s="1223">
        <f>$G8*V8*Variables!$B$53*HLOOKUP($CO$2,Variables!$B$60:$F$61,2,FALSE)</f>
        <v>0</v>
      </c>
      <c r="CR8" s="1223">
        <f>$G8*W8*Variables!$B$53*HLOOKUP($CO$2,Variables!$B$60:$F$61,2,FALSE)</f>
        <v>0</v>
      </c>
      <c r="CS8" s="1223">
        <f>$G8*X8*Variables!$B$53*HLOOKUP($CO$2,Variables!$B$60:$F$61,2,FALSE)</f>
        <v>0</v>
      </c>
      <c r="CT8" s="1223">
        <f>$G8*Y8*Variables!$B$53*HLOOKUP($CO$2,Variables!$B$60:$F$61,2,FALSE)</f>
        <v>0</v>
      </c>
      <c r="CU8" s="1223">
        <f>$G8*Z8*Variables!$B$53*HLOOKUP($CO$2,Variables!$B$60:$F$61,2,FALSE)</f>
        <v>0</v>
      </c>
      <c r="CV8" s="1223">
        <f>$G8*AA8*Variables!$B$53*HLOOKUP($CO$2,Variables!$B$60:$F$61,2,FALSE)</f>
        <v>0</v>
      </c>
      <c r="CW8" s="1223">
        <f>$G8*AB8*Variables!$B$53*HLOOKUP($CO$2,Variables!$B$60:$F$61,2,FALSE)</f>
        <v>0</v>
      </c>
      <c r="CX8" s="1223">
        <f>$G8*AC8*Variables!$B$53*HLOOKUP($CO$2,Variables!$B$60:$F$61,2,FALSE)</f>
        <v>0</v>
      </c>
      <c r="CY8" s="1223">
        <f>$G8*AD8*Variables!$B$53*HLOOKUP($CO$2,Variables!$B$60:$F$61,2,FALSE)</f>
        <v>0</v>
      </c>
      <c r="CZ8" s="1225">
        <f>$G8*AE8*Variables!$B$53*HLOOKUP($CO$2,Variables!$B$60:$F$61,2,FALSE)</f>
        <v>0</v>
      </c>
      <c r="DA8" s="1222">
        <f>$G8*AF8*Variables!$B$53*HLOOKUP($DA$2,Variables!$B$60:$F$61,2,FALSE)</f>
        <v>0</v>
      </c>
      <c r="DB8" s="1223">
        <f>$G8*AG8*Variables!$B$53*HLOOKUP($DA$2,Variables!$B$60:$F$61,2,FALSE)</f>
        <v>0</v>
      </c>
      <c r="DC8" s="1223">
        <f>$G8*AH8*Variables!$B$53*HLOOKUP($DA$2,Variables!$B$60:$F$61,2,FALSE)</f>
        <v>0</v>
      </c>
      <c r="DD8" s="1223">
        <f>$G8*AI8*Variables!$B$53*HLOOKUP($DA$2,Variables!$B$60:$F$61,2,FALSE)</f>
        <v>0</v>
      </c>
      <c r="DE8" s="1223">
        <f>$G8*AJ8*Variables!$B$53*HLOOKUP($DA$2,Variables!$B$60:$F$61,2,FALSE)</f>
        <v>0</v>
      </c>
      <c r="DF8" s="1223">
        <f>$G8*AK8*Variables!$B$53*HLOOKUP($DA$2,Variables!$B$60:$F$61,2,FALSE)</f>
        <v>0</v>
      </c>
      <c r="DG8" s="1223">
        <f>$G8*AL8*Variables!$B$53*HLOOKUP($DA$2,Variables!$B$60:$F$61,2,FALSE)</f>
        <v>0</v>
      </c>
      <c r="DH8" s="1223">
        <f>$G8*AM8*Variables!$B$53*HLOOKUP($DA$2,Variables!$B$60:$F$61,2,FALSE)</f>
        <v>0</v>
      </c>
      <c r="DI8" s="1223">
        <f>$G8*AN8*Variables!$B$53*HLOOKUP($DA$2,Variables!$B$60:$F$61,2,FALSE)</f>
        <v>0</v>
      </c>
      <c r="DJ8" s="1223">
        <f>$G8*AO8*Variables!$B$53*HLOOKUP($DA$2,Variables!$B$60:$F$61,2,FALSE)</f>
        <v>0</v>
      </c>
      <c r="DK8" s="1223">
        <f>$G8*AP8*Variables!$B$53*HLOOKUP($DA$2,Variables!$B$60:$F$61,2,FALSE)</f>
        <v>0</v>
      </c>
      <c r="DL8" s="1225">
        <f>$G8*AQ8*Variables!$B$53*HLOOKUP($DA$2,Variables!$B$60:$F$61,2,FALSE)</f>
        <v>0</v>
      </c>
      <c r="DM8" s="1222">
        <f>$G8*AR8*Variables!$B$53*HLOOKUP($DM$2,Variables!$B$60:$F$61,2,FALSE)</f>
        <v>0</v>
      </c>
      <c r="DN8" s="1223">
        <f>$G8*AS8*Variables!$B$53*HLOOKUP($DM$2,Variables!$B$60:$F$61,2,FALSE)</f>
        <v>0</v>
      </c>
      <c r="DO8" s="1223">
        <f>$G8*AT8*Variables!$B$53*HLOOKUP($DM$2,Variables!$B$60:$F$61,2,FALSE)</f>
        <v>0</v>
      </c>
      <c r="DP8" s="1223">
        <f>$G8*AU8*Variables!$B$53*HLOOKUP($DM$2,Variables!$B$60:$F$61,2,FALSE)</f>
        <v>0</v>
      </c>
      <c r="DQ8" s="1223">
        <f>$G8*AV8*Variables!$B$53*HLOOKUP($DM$2,Variables!$B$60:$F$61,2,FALSE)</f>
        <v>0</v>
      </c>
      <c r="DR8" s="1223">
        <f>$G8*AW8*Variables!$B$53*HLOOKUP($DM$2,Variables!$B$60:$F$61,2,FALSE)</f>
        <v>0</v>
      </c>
      <c r="DS8" s="1223">
        <f>$G8*AX8*Variables!$B$53*HLOOKUP($DM$2,Variables!$B$60:$F$61,2,FALSE)</f>
        <v>0</v>
      </c>
      <c r="DT8" s="1223">
        <f>$G8*AY8*Variables!$B$53*HLOOKUP($DM$2,Variables!$B$60:$F$61,2,FALSE)</f>
        <v>0</v>
      </c>
      <c r="DU8" s="1223">
        <f>$G8*AZ8*Variables!$B$53*HLOOKUP($DM$2,Variables!$B$60:$F$61,2,FALSE)</f>
        <v>0</v>
      </c>
      <c r="DV8" s="1223">
        <f>$G8*BA8*Variables!$B$53*HLOOKUP($DM$2,Variables!$B$60:$F$61,2,FALSE)</f>
        <v>0</v>
      </c>
      <c r="DW8" s="1223">
        <f>$G8*BB8*Variables!$B$53*HLOOKUP($DM$2,Variables!$B$60:$F$61,2,FALSE)</f>
        <v>0</v>
      </c>
      <c r="DX8" s="1225">
        <f>$G8*BC8*Variables!$B$53*HLOOKUP($DM$2,Variables!$B$60:$F$61,2,FALSE)</f>
        <v>0</v>
      </c>
      <c r="DY8" s="1222">
        <f>$G8*BD8*Variables!$B$53*HLOOKUP($DY$2,Variables!$B$60:$F$61,2,FALSE)</f>
        <v>0</v>
      </c>
      <c r="DZ8" s="1223">
        <f>$G8*BE8*Variables!$B$53*HLOOKUP($DY$2,Variables!$B$60:$F$61,2,FALSE)</f>
        <v>0</v>
      </c>
      <c r="EA8" s="1223">
        <f>$G8*BF8*Variables!$B$53*HLOOKUP($DY$2,Variables!$B$60:$F$61,2,FALSE)</f>
        <v>0</v>
      </c>
      <c r="EB8" s="1223">
        <f>$G8*BG8*Variables!$B$53*HLOOKUP($DY$2,Variables!$B$60:$F$61,2,FALSE)</f>
        <v>0</v>
      </c>
      <c r="EC8" s="1223">
        <f>$G8*BH8*Variables!$B$53*HLOOKUP($DY$2,Variables!$B$60:$F$61,2,FALSE)</f>
        <v>0</v>
      </c>
      <c r="ED8" s="1223">
        <f>$G8*BI8*Variables!$B$53*HLOOKUP($DY$2,Variables!$B$60:$F$61,2,FALSE)</f>
        <v>0</v>
      </c>
      <c r="EE8" s="1223">
        <f>$G8*BJ8*Variables!$B$53*HLOOKUP($DY$2,Variables!$B$60:$F$61,2,FALSE)</f>
        <v>0</v>
      </c>
      <c r="EF8" s="1223">
        <f>$G8*BK8*Variables!$B$53*HLOOKUP($DY$2,Variables!$B$60:$F$61,2,FALSE)</f>
        <v>0</v>
      </c>
      <c r="EG8" s="1223">
        <f>$G8*BL8*Variables!$B$53*HLOOKUP($DY$2,Variables!$B$60:$F$61,2,FALSE)</f>
        <v>0</v>
      </c>
      <c r="EH8" s="1223">
        <f>$G8*BM8*Variables!$B$53*HLOOKUP($DY$2,Variables!$B$60:$F$61,2,FALSE)</f>
        <v>0</v>
      </c>
      <c r="EI8" s="1223">
        <f>$G8*BN8*Variables!$B$53*HLOOKUP($DY$2,Variables!$B$60:$F$61,2,FALSE)</f>
        <v>0</v>
      </c>
      <c r="EJ8" s="1225">
        <f>$G8*BO8*Variables!$B$53*HLOOKUP($DY$2,Variables!$B$60:$F$61,2,FALSE)</f>
        <v>0</v>
      </c>
      <c r="EK8" s="1222">
        <f>$G8*BP8*Variables!$B$53*HLOOKUP($EK$2,Variables!$B$60:$F$61,2,FALSE)</f>
        <v>0</v>
      </c>
      <c r="EL8" s="1223">
        <f>$G8*BQ8*Variables!$B$53*HLOOKUP($EK$2,Variables!$B$60:$F$61,2,FALSE)</f>
        <v>0</v>
      </c>
      <c r="EM8" s="1223">
        <f>$G8*BR8*Variables!$B$53*HLOOKUP($EK$2,Variables!$B$60:$F$61,2,FALSE)</f>
        <v>0</v>
      </c>
      <c r="EN8" s="1223">
        <f>$G8*BS8*Variables!$B$53*HLOOKUP($EK$2,Variables!$B$60:$F$61,2,FALSE)</f>
        <v>0</v>
      </c>
      <c r="EO8" s="1223">
        <f>$G8*BT8*Variables!$B$53*HLOOKUP($EK$2,Variables!$B$60:$F$61,2,FALSE)</f>
        <v>0</v>
      </c>
      <c r="EP8" s="1223">
        <f>$G8*BU8*Variables!$B$53*HLOOKUP($EK$2,Variables!$B$60:$F$61,2,FALSE)</f>
        <v>0</v>
      </c>
      <c r="EQ8" s="1223">
        <f>$G8*BV8*Variables!$B$53*HLOOKUP($EK$2,Variables!$B$60:$F$61,2,FALSE)</f>
        <v>0</v>
      </c>
      <c r="ER8" s="1223">
        <f>$G8*BW8*Variables!$B$53*HLOOKUP($EK$2,Variables!$B$60:$F$61,2,FALSE)</f>
        <v>0</v>
      </c>
      <c r="ES8" s="1223">
        <f>$G8*BX8*Variables!$B$53*HLOOKUP($EK$2,Variables!$B$60:$F$61,2,FALSE)</f>
        <v>0</v>
      </c>
      <c r="ET8" s="1223">
        <f>$G8*BY8*Variables!$B$53*HLOOKUP($EK$2,Variables!$B$60:$F$61,2,FALSE)</f>
        <v>0</v>
      </c>
      <c r="EU8" s="1223">
        <f>$G8*BZ8*Variables!$B$53*HLOOKUP($EK$2,Variables!$B$60:$F$61,2,FALSE)</f>
        <v>0</v>
      </c>
      <c r="EV8" s="1225">
        <f>$G8*CA8*Variables!$B$53*HLOOKUP($EK$2,Variables!$B$60:$F$61,2,FALSE)</f>
        <v>0</v>
      </c>
      <c r="EW8" s="872">
        <f t="shared" si="6"/>
        <v>0</v>
      </c>
      <c r="EX8" s="872"/>
      <c r="EY8" s="872"/>
      <c r="EZ8" s="872"/>
      <c r="FA8" s="1332"/>
      <c r="FC8" s="958" t="str">
        <f t="shared" si="3"/>
        <v>AppDevelopment</v>
      </c>
      <c r="FD8" s="959" t="str">
        <f t="shared" si="4"/>
        <v>Development_Testing</v>
      </c>
      <c r="FE8" s="959" t="s">
        <v>8407</v>
      </c>
      <c r="FF8" s="959" t="str">
        <f>IF(ISNA(VLOOKUP(FC8,Miscellaneous!E:F,2,0)),"",VLOOKUP(FC8,Miscellaneous!E:F,2,0))</f>
        <v>Narayan Devireddy</v>
      </c>
      <c r="FG8" s="959" t="str">
        <f t="shared" si="5"/>
        <v>Capex</v>
      </c>
      <c r="FH8" s="996">
        <f>IF($FG8="Opex",SUMIF('Monthly Summary'!$C$75:$N$75,"",CC8:CN8),SUMIF('Monthly Summary'!$C$74:$N$74,"",CC8:CN8))</f>
        <v>0</v>
      </c>
      <c r="FI8" s="996">
        <f>IF($FG8="Opex",SUMIF('Monthly Summary'!$O$75:$Z$75,"",CO8:CZ8),SUMIF('Monthly Summary'!$O$74:$Z$74,"",CO8:CZ8))</f>
        <v>0</v>
      </c>
      <c r="FJ8" s="996">
        <f>IF($FG8="Opex",SUMIF('Monthly Summary'!$AA$75:$AL$75,"",DA8:DL8),SUMIF('Monthly Summary'!$AA$74:$AL$74,"",DA8:DL8))</f>
        <v>0</v>
      </c>
      <c r="FK8" s="996">
        <f>IF($FG8="Opex",SUMIF('Monthly Summary'!$AM$75:$AX$75,"",DM8:DX8),SUMIF('Monthly Summary'!$AM$74:$AX$74,"",DM8:DX8))</f>
        <v>0</v>
      </c>
      <c r="FL8" s="996">
        <f>IF($FG8="Opex",SUMIF('Monthly Summary'!$AY$75:$BJ$75,"",DY8:EJ8),SUMIF('Monthly Summary'!$AY$74:$BJ$74,"",DY8:EJ8))</f>
        <v>0</v>
      </c>
      <c r="FM8" s="997">
        <f>IF($FG8="Opex",SUMIF('Monthly Summary'!$BK$75:$BV$75,"",EK8:EV8),SUMIF('Monthly Summary'!$BK$74:$BV$74,"",EK8:EV8))</f>
        <v>0</v>
      </c>
      <c r="FN8" s="997">
        <f t="shared" si="7"/>
        <v>0</v>
      </c>
    </row>
    <row r="9" spans="1:170">
      <c r="A9" s="753" t="s">
        <v>8668</v>
      </c>
      <c r="B9" s="753" t="s">
        <v>8487</v>
      </c>
      <c r="C9" s="757" t="s">
        <v>8481</v>
      </c>
      <c r="D9" s="762" t="s">
        <v>15232</v>
      </c>
      <c r="E9" s="758" t="s">
        <v>8507</v>
      </c>
      <c r="F9" s="758" t="s">
        <v>21</v>
      </c>
      <c r="G9" s="758">
        <v>886</v>
      </c>
      <c r="H9" s="1215"/>
      <c r="I9" s="761"/>
      <c r="J9" s="761"/>
      <c r="K9" s="761"/>
      <c r="L9" s="761"/>
      <c r="M9" s="761"/>
      <c r="N9" s="761"/>
      <c r="O9" s="761"/>
      <c r="P9" s="761"/>
      <c r="Q9" s="761"/>
      <c r="R9" s="761"/>
      <c r="S9" s="1216"/>
      <c r="T9" s="1215"/>
      <c r="U9" s="761"/>
      <c r="V9" s="761"/>
      <c r="W9" s="761"/>
      <c r="X9" s="761"/>
      <c r="Y9" s="761"/>
      <c r="Z9" s="761"/>
      <c r="AA9" s="761"/>
      <c r="AB9" s="761"/>
      <c r="AC9" s="761"/>
      <c r="AD9" s="761"/>
      <c r="AE9" s="1216"/>
      <c r="AF9" s="1215"/>
      <c r="AG9" s="761"/>
      <c r="AH9" s="761"/>
      <c r="AI9" s="761"/>
      <c r="AJ9" s="761"/>
      <c r="AK9" s="761"/>
      <c r="AL9" s="761"/>
      <c r="AM9" s="761"/>
      <c r="AN9" s="761"/>
      <c r="AO9" s="761"/>
      <c r="AP9" s="761"/>
      <c r="AQ9" s="1216"/>
      <c r="AR9" s="1215"/>
      <c r="AS9" s="761"/>
      <c r="AT9" s="761"/>
      <c r="AU9" s="761"/>
      <c r="AV9" s="761"/>
      <c r="AW9" s="761"/>
      <c r="AX9" s="761"/>
      <c r="AY9" s="761"/>
      <c r="AZ9" s="761"/>
      <c r="BA9" s="761"/>
      <c r="BB9" s="761"/>
      <c r="BC9" s="1216"/>
      <c r="BD9" s="1215"/>
      <c r="BE9" s="761"/>
      <c r="BF9" s="761"/>
      <c r="BG9" s="761"/>
      <c r="BH9" s="761"/>
      <c r="BI9" s="761"/>
      <c r="BJ9" s="761"/>
      <c r="BK9" s="761"/>
      <c r="BL9" s="761"/>
      <c r="BM9" s="761"/>
      <c r="BN9" s="761"/>
      <c r="BO9" s="1216"/>
      <c r="BP9" s="1215"/>
      <c r="BQ9" s="761"/>
      <c r="BR9" s="761"/>
      <c r="BS9" s="761"/>
      <c r="BT9" s="761"/>
      <c r="BU9" s="761"/>
      <c r="BV9" s="761"/>
      <c r="BW9" s="761"/>
      <c r="BX9" s="761"/>
      <c r="BY9" s="761"/>
      <c r="BZ9" s="761"/>
      <c r="CA9" s="1216"/>
      <c r="CB9" s="747"/>
      <c r="CC9" s="1222">
        <f>$G9*H9*Variables!$B$53</f>
        <v>0</v>
      </c>
      <c r="CD9" s="1223">
        <f>$G9*I9*Variables!$B$53</f>
        <v>0</v>
      </c>
      <c r="CE9" s="1223">
        <f>$G9*J9*Variables!$B$53</f>
        <v>0</v>
      </c>
      <c r="CF9" s="1223">
        <f>$G9*K9*Variables!$B$53</f>
        <v>0</v>
      </c>
      <c r="CG9" s="1223">
        <f>$G9*L9*Variables!$B$53</f>
        <v>0</v>
      </c>
      <c r="CH9" s="1223">
        <f>$G9*M9*Variables!$B$53</f>
        <v>0</v>
      </c>
      <c r="CI9" s="1223">
        <f>$G9*N9*Variables!$B$53</f>
        <v>0</v>
      </c>
      <c r="CJ9" s="1223">
        <f>$G9*O9*Variables!$B$53</f>
        <v>0</v>
      </c>
      <c r="CK9" s="1223">
        <f>$G9*P9*Variables!$B$53</f>
        <v>0</v>
      </c>
      <c r="CL9" s="1223">
        <f>$G9*Q9*Variables!$B$53</f>
        <v>0</v>
      </c>
      <c r="CM9" s="1223">
        <f>$G9*R9*Variables!$B$53</f>
        <v>0</v>
      </c>
      <c r="CN9" s="1225">
        <f>$G9*S9*Variables!$B$53</f>
        <v>0</v>
      </c>
      <c r="CO9" s="1222">
        <f>$G9*T9*Variables!$B$53*HLOOKUP($CO$2,Variables!$B$60:$F$61,2,FALSE)</f>
        <v>0</v>
      </c>
      <c r="CP9" s="1223">
        <f>$G9*U9*Variables!$B$53*HLOOKUP($CO$2,Variables!$B$60:$F$61,2,FALSE)</f>
        <v>0</v>
      </c>
      <c r="CQ9" s="1223">
        <f>$G9*V9*Variables!$B$53*HLOOKUP($CO$2,Variables!$B$60:$F$61,2,FALSE)</f>
        <v>0</v>
      </c>
      <c r="CR9" s="1223">
        <f>$G9*W9*Variables!$B$53*HLOOKUP($CO$2,Variables!$B$60:$F$61,2,FALSE)</f>
        <v>0</v>
      </c>
      <c r="CS9" s="1223">
        <f>$G9*X9*Variables!$B$53*HLOOKUP($CO$2,Variables!$B$60:$F$61,2,FALSE)</f>
        <v>0</v>
      </c>
      <c r="CT9" s="1223">
        <f>$G9*Y9*Variables!$B$53*HLOOKUP($CO$2,Variables!$B$60:$F$61,2,FALSE)</f>
        <v>0</v>
      </c>
      <c r="CU9" s="1223">
        <f>$G9*Z9*Variables!$B$53*HLOOKUP($CO$2,Variables!$B$60:$F$61,2,FALSE)</f>
        <v>0</v>
      </c>
      <c r="CV9" s="1223">
        <f>$G9*AA9*Variables!$B$53*HLOOKUP($CO$2,Variables!$B$60:$F$61,2,FALSE)</f>
        <v>0</v>
      </c>
      <c r="CW9" s="1223">
        <f>$G9*AB9*Variables!$B$53*HLOOKUP($CO$2,Variables!$B$60:$F$61,2,FALSE)</f>
        <v>0</v>
      </c>
      <c r="CX9" s="1223">
        <f>$G9*AC9*Variables!$B$53*HLOOKUP($CO$2,Variables!$B$60:$F$61,2,FALSE)</f>
        <v>0</v>
      </c>
      <c r="CY9" s="1223">
        <f>$G9*AD9*Variables!$B$53*HLOOKUP($CO$2,Variables!$B$60:$F$61,2,FALSE)</f>
        <v>0</v>
      </c>
      <c r="CZ9" s="1225">
        <f>$G9*AE9*Variables!$B$53*HLOOKUP($CO$2,Variables!$B$60:$F$61,2,FALSE)</f>
        <v>0</v>
      </c>
      <c r="DA9" s="1222">
        <f>$G9*AF9*Variables!$B$53*HLOOKUP($DA$2,Variables!$B$60:$F$61,2,FALSE)</f>
        <v>0</v>
      </c>
      <c r="DB9" s="1223">
        <f>$G9*AG9*Variables!$B$53*HLOOKUP($DA$2,Variables!$B$60:$F$61,2,FALSE)</f>
        <v>0</v>
      </c>
      <c r="DC9" s="1223">
        <f>$G9*AH9*Variables!$B$53*HLOOKUP($DA$2,Variables!$B$60:$F$61,2,FALSE)</f>
        <v>0</v>
      </c>
      <c r="DD9" s="1223">
        <f>$G9*AI9*Variables!$B$53*HLOOKUP($DA$2,Variables!$B$60:$F$61,2,FALSE)</f>
        <v>0</v>
      </c>
      <c r="DE9" s="1223">
        <f>$G9*AJ9*Variables!$B$53*HLOOKUP($DA$2,Variables!$B$60:$F$61,2,FALSE)</f>
        <v>0</v>
      </c>
      <c r="DF9" s="1223">
        <f>$G9*AK9*Variables!$B$53*HLOOKUP($DA$2,Variables!$B$60:$F$61,2,FALSE)</f>
        <v>0</v>
      </c>
      <c r="DG9" s="1223">
        <f>$G9*AL9*Variables!$B$53*HLOOKUP($DA$2,Variables!$B$60:$F$61,2,FALSE)</f>
        <v>0</v>
      </c>
      <c r="DH9" s="1223">
        <f>$G9*AM9*Variables!$B$53*HLOOKUP($DA$2,Variables!$B$60:$F$61,2,FALSE)</f>
        <v>0</v>
      </c>
      <c r="DI9" s="1223">
        <f>$G9*AN9*Variables!$B$53*HLOOKUP($DA$2,Variables!$B$60:$F$61,2,FALSE)</f>
        <v>0</v>
      </c>
      <c r="DJ9" s="1223">
        <f>$G9*AO9*Variables!$B$53*HLOOKUP($DA$2,Variables!$B$60:$F$61,2,FALSE)</f>
        <v>0</v>
      </c>
      <c r="DK9" s="1223">
        <f>$G9*AP9*Variables!$B$53*HLOOKUP($DA$2,Variables!$B$60:$F$61,2,FALSE)</f>
        <v>0</v>
      </c>
      <c r="DL9" s="1225">
        <f>$G9*AQ9*Variables!$B$53*HLOOKUP($DA$2,Variables!$B$60:$F$61,2,FALSE)</f>
        <v>0</v>
      </c>
      <c r="DM9" s="1222">
        <f>$G9*AR9*Variables!$B$53*HLOOKUP($DM$2,Variables!$B$60:$F$61,2,FALSE)</f>
        <v>0</v>
      </c>
      <c r="DN9" s="1223">
        <f>$G9*AS9*Variables!$B$53*HLOOKUP($DM$2,Variables!$B$60:$F$61,2,FALSE)</f>
        <v>0</v>
      </c>
      <c r="DO9" s="1223">
        <f>$G9*AT9*Variables!$B$53*HLOOKUP($DM$2,Variables!$B$60:$F$61,2,FALSE)</f>
        <v>0</v>
      </c>
      <c r="DP9" s="1223">
        <f>$G9*AU9*Variables!$B$53*HLOOKUP($DM$2,Variables!$B$60:$F$61,2,FALSE)</f>
        <v>0</v>
      </c>
      <c r="DQ9" s="1223">
        <f>$G9*AV9*Variables!$B$53*HLOOKUP($DM$2,Variables!$B$60:$F$61,2,FALSE)</f>
        <v>0</v>
      </c>
      <c r="DR9" s="1223">
        <f>$G9*AW9*Variables!$B$53*HLOOKUP($DM$2,Variables!$B$60:$F$61,2,FALSE)</f>
        <v>0</v>
      </c>
      <c r="DS9" s="1223">
        <f>$G9*AX9*Variables!$B$53*HLOOKUP($DM$2,Variables!$B$60:$F$61,2,FALSE)</f>
        <v>0</v>
      </c>
      <c r="DT9" s="1223">
        <f>$G9*AY9*Variables!$B$53*HLOOKUP($DM$2,Variables!$B$60:$F$61,2,FALSE)</f>
        <v>0</v>
      </c>
      <c r="DU9" s="1223">
        <f>$G9*AZ9*Variables!$B$53*HLOOKUP($DM$2,Variables!$B$60:$F$61,2,FALSE)</f>
        <v>0</v>
      </c>
      <c r="DV9" s="1223">
        <f>$G9*BA9*Variables!$B$53*HLOOKUP($DM$2,Variables!$B$60:$F$61,2,FALSE)</f>
        <v>0</v>
      </c>
      <c r="DW9" s="1223">
        <f>$G9*BB9*Variables!$B$53*HLOOKUP($DM$2,Variables!$B$60:$F$61,2,FALSE)</f>
        <v>0</v>
      </c>
      <c r="DX9" s="1225">
        <f>$G9*BC9*Variables!$B$53*HLOOKUP($DM$2,Variables!$B$60:$F$61,2,FALSE)</f>
        <v>0</v>
      </c>
      <c r="DY9" s="1222">
        <f>$G9*BD9*Variables!$B$53*HLOOKUP($DY$2,Variables!$B$60:$F$61,2,FALSE)</f>
        <v>0</v>
      </c>
      <c r="DZ9" s="1223">
        <f>$G9*BE9*Variables!$B$53*HLOOKUP($DY$2,Variables!$B$60:$F$61,2,FALSE)</f>
        <v>0</v>
      </c>
      <c r="EA9" s="1223">
        <f>$G9*BF9*Variables!$B$53*HLOOKUP($DY$2,Variables!$B$60:$F$61,2,FALSE)</f>
        <v>0</v>
      </c>
      <c r="EB9" s="1223">
        <f>$G9*BG9*Variables!$B$53*HLOOKUP($DY$2,Variables!$B$60:$F$61,2,FALSE)</f>
        <v>0</v>
      </c>
      <c r="EC9" s="1223">
        <f>$G9*BH9*Variables!$B$53*HLOOKUP($DY$2,Variables!$B$60:$F$61,2,FALSE)</f>
        <v>0</v>
      </c>
      <c r="ED9" s="1223">
        <f>$G9*BI9*Variables!$B$53*HLOOKUP($DY$2,Variables!$B$60:$F$61,2,FALSE)</f>
        <v>0</v>
      </c>
      <c r="EE9" s="1223">
        <f>$G9*BJ9*Variables!$B$53*HLOOKUP($DY$2,Variables!$B$60:$F$61,2,FALSE)</f>
        <v>0</v>
      </c>
      <c r="EF9" s="1223">
        <f>$G9*BK9*Variables!$B$53*HLOOKUP($DY$2,Variables!$B$60:$F$61,2,FALSE)</f>
        <v>0</v>
      </c>
      <c r="EG9" s="1223">
        <f>$G9*BL9*Variables!$B$53*HLOOKUP($DY$2,Variables!$B$60:$F$61,2,FALSE)</f>
        <v>0</v>
      </c>
      <c r="EH9" s="1223">
        <f>$G9*BM9*Variables!$B$53*HLOOKUP($DY$2,Variables!$B$60:$F$61,2,FALSE)</f>
        <v>0</v>
      </c>
      <c r="EI9" s="1223">
        <f>$G9*BN9*Variables!$B$53*HLOOKUP($DY$2,Variables!$B$60:$F$61,2,FALSE)</f>
        <v>0</v>
      </c>
      <c r="EJ9" s="1225">
        <f>$G9*BO9*Variables!$B$53*HLOOKUP($DY$2,Variables!$B$60:$F$61,2,FALSE)</f>
        <v>0</v>
      </c>
      <c r="EK9" s="1222">
        <f>$G9*BP9*Variables!$B$53*HLOOKUP($EK$2,Variables!$B$60:$F$61,2,FALSE)</f>
        <v>0</v>
      </c>
      <c r="EL9" s="1223">
        <f>$G9*BQ9*Variables!$B$53*HLOOKUP($EK$2,Variables!$B$60:$F$61,2,FALSE)</f>
        <v>0</v>
      </c>
      <c r="EM9" s="1223">
        <f>$G9*BR9*Variables!$B$53*HLOOKUP($EK$2,Variables!$B$60:$F$61,2,FALSE)</f>
        <v>0</v>
      </c>
      <c r="EN9" s="1223">
        <f>$G9*BS9*Variables!$B$53*HLOOKUP($EK$2,Variables!$B$60:$F$61,2,FALSE)</f>
        <v>0</v>
      </c>
      <c r="EO9" s="1223">
        <f>$G9*BT9*Variables!$B$53*HLOOKUP($EK$2,Variables!$B$60:$F$61,2,FALSE)</f>
        <v>0</v>
      </c>
      <c r="EP9" s="1223">
        <f>$G9*BU9*Variables!$B$53*HLOOKUP($EK$2,Variables!$B$60:$F$61,2,FALSE)</f>
        <v>0</v>
      </c>
      <c r="EQ9" s="1223">
        <f>$G9*BV9*Variables!$B$53*HLOOKUP($EK$2,Variables!$B$60:$F$61,2,FALSE)</f>
        <v>0</v>
      </c>
      <c r="ER9" s="1223">
        <f>$G9*BW9*Variables!$B$53*HLOOKUP($EK$2,Variables!$B$60:$F$61,2,FALSE)</f>
        <v>0</v>
      </c>
      <c r="ES9" s="1223">
        <f>$G9*BX9*Variables!$B$53*HLOOKUP($EK$2,Variables!$B$60:$F$61,2,FALSE)</f>
        <v>0</v>
      </c>
      <c r="ET9" s="1223">
        <f>$G9*BY9*Variables!$B$53*HLOOKUP($EK$2,Variables!$B$60:$F$61,2,FALSE)</f>
        <v>0</v>
      </c>
      <c r="EU9" s="1223">
        <f>$G9*BZ9*Variables!$B$53*HLOOKUP($EK$2,Variables!$B$60:$F$61,2,FALSE)</f>
        <v>0</v>
      </c>
      <c r="EV9" s="1225">
        <f>$G9*CA9*Variables!$B$53*HLOOKUP($EK$2,Variables!$B$60:$F$61,2,FALSE)</f>
        <v>0</v>
      </c>
      <c r="EW9" s="872">
        <f t="shared" si="6"/>
        <v>0</v>
      </c>
      <c r="EX9" s="872"/>
      <c r="EY9" s="872"/>
      <c r="EZ9" s="872"/>
      <c r="FA9" s="1332"/>
      <c r="FC9" s="958" t="str">
        <f t="shared" si="3"/>
        <v>US_IT</v>
      </c>
      <c r="FD9" s="959" t="str">
        <f t="shared" si="4"/>
        <v>Planning</v>
      </c>
      <c r="FE9" s="959" t="s">
        <v>8407</v>
      </c>
      <c r="FF9" s="959" t="str">
        <f>IF(ISNA(VLOOKUP(FC9,Miscellaneous!E:F,2,0)),"",VLOOKUP(FC9,Miscellaneous!E:F,2,0))</f>
        <v>Steve Olive</v>
      </c>
      <c r="FG9" s="959" t="str">
        <f t="shared" si="5"/>
        <v>Capex</v>
      </c>
      <c r="FH9" s="996">
        <f>IF($FG9="Opex",SUMIF('Monthly Summary'!$C$75:$N$75,"",CC9:CN9),SUMIF('Monthly Summary'!$C$74:$N$74,"",CC9:CN9))</f>
        <v>0</v>
      </c>
      <c r="FI9" s="996">
        <f>IF($FG9="Opex",SUMIF('Monthly Summary'!$O$75:$Z$75,"",CO9:CZ9),SUMIF('Monthly Summary'!$O$74:$Z$74,"",CO9:CZ9))</f>
        <v>0</v>
      </c>
      <c r="FJ9" s="996">
        <f>IF($FG9="Opex",SUMIF('Monthly Summary'!$AA$75:$AL$75,"",DA9:DL9),SUMIF('Monthly Summary'!$AA$74:$AL$74,"",DA9:DL9))</f>
        <v>0</v>
      </c>
      <c r="FK9" s="996">
        <f>IF($FG9="Opex",SUMIF('Monthly Summary'!$AM$75:$AX$75,"",DM9:DX9),SUMIF('Monthly Summary'!$AM$74:$AX$74,"",DM9:DX9))</f>
        <v>0</v>
      </c>
      <c r="FL9" s="996">
        <f>IF($FG9="Opex",SUMIF('Monthly Summary'!$AY$75:$BJ$75,"",DY9:EJ9),SUMIF('Monthly Summary'!$AY$74:$BJ$74,"",DY9:EJ9))</f>
        <v>0</v>
      </c>
      <c r="FM9" s="997">
        <f>IF($FG9="Opex",SUMIF('Monthly Summary'!$BK$75:$BV$75,"",EK9:EV9),SUMIF('Monthly Summary'!$BK$74:$BV$74,"",EK9:EV9))</f>
        <v>0</v>
      </c>
      <c r="FN9" s="997">
        <f t="shared" si="7"/>
        <v>0</v>
      </c>
    </row>
    <row r="10" spans="1:170">
      <c r="A10" s="753" t="s">
        <v>8668</v>
      </c>
      <c r="B10" s="753" t="s">
        <v>8487</v>
      </c>
      <c r="C10" s="757" t="s">
        <v>8497</v>
      </c>
      <c r="D10" s="757" t="s">
        <v>16475</v>
      </c>
      <c r="E10" s="758" t="s">
        <v>8507</v>
      </c>
      <c r="F10" s="758" t="s">
        <v>21</v>
      </c>
      <c r="G10" s="758">
        <v>668</v>
      </c>
      <c r="H10" s="1215"/>
      <c r="I10" s="761"/>
      <c r="J10" s="761"/>
      <c r="K10" s="761"/>
      <c r="L10" s="761"/>
      <c r="M10" s="761"/>
      <c r="N10" s="761"/>
      <c r="O10" s="761"/>
      <c r="P10" s="761"/>
      <c r="Q10" s="761"/>
      <c r="R10" s="761"/>
      <c r="S10" s="1216"/>
      <c r="T10" s="1215"/>
      <c r="U10" s="761"/>
      <c r="V10" s="761"/>
      <c r="W10" s="761"/>
      <c r="X10" s="761"/>
      <c r="Y10" s="761"/>
      <c r="Z10" s="761"/>
      <c r="AA10" s="761"/>
      <c r="AB10" s="761"/>
      <c r="AC10" s="761"/>
      <c r="AD10" s="761"/>
      <c r="AE10" s="1216"/>
      <c r="AF10" s="1215"/>
      <c r="AG10" s="761"/>
      <c r="AH10" s="761"/>
      <c r="AI10" s="761"/>
      <c r="AJ10" s="761"/>
      <c r="AK10" s="761"/>
      <c r="AL10" s="761"/>
      <c r="AM10" s="761"/>
      <c r="AN10" s="761"/>
      <c r="AO10" s="761"/>
      <c r="AP10" s="761"/>
      <c r="AQ10" s="1216"/>
      <c r="AR10" s="1215"/>
      <c r="AS10" s="761"/>
      <c r="AT10" s="761"/>
      <c r="AU10" s="761"/>
      <c r="AV10" s="761"/>
      <c r="AW10" s="761"/>
      <c r="AX10" s="761"/>
      <c r="AY10" s="761"/>
      <c r="AZ10" s="761"/>
      <c r="BA10" s="761"/>
      <c r="BB10" s="761"/>
      <c r="BC10" s="1216"/>
      <c r="BD10" s="1215"/>
      <c r="BE10" s="761"/>
      <c r="BF10" s="761"/>
      <c r="BG10" s="761"/>
      <c r="BH10" s="761"/>
      <c r="BI10" s="761"/>
      <c r="BJ10" s="761"/>
      <c r="BK10" s="761"/>
      <c r="BL10" s="761"/>
      <c r="BM10" s="761"/>
      <c r="BN10" s="761"/>
      <c r="BO10" s="1216"/>
      <c r="BP10" s="1215"/>
      <c r="BQ10" s="761"/>
      <c r="BR10" s="761"/>
      <c r="BS10" s="761"/>
      <c r="BT10" s="761"/>
      <c r="BU10" s="761"/>
      <c r="BV10" s="761"/>
      <c r="BW10" s="761"/>
      <c r="BX10" s="761"/>
      <c r="BY10" s="761"/>
      <c r="BZ10" s="761"/>
      <c r="CA10" s="1216"/>
      <c r="CB10" s="747"/>
      <c r="CC10" s="1222">
        <f>$G10*H10*Variables!$B$53</f>
        <v>0</v>
      </c>
      <c r="CD10" s="1223">
        <f>$G10*I10*Variables!$B$53</f>
        <v>0</v>
      </c>
      <c r="CE10" s="1223">
        <f>$G10*J10*Variables!$B$53</f>
        <v>0</v>
      </c>
      <c r="CF10" s="1223">
        <f>$G10*K10*Variables!$B$53</f>
        <v>0</v>
      </c>
      <c r="CG10" s="1223">
        <f>$G10*L10*Variables!$B$53</f>
        <v>0</v>
      </c>
      <c r="CH10" s="1223">
        <f>$G10*M10*Variables!$B$53</f>
        <v>0</v>
      </c>
      <c r="CI10" s="1223">
        <f>$G10*N10*Variables!$B$53</f>
        <v>0</v>
      </c>
      <c r="CJ10" s="1223">
        <f>$G10*O10*Variables!$B$53</f>
        <v>0</v>
      </c>
      <c r="CK10" s="1223">
        <f>$G10*P10*Variables!$B$53</f>
        <v>0</v>
      </c>
      <c r="CL10" s="1223">
        <f>$G10*Q10*Variables!$B$53</f>
        <v>0</v>
      </c>
      <c r="CM10" s="1223">
        <f>$G10*R10*Variables!$B$53</f>
        <v>0</v>
      </c>
      <c r="CN10" s="1225">
        <f>$G10*S10*Variables!$B$53</f>
        <v>0</v>
      </c>
      <c r="CO10" s="1222">
        <f>$G10*T10*Variables!$B$53*HLOOKUP($CO$2,Variables!$B$60:$F$61,2,FALSE)</f>
        <v>0</v>
      </c>
      <c r="CP10" s="1223">
        <f>$G10*U10*Variables!$B$53*HLOOKUP($CO$2,Variables!$B$60:$F$61,2,FALSE)</f>
        <v>0</v>
      </c>
      <c r="CQ10" s="1223">
        <f>$G10*V10*Variables!$B$53*HLOOKUP($CO$2,Variables!$B$60:$F$61,2,FALSE)</f>
        <v>0</v>
      </c>
      <c r="CR10" s="1223">
        <f>$G10*W10*Variables!$B$53*HLOOKUP($CO$2,Variables!$B$60:$F$61,2,FALSE)</f>
        <v>0</v>
      </c>
      <c r="CS10" s="1223">
        <f>$G10*X10*Variables!$B$53*HLOOKUP($CO$2,Variables!$B$60:$F$61,2,FALSE)</f>
        <v>0</v>
      </c>
      <c r="CT10" s="1223">
        <f>$G10*Y10*Variables!$B$53*HLOOKUP($CO$2,Variables!$B$60:$F$61,2,FALSE)</f>
        <v>0</v>
      </c>
      <c r="CU10" s="1223">
        <f>$G10*Z10*Variables!$B$53*HLOOKUP($CO$2,Variables!$B$60:$F$61,2,FALSE)</f>
        <v>0</v>
      </c>
      <c r="CV10" s="1223">
        <f>$G10*AA10*Variables!$B$53*HLOOKUP($CO$2,Variables!$B$60:$F$61,2,FALSE)</f>
        <v>0</v>
      </c>
      <c r="CW10" s="1223">
        <f>$G10*AB10*Variables!$B$53*HLOOKUP($CO$2,Variables!$B$60:$F$61,2,FALSE)</f>
        <v>0</v>
      </c>
      <c r="CX10" s="1223">
        <f>$G10*AC10*Variables!$B$53*HLOOKUP($CO$2,Variables!$B$60:$F$61,2,FALSE)</f>
        <v>0</v>
      </c>
      <c r="CY10" s="1223">
        <f>$G10*AD10*Variables!$B$53*HLOOKUP($CO$2,Variables!$B$60:$F$61,2,FALSE)</f>
        <v>0</v>
      </c>
      <c r="CZ10" s="1225">
        <f>$G10*AE10*Variables!$B$53*HLOOKUP($CO$2,Variables!$B$60:$F$61,2,FALSE)</f>
        <v>0</v>
      </c>
      <c r="DA10" s="1222">
        <f>$G10*AF10*Variables!$B$53*HLOOKUP($DA$2,Variables!$B$60:$F$61,2,FALSE)</f>
        <v>0</v>
      </c>
      <c r="DB10" s="1223">
        <f>$G10*AG10*Variables!$B$53*HLOOKUP($DA$2,Variables!$B$60:$F$61,2,FALSE)</f>
        <v>0</v>
      </c>
      <c r="DC10" s="1223">
        <f>$G10*AH10*Variables!$B$53*HLOOKUP($DA$2,Variables!$B$60:$F$61,2,FALSE)</f>
        <v>0</v>
      </c>
      <c r="DD10" s="1223">
        <f>$G10*AI10*Variables!$B$53*HLOOKUP($DA$2,Variables!$B$60:$F$61,2,FALSE)</f>
        <v>0</v>
      </c>
      <c r="DE10" s="1223">
        <f>$G10*AJ10*Variables!$B$53*HLOOKUP($DA$2,Variables!$B$60:$F$61,2,FALSE)</f>
        <v>0</v>
      </c>
      <c r="DF10" s="1223">
        <f>$G10*AK10*Variables!$B$53*HLOOKUP($DA$2,Variables!$B$60:$F$61,2,FALSE)</f>
        <v>0</v>
      </c>
      <c r="DG10" s="1223">
        <f>$G10*AL10*Variables!$B$53*HLOOKUP($DA$2,Variables!$B$60:$F$61,2,FALSE)</f>
        <v>0</v>
      </c>
      <c r="DH10" s="1223">
        <f>$G10*AM10*Variables!$B$53*HLOOKUP($DA$2,Variables!$B$60:$F$61,2,FALSE)</f>
        <v>0</v>
      </c>
      <c r="DI10" s="1223">
        <f>$G10*AN10*Variables!$B$53*HLOOKUP($DA$2,Variables!$B$60:$F$61,2,FALSE)</f>
        <v>0</v>
      </c>
      <c r="DJ10" s="1223">
        <f>$G10*AO10*Variables!$B$53*HLOOKUP($DA$2,Variables!$B$60:$F$61,2,FALSE)</f>
        <v>0</v>
      </c>
      <c r="DK10" s="1223">
        <f>$G10*AP10*Variables!$B$53*HLOOKUP($DA$2,Variables!$B$60:$F$61,2,FALSE)</f>
        <v>0</v>
      </c>
      <c r="DL10" s="1225">
        <f>$G10*AQ10*Variables!$B$53*HLOOKUP($DA$2,Variables!$B$60:$F$61,2,FALSE)</f>
        <v>0</v>
      </c>
      <c r="DM10" s="1222">
        <f>$G10*AR10*Variables!$B$53*HLOOKUP($DM$2,Variables!$B$60:$F$61,2,FALSE)</f>
        <v>0</v>
      </c>
      <c r="DN10" s="1223">
        <f>$G10*AS10*Variables!$B$53*HLOOKUP($DM$2,Variables!$B$60:$F$61,2,FALSE)</f>
        <v>0</v>
      </c>
      <c r="DO10" s="1223">
        <f>$G10*AT10*Variables!$B$53*HLOOKUP($DM$2,Variables!$B$60:$F$61,2,FALSE)</f>
        <v>0</v>
      </c>
      <c r="DP10" s="1223">
        <f>$G10*AU10*Variables!$B$53*HLOOKUP($DM$2,Variables!$B$60:$F$61,2,FALSE)</f>
        <v>0</v>
      </c>
      <c r="DQ10" s="1223">
        <f>$G10*AV10*Variables!$B$53*HLOOKUP($DM$2,Variables!$B$60:$F$61,2,FALSE)</f>
        <v>0</v>
      </c>
      <c r="DR10" s="1223">
        <f>$G10*AW10*Variables!$B$53*HLOOKUP($DM$2,Variables!$B$60:$F$61,2,FALSE)</f>
        <v>0</v>
      </c>
      <c r="DS10" s="1223">
        <f>$G10*AX10*Variables!$B$53*HLOOKUP($DM$2,Variables!$B$60:$F$61,2,FALSE)</f>
        <v>0</v>
      </c>
      <c r="DT10" s="1223">
        <f>$G10*AY10*Variables!$B$53*HLOOKUP($DM$2,Variables!$B$60:$F$61,2,FALSE)</f>
        <v>0</v>
      </c>
      <c r="DU10" s="1223">
        <f>$G10*AZ10*Variables!$B$53*HLOOKUP($DM$2,Variables!$B$60:$F$61,2,FALSE)</f>
        <v>0</v>
      </c>
      <c r="DV10" s="1223">
        <f>$G10*BA10*Variables!$B$53*HLOOKUP($DM$2,Variables!$B$60:$F$61,2,FALSE)</f>
        <v>0</v>
      </c>
      <c r="DW10" s="1223">
        <f>$G10*BB10*Variables!$B$53*HLOOKUP($DM$2,Variables!$B$60:$F$61,2,FALSE)</f>
        <v>0</v>
      </c>
      <c r="DX10" s="1225">
        <f>$G10*BC10*Variables!$B$53*HLOOKUP($DM$2,Variables!$B$60:$F$61,2,FALSE)</f>
        <v>0</v>
      </c>
      <c r="DY10" s="1222">
        <f>$G10*BD10*Variables!$B$53*HLOOKUP($DY$2,Variables!$B$60:$F$61,2,FALSE)</f>
        <v>0</v>
      </c>
      <c r="DZ10" s="1223">
        <f>$G10*BE10*Variables!$B$53*HLOOKUP($DY$2,Variables!$B$60:$F$61,2,FALSE)</f>
        <v>0</v>
      </c>
      <c r="EA10" s="1223">
        <f>$G10*BF10*Variables!$B$53*HLOOKUP($DY$2,Variables!$B$60:$F$61,2,FALSE)</f>
        <v>0</v>
      </c>
      <c r="EB10" s="1223">
        <f>$G10*BG10*Variables!$B$53*HLOOKUP($DY$2,Variables!$B$60:$F$61,2,FALSE)</f>
        <v>0</v>
      </c>
      <c r="EC10" s="1223">
        <f>$G10*BH10*Variables!$B$53*HLOOKUP($DY$2,Variables!$B$60:$F$61,2,FALSE)</f>
        <v>0</v>
      </c>
      <c r="ED10" s="1223">
        <f>$G10*BI10*Variables!$B$53*HLOOKUP($DY$2,Variables!$B$60:$F$61,2,FALSE)</f>
        <v>0</v>
      </c>
      <c r="EE10" s="1223">
        <f>$G10*BJ10*Variables!$B$53*HLOOKUP($DY$2,Variables!$B$60:$F$61,2,FALSE)</f>
        <v>0</v>
      </c>
      <c r="EF10" s="1223">
        <f>$G10*BK10*Variables!$B$53*HLOOKUP($DY$2,Variables!$B$60:$F$61,2,FALSE)</f>
        <v>0</v>
      </c>
      <c r="EG10" s="1223">
        <f>$G10*BL10*Variables!$B$53*HLOOKUP($DY$2,Variables!$B$60:$F$61,2,FALSE)</f>
        <v>0</v>
      </c>
      <c r="EH10" s="1223">
        <f>$G10*BM10*Variables!$B$53*HLOOKUP($DY$2,Variables!$B$60:$F$61,2,FALSE)</f>
        <v>0</v>
      </c>
      <c r="EI10" s="1223">
        <f>$G10*BN10*Variables!$B$53*HLOOKUP($DY$2,Variables!$B$60:$F$61,2,FALSE)</f>
        <v>0</v>
      </c>
      <c r="EJ10" s="1225">
        <f>$G10*BO10*Variables!$B$53*HLOOKUP($DY$2,Variables!$B$60:$F$61,2,FALSE)</f>
        <v>0</v>
      </c>
      <c r="EK10" s="1222">
        <f>$G10*BP10*Variables!$B$53*HLOOKUP($EK$2,Variables!$B$60:$F$61,2,FALSE)</f>
        <v>0</v>
      </c>
      <c r="EL10" s="1223">
        <f>$G10*BQ10*Variables!$B$53*HLOOKUP($EK$2,Variables!$B$60:$F$61,2,FALSE)</f>
        <v>0</v>
      </c>
      <c r="EM10" s="1223">
        <f>$G10*BR10*Variables!$B$53*HLOOKUP($EK$2,Variables!$B$60:$F$61,2,FALSE)</f>
        <v>0</v>
      </c>
      <c r="EN10" s="1223">
        <f>$G10*BS10*Variables!$B$53*HLOOKUP($EK$2,Variables!$B$60:$F$61,2,FALSE)</f>
        <v>0</v>
      </c>
      <c r="EO10" s="1223">
        <f>$G10*BT10*Variables!$B$53*HLOOKUP($EK$2,Variables!$B$60:$F$61,2,FALSE)</f>
        <v>0</v>
      </c>
      <c r="EP10" s="1223">
        <f>$G10*BU10*Variables!$B$53*HLOOKUP($EK$2,Variables!$B$60:$F$61,2,FALSE)</f>
        <v>0</v>
      </c>
      <c r="EQ10" s="1223">
        <f>$G10*BV10*Variables!$B$53*HLOOKUP($EK$2,Variables!$B$60:$F$61,2,FALSE)</f>
        <v>0</v>
      </c>
      <c r="ER10" s="1223">
        <f>$G10*BW10*Variables!$B$53*HLOOKUP($EK$2,Variables!$B$60:$F$61,2,FALSE)</f>
        <v>0</v>
      </c>
      <c r="ES10" s="1223">
        <f>$G10*BX10*Variables!$B$53*HLOOKUP($EK$2,Variables!$B$60:$F$61,2,FALSE)</f>
        <v>0</v>
      </c>
      <c r="ET10" s="1223">
        <f>$G10*BY10*Variables!$B$53*HLOOKUP($EK$2,Variables!$B$60:$F$61,2,FALSE)</f>
        <v>0</v>
      </c>
      <c r="EU10" s="1223">
        <f>$G10*BZ10*Variables!$B$53*HLOOKUP($EK$2,Variables!$B$60:$F$61,2,FALSE)</f>
        <v>0</v>
      </c>
      <c r="EV10" s="1225">
        <f>$G10*CA10*Variables!$B$53*HLOOKUP($EK$2,Variables!$B$60:$F$61,2,FALSE)</f>
        <v>0</v>
      </c>
      <c r="EW10" s="872">
        <f t="shared" si="6"/>
        <v>0</v>
      </c>
      <c r="EX10" s="872"/>
      <c r="EY10" s="872"/>
      <c r="EZ10" s="872"/>
      <c r="FA10" s="1332"/>
      <c r="FC10" s="958" t="str">
        <f t="shared" si="3"/>
        <v>US_IT</v>
      </c>
      <c r="FD10" s="959" t="str">
        <f t="shared" si="4"/>
        <v>Planning</v>
      </c>
      <c r="FE10" s="959" t="s">
        <v>8407</v>
      </c>
      <c r="FF10" s="959" t="str">
        <f>IF(ISNA(VLOOKUP(FC10,Miscellaneous!E:F,2,0)),"",VLOOKUP(FC10,Miscellaneous!E:F,2,0))</f>
        <v>Steve Olive</v>
      </c>
      <c r="FG10" s="959" t="str">
        <f t="shared" si="5"/>
        <v>Capex</v>
      </c>
      <c r="FH10" s="996">
        <f>IF($FG10="Opex",SUMIF('Monthly Summary'!$C$75:$N$75,"",CC10:CN10),SUMIF('Monthly Summary'!$C$74:$N$74,"",CC10:CN10))</f>
        <v>0</v>
      </c>
      <c r="FI10" s="996">
        <f>IF($FG10="Opex",SUMIF('Monthly Summary'!$O$75:$Z$75,"",CO10:CZ10),SUMIF('Monthly Summary'!$O$74:$Z$74,"",CO10:CZ10))</f>
        <v>0</v>
      </c>
      <c r="FJ10" s="996">
        <f>IF($FG10="Opex",SUMIF('Monthly Summary'!$AA$75:$AL$75,"",DA10:DL10),SUMIF('Monthly Summary'!$AA$74:$AL$74,"",DA10:DL10))</f>
        <v>0</v>
      </c>
      <c r="FK10" s="996">
        <f>IF($FG10="Opex",SUMIF('Monthly Summary'!$AM$75:$AX$75,"",DM10:DX10),SUMIF('Monthly Summary'!$AM$74:$AX$74,"",DM10:DX10))</f>
        <v>0</v>
      </c>
      <c r="FL10" s="996">
        <f>IF($FG10="Opex",SUMIF('Monthly Summary'!$AY$75:$BJ$75,"",DY10:EJ10),SUMIF('Monthly Summary'!$AY$74:$BJ$74,"",DY10:EJ10))</f>
        <v>0</v>
      </c>
      <c r="FM10" s="997">
        <f>IF($FG10="Opex",SUMIF('Monthly Summary'!$BK$75:$BV$75,"",EK10:EV10),SUMIF('Monthly Summary'!$BK$74:$BV$74,"",EK10:EV10))</f>
        <v>0</v>
      </c>
      <c r="FN10" s="997">
        <f t="shared" si="7"/>
        <v>0</v>
      </c>
    </row>
    <row r="11" spans="1:170">
      <c r="A11" s="753" t="s">
        <v>452</v>
      </c>
      <c r="B11" s="753" t="s">
        <v>8402</v>
      </c>
      <c r="C11" s="757" t="s">
        <v>8483</v>
      </c>
      <c r="D11" s="757" t="s">
        <v>16484</v>
      </c>
      <c r="E11" s="758" t="s">
        <v>8507</v>
      </c>
      <c r="F11" s="758" t="s">
        <v>21</v>
      </c>
      <c r="G11" s="758">
        <v>943</v>
      </c>
      <c r="H11" s="1215"/>
      <c r="I11" s="761"/>
      <c r="J11" s="761"/>
      <c r="K11" s="761"/>
      <c r="L11" s="761"/>
      <c r="M11" s="761"/>
      <c r="N11" s="761"/>
      <c r="O11" s="761"/>
      <c r="P11" s="761"/>
      <c r="Q11" s="761"/>
      <c r="R11" s="761"/>
      <c r="S11" s="1216"/>
      <c r="T11" s="1215"/>
      <c r="U11" s="761"/>
      <c r="V11" s="761"/>
      <c r="W11" s="761"/>
      <c r="X11" s="761"/>
      <c r="Y11" s="761"/>
      <c r="Z11" s="761"/>
      <c r="AA11" s="761"/>
      <c r="AB11" s="761"/>
      <c r="AC11" s="761"/>
      <c r="AD11" s="761"/>
      <c r="AE11" s="1216"/>
      <c r="AF11" s="1215"/>
      <c r="AG11" s="761"/>
      <c r="AH11" s="761"/>
      <c r="AI11" s="761"/>
      <c r="AJ11" s="761"/>
      <c r="AK11" s="761"/>
      <c r="AL11" s="761"/>
      <c r="AM11" s="761"/>
      <c r="AN11" s="761"/>
      <c r="AO11" s="761"/>
      <c r="AP11" s="761"/>
      <c r="AQ11" s="1216"/>
      <c r="AR11" s="1215"/>
      <c r="AS11" s="761"/>
      <c r="AT11" s="761"/>
      <c r="AU11" s="761"/>
      <c r="AV11" s="761"/>
      <c r="AW11" s="761"/>
      <c r="AX11" s="761"/>
      <c r="AY11" s="761"/>
      <c r="AZ11" s="761"/>
      <c r="BA11" s="761"/>
      <c r="BB11" s="761"/>
      <c r="BC11" s="1216"/>
      <c r="BD11" s="1215"/>
      <c r="BE11" s="761"/>
      <c r="BF11" s="761"/>
      <c r="BG11" s="761"/>
      <c r="BH11" s="761"/>
      <c r="BI11" s="761"/>
      <c r="BJ11" s="761"/>
      <c r="BK11" s="761"/>
      <c r="BL11" s="761"/>
      <c r="BM11" s="761"/>
      <c r="BN11" s="761"/>
      <c r="BO11" s="1216"/>
      <c r="BP11" s="1215"/>
      <c r="BQ11" s="761"/>
      <c r="BR11" s="761"/>
      <c r="BS11" s="761"/>
      <c r="BT11" s="761"/>
      <c r="BU11" s="761"/>
      <c r="BV11" s="761"/>
      <c r="BW11" s="761"/>
      <c r="BX11" s="761"/>
      <c r="BY11" s="761"/>
      <c r="BZ11" s="761"/>
      <c r="CA11" s="1216"/>
      <c r="CB11" s="747"/>
      <c r="CC11" s="1222">
        <f>$G11*H11*Variables!$B$53</f>
        <v>0</v>
      </c>
      <c r="CD11" s="1223">
        <f>$G11*I11*Variables!$B$53</f>
        <v>0</v>
      </c>
      <c r="CE11" s="1223">
        <f>$G11*J11*Variables!$B$53</f>
        <v>0</v>
      </c>
      <c r="CF11" s="1223">
        <f>$G11*K11*Variables!$B$53</f>
        <v>0</v>
      </c>
      <c r="CG11" s="1223">
        <f>$G11*L11*Variables!$B$53</f>
        <v>0</v>
      </c>
      <c r="CH11" s="1223">
        <f>$G11*M11*Variables!$B$53</f>
        <v>0</v>
      </c>
      <c r="CI11" s="1223">
        <f>$G11*N11*Variables!$B$53</f>
        <v>0</v>
      </c>
      <c r="CJ11" s="1223">
        <f>$G11*O11*Variables!$B$53</f>
        <v>0</v>
      </c>
      <c r="CK11" s="1223">
        <f>$G11*P11*Variables!$B$53</f>
        <v>0</v>
      </c>
      <c r="CL11" s="1223">
        <f>$G11*Q11*Variables!$B$53</f>
        <v>0</v>
      </c>
      <c r="CM11" s="1223">
        <f>$G11*R11*Variables!$B$53</f>
        <v>0</v>
      </c>
      <c r="CN11" s="1225">
        <f>$G11*S11*Variables!$B$53</f>
        <v>0</v>
      </c>
      <c r="CO11" s="1222">
        <f>$G11*T11*Variables!$B$53*HLOOKUP($CO$2,Variables!$B$60:$F$61,2,FALSE)</f>
        <v>0</v>
      </c>
      <c r="CP11" s="1223">
        <f>$G11*U11*Variables!$B$53*HLOOKUP($CO$2,Variables!$B$60:$F$61,2,FALSE)</f>
        <v>0</v>
      </c>
      <c r="CQ11" s="1223">
        <f>$G11*V11*Variables!$B$53*HLOOKUP($CO$2,Variables!$B$60:$F$61,2,FALSE)</f>
        <v>0</v>
      </c>
      <c r="CR11" s="1223">
        <f>$G11*W11*Variables!$B$53*HLOOKUP($CO$2,Variables!$B$60:$F$61,2,FALSE)</f>
        <v>0</v>
      </c>
      <c r="CS11" s="1223">
        <f>$G11*X11*Variables!$B$53*HLOOKUP($CO$2,Variables!$B$60:$F$61,2,FALSE)</f>
        <v>0</v>
      </c>
      <c r="CT11" s="1223">
        <f>$G11*Y11*Variables!$B$53*HLOOKUP($CO$2,Variables!$B$60:$F$61,2,FALSE)</f>
        <v>0</v>
      </c>
      <c r="CU11" s="1223">
        <f>$G11*Z11*Variables!$B$53*HLOOKUP($CO$2,Variables!$B$60:$F$61,2,FALSE)</f>
        <v>0</v>
      </c>
      <c r="CV11" s="1223">
        <f>$G11*AA11*Variables!$B$53*HLOOKUP($CO$2,Variables!$B$60:$F$61,2,FALSE)</f>
        <v>0</v>
      </c>
      <c r="CW11" s="1223">
        <f>$G11*AB11*Variables!$B$53*HLOOKUP($CO$2,Variables!$B$60:$F$61,2,FALSE)</f>
        <v>0</v>
      </c>
      <c r="CX11" s="1223">
        <f>$G11*AC11*Variables!$B$53*HLOOKUP($CO$2,Variables!$B$60:$F$61,2,FALSE)</f>
        <v>0</v>
      </c>
      <c r="CY11" s="1223">
        <f>$G11*AD11*Variables!$B$53*HLOOKUP($CO$2,Variables!$B$60:$F$61,2,FALSE)</f>
        <v>0</v>
      </c>
      <c r="CZ11" s="1225">
        <f>$G11*AE11*Variables!$B$53*HLOOKUP($CO$2,Variables!$B$60:$F$61,2,FALSE)</f>
        <v>0</v>
      </c>
      <c r="DA11" s="1222">
        <f>$G11*AF11*Variables!$B$53*HLOOKUP($DA$2,Variables!$B$60:$F$61,2,FALSE)</f>
        <v>0</v>
      </c>
      <c r="DB11" s="1223">
        <f>$G11*AG11*Variables!$B$53*HLOOKUP($DA$2,Variables!$B$60:$F$61,2,FALSE)</f>
        <v>0</v>
      </c>
      <c r="DC11" s="1223">
        <f>$G11*AH11*Variables!$B$53*HLOOKUP($DA$2,Variables!$B$60:$F$61,2,FALSE)</f>
        <v>0</v>
      </c>
      <c r="DD11" s="1223">
        <f>$G11*AI11*Variables!$B$53*HLOOKUP($DA$2,Variables!$B$60:$F$61,2,FALSE)</f>
        <v>0</v>
      </c>
      <c r="DE11" s="1223">
        <f>$G11*AJ11*Variables!$B$53*HLOOKUP($DA$2,Variables!$B$60:$F$61,2,FALSE)</f>
        <v>0</v>
      </c>
      <c r="DF11" s="1223">
        <f>$G11*AK11*Variables!$B$53*HLOOKUP($DA$2,Variables!$B$60:$F$61,2,FALSE)</f>
        <v>0</v>
      </c>
      <c r="DG11" s="1223">
        <f>$G11*AL11*Variables!$B$53*HLOOKUP($DA$2,Variables!$B$60:$F$61,2,FALSE)</f>
        <v>0</v>
      </c>
      <c r="DH11" s="1223">
        <f>$G11*AM11*Variables!$B$53*HLOOKUP($DA$2,Variables!$B$60:$F$61,2,FALSE)</f>
        <v>0</v>
      </c>
      <c r="DI11" s="1223">
        <f>$G11*AN11*Variables!$B$53*HLOOKUP($DA$2,Variables!$B$60:$F$61,2,FALSE)</f>
        <v>0</v>
      </c>
      <c r="DJ11" s="1223">
        <f>$G11*AO11*Variables!$B$53*HLOOKUP($DA$2,Variables!$B$60:$F$61,2,FALSE)</f>
        <v>0</v>
      </c>
      <c r="DK11" s="1223">
        <f>$G11*AP11*Variables!$B$53*HLOOKUP($DA$2,Variables!$B$60:$F$61,2,FALSE)</f>
        <v>0</v>
      </c>
      <c r="DL11" s="1225">
        <f>$G11*AQ11*Variables!$B$53*HLOOKUP($DA$2,Variables!$B$60:$F$61,2,FALSE)</f>
        <v>0</v>
      </c>
      <c r="DM11" s="1222">
        <f>$G11*AR11*Variables!$B$53*HLOOKUP($DM$2,Variables!$B$60:$F$61,2,FALSE)</f>
        <v>0</v>
      </c>
      <c r="DN11" s="1223">
        <f>$G11*AS11*Variables!$B$53*HLOOKUP($DM$2,Variables!$B$60:$F$61,2,FALSE)</f>
        <v>0</v>
      </c>
      <c r="DO11" s="1223">
        <f>$G11*AT11*Variables!$B$53*HLOOKUP($DM$2,Variables!$B$60:$F$61,2,FALSE)</f>
        <v>0</v>
      </c>
      <c r="DP11" s="1223">
        <f>$G11*AU11*Variables!$B$53*HLOOKUP($DM$2,Variables!$B$60:$F$61,2,FALSE)</f>
        <v>0</v>
      </c>
      <c r="DQ11" s="1223">
        <f>$G11*AV11*Variables!$B$53*HLOOKUP($DM$2,Variables!$B$60:$F$61,2,FALSE)</f>
        <v>0</v>
      </c>
      <c r="DR11" s="1223">
        <f>$G11*AW11*Variables!$B$53*HLOOKUP($DM$2,Variables!$B$60:$F$61,2,FALSE)</f>
        <v>0</v>
      </c>
      <c r="DS11" s="1223">
        <f>$G11*AX11*Variables!$B$53*HLOOKUP($DM$2,Variables!$B$60:$F$61,2,FALSE)</f>
        <v>0</v>
      </c>
      <c r="DT11" s="1223">
        <f>$G11*AY11*Variables!$B$53*HLOOKUP($DM$2,Variables!$B$60:$F$61,2,FALSE)</f>
        <v>0</v>
      </c>
      <c r="DU11" s="1223">
        <f>$G11*AZ11*Variables!$B$53*HLOOKUP($DM$2,Variables!$B$60:$F$61,2,FALSE)</f>
        <v>0</v>
      </c>
      <c r="DV11" s="1223">
        <f>$G11*BA11*Variables!$B$53*HLOOKUP($DM$2,Variables!$B$60:$F$61,2,FALSE)</f>
        <v>0</v>
      </c>
      <c r="DW11" s="1223">
        <f>$G11*BB11*Variables!$B$53*HLOOKUP($DM$2,Variables!$B$60:$F$61,2,FALSE)</f>
        <v>0</v>
      </c>
      <c r="DX11" s="1225">
        <f>$G11*BC11*Variables!$B$53*HLOOKUP($DM$2,Variables!$B$60:$F$61,2,FALSE)</f>
        <v>0</v>
      </c>
      <c r="DY11" s="1222">
        <f>$G11*BD11*Variables!$B$53*HLOOKUP($DY$2,Variables!$B$60:$F$61,2,FALSE)</f>
        <v>0</v>
      </c>
      <c r="DZ11" s="1223">
        <f>$G11*BE11*Variables!$B$53*HLOOKUP($DY$2,Variables!$B$60:$F$61,2,FALSE)</f>
        <v>0</v>
      </c>
      <c r="EA11" s="1223">
        <f>$G11*BF11*Variables!$B$53*HLOOKUP($DY$2,Variables!$B$60:$F$61,2,FALSE)</f>
        <v>0</v>
      </c>
      <c r="EB11" s="1223">
        <f>$G11*BG11*Variables!$B$53*HLOOKUP($DY$2,Variables!$B$60:$F$61,2,FALSE)</f>
        <v>0</v>
      </c>
      <c r="EC11" s="1223">
        <f>$G11*BH11*Variables!$B$53*HLOOKUP($DY$2,Variables!$B$60:$F$61,2,FALSE)</f>
        <v>0</v>
      </c>
      <c r="ED11" s="1223">
        <f>$G11*BI11*Variables!$B$53*HLOOKUP($DY$2,Variables!$B$60:$F$61,2,FALSE)</f>
        <v>0</v>
      </c>
      <c r="EE11" s="1223">
        <f>$G11*BJ11*Variables!$B$53*HLOOKUP($DY$2,Variables!$B$60:$F$61,2,FALSE)</f>
        <v>0</v>
      </c>
      <c r="EF11" s="1223">
        <f>$G11*BK11*Variables!$B$53*HLOOKUP($DY$2,Variables!$B$60:$F$61,2,FALSE)</f>
        <v>0</v>
      </c>
      <c r="EG11" s="1223">
        <f>$G11*BL11*Variables!$B$53*HLOOKUP($DY$2,Variables!$B$60:$F$61,2,FALSE)</f>
        <v>0</v>
      </c>
      <c r="EH11" s="1223">
        <f>$G11*BM11*Variables!$B$53*HLOOKUP($DY$2,Variables!$B$60:$F$61,2,FALSE)</f>
        <v>0</v>
      </c>
      <c r="EI11" s="1223">
        <f>$G11*BN11*Variables!$B$53*HLOOKUP($DY$2,Variables!$B$60:$F$61,2,FALSE)</f>
        <v>0</v>
      </c>
      <c r="EJ11" s="1225">
        <f>$G11*BO11*Variables!$B$53*HLOOKUP($DY$2,Variables!$B$60:$F$61,2,FALSE)</f>
        <v>0</v>
      </c>
      <c r="EK11" s="1222">
        <f>$G11*BP11*Variables!$B$53*HLOOKUP($EK$2,Variables!$B$60:$F$61,2,FALSE)</f>
        <v>0</v>
      </c>
      <c r="EL11" s="1223">
        <f>$G11*BQ11*Variables!$B$53*HLOOKUP($EK$2,Variables!$B$60:$F$61,2,FALSE)</f>
        <v>0</v>
      </c>
      <c r="EM11" s="1223">
        <f>$G11*BR11*Variables!$B$53*HLOOKUP($EK$2,Variables!$B$60:$F$61,2,FALSE)</f>
        <v>0</v>
      </c>
      <c r="EN11" s="1223">
        <f>$G11*BS11*Variables!$B$53*HLOOKUP($EK$2,Variables!$B$60:$F$61,2,FALSE)</f>
        <v>0</v>
      </c>
      <c r="EO11" s="1223">
        <f>$G11*BT11*Variables!$B$53*HLOOKUP($EK$2,Variables!$B$60:$F$61,2,FALSE)</f>
        <v>0</v>
      </c>
      <c r="EP11" s="1223">
        <f>$G11*BU11*Variables!$B$53*HLOOKUP($EK$2,Variables!$B$60:$F$61,2,FALSE)</f>
        <v>0</v>
      </c>
      <c r="EQ11" s="1223">
        <f>$G11*BV11*Variables!$B$53*HLOOKUP($EK$2,Variables!$B$60:$F$61,2,FALSE)</f>
        <v>0</v>
      </c>
      <c r="ER11" s="1223">
        <f>$G11*BW11*Variables!$B$53*HLOOKUP($EK$2,Variables!$B$60:$F$61,2,FALSE)</f>
        <v>0</v>
      </c>
      <c r="ES11" s="1223">
        <f>$G11*BX11*Variables!$B$53*HLOOKUP($EK$2,Variables!$B$60:$F$61,2,FALSE)</f>
        <v>0</v>
      </c>
      <c r="ET11" s="1223">
        <f>$G11*BY11*Variables!$B$53*HLOOKUP($EK$2,Variables!$B$60:$F$61,2,FALSE)</f>
        <v>0</v>
      </c>
      <c r="EU11" s="1223">
        <f>$G11*BZ11*Variables!$B$53*HLOOKUP($EK$2,Variables!$B$60:$F$61,2,FALSE)</f>
        <v>0</v>
      </c>
      <c r="EV11" s="1225">
        <f>$G11*CA11*Variables!$B$53*HLOOKUP($EK$2,Variables!$B$60:$F$61,2,FALSE)</f>
        <v>0</v>
      </c>
      <c r="EW11" s="872">
        <f t="shared" si="6"/>
        <v>0</v>
      </c>
      <c r="EX11" s="872"/>
      <c r="EY11" s="872"/>
      <c r="EZ11" s="872"/>
      <c r="FA11" s="1332"/>
      <c r="FC11" s="958" t="str">
        <f t="shared" si="3"/>
        <v>AppDevelopment</v>
      </c>
      <c r="FD11" s="959" t="str">
        <f t="shared" si="4"/>
        <v>Development_Testing</v>
      </c>
      <c r="FE11" s="959" t="s">
        <v>8407</v>
      </c>
      <c r="FF11" s="959" t="str">
        <f>IF(ISNA(VLOOKUP(FC11,Miscellaneous!E:F,2,0)),"",VLOOKUP(FC11,Miscellaneous!E:F,2,0))</f>
        <v>Narayan Devireddy</v>
      </c>
      <c r="FG11" s="959" t="str">
        <f t="shared" si="5"/>
        <v>Capex</v>
      </c>
      <c r="FH11" s="996">
        <f>IF($FG11="Opex",SUMIF('Monthly Summary'!$C$75:$N$75,"",CC11:CN11),SUMIF('Monthly Summary'!$C$74:$N$74,"",CC11:CN11))</f>
        <v>0</v>
      </c>
      <c r="FI11" s="996">
        <f>IF($FG11="Opex",SUMIF('Monthly Summary'!$O$75:$Z$75,"",CO11:CZ11),SUMIF('Monthly Summary'!$O$74:$Z$74,"",CO11:CZ11))</f>
        <v>0</v>
      </c>
      <c r="FJ11" s="996">
        <f>IF($FG11="Opex",SUMIF('Monthly Summary'!$AA$75:$AL$75,"",DA11:DL11),SUMIF('Monthly Summary'!$AA$74:$AL$74,"",DA11:DL11))</f>
        <v>0</v>
      </c>
      <c r="FK11" s="996">
        <f>IF($FG11="Opex",SUMIF('Monthly Summary'!$AM$75:$AX$75,"",DM11:DX11),SUMIF('Monthly Summary'!$AM$74:$AX$74,"",DM11:DX11))</f>
        <v>0</v>
      </c>
      <c r="FL11" s="996">
        <f>IF($FG11="Opex",SUMIF('Monthly Summary'!$AY$75:$BJ$75,"",DY11:EJ11),SUMIF('Monthly Summary'!$AY$74:$BJ$74,"",DY11:EJ11))</f>
        <v>0</v>
      </c>
      <c r="FM11" s="997">
        <f>IF($FG11="Opex",SUMIF('Monthly Summary'!$BK$75:$BV$75,"",EK11:EV11),SUMIF('Monthly Summary'!$BK$74:$BV$74,"",EK11:EV11))</f>
        <v>0</v>
      </c>
      <c r="FN11" s="997">
        <f t="shared" si="7"/>
        <v>0</v>
      </c>
    </row>
    <row r="12" spans="1:170">
      <c r="A12" s="753" t="s">
        <v>442</v>
      </c>
      <c r="B12" s="753" t="s">
        <v>8402</v>
      </c>
      <c r="C12" s="757" t="s">
        <v>8836</v>
      </c>
      <c r="D12" s="757" t="s">
        <v>15232</v>
      </c>
      <c r="E12" s="758" t="s">
        <v>198</v>
      </c>
      <c r="F12" s="758" t="s">
        <v>21</v>
      </c>
      <c r="G12" s="758">
        <v>864</v>
      </c>
      <c r="H12" s="1215"/>
      <c r="I12" s="761"/>
      <c r="J12" s="761"/>
      <c r="K12" s="761"/>
      <c r="L12" s="761"/>
      <c r="M12" s="761"/>
      <c r="N12" s="761"/>
      <c r="O12" s="761"/>
      <c r="P12" s="761"/>
      <c r="Q12" s="761"/>
      <c r="R12" s="761"/>
      <c r="S12" s="1216"/>
      <c r="T12" s="1215"/>
      <c r="U12" s="761"/>
      <c r="V12" s="761"/>
      <c r="W12" s="761"/>
      <c r="X12" s="761"/>
      <c r="Y12" s="761"/>
      <c r="Z12" s="761"/>
      <c r="AA12" s="761"/>
      <c r="AB12" s="761"/>
      <c r="AC12" s="761"/>
      <c r="AD12" s="761"/>
      <c r="AE12" s="1216"/>
      <c r="AF12" s="1215"/>
      <c r="AG12" s="761"/>
      <c r="AH12" s="761"/>
      <c r="AI12" s="761"/>
      <c r="AJ12" s="761"/>
      <c r="AK12" s="761"/>
      <c r="AL12" s="761"/>
      <c r="AM12" s="761"/>
      <c r="AN12" s="761"/>
      <c r="AO12" s="761"/>
      <c r="AP12" s="761"/>
      <c r="AQ12" s="1216"/>
      <c r="AR12" s="1215"/>
      <c r="AS12" s="761"/>
      <c r="AT12" s="761"/>
      <c r="AU12" s="761"/>
      <c r="AV12" s="761"/>
      <c r="AW12" s="761"/>
      <c r="AX12" s="761"/>
      <c r="AY12" s="761"/>
      <c r="AZ12" s="761"/>
      <c r="BA12" s="761"/>
      <c r="BB12" s="761"/>
      <c r="BC12" s="1216"/>
      <c r="BD12" s="1215"/>
      <c r="BE12" s="761"/>
      <c r="BF12" s="761"/>
      <c r="BG12" s="761"/>
      <c r="BH12" s="761"/>
      <c r="BI12" s="761"/>
      <c r="BJ12" s="761"/>
      <c r="BK12" s="761"/>
      <c r="BL12" s="761"/>
      <c r="BM12" s="761"/>
      <c r="BN12" s="761"/>
      <c r="BO12" s="1216"/>
      <c r="BP12" s="1215"/>
      <c r="BQ12" s="761"/>
      <c r="BR12" s="761"/>
      <c r="BS12" s="761"/>
      <c r="BT12" s="761"/>
      <c r="BU12" s="761"/>
      <c r="BV12" s="761"/>
      <c r="BW12" s="761"/>
      <c r="BX12" s="761"/>
      <c r="BY12" s="761"/>
      <c r="BZ12" s="761"/>
      <c r="CA12" s="1216"/>
      <c r="CB12" s="747"/>
      <c r="CC12" s="1222">
        <f>$G12*H12*Variables!$B$53</f>
        <v>0</v>
      </c>
      <c r="CD12" s="1223">
        <f>$G12*I12*Variables!$B$53</f>
        <v>0</v>
      </c>
      <c r="CE12" s="1223">
        <f>$G12*J12*Variables!$B$53</f>
        <v>0</v>
      </c>
      <c r="CF12" s="1223">
        <f>$G12*K12*Variables!$B$53</f>
        <v>0</v>
      </c>
      <c r="CG12" s="1223">
        <f>$G12*L12*Variables!$B$53</f>
        <v>0</v>
      </c>
      <c r="CH12" s="1223">
        <f>$G12*M12*Variables!$B$53</f>
        <v>0</v>
      </c>
      <c r="CI12" s="1223">
        <f>$G12*N12*Variables!$B$53</f>
        <v>0</v>
      </c>
      <c r="CJ12" s="1223">
        <f>$G12*O12*Variables!$B$53</f>
        <v>0</v>
      </c>
      <c r="CK12" s="1223">
        <f>$G12*P12*Variables!$B$53</f>
        <v>0</v>
      </c>
      <c r="CL12" s="1223">
        <f>$G12*Q12*Variables!$B$53</f>
        <v>0</v>
      </c>
      <c r="CM12" s="1223">
        <f>$G12*R12*Variables!$B$53</f>
        <v>0</v>
      </c>
      <c r="CN12" s="1225">
        <f>$G12*S12*Variables!$B$53</f>
        <v>0</v>
      </c>
      <c r="CO12" s="1222">
        <f>$G12*T12*Variables!$B$53*HLOOKUP($CO$2,Variables!$B$60:$F$61,2,FALSE)</f>
        <v>0</v>
      </c>
      <c r="CP12" s="1223">
        <f>$G12*U12*Variables!$B$53*HLOOKUP($CO$2,Variables!$B$60:$F$61,2,FALSE)</f>
        <v>0</v>
      </c>
      <c r="CQ12" s="1223">
        <f>$G12*V12*Variables!$B$53*HLOOKUP($CO$2,Variables!$B$60:$F$61,2,FALSE)</f>
        <v>0</v>
      </c>
      <c r="CR12" s="1223">
        <f>$G12*W12*Variables!$B$53*HLOOKUP($CO$2,Variables!$B$60:$F$61,2,FALSE)</f>
        <v>0</v>
      </c>
      <c r="CS12" s="1223">
        <f>$G12*X12*Variables!$B$53*HLOOKUP($CO$2,Variables!$B$60:$F$61,2,FALSE)</f>
        <v>0</v>
      </c>
      <c r="CT12" s="1223">
        <f>$G12*Y12*Variables!$B$53*HLOOKUP($CO$2,Variables!$B$60:$F$61,2,FALSE)</f>
        <v>0</v>
      </c>
      <c r="CU12" s="1223">
        <f>$G12*Z12*Variables!$B$53*HLOOKUP($CO$2,Variables!$B$60:$F$61,2,FALSE)</f>
        <v>0</v>
      </c>
      <c r="CV12" s="1223">
        <f>$G12*AA12*Variables!$B$53*HLOOKUP($CO$2,Variables!$B$60:$F$61,2,FALSE)</f>
        <v>0</v>
      </c>
      <c r="CW12" s="1223">
        <f>$G12*AB12*Variables!$B$53*HLOOKUP($CO$2,Variables!$B$60:$F$61,2,FALSE)</f>
        <v>0</v>
      </c>
      <c r="CX12" s="1223">
        <f>$G12*AC12*Variables!$B$53*HLOOKUP($CO$2,Variables!$B$60:$F$61,2,FALSE)</f>
        <v>0</v>
      </c>
      <c r="CY12" s="1223">
        <f>$G12*AD12*Variables!$B$53*HLOOKUP($CO$2,Variables!$B$60:$F$61,2,FALSE)</f>
        <v>0</v>
      </c>
      <c r="CZ12" s="1225">
        <f>$G12*AE12*Variables!$B$53*HLOOKUP($CO$2,Variables!$B$60:$F$61,2,FALSE)</f>
        <v>0</v>
      </c>
      <c r="DA12" s="1222">
        <f>$G12*AF12*Variables!$B$53*HLOOKUP($DA$2,Variables!$B$60:$F$61,2,FALSE)</f>
        <v>0</v>
      </c>
      <c r="DB12" s="1223">
        <f>$G12*AG12*Variables!$B$53*HLOOKUP($DA$2,Variables!$B$60:$F$61,2,FALSE)</f>
        <v>0</v>
      </c>
      <c r="DC12" s="1223">
        <f>$G12*AH12*Variables!$B$53*HLOOKUP($DA$2,Variables!$B$60:$F$61,2,FALSE)</f>
        <v>0</v>
      </c>
      <c r="DD12" s="1223">
        <f>$G12*AI12*Variables!$B$53*HLOOKUP($DA$2,Variables!$B$60:$F$61,2,FALSE)</f>
        <v>0</v>
      </c>
      <c r="DE12" s="1223">
        <f>$G12*AJ12*Variables!$B$53*HLOOKUP($DA$2,Variables!$B$60:$F$61,2,FALSE)</f>
        <v>0</v>
      </c>
      <c r="DF12" s="1223">
        <f>$G12*AK12*Variables!$B$53*HLOOKUP($DA$2,Variables!$B$60:$F$61,2,FALSE)</f>
        <v>0</v>
      </c>
      <c r="DG12" s="1223">
        <f>$G12*AL12*Variables!$B$53*HLOOKUP($DA$2,Variables!$B$60:$F$61,2,FALSE)</f>
        <v>0</v>
      </c>
      <c r="DH12" s="1223">
        <f>$G12*AM12*Variables!$B$53*HLOOKUP($DA$2,Variables!$B$60:$F$61,2,FALSE)</f>
        <v>0</v>
      </c>
      <c r="DI12" s="1223">
        <f>$G12*AN12*Variables!$B$53*HLOOKUP($DA$2,Variables!$B$60:$F$61,2,FALSE)</f>
        <v>0</v>
      </c>
      <c r="DJ12" s="1223">
        <f>$G12*AO12*Variables!$B$53*HLOOKUP($DA$2,Variables!$B$60:$F$61,2,FALSE)</f>
        <v>0</v>
      </c>
      <c r="DK12" s="1223">
        <f>$G12*AP12*Variables!$B$53*HLOOKUP($DA$2,Variables!$B$60:$F$61,2,FALSE)</f>
        <v>0</v>
      </c>
      <c r="DL12" s="1225">
        <f>$G12*AQ12*Variables!$B$53*HLOOKUP($DA$2,Variables!$B$60:$F$61,2,FALSE)</f>
        <v>0</v>
      </c>
      <c r="DM12" s="1222">
        <f>$G12*AR12*Variables!$B$53*HLOOKUP($DM$2,Variables!$B$60:$F$61,2,FALSE)</f>
        <v>0</v>
      </c>
      <c r="DN12" s="1223">
        <f>$G12*AS12*Variables!$B$53*HLOOKUP($DM$2,Variables!$B$60:$F$61,2,FALSE)</f>
        <v>0</v>
      </c>
      <c r="DO12" s="1223">
        <f>$G12*AT12*Variables!$B$53*HLOOKUP($DM$2,Variables!$B$60:$F$61,2,FALSE)</f>
        <v>0</v>
      </c>
      <c r="DP12" s="1223">
        <f>$G12*AU12*Variables!$B$53*HLOOKUP($DM$2,Variables!$B$60:$F$61,2,FALSE)</f>
        <v>0</v>
      </c>
      <c r="DQ12" s="1223">
        <f>$G12*AV12*Variables!$B$53*HLOOKUP($DM$2,Variables!$B$60:$F$61,2,FALSE)</f>
        <v>0</v>
      </c>
      <c r="DR12" s="1223">
        <f>$G12*AW12*Variables!$B$53*HLOOKUP($DM$2,Variables!$B$60:$F$61,2,FALSE)</f>
        <v>0</v>
      </c>
      <c r="DS12" s="1223">
        <f>$G12*AX12*Variables!$B$53*HLOOKUP($DM$2,Variables!$B$60:$F$61,2,FALSE)</f>
        <v>0</v>
      </c>
      <c r="DT12" s="1223">
        <f>$G12*AY12*Variables!$B$53*HLOOKUP($DM$2,Variables!$B$60:$F$61,2,FALSE)</f>
        <v>0</v>
      </c>
      <c r="DU12" s="1223">
        <f>$G12*AZ12*Variables!$B$53*HLOOKUP($DM$2,Variables!$B$60:$F$61,2,FALSE)</f>
        <v>0</v>
      </c>
      <c r="DV12" s="1223">
        <f>$G12*BA12*Variables!$B$53*HLOOKUP($DM$2,Variables!$B$60:$F$61,2,FALSE)</f>
        <v>0</v>
      </c>
      <c r="DW12" s="1223">
        <f>$G12*BB12*Variables!$B$53*HLOOKUP($DM$2,Variables!$B$60:$F$61,2,FALSE)</f>
        <v>0</v>
      </c>
      <c r="DX12" s="1225">
        <f>$G12*BC12*Variables!$B$53*HLOOKUP($DM$2,Variables!$B$60:$F$61,2,FALSE)</f>
        <v>0</v>
      </c>
      <c r="DY12" s="1222">
        <f>$G12*BD12*Variables!$B$53*HLOOKUP($DY$2,Variables!$B$60:$F$61,2,FALSE)</f>
        <v>0</v>
      </c>
      <c r="DZ12" s="1223">
        <f>$G12*BE12*Variables!$B$53*HLOOKUP($DY$2,Variables!$B$60:$F$61,2,FALSE)</f>
        <v>0</v>
      </c>
      <c r="EA12" s="1223">
        <f>$G12*BF12*Variables!$B$53*HLOOKUP($DY$2,Variables!$B$60:$F$61,2,FALSE)</f>
        <v>0</v>
      </c>
      <c r="EB12" s="1223">
        <f>$G12*BG12*Variables!$B$53*HLOOKUP($DY$2,Variables!$B$60:$F$61,2,FALSE)</f>
        <v>0</v>
      </c>
      <c r="EC12" s="1223">
        <f>$G12*BH12*Variables!$B$53*HLOOKUP($DY$2,Variables!$B$60:$F$61,2,FALSE)</f>
        <v>0</v>
      </c>
      <c r="ED12" s="1223">
        <f>$G12*BI12*Variables!$B$53*HLOOKUP($DY$2,Variables!$B$60:$F$61,2,FALSE)</f>
        <v>0</v>
      </c>
      <c r="EE12" s="1223">
        <f>$G12*BJ12*Variables!$B$53*HLOOKUP($DY$2,Variables!$B$60:$F$61,2,FALSE)</f>
        <v>0</v>
      </c>
      <c r="EF12" s="1223">
        <f>$G12*BK12*Variables!$B$53*HLOOKUP($DY$2,Variables!$B$60:$F$61,2,FALSE)</f>
        <v>0</v>
      </c>
      <c r="EG12" s="1223">
        <f>$G12*BL12*Variables!$B$53*HLOOKUP($DY$2,Variables!$B$60:$F$61,2,FALSE)</f>
        <v>0</v>
      </c>
      <c r="EH12" s="1223">
        <f>$G12*BM12*Variables!$B$53*HLOOKUP($DY$2,Variables!$B$60:$F$61,2,FALSE)</f>
        <v>0</v>
      </c>
      <c r="EI12" s="1223">
        <f>$G12*BN12*Variables!$B$53*HLOOKUP($DY$2,Variables!$B$60:$F$61,2,FALSE)</f>
        <v>0</v>
      </c>
      <c r="EJ12" s="1225">
        <f>$G12*BO12*Variables!$B$53*HLOOKUP($DY$2,Variables!$B$60:$F$61,2,FALSE)</f>
        <v>0</v>
      </c>
      <c r="EK12" s="1222">
        <f>$G12*BP12*Variables!$B$53*HLOOKUP($EK$2,Variables!$B$60:$F$61,2,FALSE)</f>
        <v>0</v>
      </c>
      <c r="EL12" s="1223">
        <f>$G12*BQ12*Variables!$B$53*HLOOKUP($EK$2,Variables!$B$60:$F$61,2,FALSE)</f>
        <v>0</v>
      </c>
      <c r="EM12" s="1223">
        <f>$G12*BR12*Variables!$B$53*HLOOKUP($EK$2,Variables!$B$60:$F$61,2,FALSE)</f>
        <v>0</v>
      </c>
      <c r="EN12" s="1223">
        <f>$G12*BS12*Variables!$B$53*HLOOKUP($EK$2,Variables!$B$60:$F$61,2,FALSE)</f>
        <v>0</v>
      </c>
      <c r="EO12" s="1223">
        <f>$G12*BT12*Variables!$B$53*HLOOKUP($EK$2,Variables!$B$60:$F$61,2,FALSE)</f>
        <v>0</v>
      </c>
      <c r="EP12" s="1223">
        <f>$G12*BU12*Variables!$B$53*HLOOKUP($EK$2,Variables!$B$60:$F$61,2,FALSE)</f>
        <v>0</v>
      </c>
      <c r="EQ12" s="1223">
        <f>$G12*BV12*Variables!$B$53*HLOOKUP($EK$2,Variables!$B$60:$F$61,2,FALSE)</f>
        <v>0</v>
      </c>
      <c r="ER12" s="1223">
        <f>$G12*BW12*Variables!$B$53*HLOOKUP($EK$2,Variables!$B$60:$F$61,2,FALSE)</f>
        <v>0</v>
      </c>
      <c r="ES12" s="1223">
        <f>$G12*BX12*Variables!$B$53*HLOOKUP($EK$2,Variables!$B$60:$F$61,2,FALSE)</f>
        <v>0</v>
      </c>
      <c r="ET12" s="1223">
        <f>$G12*BY12*Variables!$B$53*HLOOKUP($EK$2,Variables!$B$60:$F$61,2,FALSE)</f>
        <v>0</v>
      </c>
      <c r="EU12" s="1223">
        <f>$G12*BZ12*Variables!$B$53*HLOOKUP($EK$2,Variables!$B$60:$F$61,2,FALSE)</f>
        <v>0</v>
      </c>
      <c r="EV12" s="1225">
        <f>$G12*CA12*Variables!$B$53*HLOOKUP($EK$2,Variables!$B$60:$F$61,2,FALSE)</f>
        <v>0</v>
      </c>
      <c r="EW12" s="872">
        <f t="shared" si="6"/>
        <v>0</v>
      </c>
      <c r="EX12" s="872"/>
      <c r="EY12" s="872"/>
      <c r="EZ12" s="872"/>
      <c r="FA12" s="1332"/>
      <c r="FC12" s="958" t="str">
        <f t="shared" si="3"/>
        <v>Security</v>
      </c>
      <c r="FD12" s="959" t="str">
        <f t="shared" si="4"/>
        <v>Development_Testing</v>
      </c>
      <c r="FE12" s="959" t="s">
        <v>8407</v>
      </c>
      <c r="FF12" s="959" t="str">
        <f>IF(ISNA(VLOOKUP(FC12,Miscellaneous!E:F,2,0)),"",VLOOKUP(FC12,Miscellaneous!E:F,2,0))</f>
        <v xml:space="preserve">Simon Jenner </v>
      </c>
      <c r="FG12" s="959" t="str">
        <f t="shared" si="5"/>
        <v>Capex</v>
      </c>
      <c r="FH12" s="996">
        <f>IF($FG12="Opex",SUMIF('Monthly Summary'!$C$75:$N$75,"",CC12:CN12),SUMIF('Monthly Summary'!$C$74:$N$74,"",CC12:CN12))</f>
        <v>0</v>
      </c>
      <c r="FI12" s="996">
        <f>IF($FG12="Opex",SUMIF('Monthly Summary'!$O$75:$Z$75,"",CO12:CZ12),SUMIF('Monthly Summary'!$O$74:$Z$74,"",CO12:CZ12))</f>
        <v>0</v>
      </c>
      <c r="FJ12" s="996">
        <f>IF($FG12="Opex",SUMIF('Monthly Summary'!$AA$75:$AL$75,"",DA12:DL12),SUMIF('Monthly Summary'!$AA$74:$AL$74,"",DA12:DL12))</f>
        <v>0</v>
      </c>
      <c r="FK12" s="996">
        <f>IF($FG12="Opex",SUMIF('Monthly Summary'!$AM$75:$AX$75,"",DM12:DX12),SUMIF('Monthly Summary'!$AM$74:$AX$74,"",DM12:DX12))</f>
        <v>0</v>
      </c>
      <c r="FL12" s="996">
        <f>IF($FG12="Opex",SUMIF('Monthly Summary'!$AY$75:$BJ$75,"",DY12:EJ12),SUMIF('Monthly Summary'!$AY$74:$BJ$74,"",DY12:EJ12))</f>
        <v>0</v>
      </c>
      <c r="FM12" s="997">
        <f>IF($FG12="Opex",SUMIF('Monthly Summary'!$BK$75:$BV$75,"",EK12:EV12),SUMIF('Monthly Summary'!$BK$74:$BV$74,"",EK12:EV12))</f>
        <v>0</v>
      </c>
      <c r="FN12" s="997">
        <f t="shared" si="7"/>
        <v>0</v>
      </c>
    </row>
    <row r="13" spans="1:170">
      <c r="A13" s="753" t="s">
        <v>460</v>
      </c>
      <c r="B13" s="753" t="s">
        <v>8400</v>
      </c>
      <c r="C13" s="757" t="s">
        <v>8472</v>
      </c>
      <c r="D13" s="757" t="s">
        <v>16476</v>
      </c>
      <c r="E13" s="758" t="s">
        <v>8507</v>
      </c>
      <c r="F13" s="758" t="s">
        <v>21</v>
      </c>
      <c r="G13" s="758">
        <v>1220</v>
      </c>
      <c r="H13" s="1215"/>
      <c r="I13" s="761"/>
      <c r="J13" s="761"/>
      <c r="K13" s="761"/>
      <c r="L13" s="761"/>
      <c r="M13" s="761"/>
      <c r="N13" s="761"/>
      <c r="O13" s="761"/>
      <c r="P13" s="761"/>
      <c r="Q13" s="761"/>
      <c r="R13" s="761"/>
      <c r="S13" s="1216"/>
      <c r="T13" s="1215"/>
      <c r="U13" s="761"/>
      <c r="V13" s="761"/>
      <c r="W13" s="761"/>
      <c r="X13" s="761"/>
      <c r="Y13" s="761"/>
      <c r="Z13" s="761"/>
      <c r="AA13" s="761"/>
      <c r="AB13" s="761"/>
      <c r="AC13" s="761"/>
      <c r="AD13" s="761"/>
      <c r="AE13" s="1216"/>
      <c r="AF13" s="1215"/>
      <c r="AG13" s="761"/>
      <c r="AH13" s="761"/>
      <c r="AI13" s="761"/>
      <c r="AJ13" s="761"/>
      <c r="AK13" s="761"/>
      <c r="AL13" s="761"/>
      <c r="AM13" s="761"/>
      <c r="AN13" s="761"/>
      <c r="AO13" s="761"/>
      <c r="AP13" s="761"/>
      <c r="AQ13" s="1216"/>
      <c r="AR13" s="1215"/>
      <c r="AS13" s="761"/>
      <c r="AT13" s="761"/>
      <c r="AU13" s="761"/>
      <c r="AV13" s="761"/>
      <c r="AW13" s="761"/>
      <c r="AX13" s="761"/>
      <c r="AY13" s="761"/>
      <c r="AZ13" s="761"/>
      <c r="BA13" s="761"/>
      <c r="BB13" s="761"/>
      <c r="BC13" s="1216"/>
      <c r="BD13" s="1215"/>
      <c r="BE13" s="761"/>
      <c r="BF13" s="761"/>
      <c r="BG13" s="761"/>
      <c r="BH13" s="761"/>
      <c r="BI13" s="761"/>
      <c r="BJ13" s="761"/>
      <c r="BK13" s="761"/>
      <c r="BL13" s="761"/>
      <c r="BM13" s="761"/>
      <c r="BN13" s="761"/>
      <c r="BO13" s="1216"/>
      <c r="BP13" s="1215"/>
      <c r="BQ13" s="761"/>
      <c r="BR13" s="761"/>
      <c r="BS13" s="761"/>
      <c r="BT13" s="761"/>
      <c r="BU13" s="761"/>
      <c r="BV13" s="761"/>
      <c r="BW13" s="761"/>
      <c r="BX13" s="761"/>
      <c r="BY13" s="761"/>
      <c r="BZ13" s="761"/>
      <c r="CA13" s="1216"/>
      <c r="CB13" s="747"/>
      <c r="CC13" s="1222">
        <f>$G13*H13*Variables!$B$53</f>
        <v>0</v>
      </c>
      <c r="CD13" s="1223">
        <f>$G13*I13*Variables!$B$53</f>
        <v>0</v>
      </c>
      <c r="CE13" s="1223">
        <f>$G13*J13*Variables!$B$53</f>
        <v>0</v>
      </c>
      <c r="CF13" s="1223">
        <f>$G13*K13*Variables!$B$53</f>
        <v>0</v>
      </c>
      <c r="CG13" s="1223">
        <f>$G13*L13*Variables!$B$53</f>
        <v>0</v>
      </c>
      <c r="CH13" s="1223">
        <f>$G13*M13*Variables!$B$53</f>
        <v>0</v>
      </c>
      <c r="CI13" s="1223">
        <f>$G13*N13*Variables!$B$53</f>
        <v>0</v>
      </c>
      <c r="CJ13" s="1223">
        <f>$G13*O13*Variables!$B$53</f>
        <v>0</v>
      </c>
      <c r="CK13" s="1223">
        <f>$G13*P13*Variables!$B$53</f>
        <v>0</v>
      </c>
      <c r="CL13" s="1223">
        <f>$G13*Q13*Variables!$B$53</f>
        <v>0</v>
      </c>
      <c r="CM13" s="1223">
        <f>$G13*R13*Variables!$B$53</f>
        <v>0</v>
      </c>
      <c r="CN13" s="1225">
        <f>$G13*S13*Variables!$B$53</f>
        <v>0</v>
      </c>
      <c r="CO13" s="1222">
        <f>$G13*T13*Variables!$B$53*HLOOKUP($CO$2,Variables!$B$60:$F$61,2,FALSE)</f>
        <v>0</v>
      </c>
      <c r="CP13" s="1223">
        <f>$G13*U13*Variables!$B$53*HLOOKUP($CO$2,Variables!$B$60:$F$61,2,FALSE)</f>
        <v>0</v>
      </c>
      <c r="CQ13" s="1223">
        <f>$G13*V13*Variables!$B$53*HLOOKUP($CO$2,Variables!$B$60:$F$61,2,FALSE)</f>
        <v>0</v>
      </c>
      <c r="CR13" s="1223">
        <f>$G13*W13*Variables!$B$53*HLOOKUP($CO$2,Variables!$B$60:$F$61,2,FALSE)</f>
        <v>0</v>
      </c>
      <c r="CS13" s="1223">
        <f>$G13*X13*Variables!$B$53*HLOOKUP($CO$2,Variables!$B$60:$F$61,2,FALSE)</f>
        <v>0</v>
      </c>
      <c r="CT13" s="1223">
        <f>$G13*Y13*Variables!$B$53*HLOOKUP($CO$2,Variables!$B$60:$F$61,2,FALSE)</f>
        <v>0</v>
      </c>
      <c r="CU13" s="1223">
        <f>$G13*Z13*Variables!$B$53*HLOOKUP($CO$2,Variables!$B$60:$F$61,2,FALSE)</f>
        <v>0</v>
      </c>
      <c r="CV13" s="1223">
        <f>$G13*AA13*Variables!$B$53*HLOOKUP($CO$2,Variables!$B$60:$F$61,2,FALSE)</f>
        <v>0</v>
      </c>
      <c r="CW13" s="1223">
        <f>$G13*AB13*Variables!$B$53*HLOOKUP($CO$2,Variables!$B$60:$F$61,2,FALSE)</f>
        <v>0</v>
      </c>
      <c r="CX13" s="1223">
        <f>$G13*AC13*Variables!$B$53*HLOOKUP($CO$2,Variables!$B$60:$F$61,2,FALSE)</f>
        <v>0</v>
      </c>
      <c r="CY13" s="1223">
        <f>$G13*AD13*Variables!$B$53*HLOOKUP($CO$2,Variables!$B$60:$F$61,2,FALSE)</f>
        <v>0</v>
      </c>
      <c r="CZ13" s="1225">
        <f>$G13*AE13*Variables!$B$53*HLOOKUP($CO$2,Variables!$B$60:$F$61,2,FALSE)</f>
        <v>0</v>
      </c>
      <c r="DA13" s="1222">
        <f>$G13*AF13*Variables!$B$53*HLOOKUP($DA$2,Variables!$B$60:$F$61,2,FALSE)</f>
        <v>0</v>
      </c>
      <c r="DB13" s="1223">
        <f>$G13*AG13*Variables!$B$53*HLOOKUP($DA$2,Variables!$B$60:$F$61,2,FALSE)</f>
        <v>0</v>
      </c>
      <c r="DC13" s="1223">
        <f>$G13*AH13*Variables!$B$53*HLOOKUP($DA$2,Variables!$B$60:$F$61,2,FALSE)</f>
        <v>0</v>
      </c>
      <c r="DD13" s="1223">
        <f>$G13*AI13*Variables!$B$53*HLOOKUP($DA$2,Variables!$B$60:$F$61,2,FALSE)</f>
        <v>0</v>
      </c>
      <c r="DE13" s="1223">
        <f>$G13*AJ13*Variables!$B$53*HLOOKUP($DA$2,Variables!$B$60:$F$61,2,FALSE)</f>
        <v>0</v>
      </c>
      <c r="DF13" s="1223">
        <f>$G13*AK13*Variables!$B$53*HLOOKUP($DA$2,Variables!$B$60:$F$61,2,FALSE)</f>
        <v>0</v>
      </c>
      <c r="DG13" s="1223">
        <f>$G13*AL13*Variables!$B$53*HLOOKUP($DA$2,Variables!$B$60:$F$61,2,FALSE)</f>
        <v>0</v>
      </c>
      <c r="DH13" s="1223">
        <f>$G13*AM13*Variables!$B$53*HLOOKUP($DA$2,Variables!$B$60:$F$61,2,FALSE)</f>
        <v>0</v>
      </c>
      <c r="DI13" s="1223">
        <f>$G13*AN13*Variables!$B$53*HLOOKUP($DA$2,Variables!$B$60:$F$61,2,FALSE)</f>
        <v>0</v>
      </c>
      <c r="DJ13" s="1223">
        <f>$G13*AO13*Variables!$B$53*HLOOKUP($DA$2,Variables!$B$60:$F$61,2,FALSE)</f>
        <v>0</v>
      </c>
      <c r="DK13" s="1223">
        <f>$G13*AP13*Variables!$B$53*HLOOKUP($DA$2,Variables!$B$60:$F$61,2,FALSE)</f>
        <v>0</v>
      </c>
      <c r="DL13" s="1225">
        <f>$G13*AQ13*Variables!$B$53*HLOOKUP($DA$2,Variables!$B$60:$F$61,2,FALSE)</f>
        <v>0</v>
      </c>
      <c r="DM13" s="1222">
        <f>$G13*AR13*Variables!$B$53*HLOOKUP($DM$2,Variables!$B$60:$F$61,2,FALSE)</f>
        <v>0</v>
      </c>
      <c r="DN13" s="1223">
        <f>$G13*AS13*Variables!$B$53*HLOOKUP($DM$2,Variables!$B$60:$F$61,2,FALSE)</f>
        <v>0</v>
      </c>
      <c r="DO13" s="1223">
        <f>$G13*AT13*Variables!$B$53*HLOOKUP($DM$2,Variables!$B$60:$F$61,2,FALSE)</f>
        <v>0</v>
      </c>
      <c r="DP13" s="1223">
        <f>$G13*AU13*Variables!$B$53*HLOOKUP($DM$2,Variables!$B$60:$F$61,2,FALSE)</f>
        <v>0</v>
      </c>
      <c r="DQ13" s="1223">
        <f>$G13*AV13*Variables!$B$53*HLOOKUP($DM$2,Variables!$B$60:$F$61,2,FALSE)</f>
        <v>0</v>
      </c>
      <c r="DR13" s="1223">
        <f>$G13*AW13*Variables!$B$53*HLOOKUP($DM$2,Variables!$B$60:$F$61,2,FALSE)</f>
        <v>0</v>
      </c>
      <c r="DS13" s="1223">
        <f>$G13*AX13*Variables!$B$53*HLOOKUP($DM$2,Variables!$B$60:$F$61,2,FALSE)</f>
        <v>0</v>
      </c>
      <c r="DT13" s="1223">
        <f>$G13*AY13*Variables!$B$53*HLOOKUP($DM$2,Variables!$B$60:$F$61,2,FALSE)</f>
        <v>0</v>
      </c>
      <c r="DU13" s="1223">
        <f>$G13*AZ13*Variables!$B$53*HLOOKUP($DM$2,Variables!$B$60:$F$61,2,FALSE)</f>
        <v>0</v>
      </c>
      <c r="DV13" s="1223">
        <f>$G13*BA13*Variables!$B$53*HLOOKUP($DM$2,Variables!$B$60:$F$61,2,FALSE)</f>
        <v>0</v>
      </c>
      <c r="DW13" s="1223">
        <f>$G13*BB13*Variables!$B$53*HLOOKUP($DM$2,Variables!$B$60:$F$61,2,FALSE)</f>
        <v>0</v>
      </c>
      <c r="DX13" s="1225">
        <f>$G13*BC13*Variables!$B$53*HLOOKUP($DM$2,Variables!$B$60:$F$61,2,FALSE)</f>
        <v>0</v>
      </c>
      <c r="DY13" s="1222">
        <f>$G13*BD13*Variables!$B$53*HLOOKUP($DY$2,Variables!$B$60:$F$61,2,FALSE)</f>
        <v>0</v>
      </c>
      <c r="DZ13" s="1223">
        <f>$G13*BE13*Variables!$B$53*HLOOKUP($DY$2,Variables!$B$60:$F$61,2,FALSE)</f>
        <v>0</v>
      </c>
      <c r="EA13" s="1223">
        <f>$G13*BF13*Variables!$B$53*HLOOKUP($DY$2,Variables!$B$60:$F$61,2,FALSE)</f>
        <v>0</v>
      </c>
      <c r="EB13" s="1223">
        <f>$G13*BG13*Variables!$B$53*HLOOKUP($DY$2,Variables!$B$60:$F$61,2,FALSE)</f>
        <v>0</v>
      </c>
      <c r="EC13" s="1223">
        <f>$G13*BH13*Variables!$B$53*HLOOKUP($DY$2,Variables!$B$60:$F$61,2,FALSE)</f>
        <v>0</v>
      </c>
      <c r="ED13" s="1223">
        <f>$G13*BI13*Variables!$B$53*HLOOKUP($DY$2,Variables!$B$60:$F$61,2,FALSE)</f>
        <v>0</v>
      </c>
      <c r="EE13" s="1223">
        <f>$G13*BJ13*Variables!$B$53*HLOOKUP($DY$2,Variables!$B$60:$F$61,2,FALSE)</f>
        <v>0</v>
      </c>
      <c r="EF13" s="1223">
        <f>$G13*BK13*Variables!$B$53*HLOOKUP($DY$2,Variables!$B$60:$F$61,2,FALSE)</f>
        <v>0</v>
      </c>
      <c r="EG13" s="1223">
        <f>$G13*BL13*Variables!$B$53*HLOOKUP($DY$2,Variables!$B$60:$F$61,2,FALSE)</f>
        <v>0</v>
      </c>
      <c r="EH13" s="1223">
        <f>$G13*BM13*Variables!$B$53*HLOOKUP($DY$2,Variables!$B$60:$F$61,2,FALSE)</f>
        <v>0</v>
      </c>
      <c r="EI13" s="1223">
        <f>$G13*BN13*Variables!$B$53*HLOOKUP($DY$2,Variables!$B$60:$F$61,2,FALSE)</f>
        <v>0</v>
      </c>
      <c r="EJ13" s="1225">
        <f>$G13*BO13*Variables!$B$53*HLOOKUP($DY$2,Variables!$B$60:$F$61,2,FALSE)</f>
        <v>0</v>
      </c>
      <c r="EK13" s="1222">
        <f>$G13*BP13*Variables!$B$53*HLOOKUP($EK$2,Variables!$B$60:$F$61,2,FALSE)</f>
        <v>0</v>
      </c>
      <c r="EL13" s="1223">
        <f>$G13*BQ13*Variables!$B$53*HLOOKUP($EK$2,Variables!$B$60:$F$61,2,FALSE)</f>
        <v>0</v>
      </c>
      <c r="EM13" s="1223">
        <f>$G13*BR13*Variables!$B$53*HLOOKUP($EK$2,Variables!$B$60:$F$61,2,FALSE)</f>
        <v>0</v>
      </c>
      <c r="EN13" s="1223">
        <f>$G13*BS13*Variables!$B$53*HLOOKUP($EK$2,Variables!$B$60:$F$61,2,FALSE)</f>
        <v>0</v>
      </c>
      <c r="EO13" s="1223">
        <f>$G13*BT13*Variables!$B$53*HLOOKUP($EK$2,Variables!$B$60:$F$61,2,FALSE)</f>
        <v>0</v>
      </c>
      <c r="EP13" s="1223">
        <f>$G13*BU13*Variables!$B$53*HLOOKUP($EK$2,Variables!$B$60:$F$61,2,FALSE)</f>
        <v>0</v>
      </c>
      <c r="EQ13" s="1223">
        <f>$G13*BV13*Variables!$B$53*HLOOKUP($EK$2,Variables!$B$60:$F$61,2,FALSE)</f>
        <v>0</v>
      </c>
      <c r="ER13" s="1223">
        <f>$G13*BW13*Variables!$B$53*HLOOKUP($EK$2,Variables!$B$60:$F$61,2,FALSE)</f>
        <v>0</v>
      </c>
      <c r="ES13" s="1223">
        <f>$G13*BX13*Variables!$B$53*HLOOKUP($EK$2,Variables!$B$60:$F$61,2,FALSE)</f>
        <v>0</v>
      </c>
      <c r="ET13" s="1223">
        <f>$G13*BY13*Variables!$B$53*HLOOKUP($EK$2,Variables!$B$60:$F$61,2,FALSE)</f>
        <v>0</v>
      </c>
      <c r="EU13" s="1223">
        <f>$G13*BZ13*Variables!$B$53*HLOOKUP($EK$2,Variables!$B$60:$F$61,2,FALSE)</f>
        <v>0</v>
      </c>
      <c r="EV13" s="1225">
        <f>$G13*CA13*Variables!$B$53*HLOOKUP($EK$2,Variables!$B$60:$F$61,2,FALSE)</f>
        <v>0</v>
      </c>
      <c r="EW13" s="872">
        <f t="shared" si="6"/>
        <v>0</v>
      </c>
      <c r="EX13" s="872"/>
      <c r="EY13" s="872"/>
      <c r="EZ13" s="872"/>
      <c r="FA13" s="1332"/>
      <c r="FC13" s="958" t="str">
        <f t="shared" si="3"/>
        <v>Architecture</v>
      </c>
      <c r="FD13" s="959" t="str">
        <f t="shared" si="4"/>
        <v>Architecture_Interfaces</v>
      </c>
      <c r="FE13" s="959" t="s">
        <v>8407</v>
      </c>
      <c r="FF13" s="959" t="str">
        <f>IF(ISNA(VLOOKUP(FC13,Miscellaneous!E:F,2,0)),"",VLOOKUP(FC13,Miscellaneous!E:F,2,0))</f>
        <v>Lisa Pratico</v>
      </c>
      <c r="FG13" s="959" t="str">
        <f t="shared" si="5"/>
        <v>Capex</v>
      </c>
      <c r="FH13" s="996">
        <f>IF($FG13="Opex",SUMIF('Monthly Summary'!$C$75:$N$75,"",CC13:CN13),SUMIF('Monthly Summary'!$C$74:$N$74,"",CC13:CN13))</f>
        <v>0</v>
      </c>
      <c r="FI13" s="996">
        <f>IF($FG13="Opex",SUMIF('Monthly Summary'!$O$75:$Z$75,"",CO13:CZ13),SUMIF('Monthly Summary'!$O$74:$Z$74,"",CO13:CZ13))</f>
        <v>0</v>
      </c>
      <c r="FJ13" s="996">
        <f>IF($FG13="Opex",SUMIF('Monthly Summary'!$AA$75:$AL$75,"",DA13:DL13),SUMIF('Monthly Summary'!$AA$74:$AL$74,"",DA13:DL13))</f>
        <v>0</v>
      </c>
      <c r="FK13" s="996">
        <f>IF($FG13="Opex",SUMIF('Monthly Summary'!$AM$75:$AX$75,"",DM13:DX13),SUMIF('Monthly Summary'!$AM$74:$AX$74,"",DM13:DX13))</f>
        <v>0</v>
      </c>
      <c r="FL13" s="996">
        <f>IF($FG13="Opex",SUMIF('Monthly Summary'!$AY$75:$BJ$75,"",DY13:EJ13),SUMIF('Monthly Summary'!$AY$74:$BJ$74,"",DY13:EJ13))</f>
        <v>0</v>
      </c>
      <c r="FM13" s="997">
        <f>IF($FG13="Opex",SUMIF('Monthly Summary'!$BK$75:$BV$75,"",EK13:EV13),SUMIF('Monthly Summary'!$BK$74:$BV$74,"",EK13:EV13))</f>
        <v>0</v>
      </c>
      <c r="FN13" s="997">
        <f t="shared" si="7"/>
        <v>0</v>
      </c>
    </row>
    <row r="14" spans="1:170">
      <c r="A14" s="753" t="s">
        <v>452</v>
      </c>
      <c r="B14" s="753" t="s">
        <v>8398</v>
      </c>
      <c r="C14" s="757" t="s">
        <v>8515</v>
      </c>
      <c r="D14" s="757" t="s">
        <v>15232</v>
      </c>
      <c r="E14" s="758" t="s">
        <v>198</v>
      </c>
      <c r="F14" s="758" t="s">
        <v>21</v>
      </c>
      <c r="G14" s="758">
        <v>1010</v>
      </c>
      <c r="H14" s="1215"/>
      <c r="I14" s="761"/>
      <c r="J14" s="761"/>
      <c r="K14" s="761"/>
      <c r="L14" s="761"/>
      <c r="M14" s="761"/>
      <c r="N14" s="761"/>
      <c r="O14" s="761"/>
      <c r="P14" s="761"/>
      <c r="Q14" s="761"/>
      <c r="R14" s="761"/>
      <c r="S14" s="1216"/>
      <c r="T14" s="1215"/>
      <c r="U14" s="761"/>
      <c r="V14" s="761"/>
      <c r="W14" s="761"/>
      <c r="X14" s="761"/>
      <c r="Y14" s="761"/>
      <c r="Z14" s="761"/>
      <c r="AA14" s="761"/>
      <c r="AB14" s="761"/>
      <c r="AC14" s="761"/>
      <c r="AD14" s="761"/>
      <c r="AE14" s="1216"/>
      <c r="AF14" s="1215"/>
      <c r="AG14" s="761"/>
      <c r="AH14" s="761"/>
      <c r="AI14" s="761"/>
      <c r="AJ14" s="761"/>
      <c r="AK14" s="761"/>
      <c r="AL14" s="761"/>
      <c r="AM14" s="761"/>
      <c r="AN14" s="761"/>
      <c r="AO14" s="761"/>
      <c r="AP14" s="761"/>
      <c r="AQ14" s="1216"/>
      <c r="AR14" s="1215"/>
      <c r="AS14" s="761"/>
      <c r="AT14" s="761"/>
      <c r="AU14" s="761"/>
      <c r="AV14" s="761"/>
      <c r="AW14" s="761"/>
      <c r="AX14" s="761"/>
      <c r="AY14" s="761"/>
      <c r="AZ14" s="761"/>
      <c r="BA14" s="761"/>
      <c r="BB14" s="761"/>
      <c r="BC14" s="1216"/>
      <c r="BD14" s="1215"/>
      <c r="BE14" s="761"/>
      <c r="BF14" s="761"/>
      <c r="BG14" s="761"/>
      <c r="BH14" s="761"/>
      <c r="BI14" s="761"/>
      <c r="BJ14" s="761"/>
      <c r="BK14" s="761"/>
      <c r="BL14" s="761"/>
      <c r="BM14" s="761"/>
      <c r="BN14" s="761"/>
      <c r="BO14" s="1216"/>
      <c r="BP14" s="1215"/>
      <c r="BQ14" s="761"/>
      <c r="BR14" s="761"/>
      <c r="BS14" s="761"/>
      <c r="BT14" s="761"/>
      <c r="BU14" s="761"/>
      <c r="BV14" s="761"/>
      <c r="BW14" s="761"/>
      <c r="BX14" s="761"/>
      <c r="BY14" s="761"/>
      <c r="BZ14" s="761"/>
      <c r="CA14" s="1216"/>
      <c r="CB14" s="747"/>
      <c r="CC14" s="1222">
        <f>$G14*H14*Variables!$B$53</f>
        <v>0</v>
      </c>
      <c r="CD14" s="1223">
        <f>$G14*I14*Variables!$B$53</f>
        <v>0</v>
      </c>
      <c r="CE14" s="1223">
        <f>$G14*J14*Variables!$B$53</f>
        <v>0</v>
      </c>
      <c r="CF14" s="1223">
        <f>$G14*K14*Variables!$B$53</f>
        <v>0</v>
      </c>
      <c r="CG14" s="1223">
        <f>$G14*L14*Variables!$B$53</f>
        <v>0</v>
      </c>
      <c r="CH14" s="1223">
        <f>$G14*M14*Variables!$B$53</f>
        <v>0</v>
      </c>
      <c r="CI14" s="1223">
        <f>$G14*N14*Variables!$B$53</f>
        <v>0</v>
      </c>
      <c r="CJ14" s="1223">
        <f>$G14*O14*Variables!$B$53</f>
        <v>0</v>
      </c>
      <c r="CK14" s="1223">
        <f>$G14*P14*Variables!$B$53</f>
        <v>0</v>
      </c>
      <c r="CL14" s="1223">
        <f>$G14*Q14*Variables!$B$53</f>
        <v>0</v>
      </c>
      <c r="CM14" s="1223">
        <f>$G14*R14*Variables!$B$53</f>
        <v>0</v>
      </c>
      <c r="CN14" s="1225">
        <f>$G14*S14*Variables!$B$53</f>
        <v>0</v>
      </c>
      <c r="CO14" s="1222">
        <f>$G14*T14*Variables!$B$53*HLOOKUP($CO$2,Variables!$B$60:$F$61,2,FALSE)</f>
        <v>0</v>
      </c>
      <c r="CP14" s="1223">
        <f>$G14*U14*Variables!$B$53*HLOOKUP($CO$2,Variables!$B$60:$F$61,2,FALSE)</f>
        <v>0</v>
      </c>
      <c r="CQ14" s="1223">
        <f>$G14*V14*Variables!$B$53*HLOOKUP($CO$2,Variables!$B$60:$F$61,2,FALSE)</f>
        <v>0</v>
      </c>
      <c r="CR14" s="1223">
        <f>$G14*W14*Variables!$B$53*HLOOKUP($CO$2,Variables!$B$60:$F$61,2,FALSE)</f>
        <v>0</v>
      </c>
      <c r="CS14" s="1223">
        <f>$G14*X14*Variables!$B$53*HLOOKUP($CO$2,Variables!$B$60:$F$61,2,FALSE)</f>
        <v>0</v>
      </c>
      <c r="CT14" s="1223">
        <f>$G14*Y14*Variables!$B$53*HLOOKUP($CO$2,Variables!$B$60:$F$61,2,FALSE)</f>
        <v>0</v>
      </c>
      <c r="CU14" s="1223">
        <f>$G14*Z14*Variables!$B$53*HLOOKUP($CO$2,Variables!$B$60:$F$61,2,FALSE)</f>
        <v>0</v>
      </c>
      <c r="CV14" s="1223">
        <f>$G14*AA14*Variables!$B$53*HLOOKUP($CO$2,Variables!$B$60:$F$61,2,FALSE)</f>
        <v>0</v>
      </c>
      <c r="CW14" s="1223">
        <f>$G14*AB14*Variables!$B$53*HLOOKUP($CO$2,Variables!$B$60:$F$61,2,FALSE)</f>
        <v>0</v>
      </c>
      <c r="CX14" s="1223">
        <f>$G14*AC14*Variables!$B$53*HLOOKUP($CO$2,Variables!$B$60:$F$61,2,FALSE)</f>
        <v>0</v>
      </c>
      <c r="CY14" s="1223">
        <f>$G14*AD14*Variables!$B$53*HLOOKUP($CO$2,Variables!$B$60:$F$61,2,FALSE)</f>
        <v>0</v>
      </c>
      <c r="CZ14" s="1225">
        <f>$G14*AE14*Variables!$B$53*HLOOKUP($CO$2,Variables!$B$60:$F$61,2,FALSE)</f>
        <v>0</v>
      </c>
      <c r="DA14" s="1222">
        <f>$G14*AF14*Variables!$B$53*HLOOKUP($DA$2,Variables!$B$60:$F$61,2,FALSE)</f>
        <v>0</v>
      </c>
      <c r="DB14" s="1223">
        <f>$G14*AG14*Variables!$B$53*HLOOKUP($DA$2,Variables!$B$60:$F$61,2,FALSE)</f>
        <v>0</v>
      </c>
      <c r="DC14" s="1223">
        <f>$G14*AH14*Variables!$B$53*HLOOKUP($DA$2,Variables!$B$60:$F$61,2,FALSE)</f>
        <v>0</v>
      </c>
      <c r="DD14" s="1223">
        <f>$G14*AI14*Variables!$B$53*HLOOKUP($DA$2,Variables!$B$60:$F$61,2,FALSE)</f>
        <v>0</v>
      </c>
      <c r="DE14" s="1223">
        <f>$G14*AJ14*Variables!$B$53*HLOOKUP($DA$2,Variables!$B$60:$F$61,2,FALSE)</f>
        <v>0</v>
      </c>
      <c r="DF14" s="1223">
        <f>$G14*AK14*Variables!$B$53*HLOOKUP($DA$2,Variables!$B$60:$F$61,2,FALSE)</f>
        <v>0</v>
      </c>
      <c r="DG14" s="1223">
        <f>$G14*AL14*Variables!$B$53*HLOOKUP($DA$2,Variables!$B$60:$F$61,2,FALSE)</f>
        <v>0</v>
      </c>
      <c r="DH14" s="1223">
        <f>$G14*AM14*Variables!$B$53*HLOOKUP($DA$2,Variables!$B$60:$F$61,2,FALSE)</f>
        <v>0</v>
      </c>
      <c r="DI14" s="1223">
        <f>$G14*AN14*Variables!$B$53*HLOOKUP($DA$2,Variables!$B$60:$F$61,2,FALSE)</f>
        <v>0</v>
      </c>
      <c r="DJ14" s="1223">
        <f>$G14*AO14*Variables!$B$53*HLOOKUP($DA$2,Variables!$B$60:$F$61,2,FALSE)</f>
        <v>0</v>
      </c>
      <c r="DK14" s="1223">
        <f>$G14*AP14*Variables!$B$53*HLOOKUP($DA$2,Variables!$B$60:$F$61,2,FALSE)</f>
        <v>0</v>
      </c>
      <c r="DL14" s="1225">
        <f>$G14*AQ14*Variables!$B$53*HLOOKUP($DA$2,Variables!$B$60:$F$61,2,FALSE)</f>
        <v>0</v>
      </c>
      <c r="DM14" s="1222">
        <f>$G14*AR14*Variables!$B$53*HLOOKUP($DM$2,Variables!$B$60:$F$61,2,FALSE)</f>
        <v>0</v>
      </c>
      <c r="DN14" s="1223">
        <f>$G14*AS14*Variables!$B$53*HLOOKUP($DM$2,Variables!$B$60:$F$61,2,FALSE)</f>
        <v>0</v>
      </c>
      <c r="DO14" s="1223">
        <f>$G14*AT14*Variables!$B$53*HLOOKUP($DM$2,Variables!$B$60:$F$61,2,FALSE)</f>
        <v>0</v>
      </c>
      <c r="DP14" s="1223">
        <f>$G14*AU14*Variables!$B$53*HLOOKUP($DM$2,Variables!$B$60:$F$61,2,FALSE)</f>
        <v>0</v>
      </c>
      <c r="DQ14" s="1223">
        <f>$G14*AV14*Variables!$B$53*HLOOKUP($DM$2,Variables!$B$60:$F$61,2,FALSE)</f>
        <v>0</v>
      </c>
      <c r="DR14" s="1223">
        <f>$G14*AW14*Variables!$B$53*HLOOKUP($DM$2,Variables!$B$60:$F$61,2,FALSE)</f>
        <v>0</v>
      </c>
      <c r="DS14" s="1223">
        <f>$G14*AX14*Variables!$B$53*HLOOKUP($DM$2,Variables!$B$60:$F$61,2,FALSE)</f>
        <v>0</v>
      </c>
      <c r="DT14" s="1223">
        <f>$G14*AY14*Variables!$B$53*HLOOKUP($DM$2,Variables!$B$60:$F$61,2,FALSE)</f>
        <v>0</v>
      </c>
      <c r="DU14" s="1223">
        <f>$G14*AZ14*Variables!$B$53*HLOOKUP($DM$2,Variables!$B$60:$F$61,2,FALSE)</f>
        <v>0</v>
      </c>
      <c r="DV14" s="1223">
        <f>$G14*BA14*Variables!$B$53*HLOOKUP($DM$2,Variables!$B$60:$F$61,2,FALSE)</f>
        <v>0</v>
      </c>
      <c r="DW14" s="1223">
        <f>$G14*BB14*Variables!$B$53*HLOOKUP($DM$2,Variables!$B$60:$F$61,2,FALSE)</f>
        <v>0</v>
      </c>
      <c r="DX14" s="1225">
        <f>$G14*BC14*Variables!$B$53*HLOOKUP($DM$2,Variables!$B$60:$F$61,2,FALSE)</f>
        <v>0</v>
      </c>
      <c r="DY14" s="1222">
        <f>$G14*BD14*Variables!$B$53*HLOOKUP($DY$2,Variables!$B$60:$F$61,2,FALSE)</f>
        <v>0</v>
      </c>
      <c r="DZ14" s="1223">
        <f>$G14*BE14*Variables!$B$53*HLOOKUP($DY$2,Variables!$B$60:$F$61,2,FALSE)</f>
        <v>0</v>
      </c>
      <c r="EA14" s="1223">
        <f>$G14*BF14*Variables!$B$53*HLOOKUP($DY$2,Variables!$B$60:$F$61,2,FALSE)</f>
        <v>0</v>
      </c>
      <c r="EB14" s="1223">
        <f>$G14*BG14*Variables!$B$53*HLOOKUP($DY$2,Variables!$B$60:$F$61,2,FALSE)</f>
        <v>0</v>
      </c>
      <c r="EC14" s="1223">
        <f>$G14*BH14*Variables!$B$53*HLOOKUP($DY$2,Variables!$B$60:$F$61,2,FALSE)</f>
        <v>0</v>
      </c>
      <c r="ED14" s="1223">
        <f>$G14*BI14*Variables!$B$53*HLOOKUP($DY$2,Variables!$B$60:$F$61,2,FALSE)</f>
        <v>0</v>
      </c>
      <c r="EE14" s="1223">
        <f>$G14*BJ14*Variables!$B$53*HLOOKUP($DY$2,Variables!$B$60:$F$61,2,FALSE)</f>
        <v>0</v>
      </c>
      <c r="EF14" s="1223">
        <f>$G14*BK14*Variables!$B$53*HLOOKUP($DY$2,Variables!$B$60:$F$61,2,FALSE)</f>
        <v>0</v>
      </c>
      <c r="EG14" s="1223">
        <f>$G14*BL14*Variables!$B$53*HLOOKUP($DY$2,Variables!$B$60:$F$61,2,FALSE)</f>
        <v>0</v>
      </c>
      <c r="EH14" s="1223">
        <f>$G14*BM14*Variables!$B$53*HLOOKUP($DY$2,Variables!$B$60:$F$61,2,FALSE)</f>
        <v>0</v>
      </c>
      <c r="EI14" s="1223">
        <f>$G14*BN14*Variables!$B$53*HLOOKUP($DY$2,Variables!$B$60:$F$61,2,FALSE)</f>
        <v>0</v>
      </c>
      <c r="EJ14" s="1225">
        <f>$G14*BO14*Variables!$B$53*HLOOKUP($DY$2,Variables!$B$60:$F$61,2,FALSE)</f>
        <v>0</v>
      </c>
      <c r="EK14" s="1222">
        <f>$G14*BP14*Variables!$B$53*HLOOKUP($EK$2,Variables!$B$60:$F$61,2,FALSE)</f>
        <v>0</v>
      </c>
      <c r="EL14" s="1223">
        <f>$G14*BQ14*Variables!$B$53*HLOOKUP($EK$2,Variables!$B$60:$F$61,2,FALSE)</f>
        <v>0</v>
      </c>
      <c r="EM14" s="1223">
        <f>$G14*BR14*Variables!$B$53*HLOOKUP($EK$2,Variables!$B$60:$F$61,2,FALSE)</f>
        <v>0</v>
      </c>
      <c r="EN14" s="1223">
        <f>$G14*BS14*Variables!$B$53*HLOOKUP($EK$2,Variables!$B$60:$F$61,2,FALSE)</f>
        <v>0</v>
      </c>
      <c r="EO14" s="1223">
        <f>$G14*BT14*Variables!$B$53*HLOOKUP($EK$2,Variables!$B$60:$F$61,2,FALSE)</f>
        <v>0</v>
      </c>
      <c r="EP14" s="1223">
        <f>$G14*BU14*Variables!$B$53*HLOOKUP($EK$2,Variables!$B$60:$F$61,2,FALSE)</f>
        <v>0</v>
      </c>
      <c r="EQ14" s="1223">
        <f>$G14*BV14*Variables!$B$53*HLOOKUP($EK$2,Variables!$B$60:$F$61,2,FALSE)</f>
        <v>0</v>
      </c>
      <c r="ER14" s="1223">
        <f>$G14*BW14*Variables!$B$53*HLOOKUP($EK$2,Variables!$B$60:$F$61,2,FALSE)</f>
        <v>0</v>
      </c>
      <c r="ES14" s="1223">
        <f>$G14*BX14*Variables!$B$53*HLOOKUP($EK$2,Variables!$B$60:$F$61,2,FALSE)</f>
        <v>0</v>
      </c>
      <c r="ET14" s="1223">
        <f>$G14*BY14*Variables!$B$53*HLOOKUP($EK$2,Variables!$B$60:$F$61,2,FALSE)</f>
        <v>0</v>
      </c>
      <c r="EU14" s="1223">
        <f>$G14*BZ14*Variables!$B$53*HLOOKUP($EK$2,Variables!$B$60:$F$61,2,FALSE)</f>
        <v>0</v>
      </c>
      <c r="EV14" s="1225">
        <f>$G14*CA14*Variables!$B$53*HLOOKUP($EK$2,Variables!$B$60:$F$61,2,FALSE)</f>
        <v>0</v>
      </c>
      <c r="EW14" s="872">
        <f t="shared" si="6"/>
        <v>0</v>
      </c>
      <c r="EX14" s="872"/>
      <c r="EY14" s="872"/>
      <c r="EZ14" s="872"/>
      <c r="FA14" s="1332"/>
      <c r="FC14" s="958" t="str">
        <f t="shared" si="3"/>
        <v>AppDevelopment</v>
      </c>
      <c r="FD14" s="959" t="str">
        <f t="shared" si="4"/>
        <v>Pilot_Implementation</v>
      </c>
      <c r="FE14" s="959" t="s">
        <v>8407</v>
      </c>
      <c r="FF14" s="959" t="str">
        <f>IF(ISNA(VLOOKUP(FC14,Miscellaneous!E:F,2,0)),"",VLOOKUP(FC14,Miscellaneous!E:F,2,0))</f>
        <v>Narayan Devireddy</v>
      </c>
      <c r="FG14" s="959" t="str">
        <f t="shared" si="5"/>
        <v>Capex</v>
      </c>
      <c r="FH14" s="996">
        <f>IF($FG14="Opex",SUMIF('Monthly Summary'!$C$75:$N$75,"",CC14:CN14),SUMIF('Monthly Summary'!$C$74:$N$74,"",CC14:CN14))</f>
        <v>0</v>
      </c>
      <c r="FI14" s="996">
        <f>IF($FG14="Opex",SUMIF('Monthly Summary'!$O$75:$Z$75,"",CO14:CZ14),SUMIF('Monthly Summary'!$O$74:$Z$74,"",CO14:CZ14))</f>
        <v>0</v>
      </c>
      <c r="FJ14" s="996">
        <f>IF($FG14="Opex",SUMIF('Monthly Summary'!$AA$75:$AL$75,"",DA14:DL14),SUMIF('Monthly Summary'!$AA$74:$AL$74,"",DA14:DL14))</f>
        <v>0</v>
      </c>
      <c r="FK14" s="996">
        <f>IF($FG14="Opex",SUMIF('Monthly Summary'!$AM$75:$AX$75,"",DM14:DX14),SUMIF('Monthly Summary'!$AM$74:$AX$74,"",DM14:DX14))</f>
        <v>0</v>
      </c>
      <c r="FL14" s="996">
        <f>IF($FG14="Opex",SUMIF('Monthly Summary'!$AY$75:$BJ$75,"",DY14:EJ14),SUMIF('Monthly Summary'!$AY$74:$BJ$74,"",DY14:EJ14))</f>
        <v>0</v>
      </c>
      <c r="FM14" s="997">
        <f>IF($FG14="Opex",SUMIF('Monthly Summary'!$BK$75:$BV$75,"",EK14:EV14),SUMIF('Monthly Summary'!$BK$74:$BV$74,"",EK14:EV14))</f>
        <v>0</v>
      </c>
      <c r="FN14" s="997">
        <f t="shared" si="7"/>
        <v>0</v>
      </c>
    </row>
    <row r="15" spans="1:170">
      <c r="A15" s="753" t="s">
        <v>452</v>
      </c>
      <c r="B15" s="753" t="s">
        <v>8398</v>
      </c>
      <c r="C15" s="757" t="s">
        <v>8827</v>
      </c>
      <c r="D15" s="757" t="s">
        <v>16480</v>
      </c>
      <c r="E15" s="758" t="s">
        <v>198</v>
      </c>
      <c r="F15" s="758" t="s">
        <v>21</v>
      </c>
      <c r="G15" s="758">
        <v>820</v>
      </c>
      <c r="H15" s="1215"/>
      <c r="I15" s="761"/>
      <c r="J15" s="761"/>
      <c r="K15" s="761"/>
      <c r="L15" s="761"/>
      <c r="M15" s="761"/>
      <c r="N15" s="761"/>
      <c r="O15" s="761"/>
      <c r="P15" s="761"/>
      <c r="Q15" s="761"/>
      <c r="R15" s="761"/>
      <c r="S15" s="1216"/>
      <c r="T15" s="1215"/>
      <c r="U15" s="761"/>
      <c r="V15" s="761"/>
      <c r="W15" s="761"/>
      <c r="X15" s="761"/>
      <c r="Y15" s="761"/>
      <c r="Z15" s="761"/>
      <c r="AA15" s="761"/>
      <c r="AB15" s="761"/>
      <c r="AC15" s="761"/>
      <c r="AD15" s="761"/>
      <c r="AE15" s="1216"/>
      <c r="AF15" s="1215"/>
      <c r="AG15" s="761"/>
      <c r="AH15" s="761"/>
      <c r="AI15" s="761"/>
      <c r="AJ15" s="761"/>
      <c r="AK15" s="761"/>
      <c r="AL15" s="761"/>
      <c r="AM15" s="761"/>
      <c r="AN15" s="761"/>
      <c r="AO15" s="761"/>
      <c r="AP15" s="761"/>
      <c r="AQ15" s="1216"/>
      <c r="AR15" s="1215"/>
      <c r="AS15" s="761"/>
      <c r="AT15" s="761"/>
      <c r="AU15" s="761"/>
      <c r="AV15" s="761"/>
      <c r="AW15" s="761"/>
      <c r="AX15" s="761"/>
      <c r="AY15" s="761"/>
      <c r="AZ15" s="761"/>
      <c r="BA15" s="761"/>
      <c r="BB15" s="761"/>
      <c r="BC15" s="1216"/>
      <c r="BD15" s="1215"/>
      <c r="BE15" s="761"/>
      <c r="BF15" s="761"/>
      <c r="BG15" s="761"/>
      <c r="BH15" s="761"/>
      <c r="BI15" s="761"/>
      <c r="BJ15" s="761"/>
      <c r="BK15" s="761"/>
      <c r="BL15" s="761"/>
      <c r="BM15" s="761"/>
      <c r="BN15" s="761"/>
      <c r="BO15" s="1216"/>
      <c r="BP15" s="1215"/>
      <c r="BQ15" s="761"/>
      <c r="BR15" s="761"/>
      <c r="BS15" s="761"/>
      <c r="BT15" s="761"/>
      <c r="BU15" s="761"/>
      <c r="BV15" s="761"/>
      <c r="BW15" s="761"/>
      <c r="BX15" s="761"/>
      <c r="BY15" s="761"/>
      <c r="BZ15" s="761"/>
      <c r="CA15" s="1216"/>
      <c r="CB15" s="747"/>
      <c r="CC15" s="1222">
        <f>$G15*H15*Variables!$B$53</f>
        <v>0</v>
      </c>
      <c r="CD15" s="1223">
        <f>$G15*I15*Variables!$B$53</f>
        <v>0</v>
      </c>
      <c r="CE15" s="1223">
        <f>$G15*J15*Variables!$B$53</f>
        <v>0</v>
      </c>
      <c r="CF15" s="1223">
        <f>$G15*K15*Variables!$B$53</f>
        <v>0</v>
      </c>
      <c r="CG15" s="1223">
        <f>$G15*L15*Variables!$B$53</f>
        <v>0</v>
      </c>
      <c r="CH15" s="1223">
        <f>$G15*M15*Variables!$B$53</f>
        <v>0</v>
      </c>
      <c r="CI15" s="1223">
        <f>$G15*N15*Variables!$B$53</f>
        <v>0</v>
      </c>
      <c r="CJ15" s="1223">
        <f>$G15*O15*Variables!$B$53</f>
        <v>0</v>
      </c>
      <c r="CK15" s="1223">
        <f>$G15*P15*Variables!$B$53</f>
        <v>0</v>
      </c>
      <c r="CL15" s="1223">
        <f>$G15*Q15*Variables!$B$53</f>
        <v>0</v>
      </c>
      <c r="CM15" s="1223">
        <f>$G15*R15*Variables!$B$53</f>
        <v>0</v>
      </c>
      <c r="CN15" s="1225">
        <f>$G15*S15*Variables!$B$53</f>
        <v>0</v>
      </c>
      <c r="CO15" s="1222">
        <f>$G15*T15*Variables!$B$53*HLOOKUP($CO$2,Variables!$B$60:$F$61,2,FALSE)</f>
        <v>0</v>
      </c>
      <c r="CP15" s="1223">
        <f>$G15*U15*Variables!$B$53*HLOOKUP($CO$2,Variables!$B$60:$F$61,2,FALSE)</f>
        <v>0</v>
      </c>
      <c r="CQ15" s="1223">
        <f>$G15*V15*Variables!$B$53*HLOOKUP($CO$2,Variables!$B$60:$F$61,2,FALSE)</f>
        <v>0</v>
      </c>
      <c r="CR15" s="1223">
        <f>$G15*W15*Variables!$B$53*HLOOKUP($CO$2,Variables!$B$60:$F$61,2,FALSE)</f>
        <v>0</v>
      </c>
      <c r="CS15" s="1223">
        <f>$G15*X15*Variables!$B$53*HLOOKUP($CO$2,Variables!$B$60:$F$61,2,FALSE)</f>
        <v>0</v>
      </c>
      <c r="CT15" s="1223">
        <f>$G15*Y15*Variables!$B$53*HLOOKUP($CO$2,Variables!$B$60:$F$61,2,FALSE)</f>
        <v>0</v>
      </c>
      <c r="CU15" s="1223">
        <f>$G15*Z15*Variables!$B$53*HLOOKUP($CO$2,Variables!$B$60:$F$61,2,FALSE)</f>
        <v>0</v>
      </c>
      <c r="CV15" s="1223">
        <f>$G15*AA15*Variables!$B$53*HLOOKUP($CO$2,Variables!$B$60:$F$61,2,FALSE)</f>
        <v>0</v>
      </c>
      <c r="CW15" s="1223">
        <f>$G15*AB15*Variables!$B$53*HLOOKUP($CO$2,Variables!$B$60:$F$61,2,FALSE)</f>
        <v>0</v>
      </c>
      <c r="CX15" s="1223">
        <f>$G15*AC15*Variables!$B$53*HLOOKUP($CO$2,Variables!$B$60:$F$61,2,FALSE)</f>
        <v>0</v>
      </c>
      <c r="CY15" s="1223">
        <f>$G15*AD15*Variables!$B$53*HLOOKUP($CO$2,Variables!$B$60:$F$61,2,FALSE)</f>
        <v>0</v>
      </c>
      <c r="CZ15" s="1225">
        <f>$G15*AE15*Variables!$B$53*HLOOKUP($CO$2,Variables!$B$60:$F$61,2,FALSE)</f>
        <v>0</v>
      </c>
      <c r="DA15" s="1222">
        <f>$G15*AF15*Variables!$B$53*HLOOKUP($DA$2,Variables!$B$60:$F$61,2,FALSE)</f>
        <v>0</v>
      </c>
      <c r="DB15" s="1223">
        <f>$G15*AG15*Variables!$B$53*HLOOKUP($DA$2,Variables!$B$60:$F$61,2,FALSE)</f>
        <v>0</v>
      </c>
      <c r="DC15" s="1223">
        <f>$G15*AH15*Variables!$B$53*HLOOKUP($DA$2,Variables!$B$60:$F$61,2,FALSE)</f>
        <v>0</v>
      </c>
      <c r="DD15" s="1223">
        <f>$G15*AI15*Variables!$B$53*HLOOKUP($DA$2,Variables!$B$60:$F$61,2,FALSE)</f>
        <v>0</v>
      </c>
      <c r="DE15" s="1223">
        <f>$G15*AJ15*Variables!$B$53*HLOOKUP($DA$2,Variables!$B$60:$F$61,2,FALSE)</f>
        <v>0</v>
      </c>
      <c r="DF15" s="1223">
        <f>$G15*AK15*Variables!$B$53*HLOOKUP($DA$2,Variables!$B$60:$F$61,2,FALSE)</f>
        <v>0</v>
      </c>
      <c r="DG15" s="1223">
        <f>$G15*AL15*Variables!$B$53*HLOOKUP($DA$2,Variables!$B$60:$F$61,2,FALSE)</f>
        <v>0</v>
      </c>
      <c r="DH15" s="1223">
        <f>$G15*AM15*Variables!$B$53*HLOOKUP($DA$2,Variables!$B$60:$F$61,2,FALSE)</f>
        <v>0</v>
      </c>
      <c r="DI15" s="1223">
        <f>$G15*AN15*Variables!$B$53*HLOOKUP($DA$2,Variables!$B$60:$F$61,2,FALSE)</f>
        <v>0</v>
      </c>
      <c r="DJ15" s="1223">
        <f>$G15*AO15*Variables!$B$53*HLOOKUP($DA$2,Variables!$B$60:$F$61,2,FALSE)</f>
        <v>0</v>
      </c>
      <c r="DK15" s="1223">
        <f>$G15*AP15*Variables!$B$53*HLOOKUP($DA$2,Variables!$B$60:$F$61,2,FALSE)</f>
        <v>0</v>
      </c>
      <c r="DL15" s="1225">
        <f>$G15*AQ15*Variables!$B$53*HLOOKUP($DA$2,Variables!$B$60:$F$61,2,FALSE)</f>
        <v>0</v>
      </c>
      <c r="DM15" s="1222">
        <f>$G15*AR15*Variables!$B$53*HLOOKUP($DM$2,Variables!$B$60:$F$61,2,FALSE)</f>
        <v>0</v>
      </c>
      <c r="DN15" s="1223">
        <f>$G15*AS15*Variables!$B$53*HLOOKUP($DM$2,Variables!$B$60:$F$61,2,FALSE)</f>
        <v>0</v>
      </c>
      <c r="DO15" s="1223">
        <f>$G15*AT15*Variables!$B$53*HLOOKUP($DM$2,Variables!$B$60:$F$61,2,FALSE)</f>
        <v>0</v>
      </c>
      <c r="DP15" s="1223">
        <f>$G15*AU15*Variables!$B$53*HLOOKUP($DM$2,Variables!$B$60:$F$61,2,FALSE)</f>
        <v>0</v>
      </c>
      <c r="DQ15" s="1223">
        <f>$G15*AV15*Variables!$B$53*HLOOKUP($DM$2,Variables!$B$60:$F$61,2,FALSE)</f>
        <v>0</v>
      </c>
      <c r="DR15" s="1223">
        <f>$G15*AW15*Variables!$B$53*HLOOKUP($DM$2,Variables!$B$60:$F$61,2,FALSE)</f>
        <v>0</v>
      </c>
      <c r="DS15" s="1223">
        <f>$G15*AX15*Variables!$B$53*HLOOKUP($DM$2,Variables!$B$60:$F$61,2,FALSE)</f>
        <v>0</v>
      </c>
      <c r="DT15" s="1223">
        <f>$G15*AY15*Variables!$B$53*HLOOKUP($DM$2,Variables!$B$60:$F$61,2,FALSE)</f>
        <v>0</v>
      </c>
      <c r="DU15" s="1223">
        <f>$G15*AZ15*Variables!$B$53*HLOOKUP($DM$2,Variables!$B$60:$F$61,2,FALSE)</f>
        <v>0</v>
      </c>
      <c r="DV15" s="1223">
        <f>$G15*BA15*Variables!$B$53*HLOOKUP($DM$2,Variables!$B$60:$F$61,2,FALSE)</f>
        <v>0</v>
      </c>
      <c r="DW15" s="1223">
        <f>$G15*BB15*Variables!$B$53*HLOOKUP($DM$2,Variables!$B$60:$F$61,2,FALSE)</f>
        <v>0</v>
      </c>
      <c r="DX15" s="1225">
        <f>$G15*BC15*Variables!$B$53*HLOOKUP($DM$2,Variables!$B$60:$F$61,2,FALSE)</f>
        <v>0</v>
      </c>
      <c r="DY15" s="1222">
        <f>$G15*BD15*Variables!$B$53*HLOOKUP($DY$2,Variables!$B$60:$F$61,2,FALSE)</f>
        <v>0</v>
      </c>
      <c r="DZ15" s="1223">
        <f>$G15*BE15*Variables!$B$53*HLOOKUP($DY$2,Variables!$B$60:$F$61,2,FALSE)</f>
        <v>0</v>
      </c>
      <c r="EA15" s="1223">
        <f>$G15*BF15*Variables!$B$53*HLOOKUP($DY$2,Variables!$B$60:$F$61,2,FALSE)</f>
        <v>0</v>
      </c>
      <c r="EB15" s="1223">
        <f>$G15*BG15*Variables!$B$53*HLOOKUP($DY$2,Variables!$B$60:$F$61,2,FALSE)</f>
        <v>0</v>
      </c>
      <c r="EC15" s="1223">
        <f>$G15*BH15*Variables!$B$53*HLOOKUP($DY$2,Variables!$B$60:$F$61,2,FALSE)</f>
        <v>0</v>
      </c>
      <c r="ED15" s="1223">
        <f>$G15*BI15*Variables!$B$53*HLOOKUP($DY$2,Variables!$B$60:$F$61,2,FALSE)</f>
        <v>0</v>
      </c>
      <c r="EE15" s="1223">
        <f>$G15*BJ15*Variables!$B$53*HLOOKUP($DY$2,Variables!$B$60:$F$61,2,FALSE)</f>
        <v>0</v>
      </c>
      <c r="EF15" s="1223">
        <f>$G15*BK15*Variables!$B$53*HLOOKUP($DY$2,Variables!$B$60:$F$61,2,FALSE)</f>
        <v>0</v>
      </c>
      <c r="EG15" s="1223">
        <f>$G15*BL15*Variables!$B$53*HLOOKUP($DY$2,Variables!$B$60:$F$61,2,FALSE)</f>
        <v>0</v>
      </c>
      <c r="EH15" s="1223">
        <f>$G15*BM15*Variables!$B$53*HLOOKUP($DY$2,Variables!$B$60:$F$61,2,FALSE)</f>
        <v>0</v>
      </c>
      <c r="EI15" s="1223">
        <f>$G15*BN15*Variables!$B$53*HLOOKUP($DY$2,Variables!$B$60:$F$61,2,FALSE)</f>
        <v>0</v>
      </c>
      <c r="EJ15" s="1225">
        <f>$G15*BO15*Variables!$B$53*HLOOKUP($DY$2,Variables!$B$60:$F$61,2,FALSE)</f>
        <v>0</v>
      </c>
      <c r="EK15" s="1222">
        <f>$G15*BP15*Variables!$B$53*HLOOKUP($EK$2,Variables!$B$60:$F$61,2,FALSE)</f>
        <v>0</v>
      </c>
      <c r="EL15" s="1223">
        <f>$G15*BQ15*Variables!$B$53*HLOOKUP($EK$2,Variables!$B$60:$F$61,2,FALSE)</f>
        <v>0</v>
      </c>
      <c r="EM15" s="1223">
        <f>$G15*BR15*Variables!$B$53*HLOOKUP($EK$2,Variables!$B$60:$F$61,2,FALSE)</f>
        <v>0</v>
      </c>
      <c r="EN15" s="1223">
        <f>$G15*BS15*Variables!$B$53*HLOOKUP($EK$2,Variables!$B$60:$F$61,2,FALSE)</f>
        <v>0</v>
      </c>
      <c r="EO15" s="1223">
        <f>$G15*BT15*Variables!$B$53*HLOOKUP($EK$2,Variables!$B$60:$F$61,2,FALSE)</f>
        <v>0</v>
      </c>
      <c r="EP15" s="1223">
        <f>$G15*BU15*Variables!$B$53*HLOOKUP($EK$2,Variables!$B$60:$F$61,2,FALSE)</f>
        <v>0</v>
      </c>
      <c r="EQ15" s="1223">
        <f>$G15*BV15*Variables!$B$53*HLOOKUP($EK$2,Variables!$B$60:$F$61,2,FALSE)</f>
        <v>0</v>
      </c>
      <c r="ER15" s="1223">
        <f>$G15*BW15*Variables!$B$53*HLOOKUP($EK$2,Variables!$B$60:$F$61,2,FALSE)</f>
        <v>0</v>
      </c>
      <c r="ES15" s="1223">
        <f>$G15*BX15*Variables!$B$53*HLOOKUP($EK$2,Variables!$B$60:$F$61,2,FALSE)</f>
        <v>0</v>
      </c>
      <c r="ET15" s="1223">
        <f>$G15*BY15*Variables!$B$53*HLOOKUP($EK$2,Variables!$B$60:$F$61,2,FALSE)</f>
        <v>0</v>
      </c>
      <c r="EU15" s="1223">
        <f>$G15*BZ15*Variables!$B$53*HLOOKUP($EK$2,Variables!$B$60:$F$61,2,FALSE)</f>
        <v>0</v>
      </c>
      <c r="EV15" s="1225">
        <f>$G15*CA15*Variables!$B$53*HLOOKUP($EK$2,Variables!$B$60:$F$61,2,FALSE)</f>
        <v>0</v>
      </c>
      <c r="EW15" s="872">
        <f t="shared" si="6"/>
        <v>0</v>
      </c>
      <c r="EX15" s="872"/>
      <c r="EY15" s="872"/>
      <c r="EZ15" s="872"/>
      <c r="FA15" s="1332"/>
      <c r="FC15" s="958" t="str">
        <f t="shared" si="3"/>
        <v>AppDevelopment</v>
      </c>
      <c r="FD15" s="959" t="str">
        <f t="shared" si="4"/>
        <v>Pilot_Implementation</v>
      </c>
      <c r="FE15" s="959" t="s">
        <v>8407</v>
      </c>
      <c r="FF15" s="959" t="str">
        <f>IF(ISNA(VLOOKUP(FC15,Miscellaneous!E:F,2,0)),"",VLOOKUP(FC15,Miscellaneous!E:F,2,0))</f>
        <v>Narayan Devireddy</v>
      </c>
      <c r="FG15" s="959" t="str">
        <f t="shared" si="5"/>
        <v>Capex</v>
      </c>
      <c r="FH15" s="996">
        <f>IF($FG15="Opex",SUMIF('Monthly Summary'!$C$75:$N$75,"",CC15:CN15),SUMIF('Monthly Summary'!$C$74:$N$74,"",CC15:CN15))</f>
        <v>0</v>
      </c>
      <c r="FI15" s="996">
        <f>IF($FG15="Opex",SUMIF('Monthly Summary'!$O$75:$Z$75,"",CO15:CZ15),SUMIF('Monthly Summary'!$O$74:$Z$74,"",CO15:CZ15))</f>
        <v>0</v>
      </c>
      <c r="FJ15" s="996">
        <f>IF($FG15="Opex",SUMIF('Monthly Summary'!$AA$75:$AL$75,"",DA15:DL15),SUMIF('Monthly Summary'!$AA$74:$AL$74,"",DA15:DL15))</f>
        <v>0</v>
      </c>
      <c r="FK15" s="996">
        <f>IF($FG15="Opex",SUMIF('Monthly Summary'!$AM$75:$AX$75,"",DM15:DX15),SUMIF('Monthly Summary'!$AM$74:$AX$74,"",DM15:DX15))</f>
        <v>0</v>
      </c>
      <c r="FL15" s="996">
        <f>IF($FG15="Opex",SUMIF('Monthly Summary'!$AY$75:$BJ$75,"",DY15:EJ15),SUMIF('Monthly Summary'!$AY$74:$BJ$74,"",DY15:EJ15))</f>
        <v>0</v>
      </c>
      <c r="FM15" s="997">
        <f>IF($FG15="Opex",SUMIF('Monthly Summary'!$BK$75:$BV$75,"",EK15:EV15),SUMIF('Monthly Summary'!$BK$74:$BV$74,"",EK15:EV15))</f>
        <v>0</v>
      </c>
      <c r="FN15" s="997">
        <f t="shared" si="7"/>
        <v>0</v>
      </c>
    </row>
    <row r="16" spans="1:170">
      <c r="A16" s="753" t="s">
        <v>452</v>
      </c>
      <c r="B16" s="753" t="s">
        <v>8402</v>
      </c>
      <c r="C16" s="757" t="s">
        <v>8483</v>
      </c>
      <c r="D16" s="757" t="s">
        <v>16477</v>
      </c>
      <c r="E16" s="758" t="s">
        <v>8507</v>
      </c>
      <c r="F16" s="758" t="s">
        <v>21</v>
      </c>
      <c r="G16" s="758">
        <v>1018</v>
      </c>
      <c r="H16" s="1215"/>
      <c r="I16" s="761"/>
      <c r="J16" s="761"/>
      <c r="K16" s="761"/>
      <c r="L16" s="761"/>
      <c r="M16" s="761"/>
      <c r="N16" s="761"/>
      <c r="O16" s="761"/>
      <c r="P16" s="761"/>
      <c r="Q16" s="761"/>
      <c r="R16" s="761"/>
      <c r="S16" s="1216"/>
      <c r="T16" s="1215"/>
      <c r="U16" s="761"/>
      <c r="V16" s="761"/>
      <c r="W16" s="761"/>
      <c r="X16" s="761"/>
      <c r="Y16" s="761"/>
      <c r="Z16" s="761"/>
      <c r="AA16" s="761"/>
      <c r="AB16" s="761"/>
      <c r="AC16" s="761"/>
      <c r="AD16" s="761"/>
      <c r="AE16" s="1216"/>
      <c r="AF16" s="1215"/>
      <c r="AG16" s="761"/>
      <c r="AH16" s="761"/>
      <c r="AI16" s="761"/>
      <c r="AJ16" s="761"/>
      <c r="AK16" s="761"/>
      <c r="AL16" s="761"/>
      <c r="AM16" s="761"/>
      <c r="AN16" s="761"/>
      <c r="AO16" s="761"/>
      <c r="AP16" s="761"/>
      <c r="AQ16" s="1216"/>
      <c r="AR16" s="1215"/>
      <c r="AS16" s="761"/>
      <c r="AT16" s="761"/>
      <c r="AU16" s="761"/>
      <c r="AV16" s="761"/>
      <c r="AW16" s="761"/>
      <c r="AX16" s="761"/>
      <c r="AY16" s="761"/>
      <c r="AZ16" s="761"/>
      <c r="BA16" s="761"/>
      <c r="BB16" s="761"/>
      <c r="BC16" s="1216"/>
      <c r="BD16" s="1215"/>
      <c r="BE16" s="761"/>
      <c r="BF16" s="761"/>
      <c r="BG16" s="761"/>
      <c r="BH16" s="761"/>
      <c r="BI16" s="761"/>
      <c r="BJ16" s="761"/>
      <c r="BK16" s="761"/>
      <c r="BL16" s="761"/>
      <c r="BM16" s="761"/>
      <c r="BN16" s="761"/>
      <c r="BO16" s="1216"/>
      <c r="BP16" s="1215"/>
      <c r="BQ16" s="761"/>
      <c r="BR16" s="761"/>
      <c r="BS16" s="761"/>
      <c r="BT16" s="761"/>
      <c r="BU16" s="761"/>
      <c r="BV16" s="761"/>
      <c r="BW16" s="761"/>
      <c r="BX16" s="761"/>
      <c r="BY16" s="761"/>
      <c r="BZ16" s="761"/>
      <c r="CA16" s="1216"/>
      <c r="CB16" s="747"/>
      <c r="CC16" s="1222">
        <f>$G16*H16*Variables!$B$53</f>
        <v>0</v>
      </c>
      <c r="CD16" s="1223">
        <f>$G16*I16*Variables!$B$53</f>
        <v>0</v>
      </c>
      <c r="CE16" s="1223">
        <f>$G16*J16*Variables!$B$53</f>
        <v>0</v>
      </c>
      <c r="CF16" s="1223">
        <f>$G16*K16*Variables!$B$53</f>
        <v>0</v>
      </c>
      <c r="CG16" s="1223">
        <f>$G16*L16*Variables!$B$53</f>
        <v>0</v>
      </c>
      <c r="CH16" s="1223">
        <f>$G16*M16*Variables!$B$53</f>
        <v>0</v>
      </c>
      <c r="CI16" s="1223">
        <f>$G16*N16*Variables!$B$53</f>
        <v>0</v>
      </c>
      <c r="CJ16" s="1223">
        <f>$G16*O16*Variables!$B$53</f>
        <v>0</v>
      </c>
      <c r="CK16" s="1223">
        <f>$G16*P16*Variables!$B$53</f>
        <v>0</v>
      </c>
      <c r="CL16" s="1223">
        <f>$G16*Q16*Variables!$B$53</f>
        <v>0</v>
      </c>
      <c r="CM16" s="1223">
        <f>$G16*R16*Variables!$B$53</f>
        <v>0</v>
      </c>
      <c r="CN16" s="1225">
        <f>$G16*S16*Variables!$B$53</f>
        <v>0</v>
      </c>
      <c r="CO16" s="1222">
        <f>$G16*T16*Variables!$B$53*HLOOKUP($CO$2,Variables!$B$60:$F$61,2,FALSE)</f>
        <v>0</v>
      </c>
      <c r="CP16" s="1223">
        <f>$G16*U16*Variables!$B$53*HLOOKUP($CO$2,Variables!$B$60:$F$61,2,FALSE)</f>
        <v>0</v>
      </c>
      <c r="CQ16" s="1223">
        <f>$G16*V16*Variables!$B$53*HLOOKUP($CO$2,Variables!$B$60:$F$61,2,FALSE)</f>
        <v>0</v>
      </c>
      <c r="CR16" s="1223">
        <f>$G16*W16*Variables!$B$53*HLOOKUP($CO$2,Variables!$B$60:$F$61,2,FALSE)</f>
        <v>0</v>
      </c>
      <c r="CS16" s="1223">
        <f>$G16*X16*Variables!$B$53*HLOOKUP($CO$2,Variables!$B$60:$F$61,2,FALSE)</f>
        <v>0</v>
      </c>
      <c r="CT16" s="1223">
        <f>$G16*Y16*Variables!$B$53*HLOOKUP($CO$2,Variables!$B$60:$F$61,2,FALSE)</f>
        <v>0</v>
      </c>
      <c r="CU16" s="1223">
        <f>$G16*Z16*Variables!$B$53*HLOOKUP($CO$2,Variables!$B$60:$F$61,2,FALSE)</f>
        <v>0</v>
      </c>
      <c r="CV16" s="1223">
        <f>$G16*AA16*Variables!$B$53*HLOOKUP($CO$2,Variables!$B$60:$F$61,2,FALSE)</f>
        <v>0</v>
      </c>
      <c r="CW16" s="1223">
        <f>$G16*AB16*Variables!$B$53*HLOOKUP($CO$2,Variables!$B$60:$F$61,2,FALSE)</f>
        <v>0</v>
      </c>
      <c r="CX16" s="1223">
        <f>$G16*AC16*Variables!$B$53*HLOOKUP($CO$2,Variables!$B$60:$F$61,2,FALSE)</f>
        <v>0</v>
      </c>
      <c r="CY16" s="1223">
        <f>$G16*AD16*Variables!$B$53*HLOOKUP($CO$2,Variables!$B$60:$F$61,2,FALSE)</f>
        <v>0</v>
      </c>
      <c r="CZ16" s="1225">
        <f>$G16*AE16*Variables!$B$53*HLOOKUP($CO$2,Variables!$B$60:$F$61,2,FALSE)</f>
        <v>0</v>
      </c>
      <c r="DA16" s="1222">
        <f>$G16*AF16*Variables!$B$53*HLOOKUP($DA$2,Variables!$B$60:$F$61,2,FALSE)</f>
        <v>0</v>
      </c>
      <c r="DB16" s="1223">
        <f>$G16*AG16*Variables!$B$53*HLOOKUP($DA$2,Variables!$B$60:$F$61,2,FALSE)</f>
        <v>0</v>
      </c>
      <c r="DC16" s="1223">
        <f>$G16*AH16*Variables!$B$53*HLOOKUP($DA$2,Variables!$B$60:$F$61,2,FALSE)</f>
        <v>0</v>
      </c>
      <c r="DD16" s="1223">
        <f>$G16*AI16*Variables!$B$53*HLOOKUP($DA$2,Variables!$B$60:$F$61,2,FALSE)</f>
        <v>0</v>
      </c>
      <c r="DE16" s="1223">
        <f>$G16*AJ16*Variables!$B$53*HLOOKUP($DA$2,Variables!$B$60:$F$61,2,FALSE)</f>
        <v>0</v>
      </c>
      <c r="DF16" s="1223">
        <f>$G16*AK16*Variables!$B$53*HLOOKUP($DA$2,Variables!$B$60:$F$61,2,FALSE)</f>
        <v>0</v>
      </c>
      <c r="DG16" s="1223">
        <f>$G16*AL16*Variables!$B$53*HLOOKUP($DA$2,Variables!$B$60:$F$61,2,FALSE)</f>
        <v>0</v>
      </c>
      <c r="DH16" s="1223">
        <f>$G16*AM16*Variables!$B$53*HLOOKUP($DA$2,Variables!$B$60:$F$61,2,FALSE)</f>
        <v>0</v>
      </c>
      <c r="DI16" s="1223">
        <f>$G16*AN16*Variables!$B$53*HLOOKUP($DA$2,Variables!$B$60:$F$61,2,FALSE)</f>
        <v>0</v>
      </c>
      <c r="DJ16" s="1223">
        <f>$G16*AO16*Variables!$B$53*HLOOKUP($DA$2,Variables!$B$60:$F$61,2,FALSE)</f>
        <v>0</v>
      </c>
      <c r="DK16" s="1223">
        <f>$G16*AP16*Variables!$B$53*HLOOKUP($DA$2,Variables!$B$60:$F$61,2,FALSE)</f>
        <v>0</v>
      </c>
      <c r="DL16" s="1225">
        <f>$G16*AQ16*Variables!$B$53*HLOOKUP($DA$2,Variables!$B$60:$F$61,2,FALSE)</f>
        <v>0</v>
      </c>
      <c r="DM16" s="1222">
        <f>$G16*AR16*Variables!$B$53*HLOOKUP($DM$2,Variables!$B$60:$F$61,2,FALSE)</f>
        <v>0</v>
      </c>
      <c r="DN16" s="1223">
        <f>$G16*AS16*Variables!$B$53*HLOOKUP($DM$2,Variables!$B$60:$F$61,2,FALSE)</f>
        <v>0</v>
      </c>
      <c r="DO16" s="1223">
        <f>$G16*AT16*Variables!$B$53*HLOOKUP($DM$2,Variables!$B$60:$F$61,2,FALSE)</f>
        <v>0</v>
      </c>
      <c r="DP16" s="1223">
        <f>$G16*AU16*Variables!$B$53*HLOOKUP($DM$2,Variables!$B$60:$F$61,2,FALSE)</f>
        <v>0</v>
      </c>
      <c r="DQ16" s="1223">
        <f>$G16*AV16*Variables!$B$53*HLOOKUP($DM$2,Variables!$B$60:$F$61,2,FALSE)</f>
        <v>0</v>
      </c>
      <c r="DR16" s="1223">
        <f>$G16*AW16*Variables!$B$53*HLOOKUP($DM$2,Variables!$B$60:$F$61,2,FALSE)</f>
        <v>0</v>
      </c>
      <c r="DS16" s="1223">
        <f>$G16*AX16*Variables!$B$53*HLOOKUP($DM$2,Variables!$B$60:$F$61,2,FALSE)</f>
        <v>0</v>
      </c>
      <c r="DT16" s="1223">
        <f>$G16*AY16*Variables!$B$53*HLOOKUP($DM$2,Variables!$B$60:$F$61,2,FALSE)</f>
        <v>0</v>
      </c>
      <c r="DU16" s="1223">
        <f>$G16*AZ16*Variables!$B$53*HLOOKUP($DM$2,Variables!$B$60:$F$61,2,FALSE)</f>
        <v>0</v>
      </c>
      <c r="DV16" s="1223">
        <f>$G16*BA16*Variables!$B$53*HLOOKUP($DM$2,Variables!$B$60:$F$61,2,FALSE)</f>
        <v>0</v>
      </c>
      <c r="DW16" s="1223">
        <f>$G16*BB16*Variables!$B$53*HLOOKUP($DM$2,Variables!$B$60:$F$61,2,FALSE)</f>
        <v>0</v>
      </c>
      <c r="DX16" s="1225">
        <f>$G16*BC16*Variables!$B$53*HLOOKUP($DM$2,Variables!$B$60:$F$61,2,FALSE)</f>
        <v>0</v>
      </c>
      <c r="DY16" s="1222">
        <f>$G16*BD16*Variables!$B$53*HLOOKUP($DY$2,Variables!$B$60:$F$61,2,FALSE)</f>
        <v>0</v>
      </c>
      <c r="DZ16" s="1223">
        <f>$G16*BE16*Variables!$B$53*HLOOKUP($DY$2,Variables!$B$60:$F$61,2,FALSE)</f>
        <v>0</v>
      </c>
      <c r="EA16" s="1223">
        <f>$G16*BF16*Variables!$B$53*HLOOKUP($DY$2,Variables!$B$60:$F$61,2,FALSE)</f>
        <v>0</v>
      </c>
      <c r="EB16" s="1223">
        <f>$G16*BG16*Variables!$B$53*HLOOKUP($DY$2,Variables!$B$60:$F$61,2,FALSE)</f>
        <v>0</v>
      </c>
      <c r="EC16" s="1223">
        <f>$G16*BH16*Variables!$B$53*HLOOKUP($DY$2,Variables!$B$60:$F$61,2,FALSE)</f>
        <v>0</v>
      </c>
      <c r="ED16" s="1223">
        <f>$G16*BI16*Variables!$B$53*HLOOKUP($DY$2,Variables!$B$60:$F$61,2,FALSE)</f>
        <v>0</v>
      </c>
      <c r="EE16" s="1223">
        <f>$G16*BJ16*Variables!$B$53*HLOOKUP($DY$2,Variables!$B$60:$F$61,2,FALSE)</f>
        <v>0</v>
      </c>
      <c r="EF16" s="1223">
        <f>$G16*BK16*Variables!$B$53*HLOOKUP($DY$2,Variables!$B$60:$F$61,2,FALSE)</f>
        <v>0</v>
      </c>
      <c r="EG16" s="1223">
        <f>$G16*BL16*Variables!$B$53*HLOOKUP($DY$2,Variables!$B$60:$F$61,2,FALSE)</f>
        <v>0</v>
      </c>
      <c r="EH16" s="1223">
        <f>$G16*BM16*Variables!$B$53*HLOOKUP($DY$2,Variables!$B$60:$F$61,2,FALSE)</f>
        <v>0</v>
      </c>
      <c r="EI16" s="1223">
        <f>$G16*BN16*Variables!$B$53*HLOOKUP($DY$2,Variables!$B$60:$F$61,2,FALSE)</f>
        <v>0</v>
      </c>
      <c r="EJ16" s="1225">
        <f>$G16*BO16*Variables!$B$53*HLOOKUP($DY$2,Variables!$B$60:$F$61,2,FALSE)</f>
        <v>0</v>
      </c>
      <c r="EK16" s="1222">
        <f>$G16*BP16*Variables!$B$53*HLOOKUP($EK$2,Variables!$B$60:$F$61,2,FALSE)</f>
        <v>0</v>
      </c>
      <c r="EL16" s="1223">
        <f>$G16*BQ16*Variables!$B$53*HLOOKUP($EK$2,Variables!$B$60:$F$61,2,FALSE)</f>
        <v>0</v>
      </c>
      <c r="EM16" s="1223">
        <f>$G16*BR16*Variables!$B$53*HLOOKUP($EK$2,Variables!$B$60:$F$61,2,FALSE)</f>
        <v>0</v>
      </c>
      <c r="EN16" s="1223">
        <f>$G16*BS16*Variables!$B$53*HLOOKUP($EK$2,Variables!$B$60:$F$61,2,FALSE)</f>
        <v>0</v>
      </c>
      <c r="EO16" s="1223">
        <f>$G16*BT16*Variables!$B$53*HLOOKUP($EK$2,Variables!$B$60:$F$61,2,FALSE)</f>
        <v>0</v>
      </c>
      <c r="EP16" s="1223">
        <f>$G16*BU16*Variables!$B$53*HLOOKUP($EK$2,Variables!$B$60:$F$61,2,FALSE)</f>
        <v>0</v>
      </c>
      <c r="EQ16" s="1223">
        <f>$G16*BV16*Variables!$B$53*HLOOKUP($EK$2,Variables!$B$60:$F$61,2,FALSE)</f>
        <v>0</v>
      </c>
      <c r="ER16" s="1223">
        <f>$G16*BW16*Variables!$B$53*HLOOKUP($EK$2,Variables!$B$60:$F$61,2,FALSE)</f>
        <v>0</v>
      </c>
      <c r="ES16" s="1223">
        <f>$G16*BX16*Variables!$B$53*HLOOKUP($EK$2,Variables!$B$60:$F$61,2,FALSE)</f>
        <v>0</v>
      </c>
      <c r="ET16" s="1223">
        <f>$G16*BY16*Variables!$B$53*HLOOKUP($EK$2,Variables!$B$60:$F$61,2,FALSE)</f>
        <v>0</v>
      </c>
      <c r="EU16" s="1223">
        <f>$G16*BZ16*Variables!$B$53*HLOOKUP($EK$2,Variables!$B$60:$F$61,2,FALSE)</f>
        <v>0</v>
      </c>
      <c r="EV16" s="1225">
        <f>$G16*CA16*Variables!$B$53*HLOOKUP($EK$2,Variables!$B$60:$F$61,2,FALSE)</f>
        <v>0</v>
      </c>
      <c r="EW16" s="872">
        <f t="shared" si="6"/>
        <v>0</v>
      </c>
      <c r="EX16" s="872"/>
      <c r="EY16" s="872"/>
      <c r="EZ16" s="872"/>
      <c r="FA16" s="1332"/>
      <c r="FC16" s="958" t="str">
        <f t="shared" si="3"/>
        <v>AppDevelopment</v>
      </c>
      <c r="FD16" s="959" t="str">
        <f t="shared" si="4"/>
        <v>Development_Testing</v>
      </c>
      <c r="FE16" s="959" t="s">
        <v>8407</v>
      </c>
      <c r="FF16" s="959" t="str">
        <f>IF(ISNA(VLOOKUP(FC16,Miscellaneous!E:F,2,0)),"",VLOOKUP(FC16,Miscellaneous!E:F,2,0))</f>
        <v>Narayan Devireddy</v>
      </c>
      <c r="FG16" s="959" t="str">
        <f t="shared" si="5"/>
        <v>Capex</v>
      </c>
      <c r="FH16" s="996">
        <f>IF($FG16="Opex",SUMIF('Monthly Summary'!$C$75:$N$75,"",CC16:CN16),SUMIF('Monthly Summary'!$C$74:$N$74,"",CC16:CN16))</f>
        <v>0</v>
      </c>
      <c r="FI16" s="996">
        <f>IF($FG16="Opex",SUMIF('Monthly Summary'!$O$75:$Z$75,"",CO16:CZ16),SUMIF('Monthly Summary'!$O$74:$Z$74,"",CO16:CZ16))</f>
        <v>0</v>
      </c>
      <c r="FJ16" s="996">
        <f>IF($FG16="Opex",SUMIF('Monthly Summary'!$AA$75:$AL$75,"",DA16:DL16),SUMIF('Monthly Summary'!$AA$74:$AL$74,"",DA16:DL16))</f>
        <v>0</v>
      </c>
      <c r="FK16" s="996">
        <f>IF($FG16="Opex",SUMIF('Monthly Summary'!$AM$75:$AX$75,"",DM16:DX16),SUMIF('Monthly Summary'!$AM$74:$AX$74,"",DM16:DX16))</f>
        <v>0</v>
      </c>
      <c r="FL16" s="996">
        <f>IF($FG16="Opex",SUMIF('Monthly Summary'!$AY$75:$BJ$75,"",DY16:EJ16),SUMIF('Monthly Summary'!$AY$74:$BJ$74,"",DY16:EJ16))</f>
        <v>0</v>
      </c>
      <c r="FM16" s="997">
        <f>IF($FG16="Opex",SUMIF('Monthly Summary'!$BK$75:$BV$75,"",EK16:EV16),SUMIF('Monthly Summary'!$BK$74:$BV$74,"",EK16:EV16))</f>
        <v>0</v>
      </c>
      <c r="FN16" s="997">
        <f t="shared" si="7"/>
        <v>0</v>
      </c>
    </row>
    <row r="17" spans="1:170">
      <c r="A17" s="753" t="s">
        <v>447</v>
      </c>
      <c r="B17" s="753" t="s">
        <v>8402</v>
      </c>
      <c r="C17" s="757" t="s">
        <v>8483</v>
      </c>
      <c r="D17" s="757" t="s">
        <v>16478</v>
      </c>
      <c r="E17" s="758" t="s">
        <v>8507</v>
      </c>
      <c r="F17" s="758" t="s">
        <v>21</v>
      </c>
      <c r="G17" s="758">
        <v>1018</v>
      </c>
      <c r="H17" s="1215"/>
      <c r="I17" s="761"/>
      <c r="J17" s="761"/>
      <c r="K17" s="761"/>
      <c r="L17" s="761"/>
      <c r="M17" s="761"/>
      <c r="N17" s="761"/>
      <c r="O17" s="761"/>
      <c r="P17" s="761"/>
      <c r="Q17" s="761"/>
      <c r="R17" s="761"/>
      <c r="S17" s="1216"/>
      <c r="T17" s="1215"/>
      <c r="U17" s="761"/>
      <c r="V17" s="761"/>
      <c r="W17" s="761"/>
      <c r="X17" s="761"/>
      <c r="Y17" s="761"/>
      <c r="Z17" s="761"/>
      <c r="AA17" s="761"/>
      <c r="AB17" s="761"/>
      <c r="AC17" s="761"/>
      <c r="AD17" s="761"/>
      <c r="AE17" s="1216"/>
      <c r="AF17" s="1215"/>
      <c r="AG17" s="761"/>
      <c r="AH17" s="761"/>
      <c r="AI17" s="761"/>
      <c r="AJ17" s="761"/>
      <c r="AK17" s="761"/>
      <c r="AL17" s="761"/>
      <c r="AM17" s="761"/>
      <c r="AN17" s="761"/>
      <c r="AO17" s="761"/>
      <c r="AP17" s="761"/>
      <c r="AQ17" s="1216"/>
      <c r="AR17" s="1215"/>
      <c r="AS17" s="761"/>
      <c r="AT17" s="761"/>
      <c r="AU17" s="761"/>
      <c r="AV17" s="761"/>
      <c r="AW17" s="761"/>
      <c r="AX17" s="761"/>
      <c r="AY17" s="761"/>
      <c r="AZ17" s="761"/>
      <c r="BA17" s="761"/>
      <c r="BB17" s="761"/>
      <c r="BC17" s="1216"/>
      <c r="BD17" s="1215"/>
      <c r="BE17" s="761"/>
      <c r="BF17" s="761"/>
      <c r="BG17" s="761"/>
      <c r="BH17" s="761"/>
      <c r="BI17" s="761"/>
      <c r="BJ17" s="761"/>
      <c r="BK17" s="761"/>
      <c r="BL17" s="761"/>
      <c r="BM17" s="761"/>
      <c r="BN17" s="761"/>
      <c r="BO17" s="1216"/>
      <c r="BP17" s="1215"/>
      <c r="BQ17" s="761"/>
      <c r="BR17" s="761"/>
      <c r="BS17" s="761"/>
      <c r="BT17" s="761"/>
      <c r="BU17" s="761"/>
      <c r="BV17" s="761"/>
      <c r="BW17" s="761"/>
      <c r="BX17" s="761"/>
      <c r="BY17" s="761"/>
      <c r="BZ17" s="761"/>
      <c r="CA17" s="1216"/>
      <c r="CB17" s="747"/>
      <c r="CC17" s="1222">
        <f>$G17*H17*Variables!$B$53</f>
        <v>0</v>
      </c>
      <c r="CD17" s="1223">
        <f>$G17*I17*Variables!$B$53</f>
        <v>0</v>
      </c>
      <c r="CE17" s="1223">
        <f>$G17*J17*Variables!$B$53</f>
        <v>0</v>
      </c>
      <c r="CF17" s="1223">
        <f>$G17*K17*Variables!$B$53</f>
        <v>0</v>
      </c>
      <c r="CG17" s="1223">
        <f>$G17*L17*Variables!$B$53</f>
        <v>0</v>
      </c>
      <c r="CH17" s="1223">
        <f>$G17*M17*Variables!$B$53</f>
        <v>0</v>
      </c>
      <c r="CI17" s="1223">
        <f>$G17*N17*Variables!$B$53</f>
        <v>0</v>
      </c>
      <c r="CJ17" s="1223">
        <f>$G17*O17*Variables!$B$53</f>
        <v>0</v>
      </c>
      <c r="CK17" s="1223">
        <f>$G17*P17*Variables!$B$53</f>
        <v>0</v>
      </c>
      <c r="CL17" s="1223">
        <f>$G17*Q17*Variables!$B$53</f>
        <v>0</v>
      </c>
      <c r="CM17" s="1223">
        <f>$G17*R17*Variables!$B$53</f>
        <v>0</v>
      </c>
      <c r="CN17" s="1225">
        <f>$G17*S17*Variables!$B$53</f>
        <v>0</v>
      </c>
      <c r="CO17" s="1222">
        <f>$G17*T17*Variables!$B$53*HLOOKUP($CO$2,Variables!$B$60:$F$61,2,FALSE)</f>
        <v>0</v>
      </c>
      <c r="CP17" s="1223">
        <f>$G17*U17*Variables!$B$53*HLOOKUP($CO$2,Variables!$B$60:$F$61,2,FALSE)</f>
        <v>0</v>
      </c>
      <c r="CQ17" s="1223">
        <f>$G17*V17*Variables!$B$53*HLOOKUP($CO$2,Variables!$B$60:$F$61,2,FALSE)</f>
        <v>0</v>
      </c>
      <c r="CR17" s="1223">
        <f>$G17*W17*Variables!$B$53*HLOOKUP($CO$2,Variables!$B$60:$F$61,2,FALSE)</f>
        <v>0</v>
      </c>
      <c r="CS17" s="1223">
        <f>$G17*X17*Variables!$B$53*HLOOKUP($CO$2,Variables!$B$60:$F$61,2,FALSE)</f>
        <v>0</v>
      </c>
      <c r="CT17" s="1223">
        <f>$G17*Y17*Variables!$B$53*HLOOKUP($CO$2,Variables!$B$60:$F$61,2,FALSE)</f>
        <v>0</v>
      </c>
      <c r="CU17" s="1223">
        <f>$G17*Z17*Variables!$B$53*HLOOKUP($CO$2,Variables!$B$60:$F$61,2,FALSE)</f>
        <v>0</v>
      </c>
      <c r="CV17" s="1223">
        <f>$G17*AA17*Variables!$B$53*HLOOKUP($CO$2,Variables!$B$60:$F$61,2,FALSE)</f>
        <v>0</v>
      </c>
      <c r="CW17" s="1223">
        <f>$G17*AB17*Variables!$B$53*HLOOKUP($CO$2,Variables!$B$60:$F$61,2,FALSE)</f>
        <v>0</v>
      </c>
      <c r="CX17" s="1223">
        <f>$G17*AC17*Variables!$B$53*HLOOKUP($CO$2,Variables!$B$60:$F$61,2,FALSE)</f>
        <v>0</v>
      </c>
      <c r="CY17" s="1223">
        <f>$G17*AD17*Variables!$B$53*HLOOKUP($CO$2,Variables!$B$60:$F$61,2,FALSE)</f>
        <v>0</v>
      </c>
      <c r="CZ17" s="1225">
        <f>$G17*AE17*Variables!$B$53*HLOOKUP($CO$2,Variables!$B$60:$F$61,2,FALSE)</f>
        <v>0</v>
      </c>
      <c r="DA17" s="1222">
        <f>$G17*AF17*Variables!$B$53*HLOOKUP($DA$2,Variables!$B$60:$F$61,2,FALSE)</f>
        <v>0</v>
      </c>
      <c r="DB17" s="1223">
        <f>$G17*AG17*Variables!$B$53*HLOOKUP($DA$2,Variables!$B$60:$F$61,2,FALSE)</f>
        <v>0</v>
      </c>
      <c r="DC17" s="1223">
        <f>$G17*AH17*Variables!$B$53*HLOOKUP($DA$2,Variables!$B$60:$F$61,2,FALSE)</f>
        <v>0</v>
      </c>
      <c r="DD17" s="1223">
        <f>$G17*AI17*Variables!$B$53*HLOOKUP($DA$2,Variables!$B$60:$F$61,2,FALSE)</f>
        <v>0</v>
      </c>
      <c r="DE17" s="1223">
        <f>$G17*AJ17*Variables!$B$53*HLOOKUP($DA$2,Variables!$B$60:$F$61,2,FALSE)</f>
        <v>0</v>
      </c>
      <c r="DF17" s="1223">
        <f>$G17*AK17*Variables!$B$53*HLOOKUP($DA$2,Variables!$B$60:$F$61,2,FALSE)</f>
        <v>0</v>
      </c>
      <c r="DG17" s="1223">
        <f>$G17*AL17*Variables!$B$53*HLOOKUP($DA$2,Variables!$B$60:$F$61,2,FALSE)</f>
        <v>0</v>
      </c>
      <c r="DH17" s="1223">
        <f>$G17*AM17*Variables!$B$53*HLOOKUP($DA$2,Variables!$B$60:$F$61,2,FALSE)</f>
        <v>0</v>
      </c>
      <c r="DI17" s="1223">
        <f>$G17*AN17*Variables!$B$53*HLOOKUP($DA$2,Variables!$B$60:$F$61,2,FALSE)</f>
        <v>0</v>
      </c>
      <c r="DJ17" s="1223">
        <f>$G17*AO17*Variables!$B$53*HLOOKUP($DA$2,Variables!$B$60:$F$61,2,FALSE)</f>
        <v>0</v>
      </c>
      <c r="DK17" s="1223">
        <f>$G17*AP17*Variables!$B$53*HLOOKUP($DA$2,Variables!$B$60:$F$61,2,FALSE)</f>
        <v>0</v>
      </c>
      <c r="DL17" s="1225">
        <f>$G17*AQ17*Variables!$B$53*HLOOKUP($DA$2,Variables!$B$60:$F$61,2,FALSE)</f>
        <v>0</v>
      </c>
      <c r="DM17" s="1222">
        <f>$G17*AR17*Variables!$B$53*HLOOKUP($DM$2,Variables!$B$60:$F$61,2,FALSE)</f>
        <v>0</v>
      </c>
      <c r="DN17" s="1223">
        <f>$G17*AS17*Variables!$B$53*HLOOKUP($DM$2,Variables!$B$60:$F$61,2,FALSE)</f>
        <v>0</v>
      </c>
      <c r="DO17" s="1223">
        <f>$G17*AT17*Variables!$B$53*HLOOKUP($DM$2,Variables!$B$60:$F$61,2,FALSE)</f>
        <v>0</v>
      </c>
      <c r="DP17" s="1223">
        <f>$G17*AU17*Variables!$B$53*HLOOKUP($DM$2,Variables!$B$60:$F$61,2,FALSE)</f>
        <v>0</v>
      </c>
      <c r="DQ17" s="1223">
        <f>$G17*AV17*Variables!$B$53*HLOOKUP($DM$2,Variables!$B$60:$F$61,2,FALSE)</f>
        <v>0</v>
      </c>
      <c r="DR17" s="1223">
        <f>$G17*AW17*Variables!$B$53*HLOOKUP($DM$2,Variables!$B$60:$F$61,2,FALSE)</f>
        <v>0</v>
      </c>
      <c r="DS17" s="1223">
        <f>$G17*AX17*Variables!$B$53*HLOOKUP($DM$2,Variables!$B$60:$F$61,2,FALSE)</f>
        <v>0</v>
      </c>
      <c r="DT17" s="1223">
        <f>$G17*AY17*Variables!$B$53*HLOOKUP($DM$2,Variables!$B$60:$F$61,2,FALSE)</f>
        <v>0</v>
      </c>
      <c r="DU17" s="1223">
        <f>$G17*AZ17*Variables!$B$53*HLOOKUP($DM$2,Variables!$B$60:$F$61,2,FALSE)</f>
        <v>0</v>
      </c>
      <c r="DV17" s="1223">
        <f>$G17*BA17*Variables!$B$53*HLOOKUP($DM$2,Variables!$B$60:$F$61,2,FALSE)</f>
        <v>0</v>
      </c>
      <c r="DW17" s="1223">
        <f>$G17*BB17*Variables!$B$53*HLOOKUP($DM$2,Variables!$B$60:$F$61,2,FALSE)</f>
        <v>0</v>
      </c>
      <c r="DX17" s="1225">
        <f>$G17*BC17*Variables!$B$53*HLOOKUP($DM$2,Variables!$B$60:$F$61,2,FALSE)</f>
        <v>0</v>
      </c>
      <c r="DY17" s="1222">
        <f>$G17*BD17*Variables!$B$53*HLOOKUP($DY$2,Variables!$B$60:$F$61,2,FALSE)</f>
        <v>0</v>
      </c>
      <c r="DZ17" s="1223">
        <f>$G17*BE17*Variables!$B$53*HLOOKUP($DY$2,Variables!$B$60:$F$61,2,FALSE)</f>
        <v>0</v>
      </c>
      <c r="EA17" s="1223">
        <f>$G17*BF17*Variables!$B$53*HLOOKUP($DY$2,Variables!$B$60:$F$61,2,FALSE)</f>
        <v>0</v>
      </c>
      <c r="EB17" s="1223">
        <f>$G17*BG17*Variables!$B$53*HLOOKUP($DY$2,Variables!$B$60:$F$61,2,FALSE)</f>
        <v>0</v>
      </c>
      <c r="EC17" s="1223">
        <f>$G17*BH17*Variables!$B$53*HLOOKUP($DY$2,Variables!$B$60:$F$61,2,FALSE)</f>
        <v>0</v>
      </c>
      <c r="ED17" s="1223">
        <f>$G17*BI17*Variables!$B$53*HLOOKUP($DY$2,Variables!$B$60:$F$61,2,FALSE)</f>
        <v>0</v>
      </c>
      <c r="EE17" s="1223">
        <f>$G17*BJ17*Variables!$B$53*HLOOKUP($DY$2,Variables!$B$60:$F$61,2,FALSE)</f>
        <v>0</v>
      </c>
      <c r="EF17" s="1223">
        <f>$G17*BK17*Variables!$B$53*HLOOKUP($DY$2,Variables!$B$60:$F$61,2,FALSE)</f>
        <v>0</v>
      </c>
      <c r="EG17" s="1223">
        <f>$G17*BL17*Variables!$B$53*HLOOKUP($DY$2,Variables!$B$60:$F$61,2,FALSE)</f>
        <v>0</v>
      </c>
      <c r="EH17" s="1223">
        <f>$G17*BM17*Variables!$B$53*HLOOKUP($DY$2,Variables!$B$60:$F$61,2,FALSE)</f>
        <v>0</v>
      </c>
      <c r="EI17" s="1223">
        <f>$G17*BN17*Variables!$B$53*HLOOKUP($DY$2,Variables!$B$60:$F$61,2,FALSE)</f>
        <v>0</v>
      </c>
      <c r="EJ17" s="1225">
        <f>$G17*BO17*Variables!$B$53*HLOOKUP($DY$2,Variables!$B$60:$F$61,2,FALSE)</f>
        <v>0</v>
      </c>
      <c r="EK17" s="1222">
        <f>$G17*BP17*Variables!$B$53*HLOOKUP($EK$2,Variables!$B$60:$F$61,2,FALSE)</f>
        <v>0</v>
      </c>
      <c r="EL17" s="1223">
        <f>$G17*BQ17*Variables!$B$53*HLOOKUP($EK$2,Variables!$B$60:$F$61,2,FALSE)</f>
        <v>0</v>
      </c>
      <c r="EM17" s="1223">
        <f>$G17*BR17*Variables!$B$53*HLOOKUP($EK$2,Variables!$B$60:$F$61,2,FALSE)</f>
        <v>0</v>
      </c>
      <c r="EN17" s="1223">
        <f>$G17*BS17*Variables!$B$53*HLOOKUP($EK$2,Variables!$B$60:$F$61,2,FALSE)</f>
        <v>0</v>
      </c>
      <c r="EO17" s="1223">
        <f>$G17*BT17*Variables!$B$53*HLOOKUP($EK$2,Variables!$B$60:$F$61,2,FALSE)</f>
        <v>0</v>
      </c>
      <c r="EP17" s="1223">
        <f>$G17*BU17*Variables!$B$53*HLOOKUP($EK$2,Variables!$B$60:$F$61,2,FALSE)</f>
        <v>0</v>
      </c>
      <c r="EQ17" s="1223">
        <f>$G17*BV17*Variables!$B$53*HLOOKUP($EK$2,Variables!$B$60:$F$61,2,FALSE)</f>
        <v>0</v>
      </c>
      <c r="ER17" s="1223">
        <f>$G17*BW17*Variables!$B$53*HLOOKUP($EK$2,Variables!$B$60:$F$61,2,FALSE)</f>
        <v>0</v>
      </c>
      <c r="ES17" s="1223">
        <f>$G17*BX17*Variables!$B$53*HLOOKUP($EK$2,Variables!$B$60:$F$61,2,FALSE)</f>
        <v>0</v>
      </c>
      <c r="ET17" s="1223">
        <f>$G17*BY17*Variables!$B$53*HLOOKUP($EK$2,Variables!$B$60:$F$61,2,FALSE)</f>
        <v>0</v>
      </c>
      <c r="EU17" s="1223">
        <f>$G17*BZ17*Variables!$B$53*HLOOKUP($EK$2,Variables!$B$60:$F$61,2,FALSE)</f>
        <v>0</v>
      </c>
      <c r="EV17" s="1225">
        <f>$G17*CA17*Variables!$B$53*HLOOKUP($EK$2,Variables!$B$60:$F$61,2,FALSE)</f>
        <v>0</v>
      </c>
      <c r="EW17" s="872">
        <f t="shared" si="6"/>
        <v>0</v>
      </c>
      <c r="EX17" s="872"/>
      <c r="EY17" s="872"/>
      <c r="EZ17" s="872"/>
      <c r="FA17" s="1332"/>
      <c r="FC17" s="958" t="str">
        <f t="shared" si="3"/>
        <v>Infra_Operations</v>
      </c>
      <c r="FD17" s="959" t="str">
        <f t="shared" si="4"/>
        <v>Development_Testing</v>
      </c>
      <c r="FE17" s="959" t="s">
        <v>8407</v>
      </c>
      <c r="FF17" s="959" t="str">
        <f>IF(ISNA(VLOOKUP(FC17,Miscellaneous!E:F,2,0)),"",VLOOKUP(FC17,Miscellaneous!E:F,2,0))</f>
        <v>Shannon Soland</v>
      </c>
      <c r="FG17" s="959" t="str">
        <f t="shared" si="5"/>
        <v>Capex</v>
      </c>
      <c r="FH17" s="996">
        <f>IF($FG17="Opex",SUMIF('Monthly Summary'!$C$75:$N$75,"",CC17:CN17),SUMIF('Monthly Summary'!$C$74:$N$74,"",CC17:CN17))</f>
        <v>0</v>
      </c>
      <c r="FI17" s="996">
        <f>IF($FG17="Opex",SUMIF('Monthly Summary'!$O$75:$Z$75,"",CO17:CZ17),SUMIF('Monthly Summary'!$O$74:$Z$74,"",CO17:CZ17))</f>
        <v>0</v>
      </c>
      <c r="FJ17" s="996">
        <f>IF($FG17="Opex",SUMIF('Monthly Summary'!$AA$75:$AL$75,"",DA17:DL17),SUMIF('Monthly Summary'!$AA$74:$AL$74,"",DA17:DL17))</f>
        <v>0</v>
      </c>
      <c r="FK17" s="996">
        <f>IF($FG17="Opex",SUMIF('Monthly Summary'!$AM$75:$AX$75,"",DM17:DX17),SUMIF('Monthly Summary'!$AM$74:$AX$74,"",DM17:DX17))</f>
        <v>0</v>
      </c>
      <c r="FL17" s="996">
        <f>IF($FG17="Opex",SUMIF('Monthly Summary'!$AY$75:$BJ$75,"",DY17:EJ17),SUMIF('Monthly Summary'!$AY$74:$BJ$74,"",DY17:EJ17))</f>
        <v>0</v>
      </c>
      <c r="FM17" s="997">
        <f>IF($FG17="Opex",SUMIF('Monthly Summary'!$BK$75:$BV$75,"",EK17:EV17),SUMIF('Monthly Summary'!$BK$74:$BV$74,"",EK17:EV17))</f>
        <v>0</v>
      </c>
      <c r="FN17" s="997">
        <f t="shared" si="7"/>
        <v>0</v>
      </c>
    </row>
    <row r="18" spans="1:170">
      <c r="A18" s="753" t="s">
        <v>452</v>
      </c>
      <c r="B18" s="753" t="s">
        <v>8402</v>
      </c>
      <c r="C18" s="757" t="s">
        <v>8829</v>
      </c>
      <c r="D18" s="757" t="s">
        <v>16479</v>
      </c>
      <c r="E18" s="758" t="s">
        <v>8507</v>
      </c>
      <c r="F18" s="758" t="s">
        <v>21</v>
      </c>
      <c r="G18" s="758">
        <v>1018</v>
      </c>
      <c r="H18" s="1215"/>
      <c r="I18" s="761"/>
      <c r="J18" s="761"/>
      <c r="K18" s="761"/>
      <c r="L18" s="761"/>
      <c r="M18" s="761"/>
      <c r="N18" s="761"/>
      <c r="O18" s="761"/>
      <c r="P18" s="761"/>
      <c r="Q18" s="761"/>
      <c r="R18" s="761"/>
      <c r="S18" s="1216"/>
      <c r="T18" s="1215"/>
      <c r="U18" s="761"/>
      <c r="V18" s="761"/>
      <c r="W18" s="761"/>
      <c r="X18" s="761"/>
      <c r="Y18" s="761"/>
      <c r="Z18" s="761"/>
      <c r="AA18" s="761"/>
      <c r="AB18" s="761"/>
      <c r="AC18" s="761"/>
      <c r="AD18" s="761"/>
      <c r="AE18" s="1216"/>
      <c r="AF18" s="1215"/>
      <c r="AG18" s="761"/>
      <c r="AH18" s="761"/>
      <c r="AI18" s="761"/>
      <c r="AJ18" s="761"/>
      <c r="AK18" s="761"/>
      <c r="AL18" s="761"/>
      <c r="AM18" s="761"/>
      <c r="AN18" s="761"/>
      <c r="AO18" s="761"/>
      <c r="AP18" s="761"/>
      <c r="AQ18" s="1216"/>
      <c r="AR18" s="1215"/>
      <c r="AS18" s="761"/>
      <c r="AT18" s="761"/>
      <c r="AU18" s="761"/>
      <c r="AV18" s="761"/>
      <c r="AW18" s="761"/>
      <c r="AX18" s="761"/>
      <c r="AY18" s="761"/>
      <c r="AZ18" s="761"/>
      <c r="BA18" s="761"/>
      <c r="BB18" s="761"/>
      <c r="BC18" s="1216"/>
      <c r="BD18" s="1215"/>
      <c r="BE18" s="761"/>
      <c r="BF18" s="761"/>
      <c r="BG18" s="761"/>
      <c r="BH18" s="761"/>
      <c r="BI18" s="761"/>
      <c r="BJ18" s="761"/>
      <c r="BK18" s="761"/>
      <c r="BL18" s="761"/>
      <c r="BM18" s="761"/>
      <c r="BN18" s="761"/>
      <c r="BO18" s="1216"/>
      <c r="BP18" s="1215"/>
      <c r="BQ18" s="761"/>
      <c r="BR18" s="761"/>
      <c r="BS18" s="761"/>
      <c r="BT18" s="761"/>
      <c r="BU18" s="761"/>
      <c r="BV18" s="761"/>
      <c r="BW18" s="761"/>
      <c r="BX18" s="761"/>
      <c r="BY18" s="761"/>
      <c r="BZ18" s="761"/>
      <c r="CA18" s="1216"/>
      <c r="CB18" s="747"/>
      <c r="CC18" s="1222">
        <f>$G18*H18*Variables!$B$53</f>
        <v>0</v>
      </c>
      <c r="CD18" s="1223">
        <f>$G18*I18*Variables!$B$53</f>
        <v>0</v>
      </c>
      <c r="CE18" s="1223">
        <f>$G18*J18*Variables!$B$53</f>
        <v>0</v>
      </c>
      <c r="CF18" s="1223">
        <f>$G18*K18*Variables!$B$53</f>
        <v>0</v>
      </c>
      <c r="CG18" s="1223">
        <f>$G18*L18*Variables!$B$53</f>
        <v>0</v>
      </c>
      <c r="CH18" s="1223">
        <f>$G18*M18*Variables!$B$53</f>
        <v>0</v>
      </c>
      <c r="CI18" s="1223">
        <f>$G18*N18*Variables!$B$53</f>
        <v>0</v>
      </c>
      <c r="CJ18" s="1223">
        <f>$G18*O18*Variables!$B$53</f>
        <v>0</v>
      </c>
      <c r="CK18" s="1223">
        <f>$G18*P18*Variables!$B$53</f>
        <v>0</v>
      </c>
      <c r="CL18" s="1223">
        <f>$G18*Q18*Variables!$B$53</f>
        <v>0</v>
      </c>
      <c r="CM18" s="1223">
        <f>$G18*R18*Variables!$B$53</f>
        <v>0</v>
      </c>
      <c r="CN18" s="1225">
        <f>$G18*S18*Variables!$B$53</f>
        <v>0</v>
      </c>
      <c r="CO18" s="1222">
        <f>$G18*T18*Variables!$B$53*HLOOKUP($CO$2,Variables!$B$60:$F$61,2,FALSE)</f>
        <v>0</v>
      </c>
      <c r="CP18" s="1223">
        <f>$G18*U18*Variables!$B$53*HLOOKUP($CO$2,Variables!$B$60:$F$61,2,FALSE)</f>
        <v>0</v>
      </c>
      <c r="CQ18" s="1223">
        <f>$G18*V18*Variables!$B$53*HLOOKUP($CO$2,Variables!$B$60:$F$61,2,FALSE)</f>
        <v>0</v>
      </c>
      <c r="CR18" s="1223">
        <f>$G18*W18*Variables!$B$53*HLOOKUP($CO$2,Variables!$B$60:$F$61,2,FALSE)</f>
        <v>0</v>
      </c>
      <c r="CS18" s="1223">
        <f>$G18*X18*Variables!$B$53*HLOOKUP($CO$2,Variables!$B$60:$F$61,2,FALSE)</f>
        <v>0</v>
      </c>
      <c r="CT18" s="1223">
        <f>$G18*Y18*Variables!$B$53*HLOOKUP($CO$2,Variables!$B$60:$F$61,2,FALSE)</f>
        <v>0</v>
      </c>
      <c r="CU18" s="1223">
        <f>$G18*Z18*Variables!$B$53*HLOOKUP($CO$2,Variables!$B$60:$F$61,2,FALSE)</f>
        <v>0</v>
      </c>
      <c r="CV18" s="1223">
        <f>$G18*AA18*Variables!$B$53*HLOOKUP($CO$2,Variables!$B$60:$F$61,2,FALSE)</f>
        <v>0</v>
      </c>
      <c r="CW18" s="1223">
        <f>$G18*AB18*Variables!$B$53*HLOOKUP($CO$2,Variables!$B$60:$F$61,2,FALSE)</f>
        <v>0</v>
      </c>
      <c r="CX18" s="1223">
        <f>$G18*AC18*Variables!$B$53*HLOOKUP($CO$2,Variables!$B$60:$F$61,2,FALSE)</f>
        <v>0</v>
      </c>
      <c r="CY18" s="1223">
        <f>$G18*AD18*Variables!$B$53*HLOOKUP($CO$2,Variables!$B$60:$F$61,2,FALSE)</f>
        <v>0</v>
      </c>
      <c r="CZ18" s="1225">
        <f>$G18*AE18*Variables!$B$53*HLOOKUP($CO$2,Variables!$B$60:$F$61,2,FALSE)</f>
        <v>0</v>
      </c>
      <c r="DA18" s="1222">
        <f>$G18*AF18*Variables!$B$53*HLOOKUP($DA$2,Variables!$B$60:$F$61,2,FALSE)</f>
        <v>0</v>
      </c>
      <c r="DB18" s="1223">
        <f>$G18*AG18*Variables!$B$53*HLOOKUP($DA$2,Variables!$B$60:$F$61,2,FALSE)</f>
        <v>0</v>
      </c>
      <c r="DC18" s="1223">
        <f>$G18*AH18*Variables!$B$53*HLOOKUP($DA$2,Variables!$B$60:$F$61,2,FALSE)</f>
        <v>0</v>
      </c>
      <c r="DD18" s="1223">
        <f>$G18*AI18*Variables!$B$53*HLOOKUP($DA$2,Variables!$B$60:$F$61,2,FALSE)</f>
        <v>0</v>
      </c>
      <c r="DE18" s="1223">
        <f>$G18*AJ18*Variables!$B$53*HLOOKUP($DA$2,Variables!$B$60:$F$61,2,FALSE)</f>
        <v>0</v>
      </c>
      <c r="DF18" s="1223">
        <f>$G18*AK18*Variables!$B$53*HLOOKUP($DA$2,Variables!$B$60:$F$61,2,FALSE)</f>
        <v>0</v>
      </c>
      <c r="DG18" s="1223">
        <f>$G18*AL18*Variables!$B$53*HLOOKUP($DA$2,Variables!$B$60:$F$61,2,FALSE)</f>
        <v>0</v>
      </c>
      <c r="DH18" s="1223">
        <f>$G18*AM18*Variables!$B$53*HLOOKUP($DA$2,Variables!$B$60:$F$61,2,FALSE)</f>
        <v>0</v>
      </c>
      <c r="DI18" s="1223">
        <f>$G18*AN18*Variables!$B$53*HLOOKUP($DA$2,Variables!$B$60:$F$61,2,FALSE)</f>
        <v>0</v>
      </c>
      <c r="DJ18" s="1223">
        <f>$G18*AO18*Variables!$B$53*HLOOKUP($DA$2,Variables!$B$60:$F$61,2,FALSE)</f>
        <v>0</v>
      </c>
      <c r="DK18" s="1223">
        <f>$G18*AP18*Variables!$B$53*HLOOKUP($DA$2,Variables!$B$60:$F$61,2,FALSE)</f>
        <v>0</v>
      </c>
      <c r="DL18" s="1225">
        <f>$G18*AQ18*Variables!$B$53*HLOOKUP($DA$2,Variables!$B$60:$F$61,2,FALSE)</f>
        <v>0</v>
      </c>
      <c r="DM18" s="1222">
        <f>$G18*AR18*Variables!$B$53*HLOOKUP($DM$2,Variables!$B$60:$F$61,2,FALSE)</f>
        <v>0</v>
      </c>
      <c r="DN18" s="1223">
        <f>$G18*AS18*Variables!$B$53*HLOOKUP($DM$2,Variables!$B$60:$F$61,2,FALSE)</f>
        <v>0</v>
      </c>
      <c r="DO18" s="1223">
        <f>$G18*AT18*Variables!$B$53*HLOOKUP($DM$2,Variables!$B$60:$F$61,2,FALSE)</f>
        <v>0</v>
      </c>
      <c r="DP18" s="1223">
        <f>$G18*AU18*Variables!$B$53*HLOOKUP($DM$2,Variables!$B$60:$F$61,2,FALSE)</f>
        <v>0</v>
      </c>
      <c r="DQ18" s="1223">
        <f>$G18*AV18*Variables!$B$53*HLOOKUP($DM$2,Variables!$B$60:$F$61,2,FALSE)</f>
        <v>0</v>
      </c>
      <c r="DR18" s="1223">
        <f>$G18*AW18*Variables!$B$53*HLOOKUP($DM$2,Variables!$B$60:$F$61,2,FALSE)</f>
        <v>0</v>
      </c>
      <c r="DS18" s="1223">
        <f>$G18*AX18*Variables!$B$53*HLOOKUP($DM$2,Variables!$B$60:$F$61,2,FALSE)</f>
        <v>0</v>
      </c>
      <c r="DT18" s="1223">
        <f>$G18*AY18*Variables!$B$53*HLOOKUP($DM$2,Variables!$B$60:$F$61,2,FALSE)</f>
        <v>0</v>
      </c>
      <c r="DU18" s="1223">
        <f>$G18*AZ18*Variables!$B$53*HLOOKUP($DM$2,Variables!$B$60:$F$61,2,FALSE)</f>
        <v>0</v>
      </c>
      <c r="DV18" s="1223">
        <f>$G18*BA18*Variables!$B$53*HLOOKUP($DM$2,Variables!$B$60:$F$61,2,FALSE)</f>
        <v>0</v>
      </c>
      <c r="DW18" s="1223">
        <f>$G18*BB18*Variables!$B$53*HLOOKUP($DM$2,Variables!$B$60:$F$61,2,FALSE)</f>
        <v>0</v>
      </c>
      <c r="DX18" s="1225">
        <f>$G18*BC18*Variables!$B$53*HLOOKUP($DM$2,Variables!$B$60:$F$61,2,FALSE)</f>
        <v>0</v>
      </c>
      <c r="DY18" s="1222">
        <f>$G18*BD18*Variables!$B$53*HLOOKUP($DY$2,Variables!$B$60:$F$61,2,FALSE)</f>
        <v>0</v>
      </c>
      <c r="DZ18" s="1223">
        <f>$G18*BE18*Variables!$B$53*HLOOKUP($DY$2,Variables!$B$60:$F$61,2,FALSE)</f>
        <v>0</v>
      </c>
      <c r="EA18" s="1223">
        <f>$G18*BF18*Variables!$B$53*HLOOKUP($DY$2,Variables!$B$60:$F$61,2,FALSE)</f>
        <v>0</v>
      </c>
      <c r="EB18" s="1223">
        <f>$G18*BG18*Variables!$B$53*HLOOKUP($DY$2,Variables!$B$60:$F$61,2,FALSE)</f>
        <v>0</v>
      </c>
      <c r="EC18" s="1223">
        <f>$G18*BH18*Variables!$B$53*HLOOKUP($DY$2,Variables!$B$60:$F$61,2,FALSE)</f>
        <v>0</v>
      </c>
      <c r="ED18" s="1223">
        <f>$G18*BI18*Variables!$B$53*HLOOKUP($DY$2,Variables!$B$60:$F$61,2,FALSE)</f>
        <v>0</v>
      </c>
      <c r="EE18" s="1223">
        <f>$G18*BJ18*Variables!$B$53*HLOOKUP($DY$2,Variables!$B$60:$F$61,2,FALSE)</f>
        <v>0</v>
      </c>
      <c r="EF18" s="1223">
        <f>$G18*BK18*Variables!$B$53*HLOOKUP($DY$2,Variables!$B$60:$F$61,2,FALSE)</f>
        <v>0</v>
      </c>
      <c r="EG18" s="1223">
        <f>$G18*BL18*Variables!$B$53*HLOOKUP($DY$2,Variables!$B$60:$F$61,2,FALSE)</f>
        <v>0</v>
      </c>
      <c r="EH18" s="1223">
        <f>$G18*BM18*Variables!$B$53*HLOOKUP($DY$2,Variables!$B$60:$F$61,2,FALSE)</f>
        <v>0</v>
      </c>
      <c r="EI18" s="1223">
        <f>$G18*BN18*Variables!$B$53*HLOOKUP($DY$2,Variables!$B$60:$F$61,2,FALSE)</f>
        <v>0</v>
      </c>
      <c r="EJ18" s="1225">
        <f>$G18*BO18*Variables!$B$53*HLOOKUP($DY$2,Variables!$B$60:$F$61,2,FALSE)</f>
        <v>0</v>
      </c>
      <c r="EK18" s="1222">
        <f>$G18*BP18*Variables!$B$53*HLOOKUP($EK$2,Variables!$B$60:$F$61,2,FALSE)</f>
        <v>0</v>
      </c>
      <c r="EL18" s="1223">
        <f>$G18*BQ18*Variables!$B$53*HLOOKUP($EK$2,Variables!$B$60:$F$61,2,FALSE)</f>
        <v>0</v>
      </c>
      <c r="EM18" s="1223">
        <f>$G18*BR18*Variables!$B$53*HLOOKUP($EK$2,Variables!$B$60:$F$61,2,FALSE)</f>
        <v>0</v>
      </c>
      <c r="EN18" s="1223">
        <f>$G18*BS18*Variables!$B$53*HLOOKUP($EK$2,Variables!$B$60:$F$61,2,FALSE)</f>
        <v>0</v>
      </c>
      <c r="EO18" s="1223">
        <f>$G18*BT18*Variables!$B$53*HLOOKUP($EK$2,Variables!$B$60:$F$61,2,FALSE)</f>
        <v>0</v>
      </c>
      <c r="EP18" s="1223">
        <f>$G18*BU18*Variables!$B$53*HLOOKUP($EK$2,Variables!$B$60:$F$61,2,FALSE)</f>
        <v>0</v>
      </c>
      <c r="EQ18" s="1223">
        <f>$G18*BV18*Variables!$B$53*HLOOKUP($EK$2,Variables!$B$60:$F$61,2,FALSE)</f>
        <v>0</v>
      </c>
      <c r="ER18" s="1223">
        <f>$G18*BW18*Variables!$B$53*HLOOKUP($EK$2,Variables!$B$60:$F$61,2,FALSE)</f>
        <v>0</v>
      </c>
      <c r="ES18" s="1223">
        <f>$G18*BX18*Variables!$B$53*HLOOKUP($EK$2,Variables!$B$60:$F$61,2,FALSE)</f>
        <v>0</v>
      </c>
      <c r="ET18" s="1223">
        <f>$G18*BY18*Variables!$B$53*HLOOKUP($EK$2,Variables!$B$60:$F$61,2,FALSE)</f>
        <v>0</v>
      </c>
      <c r="EU18" s="1223">
        <f>$G18*BZ18*Variables!$B$53*HLOOKUP($EK$2,Variables!$B$60:$F$61,2,FALSE)</f>
        <v>0</v>
      </c>
      <c r="EV18" s="1225">
        <f>$G18*CA18*Variables!$B$53*HLOOKUP($EK$2,Variables!$B$60:$F$61,2,FALSE)</f>
        <v>0</v>
      </c>
      <c r="EW18" s="872">
        <f t="shared" si="6"/>
        <v>0</v>
      </c>
      <c r="EX18" s="872"/>
      <c r="EY18" s="872"/>
      <c r="EZ18" s="872"/>
      <c r="FA18" s="1332"/>
      <c r="FC18" s="958" t="str">
        <f t="shared" si="3"/>
        <v>AppDevelopment</v>
      </c>
      <c r="FD18" s="959" t="str">
        <f t="shared" si="4"/>
        <v>Development_Testing</v>
      </c>
      <c r="FE18" s="959" t="s">
        <v>8407</v>
      </c>
      <c r="FF18" s="959" t="str">
        <f>IF(ISNA(VLOOKUP(FC18,Miscellaneous!E:F,2,0)),"",VLOOKUP(FC18,Miscellaneous!E:F,2,0))</f>
        <v>Narayan Devireddy</v>
      </c>
      <c r="FG18" s="959" t="str">
        <f t="shared" si="5"/>
        <v>Capex</v>
      </c>
      <c r="FH18" s="996">
        <f>IF($FG18="Opex",SUMIF('Monthly Summary'!$C$75:$N$75,"",CC18:CN18),SUMIF('Monthly Summary'!$C$74:$N$74,"",CC18:CN18))</f>
        <v>0</v>
      </c>
      <c r="FI18" s="996">
        <f>IF($FG18="Opex",SUMIF('Monthly Summary'!$O$75:$Z$75,"",CO18:CZ18),SUMIF('Monthly Summary'!$O$74:$Z$74,"",CO18:CZ18))</f>
        <v>0</v>
      </c>
      <c r="FJ18" s="996">
        <f>IF($FG18="Opex",SUMIF('Monthly Summary'!$AA$75:$AL$75,"",DA18:DL18),SUMIF('Monthly Summary'!$AA$74:$AL$74,"",DA18:DL18))</f>
        <v>0</v>
      </c>
      <c r="FK18" s="996">
        <f>IF($FG18="Opex",SUMIF('Monthly Summary'!$AM$75:$AX$75,"",DM18:DX18),SUMIF('Monthly Summary'!$AM$74:$AX$74,"",DM18:DX18))</f>
        <v>0</v>
      </c>
      <c r="FL18" s="996">
        <f>IF($FG18="Opex",SUMIF('Monthly Summary'!$AY$75:$BJ$75,"",DY18:EJ18),SUMIF('Monthly Summary'!$AY$74:$BJ$74,"",DY18:EJ18))</f>
        <v>0</v>
      </c>
      <c r="FM18" s="997">
        <f>IF($FG18="Opex",SUMIF('Monthly Summary'!$BK$75:$BV$75,"",EK18:EV18),SUMIF('Monthly Summary'!$BK$74:$BV$74,"",EK18:EV18))</f>
        <v>0</v>
      </c>
      <c r="FN18" s="997">
        <f t="shared" si="7"/>
        <v>0</v>
      </c>
    </row>
    <row r="19" spans="1:170">
      <c r="A19" s="753" t="s">
        <v>442</v>
      </c>
      <c r="B19" s="753" t="s">
        <v>8398</v>
      </c>
      <c r="C19" s="757" t="s">
        <v>8836</v>
      </c>
      <c r="D19" s="762" t="s">
        <v>16481</v>
      </c>
      <c r="E19" s="758" t="s">
        <v>8507</v>
      </c>
      <c r="F19" s="758" t="s">
        <v>21</v>
      </c>
      <c r="G19" s="758">
        <v>1215</v>
      </c>
      <c r="H19" s="1215"/>
      <c r="I19" s="761"/>
      <c r="J19" s="761"/>
      <c r="K19" s="761"/>
      <c r="L19" s="761"/>
      <c r="M19" s="761"/>
      <c r="N19" s="761"/>
      <c r="O19" s="761"/>
      <c r="P19" s="761"/>
      <c r="Q19" s="761"/>
      <c r="R19" s="761"/>
      <c r="S19" s="1216"/>
      <c r="T19" s="1215"/>
      <c r="U19" s="761"/>
      <c r="V19" s="761"/>
      <c r="W19" s="761"/>
      <c r="X19" s="761"/>
      <c r="Y19" s="761"/>
      <c r="Z19" s="761"/>
      <c r="AA19" s="761"/>
      <c r="AB19" s="761"/>
      <c r="AC19" s="761"/>
      <c r="AD19" s="761"/>
      <c r="AE19" s="1216"/>
      <c r="AF19" s="1215"/>
      <c r="AG19" s="761"/>
      <c r="AH19" s="761"/>
      <c r="AI19" s="761"/>
      <c r="AJ19" s="761"/>
      <c r="AK19" s="761"/>
      <c r="AL19" s="761"/>
      <c r="AM19" s="761"/>
      <c r="AN19" s="761"/>
      <c r="AO19" s="761"/>
      <c r="AP19" s="761"/>
      <c r="AQ19" s="1216"/>
      <c r="AR19" s="1215"/>
      <c r="AS19" s="761"/>
      <c r="AT19" s="761"/>
      <c r="AU19" s="761"/>
      <c r="AV19" s="761"/>
      <c r="AW19" s="761"/>
      <c r="AX19" s="761"/>
      <c r="AY19" s="761"/>
      <c r="AZ19" s="761"/>
      <c r="BA19" s="761"/>
      <c r="BB19" s="761"/>
      <c r="BC19" s="1216"/>
      <c r="BD19" s="1215"/>
      <c r="BE19" s="761"/>
      <c r="BF19" s="761"/>
      <c r="BG19" s="761"/>
      <c r="BH19" s="761"/>
      <c r="BI19" s="761"/>
      <c r="BJ19" s="761"/>
      <c r="BK19" s="761"/>
      <c r="BL19" s="761"/>
      <c r="BM19" s="761"/>
      <c r="BN19" s="761"/>
      <c r="BO19" s="1216"/>
      <c r="BP19" s="1215"/>
      <c r="BQ19" s="761"/>
      <c r="BR19" s="761"/>
      <c r="BS19" s="761"/>
      <c r="BT19" s="761"/>
      <c r="BU19" s="761"/>
      <c r="BV19" s="761"/>
      <c r="BW19" s="761"/>
      <c r="BX19" s="761"/>
      <c r="BY19" s="761"/>
      <c r="BZ19" s="761"/>
      <c r="CA19" s="1216"/>
      <c r="CB19" s="747"/>
      <c r="CC19" s="1222">
        <f>$G19*H19*Variables!$B$53</f>
        <v>0</v>
      </c>
      <c r="CD19" s="1223">
        <f>$G19*I19*Variables!$B$53</f>
        <v>0</v>
      </c>
      <c r="CE19" s="1223">
        <f>$G19*J19*Variables!$B$53</f>
        <v>0</v>
      </c>
      <c r="CF19" s="1223">
        <f>$G19*K19*Variables!$B$53</f>
        <v>0</v>
      </c>
      <c r="CG19" s="1223">
        <f>$G19*L19*Variables!$B$53</f>
        <v>0</v>
      </c>
      <c r="CH19" s="1223">
        <f>$G19*M19*Variables!$B$53</f>
        <v>0</v>
      </c>
      <c r="CI19" s="1223">
        <f>$G19*N19*Variables!$B$53</f>
        <v>0</v>
      </c>
      <c r="CJ19" s="1223">
        <f>$G19*O19*Variables!$B$53</f>
        <v>0</v>
      </c>
      <c r="CK19" s="1223">
        <f>$G19*P19*Variables!$B$53</f>
        <v>0</v>
      </c>
      <c r="CL19" s="1223">
        <f>$G19*Q19*Variables!$B$53</f>
        <v>0</v>
      </c>
      <c r="CM19" s="1223">
        <f>$G19*R19*Variables!$B$53</f>
        <v>0</v>
      </c>
      <c r="CN19" s="1225">
        <f>$G19*S19*Variables!$B$53</f>
        <v>0</v>
      </c>
      <c r="CO19" s="1222">
        <f>$G19*T19*Variables!$B$53*HLOOKUP($CO$2,Variables!$B$60:$F$61,2,FALSE)</f>
        <v>0</v>
      </c>
      <c r="CP19" s="1223">
        <f>$G19*U19*Variables!$B$53*HLOOKUP($CO$2,Variables!$B$60:$F$61,2,FALSE)</f>
        <v>0</v>
      </c>
      <c r="CQ19" s="1223">
        <f>$G19*V19*Variables!$B$53*HLOOKUP($CO$2,Variables!$B$60:$F$61,2,FALSE)</f>
        <v>0</v>
      </c>
      <c r="CR19" s="1223">
        <f>$G19*W19*Variables!$B$53*HLOOKUP($CO$2,Variables!$B$60:$F$61,2,FALSE)</f>
        <v>0</v>
      </c>
      <c r="CS19" s="1223">
        <f>$G19*X19*Variables!$B$53*HLOOKUP($CO$2,Variables!$B$60:$F$61,2,FALSE)</f>
        <v>0</v>
      </c>
      <c r="CT19" s="1223">
        <f>$G19*Y19*Variables!$B$53*HLOOKUP($CO$2,Variables!$B$60:$F$61,2,FALSE)</f>
        <v>0</v>
      </c>
      <c r="CU19" s="1223">
        <f>$G19*Z19*Variables!$B$53*HLOOKUP($CO$2,Variables!$B$60:$F$61,2,FALSE)</f>
        <v>0</v>
      </c>
      <c r="CV19" s="1223">
        <f>$G19*AA19*Variables!$B$53*HLOOKUP($CO$2,Variables!$B$60:$F$61,2,FALSE)</f>
        <v>0</v>
      </c>
      <c r="CW19" s="1223">
        <f>$G19*AB19*Variables!$B$53*HLOOKUP($CO$2,Variables!$B$60:$F$61,2,FALSE)</f>
        <v>0</v>
      </c>
      <c r="CX19" s="1223">
        <f>$G19*AC19*Variables!$B$53*HLOOKUP($CO$2,Variables!$B$60:$F$61,2,FALSE)</f>
        <v>0</v>
      </c>
      <c r="CY19" s="1223">
        <f>$G19*AD19*Variables!$B$53*HLOOKUP($CO$2,Variables!$B$60:$F$61,2,FALSE)</f>
        <v>0</v>
      </c>
      <c r="CZ19" s="1225">
        <f>$G19*AE19*Variables!$B$53*HLOOKUP($CO$2,Variables!$B$60:$F$61,2,FALSE)</f>
        <v>0</v>
      </c>
      <c r="DA19" s="1222">
        <f>$G19*AF19*Variables!$B$53*HLOOKUP($DA$2,Variables!$B$60:$F$61,2,FALSE)</f>
        <v>0</v>
      </c>
      <c r="DB19" s="1223">
        <f>$G19*AG19*Variables!$B$53*HLOOKUP($DA$2,Variables!$B$60:$F$61,2,FALSE)</f>
        <v>0</v>
      </c>
      <c r="DC19" s="1223">
        <f>$G19*AH19*Variables!$B$53*HLOOKUP($DA$2,Variables!$B$60:$F$61,2,FALSE)</f>
        <v>0</v>
      </c>
      <c r="DD19" s="1223">
        <f>$G19*AI19*Variables!$B$53*HLOOKUP($DA$2,Variables!$B$60:$F$61,2,FALSE)</f>
        <v>0</v>
      </c>
      <c r="DE19" s="1223">
        <f>$G19*AJ19*Variables!$B$53*HLOOKUP($DA$2,Variables!$B$60:$F$61,2,FALSE)</f>
        <v>0</v>
      </c>
      <c r="DF19" s="1223">
        <f>$G19*AK19*Variables!$B$53*HLOOKUP($DA$2,Variables!$B$60:$F$61,2,FALSE)</f>
        <v>0</v>
      </c>
      <c r="DG19" s="1223">
        <f>$G19*AL19*Variables!$B$53*HLOOKUP($DA$2,Variables!$B$60:$F$61,2,FALSE)</f>
        <v>0</v>
      </c>
      <c r="DH19" s="1223">
        <f>$G19*AM19*Variables!$B$53*HLOOKUP($DA$2,Variables!$B$60:$F$61,2,FALSE)</f>
        <v>0</v>
      </c>
      <c r="DI19" s="1223">
        <f>$G19*AN19*Variables!$B$53*HLOOKUP($DA$2,Variables!$B$60:$F$61,2,FALSE)</f>
        <v>0</v>
      </c>
      <c r="DJ19" s="1223">
        <f>$G19*AO19*Variables!$B$53*HLOOKUP($DA$2,Variables!$B$60:$F$61,2,FALSE)</f>
        <v>0</v>
      </c>
      <c r="DK19" s="1223">
        <f>$G19*AP19*Variables!$B$53*HLOOKUP($DA$2,Variables!$B$60:$F$61,2,FALSE)</f>
        <v>0</v>
      </c>
      <c r="DL19" s="1225">
        <f>$G19*AQ19*Variables!$B$53*HLOOKUP($DA$2,Variables!$B$60:$F$61,2,FALSE)</f>
        <v>0</v>
      </c>
      <c r="DM19" s="1222">
        <f>$G19*AR19*Variables!$B$53*HLOOKUP($DM$2,Variables!$B$60:$F$61,2,FALSE)</f>
        <v>0</v>
      </c>
      <c r="DN19" s="1223">
        <f>$G19*AS19*Variables!$B$53*HLOOKUP($DM$2,Variables!$B$60:$F$61,2,FALSE)</f>
        <v>0</v>
      </c>
      <c r="DO19" s="1223">
        <f>$G19*AT19*Variables!$B$53*HLOOKUP($DM$2,Variables!$B$60:$F$61,2,FALSE)</f>
        <v>0</v>
      </c>
      <c r="DP19" s="1223">
        <f>$G19*AU19*Variables!$B$53*HLOOKUP($DM$2,Variables!$B$60:$F$61,2,FALSE)</f>
        <v>0</v>
      </c>
      <c r="DQ19" s="1223">
        <f>$G19*AV19*Variables!$B$53*HLOOKUP($DM$2,Variables!$B$60:$F$61,2,FALSE)</f>
        <v>0</v>
      </c>
      <c r="DR19" s="1223">
        <f>$G19*AW19*Variables!$B$53*HLOOKUP($DM$2,Variables!$B$60:$F$61,2,FALSE)</f>
        <v>0</v>
      </c>
      <c r="DS19" s="1223">
        <f>$G19*AX19*Variables!$B$53*HLOOKUP($DM$2,Variables!$B$60:$F$61,2,FALSE)</f>
        <v>0</v>
      </c>
      <c r="DT19" s="1223">
        <f>$G19*AY19*Variables!$B$53*HLOOKUP($DM$2,Variables!$B$60:$F$61,2,FALSE)</f>
        <v>0</v>
      </c>
      <c r="DU19" s="1223">
        <f>$G19*AZ19*Variables!$B$53*HLOOKUP($DM$2,Variables!$B$60:$F$61,2,FALSE)</f>
        <v>0</v>
      </c>
      <c r="DV19" s="1223">
        <f>$G19*BA19*Variables!$B$53*HLOOKUP($DM$2,Variables!$B$60:$F$61,2,FALSE)</f>
        <v>0</v>
      </c>
      <c r="DW19" s="1223">
        <f>$G19*BB19*Variables!$B$53*HLOOKUP($DM$2,Variables!$B$60:$F$61,2,FALSE)</f>
        <v>0</v>
      </c>
      <c r="DX19" s="1225">
        <f>$G19*BC19*Variables!$B$53*HLOOKUP($DM$2,Variables!$B$60:$F$61,2,FALSE)</f>
        <v>0</v>
      </c>
      <c r="DY19" s="1222">
        <f>$G19*BD19*Variables!$B$53*HLOOKUP($DY$2,Variables!$B$60:$F$61,2,FALSE)</f>
        <v>0</v>
      </c>
      <c r="DZ19" s="1223">
        <f>$G19*BE19*Variables!$B$53*HLOOKUP($DY$2,Variables!$B$60:$F$61,2,FALSE)</f>
        <v>0</v>
      </c>
      <c r="EA19" s="1223">
        <f>$G19*BF19*Variables!$B$53*HLOOKUP($DY$2,Variables!$B$60:$F$61,2,FALSE)</f>
        <v>0</v>
      </c>
      <c r="EB19" s="1223">
        <f>$G19*BG19*Variables!$B$53*HLOOKUP($DY$2,Variables!$B$60:$F$61,2,FALSE)</f>
        <v>0</v>
      </c>
      <c r="EC19" s="1223">
        <f>$G19*BH19*Variables!$B$53*HLOOKUP($DY$2,Variables!$B$60:$F$61,2,FALSE)</f>
        <v>0</v>
      </c>
      <c r="ED19" s="1223">
        <f>$G19*BI19*Variables!$B$53*HLOOKUP($DY$2,Variables!$B$60:$F$61,2,FALSE)</f>
        <v>0</v>
      </c>
      <c r="EE19" s="1223">
        <f>$G19*BJ19*Variables!$B$53*HLOOKUP($DY$2,Variables!$B$60:$F$61,2,FALSE)</f>
        <v>0</v>
      </c>
      <c r="EF19" s="1223">
        <f>$G19*BK19*Variables!$B$53*HLOOKUP($DY$2,Variables!$B$60:$F$61,2,FALSE)</f>
        <v>0</v>
      </c>
      <c r="EG19" s="1223">
        <f>$G19*BL19*Variables!$B$53*HLOOKUP($DY$2,Variables!$B$60:$F$61,2,FALSE)</f>
        <v>0</v>
      </c>
      <c r="EH19" s="1223">
        <f>$G19*BM19*Variables!$B$53*HLOOKUP($DY$2,Variables!$B$60:$F$61,2,FALSE)</f>
        <v>0</v>
      </c>
      <c r="EI19" s="1223">
        <f>$G19*BN19*Variables!$B$53*HLOOKUP($DY$2,Variables!$B$60:$F$61,2,FALSE)</f>
        <v>0</v>
      </c>
      <c r="EJ19" s="1225">
        <f>$G19*BO19*Variables!$B$53*HLOOKUP($DY$2,Variables!$B$60:$F$61,2,FALSE)</f>
        <v>0</v>
      </c>
      <c r="EK19" s="1222">
        <f>$G19*BP19*Variables!$B$53*HLOOKUP($EK$2,Variables!$B$60:$F$61,2,FALSE)</f>
        <v>0</v>
      </c>
      <c r="EL19" s="1223">
        <f>$G19*BQ19*Variables!$B$53*HLOOKUP($EK$2,Variables!$B$60:$F$61,2,FALSE)</f>
        <v>0</v>
      </c>
      <c r="EM19" s="1223">
        <f>$G19*BR19*Variables!$B$53*HLOOKUP($EK$2,Variables!$B$60:$F$61,2,FALSE)</f>
        <v>0</v>
      </c>
      <c r="EN19" s="1223">
        <f>$G19*BS19*Variables!$B$53*HLOOKUP($EK$2,Variables!$B$60:$F$61,2,FALSE)</f>
        <v>0</v>
      </c>
      <c r="EO19" s="1223">
        <f>$G19*BT19*Variables!$B$53*HLOOKUP($EK$2,Variables!$B$60:$F$61,2,FALSE)</f>
        <v>0</v>
      </c>
      <c r="EP19" s="1223">
        <f>$G19*BU19*Variables!$B$53*HLOOKUP($EK$2,Variables!$B$60:$F$61,2,FALSE)</f>
        <v>0</v>
      </c>
      <c r="EQ19" s="1223">
        <f>$G19*BV19*Variables!$B$53*HLOOKUP($EK$2,Variables!$B$60:$F$61,2,FALSE)</f>
        <v>0</v>
      </c>
      <c r="ER19" s="1223">
        <f>$G19*BW19*Variables!$B$53*HLOOKUP($EK$2,Variables!$B$60:$F$61,2,FALSE)</f>
        <v>0</v>
      </c>
      <c r="ES19" s="1223">
        <f>$G19*BX19*Variables!$B$53*HLOOKUP($EK$2,Variables!$B$60:$F$61,2,FALSE)</f>
        <v>0</v>
      </c>
      <c r="ET19" s="1223">
        <f>$G19*BY19*Variables!$B$53*HLOOKUP($EK$2,Variables!$B$60:$F$61,2,FALSE)</f>
        <v>0</v>
      </c>
      <c r="EU19" s="1223">
        <f>$G19*BZ19*Variables!$B$53*HLOOKUP($EK$2,Variables!$B$60:$F$61,2,FALSE)</f>
        <v>0</v>
      </c>
      <c r="EV19" s="1225">
        <f>$G19*CA19*Variables!$B$53*HLOOKUP($EK$2,Variables!$B$60:$F$61,2,FALSE)</f>
        <v>0</v>
      </c>
      <c r="EW19" s="872">
        <f t="shared" si="6"/>
        <v>0</v>
      </c>
      <c r="EX19" s="872"/>
      <c r="EY19" s="872"/>
      <c r="EZ19" s="872"/>
      <c r="FA19" s="1332"/>
      <c r="FC19" s="958" t="str">
        <f t="shared" si="3"/>
        <v>Security</v>
      </c>
      <c r="FD19" s="959" t="str">
        <f t="shared" si="4"/>
        <v>Pilot_Implementation</v>
      </c>
      <c r="FE19" s="959" t="s">
        <v>8407</v>
      </c>
      <c r="FF19" s="959" t="str">
        <f>IF(ISNA(VLOOKUP(FC19,Miscellaneous!E:F,2,0)),"",VLOOKUP(FC19,Miscellaneous!E:F,2,0))</f>
        <v xml:space="preserve">Simon Jenner </v>
      </c>
      <c r="FG19" s="959" t="str">
        <f t="shared" si="5"/>
        <v>Capex</v>
      </c>
      <c r="FH19" s="996">
        <f>IF($FG19="Opex",SUMIF('Monthly Summary'!$C$75:$N$75,"",CC19:CN19),SUMIF('Monthly Summary'!$C$74:$N$74,"",CC19:CN19))</f>
        <v>0</v>
      </c>
      <c r="FI19" s="996">
        <f>IF($FG19="Opex",SUMIF('Monthly Summary'!$O$75:$Z$75,"",CO19:CZ19),SUMIF('Monthly Summary'!$O$74:$Z$74,"",CO19:CZ19))</f>
        <v>0</v>
      </c>
      <c r="FJ19" s="996">
        <f>IF($FG19="Opex",SUMIF('Monthly Summary'!$AA$75:$AL$75,"",DA19:DL19),SUMIF('Monthly Summary'!$AA$74:$AL$74,"",DA19:DL19))</f>
        <v>0</v>
      </c>
      <c r="FK19" s="996">
        <f>IF($FG19="Opex",SUMIF('Monthly Summary'!$AM$75:$AX$75,"",DM19:DX19),SUMIF('Monthly Summary'!$AM$74:$AX$74,"",DM19:DX19))</f>
        <v>0</v>
      </c>
      <c r="FL19" s="996">
        <f>IF($FG19="Opex",SUMIF('Monthly Summary'!$AY$75:$BJ$75,"",DY19:EJ19),SUMIF('Monthly Summary'!$AY$74:$BJ$74,"",DY19:EJ19))</f>
        <v>0</v>
      </c>
      <c r="FM19" s="997">
        <f>IF($FG19="Opex",SUMIF('Monthly Summary'!$BK$75:$BV$75,"",EK19:EV19),SUMIF('Monthly Summary'!$BK$74:$BV$74,"",EK19:EV19))</f>
        <v>0</v>
      </c>
      <c r="FN19" s="997">
        <f t="shared" si="7"/>
        <v>0</v>
      </c>
    </row>
    <row r="20" spans="1:170">
      <c r="A20" s="753" t="s">
        <v>452</v>
      </c>
      <c r="B20" s="753" t="s">
        <v>8402</v>
      </c>
      <c r="C20" s="757" t="s">
        <v>8825</v>
      </c>
      <c r="D20" s="757" t="s">
        <v>15232</v>
      </c>
      <c r="E20" s="758" t="s">
        <v>8507</v>
      </c>
      <c r="F20" s="758" t="s">
        <v>21</v>
      </c>
      <c r="G20" s="758">
        <v>806</v>
      </c>
      <c r="H20" s="1215"/>
      <c r="I20" s="761"/>
      <c r="J20" s="761"/>
      <c r="K20" s="761"/>
      <c r="L20" s="761"/>
      <c r="M20" s="761"/>
      <c r="N20" s="761"/>
      <c r="O20" s="761"/>
      <c r="P20" s="761"/>
      <c r="Q20" s="761"/>
      <c r="R20" s="761"/>
      <c r="S20" s="1216"/>
      <c r="T20" s="1215"/>
      <c r="U20" s="761"/>
      <c r="V20" s="761"/>
      <c r="W20" s="761"/>
      <c r="X20" s="761"/>
      <c r="Y20" s="761"/>
      <c r="Z20" s="761"/>
      <c r="AA20" s="761"/>
      <c r="AB20" s="761"/>
      <c r="AC20" s="761"/>
      <c r="AD20" s="761"/>
      <c r="AE20" s="1216"/>
      <c r="AF20" s="1215"/>
      <c r="AG20" s="761"/>
      <c r="AH20" s="761"/>
      <c r="AI20" s="761"/>
      <c r="AJ20" s="761"/>
      <c r="AK20" s="761"/>
      <c r="AL20" s="761"/>
      <c r="AM20" s="761"/>
      <c r="AN20" s="761"/>
      <c r="AO20" s="761"/>
      <c r="AP20" s="761"/>
      <c r="AQ20" s="1216"/>
      <c r="AR20" s="1215"/>
      <c r="AS20" s="761"/>
      <c r="AT20" s="761"/>
      <c r="AU20" s="761"/>
      <c r="AV20" s="761"/>
      <c r="AW20" s="761"/>
      <c r="AX20" s="761"/>
      <c r="AY20" s="761"/>
      <c r="AZ20" s="761"/>
      <c r="BA20" s="761"/>
      <c r="BB20" s="761"/>
      <c r="BC20" s="1216"/>
      <c r="BD20" s="1215"/>
      <c r="BE20" s="761"/>
      <c r="BF20" s="761"/>
      <c r="BG20" s="761"/>
      <c r="BH20" s="761"/>
      <c r="BI20" s="761"/>
      <c r="BJ20" s="761"/>
      <c r="BK20" s="761"/>
      <c r="BL20" s="761"/>
      <c r="BM20" s="761"/>
      <c r="BN20" s="761"/>
      <c r="BO20" s="1216"/>
      <c r="BP20" s="1215"/>
      <c r="BQ20" s="761"/>
      <c r="BR20" s="761"/>
      <c r="BS20" s="761"/>
      <c r="BT20" s="761"/>
      <c r="BU20" s="761"/>
      <c r="BV20" s="761"/>
      <c r="BW20" s="761"/>
      <c r="BX20" s="761"/>
      <c r="BY20" s="761"/>
      <c r="BZ20" s="761"/>
      <c r="CA20" s="1216"/>
      <c r="CB20" s="747"/>
      <c r="CC20" s="1222">
        <f>$G20*H20*Variables!$B$53</f>
        <v>0</v>
      </c>
      <c r="CD20" s="1223">
        <f>$G20*I20*Variables!$B$53</f>
        <v>0</v>
      </c>
      <c r="CE20" s="1223">
        <f>$G20*J20*Variables!$B$53</f>
        <v>0</v>
      </c>
      <c r="CF20" s="1223">
        <f>$G20*K20*Variables!$B$53</f>
        <v>0</v>
      </c>
      <c r="CG20" s="1223">
        <f>$G20*L20*Variables!$B$53</f>
        <v>0</v>
      </c>
      <c r="CH20" s="1223">
        <f>$G20*M20*Variables!$B$53</f>
        <v>0</v>
      </c>
      <c r="CI20" s="1223">
        <f>$G20*N20*Variables!$B$53</f>
        <v>0</v>
      </c>
      <c r="CJ20" s="1223">
        <f>$G20*O20*Variables!$B$53</f>
        <v>0</v>
      </c>
      <c r="CK20" s="1223">
        <f>$G20*P20*Variables!$B$53</f>
        <v>0</v>
      </c>
      <c r="CL20" s="1223">
        <f>$G20*Q20*Variables!$B$53</f>
        <v>0</v>
      </c>
      <c r="CM20" s="1223">
        <f>$G20*R20*Variables!$B$53</f>
        <v>0</v>
      </c>
      <c r="CN20" s="1225">
        <f>$G20*S20*Variables!$B$53</f>
        <v>0</v>
      </c>
      <c r="CO20" s="1222">
        <f>$G20*T20*Variables!$B$53*HLOOKUP($CO$2,Variables!$B$60:$F$61,2,FALSE)</f>
        <v>0</v>
      </c>
      <c r="CP20" s="1223">
        <f>$G20*U20*Variables!$B$53*HLOOKUP($CO$2,Variables!$B$60:$F$61,2,FALSE)</f>
        <v>0</v>
      </c>
      <c r="CQ20" s="1223">
        <f>$G20*V20*Variables!$B$53*HLOOKUP($CO$2,Variables!$B$60:$F$61,2,FALSE)</f>
        <v>0</v>
      </c>
      <c r="CR20" s="1223">
        <f>$G20*W20*Variables!$B$53*HLOOKUP($CO$2,Variables!$B$60:$F$61,2,FALSE)</f>
        <v>0</v>
      </c>
      <c r="CS20" s="1223">
        <f>$G20*X20*Variables!$B$53*HLOOKUP($CO$2,Variables!$B$60:$F$61,2,FALSE)</f>
        <v>0</v>
      </c>
      <c r="CT20" s="1223">
        <f>$G20*Y20*Variables!$B$53*HLOOKUP($CO$2,Variables!$B$60:$F$61,2,FALSE)</f>
        <v>0</v>
      </c>
      <c r="CU20" s="1223">
        <f>$G20*Z20*Variables!$B$53*HLOOKUP($CO$2,Variables!$B$60:$F$61,2,FALSE)</f>
        <v>0</v>
      </c>
      <c r="CV20" s="1223">
        <f>$G20*AA20*Variables!$B$53*HLOOKUP($CO$2,Variables!$B$60:$F$61,2,FALSE)</f>
        <v>0</v>
      </c>
      <c r="CW20" s="1223">
        <f>$G20*AB20*Variables!$B$53*HLOOKUP($CO$2,Variables!$B$60:$F$61,2,FALSE)</f>
        <v>0</v>
      </c>
      <c r="CX20" s="1223">
        <f>$G20*AC20*Variables!$B$53*HLOOKUP($CO$2,Variables!$B$60:$F$61,2,FALSE)</f>
        <v>0</v>
      </c>
      <c r="CY20" s="1223">
        <f>$G20*AD20*Variables!$B$53*HLOOKUP($CO$2,Variables!$B$60:$F$61,2,FALSE)</f>
        <v>0</v>
      </c>
      <c r="CZ20" s="1225">
        <f>$G20*AE20*Variables!$B$53*HLOOKUP($CO$2,Variables!$B$60:$F$61,2,FALSE)</f>
        <v>0</v>
      </c>
      <c r="DA20" s="1222">
        <f>$G20*AF20*Variables!$B$53*HLOOKUP($DA$2,Variables!$B$60:$F$61,2,FALSE)</f>
        <v>0</v>
      </c>
      <c r="DB20" s="1223">
        <f>$G20*AG20*Variables!$B$53*HLOOKUP($DA$2,Variables!$B$60:$F$61,2,FALSE)</f>
        <v>0</v>
      </c>
      <c r="DC20" s="1223">
        <f>$G20*AH20*Variables!$B$53*HLOOKUP($DA$2,Variables!$B$60:$F$61,2,FALSE)</f>
        <v>0</v>
      </c>
      <c r="DD20" s="1223">
        <f>$G20*AI20*Variables!$B$53*HLOOKUP($DA$2,Variables!$B$60:$F$61,2,FALSE)</f>
        <v>0</v>
      </c>
      <c r="DE20" s="1223">
        <f>$G20*AJ20*Variables!$B$53*HLOOKUP($DA$2,Variables!$B$60:$F$61,2,FALSE)</f>
        <v>0</v>
      </c>
      <c r="DF20" s="1223">
        <f>$G20*AK20*Variables!$B$53*HLOOKUP($DA$2,Variables!$B$60:$F$61,2,FALSE)</f>
        <v>0</v>
      </c>
      <c r="DG20" s="1223">
        <f>$G20*AL20*Variables!$B$53*HLOOKUP($DA$2,Variables!$B$60:$F$61,2,FALSE)</f>
        <v>0</v>
      </c>
      <c r="DH20" s="1223">
        <f>$G20*AM20*Variables!$B$53*HLOOKUP($DA$2,Variables!$B$60:$F$61,2,FALSE)</f>
        <v>0</v>
      </c>
      <c r="DI20" s="1223">
        <f>$G20*AN20*Variables!$B$53*HLOOKUP($DA$2,Variables!$B$60:$F$61,2,FALSE)</f>
        <v>0</v>
      </c>
      <c r="DJ20" s="1223">
        <f>$G20*AO20*Variables!$B$53*HLOOKUP($DA$2,Variables!$B$60:$F$61,2,FALSE)</f>
        <v>0</v>
      </c>
      <c r="DK20" s="1223">
        <f>$G20*AP20*Variables!$B$53*HLOOKUP($DA$2,Variables!$B$60:$F$61,2,FALSE)</f>
        <v>0</v>
      </c>
      <c r="DL20" s="1225">
        <f>$G20*AQ20*Variables!$B$53*HLOOKUP($DA$2,Variables!$B$60:$F$61,2,FALSE)</f>
        <v>0</v>
      </c>
      <c r="DM20" s="1222">
        <f>$G20*AR20*Variables!$B$53*HLOOKUP($DM$2,Variables!$B$60:$F$61,2,FALSE)</f>
        <v>0</v>
      </c>
      <c r="DN20" s="1223">
        <f>$G20*AS20*Variables!$B$53*HLOOKUP($DM$2,Variables!$B$60:$F$61,2,FALSE)</f>
        <v>0</v>
      </c>
      <c r="DO20" s="1223">
        <f>$G20*AT20*Variables!$B$53*HLOOKUP($DM$2,Variables!$B$60:$F$61,2,FALSE)</f>
        <v>0</v>
      </c>
      <c r="DP20" s="1223">
        <f>$G20*AU20*Variables!$B$53*HLOOKUP($DM$2,Variables!$B$60:$F$61,2,FALSE)</f>
        <v>0</v>
      </c>
      <c r="DQ20" s="1223">
        <f>$G20*AV20*Variables!$B$53*HLOOKUP($DM$2,Variables!$B$60:$F$61,2,FALSE)</f>
        <v>0</v>
      </c>
      <c r="DR20" s="1223">
        <f>$G20*AW20*Variables!$B$53*HLOOKUP($DM$2,Variables!$B$60:$F$61,2,FALSE)</f>
        <v>0</v>
      </c>
      <c r="DS20" s="1223">
        <f>$G20*AX20*Variables!$B$53*HLOOKUP($DM$2,Variables!$B$60:$F$61,2,FALSE)</f>
        <v>0</v>
      </c>
      <c r="DT20" s="1223">
        <f>$G20*AY20*Variables!$B$53*HLOOKUP($DM$2,Variables!$B$60:$F$61,2,FALSE)</f>
        <v>0</v>
      </c>
      <c r="DU20" s="1223">
        <f>$G20*AZ20*Variables!$B$53*HLOOKUP($DM$2,Variables!$B$60:$F$61,2,FALSE)</f>
        <v>0</v>
      </c>
      <c r="DV20" s="1223">
        <f>$G20*BA20*Variables!$B$53*HLOOKUP($DM$2,Variables!$B$60:$F$61,2,FALSE)</f>
        <v>0</v>
      </c>
      <c r="DW20" s="1223">
        <f>$G20*BB20*Variables!$B$53*HLOOKUP($DM$2,Variables!$B$60:$F$61,2,FALSE)</f>
        <v>0</v>
      </c>
      <c r="DX20" s="1225">
        <f>$G20*BC20*Variables!$B$53*HLOOKUP($DM$2,Variables!$B$60:$F$61,2,FALSE)</f>
        <v>0</v>
      </c>
      <c r="DY20" s="1222">
        <f>$G20*BD20*Variables!$B$53*HLOOKUP($DY$2,Variables!$B$60:$F$61,2,FALSE)</f>
        <v>0</v>
      </c>
      <c r="DZ20" s="1223">
        <f>$G20*BE20*Variables!$B$53*HLOOKUP($DY$2,Variables!$B$60:$F$61,2,FALSE)</f>
        <v>0</v>
      </c>
      <c r="EA20" s="1223">
        <f>$G20*BF20*Variables!$B$53*HLOOKUP($DY$2,Variables!$B$60:$F$61,2,FALSE)</f>
        <v>0</v>
      </c>
      <c r="EB20" s="1223">
        <f>$G20*BG20*Variables!$B$53*HLOOKUP($DY$2,Variables!$B$60:$F$61,2,FALSE)</f>
        <v>0</v>
      </c>
      <c r="EC20" s="1223">
        <f>$G20*BH20*Variables!$B$53*HLOOKUP($DY$2,Variables!$B$60:$F$61,2,FALSE)</f>
        <v>0</v>
      </c>
      <c r="ED20" s="1223">
        <f>$G20*BI20*Variables!$B$53*HLOOKUP($DY$2,Variables!$B$60:$F$61,2,FALSE)</f>
        <v>0</v>
      </c>
      <c r="EE20" s="1223">
        <f>$G20*BJ20*Variables!$B$53*HLOOKUP($DY$2,Variables!$B$60:$F$61,2,FALSE)</f>
        <v>0</v>
      </c>
      <c r="EF20" s="1223">
        <f>$G20*BK20*Variables!$B$53*HLOOKUP($DY$2,Variables!$B$60:$F$61,2,FALSE)</f>
        <v>0</v>
      </c>
      <c r="EG20" s="1223">
        <f>$G20*BL20*Variables!$B$53*HLOOKUP($DY$2,Variables!$B$60:$F$61,2,FALSE)</f>
        <v>0</v>
      </c>
      <c r="EH20" s="1223">
        <f>$G20*BM20*Variables!$B$53*HLOOKUP($DY$2,Variables!$B$60:$F$61,2,FALSE)</f>
        <v>0</v>
      </c>
      <c r="EI20" s="1223">
        <f>$G20*BN20*Variables!$B$53*HLOOKUP($DY$2,Variables!$B$60:$F$61,2,FALSE)</f>
        <v>0</v>
      </c>
      <c r="EJ20" s="1225">
        <f>$G20*BO20*Variables!$B$53*HLOOKUP($DY$2,Variables!$B$60:$F$61,2,FALSE)</f>
        <v>0</v>
      </c>
      <c r="EK20" s="1222">
        <f>$G20*BP20*Variables!$B$53*HLOOKUP($EK$2,Variables!$B$60:$F$61,2,FALSE)</f>
        <v>0</v>
      </c>
      <c r="EL20" s="1223">
        <f>$G20*BQ20*Variables!$B$53*HLOOKUP($EK$2,Variables!$B$60:$F$61,2,FALSE)</f>
        <v>0</v>
      </c>
      <c r="EM20" s="1223">
        <f>$G20*BR20*Variables!$B$53*HLOOKUP($EK$2,Variables!$B$60:$F$61,2,FALSE)</f>
        <v>0</v>
      </c>
      <c r="EN20" s="1223">
        <f>$G20*BS20*Variables!$B$53*HLOOKUP($EK$2,Variables!$B$60:$F$61,2,FALSE)</f>
        <v>0</v>
      </c>
      <c r="EO20" s="1223">
        <f>$G20*BT20*Variables!$B$53*HLOOKUP($EK$2,Variables!$B$60:$F$61,2,FALSE)</f>
        <v>0</v>
      </c>
      <c r="EP20" s="1223">
        <f>$G20*BU20*Variables!$B$53*HLOOKUP($EK$2,Variables!$B$60:$F$61,2,FALSE)</f>
        <v>0</v>
      </c>
      <c r="EQ20" s="1223">
        <f>$G20*BV20*Variables!$B$53*HLOOKUP($EK$2,Variables!$B$60:$F$61,2,FALSE)</f>
        <v>0</v>
      </c>
      <c r="ER20" s="1223">
        <f>$G20*BW20*Variables!$B$53*HLOOKUP($EK$2,Variables!$B$60:$F$61,2,FALSE)</f>
        <v>0</v>
      </c>
      <c r="ES20" s="1223">
        <f>$G20*BX20*Variables!$B$53*HLOOKUP($EK$2,Variables!$B$60:$F$61,2,FALSE)</f>
        <v>0</v>
      </c>
      <c r="ET20" s="1223">
        <f>$G20*BY20*Variables!$B$53*HLOOKUP($EK$2,Variables!$B$60:$F$61,2,FALSE)</f>
        <v>0</v>
      </c>
      <c r="EU20" s="1223">
        <f>$G20*BZ20*Variables!$B$53*HLOOKUP($EK$2,Variables!$B$60:$F$61,2,FALSE)</f>
        <v>0</v>
      </c>
      <c r="EV20" s="1225">
        <f>$G20*CA20*Variables!$B$53*HLOOKUP($EK$2,Variables!$B$60:$F$61,2,FALSE)</f>
        <v>0</v>
      </c>
      <c r="EW20" s="872">
        <f t="shared" si="6"/>
        <v>0</v>
      </c>
      <c r="EX20" s="872"/>
      <c r="EY20" s="872"/>
      <c r="EZ20" s="872"/>
      <c r="FA20" s="1332"/>
      <c r="FC20" s="958" t="str">
        <f t="shared" si="3"/>
        <v>AppDevelopment</v>
      </c>
      <c r="FD20" s="959" t="str">
        <f t="shared" si="4"/>
        <v>Development_Testing</v>
      </c>
      <c r="FE20" s="959" t="s">
        <v>8407</v>
      </c>
      <c r="FF20" s="959" t="str">
        <f>IF(ISNA(VLOOKUP(FC20,Miscellaneous!E:F,2,0)),"",VLOOKUP(FC20,Miscellaneous!E:F,2,0))</f>
        <v>Narayan Devireddy</v>
      </c>
      <c r="FG20" s="959" t="str">
        <f t="shared" si="5"/>
        <v>Capex</v>
      </c>
      <c r="FH20" s="996">
        <f>IF($FG20="Opex",SUMIF('Monthly Summary'!$C$75:$N$75,"",CC20:CN20),SUMIF('Monthly Summary'!$C$74:$N$74,"",CC20:CN20))</f>
        <v>0</v>
      </c>
      <c r="FI20" s="996">
        <f>IF($FG20="Opex",SUMIF('Monthly Summary'!$O$75:$Z$75,"",CO20:CZ20),SUMIF('Monthly Summary'!$O$74:$Z$74,"",CO20:CZ20))</f>
        <v>0</v>
      </c>
      <c r="FJ20" s="996">
        <f>IF($FG20="Opex",SUMIF('Monthly Summary'!$AA$75:$AL$75,"",DA20:DL20),SUMIF('Monthly Summary'!$AA$74:$AL$74,"",DA20:DL20))</f>
        <v>0</v>
      </c>
      <c r="FK20" s="996">
        <f>IF($FG20="Opex",SUMIF('Monthly Summary'!$AM$75:$AX$75,"",DM20:DX20),SUMIF('Monthly Summary'!$AM$74:$AX$74,"",DM20:DX20))</f>
        <v>0</v>
      </c>
      <c r="FL20" s="996">
        <f>IF($FG20="Opex",SUMIF('Monthly Summary'!$AY$75:$BJ$75,"",DY20:EJ20),SUMIF('Monthly Summary'!$AY$74:$BJ$74,"",DY20:EJ20))</f>
        <v>0</v>
      </c>
      <c r="FM20" s="997">
        <f>IF($FG20="Opex",SUMIF('Monthly Summary'!$BK$75:$BV$75,"",EK20:EV20),SUMIF('Monthly Summary'!$BK$74:$BV$74,"",EK20:EV20))</f>
        <v>0</v>
      </c>
      <c r="FN20" s="997">
        <f t="shared" si="7"/>
        <v>0</v>
      </c>
    </row>
    <row r="21" spans="1:170">
      <c r="A21" s="753" t="s">
        <v>447</v>
      </c>
      <c r="B21" s="753" t="s">
        <v>8398</v>
      </c>
      <c r="C21" s="757" t="s">
        <v>8486</v>
      </c>
      <c r="D21" s="757" t="s">
        <v>15232</v>
      </c>
      <c r="E21" s="758" t="s">
        <v>8507</v>
      </c>
      <c r="F21" s="758" t="s">
        <v>21</v>
      </c>
      <c r="G21" s="758">
        <v>806</v>
      </c>
      <c r="H21" s="1215"/>
      <c r="I21" s="761"/>
      <c r="J21" s="761"/>
      <c r="K21" s="761"/>
      <c r="L21" s="761"/>
      <c r="M21" s="761"/>
      <c r="N21" s="761"/>
      <c r="O21" s="761"/>
      <c r="P21" s="761"/>
      <c r="Q21" s="761"/>
      <c r="R21" s="761"/>
      <c r="S21" s="1216"/>
      <c r="T21" s="1215"/>
      <c r="U21" s="761"/>
      <c r="V21" s="761"/>
      <c r="W21" s="761"/>
      <c r="X21" s="761"/>
      <c r="Y21" s="761"/>
      <c r="Z21" s="761"/>
      <c r="AA21" s="761"/>
      <c r="AB21" s="761"/>
      <c r="AC21" s="761"/>
      <c r="AD21" s="761"/>
      <c r="AE21" s="1216"/>
      <c r="AF21" s="1215"/>
      <c r="AG21" s="761"/>
      <c r="AH21" s="761"/>
      <c r="AI21" s="761"/>
      <c r="AJ21" s="761"/>
      <c r="AK21" s="761"/>
      <c r="AL21" s="761"/>
      <c r="AM21" s="761"/>
      <c r="AN21" s="761"/>
      <c r="AO21" s="761"/>
      <c r="AP21" s="761"/>
      <c r="AQ21" s="1216"/>
      <c r="AR21" s="1215"/>
      <c r="AS21" s="761"/>
      <c r="AT21" s="761"/>
      <c r="AU21" s="761"/>
      <c r="AV21" s="761"/>
      <c r="AW21" s="761"/>
      <c r="AX21" s="761"/>
      <c r="AY21" s="761"/>
      <c r="AZ21" s="761"/>
      <c r="BA21" s="761"/>
      <c r="BB21" s="761"/>
      <c r="BC21" s="1216"/>
      <c r="BD21" s="1215"/>
      <c r="BE21" s="761"/>
      <c r="BF21" s="761"/>
      <c r="BG21" s="761"/>
      <c r="BH21" s="761"/>
      <c r="BI21" s="761"/>
      <c r="BJ21" s="761"/>
      <c r="BK21" s="761"/>
      <c r="BL21" s="761"/>
      <c r="BM21" s="761"/>
      <c r="BN21" s="761"/>
      <c r="BO21" s="1216"/>
      <c r="BP21" s="1215"/>
      <c r="BQ21" s="761"/>
      <c r="BR21" s="761"/>
      <c r="BS21" s="761"/>
      <c r="BT21" s="761"/>
      <c r="BU21" s="761"/>
      <c r="BV21" s="761"/>
      <c r="BW21" s="761"/>
      <c r="BX21" s="761"/>
      <c r="BY21" s="761"/>
      <c r="BZ21" s="761"/>
      <c r="CA21" s="1216"/>
      <c r="CB21" s="747"/>
      <c r="CC21" s="1222">
        <f>$G21*H21*Variables!$B$53</f>
        <v>0</v>
      </c>
      <c r="CD21" s="1223">
        <f>$G21*I21*Variables!$B$53</f>
        <v>0</v>
      </c>
      <c r="CE21" s="1223">
        <f>$G21*J21*Variables!$B$53</f>
        <v>0</v>
      </c>
      <c r="CF21" s="1223">
        <f>$G21*K21*Variables!$B$53</f>
        <v>0</v>
      </c>
      <c r="CG21" s="1223">
        <f>$G21*L21*Variables!$B$53</f>
        <v>0</v>
      </c>
      <c r="CH21" s="1223">
        <f>$G21*M21*Variables!$B$53</f>
        <v>0</v>
      </c>
      <c r="CI21" s="1223">
        <f>$G21*N21*Variables!$B$53</f>
        <v>0</v>
      </c>
      <c r="CJ21" s="1223">
        <f>$G21*O21*Variables!$B$53</f>
        <v>0</v>
      </c>
      <c r="CK21" s="1223">
        <f>$G21*P21*Variables!$B$53</f>
        <v>0</v>
      </c>
      <c r="CL21" s="1223">
        <f>$G21*Q21*Variables!$B$53</f>
        <v>0</v>
      </c>
      <c r="CM21" s="1223">
        <f>$G21*R21*Variables!$B$53</f>
        <v>0</v>
      </c>
      <c r="CN21" s="1225">
        <f>$G21*S21*Variables!$B$53</f>
        <v>0</v>
      </c>
      <c r="CO21" s="1222">
        <f>$G21*T21*Variables!$B$53*HLOOKUP($CO$2,Variables!$B$60:$F$61,2,FALSE)</f>
        <v>0</v>
      </c>
      <c r="CP21" s="1223">
        <f>$G21*U21*Variables!$B$53*HLOOKUP($CO$2,Variables!$B$60:$F$61,2,FALSE)</f>
        <v>0</v>
      </c>
      <c r="CQ21" s="1223">
        <f>$G21*V21*Variables!$B$53*HLOOKUP($CO$2,Variables!$B$60:$F$61,2,FALSE)</f>
        <v>0</v>
      </c>
      <c r="CR21" s="1223">
        <f>$G21*W21*Variables!$B$53*HLOOKUP($CO$2,Variables!$B$60:$F$61,2,FALSE)</f>
        <v>0</v>
      </c>
      <c r="CS21" s="1223">
        <f>$G21*X21*Variables!$B$53*HLOOKUP($CO$2,Variables!$B$60:$F$61,2,FALSE)</f>
        <v>0</v>
      </c>
      <c r="CT21" s="1223">
        <f>$G21*Y21*Variables!$B$53*HLOOKUP($CO$2,Variables!$B$60:$F$61,2,FALSE)</f>
        <v>0</v>
      </c>
      <c r="CU21" s="1223">
        <f>$G21*Z21*Variables!$B$53*HLOOKUP($CO$2,Variables!$B$60:$F$61,2,FALSE)</f>
        <v>0</v>
      </c>
      <c r="CV21" s="1223">
        <f>$G21*AA21*Variables!$B$53*HLOOKUP($CO$2,Variables!$B$60:$F$61,2,FALSE)</f>
        <v>0</v>
      </c>
      <c r="CW21" s="1223">
        <f>$G21*AB21*Variables!$B$53*HLOOKUP($CO$2,Variables!$B$60:$F$61,2,FALSE)</f>
        <v>0</v>
      </c>
      <c r="CX21" s="1223">
        <f>$G21*AC21*Variables!$B$53*HLOOKUP($CO$2,Variables!$B$60:$F$61,2,FALSE)</f>
        <v>0</v>
      </c>
      <c r="CY21" s="1223">
        <f>$G21*AD21*Variables!$B$53*HLOOKUP($CO$2,Variables!$B$60:$F$61,2,FALSE)</f>
        <v>0</v>
      </c>
      <c r="CZ21" s="1225">
        <f>$G21*AE21*Variables!$B$53*HLOOKUP($CO$2,Variables!$B$60:$F$61,2,FALSE)</f>
        <v>0</v>
      </c>
      <c r="DA21" s="1222">
        <f>$G21*AF21*Variables!$B$53*HLOOKUP($DA$2,Variables!$B$60:$F$61,2,FALSE)</f>
        <v>0</v>
      </c>
      <c r="DB21" s="1223">
        <f>$G21*AG21*Variables!$B$53*HLOOKUP($DA$2,Variables!$B$60:$F$61,2,FALSE)</f>
        <v>0</v>
      </c>
      <c r="DC21" s="1223">
        <f>$G21*AH21*Variables!$B$53*HLOOKUP($DA$2,Variables!$B$60:$F$61,2,FALSE)</f>
        <v>0</v>
      </c>
      <c r="DD21" s="1223">
        <f>$G21*AI21*Variables!$B$53*HLOOKUP($DA$2,Variables!$B$60:$F$61,2,FALSE)</f>
        <v>0</v>
      </c>
      <c r="DE21" s="1223">
        <f>$G21*AJ21*Variables!$B$53*HLOOKUP($DA$2,Variables!$B$60:$F$61,2,FALSE)</f>
        <v>0</v>
      </c>
      <c r="DF21" s="1223">
        <f>$G21*AK21*Variables!$B$53*HLOOKUP($DA$2,Variables!$B$60:$F$61,2,FALSE)</f>
        <v>0</v>
      </c>
      <c r="DG21" s="1223">
        <f>$G21*AL21*Variables!$B$53*HLOOKUP($DA$2,Variables!$B$60:$F$61,2,FALSE)</f>
        <v>0</v>
      </c>
      <c r="DH21" s="1223">
        <f>$G21*AM21*Variables!$B$53*HLOOKUP($DA$2,Variables!$B$60:$F$61,2,FALSE)</f>
        <v>0</v>
      </c>
      <c r="DI21" s="1223">
        <f>$G21*AN21*Variables!$B$53*HLOOKUP($DA$2,Variables!$B$60:$F$61,2,FALSE)</f>
        <v>0</v>
      </c>
      <c r="DJ21" s="1223">
        <f>$G21*AO21*Variables!$B$53*HLOOKUP($DA$2,Variables!$B$60:$F$61,2,FALSE)</f>
        <v>0</v>
      </c>
      <c r="DK21" s="1223">
        <f>$G21*AP21*Variables!$B$53*HLOOKUP($DA$2,Variables!$B$60:$F$61,2,FALSE)</f>
        <v>0</v>
      </c>
      <c r="DL21" s="1225">
        <f>$G21*AQ21*Variables!$B$53*HLOOKUP($DA$2,Variables!$B$60:$F$61,2,FALSE)</f>
        <v>0</v>
      </c>
      <c r="DM21" s="1222">
        <f>$G21*AR21*Variables!$B$53*HLOOKUP($DM$2,Variables!$B$60:$F$61,2,FALSE)</f>
        <v>0</v>
      </c>
      <c r="DN21" s="1223">
        <f>$G21*AS21*Variables!$B$53*HLOOKUP($DM$2,Variables!$B$60:$F$61,2,FALSE)</f>
        <v>0</v>
      </c>
      <c r="DO21" s="1223">
        <f>$G21*AT21*Variables!$B$53*HLOOKUP($DM$2,Variables!$B$60:$F$61,2,FALSE)</f>
        <v>0</v>
      </c>
      <c r="DP21" s="1223">
        <f>$G21*AU21*Variables!$B$53*HLOOKUP($DM$2,Variables!$B$60:$F$61,2,FALSE)</f>
        <v>0</v>
      </c>
      <c r="DQ21" s="1223">
        <f>$G21*AV21*Variables!$B$53*HLOOKUP($DM$2,Variables!$B$60:$F$61,2,FALSE)</f>
        <v>0</v>
      </c>
      <c r="DR21" s="1223">
        <f>$G21*AW21*Variables!$B$53*HLOOKUP($DM$2,Variables!$B$60:$F$61,2,FALSE)</f>
        <v>0</v>
      </c>
      <c r="DS21" s="1223">
        <f>$G21*AX21*Variables!$B$53*HLOOKUP($DM$2,Variables!$B$60:$F$61,2,FALSE)</f>
        <v>0</v>
      </c>
      <c r="DT21" s="1223">
        <f>$G21*AY21*Variables!$B$53*HLOOKUP($DM$2,Variables!$B$60:$F$61,2,FALSE)</f>
        <v>0</v>
      </c>
      <c r="DU21" s="1223">
        <f>$G21*AZ21*Variables!$B$53*HLOOKUP($DM$2,Variables!$B$60:$F$61,2,FALSE)</f>
        <v>0</v>
      </c>
      <c r="DV21" s="1223">
        <f>$G21*BA21*Variables!$B$53*HLOOKUP($DM$2,Variables!$B$60:$F$61,2,FALSE)</f>
        <v>0</v>
      </c>
      <c r="DW21" s="1223">
        <f>$G21*BB21*Variables!$B$53*HLOOKUP($DM$2,Variables!$B$60:$F$61,2,FALSE)</f>
        <v>0</v>
      </c>
      <c r="DX21" s="1225">
        <f>$G21*BC21*Variables!$B$53*HLOOKUP($DM$2,Variables!$B$60:$F$61,2,FALSE)</f>
        <v>0</v>
      </c>
      <c r="DY21" s="1222">
        <f>$G21*BD21*Variables!$B$53*HLOOKUP($DY$2,Variables!$B$60:$F$61,2,FALSE)</f>
        <v>0</v>
      </c>
      <c r="DZ21" s="1223">
        <f>$G21*BE21*Variables!$B$53*HLOOKUP($DY$2,Variables!$B$60:$F$61,2,FALSE)</f>
        <v>0</v>
      </c>
      <c r="EA21" s="1223">
        <f>$G21*BF21*Variables!$B$53*HLOOKUP($DY$2,Variables!$B$60:$F$61,2,FALSE)</f>
        <v>0</v>
      </c>
      <c r="EB21" s="1223">
        <f>$G21*BG21*Variables!$B$53*HLOOKUP($DY$2,Variables!$B$60:$F$61,2,FALSE)</f>
        <v>0</v>
      </c>
      <c r="EC21" s="1223">
        <f>$G21*BH21*Variables!$B$53*HLOOKUP($DY$2,Variables!$B$60:$F$61,2,FALSE)</f>
        <v>0</v>
      </c>
      <c r="ED21" s="1223">
        <f>$G21*BI21*Variables!$B$53*HLOOKUP($DY$2,Variables!$B$60:$F$61,2,FALSE)</f>
        <v>0</v>
      </c>
      <c r="EE21" s="1223">
        <f>$G21*BJ21*Variables!$B$53*HLOOKUP($DY$2,Variables!$B$60:$F$61,2,FALSE)</f>
        <v>0</v>
      </c>
      <c r="EF21" s="1223">
        <f>$G21*BK21*Variables!$B$53*HLOOKUP($DY$2,Variables!$B$60:$F$61,2,FALSE)</f>
        <v>0</v>
      </c>
      <c r="EG21" s="1223">
        <f>$G21*BL21*Variables!$B$53*HLOOKUP($DY$2,Variables!$B$60:$F$61,2,FALSE)</f>
        <v>0</v>
      </c>
      <c r="EH21" s="1223">
        <f>$G21*BM21*Variables!$B$53*HLOOKUP($DY$2,Variables!$B$60:$F$61,2,FALSE)</f>
        <v>0</v>
      </c>
      <c r="EI21" s="1223">
        <f>$G21*BN21*Variables!$B$53*HLOOKUP($DY$2,Variables!$B$60:$F$61,2,FALSE)</f>
        <v>0</v>
      </c>
      <c r="EJ21" s="1225">
        <f>$G21*BO21*Variables!$B$53*HLOOKUP($DY$2,Variables!$B$60:$F$61,2,FALSE)</f>
        <v>0</v>
      </c>
      <c r="EK21" s="1222">
        <f>$G21*BP21*Variables!$B$53*HLOOKUP($EK$2,Variables!$B$60:$F$61,2,FALSE)</f>
        <v>0</v>
      </c>
      <c r="EL21" s="1223">
        <f>$G21*BQ21*Variables!$B$53*HLOOKUP($EK$2,Variables!$B$60:$F$61,2,FALSE)</f>
        <v>0</v>
      </c>
      <c r="EM21" s="1223">
        <f>$G21*BR21*Variables!$B$53*HLOOKUP($EK$2,Variables!$B$60:$F$61,2,FALSE)</f>
        <v>0</v>
      </c>
      <c r="EN21" s="1223">
        <f>$G21*BS21*Variables!$B$53*HLOOKUP($EK$2,Variables!$B$60:$F$61,2,FALSE)</f>
        <v>0</v>
      </c>
      <c r="EO21" s="1223">
        <f>$G21*BT21*Variables!$B$53*HLOOKUP($EK$2,Variables!$B$60:$F$61,2,FALSE)</f>
        <v>0</v>
      </c>
      <c r="EP21" s="1223">
        <f>$G21*BU21*Variables!$B$53*HLOOKUP($EK$2,Variables!$B$60:$F$61,2,FALSE)</f>
        <v>0</v>
      </c>
      <c r="EQ21" s="1223">
        <f>$G21*BV21*Variables!$B$53*HLOOKUP($EK$2,Variables!$B$60:$F$61,2,FALSE)</f>
        <v>0</v>
      </c>
      <c r="ER21" s="1223">
        <f>$G21*BW21*Variables!$B$53*HLOOKUP($EK$2,Variables!$B$60:$F$61,2,FALSE)</f>
        <v>0</v>
      </c>
      <c r="ES21" s="1223">
        <f>$G21*BX21*Variables!$B$53*HLOOKUP($EK$2,Variables!$B$60:$F$61,2,FALSE)</f>
        <v>0</v>
      </c>
      <c r="ET21" s="1223">
        <f>$G21*BY21*Variables!$B$53*HLOOKUP($EK$2,Variables!$B$60:$F$61,2,FALSE)</f>
        <v>0</v>
      </c>
      <c r="EU21" s="1223">
        <f>$G21*BZ21*Variables!$B$53*HLOOKUP($EK$2,Variables!$B$60:$F$61,2,FALSE)</f>
        <v>0</v>
      </c>
      <c r="EV21" s="1225">
        <f>$G21*CA21*Variables!$B$53*HLOOKUP($EK$2,Variables!$B$60:$F$61,2,FALSE)</f>
        <v>0</v>
      </c>
      <c r="EW21" s="872">
        <f t="shared" si="6"/>
        <v>0</v>
      </c>
      <c r="EX21" s="872"/>
      <c r="EY21" s="872"/>
      <c r="EZ21" s="872"/>
      <c r="FA21" s="1332"/>
      <c r="FC21" s="958" t="str">
        <f t="shared" si="3"/>
        <v>Infra_Operations</v>
      </c>
      <c r="FD21" s="959" t="str">
        <f t="shared" si="4"/>
        <v>Pilot_Implementation</v>
      </c>
      <c r="FE21" s="959" t="s">
        <v>8407</v>
      </c>
      <c r="FF21" s="959" t="str">
        <f>IF(ISNA(VLOOKUP(FC21,Miscellaneous!E:F,2,0)),"",VLOOKUP(FC21,Miscellaneous!E:F,2,0))</f>
        <v>Shannon Soland</v>
      </c>
      <c r="FG21" s="959" t="str">
        <f t="shared" si="5"/>
        <v>Capex</v>
      </c>
      <c r="FH21" s="996">
        <f>IF($FG21="Opex",SUMIF('Monthly Summary'!$C$75:$N$75,"",CC21:CN21),SUMIF('Monthly Summary'!$C$74:$N$74,"",CC21:CN21))</f>
        <v>0</v>
      </c>
      <c r="FI21" s="996">
        <f>IF($FG21="Opex",SUMIF('Monthly Summary'!$O$75:$Z$75,"",CO21:CZ21),SUMIF('Monthly Summary'!$O$74:$Z$74,"",CO21:CZ21))</f>
        <v>0</v>
      </c>
      <c r="FJ21" s="996">
        <f>IF($FG21="Opex",SUMIF('Monthly Summary'!$AA$75:$AL$75,"",DA21:DL21),SUMIF('Monthly Summary'!$AA$74:$AL$74,"",DA21:DL21))</f>
        <v>0</v>
      </c>
      <c r="FK21" s="996">
        <f>IF($FG21="Opex",SUMIF('Monthly Summary'!$AM$75:$AX$75,"",DM21:DX21),SUMIF('Monthly Summary'!$AM$74:$AX$74,"",DM21:DX21))</f>
        <v>0</v>
      </c>
      <c r="FL21" s="996">
        <f>IF($FG21="Opex",SUMIF('Monthly Summary'!$AY$75:$BJ$75,"",DY21:EJ21),SUMIF('Monthly Summary'!$AY$74:$BJ$74,"",DY21:EJ21))</f>
        <v>0</v>
      </c>
      <c r="FM21" s="997">
        <f>IF($FG21="Opex",SUMIF('Monthly Summary'!$BK$75:$BV$75,"",EK21:EV21),SUMIF('Monthly Summary'!$BK$74:$BV$74,"",EK21:EV21))</f>
        <v>0</v>
      </c>
      <c r="FN21" s="997">
        <f t="shared" si="7"/>
        <v>0</v>
      </c>
    </row>
    <row r="22" spans="1:170">
      <c r="A22" s="753" t="s">
        <v>8668</v>
      </c>
      <c r="B22" s="753" t="s">
        <v>8487</v>
      </c>
      <c r="C22" s="757" t="s">
        <v>8484</v>
      </c>
      <c r="D22" s="757" t="s">
        <v>15232</v>
      </c>
      <c r="E22" s="758" t="s">
        <v>16482</v>
      </c>
      <c r="F22" s="758" t="s">
        <v>21</v>
      </c>
      <c r="G22" s="758">
        <v>601</v>
      </c>
      <c r="H22" s="1215"/>
      <c r="I22" s="761"/>
      <c r="J22" s="761"/>
      <c r="K22" s="761"/>
      <c r="L22" s="761"/>
      <c r="M22" s="761"/>
      <c r="N22" s="761"/>
      <c r="O22" s="761"/>
      <c r="P22" s="761"/>
      <c r="Q22" s="761"/>
      <c r="R22" s="761"/>
      <c r="S22" s="1216"/>
      <c r="T22" s="1215"/>
      <c r="U22" s="761"/>
      <c r="V22" s="761"/>
      <c r="W22" s="761"/>
      <c r="X22" s="761"/>
      <c r="Y22" s="761"/>
      <c r="Z22" s="761"/>
      <c r="AA22" s="761"/>
      <c r="AB22" s="761"/>
      <c r="AC22" s="761"/>
      <c r="AD22" s="761"/>
      <c r="AE22" s="1216"/>
      <c r="AF22" s="1215"/>
      <c r="AG22" s="761"/>
      <c r="AH22" s="761"/>
      <c r="AI22" s="761"/>
      <c r="AJ22" s="761"/>
      <c r="AK22" s="761"/>
      <c r="AL22" s="761"/>
      <c r="AM22" s="761"/>
      <c r="AN22" s="761"/>
      <c r="AO22" s="761"/>
      <c r="AP22" s="761"/>
      <c r="AQ22" s="1216"/>
      <c r="AR22" s="1215"/>
      <c r="AS22" s="761"/>
      <c r="AT22" s="761"/>
      <c r="AU22" s="761"/>
      <c r="AV22" s="761"/>
      <c r="AW22" s="761"/>
      <c r="AX22" s="761"/>
      <c r="AY22" s="761"/>
      <c r="AZ22" s="761"/>
      <c r="BA22" s="761"/>
      <c r="BB22" s="761"/>
      <c r="BC22" s="1216"/>
      <c r="BD22" s="1215"/>
      <c r="BE22" s="761"/>
      <c r="BF22" s="761"/>
      <c r="BG22" s="761"/>
      <c r="BH22" s="761"/>
      <c r="BI22" s="761"/>
      <c r="BJ22" s="761"/>
      <c r="BK22" s="761"/>
      <c r="BL22" s="761"/>
      <c r="BM22" s="761"/>
      <c r="BN22" s="761"/>
      <c r="BO22" s="1216"/>
      <c r="BP22" s="1215"/>
      <c r="BQ22" s="761"/>
      <c r="BR22" s="761"/>
      <c r="BS22" s="761"/>
      <c r="BT22" s="761"/>
      <c r="BU22" s="761"/>
      <c r="BV22" s="761"/>
      <c r="BW22" s="761"/>
      <c r="BX22" s="761"/>
      <c r="BY22" s="761"/>
      <c r="BZ22" s="761"/>
      <c r="CA22" s="1216"/>
      <c r="CB22" s="747"/>
      <c r="CC22" s="1222">
        <f>$G22*H22*Variables!$B$53</f>
        <v>0</v>
      </c>
      <c r="CD22" s="1223">
        <f>$G22*I22*Variables!$B$53</f>
        <v>0</v>
      </c>
      <c r="CE22" s="1223">
        <f>$G22*J22*Variables!$B$53</f>
        <v>0</v>
      </c>
      <c r="CF22" s="1223">
        <f>$G22*K22*Variables!$B$53</f>
        <v>0</v>
      </c>
      <c r="CG22" s="1223">
        <f>$G22*L22*Variables!$B$53</f>
        <v>0</v>
      </c>
      <c r="CH22" s="1223">
        <f>$G22*M22*Variables!$B$53</f>
        <v>0</v>
      </c>
      <c r="CI22" s="1223">
        <f>$G22*N22*Variables!$B$53</f>
        <v>0</v>
      </c>
      <c r="CJ22" s="1223">
        <f>$G22*O22*Variables!$B$53</f>
        <v>0</v>
      </c>
      <c r="CK22" s="1223">
        <f>$G22*P22*Variables!$B$53</f>
        <v>0</v>
      </c>
      <c r="CL22" s="1223">
        <f>$G22*Q22*Variables!$B$53</f>
        <v>0</v>
      </c>
      <c r="CM22" s="1223">
        <f>$G22*R22*Variables!$B$53</f>
        <v>0</v>
      </c>
      <c r="CN22" s="1225">
        <f>$G22*S22*Variables!$B$53</f>
        <v>0</v>
      </c>
      <c r="CO22" s="1222">
        <f>$G22*T22*Variables!$B$53*HLOOKUP($CO$2,Variables!$B$60:$F$61,2,FALSE)</f>
        <v>0</v>
      </c>
      <c r="CP22" s="1223">
        <f>$G22*U22*Variables!$B$53*HLOOKUP($CO$2,Variables!$B$60:$F$61,2,FALSE)</f>
        <v>0</v>
      </c>
      <c r="CQ22" s="1223">
        <f>$G22*V22*Variables!$B$53*HLOOKUP($CO$2,Variables!$B$60:$F$61,2,FALSE)</f>
        <v>0</v>
      </c>
      <c r="CR22" s="1223">
        <f>$G22*W22*Variables!$B$53*HLOOKUP($CO$2,Variables!$B$60:$F$61,2,FALSE)</f>
        <v>0</v>
      </c>
      <c r="CS22" s="1223">
        <f>$G22*X22*Variables!$B$53*HLOOKUP($CO$2,Variables!$B$60:$F$61,2,FALSE)</f>
        <v>0</v>
      </c>
      <c r="CT22" s="1223">
        <f>$G22*Y22*Variables!$B$53*HLOOKUP($CO$2,Variables!$B$60:$F$61,2,FALSE)</f>
        <v>0</v>
      </c>
      <c r="CU22" s="1223">
        <f>$G22*Z22*Variables!$B$53*HLOOKUP($CO$2,Variables!$B$60:$F$61,2,FALSE)</f>
        <v>0</v>
      </c>
      <c r="CV22" s="1223">
        <f>$G22*AA22*Variables!$B$53*HLOOKUP($CO$2,Variables!$B$60:$F$61,2,FALSE)</f>
        <v>0</v>
      </c>
      <c r="CW22" s="1223">
        <f>$G22*AB22*Variables!$B$53*HLOOKUP($CO$2,Variables!$B$60:$F$61,2,FALSE)</f>
        <v>0</v>
      </c>
      <c r="CX22" s="1223">
        <f>$G22*AC22*Variables!$B$53*HLOOKUP($CO$2,Variables!$B$60:$F$61,2,FALSE)</f>
        <v>0</v>
      </c>
      <c r="CY22" s="1223">
        <f>$G22*AD22*Variables!$B$53*HLOOKUP($CO$2,Variables!$B$60:$F$61,2,FALSE)</f>
        <v>0</v>
      </c>
      <c r="CZ22" s="1225">
        <f>$G22*AE22*Variables!$B$53*HLOOKUP($CO$2,Variables!$B$60:$F$61,2,FALSE)</f>
        <v>0</v>
      </c>
      <c r="DA22" s="1222">
        <f>$G22*AF22*Variables!$B$53*HLOOKUP($DA$2,Variables!$B$60:$F$61,2,FALSE)</f>
        <v>0</v>
      </c>
      <c r="DB22" s="1223">
        <f>$G22*AG22*Variables!$B$53*HLOOKUP($DA$2,Variables!$B$60:$F$61,2,FALSE)</f>
        <v>0</v>
      </c>
      <c r="DC22" s="1223">
        <f>$G22*AH22*Variables!$B$53*HLOOKUP($DA$2,Variables!$B$60:$F$61,2,FALSE)</f>
        <v>0</v>
      </c>
      <c r="DD22" s="1223">
        <f>$G22*AI22*Variables!$B$53*HLOOKUP($DA$2,Variables!$B$60:$F$61,2,FALSE)</f>
        <v>0</v>
      </c>
      <c r="DE22" s="1223">
        <f>$G22*AJ22*Variables!$B$53*HLOOKUP($DA$2,Variables!$B$60:$F$61,2,FALSE)</f>
        <v>0</v>
      </c>
      <c r="DF22" s="1223">
        <f>$G22*AK22*Variables!$B$53*HLOOKUP($DA$2,Variables!$B$60:$F$61,2,FALSE)</f>
        <v>0</v>
      </c>
      <c r="DG22" s="1223">
        <f>$G22*AL22*Variables!$B$53*HLOOKUP($DA$2,Variables!$B$60:$F$61,2,FALSE)</f>
        <v>0</v>
      </c>
      <c r="DH22" s="1223">
        <f>$G22*AM22*Variables!$B$53*HLOOKUP($DA$2,Variables!$B$60:$F$61,2,FALSE)</f>
        <v>0</v>
      </c>
      <c r="DI22" s="1223">
        <f>$G22*AN22*Variables!$B$53*HLOOKUP($DA$2,Variables!$B$60:$F$61,2,FALSE)</f>
        <v>0</v>
      </c>
      <c r="DJ22" s="1223">
        <f>$G22*AO22*Variables!$B$53*HLOOKUP($DA$2,Variables!$B$60:$F$61,2,FALSE)</f>
        <v>0</v>
      </c>
      <c r="DK22" s="1223">
        <f>$G22*AP22*Variables!$B$53*HLOOKUP($DA$2,Variables!$B$60:$F$61,2,FALSE)</f>
        <v>0</v>
      </c>
      <c r="DL22" s="1225">
        <f>$G22*AQ22*Variables!$B$53*HLOOKUP($DA$2,Variables!$B$60:$F$61,2,FALSE)</f>
        <v>0</v>
      </c>
      <c r="DM22" s="1222">
        <f>$G22*AR22*Variables!$B$53*HLOOKUP($DM$2,Variables!$B$60:$F$61,2,FALSE)</f>
        <v>0</v>
      </c>
      <c r="DN22" s="1223">
        <f>$G22*AS22*Variables!$B$53*HLOOKUP($DM$2,Variables!$B$60:$F$61,2,FALSE)</f>
        <v>0</v>
      </c>
      <c r="DO22" s="1223">
        <f>$G22*AT22*Variables!$B$53*HLOOKUP($DM$2,Variables!$B$60:$F$61,2,FALSE)</f>
        <v>0</v>
      </c>
      <c r="DP22" s="1223">
        <f>$G22*AU22*Variables!$B$53*HLOOKUP($DM$2,Variables!$B$60:$F$61,2,FALSE)</f>
        <v>0</v>
      </c>
      <c r="DQ22" s="1223">
        <f>$G22*AV22*Variables!$B$53*HLOOKUP($DM$2,Variables!$B$60:$F$61,2,FALSE)</f>
        <v>0</v>
      </c>
      <c r="DR22" s="1223">
        <f>$G22*AW22*Variables!$B$53*HLOOKUP($DM$2,Variables!$B$60:$F$61,2,FALSE)</f>
        <v>0</v>
      </c>
      <c r="DS22" s="1223">
        <f>$G22*AX22*Variables!$B$53*HLOOKUP($DM$2,Variables!$B$60:$F$61,2,FALSE)</f>
        <v>0</v>
      </c>
      <c r="DT22" s="1223">
        <f>$G22*AY22*Variables!$B$53*HLOOKUP($DM$2,Variables!$B$60:$F$61,2,FALSE)</f>
        <v>0</v>
      </c>
      <c r="DU22" s="1223">
        <f>$G22*AZ22*Variables!$B$53*HLOOKUP($DM$2,Variables!$B$60:$F$61,2,FALSE)</f>
        <v>0</v>
      </c>
      <c r="DV22" s="1223">
        <f>$G22*BA22*Variables!$B$53*HLOOKUP($DM$2,Variables!$B$60:$F$61,2,FALSE)</f>
        <v>0</v>
      </c>
      <c r="DW22" s="1223">
        <f>$G22*BB22*Variables!$B$53*HLOOKUP($DM$2,Variables!$B$60:$F$61,2,FALSE)</f>
        <v>0</v>
      </c>
      <c r="DX22" s="1225">
        <f>$G22*BC22*Variables!$B$53*HLOOKUP($DM$2,Variables!$B$60:$F$61,2,FALSE)</f>
        <v>0</v>
      </c>
      <c r="DY22" s="1222">
        <f>$G22*BD22*Variables!$B$53*HLOOKUP($DY$2,Variables!$B$60:$F$61,2,FALSE)</f>
        <v>0</v>
      </c>
      <c r="DZ22" s="1223">
        <f>$G22*BE22*Variables!$B$53*HLOOKUP($DY$2,Variables!$B$60:$F$61,2,FALSE)</f>
        <v>0</v>
      </c>
      <c r="EA22" s="1223">
        <f>$G22*BF22*Variables!$B$53*HLOOKUP($DY$2,Variables!$B$60:$F$61,2,FALSE)</f>
        <v>0</v>
      </c>
      <c r="EB22" s="1223">
        <f>$G22*BG22*Variables!$B$53*HLOOKUP($DY$2,Variables!$B$60:$F$61,2,FALSE)</f>
        <v>0</v>
      </c>
      <c r="EC22" s="1223">
        <f>$G22*BH22*Variables!$B$53*HLOOKUP($DY$2,Variables!$B$60:$F$61,2,FALSE)</f>
        <v>0</v>
      </c>
      <c r="ED22" s="1223">
        <f>$G22*BI22*Variables!$B$53*HLOOKUP($DY$2,Variables!$B$60:$F$61,2,FALSE)</f>
        <v>0</v>
      </c>
      <c r="EE22" s="1223">
        <f>$G22*BJ22*Variables!$B$53*HLOOKUP($DY$2,Variables!$B$60:$F$61,2,FALSE)</f>
        <v>0</v>
      </c>
      <c r="EF22" s="1223">
        <f>$G22*BK22*Variables!$B$53*HLOOKUP($DY$2,Variables!$B$60:$F$61,2,FALSE)</f>
        <v>0</v>
      </c>
      <c r="EG22" s="1223">
        <f>$G22*BL22*Variables!$B$53*HLOOKUP($DY$2,Variables!$B$60:$F$61,2,FALSE)</f>
        <v>0</v>
      </c>
      <c r="EH22" s="1223">
        <f>$G22*BM22*Variables!$B$53*HLOOKUP($DY$2,Variables!$B$60:$F$61,2,FALSE)</f>
        <v>0</v>
      </c>
      <c r="EI22" s="1223">
        <f>$G22*BN22*Variables!$B$53*HLOOKUP($DY$2,Variables!$B$60:$F$61,2,FALSE)</f>
        <v>0</v>
      </c>
      <c r="EJ22" s="1225">
        <f>$G22*BO22*Variables!$B$53*HLOOKUP($DY$2,Variables!$B$60:$F$61,2,FALSE)</f>
        <v>0</v>
      </c>
      <c r="EK22" s="1222">
        <f>$G22*BP22*Variables!$B$53*HLOOKUP($EK$2,Variables!$B$60:$F$61,2,FALSE)</f>
        <v>0</v>
      </c>
      <c r="EL22" s="1223">
        <f>$G22*BQ22*Variables!$B$53*HLOOKUP($EK$2,Variables!$B$60:$F$61,2,FALSE)</f>
        <v>0</v>
      </c>
      <c r="EM22" s="1223">
        <f>$G22*BR22*Variables!$B$53*HLOOKUP($EK$2,Variables!$B$60:$F$61,2,FALSE)</f>
        <v>0</v>
      </c>
      <c r="EN22" s="1223">
        <f>$G22*BS22*Variables!$B$53*HLOOKUP($EK$2,Variables!$B$60:$F$61,2,FALSE)</f>
        <v>0</v>
      </c>
      <c r="EO22" s="1223">
        <f>$G22*BT22*Variables!$B$53*HLOOKUP($EK$2,Variables!$B$60:$F$61,2,FALSE)</f>
        <v>0</v>
      </c>
      <c r="EP22" s="1223">
        <f>$G22*BU22*Variables!$B$53*HLOOKUP($EK$2,Variables!$B$60:$F$61,2,FALSE)</f>
        <v>0</v>
      </c>
      <c r="EQ22" s="1223">
        <f>$G22*BV22*Variables!$B$53*HLOOKUP($EK$2,Variables!$B$60:$F$61,2,FALSE)</f>
        <v>0</v>
      </c>
      <c r="ER22" s="1223">
        <f>$G22*BW22*Variables!$B$53*HLOOKUP($EK$2,Variables!$B$60:$F$61,2,FALSE)</f>
        <v>0</v>
      </c>
      <c r="ES22" s="1223">
        <f>$G22*BX22*Variables!$B$53*HLOOKUP($EK$2,Variables!$B$60:$F$61,2,FALSE)</f>
        <v>0</v>
      </c>
      <c r="ET22" s="1223">
        <f>$G22*BY22*Variables!$B$53*HLOOKUP($EK$2,Variables!$B$60:$F$61,2,FALSE)</f>
        <v>0</v>
      </c>
      <c r="EU22" s="1223">
        <f>$G22*BZ22*Variables!$B$53*HLOOKUP($EK$2,Variables!$B$60:$F$61,2,FALSE)</f>
        <v>0</v>
      </c>
      <c r="EV22" s="1225">
        <f>$G22*CA22*Variables!$B$53*HLOOKUP($EK$2,Variables!$B$60:$F$61,2,FALSE)</f>
        <v>0</v>
      </c>
      <c r="EW22" s="872">
        <f t="shared" si="6"/>
        <v>0</v>
      </c>
      <c r="EX22" s="872"/>
      <c r="EY22" s="872"/>
      <c r="EZ22" s="872"/>
      <c r="FA22" s="1332"/>
      <c r="FC22" s="958" t="str">
        <f t="shared" si="3"/>
        <v>US_IT</v>
      </c>
      <c r="FD22" s="959" t="str">
        <f t="shared" si="4"/>
        <v>Planning</v>
      </c>
      <c r="FE22" s="959" t="s">
        <v>8407</v>
      </c>
      <c r="FF22" s="959" t="str">
        <f>IF(ISNA(VLOOKUP(FC22,Miscellaneous!E:F,2,0)),"",VLOOKUP(FC22,Miscellaneous!E:F,2,0))</f>
        <v>Steve Olive</v>
      </c>
      <c r="FG22" s="959" t="str">
        <f t="shared" si="5"/>
        <v>Capex</v>
      </c>
      <c r="FH22" s="996">
        <f>IF($FG22="Opex",SUMIF('Monthly Summary'!$C$75:$N$75,"",CC22:CN22),SUMIF('Monthly Summary'!$C$74:$N$74,"",CC22:CN22))</f>
        <v>0</v>
      </c>
      <c r="FI22" s="996">
        <f>IF($FG22="Opex",SUMIF('Monthly Summary'!$O$75:$Z$75,"",CO22:CZ22),SUMIF('Monthly Summary'!$O$74:$Z$74,"",CO22:CZ22))</f>
        <v>0</v>
      </c>
      <c r="FJ22" s="996">
        <f>IF($FG22="Opex",SUMIF('Monthly Summary'!$AA$75:$AL$75,"",DA22:DL22),SUMIF('Monthly Summary'!$AA$74:$AL$74,"",DA22:DL22))</f>
        <v>0</v>
      </c>
      <c r="FK22" s="996">
        <f>IF($FG22="Opex",SUMIF('Monthly Summary'!$AM$75:$AX$75,"",DM22:DX22),SUMIF('Monthly Summary'!$AM$74:$AX$74,"",DM22:DX22))</f>
        <v>0</v>
      </c>
      <c r="FL22" s="996">
        <f>IF($FG22="Opex",SUMIF('Monthly Summary'!$AY$75:$BJ$75,"",DY22:EJ22),SUMIF('Monthly Summary'!$AY$74:$BJ$74,"",DY22:EJ22))</f>
        <v>0</v>
      </c>
      <c r="FM22" s="997">
        <f>IF($FG22="Opex",SUMIF('Monthly Summary'!$BK$75:$BV$75,"",EK22:EV22),SUMIF('Monthly Summary'!$BK$74:$BV$74,"",EK22:EV22))</f>
        <v>0</v>
      </c>
      <c r="FN22" s="997">
        <f t="shared" si="7"/>
        <v>0</v>
      </c>
    </row>
    <row r="23" spans="1:170">
      <c r="C23" s="757"/>
      <c r="D23" s="757"/>
      <c r="E23" s="758"/>
      <c r="F23" s="758"/>
      <c r="G23" s="758"/>
      <c r="H23" s="1215"/>
      <c r="I23" s="761"/>
      <c r="J23" s="761"/>
      <c r="K23" s="761"/>
      <c r="L23" s="761"/>
      <c r="M23" s="761"/>
      <c r="N23" s="761"/>
      <c r="O23" s="761"/>
      <c r="P23" s="761"/>
      <c r="Q23" s="761"/>
      <c r="R23" s="761"/>
      <c r="S23" s="1216"/>
      <c r="T23" s="1215"/>
      <c r="U23" s="761"/>
      <c r="V23" s="761"/>
      <c r="W23" s="761"/>
      <c r="X23" s="761"/>
      <c r="Y23" s="761"/>
      <c r="Z23" s="761"/>
      <c r="AA23" s="761"/>
      <c r="AB23" s="761"/>
      <c r="AC23" s="761"/>
      <c r="AD23" s="761"/>
      <c r="AE23" s="1216"/>
      <c r="AF23" s="1215"/>
      <c r="AG23" s="761"/>
      <c r="AH23" s="761"/>
      <c r="AI23" s="761"/>
      <c r="AJ23" s="761"/>
      <c r="AK23" s="761"/>
      <c r="AL23" s="761"/>
      <c r="AM23" s="761"/>
      <c r="AN23" s="761"/>
      <c r="AO23" s="761"/>
      <c r="AP23" s="761"/>
      <c r="AQ23" s="1216"/>
      <c r="AR23" s="1215"/>
      <c r="AS23" s="761"/>
      <c r="AT23" s="761"/>
      <c r="AU23" s="761"/>
      <c r="AV23" s="761"/>
      <c r="AW23" s="761"/>
      <c r="AX23" s="761"/>
      <c r="AY23" s="761"/>
      <c r="AZ23" s="761"/>
      <c r="BA23" s="761"/>
      <c r="BB23" s="761"/>
      <c r="BC23" s="1216"/>
      <c r="BD23" s="1215"/>
      <c r="BE23" s="761"/>
      <c r="BF23" s="761"/>
      <c r="BG23" s="761"/>
      <c r="BH23" s="761"/>
      <c r="BI23" s="761"/>
      <c r="BJ23" s="761"/>
      <c r="BK23" s="761"/>
      <c r="BL23" s="761"/>
      <c r="BM23" s="761"/>
      <c r="BN23" s="761"/>
      <c r="BO23" s="1216"/>
      <c r="BP23" s="1215"/>
      <c r="BQ23" s="761"/>
      <c r="BR23" s="761"/>
      <c r="BS23" s="761"/>
      <c r="BT23" s="761"/>
      <c r="BU23" s="761"/>
      <c r="BV23" s="761"/>
      <c r="BW23" s="761"/>
      <c r="BX23" s="761"/>
      <c r="BY23" s="761"/>
      <c r="BZ23" s="761"/>
      <c r="CA23" s="1216"/>
      <c r="CB23" s="747"/>
      <c r="CC23" s="1222">
        <f>$G23*H23*Variables!$B$53</f>
        <v>0</v>
      </c>
      <c r="CD23" s="1223">
        <f>$G23*I23*Variables!$B$53</f>
        <v>0</v>
      </c>
      <c r="CE23" s="1223">
        <f>$G23*J23*Variables!$B$53</f>
        <v>0</v>
      </c>
      <c r="CF23" s="1223">
        <f>$G23*K23*Variables!$B$53</f>
        <v>0</v>
      </c>
      <c r="CG23" s="1223">
        <f>$G23*L23*Variables!$B$53</f>
        <v>0</v>
      </c>
      <c r="CH23" s="1223">
        <f>$G23*M23*Variables!$B$53</f>
        <v>0</v>
      </c>
      <c r="CI23" s="1223">
        <f>$G23*N23*Variables!$B$53</f>
        <v>0</v>
      </c>
      <c r="CJ23" s="1223">
        <f>$G23*O23*Variables!$B$53</f>
        <v>0</v>
      </c>
      <c r="CK23" s="1223">
        <f>$G23*P23*Variables!$B$53</f>
        <v>0</v>
      </c>
      <c r="CL23" s="1223">
        <f>$G23*Q23*Variables!$B$53</f>
        <v>0</v>
      </c>
      <c r="CM23" s="1223">
        <f>$G23*R23*Variables!$B$53</f>
        <v>0</v>
      </c>
      <c r="CN23" s="1225">
        <f>$G23*S23*Variables!$B$53</f>
        <v>0</v>
      </c>
      <c r="CO23" s="1222">
        <f>$G23*T23*Variables!$B$53*HLOOKUP($CO$2,Variables!$B$60:$F$61,2,FALSE)</f>
        <v>0</v>
      </c>
      <c r="CP23" s="1223">
        <f>$G23*U23*Variables!$B$53*HLOOKUP($CO$2,Variables!$B$60:$F$61,2,FALSE)</f>
        <v>0</v>
      </c>
      <c r="CQ23" s="1223">
        <f>$G23*V23*Variables!$B$53*HLOOKUP($CO$2,Variables!$B$60:$F$61,2,FALSE)</f>
        <v>0</v>
      </c>
      <c r="CR23" s="1223">
        <f>$G23*W23*Variables!$B$53*HLOOKUP($CO$2,Variables!$B$60:$F$61,2,FALSE)</f>
        <v>0</v>
      </c>
      <c r="CS23" s="1223">
        <f>$G23*X23*Variables!$B$53*HLOOKUP($CO$2,Variables!$B$60:$F$61,2,FALSE)</f>
        <v>0</v>
      </c>
      <c r="CT23" s="1223">
        <f>$G23*Y23*Variables!$B$53*HLOOKUP($CO$2,Variables!$B$60:$F$61,2,FALSE)</f>
        <v>0</v>
      </c>
      <c r="CU23" s="1223">
        <f>$G23*Z23*Variables!$B$53*HLOOKUP($CO$2,Variables!$B$60:$F$61,2,FALSE)</f>
        <v>0</v>
      </c>
      <c r="CV23" s="1223">
        <f>$G23*AA23*Variables!$B$53*HLOOKUP($CO$2,Variables!$B$60:$F$61,2,FALSE)</f>
        <v>0</v>
      </c>
      <c r="CW23" s="1223">
        <f>$G23*AB23*Variables!$B$53*HLOOKUP($CO$2,Variables!$B$60:$F$61,2,FALSE)</f>
        <v>0</v>
      </c>
      <c r="CX23" s="1223">
        <f>$G23*AC23*Variables!$B$53*HLOOKUP($CO$2,Variables!$B$60:$F$61,2,FALSE)</f>
        <v>0</v>
      </c>
      <c r="CY23" s="1223">
        <f>$G23*AD23*Variables!$B$53*HLOOKUP($CO$2,Variables!$B$60:$F$61,2,FALSE)</f>
        <v>0</v>
      </c>
      <c r="CZ23" s="1225">
        <f>$G23*AE23*Variables!$B$53*HLOOKUP($CO$2,Variables!$B$60:$F$61,2,FALSE)</f>
        <v>0</v>
      </c>
      <c r="DA23" s="1222">
        <f>$G23*AF23*Variables!$B$53*HLOOKUP($DA$2,Variables!$B$60:$F$61,2,FALSE)</f>
        <v>0</v>
      </c>
      <c r="DB23" s="1223">
        <f>$G23*AG23*Variables!$B$53*HLOOKUP($DA$2,Variables!$B$60:$F$61,2,FALSE)</f>
        <v>0</v>
      </c>
      <c r="DC23" s="1223">
        <f>$G23*AH23*Variables!$B$53*HLOOKUP($DA$2,Variables!$B$60:$F$61,2,FALSE)</f>
        <v>0</v>
      </c>
      <c r="DD23" s="1223">
        <f>$G23*AI23*Variables!$B$53*HLOOKUP($DA$2,Variables!$B$60:$F$61,2,FALSE)</f>
        <v>0</v>
      </c>
      <c r="DE23" s="1223">
        <f>$G23*AJ23*Variables!$B$53*HLOOKUP($DA$2,Variables!$B$60:$F$61,2,FALSE)</f>
        <v>0</v>
      </c>
      <c r="DF23" s="1223">
        <f>$G23*AK23*Variables!$B$53*HLOOKUP($DA$2,Variables!$B$60:$F$61,2,FALSE)</f>
        <v>0</v>
      </c>
      <c r="DG23" s="1223">
        <f>$G23*AL23*Variables!$B$53*HLOOKUP($DA$2,Variables!$B$60:$F$61,2,FALSE)</f>
        <v>0</v>
      </c>
      <c r="DH23" s="1223">
        <f>$G23*AM23*Variables!$B$53*HLOOKUP($DA$2,Variables!$B$60:$F$61,2,FALSE)</f>
        <v>0</v>
      </c>
      <c r="DI23" s="1223">
        <f>$G23*AN23*Variables!$B$53*HLOOKUP($DA$2,Variables!$B$60:$F$61,2,FALSE)</f>
        <v>0</v>
      </c>
      <c r="DJ23" s="1223">
        <f>$G23*AO23*Variables!$B$53*HLOOKUP($DA$2,Variables!$B$60:$F$61,2,FALSE)</f>
        <v>0</v>
      </c>
      <c r="DK23" s="1223">
        <f>$G23*AP23*Variables!$B$53*HLOOKUP($DA$2,Variables!$B$60:$F$61,2,FALSE)</f>
        <v>0</v>
      </c>
      <c r="DL23" s="1225">
        <f>$G23*AQ23*Variables!$B$53*HLOOKUP($DA$2,Variables!$B$60:$F$61,2,FALSE)</f>
        <v>0</v>
      </c>
      <c r="DM23" s="1222">
        <f>$G23*AR23*Variables!$B$53*HLOOKUP($DM$2,Variables!$B$60:$F$61,2,FALSE)</f>
        <v>0</v>
      </c>
      <c r="DN23" s="1223">
        <f>$G23*AS23*Variables!$B$53*HLOOKUP($DM$2,Variables!$B$60:$F$61,2,FALSE)</f>
        <v>0</v>
      </c>
      <c r="DO23" s="1223">
        <f>$G23*AT23*Variables!$B$53*HLOOKUP($DM$2,Variables!$B$60:$F$61,2,FALSE)</f>
        <v>0</v>
      </c>
      <c r="DP23" s="1223">
        <f>$G23*AU23*Variables!$B$53*HLOOKUP($DM$2,Variables!$B$60:$F$61,2,FALSE)</f>
        <v>0</v>
      </c>
      <c r="DQ23" s="1223">
        <f>$G23*AV23*Variables!$B$53*HLOOKUP($DM$2,Variables!$B$60:$F$61,2,FALSE)</f>
        <v>0</v>
      </c>
      <c r="DR23" s="1223">
        <f>$G23*AW23*Variables!$B$53*HLOOKUP($DM$2,Variables!$B$60:$F$61,2,FALSE)</f>
        <v>0</v>
      </c>
      <c r="DS23" s="1223">
        <f>$G23*AX23*Variables!$B$53*HLOOKUP($DM$2,Variables!$B$60:$F$61,2,FALSE)</f>
        <v>0</v>
      </c>
      <c r="DT23" s="1223">
        <f>$G23*AY23*Variables!$B$53*HLOOKUP($DM$2,Variables!$B$60:$F$61,2,FALSE)</f>
        <v>0</v>
      </c>
      <c r="DU23" s="1223">
        <f>$G23*AZ23*Variables!$B$53*HLOOKUP($DM$2,Variables!$B$60:$F$61,2,FALSE)</f>
        <v>0</v>
      </c>
      <c r="DV23" s="1223">
        <f>$G23*BA23*Variables!$B$53*HLOOKUP($DM$2,Variables!$B$60:$F$61,2,FALSE)</f>
        <v>0</v>
      </c>
      <c r="DW23" s="1223">
        <f>$G23*BB23*Variables!$B$53*HLOOKUP($DM$2,Variables!$B$60:$F$61,2,FALSE)</f>
        <v>0</v>
      </c>
      <c r="DX23" s="1225">
        <f>$G23*BC23*Variables!$B$53*HLOOKUP($DM$2,Variables!$B$60:$F$61,2,FALSE)</f>
        <v>0</v>
      </c>
      <c r="DY23" s="1222">
        <f>$G23*BD23*Variables!$B$53*HLOOKUP($DY$2,Variables!$B$60:$F$61,2,FALSE)</f>
        <v>0</v>
      </c>
      <c r="DZ23" s="1223">
        <f>$G23*BE23*Variables!$B$53*HLOOKUP($DY$2,Variables!$B$60:$F$61,2,FALSE)</f>
        <v>0</v>
      </c>
      <c r="EA23" s="1223">
        <f>$G23*BF23*Variables!$B$53*HLOOKUP($DY$2,Variables!$B$60:$F$61,2,FALSE)</f>
        <v>0</v>
      </c>
      <c r="EB23" s="1223">
        <f>$G23*BG23*Variables!$B$53*HLOOKUP($DY$2,Variables!$B$60:$F$61,2,FALSE)</f>
        <v>0</v>
      </c>
      <c r="EC23" s="1223">
        <f>$G23*BH23*Variables!$B$53*HLOOKUP($DY$2,Variables!$B$60:$F$61,2,FALSE)</f>
        <v>0</v>
      </c>
      <c r="ED23" s="1223">
        <f>$G23*BI23*Variables!$B$53*HLOOKUP($DY$2,Variables!$B$60:$F$61,2,FALSE)</f>
        <v>0</v>
      </c>
      <c r="EE23" s="1223">
        <f>$G23*BJ23*Variables!$B$53*HLOOKUP($DY$2,Variables!$B$60:$F$61,2,FALSE)</f>
        <v>0</v>
      </c>
      <c r="EF23" s="1223">
        <f>$G23*BK23*Variables!$B$53*HLOOKUP($DY$2,Variables!$B$60:$F$61,2,FALSE)</f>
        <v>0</v>
      </c>
      <c r="EG23" s="1223">
        <f>$G23*BL23*Variables!$B$53*HLOOKUP($DY$2,Variables!$B$60:$F$61,2,FALSE)</f>
        <v>0</v>
      </c>
      <c r="EH23" s="1223">
        <f>$G23*BM23*Variables!$B$53*HLOOKUP($DY$2,Variables!$B$60:$F$61,2,FALSE)</f>
        <v>0</v>
      </c>
      <c r="EI23" s="1223">
        <f>$G23*BN23*Variables!$B$53*HLOOKUP($DY$2,Variables!$B$60:$F$61,2,FALSE)</f>
        <v>0</v>
      </c>
      <c r="EJ23" s="1225">
        <f>$G23*BO23*Variables!$B$53*HLOOKUP($DY$2,Variables!$B$60:$F$61,2,FALSE)</f>
        <v>0</v>
      </c>
      <c r="EK23" s="1222">
        <f>$G23*BP23*Variables!$B$53*HLOOKUP($EK$2,Variables!$B$60:$F$61,2,FALSE)</f>
        <v>0</v>
      </c>
      <c r="EL23" s="1223">
        <f>$G23*BQ23*Variables!$B$53*HLOOKUP($EK$2,Variables!$B$60:$F$61,2,FALSE)</f>
        <v>0</v>
      </c>
      <c r="EM23" s="1223">
        <f>$G23*BR23*Variables!$B$53*HLOOKUP($EK$2,Variables!$B$60:$F$61,2,FALSE)</f>
        <v>0</v>
      </c>
      <c r="EN23" s="1223">
        <f>$G23*BS23*Variables!$B$53*HLOOKUP($EK$2,Variables!$B$60:$F$61,2,FALSE)</f>
        <v>0</v>
      </c>
      <c r="EO23" s="1223">
        <f>$G23*BT23*Variables!$B$53*HLOOKUP($EK$2,Variables!$B$60:$F$61,2,FALSE)</f>
        <v>0</v>
      </c>
      <c r="EP23" s="1223">
        <f>$G23*BU23*Variables!$B$53*HLOOKUP($EK$2,Variables!$B$60:$F$61,2,FALSE)</f>
        <v>0</v>
      </c>
      <c r="EQ23" s="1223">
        <f>$G23*BV23*Variables!$B$53*HLOOKUP($EK$2,Variables!$B$60:$F$61,2,FALSE)</f>
        <v>0</v>
      </c>
      <c r="ER23" s="1223">
        <f>$G23*BW23*Variables!$B$53*HLOOKUP($EK$2,Variables!$B$60:$F$61,2,FALSE)</f>
        <v>0</v>
      </c>
      <c r="ES23" s="1223">
        <f>$G23*BX23*Variables!$B$53*HLOOKUP($EK$2,Variables!$B$60:$F$61,2,FALSE)</f>
        <v>0</v>
      </c>
      <c r="ET23" s="1223">
        <f>$G23*BY23*Variables!$B$53*HLOOKUP($EK$2,Variables!$B$60:$F$61,2,FALSE)</f>
        <v>0</v>
      </c>
      <c r="EU23" s="1223">
        <f>$G23*BZ23*Variables!$B$53*HLOOKUP($EK$2,Variables!$B$60:$F$61,2,FALSE)</f>
        <v>0</v>
      </c>
      <c r="EV23" s="1225">
        <f>$G23*CA23*Variables!$B$53*HLOOKUP($EK$2,Variables!$B$60:$F$61,2,FALSE)</f>
        <v>0</v>
      </c>
      <c r="EW23" s="872">
        <f t="shared" si="6"/>
        <v>0</v>
      </c>
      <c r="EX23" s="872"/>
      <c r="EY23" s="872"/>
      <c r="EZ23" s="872"/>
      <c r="FA23" s="1332"/>
      <c r="FC23" s="958" t="str">
        <f t="shared" si="3"/>
        <v/>
      </c>
      <c r="FD23" s="959" t="str">
        <f t="shared" si="4"/>
        <v/>
      </c>
      <c r="FE23" s="959" t="s">
        <v>8407</v>
      </c>
      <c r="FF23" s="959" t="str">
        <f>IF(ISNA(VLOOKUP(FC23,Miscellaneous!E:F,2,0)),"",VLOOKUP(FC23,Miscellaneous!E:F,2,0))</f>
        <v/>
      </c>
      <c r="FG23" s="959" t="str">
        <f t="shared" si="5"/>
        <v/>
      </c>
      <c r="FH23" s="996">
        <f>IF($FG23="Opex",SUMIF('Monthly Summary'!$C$75:$N$75,"",CC23:CN23),SUMIF('Monthly Summary'!$C$74:$N$74,"",CC23:CN23))</f>
        <v>0</v>
      </c>
      <c r="FI23" s="996">
        <f>IF($FG23="Opex",SUMIF('Monthly Summary'!$O$75:$Z$75,"",CO23:CZ23),SUMIF('Monthly Summary'!$O$74:$Z$74,"",CO23:CZ23))</f>
        <v>0</v>
      </c>
      <c r="FJ23" s="996">
        <f>IF($FG23="Opex",SUMIF('Monthly Summary'!$AA$75:$AL$75,"",DA23:DL23),SUMIF('Monthly Summary'!$AA$74:$AL$74,"",DA23:DL23))</f>
        <v>0</v>
      </c>
      <c r="FK23" s="996">
        <f>IF($FG23="Opex",SUMIF('Monthly Summary'!$AM$75:$AX$75,"",DM23:DX23),SUMIF('Monthly Summary'!$AM$74:$AX$74,"",DM23:DX23))</f>
        <v>0</v>
      </c>
      <c r="FL23" s="996">
        <f>IF($FG23="Opex",SUMIF('Monthly Summary'!$AY$75:$BJ$75,"",DY23:EJ23),SUMIF('Monthly Summary'!$AY$74:$BJ$74,"",DY23:EJ23))</f>
        <v>0</v>
      </c>
      <c r="FM23" s="997">
        <f>IF($FG23="Opex",SUMIF('Monthly Summary'!$BK$75:$BV$75,"",EK23:EV23),SUMIF('Monthly Summary'!$BK$74:$BV$74,"",EK23:EV23))</f>
        <v>0</v>
      </c>
      <c r="FN23" s="997">
        <f t="shared" si="7"/>
        <v>0</v>
      </c>
    </row>
    <row r="24" spans="1:170">
      <c r="C24" s="757"/>
      <c r="D24" s="757"/>
      <c r="E24" s="758"/>
      <c r="F24" s="758"/>
      <c r="G24" s="758"/>
      <c r="H24" s="1215"/>
      <c r="I24" s="761"/>
      <c r="J24" s="761"/>
      <c r="K24" s="761"/>
      <c r="L24" s="761"/>
      <c r="M24" s="761"/>
      <c r="N24" s="761"/>
      <c r="O24" s="761"/>
      <c r="P24" s="761"/>
      <c r="Q24" s="761"/>
      <c r="R24" s="761"/>
      <c r="S24" s="1216"/>
      <c r="T24" s="1215"/>
      <c r="U24" s="761"/>
      <c r="V24" s="761"/>
      <c r="W24" s="761"/>
      <c r="X24" s="761"/>
      <c r="Y24" s="761"/>
      <c r="Z24" s="761"/>
      <c r="AA24" s="761"/>
      <c r="AB24" s="761"/>
      <c r="AC24" s="761"/>
      <c r="AD24" s="761"/>
      <c r="AE24" s="1216"/>
      <c r="AF24" s="1215"/>
      <c r="AG24" s="761"/>
      <c r="AH24" s="761"/>
      <c r="AI24" s="761"/>
      <c r="AJ24" s="761"/>
      <c r="AK24" s="761"/>
      <c r="AL24" s="761"/>
      <c r="AM24" s="761"/>
      <c r="AN24" s="761"/>
      <c r="AO24" s="761"/>
      <c r="AP24" s="761"/>
      <c r="AQ24" s="1216"/>
      <c r="AR24" s="1215"/>
      <c r="AS24" s="761"/>
      <c r="AT24" s="761"/>
      <c r="AU24" s="761"/>
      <c r="AV24" s="761"/>
      <c r="AW24" s="761"/>
      <c r="AX24" s="761"/>
      <c r="AY24" s="761"/>
      <c r="AZ24" s="761"/>
      <c r="BA24" s="761"/>
      <c r="BB24" s="761"/>
      <c r="BC24" s="1216"/>
      <c r="BD24" s="1215"/>
      <c r="BE24" s="761"/>
      <c r="BF24" s="761"/>
      <c r="BG24" s="761"/>
      <c r="BH24" s="761"/>
      <c r="BI24" s="761"/>
      <c r="BJ24" s="761"/>
      <c r="BK24" s="761"/>
      <c r="BL24" s="761"/>
      <c r="BM24" s="761"/>
      <c r="BN24" s="761"/>
      <c r="BO24" s="1216"/>
      <c r="BP24" s="1215"/>
      <c r="BQ24" s="761"/>
      <c r="BR24" s="761"/>
      <c r="BS24" s="761"/>
      <c r="BT24" s="761"/>
      <c r="BU24" s="761"/>
      <c r="BV24" s="761"/>
      <c r="BW24" s="761"/>
      <c r="BX24" s="761"/>
      <c r="BY24" s="761"/>
      <c r="BZ24" s="761"/>
      <c r="CA24" s="1216"/>
      <c r="CB24" s="747"/>
      <c r="CC24" s="1222">
        <f>$G24*H24*Variables!$B$53</f>
        <v>0</v>
      </c>
      <c r="CD24" s="1223">
        <f>$G24*I24*Variables!$B$53</f>
        <v>0</v>
      </c>
      <c r="CE24" s="1223">
        <f>$G24*J24*Variables!$B$53</f>
        <v>0</v>
      </c>
      <c r="CF24" s="1223">
        <f>$G24*K24*Variables!$B$53</f>
        <v>0</v>
      </c>
      <c r="CG24" s="1223">
        <f>$G24*L24*Variables!$B$53</f>
        <v>0</v>
      </c>
      <c r="CH24" s="1223">
        <f>$G24*M24*Variables!$B$53</f>
        <v>0</v>
      </c>
      <c r="CI24" s="1223">
        <f>$G24*N24*Variables!$B$53</f>
        <v>0</v>
      </c>
      <c r="CJ24" s="1223">
        <f>$G24*O24*Variables!$B$53</f>
        <v>0</v>
      </c>
      <c r="CK24" s="1223">
        <f>$G24*P24*Variables!$B$53</f>
        <v>0</v>
      </c>
      <c r="CL24" s="1223">
        <f>$G24*Q24*Variables!$B$53</f>
        <v>0</v>
      </c>
      <c r="CM24" s="1223">
        <f>$G24*R24*Variables!$B$53</f>
        <v>0</v>
      </c>
      <c r="CN24" s="1225">
        <f>$G24*S24*Variables!$B$53</f>
        <v>0</v>
      </c>
      <c r="CO24" s="1222">
        <f>$G24*T24*Variables!$B$53*HLOOKUP($CO$2,Variables!$B$60:$F$61,2,FALSE)</f>
        <v>0</v>
      </c>
      <c r="CP24" s="1223">
        <f>$G24*U24*Variables!$B$53*HLOOKUP($CO$2,Variables!$B$60:$F$61,2,FALSE)</f>
        <v>0</v>
      </c>
      <c r="CQ24" s="1223">
        <f>$G24*V24*Variables!$B$53*HLOOKUP($CO$2,Variables!$B$60:$F$61,2,FALSE)</f>
        <v>0</v>
      </c>
      <c r="CR24" s="1223">
        <f>$G24*W24*Variables!$B$53*HLOOKUP($CO$2,Variables!$B$60:$F$61,2,FALSE)</f>
        <v>0</v>
      </c>
      <c r="CS24" s="1223">
        <f>$G24*X24*Variables!$B$53*HLOOKUP($CO$2,Variables!$B$60:$F$61,2,FALSE)</f>
        <v>0</v>
      </c>
      <c r="CT24" s="1223">
        <f>$G24*Y24*Variables!$B$53*HLOOKUP($CO$2,Variables!$B$60:$F$61,2,FALSE)</f>
        <v>0</v>
      </c>
      <c r="CU24" s="1223">
        <f>$G24*Z24*Variables!$B$53*HLOOKUP($CO$2,Variables!$B$60:$F$61,2,FALSE)</f>
        <v>0</v>
      </c>
      <c r="CV24" s="1223">
        <f>$G24*AA24*Variables!$B$53*HLOOKUP($CO$2,Variables!$B$60:$F$61,2,FALSE)</f>
        <v>0</v>
      </c>
      <c r="CW24" s="1223">
        <f>$G24*AB24*Variables!$B$53*HLOOKUP($CO$2,Variables!$B$60:$F$61,2,FALSE)</f>
        <v>0</v>
      </c>
      <c r="CX24" s="1223">
        <f>$G24*AC24*Variables!$B$53*HLOOKUP($CO$2,Variables!$B$60:$F$61,2,FALSE)</f>
        <v>0</v>
      </c>
      <c r="CY24" s="1223">
        <f>$G24*AD24*Variables!$B$53*HLOOKUP($CO$2,Variables!$B$60:$F$61,2,FALSE)</f>
        <v>0</v>
      </c>
      <c r="CZ24" s="1225">
        <f>$G24*AE24*Variables!$B$53*HLOOKUP($CO$2,Variables!$B$60:$F$61,2,FALSE)</f>
        <v>0</v>
      </c>
      <c r="DA24" s="1222">
        <f>$G24*AF24*Variables!$B$53*HLOOKUP($DA$2,Variables!$B$60:$F$61,2,FALSE)</f>
        <v>0</v>
      </c>
      <c r="DB24" s="1223">
        <f>$G24*AG24*Variables!$B$53*HLOOKUP($DA$2,Variables!$B$60:$F$61,2,FALSE)</f>
        <v>0</v>
      </c>
      <c r="DC24" s="1223">
        <f>$G24*AH24*Variables!$B$53*HLOOKUP($DA$2,Variables!$B$60:$F$61,2,FALSE)</f>
        <v>0</v>
      </c>
      <c r="DD24" s="1223">
        <f>$G24*AI24*Variables!$B$53*HLOOKUP($DA$2,Variables!$B$60:$F$61,2,FALSE)</f>
        <v>0</v>
      </c>
      <c r="DE24" s="1223">
        <f>$G24*AJ24*Variables!$B$53*HLOOKUP($DA$2,Variables!$B$60:$F$61,2,FALSE)</f>
        <v>0</v>
      </c>
      <c r="DF24" s="1223">
        <f>$G24*AK24*Variables!$B$53*HLOOKUP($DA$2,Variables!$B$60:$F$61,2,FALSE)</f>
        <v>0</v>
      </c>
      <c r="DG24" s="1223">
        <f>$G24*AL24*Variables!$B$53*HLOOKUP($DA$2,Variables!$B$60:$F$61,2,FALSE)</f>
        <v>0</v>
      </c>
      <c r="DH24" s="1223">
        <f>$G24*AM24*Variables!$B$53*HLOOKUP($DA$2,Variables!$B$60:$F$61,2,FALSE)</f>
        <v>0</v>
      </c>
      <c r="DI24" s="1223">
        <f>$G24*AN24*Variables!$B$53*HLOOKUP($DA$2,Variables!$B$60:$F$61,2,FALSE)</f>
        <v>0</v>
      </c>
      <c r="DJ24" s="1223">
        <f>$G24*AO24*Variables!$B$53*HLOOKUP($DA$2,Variables!$B$60:$F$61,2,FALSE)</f>
        <v>0</v>
      </c>
      <c r="DK24" s="1223">
        <f>$G24*AP24*Variables!$B$53*HLOOKUP($DA$2,Variables!$B$60:$F$61,2,FALSE)</f>
        <v>0</v>
      </c>
      <c r="DL24" s="1225">
        <f>$G24*AQ24*Variables!$B$53*HLOOKUP($DA$2,Variables!$B$60:$F$61,2,FALSE)</f>
        <v>0</v>
      </c>
      <c r="DM24" s="1222">
        <f>$G24*AR24*Variables!$B$53*HLOOKUP($DM$2,Variables!$B$60:$F$61,2,FALSE)</f>
        <v>0</v>
      </c>
      <c r="DN24" s="1223">
        <f>$G24*AS24*Variables!$B$53*HLOOKUP($DM$2,Variables!$B$60:$F$61,2,FALSE)</f>
        <v>0</v>
      </c>
      <c r="DO24" s="1223">
        <f>$G24*AT24*Variables!$B$53*HLOOKUP($DM$2,Variables!$B$60:$F$61,2,FALSE)</f>
        <v>0</v>
      </c>
      <c r="DP24" s="1223">
        <f>$G24*AU24*Variables!$B$53*HLOOKUP($DM$2,Variables!$B$60:$F$61,2,FALSE)</f>
        <v>0</v>
      </c>
      <c r="DQ24" s="1223">
        <f>$G24*AV24*Variables!$B$53*HLOOKUP($DM$2,Variables!$B$60:$F$61,2,FALSE)</f>
        <v>0</v>
      </c>
      <c r="DR24" s="1223">
        <f>$G24*AW24*Variables!$B$53*HLOOKUP($DM$2,Variables!$B$60:$F$61,2,FALSE)</f>
        <v>0</v>
      </c>
      <c r="DS24" s="1223">
        <f>$G24*AX24*Variables!$B$53*HLOOKUP($DM$2,Variables!$B$60:$F$61,2,FALSE)</f>
        <v>0</v>
      </c>
      <c r="DT24" s="1223">
        <f>$G24*AY24*Variables!$B$53*HLOOKUP($DM$2,Variables!$B$60:$F$61,2,FALSE)</f>
        <v>0</v>
      </c>
      <c r="DU24" s="1223">
        <f>$G24*AZ24*Variables!$B$53*HLOOKUP($DM$2,Variables!$B$60:$F$61,2,FALSE)</f>
        <v>0</v>
      </c>
      <c r="DV24" s="1223">
        <f>$G24*BA24*Variables!$B$53*HLOOKUP($DM$2,Variables!$B$60:$F$61,2,FALSE)</f>
        <v>0</v>
      </c>
      <c r="DW24" s="1223">
        <f>$G24*BB24*Variables!$B$53*HLOOKUP($DM$2,Variables!$B$60:$F$61,2,FALSE)</f>
        <v>0</v>
      </c>
      <c r="DX24" s="1225">
        <f>$G24*BC24*Variables!$B$53*HLOOKUP($DM$2,Variables!$B$60:$F$61,2,FALSE)</f>
        <v>0</v>
      </c>
      <c r="DY24" s="1222">
        <f>$G24*BD24*Variables!$B$53*HLOOKUP($DY$2,Variables!$B$60:$F$61,2,FALSE)</f>
        <v>0</v>
      </c>
      <c r="DZ24" s="1223">
        <f>$G24*BE24*Variables!$B$53*HLOOKUP($DY$2,Variables!$B$60:$F$61,2,FALSE)</f>
        <v>0</v>
      </c>
      <c r="EA24" s="1223">
        <f>$G24*BF24*Variables!$B$53*HLOOKUP($DY$2,Variables!$B$60:$F$61,2,FALSE)</f>
        <v>0</v>
      </c>
      <c r="EB24" s="1223">
        <f>$G24*BG24*Variables!$B$53*HLOOKUP($DY$2,Variables!$B$60:$F$61,2,FALSE)</f>
        <v>0</v>
      </c>
      <c r="EC24" s="1223">
        <f>$G24*BH24*Variables!$B$53*HLOOKUP($DY$2,Variables!$B$60:$F$61,2,FALSE)</f>
        <v>0</v>
      </c>
      <c r="ED24" s="1223">
        <f>$G24*BI24*Variables!$B$53*HLOOKUP($DY$2,Variables!$B$60:$F$61,2,FALSE)</f>
        <v>0</v>
      </c>
      <c r="EE24" s="1223">
        <f>$G24*BJ24*Variables!$B$53*HLOOKUP($DY$2,Variables!$B$60:$F$61,2,FALSE)</f>
        <v>0</v>
      </c>
      <c r="EF24" s="1223">
        <f>$G24*BK24*Variables!$B$53*HLOOKUP($DY$2,Variables!$B$60:$F$61,2,FALSE)</f>
        <v>0</v>
      </c>
      <c r="EG24" s="1223">
        <f>$G24*BL24*Variables!$B$53*HLOOKUP($DY$2,Variables!$B$60:$F$61,2,FALSE)</f>
        <v>0</v>
      </c>
      <c r="EH24" s="1223">
        <f>$G24*BM24*Variables!$B$53*HLOOKUP($DY$2,Variables!$B$60:$F$61,2,FALSE)</f>
        <v>0</v>
      </c>
      <c r="EI24" s="1223">
        <f>$G24*BN24*Variables!$B$53*HLOOKUP($DY$2,Variables!$B$60:$F$61,2,FALSE)</f>
        <v>0</v>
      </c>
      <c r="EJ24" s="1225">
        <f>$G24*BO24*Variables!$B$53*HLOOKUP($DY$2,Variables!$B$60:$F$61,2,FALSE)</f>
        <v>0</v>
      </c>
      <c r="EK24" s="1222">
        <f>$G24*BP24*Variables!$B$53*HLOOKUP($EK$2,Variables!$B$60:$F$61,2,FALSE)</f>
        <v>0</v>
      </c>
      <c r="EL24" s="1223">
        <f>$G24*BQ24*Variables!$B$53*HLOOKUP($EK$2,Variables!$B$60:$F$61,2,FALSE)</f>
        <v>0</v>
      </c>
      <c r="EM24" s="1223">
        <f>$G24*BR24*Variables!$B$53*HLOOKUP($EK$2,Variables!$B$60:$F$61,2,FALSE)</f>
        <v>0</v>
      </c>
      <c r="EN24" s="1223">
        <f>$G24*BS24*Variables!$B$53*HLOOKUP($EK$2,Variables!$B$60:$F$61,2,FALSE)</f>
        <v>0</v>
      </c>
      <c r="EO24" s="1223">
        <f>$G24*BT24*Variables!$B$53*HLOOKUP($EK$2,Variables!$B$60:$F$61,2,FALSE)</f>
        <v>0</v>
      </c>
      <c r="EP24" s="1223">
        <f>$G24*BU24*Variables!$B$53*HLOOKUP($EK$2,Variables!$B$60:$F$61,2,FALSE)</f>
        <v>0</v>
      </c>
      <c r="EQ24" s="1223">
        <f>$G24*BV24*Variables!$B$53*HLOOKUP($EK$2,Variables!$B$60:$F$61,2,FALSE)</f>
        <v>0</v>
      </c>
      <c r="ER24" s="1223">
        <f>$G24*BW24*Variables!$B$53*HLOOKUP($EK$2,Variables!$B$60:$F$61,2,FALSE)</f>
        <v>0</v>
      </c>
      <c r="ES24" s="1223">
        <f>$G24*BX24*Variables!$B$53*HLOOKUP($EK$2,Variables!$B$60:$F$61,2,FALSE)</f>
        <v>0</v>
      </c>
      <c r="ET24" s="1223">
        <f>$G24*BY24*Variables!$B$53*HLOOKUP($EK$2,Variables!$B$60:$F$61,2,FALSE)</f>
        <v>0</v>
      </c>
      <c r="EU24" s="1223">
        <f>$G24*BZ24*Variables!$B$53*HLOOKUP($EK$2,Variables!$B$60:$F$61,2,FALSE)</f>
        <v>0</v>
      </c>
      <c r="EV24" s="1225">
        <f>$G24*CA24*Variables!$B$53*HLOOKUP($EK$2,Variables!$B$60:$F$61,2,FALSE)</f>
        <v>0</v>
      </c>
      <c r="EW24" s="872">
        <f t="shared" si="6"/>
        <v>0</v>
      </c>
      <c r="EX24" s="872"/>
      <c r="EY24" s="872"/>
      <c r="EZ24" s="872"/>
      <c r="FA24" s="1332"/>
      <c r="FC24" s="958" t="str">
        <f t="shared" si="3"/>
        <v/>
      </c>
      <c r="FD24" s="959" t="str">
        <f t="shared" si="4"/>
        <v/>
      </c>
      <c r="FE24" s="959" t="s">
        <v>8407</v>
      </c>
      <c r="FF24" s="959" t="str">
        <f>IF(ISNA(VLOOKUP(FC24,Miscellaneous!E:F,2,0)),"",VLOOKUP(FC24,Miscellaneous!E:F,2,0))</f>
        <v/>
      </c>
      <c r="FG24" s="959" t="str">
        <f t="shared" si="5"/>
        <v/>
      </c>
      <c r="FH24" s="996">
        <f>IF($FG24="Opex",SUMIF('Monthly Summary'!$C$75:$N$75,"",CC24:CN24),SUMIF('Monthly Summary'!$C$74:$N$74,"",CC24:CN24))</f>
        <v>0</v>
      </c>
      <c r="FI24" s="996">
        <f>IF($FG24="Opex",SUMIF('Monthly Summary'!$O$75:$Z$75,"",CO24:CZ24),SUMIF('Monthly Summary'!$O$74:$Z$74,"",CO24:CZ24))</f>
        <v>0</v>
      </c>
      <c r="FJ24" s="996">
        <f>IF($FG24="Opex",SUMIF('Monthly Summary'!$AA$75:$AL$75,"",DA24:DL24),SUMIF('Monthly Summary'!$AA$74:$AL$74,"",DA24:DL24))</f>
        <v>0</v>
      </c>
      <c r="FK24" s="996">
        <f>IF($FG24="Opex",SUMIF('Monthly Summary'!$AM$75:$AX$75,"",DM24:DX24),SUMIF('Monthly Summary'!$AM$74:$AX$74,"",DM24:DX24))</f>
        <v>0</v>
      </c>
      <c r="FL24" s="996">
        <f>IF($FG24="Opex",SUMIF('Monthly Summary'!$AY$75:$BJ$75,"",DY24:EJ24),SUMIF('Monthly Summary'!$AY$74:$BJ$74,"",DY24:EJ24))</f>
        <v>0</v>
      </c>
      <c r="FM24" s="997">
        <f>IF($FG24="Opex",SUMIF('Monthly Summary'!$BK$75:$BV$75,"",EK24:EV24),SUMIF('Monthly Summary'!$BK$74:$BV$74,"",EK24:EV24))</f>
        <v>0</v>
      </c>
      <c r="FN24" s="997">
        <f t="shared" si="7"/>
        <v>0</v>
      </c>
    </row>
    <row r="25" spans="1:170">
      <c r="C25" s="757"/>
      <c r="D25" s="757"/>
      <c r="E25" s="758"/>
      <c r="F25" s="758"/>
      <c r="G25" s="758"/>
      <c r="H25" s="1215"/>
      <c r="I25" s="761"/>
      <c r="J25" s="761"/>
      <c r="K25" s="761"/>
      <c r="L25" s="761"/>
      <c r="M25" s="761"/>
      <c r="N25" s="761"/>
      <c r="O25" s="761"/>
      <c r="P25" s="761"/>
      <c r="Q25" s="761"/>
      <c r="R25" s="761"/>
      <c r="S25" s="1216"/>
      <c r="T25" s="1215"/>
      <c r="U25" s="761"/>
      <c r="V25" s="761"/>
      <c r="W25" s="761"/>
      <c r="X25" s="761"/>
      <c r="Y25" s="761"/>
      <c r="Z25" s="761"/>
      <c r="AA25" s="761"/>
      <c r="AB25" s="761"/>
      <c r="AC25" s="761"/>
      <c r="AD25" s="761"/>
      <c r="AE25" s="1216"/>
      <c r="AF25" s="1215"/>
      <c r="AG25" s="761"/>
      <c r="AH25" s="761"/>
      <c r="AI25" s="761"/>
      <c r="AJ25" s="761"/>
      <c r="AK25" s="761"/>
      <c r="AL25" s="761"/>
      <c r="AM25" s="761"/>
      <c r="AN25" s="761"/>
      <c r="AO25" s="761"/>
      <c r="AP25" s="761"/>
      <c r="AQ25" s="1216"/>
      <c r="AR25" s="1215"/>
      <c r="AS25" s="761"/>
      <c r="AT25" s="761"/>
      <c r="AU25" s="761"/>
      <c r="AV25" s="761"/>
      <c r="AW25" s="761"/>
      <c r="AX25" s="761"/>
      <c r="AY25" s="761"/>
      <c r="AZ25" s="761"/>
      <c r="BA25" s="761"/>
      <c r="BB25" s="761"/>
      <c r="BC25" s="1216"/>
      <c r="BD25" s="1215"/>
      <c r="BE25" s="761"/>
      <c r="BF25" s="761"/>
      <c r="BG25" s="761"/>
      <c r="BH25" s="761"/>
      <c r="BI25" s="761"/>
      <c r="BJ25" s="761"/>
      <c r="BK25" s="761"/>
      <c r="BL25" s="761"/>
      <c r="BM25" s="761"/>
      <c r="BN25" s="761"/>
      <c r="BO25" s="1216"/>
      <c r="BP25" s="1215"/>
      <c r="BQ25" s="761"/>
      <c r="BR25" s="761"/>
      <c r="BS25" s="761"/>
      <c r="BT25" s="761"/>
      <c r="BU25" s="761"/>
      <c r="BV25" s="761"/>
      <c r="BW25" s="761"/>
      <c r="BX25" s="761"/>
      <c r="BY25" s="761"/>
      <c r="BZ25" s="761"/>
      <c r="CA25" s="1216"/>
      <c r="CB25" s="747"/>
      <c r="CC25" s="1222">
        <f>$G25*H25*Variables!$B$53</f>
        <v>0</v>
      </c>
      <c r="CD25" s="1223">
        <f>$G25*I25*Variables!$B$53</f>
        <v>0</v>
      </c>
      <c r="CE25" s="1223">
        <f>$G25*J25*Variables!$B$53</f>
        <v>0</v>
      </c>
      <c r="CF25" s="1223">
        <f>$G25*K25*Variables!$B$53</f>
        <v>0</v>
      </c>
      <c r="CG25" s="1223">
        <f>$G25*L25*Variables!$B$53</f>
        <v>0</v>
      </c>
      <c r="CH25" s="1223">
        <f>$G25*M25*Variables!$B$53</f>
        <v>0</v>
      </c>
      <c r="CI25" s="1223">
        <f>$G25*N25*Variables!$B$53</f>
        <v>0</v>
      </c>
      <c r="CJ25" s="1223">
        <f>$G25*O25*Variables!$B$53</f>
        <v>0</v>
      </c>
      <c r="CK25" s="1223">
        <f>$G25*P25*Variables!$B$53</f>
        <v>0</v>
      </c>
      <c r="CL25" s="1223">
        <f>$G25*Q25*Variables!$B$53</f>
        <v>0</v>
      </c>
      <c r="CM25" s="1223">
        <f>$G25*R25*Variables!$B$53</f>
        <v>0</v>
      </c>
      <c r="CN25" s="1225">
        <f>$G25*S25*Variables!$B$53</f>
        <v>0</v>
      </c>
      <c r="CO25" s="1222">
        <f>$G25*T25*Variables!$B$53*HLOOKUP($CO$2,Variables!$B$60:$F$61,2,FALSE)</f>
        <v>0</v>
      </c>
      <c r="CP25" s="1223">
        <f>$G25*U25*Variables!$B$53*HLOOKUP($CO$2,Variables!$B$60:$F$61,2,FALSE)</f>
        <v>0</v>
      </c>
      <c r="CQ25" s="1223">
        <f>$G25*V25*Variables!$B$53*HLOOKUP($CO$2,Variables!$B$60:$F$61,2,FALSE)</f>
        <v>0</v>
      </c>
      <c r="CR25" s="1223">
        <f>$G25*W25*Variables!$B$53*HLOOKUP($CO$2,Variables!$B$60:$F$61,2,FALSE)</f>
        <v>0</v>
      </c>
      <c r="CS25" s="1223">
        <f>$G25*X25*Variables!$B$53*HLOOKUP($CO$2,Variables!$B$60:$F$61,2,FALSE)</f>
        <v>0</v>
      </c>
      <c r="CT25" s="1223">
        <f>$G25*Y25*Variables!$B$53*HLOOKUP($CO$2,Variables!$B$60:$F$61,2,FALSE)</f>
        <v>0</v>
      </c>
      <c r="CU25" s="1223">
        <f>$G25*Z25*Variables!$B$53*HLOOKUP($CO$2,Variables!$B$60:$F$61,2,FALSE)</f>
        <v>0</v>
      </c>
      <c r="CV25" s="1223">
        <f>$G25*AA25*Variables!$B$53*HLOOKUP($CO$2,Variables!$B$60:$F$61,2,FALSE)</f>
        <v>0</v>
      </c>
      <c r="CW25" s="1223">
        <f>$G25*AB25*Variables!$B$53*HLOOKUP($CO$2,Variables!$B$60:$F$61,2,FALSE)</f>
        <v>0</v>
      </c>
      <c r="CX25" s="1223">
        <f>$G25*AC25*Variables!$B$53*HLOOKUP($CO$2,Variables!$B$60:$F$61,2,FALSE)</f>
        <v>0</v>
      </c>
      <c r="CY25" s="1223">
        <f>$G25*AD25*Variables!$B$53*HLOOKUP($CO$2,Variables!$B$60:$F$61,2,FALSE)</f>
        <v>0</v>
      </c>
      <c r="CZ25" s="1225">
        <f>$G25*AE25*Variables!$B$53*HLOOKUP($CO$2,Variables!$B$60:$F$61,2,FALSE)</f>
        <v>0</v>
      </c>
      <c r="DA25" s="1222">
        <f>$G25*AF25*Variables!$B$53*HLOOKUP($DA$2,Variables!$B$60:$F$61,2,FALSE)</f>
        <v>0</v>
      </c>
      <c r="DB25" s="1223">
        <f>$G25*AG25*Variables!$B$53*HLOOKUP($DA$2,Variables!$B$60:$F$61,2,FALSE)</f>
        <v>0</v>
      </c>
      <c r="DC25" s="1223">
        <f>$G25*AH25*Variables!$B$53*HLOOKUP($DA$2,Variables!$B$60:$F$61,2,FALSE)</f>
        <v>0</v>
      </c>
      <c r="DD25" s="1223">
        <f>$G25*AI25*Variables!$B$53*HLOOKUP($DA$2,Variables!$B$60:$F$61,2,FALSE)</f>
        <v>0</v>
      </c>
      <c r="DE25" s="1223">
        <f>$G25*AJ25*Variables!$B$53*HLOOKUP($DA$2,Variables!$B$60:$F$61,2,FALSE)</f>
        <v>0</v>
      </c>
      <c r="DF25" s="1223">
        <f>$G25*AK25*Variables!$B$53*HLOOKUP($DA$2,Variables!$B$60:$F$61,2,FALSE)</f>
        <v>0</v>
      </c>
      <c r="DG25" s="1223">
        <f>$G25*AL25*Variables!$B$53*HLOOKUP($DA$2,Variables!$B$60:$F$61,2,FALSE)</f>
        <v>0</v>
      </c>
      <c r="DH25" s="1223">
        <f>$G25*AM25*Variables!$B$53*HLOOKUP($DA$2,Variables!$B$60:$F$61,2,FALSE)</f>
        <v>0</v>
      </c>
      <c r="DI25" s="1223">
        <f>$G25*AN25*Variables!$B$53*HLOOKUP($DA$2,Variables!$B$60:$F$61,2,FALSE)</f>
        <v>0</v>
      </c>
      <c r="DJ25" s="1223">
        <f>$G25*AO25*Variables!$B$53*HLOOKUP($DA$2,Variables!$B$60:$F$61,2,FALSE)</f>
        <v>0</v>
      </c>
      <c r="DK25" s="1223">
        <f>$G25*AP25*Variables!$B$53*HLOOKUP($DA$2,Variables!$B$60:$F$61,2,FALSE)</f>
        <v>0</v>
      </c>
      <c r="DL25" s="1225">
        <f>$G25*AQ25*Variables!$B$53*HLOOKUP($DA$2,Variables!$B$60:$F$61,2,FALSE)</f>
        <v>0</v>
      </c>
      <c r="DM25" s="1222">
        <f>$G25*AR25*Variables!$B$53*HLOOKUP($DM$2,Variables!$B$60:$F$61,2,FALSE)</f>
        <v>0</v>
      </c>
      <c r="DN25" s="1223">
        <f>$G25*AS25*Variables!$B$53*HLOOKUP($DM$2,Variables!$B$60:$F$61,2,FALSE)</f>
        <v>0</v>
      </c>
      <c r="DO25" s="1223">
        <f>$G25*AT25*Variables!$B$53*HLOOKUP($DM$2,Variables!$B$60:$F$61,2,FALSE)</f>
        <v>0</v>
      </c>
      <c r="DP25" s="1223">
        <f>$G25*AU25*Variables!$B$53*HLOOKUP($DM$2,Variables!$B$60:$F$61,2,FALSE)</f>
        <v>0</v>
      </c>
      <c r="DQ25" s="1223">
        <f>$G25*AV25*Variables!$B$53*HLOOKUP($DM$2,Variables!$B$60:$F$61,2,FALSE)</f>
        <v>0</v>
      </c>
      <c r="DR25" s="1223">
        <f>$G25*AW25*Variables!$B$53*HLOOKUP($DM$2,Variables!$B$60:$F$61,2,FALSE)</f>
        <v>0</v>
      </c>
      <c r="DS25" s="1223">
        <f>$G25*AX25*Variables!$B$53*HLOOKUP($DM$2,Variables!$B$60:$F$61,2,FALSE)</f>
        <v>0</v>
      </c>
      <c r="DT25" s="1223">
        <f>$G25*AY25*Variables!$B$53*HLOOKUP($DM$2,Variables!$B$60:$F$61,2,FALSE)</f>
        <v>0</v>
      </c>
      <c r="DU25" s="1223">
        <f>$G25*AZ25*Variables!$B$53*HLOOKUP($DM$2,Variables!$B$60:$F$61,2,FALSE)</f>
        <v>0</v>
      </c>
      <c r="DV25" s="1223">
        <f>$G25*BA25*Variables!$B$53*HLOOKUP($DM$2,Variables!$B$60:$F$61,2,FALSE)</f>
        <v>0</v>
      </c>
      <c r="DW25" s="1223">
        <f>$G25*BB25*Variables!$B$53*HLOOKUP($DM$2,Variables!$B$60:$F$61,2,FALSE)</f>
        <v>0</v>
      </c>
      <c r="DX25" s="1225">
        <f>$G25*BC25*Variables!$B$53*HLOOKUP($DM$2,Variables!$B$60:$F$61,2,FALSE)</f>
        <v>0</v>
      </c>
      <c r="DY25" s="1222">
        <f>$G25*BD25*Variables!$B$53*HLOOKUP($DY$2,Variables!$B$60:$F$61,2,FALSE)</f>
        <v>0</v>
      </c>
      <c r="DZ25" s="1223">
        <f>$G25*BE25*Variables!$B$53*HLOOKUP($DY$2,Variables!$B$60:$F$61,2,FALSE)</f>
        <v>0</v>
      </c>
      <c r="EA25" s="1223">
        <f>$G25*BF25*Variables!$B$53*HLOOKUP($DY$2,Variables!$B$60:$F$61,2,FALSE)</f>
        <v>0</v>
      </c>
      <c r="EB25" s="1223">
        <f>$G25*BG25*Variables!$B$53*HLOOKUP($DY$2,Variables!$B$60:$F$61,2,FALSE)</f>
        <v>0</v>
      </c>
      <c r="EC25" s="1223">
        <f>$G25*BH25*Variables!$B$53*HLOOKUP($DY$2,Variables!$B$60:$F$61,2,FALSE)</f>
        <v>0</v>
      </c>
      <c r="ED25" s="1223">
        <f>$G25*BI25*Variables!$B$53*HLOOKUP($DY$2,Variables!$B$60:$F$61,2,FALSE)</f>
        <v>0</v>
      </c>
      <c r="EE25" s="1223">
        <f>$G25*BJ25*Variables!$B$53*HLOOKUP($DY$2,Variables!$B$60:$F$61,2,FALSE)</f>
        <v>0</v>
      </c>
      <c r="EF25" s="1223">
        <f>$G25*BK25*Variables!$B$53*HLOOKUP($DY$2,Variables!$B$60:$F$61,2,FALSE)</f>
        <v>0</v>
      </c>
      <c r="EG25" s="1223">
        <f>$G25*BL25*Variables!$B$53*HLOOKUP($DY$2,Variables!$B$60:$F$61,2,FALSE)</f>
        <v>0</v>
      </c>
      <c r="EH25" s="1223">
        <f>$G25*BM25*Variables!$B$53*HLOOKUP($DY$2,Variables!$B$60:$F$61,2,FALSE)</f>
        <v>0</v>
      </c>
      <c r="EI25" s="1223">
        <f>$G25*BN25*Variables!$B$53*HLOOKUP($DY$2,Variables!$B$60:$F$61,2,FALSE)</f>
        <v>0</v>
      </c>
      <c r="EJ25" s="1225">
        <f>$G25*BO25*Variables!$B$53*HLOOKUP($DY$2,Variables!$B$60:$F$61,2,FALSE)</f>
        <v>0</v>
      </c>
      <c r="EK25" s="1222">
        <f>$G25*BP25*Variables!$B$53*HLOOKUP($EK$2,Variables!$B$60:$F$61,2,FALSE)</f>
        <v>0</v>
      </c>
      <c r="EL25" s="1223">
        <f>$G25*BQ25*Variables!$B$53*HLOOKUP($EK$2,Variables!$B$60:$F$61,2,FALSE)</f>
        <v>0</v>
      </c>
      <c r="EM25" s="1223">
        <f>$G25*BR25*Variables!$B$53*HLOOKUP($EK$2,Variables!$B$60:$F$61,2,FALSE)</f>
        <v>0</v>
      </c>
      <c r="EN25" s="1223">
        <f>$G25*BS25*Variables!$B$53*HLOOKUP($EK$2,Variables!$B$60:$F$61,2,FALSE)</f>
        <v>0</v>
      </c>
      <c r="EO25" s="1223">
        <f>$G25*BT25*Variables!$B$53*HLOOKUP($EK$2,Variables!$B$60:$F$61,2,FALSE)</f>
        <v>0</v>
      </c>
      <c r="EP25" s="1223">
        <f>$G25*BU25*Variables!$B$53*HLOOKUP($EK$2,Variables!$B$60:$F$61,2,FALSE)</f>
        <v>0</v>
      </c>
      <c r="EQ25" s="1223">
        <f>$G25*BV25*Variables!$B$53*HLOOKUP($EK$2,Variables!$B$60:$F$61,2,FALSE)</f>
        <v>0</v>
      </c>
      <c r="ER25" s="1223">
        <f>$G25*BW25*Variables!$B$53*HLOOKUP($EK$2,Variables!$B$60:$F$61,2,FALSE)</f>
        <v>0</v>
      </c>
      <c r="ES25" s="1223">
        <f>$G25*BX25*Variables!$B$53*HLOOKUP($EK$2,Variables!$B$60:$F$61,2,FALSE)</f>
        <v>0</v>
      </c>
      <c r="ET25" s="1223">
        <f>$G25*BY25*Variables!$B$53*HLOOKUP($EK$2,Variables!$B$60:$F$61,2,FALSE)</f>
        <v>0</v>
      </c>
      <c r="EU25" s="1223">
        <f>$G25*BZ25*Variables!$B$53*HLOOKUP($EK$2,Variables!$B$60:$F$61,2,FALSE)</f>
        <v>0</v>
      </c>
      <c r="EV25" s="1225">
        <f>$G25*CA25*Variables!$B$53*HLOOKUP($EK$2,Variables!$B$60:$F$61,2,FALSE)</f>
        <v>0</v>
      </c>
      <c r="EW25" s="872">
        <f t="shared" si="6"/>
        <v>0</v>
      </c>
      <c r="EX25" s="872"/>
      <c r="EY25" s="872"/>
      <c r="EZ25" s="872"/>
      <c r="FA25" s="1332"/>
      <c r="FC25" s="958" t="str">
        <f t="shared" si="3"/>
        <v/>
      </c>
      <c r="FD25" s="959" t="str">
        <f t="shared" si="4"/>
        <v/>
      </c>
      <c r="FE25" s="959" t="s">
        <v>8407</v>
      </c>
      <c r="FF25" s="959" t="str">
        <f>IF(ISNA(VLOOKUP(FC25,Miscellaneous!E:F,2,0)),"",VLOOKUP(FC25,Miscellaneous!E:F,2,0))</f>
        <v/>
      </c>
      <c r="FG25" s="959" t="str">
        <f t="shared" si="5"/>
        <v/>
      </c>
      <c r="FH25" s="996">
        <f>IF($FG25="Opex",SUMIF('Monthly Summary'!$C$75:$N$75,"",CC25:CN25),SUMIF('Monthly Summary'!$C$74:$N$74,"",CC25:CN25))</f>
        <v>0</v>
      </c>
      <c r="FI25" s="996">
        <f>IF($FG25="Opex",SUMIF('Monthly Summary'!$O$75:$Z$75,"",CO25:CZ25),SUMIF('Monthly Summary'!$O$74:$Z$74,"",CO25:CZ25))</f>
        <v>0</v>
      </c>
      <c r="FJ25" s="996">
        <f>IF($FG25="Opex",SUMIF('Monthly Summary'!$AA$75:$AL$75,"",DA25:DL25),SUMIF('Monthly Summary'!$AA$74:$AL$74,"",DA25:DL25))</f>
        <v>0</v>
      </c>
      <c r="FK25" s="996">
        <f>IF($FG25="Opex",SUMIF('Monthly Summary'!$AM$75:$AX$75,"",DM25:DX25),SUMIF('Monthly Summary'!$AM$74:$AX$74,"",DM25:DX25))</f>
        <v>0</v>
      </c>
      <c r="FL25" s="996">
        <f>IF($FG25="Opex",SUMIF('Monthly Summary'!$AY$75:$BJ$75,"",DY25:EJ25),SUMIF('Monthly Summary'!$AY$74:$BJ$74,"",DY25:EJ25))</f>
        <v>0</v>
      </c>
      <c r="FM25" s="997">
        <f>IF($FG25="Opex",SUMIF('Monthly Summary'!$BK$75:$BV$75,"",EK25:EV25),SUMIF('Monthly Summary'!$BK$74:$BV$74,"",EK25:EV25))</f>
        <v>0</v>
      </c>
      <c r="FN25" s="997">
        <f t="shared" si="7"/>
        <v>0</v>
      </c>
    </row>
    <row r="26" spans="1:170">
      <c r="C26" s="757"/>
      <c r="D26" s="757"/>
      <c r="E26" s="758"/>
      <c r="F26" s="758"/>
      <c r="G26" s="758"/>
      <c r="H26" s="1215"/>
      <c r="I26" s="761"/>
      <c r="J26" s="761"/>
      <c r="K26" s="761"/>
      <c r="L26" s="761"/>
      <c r="M26" s="761"/>
      <c r="N26" s="761"/>
      <c r="O26" s="761"/>
      <c r="P26" s="761"/>
      <c r="Q26" s="761"/>
      <c r="R26" s="761"/>
      <c r="S26" s="1216"/>
      <c r="T26" s="1215"/>
      <c r="U26" s="761"/>
      <c r="V26" s="761"/>
      <c r="W26" s="761"/>
      <c r="X26" s="761"/>
      <c r="Y26" s="761"/>
      <c r="Z26" s="761"/>
      <c r="AA26" s="761"/>
      <c r="AB26" s="761"/>
      <c r="AC26" s="761"/>
      <c r="AD26" s="761"/>
      <c r="AE26" s="1216"/>
      <c r="AF26" s="1215"/>
      <c r="AG26" s="761"/>
      <c r="AH26" s="761"/>
      <c r="AI26" s="761"/>
      <c r="AJ26" s="761"/>
      <c r="AK26" s="761"/>
      <c r="AL26" s="761"/>
      <c r="AM26" s="761"/>
      <c r="AN26" s="761"/>
      <c r="AO26" s="761"/>
      <c r="AP26" s="761"/>
      <c r="AQ26" s="1216"/>
      <c r="AR26" s="1215"/>
      <c r="AS26" s="761"/>
      <c r="AT26" s="761"/>
      <c r="AU26" s="761"/>
      <c r="AV26" s="761"/>
      <c r="AW26" s="761"/>
      <c r="AX26" s="761"/>
      <c r="AY26" s="761"/>
      <c r="AZ26" s="761"/>
      <c r="BA26" s="761"/>
      <c r="BB26" s="761"/>
      <c r="BC26" s="1216"/>
      <c r="BD26" s="1215"/>
      <c r="BE26" s="761"/>
      <c r="BF26" s="761"/>
      <c r="BG26" s="761"/>
      <c r="BH26" s="761"/>
      <c r="BI26" s="761"/>
      <c r="BJ26" s="761"/>
      <c r="BK26" s="761"/>
      <c r="BL26" s="761"/>
      <c r="BM26" s="761"/>
      <c r="BN26" s="761"/>
      <c r="BO26" s="1216"/>
      <c r="BP26" s="1215"/>
      <c r="BQ26" s="761"/>
      <c r="BR26" s="761"/>
      <c r="BS26" s="761"/>
      <c r="BT26" s="761"/>
      <c r="BU26" s="761"/>
      <c r="BV26" s="761"/>
      <c r="BW26" s="761"/>
      <c r="BX26" s="761"/>
      <c r="BY26" s="761"/>
      <c r="BZ26" s="761"/>
      <c r="CA26" s="1216"/>
      <c r="CB26" s="747"/>
      <c r="CC26" s="1222">
        <f>$G26*H26*Variables!$B$53</f>
        <v>0</v>
      </c>
      <c r="CD26" s="1223">
        <f>$G26*I26*Variables!$B$53</f>
        <v>0</v>
      </c>
      <c r="CE26" s="1223">
        <f>$G26*J26*Variables!$B$53</f>
        <v>0</v>
      </c>
      <c r="CF26" s="1223">
        <f>$G26*K26*Variables!$B$53</f>
        <v>0</v>
      </c>
      <c r="CG26" s="1223">
        <f>$G26*L26*Variables!$B$53</f>
        <v>0</v>
      </c>
      <c r="CH26" s="1223">
        <f>$G26*M26*Variables!$B$53</f>
        <v>0</v>
      </c>
      <c r="CI26" s="1223">
        <f>$G26*N26*Variables!$B$53</f>
        <v>0</v>
      </c>
      <c r="CJ26" s="1223">
        <f>$G26*O26*Variables!$B$53</f>
        <v>0</v>
      </c>
      <c r="CK26" s="1223">
        <f>$G26*P26*Variables!$B$53</f>
        <v>0</v>
      </c>
      <c r="CL26" s="1223">
        <f>$G26*Q26*Variables!$B$53</f>
        <v>0</v>
      </c>
      <c r="CM26" s="1223">
        <f>$G26*R26*Variables!$B$53</f>
        <v>0</v>
      </c>
      <c r="CN26" s="1225">
        <f>$G26*S26*Variables!$B$53</f>
        <v>0</v>
      </c>
      <c r="CO26" s="1222">
        <f>$G26*T26*Variables!$B$53*HLOOKUP($CO$2,Variables!$B$60:$F$61,2,FALSE)</f>
        <v>0</v>
      </c>
      <c r="CP26" s="1223">
        <f>$G26*U26*Variables!$B$53*HLOOKUP($CO$2,Variables!$B$60:$F$61,2,FALSE)</f>
        <v>0</v>
      </c>
      <c r="CQ26" s="1223">
        <f>$G26*V26*Variables!$B$53*HLOOKUP($CO$2,Variables!$B$60:$F$61,2,FALSE)</f>
        <v>0</v>
      </c>
      <c r="CR26" s="1223">
        <f>$G26*W26*Variables!$B$53*HLOOKUP($CO$2,Variables!$B$60:$F$61,2,FALSE)</f>
        <v>0</v>
      </c>
      <c r="CS26" s="1223">
        <f>$G26*X26*Variables!$B$53*HLOOKUP($CO$2,Variables!$B$60:$F$61,2,FALSE)</f>
        <v>0</v>
      </c>
      <c r="CT26" s="1223">
        <f>$G26*Y26*Variables!$B$53*HLOOKUP($CO$2,Variables!$B$60:$F$61,2,FALSE)</f>
        <v>0</v>
      </c>
      <c r="CU26" s="1223">
        <f>$G26*Z26*Variables!$B$53*HLOOKUP($CO$2,Variables!$B$60:$F$61,2,FALSE)</f>
        <v>0</v>
      </c>
      <c r="CV26" s="1223">
        <f>$G26*AA26*Variables!$B$53*HLOOKUP($CO$2,Variables!$B$60:$F$61,2,FALSE)</f>
        <v>0</v>
      </c>
      <c r="CW26" s="1223">
        <f>$G26*AB26*Variables!$B$53*HLOOKUP($CO$2,Variables!$B$60:$F$61,2,FALSE)</f>
        <v>0</v>
      </c>
      <c r="CX26" s="1223">
        <f>$G26*AC26*Variables!$B$53*HLOOKUP($CO$2,Variables!$B$60:$F$61,2,FALSE)</f>
        <v>0</v>
      </c>
      <c r="CY26" s="1223">
        <f>$G26*AD26*Variables!$B$53*HLOOKUP($CO$2,Variables!$B$60:$F$61,2,FALSE)</f>
        <v>0</v>
      </c>
      <c r="CZ26" s="1225">
        <f>$G26*AE26*Variables!$B$53*HLOOKUP($CO$2,Variables!$B$60:$F$61,2,FALSE)</f>
        <v>0</v>
      </c>
      <c r="DA26" s="1222">
        <f>$G26*AF26*Variables!$B$53*HLOOKUP($DA$2,Variables!$B$60:$F$61,2,FALSE)</f>
        <v>0</v>
      </c>
      <c r="DB26" s="1223">
        <f>$G26*AG26*Variables!$B$53*HLOOKUP($DA$2,Variables!$B$60:$F$61,2,FALSE)</f>
        <v>0</v>
      </c>
      <c r="DC26" s="1223">
        <f>$G26*AH26*Variables!$B$53*HLOOKUP($DA$2,Variables!$B$60:$F$61,2,FALSE)</f>
        <v>0</v>
      </c>
      <c r="DD26" s="1223">
        <f>$G26*AI26*Variables!$B$53*HLOOKUP($DA$2,Variables!$B$60:$F$61,2,FALSE)</f>
        <v>0</v>
      </c>
      <c r="DE26" s="1223">
        <f>$G26*AJ26*Variables!$B$53*HLOOKUP($DA$2,Variables!$B$60:$F$61,2,FALSE)</f>
        <v>0</v>
      </c>
      <c r="DF26" s="1223">
        <f>$G26*AK26*Variables!$B$53*HLOOKUP($DA$2,Variables!$B$60:$F$61,2,FALSE)</f>
        <v>0</v>
      </c>
      <c r="DG26" s="1223">
        <f>$G26*AL26*Variables!$B$53*HLOOKUP($DA$2,Variables!$B$60:$F$61,2,FALSE)</f>
        <v>0</v>
      </c>
      <c r="DH26" s="1223">
        <f>$G26*AM26*Variables!$B$53*HLOOKUP($DA$2,Variables!$B$60:$F$61,2,FALSE)</f>
        <v>0</v>
      </c>
      <c r="DI26" s="1223">
        <f>$G26*AN26*Variables!$B$53*HLOOKUP($DA$2,Variables!$B$60:$F$61,2,FALSE)</f>
        <v>0</v>
      </c>
      <c r="DJ26" s="1223">
        <f>$G26*AO26*Variables!$B$53*HLOOKUP($DA$2,Variables!$B$60:$F$61,2,FALSE)</f>
        <v>0</v>
      </c>
      <c r="DK26" s="1223">
        <f>$G26*AP26*Variables!$B$53*HLOOKUP($DA$2,Variables!$B$60:$F$61,2,FALSE)</f>
        <v>0</v>
      </c>
      <c r="DL26" s="1225">
        <f>$G26*AQ26*Variables!$B$53*HLOOKUP($DA$2,Variables!$B$60:$F$61,2,FALSE)</f>
        <v>0</v>
      </c>
      <c r="DM26" s="1222">
        <f>$G26*AR26*Variables!$B$53*HLOOKUP($DM$2,Variables!$B$60:$F$61,2,FALSE)</f>
        <v>0</v>
      </c>
      <c r="DN26" s="1223">
        <f>$G26*AS26*Variables!$B$53*HLOOKUP($DM$2,Variables!$B$60:$F$61,2,FALSE)</f>
        <v>0</v>
      </c>
      <c r="DO26" s="1223">
        <f>$G26*AT26*Variables!$B$53*HLOOKUP($DM$2,Variables!$B$60:$F$61,2,FALSE)</f>
        <v>0</v>
      </c>
      <c r="DP26" s="1223">
        <f>$G26*AU26*Variables!$B$53*HLOOKUP($DM$2,Variables!$B$60:$F$61,2,FALSE)</f>
        <v>0</v>
      </c>
      <c r="DQ26" s="1223">
        <f>$G26*AV26*Variables!$B$53*HLOOKUP($DM$2,Variables!$B$60:$F$61,2,FALSE)</f>
        <v>0</v>
      </c>
      <c r="DR26" s="1223">
        <f>$G26*AW26*Variables!$B$53*HLOOKUP($DM$2,Variables!$B$60:$F$61,2,FALSE)</f>
        <v>0</v>
      </c>
      <c r="DS26" s="1223">
        <f>$G26*AX26*Variables!$B$53*HLOOKUP($DM$2,Variables!$B$60:$F$61,2,FALSE)</f>
        <v>0</v>
      </c>
      <c r="DT26" s="1223">
        <f>$G26*AY26*Variables!$B$53*HLOOKUP($DM$2,Variables!$B$60:$F$61,2,FALSE)</f>
        <v>0</v>
      </c>
      <c r="DU26" s="1223">
        <f>$G26*AZ26*Variables!$B$53*HLOOKUP($DM$2,Variables!$B$60:$F$61,2,FALSE)</f>
        <v>0</v>
      </c>
      <c r="DV26" s="1223">
        <f>$G26*BA26*Variables!$B$53*HLOOKUP($DM$2,Variables!$B$60:$F$61,2,FALSE)</f>
        <v>0</v>
      </c>
      <c r="DW26" s="1223">
        <f>$G26*BB26*Variables!$B$53*HLOOKUP($DM$2,Variables!$B$60:$F$61,2,FALSE)</f>
        <v>0</v>
      </c>
      <c r="DX26" s="1225">
        <f>$G26*BC26*Variables!$B$53*HLOOKUP($DM$2,Variables!$B$60:$F$61,2,FALSE)</f>
        <v>0</v>
      </c>
      <c r="DY26" s="1222">
        <f>$G26*BD26*Variables!$B$53*HLOOKUP($DY$2,Variables!$B$60:$F$61,2,FALSE)</f>
        <v>0</v>
      </c>
      <c r="DZ26" s="1223">
        <f>$G26*BE26*Variables!$B$53*HLOOKUP($DY$2,Variables!$B$60:$F$61,2,FALSE)</f>
        <v>0</v>
      </c>
      <c r="EA26" s="1223">
        <f>$G26*BF26*Variables!$B$53*HLOOKUP($DY$2,Variables!$B$60:$F$61,2,FALSE)</f>
        <v>0</v>
      </c>
      <c r="EB26" s="1223">
        <f>$G26*BG26*Variables!$B$53*HLOOKUP($DY$2,Variables!$B$60:$F$61,2,FALSE)</f>
        <v>0</v>
      </c>
      <c r="EC26" s="1223">
        <f>$G26*BH26*Variables!$B$53*HLOOKUP($DY$2,Variables!$B$60:$F$61,2,FALSE)</f>
        <v>0</v>
      </c>
      <c r="ED26" s="1223">
        <f>$G26*BI26*Variables!$B$53*HLOOKUP($DY$2,Variables!$B$60:$F$61,2,FALSE)</f>
        <v>0</v>
      </c>
      <c r="EE26" s="1223">
        <f>$G26*BJ26*Variables!$B$53*HLOOKUP($DY$2,Variables!$B$60:$F$61,2,FALSE)</f>
        <v>0</v>
      </c>
      <c r="EF26" s="1223">
        <f>$G26*BK26*Variables!$B$53*HLOOKUP($DY$2,Variables!$B$60:$F$61,2,FALSE)</f>
        <v>0</v>
      </c>
      <c r="EG26" s="1223">
        <f>$G26*BL26*Variables!$B$53*HLOOKUP($DY$2,Variables!$B$60:$F$61,2,FALSE)</f>
        <v>0</v>
      </c>
      <c r="EH26" s="1223">
        <f>$G26*BM26*Variables!$B$53*HLOOKUP($DY$2,Variables!$B$60:$F$61,2,FALSE)</f>
        <v>0</v>
      </c>
      <c r="EI26" s="1223">
        <f>$G26*BN26*Variables!$B$53*HLOOKUP($DY$2,Variables!$B$60:$F$61,2,FALSE)</f>
        <v>0</v>
      </c>
      <c r="EJ26" s="1225">
        <f>$G26*BO26*Variables!$B$53*HLOOKUP($DY$2,Variables!$B$60:$F$61,2,FALSE)</f>
        <v>0</v>
      </c>
      <c r="EK26" s="1222">
        <f>$G26*BP26*Variables!$B$53*HLOOKUP($EK$2,Variables!$B$60:$F$61,2,FALSE)</f>
        <v>0</v>
      </c>
      <c r="EL26" s="1223">
        <f>$G26*BQ26*Variables!$B$53*HLOOKUP($EK$2,Variables!$B$60:$F$61,2,FALSE)</f>
        <v>0</v>
      </c>
      <c r="EM26" s="1223">
        <f>$G26*BR26*Variables!$B$53*HLOOKUP($EK$2,Variables!$B$60:$F$61,2,FALSE)</f>
        <v>0</v>
      </c>
      <c r="EN26" s="1223">
        <f>$G26*BS26*Variables!$B$53*HLOOKUP($EK$2,Variables!$B$60:$F$61,2,FALSE)</f>
        <v>0</v>
      </c>
      <c r="EO26" s="1223">
        <f>$G26*BT26*Variables!$B$53*HLOOKUP($EK$2,Variables!$B$60:$F$61,2,FALSE)</f>
        <v>0</v>
      </c>
      <c r="EP26" s="1223">
        <f>$G26*BU26*Variables!$B$53*HLOOKUP($EK$2,Variables!$B$60:$F$61,2,FALSE)</f>
        <v>0</v>
      </c>
      <c r="EQ26" s="1223">
        <f>$G26*BV26*Variables!$B$53*HLOOKUP($EK$2,Variables!$B$60:$F$61,2,FALSE)</f>
        <v>0</v>
      </c>
      <c r="ER26" s="1223">
        <f>$G26*BW26*Variables!$B$53*HLOOKUP($EK$2,Variables!$B$60:$F$61,2,FALSE)</f>
        <v>0</v>
      </c>
      <c r="ES26" s="1223">
        <f>$G26*BX26*Variables!$B$53*HLOOKUP($EK$2,Variables!$B$60:$F$61,2,FALSE)</f>
        <v>0</v>
      </c>
      <c r="ET26" s="1223">
        <f>$G26*BY26*Variables!$B$53*HLOOKUP($EK$2,Variables!$B$60:$F$61,2,FALSE)</f>
        <v>0</v>
      </c>
      <c r="EU26" s="1223">
        <f>$G26*BZ26*Variables!$B$53*HLOOKUP($EK$2,Variables!$B$60:$F$61,2,FALSE)</f>
        <v>0</v>
      </c>
      <c r="EV26" s="1225">
        <f>$G26*CA26*Variables!$B$53*HLOOKUP($EK$2,Variables!$B$60:$F$61,2,FALSE)</f>
        <v>0</v>
      </c>
      <c r="EW26" s="872">
        <f t="shared" si="6"/>
        <v>0</v>
      </c>
      <c r="EX26" s="872"/>
      <c r="EY26" s="872"/>
      <c r="EZ26" s="872"/>
      <c r="FA26" s="1332"/>
      <c r="FC26" s="958" t="str">
        <f t="shared" si="3"/>
        <v/>
      </c>
      <c r="FD26" s="959" t="str">
        <f t="shared" si="4"/>
        <v/>
      </c>
      <c r="FE26" s="959" t="s">
        <v>8407</v>
      </c>
      <c r="FF26" s="959" t="str">
        <f>IF(ISNA(VLOOKUP(FC26,Miscellaneous!E:F,2,0)),"",VLOOKUP(FC26,Miscellaneous!E:F,2,0))</f>
        <v/>
      </c>
      <c r="FG26" s="959" t="str">
        <f t="shared" si="5"/>
        <v/>
      </c>
      <c r="FH26" s="996">
        <f>IF($FG26="Opex",SUMIF('Monthly Summary'!$C$75:$N$75,"",CC26:CN26),SUMIF('Monthly Summary'!$C$74:$N$74,"",CC26:CN26))</f>
        <v>0</v>
      </c>
      <c r="FI26" s="996">
        <f>IF($FG26="Opex",SUMIF('Monthly Summary'!$O$75:$Z$75,"",CO26:CZ26),SUMIF('Monthly Summary'!$O$74:$Z$74,"",CO26:CZ26))</f>
        <v>0</v>
      </c>
      <c r="FJ26" s="996">
        <f>IF($FG26="Opex",SUMIF('Monthly Summary'!$AA$75:$AL$75,"",DA26:DL26),SUMIF('Monthly Summary'!$AA$74:$AL$74,"",DA26:DL26))</f>
        <v>0</v>
      </c>
      <c r="FK26" s="996">
        <f>IF($FG26="Opex",SUMIF('Monthly Summary'!$AM$75:$AX$75,"",DM26:DX26),SUMIF('Monthly Summary'!$AM$74:$AX$74,"",DM26:DX26))</f>
        <v>0</v>
      </c>
      <c r="FL26" s="996">
        <f>IF($FG26="Opex",SUMIF('Monthly Summary'!$AY$75:$BJ$75,"",DY26:EJ26),SUMIF('Monthly Summary'!$AY$74:$BJ$74,"",DY26:EJ26))</f>
        <v>0</v>
      </c>
      <c r="FM26" s="997">
        <f>IF($FG26="Opex",SUMIF('Monthly Summary'!$BK$75:$BV$75,"",EK26:EV26),SUMIF('Monthly Summary'!$BK$74:$BV$74,"",EK26:EV26))</f>
        <v>0</v>
      </c>
      <c r="FN26" s="997">
        <f t="shared" si="7"/>
        <v>0</v>
      </c>
    </row>
    <row r="27" spans="1:170">
      <c r="C27" s="757"/>
      <c r="D27" s="762"/>
      <c r="E27" s="758"/>
      <c r="F27" s="758"/>
      <c r="G27" s="758"/>
      <c r="H27" s="1215"/>
      <c r="I27" s="761"/>
      <c r="J27" s="761"/>
      <c r="K27" s="761"/>
      <c r="L27" s="761"/>
      <c r="M27" s="761"/>
      <c r="N27" s="761"/>
      <c r="O27" s="761"/>
      <c r="P27" s="761"/>
      <c r="Q27" s="761"/>
      <c r="R27" s="761"/>
      <c r="S27" s="1216"/>
      <c r="T27" s="1215"/>
      <c r="U27" s="761"/>
      <c r="V27" s="761"/>
      <c r="W27" s="761"/>
      <c r="X27" s="761"/>
      <c r="Y27" s="761"/>
      <c r="Z27" s="761"/>
      <c r="AA27" s="761"/>
      <c r="AB27" s="761"/>
      <c r="AC27" s="761"/>
      <c r="AD27" s="761"/>
      <c r="AE27" s="1216"/>
      <c r="AF27" s="1215"/>
      <c r="AG27" s="761"/>
      <c r="AH27" s="761"/>
      <c r="AI27" s="761"/>
      <c r="AJ27" s="761"/>
      <c r="AK27" s="761"/>
      <c r="AL27" s="761"/>
      <c r="AM27" s="761"/>
      <c r="AN27" s="761"/>
      <c r="AO27" s="761"/>
      <c r="AP27" s="761"/>
      <c r="AQ27" s="1216"/>
      <c r="AR27" s="1215"/>
      <c r="AS27" s="761"/>
      <c r="AT27" s="761"/>
      <c r="AU27" s="761"/>
      <c r="AV27" s="761"/>
      <c r="AW27" s="761"/>
      <c r="AX27" s="761"/>
      <c r="AY27" s="761"/>
      <c r="AZ27" s="761"/>
      <c r="BA27" s="761"/>
      <c r="BB27" s="761"/>
      <c r="BC27" s="1216"/>
      <c r="BD27" s="1215"/>
      <c r="BE27" s="761"/>
      <c r="BF27" s="761"/>
      <c r="BG27" s="761"/>
      <c r="BH27" s="761"/>
      <c r="BI27" s="761"/>
      <c r="BJ27" s="761"/>
      <c r="BK27" s="761"/>
      <c r="BL27" s="761"/>
      <c r="BM27" s="761"/>
      <c r="BN27" s="761"/>
      <c r="BO27" s="1216"/>
      <c r="BP27" s="1215"/>
      <c r="BQ27" s="761"/>
      <c r="BR27" s="761"/>
      <c r="BS27" s="761"/>
      <c r="BT27" s="761"/>
      <c r="BU27" s="761"/>
      <c r="BV27" s="761"/>
      <c r="BW27" s="761"/>
      <c r="BX27" s="761"/>
      <c r="BY27" s="761"/>
      <c r="BZ27" s="761"/>
      <c r="CA27" s="1216"/>
      <c r="CB27" s="747"/>
      <c r="CC27" s="1222">
        <f>$G27*H27*Variables!$B$53</f>
        <v>0</v>
      </c>
      <c r="CD27" s="1223">
        <f>$G27*I27*Variables!$B$53</f>
        <v>0</v>
      </c>
      <c r="CE27" s="1223">
        <f>$G27*J27*Variables!$B$53</f>
        <v>0</v>
      </c>
      <c r="CF27" s="1223">
        <f>$G27*K27*Variables!$B$53</f>
        <v>0</v>
      </c>
      <c r="CG27" s="1223">
        <f>$G27*L27*Variables!$B$53</f>
        <v>0</v>
      </c>
      <c r="CH27" s="1223">
        <f>$G27*M27*Variables!$B$53</f>
        <v>0</v>
      </c>
      <c r="CI27" s="1223">
        <f>$G27*N27*Variables!$B$53</f>
        <v>0</v>
      </c>
      <c r="CJ27" s="1223">
        <f>$G27*O27*Variables!$B$53</f>
        <v>0</v>
      </c>
      <c r="CK27" s="1223">
        <f>$G27*P27*Variables!$B$53</f>
        <v>0</v>
      </c>
      <c r="CL27" s="1223">
        <f>$G27*Q27*Variables!$B$53</f>
        <v>0</v>
      </c>
      <c r="CM27" s="1223">
        <f>$G27*R27*Variables!$B$53</f>
        <v>0</v>
      </c>
      <c r="CN27" s="1225">
        <f>$G27*S27*Variables!$B$53</f>
        <v>0</v>
      </c>
      <c r="CO27" s="1222">
        <f>$G27*T27*Variables!$B$53*HLOOKUP($CO$2,Variables!$B$60:$F$61,2,FALSE)</f>
        <v>0</v>
      </c>
      <c r="CP27" s="1223">
        <f>$G27*U27*Variables!$B$53*HLOOKUP($CO$2,Variables!$B$60:$F$61,2,FALSE)</f>
        <v>0</v>
      </c>
      <c r="CQ27" s="1223">
        <f>$G27*V27*Variables!$B$53*HLOOKUP($CO$2,Variables!$B$60:$F$61,2,FALSE)</f>
        <v>0</v>
      </c>
      <c r="CR27" s="1223">
        <f>$G27*W27*Variables!$B$53*HLOOKUP($CO$2,Variables!$B$60:$F$61,2,FALSE)</f>
        <v>0</v>
      </c>
      <c r="CS27" s="1223">
        <f>$G27*X27*Variables!$B$53*HLOOKUP($CO$2,Variables!$B$60:$F$61,2,FALSE)</f>
        <v>0</v>
      </c>
      <c r="CT27" s="1223">
        <f>$G27*Y27*Variables!$B$53*HLOOKUP($CO$2,Variables!$B$60:$F$61,2,FALSE)</f>
        <v>0</v>
      </c>
      <c r="CU27" s="1223">
        <f>$G27*Z27*Variables!$B$53*HLOOKUP($CO$2,Variables!$B$60:$F$61,2,FALSE)</f>
        <v>0</v>
      </c>
      <c r="CV27" s="1223">
        <f>$G27*AA27*Variables!$B$53*HLOOKUP($CO$2,Variables!$B$60:$F$61,2,FALSE)</f>
        <v>0</v>
      </c>
      <c r="CW27" s="1223">
        <f>$G27*AB27*Variables!$B$53*HLOOKUP($CO$2,Variables!$B$60:$F$61,2,FALSE)</f>
        <v>0</v>
      </c>
      <c r="CX27" s="1223">
        <f>$G27*AC27*Variables!$B$53*HLOOKUP($CO$2,Variables!$B$60:$F$61,2,FALSE)</f>
        <v>0</v>
      </c>
      <c r="CY27" s="1223">
        <f>$G27*AD27*Variables!$B$53*HLOOKUP($CO$2,Variables!$B$60:$F$61,2,FALSE)</f>
        <v>0</v>
      </c>
      <c r="CZ27" s="1225">
        <f>$G27*AE27*Variables!$B$53*HLOOKUP($CO$2,Variables!$B$60:$F$61,2,FALSE)</f>
        <v>0</v>
      </c>
      <c r="DA27" s="1222">
        <f>$G27*AF27*Variables!$B$53*HLOOKUP($DA$2,Variables!$B$60:$F$61,2,FALSE)</f>
        <v>0</v>
      </c>
      <c r="DB27" s="1223">
        <f>$G27*AG27*Variables!$B$53*HLOOKUP($DA$2,Variables!$B$60:$F$61,2,FALSE)</f>
        <v>0</v>
      </c>
      <c r="DC27" s="1223">
        <f>$G27*AH27*Variables!$B$53*HLOOKUP($DA$2,Variables!$B$60:$F$61,2,FALSE)</f>
        <v>0</v>
      </c>
      <c r="DD27" s="1223">
        <f>$G27*AI27*Variables!$B$53*HLOOKUP($DA$2,Variables!$B$60:$F$61,2,FALSE)</f>
        <v>0</v>
      </c>
      <c r="DE27" s="1223">
        <f>$G27*AJ27*Variables!$B$53*HLOOKUP($DA$2,Variables!$B$60:$F$61,2,FALSE)</f>
        <v>0</v>
      </c>
      <c r="DF27" s="1223">
        <f>$G27*AK27*Variables!$B$53*HLOOKUP($DA$2,Variables!$B$60:$F$61,2,FALSE)</f>
        <v>0</v>
      </c>
      <c r="DG27" s="1223">
        <f>$G27*AL27*Variables!$B$53*HLOOKUP($DA$2,Variables!$B$60:$F$61,2,FALSE)</f>
        <v>0</v>
      </c>
      <c r="DH27" s="1223">
        <f>$G27*AM27*Variables!$B$53*HLOOKUP($DA$2,Variables!$B$60:$F$61,2,FALSE)</f>
        <v>0</v>
      </c>
      <c r="DI27" s="1223">
        <f>$G27*AN27*Variables!$B$53*HLOOKUP($DA$2,Variables!$B$60:$F$61,2,FALSE)</f>
        <v>0</v>
      </c>
      <c r="DJ27" s="1223">
        <f>$G27*AO27*Variables!$B$53*HLOOKUP($DA$2,Variables!$B$60:$F$61,2,FALSE)</f>
        <v>0</v>
      </c>
      <c r="DK27" s="1223">
        <f>$G27*AP27*Variables!$B$53*HLOOKUP($DA$2,Variables!$B$60:$F$61,2,FALSE)</f>
        <v>0</v>
      </c>
      <c r="DL27" s="1225">
        <f>$G27*AQ27*Variables!$B$53*HLOOKUP($DA$2,Variables!$B$60:$F$61,2,FALSE)</f>
        <v>0</v>
      </c>
      <c r="DM27" s="1222">
        <f>$G27*AR27*Variables!$B$53*HLOOKUP($DM$2,Variables!$B$60:$F$61,2,FALSE)</f>
        <v>0</v>
      </c>
      <c r="DN27" s="1223">
        <f>$G27*AS27*Variables!$B$53*HLOOKUP($DM$2,Variables!$B$60:$F$61,2,FALSE)</f>
        <v>0</v>
      </c>
      <c r="DO27" s="1223">
        <f>$G27*AT27*Variables!$B$53*HLOOKUP($DM$2,Variables!$B$60:$F$61,2,FALSE)</f>
        <v>0</v>
      </c>
      <c r="DP27" s="1223">
        <f>$G27*AU27*Variables!$B$53*HLOOKUP($DM$2,Variables!$B$60:$F$61,2,FALSE)</f>
        <v>0</v>
      </c>
      <c r="DQ27" s="1223">
        <f>$G27*AV27*Variables!$B$53*HLOOKUP($DM$2,Variables!$B$60:$F$61,2,FALSE)</f>
        <v>0</v>
      </c>
      <c r="DR27" s="1223">
        <f>$G27*AW27*Variables!$B$53*HLOOKUP($DM$2,Variables!$B$60:$F$61,2,FALSE)</f>
        <v>0</v>
      </c>
      <c r="DS27" s="1223">
        <f>$G27*AX27*Variables!$B$53*HLOOKUP($DM$2,Variables!$B$60:$F$61,2,FALSE)</f>
        <v>0</v>
      </c>
      <c r="DT27" s="1223">
        <f>$G27*AY27*Variables!$B$53*HLOOKUP($DM$2,Variables!$B$60:$F$61,2,FALSE)</f>
        <v>0</v>
      </c>
      <c r="DU27" s="1223">
        <f>$G27*AZ27*Variables!$B$53*HLOOKUP($DM$2,Variables!$B$60:$F$61,2,FALSE)</f>
        <v>0</v>
      </c>
      <c r="DV27" s="1223">
        <f>$G27*BA27*Variables!$B$53*HLOOKUP($DM$2,Variables!$B$60:$F$61,2,FALSE)</f>
        <v>0</v>
      </c>
      <c r="DW27" s="1223">
        <f>$G27*BB27*Variables!$B$53*HLOOKUP($DM$2,Variables!$B$60:$F$61,2,FALSE)</f>
        <v>0</v>
      </c>
      <c r="DX27" s="1225">
        <f>$G27*BC27*Variables!$B$53*HLOOKUP($DM$2,Variables!$B$60:$F$61,2,FALSE)</f>
        <v>0</v>
      </c>
      <c r="DY27" s="1222">
        <f>$G27*BD27*Variables!$B$53*HLOOKUP($DY$2,Variables!$B$60:$F$61,2,FALSE)</f>
        <v>0</v>
      </c>
      <c r="DZ27" s="1223">
        <f>$G27*BE27*Variables!$B$53*HLOOKUP($DY$2,Variables!$B$60:$F$61,2,FALSE)</f>
        <v>0</v>
      </c>
      <c r="EA27" s="1223">
        <f>$G27*BF27*Variables!$B$53*HLOOKUP($DY$2,Variables!$B$60:$F$61,2,FALSE)</f>
        <v>0</v>
      </c>
      <c r="EB27" s="1223">
        <f>$G27*BG27*Variables!$B$53*HLOOKUP($DY$2,Variables!$B$60:$F$61,2,FALSE)</f>
        <v>0</v>
      </c>
      <c r="EC27" s="1223">
        <f>$G27*BH27*Variables!$B$53*HLOOKUP($DY$2,Variables!$B$60:$F$61,2,FALSE)</f>
        <v>0</v>
      </c>
      <c r="ED27" s="1223">
        <f>$G27*BI27*Variables!$B$53*HLOOKUP($DY$2,Variables!$B$60:$F$61,2,FALSE)</f>
        <v>0</v>
      </c>
      <c r="EE27" s="1223">
        <f>$G27*BJ27*Variables!$B$53*HLOOKUP($DY$2,Variables!$B$60:$F$61,2,FALSE)</f>
        <v>0</v>
      </c>
      <c r="EF27" s="1223">
        <f>$G27*BK27*Variables!$B$53*HLOOKUP($DY$2,Variables!$B$60:$F$61,2,FALSE)</f>
        <v>0</v>
      </c>
      <c r="EG27" s="1223">
        <f>$G27*BL27*Variables!$B$53*HLOOKUP($DY$2,Variables!$B$60:$F$61,2,FALSE)</f>
        <v>0</v>
      </c>
      <c r="EH27" s="1223">
        <f>$G27*BM27*Variables!$B$53*HLOOKUP($DY$2,Variables!$B$60:$F$61,2,FALSE)</f>
        <v>0</v>
      </c>
      <c r="EI27" s="1223">
        <f>$G27*BN27*Variables!$B$53*HLOOKUP($DY$2,Variables!$B$60:$F$61,2,FALSE)</f>
        <v>0</v>
      </c>
      <c r="EJ27" s="1225">
        <f>$G27*BO27*Variables!$B$53*HLOOKUP($DY$2,Variables!$B$60:$F$61,2,FALSE)</f>
        <v>0</v>
      </c>
      <c r="EK27" s="1222">
        <f>$G27*BP27*Variables!$B$53*HLOOKUP($EK$2,Variables!$B$60:$F$61,2,FALSE)</f>
        <v>0</v>
      </c>
      <c r="EL27" s="1223">
        <f>$G27*BQ27*Variables!$B$53*HLOOKUP($EK$2,Variables!$B$60:$F$61,2,FALSE)</f>
        <v>0</v>
      </c>
      <c r="EM27" s="1223">
        <f>$G27*BR27*Variables!$B$53*HLOOKUP($EK$2,Variables!$B$60:$F$61,2,FALSE)</f>
        <v>0</v>
      </c>
      <c r="EN27" s="1223">
        <f>$G27*BS27*Variables!$B$53*HLOOKUP($EK$2,Variables!$B$60:$F$61,2,FALSE)</f>
        <v>0</v>
      </c>
      <c r="EO27" s="1223">
        <f>$G27*BT27*Variables!$B$53*HLOOKUP($EK$2,Variables!$B$60:$F$61,2,FALSE)</f>
        <v>0</v>
      </c>
      <c r="EP27" s="1223">
        <f>$G27*BU27*Variables!$B$53*HLOOKUP($EK$2,Variables!$B$60:$F$61,2,FALSE)</f>
        <v>0</v>
      </c>
      <c r="EQ27" s="1223">
        <f>$G27*BV27*Variables!$B$53*HLOOKUP($EK$2,Variables!$B$60:$F$61,2,FALSE)</f>
        <v>0</v>
      </c>
      <c r="ER27" s="1223">
        <f>$G27*BW27*Variables!$B$53*HLOOKUP($EK$2,Variables!$B$60:$F$61,2,FALSE)</f>
        <v>0</v>
      </c>
      <c r="ES27" s="1223">
        <f>$G27*BX27*Variables!$B$53*HLOOKUP($EK$2,Variables!$B$60:$F$61,2,FALSE)</f>
        <v>0</v>
      </c>
      <c r="ET27" s="1223">
        <f>$G27*BY27*Variables!$B$53*HLOOKUP($EK$2,Variables!$B$60:$F$61,2,FALSE)</f>
        <v>0</v>
      </c>
      <c r="EU27" s="1223">
        <f>$G27*BZ27*Variables!$B$53*HLOOKUP($EK$2,Variables!$B$60:$F$61,2,FALSE)</f>
        <v>0</v>
      </c>
      <c r="EV27" s="1225">
        <f>$G27*CA27*Variables!$B$53*HLOOKUP($EK$2,Variables!$B$60:$F$61,2,FALSE)</f>
        <v>0</v>
      </c>
      <c r="EW27" s="872">
        <f t="shared" si="6"/>
        <v>0</v>
      </c>
      <c r="EX27" s="872"/>
      <c r="EY27" s="872"/>
      <c r="EZ27" s="872"/>
      <c r="FA27" s="1332"/>
      <c r="FC27" s="958" t="str">
        <f t="shared" si="3"/>
        <v/>
      </c>
      <c r="FD27" s="959" t="str">
        <f t="shared" si="4"/>
        <v/>
      </c>
      <c r="FE27" s="959" t="s">
        <v>8407</v>
      </c>
      <c r="FF27" s="959" t="str">
        <f>IF(ISNA(VLOOKUP(FC27,Miscellaneous!E:F,2,0)),"",VLOOKUP(FC27,Miscellaneous!E:F,2,0))</f>
        <v/>
      </c>
      <c r="FG27" s="959" t="str">
        <f t="shared" si="5"/>
        <v/>
      </c>
      <c r="FH27" s="996">
        <f>IF($FG27="Opex",SUMIF('Monthly Summary'!$C$75:$N$75,"",CC27:CN27),SUMIF('Monthly Summary'!$C$74:$N$74,"",CC27:CN27))</f>
        <v>0</v>
      </c>
      <c r="FI27" s="996">
        <f>IF($FG27="Opex",SUMIF('Monthly Summary'!$O$75:$Z$75,"",CO27:CZ27),SUMIF('Monthly Summary'!$O$74:$Z$74,"",CO27:CZ27))</f>
        <v>0</v>
      </c>
      <c r="FJ27" s="996">
        <f>IF($FG27="Opex",SUMIF('Monthly Summary'!$AA$75:$AL$75,"",DA27:DL27),SUMIF('Monthly Summary'!$AA$74:$AL$74,"",DA27:DL27))</f>
        <v>0</v>
      </c>
      <c r="FK27" s="996">
        <f>IF($FG27="Opex",SUMIF('Monthly Summary'!$AM$75:$AX$75,"",DM27:DX27),SUMIF('Monthly Summary'!$AM$74:$AX$74,"",DM27:DX27))</f>
        <v>0</v>
      </c>
      <c r="FL27" s="996">
        <f>IF($FG27="Opex",SUMIF('Monthly Summary'!$AY$75:$BJ$75,"",DY27:EJ27),SUMIF('Monthly Summary'!$AY$74:$BJ$74,"",DY27:EJ27))</f>
        <v>0</v>
      </c>
      <c r="FM27" s="997">
        <f>IF($FG27="Opex",SUMIF('Monthly Summary'!$BK$75:$BV$75,"",EK27:EV27),SUMIF('Monthly Summary'!$BK$74:$BV$74,"",EK27:EV27))</f>
        <v>0</v>
      </c>
      <c r="FN27" s="997">
        <f t="shared" si="7"/>
        <v>0</v>
      </c>
    </row>
    <row r="28" spans="1:170">
      <c r="C28" s="757"/>
      <c r="D28" s="762"/>
      <c r="E28" s="758"/>
      <c r="F28" s="758"/>
      <c r="G28" s="758"/>
      <c r="H28" s="1215"/>
      <c r="I28" s="761"/>
      <c r="J28" s="761"/>
      <c r="K28" s="761"/>
      <c r="L28" s="761"/>
      <c r="M28" s="761"/>
      <c r="N28" s="761"/>
      <c r="O28" s="761"/>
      <c r="P28" s="761"/>
      <c r="Q28" s="761"/>
      <c r="R28" s="761"/>
      <c r="S28" s="1216"/>
      <c r="T28" s="1215"/>
      <c r="U28" s="761"/>
      <c r="V28" s="761"/>
      <c r="W28" s="761"/>
      <c r="X28" s="761"/>
      <c r="Y28" s="761"/>
      <c r="Z28" s="761"/>
      <c r="AA28" s="761"/>
      <c r="AB28" s="761"/>
      <c r="AC28" s="761"/>
      <c r="AD28" s="761"/>
      <c r="AE28" s="1216"/>
      <c r="AF28" s="1215"/>
      <c r="AG28" s="761"/>
      <c r="AH28" s="761"/>
      <c r="AI28" s="761"/>
      <c r="AJ28" s="761"/>
      <c r="AK28" s="761"/>
      <c r="AL28" s="761"/>
      <c r="AM28" s="761"/>
      <c r="AN28" s="761"/>
      <c r="AO28" s="761"/>
      <c r="AP28" s="761"/>
      <c r="AQ28" s="1216"/>
      <c r="AR28" s="1215"/>
      <c r="AS28" s="761"/>
      <c r="AT28" s="761"/>
      <c r="AU28" s="761"/>
      <c r="AV28" s="761"/>
      <c r="AW28" s="761"/>
      <c r="AX28" s="761"/>
      <c r="AY28" s="761"/>
      <c r="AZ28" s="761"/>
      <c r="BA28" s="761"/>
      <c r="BB28" s="761"/>
      <c r="BC28" s="1216"/>
      <c r="BD28" s="1215"/>
      <c r="BE28" s="761"/>
      <c r="BF28" s="761"/>
      <c r="BG28" s="761"/>
      <c r="BH28" s="761"/>
      <c r="BI28" s="761"/>
      <c r="BJ28" s="761"/>
      <c r="BK28" s="761"/>
      <c r="BL28" s="761"/>
      <c r="BM28" s="761"/>
      <c r="BN28" s="761"/>
      <c r="BO28" s="1216"/>
      <c r="BP28" s="1215"/>
      <c r="BQ28" s="761"/>
      <c r="BR28" s="761"/>
      <c r="BS28" s="761"/>
      <c r="BT28" s="761"/>
      <c r="BU28" s="761"/>
      <c r="BV28" s="761"/>
      <c r="BW28" s="761"/>
      <c r="BX28" s="761"/>
      <c r="BY28" s="761"/>
      <c r="BZ28" s="761"/>
      <c r="CA28" s="1216"/>
      <c r="CB28" s="747"/>
      <c r="CC28" s="1222">
        <f>$G28*H28*Variables!$B$53</f>
        <v>0</v>
      </c>
      <c r="CD28" s="1223">
        <f>$G28*I28*Variables!$B$53</f>
        <v>0</v>
      </c>
      <c r="CE28" s="1223">
        <f>$G28*J28*Variables!$B$53</f>
        <v>0</v>
      </c>
      <c r="CF28" s="1223">
        <f>$G28*K28*Variables!$B$53</f>
        <v>0</v>
      </c>
      <c r="CG28" s="1223">
        <f>$G28*L28*Variables!$B$53</f>
        <v>0</v>
      </c>
      <c r="CH28" s="1223">
        <f>$G28*M28*Variables!$B$53</f>
        <v>0</v>
      </c>
      <c r="CI28" s="1223">
        <f>$G28*N28*Variables!$B$53</f>
        <v>0</v>
      </c>
      <c r="CJ28" s="1223">
        <f>$G28*O28*Variables!$B$53</f>
        <v>0</v>
      </c>
      <c r="CK28" s="1223">
        <f>$G28*P28*Variables!$B$53</f>
        <v>0</v>
      </c>
      <c r="CL28" s="1223">
        <f>$G28*Q28*Variables!$B$53</f>
        <v>0</v>
      </c>
      <c r="CM28" s="1223">
        <f>$G28*R28*Variables!$B$53</f>
        <v>0</v>
      </c>
      <c r="CN28" s="1225">
        <f>$G28*S28*Variables!$B$53</f>
        <v>0</v>
      </c>
      <c r="CO28" s="1222">
        <f>$G28*T28*Variables!$B$53*HLOOKUP($CO$2,Variables!$B$60:$F$61,2,FALSE)</f>
        <v>0</v>
      </c>
      <c r="CP28" s="1223">
        <f>$G28*U28*Variables!$B$53*HLOOKUP($CO$2,Variables!$B$60:$F$61,2,FALSE)</f>
        <v>0</v>
      </c>
      <c r="CQ28" s="1223">
        <f>$G28*V28*Variables!$B$53*HLOOKUP($CO$2,Variables!$B$60:$F$61,2,FALSE)</f>
        <v>0</v>
      </c>
      <c r="CR28" s="1223">
        <f>$G28*W28*Variables!$B$53*HLOOKUP($CO$2,Variables!$B$60:$F$61,2,FALSE)</f>
        <v>0</v>
      </c>
      <c r="CS28" s="1223">
        <f>$G28*X28*Variables!$B$53*HLOOKUP($CO$2,Variables!$B$60:$F$61,2,FALSE)</f>
        <v>0</v>
      </c>
      <c r="CT28" s="1223">
        <f>$G28*Y28*Variables!$B$53*HLOOKUP($CO$2,Variables!$B$60:$F$61,2,FALSE)</f>
        <v>0</v>
      </c>
      <c r="CU28" s="1223">
        <f>$G28*Z28*Variables!$B$53*HLOOKUP($CO$2,Variables!$B$60:$F$61,2,FALSE)</f>
        <v>0</v>
      </c>
      <c r="CV28" s="1223">
        <f>$G28*AA28*Variables!$B$53*HLOOKUP($CO$2,Variables!$B$60:$F$61,2,FALSE)</f>
        <v>0</v>
      </c>
      <c r="CW28" s="1223">
        <f>$G28*AB28*Variables!$B$53*HLOOKUP($CO$2,Variables!$B$60:$F$61,2,FALSE)</f>
        <v>0</v>
      </c>
      <c r="CX28" s="1223">
        <f>$G28*AC28*Variables!$B$53*HLOOKUP($CO$2,Variables!$B$60:$F$61,2,FALSE)</f>
        <v>0</v>
      </c>
      <c r="CY28" s="1223">
        <f>$G28*AD28*Variables!$B$53*HLOOKUP($CO$2,Variables!$B$60:$F$61,2,FALSE)</f>
        <v>0</v>
      </c>
      <c r="CZ28" s="1225">
        <f>$G28*AE28*Variables!$B$53*HLOOKUP($CO$2,Variables!$B$60:$F$61,2,FALSE)</f>
        <v>0</v>
      </c>
      <c r="DA28" s="1222">
        <f>$G28*AF28*Variables!$B$53*HLOOKUP($DA$2,Variables!$B$60:$F$61,2,FALSE)</f>
        <v>0</v>
      </c>
      <c r="DB28" s="1223">
        <f>$G28*AG28*Variables!$B$53*HLOOKUP($DA$2,Variables!$B$60:$F$61,2,FALSE)</f>
        <v>0</v>
      </c>
      <c r="DC28" s="1223">
        <f>$G28*AH28*Variables!$B$53*HLOOKUP($DA$2,Variables!$B$60:$F$61,2,FALSE)</f>
        <v>0</v>
      </c>
      <c r="DD28" s="1223">
        <f>$G28*AI28*Variables!$B$53*HLOOKUP($DA$2,Variables!$B$60:$F$61,2,FALSE)</f>
        <v>0</v>
      </c>
      <c r="DE28" s="1223">
        <f>$G28*AJ28*Variables!$B$53*HLOOKUP($DA$2,Variables!$B$60:$F$61,2,FALSE)</f>
        <v>0</v>
      </c>
      <c r="DF28" s="1223">
        <f>$G28*AK28*Variables!$B$53*HLOOKUP($DA$2,Variables!$B$60:$F$61,2,FALSE)</f>
        <v>0</v>
      </c>
      <c r="DG28" s="1223">
        <f>$G28*AL28*Variables!$B$53*HLOOKUP($DA$2,Variables!$B$60:$F$61,2,FALSE)</f>
        <v>0</v>
      </c>
      <c r="DH28" s="1223">
        <f>$G28*AM28*Variables!$B$53*HLOOKUP($DA$2,Variables!$B$60:$F$61,2,FALSE)</f>
        <v>0</v>
      </c>
      <c r="DI28" s="1223">
        <f>$G28*AN28*Variables!$B$53*HLOOKUP($DA$2,Variables!$B$60:$F$61,2,FALSE)</f>
        <v>0</v>
      </c>
      <c r="DJ28" s="1223">
        <f>$G28*AO28*Variables!$B$53*HLOOKUP($DA$2,Variables!$B$60:$F$61,2,FALSE)</f>
        <v>0</v>
      </c>
      <c r="DK28" s="1223">
        <f>$G28*AP28*Variables!$B$53*HLOOKUP($DA$2,Variables!$B$60:$F$61,2,FALSE)</f>
        <v>0</v>
      </c>
      <c r="DL28" s="1225">
        <f>$G28*AQ28*Variables!$B$53*HLOOKUP($DA$2,Variables!$B$60:$F$61,2,FALSE)</f>
        <v>0</v>
      </c>
      <c r="DM28" s="1222">
        <f>$G28*AR28*Variables!$B$53*HLOOKUP($DM$2,Variables!$B$60:$F$61,2,FALSE)</f>
        <v>0</v>
      </c>
      <c r="DN28" s="1223">
        <f>$G28*AS28*Variables!$B$53*HLOOKUP($DM$2,Variables!$B$60:$F$61,2,FALSE)</f>
        <v>0</v>
      </c>
      <c r="DO28" s="1223">
        <f>$G28*AT28*Variables!$B$53*HLOOKUP($DM$2,Variables!$B$60:$F$61,2,FALSE)</f>
        <v>0</v>
      </c>
      <c r="DP28" s="1223">
        <f>$G28*AU28*Variables!$B$53*HLOOKUP($DM$2,Variables!$B$60:$F$61,2,FALSE)</f>
        <v>0</v>
      </c>
      <c r="DQ28" s="1223">
        <f>$G28*AV28*Variables!$B$53*HLOOKUP($DM$2,Variables!$B$60:$F$61,2,FALSE)</f>
        <v>0</v>
      </c>
      <c r="DR28" s="1223">
        <f>$G28*AW28*Variables!$B$53*HLOOKUP($DM$2,Variables!$B$60:$F$61,2,FALSE)</f>
        <v>0</v>
      </c>
      <c r="DS28" s="1223">
        <f>$G28*AX28*Variables!$B$53*HLOOKUP($DM$2,Variables!$B$60:$F$61,2,FALSE)</f>
        <v>0</v>
      </c>
      <c r="DT28" s="1223">
        <f>$G28*AY28*Variables!$B$53*HLOOKUP($DM$2,Variables!$B$60:$F$61,2,FALSE)</f>
        <v>0</v>
      </c>
      <c r="DU28" s="1223">
        <f>$G28*AZ28*Variables!$B$53*HLOOKUP($DM$2,Variables!$B$60:$F$61,2,FALSE)</f>
        <v>0</v>
      </c>
      <c r="DV28" s="1223">
        <f>$G28*BA28*Variables!$B$53*HLOOKUP($DM$2,Variables!$B$60:$F$61,2,FALSE)</f>
        <v>0</v>
      </c>
      <c r="DW28" s="1223">
        <f>$G28*BB28*Variables!$B$53*HLOOKUP($DM$2,Variables!$B$60:$F$61,2,FALSE)</f>
        <v>0</v>
      </c>
      <c r="DX28" s="1225">
        <f>$G28*BC28*Variables!$B$53*HLOOKUP($DM$2,Variables!$B$60:$F$61,2,FALSE)</f>
        <v>0</v>
      </c>
      <c r="DY28" s="1222">
        <f>$G28*BD28*Variables!$B$53*HLOOKUP($DY$2,Variables!$B$60:$F$61,2,FALSE)</f>
        <v>0</v>
      </c>
      <c r="DZ28" s="1223">
        <f>$G28*BE28*Variables!$B$53*HLOOKUP($DY$2,Variables!$B$60:$F$61,2,FALSE)</f>
        <v>0</v>
      </c>
      <c r="EA28" s="1223">
        <f>$G28*BF28*Variables!$B$53*HLOOKUP($DY$2,Variables!$B$60:$F$61,2,FALSE)</f>
        <v>0</v>
      </c>
      <c r="EB28" s="1223">
        <f>$G28*BG28*Variables!$B$53*HLOOKUP($DY$2,Variables!$B$60:$F$61,2,FALSE)</f>
        <v>0</v>
      </c>
      <c r="EC28" s="1223">
        <f>$G28*BH28*Variables!$B$53*HLOOKUP($DY$2,Variables!$B$60:$F$61,2,FALSE)</f>
        <v>0</v>
      </c>
      <c r="ED28" s="1223">
        <f>$G28*BI28*Variables!$B$53*HLOOKUP($DY$2,Variables!$B$60:$F$61,2,FALSE)</f>
        <v>0</v>
      </c>
      <c r="EE28" s="1223">
        <f>$G28*BJ28*Variables!$B$53*HLOOKUP($DY$2,Variables!$B$60:$F$61,2,FALSE)</f>
        <v>0</v>
      </c>
      <c r="EF28" s="1223">
        <f>$G28*BK28*Variables!$B$53*HLOOKUP($DY$2,Variables!$B$60:$F$61,2,FALSE)</f>
        <v>0</v>
      </c>
      <c r="EG28" s="1223">
        <f>$G28*BL28*Variables!$B$53*HLOOKUP($DY$2,Variables!$B$60:$F$61,2,FALSE)</f>
        <v>0</v>
      </c>
      <c r="EH28" s="1223">
        <f>$G28*BM28*Variables!$B$53*HLOOKUP($DY$2,Variables!$B$60:$F$61,2,FALSE)</f>
        <v>0</v>
      </c>
      <c r="EI28" s="1223">
        <f>$G28*BN28*Variables!$B$53*HLOOKUP($DY$2,Variables!$B$60:$F$61,2,FALSE)</f>
        <v>0</v>
      </c>
      <c r="EJ28" s="1225">
        <f>$G28*BO28*Variables!$B$53*HLOOKUP($DY$2,Variables!$B$60:$F$61,2,FALSE)</f>
        <v>0</v>
      </c>
      <c r="EK28" s="1222">
        <f>$G28*BP28*Variables!$B$53*HLOOKUP($EK$2,Variables!$B$60:$F$61,2,FALSE)</f>
        <v>0</v>
      </c>
      <c r="EL28" s="1223">
        <f>$G28*BQ28*Variables!$B$53*HLOOKUP($EK$2,Variables!$B$60:$F$61,2,FALSE)</f>
        <v>0</v>
      </c>
      <c r="EM28" s="1223">
        <f>$G28*BR28*Variables!$B$53*HLOOKUP($EK$2,Variables!$B$60:$F$61,2,FALSE)</f>
        <v>0</v>
      </c>
      <c r="EN28" s="1223">
        <f>$G28*BS28*Variables!$B$53*HLOOKUP($EK$2,Variables!$B$60:$F$61,2,FALSE)</f>
        <v>0</v>
      </c>
      <c r="EO28" s="1223">
        <f>$G28*BT28*Variables!$B$53*HLOOKUP($EK$2,Variables!$B$60:$F$61,2,FALSE)</f>
        <v>0</v>
      </c>
      <c r="EP28" s="1223">
        <f>$G28*BU28*Variables!$B$53*HLOOKUP($EK$2,Variables!$B$60:$F$61,2,FALSE)</f>
        <v>0</v>
      </c>
      <c r="EQ28" s="1223">
        <f>$G28*BV28*Variables!$B$53*HLOOKUP($EK$2,Variables!$B$60:$F$61,2,FALSE)</f>
        <v>0</v>
      </c>
      <c r="ER28" s="1223">
        <f>$G28*BW28*Variables!$B$53*HLOOKUP($EK$2,Variables!$B$60:$F$61,2,FALSE)</f>
        <v>0</v>
      </c>
      <c r="ES28" s="1223">
        <f>$G28*BX28*Variables!$B$53*HLOOKUP($EK$2,Variables!$B$60:$F$61,2,FALSE)</f>
        <v>0</v>
      </c>
      <c r="ET28" s="1223">
        <f>$G28*BY28*Variables!$B$53*HLOOKUP($EK$2,Variables!$B$60:$F$61,2,FALSE)</f>
        <v>0</v>
      </c>
      <c r="EU28" s="1223">
        <f>$G28*BZ28*Variables!$B$53*HLOOKUP($EK$2,Variables!$B$60:$F$61,2,FALSE)</f>
        <v>0</v>
      </c>
      <c r="EV28" s="1225">
        <f>$G28*CA28*Variables!$B$53*HLOOKUP($EK$2,Variables!$B$60:$F$61,2,FALSE)</f>
        <v>0</v>
      </c>
      <c r="EW28" s="872">
        <f t="shared" si="6"/>
        <v>0</v>
      </c>
      <c r="EX28" s="872"/>
      <c r="EY28" s="872"/>
      <c r="EZ28" s="872"/>
      <c r="FA28" s="1332"/>
      <c r="FC28" s="958" t="str">
        <f t="shared" si="3"/>
        <v/>
      </c>
      <c r="FD28" s="959" t="str">
        <f t="shared" si="4"/>
        <v/>
      </c>
      <c r="FE28" s="959" t="s">
        <v>8407</v>
      </c>
      <c r="FF28" s="959" t="str">
        <f>IF(ISNA(VLOOKUP(FC28,Miscellaneous!E:F,2,0)),"",VLOOKUP(FC28,Miscellaneous!E:F,2,0))</f>
        <v/>
      </c>
      <c r="FG28" s="959" t="str">
        <f t="shared" si="5"/>
        <v/>
      </c>
      <c r="FH28" s="996">
        <f>IF($FG28="Opex",SUMIF('Monthly Summary'!$C$75:$N$75,"",CC28:CN28),SUMIF('Monthly Summary'!$C$74:$N$74,"",CC28:CN28))</f>
        <v>0</v>
      </c>
      <c r="FI28" s="996">
        <f>IF($FG28="Opex",SUMIF('Monthly Summary'!$O$75:$Z$75,"",CO28:CZ28),SUMIF('Monthly Summary'!$O$74:$Z$74,"",CO28:CZ28))</f>
        <v>0</v>
      </c>
      <c r="FJ28" s="996">
        <f>IF($FG28="Opex",SUMIF('Monthly Summary'!$AA$75:$AL$75,"",DA28:DL28),SUMIF('Monthly Summary'!$AA$74:$AL$74,"",DA28:DL28))</f>
        <v>0</v>
      </c>
      <c r="FK28" s="996">
        <f>IF($FG28="Opex",SUMIF('Monthly Summary'!$AM$75:$AX$75,"",DM28:DX28),SUMIF('Monthly Summary'!$AM$74:$AX$74,"",DM28:DX28))</f>
        <v>0</v>
      </c>
      <c r="FL28" s="996">
        <f>IF($FG28="Opex",SUMIF('Monthly Summary'!$AY$75:$BJ$75,"",DY28:EJ28),SUMIF('Monthly Summary'!$AY$74:$BJ$74,"",DY28:EJ28))</f>
        <v>0</v>
      </c>
      <c r="FM28" s="997">
        <f>IF($FG28="Opex",SUMIF('Monthly Summary'!$BK$75:$BV$75,"",EK28:EV28),SUMIF('Monthly Summary'!$BK$74:$BV$74,"",EK28:EV28))</f>
        <v>0</v>
      </c>
      <c r="FN28" s="997">
        <f t="shared" si="7"/>
        <v>0</v>
      </c>
    </row>
    <row r="29" spans="1:170">
      <c r="C29" s="757"/>
      <c r="D29" s="762"/>
      <c r="E29" s="758"/>
      <c r="F29" s="758"/>
      <c r="G29" s="758"/>
      <c r="H29" s="1215"/>
      <c r="I29" s="761"/>
      <c r="J29" s="761"/>
      <c r="K29" s="761"/>
      <c r="L29" s="761"/>
      <c r="M29" s="761"/>
      <c r="N29" s="761"/>
      <c r="O29" s="761"/>
      <c r="P29" s="761"/>
      <c r="Q29" s="761"/>
      <c r="R29" s="761"/>
      <c r="S29" s="1216"/>
      <c r="T29" s="1215"/>
      <c r="U29" s="761"/>
      <c r="V29" s="761"/>
      <c r="W29" s="761"/>
      <c r="X29" s="761"/>
      <c r="Y29" s="761"/>
      <c r="Z29" s="761"/>
      <c r="AA29" s="761"/>
      <c r="AB29" s="761"/>
      <c r="AC29" s="761"/>
      <c r="AD29" s="761"/>
      <c r="AE29" s="1216"/>
      <c r="AF29" s="1215"/>
      <c r="AG29" s="761"/>
      <c r="AH29" s="761"/>
      <c r="AI29" s="761"/>
      <c r="AJ29" s="761"/>
      <c r="AK29" s="761"/>
      <c r="AL29" s="761"/>
      <c r="AM29" s="761"/>
      <c r="AN29" s="761"/>
      <c r="AO29" s="761"/>
      <c r="AP29" s="761"/>
      <c r="AQ29" s="1216"/>
      <c r="AR29" s="1215"/>
      <c r="AS29" s="761"/>
      <c r="AT29" s="761"/>
      <c r="AU29" s="761"/>
      <c r="AV29" s="761"/>
      <c r="AW29" s="761"/>
      <c r="AX29" s="761"/>
      <c r="AY29" s="761"/>
      <c r="AZ29" s="761"/>
      <c r="BA29" s="761"/>
      <c r="BB29" s="761"/>
      <c r="BC29" s="1216"/>
      <c r="BD29" s="1215"/>
      <c r="BE29" s="761"/>
      <c r="BF29" s="761"/>
      <c r="BG29" s="761"/>
      <c r="BH29" s="761"/>
      <c r="BI29" s="761"/>
      <c r="BJ29" s="761"/>
      <c r="BK29" s="761"/>
      <c r="BL29" s="761"/>
      <c r="BM29" s="761"/>
      <c r="BN29" s="761"/>
      <c r="BO29" s="1216"/>
      <c r="BP29" s="1215"/>
      <c r="BQ29" s="761"/>
      <c r="BR29" s="761"/>
      <c r="BS29" s="761"/>
      <c r="BT29" s="761"/>
      <c r="BU29" s="761"/>
      <c r="BV29" s="761"/>
      <c r="BW29" s="761"/>
      <c r="BX29" s="761"/>
      <c r="BY29" s="761"/>
      <c r="BZ29" s="761"/>
      <c r="CA29" s="1216"/>
      <c r="CB29" s="747"/>
      <c r="CC29" s="1222">
        <f>$G29*H29*Variables!$B$53</f>
        <v>0</v>
      </c>
      <c r="CD29" s="1223">
        <f>$G29*I29*Variables!$B$53</f>
        <v>0</v>
      </c>
      <c r="CE29" s="1223">
        <f>$G29*J29*Variables!$B$53</f>
        <v>0</v>
      </c>
      <c r="CF29" s="1223">
        <f>$G29*K29*Variables!$B$53</f>
        <v>0</v>
      </c>
      <c r="CG29" s="1223">
        <f>$G29*L29*Variables!$B$53</f>
        <v>0</v>
      </c>
      <c r="CH29" s="1223">
        <f>$G29*M29*Variables!$B$53</f>
        <v>0</v>
      </c>
      <c r="CI29" s="1223">
        <f>$G29*N29*Variables!$B$53</f>
        <v>0</v>
      </c>
      <c r="CJ29" s="1223">
        <f>$G29*O29*Variables!$B$53</f>
        <v>0</v>
      </c>
      <c r="CK29" s="1223">
        <f>$G29*P29*Variables!$B$53</f>
        <v>0</v>
      </c>
      <c r="CL29" s="1223">
        <f>$G29*Q29*Variables!$B$53</f>
        <v>0</v>
      </c>
      <c r="CM29" s="1223">
        <f>$G29*R29*Variables!$B$53</f>
        <v>0</v>
      </c>
      <c r="CN29" s="1225">
        <f>$G29*S29*Variables!$B$53</f>
        <v>0</v>
      </c>
      <c r="CO29" s="1222">
        <f>$G29*T29*Variables!$B$53*HLOOKUP($CO$2,Variables!$B$60:$F$61,2,FALSE)</f>
        <v>0</v>
      </c>
      <c r="CP29" s="1223">
        <f>$G29*U29*Variables!$B$53*HLOOKUP($CO$2,Variables!$B$60:$F$61,2,FALSE)</f>
        <v>0</v>
      </c>
      <c r="CQ29" s="1223">
        <f>$G29*V29*Variables!$B$53*HLOOKUP($CO$2,Variables!$B$60:$F$61,2,FALSE)</f>
        <v>0</v>
      </c>
      <c r="CR29" s="1223">
        <f>$G29*W29*Variables!$B$53*HLOOKUP($CO$2,Variables!$B$60:$F$61,2,FALSE)</f>
        <v>0</v>
      </c>
      <c r="CS29" s="1223">
        <f>$G29*X29*Variables!$B$53*HLOOKUP($CO$2,Variables!$B$60:$F$61,2,FALSE)</f>
        <v>0</v>
      </c>
      <c r="CT29" s="1223">
        <f>$G29*Y29*Variables!$B$53*HLOOKUP($CO$2,Variables!$B$60:$F$61,2,FALSE)</f>
        <v>0</v>
      </c>
      <c r="CU29" s="1223">
        <f>$G29*Z29*Variables!$B$53*HLOOKUP($CO$2,Variables!$B$60:$F$61,2,FALSE)</f>
        <v>0</v>
      </c>
      <c r="CV29" s="1223">
        <f>$G29*AA29*Variables!$B$53*HLOOKUP($CO$2,Variables!$B$60:$F$61,2,FALSE)</f>
        <v>0</v>
      </c>
      <c r="CW29" s="1223">
        <f>$G29*AB29*Variables!$B$53*HLOOKUP($CO$2,Variables!$B$60:$F$61,2,FALSE)</f>
        <v>0</v>
      </c>
      <c r="CX29" s="1223">
        <f>$G29*AC29*Variables!$B$53*HLOOKUP($CO$2,Variables!$B$60:$F$61,2,FALSE)</f>
        <v>0</v>
      </c>
      <c r="CY29" s="1223">
        <f>$G29*AD29*Variables!$B$53*HLOOKUP($CO$2,Variables!$B$60:$F$61,2,FALSE)</f>
        <v>0</v>
      </c>
      <c r="CZ29" s="1225">
        <f>$G29*AE29*Variables!$B$53*HLOOKUP($CO$2,Variables!$B$60:$F$61,2,FALSE)</f>
        <v>0</v>
      </c>
      <c r="DA29" s="1222">
        <f>$G29*AF29*Variables!$B$53*HLOOKUP($DA$2,Variables!$B$60:$F$61,2,FALSE)</f>
        <v>0</v>
      </c>
      <c r="DB29" s="1223">
        <f>$G29*AG29*Variables!$B$53*HLOOKUP($DA$2,Variables!$B$60:$F$61,2,FALSE)</f>
        <v>0</v>
      </c>
      <c r="DC29" s="1223">
        <f>$G29*AH29*Variables!$B$53*HLOOKUP($DA$2,Variables!$B$60:$F$61,2,FALSE)</f>
        <v>0</v>
      </c>
      <c r="DD29" s="1223">
        <f>$G29*AI29*Variables!$B$53*HLOOKUP($DA$2,Variables!$B$60:$F$61,2,FALSE)</f>
        <v>0</v>
      </c>
      <c r="DE29" s="1223">
        <f>$G29*AJ29*Variables!$B$53*HLOOKUP($DA$2,Variables!$B$60:$F$61,2,FALSE)</f>
        <v>0</v>
      </c>
      <c r="DF29" s="1223">
        <f>$G29*AK29*Variables!$B$53*HLOOKUP($DA$2,Variables!$B$60:$F$61,2,FALSE)</f>
        <v>0</v>
      </c>
      <c r="DG29" s="1223">
        <f>$G29*AL29*Variables!$B$53*HLOOKUP($DA$2,Variables!$B$60:$F$61,2,FALSE)</f>
        <v>0</v>
      </c>
      <c r="DH29" s="1223">
        <f>$G29*AM29*Variables!$B$53*HLOOKUP($DA$2,Variables!$B$60:$F$61,2,FALSE)</f>
        <v>0</v>
      </c>
      <c r="DI29" s="1223">
        <f>$G29*AN29*Variables!$B$53*HLOOKUP($DA$2,Variables!$B$60:$F$61,2,FALSE)</f>
        <v>0</v>
      </c>
      <c r="DJ29" s="1223">
        <f>$G29*AO29*Variables!$B$53*HLOOKUP($DA$2,Variables!$B$60:$F$61,2,FALSE)</f>
        <v>0</v>
      </c>
      <c r="DK29" s="1223">
        <f>$G29*AP29*Variables!$B$53*HLOOKUP($DA$2,Variables!$B$60:$F$61,2,FALSE)</f>
        <v>0</v>
      </c>
      <c r="DL29" s="1225">
        <f>$G29*AQ29*Variables!$B$53*HLOOKUP($DA$2,Variables!$B$60:$F$61,2,FALSE)</f>
        <v>0</v>
      </c>
      <c r="DM29" s="1222">
        <f>$G29*AR29*Variables!$B$53*HLOOKUP($DM$2,Variables!$B$60:$F$61,2,FALSE)</f>
        <v>0</v>
      </c>
      <c r="DN29" s="1223">
        <f>$G29*AS29*Variables!$B$53*HLOOKUP($DM$2,Variables!$B$60:$F$61,2,FALSE)</f>
        <v>0</v>
      </c>
      <c r="DO29" s="1223">
        <f>$G29*AT29*Variables!$B$53*HLOOKUP($DM$2,Variables!$B$60:$F$61,2,FALSE)</f>
        <v>0</v>
      </c>
      <c r="DP29" s="1223">
        <f>$G29*AU29*Variables!$B$53*HLOOKUP($DM$2,Variables!$B$60:$F$61,2,FALSE)</f>
        <v>0</v>
      </c>
      <c r="DQ29" s="1223">
        <f>$G29*AV29*Variables!$B$53*HLOOKUP($DM$2,Variables!$B$60:$F$61,2,FALSE)</f>
        <v>0</v>
      </c>
      <c r="DR29" s="1223">
        <f>$G29*AW29*Variables!$B$53*HLOOKUP($DM$2,Variables!$B$60:$F$61,2,FALSE)</f>
        <v>0</v>
      </c>
      <c r="DS29" s="1223">
        <f>$G29*AX29*Variables!$B$53*HLOOKUP($DM$2,Variables!$B$60:$F$61,2,FALSE)</f>
        <v>0</v>
      </c>
      <c r="DT29" s="1223">
        <f>$G29*AY29*Variables!$B$53*HLOOKUP($DM$2,Variables!$B$60:$F$61,2,FALSE)</f>
        <v>0</v>
      </c>
      <c r="DU29" s="1223">
        <f>$G29*AZ29*Variables!$B$53*HLOOKUP($DM$2,Variables!$B$60:$F$61,2,FALSE)</f>
        <v>0</v>
      </c>
      <c r="DV29" s="1223">
        <f>$G29*BA29*Variables!$B$53*HLOOKUP($DM$2,Variables!$B$60:$F$61,2,FALSE)</f>
        <v>0</v>
      </c>
      <c r="DW29" s="1223">
        <f>$G29*BB29*Variables!$B$53*HLOOKUP($DM$2,Variables!$B$60:$F$61,2,FALSE)</f>
        <v>0</v>
      </c>
      <c r="DX29" s="1225">
        <f>$G29*BC29*Variables!$B$53*HLOOKUP($DM$2,Variables!$B$60:$F$61,2,FALSE)</f>
        <v>0</v>
      </c>
      <c r="DY29" s="1222">
        <f>$G29*BD29*Variables!$B$53*HLOOKUP($DY$2,Variables!$B$60:$F$61,2,FALSE)</f>
        <v>0</v>
      </c>
      <c r="DZ29" s="1223">
        <f>$G29*BE29*Variables!$B$53*HLOOKUP($DY$2,Variables!$B$60:$F$61,2,FALSE)</f>
        <v>0</v>
      </c>
      <c r="EA29" s="1223">
        <f>$G29*BF29*Variables!$B$53*HLOOKUP($DY$2,Variables!$B$60:$F$61,2,FALSE)</f>
        <v>0</v>
      </c>
      <c r="EB29" s="1223">
        <f>$G29*BG29*Variables!$B$53*HLOOKUP($DY$2,Variables!$B$60:$F$61,2,FALSE)</f>
        <v>0</v>
      </c>
      <c r="EC29" s="1223">
        <f>$G29*BH29*Variables!$B$53*HLOOKUP($DY$2,Variables!$B$60:$F$61,2,FALSE)</f>
        <v>0</v>
      </c>
      <c r="ED29" s="1223">
        <f>$G29*BI29*Variables!$B$53*HLOOKUP($DY$2,Variables!$B$60:$F$61,2,FALSE)</f>
        <v>0</v>
      </c>
      <c r="EE29" s="1223">
        <f>$G29*BJ29*Variables!$B$53*HLOOKUP($DY$2,Variables!$B$60:$F$61,2,FALSE)</f>
        <v>0</v>
      </c>
      <c r="EF29" s="1223">
        <f>$G29*BK29*Variables!$B$53*HLOOKUP($DY$2,Variables!$B$60:$F$61,2,FALSE)</f>
        <v>0</v>
      </c>
      <c r="EG29" s="1223">
        <f>$G29*BL29*Variables!$B$53*HLOOKUP($DY$2,Variables!$B$60:$F$61,2,FALSE)</f>
        <v>0</v>
      </c>
      <c r="EH29" s="1223">
        <f>$G29*BM29*Variables!$B$53*HLOOKUP($DY$2,Variables!$B$60:$F$61,2,FALSE)</f>
        <v>0</v>
      </c>
      <c r="EI29" s="1223">
        <f>$G29*BN29*Variables!$B$53*HLOOKUP($DY$2,Variables!$B$60:$F$61,2,FALSE)</f>
        <v>0</v>
      </c>
      <c r="EJ29" s="1225">
        <f>$G29*BO29*Variables!$B$53*HLOOKUP($DY$2,Variables!$B$60:$F$61,2,FALSE)</f>
        <v>0</v>
      </c>
      <c r="EK29" s="1222">
        <f>$G29*BP29*Variables!$B$53*HLOOKUP($EK$2,Variables!$B$60:$F$61,2,FALSE)</f>
        <v>0</v>
      </c>
      <c r="EL29" s="1223">
        <f>$G29*BQ29*Variables!$B$53*HLOOKUP($EK$2,Variables!$B$60:$F$61,2,FALSE)</f>
        <v>0</v>
      </c>
      <c r="EM29" s="1223">
        <f>$G29*BR29*Variables!$B$53*HLOOKUP($EK$2,Variables!$B$60:$F$61,2,FALSE)</f>
        <v>0</v>
      </c>
      <c r="EN29" s="1223">
        <f>$G29*BS29*Variables!$B$53*HLOOKUP($EK$2,Variables!$B$60:$F$61,2,FALSE)</f>
        <v>0</v>
      </c>
      <c r="EO29" s="1223">
        <f>$G29*BT29*Variables!$B$53*HLOOKUP($EK$2,Variables!$B$60:$F$61,2,FALSE)</f>
        <v>0</v>
      </c>
      <c r="EP29" s="1223">
        <f>$G29*BU29*Variables!$B$53*HLOOKUP($EK$2,Variables!$B$60:$F$61,2,FALSE)</f>
        <v>0</v>
      </c>
      <c r="EQ29" s="1223">
        <f>$G29*BV29*Variables!$B$53*HLOOKUP($EK$2,Variables!$B$60:$F$61,2,FALSE)</f>
        <v>0</v>
      </c>
      <c r="ER29" s="1223">
        <f>$G29*BW29*Variables!$B$53*HLOOKUP($EK$2,Variables!$B$60:$F$61,2,FALSE)</f>
        <v>0</v>
      </c>
      <c r="ES29" s="1223">
        <f>$G29*BX29*Variables!$B$53*HLOOKUP($EK$2,Variables!$B$60:$F$61,2,FALSE)</f>
        <v>0</v>
      </c>
      <c r="ET29" s="1223">
        <f>$G29*BY29*Variables!$B$53*HLOOKUP($EK$2,Variables!$B$60:$F$61,2,FALSE)</f>
        <v>0</v>
      </c>
      <c r="EU29" s="1223">
        <f>$G29*BZ29*Variables!$B$53*HLOOKUP($EK$2,Variables!$B$60:$F$61,2,FALSE)</f>
        <v>0</v>
      </c>
      <c r="EV29" s="1225">
        <f>$G29*CA29*Variables!$B$53*HLOOKUP($EK$2,Variables!$B$60:$F$61,2,FALSE)</f>
        <v>0</v>
      </c>
      <c r="EW29" s="872">
        <f t="shared" si="6"/>
        <v>0</v>
      </c>
      <c r="EX29" s="872"/>
      <c r="EY29" s="872"/>
      <c r="EZ29" s="872"/>
      <c r="FA29" s="1332"/>
      <c r="FC29" s="958" t="str">
        <f t="shared" si="3"/>
        <v/>
      </c>
      <c r="FD29" s="959" t="str">
        <f t="shared" si="4"/>
        <v/>
      </c>
      <c r="FE29" s="959" t="s">
        <v>8407</v>
      </c>
      <c r="FF29" s="959" t="str">
        <f>IF(ISNA(VLOOKUP(FC29,Miscellaneous!E:F,2,0)),"",VLOOKUP(FC29,Miscellaneous!E:F,2,0))</f>
        <v/>
      </c>
      <c r="FG29" s="959" t="str">
        <f t="shared" si="5"/>
        <v/>
      </c>
      <c r="FH29" s="996">
        <f>IF($FG29="Opex",SUMIF('Monthly Summary'!$C$75:$N$75,"",CC29:CN29),SUMIF('Monthly Summary'!$C$74:$N$74,"",CC29:CN29))</f>
        <v>0</v>
      </c>
      <c r="FI29" s="996">
        <f>IF($FG29="Opex",SUMIF('Monthly Summary'!$O$75:$Z$75,"",CO29:CZ29),SUMIF('Monthly Summary'!$O$74:$Z$74,"",CO29:CZ29))</f>
        <v>0</v>
      </c>
      <c r="FJ29" s="996">
        <f>IF($FG29="Opex",SUMIF('Monthly Summary'!$AA$75:$AL$75,"",DA29:DL29),SUMIF('Monthly Summary'!$AA$74:$AL$74,"",DA29:DL29))</f>
        <v>0</v>
      </c>
      <c r="FK29" s="996">
        <f>IF($FG29="Opex",SUMIF('Monthly Summary'!$AM$75:$AX$75,"",DM29:DX29),SUMIF('Monthly Summary'!$AM$74:$AX$74,"",DM29:DX29))</f>
        <v>0</v>
      </c>
      <c r="FL29" s="996">
        <f>IF($FG29="Opex",SUMIF('Monthly Summary'!$AY$75:$BJ$75,"",DY29:EJ29),SUMIF('Monthly Summary'!$AY$74:$BJ$74,"",DY29:EJ29))</f>
        <v>0</v>
      </c>
      <c r="FM29" s="997">
        <f>IF($FG29="Opex",SUMIF('Monthly Summary'!$BK$75:$BV$75,"",EK29:EV29),SUMIF('Monthly Summary'!$BK$74:$BV$74,"",EK29:EV29))</f>
        <v>0</v>
      </c>
      <c r="FN29" s="997">
        <f t="shared" si="7"/>
        <v>0</v>
      </c>
    </row>
    <row r="30" spans="1:170">
      <c r="C30" s="757"/>
      <c r="D30" s="757"/>
      <c r="E30" s="758"/>
      <c r="F30" s="758"/>
      <c r="G30" s="758"/>
      <c r="H30" s="1215"/>
      <c r="I30" s="761"/>
      <c r="J30" s="761"/>
      <c r="K30" s="761"/>
      <c r="L30" s="761"/>
      <c r="M30" s="761"/>
      <c r="N30" s="761"/>
      <c r="O30" s="761"/>
      <c r="P30" s="761"/>
      <c r="Q30" s="761"/>
      <c r="R30" s="761"/>
      <c r="S30" s="1216"/>
      <c r="T30" s="1215"/>
      <c r="U30" s="761"/>
      <c r="V30" s="761"/>
      <c r="W30" s="761"/>
      <c r="X30" s="761"/>
      <c r="Y30" s="761"/>
      <c r="Z30" s="761"/>
      <c r="AA30" s="761"/>
      <c r="AB30" s="761"/>
      <c r="AC30" s="761"/>
      <c r="AD30" s="761"/>
      <c r="AE30" s="1216"/>
      <c r="AF30" s="1215"/>
      <c r="AG30" s="761"/>
      <c r="AH30" s="761"/>
      <c r="AI30" s="761"/>
      <c r="AJ30" s="761"/>
      <c r="AK30" s="761"/>
      <c r="AL30" s="761"/>
      <c r="AM30" s="761"/>
      <c r="AN30" s="761"/>
      <c r="AO30" s="761"/>
      <c r="AP30" s="761"/>
      <c r="AQ30" s="1216"/>
      <c r="AR30" s="1215"/>
      <c r="AS30" s="761"/>
      <c r="AT30" s="761"/>
      <c r="AU30" s="761"/>
      <c r="AV30" s="761"/>
      <c r="AW30" s="761"/>
      <c r="AX30" s="761"/>
      <c r="AY30" s="761"/>
      <c r="AZ30" s="761"/>
      <c r="BA30" s="761"/>
      <c r="BB30" s="761"/>
      <c r="BC30" s="1216"/>
      <c r="BD30" s="1215"/>
      <c r="BE30" s="761"/>
      <c r="BF30" s="761"/>
      <c r="BG30" s="761"/>
      <c r="BH30" s="761"/>
      <c r="BI30" s="761"/>
      <c r="BJ30" s="761"/>
      <c r="BK30" s="761"/>
      <c r="BL30" s="761"/>
      <c r="BM30" s="761"/>
      <c r="BN30" s="761"/>
      <c r="BO30" s="1216"/>
      <c r="BP30" s="1215"/>
      <c r="BQ30" s="761"/>
      <c r="BR30" s="761"/>
      <c r="BS30" s="761"/>
      <c r="BT30" s="761"/>
      <c r="BU30" s="761"/>
      <c r="BV30" s="761"/>
      <c r="BW30" s="761"/>
      <c r="BX30" s="761"/>
      <c r="BY30" s="761"/>
      <c r="BZ30" s="761"/>
      <c r="CA30" s="1216"/>
      <c r="CB30" s="747"/>
      <c r="CC30" s="1222">
        <f>$G30*H30*Variables!$B$53</f>
        <v>0</v>
      </c>
      <c r="CD30" s="1223">
        <f>$G30*I30*Variables!$B$53</f>
        <v>0</v>
      </c>
      <c r="CE30" s="1223">
        <f>$G30*J30*Variables!$B$53</f>
        <v>0</v>
      </c>
      <c r="CF30" s="1223">
        <f>$G30*K30*Variables!$B$53</f>
        <v>0</v>
      </c>
      <c r="CG30" s="1223">
        <f>$G30*L30*Variables!$B$53</f>
        <v>0</v>
      </c>
      <c r="CH30" s="1223">
        <f>$G30*M30*Variables!$B$53</f>
        <v>0</v>
      </c>
      <c r="CI30" s="1223">
        <f>$G30*N30*Variables!$B$53</f>
        <v>0</v>
      </c>
      <c r="CJ30" s="1223">
        <f>$G30*O30*Variables!$B$53</f>
        <v>0</v>
      </c>
      <c r="CK30" s="1223">
        <f>$G30*P30*Variables!$B$53</f>
        <v>0</v>
      </c>
      <c r="CL30" s="1223">
        <f>$G30*Q30*Variables!$B$53</f>
        <v>0</v>
      </c>
      <c r="CM30" s="1223">
        <f>$G30*R30*Variables!$B$53</f>
        <v>0</v>
      </c>
      <c r="CN30" s="1225">
        <f>$G30*S30*Variables!$B$53</f>
        <v>0</v>
      </c>
      <c r="CO30" s="1222">
        <f>$G30*T30*Variables!$B$53*HLOOKUP($CO$2,Variables!$B$60:$F$61,2,FALSE)</f>
        <v>0</v>
      </c>
      <c r="CP30" s="1223">
        <f>$G30*U30*Variables!$B$53*HLOOKUP($CO$2,Variables!$B$60:$F$61,2,FALSE)</f>
        <v>0</v>
      </c>
      <c r="CQ30" s="1223">
        <f>$G30*V30*Variables!$B$53*HLOOKUP($CO$2,Variables!$B$60:$F$61,2,FALSE)</f>
        <v>0</v>
      </c>
      <c r="CR30" s="1223">
        <f>$G30*W30*Variables!$B$53*HLOOKUP($CO$2,Variables!$B$60:$F$61,2,FALSE)</f>
        <v>0</v>
      </c>
      <c r="CS30" s="1223">
        <f>$G30*X30*Variables!$B$53*HLOOKUP($CO$2,Variables!$B$60:$F$61,2,FALSE)</f>
        <v>0</v>
      </c>
      <c r="CT30" s="1223">
        <f>$G30*Y30*Variables!$B$53*HLOOKUP($CO$2,Variables!$B$60:$F$61,2,FALSE)</f>
        <v>0</v>
      </c>
      <c r="CU30" s="1223">
        <f>$G30*Z30*Variables!$B$53*HLOOKUP($CO$2,Variables!$B$60:$F$61,2,FALSE)</f>
        <v>0</v>
      </c>
      <c r="CV30" s="1223">
        <f>$G30*AA30*Variables!$B$53*HLOOKUP($CO$2,Variables!$B$60:$F$61,2,FALSE)</f>
        <v>0</v>
      </c>
      <c r="CW30" s="1223">
        <f>$G30*AB30*Variables!$B$53*HLOOKUP($CO$2,Variables!$B$60:$F$61,2,FALSE)</f>
        <v>0</v>
      </c>
      <c r="CX30" s="1223">
        <f>$G30*AC30*Variables!$B$53*HLOOKUP($CO$2,Variables!$B$60:$F$61,2,FALSE)</f>
        <v>0</v>
      </c>
      <c r="CY30" s="1223">
        <f>$G30*AD30*Variables!$B$53*HLOOKUP($CO$2,Variables!$B$60:$F$61,2,FALSE)</f>
        <v>0</v>
      </c>
      <c r="CZ30" s="1225">
        <f>$G30*AE30*Variables!$B$53*HLOOKUP($CO$2,Variables!$B$60:$F$61,2,FALSE)</f>
        <v>0</v>
      </c>
      <c r="DA30" s="1222">
        <f>$G30*AF30*Variables!$B$53*HLOOKUP($DA$2,Variables!$B$60:$F$61,2,FALSE)</f>
        <v>0</v>
      </c>
      <c r="DB30" s="1223">
        <f>$G30*AG30*Variables!$B$53*HLOOKUP($DA$2,Variables!$B$60:$F$61,2,FALSE)</f>
        <v>0</v>
      </c>
      <c r="DC30" s="1223">
        <f>$G30*AH30*Variables!$B$53*HLOOKUP($DA$2,Variables!$B$60:$F$61,2,FALSE)</f>
        <v>0</v>
      </c>
      <c r="DD30" s="1223">
        <f>$G30*AI30*Variables!$B$53*HLOOKUP($DA$2,Variables!$B$60:$F$61,2,FALSE)</f>
        <v>0</v>
      </c>
      <c r="DE30" s="1223">
        <f>$G30*AJ30*Variables!$B$53*HLOOKUP($DA$2,Variables!$B$60:$F$61,2,FALSE)</f>
        <v>0</v>
      </c>
      <c r="DF30" s="1223">
        <f>$G30*AK30*Variables!$B$53*HLOOKUP($DA$2,Variables!$B$60:$F$61,2,FALSE)</f>
        <v>0</v>
      </c>
      <c r="DG30" s="1223">
        <f>$G30*AL30*Variables!$B$53*HLOOKUP($DA$2,Variables!$B$60:$F$61,2,FALSE)</f>
        <v>0</v>
      </c>
      <c r="DH30" s="1223">
        <f>$G30*AM30*Variables!$B$53*HLOOKUP($DA$2,Variables!$B$60:$F$61,2,FALSE)</f>
        <v>0</v>
      </c>
      <c r="DI30" s="1223">
        <f>$G30*AN30*Variables!$B$53*HLOOKUP($DA$2,Variables!$B$60:$F$61,2,FALSE)</f>
        <v>0</v>
      </c>
      <c r="DJ30" s="1223">
        <f>$G30*AO30*Variables!$B$53*HLOOKUP($DA$2,Variables!$B$60:$F$61,2,FALSE)</f>
        <v>0</v>
      </c>
      <c r="DK30" s="1223">
        <f>$G30*AP30*Variables!$B$53*HLOOKUP($DA$2,Variables!$B$60:$F$61,2,FALSE)</f>
        <v>0</v>
      </c>
      <c r="DL30" s="1225">
        <f>$G30*AQ30*Variables!$B$53*HLOOKUP($DA$2,Variables!$B$60:$F$61,2,FALSE)</f>
        <v>0</v>
      </c>
      <c r="DM30" s="1222">
        <f>$G30*AR30*Variables!$B$53*HLOOKUP($DM$2,Variables!$B$60:$F$61,2,FALSE)</f>
        <v>0</v>
      </c>
      <c r="DN30" s="1223">
        <f>$G30*AS30*Variables!$B$53*HLOOKUP($DM$2,Variables!$B$60:$F$61,2,FALSE)</f>
        <v>0</v>
      </c>
      <c r="DO30" s="1223">
        <f>$G30*AT30*Variables!$B$53*HLOOKUP($DM$2,Variables!$B$60:$F$61,2,FALSE)</f>
        <v>0</v>
      </c>
      <c r="DP30" s="1223">
        <f>$G30*AU30*Variables!$B$53*HLOOKUP($DM$2,Variables!$B$60:$F$61,2,FALSE)</f>
        <v>0</v>
      </c>
      <c r="DQ30" s="1223">
        <f>$G30*AV30*Variables!$B$53*HLOOKUP($DM$2,Variables!$B$60:$F$61,2,FALSE)</f>
        <v>0</v>
      </c>
      <c r="DR30" s="1223">
        <f>$G30*AW30*Variables!$B$53*HLOOKUP($DM$2,Variables!$B$60:$F$61,2,FALSE)</f>
        <v>0</v>
      </c>
      <c r="DS30" s="1223">
        <f>$G30*AX30*Variables!$B$53*HLOOKUP($DM$2,Variables!$B$60:$F$61,2,FALSE)</f>
        <v>0</v>
      </c>
      <c r="DT30" s="1223">
        <f>$G30*AY30*Variables!$B$53*HLOOKUP($DM$2,Variables!$B$60:$F$61,2,FALSE)</f>
        <v>0</v>
      </c>
      <c r="DU30" s="1223">
        <f>$G30*AZ30*Variables!$B$53*HLOOKUP($DM$2,Variables!$B$60:$F$61,2,FALSE)</f>
        <v>0</v>
      </c>
      <c r="DV30" s="1223">
        <f>$G30*BA30*Variables!$B$53*HLOOKUP($DM$2,Variables!$B$60:$F$61,2,FALSE)</f>
        <v>0</v>
      </c>
      <c r="DW30" s="1223">
        <f>$G30*BB30*Variables!$B$53*HLOOKUP($DM$2,Variables!$B$60:$F$61,2,FALSE)</f>
        <v>0</v>
      </c>
      <c r="DX30" s="1225">
        <f>$G30*BC30*Variables!$B$53*HLOOKUP($DM$2,Variables!$B$60:$F$61,2,FALSE)</f>
        <v>0</v>
      </c>
      <c r="DY30" s="1222">
        <f>$G30*BD30*Variables!$B$53*HLOOKUP($DY$2,Variables!$B$60:$F$61,2,FALSE)</f>
        <v>0</v>
      </c>
      <c r="DZ30" s="1223">
        <f>$G30*BE30*Variables!$B$53*HLOOKUP($DY$2,Variables!$B$60:$F$61,2,FALSE)</f>
        <v>0</v>
      </c>
      <c r="EA30" s="1223">
        <f>$G30*BF30*Variables!$B$53*HLOOKUP($DY$2,Variables!$B$60:$F$61,2,FALSE)</f>
        <v>0</v>
      </c>
      <c r="EB30" s="1223">
        <f>$G30*BG30*Variables!$B$53*HLOOKUP($DY$2,Variables!$B$60:$F$61,2,FALSE)</f>
        <v>0</v>
      </c>
      <c r="EC30" s="1223">
        <f>$G30*BH30*Variables!$B$53*HLOOKUP($DY$2,Variables!$B$60:$F$61,2,FALSE)</f>
        <v>0</v>
      </c>
      <c r="ED30" s="1223">
        <f>$G30*BI30*Variables!$B$53*HLOOKUP($DY$2,Variables!$B$60:$F$61,2,FALSE)</f>
        <v>0</v>
      </c>
      <c r="EE30" s="1223">
        <f>$G30*BJ30*Variables!$B$53*HLOOKUP($DY$2,Variables!$B$60:$F$61,2,FALSE)</f>
        <v>0</v>
      </c>
      <c r="EF30" s="1223">
        <f>$G30*BK30*Variables!$B$53*HLOOKUP($DY$2,Variables!$B$60:$F$61,2,FALSE)</f>
        <v>0</v>
      </c>
      <c r="EG30" s="1223">
        <f>$G30*BL30*Variables!$B$53*HLOOKUP($DY$2,Variables!$B$60:$F$61,2,FALSE)</f>
        <v>0</v>
      </c>
      <c r="EH30" s="1223">
        <f>$G30*BM30*Variables!$B$53*HLOOKUP($DY$2,Variables!$B$60:$F$61,2,FALSE)</f>
        <v>0</v>
      </c>
      <c r="EI30" s="1223">
        <f>$G30*BN30*Variables!$B$53*HLOOKUP($DY$2,Variables!$B$60:$F$61,2,FALSE)</f>
        <v>0</v>
      </c>
      <c r="EJ30" s="1225">
        <f>$G30*BO30*Variables!$B$53*HLOOKUP($DY$2,Variables!$B$60:$F$61,2,FALSE)</f>
        <v>0</v>
      </c>
      <c r="EK30" s="1222">
        <f>$G30*BP30*Variables!$B$53*HLOOKUP($EK$2,Variables!$B$60:$F$61,2,FALSE)</f>
        <v>0</v>
      </c>
      <c r="EL30" s="1223">
        <f>$G30*BQ30*Variables!$B$53*HLOOKUP($EK$2,Variables!$B$60:$F$61,2,FALSE)</f>
        <v>0</v>
      </c>
      <c r="EM30" s="1223">
        <f>$G30*BR30*Variables!$B$53*HLOOKUP($EK$2,Variables!$B$60:$F$61,2,FALSE)</f>
        <v>0</v>
      </c>
      <c r="EN30" s="1223">
        <f>$G30*BS30*Variables!$B$53*HLOOKUP($EK$2,Variables!$B$60:$F$61,2,FALSE)</f>
        <v>0</v>
      </c>
      <c r="EO30" s="1223">
        <f>$G30*BT30*Variables!$B$53*HLOOKUP($EK$2,Variables!$B$60:$F$61,2,FALSE)</f>
        <v>0</v>
      </c>
      <c r="EP30" s="1223">
        <f>$G30*BU30*Variables!$B$53*HLOOKUP($EK$2,Variables!$B$60:$F$61,2,FALSE)</f>
        <v>0</v>
      </c>
      <c r="EQ30" s="1223">
        <f>$G30*BV30*Variables!$B$53*HLOOKUP($EK$2,Variables!$B$60:$F$61,2,FALSE)</f>
        <v>0</v>
      </c>
      <c r="ER30" s="1223">
        <f>$G30*BW30*Variables!$B$53*HLOOKUP($EK$2,Variables!$B$60:$F$61,2,FALSE)</f>
        <v>0</v>
      </c>
      <c r="ES30" s="1223">
        <f>$G30*BX30*Variables!$B$53*HLOOKUP($EK$2,Variables!$B$60:$F$61,2,FALSE)</f>
        <v>0</v>
      </c>
      <c r="ET30" s="1223">
        <f>$G30*BY30*Variables!$B$53*HLOOKUP($EK$2,Variables!$B$60:$F$61,2,FALSE)</f>
        <v>0</v>
      </c>
      <c r="EU30" s="1223">
        <f>$G30*BZ30*Variables!$B$53*HLOOKUP($EK$2,Variables!$B$60:$F$61,2,FALSE)</f>
        <v>0</v>
      </c>
      <c r="EV30" s="1225">
        <f>$G30*CA30*Variables!$B$53*HLOOKUP($EK$2,Variables!$B$60:$F$61,2,FALSE)</f>
        <v>0</v>
      </c>
      <c r="EW30" s="872">
        <f t="shared" si="6"/>
        <v>0</v>
      </c>
      <c r="EX30" s="872"/>
      <c r="EY30" s="872"/>
      <c r="EZ30" s="872"/>
      <c r="FA30" s="1332"/>
      <c r="FC30" s="958" t="str">
        <f t="shared" si="3"/>
        <v/>
      </c>
      <c r="FD30" s="959" t="str">
        <f t="shared" si="4"/>
        <v/>
      </c>
      <c r="FE30" s="959" t="s">
        <v>8407</v>
      </c>
      <c r="FF30" s="959" t="str">
        <f>IF(ISNA(VLOOKUP(FC30,Miscellaneous!E:F,2,0)),"",VLOOKUP(FC30,Miscellaneous!E:F,2,0))</f>
        <v/>
      </c>
      <c r="FG30" s="959" t="str">
        <f t="shared" si="5"/>
        <v/>
      </c>
      <c r="FH30" s="996">
        <f>IF($FG30="Opex",SUMIF('Monthly Summary'!$C$75:$N$75,"",CC30:CN30),SUMIF('Monthly Summary'!$C$74:$N$74,"",CC30:CN30))</f>
        <v>0</v>
      </c>
      <c r="FI30" s="996">
        <f>IF($FG30="Opex",SUMIF('Monthly Summary'!$O$75:$Z$75,"",CO30:CZ30),SUMIF('Monthly Summary'!$O$74:$Z$74,"",CO30:CZ30))</f>
        <v>0</v>
      </c>
      <c r="FJ30" s="996">
        <f>IF($FG30="Opex",SUMIF('Monthly Summary'!$AA$75:$AL$75,"",DA30:DL30),SUMIF('Monthly Summary'!$AA$74:$AL$74,"",DA30:DL30))</f>
        <v>0</v>
      </c>
      <c r="FK30" s="996">
        <f>IF($FG30="Opex",SUMIF('Monthly Summary'!$AM$75:$AX$75,"",DM30:DX30),SUMIF('Monthly Summary'!$AM$74:$AX$74,"",DM30:DX30))</f>
        <v>0</v>
      </c>
      <c r="FL30" s="996">
        <f>IF($FG30="Opex",SUMIF('Monthly Summary'!$AY$75:$BJ$75,"",DY30:EJ30),SUMIF('Monthly Summary'!$AY$74:$BJ$74,"",DY30:EJ30))</f>
        <v>0</v>
      </c>
      <c r="FM30" s="997">
        <f>IF($FG30="Opex",SUMIF('Monthly Summary'!$BK$75:$BV$75,"",EK30:EV30),SUMIF('Monthly Summary'!$BK$74:$BV$74,"",EK30:EV30))</f>
        <v>0</v>
      </c>
      <c r="FN30" s="997">
        <f t="shared" si="7"/>
        <v>0</v>
      </c>
    </row>
    <row r="31" spans="1:170">
      <c r="C31" s="757"/>
      <c r="D31" s="757"/>
      <c r="E31" s="758"/>
      <c r="F31" s="758"/>
      <c r="G31" s="758"/>
      <c r="H31" s="1215"/>
      <c r="I31" s="761"/>
      <c r="J31" s="761"/>
      <c r="K31" s="761"/>
      <c r="L31" s="761"/>
      <c r="M31" s="761"/>
      <c r="N31" s="761"/>
      <c r="O31" s="761"/>
      <c r="P31" s="761"/>
      <c r="Q31" s="761"/>
      <c r="R31" s="761"/>
      <c r="S31" s="1216"/>
      <c r="T31" s="1215"/>
      <c r="U31" s="761"/>
      <c r="V31" s="761"/>
      <c r="W31" s="761"/>
      <c r="X31" s="761"/>
      <c r="Y31" s="761"/>
      <c r="Z31" s="761"/>
      <c r="AA31" s="761"/>
      <c r="AB31" s="761"/>
      <c r="AC31" s="761"/>
      <c r="AD31" s="761"/>
      <c r="AE31" s="1216"/>
      <c r="AF31" s="1215"/>
      <c r="AG31" s="761"/>
      <c r="AH31" s="761"/>
      <c r="AI31" s="761"/>
      <c r="AJ31" s="761"/>
      <c r="AK31" s="761"/>
      <c r="AL31" s="761"/>
      <c r="AM31" s="761"/>
      <c r="AN31" s="761"/>
      <c r="AO31" s="761"/>
      <c r="AP31" s="761"/>
      <c r="AQ31" s="1216"/>
      <c r="AR31" s="1215"/>
      <c r="AS31" s="761"/>
      <c r="AT31" s="761"/>
      <c r="AU31" s="761"/>
      <c r="AV31" s="761"/>
      <c r="AW31" s="761"/>
      <c r="AX31" s="761"/>
      <c r="AY31" s="761"/>
      <c r="AZ31" s="761"/>
      <c r="BA31" s="761"/>
      <c r="BB31" s="761"/>
      <c r="BC31" s="1216"/>
      <c r="BD31" s="1215"/>
      <c r="BE31" s="761"/>
      <c r="BF31" s="761"/>
      <c r="BG31" s="761"/>
      <c r="BH31" s="761"/>
      <c r="BI31" s="761"/>
      <c r="BJ31" s="761"/>
      <c r="BK31" s="761"/>
      <c r="BL31" s="761"/>
      <c r="BM31" s="761"/>
      <c r="BN31" s="761"/>
      <c r="BO31" s="1216"/>
      <c r="BP31" s="1215"/>
      <c r="BQ31" s="761"/>
      <c r="BR31" s="761"/>
      <c r="BS31" s="761"/>
      <c r="BT31" s="761"/>
      <c r="BU31" s="761"/>
      <c r="BV31" s="761"/>
      <c r="BW31" s="761"/>
      <c r="BX31" s="761"/>
      <c r="BY31" s="761"/>
      <c r="BZ31" s="761"/>
      <c r="CA31" s="1216"/>
      <c r="CB31" s="747"/>
      <c r="CC31" s="1222">
        <f>$G31*H31*Variables!$B$53</f>
        <v>0</v>
      </c>
      <c r="CD31" s="1223">
        <f>$G31*I31*Variables!$B$53</f>
        <v>0</v>
      </c>
      <c r="CE31" s="1223">
        <f>$G31*J31*Variables!$B$53</f>
        <v>0</v>
      </c>
      <c r="CF31" s="1223">
        <f>$G31*K31*Variables!$B$53</f>
        <v>0</v>
      </c>
      <c r="CG31" s="1223">
        <f>$G31*L31*Variables!$B$53</f>
        <v>0</v>
      </c>
      <c r="CH31" s="1223">
        <f>$G31*M31*Variables!$B$53</f>
        <v>0</v>
      </c>
      <c r="CI31" s="1223">
        <f>$G31*N31*Variables!$B$53</f>
        <v>0</v>
      </c>
      <c r="CJ31" s="1223">
        <f>$G31*O31*Variables!$B$53</f>
        <v>0</v>
      </c>
      <c r="CK31" s="1223">
        <f>$G31*P31*Variables!$B$53</f>
        <v>0</v>
      </c>
      <c r="CL31" s="1223">
        <f>$G31*Q31*Variables!$B$53</f>
        <v>0</v>
      </c>
      <c r="CM31" s="1223">
        <f>$G31*R31*Variables!$B$53</f>
        <v>0</v>
      </c>
      <c r="CN31" s="1225">
        <f>$G31*S31*Variables!$B$53</f>
        <v>0</v>
      </c>
      <c r="CO31" s="1222">
        <f>$G31*T31*Variables!$B$53*HLOOKUP($CO$2,Variables!$B$60:$F$61,2,FALSE)</f>
        <v>0</v>
      </c>
      <c r="CP31" s="1223">
        <f>$G31*U31*Variables!$B$53*HLOOKUP($CO$2,Variables!$B$60:$F$61,2,FALSE)</f>
        <v>0</v>
      </c>
      <c r="CQ31" s="1223">
        <f>$G31*V31*Variables!$B$53*HLOOKUP($CO$2,Variables!$B$60:$F$61,2,FALSE)</f>
        <v>0</v>
      </c>
      <c r="CR31" s="1223">
        <f>$G31*W31*Variables!$B$53*HLOOKUP($CO$2,Variables!$B$60:$F$61,2,FALSE)</f>
        <v>0</v>
      </c>
      <c r="CS31" s="1223">
        <f>$G31*X31*Variables!$B$53*HLOOKUP($CO$2,Variables!$B$60:$F$61,2,FALSE)</f>
        <v>0</v>
      </c>
      <c r="CT31" s="1223">
        <f>$G31*Y31*Variables!$B$53*HLOOKUP($CO$2,Variables!$B$60:$F$61,2,FALSE)</f>
        <v>0</v>
      </c>
      <c r="CU31" s="1223">
        <f>$G31*Z31*Variables!$B$53*HLOOKUP($CO$2,Variables!$B$60:$F$61,2,FALSE)</f>
        <v>0</v>
      </c>
      <c r="CV31" s="1223">
        <f>$G31*AA31*Variables!$B$53*HLOOKUP($CO$2,Variables!$B$60:$F$61,2,FALSE)</f>
        <v>0</v>
      </c>
      <c r="CW31" s="1223">
        <f>$G31*AB31*Variables!$B$53*HLOOKUP($CO$2,Variables!$B$60:$F$61,2,FALSE)</f>
        <v>0</v>
      </c>
      <c r="CX31" s="1223">
        <f>$G31*AC31*Variables!$B$53*HLOOKUP($CO$2,Variables!$B$60:$F$61,2,FALSE)</f>
        <v>0</v>
      </c>
      <c r="CY31" s="1223">
        <f>$G31*AD31*Variables!$B$53*HLOOKUP($CO$2,Variables!$B$60:$F$61,2,FALSE)</f>
        <v>0</v>
      </c>
      <c r="CZ31" s="1225">
        <f>$G31*AE31*Variables!$B$53*HLOOKUP($CO$2,Variables!$B$60:$F$61,2,FALSE)</f>
        <v>0</v>
      </c>
      <c r="DA31" s="1222">
        <f>$G31*AF31*Variables!$B$53*HLOOKUP($DA$2,Variables!$B$60:$F$61,2,FALSE)</f>
        <v>0</v>
      </c>
      <c r="DB31" s="1223">
        <f>$G31*AG31*Variables!$B$53*HLOOKUP($DA$2,Variables!$B$60:$F$61,2,FALSE)</f>
        <v>0</v>
      </c>
      <c r="DC31" s="1223">
        <f>$G31*AH31*Variables!$B$53*HLOOKUP($DA$2,Variables!$B$60:$F$61,2,FALSE)</f>
        <v>0</v>
      </c>
      <c r="DD31" s="1223">
        <f>$G31*AI31*Variables!$B$53*HLOOKUP($DA$2,Variables!$B$60:$F$61,2,FALSE)</f>
        <v>0</v>
      </c>
      <c r="DE31" s="1223">
        <f>$G31*AJ31*Variables!$B$53*HLOOKUP($DA$2,Variables!$B$60:$F$61,2,FALSE)</f>
        <v>0</v>
      </c>
      <c r="DF31" s="1223">
        <f>$G31*AK31*Variables!$B$53*HLOOKUP($DA$2,Variables!$B$60:$F$61,2,FALSE)</f>
        <v>0</v>
      </c>
      <c r="DG31" s="1223">
        <f>$G31*AL31*Variables!$B$53*HLOOKUP($DA$2,Variables!$B$60:$F$61,2,FALSE)</f>
        <v>0</v>
      </c>
      <c r="DH31" s="1223">
        <f>$G31*AM31*Variables!$B$53*HLOOKUP($DA$2,Variables!$B$60:$F$61,2,FALSE)</f>
        <v>0</v>
      </c>
      <c r="DI31" s="1223">
        <f>$G31*AN31*Variables!$B$53*HLOOKUP($DA$2,Variables!$B$60:$F$61,2,FALSE)</f>
        <v>0</v>
      </c>
      <c r="DJ31" s="1223">
        <f>$G31*AO31*Variables!$B$53*HLOOKUP($DA$2,Variables!$B$60:$F$61,2,FALSE)</f>
        <v>0</v>
      </c>
      <c r="DK31" s="1223">
        <f>$G31*AP31*Variables!$B$53*HLOOKUP($DA$2,Variables!$B$60:$F$61,2,FALSE)</f>
        <v>0</v>
      </c>
      <c r="DL31" s="1225">
        <f>$G31*AQ31*Variables!$B$53*HLOOKUP($DA$2,Variables!$B$60:$F$61,2,FALSE)</f>
        <v>0</v>
      </c>
      <c r="DM31" s="1222">
        <f>$G31*AR31*Variables!$B$53*HLOOKUP($DM$2,Variables!$B$60:$F$61,2,FALSE)</f>
        <v>0</v>
      </c>
      <c r="DN31" s="1223">
        <f>$G31*AS31*Variables!$B$53*HLOOKUP($DM$2,Variables!$B$60:$F$61,2,FALSE)</f>
        <v>0</v>
      </c>
      <c r="DO31" s="1223">
        <f>$G31*AT31*Variables!$B$53*HLOOKUP($DM$2,Variables!$B$60:$F$61,2,FALSE)</f>
        <v>0</v>
      </c>
      <c r="DP31" s="1223">
        <f>$G31*AU31*Variables!$B$53*HLOOKUP($DM$2,Variables!$B$60:$F$61,2,FALSE)</f>
        <v>0</v>
      </c>
      <c r="DQ31" s="1223">
        <f>$G31*AV31*Variables!$B$53*HLOOKUP($DM$2,Variables!$B$60:$F$61,2,FALSE)</f>
        <v>0</v>
      </c>
      <c r="DR31" s="1223">
        <f>$G31*AW31*Variables!$B$53*HLOOKUP($DM$2,Variables!$B$60:$F$61,2,FALSE)</f>
        <v>0</v>
      </c>
      <c r="DS31" s="1223">
        <f>$G31*AX31*Variables!$B$53*HLOOKUP($DM$2,Variables!$B$60:$F$61,2,FALSE)</f>
        <v>0</v>
      </c>
      <c r="DT31" s="1223">
        <f>$G31*AY31*Variables!$B$53*HLOOKUP($DM$2,Variables!$B$60:$F$61,2,FALSE)</f>
        <v>0</v>
      </c>
      <c r="DU31" s="1223">
        <f>$G31*AZ31*Variables!$B$53*HLOOKUP($DM$2,Variables!$B$60:$F$61,2,FALSE)</f>
        <v>0</v>
      </c>
      <c r="DV31" s="1223">
        <f>$G31*BA31*Variables!$B$53*HLOOKUP($DM$2,Variables!$B$60:$F$61,2,FALSE)</f>
        <v>0</v>
      </c>
      <c r="DW31" s="1223">
        <f>$G31*BB31*Variables!$B$53*HLOOKUP($DM$2,Variables!$B$60:$F$61,2,FALSE)</f>
        <v>0</v>
      </c>
      <c r="DX31" s="1225">
        <f>$G31*BC31*Variables!$B$53*HLOOKUP($DM$2,Variables!$B$60:$F$61,2,FALSE)</f>
        <v>0</v>
      </c>
      <c r="DY31" s="1222">
        <f>$G31*BD31*Variables!$B$53*HLOOKUP($DY$2,Variables!$B$60:$F$61,2,FALSE)</f>
        <v>0</v>
      </c>
      <c r="DZ31" s="1223">
        <f>$G31*BE31*Variables!$B$53*HLOOKUP($DY$2,Variables!$B$60:$F$61,2,FALSE)</f>
        <v>0</v>
      </c>
      <c r="EA31" s="1223">
        <f>$G31*BF31*Variables!$B$53*HLOOKUP($DY$2,Variables!$B$60:$F$61,2,FALSE)</f>
        <v>0</v>
      </c>
      <c r="EB31" s="1223">
        <f>$G31*BG31*Variables!$B$53*HLOOKUP($DY$2,Variables!$B$60:$F$61,2,FALSE)</f>
        <v>0</v>
      </c>
      <c r="EC31" s="1223">
        <f>$G31*BH31*Variables!$B$53*HLOOKUP($DY$2,Variables!$B$60:$F$61,2,FALSE)</f>
        <v>0</v>
      </c>
      <c r="ED31" s="1223">
        <f>$G31*BI31*Variables!$B$53*HLOOKUP($DY$2,Variables!$B$60:$F$61,2,FALSE)</f>
        <v>0</v>
      </c>
      <c r="EE31" s="1223">
        <f>$G31*BJ31*Variables!$B$53*HLOOKUP($DY$2,Variables!$B$60:$F$61,2,FALSE)</f>
        <v>0</v>
      </c>
      <c r="EF31" s="1223">
        <f>$G31*BK31*Variables!$B$53*HLOOKUP($DY$2,Variables!$B$60:$F$61,2,FALSE)</f>
        <v>0</v>
      </c>
      <c r="EG31" s="1223">
        <f>$G31*BL31*Variables!$B$53*HLOOKUP($DY$2,Variables!$B$60:$F$61,2,FALSE)</f>
        <v>0</v>
      </c>
      <c r="EH31" s="1223">
        <f>$G31*BM31*Variables!$B$53*HLOOKUP($DY$2,Variables!$B$60:$F$61,2,FALSE)</f>
        <v>0</v>
      </c>
      <c r="EI31" s="1223">
        <f>$G31*BN31*Variables!$B$53*HLOOKUP($DY$2,Variables!$B$60:$F$61,2,FALSE)</f>
        <v>0</v>
      </c>
      <c r="EJ31" s="1225">
        <f>$G31*BO31*Variables!$B$53*HLOOKUP($DY$2,Variables!$B$60:$F$61,2,FALSE)</f>
        <v>0</v>
      </c>
      <c r="EK31" s="1222">
        <f>$G31*BP31*Variables!$B$53*HLOOKUP($EK$2,Variables!$B$60:$F$61,2,FALSE)</f>
        <v>0</v>
      </c>
      <c r="EL31" s="1223">
        <f>$G31*BQ31*Variables!$B$53*HLOOKUP($EK$2,Variables!$B$60:$F$61,2,FALSE)</f>
        <v>0</v>
      </c>
      <c r="EM31" s="1223">
        <f>$G31*BR31*Variables!$B$53*HLOOKUP($EK$2,Variables!$B$60:$F$61,2,FALSE)</f>
        <v>0</v>
      </c>
      <c r="EN31" s="1223">
        <f>$G31*BS31*Variables!$B$53*HLOOKUP($EK$2,Variables!$B$60:$F$61,2,FALSE)</f>
        <v>0</v>
      </c>
      <c r="EO31" s="1223">
        <f>$G31*BT31*Variables!$B$53*HLOOKUP($EK$2,Variables!$B$60:$F$61,2,FALSE)</f>
        <v>0</v>
      </c>
      <c r="EP31" s="1223">
        <f>$G31*BU31*Variables!$B$53*HLOOKUP($EK$2,Variables!$B$60:$F$61,2,FALSE)</f>
        <v>0</v>
      </c>
      <c r="EQ31" s="1223">
        <f>$G31*BV31*Variables!$B$53*HLOOKUP($EK$2,Variables!$B$60:$F$61,2,FALSE)</f>
        <v>0</v>
      </c>
      <c r="ER31" s="1223">
        <f>$G31*BW31*Variables!$B$53*HLOOKUP($EK$2,Variables!$B$60:$F$61,2,FALSE)</f>
        <v>0</v>
      </c>
      <c r="ES31" s="1223">
        <f>$G31*BX31*Variables!$B$53*HLOOKUP($EK$2,Variables!$B$60:$F$61,2,FALSE)</f>
        <v>0</v>
      </c>
      <c r="ET31" s="1223">
        <f>$G31*BY31*Variables!$B$53*HLOOKUP($EK$2,Variables!$B$60:$F$61,2,FALSE)</f>
        <v>0</v>
      </c>
      <c r="EU31" s="1223">
        <f>$G31*BZ31*Variables!$B$53*HLOOKUP($EK$2,Variables!$B$60:$F$61,2,FALSE)</f>
        <v>0</v>
      </c>
      <c r="EV31" s="1225">
        <f>$G31*CA31*Variables!$B$53*HLOOKUP($EK$2,Variables!$B$60:$F$61,2,FALSE)</f>
        <v>0</v>
      </c>
      <c r="EW31" s="872">
        <f t="shared" si="6"/>
        <v>0</v>
      </c>
      <c r="EX31" s="872"/>
      <c r="EY31" s="872"/>
      <c r="EZ31" s="872"/>
      <c r="FA31" s="1332"/>
      <c r="FC31" s="958" t="str">
        <f t="shared" si="3"/>
        <v/>
      </c>
      <c r="FD31" s="959" t="str">
        <f t="shared" si="4"/>
        <v/>
      </c>
      <c r="FE31" s="959" t="s">
        <v>8407</v>
      </c>
      <c r="FF31" s="959" t="str">
        <f>IF(ISNA(VLOOKUP(FC31,Miscellaneous!E:F,2,0)),"",VLOOKUP(FC31,Miscellaneous!E:F,2,0))</f>
        <v/>
      </c>
      <c r="FG31" s="959" t="str">
        <f t="shared" si="5"/>
        <v/>
      </c>
      <c r="FH31" s="996">
        <f>IF($FG31="Opex",SUMIF('Monthly Summary'!$C$75:$N$75,"",CC31:CN31),SUMIF('Monthly Summary'!$C$74:$N$74,"",CC31:CN31))</f>
        <v>0</v>
      </c>
      <c r="FI31" s="996">
        <f>IF($FG31="Opex",SUMIF('Monthly Summary'!$O$75:$Z$75,"",CO31:CZ31),SUMIF('Monthly Summary'!$O$74:$Z$74,"",CO31:CZ31))</f>
        <v>0</v>
      </c>
      <c r="FJ31" s="996">
        <f>IF($FG31="Opex",SUMIF('Monthly Summary'!$AA$75:$AL$75,"",DA31:DL31),SUMIF('Monthly Summary'!$AA$74:$AL$74,"",DA31:DL31))</f>
        <v>0</v>
      </c>
      <c r="FK31" s="996">
        <f>IF($FG31="Opex",SUMIF('Monthly Summary'!$AM$75:$AX$75,"",DM31:DX31),SUMIF('Monthly Summary'!$AM$74:$AX$74,"",DM31:DX31))</f>
        <v>0</v>
      </c>
      <c r="FL31" s="996">
        <f>IF($FG31="Opex",SUMIF('Monthly Summary'!$AY$75:$BJ$75,"",DY31:EJ31),SUMIF('Monthly Summary'!$AY$74:$BJ$74,"",DY31:EJ31))</f>
        <v>0</v>
      </c>
      <c r="FM31" s="997">
        <f>IF($FG31="Opex",SUMIF('Monthly Summary'!$BK$75:$BV$75,"",EK31:EV31),SUMIF('Monthly Summary'!$BK$74:$BV$74,"",EK31:EV31))</f>
        <v>0</v>
      </c>
      <c r="FN31" s="997">
        <f t="shared" si="7"/>
        <v>0</v>
      </c>
    </row>
    <row r="32" spans="1:170">
      <c r="C32" s="757"/>
      <c r="D32" s="757"/>
      <c r="E32" s="758"/>
      <c r="F32" s="758"/>
      <c r="G32" s="758"/>
      <c r="H32" s="1215"/>
      <c r="I32" s="761"/>
      <c r="J32" s="761"/>
      <c r="K32" s="761"/>
      <c r="L32" s="761"/>
      <c r="M32" s="761"/>
      <c r="N32" s="761"/>
      <c r="O32" s="761"/>
      <c r="P32" s="761"/>
      <c r="Q32" s="761"/>
      <c r="R32" s="761"/>
      <c r="S32" s="1216"/>
      <c r="T32" s="1215"/>
      <c r="U32" s="761"/>
      <c r="V32" s="761"/>
      <c r="W32" s="761"/>
      <c r="X32" s="761"/>
      <c r="Y32" s="761"/>
      <c r="Z32" s="761"/>
      <c r="AA32" s="761"/>
      <c r="AB32" s="761"/>
      <c r="AC32" s="761"/>
      <c r="AD32" s="761"/>
      <c r="AE32" s="1216"/>
      <c r="AF32" s="1215"/>
      <c r="AG32" s="761"/>
      <c r="AH32" s="761"/>
      <c r="AI32" s="761"/>
      <c r="AJ32" s="761"/>
      <c r="AK32" s="761"/>
      <c r="AL32" s="761"/>
      <c r="AM32" s="761"/>
      <c r="AN32" s="761"/>
      <c r="AO32" s="761"/>
      <c r="AP32" s="761"/>
      <c r="AQ32" s="1216"/>
      <c r="AR32" s="1215"/>
      <c r="AS32" s="761"/>
      <c r="AT32" s="761"/>
      <c r="AU32" s="761"/>
      <c r="AV32" s="761"/>
      <c r="AW32" s="761"/>
      <c r="AX32" s="761"/>
      <c r="AY32" s="761"/>
      <c r="AZ32" s="761"/>
      <c r="BA32" s="761"/>
      <c r="BB32" s="761"/>
      <c r="BC32" s="1216"/>
      <c r="BD32" s="1215"/>
      <c r="BE32" s="761"/>
      <c r="BF32" s="761"/>
      <c r="BG32" s="761"/>
      <c r="BH32" s="761"/>
      <c r="BI32" s="761"/>
      <c r="BJ32" s="761"/>
      <c r="BK32" s="761"/>
      <c r="BL32" s="761"/>
      <c r="BM32" s="761"/>
      <c r="BN32" s="761"/>
      <c r="BO32" s="1216"/>
      <c r="BP32" s="1215"/>
      <c r="BQ32" s="761"/>
      <c r="BR32" s="761"/>
      <c r="BS32" s="761"/>
      <c r="BT32" s="761"/>
      <c r="BU32" s="761"/>
      <c r="BV32" s="761"/>
      <c r="BW32" s="761"/>
      <c r="BX32" s="761"/>
      <c r="BY32" s="761"/>
      <c r="BZ32" s="761"/>
      <c r="CA32" s="1216"/>
      <c r="CB32" s="747"/>
      <c r="CC32" s="1222">
        <f>$G32*H32*Variables!$B$53</f>
        <v>0</v>
      </c>
      <c r="CD32" s="1223">
        <f>$G32*I32*Variables!$B$53</f>
        <v>0</v>
      </c>
      <c r="CE32" s="1223">
        <f>$G32*J32*Variables!$B$53</f>
        <v>0</v>
      </c>
      <c r="CF32" s="1223">
        <f>$G32*K32*Variables!$B$53</f>
        <v>0</v>
      </c>
      <c r="CG32" s="1223">
        <f>$G32*L32*Variables!$B$53</f>
        <v>0</v>
      </c>
      <c r="CH32" s="1223">
        <f>$G32*M32*Variables!$B$53</f>
        <v>0</v>
      </c>
      <c r="CI32" s="1223">
        <f>$G32*N32*Variables!$B$53</f>
        <v>0</v>
      </c>
      <c r="CJ32" s="1223">
        <f>$G32*O32*Variables!$B$53</f>
        <v>0</v>
      </c>
      <c r="CK32" s="1223">
        <f>$G32*P32*Variables!$B$53</f>
        <v>0</v>
      </c>
      <c r="CL32" s="1223">
        <f>$G32*Q32*Variables!$B$53</f>
        <v>0</v>
      </c>
      <c r="CM32" s="1223">
        <f>$G32*R32*Variables!$B$53</f>
        <v>0</v>
      </c>
      <c r="CN32" s="1225">
        <f>$G32*S32*Variables!$B$53</f>
        <v>0</v>
      </c>
      <c r="CO32" s="1222">
        <f>$G32*T32*Variables!$B$53*HLOOKUP($CO$2,Variables!$B$60:$F$61,2,FALSE)</f>
        <v>0</v>
      </c>
      <c r="CP32" s="1223">
        <f>$G32*U32*Variables!$B$53*HLOOKUP($CO$2,Variables!$B$60:$F$61,2,FALSE)</f>
        <v>0</v>
      </c>
      <c r="CQ32" s="1223">
        <f>$G32*V32*Variables!$B$53*HLOOKUP($CO$2,Variables!$B$60:$F$61,2,FALSE)</f>
        <v>0</v>
      </c>
      <c r="CR32" s="1223">
        <f>$G32*W32*Variables!$B$53*HLOOKUP($CO$2,Variables!$B$60:$F$61,2,FALSE)</f>
        <v>0</v>
      </c>
      <c r="CS32" s="1223">
        <f>$G32*X32*Variables!$B$53*HLOOKUP($CO$2,Variables!$B$60:$F$61,2,FALSE)</f>
        <v>0</v>
      </c>
      <c r="CT32" s="1223">
        <f>$G32*Y32*Variables!$B$53*HLOOKUP($CO$2,Variables!$B$60:$F$61,2,FALSE)</f>
        <v>0</v>
      </c>
      <c r="CU32" s="1223">
        <f>$G32*Z32*Variables!$B$53*HLOOKUP($CO$2,Variables!$B$60:$F$61,2,FALSE)</f>
        <v>0</v>
      </c>
      <c r="CV32" s="1223">
        <f>$G32*AA32*Variables!$B$53*HLOOKUP($CO$2,Variables!$B$60:$F$61,2,FALSE)</f>
        <v>0</v>
      </c>
      <c r="CW32" s="1223">
        <f>$G32*AB32*Variables!$B$53*HLOOKUP($CO$2,Variables!$B$60:$F$61,2,FALSE)</f>
        <v>0</v>
      </c>
      <c r="CX32" s="1223">
        <f>$G32*AC32*Variables!$B$53*HLOOKUP($CO$2,Variables!$B$60:$F$61,2,FALSE)</f>
        <v>0</v>
      </c>
      <c r="CY32" s="1223">
        <f>$G32*AD32*Variables!$B$53*HLOOKUP($CO$2,Variables!$B$60:$F$61,2,FALSE)</f>
        <v>0</v>
      </c>
      <c r="CZ32" s="1225">
        <f>$G32*AE32*Variables!$B$53*HLOOKUP($CO$2,Variables!$B$60:$F$61,2,FALSE)</f>
        <v>0</v>
      </c>
      <c r="DA32" s="1222">
        <f>$G32*AF32*Variables!$B$53*HLOOKUP($DA$2,Variables!$B$60:$F$61,2,FALSE)</f>
        <v>0</v>
      </c>
      <c r="DB32" s="1223">
        <f>$G32*AG32*Variables!$B$53*HLOOKUP($DA$2,Variables!$B$60:$F$61,2,FALSE)</f>
        <v>0</v>
      </c>
      <c r="DC32" s="1223">
        <f>$G32*AH32*Variables!$B$53*HLOOKUP($DA$2,Variables!$B$60:$F$61,2,FALSE)</f>
        <v>0</v>
      </c>
      <c r="DD32" s="1223">
        <f>$G32*AI32*Variables!$B$53*HLOOKUP($DA$2,Variables!$B$60:$F$61,2,FALSE)</f>
        <v>0</v>
      </c>
      <c r="DE32" s="1223">
        <f>$G32*AJ32*Variables!$B$53*HLOOKUP($DA$2,Variables!$B$60:$F$61,2,FALSE)</f>
        <v>0</v>
      </c>
      <c r="DF32" s="1223">
        <f>$G32*AK32*Variables!$B$53*HLOOKUP($DA$2,Variables!$B$60:$F$61,2,FALSE)</f>
        <v>0</v>
      </c>
      <c r="DG32" s="1223">
        <f>$G32*AL32*Variables!$B$53*HLOOKUP($DA$2,Variables!$B$60:$F$61,2,FALSE)</f>
        <v>0</v>
      </c>
      <c r="DH32" s="1223">
        <f>$G32*AM32*Variables!$B$53*HLOOKUP($DA$2,Variables!$B$60:$F$61,2,FALSE)</f>
        <v>0</v>
      </c>
      <c r="DI32" s="1223">
        <f>$G32*AN32*Variables!$B$53*HLOOKUP($DA$2,Variables!$B$60:$F$61,2,FALSE)</f>
        <v>0</v>
      </c>
      <c r="DJ32" s="1223">
        <f>$G32*AO32*Variables!$B$53*HLOOKUP($DA$2,Variables!$B$60:$F$61,2,FALSE)</f>
        <v>0</v>
      </c>
      <c r="DK32" s="1223">
        <f>$G32*AP32*Variables!$B$53*HLOOKUP($DA$2,Variables!$B$60:$F$61,2,FALSE)</f>
        <v>0</v>
      </c>
      <c r="DL32" s="1225">
        <f>$G32*AQ32*Variables!$B$53*HLOOKUP($DA$2,Variables!$B$60:$F$61,2,FALSE)</f>
        <v>0</v>
      </c>
      <c r="DM32" s="1222">
        <f>$G32*AR32*Variables!$B$53*HLOOKUP($DM$2,Variables!$B$60:$F$61,2,FALSE)</f>
        <v>0</v>
      </c>
      <c r="DN32" s="1223">
        <f>$G32*AS32*Variables!$B$53*HLOOKUP($DM$2,Variables!$B$60:$F$61,2,FALSE)</f>
        <v>0</v>
      </c>
      <c r="DO32" s="1223">
        <f>$G32*AT32*Variables!$B$53*HLOOKUP($DM$2,Variables!$B$60:$F$61,2,FALSE)</f>
        <v>0</v>
      </c>
      <c r="DP32" s="1223">
        <f>$G32*AU32*Variables!$B$53*HLOOKUP($DM$2,Variables!$B$60:$F$61,2,FALSE)</f>
        <v>0</v>
      </c>
      <c r="DQ32" s="1223">
        <f>$G32*AV32*Variables!$B$53*HLOOKUP($DM$2,Variables!$B$60:$F$61,2,FALSE)</f>
        <v>0</v>
      </c>
      <c r="DR32" s="1223">
        <f>$G32*AW32*Variables!$B$53*HLOOKUP($DM$2,Variables!$B$60:$F$61,2,FALSE)</f>
        <v>0</v>
      </c>
      <c r="DS32" s="1223">
        <f>$G32*AX32*Variables!$B$53*HLOOKUP($DM$2,Variables!$B$60:$F$61,2,FALSE)</f>
        <v>0</v>
      </c>
      <c r="DT32" s="1223">
        <f>$G32*AY32*Variables!$B$53*HLOOKUP($DM$2,Variables!$B$60:$F$61,2,FALSE)</f>
        <v>0</v>
      </c>
      <c r="DU32" s="1223">
        <f>$G32*AZ32*Variables!$B$53*HLOOKUP($DM$2,Variables!$B$60:$F$61,2,FALSE)</f>
        <v>0</v>
      </c>
      <c r="DV32" s="1223">
        <f>$G32*BA32*Variables!$B$53*HLOOKUP($DM$2,Variables!$B$60:$F$61,2,FALSE)</f>
        <v>0</v>
      </c>
      <c r="DW32" s="1223">
        <f>$G32*BB32*Variables!$B$53*HLOOKUP($DM$2,Variables!$B$60:$F$61,2,FALSE)</f>
        <v>0</v>
      </c>
      <c r="DX32" s="1225">
        <f>$G32*BC32*Variables!$B$53*HLOOKUP($DM$2,Variables!$B$60:$F$61,2,FALSE)</f>
        <v>0</v>
      </c>
      <c r="DY32" s="1222">
        <f>$G32*BD32*Variables!$B$53*HLOOKUP($DY$2,Variables!$B$60:$F$61,2,FALSE)</f>
        <v>0</v>
      </c>
      <c r="DZ32" s="1223">
        <f>$G32*BE32*Variables!$B$53*HLOOKUP($DY$2,Variables!$B$60:$F$61,2,FALSE)</f>
        <v>0</v>
      </c>
      <c r="EA32" s="1223">
        <f>$G32*BF32*Variables!$B$53*HLOOKUP($DY$2,Variables!$B$60:$F$61,2,FALSE)</f>
        <v>0</v>
      </c>
      <c r="EB32" s="1223">
        <f>$G32*BG32*Variables!$B$53*HLOOKUP($DY$2,Variables!$B$60:$F$61,2,FALSE)</f>
        <v>0</v>
      </c>
      <c r="EC32" s="1223">
        <f>$G32*BH32*Variables!$B$53*HLOOKUP($DY$2,Variables!$B$60:$F$61,2,FALSE)</f>
        <v>0</v>
      </c>
      <c r="ED32" s="1223">
        <f>$G32*BI32*Variables!$B$53*HLOOKUP($DY$2,Variables!$B$60:$F$61,2,FALSE)</f>
        <v>0</v>
      </c>
      <c r="EE32" s="1223">
        <f>$G32*BJ32*Variables!$B$53*HLOOKUP($DY$2,Variables!$B$60:$F$61,2,FALSE)</f>
        <v>0</v>
      </c>
      <c r="EF32" s="1223">
        <f>$G32*BK32*Variables!$B$53*HLOOKUP($DY$2,Variables!$B$60:$F$61,2,FALSE)</f>
        <v>0</v>
      </c>
      <c r="EG32" s="1223">
        <f>$G32*BL32*Variables!$B$53*HLOOKUP($DY$2,Variables!$B$60:$F$61,2,FALSE)</f>
        <v>0</v>
      </c>
      <c r="EH32" s="1223">
        <f>$G32*BM32*Variables!$B$53*HLOOKUP($DY$2,Variables!$B$60:$F$61,2,FALSE)</f>
        <v>0</v>
      </c>
      <c r="EI32" s="1223">
        <f>$G32*BN32*Variables!$B$53*HLOOKUP($DY$2,Variables!$B$60:$F$61,2,FALSE)</f>
        <v>0</v>
      </c>
      <c r="EJ32" s="1225">
        <f>$G32*BO32*Variables!$B$53*HLOOKUP($DY$2,Variables!$B$60:$F$61,2,FALSE)</f>
        <v>0</v>
      </c>
      <c r="EK32" s="1222">
        <f>$G32*BP32*Variables!$B$53*HLOOKUP($EK$2,Variables!$B$60:$F$61,2,FALSE)</f>
        <v>0</v>
      </c>
      <c r="EL32" s="1223">
        <f>$G32*BQ32*Variables!$B$53*HLOOKUP($EK$2,Variables!$B$60:$F$61,2,FALSE)</f>
        <v>0</v>
      </c>
      <c r="EM32" s="1223">
        <f>$G32*BR32*Variables!$B$53*HLOOKUP($EK$2,Variables!$B$60:$F$61,2,FALSE)</f>
        <v>0</v>
      </c>
      <c r="EN32" s="1223">
        <f>$G32*BS32*Variables!$B$53*HLOOKUP($EK$2,Variables!$B$60:$F$61,2,FALSE)</f>
        <v>0</v>
      </c>
      <c r="EO32" s="1223">
        <f>$G32*BT32*Variables!$B$53*HLOOKUP($EK$2,Variables!$B$60:$F$61,2,FALSE)</f>
        <v>0</v>
      </c>
      <c r="EP32" s="1223">
        <f>$G32*BU32*Variables!$B$53*HLOOKUP($EK$2,Variables!$B$60:$F$61,2,FALSE)</f>
        <v>0</v>
      </c>
      <c r="EQ32" s="1223">
        <f>$G32*BV32*Variables!$B$53*HLOOKUP($EK$2,Variables!$B$60:$F$61,2,FALSE)</f>
        <v>0</v>
      </c>
      <c r="ER32" s="1223">
        <f>$G32*BW32*Variables!$B$53*HLOOKUP($EK$2,Variables!$B$60:$F$61,2,FALSE)</f>
        <v>0</v>
      </c>
      <c r="ES32" s="1223">
        <f>$G32*BX32*Variables!$B$53*HLOOKUP($EK$2,Variables!$B$60:$F$61,2,FALSE)</f>
        <v>0</v>
      </c>
      <c r="ET32" s="1223">
        <f>$G32*BY32*Variables!$B$53*HLOOKUP($EK$2,Variables!$B$60:$F$61,2,FALSE)</f>
        <v>0</v>
      </c>
      <c r="EU32" s="1223">
        <f>$G32*BZ32*Variables!$B$53*HLOOKUP($EK$2,Variables!$B$60:$F$61,2,FALSE)</f>
        <v>0</v>
      </c>
      <c r="EV32" s="1225">
        <f>$G32*CA32*Variables!$B$53*HLOOKUP($EK$2,Variables!$B$60:$F$61,2,FALSE)</f>
        <v>0</v>
      </c>
      <c r="EW32" s="872">
        <f t="shared" si="6"/>
        <v>0</v>
      </c>
      <c r="EX32" s="872"/>
      <c r="EY32" s="872"/>
      <c r="EZ32" s="872"/>
      <c r="FA32" s="1332"/>
      <c r="FC32" s="958" t="str">
        <f t="shared" si="3"/>
        <v/>
      </c>
      <c r="FD32" s="959" t="str">
        <f t="shared" si="4"/>
        <v/>
      </c>
      <c r="FE32" s="959" t="s">
        <v>8407</v>
      </c>
      <c r="FF32" s="959" t="str">
        <f>IF(ISNA(VLOOKUP(FC32,Miscellaneous!E:F,2,0)),"",VLOOKUP(FC32,Miscellaneous!E:F,2,0))</f>
        <v/>
      </c>
      <c r="FG32" s="959" t="str">
        <f t="shared" si="5"/>
        <v/>
      </c>
      <c r="FH32" s="996">
        <f>IF($FG32="Opex",SUMIF('Monthly Summary'!$C$75:$N$75,"",CC32:CN32),SUMIF('Monthly Summary'!$C$74:$N$74,"",CC32:CN32))</f>
        <v>0</v>
      </c>
      <c r="FI32" s="996">
        <f>IF($FG32="Opex",SUMIF('Monthly Summary'!$O$75:$Z$75,"",CO32:CZ32),SUMIF('Monthly Summary'!$O$74:$Z$74,"",CO32:CZ32))</f>
        <v>0</v>
      </c>
      <c r="FJ32" s="996">
        <f>IF($FG32="Opex",SUMIF('Monthly Summary'!$AA$75:$AL$75,"",DA32:DL32),SUMIF('Monthly Summary'!$AA$74:$AL$74,"",DA32:DL32))</f>
        <v>0</v>
      </c>
      <c r="FK32" s="996">
        <f>IF($FG32="Opex",SUMIF('Monthly Summary'!$AM$75:$AX$75,"",DM32:DX32),SUMIF('Monthly Summary'!$AM$74:$AX$74,"",DM32:DX32))</f>
        <v>0</v>
      </c>
      <c r="FL32" s="996">
        <f>IF($FG32="Opex",SUMIF('Monthly Summary'!$AY$75:$BJ$75,"",DY32:EJ32),SUMIF('Monthly Summary'!$AY$74:$BJ$74,"",DY32:EJ32))</f>
        <v>0</v>
      </c>
      <c r="FM32" s="997">
        <f>IF($FG32="Opex",SUMIF('Monthly Summary'!$BK$75:$BV$75,"",EK32:EV32),SUMIF('Monthly Summary'!$BK$74:$BV$74,"",EK32:EV32))</f>
        <v>0</v>
      </c>
      <c r="FN32" s="997">
        <f t="shared" si="7"/>
        <v>0</v>
      </c>
    </row>
    <row r="33" spans="3:170">
      <c r="C33" s="757"/>
      <c r="D33" s="757"/>
      <c r="E33" s="758"/>
      <c r="F33" s="758"/>
      <c r="G33" s="758"/>
      <c r="H33" s="1215"/>
      <c r="I33" s="761"/>
      <c r="J33" s="761"/>
      <c r="K33" s="761"/>
      <c r="L33" s="761"/>
      <c r="M33" s="761"/>
      <c r="N33" s="761"/>
      <c r="O33" s="761"/>
      <c r="P33" s="761"/>
      <c r="Q33" s="761"/>
      <c r="R33" s="761"/>
      <c r="S33" s="1216"/>
      <c r="T33" s="1215"/>
      <c r="U33" s="761"/>
      <c r="V33" s="761"/>
      <c r="W33" s="761"/>
      <c r="X33" s="761"/>
      <c r="Y33" s="761"/>
      <c r="Z33" s="761"/>
      <c r="AA33" s="761"/>
      <c r="AB33" s="761"/>
      <c r="AC33" s="761"/>
      <c r="AD33" s="761"/>
      <c r="AE33" s="1216"/>
      <c r="AF33" s="1215"/>
      <c r="AG33" s="761"/>
      <c r="AH33" s="761"/>
      <c r="AI33" s="761"/>
      <c r="AJ33" s="761"/>
      <c r="AK33" s="761"/>
      <c r="AL33" s="761"/>
      <c r="AM33" s="761"/>
      <c r="AN33" s="761"/>
      <c r="AO33" s="761"/>
      <c r="AP33" s="761"/>
      <c r="AQ33" s="1216"/>
      <c r="AR33" s="1215"/>
      <c r="AS33" s="761"/>
      <c r="AT33" s="761"/>
      <c r="AU33" s="761"/>
      <c r="AV33" s="761"/>
      <c r="AW33" s="761"/>
      <c r="AX33" s="761"/>
      <c r="AY33" s="761"/>
      <c r="AZ33" s="761"/>
      <c r="BA33" s="761"/>
      <c r="BB33" s="761"/>
      <c r="BC33" s="1216"/>
      <c r="BD33" s="1215"/>
      <c r="BE33" s="761"/>
      <c r="BF33" s="761"/>
      <c r="BG33" s="761"/>
      <c r="BH33" s="761"/>
      <c r="BI33" s="761"/>
      <c r="BJ33" s="761"/>
      <c r="BK33" s="761"/>
      <c r="BL33" s="761"/>
      <c r="BM33" s="761"/>
      <c r="BN33" s="761"/>
      <c r="BO33" s="1216"/>
      <c r="BP33" s="1215"/>
      <c r="BQ33" s="761"/>
      <c r="BR33" s="761"/>
      <c r="BS33" s="761"/>
      <c r="BT33" s="761"/>
      <c r="BU33" s="761"/>
      <c r="BV33" s="761"/>
      <c r="BW33" s="761"/>
      <c r="BX33" s="761"/>
      <c r="BY33" s="761"/>
      <c r="BZ33" s="761"/>
      <c r="CA33" s="1216"/>
      <c r="CB33" s="747"/>
      <c r="CC33" s="1222">
        <f>$G33*H33*Variables!$B$53</f>
        <v>0</v>
      </c>
      <c r="CD33" s="1223">
        <f>$G33*I33*Variables!$B$53</f>
        <v>0</v>
      </c>
      <c r="CE33" s="1223">
        <f>$G33*J33*Variables!$B$53</f>
        <v>0</v>
      </c>
      <c r="CF33" s="1223">
        <f>$G33*K33*Variables!$B$53</f>
        <v>0</v>
      </c>
      <c r="CG33" s="1223">
        <f>$G33*L33*Variables!$B$53</f>
        <v>0</v>
      </c>
      <c r="CH33" s="1223">
        <f>$G33*M33*Variables!$B$53</f>
        <v>0</v>
      </c>
      <c r="CI33" s="1223">
        <f>$G33*N33*Variables!$B$53</f>
        <v>0</v>
      </c>
      <c r="CJ33" s="1223">
        <f>$G33*O33*Variables!$B$53</f>
        <v>0</v>
      </c>
      <c r="CK33" s="1223">
        <f>$G33*P33*Variables!$B$53</f>
        <v>0</v>
      </c>
      <c r="CL33" s="1223">
        <f>$G33*Q33*Variables!$B$53</f>
        <v>0</v>
      </c>
      <c r="CM33" s="1223">
        <f>$G33*R33*Variables!$B$53</f>
        <v>0</v>
      </c>
      <c r="CN33" s="1225">
        <f>$G33*S33*Variables!$B$53</f>
        <v>0</v>
      </c>
      <c r="CO33" s="1222">
        <f>$G33*T33*Variables!$B$53*HLOOKUP($CO$2,Variables!$B$60:$F$61,2,FALSE)</f>
        <v>0</v>
      </c>
      <c r="CP33" s="1223">
        <f>$G33*U33*Variables!$B$53*HLOOKUP($CO$2,Variables!$B$60:$F$61,2,FALSE)</f>
        <v>0</v>
      </c>
      <c r="CQ33" s="1223">
        <f>$G33*V33*Variables!$B$53*HLOOKUP($CO$2,Variables!$B$60:$F$61,2,FALSE)</f>
        <v>0</v>
      </c>
      <c r="CR33" s="1223">
        <f>$G33*W33*Variables!$B$53*HLOOKUP($CO$2,Variables!$B$60:$F$61,2,FALSE)</f>
        <v>0</v>
      </c>
      <c r="CS33" s="1223">
        <f>$G33*X33*Variables!$B$53*HLOOKUP($CO$2,Variables!$B$60:$F$61,2,FALSE)</f>
        <v>0</v>
      </c>
      <c r="CT33" s="1223">
        <f>$G33*Y33*Variables!$B$53*HLOOKUP($CO$2,Variables!$B$60:$F$61,2,FALSE)</f>
        <v>0</v>
      </c>
      <c r="CU33" s="1223">
        <f>$G33*Z33*Variables!$B$53*HLOOKUP($CO$2,Variables!$B$60:$F$61,2,FALSE)</f>
        <v>0</v>
      </c>
      <c r="CV33" s="1223">
        <f>$G33*AA33*Variables!$B$53*HLOOKUP($CO$2,Variables!$B$60:$F$61,2,FALSE)</f>
        <v>0</v>
      </c>
      <c r="CW33" s="1223">
        <f>$G33*AB33*Variables!$B$53*HLOOKUP($CO$2,Variables!$B$60:$F$61,2,FALSE)</f>
        <v>0</v>
      </c>
      <c r="CX33" s="1223">
        <f>$G33*AC33*Variables!$B$53*HLOOKUP($CO$2,Variables!$B$60:$F$61,2,FALSE)</f>
        <v>0</v>
      </c>
      <c r="CY33" s="1223">
        <f>$G33*AD33*Variables!$B$53*HLOOKUP($CO$2,Variables!$B$60:$F$61,2,FALSE)</f>
        <v>0</v>
      </c>
      <c r="CZ33" s="1225">
        <f>$G33*AE33*Variables!$B$53*HLOOKUP($CO$2,Variables!$B$60:$F$61,2,FALSE)</f>
        <v>0</v>
      </c>
      <c r="DA33" s="1222">
        <f>$G33*AF33*Variables!$B$53*HLOOKUP($DA$2,Variables!$B$60:$F$61,2,FALSE)</f>
        <v>0</v>
      </c>
      <c r="DB33" s="1223">
        <f>$G33*AG33*Variables!$B$53*HLOOKUP($DA$2,Variables!$B$60:$F$61,2,FALSE)</f>
        <v>0</v>
      </c>
      <c r="DC33" s="1223">
        <f>$G33*AH33*Variables!$B$53*HLOOKUP($DA$2,Variables!$B$60:$F$61,2,FALSE)</f>
        <v>0</v>
      </c>
      <c r="DD33" s="1223">
        <f>$G33*AI33*Variables!$B$53*HLOOKUP($DA$2,Variables!$B$60:$F$61,2,FALSE)</f>
        <v>0</v>
      </c>
      <c r="DE33" s="1223">
        <f>$G33*AJ33*Variables!$B$53*HLOOKUP($DA$2,Variables!$B$60:$F$61,2,FALSE)</f>
        <v>0</v>
      </c>
      <c r="DF33" s="1223">
        <f>$G33*AK33*Variables!$B$53*HLOOKUP($DA$2,Variables!$B$60:$F$61,2,FALSE)</f>
        <v>0</v>
      </c>
      <c r="DG33" s="1223">
        <f>$G33*AL33*Variables!$B$53*HLOOKUP($DA$2,Variables!$B$60:$F$61,2,FALSE)</f>
        <v>0</v>
      </c>
      <c r="DH33" s="1223">
        <f>$G33*AM33*Variables!$B$53*HLOOKUP($DA$2,Variables!$B$60:$F$61,2,FALSE)</f>
        <v>0</v>
      </c>
      <c r="DI33" s="1223">
        <f>$G33*AN33*Variables!$B$53*HLOOKUP($DA$2,Variables!$B$60:$F$61,2,FALSE)</f>
        <v>0</v>
      </c>
      <c r="DJ33" s="1223">
        <f>$G33*AO33*Variables!$B$53*HLOOKUP($DA$2,Variables!$B$60:$F$61,2,FALSE)</f>
        <v>0</v>
      </c>
      <c r="DK33" s="1223">
        <f>$G33*AP33*Variables!$B$53*HLOOKUP($DA$2,Variables!$B$60:$F$61,2,FALSE)</f>
        <v>0</v>
      </c>
      <c r="DL33" s="1225">
        <f>$G33*AQ33*Variables!$B$53*HLOOKUP($DA$2,Variables!$B$60:$F$61,2,FALSE)</f>
        <v>0</v>
      </c>
      <c r="DM33" s="1222">
        <f>$G33*AR33*Variables!$B$53*HLOOKUP($DM$2,Variables!$B$60:$F$61,2,FALSE)</f>
        <v>0</v>
      </c>
      <c r="DN33" s="1223">
        <f>$G33*AS33*Variables!$B$53*HLOOKUP($DM$2,Variables!$B$60:$F$61,2,FALSE)</f>
        <v>0</v>
      </c>
      <c r="DO33" s="1223">
        <f>$G33*AT33*Variables!$B$53*HLOOKUP($DM$2,Variables!$B$60:$F$61,2,FALSE)</f>
        <v>0</v>
      </c>
      <c r="DP33" s="1223">
        <f>$G33*AU33*Variables!$B$53*HLOOKUP($DM$2,Variables!$B$60:$F$61,2,FALSE)</f>
        <v>0</v>
      </c>
      <c r="DQ33" s="1223">
        <f>$G33*AV33*Variables!$B$53*HLOOKUP($DM$2,Variables!$B$60:$F$61,2,FALSE)</f>
        <v>0</v>
      </c>
      <c r="DR33" s="1223">
        <f>$G33*AW33*Variables!$B$53*HLOOKUP($DM$2,Variables!$B$60:$F$61,2,FALSE)</f>
        <v>0</v>
      </c>
      <c r="DS33" s="1223">
        <f>$G33*AX33*Variables!$B$53*HLOOKUP($DM$2,Variables!$B$60:$F$61,2,FALSE)</f>
        <v>0</v>
      </c>
      <c r="DT33" s="1223">
        <f>$G33*AY33*Variables!$B$53*HLOOKUP($DM$2,Variables!$B$60:$F$61,2,FALSE)</f>
        <v>0</v>
      </c>
      <c r="DU33" s="1223">
        <f>$G33*AZ33*Variables!$B$53*HLOOKUP($DM$2,Variables!$B$60:$F$61,2,FALSE)</f>
        <v>0</v>
      </c>
      <c r="DV33" s="1223">
        <f>$G33*BA33*Variables!$B$53*HLOOKUP($DM$2,Variables!$B$60:$F$61,2,FALSE)</f>
        <v>0</v>
      </c>
      <c r="DW33" s="1223">
        <f>$G33*BB33*Variables!$B$53*HLOOKUP($DM$2,Variables!$B$60:$F$61,2,FALSE)</f>
        <v>0</v>
      </c>
      <c r="DX33" s="1225">
        <f>$G33*BC33*Variables!$B$53*HLOOKUP($DM$2,Variables!$B$60:$F$61,2,FALSE)</f>
        <v>0</v>
      </c>
      <c r="DY33" s="1222">
        <f>$G33*BD33*Variables!$B$53*HLOOKUP($DY$2,Variables!$B$60:$F$61,2,FALSE)</f>
        <v>0</v>
      </c>
      <c r="DZ33" s="1223">
        <f>$G33*BE33*Variables!$B$53*HLOOKUP($DY$2,Variables!$B$60:$F$61,2,FALSE)</f>
        <v>0</v>
      </c>
      <c r="EA33" s="1223">
        <f>$G33*BF33*Variables!$B$53*HLOOKUP($DY$2,Variables!$B$60:$F$61,2,FALSE)</f>
        <v>0</v>
      </c>
      <c r="EB33" s="1223">
        <f>$G33*BG33*Variables!$B$53*HLOOKUP($DY$2,Variables!$B$60:$F$61,2,FALSE)</f>
        <v>0</v>
      </c>
      <c r="EC33" s="1223">
        <f>$G33*BH33*Variables!$B$53*HLOOKUP($DY$2,Variables!$B$60:$F$61,2,FALSE)</f>
        <v>0</v>
      </c>
      <c r="ED33" s="1223">
        <f>$G33*BI33*Variables!$B$53*HLOOKUP($DY$2,Variables!$B$60:$F$61,2,FALSE)</f>
        <v>0</v>
      </c>
      <c r="EE33" s="1223">
        <f>$G33*BJ33*Variables!$B$53*HLOOKUP($DY$2,Variables!$B$60:$F$61,2,FALSE)</f>
        <v>0</v>
      </c>
      <c r="EF33" s="1223">
        <f>$G33*BK33*Variables!$B$53*HLOOKUP($DY$2,Variables!$B$60:$F$61,2,FALSE)</f>
        <v>0</v>
      </c>
      <c r="EG33" s="1223">
        <f>$G33*BL33*Variables!$B$53*HLOOKUP($DY$2,Variables!$B$60:$F$61,2,FALSE)</f>
        <v>0</v>
      </c>
      <c r="EH33" s="1223">
        <f>$G33*BM33*Variables!$B$53*HLOOKUP($DY$2,Variables!$B$60:$F$61,2,FALSE)</f>
        <v>0</v>
      </c>
      <c r="EI33" s="1223">
        <f>$G33*BN33*Variables!$B$53*HLOOKUP($DY$2,Variables!$B$60:$F$61,2,FALSE)</f>
        <v>0</v>
      </c>
      <c r="EJ33" s="1225">
        <f>$G33*BO33*Variables!$B$53*HLOOKUP($DY$2,Variables!$B$60:$F$61,2,FALSE)</f>
        <v>0</v>
      </c>
      <c r="EK33" s="1222">
        <f>$G33*BP33*Variables!$B$53*HLOOKUP($EK$2,Variables!$B$60:$F$61,2,FALSE)</f>
        <v>0</v>
      </c>
      <c r="EL33" s="1223">
        <f>$G33*BQ33*Variables!$B$53*HLOOKUP($EK$2,Variables!$B$60:$F$61,2,FALSE)</f>
        <v>0</v>
      </c>
      <c r="EM33" s="1223">
        <f>$G33*BR33*Variables!$B$53*HLOOKUP($EK$2,Variables!$B$60:$F$61,2,FALSE)</f>
        <v>0</v>
      </c>
      <c r="EN33" s="1223">
        <f>$G33*BS33*Variables!$B$53*HLOOKUP($EK$2,Variables!$B$60:$F$61,2,FALSE)</f>
        <v>0</v>
      </c>
      <c r="EO33" s="1223">
        <f>$G33*BT33*Variables!$B$53*HLOOKUP($EK$2,Variables!$B$60:$F$61,2,FALSE)</f>
        <v>0</v>
      </c>
      <c r="EP33" s="1223">
        <f>$G33*BU33*Variables!$B$53*HLOOKUP($EK$2,Variables!$B$60:$F$61,2,FALSE)</f>
        <v>0</v>
      </c>
      <c r="EQ33" s="1223">
        <f>$G33*BV33*Variables!$B$53*HLOOKUP($EK$2,Variables!$B$60:$F$61,2,FALSE)</f>
        <v>0</v>
      </c>
      <c r="ER33" s="1223">
        <f>$G33*BW33*Variables!$B$53*HLOOKUP($EK$2,Variables!$B$60:$F$61,2,FALSE)</f>
        <v>0</v>
      </c>
      <c r="ES33" s="1223">
        <f>$G33*BX33*Variables!$B$53*HLOOKUP($EK$2,Variables!$B$60:$F$61,2,FALSE)</f>
        <v>0</v>
      </c>
      <c r="ET33" s="1223">
        <f>$G33*BY33*Variables!$B$53*HLOOKUP($EK$2,Variables!$B$60:$F$61,2,FALSE)</f>
        <v>0</v>
      </c>
      <c r="EU33" s="1223">
        <f>$G33*BZ33*Variables!$B$53*HLOOKUP($EK$2,Variables!$B$60:$F$61,2,FALSE)</f>
        <v>0</v>
      </c>
      <c r="EV33" s="1225">
        <f>$G33*CA33*Variables!$B$53*HLOOKUP($EK$2,Variables!$B$60:$F$61,2,FALSE)</f>
        <v>0</v>
      </c>
      <c r="EW33" s="872">
        <f t="shared" si="6"/>
        <v>0</v>
      </c>
      <c r="EX33" s="872"/>
      <c r="EY33" s="872"/>
      <c r="EZ33" s="872"/>
      <c r="FA33" s="1332"/>
      <c r="FC33" s="958" t="str">
        <f t="shared" si="3"/>
        <v/>
      </c>
      <c r="FD33" s="959" t="str">
        <f t="shared" si="4"/>
        <v/>
      </c>
      <c r="FE33" s="959" t="s">
        <v>8407</v>
      </c>
      <c r="FF33" s="959" t="str">
        <f>IF(ISNA(VLOOKUP(FC33,Miscellaneous!E:F,2,0)),"",VLOOKUP(FC33,Miscellaneous!E:F,2,0))</f>
        <v/>
      </c>
      <c r="FG33" s="959" t="str">
        <f t="shared" si="5"/>
        <v/>
      </c>
      <c r="FH33" s="996">
        <f>IF($FG33="Opex",SUMIF('Monthly Summary'!$C$75:$N$75,"",CC33:CN33),SUMIF('Monthly Summary'!$C$74:$N$74,"",CC33:CN33))</f>
        <v>0</v>
      </c>
      <c r="FI33" s="996">
        <f>IF($FG33="Opex",SUMIF('Monthly Summary'!$O$75:$Z$75,"",CO33:CZ33),SUMIF('Monthly Summary'!$O$74:$Z$74,"",CO33:CZ33))</f>
        <v>0</v>
      </c>
      <c r="FJ33" s="996">
        <f>IF($FG33="Opex",SUMIF('Monthly Summary'!$AA$75:$AL$75,"",DA33:DL33),SUMIF('Monthly Summary'!$AA$74:$AL$74,"",DA33:DL33))</f>
        <v>0</v>
      </c>
      <c r="FK33" s="996">
        <f>IF($FG33="Opex",SUMIF('Monthly Summary'!$AM$75:$AX$75,"",DM33:DX33),SUMIF('Monthly Summary'!$AM$74:$AX$74,"",DM33:DX33))</f>
        <v>0</v>
      </c>
      <c r="FL33" s="996">
        <f>IF($FG33="Opex",SUMIF('Monthly Summary'!$AY$75:$BJ$75,"",DY33:EJ33),SUMIF('Monthly Summary'!$AY$74:$BJ$74,"",DY33:EJ33))</f>
        <v>0</v>
      </c>
      <c r="FM33" s="997">
        <f>IF($FG33="Opex",SUMIF('Monthly Summary'!$BK$75:$BV$75,"",EK33:EV33),SUMIF('Monthly Summary'!$BK$74:$BV$74,"",EK33:EV33))</f>
        <v>0</v>
      </c>
      <c r="FN33" s="997">
        <f t="shared" si="7"/>
        <v>0</v>
      </c>
    </row>
    <row r="34" spans="3:170">
      <c r="C34" s="757"/>
      <c r="D34" s="757"/>
      <c r="E34" s="758"/>
      <c r="F34" s="758"/>
      <c r="G34" s="758"/>
      <c r="H34" s="1215"/>
      <c r="I34" s="761"/>
      <c r="J34" s="761"/>
      <c r="K34" s="761"/>
      <c r="L34" s="761"/>
      <c r="M34" s="761"/>
      <c r="N34" s="761"/>
      <c r="O34" s="761"/>
      <c r="P34" s="761"/>
      <c r="Q34" s="761"/>
      <c r="R34" s="761"/>
      <c r="S34" s="1216"/>
      <c r="T34" s="1215"/>
      <c r="U34" s="761"/>
      <c r="V34" s="761"/>
      <c r="W34" s="761"/>
      <c r="X34" s="761"/>
      <c r="Y34" s="761"/>
      <c r="Z34" s="761"/>
      <c r="AA34" s="761"/>
      <c r="AB34" s="761"/>
      <c r="AC34" s="761"/>
      <c r="AD34" s="761"/>
      <c r="AE34" s="1216"/>
      <c r="AF34" s="1215"/>
      <c r="AG34" s="761"/>
      <c r="AH34" s="761"/>
      <c r="AI34" s="761"/>
      <c r="AJ34" s="761"/>
      <c r="AK34" s="761"/>
      <c r="AL34" s="761"/>
      <c r="AM34" s="761"/>
      <c r="AN34" s="761"/>
      <c r="AO34" s="761"/>
      <c r="AP34" s="761"/>
      <c r="AQ34" s="1216"/>
      <c r="AR34" s="1215"/>
      <c r="AS34" s="761"/>
      <c r="AT34" s="761"/>
      <c r="AU34" s="761"/>
      <c r="AV34" s="761"/>
      <c r="AW34" s="761"/>
      <c r="AX34" s="761"/>
      <c r="AY34" s="761"/>
      <c r="AZ34" s="761"/>
      <c r="BA34" s="761"/>
      <c r="BB34" s="761"/>
      <c r="BC34" s="1216"/>
      <c r="BD34" s="1215"/>
      <c r="BE34" s="761"/>
      <c r="BF34" s="761"/>
      <c r="BG34" s="761"/>
      <c r="BH34" s="761"/>
      <c r="BI34" s="761"/>
      <c r="BJ34" s="761"/>
      <c r="BK34" s="761"/>
      <c r="BL34" s="761"/>
      <c r="BM34" s="761"/>
      <c r="BN34" s="761"/>
      <c r="BO34" s="1216"/>
      <c r="BP34" s="1215"/>
      <c r="BQ34" s="761"/>
      <c r="BR34" s="761"/>
      <c r="BS34" s="761"/>
      <c r="BT34" s="761"/>
      <c r="BU34" s="761"/>
      <c r="BV34" s="761"/>
      <c r="BW34" s="761"/>
      <c r="BX34" s="761"/>
      <c r="BY34" s="761"/>
      <c r="BZ34" s="761"/>
      <c r="CA34" s="1216"/>
      <c r="CB34" s="747"/>
      <c r="CC34" s="1222">
        <f>$G34*H34*Variables!$B$53</f>
        <v>0</v>
      </c>
      <c r="CD34" s="1223">
        <f>$G34*I34*Variables!$B$53</f>
        <v>0</v>
      </c>
      <c r="CE34" s="1223">
        <f>$G34*J34*Variables!$B$53</f>
        <v>0</v>
      </c>
      <c r="CF34" s="1223">
        <f>$G34*K34*Variables!$B$53</f>
        <v>0</v>
      </c>
      <c r="CG34" s="1223">
        <f>$G34*L34*Variables!$B$53</f>
        <v>0</v>
      </c>
      <c r="CH34" s="1223">
        <f>$G34*M34*Variables!$B$53</f>
        <v>0</v>
      </c>
      <c r="CI34" s="1223">
        <f>$G34*N34*Variables!$B$53</f>
        <v>0</v>
      </c>
      <c r="CJ34" s="1223">
        <f>$G34*O34*Variables!$B$53</f>
        <v>0</v>
      </c>
      <c r="CK34" s="1223">
        <f>$G34*P34*Variables!$B$53</f>
        <v>0</v>
      </c>
      <c r="CL34" s="1223">
        <f>$G34*Q34*Variables!$B$53</f>
        <v>0</v>
      </c>
      <c r="CM34" s="1223">
        <f>$G34*R34*Variables!$B$53</f>
        <v>0</v>
      </c>
      <c r="CN34" s="1225">
        <f>$G34*S34*Variables!$B$53</f>
        <v>0</v>
      </c>
      <c r="CO34" s="1222">
        <f>$G34*T34*Variables!$B$53*HLOOKUP($CO$2,Variables!$B$60:$F$61,2,FALSE)</f>
        <v>0</v>
      </c>
      <c r="CP34" s="1223">
        <f>$G34*U34*Variables!$B$53*HLOOKUP($CO$2,Variables!$B$60:$F$61,2,FALSE)</f>
        <v>0</v>
      </c>
      <c r="CQ34" s="1223">
        <f>$G34*V34*Variables!$B$53*HLOOKUP($CO$2,Variables!$B$60:$F$61,2,FALSE)</f>
        <v>0</v>
      </c>
      <c r="CR34" s="1223">
        <f>$G34*W34*Variables!$B$53*HLOOKUP($CO$2,Variables!$B$60:$F$61,2,FALSE)</f>
        <v>0</v>
      </c>
      <c r="CS34" s="1223">
        <f>$G34*X34*Variables!$B$53*HLOOKUP($CO$2,Variables!$B$60:$F$61,2,FALSE)</f>
        <v>0</v>
      </c>
      <c r="CT34" s="1223">
        <f>$G34*Y34*Variables!$B$53*HLOOKUP($CO$2,Variables!$B$60:$F$61,2,FALSE)</f>
        <v>0</v>
      </c>
      <c r="CU34" s="1223">
        <f>$G34*Z34*Variables!$B$53*HLOOKUP($CO$2,Variables!$B$60:$F$61,2,FALSE)</f>
        <v>0</v>
      </c>
      <c r="CV34" s="1223">
        <f>$G34*AA34*Variables!$B$53*HLOOKUP($CO$2,Variables!$B$60:$F$61,2,FALSE)</f>
        <v>0</v>
      </c>
      <c r="CW34" s="1223">
        <f>$G34*AB34*Variables!$B$53*HLOOKUP($CO$2,Variables!$B$60:$F$61,2,FALSE)</f>
        <v>0</v>
      </c>
      <c r="CX34" s="1223">
        <f>$G34*AC34*Variables!$B$53*HLOOKUP($CO$2,Variables!$B$60:$F$61,2,FALSE)</f>
        <v>0</v>
      </c>
      <c r="CY34" s="1223">
        <f>$G34*AD34*Variables!$B$53*HLOOKUP($CO$2,Variables!$B$60:$F$61,2,FALSE)</f>
        <v>0</v>
      </c>
      <c r="CZ34" s="1225">
        <f>$G34*AE34*Variables!$B$53*HLOOKUP($CO$2,Variables!$B$60:$F$61,2,FALSE)</f>
        <v>0</v>
      </c>
      <c r="DA34" s="1222">
        <f>$G34*AF34*Variables!$B$53*HLOOKUP($DA$2,Variables!$B$60:$F$61,2,FALSE)</f>
        <v>0</v>
      </c>
      <c r="DB34" s="1223">
        <f>$G34*AG34*Variables!$B$53*HLOOKUP($DA$2,Variables!$B$60:$F$61,2,FALSE)</f>
        <v>0</v>
      </c>
      <c r="DC34" s="1223">
        <f>$G34*AH34*Variables!$B$53*HLOOKUP($DA$2,Variables!$B$60:$F$61,2,FALSE)</f>
        <v>0</v>
      </c>
      <c r="DD34" s="1223">
        <f>$G34*AI34*Variables!$B$53*HLOOKUP($DA$2,Variables!$B$60:$F$61,2,FALSE)</f>
        <v>0</v>
      </c>
      <c r="DE34" s="1223">
        <f>$G34*AJ34*Variables!$B$53*HLOOKUP($DA$2,Variables!$B$60:$F$61,2,FALSE)</f>
        <v>0</v>
      </c>
      <c r="DF34" s="1223">
        <f>$G34*AK34*Variables!$B$53*HLOOKUP($DA$2,Variables!$B$60:$F$61,2,FALSE)</f>
        <v>0</v>
      </c>
      <c r="DG34" s="1223">
        <f>$G34*AL34*Variables!$B$53*HLOOKUP($DA$2,Variables!$B$60:$F$61,2,FALSE)</f>
        <v>0</v>
      </c>
      <c r="DH34" s="1223">
        <f>$G34*AM34*Variables!$B$53*HLOOKUP($DA$2,Variables!$B$60:$F$61,2,FALSE)</f>
        <v>0</v>
      </c>
      <c r="DI34" s="1223">
        <f>$G34*AN34*Variables!$B$53*HLOOKUP($DA$2,Variables!$B$60:$F$61,2,FALSE)</f>
        <v>0</v>
      </c>
      <c r="DJ34" s="1223">
        <f>$G34*AO34*Variables!$B$53*HLOOKUP($DA$2,Variables!$B$60:$F$61,2,FALSE)</f>
        <v>0</v>
      </c>
      <c r="DK34" s="1223">
        <f>$G34*AP34*Variables!$B$53*HLOOKUP($DA$2,Variables!$B$60:$F$61,2,FALSE)</f>
        <v>0</v>
      </c>
      <c r="DL34" s="1225">
        <f>$G34*AQ34*Variables!$B$53*HLOOKUP($DA$2,Variables!$B$60:$F$61,2,FALSE)</f>
        <v>0</v>
      </c>
      <c r="DM34" s="1222">
        <f>$G34*AR34*Variables!$B$53*HLOOKUP($DM$2,Variables!$B$60:$F$61,2,FALSE)</f>
        <v>0</v>
      </c>
      <c r="DN34" s="1223">
        <f>$G34*AS34*Variables!$B$53*HLOOKUP($DM$2,Variables!$B$60:$F$61,2,FALSE)</f>
        <v>0</v>
      </c>
      <c r="DO34" s="1223">
        <f>$G34*AT34*Variables!$B$53*HLOOKUP($DM$2,Variables!$B$60:$F$61,2,FALSE)</f>
        <v>0</v>
      </c>
      <c r="DP34" s="1223">
        <f>$G34*AU34*Variables!$B$53*HLOOKUP($DM$2,Variables!$B$60:$F$61,2,FALSE)</f>
        <v>0</v>
      </c>
      <c r="DQ34" s="1223">
        <f>$G34*AV34*Variables!$B$53*HLOOKUP($DM$2,Variables!$B$60:$F$61,2,FALSE)</f>
        <v>0</v>
      </c>
      <c r="DR34" s="1223">
        <f>$G34*AW34*Variables!$B$53*HLOOKUP($DM$2,Variables!$B$60:$F$61,2,FALSE)</f>
        <v>0</v>
      </c>
      <c r="DS34" s="1223">
        <f>$G34*AX34*Variables!$B$53*HLOOKUP($DM$2,Variables!$B$60:$F$61,2,FALSE)</f>
        <v>0</v>
      </c>
      <c r="DT34" s="1223">
        <f>$G34*AY34*Variables!$B$53*HLOOKUP($DM$2,Variables!$B$60:$F$61,2,FALSE)</f>
        <v>0</v>
      </c>
      <c r="DU34" s="1223">
        <f>$G34*AZ34*Variables!$B$53*HLOOKUP($DM$2,Variables!$B$60:$F$61,2,FALSE)</f>
        <v>0</v>
      </c>
      <c r="DV34" s="1223">
        <f>$G34*BA34*Variables!$B$53*HLOOKUP($DM$2,Variables!$B$60:$F$61,2,FALSE)</f>
        <v>0</v>
      </c>
      <c r="DW34" s="1223">
        <f>$G34*BB34*Variables!$B$53*HLOOKUP($DM$2,Variables!$B$60:$F$61,2,FALSE)</f>
        <v>0</v>
      </c>
      <c r="DX34" s="1225">
        <f>$G34*BC34*Variables!$B$53*HLOOKUP($DM$2,Variables!$B$60:$F$61,2,FALSE)</f>
        <v>0</v>
      </c>
      <c r="DY34" s="1222">
        <f>$G34*BD34*Variables!$B$53*HLOOKUP($DY$2,Variables!$B$60:$F$61,2,FALSE)</f>
        <v>0</v>
      </c>
      <c r="DZ34" s="1223">
        <f>$G34*BE34*Variables!$B$53*HLOOKUP($DY$2,Variables!$B$60:$F$61,2,FALSE)</f>
        <v>0</v>
      </c>
      <c r="EA34" s="1223">
        <f>$G34*BF34*Variables!$B$53*HLOOKUP($DY$2,Variables!$B$60:$F$61,2,FALSE)</f>
        <v>0</v>
      </c>
      <c r="EB34" s="1223">
        <f>$G34*BG34*Variables!$B$53*HLOOKUP($DY$2,Variables!$B$60:$F$61,2,FALSE)</f>
        <v>0</v>
      </c>
      <c r="EC34" s="1223">
        <f>$G34*BH34*Variables!$B$53*HLOOKUP($DY$2,Variables!$B$60:$F$61,2,FALSE)</f>
        <v>0</v>
      </c>
      <c r="ED34" s="1223">
        <f>$G34*BI34*Variables!$B$53*HLOOKUP($DY$2,Variables!$B$60:$F$61,2,FALSE)</f>
        <v>0</v>
      </c>
      <c r="EE34" s="1223">
        <f>$G34*BJ34*Variables!$B$53*HLOOKUP($DY$2,Variables!$B$60:$F$61,2,FALSE)</f>
        <v>0</v>
      </c>
      <c r="EF34" s="1223">
        <f>$G34*BK34*Variables!$B$53*HLOOKUP($DY$2,Variables!$B$60:$F$61,2,FALSE)</f>
        <v>0</v>
      </c>
      <c r="EG34" s="1223">
        <f>$G34*BL34*Variables!$B$53*HLOOKUP($DY$2,Variables!$B$60:$F$61,2,FALSE)</f>
        <v>0</v>
      </c>
      <c r="EH34" s="1223">
        <f>$G34*BM34*Variables!$B$53*HLOOKUP($DY$2,Variables!$B$60:$F$61,2,FALSE)</f>
        <v>0</v>
      </c>
      <c r="EI34" s="1223">
        <f>$G34*BN34*Variables!$B$53*HLOOKUP($DY$2,Variables!$B$60:$F$61,2,FALSE)</f>
        <v>0</v>
      </c>
      <c r="EJ34" s="1225">
        <f>$G34*BO34*Variables!$B$53*HLOOKUP($DY$2,Variables!$B$60:$F$61,2,FALSE)</f>
        <v>0</v>
      </c>
      <c r="EK34" s="1222">
        <f>$G34*BP34*Variables!$B$53*HLOOKUP($EK$2,Variables!$B$60:$F$61,2,FALSE)</f>
        <v>0</v>
      </c>
      <c r="EL34" s="1223">
        <f>$G34*BQ34*Variables!$B$53*HLOOKUP($EK$2,Variables!$B$60:$F$61,2,FALSE)</f>
        <v>0</v>
      </c>
      <c r="EM34" s="1223">
        <f>$G34*BR34*Variables!$B$53*HLOOKUP($EK$2,Variables!$B$60:$F$61,2,FALSE)</f>
        <v>0</v>
      </c>
      <c r="EN34" s="1223">
        <f>$G34*BS34*Variables!$B$53*HLOOKUP($EK$2,Variables!$B$60:$F$61,2,FALSE)</f>
        <v>0</v>
      </c>
      <c r="EO34" s="1223">
        <f>$G34*BT34*Variables!$B$53*HLOOKUP($EK$2,Variables!$B$60:$F$61,2,FALSE)</f>
        <v>0</v>
      </c>
      <c r="EP34" s="1223">
        <f>$G34*BU34*Variables!$B$53*HLOOKUP($EK$2,Variables!$B$60:$F$61,2,FALSE)</f>
        <v>0</v>
      </c>
      <c r="EQ34" s="1223">
        <f>$G34*BV34*Variables!$B$53*HLOOKUP($EK$2,Variables!$B$60:$F$61,2,FALSE)</f>
        <v>0</v>
      </c>
      <c r="ER34" s="1223">
        <f>$G34*BW34*Variables!$B$53*HLOOKUP($EK$2,Variables!$B$60:$F$61,2,FALSE)</f>
        <v>0</v>
      </c>
      <c r="ES34" s="1223">
        <f>$G34*BX34*Variables!$B$53*HLOOKUP($EK$2,Variables!$B$60:$F$61,2,FALSE)</f>
        <v>0</v>
      </c>
      <c r="ET34" s="1223">
        <f>$G34*BY34*Variables!$B$53*HLOOKUP($EK$2,Variables!$B$60:$F$61,2,FALSE)</f>
        <v>0</v>
      </c>
      <c r="EU34" s="1223">
        <f>$G34*BZ34*Variables!$B$53*HLOOKUP($EK$2,Variables!$B$60:$F$61,2,FALSE)</f>
        <v>0</v>
      </c>
      <c r="EV34" s="1225">
        <f>$G34*CA34*Variables!$B$53*HLOOKUP($EK$2,Variables!$B$60:$F$61,2,FALSE)</f>
        <v>0</v>
      </c>
      <c r="EW34" s="872">
        <f t="shared" si="6"/>
        <v>0</v>
      </c>
      <c r="EX34" s="872"/>
      <c r="EY34" s="872"/>
      <c r="EZ34" s="872"/>
      <c r="FA34" s="1332"/>
      <c r="FC34" s="958" t="str">
        <f t="shared" si="3"/>
        <v/>
      </c>
      <c r="FD34" s="959" t="str">
        <f t="shared" si="4"/>
        <v/>
      </c>
      <c r="FE34" s="959" t="s">
        <v>8407</v>
      </c>
      <c r="FF34" s="959" t="str">
        <f>IF(ISNA(VLOOKUP(FC34,Miscellaneous!E:F,2,0)),"",VLOOKUP(FC34,Miscellaneous!E:F,2,0))</f>
        <v/>
      </c>
      <c r="FG34" s="959" t="str">
        <f t="shared" si="5"/>
        <v/>
      </c>
      <c r="FH34" s="996">
        <f>IF($FG34="Opex",SUMIF('Monthly Summary'!$C$75:$N$75,"",CC34:CN34),SUMIF('Monthly Summary'!$C$74:$N$74,"",CC34:CN34))</f>
        <v>0</v>
      </c>
      <c r="FI34" s="996">
        <f>IF($FG34="Opex",SUMIF('Monthly Summary'!$O$75:$Z$75,"",CO34:CZ34),SUMIF('Monthly Summary'!$O$74:$Z$74,"",CO34:CZ34))</f>
        <v>0</v>
      </c>
      <c r="FJ34" s="996">
        <f>IF($FG34="Opex",SUMIF('Monthly Summary'!$AA$75:$AL$75,"",DA34:DL34),SUMIF('Monthly Summary'!$AA$74:$AL$74,"",DA34:DL34))</f>
        <v>0</v>
      </c>
      <c r="FK34" s="996">
        <f>IF($FG34="Opex",SUMIF('Monthly Summary'!$AM$75:$AX$75,"",DM34:DX34),SUMIF('Monthly Summary'!$AM$74:$AX$74,"",DM34:DX34))</f>
        <v>0</v>
      </c>
      <c r="FL34" s="996">
        <f>IF($FG34="Opex",SUMIF('Monthly Summary'!$AY$75:$BJ$75,"",DY34:EJ34),SUMIF('Monthly Summary'!$AY$74:$BJ$74,"",DY34:EJ34))</f>
        <v>0</v>
      </c>
      <c r="FM34" s="997">
        <f>IF($FG34="Opex",SUMIF('Monthly Summary'!$BK$75:$BV$75,"",EK34:EV34),SUMIF('Monthly Summary'!$BK$74:$BV$74,"",EK34:EV34))</f>
        <v>0</v>
      </c>
      <c r="FN34" s="997">
        <f t="shared" si="7"/>
        <v>0</v>
      </c>
    </row>
    <row r="35" spans="3:170">
      <c r="C35" s="757"/>
      <c r="D35" s="757"/>
      <c r="E35" s="758"/>
      <c r="F35" s="758"/>
      <c r="G35" s="758"/>
      <c r="H35" s="1215"/>
      <c r="I35" s="761"/>
      <c r="J35" s="761"/>
      <c r="K35" s="761"/>
      <c r="L35" s="761"/>
      <c r="M35" s="761"/>
      <c r="N35" s="761"/>
      <c r="O35" s="761"/>
      <c r="P35" s="761"/>
      <c r="Q35" s="761"/>
      <c r="R35" s="761"/>
      <c r="S35" s="1216"/>
      <c r="T35" s="1215"/>
      <c r="U35" s="761"/>
      <c r="V35" s="761"/>
      <c r="W35" s="761"/>
      <c r="X35" s="761"/>
      <c r="Y35" s="761"/>
      <c r="Z35" s="761"/>
      <c r="AA35" s="761"/>
      <c r="AB35" s="761"/>
      <c r="AC35" s="761"/>
      <c r="AD35" s="761"/>
      <c r="AE35" s="1216"/>
      <c r="AF35" s="1215"/>
      <c r="AG35" s="761"/>
      <c r="AH35" s="761"/>
      <c r="AI35" s="761"/>
      <c r="AJ35" s="761"/>
      <c r="AK35" s="761"/>
      <c r="AL35" s="761"/>
      <c r="AM35" s="761"/>
      <c r="AN35" s="761"/>
      <c r="AO35" s="761"/>
      <c r="AP35" s="761"/>
      <c r="AQ35" s="1216"/>
      <c r="AR35" s="1215"/>
      <c r="AS35" s="761"/>
      <c r="AT35" s="761"/>
      <c r="AU35" s="761"/>
      <c r="AV35" s="761"/>
      <c r="AW35" s="761"/>
      <c r="AX35" s="761"/>
      <c r="AY35" s="761"/>
      <c r="AZ35" s="761"/>
      <c r="BA35" s="761"/>
      <c r="BB35" s="761"/>
      <c r="BC35" s="1216"/>
      <c r="BD35" s="1215"/>
      <c r="BE35" s="761"/>
      <c r="BF35" s="761"/>
      <c r="BG35" s="761"/>
      <c r="BH35" s="761"/>
      <c r="BI35" s="761"/>
      <c r="BJ35" s="761"/>
      <c r="BK35" s="761"/>
      <c r="BL35" s="761"/>
      <c r="BM35" s="761"/>
      <c r="BN35" s="761"/>
      <c r="BO35" s="1216"/>
      <c r="BP35" s="1215"/>
      <c r="BQ35" s="761"/>
      <c r="BR35" s="761"/>
      <c r="BS35" s="761"/>
      <c r="BT35" s="761"/>
      <c r="BU35" s="761"/>
      <c r="BV35" s="761"/>
      <c r="BW35" s="761"/>
      <c r="BX35" s="761"/>
      <c r="BY35" s="761"/>
      <c r="BZ35" s="761"/>
      <c r="CA35" s="1216"/>
      <c r="CB35" s="747"/>
      <c r="CC35" s="1222">
        <f>$G35*H35*Variables!$B$53</f>
        <v>0</v>
      </c>
      <c r="CD35" s="1223">
        <f>$G35*I35*Variables!$B$53</f>
        <v>0</v>
      </c>
      <c r="CE35" s="1223">
        <f>$G35*J35*Variables!$B$53</f>
        <v>0</v>
      </c>
      <c r="CF35" s="1223">
        <f>$G35*K35*Variables!$B$53</f>
        <v>0</v>
      </c>
      <c r="CG35" s="1223">
        <f>$G35*L35*Variables!$B$53</f>
        <v>0</v>
      </c>
      <c r="CH35" s="1223">
        <f>$G35*M35*Variables!$B$53</f>
        <v>0</v>
      </c>
      <c r="CI35" s="1223">
        <f>$G35*N35*Variables!$B$53</f>
        <v>0</v>
      </c>
      <c r="CJ35" s="1223">
        <f>$G35*O35*Variables!$B$53</f>
        <v>0</v>
      </c>
      <c r="CK35" s="1223">
        <f>$G35*P35*Variables!$B$53</f>
        <v>0</v>
      </c>
      <c r="CL35" s="1223">
        <f>$G35*Q35*Variables!$B$53</f>
        <v>0</v>
      </c>
      <c r="CM35" s="1223">
        <f>$G35*R35*Variables!$B$53</f>
        <v>0</v>
      </c>
      <c r="CN35" s="1225">
        <f>$G35*S35*Variables!$B$53</f>
        <v>0</v>
      </c>
      <c r="CO35" s="1222">
        <f>$G35*T35*Variables!$B$53*HLOOKUP($CO$2,Variables!$B$60:$F$61,2,FALSE)</f>
        <v>0</v>
      </c>
      <c r="CP35" s="1223">
        <f>$G35*U35*Variables!$B$53*HLOOKUP($CO$2,Variables!$B$60:$F$61,2,FALSE)</f>
        <v>0</v>
      </c>
      <c r="CQ35" s="1223">
        <f>$G35*V35*Variables!$B$53*HLOOKUP($CO$2,Variables!$B$60:$F$61,2,FALSE)</f>
        <v>0</v>
      </c>
      <c r="CR35" s="1223">
        <f>$G35*W35*Variables!$B$53*HLOOKUP($CO$2,Variables!$B$60:$F$61,2,FALSE)</f>
        <v>0</v>
      </c>
      <c r="CS35" s="1223">
        <f>$G35*X35*Variables!$B$53*HLOOKUP($CO$2,Variables!$B$60:$F$61,2,FALSE)</f>
        <v>0</v>
      </c>
      <c r="CT35" s="1223">
        <f>$G35*Y35*Variables!$B$53*HLOOKUP($CO$2,Variables!$B$60:$F$61,2,FALSE)</f>
        <v>0</v>
      </c>
      <c r="CU35" s="1223">
        <f>$G35*Z35*Variables!$B$53*HLOOKUP($CO$2,Variables!$B$60:$F$61,2,FALSE)</f>
        <v>0</v>
      </c>
      <c r="CV35" s="1223">
        <f>$G35*AA35*Variables!$B$53*HLOOKUP($CO$2,Variables!$B$60:$F$61,2,FALSE)</f>
        <v>0</v>
      </c>
      <c r="CW35" s="1223">
        <f>$G35*AB35*Variables!$B$53*HLOOKUP($CO$2,Variables!$B$60:$F$61,2,FALSE)</f>
        <v>0</v>
      </c>
      <c r="CX35" s="1223">
        <f>$G35*AC35*Variables!$B$53*HLOOKUP($CO$2,Variables!$B$60:$F$61,2,FALSE)</f>
        <v>0</v>
      </c>
      <c r="CY35" s="1223">
        <f>$G35*AD35*Variables!$B$53*HLOOKUP($CO$2,Variables!$B$60:$F$61,2,FALSE)</f>
        <v>0</v>
      </c>
      <c r="CZ35" s="1225">
        <f>$G35*AE35*Variables!$B$53*HLOOKUP($CO$2,Variables!$B$60:$F$61,2,FALSE)</f>
        <v>0</v>
      </c>
      <c r="DA35" s="1222">
        <f>$G35*AF35*Variables!$B$53*HLOOKUP($DA$2,Variables!$B$60:$F$61,2,FALSE)</f>
        <v>0</v>
      </c>
      <c r="DB35" s="1223">
        <f>$G35*AG35*Variables!$B$53*HLOOKUP($DA$2,Variables!$B$60:$F$61,2,FALSE)</f>
        <v>0</v>
      </c>
      <c r="DC35" s="1223">
        <f>$G35*AH35*Variables!$B$53*HLOOKUP($DA$2,Variables!$B$60:$F$61,2,FALSE)</f>
        <v>0</v>
      </c>
      <c r="DD35" s="1223">
        <f>$G35*AI35*Variables!$B$53*HLOOKUP($DA$2,Variables!$B$60:$F$61,2,FALSE)</f>
        <v>0</v>
      </c>
      <c r="DE35" s="1223">
        <f>$G35*AJ35*Variables!$B$53*HLOOKUP($DA$2,Variables!$B$60:$F$61,2,FALSE)</f>
        <v>0</v>
      </c>
      <c r="DF35" s="1223">
        <f>$G35*AK35*Variables!$B$53*HLOOKUP($DA$2,Variables!$B$60:$F$61,2,FALSE)</f>
        <v>0</v>
      </c>
      <c r="DG35" s="1223">
        <f>$G35*AL35*Variables!$B$53*HLOOKUP($DA$2,Variables!$B$60:$F$61,2,FALSE)</f>
        <v>0</v>
      </c>
      <c r="DH35" s="1223">
        <f>$G35*AM35*Variables!$B$53*HLOOKUP($DA$2,Variables!$B$60:$F$61,2,FALSE)</f>
        <v>0</v>
      </c>
      <c r="DI35" s="1223">
        <f>$G35*AN35*Variables!$B$53*HLOOKUP($DA$2,Variables!$B$60:$F$61,2,FALSE)</f>
        <v>0</v>
      </c>
      <c r="DJ35" s="1223">
        <f>$G35*AO35*Variables!$B$53*HLOOKUP($DA$2,Variables!$B$60:$F$61,2,FALSE)</f>
        <v>0</v>
      </c>
      <c r="DK35" s="1223">
        <f>$G35*AP35*Variables!$B$53*HLOOKUP($DA$2,Variables!$B$60:$F$61,2,FALSE)</f>
        <v>0</v>
      </c>
      <c r="DL35" s="1225">
        <f>$G35*AQ35*Variables!$B$53*HLOOKUP($DA$2,Variables!$B$60:$F$61,2,FALSE)</f>
        <v>0</v>
      </c>
      <c r="DM35" s="1222">
        <f>$G35*AR35*Variables!$B$53*HLOOKUP($DM$2,Variables!$B$60:$F$61,2,FALSE)</f>
        <v>0</v>
      </c>
      <c r="DN35" s="1223">
        <f>$G35*AS35*Variables!$B$53*HLOOKUP($DM$2,Variables!$B$60:$F$61,2,FALSE)</f>
        <v>0</v>
      </c>
      <c r="DO35" s="1223">
        <f>$G35*AT35*Variables!$B$53*HLOOKUP($DM$2,Variables!$B$60:$F$61,2,FALSE)</f>
        <v>0</v>
      </c>
      <c r="DP35" s="1223">
        <f>$G35*AU35*Variables!$B$53*HLOOKUP($DM$2,Variables!$B$60:$F$61,2,FALSE)</f>
        <v>0</v>
      </c>
      <c r="DQ35" s="1223">
        <f>$G35*AV35*Variables!$B$53*HLOOKUP($DM$2,Variables!$B$60:$F$61,2,FALSE)</f>
        <v>0</v>
      </c>
      <c r="DR35" s="1223">
        <f>$G35*AW35*Variables!$B$53*HLOOKUP($DM$2,Variables!$B$60:$F$61,2,FALSE)</f>
        <v>0</v>
      </c>
      <c r="DS35" s="1223">
        <f>$G35*AX35*Variables!$B$53*HLOOKUP($DM$2,Variables!$B$60:$F$61,2,FALSE)</f>
        <v>0</v>
      </c>
      <c r="DT35" s="1223">
        <f>$G35*AY35*Variables!$B$53*HLOOKUP($DM$2,Variables!$B$60:$F$61,2,FALSE)</f>
        <v>0</v>
      </c>
      <c r="DU35" s="1223">
        <f>$G35*AZ35*Variables!$B$53*HLOOKUP($DM$2,Variables!$B$60:$F$61,2,FALSE)</f>
        <v>0</v>
      </c>
      <c r="DV35" s="1223">
        <f>$G35*BA35*Variables!$B$53*HLOOKUP($DM$2,Variables!$B$60:$F$61,2,FALSE)</f>
        <v>0</v>
      </c>
      <c r="DW35" s="1223">
        <f>$G35*BB35*Variables!$B$53*HLOOKUP($DM$2,Variables!$B$60:$F$61,2,FALSE)</f>
        <v>0</v>
      </c>
      <c r="DX35" s="1225">
        <f>$G35*BC35*Variables!$B$53*HLOOKUP($DM$2,Variables!$B$60:$F$61,2,FALSE)</f>
        <v>0</v>
      </c>
      <c r="DY35" s="1222">
        <f>$G35*BD35*Variables!$B$53*HLOOKUP($DY$2,Variables!$B$60:$F$61,2,FALSE)</f>
        <v>0</v>
      </c>
      <c r="DZ35" s="1223">
        <f>$G35*BE35*Variables!$B$53*HLOOKUP($DY$2,Variables!$B$60:$F$61,2,FALSE)</f>
        <v>0</v>
      </c>
      <c r="EA35" s="1223">
        <f>$G35*BF35*Variables!$B$53*HLOOKUP($DY$2,Variables!$B$60:$F$61,2,FALSE)</f>
        <v>0</v>
      </c>
      <c r="EB35" s="1223">
        <f>$G35*BG35*Variables!$B$53*HLOOKUP($DY$2,Variables!$B$60:$F$61,2,FALSE)</f>
        <v>0</v>
      </c>
      <c r="EC35" s="1223">
        <f>$G35*BH35*Variables!$B$53*HLOOKUP($DY$2,Variables!$B$60:$F$61,2,FALSE)</f>
        <v>0</v>
      </c>
      <c r="ED35" s="1223">
        <f>$G35*BI35*Variables!$B$53*HLOOKUP($DY$2,Variables!$B$60:$F$61,2,FALSE)</f>
        <v>0</v>
      </c>
      <c r="EE35" s="1223">
        <f>$G35*BJ35*Variables!$B$53*HLOOKUP($DY$2,Variables!$B$60:$F$61,2,FALSE)</f>
        <v>0</v>
      </c>
      <c r="EF35" s="1223">
        <f>$G35*BK35*Variables!$B$53*HLOOKUP($DY$2,Variables!$B$60:$F$61,2,FALSE)</f>
        <v>0</v>
      </c>
      <c r="EG35" s="1223">
        <f>$G35*BL35*Variables!$B$53*HLOOKUP($DY$2,Variables!$B$60:$F$61,2,FALSE)</f>
        <v>0</v>
      </c>
      <c r="EH35" s="1223">
        <f>$G35*BM35*Variables!$B$53*HLOOKUP($DY$2,Variables!$B$60:$F$61,2,FALSE)</f>
        <v>0</v>
      </c>
      <c r="EI35" s="1223">
        <f>$G35*BN35*Variables!$B$53*HLOOKUP($DY$2,Variables!$B$60:$F$61,2,FALSE)</f>
        <v>0</v>
      </c>
      <c r="EJ35" s="1225">
        <f>$G35*BO35*Variables!$B$53*HLOOKUP($DY$2,Variables!$B$60:$F$61,2,FALSE)</f>
        <v>0</v>
      </c>
      <c r="EK35" s="1222">
        <f>$G35*BP35*Variables!$B$53*HLOOKUP($EK$2,Variables!$B$60:$F$61,2,FALSE)</f>
        <v>0</v>
      </c>
      <c r="EL35" s="1223">
        <f>$G35*BQ35*Variables!$B$53*HLOOKUP($EK$2,Variables!$B$60:$F$61,2,FALSE)</f>
        <v>0</v>
      </c>
      <c r="EM35" s="1223">
        <f>$G35*BR35*Variables!$B$53*HLOOKUP($EK$2,Variables!$B$60:$F$61,2,FALSE)</f>
        <v>0</v>
      </c>
      <c r="EN35" s="1223">
        <f>$G35*BS35*Variables!$B$53*HLOOKUP($EK$2,Variables!$B$60:$F$61,2,FALSE)</f>
        <v>0</v>
      </c>
      <c r="EO35" s="1223">
        <f>$G35*BT35*Variables!$B$53*HLOOKUP($EK$2,Variables!$B$60:$F$61,2,FALSE)</f>
        <v>0</v>
      </c>
      <c r="EP35" s="1223">
        <f>$G35*BU35*Variables!$B$53*HLOOKUP($EK$2,Variables!$B$60:$F$61,2,FALSE)</f>
        <v>0</v>
      </c>
      <c r="EQ35" s="1223">
        <f>$G35*BV35*Variables!$B$53*HLOOKUP($EK$2,Variables!$B$60:$F$61,2,FALSE)</f>
        <v>0</v>
      </c>
      <c r="ER35" s="1223">
        <f>$G35*BW35*Variables!$B$53*HLOOKUP($EK$2,Variables!$B$60:$F$61,2,FALSE)</f>
        <v>0</v>
      </c>
      <c r="ES35" s="1223">
        <f>$G35*BX35*Variables!$B$53*HLOOKUP($EK$2,Variables!$B$60:$F$61,2,FALSE)</f>
        <v>0</v>
      </c>
      <c r="ET35" s="1223">
        <f>$G35*BY35*Variables!$B$53*HLOOKUP($EK$2,Variables!$B$60:$F$61,2,FALSE)</f>
        <v>0</v>
      </c>
      <c r="EU35" s="1223">
        <f>$G35*BZ35*Variables!$B$53*HLOOKUP($EK$2,Variables!$B$60:$F$61,2,FALSE)</f>
        <v>0</v>
      </c>
      <c r="EV35" s="1225">
        <f>$G35*CA35*Variables!$B$53*HLOOKUP($EK$2,Variables!$B$60:$F$61,2,FALSE)</f>
        <v>0</v>
      </c>
      <c r="EW35" s="872">
        <f t="shared" si="6"/>
        <v>0</v>
      </c>
      <c r="EX35" s="872"/>
      <c r="EY35" s="872"/>
      <c r="EZ35" s="872"/>
      <c r="FA35" s="1332"/>
      <c r="FC35" s="958" t="str">
        <f t="shared" si="3"/>
        <v/>
      </c>
      <c r="FD35" s="959" t="str">
        <f t="shared" si="4"/>
        <v/>
      </c>
      <c r="FE35" s="959" t="s">
        <v>8407</v>
      </c>
      <c r="FF35" s="959" t="str">
        <f>IF(ISNA(VLOOKUP(FC35,Miscellaneous!E:F,2,0)),"",VLOOKUP(FC35,Miscellaneous!E:F,2,0))</f>
        <v/>
      </c>
      <c r="FG35" s="959" t="str">
        <f t="shared" si="5"/>
        <v/>
      </c>
      <c r="FH35" s="996">
        <f>IF($FG35="Opex",SUMIF('Monthly Summary'!$C$75:$N$75,"",CC35:CN35),SUMIF('Monthly Summary'!$C$74:$N$74,"",CC35:CN35))</f>
        <v>0</v>
      </c>
      <c r="FI35" s="996">
        <f>IF($FG35="Opex",SUMIF('Monthly Summary'!$O$75:$Z$75,"",CO35:CZ35),SUMIF('Monthly Summary'!$O$74:$Z$74,"",CO35:CZ35))</f>
        <v>0</v>
      </c>
      <c r="FJ35" s="996">
        <f>IF($FG35="Opex",SUMIF('Monthly Summary'!$AA$75:$AL$75,"",DA35:DL35),SUMIF('Monthly Summary'!$AA$74:$AL$74,"",DA35:DL35))</f>
        <v>0</v>
      </c>
      <c r="FK35" s="996">
        <f>IF($FG35="Opex",SUMIF('Monthly Summary'!$AM$75:$AX$75,"",DM35:DX35),SUMIF('Monthly Summary'!$AM$74:$AX$74,"",DM35:DX35))</f>
        <v>0</v>
      </c>
      <c r="FL35" s="996">
        <f>IF($FG35="Opex",SUMIF('Monthly Summary'!$AY$75:$BJ$75,"",DY35:EJ35),SUMIF('Monthly Summary'!$AY$74:$BJ$74,"",DY35:EJ35))</f>
        <v>0</v>
      </c>
      <c r="FM35" s="997">
        <f>IF($FG35="Opex",SUMIF('Monthly Summary'!$BK$75:$BV$75,"",EK35:EV35),SUMIF('Monthly Summary'!$BK$74:$BV$74,"",EK35:EV35))</f>
        <v>0</v>
      </c>
      <c r="FN35" s="997">
        <f t="shared" si="7"/>
        <v>0</v>
      </c>
    </row>
    <row r="36" spans="3:170">
      <c r="C36" s="757"/>
      <c r="D36" s="757"/>
      <c r="E36" s="758"/>
      <c r="F36" s="758"/>
      <c r="G36" s="758"/>
      <c r="H36" s="1215"/>
      <c r="I36" s="761"/>
      <c r="J36" s="761"/>
      <c r="K36" s="761"/>
      <c r="L36" s="761"/>
      <c r="M36" s="761"/>
      <c r="N36" s="761"/>
      <c r="O36" s="761"/>
      <c r="P36" s="761"/>
      <c r="Q36" s="761"/>
      <c r="R36" s="761"/>
      <c r="S36" s="1216"/>
      <c r="T36" s="1215"/>
      <c r="U36" s="761"/>
      <c r="V36" s="761"/>
      <c r="W36" s="761"/>
      <c r="X36" s="761"/>
      <c r="Y36" s="761"/>
      <c r="Z36" s="761"/>
      <c r="AA36" s="761"/>
      <c r="AB36" s="761"/>
      <c r="AC36" s="761"/>
      <c r="AD36" s="761"/>
      <c r="AE36" s="1216"/>
      <c r="AF36" s="1215"/>
      <c r="AG36" s="761"/>
      <c r="AH36" s="761"/>
      <c r="AI36" s="761"/>
      <c r="AJ36" s="761"/>
      <c r="AK36" s="761"/>
      <c r="AL36" s="761"/>
      <c r="AM36" s="761"/>
      <c r="AN36" s="761"/>
      <c r="AO36" s="761"/>
      <c r="AP36" s="761"/>
      <c r="AQ36" s="1216"/>
      <c r="AR36" s="1215"/>
      <c r="AS36" s="761"/>
      <c r="AT36" s="761"/>
      <c r="AU36" s="761"/>
      <c r="AV36" s="761"/>
      <c r="AW36" s="761"/>
      <c r="AX36" s="761"/>
      <c r="AY36" s="761"/>
      <c r="AZ36" s="761"/>
      <c r="BA36" s="761"/>
      <c r="BB36" s="761"/>
      <c r="BC36" s="1216"/>
      <c r="BD36" s="1215"/>
      <c r="BE36" s="761"/>
      <c r="BF36" s="761"/>
      <c r="BG36" s="761"/>
      <c r="BH36" s="761"/>
      <c r="BI36" s="761"/>
      <c r="BJ36" s="761"/>
      <c r="BK36" s="761"/>
      <c r="BL36" s="761"/>
      <c r="BM36" s="761"/>
      <c r="BN36" s="761"/>
      <c r="BO36" s="1216"/>
      <c r="BP36" s="1215"/>
      <c r="BQ36" s="761"/>
      <c r="BR36" s="761"/>
      <c r="BS36" s="761"/>
      <c r="BT36" s="761"/>
      <c r="BU36" s="761"/>
      <c r="BV36" s="761"/>
      <c r="BW36" s="761"/>
      <c r="BX36" s="761"/>
      <c r="BY36" s="761"/>
      <c r="BZ36" s="761"/>
      <c r="CA36" s="1216"/>
      <c r="CB36" s="747"/>
      <c r="CC36" s="1222">
        <f>$G36*H36*Variables!$B$53</f>
        <v>0</v>
      </c>
      <c r="CD36" s="1223">
        <f>$G36*I36*Variables!$B$53</f>
        <v>0</v>
      </c>
      <c r="CE36" s="1223">
        <f>$G36*J36*Variables!$B$53</f>
        <v>0</v>
      </c>
      <c r="CF36" s="1223">
        <f>$G36*K36*Variables!$B$53</f>
        <v>0</v>
      </c>
      <c r="CG36" s="1223">
        <f>$G36*L36*Variables!$B$53</f>
        <v>0</v>
      </c>
      <c r="CH36" s="1223">
        <f>$G36*M36*Variables!$B$53</f>
        <v>0</v>
      </c>
      <c r="CI36" s="1223">
        <f>$G36*N36*Variables!$B$53</f>
        <v>0</v>
      </c>
      <c r="CJ36" s="1223">
        <f>$G36*O36*Variables!$B$53</f>
        <v>0</v>
      </c>
      <c r="CK36" s="1223">
        <f>$G36*P36*Variables!$B$53</f>
        <v>0</v>
      </c>
      <c r="CL36" s="1223">
        <f>$G36*Q36*Variables!$B$53</f>
        <v>0</v>
      </c>
      <c r="CM36" s="1223">
        <f>$G36*R36*Variables!$B$53</f>
        <v>0</v>
      </c>
      <c r="CN36" s="1225">
        <f>$G36*S36*Variables!$B$53</f>
        <v>0</v>
      </c>
      <c r="CO36" s="1222">
        <f>$G36*T36*Variables!$B$53*HLOOKUP($CO$2,Variables!$B$60:$F$61,2,FALSE)</f>
        <v>0</v>
      </c>
      <c r="CP36" s="1223">
        <f>$G36*U36*Variables!$B$53*HLOOKUP($CO$2,Variables!$B$60:$F$61,2,FALSE)</f>
        <v>0</v>
      </c>
      <c r="CQ36" s="1223">
        <f>$G36*V36*Variables!$B$53*HLOOKUP($CO$2,Variables!$B$60:$F$61,2,FALSE)</f>
        <v>0</v>
      </c>
      <c r="CR36" s="1223">
        <f>$G36*W36*Variables!$B$53*HLOOKUP($CO$2,Variables!$B$60:$F$61,2,FALSE)</f>
        <v>0</v>
      </c>
      <c r="CS36" s="1223">
        <f>$G36*X36*Variables!$B$53*HLOOKUP($CO$2,Variables!$B$60:$F$61,2,FALSE)</f>
        <v>0</v>
      </c>
      <c r="CT36" s="1223">
        <f>$G36*Y36*Variables!$B$53*HLOOKUP($CO$2,Variables!$B$60:$F$61,2,FALSE)</f>
        <v>0</v>
      </c>
      <c r="CU36" s="1223">
        <f>$G36*Z36*Variables!$B$53*HLOOKUP($CO$2,Variables!$B$60:$F$61,2,FALSE)</f>
        <v>0</v>
      </c>
      <c r="CV36" s="1223">
        <f>$G36*AA36*Variables!$B$53*HLOOKUP($CO$2,Variables!$B$60:$F$61,2,FALSE)</f>
        <v>0</v>
      </c>
      <c r="CW36" s="1223">
        <f>$G36*AB36*Variables!$B$53*HLOOKUP($CO$2,Variables!$B$60:$F$61,2,FALSE)</f>
        <v>0</v>
      </c>
      <c r="CX36" s="1223">
        <f>$G36*AC36*Variables!$B$53*HLOOKUP($CO$2,Variables!$B$60:$F$61,2,FALSE)</f>
        <v>0</v>
      </c>
      <c r="CY36" s="1223">
        <f>$G36*AD36*Variables!$B$53*HLOOKUP($CO$2,Variables!$B$60:$F$61,2,FALSE)</f>
        <v>0</v>
      </c>
      <c r="CZ36" s="1225">
        <f>$G36*AE36*Variables!$B$53*HLOOKUP($CO$2,Variables!$B$60:$F$61,2,FALSE)</f>
        <v>0</v>
      </c>
      <c r="DA36" s="1222">
        <f>$G36*AF36*Variables!$B$53*HLOOKUP($DA$2,Variables!$B$60:$F$61,2,FALSE)</f>
        <v>0</v>
      </c>
      <c r="DB36" s="1223">
        <f>$G36*AG36*Variables!$B$53*HLOOKUP($DA$2,Variables!$B$60:$F$61,2,FALSE)</f>
        <v>0</v>
      </c>
      <c r="DC36" s="1223">
        <f>$G36*AH36*Variables!$B$53*HLOOKUP($DA$2,Variables!$B$60:$F$61,2,FALSE)</f>
        <v>0</v>
      </c>
      <c r="DD36" s="1223">
        <f>$G36*AI36*Variables!$B$53*HLOOKUP($DA$2,Variables!$B$60:$F$61,2,FALSE)</f>
        <v>0</v>
      </c>
      <c r="DE36" s="1223">
        <f>$G36*AJ36*Variables!$B$53*HLOOKUP($DA$2,Variables!$B$60:$F$61,2,FALSE)</f>
        <v>0</v>
      </c>
      <c r="DF36" s="1223">
        <f>$G36*AK36*Variables!$B$53*HLOOKUP($DA$2,Variables!$B$60:$F$61,2,FALSE)</f>
        <v>0</v>
      </c>
      <c r="DG36" s="1223">
        <f>$G36*AL36*Variables!$B$53*HLOOKUP($DA$2,Variables!$B$60:$F$61,2,FALSE)</f>
        <v>0</v>
      </c>
      <c r="DH36" s="1223">
        <f>$G36*AM36*Variables!$B$53*HLOOKUP($DA$2,Variables!$B$60:$F$61,2,FALSE)</f>
        <v>0</v>
      </c>
      <c r="DI36" s="1223">
        <f>$G36*AN36*Variables!$B$53*HLOOKUP($DA$2,Variables!$B$60:$F$61,2,FALSE)</f>
        <v>0</v>
      </c>
      <c r="DJ36" s="1223">
        <f>$G36*AO36*Variables!$B$53*HLOOKUP($DA$2,Variables!$B$60:$F$61,2,FALSE)</f>
        <v>0</v>
      </c>
      <c r="DK36" s="1223">
        <f>$G36*AP36*Variables!$B$53*HLOOKUP($DA$2,Variables!$B$60:$F$61,2,FALSE)</f>
        <v>0</v>
      </c>
      <c r="DL36" s="1225">
        <f>$G36*AQ36*Variables!$B$53*HLOOKUP($DA$2,Variables!$B$60:$F$61,2,FALSE)</f>
        <v>0</v>
      </c>
      <c r="DM36" s="1222">
        <f>$G36*AR36*Variables!$B$53*HLOOKUP($DM$2,Variables!$B$60:$F$61,2,FALSE)</f>
        <v>0</v>
      </c>
      <c r="DN36" s="1223">
        <f>$G36*AS36*Variables!$B$53*HLOOKUP($DM$2,Variables!$B$60:$F$61,2,FALSE)</f>
        <v>0</v>
      </c>
      <c r="DO36" s="1223">
        <f>$G36*AT36*Variables!$B$53*HLOOKUP($DM$2,Variables!$B$60:$F$61,2,FALSE)</f>
        <v>0</v>
      </c>
      <c r="DP36" s="1223">
        <f>$G36*AU36*Variables!$B$53*HLOOKUP($DM$2,Variables!$B$60:$F$61,2,FALSE)</f>
        <v>0</v>
      </c>
      <c r="DQ36" s="1223">
        <f>$G36*AV36*Variables!$B$53*HLOOKUP($DM$2,Variables!$B$60:$F$61,2,FALSE)</f>
        <v>0</v>
      </c>
      <c r="DR36" s="1223">
        <f>$G36*AW36*Variables!$B$53*HLOOKUP($DM$2,Variables!$B$60:$F$61,2,FALSE)</f>
        <v>0</v>
      </c>
      <c r="DS36" s="1223">
        <f>$G36*AX36*Variables!$B$53*HLOOKUP($DM$2,Variables!$B$60:$F$61,2,FALSE)</f>
        <v>0</v>
      </c>
      <c r="DT36" s="1223">
        <f>$G36*AY36*Variables!$B$53*HLOOKUP($DM$2,Variables!$B$60:$F$61,2,FALSE)</f>
        <v>0</v>
      </c>
      <c r="DU36" s="1223">
        <f>$G36*AZ36*Variables!$B$53*HLOOKUP($DM$2,Variables!$B$60:$F$61,2,FALSE)</f>
        <v>0</v>
      </c>
      <c r="DV36" s="1223">
        <f>$G36*BA36*Variables!$B$53*HLOOKUP($DM$2,Variables!$B$60:$F$61,2,FALSE)</f>
        <v>0</v>
      </c>
      <c r="DW36" s="1223">
        <f>$G36*BB36*Variables!$B$53*HLOOKUP($DM$2,Variables!$B$60:$F$61,2,FALSE)</f>
        <v>0</v>
      </c>
      <c r="DX36" s="1225">
        <f>$G36*BC36*Variables!$B$53*HLOOKUP($DM$2,Variables!$B$60:$F$61,2,FALSE)</f>
        <v>0</v>
      </c>
      <c r="DY36" s="1222">
        <f>$G36*BD36*Variables!$B$53*HLOOKUP($DY$2,Variables!$B$60:$F$61,2,FALSE)</f>
        <v>0</v>
      </c>
      <c r="DZ36" s="1223">
        <f>$G36*BE36*Variables!$B$53*HLOOKUP($DY$2,Variables!$B$60:$F$61,2,FALSE)</f>
        <v>0</v>
      </c>
      <c r="EA36" s="1223">
        <f>$G36*BF36*Variables!$B$53*HLOOKUP($DY$2,Variables!$B$60:$F$61,2,FALSE)</f>
        <v>0</v>
      </c>
      <c r="EB36" s="1223">
        <f>$G36*BG36*Variables!$B$53*HLOOKUP($DY$2,Variables!$B$60:$F$61,2,FALSE)</f>
        <v>0</v>
      </c>
      <c r="EC36" s="1223">
        <f>$G36*BH36*Variables!$B$53*HLOOKUP($DY$2,Variables!$B$60:$F$61,2,FALSE)</f>
        <v>0</v>
      </c>
      <c r="ED36" s="1223">
        <f>$G36*BI36*Variables!$B$53*HLOOKUP($DY$2,Variables!$B$60:$F$61,2,FALSE)</f>
        <v>0</v>
      </c>
      <c r="EE36" s="1223">
        <f>$G36*BJ36*Variables!$B$53*HLOOKUP($DY$2,Variables!$B$60:$F$61,2,FALSE)</f>
        <v>0</v>
      </c>
      <c r="EF36" s="1223">
        <f>$G36*BK36*Variables!$B$53*HLOOKUP($DY$2,Variables!$B$60:$F$61,2,FALSE)</f>
        <v>0</v>
      </c>
      <c r="EG36" s="1223">
        <f>$G36*BL36*Variables!$B$53*HLOOKUP($DY$2,Variables!$B$60:$F$61,2,FALSE)</f>
        <v>0</v>
      </c>
      <c r="EH36" s="1223">
        <f>$G36*BM36*Variables!$B$53*HLOOKUP($DY$2,Variables!$B$60:$F$61,2,FALSE)</f>
        <v>0</v>
      </c>
      <c r="EI36" s="1223">
        <f>$G36*BN36*Variables!$B$53*HLOOKUP($DY$2,Variables!$B$60:$F$61,2,FALSE)</f>
        <v>0</v>
      </c>
      <c r="EJ36" s="1225">
        <f>$G36*BO36*Variables!$B$53*HLOOKUP($DY$2,Variables!$B$60:$F$61,2,FALSE)</f>
        <v>0</v>
      </c>
      <c r="EK36" s="1222">
        <f>$G36*BP36*Variables!$B$53*HLOOKUP($EK$2,Variables!$B$60:$F$61,2,FALSE)</f>
        <v>0</v>
      </c>
      <c r="EL36" s="1223">
        <f>$G36*BQ36*Variables!$B$53*HLOOKUP($EK$2,Variables!$B$60:$F$61,2,FALSE)</f>
        <v>0</v>
      </c>
      <c r="EM36" s="1223">
        <f>$G36*BR36*Variables!$B$53*HLOOKUP($EK$2,Variables!$B$60:$F$61,2,FALSE)</f>
        <v>0</v>
      </c>
      <c r="EN36" s="1223">
        <f>$G36*BS36*Variables!$B$53*HLOOKUP($EK$2,Variables!$B$60:$F$61,2,FALSE)</f>
        <v>0</v>
      </c>
      <c r="EO36" s="1223">
        <f>$G36*BT36*Variables!$B$53*HLOOKUP($EK$2,Variables!$B$60:$F$61,2,FALSE)</f>
        <v>0</v>
      </c>
      <c r="EP36" s="1223">
        <f>$G36*BU36*Variables!$B$53*HLOOKUP($EK$2,Variables!$B$60:$F$61,2,FALSE)</f>
        <v>0</v>
      </c>
      <c r="EQ36" s="1223">
        <f>$G36*BV36*Variables!$B$53*HLOOKUP($EK$2,Variables!$B$60:$F$61,2,FALSE)</f>
        <v>0</v>
      </c>
      <c r="ER36" s="1223">
        <f>$G36*BW36*Variables!$B$53*HLOOKUP($EK$2,Variables!$B$60:$F$61,2,FALSE)</f>
        <v>0</v>
      </c>
      <c r="ES36" s="1223">
        <f>$G36*BX36*Variables!$B$53*HLOOKUP($EK$2,Variables!$B$60:$F$61,2,FALSE)</f>
        <v>0</v>
      </c>
      <c r="ET36" s="1223">
        <f>$G36*BY36*Variables!$B$53*HLOOKUP($EK$2,Variables!$B$60:$F$61,2,FALSE)</f>
        <v>0</v>
      </c>
      <c r="EU36" s="1223">
        <f>$G36*BZ36*Variables!$B$53*HLOOKUP($EK$2,Variables!$B$60:$F$61,2,FALSE)</f>
        <v>0</v>
      </c>
      <c r="EV36" s="1225">
        <f>$G36*CA36*Variables!$B$53*HLOOKUP($EK$2,Variables!$B$60:$F$61,2,FALSE)</f>
        <v>0</v>
      </c>
      <c r="EW36" s="872">
        <f t="shared" si="6"/>
        <v>0</v>
      </c>
      <c r="EX36" s="872"/>
      <c r="EY36" s="872"/>
      <c r="EZ36" s="872"/>
      <c r="FA36" s="1332"/>
      <c r="FC36" s="958" t="str">
        <f t="shared" si="3"/>
        <v/>
      </c>
      <c r="FD36" s="959" t="str">
        <f t="shared" si="4"/>
        <v/>
      </c>
      <c r="FE36" s="959" t="s">
        <v>8407</v>
      </c>
      <c r="FF36" s="959" t="str">
        <f>IF(ISNA(VLOOKUP(FC36,Miscellaneous!E:F,2,0)),"",VLOOKUP(FC36,Miscellaneous!E:F,2,0))</f>
        <v/>
      </c>
      <c r="FG36" s="959" t="str">
        <f t="shared" si="5"/>
        <v/>
      </c>
      <c r="FH36" s="996">
        <f>IF($FG36="Opex",SUMIF('Monthly Summary'!$C$75:$N$75,"",CC36:CN36),SUMIF('Monthly Summary'!$C$74:$N$74,"",CC36:CN36))</f>
        <v>0</v>
      </c>
      <c r="FI36" s="996">
        <f>IF($FG36="Opex",SUMIF('Monthly Summary'!$O$75:$Z$75,"",CO36:CZ36),SUMIF('Monthly Summary'!$O$74:$Z$74,"",CO36:CZ36))</f>
        <v>0</v>
      </c>
      <c r="FJ36" s="996">
        <f>IF($FG36="Opex",SUMIF('Monthly Summary'!$AA$75:$AL$75,"",DA36:DL36),SUMIF('Monthly Summary'!$AA$74:$AL$74,"",DA36:DL36))</f>
        <v>0</v>
      </c>
      <c r="FK36" s="996">
        <f>IF($FG36="Opex",SUMIF('Monthly Summary'!$AM$75:$AX$75,"",DM36:DX36),SUMIF('Monthly Summary'!$AM$74:$AX$74,"",DM36:DX36))</f>
        <v>0</v>
      </c>
      <c r="FL36" s="996">
        <f>IF($FG36="Opex",SUMIF('Monthly Summary'!$AY$75:$BJ$75,"",DY36:EJ36),SUMIF('Monthly Summary'!$AY$74:$BJ$74,"",DY36:EJ36))</f>
        <v>0</v>
      </c>
      <c r="FM36" s="997">
        <f>IF($FG36="Opex",SUMIF('Monthly Summary'!$BK$75:$BV$75,"",EK36:EV36),SUMIF('Monthly Summary'!$BK$74:$BV$74,"",EK36:EV36))</f>
        <v>0</v>
      </c>
      <c r="FN36" s="997">
        <f t="shared" si="7"/>
        <v>0</v>
      </c>
    </row>
    <row r="37" spans="3:170">
      <c r="C37" s="757"/>
      <c r="D37" s="757"/>
      <c r="E37" s="758"/>
      <c r="F37" s="758"/>
      <c r="G37" s="758"/>
      <c r="H37" s="1215"/>
      <c r="I37" s="761"/>
      <c r="J37" s="761"/>
      <c r="K37" s="761"/>
      <c r="L37" s="761"/>
      <c r="M37" s="761"/>
      <c r="N37" s="761"/>
      <c r="O37" s="761"/>
      <c r="P37" s="761"/>
      <c r="Q37" s="761"/>
      <c r="R37" s="761"/>
      <c r="S37" s="1216"/>
      <c r="T37" s="1215"/>
      <c r="U37" s="761"/>
      <c r="V37" s="761"/>
      <c r="W37" s="761"/>
      <c r="X37" s="761"/>
      <c r="Y37" s="761"/>
      <c r="Z37" s="761"/>
      <c r="AA37" s="761"/>
      <c r="AB37" s="761"/>
      <c r="AC37" s="761"/>
      <c r="AD37" s="761"/>
      <c r="AE37" s="1216"/>
      <c r="AF37" s="1215"/>
      <c r="AG37" s="761"/>
      <c r="AH37" s="761"/>
      <c r="AI37" s="761"/>
      <c r="AJ37" s="761"/>
      <c r="AK37" s="761"/>
      <c r="AL37" s="761"/>
      <c r="AM37" s="761"/>
      <c r="AN37" s="761"/>
      <c r="AO37" s="761"/>
      <c r="AP37" s="761"/>
      <c r="AQ37" s="1216"/>
      <c r="AR37" s="1215"/>
      <c r="AS37" s="761"/>
      <c r="AT37" s="761"/>
      <c r="AU37" s="761"/>
      <c r="AV37" s="761"/>
      <c r="AW37" s="761"/>
      <c r="AX37" s="761"/>
      <c r="AY37" s="761"/>
      <c r="AZ37" s="761"/>
      <c r="BA37" s="761"/>
      <c r="BB37" s="761"/>
      <c r="BC37" s="1216"/>
      <c r="BD37" s="1215"/>
      <c r="BE37" s="761"/>
      <c r="BF37" s="761"/>
      <c r="BG37" s="761"/>
      <c r="BH37" s="761"/>
      <c r="BI37" s="761"/>
      <c r="BJ37" s="761"/>
      <c r="BK37" s="761"/>
      <c r="BL37" s="761"/>
      <c r="BM37" s="761"/>
      <c r="BN37" s="761"/>
      <c r="BO37" s="1216"/>
      <c r="BP37" s="1215"/>
      <c r="BQ37" s="761"/>
      <c r="BR37" s="761"/>
      <c r="BS37" s="761"/>
      <c r="BT37" s="761"/>
      <c r="BU37" s="761"/>
      <c r="BV37" s="761"/>
      <c r="BW37" s="761"/>
      <c r="BX37" s="761"/>
      <c r="BY37" s="761"/>
      <c r="BZ37" s="761"/>
      <c r="CA37" s="1216"/>
      <c r="CB37" s="747"/>
      <c r="CC37" s="1222">
        <f>$G37*H37*Variables!$B$53</f>
        <v>0</v>
      </c>
      <c r="CD37" s="1223">
        <f>$G37*I37*Variables!$B$53</f>
        <v>0</v>
      </c>
      <c r="CE37" s="1223">
        <f>$G37*J37*Variables!$B$53</f>
        <v>0</v>
      </c>
      <c r="CF37" s="1223">
        <f>$G37*K37*Variables!$B$53</f>
        <v>0</v>
      </c>
      <c r="CG37" s="1223">
        <f>$G37*L37*Variables!$B$53</f>
        <v>0</v>
      </c>
      <c r="CH37" s="1223">
        <f>$G37*M37*Variables!$B$53</f>
        <v>0</v>
      </c>
      <c r="CI37" s="1223">
        <f>$G37*N37*Variables!$B$53</f>
        <v>0</v>
      </c>
      <c r="CJ37" s="1223">
        <f>$G37*O37*Variables!$B$53</f>
        <v>0</v>
      </c>
      <c r="CK37" s="1223">
        <f>$G37*P37*Variables!$B$53</f>
        <v>0</v>
      </c>
      <c r="CL37" s="1223">
        <f>$G37*Q37*Variables!$B$53</f>
        <v>0</v>
      </c>
      <c r="CM37" s="1223">
        <f>$G37*R37*Variables!$B$53</f>
        <v>0</v>
      </c>
      <c r="CN37" s="1225">
        <f>$G37*S37*Variables!$B$53</f>
        <v>0</v>
      </c>
      <c r="CO37" s="1222">
        <f>$G37*T37*Variables!$B$53*HLOOKUP($CO$2,Variables!$B$60:$F$61,2,FALSE)</f>
        <v>0</v>
      </c>
      <c r="CP37" s="1223">
        <f>$G37*U37*Variables!$B$53*HLOOKUP($CO$2,Variables!$B$60:$F$61,2,FALSE)</f>
        <v>0</v>
      </c>
      <c r="CQ37" s="1223">
        <f>$G37*V37*Variables!$B$53*HLOOKUP($CO$2,Variables!$B$60:$F$61,2,FALSE)</f>
        <v>0</v>
      </c>
      <c r="CR37" s="1223">
        <f>$G37*W37*Variables!$B$53*HLOOKUP($CO$2,Variables!$B$60:$F$61,2,FALSE)</f>
        <v>0</v>
      </c>
      <c r="CS37" s="1223">
        <f>$G37*X37*Variables!$B$53*HLOOKUP($CO$2,Variables!$B$60:$F$61,2,FALSE)</f>
        <v>0</v>
      </c>
      <c r="CT37" s="1223">
        <f>$G37*Y37*Variables!$B$53*HLOOKUP($CO$2,Variables!$B$60:$F$61,2,FALSE)</f>
        <v>0</v>
      </c>
      <c r="CU37" s="1223">
        <f>$G37*Z37*Variables!$B$53*HLOOKUP($CO$2,Variables!$B$60:$F$61,2,FALSE)</f>
        <v>0</v>
      </c>
      <c r="CV37" s="1223">
        <f>$G37*AA37*Variables!$B$53*HLOOKUP($CO$2,Variables!$B$60:$F$61,2,FALSE)</f>
        <v>0</v>
      </c>
      <c r="CW37" s="1223">
        <f>$G37*AB37*Variables!$B$53*HLOOKUP($CO$2,Variables!$B$60:$F$61,2,FALSE)</f>
        <v>0</v>
      </c>
      <c r="CX37" s="1223">
        <f>$G37*AC37*Variables!$B$53*HLOOKUP($CO$2,Variables!$B$60:$F$61,2,FALSE)</f>
        <v>0</v>
      </c>
      <c r="CY37" s="1223">
        <f>$G37*AD37*Variables!$B$53*HLOOKUP($CO$2,Variables!$B$60:$F$61,2,FALSE)</f>
        <v>0</v>
      </c>
      <c r="CZ37" s="1225">
        <f>$G37*AE37*Variables!$B$53*HLOOKUP($CO$2,Variables!$B$60:$F$61,2,FALSE)</f>
        <v>0</v>
      </c>
      <c r="DA37" s="1222">
        <f>$G37*AF37*Variables!$B$53*HLOOKUP($DA$2,Variables!$B$60:$F$61,2,FALSE)</f>
        <v>0</v>
      </c>
      <c r="DB37" s="1223">
        <f>$G37*AG37*Variables!$B$53*HLOOKUP($DA$2,Variables!$B$60:$F$61,2,FALSE)</f>
        <v>0</v>
      </c>
      <c r="DC37" s="1223">
        <f>$G37*AH37*Variables!$B$53*HLOOKUP($DA$2,Variables!$B$60:$F$61,2,FALSE)</f>
        <v>0</v>
      </c>
      <c r="DD37" s="1223">
        <f>$G37*AI37*Variables!$B$53*HLOOKUP($DA$2,Variables!$B$60:$F$61,2,FALSE)</f>
        <v>0</v>
      </c>
      <c r="DE37" s="1223">
        <f>$G37*AJ37*Variables!$B$53*HLOOKUP($DA$2,Variables!$B$60:$F$61,2,FALSE)</f>
        <v>0</v>
      </c>
      <c r="DF37" s="1223">
        <f>$G37*AK37*Variables!$B$53*HLOOKUP($DA$2,Variables!$B$60:$F$61,2,FALSE)</f>
        <v>0</v>
      </c>
      <c r="DG37" s="1223">
        <f>$G37*AL37*Variables!$B$53*HLOOKUP($DA$2,Variables!$B$60:$F$61,2,FALSE)</f>
        <v>0</v>
      </c>
      <c r="DH37" s="1223">
        <f>$G37*AM37*Variables!$B$53*HLOOKUP($DA$2,Variables!$B$60:$F$61,2,FALSE)</f>
        <v>0</v>
      </c>
      <c r="DI37" s="1223">
        <f>$G37*AN37*Variables!$B$53*HLOOKUP($DA$2,Variables!$B$60:$F$61,2,FALSE)</f>
        <v>0</v>
      </c>
      <c r="DJ37" s="1223">
        <f>$G37*AO37*Variables!$B$53*HLOOKUP($DA$2,Variables!$B$60:$F$61,2,FALSE)</f>
        <v>0</v>
      </c>
      <c r="DK37" s="1223">
        <f>$G37*AP37*Variables!$B$53*HLOOKUP($DA$2,Variables!$B$60:$F$61,2,FALSE)</f>
        <v>0</v>
      </c>
      <c r="DL37" s="1225">
        <f>$G37*AQ37*Variables!$B$53*HLOOKUP($DA$2,Variables!$B$60:$F$61,2,FALSE)</f>
        <v>0</v>
      </c>
      <c r="DM37" s="1222">
        <f>$G37*AR37*Variables!$B$53*HLOOKUP($DM$2,Variables!$B$60:$F$61,2,FALSE)</f>
        <v>0</v>
      </c>
      <c r="DN37" s="1223">
        <f>$G37*AS37*Variables!$B$53*HLOOKUP($DM$2,Variables!$B$60:$F$61,2,FALSE)</f>
        <v>0</v>
      </c>
      <c r="DO37" s="1223">
        <f>$G37*AT37*Variables!$B$53*HLOOKUP($DM$2,Variables!$B$60:$F$61,2,FALSE)</f>
        <v>0</v>
      </c>
      <c r="DP37" s="1223">
        <f>$G37*AU37*Variables!$B$53*HLOOKUP($DM$2,Variables!$B$60:$F$61,2,FALSE)</f>
        <v>0</v>
      </c>
      <c r="DQ37" s="1223">
        <f>$G37*AV37*Variables!$B$53*HLOOKUP($DM$2,Variables!$B$60:$F$61,2,FALSE)</f>
        <v>0</v>
      </c>
      <c r="DR37" s="1223">
        <f>$G37*AW37*Variables!$B$53*HLOOKUP($DM$2,Variables!$B$60:$F$61,2,FALSE)</f>
        <v>0</v>
      </c>
      <c r="DS37" s="1223">
        <f>$G37*AX37*Variables!$B$53*HLOOKUP($DM$2,Variables!$B$60:$F$61,2,FALSE)</f>
        <v>0</v>
      </c>
      <c r="DT37" s="1223">
        <f>$G37*AY37*Variables!$B$53*HLOOKUP($DM$2,Variables!$B$60:$F$61,2,FALSE)</f>
        <v>0</v>
      </c>
      <c r="DU37" s="1223">
        <f>$G37*AZ37*Variables!$B$53*HLOOKUP($DM$2,Variables!$B$60:$F$61,2,FALSE)</f>
        <v>0</v>
      </c>
      <c r="DV37" s="1223">
        <f>$G37*BA37*Variables!$B$53*HLOOKUP($DM$2,Variables!$B$60:$F$61,2,FALSE)</f>
        <v>0</v>
      </c>
      <c r="DW37" s="1223">
        <f>$G37*BB37*Variables!$B$53*HLOOKUP($DM$2,Variables!$B$60:$F$61,2,FALSE)</f>
        <v>0</v>
      </c>
      <c r="DX37" s="1225">
        <f>$G37*BC37*Variables!$B$53*HLOOKUP($DM$2,Variables!$B$60:$F$61,2,FALSE)</f>
        <v>0</v>
      </c>
      <c r="DY37" s="1222">
        <f>$G37*BD37*Variables!$B$53*HLOOKUP($DY$2,Variables!$B$60:$F$61,2,FALSE)</f>
        <v>0</v>
      </c>
      <c r="DZ37" s="1223">
        <f>$G37*BE37*Variables!$B$53*HLOOKUP($DY$2,Variables!$B$60:$F$61,2,FALSE)</f>
        <v>0</v>
      </c>
      <c r="EA37" s="1223">
        <f>$G37*BF37*Variables!$B$53*HLOOKUP($DY$2,Variables!$B$60:$F$61,2,FALSE)</f>
        <v>0</v>
      </c>
      <c r="EB37" s="1223">
        <f>$G37*BG37*Variables!$B$53*HLOOKUP($DY$2,Variables!$B$60:$F$61,2,FALSE)</f>
        <v>0</v>
      </c>
      <c r="EC37" s="1223">
        <f>$G37*BH37*Variables!$B$53*HLOOKUP($DY$2,Variables!$B$60:$F$61,2,FALSE)</f>
        <v>0</v>
      </c>
      <c r="ED37" s="1223">
        <f>$G37*BI37*Variables!$B$53*HLOOKUP($DY$2,Variables!$B$60:$F$61,2,FALSE)</f>
        <v>0</v>
      </c>
      <c r="EE37" s="1223">
        <f>$G37*BJ37*Variables!$B$53*HLOOKUP($DY$2,Variables!$B$60:$F$61,2,FALSE)</f>
        <v>0</v>
      </c>
      <c r="EF37" s="1223">
        <f>$G37*BK37*Variables!$B$53*HLOOKUP($DY$2,Variables!$B$60:$F$61,2,FALSE)</f>
        <v>0</v>
      </c>
      <c r="EG37" s="1223">
        <f>$G37*BL37*Variables!$B$53*HLOOKUP($DY$2,Variables!$B$60:$F$61,2,FALSE)</f>
        <v>0</v>
      </c>
      <c r="EH37" s="1223">
        <f>$G37*BM37*Variables!$B$53*HLOOKUP($DY$2,Variables!$B$60:$F$61,2,FALSE)</f>
        <v>0</v>
      </c>
      <c r="EI37" s="1223">
        <f>$G37*BN37*Variables!$B$53*HLOOKUP($DY$2,Variables!$B$60:$F$61,2,FALSE)</f>
        <v>0</v>
      </c>
      <c r="EJ37" s="1225">
        <f>$G37*BO37*Variables!$B$53*HLOOKUP($DY$2,Variables!$B$60:$F$61,2,FALSE)</f>
        <v>0</v>
      </c>
      <c r="EK37" s="1222">
        <f>$G37*BP37*Variables!$B$53*HLOOKUP($EK$2,Variables!$B$60:$F$61,2,FALSE)</f>
        <v>0</v>
      </c>
      <c r="EL37" s="1223">
        <f>$G37*BQ37*Variables!$B$53*HLOOKUP($EK$2,Variables!$B$60:$F$61,2,FALSE)</f>
        <v>0</v>
      </c>
      <c r="EM37" s="1223">
        <f>$G37*BR37*Variables!$B$53*HLOOKUP($EK$2,Variables!$B$60:$F$61,2,FALSE)</f>
        <v>0</v>
      </c>
      <c r="EN37" s="1223">
        <f>$G37*BS37*Variables!$B$53*HLOOKUP($EK$2,Variables!$B$60:$F$61,2,FALSE)</f>
        <v>0</v>
      </c>
      <c r="EO37" s="1223">
        <f>$G37*BT37*Variables!$B$53*HLOOKUP($EK$2,Variables!$B$60:$F$61,2,FALSE)</f>
        <v>0</v>
      </c>
      <c r="EP37" s="1223">
        <f>$G37*BU37*Variables!$B$53*HLOOKUP($EK$2,Variables!$B$60:$F$61,2,FALSE)</f>
        <v>0</v>
      </c>
      <c r="EQ37" s="1223">
        <f>$G37*BV37*Variables!$B$53*HLOOKUP($EK$2,Variables!$B$60:$F$61,2,FALSE)</f>
        <v>0</v>
      </c>
      <c r="ER37" s="1223">
        <f>$G37*BW37*Variables!$B$53*HLOOKUP($EK$2,Variables!$B$60:$F$61,2,FALSE)</f>
        <v>0</v>
      </c>
      <c r="ES37" s="1223">
        <f>$G37*BX37*Variables!$B$53*HLOOKUP($EK$2,Variables!$B$60:$F$61,2,FALSE)</f>
        <v>0</v>
      </c>
      <c r="ET37" s="1223">
        <f>$G37*BY37*Variables!$B$53*HLOOKUP($EK$2,Variables!$B$60:$F$61,2,FALSE)</f>
        <v>0</v>
      </c>
      <c r="EU37" s="1223">
        <f>$G37*BZ37*Variables!$B$53*HLOOKUP($EK$2,Variables!$B$60:$F$61,2,FALSE)</f>
        <v>0</v>
      </c>
      <c r="EV37" s="1225">
        <f>$G37*CA37*Variables!$B$53*HLOOKUP($EK$2,Variables!$B$60:$F$61,2,FALSE)</f>
        <v>0</v>
      </c>
      <c r="EW37" s="872">
        <f t="shared" si="6"/>
        <v>0</v>
      </c>
      <c r="EX37" s="872"/>
      <c r="EY37" s="872"/>
      <c r="EZ37" s="872"/>
      <c r="FA37" s="1332"/>
      <c r="FC37" s="958" t="str">
        <f t="shared" ref="FC37:FC68" si="8">IF(ISBLANK(A37),"",A37)</f>
        <v/>
      </c>
      <c r="FD37" s="959" t="str">
        <f t="shared" ref="FD37:FD68" si="9">IF(ISBLANK(B37),"",B37)</f>
        <v/>
      </c>
      <c r="FE37" s="959" t="s">
        <v>8407</v>
      </c>
      <c r="FF37" s="959" t="str">
        <f>IF(ISNA(VLOOKUP(FC37,Miscellaneous!E:F,2,0)),"",VLOOKUP(FC37,Miscellaneous!E:F,2,0))</f>
        <v/>
      </c>
      <c r="FG37" s="959" t="str">
        <f t="shared" ref="FG37:FG68" si="10">IF(ISBLANK(F37),"",F37)</f>
        <v/>
      </c>
      <c r="FH37" s="996">
        <f>IF($FG37="Opex",SUMIF('Monthly Summary'!$C$75:$N$75,"",CC37:CN37),SUMIF('Monthly Summary'!$C$74:$N$74,"",CC37:CN37))</f>
        <v>0</v>
      </c>
      <c r="FI37" s="996">
        <f>IF($FG37="Opex",SUMIF('Monthly Summary'!$O$75:$Z$75,"",CO37:CZ37),SUMIF('Monthly Summary'!$O$74:$Z$74,"",CO37:CZ37))</f>
        <v>0</v>
      </c>
      <c r="FJ37" s="996">
        <f>IF($FG37="Opex",SUMIF('Monthly Summary'!$AA$75:$AL$75,"",DA37:DL37),SUMIF('Monthly Summary'!$AA$74:$AL$74,"",DA37:DL37))</f>
        <v>0</v>
      </c>
      <c r="FK37" s="996">
        <f>IF($FG37="Opex",SUMIF('Monthly Summary'!$AM$75:$AX$75,"",DM37:DX37),SUMIF('Monthly Summary'!$AM$74:$AX$74,"",DM37:DX37))</f>
        <v>0</v>
      </c>
      <c r="FL37" s="996">
        <f>IF($FG37="Opex",SUMIF('Monthly Summary'!$AY$75:$BJ$75,"",DY37:EJ37),SUMIF('Monthly Summary'!$AY$74:$BJ$74,"",DY37:EJ37))</f>
        <v>0</v>
      </c>
      <c r="FM37" s="997">
        <f>IF($FG37="Opex",SUMIF('Monthly Summary'!$BK$75:$BV$75,"",EK37:EV37),SUMIF('Monthly Summary'!$BK$74:$BV$74,"",EK37:EV37))</f>
        <v>0</v>
      </c>
      <c r="FN37" s="997">
        <f t="shared" si="7"/>
        <v>0</v>
      </c>
    </row>
    <row r="38" spans="3:170">
      <c r="C38" s="757"/>
      <c r="D38" s="757"/>
      <c r="E38" s="758"/>
      <c r="F38" s="758"/>
      <c r="G38" s="758"/>
      <c r="H38" s="1215"/>
      <c r="I38" s="761"/>
      <c r="J38" s="761"/>
      <c r="K38" s="761"/>
      <c r="L38" s="761"/>
      <c r="M38" s="761"/>
      <c r="N38" s="761"/>
      <c r="O38" s="761"/>
      <c r="P38" s="761"/>
      <c r="Q38" s="761"/>
      <c r="R38" s="761"/>
      <c r="S38" s="1216"/>
      <c r="T38" s="1215"/>
      <c r="U38" s="761"/>
      <c r="V38" s="761"/>
      <c r="W38" s="761"/>
      <c r="X38" s="761"/>
      <c r="Y38" s="761"/>
      <c r="Z38" s="761"/>
      <c r="AA38" s="761"/>
      <c r="AB38" s="761"/>
      <c r="AC38" s="761"/>
      <c r="AD38" s="761"/>
      <c r="AE38" s="1216"/>
      <c r="AF38" s="1215"/>
      <c r="AG38" s="761"/>
      <c r="AH38" s="761"/>
      <c r="AI38" s="761"/>
      <c r="AJ38" s="761"/>
      <c r="AK38" s="761"/>
      <c r="AL38" s="761"/>
      <c r="AM38" s="761"/>
      <c r="AN38" s="761"/>
      <c r="AO38" s="761"/>
      <c r="AP38" s="761"/>
      <c r="AQ38" s="1216"/>
      <c r="AR38" s="1215"/>
      <c r="AS38" s="761"/>
      <c r="AT38" s="761"/>
      <c r="AU38" s="761"/>
      <c r="AV38" s="761"/>
      <c r="AW38" s="761"/>
      <c r="AX38" s="761"/>
      <c r="AY38" s="761"/>
      <c r="AZ38" s="761"/>
      <c r="BA38" s="761"/>
      <c r="BB38" s="761"/>
      <c r="BC38" s="1216"/>
      <c r="BD38" s="1215"/>
      <c r="BE38" s="761"/>
      <c r="BF38" s="761"/>
      <c r="BG38" s="761"/>
      <c r="BH38" s="761"/>
      <c r="BI38" s="761"/>
      <c r="BJ38" s="761"/>
      <c r="BK38" s="761"/>
      <c r="BL38" s="761"/>
      <c r="BM38" s="761"/>
      <c r="BN38" s="761"/>
      <c r="BO38" s="1216"/>
      <c r="BP38" s="1215"/>
      <c r="BQ38" s="761"/>
      <c r="BR38" s="761"/>
      <c r="BS38" s="761"/>
      <c r="BT38" s="761"/>
      <c r="BU38" s="761"/>
      <c r="BV38" s="761"/>
      <c r="BW38" s="761"/>
      <c r="BX38" s="761"/>
      <c r="BY38" s="761"/>
      <c r="BZ38" s="761"/>
      <c r="CA38" s="1216"/>
      <c r="CB38" s="747"/>
      <c r="CC38" s="1222">
        <f>$G38*H38*Variables!$B$53</f>
        <v>0</v>
      </c>
      <c r="CD38" s="1223">
        <f>$G38*I38*Variables!$B$53</f>
        <v>0</v>
      </c>
      <c r="CE38" s="1223">
        <f>$G38*J38*Variables!$B$53</f>
        <v>0</v>
      </c>
      <c r="CF38" s="1223">
        <f>$G38*K38*Variables!$B$53</f>
        <v>0</v>
      </c>
      <c r="CG38" s="1223">
        <f>$G38*L38*Variables!$B$53</f>
        <v>0</v>
      </c>
      <c r="CH38" s="1223">
        <f>$G38*M38*Variables!$B$53</f>
        <v>0</v>
      </c>
      <c r="CI38" s="1223">
        <f>$G38*N38*Variables!$B$53</f>
        <v>0</v>
      </c>
      <c r="CJ38" s="1223">
        <f>$G38*O38*Variables!$B$53</f>
        <v>0</v>
      </c>
      <c r="CK38" s="1223">
        <f>$G38*P38*Variables!$B$53</f>
        <v>0</v>
      </c>
      <c r="CL38" s="1223">
        <f>$G38*Q38*Variables!$B$53</f>
        <v>0</v>
      </c>
      <c r="CM38" s="1223">
        <f>$G38*R38*Variables!$B$53</f>
        <v>0</v>
      </c>
      <c r="CN38" s="1225">
        <f>$G38*S38*Variables!$B$53</f>
        <v>0</v>
      </c>
      <c r="CO38" s="1222">
        <f>$G38*T38*Variables!$B$53*HLOOKUP($CO$2,Variables!$B$60:$F$61,2,FALSE)</f>
        <v>0</v>
      </c>
      <c r="CP38" s="1223">
        <f>$G38*U38*Variables!$B$53*HLOOKUP($CO$2,Variables!$B$60:$F$61,2,FALSE)</f>
        <v>0</v>
      </c>
      <c r="CQ38" s="1223">
        <f>$G38*V38*Variables!$B$53*HLOOKUP($CO$2,Variables!$B$60:$F$61,2,FALSE)</f>
        <v>0</v>
      </c>
      <c r="CR38" s="1223">
        <f>$G38*W38*Variables!$B$53*HLOOKUP($CO$2,Variables!$B$60:$F$61,2,FALSE)</f>
        <v>0</v>
      </c>
      <c r="CS38" s="1223">
        <f>$G38*X38*Variables!$B$53*HLOOKUP($CO$2,Variables!$B$60:$F$61,2,FALSE)</f>
        <v>0</v>
      </c>
      <c r="CT38" s="1223">
        <f>$G38*Y38*Variables!$B$53*HLOOKUP($CO$2,Variables!$B$60:$F$61,2,FALSE)</f>
        <v>0</v>
      </c>
      <c r="CU38" s="1223">
        <f>$G38*Z38*Variables!$B$53*HLOOKUP($CO$2,Variables!$B$60:$F$61,2,FALSE)</f>
        <v>0</v>
      </c>
      <c r="CV38" s="1223">
        <f>$G38*AA38*Variables!$B$53*HLOOKUP($CO$2,Variables!$B$60:$F$61,2,FALSE)</f>
        <v>0</v>
      </c>
      <c r="CW38" s="1223">
        <f>$G38*AB38*Variables!$B$53*HLOOKUP($CO$2,Variables!$B$60:$F$61,2,FALSE)</f>
        <v>0</v>
      </c>
      <c r="CX38" s="1223">
        <f>$G38*AC38*Variables!$B$53*HLOOKUP($CO$2,Variables!$B$60:$F$61,2,FALSE)</f>
        <v>0</v>
      </c>
      <c r="CY38" s="1223">
        <f>$G38*AD38*Variables!$B$53*HLOOKUP($CO$2,Variables!$B$60:$F$61,2,FALSE)</f>
        <v>0</v>
      </c>
      <c r="CZ38" s="1225">
        <f>$G38*AE38*Variables!$B$53*HLOOKUP($CO$2,Variables!$B$60:$F$61,2,FALSE)</f>
        <v>0</v>
      </c>
      <c r="DA38" s="1222">
        <f>$G38*AF38*Variables!$B$53*HLOOKUP($DA$2,Variables!$B$60:$F$61,2,FALSE)</f>
        <v>0</v>
      </c>
      <c r="DB38" s="1223">
        <f>$G38*AG38*Variables!$B$53*HLOOKUP($DA$2,Variables!$B$60:$F$61,2,FALSE)</f>
        <v>0</v>
      </c>
      <c r="DC38" s="1223">
        <f>$G38*AH38*Variables!$B$53*HLOOKUP($DA$2,Variables!$B$60:$F$61,2,FALSE)</f>
        <v>0</v>
      </c>
      <c r="DD38" s="1223">
        <f>$G38*AI38*Variables!$B$53*HLOOKUP($DA$2,Variables!$B$60:$F$61,2,FALSE)</f>
        <v>0</v>
      </c>
      <c r="DE38" s="1223">
        <f>$G38*AJ38*Variables!$B$53*HLOOKUP($DA$2,Variables!$B$60:$F$61,2,FALSE)</f>
        <v>0</v>
      </c>
      <c r="DF38" s="1223">
        <f>$G38*AK38*Variables!$B$53*HLOOKUP($DA$2,Variables!$B$60:$F$61,2,FALSE)</f>
        <v>0</v>
      </c>
      <c r="DG38" s="1223">
        <f>$G38*AL38*Variables!$B$53*HLOOKUP($DA$2,Variables!$B$60:$F$61,2,FALSE)</f>
        <v>0</v>
      </c>
      <c r="DH38" s="1223">
        <f>$G38*AM38*Variables!$B$53*HLOOKUP($DA$2,Variables!$B$60:$F$61,2,FALSE)</f>
        <v>0</v>
      </c>
      <c r="DI38" s="1223">
        <f>$G38*AN38*Variables!$B$53*HLOOKUP($DA$2,Variables!$B$60:$F$61,2,FALSE)</f>
        <v>0</v>
      </c>
      <c r="DJ38" s="1223">
        <f>$G38*AO38*Variables!$B$53*HLOOKUP($DA$2,Variables!$B$60:$F$61,2,FALSE)</f>
        <v>0</v>
      </c>
      <c r="DK38" s="1223">
        <f>$G38*AP38*Variables!$B$53*HLOOKUP($DA$2,Variables!$B$60:$F$61,2,FALSE)</f>
        <v>0</v>
      </c>
      <c r="DL38" s="1225">
        <f>$G38*AQ38*Variables!$B$53*HLOOKUP($DA$2,Variables!$B$60:$F$61,2,FALSE)</f>
        <v>0</v>
      </c>
      <c r="DM38" s="1222">
        <f>$G38*AR38*Variables!$B$53*HLOOKUP($DM$2,Variables!$B$60:$F$61,2,FALSE)</f>
        <v>0</v>
      </c>
      <c r="DN38" s="1223">
        <f>$G38*AS38*Variables!$B$53*HLOOKUP($DM$2,Variables!$B$60:$F$61,2,FALSE)</f>
        <v>0</v>
      </c>
      <c r="DO38" s="1223">
        <f>$G38*AT38*Variables!$B$53*HLOOKUP($DM$2,Variables!$B$60:$F$61,2,FALSE)</f>
        <v>0</v>
      </c>
      <c r="DP38" s="1223">
        <f>$G38*AU38*Variables!$B$53*HLOOKUP($DM$2,Variables!$B$60:$F$61,2,FALSE)</f>
        <v>0</v>
      </c>
      <c r="DQ38" s="1223">
        <f>$G38*AV38*Variables!$B$53*HLOOKUP($DM$2,Variables!$B$60:$F$61,2,FALSE)</f>
        <v>0</v>
      </c>
      <c r="DR38" s="1223">
        <f>$G38*AW38*Variables!$B$53*HLOOKUP($DM$2,Variables!$B$60:$F$61,2,FALSE)</f>
        <v>0</v>
      </c>
      <c r="DS38" s="1223">
        <f>$G38*AX38*Variables!$B$53*HLOOKUP($DM$2,Variables!$B$60:$F$61,2,FALSE)</f>
        <v>0</v>
      </c>
      <c r="DT38" s="1223">
        <f>$G38*AY38*Variables!$B$53*HLOOKUP($DM$2,Variables!$B$60:$F$61,2,FALSE)</f>
        <v>0</v>
      </c>
      <c r="DU38" s="1223">
        <f>$G38*AZ38*Variables!$B$53*HLOOKUP($DM$2,Variables!$B$60:$F$61,2,FALSE)</f>
        <v>0</v>
      </c>
      <c r="DV38" s="1223">
        <f>$G38*BA38*Variables!$B$53*HLOOKUP($DM$2,Variables!$B$60:$F$61,2,FALSE)</f>
        <v>0</v>
      </c>
      <c r="DW38" s="1223">
        <f>$G38*BB38*Variables!$B$53*HLOOKUP($DM$2,Variables!$B$60:$F$61,2,FALSE)</f>
        <v>0</v>
      </c>
      <c r="DX38" s="1225">
        <f>$G38*BC38*Variables!$B$53*HLOOKUP($DM$2,Variables!$B$60:$F$61,2,FALSE)</f>
        <v>0</v>
      </c>
      <c r="DY38" s="1222">
        <f>$G38*BD38*Variables!$B$53*HLOOKUP($DY$2,Variables!$B$60:$F$61,2,FALSE)</f>
        <v>0</v>
      </c>
      <c r="DZ38" s="1223">
        <f>$G38*BE38*Variables!$B$53*HLOOKUP($DY$2,Variables!$B$60:$F$61,2,FALSE)</f>
        <v>0</v>
      </c>
      <c r="EA38" s="1223">
        <f>$G38*BF38*Variables!$B$53*HLOOKUP($DY$2,Variables!$B$60:$F$61,2,FALSE)</f>
        <v>0</v>
      </c>
      <c r="EB38" s="1223">
        <f>$G38*BG38*Variables!$B$53*HLOOKUP($DY$2,Variables!$B$60:$F$61,2,FALSE)</f>
        <v>0</v>
      </c>
      <c r="EC38" s="1223">
        <f>$G38*BH38*Variables!$B$53*HLOOKUP($DY$2,Variables!$B$60:$F$61,2,FALSE)</f>
        <v>0</v>
      </c>
      <c r="ED38" s="1223">
        <f>$G38*BI38*Variables!$B$53*HLOOKUP($DY$2,Variables!$B$60:$F$61,2,FALSE)</f>
        <v>0</v>
      </c>
      <c r="EE38" s="1223">
        <f>$G38*BJ38*Variables!$B$53*HLOOKUP($DY$2,Variables!$B$60:$F$61,2,FALSE)</f>
        <v>0</v>
      </c>
      <c r="EF38" s="1223">
        <f>$G38*BK38*Variables!$B$53*HLOOKUP($DY$2,Variables!$B$60:$F$61,2,FALSE)</f>
        <v>0</v>
      </c>
      <c r="EG38" s="1223">
        <f>$G38*BL38*Variables!$B$53*HLOOKUP($DY$2,Variables!$B$60:$F$61,2,FALSE)</f>
        <v>0</v>
      </c>
      <c r="EH38" s="1223">
        <f>$G38*BM38*Variables!$B$53*HLOOKUP($DY$2,Variables!$B$60:$F$61,2,FALSE)</f>
        <v>0</v>
      </c>
      <c r="EI38" s="1223">
        <f>$G38*BN38*Variables!$B$53*HLOOKUP($DY$2,Variables!$B$60:$F$61,2,FALSE)</f>
        <v>0</v>
      </c>
      <c r="EJ38" s="1225">
        <f>$G38*BO38*Variables!$B$53*HLOOKUP($DY$2,Variables!$B$60:$F$61,2,FALSE)</f>
        <v>0</v>
      </c>
      <c r="EK38" s="1222">
        <f>$G38*BP38*Variables!$B$53*HLOOKUP($EK$2,Variables!$B$60:$F$61,2,FALSE)</f>
        <v>0</v>
      </c>
      <c r="EL38" s="1223">
        <f>$G38*BQ38*Variables!$B$53*HLOOKUP($EK$2,Variables!$B$60:$F$61,2,FALSE)</f>
        <v>0</v>
      </c>
      <c r="EM38" s="1223">
        <f>$G38*BR38*Variables!$B$53*HLOOKUP($EK$2,Variables!$B$60:$F$61,2,FALSE)</f>
        <v>0</v>
      </c>
      <c r="EN38" s="1223">
        <f>$G38*BS38*Variables!$B$53*HLOOKUP($EK$2,Variables!$B$60:$F$61,2,FALSE)</f>
        <v>0</v>
      </c>
      <c r="EO38" s="1223">
        <f>$G38*BT38*Variables!$B$53*HLOOKUP($EK$2,Variables!$B$60:$F$61,2,FALSE)</f>
        <v>0</v>
      </c>
      <c r="EP38" s="1223">
        <f>$G38*BU38*Variables!$B$53*HLOOKUP($EK$2,Variables!$B$60:$F$61,2,FALSE)</f>
        <v>0</v>
      </c>
      <c r="EQ38" s="1223">
        <f>$G38*BV38*Variables!$B$53*HLOOKUP($EK$2,Variables!$B$60:$F$61,2,FALSE)</f>
        <v>0</v>
      </c>
      <c r="ER38" s="1223">
        <f>$G38*BW38*Variables!$B$53*HLOOKUP($EK$2,Variables!$B$60:$F$61,2,FALSE)</f>
        <v>0</v>
      </c>
      <c r="ES38" s="1223">
        <f>$G38*BX38*Variables!$B$53*HLOOKUP($EK$2,Variables!$B$60:$F$61,2,FALSE)</f>
        <v>0</v>
      </c>
      <c r="ET38" s="1223">
        <f>$G38*BY38*Variables!$B$53*HLOOKUP($EK$2,Variables!$B$60:$F$61,2,FALSE)</f>
        <v>0</v>
      </c>
      <c r="EU38" s="1223">
        <f>$G38*BZ38*Variables!$B$53*HLOOKUP($EK$2,Variables!$B$60:$F$61,2,FALSE)</f>
        <v>0</v>
      </c>
      <c r="EV38" s="1225">
        <f>$G38*CA38*Variables!$B$53*HLOOKUP($EK$2,Variables!$B$60:$F$61,2,FALSE)</f>
        <v>0</v>
      </c>
      <c r="EW38" s="872">
        <f t="shared" si="6"/>
        <v>0</v>
      </c>
      <c r="EX38" s="872"/>
      <c r="EY38" s="872"/>
      <c r="EZ38" s="872"/>
      <c r="FA38" s="1332"/>
      <c r="FC38" s="958" t="str">
        <f t="shared" si="8"/>
        <v/>
      </c>
      <c r="FD38" s="959" t="str">
        <f t="shared" si="9"/>
        <v/>
      </c>
      <c r="FE38" s="959" t="s">
        <v>8407</v>
      </c>
      <c r="FF38" s="959" t="str">
        <f>IF(ISNA(VLOOKUP(FC38,Miscellaneous!E:F,2,0)),"",VLOOKUP(FC38,Miscellaneous!E:F,2,0))</f>
        <v/>
      </c>
      <c r="FG38" s="959" t="str">
        <f t="shared" si="10"/>
        <v/>
      </c>
      <c r="FH38" s="996">
        <f>IF($FG38="Opex",SUMIF('Monthly Summary'!$C$75:$N$75,"",CC38:CN38),SUMIF('Monthly Summary'!$C$74:$N$74,"",CC38:CN38))</f>
        <v>0</v>
      </c>
      <c r="FI38" s="996">
        <f>IF($FG38="Opex",SUMIF('Monthly Summary'!$O$75:$Z$75,"",CO38:CZ38),SUMIF('Monthly Summary'!$O$74:$Z$74,"",CO38:CZ38))</f>
        <v>0</v>
      </c>
      <c r="FJ38" s="996">
        <f>IF($FG38="Opex",SUMIF('Monthly Summary'!$AA$75:$AL$75,"",DA38:DL38),SUMIF('Monthly Summary'!$AA$74:$AL$74,"",DA38:DL38))</f>
        <v>0</v>
      </c>
      <c r="FK38" s="996">
        <f>IF($FG38="Opex",SUMIF('Monthly Summary'!$AM$75:$AX$75,"",DM38:DX38),SUMIF('Monthly Summary'!$AM$74:$AX$74,"",DM38:DX38))</f>
        <v>0</v>
      </c>
      <c r="FL38" s="996">
        <f>IF($FG38="Opex",SUMIF('Monthly Summary'!$AY$75:$BJ$75,"",DY38:EJ38),SUMIF('Monthly Summary'!$AY$74:$BJ$74,"",DY38:EJ38))</f>
        <v>0</v>
      </c>
      <c r="FM38" s="997">
        <f>IF($FG38="Opex",SUMIF('Monthly Summary'!$BK$75:$BV$75,"",EK38:EV38),SUMIF('Monthly Summary'!$BK$74:$BV$74,"",EK38:EV38))</f>
        <v>0</v>
      </c>
      <c r="FN38" s="997">
        <f t="shared" si="7"/>
        <v>0</v>
      </c>
    </row>
    <row r="39" spans="3:170">
      <c r="C39" s="757"/>
      <c r="D39" s="757"/>
      <c r="E39" s="758"/>
      <c r="F39" s="758"/>
      <c r="G39" s="758"/>
      <c r="H39" s="1215"/>
      <c r="I39" s="761"/>
      <c r="J39" s="761"/>
      <c r="K39" s="761"/>
      <c r="L39" s="761"/>
      <c r="M39" s="761"/>
      <c r="N39" s="761"/>
      <c r="O39" s="761"/>
      <c r="P39" s="761"/>
      <c r="Q39" s="761"/>
      <c r="R39" s="761"/>
      <c r="S39" s="1216"/>
      <c r="T39" s="1215"/>
      <c r="U39" s="761"/>
      <c r="V39" s="761"/>
      <c r="W39" s="761"/>
      <c r="X39" s="761"/>
      <c r="Y39" s="761"/>
      <c r="Z39" s="761"/>
      <c r="AA39" s="761"/>
      <c r="AB39" s="761"/>
      <c r="AC39" s="761"/>
      <c r="AD39" s="761"/>
      <c r="AE39" s="1216"/>
      <c r="AF39" s="1215"/>
      <c r="AG39" s="761"/>
      <c r="AH39" s="761"/>
      <c r="AI39" s="761"/>
      <c r="AJ39" s="761"/>
      <c r="AK39" s="761"/>
      <c r="AL39" s="761"/>
      <c r="AM39" s="761"/>
      <c r="AN39" s="761"/>
      <c r="AO39" s="761"/>
      <c r="AP39" s="761"/>
      <c r="AQ39" s="1216"/>
      <c r="AR39" s="1215"/>
      <c r="AS39" s="761"/>
      <c r="AT39" s="761"/>
      <c r="AU39" s="761"/>
      <c r="AV39" s="761"/>
      <c r="AW39" s="761"/>
      <c r="AX39" s="761"/>
      <c r="AY39" s="761"/>
      <c r="AZ39" s="761"/>
      <c r="BA39" s="761"/>
      <c r="BB39" s="761"/>
      <c r="BC39" s="1216"/>
      <c r="BD39" s="1215"/>
      <c r="BE39" s="761"/>
      <c r="BF39" s="761"/>
      <c r="BG39" s="761"/>
      <c r="BH39" s="761"/>
      <c r="BI39" s="761"/>
      <c r="BJ39" s="761"/>
      <c r="BK39" s="761"/>
      <c r="BL39" s="761"/>
      <c r="BM39" s="761"/>
      <c r="BN39" s="761"/>
      <c r="BO39" s="1216"/>
      <c r="BP39" s="1215"/>
      <c r="BQ39" s="761"/>
      <c r="BR39" s="761"/>
      <c r="BS39" s="761"/>
      <c r="BT39" s="761"/>
      <c r="BU39" s="761"/>
      <c r="BV39" s="761"/>
      <c r="BW39" s="761"/>
      <c r="BX39" s="761"/>
      <c r="BY39" s="761"/>
      <c r="BZ39" s="761"/>
      <c r="CA39" s="1216"/>
      <c r="CB39" s="747"/>
      <c r="CC39" s="1222">
        <f>$G39*H39*Variables!$B$53</f>
        <v>0</v>
      </c>
      <c r="CD39" s="1223">
        <f>$G39*I39*Variables!$B$53</f>
        <v>0</v>
      </c>
      <c r="CE39" s="1223">
        <f>$G39*J39*Variables!$B$53</f>
        <v>0</v>
      </c>
      <c r="CF39" s="1223">
        <f>$G39*K39*Variables!$B$53</f>
        <v>0</v>
      </c>
      <c r="CG39" s="1223">
        <f>$G39*L39*Variables!$B$53</f>
        <v>0</v>
      </c>
      <c r="CH39" s="1223">
        <f>$G39*M39*Variables!$B$53</f>
        <v>0</v>
      </c>
      <c r="CI39" s="1223">
        <f>$G39*N39*Variables!$B$53</f>
        <v>0</v>
      </c>
      <c r="CJ39" s="1223">
        <f>$G39*O39*Variables!$B$53</f>
        <v>0</v>
      </c>
      <c r="CK39" s="1223">
        <f>$G39*P39*Variables!$B$53</f>
        <v>0</v>
      </c>
      <c r="CL39" s="1223">
        <f>$G39*Q39*Variables!$B$53</f>
        <v>0</v>
      </c>
      <c r="CM39" s="1223">
        <f>$G39*R39*Variables!$B$53</f>
        <v>0</v>
      </c>
      <c r="CN39" s="1225">
        <f>$G39*S39*Variables!$B$53</f>
        <v>0</v>
      </c>
      <c r="CO39" s="1222">
        <f>$G39*T39*Variables!$B$53*HLOOKUP($CO$2,Variables!$B$60:$F$61,2,FALSE)</f>
        <v>0</v>
      </c>
      <c r="CP39" s="1223">
        <f>$G39*U39*Variables!$B$53*HLOOKUP($CO$2,Variables!$B$60:$F$61,2,FALSE)</f>
        <v>0</v>
      </c>
      <c r="CQ39" s="1223">
        <f>$G39*V39*Variables!$B$53*HLOOKUP($CO$2,Variables!$B$60:$F$61,2,FALSE)</f>
        <v>0</v>
      </c>
      <c r="CR39" s="1223">
        <f>$G39*W39*Variables!$B$53*HLOOKUP($CO$2,Variables!$B$60:$F$61,2,FALSE)</f>
        <v>0</v>
      </c>
      <c r="CS39" s="1223">
        <f>$G39*X39*Variables!$B$53*HLOOKUP($CO$2,Variables!$B$60:$F$61,2,FALSE)</f>
        <v>0</v>
      </c>
      <c r="CT39" s="1223">
        <f>$G39*Y39*Variables!$B$53*HLOOKUP($CO$2,Variables!$B$60:$F$61,2,FALSE)</f>
        <v>0</v>
      </c>
      <c r="CU39" s="1223">
        <f>$G39*Z39*Variables!$B$53*HLOOKUP($CO$2,Variables!$B$60:$F$61,2,FALSE)</f>
        <v>0</v>
      </c>
      <c r="CV39" s="1223">
        <f>$G39*AA39*Variables!$B$53*HLOOKUP($CO$2,Variables!$B$60:$F$61,2,FALSE)</f>
        <v>0</v>
      </c>
      <c r="CW39" s="1223">
        <f>$G39*AB39*Variables!$B$53*HLOOKUP($CO$2,Variables!$B$60:$F$61,2,FALSE)</f>
        <v>0</v>
      </c>
      <c r="CX39" s="1223">
        <f>$G39*AC39*Variables!$B$53*HLOOKUP($CO$2,Variables!$B$60:$F$61,2,FALSE)</f>
        <v>0</v>
      </c>
      <c r="CY39" s="1223">
        <f>$G39*AD39*Variables!$B$53*HLOOKUP($CO$2,Variables!$B$60:$F$61,2,FALSE)</f>
        <v>0</v>
      </c>
      <c r="CZ39" s="1225">
        <f>$G39*AE39*Variables!$B$53*HLOOKUP($CO$2,Variables!$B$60:$F$61,2,FALSE)</f>
        <v>0</v>
      </c>
      <c r="DA39" s="1222">
        <f>$G39*AF39*Variables!$B$53*HLOOKUP($DA$2,Variables!$B$60:$F$61,2,FALSE)</f>
        <v>0</v>
      </c>
      <c r="DB39" s="1223">
        <f>$G39*AG39*Variables!$B$53*HLOOKUP($DA$2,Variables!$B$60:$F$61,2,FALSE)</f>
        <v>0</v>
      </c>
      <c r="DC39" s="1223">
        <f>$G39*AH39*Variables!$B$53*HLOOKUP($DA$2,Variables!$B$60:$F$61,2,FALSE)</f>
        <v>0</v>
      </c>
      <c r="DD39" s="1223">
        <f>$G39*AI39*Variables!$B$53*HLOOKUP($DA$2,Variables!$B$60:$F$61,2,FALSE)</f>
        <v>0</v>
      </c>
      <c r="DE39" s="1223">
        <f>$G39*AJ39*Variables!$B$53*HLOOKUP($DA$2,Variables!$B$60:$F$61,2,FALSE)</f>
        <v>0</v>
      </c>
      <c r="DF39" s="1223">
        <f>$G39*AK39*Variables!$B$53*HLOOKUP($DA$2,Variables!$B$60:$F$61,2,FALSE)</f>
        <v>0</v>
      </c>
      <c r="DG39" s="1223">
        <f>$G39*AL39*Variables!$B$53*HLOOKUP($DA$2,Variables!$B$60:$F$61,2,FALSE)</f>
        <v>0</v>
      </c>
      <c r="DH39" s="1223">
        <f>$G39*AM39*Variables!$B$53*HLOOKUP($DA$2,Variables!$B$60:$F$61,2,FALSE)</f>
        <v>0</v>
      </c>
      <c r="DI39" s="1223">
        <f>$G39*AN39*Variables!$B$53*HLOOKUP($DA$2,Variables!$B$60:$F$61,2,FALSE)</f>
        <v>0</v>
      </c>
      <c r="DJ39" s="1223">
        <f>$G39*AO39*Variables!$B$53*HLOOKUP($DA$2,Variables!$B$60:$F$61,2,FALSE)</f>
        <v>0</v>
      </c>
      <c r="DK39" s="1223">
        <f>$G39*AP39*Variables!$B$53*HLOOKUP($DA$2,Variables!$B$60:$F$61,2,FALSE)</f>
        <v>0</v>
      </c>
      <c r="DL39" s="1225">
        <f>$G39*AQ39*Variables!$B$53*HLOOKUP($DA$2,Variables!$B$60:$F$61,2,FALSE)</f>
        <v>0</v>
      </c>
      <c r="DM39" s="1222">
        <f>$G39*AR39*Variables!$B$53*HLOOKUP($DM$2,Variables!$B$60:$F$61,2,FALSE)</f>
        <v>0</v>
      </c>
      <c r="DN39" s="1223">
        <f>$G39*AS39*Variables!$B$53*HLOOKUP($DM$2,Variables!$B$60:$F$61,2,FALSE)</f>
        <v>0</v>
      </c>
      <c r="DO39" s="1223">
        <f>$G39*AT39*Variables!$B$53*HLOOKUP($DM$2,Variables!$B$60:$F$61,2,FALSE)</f>
        <v>0</v>
      </c>
      <c r="DP39" s="1223">
        <f>$G39*AU39*Variables!$B$53*HLOOKUP($DM$2,Variables!$B$60:$F$61,2,FALSE)</f>
        <v>0</v>
      </c>
      <c r="DQ39" s="1223">
        <f>$G39*AV39*Variables!$B$53*HLOOKUP($DM$2,Variables!$B$60:$F$61,2,FALSE)</f>
        <v>0</v>
      </c>
      <c r="DR39" s="1223">
        <f>$G39*AW39*Variables!$B$53*HLOOKUP($DM$2,Variables!$B$60:$F$61,2,FALSE)</f>
        <v>0</v>
      </c>
      <c r="DS39" s="1223">
        <f>$G39*AX39*Variables!$B$53*HLOOKUP($DM$2,Variables!$B$60:$F$61,2,FALSE)</f>
        <v>0</v>
      </c>
      <c r="DT39" s="1223">
        <f>$G39*AY39*Variables!$B$53*HLOOKUP($DM$2,Variables!$B$60:$F$61,2,FALSE)</f>
        <v>0</v>
      </c>
      <c r="DU39" s="1223">
        <f>$G39*AZ39*Variables!$B$53*HLOOKUP($DM$2,Variables!$B$60:$F$61,2,FALSE)</f>
        <v>0</v>
      </c>
      <c r="DV39" s="1223">
        <f>$G39*BA39*Variables!$B$53*HLOOKUP($DM$2,Variables!$B$60:$F$61,2,FALSE)</f>
        <v>0</v>
      </c>
      <c r="DW39" s="1223">
        <f>$G39*BB39*Variables!$B$53*HLOOKUP($DM$2,Variables!$B$60:$F$61,2,FALSE)</f>
        <v>0</v>
      </c>
      <c r="DX39" s="1225">
        <f>$G39*BC39*Variables!$B$53*HLOOKUP($DM$2,Variables!$B$60:$F$61,2,FALSE)</f>
        <v>0</v>
      </c>
      <c r="DY39" s="1222">
        <f>$G39*BD39*Variables!$B$53*HLOOKUP($DY$2,Variables!$B$60:$F$61,2,FALSE)</f>
        <v>0</v>
      </c>
      <c r="DZ39" s="1223">
        <f>$G39*BE39*Variables!$B$53*HLOOKUP($DY$2,Variables!$B$60:$F$61,2,FALSE)</f>
        <v>0</v>
      </c>
      <c r="EA39" s="1223">
        <f>$G39*BF39*Variables!$B$53*HLOOKUP($DY$2,Variables!$B$60:$F$61,2,FALSE)</f>
        <v>0</v>
      </c>
      <c r="EB39" s="1223">
        <f>$G39*BG39*Variables!$B$53*HLOOKUP($DY$2,Variables!$B$60:$F$61,2,FALSE)</f>
        <v>0</v>
      </c>
      <c r="EC39" s="1223">
        <f>$G39*BH39*Variables!$B$53*HLOOKUP($DY$2,Variables!$B$60:$F$61,2,FALSE)</f>
        <v>0</v>
      </c>
      <c r="ED39" s="1223">
        <f>$G39*BI39*Variables!$B$53*HLOOKUP($DY$2,Variables!$B$60:$F$61,2,FALSE)</f>
        <v>0</v>
      </c>
      <c r="EE39" s="1223">
        <f>$G39*BJ39*Variables!$B$53*HLOOKUP($DY$2,Variables!$B$60:$F$61,2,FALSE)</f>
        <v>0</v>
      </c>
      <c r="EF39" s="1223">
        <f>$G39*BK39*Variables!$B$53*HLOOKUP($DY$2,Variables!$B$60:$F$61,2,FALSE)</f>
        <v>0</v>
      </c>
      <c r="EG39" s="1223">
        <f>$G39*BL39*Variables!$B$53*HLOOKUP($DY$2,Variables!$B$60:$F$61,2,FALSE)</f>
        <v>0</v>
      </c>
      <c r="EH39" s="1223">
        <f>$G39*BM39*Variables!$B$53*HLOOKUP($DY$2,Variables!$B$60:$F$61,2,FALSE)</f>
        <v>0</v>
      </c>
      <c r="EI39" s="1223">
        <f>$G39*BN39*Variables!$B$53*HLOOKUP($DY$2,Variables!$B$60:$F$61,2,FALSE)</f>
        <v>0</v>
      </c>
      <c r="EJ39" s="1225">
        <f>$G39*BO39*Variables!$B$53*HLOOKUP($DY$2,Variables!$B$60:$F$61,2,FALSE)</f>
        <v>0</v>
      </c>
      <c r="EK39" s="1222">
        <f>$G39*BP39*Variables!$B$53*HLOOKUP($EK$2,Variables!$B$60:$F$61,2,FALSE)</f>
        <v>0</v>
      </c>
      <c r="EL39" s="1223">
        <f>$G39*BQ39*Variables!$B$53*HLOOKUP($EK$2,Variables!$B$60:$F$61,2,FALSE)</f>
        <v>0</v>
      </c>
      <c r="EM39" s="1223">
        <f>$G39*BR39*Variables!$B$53*HLOOKUP($EK$2,Variables!$B$60:$F$61,2,FALSE)</f>
        <v>0</v>
      </c>
      <c r="EN39" s="1223">
        <f>$G39*BS39*Variables!$B$53*HLOOKUP($EK$2,Variables!$B$60:$F$61,2,FALSE)</f>
        <v>0</v>
      </c>
      <c r="EO39" s="1223">
        <f>$G39*BT39*Variables!$B$53*HLOOKUP($EK$2,Variables!$B$60:$F$61,2,FALSE)</f>
        <v>0</v>
      </c>
      <c r="EP39" s="1223">
        <f>$G39*BU39*Variables!$B$53*HLOOKUP($EK$2,Variables!$B$60:$F$61,2,FALSE)</f>
        <v>0</v>
      </c>
      <c r="EQ39" s="1223">
        <f>$G39*BV39*Variables!$B$53*HLOOKUP($EK$2,Variables!$B$60:$F$61,2,FALSE)</f>
        <v>0</v>
      </c>
      <c r="ER39" s="1223">
        <f>$G39*BW39*Variables!$B$53*HLOOKUP($EK$2,Variables!$B$60:$F$61,2,FALSE)</f>
        <v>0</v>
      </c>
      <c r="ES39" s="1223">
        <f>$G39*BX39*Variables!$B$53*HLOOKUP($EK$2,Variables!$B$60:$F$61,2,FALSE)</f>
        <v>0</v>
      </c>
      <c r="ET39" s="1223">
        <f>$G39*BY39*Variables!$B$53*HLOOKUP($EK$2,Variables!$B$60:$F$61,2,FALSE)</f>
        <v>0</v>
      </c>
      <c r="EU39" s="1223">
        <f>$G39*BZ39*Variables!$B$53*HLOOKUP($EK$2,Variables!$B$60:$F$61,2,FALSE)</f>
        <v>0</v>
      </c>
      <c r="EV39" s="1225">
        <f>$G39*CA39*Variables!$B$53*HLOOKUP($EK$2,Variables!$B$60:$F$61,2,FALSE)</f>
        <v>0</v>
      </c>
      <c r="EW39" s="872">
        <f t="shared" si="6"/>
        <v>0</v>
      </c>
      <c r="EX39" s="872"/>
      <c r="EY39" s="872"/>
      <c r="EZ39" s="872"/>
      <c r="FA39" s="1332"/>
      <c r="FC39" s="958" t="str">
        <f t="shared" si="8"/>
        <v/>
      </c>
      <c r="FD39" s="959" t="str">
        <f t="shared" si="9"/>
        <v/>
      </c>
      <c r="FE39" s="959" t="s">
        <v>8407</v>
      </c>
      <c r="FF39" s="959" t="str">
        <f>IF(ISNA(VLOOKUP(FC39,Miscellaneous!E:F,2,0)),"",VLOOKUP(FC39,Miscellaneous!E:F,2,0))</f>
        <v/>
      </c>
      <c r="FG39" s="959" t="str">
        <f t="shared" si="10"/>
        <v/>
      </c>
      <c r="FH39" s="996">
        <f>IF($FG39="Opex",SUMIF('Monthly Summary'!$C$75:$N$75,"",CC39:CN39),SUMIF('Monthly Summary'!$C$74:$N$74,"",CC39:CN39))</f>
        <v>0</v>
      </c>
      <c r="FI39" s="996">
        <f>IF($FG39="Opex",SUMIF('Monthly Summary'!$O$75:$Z$75,"",CO39:CZ39),SUMIF('Monthly Summary'!$O$74:$Z$74,"",CO39:CZ39))</f>
        <v>0</v>
      </c>
      <c r="FJ39" s="996">
        <f>IF($FG39="Opex",SUMIF('Monthly Summary'!$AA$75:$AL$75,"",DA39:DL39),SUMIF('Monthly Summary'!$AA$74:$AL$74,"",DA39:DL39))</f>
        <v>0</v>
      </c>
      <c r="FK39" s="996">
        <f>IF($FG39="Opex",SUMIF('Monthly Summary'!$AM$75:$AX$75,"",DM39:DX39),SUMIF('Monthly Summary'!$AM$74:$AX$74,"",DM39:DX39))</f>
        <v>0</v>
      </c>
      <c r="FL39" s="996">
        <f>IF($FG39="Opex",SUMIF('Monthly Summary'!$AY$75:$BJ$75,"",DY39:EJ39),SUMIF('Monthly Summary'!$AY$74:$BJ$74,"",DY39:EJ39))</f>
        <v>0</v>
      </c>
      <c r="FM39" s="997">
        <f>IF($FG39="Opex",SUMIF('Monthly Summary'!$BK$75:$BV$75,"",EK39:EV39),SUMIF('Monthly Summary'!$BK$74:$BV$74,"",EK39:EV39))</f>
        <v>0</v>
      </c>
      <c r="FN39" s="997">
        <f t="shared" si="7"/>
        <v>0</v>
      </c>
    </row>
    <row r="40" spans="3:170">
      <c r="C40" s="757"/>
      <c r="D40" s="757"/>
      <c r="E40" s="758"/>
      <c r="F40" s="758"/>
      <c r="G40" s="758"/>
      <c r="H40" s="1215"/>
      <c r="I40" s="761"/>
      <c r="J40" s="761"/>
      <c r="K40" s="761"/>
      <c r="L40" s="761"/>
      <c r="M40" s="761"/>
      <c r="N40" s="761"/>
      <c r="O40" s="761"/>
      <c r="P40" s="761"/>
      <c r="Q40" s="761"/>
      <c r="R40" s="761"/>
      <c r="S40" s="1216"/>
      <c r="T40" s="1215"/>
      <c r="U40" s="761"/>
      <c r="V40" s="761"/>
      <c r="W40" s="761"/>
      <c r="X40" s="761"/>
      <c r="Y40" s="761"/>
      <c r="Z40" s="761"/>
      <c r="AA40" s="761"/>
      <c r="AB40" s="761"/>
      <c r="AC40" s="761"/>
      <c r="AD40" s="761"/>
      <c r="AE40" s="1216"/>
      <c r="AF40" s="1215"/>
      <c r="AG40" s="761"/>
      <c r="AH40" s="761"/>
      <c r="AI40" s="761"/>
      <c r="AJ40" s="761"/>
      <c r="AK40" s="761"/>
      <c r="AL40" s="761"/>
      <c r="AM40" s="761"/>
      <c r="AN40" s="761"/>
      <c r="AO40" s="761"/>
      <c r="AP40" s="761"/>
      <c r="AQ40" s="1216"/>
      <c r="AR40" s="1215"/>
      <c r="AS40" s="761"/>
      <c r="AT40" s="761"/>
      <c r="AU40" s="761"/>
      <c r="AV40" s="761"/>
      <c r="AW40" s="761"/>
      <c r="AX40" s="761"/>
      <c r="AY40" s="761"/>
      <c r="AZ40" s="761"/>
      <c r="BA40" s="761"/>
      <c r="BB40" s="761"/>
      <c r="BC40" s="1216"/>
      <c r="BD40" s="1215"/>
      <c r="BE40" s="761"/>
      <c r="BF40" s="761"/>
      <c r="BG40" s="761"/>
      <c r="BH40" s="761"/>
      <c r="BI40" s="761"/>
      <c r="BJ40" s="761"/>
      <c r="BK40" s="761"/>
      <c r="BL40" s="761"/>
      <c r="BM40" s="761"/>
      <c r="BN40" s="761"/>
      <c r="BO40" s="1216"/>
      <c r="BP40" s="1215"/>
      <c r="BQ40" s="761"/>
      <c r="BR40" s="761"/>
      <c r="BS40" s="761"/>
      <c r="BT40" s="761"/>
      <c r="BU40" s="761"/>
      <c r="BV40" s="761"/>
      <c r="BW40" s="761"/>
      <c r="BX40" s="761"/>
      <c r="BY40" s="761"/>
      <c r="BZ40" s="761"/>
      <c r="CA40" s="1216"/>
      <c r="CB40" s="747"/>
      <c r="CC40" s="1222">
        <f>$G40*H40*Variables!$B$53</f>
        <v>0</v>
      </c>
      <c r="CD40" s="1223">
        <f>$G40*I40*Variables!$B$53</f>
        <v>0</v>
      </c>
      <c r="CE40" s="1223">
        <f>$G40*J40*Variables!$B$53</f>
        <v>0</v>
      </c>
      <c r="CF40" s="1223">
        <f>$G40*K40*Variables!$B$53</f>
        <v>0</v>
      </c>
      <c r="CG40" s="1223">
        <f>$G40*L40*Variables!$B$53</f>
        <v>0</v>
      </c>
      <c r="CH40" s="1223">
        <f>$G40*M40*Variables!$B$53</f>
        <v>0</v>
      </c>
      <c r="CI40" s="1223">
        <f>$G40*N40*Variables!$B$53</f>
        <v>0</v>
      </c>
      <c r="CJ40" s="1223">
        <f>$G40*O40*Variables!$B$53</f>
        <v>0</v>
      </c>
      <c r="CK40" s="1223">
        <f>$G40*P40*Variables!$B$53</f>
        <v>0</v>
      </c>
      <c r="CL40" s="1223">
        <f>$G40*Q40*Variables!$B$53</f>
        <v>0</v>
      </c>
      <c r="CM40" s="1223">
        <f>$G40*R40*Variables!$B$53</f>
        <v>0</v>
      </c>
      <c r="CN40" s="1225">
        <f>$G40*S40*Variables!$B$53</f>
        <v>0</v>
      </c>
      <c r="CO40" s="1222">
        <f>$G40*T40*Variables!$B$53*HLOOKUP($CO$2,Variables!$B$60:$F$61,2,FALSE)</f>
        <v>0</v>
      </c>
      <c r="CP40" s="1223">
        <f>$G40*U40*Variables!$B$53*HLOOKUP($CO$2,Variables!$B$60:$F$61,2,FALSE)</f>
        <v>0</v>
      </c>
      <c r="CQ40" s="1223">
        <f>$G40*V40*Variables!$B$53*HLOOKUP($CO$2,Variables!$B$60:$F$61,2,FALSE)</f>
        <v>0</v>
      </c>
      <c r="CR40" s="1223">
        <f>$G40*W40*Variables!$B$53*HLOOKUP($CO$2,Variables!$B$60:$F$61,2,FALSE)</f>
        <v>0</v>
      </c>
      <c r="CS40" s="1223">
        <f>$G40*X40*Variables!$B$53*HLOOKUP($CO$2,Variables!$B$60:$F$61,2,FALSE)</f>
        <v>0</v>
      </c>
      <c r="CT40" s="1223">
        <f>$G40*Y40*Variables!$B$53*HLOOKUP($CO$2,Variables!$B$60:$F$61,2,FALSE)</f>
        <v>0</v>
      </c>
      <c r="CU40" s="1223">
        <f>$G40*Z40*Variables!$B$53*HLOOKUP($CO$2,Variables!$B$60:$F$61,2,FALSE)</f>
        <v>0</v>
      </c>
      <c r="CV40" s="1223">
        <f>$G40*AA40*Variables!$B$53*HLOOKUP($CO$2,Variables!$B$60:$F$61,2,FALSE)</f>
        <v>0</v>
      </c>
      <c r="CW40" s="1223">
        <f>$G40*AB40*Variables!$B$53*HLOOKUP($CO$2,Variables!$B$60:$F$61,2,FALSE)</f>
        <v>0</v>
      </c>
      <c r="CX40" s="1223">
        <f>$G40*AC40*Variables!$B$53*HLOOKUP($CO$2,Variables!$B$60:$F$61,2,FALSE)</f>
        <v>0</v>
      </c>
      <c r="CY40" s="1223">
        <f>$G40*AD40*Variables!$B$53*HLOOKUP($CO$2,Variables!$B$60:$F$61,2,FALSE)</f>
        <v>0</v>
      </c>
      <c r="CZ40" s="1225">
        <f>$G40*AE40*Variables!$B$53*HLOOKUP($CO$2,Variables!$B$60:$F$61,2,FALSE)</f>
        <v>0</v>
      </c>
      <c r="DA40" s="1222">
        <f>$G40*AF40*Variables!$B$53*HLOOKUP($DA$2,Variables!$B$60:$F$61,2,FALSE)</f>
        <v>0</v>
      </c>
      <c r="DB40" s="1223">
        <f>$G40*AG40*Variables!$B$53*HLOOKUP($DA$2,Variables!$B$60:$F$61,2,FALSE)</f>
        <v>0</v>
      </c>
      <c r="DC40" s="1223">
        <f>$G40*AH40*Variables!$B$53*HLOOKUP($DA$2,Variables!$B$60:$F$61,2,FALSE)</f>
        <v>0</v>
      </c>
      <c r="DD40" s="1223">
        <f>$G40*AI40*Variables!$B$53*HLOOKUP($DA$2,Variables!$B$60:$F$61,2,FALSE)</f>
        <v>0</v>
      </c>
      <c r="DE40" s="1223">
        <f>$G40*AJ40*Variables!$B$53*HLOOKUP($DA$2,Variables!$B$60:$F$61,2,FALSE)</f>
        <v>0</v>
      </c>
      <c r="DF40" s="1223">
        <f>$G40*AK40*Variables!$B$53*HLOOKUP($DA$2,Variables!$B$60:$F$61,2,FALSE)</f>
        <v>0</v>
      </c>
      <c r="DG40" s="1223">
        <f>$G40*AL40*Variables!$B$53*HLOOKUP($DA$2,Variables!$B$60:$F$61,2,FALSE)</f>
        <v>0</v>
      </c>
      <c r="DH40" s="1223">
        <f>$G40*AM40*Variables!$B$53*HLOOKUP($DA$2,Variables!$B$60:$F$61,2,FALSE)</f>
        <v>0</v>
      </c>
      <c r="DI40" s="1223">
        <f>$G40*AN40*Variables!$B$53*HLOOKUP($DA$2,Variables!$B$60:$F$61,2,FALSE)</f>
        <v>0</v>
      </c>
      <c r="DJ40" s="1223">
        <f>$G40*AO40*Variables!$B$53*HLOOKUP($DA$2,Variables!$B$60:$F$61,2,FALSE)</f>
        <v>0</v>
      </c>
      <c r="DK40" s="1223">
        <f>$G40*AP40*Variables!$B$53*HLOOKUP($DA$2,Variables!$B$60:$F$61,2,FALSE)</f>
        <v>0</v>
      </c>
      <c r="DL40" s="1225">
        <f>$G40*AQ40*Variables!$B$53*HLOOKUP($DA$2,Variables!$B$60:$F$61,2,FALSE)</f>
        <v>0</v>
      </c>
      <c r="DM40" s="1222">
        <f>$G40*AR40*Variables!$B$53*HLOOKUP($DM$2,Variables!$B$60:$F$61,2,FALSE)</f>
        <v>0</v>
      </c>
      <c r="DN40" s="1223">
        <f>$G40*AS40*Variables!$B$53*HLOOKUP($DM$2,Variables!$B$60:$F$61,2,FALSE)</f>
        <v>0</v>
      </c>
      <c r="DO40" s="1223">
        <f>$G40*AT40*Variables!$B$53*HLOOKUP($DM$2,Variables!$B$60:$F$61,2,FALSE)</f>
        <v>0</v>
      </c>
      <c r="DP40" s="1223">
        <f>$G40*AU40*Variables!$B$53*HLOOKUP($DM$2,Variables!$B$60:$F$61,2,FALSE)</f>
        <v>0</v>
      </c>
      <c r="DQ40" s="1223">
        <f>$G40*AV40*Variables!$B$53*HLOOKUP($DM$2,Variables!$B$60:$F$61,2,FALSE)</f>
        <v>0</v>
      </c>
      <c r="DR40" s="1223">
        <f>$G40*AW40*Variables!$B$53*HLOOKUP($DM$2,Variables!$B$60:$F$61,2,FALSE)</f>
        <v>0</v>
      </c>
      <c r="DS40" s="1223">
        <f>$G40*AX40*Variables!$B$53*HLOOKUP($DM$2,Variables!$B$60:$F$61,2,FALSE)</f>
        <v>0</v>
      </c>
      <c r="DT40" s="1223">
        <f>$G40*AY40*Variables!$B$53*HLOOKUP($DM$2,Variables!$B$60:$F$61,2,FALSE)</f>
        <v>0</v>
      </c>
      <c r="DU40" s="1223">
        <f>$G40*AZ40*Variables!$B$53*HLOOKUP($DM$2,Variables!$B$60:$F$61,2,FALSE)</f>
        <v>0</v>
      </c>
      <c r="DV40" s="1223">
        <f>$G40*BA40*Variables!$B$53*HLOOKUP($DM$2,Variables!$B$60:$F$61,2,FALSE)</f>
        <v>0</v>
      </c>
      <c r="DW40" s="1223">
        <f>$G40*BB40*Variables!$B$53*HLOOKUP($DM$2,Variables!$B$60:$F$61,2,FALSE)</f>
        <v>0</v>
      </c>
      <c r="DX40" s="1225">
        <f>$G40*BC40*Variables!$B$53*HLOOKUP($DM$2,Variables!$B$60:$F$61,2,FALSE)</f>
        <v>0</v>
      </c>
      <c r="DY40" s="1222">
        <f>$G40*BD40*Variables!$B$53*HLOOKUP($DY$2,Variables!$B$60:$F$61,2,FALSE)</f>
        <v>0</v>
      </c>
      <c r="DZ40" s="1223">
        <f>$G40*BE40*Variables!$B$53*HLOOKUP($DY$2,Variables!$B$60:$F$61,2,FALSE)</f>
        <v>0</v>
      </c>
      <c r="EA40" s="1223">
        <f>$G40*BF40*Variables!$B$53*HLOOKUP($DY$2,Variables!$B$60:$F$61,2,FALSE)</f>
        <v>0</v>
      </c>
      <c r="EB40" s="1223">
        <f>$G40*BG40*Variables!$B$53*HLOOKUP($DY$2,Variables!$B$60:$F$61,2,FALSE)</f>
        <v>0</v>
      </c>
      <c r="EC40" s="1223">
        <f>$G40*BH40*Variables!$B$53*HLOOKUP($DY$2,Variables!$B$60:$F$61,2,FALSE)</f>
        <v>0</v>
      </c>
      <c r="ED40" s="1223">
        <f>$G40*BI40*Variables!$B$53*HLOOKUP($DY$2,Variables!$B$60:$F$61,2,FALSE)</f>
        <v>0</v>
      </c>
      <c r="EE40" s="1223">
        <f>$G40*BJ40*Variables!$B$53*HLOOKUP($DY$2,Variables!$B$60:$F$61,2,FALSE)</f>
        <v>0</v>
      </c>
      <c r="EF40" s="1223">
        <f>$G40*BK40*Variables!$B$53*HLOOKUP($DY$2,Variables!$B$60:$F$61,2,FALSE)</f>
        <v>0</v>
      </c>
      <c r="EG40" s="1223">
        <f>$G40*BL40*Variables!$B$53*HLOOKUP($DY$2,Variables!$B$60:$F$61,2,FALSE)</f>
        <v>0</v>
      </c>
      <c r="EH40" s="1223">
        <f>$G40*BM40*Variables!$B$53*HLOOKUP($DY$2,Variables!$B$60:$F$61,2,FALSE)</f>
        <v>0</v>
      </c>
      <c r="EI40" s="1223">
        <f>$G40*BN40*Variables!$B$53*HLOOKUP($DY$2,Variables!$B$60:$F$61,2,FALSE)</f>
        <v>0</v>
      </c>
      <c r="EJ40" s="1225">
        <f>$G40*BO40*Variables!$B$53*HLOOKUP($DY$2,Variables!$B$60:$F$61,2,FALSE)</f>
        <v>0</v>
      </c>
      <c r="EK40" s="1222">
        <f>$G40*BP40*Variables!$B$53*HLOOKUP($EK$2,Variables!$B$60:$F$61,2,FALSE)</f>
        <v>0</v>
      </c>
      <c r="EL40" s="1223">
        <f>$G40*BQ40*Variables!$B$53*HLOOKUP($EK$2,Variables!$B$60:$F$61,2,FALSE)</f>
        <v>0</v>
      </c>
      <c r="EM40" s="1223">
        <f>$G40*BR40*Variables!$B$53*HLOOKUP($EK$2,Variables!$B$60:$F$61,2,FALSE)</f>
        <v>0</v>
      </c>
      <c r="EN40" s="1223">
        <f>$G40*BS40*Variables!$B$53*HLOOKUP($EK$2,Variables!$B$60:$F$61,2,FALSE)</f>
        <v>0</v>
      </c>
      <c r="EO40" s="1223">
        <f>$G40*BT40*Variables!$B$53*HLOOKUP($EK$2,Variables!$B$60:$F$61,2,FALSE)</f>
        <v>0</v>
      </c>
      <c r="EP40" s="1223">
        <f>$G40*BU40*Variables!$B$53*HLOOKUP($EK$2,Variables!$B$60:$F$61,2,FALSE)</f>
        <v>0</v>
      </c>
      <c r="EQ40" s="1223">
        <f>$G40*BV40*Variables!$B$53*HLOOKUP($EK$2,Variables!$B$60:$F$61,2,FALSE)</f>
        <v>0</v>
      </c>
      <c r="ER40" s="1223">
        <f>$G40*BW40*Variables!$B$53*HLOOKUP($EK$2,Variables!$B$60:$F$61,2,FALSE)</f>
        <v>0</v>
      </c>
      <c r="ES40" s="1223">
        <f>$G40*BX40*Variables!$B$53*HLOOKUP($EK$2,Variables!$B$60:$F$61,2,FALSE)</f>
        <v>0</v>
      </c>
      <c r="ET40" s="1223">
        <f>$G40*BY40*Variables!$B$53*HLOOKUP($EK$2,Variables!$B$60:$F$61,2,FALSE)</f>
        <v>0</v>
      </c>
      <c r="EU40" s="1223">
        <f>$G40*BZ40*Variables!$B$53*HLOOKUP($EK$2,Variables!$B$60:$F$61,2,FALSE)</f>
        <v>0</v>
      </c>
      <c r="EV40" s="1225">
        <f>$G40*CA40*Variables!$B$53*HLOOKUP($EK$2,Variables!$B$60:$F$61,2,FALSE)</f>
        <v>0</v>
      </c>
      <c r="EW40" s="872">
        <f t="shared" si="6"/>
        <v>0</v>
      </c>
      <c r="EX40" s="872"/>
      <c r="EY40" s="872"/>
      <c r="EZ40" s="872"/>
      <c r="FA40" s="1332"/>
      <c r="FC40" s="958" t="str">
        <f t="shared" si="8"/>
        <v/>
      </c>
      <c r="FD40" s="959" t="str">
        <f t="shared" si="9"/>
        <v/>
      </c>
      <c r="FE40" s="959" t="s">
        <v>8407</v>
      </c>
      <c r="FF40" s="959" t="str">
        <f>IF(ISNA(VLOOKUP(FC40,Miscellaneous!E:F,2,0)),"",VLOOKUP(FC40,Miscellaneous!E:F,2,0))</f>
        <v/>
      </c>
      <c r="FG40" s="959" t="str">
        <f t="shared" si="10"/>
        <v/>
      </c>
      <c r="FH40" s="996">
        <f>IF($FG40="Opex",SUMIF('Monthly Summary'!$C$75:$N$75,"",CC40:CN40),SUMIF('Monthly Summary'!$C$74:$N$74,"",CC40:CN40))</f>
        <v>0</v>
      </c>
      <c r="FI40" s="996">
        <f>IF($FG40="Opex",SUMIF('Monthly Summary'!$O$75:$Z$75,"",CO40:CZ40),SUMIF('Monthly Summary'!$O$74:$Z$74,"",CO40:CZ40))</f>
        <v>0</v>
      </c>
      <c r="FJ40" s="996">
        <f>IF($FG40="Opex",SUMIF('Monthly Summary'!$AA$75:$AL$75,"",DA40:DL40),SUMIF('Monthly Summary'!$AA$74:$AL$74,"",DA40:DL40))</f>
        <v>0</v>
      </c>
      <c r="FK40" s="996">
        <f>IF($FG40="Opex",SUMIF('Monthly Summary'!$AM$75:$AX$75,"",DM40:DX40),SUMIF('Monthly Summary'!$AM$74:$AX$74,"",DM40:DX40))</f>
        <v>0</v>
      </c>
      <c r="FL40" s="996">
        <f>IF($FG40="Opex",SUMIF('Monthly Summary'!$AY$75:$BJ$75,"",DY40:EJ40),SUMIF('Monthly Summary'!$AY$74:$BJ$74,"",DY40:EJ40))</f>
        <v>0</v>
      </c>
      <c r="FM40" s="997">
        <f>IF($FG40="Opex",SUMIF('Monthly Summary'!$BK$75:$BV$75,"",EK40:EV40),SUMIF('Monthly Summary'!$BK$74:$BV$74,"",EK40:EV40))</f>
        <v>0</v>
      </c>
      <c r="FN40" s="997">
        <f t="shared" si="7"/>
        <v>0</v>
      </c>
    </row>
    <row r="41" spans="3:170">
      <c r="C41" s="757"/>
      <c r="D41" s="757"/>
      <c r="E41" s="758"/>
      <c r="F41" s="758"/>
      <c r="G41" s="758"/>
      <c r="H41" s="1215"/>
      <c r="I41" s="761"/>
      <c r="J41" s="761"/>
      <c r="K41" s="761"/>
      <c r="L41" s="761"/>
      <c r="M41" s="761"/>
      <c r="N41" s="761"/>
      <c r="O41" s="761"/>
      <c r="P41" s="761"/>
      <c r="Q41" s="761"/>
      <c r="R41" s="761"/>
      <c r="S41" s="1216"/>
      <c r="T41" s="1215"/>
      <c r="U41" s="761"/>
      <c r="V41" s="761"/>
      <c r="W41" s="761"/>
      <c r="X41" s="761"/>
      <c r="Y41" s="761"/>
      <c r="Z41" s="761"/>
      <c r="AA41" s="761"/>
      <c r="AB41" s="761"/>
      <c r="AC41" s="761"/>
      <c r="AD41" s="761"/>
      <c r="AE41" s="1216"/>
      <c r="AF41" s="1215"/>
      <c r="AG41" s="761"/>
      <c r="AH41" s="761"/>
      <c r="AI41" s="761"/>
      <c r="AJ41" s="761"/>
      <c r="AK41" s="761"/>
      <c r="AL41" s="761"/>
      <c r="AM41" s="761"/>
      <c r="AN41" s="761"/>
      <c r="AO41" s="761"/>
      <c r="AP41" s="761"/>
      <c r="AQ41" s="1216"/>
      <c r="AR41" s="1215"/>
      <c r="AS41" s="761"/>
      <c r="AT41" s="761"/>
      <c r="AU41" s="761"/>
      <c r="AV41" s="761"/>
      <c r="AW41" s="761"/>
      <c r="AX41" s="761"/>
      <c r="AY41" s="761"/>
      <c r="AZ41" s="761"/>
      <c r="BA41" s="761"/>
      <c r="BB41" s="761"/>
      <c r="BC41" s="1216"/>
      <c r="BD41" s="1215"/>
      <c r="BE41" s="761"/>
      <c r="BF41" s="761"/>
      <c r="BG41" s="761"/>
      <c r="BH41" s="761"/>
      <c r="BI41" s="761"/>
      <c r="BJ41" s="761"/>
      <c r="BK41" s="761"/>
      <c r="BL41" s="761"/>
      <c r="BM41" s="761"/>
      <c r="BN41" s="761"/>
      <c r="BO41" s="1216"/>
      <c r="BP41" s="1215"/>
      <c r="BQ41" s="761"/>
      <c r="BR41" s="761"/>
      <c r="BS41" s="761"/>
      <c r="BT41" s="761"/>
      <c r="BU41" s="761"/>
      <c r="BV41" s="761"/>
      <c r="BW41" s="761"/>
      <c r="BX41" s="761"/>
      <c r="BY41" s="761"/>
      <c r="BZ41" s="761"/>
      <c r="CA41" s="1216"/>
      <c r="CB41" s="747"/>
      <c r="CC41" s="1222">
        <f>$G41*H41*Variables!$B$53</f>
        <v>0</v>
      </c>
      <c r="CD41" s="1223">
        <f>$G41*I41*Variables!$B$53</f>
        <v>0</v>
      </c>
      <c r="CE41" s="1223">
        <f>$G41*J41*Variables!$B$53</f>
        <v>0</v>
      </c>
      <c r="CF41" s="1223">
        <f>$G41*K41*Variables!$B$53</f>
        <v>0</v>
      </c>
      <c r="CG41" s="1223">
        <f>$G41*L41*Variables!$B$53</f>
        <v>0</v>
      </c>
      <c r="CH41" s="1223">
        <f>$G41*M41*Variables!$B$53</f>
        <v>0</v>
      </c>
      <c r="CI41" s="1223">
        <f>$G41*N41*Variables!$B$53</f>
        <v>0</v>
      </c>
      <c r="CJ41" s="1223">
        <f>$G41*O41*Variables!$B$53</f>
        <v>0</v>
      </c>
      <c r="CK41" s="1223">
        <f>$G41*P41*Variables!$B$53</f>
        <v>0</v>
      </c>
      <c r="CL41" s="1223">
        <f>$G41*Q41*Variables!$B$53</f>
        <v>0</v>
      </c>
      <c r="CM41" s="1223">
        <f>$G41*R41*Variables!$B$53</f>
        <v>0</v>
      </c>
      <c r="CN41" s="1225">
        <f>$G41*S41*Variables!$B$53</f>
        <v>0</v>
      </c>
      <c r="CO41" s="1222">
        <f>$G41*T41*Variables!$B$53*HLOOKUP($CO$2,Variables!$B$60:$F$61,2,FALSE)</f>
        <v>0</v>
      </c>
      <c r="CP41" s="1223">
        <f>$G41*U41*Variables!$B$53*HLOOKUP($CO$2,Variables!$B$60:$F$61,2,FALSE)</f>
        <v>0</v>
      </c>
      <c r="CQ41" s="1223">
        <f>$G41*V41*Variables!$B$53*HLOOKUP($CO$2,Variables!$B$60:$F$61,2,FALSE)</f>
        <v>0</v>
      </c>
      <c r="CR41" s="1223">
        <f>$G41*W41*Variables!$B$53*HLOOKUP($CO$2,Variables!$B$60:$F$61,2,FALSE)</f>
        <v>0</v>
      </c>
      <c r="CS41" s="1223">
        <f>$G41*X41*Variables!$B$53*HLOOKUP($CO$2,Variables!$B$60:$F$61,2,FALSE)</f>
        <v>0</v>
      </c>
      <c r="CT41" s="1223">
        <f>$G41*Y41*Variables!$B$53*HLOOKUP($CO$2,Variables!$B$60:$F$61,2,FALSE)</f>
        <v>0</v>
      </c>
      <c r="CU41" s="1223">
        <f>$G41*Z41*Variables!$B$53*HLOOKUP($CO$2,Variables!$B$60:$F$61,2,FALSE)</f>
        <v>0</v>
      </c>
      <c r="CV41" s="1223">
        <f>$G41*AA41*Variables!$B$53*HLOOKUP($CO$2,Variables!$B$60:$F$61,2,FALSE)</f>
        <v>0</v>
      </c>
      <c r="CW41" s="1223">
        <f>$G41*AB41*Variables!$B$53*HLOOKUP($CO$2,Variables!$B$60:$F$61,2,FALSE)</f>
        <v>0</v>
      </c>
      <c r="CX41" s="1223">
        <f>$G41*AC41*Variables!$B$53*HLOOKUP($CO$2,Variables!$B$60:$F$61,2,FALSE)</f>
        <v>0</v>
      </c>
      <c r="CY41" s="1223">
        <f>$G41*AD41*Variables!$B$53*HLOOKUP($CO$2,Variables!$B$60:$F$61,2,FALSE)</f>
        <v>0</v>
      </c>
      <c r="CZ41" s="1225">
        <f>$G41*AE41*Variables!$B$53*HLOOKUP($CO$2,Variables!$B$60:$F$61,2,FALSE)</f>
        <v>0</v>
      </c>
      <c r="DA41" s="1222">
        <f>$G41*AF41*Variables!$B$53*HLOOKUP($DA$2,Variables!$B$60:$F$61,2,FALSE)</f>
        <v>0</v>
      </c>
      <c r="DB41" s="1223">
        <f>$G41*AG41*Variables!$B$53*HLOOKUP($DA$2,Variables!$B$60:$F$61,2,FALSE)</f>
        <v>0</v>
      </c>
      <c r="DC41" s="1223">
        <f>$G41*AH41*Variables!$B$53*HLOOKUP($DA$2,Variables!$B$60:$F$61,2,FALSE)</f>
        <v>0</v>
      </c>
      <c r="DD41" s="1223">
        <f>$G41*AI41*Variables!$B$53*HLOOKUP($DA$2,Variables!$B$60:$F$61,2,FALSE)</f>
        <v>0</v>
      </c>
      <c r="DE41" s="1223">
        <f>$G41*AJ41*Variables!$B$53*HLOOKUP($DA$2,Variables!$B$60:$F$61,2,FALSE)</f>
        <v>0</v>
      </c>
      <c r="DF41" s="1223">
        <f>$G41*AK41*Variables!$B$53*HLOOKUP($DA$2,Variables!$B$60:$F$61,2,FALSE)</f>
        <v>0</v>
      </c>
      <c r="DG41" s="1223">
        <f>$G41*AL41*Variables!$B$53*HLOOKUP($DA$2,Variables!$B$60:$F$61,2,FALSE)</f>
        <v>0</v>
      </c>
      <c r="DH41" s="1223">
        <f>$G41*AM41*Variables!$B$53*HLOOKUP($DA$2,Variables!$B$60:$F$61,2,FALSE)</f>
        <v>0</v>
      </c>
      <c r="DI41" s="1223">
        <f>$G41*AN41*Variables!$B$53*HLOOKUP($DA$2,Variables!$B$60:$F$61,2,FALSE)</f>
        <v>0</v>
      </c>
      <c r="DJ41" s="1223">
        <f>$G41*AO41*Variables!$B$53*HLOOKUP($DA$2,Variables!$B$60:$F$61,2,FALSE)</f>
        <v>0</v>
      </c>
      <c r="DK41" s="1223">
        <f>$G41*AP41*Variables!$B$53*HLOOKUP($DA$2,Variables!$B$60:$F$61,2,FALSE)</f>
        <v>0</v>
      </c>
      <c r="DL41" s="1225">
        <f>$G41*AQ41*Variables!$B$53*HLOOKUP($DA$2,Variables!$B$60:$F$61,2,FALSE)</f>
        <v>0</v>
      </c>
      <c r="DM41" s="1222">
        <f>$G41*AR41*Variables!$B$53*HLOOKUP($DM$2,Variables!$B$60:$F$61,2,FALSE)</f>
        <v>0</v>
      </c>
      <c r="DN41" s="1223">
        <f>$G41*AS41*Variables!$B$53*HLOOKUP($DM$2,Variables!$B$60:$F$61,2,FALSE)</f>
        <v>0</v>
      </c>
      <c r="DO41" s="1223">
        <f>$G41*AT41*Variables!$B$53*HLOOKUP($DM$2,Variables!$B$60:$F$61,2,FALSE)</f>
        <v>0</v>
      </c>
      <c r="DP41" s="1223">
        <f>$G41*AU41*Variables!$B$53*HLOOKUP($DM$2,Variables!$B$60:$F$61,2,FALSE)</f>
        <v>0</v>
      </c>
      <c r="DQ41" s="1223">
        <f>$G41*AV41*Variables!$B$53*HLOOKUP($DM$2,Variables!$B$60:$F$61,2,FALSE)</f>
        <v>0</v>
      </c>
      <c r="DR41" s="1223">
        <f>$G41*AW41*Variables!$B$53*HLOOKUP($DM$2,Variables!$B$60:$F$61,2,FALSE)</f>
        <v>0</v>
      </c>
      <c r="DS41" s="1223">
        <f>$G41*AX41*Variables!$B$53*HLOOKUP($DM$2,Variables!$B$60:$F$61,2,FALSE)</f>
        <v>0</v>
      </c>
      <c r="DT41" s="1223">
        <f>$G41*AY41*Variables!$B$53*HLOOKUP($DM$2,Variables!$B$60:$F$61,2,FALSE)</f>
        <v>0</v>
      </c>
      <c r="DU41" s="1223">
        <f>$G41*AZ41*Variables!$B$53*HLOOKUP($DM$2,Variables!$B$60:$F$61,2,FALSE)</f>
        <v>0</v>
      </c>
      <c r="DV41" s="1223">
        <f>$G41*BA41*Variables!$B$53*HLOOKUP($DM$2,Variables!$B$60:$F$61,2,FALSE)</f>
        <v>0</v>
      </c>
      <c r="DW41" s="1223">
        <f>$G41*BB41*Variables!$B$53*HLOOKUP($DM$2,Variables!$B$60:$F$61,2,FALSE)</f>
        <v>0</v>
      </c>
      <c r="DX41" s="1225">
        <f>$G41*BC41*Variables!$B$53*HLOOKUP($DM$2,Variables!$B$60:$F$61,2,FALSE)</f>
        <v>0</v>
      </c>
      <c r="DY41" s="1222">
        <f>$G41*BD41*Variables!$B$53*HLOOKUP($DY$2,Variables!$B$60:$F$61,2,FALSE)</f>
        <v>0</v>
      </c>
      <c r="DZ41" s="1223">
        <f>$G41*BE41*Variables!$B$53*HLOOKUP($DY$2,Variables!$B$60:$F$61,2,FALSE)</f>
        <v>0</v>
      </c>
      <c r="EA41" s="1223">
        <f>$G41*BF41*Variables!$B$53*HLOOKUP($DY$2,Variables!$B$60:$F$61,2,FALSE)</f>
        <v>0</v>
      </c>
      <c r="EB41" s="1223">
        <f>$G41*BG41*Variables!$B$53*HLOOKUP($DY$2,Variables!$B$60:$F$61,2,FALSE)</f>
        <v>0</v>
      </c>
      <c r="EC41" s="1223">
        <f>$G41*BH41*Variables!$B$53*HLOOKUP($DY$2,Variables!$B$60:$F$61,2,FALSE)</f>
        <v>0</v>
      </c>
      <c r="ED41" s="1223">
        <f>$G41*BI41*Variables!$B$53*HLOOKUP($DY$2,Variables!$B$60:$F$61,2,FALSE)</f>
        <v>0</v>
      </c>
      <c r="EE41" s="1223">
        <f>$G41*BJ41*Variables!$B$53*HLOOKUP($DY$2,Variables!$B$60:$F$61,2,FALSE)</f>
        <v>0</v>
      </c>
      <c r="EF41" s="1223">
        <f>$G41*BK41*Variables!$B$53*HLOOKUP($DY$2,Variables!$B$60:$F$61,2,FALSE)</f>
        <v>0</v>
      </c>
      <c r="EG41" s="1223">
        <f>$G41*BL41*Variables!$B$53*HLOOKUP($DY$2,Variables!$B$60:$F$61,2,FALSE)</f>
        <v>0</v>
      </c>
      <c r="EH41" s="1223">
        <f>$G41*BM41*Variables!$B$53*HLOOKUP($DY$2,Variables!$B$60:$F$61,2,FALSE)</f>
        <v>0</v>
      </c>
      <c r="EI41" s="1223">
        <f>$G41*BN41*Variables!$B$53*HLOOKUP($DY$2,Variables!$B$60:$F$61,2,FALSE)</f>
        <v>0</v>
      </c>
      <c r="EJ41" s="1225">
        <f>$G41*BO41*Variables!$B$53*HLOOKUP($DY$2,Variables!$B$60:$F$61,2,FALSE)</f>
        <v>0</v>
      </c>
      <c r="EK41" s="1222">
        <f>$G41*BP41*Variables!$B$53*HLOOKUP($EK$2,Variables!$B$60:$F$61,2,FALSE)</f>
        <v>0</v>
      </c>
      <c r="EL41" s="1223">
        <f>$G41*BQ41*Variables!$B$53*HLOOKUP($EK$2,Variables!$B$60:$F$61,2,FALSE)</f>
        <v>0</v>
      </c>
      <c r="EM41" s="1223">
        <f>$G41*BR41*Variables!$B$53*HLOOKUP($EK$2,Variables!$B$60:$F$61,2,FALSE)</f>
        <v>0</v>
      </c>
      <c r="EN41" s="1223">
        <f>$G41*BS41*Variables!$B$53*HLOOKUP($EK$2,Variables!$B$60:$F$61,2,FALSE)</f>
        <v>0</v>
      </c>
      <c r="EO41" s="1223">
        <f>$G41*BT41*Variables!$B$53*HLOOKUP($EK$2,Variables!$B$60:$F$61,2,FALSE)</f>
        <v>0</v>
      </c>
      <c r="EP41" s="1223">
        <f>$G41*BU41*Variables!$B$53*HLOOKUP($EK$2,Variables!$B$60:$F$61,2,FALSE)</f>
        <v>0</v>
      </c>
      <c r="EQ41" s="1223">
        <f>$G41*BV41*Variables!$B$53*HLOOKUP($EK$2,Variables!$B$60:$F$61,2,FALSE)</f>
        <v>0</v>
      </c>
      <c r="ER41" s="1223">
        <f>$G41*BW41*Variables!$B$53*HLOOKUP($EK$2,Variables!$B$60:$F$61,2,FALSE)</f>
        <v>0</v>
      </c>
      <c r="ES41" s="1223">
        <f>$G41*BX41*Variables!$B$53*HLOOKUP($EK$2,Variables!$B$60:$F$61,2,FALSE)</f>
        <v>0</v>
      </c>
      <c r="ET41" s="1223">
        <f>$G41*BY41*Variables!$B$53*HLOOKUP($EK$2,Variables!$B$60:$F$61,2,FALSE)</f>
        <v>0</v>
      </c>
      <c r="EU41" s="1223">
        <f>$G41*BZ41*Variables!$B$53*HLOOKUP($EK$2,Variables!$B$60:$F$61,2,FALSE)</f>
        <v>0</v>
      </c>
      <c r="EV41" s="1225">
        <f>$G41*CA41*Variables!$B$53*HLOOKUP($EK$2,Variables!$B$60:$F$61,2,FALSE)</f>
        <v>0</v>
      </c>
      <c r="EW41" s="872">
        <f t="shared" si="6"/>
        <v>0</v>
      </c>
      <c r="EX41" s="872"/>
      <c r="EY41" s="872"/>
      <c r="EZ41" s="872"/>
      <c r="FA41" s="1332"/>
      <c r="FC41" s="958" t="str">
        <f t="shared" si="8"/>
        <v/>
      </c>
      <c r="FD41" s="959" t="str">
        <f t="shared" si="9"/>
        <v/>
      </c>
      <c r="FE41" s="959" t="s">
        <v>8407</v>
      </c>
      <c r="FF41" s="959" t="str">
        <f>IF(ISNA(VLOOKUP(FC41,Miscellaneous!E:F,2,0)),"",VLOOKUP(FC41,Miscellaneous!E:F,2,0))</f>
        <v/>
      </c>
      <c r="FG41" s="959" t="str">
        <f t="shared" si="10"/>
        <v/>
      </c>
      <c r="FH41" s="996">
        <f>IF($FG41="Opex",SUMIF('Monthly Summary'!$C$75:$N$75,"",CC41:CN41),SUMIF('Monthly Summary'!$C$74:$N$74,"",CC41:CN41))</f>
        <v>0</v>
      </c>
      <c r="FI41" s="996">
        <f>IF($FG41="Opex",SUMIF('Monthly Summary'!$O$75:$Z$75,"",CO41:CZ41),SUMIF('Monthly Summary'!$O$74:$Z$74,"",CO41:CZ41))</f>
        <v>0</v>
      </c>
      <c r="FJ41" s="996">
        <f>IF($FG41="Opex",SUMIF('Monthly Summary'!$AA$75:$AL$75,"",DA41:DL41),SUMIF('Monthly Summary'!$AA$74:$AL$74,"",DA41:DL41))</f>
        <v>0</v>
      </c>
      <c r="FK41" s="996">
        <f>IF($FG41="Opex",SUMIF('Monthly Summary'!$AM$75:$AX$75,"",DM41:DX41),SUMIF('Monthly Summary'!$AM$74:$AX$74,"",DM41:DX41))</f>
        <v>0</v>
      </c>
      <c r="FL41" s="996">
        <f>IF($FG41="Opex",SUMIF('Monthly Summary'!$AY$75:$BJ$75,"",DY41:EJ41),SUMIF('Monthly Summary'!$AY$74:$BJ$74,"",DY41:EJ41))</f>
        <v>0</v>
      </c>
      <c r="FM41" s="997">
        <f>IF($FG41="Opex",SUMIF('Monthly Summary'!$BK$75:$BV$75,"",EK41:EV41),SUMIF('Monthly Summary'!$BK$74:$BV$74,"",EK41:EV41))</f>
        <v>0</v>
      </c>
      <c r="FN41" s="997">
        <f t="shared" si="7"/>
        <v>0</v>
      </c>
    </row>
    <row r="42" spans="3:170">
      <c r="C42" s="757"/>
      <c r="D42" s="757"/>
      <c r="E42" s="758"/>
      <c r="F42" s="758"/>
      <c r="G42" s="758"/>
      <c r="H42" s="1215"/>
      <c r="I42" s="761"/>
      <c r="J42" s="761"/>
      <c r="K42" s="761"/>
      <c r="L42" s="761"/>
      <c r="M42" s="761"/>
      <c r="N42" s="761"/>
      <c r="O42" s="761"/>
      <c r="P42" s="761"/>
      <c r="Q42" s="761"/>
      <c r="R42" s="761"/>
      <c r="S42" s="1216"/>
      <c r="T42" s="1215"/>
      <c r="U42" s="761"/>
      <c r="V42" s="761"/>
      <c r="W42" s="761"/>
      <c r="X42" s="761"/>
      <c r="Y42" s="761"/>
      <c r="Z42" s="761"/>
      <c r="AA42" s="761"/>
      <c r="AB42" s="761"/>
      <c r="AC42" s="761"/>
      <c r="AD42" s="761"/>
      <c r="AE42" s="1216"/>
      <c r="AF42" s="1215"/>
      <c r="AG42" s="761"/>
      <c r="AH42" s="761"/>
      <c r="AI42" s="761"/>
      <c r="AJ42" s="761"/>
      <c r="AK42" s="761"/>
      <c r="AL42" s="761"/>
      <c r="AM42" s="761"/>
      <c r="AN42" s="761"/>
      <c r="AO42" s="761"/>
      <c r="AP42" s="761"/>
      <c r="AQ42" s="1216"/>
      <c r="AR42" s="1215"/>
      <c r="AS42" s="761"/>
      <c r="AT42" s="761"/>
      <c r="AU42" s="761"/>
      <c r="AV42" s="761"/>
      <c r="AW42" s="761"/>
      <c r="AX42" s="761"/>
      <c r="AY42" s="761"/>
      <c r="AZ42" s="761"/>
      <c r="BA42" s="761"/>
      <c r="BB42" s="761"/>
      <c r="BC42" s="1216"/>
      <c r="BD42" s="1215"/>
      <c r="BE42" s="761"/>
      <c r="BF42" s="761"/>
      <c r="BG42" s="761"/>
      <c r="BH42" s="761"/>
      <c r="BI42" s="761"/>
      <c r="BJ42" s="761"/>
      <c r="BK42" s="761"/>
      <c r="BL42" s="761"/>
      <c r="BM42" s="761"/>
      <c r="BN42" s="761"/>
      <c r="BO42" s="1216"/>
      <c r="BP42" s="1215"/>
      <c r="BQ42" s="761"/>
      <c r="BR42" s="761"/>
      <c r="BS42" s="761"/>
      <c r="BT42" s="761"/>
      <c r="BU42" s="761"/>
      <c r="BV42" s="761"/>
      <c r="BW42" s="761"/>
      <c r="BX42" s="761"/>
      <c r="BY42" s="761"/>
      <c r="BZ42" s="761"/>
      <c r="CA42" s="1216"/>
      <c r="CB42" s="747"/>
      <c r="CC42" s="1222">
        <f>$G42*H42*Variables!$B$53</f>
        <v>0</v>
      </c>
      <c r="CD42" s="1223">
        <f>$G42*I42*Variables!$B$53</f>
        <v>0</v>
      </c>
      <c r="CE42" s="1223">
        <f>$G42*J42*Variables!$B$53</f>
        <v>0</v>
      </c>
      <c r="CF42" s="1223">
        <f>$G42*K42*Variables!$B$53</f>
        <v>0</v>
      </c>
      <c r="CG42" s="1223">
        <f>$G42*L42*Variables!$B$53</f>
        <v>0</v>
      </c>
      <c r="CH42" s="1223">
        <f>$G42*M42*Variables!$B$53</f>
        <v>0</v>
      </c>
      <c r="CI42" s="1223">
        <f>$G42*N42*Variables!$B$53</f>
        <v>0</v>
      </c>
      <c r="CJ42" s="1223">
        <f>$G42*O42*Variables!$B$53</f>
        <v>0</v>
      </c>
      <c r="CK42" s="1223">
        <f>$G42*P42*Variables!$B$53</f>
        <v>0</v>
      </c>
      <c r="CL42" s="1223">
        <f>$G42*Q42*Variables!$B$53</f>
        <v>0</v>
      </c>
      <c r="CM42" s="1223">
        <f>$G42*R42*Variables!$B$53</f>
        <v>0</v>
      </c>
      <c r="CN42" s="1225">
        <f>$G42*S42*Variables!$B$53</f>
        <v>0</v>
      </c>
      <c r="CO42" s="1222">
        <f>$G42*T42*Variables!$B$53*HLOOKUP($CO$2,Variables!$B$60:$F$61,2,FALSE)</f>
        <v>0</v>
      </c>
      <c r="CP42" s="1223">
        <f>$G42*U42*Variables!$B$53*HLOOKUP($CO$2,Variables!$B$60:$F$61,2,FALSE)</f>
        <v>0</v>
      </c>
      <c r="CQ42" s="1223">
        <f>$G42*V42*Variables!$B$53*HLOOKUP($CO$2,Variables!$B$60:$F$61,2,FALSE)</f>
        <v>0</v>
      </c>
      <c r="CR42" s="1223">
        <f>$G42*W42*Variables!$B$53*HLOOKUP($CO$2,Variables!$B$60:$F$61,2,FALSE)</f>
        <v>0</v>
      </c>
      <c r="CS42" s="1223">
        <f>$G42*X42*Variables!$B$53*HLOOKUP($CO$2,Variables!$B$60:$F$61,2,FALSE)</f>
        <v>0</v>
      </c>
      <c r="CT42" s="1223">
        <f>$G42*Y42*Variables!$B$53*HLOOKUP($CO$2,Variables!$B$60:$F$61,2,FALSE)</f>
        <v>0</v>
      </c>
      <c r="CU42" s="1223">
        <f>$G42*Z42*Variables!$B$53*HLOOKUP($CO$2,Variables!$B$60:$F$61,2,FALSE)</f>
        <v>0</v>
      </c>
      <c r="CV42" s="1223">
        <f>$G42*AA42*Variables!$B$53*HLOOKUP($CO$2,Variables!$B$60:$F$61,2,FALSE)</f>
        <v>0</v>
      </c>
      <c r="CW42" s="1223">
        <f>$G42*AB42*Variables!$B$53*HLOOKUP($CO$2,Variables!$B$60:$F$61,2,FALSE)</f>
        <v>0</v>
      </c>
      <c r="CX42" s="1223">
        <f>$G42*AC42*Variables!$B$53*HLOOKUP($CO$2,Variables!$B$60:$F$61,2,FALSE)</f>
        <v>0</v>
      </c>
      <c r="CY42" s="1223">
        <f>$G42*AD42*Variables!$B$53*HLOOKUP($CO$2,Variables!$B$60:$F$61,2,FALSE)</f>
        <v>0</v>
      </c>
      <c r="CZ42" s="1225">
        <f>$G42*AE42*Variables!$B$53*HLOOKUP($CO$2,Variables!$B$60:$F$61,2,FALSE)</f>
        <v>0</v>
      </c>
      <c r="DA42" s="1222">
        <f>$G42*AF42*Variables!$B$53*HLOOKUP($DA$2,Variables!$B$60:$F$61,2,FALSE)</f>
        <v>0</v>
      </c>
      <c r="DB42" s="1223">
        <f>$G42*AG42*Variables!$B$53*HLOOKUP($DA$2,Variables!$B$60:$F$61,2,FALSE)</f>
        <v>0</v>
      </c>
      <c r="DC42" s="1223">
        <f>$G42*AH42*Variables!$B$53*HLOOKUP($DA$2,Variables!$B$60:$F$61,2,FALSE)</f>
        <v>0</v>
      </c>
      <c r="DD42" s="1223">
        <f>$G42*AI42*Variables!$B$53*HLOOKUP($DA$2,Variables!$B$60:$F$61,2,FALSE)</f>
        <v>0</v>
      </c>
      <c r="DE42" s="1223">
        <f>$G42*AJ42*Variables!$B$53*HLOOKUP($DA$2,Variables!$B$60:$F$61,2,FALSE)</f>
        <v>0</v>
      </c>
      <c r="DF42" s="1223">
        <f>$G42*AK42*Variables!$B$53*HLOOKUP($DA$2,Variables!$B$60:$F$61,2,FALSE)</f>
        <v>0</v>
      </c>
      <c r="DG42" s="1223">
        <f>$G42*AL42*Variables!$B$53*HLOOKUP($DA$2,Variables!$B$60:$F$61,2,FALSE)</f>
        <v>0</v>
      </c>
      <c r="DH42" s="1223">
        <f>$G42*AM42*Variables!$B$53*HLOOKUP($DA$2,Variables!$B$60:$F$61,2,FALSE)</f>
        <v>0</v>
      </c>
      <c r="DI42" s="1223">
        <f>$G42*AN42*Variables!$B$53*HLOOKUP($DA$2,Variables!$B$60:$F$61,2,FALSE)</f>
        <v>0</v>
      </c>
      <c r="DJ42" s="1223">
        <f>$G42*AO42*Variables!$B$53*HLOOKUP($DA$2,Variables!$B$60:$F$61,2,FALSE)</f>
        <v>0</v>
      </c>
      <c r="DK42" s="1223">
        <f>$G42*AP42*Variables!$B$53*HLOOKUP($DA$2,Variables!$B$60:$F$61,2,FALSE)</f>
        <v>0</v>
      </c>
      <c r="DL42" s="1225">
        <f>$G42*AQ42*Variables!$B$53*HLOOKUP($DA$2,Variables!$B$60:$F$61,2,FALSE)</f>
        <v>0</v>
      </c>
      <c r="DM42" s="1222">
        <f>$G42*AR42*Variables!$B$53*HLOOKUP($DM$2,Variables!$B$60:$F$61,2,FALSE)</f>
        <v>0</v>
      </c>
      <c r="DN42" s="1223">
        <f>$G42*AS42*Variables!$B$53*HLOOKUP($DM$2,Variables!$B$60:$F$61,2,FALSE)</f>
        <v>0</v>
      </c>
      <c r="DO42" s="1223">
        <f>$G42*AT42*Variables!$B$53*HLOOKUP($DM$2,Variables!$B$60:$F$61,2,FALSE)</f>
        <v>0</v>
      </c>
      <c r="DP42" s="1223">
        <f>$G42*AU42*Variables!$B$53*HLOOKUP($DM$2,Variables!$B$60:$F$61,2,FALSE)</f>
        <v>0</v>
      </c>
      <c r="DQ42" s="1223">
        <f>$G42*AV42*Variables!$B$53*HLOOKUP($DM$2,Variables!$B$60:$F$61,2,FALSE)</f>
        <v>0</v>
      </c>
      <c r="DR42" s="1223">
        <f>$G42*AW42*Variables!$B$53*HLOOKUP($DM$2,Variables!$B$60:$F$61,2,FALSE)</f>
        <v>0</v>
      </c>
      <c r="DS42" s="1223">
        <f>$G42*AX42*Variables!$B$53*HLOOKUP($DM$2,Variables!$B$60:$F$61,2,FALSE)</f>
        <v>0</v>
      </c>
      <c r="DT42" s="1223">
        <f>$G42*AY42*Variables!$B$53*HLOOKUP($DM$2,Variables!$B$60:$F$61,2,FALSE)</f>
        <v>0</v>
      </c>
      <c r="DU42" s="1223">
        <f>$G42*AZ42*Variables!$B$53*HLOOKUP($DM$2,Variables!$B$60:$F$61,2,FALSE)</f>
        <v>0</v>
      </c>
      <c r="DV42" s="1223">
        <f>$G42*BA42*Variables!$B$53*HLOOKUP($DM$2,Variables!$B$60:$F$61,2,FALSE)</f>
        <v>0</v>
      </c>
      <c r="DW42" s="1223">
        <f>$G42*BB42*Variables!$B$53*HLOOKUP($DM$2,Variables!$B$60:$F$61,2,FALSE)</f>
        <v>0</v>
      </c>
      <c r="DX42" s="1225">
        <f>$G42*BC42*Variables!$B$53*HLOOKUP($DM$2,Variables!$B$60:$F$61,2,FALSE)</f>
        <v>0</v>
      </c>
      <c r="DY42" s="1222">
        <f>$G42*BD42*Variables!$B$53*HLOOKUP($DY$2,Variables!$B$60:$F$61,2,FALSE)</f>
        <v>0</v>
      </c>
      <c r="DZ42" s="1223">
        <f>$G42*BE42*Variables!$B$53*HLOOKUP($DY$2,Variables!$B$60:$F$61,2,FALSE)</f>
        <v>0</v>
      </c>
      <c r="EA42" s="1223">
        <f>$G42*BF42*Variables!$B$53*HLOOKUP($DY$2,Variables!$B$60:$F$61,2,FALSE)</f>
        <v>0</v>
      </c>
      <c r="EB42" s="1223">
        <f>$G42*BG42*Variables!$B$53*HLOOKUP($DY$2,Variables!$B$60:$F$61,2,FALSE)</f>
        <v>0</v>
      </c>
      <c r="EC42" s="1223">
        <f>$G42*BH42*Variables!$B$53*HLOOKUP($DY$2,Variables!$B$60:$F$61,2,FALSE)</f>
        <v>0</v>
      </c>
      <c r="ED42" s="1223">
        <f>$G42*BI42*Variables!$B$53*HLOOKUP($DY$2,Variables!$B$60:$F$61,2,FALSE)</f>
        <v>0</v>
      </c>
      <c r="EE42" s="1223">
        <f>$G42*BJ42*Variables!$B$53*HLOOKUP($DY$2,Variables!$B$60:$F$61,2,FALSE)</f>
        <v>0</v>
      </c>
      <c r="EF42" s="1223">
        <f>$G42*BK42*Variables!$B$53*HLOOKUP($DY$2,Variables!$B$60:$F$61,2,FALSE)</f>
        <v>0</v>
      </c>
      <c r="EG42" s="1223">
        <f>$G42*BL42*Variables!$B$53*HLOOKUP($DY$2,Variables!$B$60:$F$61,2,FALSE)</f>
        <v>0</v>
      </c>
      <c r="EH42" s="1223">
        <f>$G42*BM42*Variables!$B$53*HLOOKUP($DY$2,Variables!$B$60:$F$61,2,FALSE)</f>
        <v>0</v>
      </c>
      <c r="EI42" s="1223">
        <f>$G42*BN42*Variables!$B$53*HLOOKUP($DY$2,Variables!$B$60:$F$61,2,FALSE)</f>
        <v>0</v>
      </c>
      <c r="EJ42" s="1225">
        <f>$G42*BO42*Variables!$B$53*HLOOKUP($DY$2,Variables!$B$60:$F$61,2,FALSE)</f>
        <v>0</v>
      </c>
      <c r="EK42" s="1222">
        <f>$G42*BP42*Variables!$B$53*HLOOKUP($EK$2,Variables!$B$60:$F$61,2,FALSE)</f>
        <v>0</v>
      </c>
      <c r="EL42" s="1223">
        <f>$G42*BQ42*Variables!$B$53*HLOOKUP($EK$2,Variables!$B$60:$F$61,2,FALSE)</f>
        <v>0</v>
      </c>
      <c r="EM42" s="1223">
        <f>$G42*BR42*Variables!$B$53*HLOOKUP($EK$2,Variables!$B$60:$F$61,2,FALSE)</f>
        <v>0</v>
      </c>
      <c r="EN42" s="1223">
        <f>$G42*BS42*Variables!$B$53*HLOOKUP($EK$2,Variables!$B$60:$F$61,2,FALSE)</f>
        <v>0</v>
      </c>
      <c r="EO42" s="1223">
        <f>$G42*BT42*Variables!$B$53*HLOOKUP($EK$2,Variables!$B$60:$F$61,2,FALSE)</f>
        <v>0</v>
      </c>
      <c r="EP42" s="1223">
        <f>$G42*BU42*Variables!$B$53*HLOOKUP($EK$2,Variables!$B$60:$F$61,2,FALSE)</f>
        <v>0</v>
      </c>
      <c r="EQ42" s="1223">
        <f>$G42*BV42*Variables!$B$53*HLOOKUP($EK$2,Variables!$B$60:$F$61,2,FALSE)</f>
        <v>0</v>
      </c>
      <c r="ER42" s="1223">
        <f>$G42*BW42*Variables!$B$53*HLOOKUP($EK$2,Variables!$B$60:$F$61,2,FALSE)</f>
        <v>0</v>
      </c>
      <c r="ES42" s="1223">
        <f>$G42*BX42*Variables!$B$53*HLOOKUP($EK$2,Variables!$B$60:$F$61,2,FALSE)</f>
        <v>0</v>
      </c>
      <c r="ET42" s="1223">
        <f>$G42*BY42*Variables!$B$53*HLOOKUP($EK$2,Variables!$B$60:$F$61,2,FALSE)</f>
        <v>0</v>
      </c>
      <c r="EU42" s="1223">
        <f>$G42*BZ42*Variables!$B$53*HLOOKUP($EK$2,Variables!$B$60:$F$61,2,FALSE)</f>
        <v>0</v>
      </c>
      <c r="EV42" s="1225">
        <f>$G42*CA42*Variables!$B$53*HLOOKUP($EK$2,Variables!$B$60:$F$61,2,FALSE)</f>
        <v>0</v>
      </c>
      <c r="EW42" s="872">
        <f t="shared" si="6"/>
        <v>0</v>
      </c>
      <c r="EX42" s="872"/>
      <c r="EY42" s="872"/>
      <c r="EZ42" s="872"/>
      <c r="FA42" s="1332"/>
      <c r="FC42" s="958" t="str">
        <f t="shared" si="8"/>
        <v/>
      </c>
      <c r="FD42" s="959" t="str">
        <f t="shared" si="9"/>
        <v/>
      </c>
      <c r="FE42" s="959" t="s">
        <v>8407</v>
      </c>
      <c r="FF42" s="959" t="str">
        <f>IF(ISNA(VLOOKUP(FC42,Miscellaneous!E:F,2,0)),"",VLOOKUP(FC42,Miscellaneous!E:F,2,0))</f>
        <v/>
      </c>
      <c r="FG42" s="959" t="str">
        <f t="shared" si="10"/>
        <v/>
      </c>
      <c r="FH42" s="996">
        <f>IF($FG42="Opex",SUMIF('Monthly Summary'!$C$75:$N$75,"",CC42:CN42),SUMIF('Monthly Summary'!$C$74:$N$74,"",CC42:CN42))</f>
        <v>0</v>
      </c>
      <c r="FI42" s="996">
        <f>IF($FG42="Opex",SUMIF('Monthly Summary'!$O$75:$Z$75,"",CO42:CZ42),SUMIF('Monthly Summary'!$O$74:$Z$74,"",CO42:CZ42))</f>
        <v>0</v>
      </c>
      <c r="FJ42" s="996">
        <f>IF($FG42="Opex",SUMIF('Monthly Summary'!$AA$75:$AL$75,"",DA42:DL42),SUMIF('Monthly Summary'!$AA$74:$AL$74,"",DA42:DL42))</f>
        <v>0</v>
      </c>
      <c r="FK42" s="996">
        <f>IF($FG42="Opex",SUMIF('Monthly Summary'!$AM$75:$AX$75,"",DM42:DX42),SUMIF('Monthly Summary'!$AM$74:$AX$74,"",DM42:DX42))</f>
        <v>0</v>
      </c>
      <c r="FL42" s="996">
        <f>IF($FG42="Opex",SUMIF('Monthly Summary'!$AY$75:$BJ$75,"",DY42:EJ42),SUMIF('Monthly Summary'!$AY$74:$BJ$74,"",DY42:EJ42))</f>
        <v>0</v>
      </c>
      <c r="FM42" s="997">
        <f>IF($FG42="Opex",SUMIF('Monthly Summary'!$BK$75:$BV$75,"",EK42:EV42),SUMIF('Monthly Summary'!$BK$74:$BV$74,"",EK42:EV42))</f>
        <v>0</v>
      </c>
      <c r="FN42" s="997">
        <f t="shared" si="7"/>
        <v>0</v>
      </c>
    </row>
    <row r="43" spans="3:170">
      <c r="C43" s="757"/>
      <c r="D43" s="757"/>
      <c r="E43" s="758"/>
      <c r="F43" s="758"/>
      <c r="G43" s="758"/>
      <c r="H43" s="1215"/>
      <c r="I43" s="761"/>
      <c r="J43" s="761"/>
      <c r="K43" s="761"/>
      <c r="L43" s="761"/>
      <c r="M43" s="761"/>
      <c r="N43" s="761"/>
      <c r="O43" s="761"/>
      <c r="P43" s="761"/>
      <c r="Q43" s="761"/>
      <c r="R43" s="761"/>
      <c r="S43" s="1216"/>
      <c r="T43" s="1215"/>
      <c r="U43" s="761"/>
      <c r="V43" s="761"/>
      <c r="W43" s="761"/>
      <c r="X43" s="761"/>
      <c r="Y43" s="761"/>
      <c r="Z43" s="761"/>
      <c r="AA43" s="761"/>
      <c r="AB43" s="761"/>
      <c r="AC43" s="761"/>
      <c r="AD43" s="761"/>
      <c r="AE43" s="1216"/>
      <c r="AF43" s="1215"/>
      <c r="AG43" s="761"/>
      <c r="AH43" s="761"/>
      <c r="AI43" s="761"/>
      <c r="AJ43" s="761"/>
      <c r="AK43" s="761"/>
      <c r="AL43" s="761"/>
      <c r="AM43" s="761"/>
      <c r="AN43" s="761"/>
      <c r="AO43" s="761"/>
      <c r="AP43" s="761"/>
      <c r="AQ43" s="1216"/>
      <c r="AR43" s="1215"/>
      <c r="AS43" s="761"/>
      <c r="AT43" s="761"/>
      <c r="AU43" s="761"/>
      <c r="AV43" s="761"/>
      <c r="AW43" s="761"/>
      <c r="AX43" s="761"/>
      <c r="AY43" s="761"/>
      <c r="AZ43" s="761"/>
      <c r="BA43" s="761"/>
      <c r="BB43" s="761"/>
      <c r="BC43" s="1216"/>
      <c r="BD43" s="1215"/>
      <c r="BE43" s="761"/>
      <c r="BF43" s="761"/>
      <c r="BG43" s="761"/>
      <c r="BH43" s="761"/>
      <c r="BI43" s="761"/>
      <c r="BJ43" s="761"/>
      <c r="BK43" s="761"/>
      <c r="BL43" s="761"/>
      <c r="BM43" s="761"/>
      <c r="BN43" s="761"/>
      <c r="BO43" s="1216"/>
      <c r="BP43" s="1215"/>
      <c r="BQ43" s="761"/>
      <c r="BR43" s="761"/>
      <c r="BS43" s="761"/>
      <c r="BT43" s="761"/>
      <c r="BU43" s="761"/>
      <c r="BV43" s="761"/>
      <c r="BW43" s="761"/>
      <c r="BX43" s="761"/>
      <c r="BY43" s="761"/>
      <c r="BZ43" s="761"/>
      <c r="CA43" s="1216"/>
      <c r="CB43" s="747"/>
      <c r="CC43" s="1222">
        <f>$G43*H43*Variables!$B$53</f>
        <v>0</v>
      </c>
      <c r="CD43" s="1223">
        <f>$G43*I43*Variables!$B$53</f>
        <v>0</v>
      </c>
      <c r="CE43" s="1223">
        <f>$G43*J43*Variables!$B$53</f>
        <v>0</v>
      </c>
      <c r="CF43" s="1223">
        <f>$G43*K43*Variables!$B$53</f>
        <v>0</v>
      </c>
      <c r="CG43" s="1223">
        <f>$G43*L43*Variables!$B$53</f>
        <v>0</v>
      </c>
      <c r="CH43" s="1223">
        <f>$G43*M43*Variables!$B$53</f>
        <v>0</v>
      </c>
      <c r="CI43" s="1223">
        <f>$G43*N43*Variables!$B$53</f>
        <v>0</v>
      </c>
      <c r="CJ43" s="1223">
        <f>$G43*O43*Variables!$B$53</f>
        <v>0</v>
      </c>
      <c r="CK43" s="1223">
        <f>$G43*P43*Variables!$B$53</f>
        <v>0</v>
      </c>
      <c r="CL43" s="1223">
        <f>$G43*Q43*Variables!$B$53</f>
        <v>0</v>
      </c>
      <c r="CM43" s="1223">
        <f>$G43*R43*Variables!$B$53</f>
        <v>0</v>
      </c>
      <c r="CN43" s="1225">
        <f>$G43*S43*Variables!$B$53</f>
        <v>0</v>
      </c>
      <c r="CO43" s="1222">
        <f>$G43*T43*Variables!$B$53*HLOOKUP($CO$2,Variables!$B$60:$F$61,2,FALSE)</f>
        <v>0</v>
      </c>
      <c r="CP43" s="1223">
        <f>$G43*U43*Variables!$B$53*HLOOKUP($CO$2,Variables!$B$60:$F$61,2,FALSE)</f>
        <v>0</v>
      </c>
      <c r="CQ43" s="1223">
        <f>$G43*V43*Variables!$B$53*HLOOKUP($CO$2,Variables!$B$60:$F$61,2,FALSE)</f>
        <v>0</v>
      </c>
      <c r="CR43" s="1223">
        <f>$G43*W43*Variables!$B$53*HLOOKUP($CO$2,Variables!$B$60:$F$61,2,FALSE)</f>
        <v>0</v>
      </c>
      <c r="CS43" s="1223">
        <f>$G43*X43*Variables!$B$53*HLOOKUP($CO$2,Variables!$B$60:$F$61,2,FALSE)</f>
        <v>0</v>
      </c>
      <c r="CT43" s="1223">
        <f>$G43*Y43*Variables!$B$53*HLOOKUP($CO$2,Variables!$B$60:$F$61,2,FALSE)</f>
        <v>0</v>
      </c>
      <c r="CU43" s="1223">
        <f>$G43*Z43*Variables!$B$53*HLOOKUP($CO$2,Variables!$B$60:$F$61,2,FALSE)</f>
        <v>0</v>
      </c>
      <c r="CV43" s="1223">
        <f>$G43*AA43*Variables!$B$53*HLOOKUP($CO$2,Variables!$B$60:$F$61,2,FALSE)</f>
        <v>0</v>
      </c>
      <c r="CW43" s="1223">
        <f>$G43*AB43*Variables!$B$53*HLOOKUP($CO$2,Variables!$B$60:$F$61,2,FALSE)</f>
        <v>0</v>
      </c>
      <c r="CX43" s="1223">
        <f>$G43*AC43*Variables!$B$53*HLOOKUP($CO$2,Variables!$B$60:$F$61,2,FALSE)</f>
        <v>0</v>
      </c>
      <c r="CY43" s="1223">
        <f>$G43*AD43*Variables!$B$53*HLOOKUP($CO$2,Variables!$B$60:$F$61,2,FALSE)</f>
        <v>0</v>
      </c>
      <c r="CZ43" s="1225">
        <f>$G43*AE43*Variables!$B$53*HLOOKUP($CO$2,Variables!$B$60:$F$61,2,FALSE)</f>
        <v>0</v>
      </c>
      <c r="DA43" s="1222">
        <f>$G43*AF43*Variables!$B$53*HLOOKUP($DA$2,Variables!$B$60:$F$61,2,FALSE)</f>
        <v>0</v>
      </c>
      <c r="DB43" s="1223">
        <f>$G43*AG43*Variables!$B$53*HLOOKUP($DA$2,Variables!$B$60:$F$61,2,FALSE)</f>
        <v>0</v>
      </c>
      <c r="DC43" s="1223">
        <f>$G43*AH43*Variables!$B$53*HLOOKUP($DA$2,Variables!$B$60:$F$61,2,FALSE)</f>
        <v>0</v>
      </c>
      <c r="DD43" s="1223">
        <f>$G43*AI43*Variables!$B$53*HLOOKUP($DA$2,Variables!$B$60:$F$61,2,FALSE)</f>
        <v>0</v>
      </c>
      <c r="DE43" s="1223">
        <f>$G43*AJ43*Variables!$B$53*HLOOKUP($DA$2,Variables!$B$60:$F$61,2,FALSE)</f>
        <v>0</v>
      </c>
      <c r="DF43" s="1223">
        <f>$G43*AK43*Variables!$B$53*HLOOKUP($DA$2,Variables!$B$60:$F$61,2,FALSE)</f>
        <v>0</v>
      </c>
      <c r="DG43" s="1223">
        <f>$G43*AL43*Variables!$B$53*HLOOKUP($DA$2,Variables!$B$60:$F$61,2,FALSE)</f>
        <v>0</v>
      </c>
      <c r="DH43" s="1223">
        <f>$G43*AM43*Variables!$B$53*HLOOKUP($DA$2,Variables!$B$60:$F$61,2,FALSE)</f>
        <v>0</v>
      </c>
      <c r="DI43" s="1223">
        <f>$G43*AN43*Variables!$B$53*HLOOKUP($DA$2,Variables!$B$60:$F$61,2,FALSE)</f>
        <v>0</v>
      </c>
      <c r="DJ43" s="1223">
        <f>$G43*AO43*Variables!$B$53*HLOOKUP($DA$2,Variables!$B$60:$F$61,2,FALSE)</f>
        <v>0</v>
      </c>
      <c r="DK43" s="1223">
        <f>$G43*AP43*Variables!$B$53*HLOOKUP($DA$2,Variables!$B$60:$F$61,2,FALSE)</f>
        <v>0</v>
      </c>
      <c r="DL43" s="1225">
        <f>$G43*AQ43*Variables!$B$53*HLOOKUP($DA$2,Variables!$B$60:$F$61,2,FALSE)</f>
        <v>0</v>
      </c>
      <c r="DM43" s="1222">
        <f>$G43*AR43*Variables!$B$53*HLOOKUP($DM$2,Variables!$B$60:$F$61,2,FALSE)</f>
        <v>0</v>
      </c>
      <c r="DN43" s="1223">
        <f>$G43*AS43*Variables!$B$53*HLOOKUP($DM$2,Variables!$B$60:$F$61,2,FALSE)</f>
        <v>0</v>
      </c>
      <c r="DO43" s="1223">
        <f>$G43*AT43*Variables!$B$53*HLOOKUP($DM$2,Variables!$B$60:$F$61,2,FALSE)</f>
        <v>0</v>
      </c>
      <c r="DP43" s="1223">
        <f>$G43*AU43*Variables!$B$53*HLOOKUP($DM$2,Variables!$B$60:$F$61,2,FALSE)</f>
        <v>0</v>
      </c>
      <c r="DQ43" s="1223">
        <f>$G43*AV43*Variables!$B$53*HLOOKUP($DM$2,Variables!$B$60:$F$61,2,FALSE)</f>
        <v>0</v>
      </c>
      <c r="DR43" s="1223">
        <f>$G43*AW43*Variables!$B$53*HLOOKUP($DM$2,Variables!$B$60:$F$61,2,FALSE)</f>
        <v>0</v>
      </c>
      <c r="DS43" s="1223">
        <f>$G43*AX43*Variables!$B$53*HLOOKUP($DM$2,Variables!$B$60:$F$61,2,FALSE)</f>
        <v>0</v>
      </c>
      <c r="DT43" s="1223">
        <f>$G43*AY43*Variables!$B$53*HLOOKUP($DM$2,Variables!$B$60:$F$61,2,FALSE)</f>
        <v>0</v>
      </c>
      <c r="DU43" s="1223">
        <f>$G43*AZ43*Variables!$B$53*HLOOKUP($DM$2,Variables!$B$60:$F$61,2,FALSE)</f>
        <v>0</v>
      </c>
      <c r="DV43" s="1223">
        <f>$G43*BA43*Variables!$B$53*HLOOKUP($DM$2,Variables!$B$60:$F$61,2,FALSE)</f>
        <v>0</v>
      </c>
      <c r="DW43" s="1223">
        <f>$G43*BB43*Variables!$B$53*HLOOKUP($DM$2,Variables!$B$60:$F$61,2,FALSE)</f>
        <v>0</v>
      </c>
      <c r="DX43" s="1225">
        <f>$G43*BC43*Variables!$B$53*HLOOKUP($DM$2,Variables!$B$60:$F$61,2,FALSE)</f>
        <v>0</v>
      </c>
      <c r="DY43" s="1222">
        <f>$G43*BD43*Variables!$B$53*HLOOKUP($DY$2,Variables!$B$60:$F$61,2,FALSE)</f>
        <v>0</v>
      </c>
      <c r="DZ43" s="1223">
        <f>$G43*BE43*Variables!$B$53*HLOOKUP($DY$2,Variables!$B$60:$F$61,2,FALSE)</f>
        <v>0</v>
      </c>
      <c r="EA43" s="1223">
        <f>$G43*BF43*Variables!$B$53*HLOOKUP($DY$2,Variables!$B$60:$F$61,2,FALSE)</f>
        <v>0</v>
      </c>
      <c r="EB43" s="1223">
        <f>$G43*BG43*Variables!$B$53*HLOOKUP($DY$2,Variables!$B$60:$F$61,2,FALSE)</f>
        <v>0</v>
      </c>
      <c r="EC43" s="1223">
        <f>$G43*BH43*Variables!$B$53*HLOOKUP($DY$2,Variables!$B$60:$F$61,2,FALSE)</f>
        <v>0</v>
      </c>
      <c r="ED43" s="1223">
        <f>$G43*BI43*Variables!$B$53*HLOOKUP($DY$2,Variables!$B$60:$F$61,2,FALSE)</f>
        <v>0</v>
      </c>
      <c r="EE43" s="1223">
        <f>$G43*BJ43*Variables!$B$53*HLOOKUP($DY$2,Variables!$B$60:$F$61,2,FALSE)</f>
        <v>0</v>
      </c>
      <c r="EF43" s="1223">
        <f>$G43*BK43*Variables!$B$53*HLOOKUP($DY$2,Variables!$B$60:$F$61,2,FALSE)</f>
        <v>0</v>
      </c>
      <c r="EG43" s="1223">
        <f>$G43*BL43*Variables!$B$53*HLOOKUP($DY$2,Variables!$B$60:$F$61,2,FALSE)</f>
        <v>0</v>
      </c>
      <c r="EH43" s="1223">
        <f>$G43*BM43*Variables!$B$53*HLOOKUP($DY$2,Variables!$B$60:$F$61,2,FALSE)</f>
        <v>0</v>
      </c>
      <c r="EI43" s="1223">
        <f>$G43*BN43*Variables!$B$53*HLOOKUP($DY$2,Variables!$B$60:$F$61,2,FALSE)</f>
        <v>0</v>
      </c>
      <c r="EJ43" s="1225">
        <f>$G43*BO43*Variables!$B$53*HLOOKUP($DY$2,Variables!$B$60:$F$61,2,FALSE)</f>
        <v>0</v>
      </c>
      <c r="EK43" s="1222">
        <f>$G43*BP43*Variables!$B$53*HLOOKUP($EK$2,Variables!$B$60:$F$61,2,FALSE)</f>
        <v>0</v>
      </c>
      <c r="EL43" s="1223">
        <f>$G43*BQ43*Variables!$B$53*HLOOKUP($EK$2,Variables!$B$60:$F$61,2,FALSE)</f>
        <v>0</v>
      </c>
      <c r="EM43" s="1223">
        <f>$G43*BR43*Variables!$B$53*HLOOKUP($EK$2,Variables!$B$60:$F$61,2,FALSE)</f>
        <v>0</v>
      </c>
      <c r="EN43" s="1223">
        <f>$G43*BS43*Variables!$B$53*HLOOKUP($EK$2,Variables!$B$60:$F$61,2,FALSE)</f>
        <v>0</v>
      </c>
      <c r="EO43" s="1223">
        <f>$G43*BT43*Variables!$B$53*HLOOKUP($EK$2,Variables!$B$60:$F$61,2,FALSE)</f>
        <v>0</v>
      </c>
      <c r="EP43" s="1223">
        <f>$G43*BU43*Variables!$B$53*HLOOKUP($EK$2,Variables!$B$60:$F$61,2,FALSE)</f>
        <v>0</v>
      </c>
      <c r="EQ43" s="1223">
        <f>$G43*BV43*Variables!$B$53*HLOOKUP($EK$2,Variables!$B$60:$F$61,2,FALSE)</f>
        <v>0</v>
      </c>
      <c r="ER43" s="1223">
        <f>$G43*BW43*Variables!$B$53*HLOOKUP($EK$2,Variables!$B$60:$F$61,2,FALSE)</f>
        <v>0</v>
      </c>
      <c r="ES43" s="1223">
        <f>$G43*BX43*Variables!$B$53*HLOOKUP($EK$2,Variables!$B$60:$F$61,2,FALSE)</f>
        <v>0</v>
      </c>
      <c r="ET43" s="1223">
        <f>$G43*BY43*Variables!$B$53*HLOOKUP($EK$2,Variables!$B$60:$F$61,2,FALSE)</f>
        <v>0</v>
      </c>
      <c r="EU43" s="1223">
        <f>$G43*BZ43*Variables!$B$53*HLOOKUP($EK$2,Variables!$B$60:$F$61,2,FALSE)</f>
        <v>0</v>
      </c>
      <c r="EV43" s="1225">
        <f>$G43*CA43*Variables!$B$53*HLOOKUP($EK$2,Variables!$B$60:$F$61,2,FALSE)</f>
        <v>0</v>
      </c>
      <c r="EW43" s="872">
        <f t="shared" si="6"/>
        <v>0</v>
      </c>
      <c r="EX43" s="872"/>
      <c r="EY43" s="872"/>
      <c r="EZ43" s="872"/>
      <c r="FA43" s="1332"/>
      <c r="FC43" s="958" t="str">
        <f t="shared" si="8"/>
        <v/>
      </c>
      <c r="FD43" s="959" t="str">
        <f t="shared" si="9"/>
        <v/>
      </c>
      <c r="FE43" s="959" t="s">
        <v>8407</v>
      </c>
      <c r="FF43" s="959" t="str">
        <f>IF(ISNA(VLOOKUP(FC43,Miscellaneous!E:F,2,0)),"",VLOOKUP(FC43,Miscellaneous!E:F,2,0))</f>
        <v/>
      </c>
      <c r="FG43" s="959" t="str">
        <f t="shared" si="10"/>
        <v/>
      </c>
      <c r="FH43" s="996">
        <f>IF($FG43="Opex",SUMIF('Monthly Summary'!$C$75:$N$75,"",CC43:CN43),SUMIF('Monthly Summary'!$C$74:$N$74,"",CC43:CN43))</f>
        <v>0</v>
      </c>
      <c r="FI43" s="996">
        <f>IF($FG43="Opex",SUMIF('Monthly Summary'!$O$75:$Z$75,"",CO43:CZ43),SUMIF('Monthly Summary'!$O$74:$Z$74,"",CO43:CZ43))</f>
        <v>0</v>
      </c>
      <c r="FJ43" s="996">
        <f>IF($FG43="Opex",SUMIF('Monthly Summary'!$AA$75:$AL$75,"",DA43:DL43),SUMIF('Monthly Summary'!$AA$74:$AL$74,"",DA43:DL43))</f>
        <v>0</v>
      </c>
      <c r="FK43" s="996">
        <f>IF($FG43="Opex",SUMIF('Monthly Summary'!$AM$75:$AX$75,"",DM43:DX43),SUMIF('Monthly Summary'!$AM$74:$AX$74,"",DM43:DX43))</f>
        <v>0</v>
      </c>
      <c r="FL43" s="996">
        <f>IF($FG43="Opex",SUMIF('Monthly Summary'!$AY$75:$BJ$75,"",DY43:EJ43),SUMIF('Monthly Summary'!$AY$74:$BJ$74,"",DY43:EJ43))</f>
        <v>0</v>
      </c>
      <c r="FM43" s="997">
        <f>IF($FG43="Opex",SUMIF('Monthly Summary'!$BK$75:$BV$75,"",EK43:EV43),SUMIF('Monthly Summary'!$BK$74:$BV$74,"",EK43:EV43))</f>
        <v>0</v>
      </c>
      <c r="FN43" s="997">
        <f t="shared" si="7"/>
        <v>0</v>
      </c>
    </row>
    <row r="44" spans="3:170">
      <c r="C44" s="757"/>
      <c r="D44" s="757"/>
      <c r="E44" s="758"/>
      <c r="F44" s="758"/>
      <c r="G44" s="758"/>
      <c r="H44" s="1215"/>
      <c r="I44" s="761"/>
      <c r="J44" s="761"/>
      <c r="K44" s="761"/>
      <c r="L44" s="761"/>
      <c r="M44" s="761"/>
      <c r="N44" s="761"/>
      <c r="O44" s="761"/>
      <c r="P44" s="761"/>
      <c r="Q44" s="761"/>
      <c r="R44" s="761"/>
      <c r="S44" s="1216"/>
      <c r="T44" s="1215"/>
      <c r="U44" s="761"/>
      <c r="V44" s="761"/>
      <c r="W44" s="761"/>
      <c r="X44" s="761"/>
      <c r="Y44" s="761"/>
      <c r="Z44" s="761"/>
      <c r="AA44" s="761"/>
      <c r="AB44" s="761"/>
      <c r="AC44" s="761"/>
      <c r="AD44" s="761"/>
      <c r="AE44" s="1216"/>
      <c r="AF44" s="1215"/>
      <c r="AG44" s="761"/>
      <c r="AH44" s="761"/>
      <c r="AI44" s="761"/>
      <c r="AJ44" s="761"/>
      <c r="AK44" s="761"/>
      <c r="AL44" s="761"/>
      <c r="AM44" s="761"/>
      <c r="AN44" s="761"/>
      <c r="AO44" s="761"/>
      <c r="AP44" s="761"/>
      <c r="AQ44" s="1216"/>
      <c r="AR44" s="1215"/>
      <c r="AS44" s="761"/>
      <c r="AT44" s="761"/>
      <c r="AU44" s="761"/>
      <c r="AV44" s="761"/>
      <c r="AW44" s="761"/>
      <c r="AX44" s="761"/>
      <c r="AY44" s="761"/>
      <c r="AZ44" s="761"/>
      <c r="BA44" s="761"/>
      <c r="BB44" s="761"/>
      <c r="BC44" s="1216"/>
      <c r="BD44" s="1215"/>
      <c r="BE44" s="761"/>
      <c r="BF44" s="761"/>
      <c r="BG44" s="761"/>
      <c r="BH44" s="761"/>
      <c r="BI44" s="761"/>
      <c r="BJ44" s="761"/>
      <c r="BK44" s="761"/>
      <c r="BL44" s="761"/>
      <c r="BM44" s="761"/>
      <c r="BN44" s="761"/>
      <c r="BO44" s="1216"/>
      <c r="BP44" s="1215"/>
      <c r="BQ44" s="761"/>
      <c r="BR44" s="761"/>
      <c r="BS44" s="761"/>
      <c r="BT44" s="761"/>
      <c r="BU44" s="761"/>
      <c r="BV44" s="761"/>
      <c r="BW44" s="761"/>
      <c r="BX44" s="761"/>
      <c r="BY44" s="761"/>
      <c r="BZ44" s="761"/>
      <c r="CA44" s="1216"/>
      <c r="CB44" s="747"/>
      <c r="CC44" s="1222">
        <f>$G44*H44*Variables!$B$53</f>
        <v>0</v>
      </c>
      <c r="CD44" s="1223">
        <f>$G44*I44*Variables!$B$53</f>
        <v>0</v>
      </c>
      <c r="CE44" s="1223">
        <f>$G44*J44*Variables!$B$53</f>
        <v>0</v>
      </c>
      <c r="CF44" s="1223">
        <f>$G44*K44*Variables!$B$53</f>
        <v>0</v>
      </c>
      <c r="CG44" s="1223">
        <f>$G44*L44*Variables!$B$53</f>
        <v>0</v>
      </c>
      <c r="CH44" s="1223">
        <f>$G44*M44*Variables!$B$53</f>
        <v>0</v>
      </c>
      <c r="CI44" s="1223">
        <f>$G44*N44*Variables!$B$53</f>
        <v>0</v>
      </c>
      <c r="CJ44" s="1223">
        <f>$G44*O44*Variables!$B$53</f>
        <v>0</v>
      </c>
      <c r="CK44" s="1223">
        <f>$G44*P44*Variables!$B$53</f>
        <v>0</v>
      </c>
      <c r="CL44" s="1223">
        <f>$G44*Q44*Variables!$B$53</f>
        <v>0</v>
      </c>
      <c r="CM44" s="1223">
        <f>$G44*R44*Variables!$B$53</f>
        <v>0</v>
      </c>
      <c r="CN44" s="1225">
        <f>$G44*S44*Variables!$B$53</f>
        <v>0</v>
      </c>
      <c r="CO44" s="1222">
        <f>$G44*T44*Variables!$B$53*HLOOKUP($CO$2,Variables!$B$60:$F$61,2,FALSE)</f>
        <v>0</v>
      </c>
      <c r="CP44" s="1223">
        <f>$G44*U44*Variables!$B$53*HLOOKUP($CO$2,Variables!$B$60:$F$61,2,FALSE)</f>
        <v>0</v>
      </c>
      <c r="CQ44" s="1223">
        <f>$G44*V44*Variables!$B$53*HLOOKUP($CO$2,Variables!$B$60:$F$61,2,FALSE)</f>
        <v>0</v>
      </c>
      <c r="CR44" s="1223">
        <f>$G44*W44*Variables!$B$53*HLOOKUP($CO$2,Variables!$B$60:$F$61,2,FALSE)</f>
        <v>0</v>
      </c>
      <c r="CS44" s="1223">
        <f>$G44*X44*Variables!$B$53*HLOOKUP($CO$2,Variables!$B$60:$F$61,2,FALSE)</f>
        <v>0</v>
      </c>
      <c r="CT44" s="1223">
        <f>$G44*Y44*Variables!$B$53*HLOOKUP($CO$2,Variables!$B$60:$F$61,2,FALSE)</f>
        <v>0</v>
      </c>
      <c r="CU44" s="1223">
        <f>$G44*Z44*Variables!$B$53*HLOOKUP($CO$2,Variables!$B$60:$F$61,2,FALSE)</f>
        <v>0</v>
      </c>
      <c r="CV44" s="1223">
        <f>$G44*AA44*Variables!$B$53*HLOOKUP($CO$2,Variables!$B$60:$F$61,2,FALSE)</f>
        <v>0</v>
      </c>
      <c r="CW44" s="1223">
        <f>$G44*AB44*Variables!$B$53*HLOOKUP($CO$2,Variables!$B$60:$F$61,2,FALSE)</f>
        <v>0</v>
      </c>
      <c r="CX44" s="1223">
        <f>$G44*AC44*Variables!$B$53*HLOOKUP($CO$2,Variables!$B$60:$F$61,2,FALSE)</f>
        <v>0</v>
      </c>
      <c r="CY44" s="1223">
        <f>$G44*AD44*Variables!$B$53*HLOOKUP($CO$2,Variables!$B$60:$F$61,2,FALSE)</f>
        <v>0</v>
      </c>
      <c r="CZ44" s="1225">
        <f>$G44*AE44*Variables!$B$53*HLOOKUP($CO$2,Variables!$B$60:$F$61,2,FALSE)</f>
        <v>0</v>
      </c>
      <c r="DA44" s="1222">
        <f>$G44*AF44*Variables!$B$53*HLOOKUP($DA$2,Variables!$B$60:$F$61,2,FALSE)</f>
        <v>0</v>
      </c>
      <c r="DB44" s="1223">
        <f>$G44*AG44*Variables!$B$53*HLOOKUP($DA$2,Variables!$B$60:$F$61,2,FALSE)</f>
        <v>0</v>
      </c>
      <c r="DC44" s="1223">
        <f>$G44*AH44*Variables!$B$53*HLOOKUP($DA$2,Variables!$B$60:$F$61,2,FALSE)</f>
        <v>0</v>
      </c>
      <c r="DD44" s="1223">
        <f>$G44*AI44*Variables!$B$53*HLOOKUP($DA$2,Variables!$B$60:$F$61,2,FALSE)</f>
        <v>0</v>
      </c>
      <c r="DE44" s="1223">
        <f>$G44*AJ44*Variables!$B$53*HLOOKUP($DA$2,Variables!$B$60:$F$61,2,FALSE)</f>
        <v>0</v>
      </c>
      <c r="DF44" s="1223">
        <f>$G44*AK44*Variables!$B$53*HLOOKUP($DA$2,Variables!$B$60:$F$61,2,FALSE)</f>
        <v>0</v>
      </c>
      <c r="DG44" s="1223">
        <f>$G44*AL44*Variables!$B$53*HLOOKUP($DA$2,Variables!$B$60:$F$61,2,FALSE)</f>
        <v>0</v>
      </c>
      <c r="DH44" s="1223">
        <f>$G44*AM44*Variables!$B$53*HLOOKUP($DA$2,Variables!$B$60:$F$61,2,FALSE)</f>
        <v>0</v>
      </c>
      <c r="DI44" s="1223">
        <f>$G44*AN44*Variables!$B$53*HLOOKUP($DA$2,Variables!$B$60:$F$61,2,FALSE)</f>
        <v>0</v>
      </c>
      <c r="DJ44" s="1223">
        <f>$G44*AO44*Variables!$B$53*HLOOKUP($DA$2,Variables!$B$60:$F$61,2,FALSE)</f>
        <v>0</v>
      </c>
      <c r="DK44" s="1223">
        <f>$G44*AP44*Variables!$B$53*HLOOKUP($DA$2,Variables!$B$60:$F$61,2,FALSE)</f>
        <v>0</v>
      </c>
      <c r="DL44" s="1225">
        <f>$G44*AQ44*Variables!$B$53*HLOOKUP($DA$2,Variables!$B$60:$F$61,2,FALSE)</f>
        <v>0</v>
      </c>
      <c r="DM44" s="1222">
        <f>$G44*AR44*Variables!$B$53*HLOOKUP($DM$2,Variables!$B$60:$F$61,2,FALSE)</f>
        <v>0</v>
      </c>
      <c r="DN44" s="1223">
        <f>$G44*AS44*Variables!$B$53*HLOOKUP($DM$2,Variables!$B$60:$F$61,2,FALSE)</f>
        <v>0</v>
      </c>
      <c r="DO44" s="1223">
        <f>$G44*AT44*Variables!$B$53*HLOOKUP($DM$2,Variables!$B$60:$F$61,2,FALSE)</f>
        <v>0</v>
      </c>
      <c r="DP44" s="1223">
        <f>$G44*AU44*Variables!$B$53*HLOOKUP($DM$2,Variables!$B$60:$F$61,2,FALSE)</f>
        <v>0</v>
      </c>
      <c r="DQ44" s="1223">
        <f>$G44*AV44*Variables!$B$53*HLOOKUP($DM$2,Variables!$B$60:$F$61,2,FALSE)</f>
        <v>0</v>
      </c>
      <c r="DR44" s="1223">
        <f>$G44*AW44*Variables!$B$53*HLOOKUP($DM$2,Variables!$B$60:$F$61,2,FALSE)</f>
        <v>0</v>
      </c>
      <c r="DS44" s="1223">
        <f>$G44*AX44*Variables!$B$53*HLOOKUP($DM$2,Variables!$B$60:$F$61,2,FALSE)</f>
        <v>0</v>
      </c>
      <c r="DT44" s="1223">
        <f>$G44*AY44*Variables!$B$53*HLOOKUP($DM$2,Variables!$B$60:$F$61,2,FALSE)</f>
        <v>0</v>
      </c>
      <c r="DU44" s="1223">
        <f>$G44*AZ44*Variables!$B$53*HLOOKUP($DM$2,Variables!$B$60:$F$61,2,FALSE)</f>
        <v>0</v>
      </c>
      <c r="DV44" s="1223">
        <f>$G44*BA44*Variables!$B$53*HLOOKUP($DM$2,Variables!$B$60:$F$61,2,FALSE)</f>
        <v>0</v>
      </c>
      <c r="DW44" s="1223">
        <f>$G44*BB44*Variables!$B$53*HLOOKUP($DM$2,Variables!$B$60:$F$61,2,FALSE)</f>
        <v>0</v>
      </c>
      <c r="DX44" s="1225">
        <f>$G44*BC44*Variables!$B$53*HLOOKUP($DM$2,Variables!$B$60:$F$61,2,FALSE)</f>
        <v>0</v>
      </c>
      <c r="DY44" s="1222">
        <f>$G44*BD44*Variables!$B$53*HLOOKUP($DY$2,Variables!$B$60:$F$61,2,FALSE)</f>
        <v>0</v>
      </c>
      <c r="DZ44" s="1223">
        <f>$G44*BE44*Variables!$B$53*HLOOKUP($DY$2,Variables!$B$60:$F$61,2,FALSE)</f>
        <v>0</v>
      </c>
      <c r="EA44" s="1223">
        <f>$G44*BF44*Variables!$B$53*HLOOKUP($DY$2,Variables!$B$60:$F$61,2,FALSE)</f>
        <v>0</v>
      </c>
      <c r="EB44" s="1223">
        <f>$G44*BG44*Variables!$B$53*HLOOKUP($DY$2,Variables!$B$60:$F$61,2,FALSE)</f>
        <v>0</v>
      </c>
      <c r="EC44" s="1223">
        <f>$G44*BH44*Variables!$B$53*HLOOKUP($DY$2,Variables!$B$60:$F$61,2,FALSE)</f>
        <v>0</v>
      </c>
      <c r="ED44" s="1223">
        <f>$G44*BI44*Variables!$B$53*HLOOKUP($DY$2,Variables!$B$60:$F$61,2,FALSE)</f>
        <v>0</v>
      </c>
      <c r="EE44" s="1223">
        <f>$G44*BJ44*Variables!$B$53*HLOOKUP($DY$2,Variables!$B$60:$F$61,2,FALSE)</f>
        <v>0</v>
      </c>
      <c r="EF44" s="1223">
        <f>$G44*BK44*Variables!$B$53*HLOOKUP($DY$2,Variables!$B$60:$F$61,2,FALSE)</f>
        <v>0</v>
      </c>
      <c r="EG44" s="1223">
        <f>$G44*BL44*Variables!$B$53*HLOOKUP($DY$2,Variables!$B$60:$F$61,2,FALSE)</f>
        <v>0</v>
      </c>
      <c r="EH44" s="1223">
        <f>$G44*BM44*Variables!$B$53*HLOOKUP($DY$2,Variables!$B$60:$F$61,2,FALSE)</f>
        <v>0</v>
      </c>
      <c r="EI44" s="1223">
        <f>$G44*BN44*Variables!$B$53*HLOOKUP($DY$2,Variables!$B$60:$F$61,2,FALSE)</f>
        <v>0</v>
      </c>
      <c r="EJ44" s="1225">
        <f>$G44*BO44*Variables!$B$53*HLOOKUP($DY$2,Variables!$B$60:$F$61,2,FALSE)</f>
        <v>0</v>
      </c>
      <c r="EK44" s="1222">
        <f>$G44*BP44*Variables!$B$53*HLOOKUP($EK$2,Variables!$B$60:$F$61,2,FALSE)</f>
        <v>0</v>
      </c>
      <c r="EL44" s="1223">
        <f>$G44*BQ44*Variables!$B$53*HLOOKUP($EK$2,Variables!$B$60:$F$61,2,FALSE)</f>
        <v>0</v>
      </c>
      <c r="EM44" s="1223">
        <f>$G44*BR44*Variables!$B$53*HLOOKUP($EK$2,Variables!$B$60:$F$61,2,FALSE)</f>
        <v>0</v>
      </c>
      <c r="EN44" s="1223">
        <f>$G44*BS44*Variables!$B$53*HLOOKUP($EK$2,Variables!$B$60:$F$61,2,FALSE)</f>
        <v>0</v>
      </c>
      <c r="EO44" s="1223">
        <f>$G44*BT44*Variables!$B$53*HLOOKUP($EK$2,Variables!$B$60:$F$61,2,FALSE)</f>
        <v>0</v>
      </c>
      <c r="EP44" s="1223">
        <f>$G44*BU44*Variables!$B$53*HLOOKUP($EK$2,Variables!$B$60:$F$61,2,FALSE)</f>
        <v>0</v>
      </c>
      <c r="EQ44" s="1223">
        <f>$G44*BV44*Variables!$B$53*HLOOKUP($EK$2,Variables!$B$60:$F$61,2,FALSE)</f>
        <v>0</v>
      </c>
      <c r="ER44" s="1223">
        <f>$G44*BW44*Variables!$B$53*HLOOKUP($EK$2,Variables!$B$60:$F$61,2,FALSE)</f>
        <v>0</v>
      </c>
      <c r="ES44" s="1223">
        <f>$G44*BX44*Variables!$B$53*HLOOKUP($EK$2,Variables!$B$60:$F$61,2,FALSE)</f>
        <v>0</v>
      </c>
      <c r="ET44" s="1223">
        <f>$G44*BY44*Variables!$B$53*HLOOKUP($EK$2,Variables!$B$60:$F$61,2,FALSE)</f>
        <v>0</v>
      </c>
      <c r="EU44" s="1223">
        <f>$G44*BZ44*Variables!$B$53*HLOOKUP($EK$2,Variables!$B$60:$F$61,2,FALSE)</f>
        <v>0</v>
      </c>
      <c r="EV44" s="1225">
        <f>$G44*CA44*Variables!$B$53*HLOOKUP($EK$2,Variables!$B$60:$F$61,2,FALSE)</f>
        <v>0</v>
      </c>
      <c r="EW44" s="872">
        <f t="shared" si="6"/>
        <v>0</v>
      </c>
      <c r="EX44" s="872"/>
      <c r="EY44" s="872"/>
      <c r="EZ44" s="872"/>
      <c r="FA44" s="1332"/>
      <c r="FC44" s="958" t="str">
        <f t="shared" si="8"/>
        <v/>
      </c>
      <c r="FD44" s="959" t="str">
        <f t="shared" si="9"/>
        <v/>
      </c>
      <c r="FE44" s="959" t="s">
        <v>8407</v>
      </c>
      <c r="FF44" s="959" t="str">
        <f>IF(ISNA(VLOOKUP(FC44,Miscellaneous!E:F,2,0)),"",VLOOKUP(FC44,Miscellaneous!E:F,2,0))</f>
        <v/>
      </c>
      <c r="FG44" s="959" t="str">
        <f t="shared" si="10"/>
        <v/>
      </c>
      <c r="FH44" s="996">
        <f>IF($FG44="Opex",SUMIF('Monthly Summary'!$C$75:$N$75,"",CC44:CN44),SUMIF('Monthly Summary'!$C$74:$N$74,"",CC44:CN44))</f>
        <v>0</v>
      </c>
      <c r="FI44" s="996">
        <f>IF($FG44="Opex",SUMIF('Monthly Summary'!$O$75:$Z$75,"",CO44:CZ44),SUMIF('Monthly Summary'!$O$74:$Z$74,"",CO44:CZ44))</f>
        <v>0</v>
      </c>
      <c r="FJ44" s="996">
        <f>IF($FG44="Opex",SUMIF('Monthly Summary'!$AA$75:$AL$75,"",DA44:DL44),SUMIF('Monthly Summary'!$AA$74:$AL$74,"",DA44:DL44))</f>
        <v>0</v>
      </c>
      <c r="FK44" s="996">
        <f>IF($FG44="Opex",SUMIF('Monthly Summary'!$AM$75:$AX$75,"",DM44:DX44),SUMIF('Monthly Summary'!$AM$74:$AX$74,"",DM44:DX44))</f>
        <v>0</v>
      </c>
      <c r="FL44" s="996">
        <f>IF($FG44="Opex",SUMIF('Monthly Summary'!$AY$75:$BJ$75,"",DY44:EJ44),SUMIF('Monthly Summary'!$AY$74:$BJ$74,"",DY44:EJ44))</f>
        <v>0</v>
      </c>
      <c r="FM44" s="997">
        <f>IF($FG44="Opex",SUMIF('Monthly Summary'!$BK$75:$BV$75,"",EK44:EV44),SUMIF('Monthly Summary'!$BK$74:$BV$74,"",EK44:EV44))</f>
        <v>0</v>
      </c>
      <c r="FN44" s="997">
        <f t="shared" si="7"/>
        <v>0</v>
      </c>
    </row>
    <row r="45" spans="3:170">
      <c r="C45" s="757"/>
      <c r="D45" s="757"/>
      <c r="E45" s="758"/>
      <c r="F45" s="758"/>
      <c r="G45" s="758"/>
      <c r="H45" s="1215"/>
      <c r="I45" s="761"/>
      <c r="J45" s="761"/>
      <c r="K45" s="761"/>
      <c r="L45" s="761"/>
      <c r="M45" s="761"/>
      <c r="N45" s="761"/>
      <c r="O45" s="761"/>
      <c r="P45" s="761"/>
      <c r="Q45" s="761"/>
      <c r="R45" s="761"/>
      <c r="S45" s="1216"/>
      <c r="T45" s="1215"/>
      <c r="U45" s="761"/>
      <c r="V45" s="761"/>
      <c r="W45" s="761"/>
      <c r="X45" s="761"/>
      <c r="Y45" s="761"/>
      <c r="Z45" s="761"/>
      <c r="AA45" s="761"/>
      <c r="AB45" s="761"/>
      <c r="AC45" s="761"/>
      <c r="AD45" s="761"/>
      <c r="AE45" s="1216"/>
      <c r="AF45" s="1215"/>
      <c r="AG45" s="761"/>
      <c r="AH45" s="761"/>
      <c r="AI45" s="761"/>
      <c r="AJ45" s="761"/>
      <c r="AK45" s="761"/>
      <c r="AL45" s="761"/>
      <c r="AM45" s="761"/>
      <c r="AN45" s="761"/>
      <c r="AO45" s="761"/>
      <c r="AP45" s="761"/>
      <c r="AQ45" s="1216"/>
      <c r="AR45" s="1215"/>
      <c r="AS45" s="761"/>
      <c r="AT45" s="761"/>
      <c r="AU45" s="761"/>
      <c r="AV45" s="761"/>
      <c r="AW45" s="761"/>
      <c r="AX45" s="761"/>
      <c r="AY45" s="761"/>
      <c r="AZ45" s="761"/>
      <c r="BA45" s="761"/>
      <c r="BB45" s="761"/>
      <c r="BC45" s="1216"/>
      <c r="BD45" s="1215"/>
      <c r="BE45" s="761"/>
      <c r="BF45" s="761"/>
      <c r="BG45" s="761"/>
      <c r="BH45" s="761"/>
      <c r="BI45" s="761"/>
      <c r="BJ45" s="761"/>
      <c r="BK45" s="761"/>
      <c r="BL45" s="761"/>
      <c r="BM45" s="761"/>
      <c r="BN45" s="761"/>
      <c r="BO45" s="1216"/>
      <c r="BP45" s="1215"/>
      <c r="BQ45" s="761"/>
      <c r="BR45" s="761"/>
      <c r="BS45" s="761"/>
      <c r="BT45" s="761"/>
      <c r="BU45" s="761"/>
      <c r="BV45" s="761"/>
      <c r="BW45" s="761"/>
      <c r="BX45" s="761"/>
      <c r="BY45" s="761"/>
      <c r="BZ45" s="761"/>
      <c r="CA45" s="1216"/>
      <c r="CB45" s="747"/>
      <c r="CC45" s="1222">
        <f>$G45*H45*Variables!$B$53</f>
        <v>0</v>
      </c>
      <c r="CD45" s="1223">
        <f>$G45*I45*Variables!$B$53</f>
        <v>0</v>
      </c>
      <c r="CE45" s="1223">
        <f>$G45*J45*Variables!$B$53</f>
        <v>0</v>
      </c>
      <c r="CF45" s="1223">
        <f>$G45*K45*Variables!$B$53</f>
        <v>0</v>
      </c>
      <c r="CG45" s="1223">
        <f>$G45*L45*Variables!$B$53</f>
        <v>0</v>
      </c>
      <c r="CH45" s="1223">
        <f>$G45*M45*Variables!$B$53</f>
        <v>0</v>
      </c>
      <c r="CI45" s="1223">
        <f>$G45*N45*Variables!$B$53</f>
        <v>0</v>
      </c>
      <c r="CJ45" s="1223">
        <f>$G45*O45*Variables!$B$53</f>
        <v>0</v>
      </c>
      <c r="CK45" s="1223">
        <f>$G45*P45*Variables!$B$53</f>
        <v>0</v>
      </c>
      <c r="CL45" s="1223">
        <f>$G45*Q45*Variables!$B$53</f>
        <v>0</v>
      </c>
      <c r="CM45" s="1223">
        <f>$G45*R45*Variables!$B$53</f>
        <v>0</v>
      </c>
      <c r="CN45" s="1225">
        <f>$G45*S45*Variables!$B$53</f>
        <v>0</v>
      </c>
      <c r="CO45" s="1222">
        <f>$G45*T45*Variables!$B$53*HLOOKUP($CO$2,Variables!$B$60:$F$61,2,FALSE)</f>
        <v>0</v>
      </c>
      <c r="CP45" s="1223">
        <f>$G45*U45*Variables!$B$53*HLOOKUP($CO$2,Variables!$B$60:$F$61,2,FALSE)</f>
        <v>0</v>
      </c>
      <c r="CQ45" s="1223">
        <f>$G45*V45*Variables!$B$53*HLOOKUP($CO$2,Variables!$B$60:$F$61,2,FALSE)</f>
        <v>0</v>
      </c>
      <c r="CR45" s="1223">
        <f>$G45*W45*Variables!$B$53*HLOOKUP($CO$2,Variables!$B$60:$F$61,2,FALSE)</f>
        <v>0</v>
      </c>
      <c r="CS45" s="1223">
        <f>$G45*X45*Variables!$B$53*HLOOKUP($CO$2,Variables!$B$60:$F$61,2,FALSE)</f>
        <v>0</v>
      </c>
      <c r="CT45" s="1223">
        <f>$G45*Y45*Variables!$B$53*HLOOKUP($CO$2,Variables!$B$60:$F$61,2,FALSE)</f>
        <v>0</v>
      </c>
      <c r="CU45" s="1223">
        <f>$G45*Z45*Variables!$B$53*HLOOKUP($CO$2,Variables!$B$60:$F$61,2,FALSE)</f>
        <v>0</v>
      </c>
      <c r="CV45" s="1223">
        <f>$G45*AA45*Variables!$B$53*HLOOKUP($CO$2,Variables!$B$60:$F$61,2,FALSE)</f>
        <v>0</v>
      </c>
      <c r="CW45" s="1223">
        <f>$G45*AB45*Variables!$B$53*HLOOKUP($CO$2,Variables!$B$60:$F$61,2,FALSE)</f>
        <v>0</v>
      </c>
      <c r="CX45" s="1223">
        <f>$G45*AC45*Variables!$B$53*HLOOKUP($CO$2,Variables!$B$60:$F$61,2,FALSE)</f>
        <v>0</v>
      </c>
      <c r="CY45" s="1223">
        <f>$G45*AD45*Variables!$B$53*HLOOKUP($CO$2,Variables!$B$60:$F$61,2,FALSE)</f>
        <v>0</v>
      </c>
      <c r="CZ45" s="1225">
        <f>$G45*AE45*Variables!$B$53*HLOOKUP($CO$2,Variables!$B$60:$F$61,2,FALSE)</f>
        <v>0</v>
      </c>
      <c r="DA45" s="1222">
        <f>$G45*AF45*Variables!$B$53*HLOOKUP($DA$2,Variables!$B$60:$F$61,2,FALSE)</f>
        <v>0</v>
      </c>
      <c r="DB45" s="1223">
        <f>$G45*AG45*Variables!$B$53*HLOOKUP($DA$2,Variables!$B$60:$F$61,2,FALSE)</f>
        <v>0</v>
      </c>
      <c r="DC45" s="1223">
        <f>$G45*AH45*Variables!$B$53*HLOOKUP($DA$2,Variables!$B$60:$F$61,2,FALSE)</f>
        <v>0</v>
      </c>
      <c r="DD45" s="1223">
        <f>$G45*AI45*Variables!$B$53*HLOOKUP($DA$2,Variables!$B$60:$F$61,2,FALSE)</f>
        <v>0</v>
      </c>
      <c r="DE45" s="1223">
        <f>$G45*AJ45*Variables!$B$53*HLOOKUP($DA$2,Variables!$B$60:$F$61,2,FALSE)</f>
        <v>0</v>
      </c>
      <c r="DF45" s="1223">
        <f>$G45*AK45*Variables!$B$53*HLOOKUP($DA$2,Variables!$B$60:$F$61,2,FALSE)</f>
        <v>0</v>
      </c>
      <c r="DG45" s="1223">
        <f>$G45*AL45*Variables!$B$53*HLOOKUP($DA$2,Variables!$B$60:$F$61,2,FALSE)</f>
        <v>0</v>
      </c>
      <c r="DH45" s="1223">
        <f>$G45*AM45*Variables!$B$53*HLOOKUP($DA$2,Variables!$B$60:$F$61,2,FALSE)</f>
        <v>0</v>
      </c>
      <c r="DI45" s="1223">
        <f>$G45*AN45*Variables!$B$53*HLOOKUP($DA$2,Variables!$B$60:$F$61,2,FALSE)</f>
        <v>0</v>
      </c>
      <c r="DJ45" s="1223">
        <f>$G45*AO45*Variables!$B$53*HLOOKUP($DA$2,Variables!$B$60:$F$61,2,FALSE)</f>
        <v>0</v>
      </c>
      <c r="DK45" s="1223">
        <f>$G45*AP45*Variables!$B$53*HLOOKUP($DA$2,Variables!$B$60:$F$61,2,FALSE)</f>
        <v>0</v>
      </c>
      <c r="DL45" s="1225">
        <f>$G45*AQ45*Variables!$B$53*HLOOKUP($DA$2,Variables!$B$60:$F$61,2,FALSE)</f>
        <v>0</v>
      </c>
      <c r="DM45" s="1222">
        <f>$G45*AR45*Variables!$B$53*HLOOKUP($DM$2,Variables!$B$60:$F$61,2,FALSE)</f>
        <v>0</v>
      </c>
      <c r="DN45" s="1223">
        <f>$G45*AS45*Variables!$B$53*HLOOKUP($DM$2,Variables!$B$60:$F$61,2,FALSE)</f>
        <v>0</v>
      </c>
      <c r="DO45" s="1223">
        <f>$G45*AT45*Variables!$B$53*HLOOKUP($DM$2,Variables!$B$60:$F$61,2,FALSE)</f>
        <v>0</v>
      </c>
      <c r="DP45" s="1223">
        <f>$G45*AU45*Variables!$B$53*HLOOKUP($DM$2,Variables!$B$60:$F$61,2,FALSE)</f>
        <v>0</v>
      </c>
      <c r="DQ45" s="1223">
        <f>$G45*AV45*Variables!$B$53*HLOOKUP($DM$2,Variables!$B$60:$F$61,2,FALSE)</f>
        <v>0</v>
      </c>
      <c r="DR45" s="1223">
        <f>$G45*AW45*Variables!$B$53*HLOOKUP($DM$2,Variables!$B$60:$F$61,2,FALSE)</f>
        <v>0</v>
      </c>
      <c r="DS45" s="1223">
        <f>$G45*AX45*Variables!$B$53*HLOOKUP($DM$2,Variables!$B$60:$F$61,2,FALSE)</f>
        <v>0</v>
      </c>
      <c r="DT45" s="1223">
        <f>$G45*AY45*Variables!$B$53*HLOOKUP($DM$2,Variables!$B$60:$F$61,2,FALSE)</f>
        <v>0</v>
      </c>
      <c r="DU45" s="1223">
        <f>$G45*AZ45*Variables!$B$53*HLOOKUP($DM$2,Variables!$B$60:$F$61,2,FALSE)</f>
        <v>0</v>
      </c>
      <c r="DV45" s="1223">
        <f>$G45*BA45*Variables!$B$53*HLOOKUP($DM$2,Variables!$B$60:$F$61,2,FALSE)</f>
        <v>0</v>
      </c>
      <c r="DW45" s="1223">
        <f>$G45*BB45*Variables!$B$53*HLOOKUP($DM$2,Variables!$B$60:$F$61,2,FALSE)</f>
        <v>0</v>
      </c>
      <c r="DX45" s="1225">
        <f>$G45*BC45*Variables!$B$53*HLOOKUP($DM$2,Variables!$B$60:$F$61,2,FALSE)</f>
        <v>0</v>
      </c>
      <c r="DY45" s="1222">
        <f>$G45*BD45*Variables!$B$53*HLOOKUP($DY$2,Variables!$B$60:$F$61,2,FALSE)</f>
        <v>0</v>
      </c>
      <c r="DZ45" s="1223">
        <f>$G45*BE45*Variables!$B$53*HLOOKUP($DY$2,Variables!$B$60:$F$61,2,FALSE)</f>
        <v>0</v>
      </c>
      <c r="EA45" s="1223">
        <f>$G45*BF45*Variables!$B$53*HLOOKUP($DY$2,Variables!$B$60:$F$61,2,FALSE)</f>
        <v>0</v>
      </c>
      <c r="EB45" s="1223">
        <f>$G45*BG45*Variables!$B$53*HLOOKUP($DY$2,Variables!$B$60:$F$61,2,FALSE)</f>
        <v>0</v>
      </c>
      <c r="EC45" s="1223">
        <f>$G45*BH45*Variables!$B$53*HLOOKUP($DY$2,Variables!$B$60:$F$61,2,FALSE)</f>
        <v>0</v>
      </c>
      <c r="ED45" s="1223">
        <f>$G45*BI45*Variables!$B$53*HLOOKUP($DY$2,Variables!$B$60:$F$61,2,FALSE)</f>
        <v>0</v>
      </c>
      <c r="EE45" s="1223">
        <f>$G45*BJ45*Variables!$B$53*HLOOKUP($DY$2,Variables!$B$60:$F$61,2,FALSE)</f>
        <v>0</v>
      </c>
      <c r="EF45" s="1223">
        <f>$G45*BK45*Variables!$B$53*HLOOKUP($DY$2,Variables!$B$60:$F$61,2,FALSE)</f>
        <v>0</v>
      </c>
      <c r="EG45" s="1223">
        <f>$G45*BL45*Variables!$B$53*HLOOKUP($DY$2,Variables!$B$60:$F$61,2,FALSE)</f>
        <v>0</v>
      </c>
      <c r="EH45" s="1223">
        <f>$G45*BM45*Variables!$B$53*HLOOKUP($DY$2,Variables!$B$60:$F$61,2,FALSE)</f>
        <v>0</v>
      </c>
      <c r="EI45" s="1223">
        <f>$G45*BN45*Variables!$B$53*HLOOKUP($DY$2,Variables!$B$60:$F$61,2,FALSE)</f>
        <v>0</v>
      </c>
      <c r="EJ45" s="1225">
        <f>$G45*BO45*Variables!$B$53*HLOOKUP($DY$2,Variables!$B$60:$F$61,2,FALSE)</f>
        <v>0</v>
      </c>
      <c r="EK45" s="1222">
        <f>$G45*BP45*Variables!$B$53*HLOOKUP($EK$2,Variables!$B$60:$F$61,2,FALSE)</f>
        <v>0</v>
      </c>
      <c r="EL45" s="1223">
        <f>$G45*BQ45*Variables!$B$53*HLOOKUP($EK$2,Variables!$B$60:$F$61,2,FALSE)</f>
        <v>0</v>
      </c>
      <c r="EM45" s="1223">
        <f>$G45*BR45*Variables!$B$53*HLOOKUP($EK$2,Variables!$B$60:$F$61,2,FALSE)</f>
        <v>0</v>
      </c>
      <c r="EN45" s="1223">
        <f>$G45*BS45*Variables!$B$53*HLOOKUP($EK$2,Variables!$B$60:$F$61,2,FALSE)</f>
        <v>0</v>
      </c>
      <c r="EO45" s="1223">
        <f>$G45*BT45*Variables!$B$53*HLOOKUP($EK$2,Variables!$B$60:$F$61,2,FALSE)</f>
        <v>0</v>
      </c>
      <c r="EP45" s="1223">
        <f>$G45*BU45*Variables!$B$53*HLOOKUP($EK$2,Variables!$B$60:$F$61,2,FALSE)</f>
        <v>0</v>
      </c>
      <c r="EQ45" s="1223">
        <f>$G45*BV45*Variables!$B$53*HLOOKUP($EK$2,Variables!$B$60:$F$61,2,FALSE)</f>
        <v>0</v>
      </c>
      <c r="ER45" s="1223">
        <f>$G45*BW45*Variables!$B$53*HLOOKUP($EK$2,Variables!$B$60:$F$61,2,FALSE)</f>
        <v>0</v>
      </c>
      <c r="ES45" s="1223">
        <f>$G45*BX45*Variables!$B$53*HLOOKUP($EK$2,Variables!$B$60:$F$61,2,FALSE)</f>
        <v>0</v>
      </c>
      <c r="ET45" s="1223">
        <f>$G45*BY45*Variables!$B$53*HLOOKUP($EK$2,Variables!$B$60:$F$61,2,FALSE)</f>
        <v>0</v>
      </c>
      <c r="EU45" s="1223">
        <f>$G45*BZ45*Variables!$B$53*HLOOKUP($EK$2,Variables!$B$60:$F$61,2,FALSE)</f>
        <v>0</v>
      </c>
      <c r="EV45" s="1225">
        <f>$G45*CA45*Variables!$B$53*HLOOKUP($EK$2,Variables!$B$60:$F$61,2,FALSE)</f>
        <v>0</v>
      </c>
      <c r="EW45" s="872">
        <f t="shared" si="6"/>
        <v>0</v>
      </c>
      <c r="EX45" s="872"/>
      <c r="EY45" s="872"/>
      <c r="EZ45" s="872"/>
      <c r="FA45" s="1332"/>
      <c r="FC45" s="958" t="str">
        <f t="shared" si="8"/>
        <v/>
      </c>
      <c r="FD45" s="959" t="str">
        <f t="shared" si="9"/>
        <v/>
      </c>
      <c r="FE45" s="959" t="s">
        <v>8407</v>
      </c>
      <c r="FF45" s="959" t="str">
        <f>IF(ISNA(VLOOKUP(FC45,Miscellaneous!E:F,2,0)),"",VLOOKUP(FC45,Miscellaneous!E:F,2,0))</f>
        <v/>
      </c>
      <c r="FG45" s="959" t="str">
        <f t="shared" si="10"/>
        <v/>
      </c>
      <c r="FH45" s="996">
        <f>IF($FG45="Opex",SUMIF('Monthly Summary'!$C$75:$N$75,"",CC45:CN45),SUMIF('Monthly Summary'!$C$74:$N$74,"",CC45:CN45))</f>
        <v>0</v>
      </c>
      <c r="FI45" s="996">
        <f>IF($FG45="Opex",SUMIF('Monthly Summary'!$O$75:$Z$75,"",CO45:CZ45),SUMIF('Monthly Summary'!$O$74:$Z$74,"",CO45:CZ45))</f>
        <v>0</v>
      </c>
      <c r="FJ45" s="996">
        <f>IF($FG45="Opex",SUMIF('Monthly Summary'!$AA$75:$AL$75,"",DA45:DL45),SUMIF('Monthly Summary'!$AA$74:$AL$74,"",DA45:DL45))</f>
        <v>0</v>
      </c>
      <c r="FK45" s="996">
        <f>IF($FG45="Opex",SUMIF('Monthly Summary'!$AM$75:$AX$75,"",DM45:DX45),SUMIF('Monthly Summary'!$AM$74:$AX$74,"",DM45:DX45))</f>
        <v>0</v>
      </c>
      <c r="FL45" s="996">
        <f>IF($FG45="Opex",SUMIF('Monthly Summary'!$AY$75:$BJ$75,"",DY45:EJ45),SUMIF('Monthly Summary'!$AY$74:$BJ$74,"",DY45:EJ45))</f>
        <v>0</v>
      </c>
      <c r="FM45" s="997">
        <f>IF($FG45="Opex",SUMIF('Monthly Summary'!$BK$75:$BV$75,"",EK45:EV45),SUMIF('Monthly Summary'!$BK$74:$BV$74,"",EK45:EV45))</f>
        <v>0</v>
      </c>
      <c r="FN45" s="997">
        <f t="shared" si="7"/>
        <v>0</v>
      </c>
    </row>
    <row r="46" spans="3:170">
      <c r="C46" s="757"/>
      <c r="D46" s="757"/>
      <c r="E46" s="758"/>
      <c r="F46" s="758"/>
      <c r="G46" s="758"/>
      <c r="H46" s="1215"/>
      <c r="I46" s="761"/>
      <c r="J46" s="761"/>
      <c r="K46" s="761"/>
      <c r="L46" s="761"/>
      <c r="M46" s="761"/>
      <c r="N46" s="761"/>
      <c r="O46" s="761"/>
      <c r="P46" s="761"/>
      <c r="Q46" s="761"/>
      <c r="R46" s="761"/>
      <c r="S46" s="1216"/>
      <c r="T46" s="1215"/>
      <c r="U46" s="761"/>
      <c r="V46" s="761"/>
      <c r="W46" s="761"/>
      <c r="X46" s="761"/>
      <c r="Y46" s="761"/>
      <c r="Z46" s="761"/>
      <c r="AA46" s="761"/>
      <c r="AB46" s="761"/>
      <c r="AC46" s="761"/>
      <c r="AD46" s="761"/>
      <c r="AE46" s="1216"/>
      <c r="AF46" s="1215"/>
      <c r="AG46" s="761"/>
      <c r="AH46" s="761"/>
      <c r="AI46" s="761"/>
      <c r="AJ46" s="761"/>
      <c r="AK46" s="761"/>
      <c r="AL46" s="761"/>
      <c r="AM46" s="761"/>
      <c r="AN46" s="761"/>
      <c r="AO46" s="761"/>
      <c r="AP46" s="761"/>
      <c r="AQ46" s="1216"/>
      <c r="AR46" s="1215"/>
      <c r="AS46" s="761"/>
      <c r="AT46" s="761"/>
      <c r="AU46" s="761"/>
      <c r="AV46" s="761"/>
      <c r="AW46" s="761"/>
      <c r="AX46" s="761"/>
      <c r="AY46" s="761"/>
      <c r="AZ46" s="761"/>
      <c r="BA46" s="761"/>
      <c r="BB46" s="761"/>
      <c r="BC46" s="1216"/>
      <c r="BD46" s="1215"/>
      <c r="BE46" s="761"/>
      <c r="BF46" s="761"/>
      <c r="BG46" s="761"/>
      <c r="BH46" s="761"/>
      <c r="BI46" s="761"/>
      <c r="BJ46" s="761"/>
      <c r="BK46" s="761"/>
      <c r="BL46" s="761"/>
      <c r="BM46" s="761"/>
      <c r="BN46" s="761"/>
      <c r="BO46" s="1216"/>
      <c r="BP46" s="1215"/>
      <c r="BQ46" s="761"/>
      <c r="BR46" s="761"/>
      <c r="BS46" s="761"/>
      <c r="BT46" s="761"/>
      <c r="BU46" s="761"/>
      <c r="BV46" s="761"/>
      <c r="BW46" s="761"/>
      <c r="BX46" s="761"/>
      <c r="BY46" s="761"/>
      <c r="BZ46" s="761"/>
      <c r="CA46" s="1216"/>
      <c r="CB46" s="747"/>
      <c r="CC46" s="1222">
        <f>$G46*H46*Variables!$B$53</f>
        <v>0</v>
      </c>
      <c r="CD46" s="1223">
        <f>$G46*I46*Variables!$B$53</f>
        <v>0</v>
      </c>
      <c r="CE46" s="1223">
        <f>$G46*J46*Variables!$B$53</f>
        <v>0</v>
      </c>
      <c r="CF46" s="1223">
        <f>$G46*K46*Variables!$B$53</f>
        <v>0</v>
      </c>
      <c r="CG46" s="1223">
        <f>$G46*L46*Variables!$B$53</f>
        <v>0</v>
      </c>
      <c r="CH46" s="1223">
        <f>$G46*M46*Variables!$B$53</f>
        <v>0</v>
      </c>
      <c r="CI46" s="1223">
        <f>$G46*N46*Variables!$B$53</f>
        <v>0</v>
      </c>
      <c r="CJ46" s="1223">
        <f>$G46*O46*Variables!$B$53</f>
        <v>0</v>
      </c>
      <c r="CK46" s="1223">
        <f>$G46*P46*Variables!$B$53</f>
        <v>0</v>
      </c>
      <c r="CL46" s="1223">
        <f>$G46*Q46*Variables!$B$53</f>
        <v>0</v>
      </c>
      <c r="CM46" s="1223">
        <f>$G46*R46*Variables!$B$53</f>
        <v>0</v>
      </c>
      <c r="CN46" s="1225">
        <f>$G46*S46*Variables!$B$53</f>
        <v>0</v>
      </c>
      <c r="CO46" s="1222">
        <f>$G46*T46*Variables!$B$53*HLOOKUP($CO$2,Variables!$B$60:$F$61,2,FALSE)</f>
        <v>0</v>
      </c>
      <c r="CP46" s="1223">
        <f>$G46*U46*Variables!$B$53*HLOOKUP($CO$2,Variables!$B$60:$F$61,2,FALSE)</f>
        <v>0</v>
      </c>
      <c r="CQ46" s="1223">
        <f>$G46*V46*Variables!$B$53*HLOOKUP($CO$2,Variables!$B$60:$F$61,2,FALSE)</f>
        <v>0</v>
      </c>
      <c r="CR46" s="1223">
        <f>$G46*W46*Variables!$B$53*HLOOKUP($CO$2,Variables!$B$60:$F$61,2,FALSE)</f>
        <v>0</v>
      </c>
      <c r="CS46" s="1223">
        <f>$G46*X46*Variables!$B$53*HLOOKUP($CO$2,Variables!$B$60:$F$61,2,FALSE)</f>
        <v>0</v>
      </c>
      <c r="CT46" s="1223">
        <f>$G46*Y46*Variables!$B$53*HLOOKUP($CO$2,Variables!$B$60:$F$61,2,FALSE)</f>
        <v>0</v>
      </c>
      <c r="CU46" s="1223">
        <f>$G46*Z46*Variables!$B$53*HLOOKUP($CO$2,Variables!$B$60:$F$61,2,FALSE)</f>
        <v>0</v>
      </c>
      <c r="CV46" s="1223">
        <f>$G46*AA46*Variables!$B$53*HLOOKUP($CO$2,Variables!$B$60:$F$61,2,FALSE)</f>
        <v>0</v>
      </c>
      <c r="CW46" s="1223">
        <f>$G46*AB46*Variables!$B$53*HLOOKUP($CO$2,Variables!$B$60:$F$61,2,FALSE)</f>
        <v>0</v>
      </c>
      <c r="CX46" s="1223">
        <f>$G46*AC46*Variables!$B$53*HLOOKUP($CO$2,Variables!$B$60:$F$61,2,FALSE)</f>
        <v>0</v>
      </c>
      <c r="CY46" s="1223">
        <f>$G46*AD46*Variables!$B$53*HLOOKUP($CO$2,Variables!$B$60:$F$61,2,FALSE)</f>
        <v>0</v>
      </c>
      <c r="CZ46" s="1225">
        <f>$G46*AE46*Variables!$B$53*HLOOKUP($CO$2,Variables!$B$60:$F$61,2,FALSE)</f>
        <v>0</v>
      </c>
      <c r="DA46" s="1222">
        <f>$G46*AF46*Variables!$B$53*HLOOKUP($DA$2,Variables!$B$60:$F$61,2,FALSE)</f>
        <v>0</v>
      </c>
      <c r="DB46" s="1223">
        <f>$G46*AG46*Variables!$B$53*HLOOKUP($DA$2,Variables!$B$60:$F$61,2,FALSE)</f>
        <v>0</v>
      </c>
      <c r="DC46" s="1223">
        <f>$G46*AH46*Variables!$B$53*HLOOKUP($DA$2,Variables!$B$60:$F$61,2,FALSE)</f>
        <v>0</v>
      </c>
      <c r="DD46" s="1223">
        <f>$G46*AI46*Variables!$B$53*HLOOKUP($DA$2,Variables!$B$60:$F$61,2,FALSE)</f>
        <v>0</v>
      </c>
      <c r="DE46" s="1223">
        <f>$G46*AJ46*Variables!$B$53*HLOOKUP($DA$2,Variables!$B$60:$F$61,2,FALSE)</f>
        <v>0</v>
      </c>
      <c r="DF46" s="1223">
        <f>$G46*AK46*Variables!$B$53*HLOOKUP($DA$2,Variables!$B$60:$F$61,2,FALSE)</f>
        <v>0</v>
      </c>
      <c r="DG46" s="1223">
        <f>$G46*AL46*Variables!$B$53*HLOOKUP($DA$2,Variables!$B$60:$F$61,2,FALSE)</f>
        <v>0</v>
      </c>
      <c r="DH46" s="1223">
        <f>$G46*AM46*Variables!$B$53*HLOOKUP($DA$2,Variables!$B$60:$F$61,2,FALSE)</f>
        <v>0</v>
      </c>
      <c r="DI46" s="1223">
        <f>$G46*AN46*Variables!$B$53*HLOOKUP($DA$2,Variables!$B$60:$F$61,2,FALSE)</f>
        <v>0</v>
      </c>
      <c r="DJ46" s="1223">
        <f>$G46*AO46*Variables!$B$53*HLOOKUP($DA$2,Variables!$B$60:$F$61,2,FALSE)</f>
        <v>0</v>
      </c>
      <c r="DK46" s="1223">
        <f>$G46*AP46*Variables!$B$53*HLOOKUP($DA$2,Variables!$B$60:$F$61,2,FALSE)</f>
        <v>0</v>
      </c>
      <c r="DL46" s="1225">
        <f>$G46*AQ46*Variables!$B$53*HLOOKUP($DA$2,Variables!$B$60:$F$61,2,FALSE)</f>
        <v>0</v>
      </c>
      <c r="DM46" s="1222">
        <f>$G46*AR46*Variables!$B$53*HLOOKUP($DM$2,Variables!$B$60:$F$61,2,FALSE)</f>
        <v>0</v>
      </c>
      <c r="DN46" s="1223">
        <f>$G46*AS46*Variables!$B$53*HLOOKUP($DM$2,Variables!$B$60:$F$61,2,FALSE)</f>
        <v>0</v>
      </c>
      <c r="DO46" s="1223">
        <f>$G46*AT46*Variables!$B$53*HLOOKUP($DM$2,Variables!$B$60:$F$61,2,FALSE)</f>
        <v>0</v>
      </c>
      <c r="DP46" s="1223">
        <f>$G46*AU46*Variables!$B$53*HLOOKUP($DM$2,Variables!$B$60:$F$61,2,FALSE)</f>
        <v>0</v>
      </c>
      <c r="DQ46" s="1223">
        <f>$G46*AV46*Variables!$B$53*HLOOKUP($DM$2,Variables!$B$60:$F$61,2,FALSE)</f>
        <v>0</v>
      </c>
      <c r="DR46" s="1223">
        <f>$G46*AW46*Variables!$B$53*HLOOKUP($DM$2,Variables!$B$60:$F$61,2,FALSE)</f>
        <v>0</v>
      </c>
      <c r="DS46" s="1223">
        <f>$G46*AX46*Variables!$B$53*HLOOKUP($DM$2,Variables!$B$60:$F$61,2,FALSE)</f>
        <v>0</v>
      </c>
      <c r="DT46" s="1223">
        <f>$G46*AY46*Variables!$B$53*HLOOKUP($DM$2,Variables!$B$60:$F$61,2,FALSE)</f>
        <v>0</v>
      </c>
      <c r="DU46" s="1223">
        <f>$G46*AZ46*Variables!$B$53*HLOOKUP($DM$2,Variables!$B$60:$F$61,2,FALSE)</f>
        <v>0</v>
      </c>
      <c r="DV46" s="1223">
        <f>$G46*BA46*Variables!$B$53*HLOOKUP($DM$2,Variables!$B$60:$F$61,2,FALSE)</f>
        <v>0</v>
      </c>
      <c r="DW46" s="1223">
        <f>$G46*BB46*Variables!$B$53*HLOOKUP($DM$2,Variables!$B$60:$F$61,2,FALSE)</f>
        <v>0</v>
      </c>
      <c r="DX46" s="1225">
        <f>$G46*BC46*Variables!$B$53*HLOOKUP($DM$2,Variables!$B$60:$F$61,2,FALSE)</f>
        <v>0</v>
      </c>
      <c r="DY46" s="1222">
        <f>$G46*BD46*Variables!$B$53*HLOOKUP($DY$2,Variables!$B$60:$F$61,2,FALSE)</f>
        <v>0</v>
      </c>
      <c r="DZ46" s="1223">
        <f>$G46*BE46*Variables!$B$53*HLOOKUP($DY$2,Variables!$B$60:$F$61,2,FALSE)</f>
        <v>0</v>
      </c>
      <c r="EA46" s="1223">
        <f>$G46*BF46*Variables!$B$53*HLOOKUP($DY$2,Variables!$B$60:$F$61,2,FALSE)</f>
        <v>0</v>
      </c>
      <c r="EB46" s="1223">
        <f>$G46*BG46*Variables!$B$53*HLOOKUP($DY$2,Variables!$B$60:$F$61,2,FALSE)</f>
        <v>0</v>
      </c>
      <c r="EC46" s="1223">
        <f>$G46*BH46*Variables!$B$53*HLOOKUP($DY$2,Variables!$B$60:$F$61,2,FALSE)</f>
        <v>0</v>
      </c>
      <c r="ED46" s="1223">
        <f>$G46*BI46*Variables!$B$53*HLOOKUP($DY$2,Variables!$B$60:$F$61,2,FALSE)</f>
        <v>0</v>
      </c>
      <c r="EE46" s="1223">
        <f>$G46*BJ46*Variables!$B$53*HLOOKUP($DY$2,Variables!$B$60:$F$61,2,FALSE)</f>
        <v>0</v>
      </c>
      <c r="EF46" s="1223">
        <f>$G46*BK46*Variables!$B$53*HLOOKUP($DY$2,Variables!$B$60:$F$61,2,FALSE)</f>
        <v>0</v>
      </c>
      <c r="EG46" s="1223">
        <f>$G46*BL46*Variables!$B$53*HLOOKUP($DY$2,Variables!$B$60:$F$61,2,FALSE)</f>
        <v>0</v>
      </c>
      <c r="EH46" s="1223">
        <f>$G46*BM46*Variables!$B$53*HLOOKUP($DY$2,Variables!$B$60:$F$61,2,FALSE)</f>
        <v>0</v>
      </c>
      <c r="EI46" s="1223">
        <f>$G46*BN46*Variables!$B$53*HLOOKUP($DY$2,Variables!$B$60:$F$61,2,FALSE)</f>
        <v>0</v>
      </c>
      <c r="EJ46" s="1225">
        <f>$G46*BO46*Variables!$B$53*HLOOKUP($DY$2,Variables!$B$60:$F$61,2,FALSE)</f>
        <v>0</v>
      </c>
      <c r="EK46" s="1222">
        <f>$G46*BP46*Variables!$B$53*HLOOKUP($EK$2,Variables!$B$60:$F$61,2,FALSE)</f>
        <v>0</v>
      </c>
      <c r="EL46" s="1223">
        <f>$G46*BQ46*Variables!$B$53*HLOOKUP($EK$2,Variables!$B$60:$F$61,2,FALSE)</f>
        <v>0</v>
      </c>
      <c r="EM46" s="1223">
        <f>$G46*BR46*Variables!$B$53*HLOOKUP($EK$2,Variables!$B$60:$F$61,2,FALSE)</f>
        <v>0</v>
      </c>
      <c r="EN46" s="1223">
        <f>$G46*BS46*Variables!$B$53*HLOOKUP($EK$2,Variables!$B$60:$F$61,2,FALSE)</f>
        <v>0</v>
      </c>
      <c r="EO46" s="1223">
        <f>$G46*BT46*Variables!$B$53*HLOOKUP($EK$2,Variables!$B$60:$F$61,2,FALSE)</f>
        <v>0</v>
      </c>
      <c r="EP46" s="1223">
        <f>$G46*BU46*Variables!$B$53*HLOOKUP($EK$2,Variables!$B$60:$F$61,2,FALSE)</f>
        <v>0</v>
      </c>
      <c r="EQ46" s="1223">
        <f>$G46*BV46*Variables!$B$53*HLOOKUP($EK$2,Variables!$B$60:$F$61,2,FALSE)</f>
        <v>0</v>
      </c>
      <c r="ER46" s="1223">
        <f>$G46*BW46*Variables!$B$53*HLOOKUP($EK$2,Variables!$B$60:$F$61,2,FALSE)</f>
        <v>0</v>
      </c>
      <c r="ES46" s="1223">
        <f>$G46*BX46*Variables!$B$53*HLOOKUP($EK$2,Variables!$B$60:$F$61,2,FALSE)</f>
        <v>0</v>
      </c>
      <c r="ET46" s="1223">
        <f>$G46*BY46*Variables!$B$53*HLOOKUP($EK$2,Variables!$B$60:$F$61,2,FALSE)</f>
        <v>0</v>
      </c>
      <c r="EU46" s="1223">
        <f>$G46*BZ46*Variables!$B$53*HLOOKUP($EK$2,Variables!$B$60:$F$61,2,FALSE)</f>
        <v>0</v>
      </c>
      <c r="EV46" s="1225">
        <f>$G46*CA46*Variables!$B$53*HLOOKUP($EK$2,Variables!$B$60:$F$61,2,FALSE)</f>
        <v>0</v>
      </c>
      <c r="EW46" s="872">
        <f t="shared" si="6"/>
        <v>0</v>
      </c>
      <c r="EX46" s="872"/>
      <c r="EY46" s="872"/>
      <c r="EZ46" s="872"/>
      <c r="FA46" s="1332"/>
      <c r="FC46" s="958" t="str">
        <f t="shared" si="8"/>
        <v/>
      </c>
      <c r="FD46" s="959" t="str">
        <f t="shared" si="9"/>
        <v/>
      </c>
      <c r="FE46" s="959" t="s">
        <v>8407</v>
      </c>
      <c r="FF46" s="959" t="str">
        <f>IF(ISNA(VLOOKUP(FC46,Miscellaneous!E:F,2,0)),"",VLOOKUP(FC46,Miscellaneous!E:F,2,0))</f>
        <v/>
      </c>
      <c r="FG46" s="959" t="str">
        <f t="shared" si="10"/>
        <v/>
      </c>
      <c r="FH46" s="996">
        <f>IF($FG46="Opex",SUMIF('Monthly Summary'!$C$75:$N$75,"",CC46:CN46),SUMIF('Monthly Summary'!$C$74:$N$74,"",CC46:CN46))</f>
        <v>0</v>
      </c>
      <c r="FI46" s="996">
        <f>IF($FG46="Opex",SUMIF('Monthly Summary'!$O$75:$Z$75,"",CO46:CZ46),SUMIF('Monthly Summary'!$O$74:$Z$74,"",CO46:CZ46))</f>
        <v>0</v>
      </c>
      <c r="FJ46" s="996">
        <f>IF($FG46="Opex",SUMIF('Monthly Summary'!$AA$75:$AL$75,"",DA46:DL46),SUMIF('Monthly Summary'!$AA$74:$AL$74,"",DA46:DL46))</f>
        <v>0</v>
      </c>
      <c r="FK46" s="996">
        <f>IF($FG46="Opex",SUMIF('Monthly Summary'!$AM$75:$AX$75,"",DM46:DX46),SUMIF('Monthly Summary'!$AM$74:$AX$74,"",DM46:DX46))</f>
        <v>0</v>
      </c>
      <c r="FL46" s="996">
        <f>IF($FG46="Opex",SUMIF('Monthly Summary'!$AY$75:$BJ$75,"",DY46:EJ46),SUMIF('Monthly Summary'!$AY$74:$BJ$74,"",DY46:EJ46))</f>
        <v>0</v>
      </c>
      <c r="FM46" s="997">
        <f>IF($FG46="Opex",SUMIF('Monthly Summary'!$BK$75:$BV$75,"",EK46:EV46),SUMIF('Monthly Summary'!$BK$74:$BV$74,"",EK46:EV46))</f>
        <v>0</v>
      </c>
      <c r="FN46" s="997">
        <f t="shared" si="7"/>
        <v>0</v>
      </c>
    </row>
    <row r="47" spans="3:170">
      <c r="C47" s="757"/>
      <c r="D47" s="757"/>
      <c r="E47" s="758"/>
      <c r="F47" s="758"/>
      <c r="G47" s="758"/>
      <c r="H47" s="1215"/>
      <c r="I47" s="761"/>
      <c r="J47" s="761"/>
      <c r="K47" s="761"/>
      <c r="L47" s="761"/>
      <c r="M47" s="761"/>
      <c r="N47" s="761"/>
      <c r="O47" s="761"/>
      <c r="P47" s="761"/>
      <c r="Q47" s="761"/>
      <c r="R47" s="761"/>
      <c r="S47" s="1216"/>
      <c r="T47" s="1215"/>
      <c r="U47" s="761"/>
      <c r="V47" s="761"/>
      <c r="W47" s="761"/>
      <c r="X47" s="761"/>
      <c r="Y47" s="761"/>
      <c r="Z47" s="761"/>
      <c r="AA47" s="761"/>
      <c r="AB47" s="761"/>
      <c r="AC47" s="761"/>
      <c r="AD47" s="761"/>
      <c r="AE47" s="1216"/>
      <c r="AF47" s="1215"/>
      <c r="AG47" s="761"/>
      <c r="AH47" s="761"/>
      <c r="AI47" s="761"/>
      <c r="AJ47" s="761"/>
      <c r="AK47" s="761"/>
      <c r="AL47" s="761"/>
      <c r="AM47" s="761"/>
      <c r="AN47" s="761"/>
      <c r="AO47" s="761"/>
      <c r="AP47" s="761"/>
      <c r="AQ47" s="1216"/>
      <c r="AR47" s="1215"/>
      <c r="AS47" s="761"/>
      <c r="AT47" s="761"/>
      <c r="AU47" s="761"/>
      <c r="AV47" s="761"/>
      <c r="AW47" s="761"/>
      <c r="AX47" s="761"/>
      <c r="AY47" s="761"/>
      <c r="AZ47" s="761"/>
      <c r="BA47" s="761"/>
      <c r="BB47" s="761"/>
      <c r="BC47" s="1216"/>
      <c r="BD47" s="1215"/>
      <c r="BE47" s="761"/>
      <c r="BF47" s="761"/>
      <c r="BG47" s="761"/>
      <c r="BH47" s="761"/>
      <c r="BI47" s="761"/>
      <c r="BJ47" s="761"/>
      <c r="BK47" s="761"/>
      <c r="BL47" s="761"/>
      <c r="BM47" s="761"/>
      <c r="BN47" s="761"/>
      <c r="BO47" s="1216"/>
      <c r="BP47" s="1215"/>
      <c r="BQ47" s="761"/>
      <c r="BR47" s="761"/>
      <c r="BS47" s="761"/>
      <c r="BT47" s="761"/>
      <c r="BU47" s="761"/>
      <c r="BV47" s="761"/>
      <c r="BW47" s="761"/>
      <c r="BX47" s="761"/>
      <c r="BY47" s="761"/>
      <c r="BZ47" s="761"/>
      <c r="CA47" s="1216"/>
      <c r="CB47" s="747"/>
      <c r="CC47" s="1222">
        <f>$G47*H47*Variables!$B$53</f>
        <v>0</v>
      </c>
      <c r="CD47" s="1223">
        <f>$G47*I47*Variables!$B$53</f>
        <v>0</v>
      </c>
      <c r="CE47" s="1223">
        <f>$G47*J47*Variables!$B$53</f>
        <v>0</v>
      </c>
      <c r="CF47" s="1223">
        <f>$G47*K47*Variables!$B$53</f>
        <v>0</v>
      </c>
      <c r="CG47" s="1223">
        <f>$G47*L47*Variables!$B$53</f>
        <v>0</v>
      </c>
      <c r="CH47" s="1223">
        <f>$G47*M47*Variables!$B$53</f>
        <v>0</v>
      </c>
      <c r="CI47" s="1223">
        <f>$G47*N47*Variables!$B$53</f>
        <v>0</v>
      </c>
      <c r="CJ47" s="1223">
        <f>$G47*O47*Variables!$B$53</f>
        <v>0</v>
      </c>
      <c r="CK47" s="1223">
        <f>$G47*P47*Variables!$B$53</f>
        <v>0</v>
      </c>
      <c r="CL47" s="1223">
        <f>$G47*Q47*Variables!$B$53</f>
        <v>0</v>
      </c>
      <c r="CM47" s="1223">
        <f>$G47*R47*Variables!$B$53</f>
        <v>0</v>
      </c>
      <c r="CN47" s="1225">
        <f>$G47*S47*Variables!$B$53</f>
        <v>0</v>
      </c>
      <c r="CO47" s="1222">
        <f>$G47*T47*Variables!$B$53*HLOOKUP($CO$2,Variables!$B$60:$F$61,2,FALSE)</f>
        <v>0</v>
      </c>
      <c r="CP47" s="1223">
        <f>$G47*U47*Variables!$B$53*HLOOKUP($CO$2,Variables!$B$60:$F$61,2,FALSE)</f>
        <v>0</v>
      </c>
      <c r="CQ47" s="1223">
        <f>$G47*V47*Variables!$B$53*HLOOKUP($CO$2,Variables!$B$60:$F$61,2,FALSE)</f>
        <v>0</v>
      </c>
      <c r="CR47" s="1223">
        <f>$G47*W47*Variables!$B$53*HLOOKUP($CO$2,Variables!$B$60:$F$61,2,FALSE)</f>
        <v>0</v>
      </c>
      <c r="CS47" s="1223">
        <f>$G47*X47*Variables!$B$53*HLOOKUP($CO$2,Variables!$B$60:$F$61,2,FALSE)</f>
        <v>0</v>
      </c>
      <c r="CT47" s="1223">
        <f>$G47*Y47*Variables!$B$53*HLOOKUP($CO$2,Variables!$B$60:$F$61,2,FALSE)</f>
        <v>0</v>
      </c>
      <c r="CU47" s="1223">
        <f>$G47*Z47*Variables!$B$53*HLOOKUP($CO$2,Variables!$B$60:$F$61,2,FALSE)</f>
        <v>0</v>
      </c>
      <c r="CV47" s="1223">
        <f>$G47*AA47*Variables!$B$53*HLOOKUP($CO$2,Variables!$B$60:$F$61,2,FALSE)</f>
        <v>0</v>
      </c>
      <c r="CW47" s="1223">
        <f>$G47*AB47*Variables!$B$53*HLOOKUP($CO$2,Variables!$B$60:$F$61,2,FALSE)</f>
        <v>0</v>
      </c>
      <c r="CX47" s="1223">
        <f>$G47*AC47*Variables!$B$53*HLOOKUP($CO$2,Variables!$B$60:$F$61,2,FALSE)</f>
        <v>0</v>
      </c>
      <c r="CY47" s="1223">
        <f>$G47*AD47*Variables!$B$53*HLOOKUP($CO$2,Variables!$B$60:$F$61,2,FALSE)</f>
        <v>0</v>
      </c>
      <c r="CZ47" s="1225">
        <f>$G47*AE47*Variables!$B$53*HLOOKUP($CO$2,Variables!$B$60:$F$61,2,FALSE)</f>
        <v>0</v>
      </c>
      <c r="DA47" s="1222">
        <f>$G47*AF47*Variables!$B$53*HLOOKUP($DA$2,Variables!$B$60:$F$61,2,FALSE)</f>
        <v>0</v>
      </c>
      <c r="DB47" s="1223">
        <f>$G47*AG47*Variables!$B$53*HLOOKUP($DA$2,Variables!$B$60:$F$61,2,FALSE)</f>
        <v>0</v>
      </c>
      <c r="DC47" s="1223">
        <f>$G47*AH47*Variables!$B$53*HLOOKUP($DA$2,Variables!$B$60:$F$61,2,FALSE)</f>
        <v>0</v>
      </c>
      <c r="DD47" s="1223">
        <f>$G47*AI47*Variables!$B$53*HLOOKUP($DA$2,Variables!$B$60:$F$61,2,FALSE)</f>
        <v>0</v>
      </c>
      <c r="DE47" s="1223">
        <f>$G47*AJ47*Variables!$B$53*HLOOKUP($DA$2,Variables!$B$60:$F$61,2,FALSE)</f>
        <v>0</v>
      </c>
      <c r="DF47" s="1223">
        <f>$G47*AK47*Variables!$B$53*HLOOKUP($DA$2,Variables!$B$60:$F$61,2,FALSE)</f>
        <v>0</v>
      </c>
      <c r="DG47" s="1223">
        <f>$G47*AL47*Variables!$B$53*HLOOKUP($DA$2,Variables!$B$60:$F$61,2,FALSE)</f>
        <v>0</v>
      </c>
      <c r="DH47" s="1223">
        <f>$G47*AM47*Variables!$B$53*HLOOKUP($DA$2,Variables!$B$60:$F$61,2,FALSE)</f>
        <v>0</v>
      </c>
      <c r="DI47" s="1223">
        <f>$G47*AN47*Variables!$B$53*HLOOKUP($DA$2,Variables!$B$60:$F$61,2,FALSE)</f>
        <v>0</v>
      </c>
      <c r="DJ47" s="1223">
        <f>$G47*AO47*Variables!$B$53*HLOOKUP($DA$2,Variables!$B$60:$F$61,2,FALSE)</f>
        <v>0</v>
      </c>
      <c r="DK47" s="1223">
        <f>$G47*AP47*Variables!$B$53*HLOOKUP($DA$2,Variables!$B$60:$F$61,2,FALSE)</f>
        <v>0</v>
      </c>
      <c r="DL47" s="1225">
        <f>$G47*AQ47*Variables!$B$53*HLOOKUP($DA$2,Variables!$B$60:$F$61,2,FALSE)</f>
        <v>0</v>
      </c>
      <c r="DM47" s="1222">
        <f>$G47*AR47*Variables!$B$53*HLOOKUP($DM$2,Variables!$B$60:$F$61,2,FALSE)</f>
        <v>0</v>
      </c>
      <c r="DN47" s="1223">
        <f>$G47*AS47*Variables!$B$53*HLOOKUP($DM$2,Variables!$B$60:$F$61,2,FALSE)</f>
        <v>0</v>
      </c>
      <c r="DO47" s="1223">
        <f>$G47*AT47*Variables!$B$53*HLOOKUP($DM$2,Variables!$B$60:$F$61,2,FALSE)</f>
        <v>0</v>
      </c>
      <c r="DP47" s="1223">
        <f>$G47*AU47*Variables!$B$53*HLOOKUP($DM$2,Variables!$B$60:$F$61,2,FALSE)</f>
        <v>0</v>
      </c>
      <c r="DQ47" s="1223">
        <f>$G47*AV47*Variables!$B$53*HLOOKUP($DM$2,Variables!$B$60:$F$61,2,FALSE)</f>
        <v>0</v>
      </c>
      <c r="DR47" s="1223">
        <f>$G47*AW47*Variables!$B$53*HLOOKUP($DM$2,Variables!$B$60:$F$61,2,FALSE)</f>
        <v>0</v>
      </c>
      <c r="DS47" s="1223">
        <f>$G47*AX47*Variables!$B$53*HLOOKUP($DM$2,Variables!$B$60:$F$61,2,FALSE)</f>
        <v>0</v>
      </c>
      <c r="DT47" s="1223">
        <f>$G47*AY47*Variables!$B$53*HLOOKUP($DM$2,Variables!$B$60:$F$61,2,FALSE)</f>
        <v>0</v>
      </c>
      <c r="DU47" s="1223">
        <f>$G47*AZ47*Variables!$B$53*HLOOKUP($DM$2,Variables!$B$60:$F$61,2,FALSE)</f>
        <v>0</v>
      </c>
      <c r="DV47" s="1223">
        <f>$G47*BA47*Variables!$B$53*HLOOKUP($DM$2,Variables!$B$60:$F$61,2,FALSE)</f>
        <v>0</v>
      </c>
      <c r="DW47" s="1223">
        <f>$G47*BB47*Variables!$B$53*HLOOKUP($DM$2,Variables!$B$60:$F$61,2,FALSE)</f>
        <v>0</v>
      </c>
      <c r="DX47" s="1225">
        <f>$G47*BC47*Variables!$B$53*HLOOKUP($DM$2,Variables!$B$60:$F$61,2,FALSE)</f>
        <v>0</v>
      </c>
      <c r="DY47" s="1222">
        <f>$G47*BD47*Variables!$B$53*HLOOKUP($DY$2,Variables!$B$60:$F$61,2,FALSE)</f>
        <v>0</v>
      </c>
      <c r="DZ47" s="1223">
        <f>$G47*BE47*Variables!$B$53*HLOOKUP($DY$2,Variables!$B$60:$F$61,2,FALSE)</f>
        <v>0</v>
      </c>
      <c r="EA47" s="1223">
        <f>$G47*BF47*Variables!$B$53*HLOOKUP($DY$2,Variables!$B$60:$F$61,2,FALSE)</f>
        <v>0</v>
      </c>
      <c r="EB47" s="1223">
        <f>$G47*BG47*Variables!$B$53*HLOOKUP($DY$2,Variables!$B$60:$F$61,2,FALSE)</f>
        <v>0</v>
      </c>
      <c r="EC47" s="1223">
        <f>$G47*BH47*Variables!$B$53*HLOOKUP($DY$2,Variables!$B$60:$F$61,2,FALSE)</f>
        <v>0</v>
      </c>
      <c r="ED47" s="1223">
        <f>$G47*BI47*Variables!$B$53*HLOOKUP($DY$2,Variables!$B$60:$F$61,2,FALSE)</f>
        <v>0</v>
      </c>
      <c r="EE47" s="1223">
        <f>$G47*BJ47*Variables!$B$53*HLOOKUP($DY$2,Variables!$B$60:$F$61,2,FALSE)</f>
        <v>0</v>
      </c>
      <c r="EF47" s="1223">
        <f>$G47*BK47*Variables!$B$53*HLOOKUP($DY$2,Variables!$B$60:$F$61,2,FALSE)</f>
        <v>0</v>
      </c>
      <c r="EG47" s="1223">
        <f>$G47*BL47*Variables!$B$53*HLOOKUP($DY$2,Variables!$B$60:$F$61,2,FALSE)</f>
        <v>0</v>
      </c>
      <c r="EH47" s="1223">
        <f>$G47*BM47*Variables!$B$53*HLOOKUP($DY$2,Variables!$B$60:$F$61,2,FALSE)</f>
        <v>0</v>
      </c>
      <c r="EI47" s="1223">
        <f>$G47*BN47*Variables!$B$53*HLOOKUP($DY$2,Variables!$B$60:$F$61,2,FALSE)</f>
        <v>0</v>
      </c>
      <c r="EJ47" s="1225">
        <f>$G47*BO47*Variables!$B$53*HLOOKUP($DY$2,Variables!$B$60:$F$61,2,FALSE)</f>
        <v>0</v>
      </c>
      <c r="EK47" s="1222">
        <f>$G47*BP47*Variables!$B$53*HLOOKUP($EK$2,Variables!$B$60:$F$61,2,FALSE)</f>
        <v>0</v>
      </c>
      <c r="EL47" s="1223">
        <f>$G47*BQ47*Variables!$B$53*HLOOKUP($EK$2,Variables!$B$60:$F$61,2,FALSE)</f>
        <v>0</v>
      </c>
      <c r="EM47" s="1223">
        <f>$G47*BR47*Variables!$B$53*HLOOKUP($EK$2,Variables!$B$60:$F$61,2,FALSE)</f>
        <v>0</v>
      </c>
      <c r="EN47" s="1223">
        <f>$G47*BS47*Variables!$B$53*HLOOKUP($EK$2,Variables!$B$60:$F$61,2,FALSE)</f>
        <v>0</v>
      </c>
      <c r="EO47" s="1223">
        <f>$G47*BT47*Variables!$B$53*HLOOKUP($EK$2,Variables!$B$60:$F$61,2,FALSE)</f>
        <v>0</v>
      </c>
      <c r="EP47" s="1223">
        <f>$G47*BU47*Variables!$B$53*HLOOKUP($EK$2,Variables!$B$60:$F$61,2,FALSE)</f>
        <v>0</v>
      </c>
      <c r="EQ47" s="1223">
        <f>$G47*BV47*Variables!$B$53*HLOOKUP($EK$2,Variables!$B$60:$F$61,2,FALSE)</f>
        <v>0</v>
      </c>
      <c r="ER47" s="1223">
        <f>$G47*BW47*Variables!$B$53*HLOOKUP($EK$2,Variables!$B$60:$F$61,2,FALSE)</f>
        <v>0</v>
      </c>
      <c r="ES47" s="1223">
        <f>$G47*BX47*Variables!$B$53*HLOOKUP($EK$2,Variables!$B$60:$F$61,2,FALSE)</f>
        <v>0</v>
      </c>
      <c r="ET47" s="1223">
        <f>$G47*BY47*Variables!$B$53*HLOOKUP($EK$2,Variables!$B$60:$F$61,2,FALSE)</f>
        <v>0</v>
      </c>
      <c r="EU47" s="1223">
        <f>$G47*BZ47*Variables!$B$53*HLOOKUP($EK$2,Variables!$B$60:$F$61,2,FALSE)</f>
        <v>0</v>
      </c>
      <c r="EV47" s="1225">
        <f>$G47*CA47*Variables!$B$53*HLOOKUP($EK$2,Variables!$B$60:$F$61,2,FALSE)</f>
        <v>0</v>
      </c>
      <c r="EW47" s="872">
        <f t="shared" si="6"/>
        <v>0</v>
      </c>
      <c r="EX47" s="872"/>
      <c r="EY47" s="872"/>
      <c r="EZ47" s="872"/>
      <c r="FA47" s="1332"/>
      <c r="FC47" s="958" t="str">
        <f t="shared" si="8"/>
        <v/>
      </c>
      <c r="FD47" s="959" t="str">
        <f t="shared" si="9"/>
        <v/>
      </c>
      <c r="FE47" s="959" t="s">
        <v>8407</v>
      </c>
      <c r="FF47" s="959" t="str">
        <f>IF(ISNA(VLOOKUP(FC47,Miscellaneous!E:F,2,0)),"",VLOOKUP(FC47,Miscellaneous!E:F,2,0))</f>
        <v/>
      </c>
      <c r="FG47" s="959" t="str">
        <f t="shared" si="10"/>
        <v/>
      </c>
      <c r="FH47" s="996">
        <f>IF($FG47="Opex",SUMIF('Monthly Summary'!$C$75:$N$75,"",CC47:CN47),SUMIF('Monthly Summary'!$C$74:$N$74,"",CC47:CN47))</f>
        <v>0</v>
      </c>
      <c r="FI47" s="996">
        <f>IF($FG47="Opex",SUMIF('Monthly Summary'!$O$75:$Z$75,"",CO47:CZ47),SUMIF('Monthly Summary'!$O$74:$Z$74,"",CO47:CZ47))</f>
        <v>0</v>
      </c>
      <c r="FJ47" s="996">
        <f>IF($FG47="Opex",SUMIF('Monthly Summary'!$AA$75:$AL$75,"",DA47:DL47),SUMIF('Monthly Summary'!$AA$74:$AL$74,"",DA47:DL47))</f>
        <v>0</v>
      </c>
      <c r="FK47" s="996">
        <f>IF($FG47="Opex",SUMIF('Monthly Summary'!$AM$75:$AX$75,"",DM47:DX47),SUMIF('Monthly Summary'!$AM$74:$AX$74,"",DM47:DX47))</f>
        <v>0</v>
      </c>
      <c r="FL47" s="996">
        <f>IF($FG47="Opex",SUMIF('Monthly Summary'!$AY$75:$BJ$75,"",DY47:EJ47),SUMIF('Monthly Summary'!$AY$74:$BJ$74,"",DY47:EJ47))</f>
        <v>0</v>
      </c>
      <c r="FM47" s="997">
        <f>IF($FG47="Opex",SUMIF('Monthly Summary'!$BK$75:$BV$75,"",EK47:EV47),SUMIF('Monthly Summary'!$BK$74:$BV$74,"",EK47:EV47))</f>
        <v>0</v>
      </c>
      <c r="FN47" s="997">
        <f t="shared" si="7"/>
        <v>0</v>
      </c>
    </row>
    <row r="48" spans="3:170">
      <c r="C48" s="757"/>
      <c r="D48" s="757"/>
      <c r="E48" s="758"/>
      <c r="F48" s="758"/>
      <c r="G48" s="758"/>
      <c r="H48" s="1215"/>
      <c r="I48" s="761"/>
      <c r="J48" s="761"/>
      <c r="K48" s="761"/>
      <c r="L48" s="761"/>
      <c r="M48" s="761"/>
      <c r="N48" s="761"/>
      <c r="O48" s="761"/>
      <c r="P48" s="761"/>
      <c r="Q48" s="761"/>
      <c r="R48" s="761"/>
      <c r="S48" s="1216"/>
      <c r="T48" s="1215"/>
      <c r="U48" s="761"/>
      <c r="V48" s="761"/>
      <c r="W48" s="761"/>
      <c r="X48" s="761"/>
      <c r="Y48" s="761"/>
      <c r="Z48" s="761"/>
      <c r="AA48" s="761"/>
      <c r="AB48" s="761"/>
      <c r="AC48" s="761"/>
      <c r="AD48" s="761"/>
      <c r="AE48" s="1216"/>
      <c r="AF48" s="1215"/>
      <c r="AG48" s="761"/>
      <c r="AH48" s="761"/>
      <c r="AI48" s="761"/>
      <c r="AJ48" s="761"/>
      <c r="AK48" s="761"/>
      <c r="AL48" s="761"/>
      <c r="AM48" s="761"/>
      <c r="AN48" s="761"/>
      <c r="AO48" s="761"/>
      <c r="AP48" s="761"/>
      <c r="AQ48" s="1216"/>
      <c r="AR48" s="1215"/>
      <c r="AS48" s="761"/>
      <c r="AT48" s="761"/>
      <c r="AU48" s="761"/>
      <c r="AV48" s="761"/>
      <c r="AW48" s="761"/>
      <c r="AX48" s="761"/>
      <c r="AY48" s="761"/>
      <c r="AZ48" s="761"/>
      <c r="BA48" s="761"/>
      <c r="BB48" s="761"/>
      <c r="BC48" s="1216"/>
      <c r="BD48" s="1215"/>
      <c r="BE48" s="761"/>
      <c r="BF48" s="761"/>
      <c r="BG48" s="761"/>
      <c r="BH48" s="761"/>
      <c r="BI48" s="761"/>
      <c r="BJ48" s="761"/>
      <c r="BK48" s="761"/>
      <c r="BL48" s="761"/>
      <c r="BM48" s="761"/>
      <c r="BN48" s="761"/>
      <c r="BO48" s="1216"/>
      <c r="BP48" s="1215"/>
      <c r="BQ48" s="761"/>
      <c r="BR48" s="761"/>
      <c r="BS48" s="761"/>
      <c r="BT48" s="761"/>
      <c r="BU48" s="761"/>
      <c r="BV48" s="761"/>
      <c r="BW48" s="761"/>
      <c r="BX48" s="761"/>
      <c r="BY48" s="761"/>
      <c r="BZ48" s="761"/>
      <c r="CA48" s="1216"/>
      <c r="CB48" s="747"/>
      <c r="CC48" s="1222">
        <f>$G48*H48*Variables!$B$53</f>
        <v>0</v>
      </c>
      <c r="CD48" s="1223">
        <f>$G48*I48*Variables!$B$53</f>
        <v>0</v>
      </c>
      <c r="CE48" s="1223">
        <f>$G48*J48*Variables!$B$53</f>
        <v>0</v>
      </c>
      <c r="CF48" s="1223">
        <f>$G48*K48*Variables!$B$53</f>
        <v>0</v>
      </c>
      <c r="CG48" s="1223">
        <f>$G48*L48*Variables!$B$53</f>
        <v>0</v>
      </c>
      <c r="CH48" s="1223">
        <f>$G48*M48*Variables!$B$53</f>
        <v>0</v>
      </c>
      <c r="CI48" s="1223">
        <f>$G48*N48*Variables!$B$53</f>
        <v>0</v>
      </c>
      <c r="CJ48" s="1223">
        <f>$G48*O48*Variables!$B$53</f>
        <v>0</v>
      </c>
      <c r="CK48" s="1223">
        <f>$G48*P48*Variables!$B$53</f>
        <v>0</v>
      </c>
      <c r="CL48" s="1223">
        <f>$G48*Q48*Variables!$B$53</f>
        <v>0</v>
      </c>
      <c r="CM48" s="1223">
        <f>$G48*R48*Variables!$B$53</f>
        <v>0</v>
      </c>
      <c r="CN48" s="1225">
        <f>$G48*S48*Variables!$B$53</f>
        <v>0</v>
      </c>
      <c r="CO48" s="1222">
        <f>$G48*T48*Variables!$B$53*HLOOKUP($CO$2,Variables!$B$60:$F$61,2,FALSE)</f>
        <v>0</v>
      </c>
      <c r="CP48" s="1223">
        <f>$G48*U48*Variables!$B$53*HLOOKUP($CO$2,Variables!$B$60:$F$61,2,FALSE)</f>
        <v>0</v>
      </c>
      <c r="CQ48" s="1223">
        <f>$G48*V48*Variables!$B$53*HLOOKUP($CO$2,Variables!$B$60:$F$61,2,FALSE)</f>
        <v>0</v>
      </c>
      <c r="CR48" s="1223">
        <f>$G48*W48*Variables!$B$53*HLOOKUP($CO$2,Variables!$B$60:$F$61,2,FALSE)</f>
        <v>0</v>
      </c>
      <c r="CS48" s="1223">
        <f>$G48*X48*Variables!$B$53*HLOOKUP($CO$2,Variables!$B$60:$F$61,2,FALSE)</f>
        <v>0</v>
      </c>
      <c r="CT48" s="1223">
        <f>$G48*Y48*Variables!$B$53*HLOOKUP($CO$2,Variables!$B$60:$F$61,2,FALSE)</f>
        <v>0</v>
      </c>
      <c r="CU48" s="1223">
        <f>$G48*Z48*Variables!$B$53*HLOOKUP($CO$2,Variables!$B$60:$F$61,2,FALSE)</f>
        <v>0</v>
      </c>
      <c r="CV48" s="1223">
        <f>$G48*AA48*Variables!$B$53*HLOOKUP($CO$2,Variables!$B$60:$F$61,2,FALSE)</f>
        <v>0</v>
      </c>
      <c r="CW48" s="1223">
        <f>$G48*AB48*Variables!$B$53*HLOOKUP($CO$2,Variables!$B$60:$F$61,2,FALSE)</f>
        <v>0</v>
      </c>
      <c r="CX48" s="1223">
        <f>$G48*AC48*Variables!$B$53*HLOOKUP($CO$2,Variables!$B$60:$F$61,2,FALSE)</f>
        <v>0</v>
      </c>
      <c r="CY48" s="1223">
        <f>$G48*AD48*Variables!$B$53*HLOOKUP($CO$2,Variables!$B$60:$F$61,2,FALSE)</f>
        <v>0</v>
      </c>
      <c r="CZ48" s="1225">
        <f>$G48*AE48*Variables!$B$53*HLOOKUP($CO$2,Variables!$B$60:$F$61,2,FALSE)</f>
        <v>0</v>
      </c>
      <c r="DA48" s="1222">
        <f>$G48*AF48*Variables!$B$53*HLOOKUP($DA$2,Variables!$B$60:$F$61,2,FALSE)</f>
        <v>0</v>
      </c>
      <c r="DB48" s="1223">
        <f>$G48*AG48*Variables!$B$53*HLOOKUP($DA$2,Variables!$B$60:$F$61,2,FALSE)</f>
        <v>0</v>
      </c>
      <c r="DC48" s="1223">
        <f>$G48*AH48*Variables!$B$53*HLOOKUP($DA$2,Variables!$B$60:$F$61,2,FALSE)</f>
        <v>0</v>
      </c>
      <c r="DD48" s="1223">
        <f>$G48*AI48*Variables!$B$53*HLOOKUP($DA$2,Variables!$B$60:$F$61,2,FALSE)</f>
        <v>0</v>
      </c>
      <c r="DE48" s="1223">
        <f>$G48*AJ48*Variables!$B$53*HLOOKUP($DA$2,Variables!$B$60:$F$61,2,FALSE)</f>
        <v>0</v>
      </c>
      <c r="DF48" s="1223">
        <f>$G48*AK48*Variables!$B$53*HLOOKUP($DA$2,Variables!$B$60:$F$61,2,FALSE)</f>
        <v>0</v>
      </c>
      <c r="DG48" s="1223">
        <f>$G48*AL48*Variables!$B$53*HLOOKUP($DA$2,Variables!$B$60:$F$61,2,FALSE)</f>
        <v>0</v>
      </c>
      <c r="DH48" s="1223">
        <f>$G48*AM48*Variables!$B$53*HLOOKUP($DA$2,Variables!$B$60:$F$61,2,FALSE)</f>
        <v>0</v>
      </c>
      <c r="DI48" s="1223">
        <f>$G48*AN48*Variables!$B$53*HLOOKUP($DA$2,Variables!$B$60:$F$61,2,FALSE)</f>
        <v>0</v>
      </c>
      <c r="DJ48" s="1223">
        <f>$G48*AO48*Variables!$B$53*HLOOKUP($DA$2,Variables!$B$60:$F$61,2,FALSE)</f>
        <v>0</v>
      </c>
      <c r="DK48" s="1223">
        <f>$G48*AP48*Variables!$B$53*HLOOKUP($DA$2,Variables!$B$60:$F$61,2,FALSE)</f>
        <v>0</v>
      </c>
      <c r="DL48" s="1225">
        <f>$G48*AQ48*Variables!$B$53*HLOOKUP($DA$2,Variables!$B$60:$F$61,2,FALSE)</f>
        <v>0</v>
      </c>
      <c r="DM48" s="1222">
        <f>$G48*AR48*Variables!$B$53*HLOOKUP($DM$2,Variables!$B$60:$F$61,2,FALSE)</f>
        <v>0</v>
      </c>
      <c r="DN48" s="1223">
        <f>$G48*AS48*Variables!$B$53*HLOOKUP($DM$2,Variables!$B$60:$F$61,2,FALSE)</f>
        <v>0</v>
      </c>
      <c r="DO48" s="1223">
        <f>$G48*AT48*Variables!$B$53*HLOOKUP($DM$2,Variables!$B$60:$F$61,2,FALSE)</f>
        <v>0</v>
      </c>
      <c r="DP48" s="1223">
        <f>$G48*AU48*Variables!$B$53*HLOOKUP($DM$2,Variables!$B$60:$F$61,2,FALSE)</f>
        <v>0</v>
      </c>
      <c r="DQ48" s="1223">
        <f>$G48*AV48*Variables!$B$53*HLOOKUP($DM$2,Variables!$B$60:$F$61,2,FALSE)</f>
        <v>0</v>
      </c>
      <c r="DR48" s="1223">
        <f>$G48*AW48*Variables!$B$53*HLOOKUP($DM$2,Variables!$B$60:$F$61,2,FALSE)</f>
        <v>0</v>
      </c>
      <c r="DS48" s="1223">
        <f>$G48*AX48*Variables!$B$53*HLOOKUP($DM$2,Variables!$B$60:$F$61,2,FALSE)</f>
        <v>0</v>
      </c>
      <c r="DT48" s="1223">
        <f>$G48*AY48*Variables!$B$53*HLOOKUP($DM$2,Variables!$B$60:$F$61,2,FALSE)</f>
        <v>0</v>
      </c>
      <c r="DU48" s="1223">
        <f>$G48*AZ48*Variables!$B$53*HLOOKUP($DM$2,Variables!$B$60:$F$61,2,FALSE)</f>
        <v>0</v>
      </c>
      <c r="DV48" s="1223">
        <f>$G48*BA48*Variables!$B$53*HLOOKUP($DM$2,Variables!$B$60:$F$61,2,FALSE)</f>
        <v>0</v>
      </c>
      <c r="DW48" s="1223">
        <f>$G48*BB48*Variables!$B$53*HLOOKUP($DM$2,Variables!$B$60:$F$61,2,FALSE)</f>
        <v>0</v>
      </c>
      <c r="DX48" s="1225">
        <f>$G48*BC48*Variables!$B$53*HLOOKUP($DM$2,Variables!$B$60:$F$61,2,FALSE)</f>
        <v>0</v>
      </c>
      <c r="DY48" s="1222">
        <f>$G48*BD48*Variables!$B$53*HLOOKUP($DY$2,Variables!$B$60:$F$61,2,FALSE)</f>
        <v>0</v>
      </c>
      <c r="DZ48" s="1223">
        <f>$G48*BE48*Variables!$B$53*HLOOKUP($DY$2,Variables!$B$60:$F$61,2,FALSE)</f>
        <v>0</v>
      </c>
      <c r="EA48" s="1223">
        <f>$G48*BF48*Variables!$B$53*HLOOKUP($DY$2,Variables!$B$60:$F$61,2,FALSE)</f>
        <v>0</v>
      </c>
      <c r="EB48" s="1223">
        <f>$G48*BG48*Variables!$B$53*HLOOKUP($DY$2,Variables!$B$60:$F$61,2,FALSE)</f>
        <v>0</v>
      </c>
      <c r="EC48" s="1223">
        <f>$G48*BH48*Variables!$B$53*HLOOKUP($DY$2,Variables!$B$60:$F$61,2,FALSE)</f>
        <v>0</v>
      </c>
      <c r="ED48" s="1223">
        <f>$G48*BI48*Variables!$B$53*HLOOKUP($DY$2,Variables!$B$60:$F$61,2,FALSE)</f>
        <v>0</v>
      </c>
      <c r="EE48" s="1223">
        <f>$G48*BJ48*Variables!$B$53*HLOOKUP($DY$2,Variables!$B$60:$F$61,2,FALSE)</f>
        <v>0</v>
      </c>
      <c r="EF48" s="1223">
        <f>$G48*BK48*Variables!$B$53*HLOOKUP($DY$2,Variables!$B$60:$F$61,2,FALSE)</f>
        <v>0</v>
      </c>
      <c r="EG48" s="1223">
        <f>$G48*BL48*Variables!$B$53*HLOOKUP($DY$2,Variables!$B$60:$F$61,2,FALSE)</f>
        <v>0</v>
      </c>
      <c r="EH48" s="1223">
        <f>$G48*BM48*Variables!$B$53*HLOOKUP($DY$2,Variables!$B$60:$F$61,2,FALSE)</f>
        <v>0</v>
      </c>
      <c r="EI48" s="1223">
        <f>$G48*BN48*Variables!$B$53*HLOOKUP($DY$2,Variables!$B$60:$F$61,2,FALSE)</f>
        <v>0</v>
      </c>
      <c r="EJ48" s="1225">
        <f>$G48*BO48*Variables!$B$53*HLOOKUP($DY$2,Variables!$B$60:$F$61,2,FALSE)</f>
        <v>0</v>
      </c>
      <c r="EK48" s="1222">
        <f>$G48*BP48*Variables!$B$53*HLOOKUP($EK$2,Variables!$B$60:$F$61,2,FALSE)</f>
        <v>0</v>
      </c>
      <c r="EL48" s="1223">
        <f>$G48*BQ48*Variables!$B$53*HLOOKUP($EK$2,Variables!$B$60:$F$61,2,FALSE)</f>
        <v>0</v>
      </c>
      <c r="EM48" s="1223">
        <f>$G48*BR48*Variables!$B$53*HLOOKUP($EK$2,Variables!$B$60:$F$61,2,FALSE)</f>
        <v>0</v>
      </c>
      <c r="EN48" s="1223">
        <f>$G48*BS48*Variables!$B$53*HLOOKUP($EK$2,Variables!$B$60:$F$61,2,FALSE)</f>
        <v>0</v>
      </c>
      <c r="EO48" s="1223">
        <f>$G48*BT48*Variables!$B$53*HLOOKUP($EK$2,Variables!$B$60:$F$61,2,FALSE)</f>
        <v>0</v>
      </c>
      <c r="EP48" s="1223">
        <f>$G48*BU48*Variables!$B$53*HLOOKUP($EK$2,Variables!$B$60:$F$61,2,FALSE)</f>
        <v>0</v>
      </c>
      <c r="EQ48" s="1223">
        <f>$G48*BV48*Variables!$B$53*HLOOKUP($EK$2,Variables!$B$60:$F$61,2,FALSE)</f>
        <v>0</v>
      </c>
      <c r="ER48" s="1223">
        <f>$G48*BW48*Variables!$B$53*HLOOKUP($EK$2,Variables!$B$60:$F$61,2,FALSE)</f>
        <v>0</v>
      </c>
      <c r="ES48" s="1223">
        <f>$G48*BX48*Variables!$B$53*HLOOKUP($EK$2,Variables!$B$60:$F$61,2,FALSE)</f>
        <v>0</v>
      </c>
      <c r="ET48" s="1223">
        <f>$G48*BY48*Variables!$B$53*HLOOKUP($EK$2,Variables!$B$60:$F$61,2,FALSE)</f>
        <v>0</v>
      </c>
      <c r="EU48" s="1223">
        <f>$G48*BZ48*Variables!$B$53*HLOOKUP($EK$2,Variables!$B$60:$F$61,2,FALSE)</f>
        <v>0</v>
      </c>
      <c r="EV48" s="1225">
        <f>$G48*CA48*Variables!$B$53*HLOOKUP($EK$2,Variables!$B$60:$F$61,2,FALSE)</f>
        <v>0</v>
      </c>
      <c r="EW48" s="872">
        <f t="shared" si="6"/>
        <v>0</v>
      </c>
      <c r="EX48" s="872"/>
      <c r="EY48" s="872"/>
      <c r="EZ48" s="872"/>
      <c r="FA48" s="1332"/>
      <c r="FC48" s="958" t="str">
        <f t="shared" si="8"/>
        <v/>
      </c>
      <c r="FD48" s="959" t="str">
        <f t="shared" si="9"/>
        <v/>
      </c>
      <c r="FE48" s="959" t="s">
        <v>8407</v>
      </c>
      <c r="FF48" s="959" t="str">
        <f>IF(ISNA(VLOOKUP(FC48,Miscellaneous!E:F,2,0)),"",VLOOKUP(FC48,Miscellaneous!E:F,2,0))</f>
        <v/>
      </c>
      <c r="FG48" s="959" t="str">
        <f t="shared" si="10"/>
        <v/>
      </c>
      <c r="FH48" s="996">
        <f>IF($FG48="Opex",SUMIF('Monthly Summary'!$C$75:$N$75,"",CC48:CN48),SUMIF('Monthly Summary'!$C$74:$N$74,"",CC48:CN48))</f>
        <v>0</v>
      </c>
      <c r="FI48" s="996">
        <f>IF($FG48="Opex",SUMIF('Monthly Summary'!$O$75:$Z$75,"",CO48:CZ48),SUMIF('Monthly Summary'!$O$74:$Z$74,"",CO48:CZ48))</f>
        <v>0</v>
      </c>
      <c r="FJ48" s="996">
        <f>IF($FG48="Opex",SUMIF('Monthly Summary'!$AA$75:$AL$75,"",DA48:DL48),SUMIF('Monthly Summary'!$AA$74:$AL$74,"",DA48:DL48))</f>
        <v>0</v>
      </c>
      <c r="FK48" s="996">
        <f>IF($FG48="Opex",SUMIF('Monthly Summary'!$AM$75:$AX$75,"",DM48:DX48),SUMIF('Monthly Summary'!$AM$74:$AX$74,"",DM48:DX48))</f>
        <v>0</v>
      </c>
      <c r="FL48" s="996">
        <f>IF($FG48="Opex",SUMIF('Monthly Summary'!$AY$75:$BJ$75,"",DY48:EJ48),SUMIF('Monthly Summary'!$AY$74:$BJ$74,"",DY48:EJ48))</f>
        <v>0</v>
      </c>
      <c r="FM48" s="997">
        <f>IF($FG48="Opex",SUMIF('Monthly Summary'!$BK$75:$BV$75,"",EK48:EV48),SUMIF('Monthly Summary'!$BK$74:$BV$74,"",EK48:EV48))</f>
        <v>0</v>
      </c>
      <c r="FN48" s="997">
        <f t="shared" si="7"/>
        <v>0</v>
      </c>
    </row>
    <row r="49" spans="3:170">
      <c r="C49" s="757"/>
      <c r="D49" s="757"/>
      <c r="E49" s="758"/>
      <c r="F49" s="758"/>
      <c r="G49" s="758"/>
      <c r="H49" s="1215"/>
      <c r="I49" s="761"/>
      <c r="J49" s="761"/>
      <c r="K49" s="761"/>
      <c r="L49" s="761"/>
      <c r="M49" s="761"/>
      <c r="N49" s="761"/>
      <c r="O49" s="761"/>
      <c r="P49" s="761"/>
      <c r="Q49" s="761"/>
      <c r="R49" s="761"/>
      <c r="S49" s="1216"/>
      <c r="T49" s="1215"/>
      <c r="U49" s="761"/>
      <c r="V49" s="761"/>
      <c r="W49" s="761"/>
      <c r="X49" s="761"/>
      <c r="Y49" s="761"/>
      <c r="Z49" s="761"/>
      <c r="AA49" s="761"/>
      <c r="AB49" s="761"/>
      <c r="AC49" s="761"/>
      <c r="AD49" s="761"/>
      <c r="AE49" s="1216"/>
      <c r="AF49" s="1215"/>
      <c r="AG49" s="761"/>
      <c r="AH49" s="761"/>
      <c r="AI49" s="761"/>
      <c r="AJ49" s="761"/>
      <c r="AK49" s="761"/>
      <c r="AL49" s="761"/>
      <c r="AM49" s="761"/>
      <c r="AN49" s="761"/>
      <c r="AO49" s="761"/>
      <c r="AP49" s="761"/>
      <c r="AQ49" s="1216"/>
      <c r="AR49" s="1215"/>
      <c r="AS49" s="761"/>
      <c r="AT49" s="761"/>
      <c r="AU49" s="761"/>
      <c r="AV49" s="761"/>
      <c r="AW49" s="761"/>
      <c r="AX49" s="761"/>
      <c r="AY49" s="761"/>
      <c r="AZ49" s="761"/>
      <c r="BA49" s="761"/>
      <c r="BB49" s="761"/>
      <c r="BC49" s="1216"/>
      <c r="BD49" s="1215"/>
      <c r="BE49" s="761"/>
      <c r="BF49" s="761"/>
      <c r="BG49" s="761"/>
      <c r="BH49" s="761"/>
      <c r="BI49" s="761"/>
      <c r="BJ49" s="761"/>
      <c r="BK49" s="761"/>
      <c r="BL49" s="761"/>
      <c r="BM49" s="761"/>
      <c r="BN49" s="761"/>
      <c r="BO49" s="1216"/>
      <c r="BP49" s="1215"/>
      <c r="BQ49" s="761"/>
      <c r="BR49" s="761"/>
      <c r="BS49" s="761"/>
      <c r="BT49" s="761"/>
      <c r="BU49" s="761"/>
      <c r="BV49" s="761"/>
      <c r="BW49" s="761"/>
      <c r="BX49" s="761"/>
      <c r="BY49" s="761"/>
      <c r="BZ49" s="761"/>
      <c r="CA49" s="1216"/>
      <c r="CB49" s="747"/>
      <c r="CC49" s="1222">
        <f>$G49*H49*Variables!$B$53</f>
        <v>0</v>
      </c>
      <c r="CD49" s="1223">
        <f>$G49*I49*Variables!$B$53</f>
        <v>0</v>
      </c>
      <c r="CE49" s="1223">
        <f>$G49*J49*Variables!$B$53</f>
        <v>0</v>
      </c>
      <c r="CF49" s="1223">
        <f>$G49*K49*Variables!$B$53</f>
        <v>0</v>
      </c>
      <c r="CG49" s="1223">
        <f>$G49*L49*Variables!$B$53</f>
        <v>0</v>
      </c>
      <c r="CH49" s="1223">
        <f>$G49*M49*Variables!$B$53</f>
        <v>0</v>
      </c>
      <c r="CI49" s="1223">
        <f>$G49*N49*Variables!$B$53</f>
        <v>0</v>
      </c>
      <c r="CJ49" s="1223">
        <f>$G49*O49*Variables!$B$53</f>
        <v>0</v>
      </c>
      <c r="CK49" s="1223">
        <f>$G49*P49*Variables!$B$53</f>
        <v>0</v>
      </c>
      <c r="CL49" s="1223">
        <f>$G49*Q49*Variables!$B$53</f>
        <v>0</v>
      </c>
      <c r="CM49" s="1223">
        <f>$G49*R49*Variables!$B$53</f>
        <v>0</v>
      </c>
      <c r="CN49" s="1225">
        <f>$G49*S49*Variables!$B$53</f>
        <v>0</v>
      </c>
      <c r="CO49" s="1222">
        <f>$G49*T49*Variables!$B$53*HLOOKUP($CO$2,Variables!$B$60:$F$61,2,FALSE)</f>
        <v>0</v>
      </c>
      <c r="CP49" s="1223">
        <f>$G49*U49*Variables!$B$53*HLOOKUP($CO$2,Variables!$B$60:$F$61,2,FALSE)</f>
        <v>0</v>
      </c>
      <c r="CQ49" s="1223">
        <f>$G49*V49*Variables!$B$53*HLOOKUP($CO$2,Variables!$B$60:$F$61,2,FALSE)</f>
        <v>0</v>
      </c>
      <c r="CR49" s="1223">
        <f>$G49*W49*Variables!$B$53*HLOOKUP($CO$2,Variables!$B$60:$F$61,2,FALSE)</f>
        <v>0</v>
      </c>
      <c r="CS49" s="1223">
        <f>$G49*X49*Variables!$B$53*HLOOKUP($CO$2,Variables!$B$60:$F$61,2,FALSE)</f>
        <v>0</v>
      </c>
      <c r="CT49" s="1223">
        <f>$G49*Y49*Variables!$B$53*HLOOKUP($CO$2,Variables!$B$60:$F$61,2,FALSE)</f>
        <v>0</v>
      </c>
      <c r="CU49" s="1223">
        <f>$G49*Z49*Variables!$B$53*HLOOKUP($CO$2,Variables!$B$60:$F$61,2,FALSE)</f>
        <v>0</v>
      </c>
      <c r="CV49" s="1223">
        <f>$G49*AA49*Variables!$B$53*HLOOKUP($CO$2,Variables!$B$60:$F$61,2,FALSE)</f>
        <v>0</v>
      </c>
      <c r="CW49" s="1223">
        <f>$G49*AB49*Variables!$B$53*HLOOKUP($CO$2,Variables!$B$60:$F$61,2,FALSE)</f>
        <v>0</v>
      </c>
      <c r="CX49" s="1223">
        <f>$G49*AC49*Variables!$B$53*HLOOKUP($CO$2,Variables!$B$60:$F$61,2,FALSE)</f>
        <v>0</v>
      </c>
      <c r="CY49" s="1223">
        <f>$G49*AD49*Variables!$B$53*HLOOKUP($CO$2,Variables!$B$60:$F$61,2,FALSE)</f>
        <v>0</v>
      </c>
      <c r="CZ49" s="1225">
        <f>$G49*AE49*Variables!$B$53*HLOOKUP($CO$2,Variables!$B$60:$F$61,2,FALSE)</f>
        <v>0</v>
      </c>
      <c r="DA49" s="1222">
        <f>$G49*AF49*Variables!$B$53*HLOOKUP($DA$2,Variables!$B$60:$F$61,2,FALSE)</f>
        <v>0</v>
      </c>
      <c r="DB49" s="1223">
        <f>$G49*AG49*Variables!$B$53*HLOOKUP($DA$2,Variables!$B$60:$F$61,2,FALSE)</f>
        <v>0</v>
      </c>
      <c r="DC49" s="1223">
        <f>$G49*AH49*Variables!$B$53*HLOOKUP($DA$2,Variables!$B$60:$F$61,2,FALSE)</f>
        <v>0</v>
      </c>
      <c r="DD49" s="1223">
        <f>$G49*AI49*Variables!$B$53*HLOOKUP($DA$2,Variables!$B$60:$F$61,2,FALSE)</f>
        <v>0</v>
      </c>
      <c r="DE49" s="1223">
        <f>$G49*AJ49*Variables!$B$53*HLOOKUP($DA$2,Variables!$B$60:$F$61,2,FALSE)</f>
        <v>0</v>
      </c>
      <c r="DF49" s="1223">
        <f>$G49*AK49*Variables!$B$53*HLOOKUP($DA$2,Variables!$B$60:$F$61,2,FALSE)</f>
        <v>0</v>
      </c>
      <c r="DG49" s="1223">
        <f>$G49*AL49*Variables!$B$53*HLOOKUP($DA$2,Variables!$B$60:$F$61,2,FALSE)</f>
        <v>0</v>
      </c>
      <c r="DH49" s="1223">
        <f>$G49*AM49*Variables!$B$53*HLOOKUP($DA$2,Variables!$B$60:$F$61,2,FALSE)</f>
        <v>0</v>
      </c>
      <c r="DI49" s="1223">
        <f>$G49*AN49*Variables!$B$53*HLOOKUP($DA$2,Variables!$B$60:$F$61,2,FALSE)</f>
        <v>0</v>
      </c>
      <c r="DJ49" s="1223">
        <f>$G49*AO49*Variables!$B$53*HLOOKUP($DA$2,Variables!$B$60:$F$61,2,FALSE)</f>
        <v>0</v>
      </c>
      <c r="DK49" s="1223">
        <f>$G49*AP49*Variables!$B$53*HLOOKUP($DA$2,Variables!$B$60:$F$61,2,FALSE)</f>
        <v>0</v>
      </c>
      <c r="DL49" s="1225">
        <f>$G49*AQ49*Variables!$B$53*HLOOKUP($DA$2,Variables!$B$60:$F$61,2,FALSE)</f>
        <v>0</v>
      </c>
      <c r="DM49" s="1222">
        <f>$G49*AR49*Variables!$B$53*HLOOKUP($DM$2,Variables!$B$60:$F$61,2,FALSE)</f>
        <v>0</v>
      </c>
      <c r="DN49" s="1223">
        <f>$G49*AS49*Variables!$B$53*HLOOKUP($DM$2,Variables!$B$60:$F$61,2,FALSE)</f>
        <v>0</v>
      </c>
      <c r="DO49" s="1223">
        <f>$G49*AT49*Variables!$B$53*HLOOKUP($DM$2,Variables!$B$60:$F$61,2,FALSE)</f>
        <v>0</v>
      </c>
      <c r="DP49" s="1223">
        <f>$G49*AU49*Variables!$B$53*HLOOKUP($DM$2,Variables!$B$60:$F$61,2,FALSE)</f>
        <v>0</v>
      </c>
      <c r="DQ49" s="1223">
        <f>$G49*AV49*Variables!$B$53*HLOOKUP($DM$2,Variables!$B$60:$F$61,2,FALSE)</f>
        <v>0</v>
      </c>
      <c r="DR49" s="1223">
        <f>$G49*AW49*Variables!$B$53*HLOOKUP($DM$2,Variables!$B$60:$F$61,2,FALSE)</f>
        <v>0</v>
      </c>
      <c r="DS49" s="1223">
        <f>$G49*AX49*Variables!$B$53*HLOOKUP($DM$2,Variables!$B$60:$F$61,2,FALSE)</f>
        <v>0</v>
      </c>
      <c r="DT49" s="1223">
        <f>$G49*AY49*Variables!$B$53*HLOOKUP($DM$2,Variables!$B$60:$F$61,2,FALSE)</f>
        <v>0</v>
      </c>
      <c r="DU49" s="1223">
        <f>$G49*AZ49*Variables!$B$53*HLOOKUP($DM$2,Variables!$B$60:$F$61,2,FALSE)</f>
        <v>0</v>
      </c>
      <c r="DV49" s="1223">
        <f>$G49*BA49*Variables!$B$53*HLOOKUP($DM$2,Variables!$B$60:$F$61,2,FALSE)</f>
        <v>0</v>
      </c>
      <c r="DW49" s="1223">
        <f>$G49*BB49*Variables!$B$53*HLOOKUP($DM$2,Variables!$B$60:$F$61,2,FALSE)</f>
        <v>0</v>
      </c>
      <c r="DX49" s="1225">
        <f>$G49*BC49*Variables!$B$53*HLOOKUP($DM$2,Variables!$B$60:$F$61,2,FALSE)</f>
        <v>0</v>
      </c>
      <c r="DY49" s="1222">
        <f>$G49*BD49*Variables!$B$53*HLOOKUP($DY$2,Variables!$B$60:$F$61,2,FALSE)</f>
        <v>0</v>
      </c>
      <c r="DZ49" s="1223">
        <f>$G49*BE49*Variables!$B$53*HLOOKUP($DY$2,Variables!$B$60:$F$61,2,FALSE)</f>
        <v>0</v>
      </c>
      <c r="EA49" s="1223">
        <f>$G49*BF49*Variables!$B$53*HLOOKUP($DY$2,Variables!$B$60:$F$61,2,FALSE)</f>
        <v>0</v>
      </c>
      <c r="EB49" s="1223">
        <f>$G49*BG49*Variables!$B$53*HLOOKUP($DY$2,Variables!$B$60:$F$61,2,FALSE)</f>
        <v>0</v>
      </c>
      <c r="EC49" s="1223">
        <f>$G49*BH49*Variables!$B$53*HLOOKUP($DY$2,Variables!$B$60:$F$61,2,FALSE)</f>
        <v>0</v>
      </c>
      <c r="ED49" s="1223">
        <f>$G49*BI49*Variables!$B$53*HLOOKUP($DY$2,Variables!$B$60:$F$61,2,FALSE)</f>
        <v>0</v>
      </c>
      <c r="EE49" s="1223">
        <f>$G49*BJ49*Variables!$B$53*HLOOKUP($DY$2,Variables!$B$60:$F$61,2,FALSE)</f>
        <v>0</v>
      </c>
      <c r="EF49" s="1223">
        <f>$G49*BK49*Variables!$B$53*HLOOKUP($DY$2,Variables!$B$60:$F$61,2,FALSE)</f>
        <v>0</v>
      </c>
      <c r="EG49" s="1223">
        <f>$G49*BL49*Variables!$B$53*HLOOKUP($DY$2,Variables!$B$60:$F$61,2,FALSE)</f>
        <v>0</v>
      </c>
      <c r="EH49" s="1223">
        <f>$G49*BM49*Variables!$B$53*HLOOKUP($DY$2,Variables!$B$60:$F$61,2,FALSE)</f>
        <v>0</v>
      </c>
      <c r="EI49" s="1223">
        <f>$G49*BN49*Variables!$B$53*HLOOKUP($DY$2,Variables!$B$60:$F$61,2,FALSE)</f>
        <v>0</v>
      </c>
      <c r="EJ49" s="1225">
        <f>$G49*BO49*Variables!$B$53*HLOOKUP($DY$2,Variables!$B$60:$F$61,2,FALSE)</f>
        <v>0</v>
      </c>
      <c r="EK49" s="1222">
        <f>$G49*BP49*Variables!$B$53*HLOOKUP($EK$2,Variables!$B$60:$F$61,2,FALSE)</f>
        <v>0</v>
      </c>
      <c r="EL49" s="1223">
        <f>$G49*BQ49*Variables!$B$53*HLOOKUP($EK$2,Variables!$B$60:$F$61,2,FALSE)</f>
        <v>0</v>
      </c>
      <c r="EM49" s="1223">
        <f>$G49*BR49*Variables!$B$53*HLOOKUP($EK$2,Variables!$B$60:$F$61,2,FALSE)</f>
        <v>0</v>
      </c>
      <c r="EN49" s="1223">
        <f>$G49*BS49*Variables!$B$53*HLOOKUP($EK$2,Variables!$B$60:$F$61,2,FALSE)</f>
        <v>0</v>
      </c>
      <c r="EO49" s="1223">
        <f>$G49*BT49*Variables!$B$53*HLOOKUP($EK$2,Variables!$B$60:$F$61,2,FALSE)</f>
        <v>0</v>
      </c>
      <c r="EP49" s="1223">
        <f>$G49*BU49*Variables!$B$53*HLOOKUP($EK$2,Variables!$B$60:$F$61,2,FALSE)</f>
        <v>0</v>
      </c>
      <c r="EQ49" s="1223">
        <f>$G49*BV49*Variables!$B$53*HLOOKUP($EK$2,Variables!$B$60:$F$61,2,FALSE)</f>
        <v>0</v>
      </c>
      <c r="ER49" s="1223">
        <f>$G49*BW49*Variables!$B$53*HLOOKUP($EK$2,Variables!$B$60:$F$61,2,FALSE)</f>
        <v>0</v>
      </c>
      <c r="ES49" s="1223">
        <f>$G49*BX49*Variables!$B$53*HLOOKUP($EK$2,Variables!$B$60:$F$61,2,FALSE)</f>
        <v>0</v>
      </c>
      <c r="ET49" s="1223">
        <f>$G49*BY49*Variables!$B$53*HLOOKUP($EK$2,Variables!$B$60:$F$61,2,FALSE)</f>
        <v>0</v>
      </c>
      <c r="EU49" s="1223">
        <f>$G49*BZ49*Variables!$B$53*HLOOKUP($EK$2,Variables!$B$60:$F$61,2,FALSE)</f>
        <v>0</v>
      </c>
      <c r="EV49" s="1225">
        <f>$G49*CA49*Variables!$B$53*HLOOKUP($EK$2,Variables!$B$60:$F$61,2,FALSE)</f>
        <v>0</v>
      </c>
      <c r="EW49" s="872">
        <f t="shared" si="6"/>
        <v>0</v>
      </c>
      <c r="EX49" s="872"/>
      <c r="EY49" s="872"/>
      <c r="EZ49" s="872"/>
      <c r="FA49" s="1332"/>
      <c r="FC49" s="958" t="str">
        <f t="shared" si="8"/>
        <v/>
      </c>
      <c r="FD49" s="959" t="str">
        <f t="shared" si="9"/>
        <v/>
      </c>
      <c r="FE49" s="959" t="s">
        <v>8407</v>
      </c>
      <c r="FF49" s="959" t="str">
        <f>IF(ISNA(VLOOKUP(FC49,Miscellaneous!E:F,2,0)),"",VLOOKUP(FC49,Miscellaneous!E:F,2,0))</f>
        <v/>
      </c>
      <c r="FG49" s="959" t="str">
        <f t="shared" si="10"/>
        <v/>
      </c>
      <c r="FH49" s="996">
        <f>IF($FG49="Opex",SUMIF('Monthly Summary'!$C$75:$N$75,"",CC49:CN49),SUMIF('Monthly Summary'!$C$74:$N$74,"",CC49:CN49))</f>
        <v>0</v>
      </c>
      <c r="FI49" s="996">
        <f>IF($FG49="Opex",SUMIF('Monthly Summary'!$O$75:$Z$75,"",CO49:CZ49),SUMIF('Monthly Summary'!$O$74:$Z$74,"",CO49:CZ49))</f>
        <v>0</v>
      </c>
      <c r="FJ49" s="996">
        <f>IF($FG49="Opex",SUMIF('Monthly Summary'!$AA$75:$AL$75,"",DA49:DL49),SUMIF('Monthly Summary'!$AA$74:$AL$74,"",DA49:DL49))</f>
        <v>0</v>
      </c>
      <c r="FK49" s="996">
        <f>IF($FG49="Opex",SUMIF('Monthly Summary'!$AM$75:$AX$75,"",DM49:DX49),SUMIF('Monthly Summary'!$AM$74:$AX$74,"",DM49:DX49))</f>
        <v>0</v>
      </c>
      <c r="FL49" s="996">
        <f>IF($FG49="Opex",SUMIF('Monthly Summary'!$AY$75:$BJ$75,"",DY49:EJ49),SUMIF('Monthly Summary'!$AY$74:$BJ$74,"",DY49:EJ49))</f>
        <v>0</v>
      </c>
      <c r="FM49" s="997">
        <f>IF($FG49="Opex",SUMIF('Monthly Summary'!$BK$75:$BV$75,"",EK49:EV49),SUMIF('Monthly Summary'!$BK$74:$BV$74,"",EK49:EV49))</f>
        <v>0</v>
      </c>
      <c r="FN49" s="997">
        <f t="shared" si="7"/>
        <v>0</v>
      </c>
    </row>
    <row r="50" spans="3:170">
      <c r="C50" s="757"/>
      <c r="D50" s="757"/>
      <c r="E50" s="758"/>
      <c r="F50" s="758"/>
      <c r="G50" s="758"/>
      <c r="H50" s="1215"/>
      <c r="I50" s="761"/>
      <c r="J50" s="761"/>
      <c r="K50" s="761"/>
      <c r="L50" s="761"/>
      <c r="M50" s="761"/>
      <c r="N50" s="761"/>
      <c r="O50" s="761"/>
      <c r="P50" s="761"/>
      <c r="Q50" s="761"/>
      <c r="R50" s="761"/>
      <c r="S50" s="1216"/>
      <c r="T50" s="1215"/>
      <c r="U50" s="761"/>
      <c r="V50" s="761"/>
      <c r="W50" s="761"/>
      <c r="X50" s="761"/>
      <c r="Y50" s="761"/>
      <c r="Z50" s="761"/>
      <c r="AA50" s="761"/>
      <c r="AB50" s="761"/>
      <c r="AC50" s="761"/>
      <c r="AD50" s="761"/>
      <c r="AE50" s="1216"/>
      <c r="AF50" s="1215"/>
      <c r="AG50" s="761"/>
      <c r="AH50" s="761"/>
      <c r="AI50" s="761"/>
      <c r="AJ50" s="761"/>
      <c r="AK50" s="761"/>
      <c r="AL50" s="761"/>
      <c r="AM50" s="761"/>
      <c r="AN50" s="761"/>
      <c r="AO50" s="761"/>
      <c r="AP50" s="761"/>
      <c r="AQ50" s="1216"/>
      <c r="AR50" s="1215"/>
      <c r="AS50" s="761"/>
      <c r="AT50" s="761"/>
      <c r="AU50" s="761"/>
      <c r="AV50" s="761"/>
      <c r="AW50" s="761"/>
      <c r="AX50" s="761"/>
      <c r="AY50" s="761"/>
      <c r="AZ50" s="761"/>
      <c r="BA50" s="761"/>
      <c r="BB50" s="761"/>
      <c r="BC50" s="1216"/>
      <c r="BD50" s="1215"/>
      <c r="BE50" s="761"/>
      <c r="BF50" s="761"/>
      <c r="BG50" s="761"/>
      <c r="BH50" s="761"/>
      <c r="BI50" s="761"/>
      <c r="BJ50" s="761"/>
      <c r="BK50" s="761"/>
      <c r="BL50" s="761"/>
      <c r="BM50" s="761"/>
      <c r="BN50" s="761"/>
      <c r="BO50" s="1216"/>
      <c r="BP50" s="1215"/>
      <c r="BQ50" s="761"/>
      <c r="BR50" s="761"/>
      <c r="BS50" s="761"/>
      <c r="BT50" s="761"/>
      <c r="BU50" s="761"/>
      <c r="BV50" s="761"/>
      <c r="BW50" s="761"/>
      <c r="BX50" s="761"/>
      <c r="BY50" s="761"/>
      <c r="BZ50" s="761"/>
      <c r="CA50" s="1216"/>
      <c r="CB50" s="747"/>
      <c r="CC50" s="1222">
        <f>$G50*H50*Variables!$B$53</f>
        <v>0</v>
      </c>
      <c r="CD50" s="1223">
        <f>$G50*I50*Variables!$B$53</f>
        <v>0</v>
      </c>
      <c r="CE50" s="1223">
        <f>$G50*J50*Variables!$B$53</f>
        <v>0</v>
      </c>
      <c r="CF50" s="1223">
        <f>$G50*K50*Variables!$B$53</f>
        <v>0</v>
      </c>
      <c r="CG50" s="1223">
        <f>$G50*L50*Variables!$B$53</f>
        <v>0</v>
      </c>
      <c r="CH50" s="1223">
        <f>$G50*M50*Variables!$B$53</f>
        <v>0</v>
      </c>
      <c r="CI50" s="1223">
        <f>$G50*N50*Variables!$B$53</f>
        <v>0</v>
      </c>
      <c r="CJ50" s="1223">
        <f>$G50*O50*Variables!$B$53</f>
        <v>0</v>
      </c>
      <c r="CK50" s="1223">
        <f>$G50*P50*Variables!$B$53</f>
        <v>0</v>
      </c>
      <c r="CL50" s="1223">
        <f>$G50*Q50*Variables!$B$53</f>
        <v>0</v>
      </c>
      <c r="CM50" s="1223">
        <f>$G50*R50*Variables!$B$53</f>
        <v>0</v>
      </c>
      <c r="CN50" s="1225">
        <f>$G50*S50*Variables!$B$53</f>
        <v>0</v>
      </c>
      <c r="CO50" s="1222">
        <f>$G50*T50*Variables!$B$53*HLOOKUP($CO$2,Variables!$B$60:$F$61,2,FALSE)</f>
        <v>0</v>
      </c>
      <c r="CP50" s="1223">
        <f>$G50*U50*Variables!$B$53*HLOOKUP($CO$2,Variables!$B$60:$F$61,2,FALSE)</f>
        <v>0</v>
      </c>
      <c r="CQ50" s="1223">
        <f>$G50*V50*Variables!$B$53*HLOOKUP($CO$2,Variables!$B$60:$F$61,2,FALSE)</f>
        <v>0</v>
      </c>
      <c r="CR50" s="1223">
        <f>$G50*W50*Variables!$B$53*HLOOKUP($CO$2,Variables!$B$60:$F$61,2,FALSE)</f>
        <v>0</v>
      </c>
      <c r="CS50" s="1223">
        <f>$G50*X50*Variables!$B$53*HLOOKUP($CO$2,Variables!$B$60:$F$61,2,FALSE)</f>
        <v>0</v>
      </c>
      <c r="CT50" s="1223">
        <f>$G50*Y50*Variables!$B$53*HLOOKUP($CO$2,Variables!$B$60:$F$61,2,FALSE)</f>
        <v>0</v>
      </c>
      <c r="CU50" s="1223">
        <f>$G50*Z50*Variables!$B$53*HLOOKUP($CO$2,Variables!$B$60:$F$61,2,FALSE)</f>
        <v>0</v>
      </c>
      <c r="CV50" s="1223">
        <f>$G50*AA50*Variables!$B$53*HLOOKUP($CO$2,Variables!$B$60:$F$61,2,FALSE)</f>
        <v>0</v>
      </c>
      <c r="CW50" s="1223">
        <f>$G50*AB50*Variables!$B$53*HLOOKUP($CO$2,Variables!$B$60:$F$61,2,FALSE)</f>
        <v>0</v>
      </c>
      <c r="CX50" s="1223">
        <f>$G50*AC50*Variables!$B$53*HLOOKUP($CO$2,Variables!$B$60:$F$61,2,FALSE)</f>
        <v>0</v>
      </c>
      <c r="CY50" s="1223">
        <f>$G50*AD50*Variables!$B$53*HLOOKUP($CO$2,Variables!$B$60:$F$61,2,FALSE)</f>
        <v>0</v>
      </c>
      <c r="CZ50" s="1225">
        <f>$G50*AE50*Variables!$B$53*HLOOKUP($CO$2,Variables!$B$60:$F$61,2,FALSE)</f>
        <v>0</v>
      </c>
      <c r="DA50" s="1222">
        <f>$G50*AF50*Variables!$B$53*HLOOKUP($DA$2,Variables!$B$60:$F$61,2,FALSE)</f>
        <v>0</v>
      </c>
      <c r="DB50" s="1223">
        <f>$G50*AG50*Variables!$B$53*HLOOKUP($DA$2,Variables!$B$60:$F$61,2,FALSE)</f>
        <v>0</v>
      </c>
      <c r="DC50" s="1223">
        <f>$G50*AH50*Variables!$B$53*HLOOKUP($DA$2,Variables!$B$60:$F$61,2,FALSE)</f>
        <v>0</v>
      </c>
      <c r="DD50" s="1223">
        <f>$G50*AI50*Variables!$B$53*HLOOKUP($DA$2,Variables!$B$60:$F$61,2,FALSE)</f>
        <v>0</v>
      </c>
      <c r="DE50" s="1223">
        <f>$G50*AJ50*Variables!$B$53*HLOOKUP($DA$2,Variables!$B$60:$F$61,2,FALSE)</f>
        <v>0</v>
      </c>
      <c r="DF50" s="1223">
        <f>$G50*AK50*Variables!$B$53*HLOOKUP($DA$2,Variables!$B$60:$F$61,2,FALSE)</f>
        <v>0</v>
      </c>
      <c r="DG50" s="1223">
        <f>$G50*AL50*Variables!$B$53*HLOOKUP($DA$2,Variables!$B$60:$F$61,2,FALSE)</f>
        <v>0</v>
      </c>
      <c r="DH50" s="1223">
        <f>$G50*AM50*Variables!$B$53*HLOOKUP($DA$2,Variables!$B$60:$F$61,2,FALSE)</f>
        <v>0</v>
      </c>
      <c r="DI50" s="1223">
        <f>$G50*AN50*Variables!$B$53*HLOOKUP($DA$2,Variables!$B$60:$F$61,2,FALSE)</f>
        <v>0</v>
      </c>
      <c r="DJ50" s="1223">
        <f>$G50*AO50*Variables!$B$53*HLOOKUP($DA$2,Variables!$B$60:$F$61,2,FALSE)</f>
        <v>0</v>
      </c>
      <c r="DK50" s="1223">
        <f>$G50*AP50*Variables!$B$53*HLOOKUP($DA$2,Variables!$B$60:$F$61,2,FALSE)</f>
        <v>0</v>
      </c>
      <c r="DL50" s="1225">
        <f>$G50*AQ50*Variables!$B$53*HLOOKUP($DA$2,Variables!$B$60:$F$61,2,FALSE)</f>
        <v>0</v>
      </c>
      <c r="DM50" s="1222">
        <f>$G50*AR50*Variables!$B$53*HLOOKUP($DM$2,Variables!$B$60:$F$61,2,FALSE)</f>
        <v>0</v>
      </c>
      <c r="DN50" s="1223">
        <f>$G50*AS50*Variables!$B$53*HLOOKUP($DM$2,Variables!$B$60:$F$61,2,FALSE)</f>
        <v>0</v>
      </c>
      <c r="DO50" s="1223">
        <f>$G50*AT50*Variables!$B$53*HLOOKUP($DM$2,Variables!$B$60:$F$61,2,FALSE)</f>
        <v>0</v>
      </c>
      <c r="DP50" s="1223">
        <f>$G50*AU50*Variables!$B$53*HLOOKUP($DM$2,Variables!$B$60:$F$61,2,FALSE)</f>
        <v>0</v>
      </c>
      <c r="DQ50" s="1223">
        <f>$G50*AV50*Variables!$B$53*HLOOKUP($DM$2,Variables!$B$60:$F$61,2,FALSE)</f>
        <v>0</v>
      </c>
      <c r="DR50" s="1223">
        <f>$G50*AW50*Variables!$B$53*HLOOKUP($DM$2,Variables!$B$60:$F$61,2,FALSE)</f>
        <v>0</v>
      </c>
      <c r="DS50" s="1223">
        <f>$G50*AX50*Variables!$B$53*HLOOKUP($DM$2,Variables!$B$60:$F$61,2,FALSE)</f>
        <v>0</v>
      </c>
      <c r="DT50" s="1223">
        <f>$G50*AY50*Variables!$B$53*HLOOKUP($DM$2,Variables!$B$60:$F$61,2,FALSE)</f>
        <v>0</v>
      </c>
      <c r="DU50" s="1223">
        <f>$G50*AZ50*Variables!$B$53*HLOOKUP($DM$2,Variables!$B$60:$F$61,2,FALSE)</f>
        <v>0</v>
      </c>
      <c r="DV50" s="1223">
        <f>$G50*BA50*Variables!$B$53*HLOOKUP($DM$2,Variables!$B$60:$F$61,2,FALSE)</f>
        <v>0</v>
      </c>
      <c r="DW50" s="1223">
        <f>$G50*BB50*Variables!$B$53*HLOOKUP($DM$2,Variables!$B$60:$F$61,2,FALSE)</f>
        <v>0</v>
      </c>
      <c r="DX50" s="1225">
        <f>$G50*BC50*Variables!$B$53*HLOOKUP($DM$2,Variables!$B$60:$F$61,2,FALSE)</f>
        <v>0</v>
      </c>
      <c r="DY50" s="1222">
        <f>$G50*BD50*Variables!$B$53*HLOOKUP($DY$2,Variables!$B$60:$F$61,2,FALSE)</f>
        <v>0</v>
      </c>
      <c r="DZ50" s="1223">
        <f>$G50*BE50*Variables!$B$53*HLOOKUP($DY$2,Variables!$B$60:$F$61,2,FALSE)</f>
        <v>0</v>
      </c>
      <c r="EA50" s="1223">
        <f>$G50*BF50*Variables!$B$53*HLOOKUP($DY$2,Variables!$B$60:$F$61,2,FALSE)</f>
        <v>0</v>
      </c>
      <c r="EB50" s="1223">
        <f>$G50*BG50*Variables!$B$53*HLOOKUP($DY$2,Variables!$B$60:$F$61,2,FALSE)</f>
        <v>0</v>
      </c>
      <c r="EC50" s="1223">
        <f>$G50*BH50*Variables!$B$53*HLOOKUP($DY$2,Variables!$B$60:$F$61,2,FALSE)</f>
        <v>0</v>
      </c>
      <c r="ED50" s="1223">
        <f>$G50*BI50*Variables!$B$53*HLOOKUP($DY$2,Variables!$B$60:$F$61,2,FALSE)</f>
        <v>0</v>
      </c>
      <c r="EE50" s="1223">
        <f>$G50*BJ50*Variables!$B$53*HLOOKUP($DY$2,Variables!$B$60:$F$61,2,FALSE)</f>
        <v>0</v>
      </c>
      <c r="EF50" s="1223">
        <f>$G50*BK50*Variables!$B$53*HLOOKUP($DY$2,Variables!$B$60:$F$61,2,FALSE)</f>
        <v>0</v>
      </c>
      <c r="EG50" s="1223">
        <f>$G50*BL50*Variables!$B$53*HLOOKUP($DY$2,Variables!$B$60:$F$61,2,FALSE)</f>
        <v>0</v>
      </c>
      <c r="EH50" s="1223">
        <f>$G50*BM50*Variables!$B$53*HLOOKUP($DY$2,Variables!$B$60:$F$61,2,FALSE)</f>
        <v>0</v>
      </c>
      <c r="EI50" s="1223">
        <f>$G50*BN50*Variables!$B$53*HLOOKUP($DY$2,Variables!$B$60:$F$61,2,FALSE)</f>
        <v>0</v>
      </c>
      <c r="EJ50" s="1225">
        <f>$G50*BO50*Variables!$B$53*HLOOKUP($DY$2,Variables!$B$60:$F$61,2,FALSE)</f>
        <v>0</v>
      </c>
      <c r="EK50" s="1222">
        <f>$G50*BP50*Variables!$B$53*HLOOKUP($EK$2,Variables!$B$60:$F$61,2,FALSE)</f>
        <v>0</v>
      </c>
      <c r="EL50" s="1223">
        <f>$G50*BQ50*Variables!$B$53*HLOOKUP($EK$2,Variables!$B$60:$F$61,2,FALSE)</f>
        <v>0</v>
      </c>
      <c r="EM50" s="1223">
        <f>$G50*BR50*Variables!$B$53*HLOOKUP($EK$2,Variables!$B$60:$F$61,2,FALSE)</f>
        <v>0</v>
      </c>
      <c r="EN50" s="1223">
        <f>$G50*BS50*Variables!$B$53*HLOOKUP($EK$2,Variables!$B$60:$F$61,2,FALSE)</f>
        <v>0</v>
      </c>
      <c r="EO50" s="1223">
        <f>$G50*BT50*Variables!$B$53*HLOOKUP($EK$2,Variables!$B$60:$F$61,2,FALSE)</f>
        <v>0</v>
      </c>
      <c r="EP50" s="1223">
        <f>$G50*BU50*Variables!$B$53*HLOOKUP($EK$2,Variables!$B$60:$F$61,2,FALSE)</f>
        <v>0</v>
      </c>
      <c r="EQ50" s="1223">
        <f>$G50*BV50*Variables!$B$53*HLOOKUP($EK$2,Variables!$B$60:$F$61,2,FALSE)</f>
        <v>0</v>
      </c>
      <c r="ER50" s="1223">
        <f>$G50*BW50*Variables!$B$53*HLOOKUP($EK$2,Variables!$B$60:$F$61,2,FALSE)</f>
        <v>0</v>
      </c>
      <c r="ES50" s="1223">
        <f>$G50*BX50*Variables!$B$53*HLOOKUP($EK$2,Variables!$B$60:$F$61,2,FALSE)</f>
        <v>0</v>
      </c>
      <c r="ET50" s="1223">
        <f>$G50*BY50*Variables!$B$53*HLOOKUP($EK$2,Variables!$B$60:$F$61,2,FALSE)</f>
        <v>0</v>
      </c>
      <c r="EU50" s="1223">
        <f>$G50*BZ50*Variables!$B$53*HLOOKUP($EK$2,Variables!$B$60:$F$61,2,FALSE)</f>
        <v>0</v>
      </c>
      <c r="EV50" s="1225">
        <f>$G50*CA50*Variables!$B$53*HLOOKUP($EK$2,Variables!$B$60:$F$61,2,FALSE)</f>
        <v>0</v>
      </c>
      <c r="EW50" s="872">
        <f t="shared" si="6"/>
        <v>0</v>
      </c>
      <c r="EX50" s="872"/>
      <c r="EY50" s="872"/>
      <c r="EZ50" s="872"/>
      <c r="FA50" s="1332"/>
      <c r="FC50" s="958" t="str">
        <f t="shared" si="8"/>
        <v/>
      </c>
      <c r="FD50" s="959" t="str">
        <f t="shared" si="9"/>
        <v/>
      </c>
      <c r="FE50" s="959" t="s">
        <v>8407</v>
      </c>
      <c r="FF50" s="959" t="str">
        <f>IF(ISNA(VLOOKUP(FC50,Miscellaneous!E:F,2,0)),"",VLOOKUP(FC50,Miscellaneous!E:F,2,0))</f>
        <v/>
      </c>
      <c r="FG50" s="959" t="str">
        <f t="shared" si="10"/>
        <v/>
      </c>
      <c r="FH50" s="996">
        <f>IF($FG50="Opex",SUMIF('Monthly Summary'!$C$75:$N$75,"",CC50:CN50),SUMIF('Monthly Summary'!$C$74:$N$74,"",CC50:CN50))</f>
        <v>0</v>
      </c>
      <c r="FI50" s="996">
        <f>IF($FG50="Opex",SUMIF('Monthly Summary'!$O$75:$Z$75,"",CO50:CZ50),SUMIF('Monthly Summary'!$O$74:$Z$74,"",CO50:CZ50))</f>
        <v>0</v>
      </c>
      <c r="FJ50" s="996">
        <f>IF($FG50="Opex",SUMIF('Monthly Summary'!$AA$75:$AL$75,"",DA50:DL50),SUMIF('Monthly Summary'!$AA$74:$AL$74,"",DA50:DL50))</f>
        <v>0</v>
      </c>
      <c r="FK50" s="996">
        <f>IF($FG50="Opex",SUMIF('Monthly Summary'!$AM$75:$AX$75,"",DM50:DX50),SUMIF('Monthly Summary'!$AM$74:$AX$74,"",DM50:DX50))</f>
        <v>0</v>
      </c>
      <c r="FL50" s="996">
        <f>IF($FG50="Opex",SUMIF('Monthly Summary'!$AY$75:$BJ$75,"",DY50:EJ50),SUMIF('Monthly Summary'!$AY$74:$BJ$74,"",DY50:EJ50))</f>
        <v>0</v>
      </c>
      <c r="FM50" s="997">
        <f>IF($FG50="Opex",SUMIF('Monthly Summary'!$BK$75:$BV$75,"",EK50:EV50),SUMIF('Monthly Summary'!$BK$74:$BV$74,"",EK50:EV50))</f>
        <v>0</v>
      </c>
      <c r="FN50" s="997">
        <f t="shared" si="7"/>
        <v>0</v>
      </c>
    </row>
    <row r="51" spans="3:170">
      <c r="C51" s="757"/>
      <c r="D51" s="757"/>
      <c r="E51" s="758"/>
      <c r="F51" s="758"/>
      <c r="G51" s="758"/>
      <c r="H51" s="1215"/>
      <c r="I51" s="761"/>
      <c r="J51" s="761"/>
      <c r="K51" s="761"/>
      <c r="L51" s="761"/>
      <c r="M51" s="761"/>
      <c r="N51" s="761"/>
      <c r="O51" s="761"/>
      <c r="P51" s="761"/>
      <c r="Q51" s="761"/>
      <c r="R51" s="761"/>
      <c r="S51" s="1216"/>
      <c r="T51" s="1215"/>
      <c r="U51" s="761"/>
      <c r="V51" s="761"/>
      <c r="W51" s="761"/>
      <c r="X51" s="761"/>
      <c r="Y51" s="761"/>
      <c r="Z51" s="761"/>
      <c r="AA51" s="761"/>
      <c r="AB51" s="761"/>
      <c r="AC51" s="761"/>
      <c r="AD51" s="761"/>
      <c r="AE51" s="1216"/>
      <c r="AF51" s="1215"/>
      <c r="AG51" s="761"/>
      <c r="AH51" s="761"/>
      <c r="AI51" s="761"/>
      <c r="AJ51" s="761"/>
      <c r="AK51" s="761"/>
      <c r="AL51" s="761"/>
      <c r="AM51" s="761"/>
      <c r="AN51" s="761"/>
      <c r="AO51" s="761"/>
      <c r="AP51" s="761"/>
      <c r="AQ51" s="1216"/>
      <c r="AR51" s="1215"/>
      <c r="AS51" s="761"/>
      <c r="AT51" s="761"/>
      <c r="AU51" s="761"/>
      <c r="AV51" s="761"/>
      <c r="AW51" s="761"/>
      <c r="AX51" s="761"/>
      <c r="AY51" s="761"/>
      <c r="AZ51" s="761"/>
      <c r="BA51" s="761"/>
      <c r="BB51" s="761"/>
      <c r="BC51" s="1216"/>
      <c r="BD51" s="1215"/>
      <c r="BE51" s="761"/>
      <c r="BF51" s="761"/>
      <c r="BG51" s="761"/>
      <c r="BH51" s="761"/>
      <c r="BI51" s="761"/>
      <c r="BJ51" s="761"/>
      <c r="BK51" s="761"/>
      <c r="BL51" s="761"/>
      <c r="BM51" s="761"/>
      <c r="BN51" s="761"/>
      <c r="BO51" s="1216"/>
      <c r="BP51" s="1215"/>
      <c r="BQ51" s="761"/>
      <c r="BR51" s="761"/>
      <c r="BS51" s="761"/>
      <c r="BT51" s="761"/>
      <c r="BU51" s="761"/>
      <c r="BV51" s="761"/>
      <c r="BW51" s="761"/>
      <c r="BX51" s="761"/>
      <c r="BY51" s="761"/>
      <c r="BZ51" s="761"/>
      <c r="CA51" s="1216"/>
      <c r="CB51" s="747"/>
      <c r="CC51" s="1222">
        <f>$G51*H51*Variables!$B$53</f>
        <v>0</v>
      </c>
      <c r="CD51" s="1223">
        <f>$G51*I51*Variables!$B$53</f>
        <v>0</v>
      </c>
      <c r="CE51" s="1223">
        <f>$G51*J51*Variables!$B$53</f>
        <v>0</v>
      </c>
      <c r="CF51" s="1223">
        <f>$G51*K51*Variables!$B$53</f>
        <v>0</v>
      </c>
      <c r="CG51" s="1223">
        <f>$G51*L51*Variables!$B$53</f>
        <v>0</v>
      </c>
      <c r="CH51" s="1223">
        <f>$G51*M51*Variables!$B$53</f>
        <v>0</v>
      </c>
      <c r="CI51" s="1223">
        <f>$G51*N51*Variables!$B$53</f>
        <v>0</v>
      </c>
      <c r="CJ51" s="1223">
        <f>$G51*O51*Variables!$B$53</f>
        <v>0</v>
      </c>
      <c r="CK51" s="1223">
        <f>$G51*P51*Variables!$B$53</f>
        <v>0</v>
      </c>
      <c r="CL51" s="1223">
        <f>$G51*Q51*Variables!$B$53</f>
        <v>0</v>
      </c>
      <c r="CM51" s="1223">
        <f>$G51*R51*Variables!$B$53</f>
        <v>0</v>
      </c>
      <c r="CN51" s="1225">
        <f>$G51*S51*Variables!$B$53</f>
        <v>0</v>
      </c>
      <c r="CO51" s="1222">
        <f>$G51*T51*Variables!$B$53*HLOOKUP($CO$2,Variables!$B$60:$F$61,2,FALSE)</f>
        <v>0</v>
      </c>
      <c r="CP51" s="1223">
        <f>$G51*U51*Variables!$B$53*HLOOKUP($CO$2,Variables!$B$60:$F$61,2,FALSE)</f>
        <v>0</v>
      </c>
      <c r="CQ51" s="1223">
        <f>$G51*V51*Variables!$B$53*HLOOKUP($CO$2,Variables!$B$60:$F$61,2,FALSE)</f>
        <v>0</v>
      </c>
      <c r="CR51" s="1223">
        <f>$G51*W51*Variables!$B$53*HLOOKUP($CO$2,Variables!$B$60:$F$61,2,FALSE)</f>
        <v>0</v>
      </c>
      <c r="CS51" s="1223">
        <f>$G51*X51*Variables!$B$53*HLOOKUP($CO$2,Variables!$B$60:$F$61,2,FALSE)</f>
        <v>0</v>
      </c>
      <c r="CT51" s="1223">
        <f>$G51*Y51*Variables!$B$53*HLOOKUP($CO$2,Variables!$B$60:$F$61,2,FALSE)</f>
        <v>0</v>
      </c>
      <c r="CU51" s="1223">
        <f>$G51*Z51*Variables!$B$53*HLOOKUP($CO$2,Variables!$B$60:$F$61,2,FALSE)</f>
        <v>0</v>
      </c>
      <c r="CV51" s="1223">
        <f>$G51*AA51*Variables!$B$53*HLOOKUP($CO$2,Variables!$B$60:$F$61,2,FALSE)</f>
        <v>0</v>
      </c>
      <c r="CW51" s="1223">
        <f>$G51*AB51*Variables!$B$53*HLOOKUP($CO$2,Variables!$B$60:$F$61,2,FALSE)</f>
        <v>0</v>
      </c>
      <c r="CX51" s="1223">
        <f>$G51*AC51*Variables!$B$53*HLOOKUP($CO$2,Variables!$B$60:$F$61,2,FALSE)</f>
        <v>0</v>
      </c>
      <c r="CY51" s="1223">
        <f>$G51*AD51*Variables!$B$53*HLOOKUP($CO$2,Variables!$B$60:$F$61,2,FALSE)</f>
        <v>0</v>
      </c>
      <c r="CZ51" s="1225">
        <f>$G51*AE51*Variables!$B$53*HLOOKUP($CO$2,Variables!$B$60:$F$61,2,FALSE)</f>
        <v>0</v>
      </c>
      <c r="DA51" s="1222">
        <f>$G51*AF51*Variables!$B$53*HLOOKUP($DA$2,Variables!$B$60:$F$61,2,FALSE)</f>
        <v>0</v>
      </c>
      <c r="DB51" s="1223">
        <f>$G51*AG51*Variables!$B$53*HLOOKUP($DA$2,Variables!$B$60:$F$61,2,FALSE)</f>
        <v>0</v>
      </c>
      <c r="DC51" s="1223">
        <f>$G51*AH51*Variables!$B$53*HLOOKUP($DA$2,Variables!$B$60:$F$61,2,FALSE)</f>
        <v>0</v>
      </c>
      <c r="DD51" s="1223">
        <f>$G51*AI51*Variables!$B$53*HLOOKUP($DA$2,Variables!$B$60:$F$61,2,FALSE)</f>
        <v>0</v>
      </c>
      <c r="DE51" s="1223">
        <f>$G51*AJ51*Variables!$B$53*HLOOKUP($DA$2,Variables!$B$60:$F$61,2,FALSE)</f>
        <v>0</v>
      </c>
      <c r="DF51" s="1223">
        <f>$G51*AK51*Variables!$B$53*HLOOKUP($DA$2,Variables!$B$60:$F$61,2,FALSE)</f>
        <v>0</v>
      </c>
      <c r="DG51" s="1223">
        <f>$G51*AL51*Variables!$B$53*HLOOKUP($DA$2,Variables!$B$60:$F$61,2,FALSE)</f>
        <v>0</v>
      </c>
      <c r="DH51" s="1223">
        <f>$G51*AM51*Variables!$B$53*HLOOKUP($DA$2,Variables!$B$60:$F$61,2,FALSE)</f>
        <v>0</v>
      </c>
      <c r="DI51" s="1223">
        <f>$G51*AN51*Variables!$B$53*HLOOKUP($DA$2,Variables!$B$60:$F$61,2,FALSE)</f>
        <v>0</v>
      </c>
      <c r="DJ51" s="1223">
        <f>$G51*AO51*Variables!$B$53*HLOOKUP($DA$2,Variables!$B$60:$F$61,2,FALSE)</f>
        <v>0</v>
      </c>
      <c r="DK51" s="1223">
        <f>$G51*AP51*Variables!$B$53*HLOOKUP($DA$2,Variables!$B$60:$F$61,2,FALSE)</f>
        <v>0</v>
      </c>
      <c r="DL51" s="1225">
        <f>$G51*AQ51*Variables!$B$53*HLOOKUP($DA$2,Variables!$B$60:$F$61,2,FALSE)</f>
        <v>0</v>
      </c>
      <c r="DM51" s="1222">
        <f>$G51*AR51*Variables!$B$53*HLOOKUP($DM$2,Variables!$B$60:$F$61,2,FALSE)</f>
        <v>0</v>
      </c>
      <c r="DN51" s="1223">
        <f>$G51*AS51*Variables!$B$53*HLOOKUP($DM$2,Variables!$B$60:$F$61,2,FALSE)</f>
        <v>0</v>
      </c>
      <c r="DO51" s="1223">
        <f>$G51*AT51*Variables!$B$53*HLOOKUP($DM$2,Variables!$B$60:$F$61,2,FALSE)</f>
        <v>0</v>
      </c>
      <c r="DP51" s="1223">
        <f>$G51*AU51*Variables!$B$53*HLOOKUP($DM$2,Variables!$B$60:$F$61,2,FALSE)</f>
        <v>0</v>
      </c>
      <c r="DQ51" s="1223">
        <f>$G51*AV51*Variables!$B$53*HLOOKUP($DM$2,Variables!$B$60:$F$61,2,FALSE)</f>
        <v>0</v>
      </c>
      <c r="DR51" s="1223">
        <f>$G51*AW51*Variables!$B$53*HLOOKUP($DM$2,Variables!$B$60:$F$61,2,FALSE)</f>
        <v>0</v>
      </c>
      <c r="DS51" s="1223">
        <f>$G51*AX51*Variables!$B$53*HLOOKUP($DM$2,Variables!$B$60:$F$61,2,FALSE)</f>
        <v>0</v>
      </c>
      <c r="DT51" s="1223">
        <f>$G51*AY51*Variables!$B$53*HLOOKUP($DM$2,Variables!$B$60:$F$61,2,FALSE)</f>
        <v>0</v>
      </c>
      <c r="DU51" s="1223">
        <f>$G51*AZ51*Variables!$B$53*HLOOKUP($DM$2,Variables!$B$60:$F$61,2,FALSE)</f>
        <v>0</v>
      </c>
      <c r="DV51" s="1223">
        <f>$G51*BA51*Variables!$B$53*HLOOKUP($DM$2,Variables!$B$60:$F$61,2,FALSE)</f>
        <v>0</v>
      </c>
      <c r="DW51" s="1223">
        <f>$G51*BB51*Variables!$B$53*HLOOKUP($DM$2,Variables!$B$60:$F$61,2,FALSE)</f>
        <v>0</v>
      </c>
      <c r="DX51" s="1225">
        <f>$G51*BC51*Variables!$B$53*HLOOKUP($DM$2,Variables!$B$60:$F$61,2,FALSE)</f>
        <v>0</v>
      </c>
      <c r="DY51" s="1222">
        <f>$G51*BD51*Variables!$B$53*HLOOKUP($DY$2,Variables!$B$60:$F$61,2,FALSE)</f>
        <v>0</v>
      </c>
      <c r="DZ51" s="1223">
        <f>$G51*BE51*Variables!$B$53*HLOOKUP($DY$2,Variables!$B$60:$F$61,2,FALSE)</f>
        <v>0</v>
      </c>
      <c r="EA51" s="1223">
        <f>$G51*BF51*Variables!$B$53*HLOOKUP($DY$2,Variables!$B$60:$F$61,2,FALSE)</f>
        <v>0</v>
      </c>
      <c r="EB51" s="1223">
        <f>$G51*BG51*Variables!$B$53*HLOOKUP($DY$2,Variables!$B$60:$F$61,2,FALSE)</f>
        <v>0</v>
      </c>
      <c r="EC51" s="1223">
        <f>$G51*BH51*Variables!$B$53*HLOOKUP($DY$2,Variables!$B$60:$F$61,2,FALSE)</f>
        <v>0</v>
      </c>
      <c r="ED51" s="1223">
        <f>$G51*BI51*Variables!$B$53*HLOOKUP($DY$2,Variables!$B$60:$F$61,2,FALSE)</f>
        <v>0</v>
      </c>
      <c r="EE51" s="1223">
        <f>$G51*BJ51*Variables!$B$53*HLOOKUP($DY$2,Variables!$B$60:$F$61,2,FALSE)</f>
        <v>0</v>
      </c>
      <c r="EF51" s="1223">
        <f>$G51*BK51*Variables!$B$53*HLOOKUP($DY$2,Variables!$B$60:$F$61,2,FALSE)</f>
        <v>0</v>
      </c>
      <c r="EG51" s="1223">
        <f>$G51*BL51*Variables!$B$53*HLOOKUP($DY$2,Variables!$B$60:$F$61,2,FALSE)</f>
        <v>0</v>
      </c>
      <c r="EH51" s="1223">
        <f>$G51*BM51*Variables!$B$53*HLOOKUP($DY$2,Variables!$B$60:$F$61,2,FALSE)</f>
        <v>0</v>
      </c>
      <c r="EI51" s="1223">
        <f>$G51*BN51*Variables!$B$53*HLOOKUP($DY$2,Variables!$B$60:$F$61,2,FALSE)</f>
        <v>0</v>
      </c>
      <c r="EJ51" s="1225">
        <f>$G51*BO51*Variables!$B$53*HLOOKUP($DY$2,Variables!$B$60:$F$61,2,FALSE)</f>
        <v>0</v>
      </c>
      <c r="EK51" s="1222">
        <f>$G51*BP51*Variables!$B$53*HLOOKUP($EK$2,Variables!$B$60:$F$61,2,FALSE)</f>
        <v>0</v>
      </c>
      <c r="EL51" s="1223">
        <f>$G51*BQ51*Variables!$B$53*HLOOKUP($EK$2,Variables!$B$60:$F$61,2,FALSE)</f>
        <v>0</v>
      </c>
      <c r="EM51" s="1223">
        <f>$G51*BR51*Variables!$B$53*HLOOKUP($EK$2,Variables!$B$60:$F$61,2,FALSE)</f>
        <v>0</v>
      </c>
      <c r="EN51" s="1223">
        <f>$G51*BS51*Variables!$B$53*HLOOKUP($EK$2,Variables!$B$60:$F$61,2,FALSE)</f>
        <v>0</v>
      </c>
      <c r="EO51" s="1223">
        <f>$G51*BT51*Variables!$B$53*HLOOKUP($EK$2,Variables!$B$60:$F$61,2,FALSE)</f>
        <v>0</v>
      </c>
      <c r="EP51" s="1223">
        <f>$G51*BU51*Variables!$B$53*HLOOKUP($EK$2,Variables!$B$60:$F$61,2,FALSE)</f>
        <v>0</v>
      </c>
      <c r="EQ51" s="1223">
        <f>$G51*BV51*Variables!$B$53*HLOOKUP($EK$2,Variables!$B$60:$F$61,2,FALSE)</f>
        <v>0</v>
      </c>
      <c r="ER51" s="1223">
        <f>$G51*BW51*Variables!$B$53*HLOOKUP($EK$2,Variables!$B$60:$F$61,2,FALSE)</f>
        <v>0</v>
      </c>
      <c r="ES51" s="1223">
        <f>$G51*BX51*Variables!$B$53*HLOOKUP($EK$2,Variables!$B$60:$F$61,2,FALSE)</f>
        <v>0</v>
      </c>
      <c r="ET51" s="1223">
        <f>$G51*BY51*Variables!$B$53*HLOOKUP($EK$2,Variables!$B$60:$F$61,2,FALSE)</f>
        <v>0</v>
      </c>
      <c r="EU51" s="1223">
        <f>$G51*BZ51*Variables!$B$53*HLOOKUP($EK$2,Variables!$B$60:$F$61,2,FALSE)</f>
        <v>0</v>
      </c>
      <c r="EV51" s="1225">
        <f>$G51*CA51*Variables!$B$53*HLOOKUP($EK$2,Variables!$B$60:$F$61,2,FALSE)</f>
        <v>0</v>
      </c>
      <c r="EW51" s="872">
        <f t="shared" si="6"/>
        <v>0</v>
      </c>
      <c r="EX51" s="872"/>
      <c r="EY51" s="872"/>
      <c r="EZ51" s="872"/>
      <c r="FA51" s="1332"/>
      <c r="FC51" s="958" t="str">
        <f t="shared" si="8"/>
        <v/>
      </c>
      <c r="FD51" s="959" t="str">
        <f t="shared" si="9"/>
        <v/>
      </c>
      <c r="FE51" s="959" t="s">
        <v>8407</v>
      </c>
      <c r="FF51" s="959" t="str">
        <f>IF(ISNA(VLOOKUP(FC51,Miscellaneous!E:F,2,0)),"",VLOOKUP(FC51,Miscellaneous!E:F,2,0))</f>
        <v/>
      </c>
      <c r="FG51" s="959" t="str">
        <f t="shared" si="10"/>
        <v/>
      </c>
      <c r="FH51" s="996">
        <f>IF($FG51="Opex",SUMIF('Monthly Summary'!$C$75:$N$75,"",CC51:CN51),SUMIF('Monthly Summary'!$C$74:$N$74,"",CC51:CN51))</f>
        <v>0</v>
      </c>
      <c r="FI51" s="996">
        <f>IF($FG51="Opex",SUMIF('Monthly Summary'!$O$75:$Z$75,"",CO51:CZ51),SUMIF('Monthly Summary'!$O$74:$Z$74,"",CO51:CZ51))</f>
        <v>0</v>
      </c>
      <c r="FJ51" s="996">
        <f>IF($FG51="Opex",SUMIF('Monthly Summary'!$AA$75:$AL$75,"",DA51:DL51),SUMIF('Monthly Summary'!$AA$74:$AL$74,"",DA51:DL51))</f>
        <v>0</v>
      </c>
      <c r="FK51" s="996">
        <f>IF($FG51="Opex",SUMIF('Monthly Summary'!$AM$75:$AX$75,"",DM51:DX51),SUMIF('Monthly Summary'!$AM$74:$AX$74,"",DM51:DX51))</f>
        <v>0</v>
      </c>
      <c r="FL51" s="996">
        <f>IF($FG51="Opex",SUMIF('Monthly Summary'!$AY$75:$BJ$75,"",DY51:EJ51),SUMIF('Monthly Summary'!$AY$74:$BJ$74,"",DY51:EJ51))</f>
        <v>0</v>
      </c>
      <c r="FM51" s="997">
        <f>IF($FG51="Opex",SUMIF('Monthly Summary'!$BK$75:$BV$75,"",EK51:EV51),SUMIF('Monthly Summary'!$BK$74:$BV$74,"",EK51:EV51))</f>
        <v>0</v>
      </c>
      <c r="FN51" s="997">
        <f t="shared" si="7"/>
        <v>0</v>
      </c>
    </row>
    <row r="52" spans="3:170">
      <c r="C52" s="757"/>
      <c r="D52" s="757"/>
      <c r="E52" s="758"/>
      <c r="F52" s="758"/>
      <c r="G52" s="758"/>
      <c r="H52" s="1215"/>
      <c r="I52" s="761"/>
      <c r="J52" s="761"/>
      <c r="K52" s="761"/>
      <c r="L52" s="761"/>
      <c r="M52" s="761"/>
      <c r="N52" s="761"/>
      <c r="O52" s="761"/>
      <c r="P52" s="761"/>
      <c r="Q52" s="761"/>
      <c r="R52" s="761"/>
      <c r="S52" s="1216"/>
      <c r="T52" s="1215"/>
      <c r="U52" s="761"/>
      <c r="V52" s="761"/>
      <c r="W52" s="761"/>
      <c r="X52" s="761"/>
      <c r="Y52" s="761"/>
      <c r="Z52" s="761"/>
      <c r="AA52" s="761"/>
      <c r="AB52" s="761"/>
      <c r="AC52" s="761"/>
      <c r="AD52" s="761"/>
      <c r="AE52" s="1216"/>
      <c r="AF52" s="1215"/>
      <c r="AG52" s="761"/>
      <c r="AH52" s="761"/>
      <c r="AI52" s="761"/>
      <c r="AJ52" s="761"/>
      <c r="AK52" s="761"/>
      <c r="AL52" s="761"/>
      <c r="AM52" s="761"/>
      <c r="AN52" s="761"/>
      <c r="AO52" s="761"/>
      <c r="AP52" s="761"/>
      <c r="AQ52" s="1216"/>
      <c r="AR52" s="1215"/>
      <c r="AS52" s="761"/>
      <c r="AT52" s="761"/>
      <c r="AU52" s="761"/>
      <c r="AV52" s="761"/>
      <c r="AW52" s="761"/>
      <c r="AX52" s="761"/>
      <c r="AY52" s="761"/>
      <c r="AZ52" s="761"/>
      <c r="BA52" s="761"/>
      <c r="BB52" s="761"/>
      <c r="BC52" s="1216"/>
      <c r="BD52" s="1215"/>
      <c r="BE52" s="761"/>
      <c r="BF52" s="761"/>
      <c r="BG52" s="761"/>
      <c r="BH52" s="761"/>
      <c r="BI52" s="761"/>
      <c r="BJ52" s="761"/>
      <c r="BK52" s="761"/>
      <c r="BL52" s="761"/>
      <c r="BM52" s="761"/>
      <c r="BN52" s="761"/>
      <c r="BO52" s="1216"/>
      <c r="BP52" s="1215"/>
      <c r="BQ52" s="761"/>
      <c r="BR52" s="761"/>
      <c r="BS52" s="761"/>
      <c r="BT52" s="761"/>
      <c r="BU52" s="761"/>
      <c r="BV52" s="761"/>
      <c r="BW52" s="761"/>
      <c r="BX52" s="761"/>
      <c r="BY52" s="761"/>
      <c r="BZ52" s="761"/>
      <c r="CA52" s="1216"/>
      <c r="CB52" s="747"/>
      <c r="CC52" s="1222">
        <f>$G52*H52*Variables!$B$53</f>
        <v>0</v>
      </c>
      <c r="CD52" s="1223">
        <f>$G52*I52*Variables!$B$53</f>
        <v>0</v>
      </c>
      <c r="CE52" s="1223">
        <f>$G52*J52*Variables!$B$53</f>
        <v>0</v>
      </c>
      <c r="CF52" s="1223">
        <f>$G52*K52*Variables!$B$53</f>
        <v>0</v>
      </c>
      <c r="CG52" s="1223">
        <f>$G52*L52*Variables!$B$53</f>
        <v>0</v>
      </c>
      <c r="CH52" s="1223">
        <f>$G52*M52*Variables!$B$53</f>
        <v>0</v>
      </c>
      <c r="CI52" s="1223">
        <f>$G52*N52*Variables!$B$53</f>
        <v>0</v>
      </c>
      <c r="CJ52" s="1223">
        <f>$G52*O52*Variables!$B$53</f>
        <v>0</v>
      </c>
      <c r="CK52" s="1223">
        <f>$G52*P52*Variables!$B$53</f>
        <v>0</v>
      </c>
      <c r="CL52" s="1223">
        <f>$G52*Q52*Variables!$B$53</f>
        <v>0</v>
      </c>
      <c r="CM52" s="1223">
        <f>$G52*R52*Variables!$B$53</f>
        <v>0</v>
      </c>
      <c r="CN52" s="1225">
        <f>$G52*S52*Variables!$B$53</f>
        <v>0</v>
      </c>
      <c r="CO52" s="1222">
        <f>$G52*T52*Variables!$B$53*HLOOKUP($CO$2,Variables!$B$60:$F$61,2,FALSE)</f>
        <v>0</v>
      </c>
      <c r="CP52" s="1223">
        <f>$G52*U52*Variables!$B$53*HLOOKUP($CO$2,Variables!$B$60:$F$61,2,FALSE)</f>
        <v>0</v>
      </c>
      <c r="CQ52" s="1223">
        <f>$G52*V52*Variables!$B$53*HLOOKUP($CO$2,Variables!$B$60:$F$61,2,FALSE)</f>
        <v>0</v>
      </c>
      <c r="CR52" s="1223">
        <f>$G52*W52*Variables!$B$53*HLOOKUP($CO$2,Variables!$B$60:$F$61,2,FALSE)</f>
        <v>0</v>
      </c>
      <c r="CS52" s="1223">
        <f>$G52*X52*Variables!$B$53*HLOOKUP($CO$2,Variables!$B$60:$F$61,2,FALSE)</f>
        <v>0</v>
      </c>
      <c r="CT52" s="1223">
        <f>$G52*Y52*Variables!$B$53*HLOOKUP($CO$2,Variables!$B$60:$F$61,2,FALSE)</f>
        <v>0</v>
      </c>
      <c r="CU52" s="1223">
        <f>$G52*Z52*Variables!$B$53*HLOOKUP($CO$2,Variables!$B$60:$F$61,2,FALSE)</f>
        <v>0</v>
      </c>
      <c r="CV52" s="1223">
        <f>$G52*AA52*Variables!$B$53*HLOOKUP($CO$2,Variables!$B$60:$F$61,2,FALSE)</f>
        <v>0</v>
      </c>
      <c r="CW52" s="1223">
        <f>$G52*AB52*Variables!$B$53*HLOOKUP($CO$2,Variables!$B$60:$F$61,2,FALSE)</f>
        <v>0</v>
      </c>
      <c r="CX52" s="1223">
        <f>$G52*AC52*Variables!$B$53*HLOOKUP($CO$2,Variables!$B$60:$F$61,2,FALSE)</f>
        <v>0</v>
      </c>
      <c r="CY52" s="1223">
        <f>$G52*AD52*Variables!$B$53*HLOOKUP($CO$2,Variables!$B$60:$F$61,2,FALSE)</f>
        <v>0</v>
      </c>
      <c r="CZ52" s="1225">
        <f>$G52*AE52*Variables!$B$53*HLOOKUP($CO$2,Variables!$B$60:$F$61,2,FALSE)</f>
        <v>0</v>
      </c>
      <c r="DA52" s="1222">
        <f>$G52*AF52*Variables!$B$53*HLOOKUP($DA$2,Variables!$B$60:$F$61,2,FALSE)</f>
        <v>0</v>
      </c>
      <c r="DB52" s="1223">
        <f>$G52*AG52*Variables!$B$53*HLOOKUP($DA$2,Variables!$B$60:$F$61,2,FALSE)</f>
        <v>0</v>
      </c>
      <c r="DC52" s="1223">
        <f>$G52*AH52*Variables!$B$53*HLOOKUP($DA$2,Variables!$B$60:$F$61,2,FALSE)</f>
        <v>0</v>
      </c>
      <c r="DD52" s="1223">
        <f>$G52*AI52*Variables!$B$53*HLOOKUP($DA$2,Variables!$B$60:$F$61,2,FALSE)</f>
        <v>0</v>
      </c>
      <c r="DE52" s="1223">
        <f>$G52*AJ52*Variables!$B$53*HLOOKUP($DA$2,Variables!$B$60:$F$61,2,FALSE)</f>
        <v>0</v>
      </c>
      <c r="DF52" s="1223">
        <f>$G52*AK52*Variables!$B$53*HLOOKUP($DA$2,Variables!$B$60:$F$61,2,FALSE)</f>
        <v>0</v>
      </c>
      <c r="DG52" s="1223">
        <f>$G52*AL52*Variables!$B$53*HLOOKUP($DA$2,Variables!$B$60:$F$61,2,FALSE)</f>
        <v>0</v>
      </c>
      <c r="DH52" s="1223">
        <f>$G52*AM52*Variables!$B$53*HLOOKUP($DA$2,Variables!$B$60:$F$61,2,FALSE)</f>
        <v>0</v>
      </c>
      <c r="DI52" s="1223">
        <f>$G52*AN52*Variables!$B$53*HLOOKUP($DA$2,Variables!$B$60:$F$61,2,FALSE)</f>
        <v>0</v>
      </c>
      <c r="DJ52" s="1223">
        <f>$G52*AO52*Variables!$B$53*HLOOKUP($DA$2,Variables!$B$60:$F$61,2,FALSE)</f>
        <v>0</v>
      </c>
      <c r="DK52" s="1223">
        <f>$G52*AP52*Variables!$B$53*HLOOKUP($DA$2,Variables!$B$60:$F$61,2,FALSE)</f>
        <v>0</v>
      </c>
      <c r="DL52" s="1225">
        <f>$G52*AQ52*Variables!$B$53*HLOOKUP($DA$2,Variables!$B$60:$F$61,2,FALSE)</f>
        <v>0</v>
      </c>
      <c r="DM52" s="1222">
        <f>$G52*AR52*Variables!$B$53*HLOOKUP($DM$2,Variables!$B$60:$F$61,2,FALSE)</f>
        <v>0</v>
      </c>
      <c r="DN52" s="1223">
        <f>$G52*AS52*Variables!$B$53*HLOOKUP($DM$2,Variables!$B$60:$F$61,2,FALSE)</f>
        <v>0</v>
      </c>
      <c r="DO52" s="1223">
        <f>$G52*AT52*Variables!$B$53*HLOOKUP($DM$2,Variables!$B$60:$F$61,2,FALSE)</f>
        <v>0</v>
      </c>
      <c r="DP52" s="1223">
        <f>$G52*AU52*Variables!$B$53*HLOOKUP($DM$2,Variables!$B$60:$F$61,2,FALSE)</f>
        <v>0</v>
      </c>
      <c r="DQ52" s="1223">
        <f>$G52*AV52*Variables!$B$53*HLOOKUP($DM$2,Variables!$B$60:$F$61,2,FALSE)</f>
        <v>0</v>
      </c>
      <c r="DR52" s="1223">
        <f>$G52*AW52*Variables!$B$53*HLOOKUP($DM$2,Variables!$B$60:$F$61,2,FALSE)</f>
        <v>0</v>
      </c>
      <c r="DS52" s="1223">
        <f>$G52*AX52*Variables!$B$53*HLOOKUP($DM$2,Variables!$B$60:$F$61,2,FALSE)</f>
        <v>0</v>
      </c>
      <c r="DT52" s="1223">
        <f>$G52*AY52*Variables!$B$53*HLOOKUP($DM$2,Variables!$B$60:$F$61,2,FALSE)</f>
        <v>0</v>
      </c>
      <c r="DU52" s="1223">
        <f>$G52*AZ52*Variables!$B$53*HLOOKUP($DM$2,Variables!$B$60:$F$61,2,FALSE)</f>
        <v>0</v>
      </c>
      <c r="DV52" s="1223">
        <f>$G52*BA52*Variables!$B$53*HLOOKUP($DM$2,Variables!$B$60:$F$61,2,FALSE)</f>
        <v>0</v>
      </c>
      <c r="DW52" s="1223">
        <f>$G52*BB52*Variables!$B$53*HLOOKUP($DM$2,Variables!$B$60:$F$61,2,FALSE)</f>
        <v>0</v>
      </c>
      <c r="DX52" s="1225">
        <f>$G52*BC52*Variables!$B$53*HLOOKUP($DM$2,Variables!$B$60:$F$61,2,FALSE)</f>
        <v>0</v>
      </c>
      <c r="DY52" s="1222">
        <f>$G52*BD52*Variables!$B$53*HLOOKUP($DY$2,Variables!$B$60:$F$61,2,FALSE)</f>
        <v>0</v>
      </c>
      <c r="DZ52" s="1223">
        <f>$G52*BE52*Variables!$B$53*HLOOKUP($DY$2,Variables!$B$60:$F$61,2,FALSE)</f>
        <v>0</v>
      </c>
      <c r="EA52" s="1223">
        <f>$G52*BF52*Variables!$B$53*HLOOKUP($DY$2,Variables!$B$60:$F$61,2,FALSE)</f>
        <v>0</v>
      </c>
      <c r="EB52" s="1223">
        <f>$G52*BG52*Variables!$B$53*HLOOKUP($DY$2,Variables!$B$60:$F$61,2,FALSE)</f>
        <v>0</v>
      </c>
      <c r="EC52" s="1223">
        <f>$G52*BH52*Variables!$B$53*HLOOKUP($DY$2,Variables!$B$60:$F$61,2,FALSE)</f>
        <v>0</v>
      </c>
      <c r="ED52" s="1223">
        <f>$G52*BI52*Variables!$B$53*HLOOKUP($DY$2,Variables!$B$60:$F$61,2,FALSE)</f>
        <v>0</v>
      </c>
      <c r="EE52" s="1223">
        <f>$G52*BJ52*Variables!$B$53*HLOOKUP($DY$2,Variables!$B$60:$F$61,2,FALSE)</f>
        <v>0</v>
      </c>
      <c r="EF52" s="1223">
        <f>$G52*BK52*Variables!$B$53*HLOOKUP($DY$2,Variables!$B$60:$F$61,2,FALSE)</f>
        <v>0</v>
      </c>
      <c r="EG52" s="1223">
        <f>$G52*BL52*Variables!$B$53*HLOOKUP($DY$2,Variables!$B$60:$F$61,2,FALSE)</f>
        <v>0</v>
      </c>
      <c r="EH52" s="1223">
        <f>$G52*BM52*Variables!$B$53*HLOOKUP($DY$2,Variables!$B$60:$F$61,2,FALSE)</f>
        <v>0</v>
      </c>
      <c r="EI52" s="1223">
        <f>$G52*BN52*Variables!$B$53*HLOOKUP($DY$2,Variables!$B$60:$F$61,2,FALSE)</f>
        <v>0</v>
      </c>
      <c r="EJ52" s="1225">
        <f>$G52*BO52*Variables!$B$53*HLOOKUP($DY$2,Variables!$B$60:$F$61,2,FALSE)</f>
        <v>0</v>
      </c>
      <c r="EK52" s="1222">
        <f>$G52*BP52*Variables!$B$53*HLOOKUP($EK$2,Variables!$B$60:$F$61,2,FALSE)</f>
        <v>0</v>
      </c>
      <c r="EL52" s="1223">
        <f>$G52*BQ52*Variables!$B$53*HLOOKUP($EK$2,Variables!$B$60:$F$61,2,FALSE)</f>
        <v>0</v>
      </c>
      <c r="EM52" s="1223">
        <f>$G52*BR52*Variables!$B$53*HLOOKUP($EK$2,Variables!$B$60:$F$61,2,FALSE)</f>
        <v>0</v>
      </c>
      <c r="EN52" s="1223">
        <f>$G52*BS52*Variables!$B$53*HLOOKUP($EK$2,Variables!$B$60:$F$61,2,FALSE)</f>
        <v>0</v>
      </c>
      <c r="EO52" s="1223">
        <f>$G52*BT52*Variables!$B$53*HLOOKUP($EK$2,Variables!$B$60:$F$61,2,FALSE)</f>
        <v>0</v>
      </c>
      <c r="EP52" s="1223">
        <f>$G52*BU52*Variables!$B$53*HLOOKUP($EK$2,Variables!$B$60:$F$61,2,FALSE)</f>
        <v>0</v>
      </c>
      <c r="EQ52" s="1223">
        <f>$G52*BV52*Variables!$B$53*HLOOKUP($EK$2,Variables!$B$60:$F$61,2,FALSE)</f>
        <v>0</v>
      </c>
      <c r="ER52" s="1223">
        <f>$G52*BW52*Variables!$B$53*HLOOKUP($EK$2,Variables!$B$60:$F$61,2,FALSE)</f>
        <v>0</v>
      </c>
      <c r="ES52" s="1223">
        <f>$G52*BX52*Variables!$B$53*HLOOKUP($EK$2,Variables!$B$60:$F$61,2,FALSE)</f>
        <v>0</v>
      </c>
      <c r="ET52" s="1223">
        <f>$G52*BY52*Variables!$B$53*HLOOKUP($EK$2,Variables!$B$60:$F$61,2,FALSE)</f>
        <v>0</v>
      </c>
      <c r="EU52" s="1223">
        <f>$G52*BZ52*Variables!$B$53*HLOOKUP($EK$2,Variables!$B$60:$F$61,2,FALSE)</f>
        <v>0</v>
      </c>
      <c r="EV52" s="1225">
        <f>$G52*CA52*Variables!$B$53*HLOOKUP($EK$2,Variables!$B$60:$F$61,2,FALSE)</f>
        <v>0</v>
      </c>
      <c r="EW52" s="872">
        <f t="shared" si="6"/>
        <v>0</v>
      </c>
      <c r="EX52" s="872"/>
      <c r="EY52" s="872"/>
      <c r="EZ52" s="872"/>
      <c r="FA52" s="1332"/>
      <c r="FC52" s="958" t="str">
        <f t="shared" si="8"/>
        <v/>
      </c>
      <c r="FD52" s="959" t="str">
        <f t="shared" si="9"/>
        <v/>
      </c>
      <c r="FE52" s="959" t="s">
        <v>8407</v>
      </c>
      <c r="FF52" s="959" t="str">
        <f>IF(ISNA(VLOOKUP(FC52,Miscellaneous!E:F,2,0)),"",VLOOKUP(FC52,Miscellaneous!E:F,2,0))</f>
        <v/>
      </c>
      <c r="FG52" s="959" t="str">
        <f t="shared" si="10"/>
        <v/>
      </c>
      <c r="FH52" s="996">
        <f>IF($FG52="Opex",SUMIF('Monthly Summary'!$C$75:$N$75,"",CC52:CN52),SUMIF('Monthly Summary'!$C$74:$N$74,"",CC52:CN52))</f>
        <v>0</v>
      </c>
      <c r="FI52" s="996">
        <f>IF($FG52="Opex",SUMIF('Monthly Summary'!$O$75:$Z$75,"",CO52:CZ52),SUMIF('Monthly Summary'!$O$74:$Z$74,"",CO52:CZ52))</f>
        <v>0</v>
      </c>
      <c r="FJ52" s="996">
        <f>IF($FG52="Opex",SUMIF('Monthly Summary'!$AA$75:$AL$75,"",DA52:DL52),SUMIF('Monthly Summary'!$AA$74:$AL$74,"",DA52:DL52))</f>
        <v>0</v>
      </c>
      <c r="FK52" s="996">
        <f>IF($FG52="Opex",SUMIF('Monthly Summary'!$AM$75:$AX$75,"",DM52:DX52),SUMIF('Monthly Summary'!$AM$74:$AX$74,"",DM52:DX52))</f>
        <v>0</v>
      </c>
      <c r="FL52" s="996">
        <f>IF($FG52="Opex",SUMIF('Monthly Summary'!$AY$75:$BJ$75,"",DY52:EJ52),SUMIF('Monthly Summary'!$AY$74:$BJ$74,"",DY52:EJ52))</f>
        <v>0</v>
      </c>
      <c r="FM52" s="997">
        <f>IF($FG52="Opex",SUMIF('Monthly Summary'!$BK$75:$BV$75,"",EK52:EV52),SUMIF('Monthly Summary'!$BK$74:$BV$74,"",EK52:EV52))</f>
        <v>0</v>
      </c>
      <c r="FN52" s="997">
        <f t="shared" si="7"/>
        <v>0</v>
      </c>
    </row>
    <row r="53" spans="3:170">
      <c r="C53" s="757"/>
      <c r="D53" s="757"/>
      <c r="E53" s="758"/>
      <c r="F53" s="758"/>
      <c r="G53" s="758"/>
      <c r="H53" s="1215"/>
      <c r="I53" s="761"/>
      <c r="J53" s="761"/>
      <c r="K53" s="761"/>
      <c r="L53" s="761"/>
      <c r="M53" s="761"/>
      <c r="N53" s="761"/>
      <c r="O53" s="761"/>
      <c r="P53" s="761"/>
      <c r="Q53" s="761"/>
      <c r="R53" s="761"/>
      <c r="S53" s="1216"/>
      <c r="T53" s="1215"/>
      <c r="U53" s="761"/>
      <c r="V53" s="761"/>
      <c r="W53" s="761"/>
      <c r="X53" s="761"/>
      <c r="Y53" s="761"/>
      <c r="Z53" s="761"/>
      <c r="AA53" s="761"/>
      <c r="AB53" s="761"/>
      <c r="AC53" s="761"/>
      <c r="AD53" s="761"/>
      <c r="AE53" s="1216"/>
      <c r="AF53" s="1215"/>
      <c r="AG53" s="761"/>
      <c r="AH53" s="761"/>
      <c r="AI53" s="761"/>
      <c r="AJ53" s="761"/>
      <c r="AK53" s="761"/>
      <c r="AL53" s="761"/>
      <c r="AM53" s="761"/>
      <c r="AN53" s="761"/>
      <c r="AO53" s="761"/>
      <c r="AP53" s="761"/>
      <c r="AQ53" s="1216"/>
      <c r="AR53" s="1215"/>
      <c r="AS53" s="761"/>
      <c r="AT53" s="761"/>
      <c r="AU53" s="761"/>
      <c r="AV53" s="761"/>
      <c r="AW53" s="761"/>
      <c r="AX53" s="761"/>
      <c r="AY53" s="761"/>
      <c r="AZ53" s="761"/>
      <c r="BA53" s="761"/>
      <c r="BB53" s="761"/>
      <c r="BC53" s="1216"/>
      <c r="BD53" s="1215"/>
      <c r="BE53" s="761"/>
      <c r="BF53" s="761"/>
      <c r="BG53" s="761"/>
      <c r="BH53" s="761"/>
      <c r="BI53" s="761"/>
      <c r="BJ53" s="761"/>
      <c r="BK53" s="761"/>
      <c r="BL53" s="761"/>
      <c r="BM53" s="761"/>
      <c r="BN53" s="761"/>
      <c r="BO53" s="1216"/>
      <c r="BP53" s="1215"/>
      <c r="BQ53" s="761"/>
      <c r="BR53" s="761"/>
      <c r="BS53" s="761"/>
      <c r="BT53" s="761"/>
      <c r="BU53" s="761"/>
      <c r="BV53" s="761"/>
      <c r="BW53" s="761"/>
      <c r="BX53" s="761"/>
      <c r="BY53" s="761"/>
      <c r="BZ53" s="761"/>
      <c r="CA53" s="1216"/>
      <c r="CB53" s="747"/>
      <c r="CC53" s="1222">
        <f>$G53*H53*Variables!$B$53</f>
        <v>0</v>
      </c>
      <c r="CD53" s="1223">
        <f>$G53*I53*Variables!$B$53</f>
        <v>0</v>
      </c>
      <c r="CE53" s="1223">
        <f>$G53*J53*Variables!$B$53</f>
        <v>0</v>
      </c>
      <c r="CF53" s="1223">
        <f>$G53*K53*Variables!$B$53</f>
        <v>0</v>
      </c>
      <c r="CG53" s="1223">
        <f>$G53*L53*Variables!$B$53</f>
        <v>0</v>
      </c>
      <c r="CH53" s="1223">
        <f>$G53*M53*Variables!$B$53</f>
        <v>0</v>
      </c>
      <c r="CI53" s="1223">
        <f>$G53*N53*Variables!$B$53</f>
        <v>0</v>
      </c>
      <c r="CJ53" s="1223">
        <f>$G53*O53*Variables!$B$53</f>
        <v>0</v>
      </c>
      <c r="CK53" s="1223">
        <f>$G53*P53*Variables!$B$53</f>
        <v>0</v>
      </c>
      <c r="CL53" s="1223">
        <f>$G53*Q53*Variables!$B$53</f>
        <v>0</v>
      </c>
      <c r="CM53" s="1223">
        <f>$G53*R53*Variables!$B$53</f>
        <v>0</v>
      </c>
      <c r="CN53" s="1225">
        <f>$G53*S53*Variables!$B$53</f>
        <v>0</v>
      </c>
      <c r="CO53" s="1222">
        <f>$G53*T53*Variables!$B$53*HLOOKUP($CO$2,Variables!$B$60:$F$61,2,FALSE)</f>
        <v>0</v>
      </c>
      <c r="CP53" s="1223">
        <f>$G53*U53*Variables!$B$53*HLOOKUP($CO$2,Variables!$B$60:$F$61,2,FALSE)</f>
        <v>0</v>
      </c>
      <c r="CQ53" s="1223">
        <f>$G53*V53*Variables!$B$53*HLOOKUP($CO$2,Variables!$B$60:$F$61,2,FALSE)</f>
        <v>0</v>
      </c>
      <c r="CR53" s="1223">
        <f>$G53*W53*Variables!$B$53*HLOOKUP($CO$2,Variables!$B$60:$F$61,2,FALSE)</f>
        <v>0</v>
      </c>
      <c r="CS53" s="1223">
        <f>$G53*X53*Variables!$B$53*HLOOKUP($CO$2,Variables!$B$60:$F$61,2,FALSE)</f>
        <v>0</v>
      </c>
      <c r="CT53" s="1223">
        <f>$G53*Y53*Variables!$B$53*HLOOKUP($CO$2,Variables!$B$60:$F$61,2,FALSE)</f>
        <v>0</v>
      </c>
      <c r="CU53" s="1223">
        <f>$G53*Z53*Variables!$B$53*HLOOKUP($CO$2,Variables!$B$60:$F$61,2,FALSE)</f>
        <v>0</v>
      </c>
      <c r="CV53" s="1223">
        <f>$G53*AA53*Variables!$B$53*HLOOKUP($CO$2,Variables!$B$60:$F$61,2,FALSE)</f>
        <v>0</v>
      </c>
      <c r="CW53" s="1223">
        <f>$G53*AB53*Variables!$B$53*HLOOKUP($CO$2,Variables!$B$60:$F$61,2,FALSE)</f>
        <v>0</v>
      </c>
      <c r="CX53" s="1223">
        <f>$G53*AC53*Variables!$B$53*HLOOKUP($CO$2,Variables!$B$60:$F$61,2,FALSE)</f>
        <v>0</v>
      </c>
      <c r="CY53" s="1223">
        <f>$G53*AD53*Variables!$B$53*HLOOKUP($CO$2,Variables!$B$60:$F$61,2,FALSE)</f>
        <v>0</v>
      </c>
      <c r="CZ53" s="1225">
        <f>$G53*AE53*Variables!$B$53*HLOOKUP($CO$2,Variables!$B$60:$F$61,2,FALSE)</f>
        <v>0</v>
      </c>
      <c r="DA53" s="1222">
        <f>$G53*AF53*Variables!$B$53*HLOOKUP($DA$2,Variables!$B$60:$F$61,2,FALSE)</f>
        <v>0</v>
      </c>
      <c r="DB53" s="1223">
        <f>$G53*AG53*Variables!$B$53*HLOOKUP($DA$2,Variables!$B$60:$F$61,2,FALSE)</f>
        <v>0</v>
      </c>
      <c r="DC53" s="1223">
        <f>$G53*AH53*Variables!$B$53*HLOOKUP($DA$2,Variables!$B$60:$F$61,2,FALSE)</f>
        <v>0</v>
      </c>
      <c r="DD53" s="1223">
        <f>$G53*AI53*Variables!$B$53*HLOOKUP($DA$2,Variables!$B$60:$F$61,2,FALSE)</f>
        <v>0</v>
      </c>
      <c r="DE53" s="1223">
        <f>$G53*AJ53*Variables!$B$53*HLOOKUP($DA$2,Variables!$B$60:$F$61,2,FALSE)</f>
        <v>0</v>
      </c>
      <c r="DF53" s="1223">
        <f>$G53*AK53*Variables!$B$53*HLOOKUP($DA$2,Variables!$B$60:$F$61,2,FALSE)</f>
        <v>0</v>
      </c>
      <c r="DG53" s="1223">
        <f>$G53*AL53*Variables!$B$53*HLOOKUP($DA$2,Variables!$B$60:$F$61,2,FALSE)</f>
        <v>0</v>
      </c>
      <c r="DH53" s="1223">
        <f>$G53*AM53*Variables!$B$53*HLOOKUP($DA$2,Variables!$B$60:$F$61,2,FALSE)</f>
        <v>0</v>
      </c>
      <c r="DI53" s="1223">
        <f>$G53*AN53*Variables!$B$53*HLOOKUP($DA$2,Variables!$B$60:$F$61,2,FALSE)</f>
        <v>0</v>
      </c>
      <c r="DJ53" s="1223">
        <f>$G53*AO53*Variables!$B$53*HLOOKUP($DA$2,Variables!$B$60:$F$61,2,FALSE)</f>
        <v>0</v>
      </c>
      <c r="DK53" s="1223">
        <f>$G53*AP53*Variables!$B$53*HLOOKUP($DA$2,Variables!$B$60:$F$61,2,FALSE)</f>
        <v>0</v>
      </c>
      <c r="DL53" s="1225">
        <f>$G53*AQ53*Variables!$B$53*HLOOKUP($DA$2,Variables!$B$60:$F$61,2,FALSE)</f>
        <v>0</v>
      </c>
      <c r="DM53" s="1222">
        <f>$G53*AR53*Variables!$B$53*HLOOKUP($DM$2,Variables!$B$60:$F$61,2,FALSE)</f>
        <v>0</v>
      </c>
      <c r="DN53" s="1223">
        <f>$G53*AS53*Variables!$B$53*HLOOKUP($DM$2,Variables!$B$60:$F$61,2,FALSE)</f>
        <v>0</v>
      </c>
      <c r="DO53" s="1223">
        <f>$G53*AT53*Variables!$B$53*HLOOKUP($DM$2,Variables!$B$60:$F$61,2,FALSE)</f>
        <v>0</v>
      </c>
      <c r="DP53" s="1223">
        <f>$G53*AU53*Variables!$B$53*HLOOKUP($DM$2,Variables!$B$60:$F$61,2,FALSE)</f>
        <v>0</v>
      </c>
      <c r="DQ53" s="1223">
        <f>$G53*AV53*Variables!$B$53*HLOOKUP($DM$2,Variables!$B$60:$F$61,2,FALSE)</f>
        <v>0</v>
      </c>
      <c r="DR53" s="1223">
        <f>$G53*AW53*Variables!$B$53*HLOOKUP($DM$2,Variables!$B$60:$F$61,2,FALSE)</f>
        <v>0</v>
      </c>
      <c r="DS53" s="1223">
        <f>$G53*AX53*Variables!$B$53*HLOOKUP($DM$2,Variables!$B$60:$F$61,2,FALSE)</f>
        <v>0</v>
      </c>
      <c r="DT53" s="1223">
        <f>$G53*AY53*Variables!$B$53*HLOOKUP($DM$2,Variables!$B$60:$F$61,2,FALSE)</f>
        <v>0</v>
      </c>
      <c r="DU53" s="1223">
        <f>$G53*AZ53*Variables!$B$53*HLOOKUP($DM$2,Variables!$B$60:$F$61,2,FALSE)</f>
        <v>0</v>
      </c>
      <c r="DV53" s="1223">
        <f>$G53*BA53*Variables!$B$53*HLOOKUP($DM$2,Variables!$B$60:$F$61,2,FALSE)</f>
        <v>0</v>
      </c>
      <c r="DW53" s="1223">
        <f>$G53*BB53*Variables!$B$53*HLOOKUP($DM$2,Variables!$B$60:$F$61,2,FALSE)</f>
        <v>0</v>
      </c>
      <c r="DX53" s="1225">
        <f>$G53*BC53*Variables!$B$53*HLOOKUP($DM$2,Variables!$B$60:$F$61,2,FALSE)</f>
        <v>0</v>
      </c>
      <c r="DY53" s="1222">
        <f>$G53*BD53*Variables!$B$53*HLOOKUP($DY$2,Variables!$B$60:$F$61,2,FALSE)</f>
        <v>0</v>
      </c>
      <c r="DZ53" s="1223">
        <f>$G53*BE53*Variables!$B$53*HLOOKUP($DY$2,Variables!$B$60:$F$61,2,FALSE)</f>
        <v>0</v>
      </c>
      <c r="EA53" s="1223">
        <f>$G53*BF53*Variables!$B$53*HLOOKUP($DY$2,Variables!$B$60:$F$61,2,FALSE)</f>
        <v>0</v>
      </c>
      <c r="EB53" s="1223">
        <f>$G53*BG53*Variables!$B$53*HLOOKUP($DY$2,Variables!$B$60:$F$61,2,FALSE)</f>
        <v>0</v>
      </c>
      <c r="EC53" s="1223">
        <f>$G53*BH53*Variables!$B$53*HLOOKUP($DY$2,Variables!$B$60:$F$61,2,FALSE)</f>
        <v>0</v>
      </c>
      <c r="ED53" s="1223">
        <f>$G53*BI53*Variables!$B$53*HLOOKUP($DY$2,Variables!$B$60:$F$61,2,FALSE)</f>
        <v>0</v>
      </c>
      <c r="EE53" s="1223">
        <f>$G53*BJ53*Variables!$B$53*HLOOKUP($DY$2,Variables!$B$60:$F$61,2,FALSE)</f>
        <v>0</v>
      </c>
      <c r="EF53" s="1223">
        <f>$G53*BK53*Variables!$B$53*HLOOKUP($DY$2,Variables!$B$60:$F$61,2,FALSE)</f>
        <v>0</v>
      </c>
      <c r="EG53" s="1223">
        <f>$G53*BL53*Variables!$B$53*HLOOKUP($DY$2,Variables!$B$60:$F$61,2,FALSE)</f>
        <v>0</v>
      </c>
      <c r="EH53" s="1223">
        <f>$G53*BM53*Variables!$B$53*HLOOKUP($DY$2,Variables!$B$60:$F$61,2,FALSE)</f>
        <v>0</v>
      </c>
      <c r="EI53" s="1223">
        <f>$G53*BN53*Variables!$B$53*HLOOKUP($DY$2,Variables!$B$60:$F$61,2,FALSE)</f>
        <v>0</v>
      </c>
      <c r="EJ53" s="1225">
        <f>$G53*BO53*Variables!$B$53*HLOOKUP($DY$2,Variables!$B$60:$F$61,2,FALSE)</f>
        <v>0</v>
      </c>
      <c r="EK53" s="1222">
        <f>$G53*BP53*Variables!$B$53*HLOOKUP($EK$2,Variables!$B$60:$F$61,2,FALSE)</f>
        <v>0</v>
      </c>
      <c r="EL53" s="1223">
        <f>$G53*BQ53*Variables!$B$53*HLOOKUP($EK$2,Variables!$B$60:$F$61,2,FALSE)</f>
        <v>0</v>
      </c>
      <c r="EM53" s="1223">
        <f>$G53*BR53*Variables!$B$53*HLOOKUP($EK$2,Variables!$B$60:$F$61,2,FALSE)</f>
        <v>0</v>
      </c>
      <c r="EN53" s="1223">
        <f>$G53*BS53*Variables!$B$53*HLOOKUP($EK$2,Variables!$B$60:$F$61,2,FALSE)</f>
        <v>0</v>
      </c>
      <c r="EO53" s="1223">
        <f>$G53*BT53*Variables!$B$53*HLOOKUP($EK$2,Variables!$B$60:$F$61,2,FALSE)</f>
        <v>0</v>
      </c>
      <c r="EP53" s="1223">
        <f>$G53*BU53*Variables!$B$53*HLOOKUP($EK$2,Variables!$B$60:$F$61,2,FALSE)</f>
        <v>0</v>
      </c>
      <c r="EQ53" s="1223">
        <f>$G53*BV53*Variables!$B$53*HLOOKUP($EK$2,Variables!$B$60:$F$61,2,FALSE)</f>
        <v>0</v>
      </c>
      <c r="ER53" s="1223">
        <f>$G53*BW53*Variables!$B$53*HLOOKUP($EK$2,Variables!$B$60:$F$61,2,FALSE)</f>
        <v>0</v>
      </c>
      <c r="ES53" s="1223">
        <f>$G53*BX53*Variables!$B$53*HLOOKUP($EK$2,Variables!$B$60:$F$61,2,FALSE)</f>
        <v>0</v>
      </c>
      <c r="ET53" s="1223">
        <f>$G53*BY53*Variables!$B$53*HLOOKUP($EK$2,Variables!$B$60:$F$61,2,FALSE)</f>
        <v>0</v>
      </c>
      <c r="EU53" s="1223">
        <f>$G53*BZ53*Variables!$B$53*HLOOKUP($EK$2,Variables!$B$60:$F$61,2,FALSE)</f>
        <v>0</v>
      </c>
      <c r="EV53" s="1225">
        <f>$G53*CA53*Variables!$B$53*HLOOKUP($EK$2,Variables!$B$60:$F$61,2,FALSE)</f>
        <v>0</v>
      </c>
      <c r="EW53" s="872">
        <f t="shared" si="6"/>
        <v>0</v>
      </c>
      <c r="EX53" s="872"/>
      <c r="EY53" s="872"/>
      <c r="EZ53" s="872"/>
      <c r="FA53" s="1332"/>
      <c r="FC53" s="958" t="str">
        <f t="shared" si="8"/>
        <v/>
      </c>
      <c r="FD53" s="959" t="str">
        <f t="shared" si="9"/>
        <v/>
      </c>
      <c r="FE53" s="959" t="s">
        <v>8407</v>
      </c>
      <c r="FF53" s="959" t="str">
        <f>IF(ISNA(VLOOKUP(FC53,Miscellaneous!E:F,2,0)),"",VLOOKUP(FC53,Miscellaneous!E:F,2,0))</f>
        <v/>
      </c>
      <c r="FG53" s="959" t="str">
        <f t="shared" si="10"/>
        <v/>
      </c>
      <c r="FH53" s="996">
        <f>IF($FG53="Opex",SUMIF('Monthly Summary'!$C$75:$N$75,"",CC53:CN53),SUMIF('Monthly Summary'!$C$74:$N$74,"",CC53:CN53))</f>
        <v>0</v>
      </c>
      <c r="FI53" s="996">
        <f>IF($FG53="Opex",SUMIF('Monthly Summary'!$O$75:$Z$75,"",CO53:CZ53),SUMIF('Monthly Summary'!$O$74:$Z$74,"",CO53:CZ53))</f>
        <v>0</v>
      </c>
      <c r="FJ53" s="996">
        <f>IF($FG53="Opex",SUMIF('Monthly Summary'!$AA$75:$AL$75,"",DA53:DL53),SUMIF('Monthly Summary'!$AA$74:$AL$74,"",DA53:DL53))</f>
        <v>0</v>
      </c>
      <c r="FK53" s="996">
        <f>IF($FG53="Opex",SUMIF('Monthly Summary'!$AM$75:$AX$75,"",DM53:DX53),SUMIF('Monthly Summary'!$AM$74:$AX$74,"",DM53:DX53))</f>
        <v>0</v>
      </c>
      <c r="FL53" s="996">
        <f>IF($FG53="Opex",SUMIF('Monthly Summary'!$AY$75:$BJ$75,"",DY53:EJ53),SUMIF('Monthly Summary'!$AY$74:$BJ$74,"",DY53:EJ53))</f>
        <v>0</v>
      </c>
      <c r="FM53" s="997">
        <f>IF($FG53="Opex",SUMIF('Monthly Summary'!$BK$75:$BV$75,"",EK53:EV53),SUMIF('Monthly Summary'!$BK$74:$BV$74,"",EK53:EV53))</f>
        <v>0</v>
      </c>
      <c r="FN53" s="997">
        <f t="shared" si="7"/>
        <v>0</v>
      </c>
    </row>
    <row r="54" spans="3:170">
      <c r="C54" s="757"/>
      <c r="D54" s="757"/>
      <c r="E54" s="758"/>
      <c r="F54" s="758"/>
      <c r="G54" s="758"/>
      <c r="H54" s="1215"/>
      <c r="I54" s="761"/>
      <c r="J54" s="761"/>
      <c r="K54" s="761"/>
      <c r="L54" s="761"/>
      <c r="M54" s="761"/>
      <c r="N54" s="761"/>
      <c r="O54" s="761"/>
      <c r="P54" s="761"/>
      <c r="Q54" s="761"/>
      <c r="R54" s="761"/>
      <c r="S54" s="1216"/>
      <c r="T54" s="1215"/>
      <c r="U54" s="761"/>
      <c r="V54" s="761"/>
      <c r="W54" s="761"/>
      <c r="X54" s="761"/>
      <c r="Y54" s="761"/>
      <c r="Z54" s="761"/>
      <c r="AA54" s="761"/>
      <c r="AB54" s="761"/>
      <c r="AC54" s="761"/>
      <c r="AD54" s="761"/>
      <c r="AE54" s="1216"/>
      <c r="AF54" s="1215"/>
      <c r="AG54" s="761"/>
      <c r="AH54" s="761"/>
      <c r="AI54" s="761"/>
      <c r="AJ54" s="761"/>
      <c r="AK54" s="761"/>
      <c r="AL54" s="761"/>
      <c r="AM54" s="761"/>
      <c r="AN54" s="761"/>
      <c r="AO54" s="761"/>
      <c r="AP54" s="761"/>
      <c r="AQ54" s="1216"/>
      <c r="AR54" s="1215"/>
      <c r="AS54" s="761"/>
      <c r="AT54" s="761"/>
      <c r="AU54" s="761"/>
      <c r="AV54" s="761"/>
      <c r="AW54" s="761"/>
      <c r="AX54" s="761"/>
      <c r="AY54" s="761"/>
      <c r="AZ54" s="761"/>
      <c r="BA54" s="761"/>
      <c r="BB54" s="761"/>
      <c r="BC54" s="1216"/>
      <c r="BD54" s="1215"/>
      <c r="BE54" s="761"/>
      <c r="BF54" s="761"/>
      <c r="BG54" s="761"/>
      <c r="BH54" s="761"/>
      <c r="BI54" s="761"/>
      <c r="BJ54" s="761"/>
      <c r="BK54" s="761"/>
      <c r="BL54" s="761"/>
      <c r="BM54" s="761"/>
      <c r="BN54" s="761"/>
      <c r="BO54" s="1216"/>
      <c r="BP54" s="1215"/>
      <c r="BQ54" s="761"/>
      <c r="BR54" s="761"/>
      <c r="BS54" s="761"/>
      <c r="BT54" s="761"/>
      <c r="BU54" s="761"/>
      <c r="BV54" s="761"/>
      <c r="BW54" s="761"/>
      <c r="BX54" s="761"/>
      <c r="BY54" s="761"/>
      <c r="BZ54" s="761"/>
      <c r="CA54" s="1216"/>
      <c r="CB54" s="747"/>
      <c r="CC54" s="1222">
        <f>$G54*H54*Variables!$B$53</f>
        <v>0</v>
      </c>
      <c r="CD54" s="1223">
        <f>$G54*I54*Variables!$B$53</f>
        <v>0</v>
      </c>
      <c r="CE54" s="1223">
        <f>$G54*J54*Variables!$B$53</f>
        <v>0</v>
      </c>
      <c r="CF54" s="1223">
        <f>$G54*K54*Variables!$B$53</f>
        <v>0</v>
      </c>
      <c r="CG54" s="1223">
        <f>$G54*L54*Variables!$B$53</f>
        <v>0</v>
      </c>
      <c r="CH54" s="1223">
        <f>$G54*M54*Variables!$B$53</f>
        <v>0</v>
      </c>
      <c r="CI54" s="1223">
        <f>$G54*N54*Variables!$B$53</f>
        <v>0</v>
      </c>
      <c r="CJ54" s="1223">
        <f>$G54*O54*Variables!$B$53</f>
        <v>0</v>
      </c>
      <c r="CK54" s="1223">
        <f>$G54*P54*Variables!$B$53</f>
        <v>0</v>
      </c>
      <c r="CL54" s="1223">
        <f>$G54*Q54*Variables!$B$53</f>
        <v>0</v>
      </c>
      <c r="CM54" s="1223">
        <f>$G54*R54*Variables!$B$53</f>
        <v>0</v>
      </c>
      <c r="CN54" s="1225">
        <f>$G54*S54*Variables!$B$53</f>
        <v>0</v>
      </c>
      <c r="CO54" s="1222">
        <f>$G54*T54*Variables!$B$53*HLOOKUP($CO$2,Variables!$B$60:$F$61,2,FALSE)</f>
        <v>0</v>
      </c>
      <c r="CP54" s="1223">
        <f>$G54*U54*Variables!$B$53*HLOOKUP($CO$2,Variables!$B$60:$F$61,2,FALSE)</f>
        <v>0</v>
      </c>
      <c r="CQ54" s="1223">
        <f>$G54*V54*Variables!$B$53*HLOOKUP($CO$2,Variables!$B$60:$F$61,2,FALSE)</f>
        <v>0</v>
      </c>
      <c r="CR54" s="1223">
        <f>$G54*W54*Variables!$B$53*HLOOKUP($CO$2,Variables!$B$60:$F$61,2,FALSE)</f>
        <v>0</v>
      </c>
      <c r="CS54" s="1223">
        <f>$G54*X54*Variables!$B$53*HLOOKUP($CO$2,Variables!$B$60:$F$61,2,FALSE)</f>
        <v>0</v>
      </c>
      <c r="CT54" s="1223">
        <f>$G54*Y54*Variables!$B$53*HLOOKUP($CO$2,Variables!$B$60:$F$61,2,FALSE)</f>
        <v>0</v>
      </c>
      <c r="CU54" s="1223">
        <f>$G54*Z54*Variables!$B$53*HLOOKUP($CO$2,Variables!$B$60:$F$61,2,FALSE)</f>
        <v>0</v>
      </c>
      <c r="CV54" s="1223">
        <f>$G54*AA54*Variables!$B$53*HLOOKUP($CO$2,Variables!$B$60:$F$61,2,FALSE)</f>
        <v>0</v>
      </c>
      <c r="CW54" s="1223">
        <f>$G54*AB54*Variables!$B$53*HLOOKUP($CO$2,Variables!$B$60:$F$61,2,FALSE)</f>
        <v>0</v>
      </c>
      <c r="CX54" s="1223">
        <f>$G54*AC54*Variables!$B$53*HLOOKUP($CO$2,Variables!$B$60:$F$61,2,FALSE)</f>
        <v>0</v>
      </c>
      <c r="CY54" s="1223">
        <f>$G54*AD54*Variables!$B$53*HLOOKUP($CO$2,Variables!$B$60:$F$61,2,FALSE)</f>
        <v>0</v>
      </c>
      <c r="CZ54" s="1225">
        <f>$G54*AE54*Variables!$B$53*HLOOKUP($CO$2,Variables!$B$60:$F$61,2,FALSE)</f>
        <v>0</v>
      </c>
      <c r="DA54" s="1222">
        <f>$G54*AF54*Variables!$B$53*HLOOKUP($DA$2,Variables!$B$60:$F$61,2,FALSE)</f>
        <v>0</v>
      </c>
      <c r="DB54" s="1223">
        <f>$G54*AG54*Variables!$B$53*HLOOKUP($DA$2,Variables!$B$60:$F$61,2,FALSE)</f>
        <v>0</v>
      </c>
      <c r="DC54" s="1223">
        <f>$G54*AH54*Variables!$B$53*HLOOKUP($DA$2,Variables!$B$60:$F$61,2,FALSE)</f>
        <v>0</v>
      </c>
      <c r="DD54" s="1223">
        <f>$G54*AI54*Variables!$B$53*HLOOKUP($DA$2,Variables!$B$60:$F$61,2,FALSE)</f>
        <v>0</v>
      </c>
      <c r="DE54" s="1223">
        <f>$G54*AJ54*Variables!$B$53*HLOOKUP($DA$2,Variables!$B$60:$F$61,2,FALSE)</f>
        <v>0</v>
      </c>
      <c r="DF54" s="1223">
        <f>$G54*AK54*Variables!$B$53*HLOOKUP($DA$2,Variables!$B$60:$F$61,2,FALSE)</f>
        <v>0</v>
      </c>
      <c r="DG54" s="1223">
        <f>$G54*AL54*Variables!$B$53*HLOOKUP($DA$2,Variables!$B$60:$F$61,2,FALSE)</f>
        <v>0</v>
      </c>
      <c r="DH54" s="1223">
        <f>$G54*AM54*Variables!$B$53*HLOOKUP($DA$2,Variables!$B$60:$F$61,2,FALSE)</f>
        <v>0</v>
      </c>
      <c r="DI54" s="1223">
        <f>$G54*AN54*Variables!$B$53*HLOOKUP($DA$2,Variables!$B$60:$F$61,2,FALSE)</f>
        <v>0</v>
      </c>
      <c r="DJ54" s="1223">
        <f>$G54*AO54*Variables!$B$53*HLOOKUP($DA$2,Variables!$B$60:$F$61,2,FALSE)</f>
        <v>0</v>
      </c>
      <c r="DK54" s="1223">
        <f>$G54*AP54*Variables!$B$53*HLOOKUP($DA$2,Variables!$B$60:$F$61,2,FALSE)</f>
        <v>0</v>
      </c>
      <c r="DL54" s="1225">
        <f>$G54*AQ54*Variables!$B$53*HLOOKUP($DA$2,Variables!$B$60:$F$61,2,FALSE)</f>
        <v>0</v>
      </c>
      <c r="DM54" s="1222">
        <f>$G54*AR54*Variables!$B$53*HLOOKUP($DM$2,Variables!$B$60:$F$61,2,FALSE)</f>
        <v>0</v>
      </c>
      <c r="DN54" s="1223">
        <f>$G54*AS54*Variables!$B$53*HLOOKUP($DM$2,Variables!$B$60:$F$61,2,FALSE)</f>
        <v>0</v>
      </c>
      <c r="DO54" s="1223">
        <f>$G54*AT54*Variables!$B$53*HLOOKUP($DM$2,Variables!$B$60:$F$61,2,FALSE)</f>
        <v>0</v>
      </c>
      <c r="DP54" s="1223">
        <f>$G54*AU54*Variables!$B$53*HLOOKUP($DM$2,Variables!$B$60:$F$61,2,FALSE)</f>
        <v>0</v>
      </c>
      <c r="DQ54" s="1223">
        <f>$G54*AV54*Variables!$B$53*HLOOKUP($DM$2,Variables!$B$60:$F$61,2,FALSE)</f>
        <v>0</v>
      </c>
      <c r="DR54" s="1223">
        <f>$G54*AW54*Variables!$B$53*HLOOKUP($DM$2,Variables!$B$60:$F$61,2,FALSE)</f>
        <v>0</v>
      </c>
      <c r="DS54" s="1223">
        <f>$G54*AX54*Variables!$B$53*HLOOKUP($DM$2,Variables!$B$60:$F$61,2,FALSE)</f>
        <v>0</v>
      </c>
      <c r="DT54" s="1223">
        <f>$G54*AY54*Variables!$B$53*HLOOKUP($DM$2,Variables!$B$60:$F$61,2,FALSE)</f>
        <v>0</v>
      </c>
      <c r="DU54" s="1223">
        <f>$G54*AZ54*Variables!$B$53*HLOOKUP($DM$2,Variables!$B$60:$F$61,2,FALSE)</f>
        <v>0</v>
      </c>
      <c r="DV54" s="1223">
        <f>$G54*BA54*Variables!$B$53*HLOOKUP($DM$2,Variables!$B$60:$F$61,2,FALSE)</f>
        <v>0</v>
      </c>
      <c r="DW54" s="1223">
        <f>$G54*BB54*Variables!$B$53*HLOOKUP($DM$2,Variables!$B$60:$F$61,2,FALSE)</f>
        <v>0</v>
      </c>
      <c r="DX54" s="1225">
        <f>$G54*BC54*Variables!$B$53*HLOOKUP($DM$2,Variables!$B$60:$F$61,2,FALSE)</f>
        <v>0</v>
      </c>
      <c r="DY54" s="1222">
        <f>$G54*BD54*Variables!$B$53*HLOOKUP($DY$2,Variables!$B$60:$F$61,2,FALSE)</f>
        <v>0</v>
      </c>
      <c r="DZ54" s="1223">
        <f>$G54*BE54*Variables!$B$53*HLOOKUP($DY$2,Variables!$B$60:$F$61,2,FALSE)</f>
        <v>0</v>
      </c>
      <c r="EA54" s="1223">
        <f>$G54*BF54*Variables!$B$53*HLOOKUP($DY$2,Variables!$B$60:$F$61,2,FALSE)</f>
        <v>0</v>
      </c>
      <c r="EB54" s="1223">
        <f>$G54*BG54*Variables!$B$53*HLOOKUP($DY$2,Variables!$B$60:$F$61,2,FALSE)</f>
        <v>0</v>
      </c>
      <c r="EC54" s="1223">
        <f>$G54*BH54*Variables!$B$53*HLOOKUP($DY$2,Variables!$B$60:$F$61,2,FALSE)</f>
        <v>0</v>
      </c>
      <c r="ED54" s="1223">
        <f>$G54*BI54*Variables!$B$53*HLOOKUP($DY$2,Variables!$B$60:$F$61,2,FALSE)</f>
        <v>0</v>
      </c>
      <c r="EE54" s="1223">
        <f>$G54*BJ54*Variables!$B$53*HLOOKUP($DY$2,Variables!$B$60:$F$61,2,FALSE)</f>
        <v>0</v>
      </c>
      <c r="EF54" s="1223">
        <f>$G54*BK54*Variables!$B$53*HLOOKUP($DY$2,Variables!$B$60:$F$61,2,FALSE)</f>
        <v>0</v>
      </c>
      <c r="EG54" s="1223">
        <f>$G54*BL54*Variables!$B$53*HLOOKUP($DY$2,Variables!$B$60:$F$61,2,FALSE)</f>
        <v>0</v>
      </c>
      <c r="EH54" s="1223">
        <f>$G54*BM54*Variables!$B$53*HLOOKUP($DY$2,Variables!$B$60:$F$61,2,FALSE)</f>
        <v>0</v>
      </c>
      <c r="EI54" s="1223">
        <f>$G54*BN54*Variables!$B$53*HLOOKUP($DY$2,Variables!$B$60:$F$61,2,FALSE)</f>
        <v>0</v>
      </c>
      <c r="EJ54" s="1225">
        <f>$G54*BO54*Variables!$B$53*HLOOKUP($DY$2,Variables!$B$60:$F$61,2,FALSE)</f>
        <v>0</v>
      </c>
      <c r="EK54" s="1222">
        <f>$G54*BP54*Variables!$B$53*HLOOKUP($EK$2,Variables!$B$60:$F$61,2,FALSE)</f>
        <v>0</v>
      </c>
      <c r="EL54" s="1223">
        <f>$G54*BQ54*Variables!$B$53*HLOOKUP($EK$2,Variables!$B$60:$F$61,2,FALSE)</f>
        <v>0</v>
      </c>
      <c r="EM54" s="1223">
        <f>$G54*BR54*Variables!$B$53*HLOOKUP($EK$2,Variables!$B$60:$F$61,2,FALSE)</f>
        <v>0</v>
      </c>
      <c r="EN54" s="1223">
        <f>$G54*BS54*Variables!$B$53*HLOOKUP($EK$2,Variables!$B$60:$F$61,2,FALSE)</f>
        <v>0</v>
      </c>
      <c r="EO54" s="1223">
        <f>$G54*BT54*Variables!$B$53*HLOOKUP($EK$2,Variables!$B$60:$F$61,2,FALSE)</f>
        <v>0</v>
      </c>
      <c r="EP54" s="1223">
        <f>$G54*BU54*Variables!$B$53*HLOOKUP($EK$2,Variables!$B$60:$F$61,2,FALSE)</f>
        <v>0</v>
      </c>
      <c r="EQ54" s="1223">
        <f>$G54*BV54*Variables!$B$53*HLOOKUP($EK$2,Variables!$B$60:$F$61,2,FALSE)</f>
        <v>0</v>
      </c>
      <c r="ER54" s="1223">
        <f>$G54*BW54*Variables!$B$53*HLOOKUP($EK$2,Variables!$B$60:$F$61,2,FALSE)</f>
        <v>0</v>
      </c>
      <c r="ES54" s="1223">
        <f>$G54*BX54*Variables!$B$53*HLOOKUP($EK$2,Variables!$B$60:$F$61,2,FALSE)</f>
        <v>0</v>
      </c>
      <c r="ET54" s="1223">
        <f>$G54*BY54*Variables!$B$53*HLOOKUP($EK$2,Variables!$B$60:$F$61,2,FALSE)</f>
        <v>0</v>
      </c>
      <c r="EU54" s="1223">
        <f>$G54*BZ54*Variables!$B$53*HLOOKUP($EK$2,Variables!$B$60:$F$61,2,FALSE)</f>
        <v>0</v>
      </c>
      <c r="EV54" s="1225">
        <f>$G54*CA54*Variables!$B$53*HLOOKUP($EK$2,Variables!$B$60:$F$61,2,FALSE)</f>
        <v>0</v>
      </c>
      <c r="EW54" s="872">
        <f t="shared" si="6"/>
        <v>0</v>
      </c>
      <c r="EX54" s="872"/>
      <c r="EY54" s="872"/>
      <c r="EZ54" s="872"/>
      <c r="FA54" s="1332"/>
      <c r="FC54" s="958" t="str">
        <f t="shared" si="8"/>
        <v/>
      </c>
      <c r="FD54" s="959" t="str">
        <f t="shared" si="9"/>
        <v/>
      </c>
      <c r="FE54" s="959" t="s">
        <v>8407</v>
      </c>
      <c r="FF54" s="959" t="str">
        <f>IF(ISNA(VLOOKUP(FC54,Miscellaneous!E:F,2,0)),"",VLOOKUP(FC54,Miscellaneous!E:F,2,0))</f>
        <v/>
      </c>
      <c r="FG54" s="959" t="str">
        <f t="shared" si="10"/>
        <v/>
      </c>
      <c r="FH54" s="996">
        <f>IF($FG54="Opex",SUMIF('Monthly Summary'!$C$75:$N$75,"",CC54:CN54),SUMIF('Monthly Summary'!$C$74:$N$74,"",CC54:CN54))</f>
        <v>0</v>
      </c>
      <c r="FI54" s="996">
        <f>IF($FG54="Opex",SUMIF('Monthly Summary'!$O$75:$Z$75,"",CO54:CZ54),SUMIF('Monthly Summary'!$O$74:$Z$74,"",CO54:CZ54))</f>
        <v>0</v>
      </c>
      <c r="FJ54" s="996">
        <f>IF($FG54="Opex",SUMIF('Monthly Summary'!$AA$75:$AL$75,"",DA54:DL54),SUMIF('Monthly Summary'!$AA$74:$AL$74,"",DA54:DL54))</f>
        <v>0</v>
      </c>
      <c r="FK54" s="996">
        <f>IF($FG54="Opex",SUMIF('Monthly Summary'!$AM$75:$AX$75,"",DM54:DX54),SUMIF('Monthly Summary'!$AM$74:$AX$74,"",DM54:DX54))</f>
        <v>0</v>
      </c>
      <c r="FL54" s="996">
        <f>IF($FG54="Opex",SUMIF('Monthly Summary'!$AY$75:$BJ$75,"",DY54:EJ54),SUMIF('Monthly Summary'!$AY$74:$BJ$74,"",DY54:EJ54))</f>
        <v>0</v>
      </c>
      <c r="FM54" s="997">
        <f>IF($FG54="Opex",SUMIF('Monthly Summary'!$BK$75:$BV$75,"",EK54:EV54),SUMIF('Monthly Summary'!$BK$74:$BV$74,"",EK54:EV54))</f>
        <v>0</v>
      </c>
      <c r="FN54" s="997">
        <f t="shared" si="7"/>
        <v>0</v>
      </c>
    </row>
    <row r="55" spans="3:170">
      <c r="C55" s="757"/>
      <c r="D55" s="757"/>
      <c r="E55" s="758"/>
      <c r="F55" s="758"/>
      <c r="G55" s="758"/>
      <c r="H55" s="1215"/>
      <c r="I55" s="761"/>
      <c r="J55" s="761"/>
      <c r="K55" s="761"/>
      <c r="L55" s="761"/>
      <c r="M55" s="761"/>
      <c r="N55" s="761"/>
      <c r="O55" s="761"/>
      <c r="P55" s="761"/>
      <c r="Q55" s="761"/>
      <c r="R55" s="761"/>
      <c r="S55" s="1216"/>
      <c r="T55" s="1215"/>
      <c r="U55" s="761"/>
      <c r="V55" s="761"/>
      <c r="W55" s="761"/>
      <c r="X55" s="761"/>
      <c r="Y55" s="761"/>
      <c r="Z55" s="761"/>
      <c r="AA55" s="761"/>
      <c r="AB55" s="761"/>
      <c r="AC55" s="761"/>
      <c r="AD55" s="761"/>
      <c r="AE55" s="1216"/>
      <c r="AF55" s="1215"/>
      <c r="AG55" s="761"/>
      <c r="AH55" s="761"/>
      <c r="AI55" s="761"/>
      <c r="AJ55" s="761"/>
      <c r="AK55" s="761"/>
      <c r="AL55" s="761"/>
      <c r="AM55" s="761"/>
      <c r="AN55" s="761"/>
      <c r="AO55" s="761"/>
      <c r="AP55" s="761"/>
      <c r="AQ55" s="1216"/>
      <c r="AR55" s="1215"/>
      <c r="AS55" s="761"/>
      <c r="AT55" s="761"/>
      <c r="AU55" s="761"/>
      <c r="AV55" s="761"/>
      <c r="AW55" s="761"/>
      <c r="AX55" s="761"/>
      <c r="AY55" s="761"/>
      <c r="AZ55" s="761"/>
      <c r="BA55" s="761"/>
      <c r="BB55" s="761"/>
      <c r="BC55" s="1216"/>
      <c r="BD55" s="1215"/>
      <c r="BE55" s="761"/>
      <c r="BF55" s="761"/>
      <c r="BG55" s="761"/>
      <c r="BH55" s="761"/>
      <c r="BI55" s="761"/>
      <c r="BJ55" s="761"/>
      <c r="BK55" s="761"/>
      <c r="BL55" s="761"/>
      <c r="BM55" s="761"/>
      <c r="BN55" s="761"/>
      <c r="BO55" s="1216"/>
      <c r="BP55" s="1215"/>
      <c r="BQ55" s="761"/>
      <c r="BR55" s="761"/>
      <c r="BS55" s="761"/>
      <c r="BT55" s="761"/>
      <c r="BU55" s="761"/>
      <c r="BV55" s="761"/>
      <c r="BW55" s="761"/>
      <c r="BX55" s="761"/>
      <c r="BY55" s="761"/>
      <c r="BZ55" s="761"/>
      <c r="CA55" s="1216"/>
      <c r="CB55" s="747"/>
      <c r="CC55" s="1222">
        <f>$G55*H55*Variables!$B$53</f>
        <v>0</v>
      </c>
      <c r="CD55" s="1223">
        <f>$G55*I55*Variables!$B$53</f>
        <v>0</v>
      </c>
      <c r="CE55" s="1223">
        <f>$G55*J55*Variables!$B$53</f>
        <v>0</v>
      </c>
      <c r="CF55" s="1223">
        <f>$G55*K55*Variables!$B$53</f>
        <v>0</v>
      </c>
      <c r="CG55" s="1223">
        <f>$G55*L55*Variables!$B$53</f>
        <v>0</v>
      </c>
      <c r="CH55" s="1223">
        <f>$G55*M55*Variables!$B$53</f>
        <v>0</v>
      </c>
      <c r="CI55" s="1223">
        <f>$G55*N55*Variables!$B$53</f>
        <v>0</v>
      </c>
      <c r="CJ55" s="1223">
        <f>$G55*O55*Variables!$B$53</f>
        <v>0</v>
      </c>
      <c r="CK55" s="1223">
        <f>$G55*P55*Variables!$B$53</f>
        <v>0</v>
      </c>
      <c r="CL55" s="1223">
        <f>$G55*Q55*Variables!$B$53</f>
        <v>0</v>
      </c>
      <c r="CM55" s="1223">
        <f>$G55*R55*Variables!$B$53</f>
        <v>0</v>
      </c>
      <c r="CN55" s="1225">
        <f>$G55*S55*Variables!$B$53</f>
        <v>0</v>
      </c>
      <c r="CO55" s="1222">
        <f>$G55*T55*Variables!$B$53*HLOOKUP($CO$2,Variables!$B$60:$F$61,2,FALSE)</f>
        <v>0</v>
      </c>
      <c r="CP55" s="1223">
        <f>$G55*U55*Variables!$B$53*HLOOKUP($CO$2,Variables!$B$60:$F$61,2,FALSE)</f>
        <v>0</v>
      </c>
      <c r="CQ55" s="1223">
        <f>$G55*V55*Variables!$B$53*HLOOKUP($CO$2,Variables!$B$60:$F$61,2,FALSE)</f>
        <v>0</v>
      </c>
      <c r="CR55" s="1223">
        <f>$G55*W55*Variables!$B$53*HLOOKUP($CO$2,Variables!$B$60:$F$61,2,FALSE)</f>
        <v>0</v>
      </c>
      <c r="CS55" s="1223">
        <f>$G55*X55*Variables!$B$53*HLOOKUP($CO$2,Variables!$B$60:$F$61,2,FALSE)</f>
        <v>0</v>
      </c>
      <c r="CT55" s="1223">
        <f>$G55*Y55*Variables!$B$53*HLOOKUP($CO$2,Variables!$B$60:$F$61,2,FALSE)</f>
        <v>0</v>
      </c>
      <c r="CU55" s="1223">
        <f>$G55*Z55*Variables!$B$53*HLOOKUP($CO$2,Variables!$B$60:$F$61,2,FALSE)</f>
        <v>0</v>
      </c>
      <c r="CV55" s="1223">
        <f>$G55*AA55*Variables!$B$53*HLOOKUP($CO$2,Variables!$B$60:$F$61,2,FALSE)</f>
        <v>0</v>
      </c>
      <c r="CW55" s="1223">
        <f>$G55*AB55*Variables!$B$53*HLOOKUP($CO$2,Variables!$B$60:$F$61,2,FALSE)</f>
        <v>0</v>
      </c>
      <c r="CX55" s="1223">
        <f>$G55*AC55*Variables!$B$53*HLOOKUP($CO$2,Variables!$B$60:$F$61,2,FALSE)</f>
        <v>0</v>
      </c>
      <c r="CY55" s="1223">
        <f>$G55*AD55*Variables!$B$53*HLOOKUP($CO$2,Variables!$B$60:$F$61,2,FALSE)</f>
        <v>0</v>
      </c>
      <c r="CZ55" s="1225">
        <f>$G55*AE55*Variables!$B$53*HLOOKUP($CO$2,Variables!$B$60:$F$61,2,FALSE)</f>
        <v>0</v>
      </c>
      <c r="DA55" s="1222">
        <f>$G55*AF55*Variables!$B$53*HLOOKUP($DA$2,Variables!$B$60:$F$61,2,FALSE)</f>
        <v>0</v>
      </c>
      <c r="DB55" s="1223">
        <f>$G55*AG55*Variables!$B$53*HLOOKUP($DA$2,Variables!$B$60:$F$61,2,FALSE)</f>
        <v>0</v>
      </c>
      <c r="DC55" s="1223">
        <f>$G55*AH55*Variables!$B$53*HLOOKUP($DA$2,Variables!$B$60:$F$61,2,FALSE)</f>
        <v>0</v>
      </c>
      <c r="DD55" s="1223">
        <f>$G55*AI55*Variables!$B$53*HLOOKUP($DA$2,Variables!$B$60:$F$61,2,FALSE)</f>
        <v>0</v>
      </c>
      <c r="DE55" s="1223">
        <f>$G55*AJ55*Variables!$B$53*HLOOKUP($DA$2,Variables!$B$60:$F$61,2,FALSE)</f>
        <v>0</v>
      </c>
      <c r="DF55" s="1223">
        <f>$G55*AK55*Variables!$B$53*HLOOKUP($DA$2,Variables!$B$60:$F$61,2,FALSE)</f>
        <v>0</v>
      </c>
      <c r="DG55" s="1223">
        <f>$G55*AL55*Variables!$B$53*HLOOKUP($DA$2,Variables!$B$60:$F$61,2,FALSE)</f>
        <v>0</v>
      </c>
      <c r="DH55" s="1223">
        <f>$G55*AM55*Variables!$B$53*HLOOKUP($DA$2,Variables!$B$60:$F$61,2,FALSE)</f>
        <v>0</v>
      </c>
      <c r="DI55" s="1223">
        <f>$G55*AN55*Variables!$B$53*HLOOKUP($DA$2,Variables!$B$60:$F$61,2,FALSE)</f>
        <v>0</v>
      </c>
      <c r="DJ55" s="1223">
        <f>$G55*AO55*Variables!$B$53*HLOOKUP($DA$2,Variables!$B$60:$F$61,2,FALSE)</f>
        <v>0</v>
      </c>
      <c r="DK55" s="1223">
        <f>$G55*AP55*Variables!$B$53*HLOOKUP($DA$2,Variables!$B$60:$F$61,2,FALSE)</f>
        <v>0</v>
      </c>
      <c r="DL55" s="1225">
        <f>$G55*AQ55*Variables!$B$53*HLOOKUP($DA$2,Variables!$B$60:$F$61,2,FALSE)</f>
        <v>0</v>
      </c>
      <c r="DM55" s="1222">
        <f>$G55*AR55*Variables!$B$53*HLOOKUP($DM$2,Variables!$B$60:$F$61,2,FALSE)</f>
        <v>0</v>
      </c>
      <c r="DN55" s="1223">
        <f>$G55*AS55*Variables!$B$53*HLOOKUP($DM$2,Variables!$B$60:$F$61,2,FALSE)</f>
        <v>0</v>
      </c>
      <c r="DO55" s="1223">
        <f>$G55*AT55*Variables!$B$53*HLOOKUP($DM$2,Variables!$B$60:$F$61,2,FALSE)</f>
        <v>0</v>
      </c>
      <c r="DP55" s="1223">
        <f>$G55*AU55*Variables!$B$53*HLOOKUP($DM$2,Variables!$B$60:$F$61,2,FALSE)</f>
        <v>0</v>
      </c>
      <c r="DQ55" s="1223">
        <f>$G55*AV55*Variables!$B$53*HLOOKUP($DM$2,Variables!$B$60:$F$61,2,FALSE)</f>
        <v>0</v>
      </c>
      <c r="DR55" s="1223">
        <f>$G55*AW55*Variables!$B$53*HLOOKUP($DM$2,Variables!$B$60:$F$61,2,FALSE)</f>
        <v>0</v>
      </c>
      <c r="DS55" s="1223">
        <f>$G55*AX55*Variables!$B$53*HLOOKUP($DM$2,Variables!$B$60:$F$61,2,FALSE)</f>
        <v>0</v>
      </c>
      <c r="DT55" s="1223">
        <f>$G55*AY55*Variables!$B$53*HLOOKUP($DM$2,Variables!$B$60:$F$61,2,FALSE)</f>
        <v>0</v>
      </c>
      <c r="DU55" s="1223">
        <f>$G55*AZ55*Variables!$B$53*HLOOKUP($DM$2,Variables!$B$60:$F$61,2,FALSE)</f>
        <v>0</v>
      </c>
      <c r="DV55" s="1223">
        <f>$G55*BA55*Variables!$B$53*HLOOKUP($DM$2,Variables!$B$60:$F$61,2,FALSE)</f>
        <v>0</v>
      </c>
      <c r="DW55" s="1223">
        <f>$G55*BB55*Variables!$B$53*HLOOKUP($DM$2,Variables!$B$60:$F$61,2,FALSE)</f>
        <v>0</v>
      </c>
      <c r="DX55" s="1225">
        <f>$G55*BC55*Variables!$B$53*HLOOKUP($DM$2,Variables!$B$60:$F$61,2,FALSE)</f>
        <v>0</v>
      </c>
      <c r="DY55" s="1222">
        <f>$G55*BD55*Variables!$B$53*HLOOKUP($DY$2,Variables!$B$60:$F$61,2,FALSE)</f>
        <v>0</v>
      </c>
      <c r="DZ55" s="1223">
        <f>$G55*BE55*Variables!$B$53*HLOOKUP($DY$2,Variables!$B$60:$F$61,2,FALSE)</f>
        <v>0</v>
      </c>
      <c r="EA55" s="1223">
        <f>$G55*BF55*Variables!$B$53*HLOOKUP($DY$2,Variables!$B$60:$F$61,2,FALSE)</f>
        <v>0</v>
      </c>
      <c r="EB55" s="1223">
        <f>$G55*BG55*Variables!$B$53*HLOOKUP($DY$2,Variables!$B$60:$F$61,2,FALSE)</f>
        <v>0</v>
      </c>
      <c r="EC55" s="1223">
        <f>$G55*BH55*Variables!$B$53*HLOOKUP($DY$2,Variables!$B$60:$F$61,2,FALSE)</f>
        <v>0</v>
      </c>
      <c r="ED55" s="1223">
        <f>$G55*BI55*Variables!$B$53*HLOOKUP($DY$2,Variables!$B$60:$F$61,2,FALSE)</f>
        <v>0</v>
      </c>
      <c r="EE55" s="1223">
        <f>$G55*BJ55*Variables!$B$53*HLOOKUP($DY$2,Variables!$B$60:$F$61,2,FALSE)</f>
        <v>0</v>
      </c>
      <c r="EF55" s="1223">
        <f>$G55*BK55*Variables!$B$53*HLOOKUP($DY$2,Variables!$B$60:$F$61,2,FALSE)</f>
        <v>0</v>
      </c>
      <c r="EG55" s="1223">
        <f>$G55*BL55*Variables!$B$53*HLOOKUP($DY$2,Variables!$B$60:$F$61,2,FALSE)</f>
        <v>0</v>
      </c>
      <c r="EH55" s="1223">
        <f>$G55*BM55*Variables!$B$53*HLOOKUP($DY$2,Variables!$B$60:$F$61,2,FALSE)</f>
        <v>0</v>
      </c>
      <c r="EI55" s="1223">
        <f>$G55*BN55*Variables!$B$53*HLOOKUP($DY$2,Variables!$B$60:$F$61,2,FALSE)</f>
        <v>0</v>
      </c>
      <c r="EJ55" s="1225">
        <f>$G55*BO55*Variables!$B$53*HLOOKUP($DY$2,Variables!$B$60:$F$61,2,FALSE)</f>
        <v>0</v>
      </c>
      <c r="EK55" s="1222">
        <f>$G55*BP55*Variables!$B$53*HLOOKUP($EK$2,Variables!$B$60:$F$61,2,FALSE)</f>
        <v>0</v>
      </c>
      <c r="EL55" s="1223">
        <f>$G55*BQ55*Variables!$B$53*HLOOKUP($EK$2,Variables!$B$60:$F$61,2,FALSE)</f>
        <v>0</v>
      </c>
      <c r="EM55" s="1223">
        <f>$G55*BR55*Variables!$B$53*HLOOKUP($EK$2,Variables!$B$60:$F$61,2,FALSE)</f>
        <v>0</v>
      </c>
      <c r="EN55" s="1223">
        <f>$G55*BS55*Variables!$B$53*HLOOKUP($EK$2,Variables!$B$60:$F$61,2,FALSE)</f>
        <v>0</v>
      </c>
      <c r="EO55" s="1223">
        <f>$G55*BT55*Variables!$B$53*HLOOKUP($EK$2,Variables!$B$60:$F$61,2,FALSE)</f>
        <v>0</v>
      </c>
      <c r="EP55" s="1223">
        <f>$G55*BU55*Variables!$B$53*HLOOKUP($EK$2,Variables!$B$60:$F$61,2,FALSE)</f>
        <v>0</v>
      </c>
      <c r="EQ55" s="1223">
        <f>$G55*BV55*Variables!$B$53*HLOOKUP($EK$2,Variables!$B$60:$F$61,2,FALSE)</f>
        <v>0</v>
      </c>
      <c r="ER55" s="1223">
        <f>$G55*BW55*Variables!$B$53*HLOOKUP($EK$2,Variables!$B$60:$F$61,2,FALSE)</f>
        <v>0</v>
      </c>
      <c r="ES55" s="1223">
        <f>$G55*BX55*Variables!$B$53*HLOOKUP($EK$2,Variables!$B$60:$F$61,2,FALSE)</f>
        <v>0</v>
      </c>
      <c r="ET55" s="1223">
        <f>$G55*BY55*Variables!$B$53*HLOOKUP($EK$2,Variables!$B$60:$F$61,2,FALSE)</f>
        <v>0</v>
      </c>
      <c r="EU55" s="1223">
        <f>$G55*BZ55*Variables!$B$53*HLOOKUP($EK$2,Variables!$B$60:$F$61,2,FALSE)</f>
        <v>0</v>
      </c>
      <c r="EV55" s="1225">
        <f>$G55*CA55*Variables!$B$53*HLOOKUP($EK$2,Variables!$B$60:$F$61,2,FALSE)</f>
        <v>0</v>
      </c>
      <c r="EW55" s="872">
        <f t="shared" si="6"/>
        <v>0</v>
      </c>
      <c r="EX55" s="872"/>
      <c r="EY55" s="872"/>
      <c r="EZ55" s="872"/>
      <c r="FA55" s="1332"/>
      <c r="FC55" s="958" t="str">
        <f t="shared" si="8"/>
        <v/>
      </c>
      <c r="FD55" s="959" t="str">
        <f t="shared" si="9"/>
        <v/>
      </c>
      <c r="FE55" s="959" t="s">
        <v>8407</v>
      </c>
      <c r="FF55" s="959" t="str">
        <f>IF(ISNA(VLOOKUP(FC55,Miscellaneous!E:F,2,0)),"",VLOOKUP(FC55,Miscellaneous!E:F,2,0))</f>
        <v/>
      </c>
      <c r="FG55" s="959" t="str">
        <f t="shared" si="10"/>
        <v/>
      </c>
      <c r="FH55" s="996">
        <f>IF($FG55="Opex",SUMIF('Monthly Summary'!$C$75:$N$75,"",CC55:CN55),SUMIF('Monthly Summary'!$C$74:$N$74,"",CC55:CN55))</f>
        <v>0</v>
      </c>
      <c r="FI55" s="996">
        <f>IF($FG55="Opex",SUMIF('Monthly Summary'!$O$75:$Z$75,"",CO55:CZ55),SUMIF('Monthly Summary'!$O$74:$Z$74,"",CO55:CZ55))</f>
        <v>0</v>
      </c>
      <c r="FJ55" s="996">
        <f>IF($FG55="Opex",SUMIF('Monthly Summary'!$AA$75:$AL$75,"",DA55:DL55),SUMIF('Monthly Summary'!$AA$74:$AL$74,"",DA55:DL55))</f>
        <v>0</v>
      </c>
      <c r="FK55" s="996">
        <f>IF($FG55="Opex",SUMIF('Monthly Summary'!$AM$75:$AX$75,"",DM55:DX55),SUMIF('Monthly Summary'!$AM$74:$AX$74,"",DM55:DX55))</f>
        <v>0</v>
      </c>
      <c r="FL55" s="996">
        <f>IF($FG55="Opex",SUMIF('Monthly Summary'!$AY$75:$BJ$75,"",DY55:EJ55),SUMIF('Monthly Summary'!$AY$74:$BJ$74,"",DY55:EJ55))</f>
        <v>0</v>
      </c>
      <c r="FM55" s="997">
        <f>IF($FG55="Opex",SUMIF('Monthly Summary'!$BK$75:$BV$75,"",EK55:EV55),SUMIF('Monthly Summary'!$BK$74:$BV$74,"",EK55:EV55))</f>
        <v>0</v>
      </c>
      <c r="FN55" s="997">
        <f t="shared" si="7"/>
        <v>0</v>
      </c>
    </row>
    <row r="56" spans="3:170">
      <c r="C56" s="757"/>
      <c r="D56" s="757"/>
      <c r="E56" s="758"/>
      <c r="F56" s="758"/>
      <c r="G56" s="758"/>
      <c r="H56" s="1215"/>
      <c r="I56" s="761"/>
      <c r="J56" s="761"/>
      <c r="K56" s="761"/>
      <c r="L56" s="761"/>
      <c r="M56" s="761"/>
      <c r="N56" s="761"/>
      <c r="O56" s="761"/>
      <c r="P56" s="761"/>
      <c r="Q56" s="761"/>
      <c r="R56" s="761"/>
      <c r="S56" s="1216"/>
      <c r="T56" s="1215"/>
      <c r="U56" s="761"/>
      <c r="V56" s="761"/>
      <c r="W56" s="761"/>
      <c r="X56" s="761"/>
      <c r="Y56" s="761"/>
      <c r="Z56" s="761"/>
      <c r="AA56" s="761"/>
      <c r="AB56" s="761"/>
      <c r="AC56" s="761"/>
      <c r="AD56" s="761"/>
      <c r="AE56" s="1216"/>
      <c r="AF56" s="1215"/>
      <c r="AG56" s="761"/>
      <c r="AH56" s="761"/>
      <c r="AI56" s="761"/>
      <c r="AJ56" s="761"/>
      <c r="AK56" s="761"/>
      <c r="AL56" s="761"/>
      <c r="AM56" s="761"/>
      <c r="AN56" s="761"/>
      <c r="AO56" s="761"/>
      <c r="AP56" s="761"/>
      <c r="AQ56" s="1216"/>
      <c r="AR56" s="1215"/>
      <c r="AS56" s="761"/>
      <c r="AT56" s="761"/>
      <c r="AU56" s="761"/>
      <c r="AV56" s="761"/>
      <c r="AW56" s="761"/>
      <c r="AX56" s="761"/>
      <c r="AY56" s="761"/>
      <c r="AZ56" s="761"/>
      <c r="BA56" s="761"/>
      <c r="BB56" s="761"/>
      <c r="BC56" s="1216"/>
      <c r="BD56" s="1215"/>
      <c r="BE56" s="761"/>
      <c r="BF56" s="761"/>
      <c r="BG56" s="761"/>
      <c r="BH56" s="761"/>
      <c r="BI56" s="761"/>
      <c r="BJ56" s="761"/>
      <c r="BK56" s="761"/>
      <c r="BL56" s="761"/>
      <c r="BM56" s="761"/>
      <c r="BN56" s="761"/>
      <c r="BO56" s="1216"/>
      <c r="BP56" s="1215"/>
      <c r="BQ56" s="761"/>
      <c r="BR56" s="761"/>
      <c r="BS56" s="761"/>
      <c r="BT56" s="761"/>
      <c r="BU56" s="761"/>
      <c r="BV56" s="761"/>
      <c r="BW56" s="761"/>
      <c r="BX56" s="761"/>
      <c r="BY56" s="761"/>
      <c r="BZ56" s="761"/>
      <c r="CA56" s="1216"/>
      <c r="CB56" s="747"/>
      <c r="CC56" s="1222">
        <f>$G56*H56*Variables!$B$53</f>
        <v>0</v>
      </c>
      <c r="CD56" s="1223">
        <f>$G56*I56*Variables!$B$53</f>
        <v>0</v>
      </c>
      <c r="CE56" s="1223">
        <f>$G56*J56*Variables!$B$53</f>
        <v>0</v>
      </c>
      <c r="CF56" s="1223">
        <f>$G56*K56*Variables!$B$53</f>
        <v>0</v>
      </c>
      <c r="CG56" s="1223">
        <f>$G56*L56*Variables!$B$53</f>
        <v>0</v>
      </c>
      <c r="CH56" s="1223">
        <f>$G56*M56*Variables!$B$53</f>
        <v>0</v>
      </c>
      <c r="CI56" s="1223">
        <f>$G56*N56*Variables!$B$53</f>
        <v>0</v>
      </c>
      <c r="CJ56" s="1223">
        <f>$G56*O56*Variables!$B$53</f>
        <v>0</v>
      </c>
      <c r="CK56" s="1223">
        <f>$G56*P56*Variables!$B$53</f>
        <v>0</v>
      </c>
      <c r="CL56" s="1223">
        <f>$G56*Q56*Variables!$B$53</f>
        <v>0</v>
      </c>
      <c r="CM56" s="1223">
        <f>$G56*R56*Variables!$B$53</f>
        <v>0</v>
      </c>
      <c r="CN56" s="1225">
        <f>$G56*S56*Variables!$B$53</f>
        <v>0</v>
      </c>
      <c r="CO56" s="1222">
        <f>$G56*T56*Variables!$B$53*HLOOKUP($CO$2,Variables!$B$60:$F$61,2,FALSE)</f>
        <v>0</v>
      </c>
      <c r="CP56" s="1223">
        <f>$G56*U56*Variables!$B$53*HLOOKUP($CO$2,Variables!$B$60:$F$61,2,FALSE)</f>
        <v>0</v>
      </c>
      <c r="CQ56" s="1223">
        <f>$G56*V56*Variables!$B$53*HLOOKUP($CO$2,Variables!$B$60:$F$61,2,FALSE)</f>
        <v>0</v>
      </c>
      <c r="CR56" s="1223">
        <f>$G56*W56*Variables!$B$53*HLOOKUP($CO$2,Variables!$B$60:$F$61,2,FALSE)</f>
        <v>0</v>
      </c>
      <c r="CS56" s="1223">
        <f>$G56*X56*Variables!$B$53*HLOOKUP($CO$2,Variables!$B$60:$F$61,2,FALSE)</f>
        <v>0</v>
      </c>
      <c r="CT56" s="1223">
        <f>$G56*Y56*Variables!$B$53*HLOOKUP($CO$2,Variables!$B$60:$F$61,2,FALSE)</f>
        <v>0</v>
      </c>
      <c r="CU56" s="1223">
        <f>$G56*Z56*Variables!$B$53*HLOOKUP($CO$2,Variables!$B$60:$F$61,2,FALSE)</f>
        <v>0</v>
      </c>
      <c r="CV56" s="1223">
        <f>$G56*AA56*Variables!$B$53*HLOOKUP($CO$2,Variables!$B$60:$F$61,2,FALSE)</f>
        <v>0</v>
      </c>
      <c r="CW56" s="1223">
        <f>$G56*AB56*Variables!$B$53*HLOOKUP($CO$2,Variables!$B$60:$F$61,2,FALSE)</f>
        <v>0</v>
      </c>
      <c r="CX56" s="1223">
        <f>$G56*AC56*Variables!$B$53*HLOOKUP($CO$2,Variables!$B$60:$F$61,2,FALSE)</f>
        <v>0</v>
      </c>
      <c r="CY56" s="1223">
        <f>$G56*AD56*Variables!$B$53*HLOOKUP($CO$2,Variables!$B$60:$F$61,2,FALSE)</f>
        <v>0</v>
      </c>
      <c r="CZ56" s="1225">
        <f>$G56*AE56*Variables!$B$53*HLOOKUP($CO$2,Variables!$B$60:$F$61,2,FALSE)</f>
        <v>0</v>
      </c>
      <c r="DA56" s="1222">
        <f>$G56*AF56*Variables!$B$53*HLOOKUP($DA$2,Variables!$B$60:$F$61,2,FALSE)</f>
        <v>0</v>
      </c>
      <c r="DB56" s="1223">
        <f>$G56*AG56*Variables!$B$53*HLOOKUP($DA$2,Variables!$B$60:$F$61,2,FALSE)</f>
        <v>0</v>
      </c>
      <c r="DC56" s="1223">
        <f>$G56*AH56*Variables!$B$53*HLOOKUP($DA$2,Variables!$B$60:$F$61,2,FALSE)</f>
        <v>0</v>
      </c>
      <c r="DD56" s="1223">
        <f>$G56*AI56*Variables!$B$53*HLOOKUP($DA$2,Variables!$B$60:$F$61,2,FALSE)</f>
        <v>0</v>
      </c>
      <c r="DE56" s="1223">
        <f>$G56*AJ56*Variables!$B$53*HLOOKUP($DA$2,Variables!$B$60:$F$61,2,FALSE)</f>
        <v>0</v>
      </c>
      <c r="DF56" s="1223">
        <f>$G56*AK56*Variables!$B$53*HLOOKUP($DA$2,Variables!$B$60:$F$61,2,FALSE)</f>
        <v>0</v>
      </c>
      <c r="DG56" s="1223">
        <f>$G56*AL56*Variables!$B$53*HLOOKUP($DA$2,Variables!$B$60:$F$61,2,FALSE)</f>
        <v>0</v>
      </c>
      <c r="DH56" s="1223">
        <f>$G56*AM56*Variables!$B$53*HLOOKUP($DA$2,Variables!$B$60:$F$61,2,FALSE)</f>
        <v>0</v>
      </c>
      <c r="DI56" s="1223">
        <f>$G56*AN56*Variables!$B$53*HLOOKUP($DA$2,Variables!$B$60:$F$61,2,FALSE)</f>
        <v>0</v>
      </c>
      <c r="DJ56" s="1223">
        <f>$G56*AO56*Variables!$B$53*HLOOKUP($DA$2,Variables!$B$60:$F$61,2,FALSE)</f>
        <v>0</v>
      </c>
      <c r="DK56" s="1223">
        <f>$G56*AP56*Variables!$B$53*HLOOKUP($DA$2,Variables!$B$60:$F$61,2,FALSE)</f>
        <v>0</v>
      </c>
      <c r="DL56" s="1225">
        <f>$G56*AQ56*Variables!$B$53*HLOOKUP($DA$2,Variables!$B$60:$F$61,2,FALSE)</f>
        <v>0</v>
      </c>
      <c r="DM56" s="1222">
        <f>$G56*AR56*Variables!$B$53*HLOOKUP($DM$2,Variables!$B$60:$F$61,2,FALSE)</f>
        <v>0</v>
      </c>
      <c r="DN56" s="1223">
        <f>$G56*AS56*Variables!$B$53*HLOOKUP($DM$2,Variables!$B$60:$F$61,2,FALSE)</f>
        <v>0</v>
      </c>
      <c r="DO56" s="1223">
        <f>$G56*AT56*Variables!$B$53*HLOOKUP($DM$2,Variables!$B$60:$F$61,2,FALSE)</f>
        <v>0</v>
      </c>
      <c r="DP56" s="1223">
        <f>$G56*AU56*Variables!$B$53*HLOOKUP($DM$2,Variables!$B$60:$F$61,2,FALSE)</f>
        <v>0</v>
      </c>
      <c r="DQ56" s="1223">
        <f>$G56*AV56*Variables!$B$53*HLOOKUP($DM$2,Variables!$B$60:$F$61,2,FALSE)</f>
        <v>0</v>
      </c>
      <c r="DR56" s="1223">
        <f>$G56*AW56*Variables!$B$53*HLOOKUP($DM$2,Variables!$B$60:$F$61,2,FALSE)</f>
        <v>0</v>
      </c>
      <c r="DS56" s="1223">
        <f>$G56*AX56*Variables!$B$53*HLOOKUP($DM$2,Variables!$B$60:$F$61,2,FALSE)</f>
        <v>0</v>
      </c>
      <c r="DT56" s="1223">
        <f>$G56*AY56*Variables!$B$53*HLOOKUP($DM$2,Variables!$B$60:$F$61,2,FALSE)</f>
        <v>0</v>
      </c>
      <c r="DU56" s="1223">
        <f>$G56*AZ56*Variables!$B$53*HLOOKUP($DM$2,Variables!$B$60:$F$61,2,FALSE)</f>
        <v>0</v>
      </c>
      <c r="DV56" s="1223">
        <f>$G56*BA56*Variables!$B$53*HLOOKUP($DM$2,Variables!$B$60:$F$61,2,FALSE)</f>
        <v>0</v>
      </c>
      <c r="DW56" s="1223">
        <f>$G56*BB56*Variables!$B$53*HLOOKUP($DM$2,Variables!$B$60:$F$61,2,FALSE)</f>
        <v>0</v>
      </c>
      <c r="DX56" s="1225">
        <f>$G56*BC56*Variables!$B$53*HLOOKUP($DM$2,Variables!$B$60:$F$61,2,FALSE)</f>
        <v>0</v>
      </c>
      <c r="DY56" s="1222">
        <f>$G56*BD56*Variables!$B$53*HLOOKUP($DY$2,Variables!$B$60:$F$61,2,FALSE)</f>
        <v>0</v>
      </c>
      <c r="DZ56" s="1223">
        <f>$G56*BE56*Variables!$B$53*HLOOKUP($DY$2,Variables!$B$60:$F$61,2,FALSE)</f>
        <v>0</v>
      </c>
      <c r="EA56" s="1223">
        <f>$G56*BF56*Variables!$B$53*HLOOKUP($DY$2,Variables!$B$60:$F$61,2,FALSE)</f>
        <v>0</v>
      </c>
      <c r="EB56" s="1223">
        <f>$G56*BG56*Variables!$B$53*HLOOKUP($DY$2,Variables!$B$60:$F$61,2,FALSE)</f>
        <v>0</v>
      </c>
      <c r="EC56" s="1223">
        <f>$G56*BH56*Variables!$B$53*HLOOKUP($DY$2,Variables!$B$60:$F$61,2,FALSE)</f>
        <v>0</v>
      </c>
      <c r="ED56" s="1223">
        <f>$G56*BI56*Variables!$B$53*HLOOKUP($DY$2,Variables!$B$60:$F$61,2,FALSE)</f>
        <v>0</v>
      </c>
      <c r="EE56" s="1223">
        <f>$G56*BJ56*Variables!$B$53*HLOOKUP($DY$2,Variables!$B$60:$F$61,2,FALSE)</f>
        <v>0</v>
      </c>
      <c r="EF56" s="1223">
        <f>$G56*BK56*Variables!$B$53*HLOOKUP($DY$2,Variables!$B$60:$F$61,2,FALSE)</f>
        <v>0</v>
      </c>
      <c r="EG56" s="1223">
        <f>$G56*BL56*Variables!$B$53*HLOOKUP($DY$2,Variables!$B$60:$F$61,2,FALSE)</f>
        <v>0</v>
      </c>
      <c r="EH56" s="1223">
        <f>$G56*BM56*Variables!$B$53*HLOOKUP($DY$2,Variables!$B$60:$F$61,2,FALSE)</f>
        <v>0</v>
      </c>
      <c r="EI56" s="1223">
        <f>$G56*BN56*Variables!$B$53*HLOOKUP($DY$2,Variables!$B$60:$F$61,2,FALSE)</f>
        <v>0</v>
      </c>
      <c r="EJ56" s="1225">
        <f>$G56*BO56*Variables!$B$53*HLOOKUP($DY$2,Variables!$B$60:$F$61,2,FALSE)</f>
        <v>0</v>
      </c>
      <c r="EK56" s="1222">
        <f>$G56*BP56*Variables!$B$53*HLOOKUP($EK$2,Variables!$B$60:$F$61,2,FALSE)</f>
        <v>0</v>
      </c>
      <c r="EL56" s="1223">
        <f>$G56*BQ56*Variables!$B$53*HLOOKUP($EK$2,Variables!$B$60:$F$61,2,FALSE)</f>
        <v>0</v>
      </c>
      <c r="EM56" s="1223">
        <f>$G56*BR56*Variables!$B$53*HLOOKUP($EK$2,Variables!$B$60:$F$61,2,FALSE)</f>
        <v>0</v>
      </c>
      <c r="EN56" s="1223">
        <f>$G56*BS56*Variables!$B$53*HLOOKUP($EK$2,Variables!$B$60:$F$61,2,FALSE)</f>
        <v>0</v>
      </c>
      <c r="EO56" s="1223">
        <f>$G56*BT56*Variables!$B$53*HLOOKUP($EK$2,Variables!$B$60:$F$61,2,FALSE)</f>
        <v>0</v>
      </c>
      <c r="EP56" s="1223">
        <f>$G56*BU56*Variables!$B$53*HLOOKUP($EK$2,Variables!$B$60:$F$61,2,FALSE)</f>
        <v>0</v>
      </c>
      <c r="EQ56" s="1223">
        <f>$G56*BV56*Variables!$B$53*HLOOKUP($EK$2,Variables!$B$60:$F$61,2,FALSE)</f>
        <v>0</v>
      </c>
      <c r="ER56" s="1223">
        <f>$G56*BW56*Variables!$B$53*HLOOKUP($EK$2,Variables!$B$60:$F$61,2,FALSE)</f>
        <v>0</v>
      </c>
      <c r="ES56" s="1223">
        <f>$G56*BX56*Variables!$B$53*HLOOKUP($EK$2,Variables!$B$60:$F$61,2,FALSE)</f>
        <v>0</v>
      </c>
      <c r="ET56" s="1223">
        <f>$G56*BY56*Variables!$B$53*HLOOKUP($EK$2,Variables!$B$60:$F$61,2,FALSE)</f>
        <v>0</v>
      </c>
      <c r="EU56" s="1223">
        <f>$G56*BZ56*Variables!$B$53*HLOOKUP($EK$2,Variables!$B$60:$F$61,2,FALSE)</f>
        <v>0</v>
      </c>
      <c r="EV56" s="1225">
        <f>$G56*CA56*Variables!$B$53*HLOOKUP($EK$2,Variables!$B$60:$F$61,2,FALSE)</f>
        <v>0</v>
      </c>
      <c r="EW56" s="872">
        <f t="shared" si="6"/>
        <v>0</v>
      </c>
      <c r="EX56" s="872"/>
      <c r="EY56" s="872"/>
      <c r="EZ56" s="872"/>
      <c r="FA56" s="1332"/>
      <c r="FC56" s="958" t="str">
        <f t="shared" si="8"/>
        <v/>
      </c>
      <c r="FD56" s="959" t="str">
        <f t="shared" si="9"/>
        <v/>
      </c>
      <c r="FE56" s="959" t="s">
        <v>8407</v>
      </c>
      <c r="FF56" s="959" t="str">
        <f>IF(ISNA(VLOOKUP(FC56,Miscellaneous!E:F,2,0)),"",VLOOKUP(FC56,Miscellaneous!E:F,2,0))</f>
        <v/>
      </c>
      <c r="FG56" s="959" t="str">
        <f t="shared" si="10"/>
        <v/>
      </c>
      <c r="FH56" s="996">
        <f>IF($FG56="Opex",SUMIF('Monthly Summary'!$C$75:$N$75,"",CC56:CN56),SUMIF('Monthly Summary'!$C$74:$N$74,"",CC56:CN56))</f>
        <v>0</v>
      </c>
      <c r="FI56" s="996">
        <f>IF($FG56="Opex",SUMIF('Monthly Summary'!$O$75:$Z$75,"",CO56:CZ56),SUMIF('Monthly Summary'!$O$74:$Z$74,"",CO56:CZ56))</f>
        <v>0</v>
      </c>
      <c r="FJ56" s="996">
        <f>IF($FG56="Opex",SUMIF('Monthly Summary'!$AA$75:$AL$75,"",DA56:DL56),SUMIF('Monthly Summary'!$AA$74:$AL$74,"",DA56:DL56))</f>
        <v>0</v>
      </c>
      <c r="FK56" s="996">
        <f>IF($FG56="Opex",SUMIF('Monthly Summary'!$AM$75:$AX$75,"",DM56:DX56),SUMIF('Monthly Summary'!$AM$74:$AX$74,"",DM56:DX56))</f>
        <v>0</v>
      </c>
      <c r="FL56" s="996">
        <f>IF($FG56="Opex",SUMIF('Monthly Summary'!$AY$75:$BJ$75,"",DY56:EJ56),SUMIF('Monthly Summary'!$AY$74:$BJ$74,"",DY56:EJ56))</f>
        <v>0</v>
      </c>
      <c r="FM56" s="997">
        <f>IF($FG56="Opex",SUMIF('Monthly Summary'!$BK$75:$BV$75,"",EK56:EV56),SUMIF('Monthly Summary'!$BK$74:$BV$74,"",EK56:EV56))</f>
        <v>0</v>
      </c>
      <c r="FN56" s="997">
        <f t="shared" si="7"/>
        <v>0</v>
      </c>
    </row>
    <row r="57" spans="3:170">
      <c r="C57" s="757"/>
      <c r="D57" s="757"/>
      <c r="E57" s="758"/>
      <c r="F57" s="758"/>
      <c r="G57" s="758"/>
      <c r="H57" s="1215"/>
      <c r="I57" s="761"/>
      <c r="J57" s="761"/>
      <c r="K57" s="761"/>
      <c r="L57" s="761"/>
      <c r="M57" s="761"/>
      <c r="N57" s="761"/>
      <c r="O57" s="761"/>
      <c r="P57" s="761"/>
      <c r="Q57" s="761"/>
      <c r="R57" s="761"/>
      <c r="S57" s="1216"/>
      <c r="T57" s="1215"/>
      <c r="U57" s="761"/>
      <c r="V57" s="761"/>
      <c r="W57" s="761"/>
      <c r="X57" s="761"/>
      <c r="Y57" s="761"/>
      <c r="Z57" s="761"/>
      <c r="AA57" s="761"/>
      <c r="AB57" s="761"/>
      <c r="AC57" s="761"/>
      <c r="AD57" s="761"/>
      <c r="AE57" s="1216"/>
      <c r="AF57" s="1215"/>
      <c r="AG57" s="761"/>
      <c r="AH57" s="761"/>
      <c r="AI57" s="761"/>
      <c r="AJ57" s="761"/>
      <c r="AK57" s="761"/>
      <c r="AL57" s="761"/>
      <c r="AM57" s="761"/>
      <c r="AN57" s="761"/>
      <c r="AO57" s="761"/>
      <c r="AP57" s="761"/>
      <c r="AQ57" s="1216"/>
      <c r="AR57" s="1215"/>
      <c r="AS57" s="761"/>
      <c r="AT57" s="761"/>
      <c r="AU57" s="761"/>
      <c r="AV57" s="761"/>
      <c r="AW57" s="761"/>
      <c r="AX57" s="761"/>
      <c r="AY57" s="761"/>
      <c r="AZ57" s="761"/>
      <c r="BA57" s="761"/>
      <c r="BB57" s="761"/>
      <c r="BC57" s="1216"/>
      <c r="BD57" s="1215"/>
      <c r="BE57" s="761"/>
      <c r="BF57" s="761"/>
      <c r="BG57" s="761"/>
      <c r="BH57" s="761"/>
      <c r="BI57" s="761"/>
      <c r="BJ57" s="761"/>
      <c r="BK57" s="761"/>
      <c r="BL57" s="761"/>
      <c r="BM57" s="761"/>
      <c r="BN57" s="761"/>
      <c r="BO57" s="1216"/>
      <c r="BP57" s="1215"/>
      <c r="BQ57" s="761"/>
      <c r="BR57" s="761"/>
      <c r="BS57" s="761"/>
      <c r="BT57" s="761"/>
      <c r="BU57" s="761"/>
      <c r="BV57" s="761"/>
      <c r="BW57" s="761"/>
      <c r="BX57" s="761"/>
      <c r="BY57" s="761"/>
      <c r="BZ57" s="761"/>
      <c r="CA57" s="1216"/>
      <c r="CB57" s="747"/>
      <c r="CC57" s="1222">
        <f>$G57*H57*Variables!$B$53</f>
        <v>0</v>
      </c>
      <c r="CD57" s="1223">
        <f>$G57*I57*Variables!$B$53</f>
        <v>0</v>
      </c>
      <c r="CE57" s="1223">
        <f>$G57*J57*Variables!$B$53</f>
        <v>0</v>
      </c>
      <c r="CF57" s="1223">
        <f>$G57*K57*Variables!$B$53</f>
        <v>0</v>
      </c>
      <c r="CG57" s="1223">
        <f>$G57*L57*Variables!$B$53</f>
        <v>0</v>
      </c>
      <c r="CH57" s="1223">
        <f>$G57*M57*Variables!$B$53</f>
        <v>0</v>
      </c>
      <c r="CI57" s="1223">
        <f>$G57*N57*Variables!$B$53</f>
        <v>0</v>
      </c>
      <c r="CJ57" s="1223">
        <f>$G57*O57*Variables!$B$53</f>
        <v>0</v>
      </c>
      <c r="CK57" s="1223">
        <f>$G57*P57*Variables!$B$53</f>
        <v>0</v>
      </c>
      <c r="CL57" s="1223">
        <f>$G57*Q57*Variables!$B$53</f>
        <v>0</v>
      </c>
      <c r="CM57" s="1223">
        <f>$G57*R57*Variables!$B$53</f>
        <v>0</v>
      </c>
      <c r="CN57" s="1225">
        <f>$G57*S57*Variables!$B$53</f>
        <v>0</v>
      </c>
      <c r="CO57" s="1222">
        <f>$G57*T57*Variables!$B$53*HLOOKUP($CO$2,Variables!$B$60:$F$61,2,FALSE)</f>
        <v>0</v>
      </c>
      <c r="CP57" s="1223">
        <f>$G57*U57*Variables!$B$53*HLOOKUP($CO$2,Variables!$B$60:$F$61,2,FALSE)</f>
        <v>0</v>
      </c>
      <c r="CQ57" s="1223">
        <f>$G57*V57*Variables!$B$53*HLOOKUP($CO$2,Variables!$B$60:$F$61,2,FALSE)</f>
        <v>0</v>
      </c>
      <c r="CR57" s="1223">
        <f>$G57*W57*Variables!$B$53*HLOOKUP($CO$2,Variables!$B$60:$F$61,2,FALSE)</f>
        <v>0</v>
      </c>
      <c r="CS57" s="1223">
        <f>$G57*X57*Variables!$B$53*HLOOKUP($CO$2,Variables!$B$60:$F$61,2,FALSE)</f>
        <v>0</v>
      </c>
      <c r="CT57" s="1223">
        <f>$G57*Y57*Variables!$B$53*HLOOKUP($CO$2,Variables!$B$60:$F$61,2,FALSE)</f>
        <v>0</v>
      </c>
      <c r="CU57" s="1223">
        <f>$G57*Z57*Variables!$B$53*HLOOKUP($CO$2,Variables!$B$60:$F$61,2,FALSE)</f>
        <v>0</v>
      </c>
      <c r="CV57" s="1223">
        <f>$G57*AA57*Variables!$B$53*HLOOKUP($CO$2,Variables!$B$60:$F$61,2,FALSE)</f>
        <v>0</v>
      </c>
      <c r="CW57" s="1223">
        <f>$G57*AB57*Variables!$B$53*HLOOKUP($CO$2,Variables!$B$60:$F$61,2,FALSE)</f>
        <v>0</v>
      </c>
      <c r="CX57" s="1223">
        <f>$G57*AC57*Variables!$B$53*HLOOKUP($CO$2,Variables!$B$60:$F$61,2,FALSE)</f>
        <v>0</v>
      </c>
      <c r="CY57" s="1223">
        <f>$G57*AD57*Variables!$B$53*HLOOKUP($CO$2,Variables!$B$60:$F$61,2,FALSE)</f>
        <v>0</v>
      </c>
      <c r="CZ57" s="1225">
        <f>$G57*AE57*Variables!$B$53*HLOOKUP($CO$2,Variables!$B$60:$F$61,2,FALSE)</f>
        <v>0</v>
      </c>
      <c r="DA57" s="1222">
        <f>$G57*AF57*Variables!$B$53*HLOOKUP($DA$2,Variables!$B$60:$F$61,2,FALSE)</f>
        <v>0</v>
      </c>
      <c r="DB57" s="1223">
        <f>$G57*AG57*Variables!$B$53*HLOOKUP($DA$2,Variables!$B$60:$F$61,2,FALSE)</f>
        <v>0</v>
      </c>
      <c r="DC57" s="1223">
        <f>$G57*AH57*Variables!$B$53*HLOOKUP($DA$2,Variables!$B$60:$F$61,2,FALSE)</f>
        <v>0</v>
      </c>
      <c r="DD57" s="1223">
        <f>$G57*AI57*Variables!$B$53*HLOOKUP($DA$2,Variables!$B$60:$F$61,2,FALSE)</f>
        <v>0</v>
      </c>
      <c r="DE57" s="1223">
        <f>$G57*AJ57*Variables!$B$53*HLOOKUP($DA$2,Variables!$B$60:$F$61,2,FALSE)</f>
        <v>0</v>
      </c>
      <c r="DF57" s="1223">
        <f>$G57*AK57*Variables!$B$53*HLOOKUP($DA$2,Variables!$B$60:$F$61,2,FALSE)</f>
        <v>0</v>
      </c>
      <c r="DG57" s="1223">
        <f>$G57*AL57*Variables!$B$53*HLOOKUP($DA$2,Variables!$B$60:$F$61,2,FALSE)</f>
        <v>0</v>
      </c>
      <c r="DH57" s="1223">
        <f>$G57*AM57*Variables!$B$53*HLOOKUP($DA$2,Variables!$B$60:$F$61,2,FALSE)</f>
        <v>0</v>
      </c>
      <c r="DI57" s="1223">
        <f>$G57*AN57*Variables!$B$53*HLOOKUP($DA$2,Variables!$B$60:$F$61,2,FALSE)</f>
        <v>0</v>
      </c>
      <c r="DJ57" s="1223">
        <f>$G57*AO57*Variables!$B$53*HLOOKUP($DA$2,Variables!$B$60:$F$61,2,FALSE)</f>
        <v>0</v>
      </c>
      <c r="DK57" s="1223">
        <f>$G57*AP57*Variables!$B$53*HLOOKUP($DA$2,Variables!$B$60:$F$61,2,FALSE)</f>
        <v>0</v>
      </c>
      <c r="DL57" s="1225">
        <f>$G57*AQ57*Variables!$B$53*HLOOKUP($DA$2,Variables!$B$60:$F$61,2,FALSE)</f>
        <v>0</v>
      </c>
      <c r="DM57" s="1222">
        <f>$G57*AR57*Variables!$B$53*HLOOKUP($DM$2,Variables!$B$60:$F$61,2,FALSE)</f>
        <v>0</v>
      </c>
      <c r="DN57" s="1223">
        <f>$G57*AS57*Variables!$B$53*HLOOKUP($DM$2,Variables!$B$60:$F$61,2,FALSE)</f>
        <v>0</v>
      </c>
      <c r="DO57" s="1223">
        <f>$G57*AT57*Variables!$B$53*HLOOKUP($DM$2,Variables!$B$60:$F$61,2,FALSE)</f>
        <v>0</v>
      </c>
      <c r="DP57" s="1223">
        <f>$G57*AU57*Variables!$B$53*HLOOKUP($DM$2,Variables!$B$60:$F$61,2,FALSE)</f>
        <v>0</v>
      </c>
      <c r="DQ57" s="1223">
        <f>$G57*AV57*Variables!$B$53*HLOOKUP($DM$2,Variables!$B$60:$F$61,2,FALSE)</f>
        <v>0</v>
      </c>
      <c r="DR57" s="1223">
        <f>$G57*AW57*Variables!$B$53*HLOOKUP($DM$2,Variables!$B$60:$F$61,2,FALSE)</f>
        <v>0</v>
      </c>
      <c r="DS57" s="1223">
        <f>$G57*AX57*Variables!$B$53*HLOOKUP($DM$2,Variables!$B$60:$F$61,2,FALSE)</f>
        <v>0</v>
      </c>
      <c r="DT57" s="1223">
        <f>$G57*AY57*Variables!$B$53*HLOOKUP($DM$2,Variables!$B$60:$F$61,2,FALSE)</f>
        <v>0</v>
      </c>
      <c r="DU57" s="1223">
        <f>$G57*AZ57*Variables!$B$53*HLOOKUP($DM$2,Variables!$B$60:$F$61,2,FALSE)</f>
        <v>0</v>
      </c>
      <c r="DV57" s="1223">
        <f>$G57*BA57*Variables!$B$53*HLOOKUP($DM$2,Variables!$B$60:$F$61,2,FALSE)</f>
        <v>0</v>
      </c>
      <c r="DW57" s="1223">
        <f>$G57*BB57*Variables!$B$53*HLOOKUP($DM$2,Variables!$B$60:$F$61,2,FALSE)</f>
        <v>0</v>
      </c>
      <c r="DX57" s="1225">
        <f>$G57*BC57*Variables!$B$53*HLOOKUP($DM$2,Variables!$B$60:$F$61,2,FALSE)</f>
        <v>0</v>
      </c>
      <c r="DY57" s="1222">
        <f>$G57*BD57*Variables!$B$53*HLOOKUP($DY$2,Variables!$B$60:$F$61,2,FALSE)</f>
        <v>0</v>
      </c>
      <c r="DZ57" s="1223">
        <f>$G57*BE57*Variables!$B$53*HLOOKUP($DY$2,Variables!$B$60:$F$61,2,FALSE)</f>
        <v>0</v>
      </c>
      <c r="EA57" s="1223">
        <f>$G57*BF57*Variables!$B$53*HLOOKUP($DY$2,Variables!$B$60:$F$61,2,FALSE)</f>
        <v>0</v>
      </c>
      <c r="EB57" s="1223">
        <f>$G57*BG57*Variables!$B$53*HLOOKUP($DY$2,Variables!$B$60:$F$61,2,FALSE)</f>
        <v>0</v>
      </c>
      <c r="EC57" s="1223">
        <f>$G57*BH57*Variables!$B$53*HLOOKUP($DY$2,Variables!$B$60:$F$61,2,FALSE)</f>
        <v>0</v>
      </c>
      <c r="ED57" s="1223">
        <f>$G57*BI57*Variables!$B$53*HLOOKUP($DY$2,Variables!$B$60:$F$61,2,FALSE)</f>
        <v>0</v>
      </c>
      <c r="EE57" s="1223">
        <f>$G57*BJ57*Variables!$B$53*HLOOKUP($DY$2,Variables!$B$60:$F$61,2,FALSE)</f>
        <v>0</v>
      </c>
      <c r="EF57" s="1223">
        <f>$G57*BK57*Variables!$B$53*HLOOKUP($DY$2,Variables!$B$60:$F$61,2,FALSE)</f>
        <v>0</v>
      </c>
      <c r="EG57" s="1223">
        <f>$G57*BL57*Variables!$B$53*HLOOKUP($DY$2,Variables!$B$60:$F$61,2,FALSE)</f>
        <v>0</v>
      </c>
      <c r="EH57" s="1223">
        <f>$G57*BM57*Variables!$B$53*HLOOKUP($DY$2,Variables!$B$60:$F$61,2,FALSE)</f>
        <v>0</v>
      </c>
      <c r="EI57" s="1223">
        <f>$G57*BN57*Variables!$B$53*HLOOKUP($DY$2,Variables!$B$60:$F$61,2,FALSE)</f>
        <v>0</v>
      </c>
      <c r="EJ57" s="1225">
        <f>$G57*BO57*Variables!$B$53*HLOOKUP($DY$2,Variables!$B$60:$F$61,2,FALSE)</f>
        <v>0</v>
      </c>
      <c r="EK57" s="1222">
        <f>$G57*BP57*Variables!$B$53*HLOOKUP($EK$2,Variables!$B$60:$F$61,2,FALSE)</f>
        <v>0</v>
      </c>
      <c r="EL57" s="1223">
        <f>$G57*BQ57*Variables!$B$53*HLOOKUP($EK$2,Variables!$B$60:$F$61,2,FALSE)</f>
        <v>0</v>
      </c>
      <c r="EM57" s="1223">
        <f>$G57*BR57*Variables!$B$53*HLOOKUP($EK$2,Variables!$B$60:$F$61,2,FALSE)</f>
        <v>0</v>
      </c>
      <c r="EN57" s="1223">
        <f>$G57*BS57*Variables!$B$53*HLOOKUP($EK$2,Variables!$B$60:$F$61,2,FALSE)</f>
        <v>0</v>
      </c>
      <c r="EO57" s="1223">
        <f>$G57*BT57*Variables!$B$53*HLOOKUP($EK$2,Variables!$B$60:$F$61,2,FALSE)</f>
        <v>0</v>
      </c>
      <c r="EP57" s="1223">
        <f>$G57*BU57*Variables!$B$53*HLOOKUP($EK$2,Variables!$B$60:$F$61,2,FALSE)</f>
        <v>0</v>
      </c>
      <c r="EQ57" s="1223">
        <f>$G57*BV57*Variables!$B$53*HLOOKUP($EK$2,Variables!$B$60:$F$61,2,FALSE)</f>
        <v>0</v>
      </c>
      <c r="ER57" s="1223">
        <f>$G57*BW57*Variables!$B$53*HLOOKUP($EK$2,Variables!$B$60:$F$61,2,FALSE)</f>
        <v>0</v>
      </c>
      <c r="ES57" s="1223">
        <f>$G57*BX57*Variables!$B$53*HLOOKUP($EK$2,Variables!$B$60:$F$61,2,FALSE)</f>
        <v>0</v>
      </c>
      <c r="ET57" s="1223">
        <f>$G57*BY57*Variables!$B$53*HLOOKUP($EK$2,Variables!$B$60:$F$61,2,FALSE)</f>
        <v>0</v>
      </c>
      <c r="EU57" s="1223">
        <f>$G57*BZ57*Variables!$B$53*HLOOKUP($EK$2,Variables!$B$60:$F$61,2,FALSE)</f>
        <v>0</v>
      </c>
      <c r="EV57" s="1225">
        <f>$G57*CA57*Variables!$B$53*HLOOKUP($EK$2,Variables!$B$60:$F$61,2,FALSE)</f>
        <v>0</v>
      </c>
      <c r="EW57" s="872">
        <f t="shared" si="6"/>
        <v>0</v>
      </c>
      <c r="EX57" s="872"/>
      <c r="EY57" s="872"/>
      <c r="EZ57" s="872"/>
      <c r="FA57" s="1332"/>
      <c r="FC57" s="958" t="str">
        <f t="shared" si="8"/>
        <v/>
      </c>
      <c r="FD57" s="959" t="str">
        <f t="shared" si="9"/>
        <v/>
      </c>
      <c r="FE57" s="959" t="s">
        <v>8407</v>
      </c>
      <c r="FF57" s="959" t="str">
        <f>IF(ISNA(VLOOKUP(FC57,Miscellaneous!E:F,2,0)),"",VLOOKUP(FC57,Miscellaneous!E:F,2,0))</f>
        <v/>
      </c>
      <c r="FG57" s="959" t="str">
        <f t="shared" si="10"/>
        <v/>
      </c>
      <c r="FH57" s="996">
        <f>IF($FG57="Opex",SUMIF('Monthly Summary'!$C$75:$N$75,"",CC57:CN57),SUMIF('Monthly Summary'!$C$74:$N$74,"",CC57:CN57))</f>
        <v>0</v>
      </c>
      <c r="FI57" s="996">
        <f>IF($FG57="Opex",SUMIF('Monthly Summary'!$O$75:$Z$75,"",CO57:CZ57),SUMIF('Monthly Summary'!$O$74:$Z$74,"",CO57:CZ57))</f>
        <v>0</v>
      </c>
      <c r="FJ57" s="996">
        <f>IF($FG57="Opex",SUMIF('Monthly Summary'!$AA$75:$AL$75,"",DA57:DL57),SUMIF('Monthly Summary'!$AA$74:$AL$74,"",DA57:DL57))</f>
        <v>0</v>
      </c>
      <c r="FK57" s="996">
        <f>IF($FG57="Opex",SUMIF('Monthly Summary'!$AM$75:$AX$75,"",DM57:DX57),SUMIF('Monthly Summary'!$AM$74:$AX$74,"",DM57:DX57))</f>
        <v>0</v>
      </c>
      <c r="FL57" s="996">
        <f>IF($FG57="Opex",SUMIF('Monthly Summary'!$AY$75:$BJ$75,"",DY57:EJ57),SUMIF('Monthly Summary'!$AY$74:$BJ$74,"",DY57:EJ57))</f>
        <v>0</v>
      </c>
      <c r="FM57" s="997">
        <f>IF($FG57="Opex",SUMIF('Monthly Summary'!$BK$75:$BV$75,"",EK57:EV57),SUMIF('Monthly Summary'!$BK$74:$BV$74,"",EK57:EV57))</f>
        <v>0</v>
      </c>
      <c r="FN57" s="997">
        <f t="shared" si="7"/>
        <v>0</v>
      </c>
    </row>
    <row r="58" spans="3:170">
      <c r="C58" s="757"/>
      <c r="D58" s="757"/>
      <c r="E58" s="758"/>
      <c r="F58" s="758"/>
      <c r="G58" s="758"/>
      <c r="H58" s="1215"/>
      <c r="I58" s="761"/>
      <c r="J58" s="761"/>
      <c r="K58" s="761"/>
      <c r="L58" s="761"/>
      <c r="M58" s="761"/>
      <c r="N58" s="761"/>
      <c r="O58" s="761"/>
      <c r="P58" s="761"/>
      <c r="Q58" s="761"/>
      <c r="R58" s="761"/>
      <c r="S58" s="1216"/>
      <c r="T58" s="1215"/>
      <c r="U58" s="761"/>
      <c r="V58" s="761"/>
      <c r="W58" s="761"/>
      <c r="X58" s="761"/>
      <c r="Y58" s="761"/>
      <c r="Z58" s="761"/>
      <c r="AA58" s="761"/>
      <c r="AB58" s="761"/>
      <c r="AC58" s="761"/>
      <c r="AD58" s="761"/>
      <c r="AE58" s="1216"/>
      <c r="AF58" s="1215"/>
      <c r="AG58" s="761"/>
      <c r="AH58" s="761"/>
      <c r="AI58" s="761"/>
      <c r="AJ58" s="761"/>
      <c r="AK58" s="761"/>
      <c r="AL58" s="761"/>
      <c r="AM58" s="761"/>
      <c r="AN58" s="761"/>
      <c r="AO58" s="761"/>
      <c r="AP58" s="761"/>
      <c r="AQ58" s="1216"/>
      <c r="AR58" s="1215"/>
      <c r="AS58" s="761"/>
      <c r="AT58" s="761"/>
      <c r="AU58" s="761"/>
      <c r="AV58" s="761"/>
      <c r="AW58" s="761"/>
      <c r="AX58" s="761"/>
      <c r="AY58" s="761"/>
      <c r="AZ58" s="761"/>
      <c r="BA58" s="761"/>
      <c r="BB58" s="761"/>
      <c r="BC58" s="1216"/>
      <c r="BD58" s="1215"/>
      <c r="BE58" s="761"/>
      <c r="BF58" s="761"/>
      <c r="BG58" s="761"/>
      <c r="BH58" s="761"/>
      <c r="BI58" s="761"/>
      <c r="BJ58" s="761"/>
      <c r="BK58" s="761"/>
      <c r="BL58" s="761"/>
      <c r="BM58" s="761"/>
      <c r="BN58" s="761"/>
      <c r="BO58" s="1216"/>
      <c r="BP58" s="1215"/>
      <c r="BQ58" s="761"/>
      <c r="BR58" s="761"/>
      <c r="BS58" s="761"/>
      <c r="BT58" s="761"/>
      <c r="BU58" s="761"/>
      <c r="BV58" s="761"/>
      <c r="BW58" s="761"/>
      <c r="BX58" s="761"/>
      <c r="BY58" s="761"/>
      <c r="BZ58" s="761"/>
      <c r="CA58" s="1216"/>
      <c r="CB58" s="747"/>
      <c r="CC58" s="1222">
        <f>$G58*H58*Variables!$B$53</f>
        <v>0</v>
      </c>
      <c r="CD58" s="1223">
        <f>$G58*I58*Variables!$B$53</f>
        <v>0</v>
      </c>
      <c r="CE58" s="1223">
        <f>$G58*J58*Variables!$B$53</f>
        <v>0</v>
      </c>
      <c r="CF58" s="1223">
        <f>$G58*K58*Variables!$B$53</f>
        <v>0</v>
      </c>
      <c r="CG58" s="1223">
        <f>$G58*L58*Variables!$B$53</f>
        <v>0</v>
      </c>
      <c r="CH58" s="1223">
        <f>$G58*M58*Variables!$B$53</f>
        <v>0</v>
      </c>
      <c r="CI58" s="1223">
        <f>$G58*N58*Variables!$B$53</f>
        <v>0</v>
      </c>
      <c r="CJ58" s="1223">
        <f>$G58*O58*Variables!$B$53</f>
        <v>0</v>
      </c>
      <c r="CK58" s="1223">
        <f>$G58*P58*Variables!$B$53</f>
        <v>0</v>
      </c>
      <c r="CL58" s="1223">
        <f>$G58*Q58*Variables!$B$53</f>
        <v>0</v>
      </c>
      <c r="CM58" s="1223">
        <f>$G58*R58*Variables!$B$53</f>
        <v>0</v>
      </c>
      <c r="CN58" s="1225">
        <f>$G58*S58*Variables!$B$53</f>
        <v>0</v>
      </c>
      <c r="CO58" s="1222">
        <f>$G58*T58*Variables!$B$53*HLOOKUP($CO$2,Variables!$B$60:$F$61,2,FALSE)</f>
        <v>0</v>
      </c>
      <c r="CP58" s="1223">
        <f>$G58*U58*Variables!$B$53*HLOOKUP($CO$2,Variables!$B$60:$F$61,2,FALSE)</f>
        <v>0</v>
      </c>
      <c r="CQ58" s="1223">
        <f>$G58*V58*Variables!$B$53*HLOOKUP($CO$2,Variables!$B$60:$F$61,2,FALSE)</f>
        <v>0</v>
      </c>
      <c r="CR58" s="1223">
        <f>$G58*W58*Variables!$B$53*HLOOKUP($CO$2,Variables!$B$60:$F$61,2,FALSE)</f>
        <v>0</v>
      </c>
      <c r="CS58" s="1223">
        <f>$G58*X58*Variables!$B$53*HLOOKUP($CO$2,Variables!$B$60:$F$61,2,FALSE)</f>
        <v>0</v>
      </c>
      <c r="CT58" s="1223">
        <f>$G58*Y58*Variables!$B$53*HLOOKUP($CO$2,Variables!$B$60:$F$61,2,FALSE)</f>
        <v>0</v>
      </c>
      <c r="CU58" s="1223">
        <f>$G58*Z58*Variables!$B$53*HLOOKUP($CO$2,Variables!$B$60:$F$61,2,FALSE)</f>
        <v>0</v>
      </c>
      <c r="CV58" s="1223">
        <f>$G58*AA58*Variables!$B$53*HLOOKUP($CO$2,Variables!$B$60:$F$61,2,FALSE)</f>
        <v>0</v>
      </c>
      <c r="CW58" s="1223">
        <f>$G58*AB58*Variables!$B$53*HLOOKUP($CO$2,Variables!$B$60:$F$61,2,FALSE)</f>
        <v>0</v>
      </c>
      <c r="CX58" s="1223">
        <f>$G58*AC58*Variables!$B$53*HLOOKUP($CO$2,Variables!$B$60:$F$61,2,FALSE)</f>
        <v>0</v>
      </c>
      <c r="CY58" s="1223">
        <f>$G58*AD58*Variables!$B$53*HLOOKUP($CO$2,Variables!$B$60:$F$61,2,FALSE)</f>
        <v>0</v>
      </c>
      <c r="CZ58" s="1225">
        <f>$G58*AE58*Variables!$B$53*HLOOKUP($CO$2,Variables!$B$60:$F$61,2,FALSE)</f>
        <v>0</v>
      </c>
      <c r="DA58" s="1222">
        <f>$G58*AF58*Variables!$B$53*HLOOKUP($DA$2,Variables!$B$60:$F$61,2,FALSE)</f>
        <v>0</v>
      </c>
      <c r="DB58" s="1223">
        <f>$G58*AG58*Variables!$B$53*HLOOKUP($DA$2,Variables!$B$60:$F$61,2,FALSE)</f>
        <v>0</v>
      </c>
      <c r="DC58" s="1223">
        <f>$G58*AH58*Variables!$B$53*HLOOKUP($DA$2,Variables!$B$60:$F$61,2,FALSE)</f>
        <v>0</v>
      </c>
      <c r="DD58" s="1223">
        <f>$G58*AI58*Variables!$B$53*HLOOKUP($DA$2,Variables!$B$60:$F$61,2,FALSE)</f>
        <v>0</v>
      </c>
      <c r="DE58" s="1223">
        <f>$G58*AJ58*Variables!$B$53*HLOOKUP($DA$2,Variables!$B$60:$F$61,2,FALSE)</f>
        <v>0</v>
      </c>
      <c r="DF58" s="1223">
        <f>$G58*AK58*Variables!$B$53*HLOOKUP($DA$2,Variables!$B$60:$F$61,2,FALSE)</f>
        <v>0</v>
      </c>
      <c r="DG58" s="1223">
        <f>$G58*AL58*Variables!$B$53*HLOOKUP($DA$2,Variables!$B$60:$F$61,2,FALSE)</f>
        <v>0</v>
      </c>
      <c r="DH58" s="1223">
        <f>$G58*AM58*Variables!$B$53*HLOOKUP($DA$2,Variables!$B$60:$F$61,2,FALSE)</f>
        <v>0</v>
      </c>
      <c r="DI58" s="1223">
        <f>$G58*AN58*Variables!$B$53*HLOOKUP($DA$2,Variables!$B$60:$F$61,2,FALSE)</f>
        <v>0</v>
      </c>
      <c r="DJ58" s="1223">
        <f>$G58*AO58*Variables!$B$53*HLOOKUP($DA$2,Variables!$B$60:$F$61,2,FALSE)</f>
        <v>0</v>
      </c>
      <c r="DK58" s="1223">
        <f>$G58*AP58*Variables!$B$53*HLOOKUP($DA$2,Variables!$B$60:$F$61,2,FALSE)</f>
        <v>0</v>
      </c>
      <c r="DL58" s="1225">
        <f>$G58*AQ58*Variables!$B$53*HLOOKUP($DA$2,Variables!$B$60:$F$61,2,FALSE)</f>
        <v>0</v>
      </c>
      <c r="DM58" s="1222">
        <f>$G58*AR58*Variables!$B$53*HLOOKUP($DM$2,Variables!$B$60:$F$61,2,FALSE)</f>
        <v>0</v>
      </c>
      <c r="DN58" s="1223">
        <f>$G58*AS58*Variables!$B$53*HLOOKUP($DM$2,Variables!$B$60:$F$61,2,FALSE)</f>
        <v>0</v>
      </c>
      <c r="DO58" s="1223">
        <f>$G58*AT58*Variables!$B$53*HLOOKUP($DM$2,Variables!$B$60:$F$61,2,FALSE)</f>
        <v>0</v>
      </c>
      <c r="DP58" s="1223">
        <f>$G58*AU58*Variables!$B$53*HLOOKUP($DM$2,Variables!$B$60:$F$61,2,FALSE)</f>
        <v>0</v>
      </c>
      <c r="DQ58" s="1223">
        <f>$G58*AV58*Variables!$B$53*HLOOKUP($DM$2,Variables!$B$60:$F$61,2,FALSE)</f>
        <v>0</v>
      </c>
      <c r="DR58" s="1223">
        <f>$G58*AW58*Variables!$B$53*HLOOKUP($DM$2,Variables!$B$60:$F$61,2,FALSE)</f>
        <v>0</v>
      </c>
      <c r="DS58" s="1223">
        <f>$G58*AX58*Variables!$B$53*HLOOKUP($DM$2,Variables!$B$60:$F$61,2,FALSE)</f>
        <v>0</v>
      </c>
      <c r="DT58" s="1223">
        <f>$G58*AY58*Variables!$B$53*HLOOKUP($DM$2,Variables!$B$60:$F$61,2,FALSE)</f>
        <v>0</v>
      </c>
      <c r="DU58" s="1223">
        <f>$G58*AZ58*Variables!$B$53*HLOOKUP($DM$2,Variables!$B$60:$F$61,2,FALSE)</f>
        <v>0</v>
      </c>
      <c r="DV58" s="1223">
        <f>$G58*BA58*Variables!$B$53*HLOOKUP($DM$2,Variables!$B$60:$F$61,2,FALSE)</f>
        <v>0</v>
      </c>
      <c r="DW58" s="1223">
        <f>$G58*BB58*Variables!$B$53*HLOOKUP($DM$2,Variables!$B$60:$F$61,2,FALSE)</f>
        <v>0</v>
      </c>
      <c r="DX58" s="1225">
        <f>$G58*BC58*Variables!$B$53*HLOOKUP($DM$2,Variables!$B$60:$F$61,2,FALSE)</f>
        <v>0</v>
      </c>
      <c r="DY58" s="1222">
        <f>$G58*BD58*Variables!$B$53*HLOOKUP($DY$2,Variables!$B$60:$F$61,2,FALSE)</f>
        <v>0</v>
      </c>
      <c r="DZ58" s="1223">
        <f>$G58*BE58*Variables!$B$53*HLOOKUP($DY$2,Variables!$B$60:$F$61,2,FALSE)</f>
        <v>0</v>
      </c>
      <c r="EA58" s="1223">
        <f>$G58*BF58*Variables!$B$53*HLOOKUP($DY$2,Variables!$B$60:$F$61,2,FALSE)</f>
        <v>0</v>
      </c>
      <c r="EB58" s="1223">
        <f>$G58*BG58*Variables!$B$53*HLOOKUP($DY$2,Variables!$B$60:$F$61,2,FALSE)</f>
        <v>0</v>
      </c>
      <c r="EC58" s="1223">
        <f>$G58*BH58*Variables!$B$53*HLOOKUP($DY$2,Variables!$B$60:$F$61,2,FALSE)</f>
        <v>0</v>
      </c>
      <c r="ED58" s="1223">
        <f>$G58*BI58*Variables!$B$53*HLOOKUP($DY$2,Variables!$B$60:$F$61,2,FALSE)</f>
        <v>0</v>
      </c>
      <c r="EE58" s="1223">
        <f>$G58*BJ58*Variables!$B$53*HLOOKUP($DY$2,Variables!$B$60:$F$61,2,FALSE)</f>
        <v>0</v>
      </c>
      <c r="EF58" s="1223">
        <f>$G58*BK58*Variables!$B$53*HLOOKUP($DY$2,Variables!$B$60:$F$61,2,FALSE)</f>
        <v>0</v>
      </c>
      <c r="EG58" s="1223">
        <f>$G58*BL58*Variables!$B$53*HLOOKUP($DY$2,Variables!$B$60:$F$61,2,FALSE)</f>
        <v>0</v>
      </c>
      <c r="EH58" s="1223">
        <f>$G58*BM58*Variables!$B$53*HLOOKUP($DY$2,Variables!$B$60:$F$61,2,FALSE)</f>
        <v>0</v>
      </c>
      <c r="EI58" s="1223">
        <f>$G58*BN58*Variables!$B$53*HLOOKUP($DY$2,Variables!$B$60:$F$61,2,FALSE)</f>
        <v>0</v>
      </c>
      <c r="EJ58" s="1225">
        <f>$G58*BO58*Variables!$B$53*HLOOKUP($DY$2,Variables!$B$60:$F$61,2,FALSE)</f>
        <v>0</v>
      </c>
      <c r="EK58" s="1222">
        <f>$G58*BP58*Variables!$B$53*HLOOKUP($EK$2,Variables!$B$60:$F$61,2,FALSE)</f>
        <v>0</v>
      </c>
      <c r="EL58" s="1223">
        <f>$G58*BQ58*Variables!$B$53*HLOOKUP($EK$2,Variables!$B$60:$F$61,2,FALSE)</f>
        <v>0</v>
      </c>
      <c r="EM58" s="1223">
        <f>$G58*BR58*Variables!$B$53*HLOOKUP($EK$2,Variables!$B$60:$F$61,2,FALSE)</f>
        <v>0</v>
      </c>
      <c r="EN58" s="1223">
        <f>$G58*BS58*Variables!$B$53*HLOOKUP($EK$2,Variables!$B$60:$F$61,2,FALSE)</f>
        <v>0</v>
      </c>
      <c r="EO58" s="1223">
        <f>$G58*BT58*Variables!$B$53*HLOOKUP($EK$2,Variables!$B$60:$F$61,2,FALSE)</f>
        <v>0</v>
      </c>
      <c r="EP58" s="1223">
        <f>$G58*BU58*Variables!$B$53*HLOOKUP($EK$2,Variables!$B$60:$F$61,2,FALSE)</f>
        <v>0</v>
      </c>
      <c r="EQ58" s="1223">
        <f>$G58*BV58*Variables!$B$53*HLOOKUP($EK$2,Variables!$B$60:$F$61,2,FALSE)</f>
        <v>0</v>
      </c>
      <c r="ER58" s="1223">
        <f>$G58*BW58*Variables!$B$53*HLOOKUP($EK$2,Variables!$B$60:$F$61,2,FALSE)</f>
        <v>0</v>
      </c>
      <c r="ES58" s="1223">
        <f>$G58*BX58*Variables!$B$53*HLOOKUP($EK$2,Variables!$B$60:$F$61,2,FALSE)</f>
        <v>0</v>
      </c>
      <c r="ET58" s="1223">
        <f>$G58*BY58*Variables!$B$53*HLOOKUP($EK$2,Variables!$B$60:$F$61,2,FALSE)</f>
        <v>0</v>
      </c>
      <c r="EU58" s="1223">
        <f>$G58*BZ58*Variables!$B$53*HLOOKUP($EK$2,Variables!$B$60:$F$61,2,FALSE)</f>
        <v>0</v>
      </c>
      <c r="EV58" s="1225">
        <f>$G58*CA58*Variables!$B$53*HLOOKUP($EK$2,Variables!$B$60:$F$61,2,FALSE)</f>
        <v>0</v>
      </c>
      <c r="EW58" s="872">
        <f t="shared" si="6"/>
        <v>0</v>
      </c>
      <c r="EX58" s="872"/>
      <c r="EY58" s="872"/>
      <c r="EZ58" s="872"/>
      <c r="FA58" s="1332"/>
      <c r="FC58" s="958" t="str">
        <f t="shared" si="8"/>
        <v/>
      </c>
      <c r="FD58" s="959" t="str">
        <f t="shared" si="9"/>
        <v/>
      </c>
      <c r="FE58" s="959" t="s">
        <v>8407</v>
      </c>
      <c r="FF58" s="959" t="str">
        <f>IF(ISNA(VLOOKUP(FC58,Miscellaneous!E:F,2,0)),"",VLOOKUP(FC58,Miscellaneous!E:F,2,0))</f>
        <v/>
      </c>
      <c r="FG58" s="959" t="str">
        <f t="shared" si="10"/>
        <v/>
      </c>
      <c r="FH58" s="996">
        <f>IF($FG58="Opex",SUMIF('Monthly Summary'!$C$75:$N$75,"",CC58:CN58),SUMIF('Monthly Summary'!$C$74:$N$74,"",CC58:CN58))</f>
        <v>0</v>
      </c>
      <c r="FI58" s="996">
        <f>IF($FG58="Opex",SUMIF('Monthly Summary'!$O$75:$Z$75,"",CO58:CZ58),SUMIF('Monthly Summary'!$O$74:$Z$74,"",CO58:CZ58))</f>
        <v>0</v>
      </c>
      <c r="FJ58" s="996">
        <f>IF($FG58="Opex",SUMIF('Monthly Summary'!$AA$75:$AL$75,"",DA58:DL58),SUMIF('Monthly Summary'!$AA$74:$AL$74,"",DA58:DL58))</f>
        <v>0</v>
      </c>
      <c r="FK58" s="996">
        <f>IF($FG58="Opex",SUMIF('Monthly Summary'!$AM$75:$AX$75,"",DM58:DX58),SUMIF('Monthly Summary'!$AM$74:$AX$74,"",DM58:DX58))</f>
        <v>0</v>
      </c>
      <c r="FL58" s="996">
        <f>IF($FG58="Opex",SUMIF('Monthly Summary'!$AY$75:$BJ$75,"",DY58:EJ58),SUMIF('Monthly Summary'!$AY$74:$BJ$74,"",DY58:EJ58))</f>
        <v>0</v>
      </c>
      <c r="FM58" s="997">
        <f>IF($FG58="Opex",SUMIF('Monthly Summary'!$BK$75:$BV$75,"",EK58:EV58),SUMIF('Monthly Summary'!$BK$74:$BV$74,"",EK58:EV58))</f>
        <v>0</v>
      </c>
      <c r="FN58" s="997">
        <f t="shared" si="7"/>
        <v>0</v>
      </c>
    </row>
    <row r="59" spans="3:170">
      <c r="C59" s="757"/>
      <c r="D59" s="757"/>
      <c r="E59" s="758"/>
      <c r="F59" s="758"/>
      <c r="G59" s="758"/>
      <c r="H59" s="1215"/>
      <c r="I59" s="761"/>
      <c r="J59" s="761"/>
      <c r="K59" s="761"/>
      <c r="L59" s="761"/>
      <c r="M59" s="761"/>
      <c r="N59" s="761"/>
      <c r="O59" s="761"/>
      <c r="P59" s="761"/>
      <c r="Q59" s="761"/>
      <c r="R59" s="761"/>
      <c r="S59" s="1216"/>
      <c r="T59" s="1215"/>
      <c r="U59" s="761"/>
      <c r="V59" s="761"/>
      <c r="W59" s="761"/>
      <c r="X59" s="761"/>
      <c r="Y59" s="761"/>
      <c r="Z59" s="761"/>
      <c r="AA59" s="761"/>
      <c r="AB59" s="761"/>
      <c r="AC59" s="761"/>
      <c r="AD59" s="761"/>
      <c r="AE59" s="1216"/>
      <c r="AF59" s="1215"/>
      <c r="AG59" s="761"/>
      <c r="AH59" s="761"/>
      <c r="AI59" s="761"/>
      <c r="AJ59" s="761"/>
      <c r="AK59" s="761"/>
      <c r="AL59" s="761"/>
      <c r="AM59" s="761"/>
      <c r="AN59" s="761"/>
      <c r="AO59" s="761"/>
      <c r="AP59" s="761"/>
      <c r="AQ59" s="1216"/>
      <c r="AR59" s="1215"/>
      <c r="AS59" s="761"/>
      <c r="AT59" s="761"/>
      <c r="AU59" s="761"/>
      <c r="AV59" s="761"/>
      <c r="AW59" s="761"/>
      <c r="AX59" s="761"/>
      <c r="AY59" s="761"/>
      <c r="AZ59" s="761"/>
      <c r="BA59" s="761"/>
      <c r="BB59" s="761"/>
      <c r="BC59" s="1216"/>
      <c r="BD59" s="1215"/>
      <c r="BE59" s="761"/>
      <c r="BF59" s="761"/>
      <c r="BG59" s="761"/>
      <c r="BH59" s="761"/>
      <c r="BI59" s="761"/>
      <c r="BJ59" s="761"/>
      <c r="BK59" s="761"/>
      <c r="BL59" s="761"/>
      <c r="BM59" s="761"/>
      <c r="BN59" s="761"/>
      <c r="BO59" s="1216"/>
      <c r="BP59" s="1215"/>
      <c r="BQ59" s="761"/>
      <c r="BR59" s="761"/>
      <c r="BS59" s="761"/>
      <c r="BT59" s="761"/>
      <c r="BU59" s="761"/>
      <c r="BV59" s="761"/>
      <c r="BW59" s="761"/>
      <c r="BX59" s="761"/>
      <c r="BY59" s="761"/>
      <c r="BZ59" s="761"/>
      <c r="CA59" s="1216"/>
      <c r="CB59" s="747"/>
      <c r="CC59" s="1222">
        <f>$G59*H59*Variables!$B$53</f>
        <v>0</v>
      </c>
      <c r="CD59" s="1223">
        <f>$G59*I59*Variables!$B$53</f>
        <v>0</v>
      </c>
      <c r="CE59" s="1223">
        <f>$G59*J59*Variables!$B$53</f>
        <v>0</v>
      </c>
      <c r="CF59" s="1223">
        <f>$G59*K59*Variables!$B$53</f>
        <v>0</v>
      </c>
      <c r="CG59" s="1223">
        <f>$G59*L59*Variables!$B$53</f>
        <v>0</v>
      </c>
      <c r="CH59" s="1223">
        <f>$G59*M59*Variables!$B$53</f>
        <v>0</v>
      </c>
      <c r="CI59" s="1223">
        <f>$G59*N59*Variables!$B$53</f>
        <v>0</v>
      </c>
      <c r="CJ59" s="1223">
        <f>$G59*O59*Variables!$B$53</f>
        <v>0</v>
      </c>
      <c r="CK59" s="1223">
        <f>$G59*P59*Variables!$B$53</f>
        <v>0</v>
      </c>
      <c r="CL59" s="1223">
        <f>$G59*Q59*Variables!$B$53</f>
        <v>0</v>
      </c>
      <c r="CM59" s="1223">
        <f>$G59*R59*Variables!$B$53</f>
        <v>0</v>
      </c>
      <c r="CN59" s="1225">
        <f>$G59*S59*Variables!$B$53</f>
        <v>0</v>
      </c>
      <c r="CO59" s="1222">
        <f>$G59*T59*Variables!$B$53*HLOOKUP($CO$2,Variables!$B$60:$F$61,2,FALSE)</f>
        <v>0</v>
      </c>
      <c r="CP59" s="1223">
        <f>$G59*U59*Variables!$B$53*HLOOKUP($CO$2,Variables!$B$60:$F$61,2,FALSE)</f>
        <v>0</v>
      </c>
      <c r="CQ59" s="1223">
        <f>$G59*V59*Variables!$B$53*HLOOKUP($CO$2,Variables!$B$60:$F$61,2,FALSE)</f>
        <v>0</v>
      </c>
      <c r="CR59" s="1223">
        <f>$G59*W59*Variables!$B$53*HLOOKUP($CO$2,Variables!$B$60:$F$61,2,FALSE)</f>
        <v>0</v>
      </c>
      <c r="CS59" s="1223">
        <f>$G59*X59*Variables!$B$53*HLOOKUP($CO$2,Variables!$B$60:$F$61,2,FALSE)</f>
        <v>0</v>
      </c>
      <c r="CT59" s="1223">
        <f>$G59*Y59*Variables!$B$53*HLOOKUP($CO$2,Variables!$B$60:$F$61,2,FALSE)</f>
        <v>0</v>
      </c>
      <c r="CU59" s="1223">
        <f>$G59*Z59*Variables!$B$53*HLOOKUP($CO$2,Variables!$B$60:$F$61,2,FALSE)</f>
        <v>0</v>
      </c>
      <c r="CV59" s="1223">
        <f>$G59*AA59*Variables!$B$53*HLOOKUP($CO$2,Variables!$B$60:$F$61,2,FALSE)</f>
        <v>0</v>
      </c>
      <c r="CW59" s="1223">
        <f>$G59*AB59*Variables!$B$53*HLOOKUP($CO$2,Variables!$B$60:$F$61,2,FALSE)</f>
        <v>0</v>
      </c>
      <c r="CX59" s="1223">
        <f>$G59*AC59*Variables!$B$53*HLOOKUP($CO$2,Variables!$B$60:$F$61,2,FALSE)</f>
        <v>0</v>
      </c>
      <c r="CY59" s="1223">
        <f>$G59*AD59*Variables!$B$53*HLOOKUP($CO$2,Variables!$B$60:$F$61,2,FALSE)</f>
        <v>0</v>
      </c>
      <c r="CZ59" s="1225">
        <f>$G59*AE59*Variables!$B$53*HLOOKUP($CO$2,Variables!$B$60:$F$61,2,FALSE)</f>
        <v>0</v>
      </c>
      <c r="DA59" s="1222">
        <f>$G59*AF59*Variables!$B$53*HLOOKUP($DA$2,Variables!$B$60:$F$61,2,FALSE)</f>
        <v>0</v>
      </c>
      <c r="DB59" s="1223">
        <f>$G59*AG59*Variables!$B$53*HLOOKUP($DA$2,Variables!$B$60:$F$61,2,FALSE)</f>
        <v>0</v>
      </c>
      <c r="DC59" s="1223">
        <f>$G59*AH59*Variables!$B$53*HLOOKUP($DA$2,Variables!$B$60:$F$61,2,FALSE)</f>
        <v>0</v>
      </c>
      <c r="DD59" s="1223">
        <f>$G59*AI59*Variables!$B$53*HLOOKUP($DA$2,Variables!$B$60:$F$61,2,FALSE)</f>
        <v>0</v>
      </c>
      <c r="DE59" s="1223">
        <f>$G59*AJ59*Variables!$B$53*HLOOKUP($DA$2,Variables!$B$60:$F$61,2,FALSE)</f>
        <v>0</v>
      </c>
      <c r="DF59" s="1223">
        <f>$G59*AK59*Variables!$B$53*HLOOKUP($DA$2,Variables!$B$60:$F$61,2,FALSE)</f>
        <v>0</v>
      </c>
      <c r="DG59" s="1223">
        <f>$G59*AL59*Variables!$B$53*HLOOKUP($DA$2,Variables!$B$60:$F$61,2,FALSE)</f>
        <v>0</v>
      </c>
      <c r="DH59" s="1223">
        <f>$G59*AM59*Variables!$B$53*HLOOKUP($DA$2,Variables!$B$60:$F$61,2,FALSE)</f>
        <v>0</v>
      </c>
      <c r="DI59" s="1223">
        <f>$G59*AN59*Variables!$B$53*HLOOKUP($DA$2,Variables!$B$60:$F$61,2,FALSE)</f>
        <v>0</v>
      </c>
      <c r="DJ59" s="1223">
        <f>$G59*AO59*Variables!$B$53*HLOOKUP($DA$2,Variables!$B$60:$F$61,2,FALSE)</f>
        <v>0</v>
      </c>
      <c r="DK59" s="1223">
        <f>$G59*AP59*Variables!$B$53*HLOOKUP($DA$2,Variables!$B$60:$F$61,2,FALSE)</f>
        <v>0</v>
      </c>
      <c r="DL59" s="1225">
        <f>$G59*AQ59*Variables!$B$53*HLOOKUP($DA$2,Variables!$B$60:$F$61,2,FALSE)</f>
        <v>0</v>
      </c>
      <c r="DM59" s="1222">
        <f>$G59*AR59*Variables!$B$53*HLOOKUP($DM$2,Variables!$B$60:$F$61,2,FALSE)</f>
        <v>0</v>
      </c>
      <c r="DN59" s="1223">
        <f>$G59*AS59*Variables!$B$53*HLOOKUP($DM$2,Variables!$B$60:$F$61,2,FALSE)</f>
        <v>0</v>
      </c>
      <c r="DO59" s="1223">
        <f>$G59*AT59*Variables!$B$53*HLOOKUP($DM$2,Variables!$B$60:$F$61,2,FALSE)</f>
        <v>0</v>
      </c>
      <c r="DP59" s="1223">
        <f>$G59*AU59*Variables!$B$53*HLOOKUP($DM$2,Variables!$B$60:$F$61,2,FALSE)</f>
        <v>0</v>
      </c>
      <c r="DQ59" s="1223">
        <f>$G59*AV59*Variables!$B$53*HLOOKUP($DM$2,Variables!$B$60:$F$61,2,FALSE)</f>
        <v>0</v>
      </c>
      <c r="DR59" s="1223">
        <f>$G59*AW59*Variables!$B$53*HLOOKUP($DM$2,Variables!$B$60:$F$61,2,FALSE)</f>
        <v>0</v>
      </c>
      <c r="DS59" s="1223">
        <f>$G59*AX59*Variables!$B$53*HLOOKUP($DM$2,Variables!$B$60:$F$61,2,FALSE)</f>
        <v>0</v>
      </c>
      <c r="DT59" s="1223">
        <f>$G59*AY59*Variables!$B$53*HLOOKUP($DM$2,Variables!$B$60:$F$61,2,FALSE)</f>
        <v>0</v>
      </c>
      <c r="DU59" s="1223">
        <f>$G59*AZ59*Variables!$B$53*HLOOKUP($DM$2,Variables!$B$60:$F$61,2,FALSE)</f>
        <v>0</v>
      </c>
      <c r="DV59" s="1223">
        <f>$G59*BA59*Variables!$B$53*HLOOKUP($DM$2,Variables!$B$60:$F$61,2,FALSE)</f>
        <v>0</v>
      </c>
      <c r="DW59" s="1223">
        <f>$G59*BB59*Variables!$B$53*HLOOKUP($DM$2,Variables!$B$60:$F$61,2,FALSE)</f>
        <v>0</v>
      </c>
      <c r="DX59" s="1225">
        <f>$G59*BC59*Variables!$B$53*HLOOKUP($DM$2,Variables!$B$60:$F$61,2,FALSE)</f>
        <v>0</v>
      </c>
      <c r="DY59" s="1222">
        <f>$G59*BD59*Variables!$B$53*HLOOKUP($DY$2,Variables!$B$60:$F$61,2,FALSE)</f>
        <v>0</v>
      </c>
      <c r="DZ59" s="1223">
        <f>$G59*BE59*Variables!$B$53*HLOOKUP($DY$2,Variables!$B$60:$F$61,2,FALSE)</f>
        <v>0</v>
      </c>
      <c r="EA59" s="1223">
        <f>$G59*BF59*Variables!$B$53*HLOOKUP($DY$2,Variables!$B$60:$F$61,2,FALSE)</f>
        <v>0</v>
      </c>
      <c r="EB59" s="1223">
        <f>$G59*BG59*Variables!$B$53*HLOOKUP($DY$2,Variables!$B$60:$F$61,2,FALSE)</f>
        <v>0</v>
      </c>
      <c r="EC59" s="1223">
        <f>$G59*BH59*Variables!$B$53*HLOOKUP($DY$2,Variables!$B$60:$F$61,2,FALSE)</f>
        <v>0</v>
      </c>
      <c r="ED59" s="1223">
        <f>$G59*BI59*Variables!$B$53*HLOOKUP($DY$2,Variables!$B$60:$F$61,2,FALSE)</f>
        <v>0</v>
      </c>
      <c r="EE59" s="1223">
        <f>$G59*BJ59*Variables!$B$53*HLOOKUP($DY$2,Variables!$B$60:$F$61,2,FALSE)</f>
        <v>0</v>
      </c>
      <c r="EF59" s="1223">
        <f>$G59*BK59*Variables!$B$53*HLOOKUP($DY$2,Variables!$B$60:$F$61,2,FALSE)</f>
        <v>0</v>
      </c>
      <c r="EG59" s="1223">
        <f>$G59*BL59*Variables!$B$53*HLOOKUP($DY$2,Variables!$B$60:$F$61,2,FALSE)</f>
        <v>0</v>
      </c>
      <c r="EH59" s="1223">
        <f>$G59*BM59*Variables!$B$53*HLOOKUP($DY$2,Variables!$B$60:$F$61,2,FALSE)</f>
        <v>0</v>
      </c>
      <c r="EI59" s="1223">
        <f>$G59*BN59*Variables!$B$53*HLOOKUP($DY$2,Variables!$B$60:$F$61,2,FALSE)</f>
        <v>0</v>
      </c>
      <c r="EJ59" s="1225">
        <f>$G59*BO59*Variables!$B$53*HLOOKUP($DY$2,Variables!$B$60:$F$61,2,FALSE)</f>
        <v>0</v>
      </c>
      <c r="EK59" s="1222">
        <f>$G59*BP59*Variables!$B$53*HLOOKUP($EK$2,Variables!$B$60:$F$61,2,FALSE)</f>
        <v>0</v>
      </c>
      <c r="EL59" s="1223">
        <f>$G59*BQ59*Variables!$B$53*HLOOKUP($EK$2,Variables!$B$60:$F$61,2,FALSE)</f>
        <v>0</v>
      </c>
      <c r="EM59" s="1223">
        <f>$G59*BR59*Variables!$B$53*HLOOKUP($EK$2,Variables!$B$60:$F$61,2,FALSE)</f>
        <v>0</v>
      </c>
      <c r="EN59" s="1223">
        <f>$G59*BS59*Variables!$B$53*HLOOKUP($EK$2,Variables!$B$60:$F$61,2,FALSE)</f>
        <v>0</v>
      </c>
      <c r="EO59" s="1223">
        <f>$G59*BT59*Variables!$B$53*HLOOKUP($EK$2,Variables!$B$60:$F$61,2,FALSE)</f>
        <v>0</v>
      </c>
      <c r="EP59" s="1223">
        <f>$G59*BU59*Variables!$B$53*HLOOKUP($EK$2,Variables!$B$60:$F$61,2,FALSE)</f>
        <v>0</v>
      </c>
      <c r="EQ59" s="1223">
        <f>$G59*BV59*Variables!$B$53*HLOOKUP($EK$2,Variables!$B$60:$F$61,2,FALSE)</f>
        <v>0</v>
      </c>
      <c r="ER59" s="1223">
        <f>$G59*BW59*Variables!$B$53*HLOOKUP($EK$2,Variables!$B$60:$F$61,2,FALSE)</f>
        <v>0</v>
      </c>
      <c r="ES59" s="1223">
        <f>$G59*BX59*Variables!$B$53*HLOOKUP($EK$2,Variables!$B$60:$F$61,2,FALSE)</f>
        <v>0</v>
      </c>
      <c r="ET59" s="1223">
        <f>$G59*BY59*Variables!$B$53*HLOOKUP($EK$2,Variables!$B$60:$F$61,2,FALSE)</f>
        <v>0</v>
      </c>
      <c r="EU59" s="1223">
        <f>$G59*BZ59*Variables!$B$53*HLOOKUP($EK$2,Variables!$B$60:$F$61,2,FALSE)</f>
        <v>0</v>
      </c>
      <c r="EV59" s="1225">
        <f>$G59*CA59*Variables!$B$53*HLOOKUP($EK$2,Variables!$B$60:$F$61,2,FALSE)</f>
        <v>0</v>
      </c>
      <c r="EW59" s="872">
        <f t="shared" si="6"/>
        <v>0</v>
      </c>
      <c r="EX59" s="872"/>
      <c r="EY59" s="872"/>
      <c r="EZ59" s="872"/>
      <c r="FA59" s="1332"/>
      <c r="FC59" s="958" t="str">
        <f t="shared" si="8"/>
        <v/>
      </c>
      <c r="FD59" s="959" t="str">
        <f t="shared" si="9"/>
        <v/>
      </c>
      <c r="FE59" s="959" t="s">
        <v>8407</v>
      </c>
      <c r="FF59" s="959" t="str">
        <f>IF(ISNA(VLOOKUP(FC59,Miscellaneous!E:F,2,0)),"",VLOOKUP(FC59,Miscellaneous!E:F,2,0))</f>
        <v/>
      </c>
      <c r="FG59" s="959" t="str">
        <f t="shared" si="10"/>
        <v/>
      </c>
      <c r="FH59" s="996">
        <f>IF($FG59="Opex",SUMIF('Monthly Summary'!$C$75:$N$75,"",CC59:CN59),SUMIF('Monthly Summary'!$C$74:$N$74,"",CC59:CN59))</f>
        <v>0</v>
      </c>
      <c r="FI59" s="996">
        <f>IF($FG59="Opex",SUMIF('Monthly Summary'!$O$75:$Z$75,"",CO59:CZ59),SUMIF('Monthly Summary'!$O$74:$Z$74,"",CO59:CZ59))</f>
        <v>0</v>
      </c>
      <c r="FJ59" s="996">
        <f>IF($FG59="Opex",SUMIF('Monthly Summary'!$AA$75:$AL$75,"",DA59:DL59),SUMIF('Monthly Summary'!$AA$74:$AL$74,"",DA59:DL59))</f>
        <v>0</v>
      </c>
      <c r="FK59" s="996">
        <f>IF($FG59="Opex",SUMIF('Monthly Summary'!$AM$75:$AX$75,"",DM59:DX59),SUMIF('Monthly Summary'!$AM$74:$AX$74,"",DM59:DX59))</f>
        <v>0</v>
      </c>
      <c r="FL59" s="996">
        <f>IF($FG59="Opex",SUMIF('Monthly Summary'!$AY$75:$BJ$75,"",DY59:EJ59),SUMIF('Monthly Summary'!$AY$74:$BJ$74,"",DY59:EJ59))</f>
        <v>0</v>
      </c>
      <c r="FM59" s="997">
        <f>IF($FG59="Opex",SUMIF('Monthly Summary'!$BK$75:$BV$75,"",EK59:EV59),SUMIF('Monthly Summary'!$BK$74:$BV$74,"",EK59:EV59))</f>
        <v>0</v>
      </c>
      <c r="FN59" s="997">
        <f t="shared" si="7"/>
        <v>0</v>
      </c>
    </row>
    <row r="60" spans="3:170">
      <c r="C60" s="757"/>
      <c r="D60" s="757"/>
      <c r="E60" s="758"/>
      <c r="F60" s="758"/>
      <c r="G60" s="758"/>
      <c r="H60" s="1215"/>
      <c r="I60" s="761"/>
      <c r="J60" s="761"/>
      <c r="K60" s="761"/>
      <c r="L60" s="761"/>
      <c r="M60" s="761"/>
      <c r="N60" s="761"/>
      <c r="O60" s="761"/>
      <c r="P60" s="761"/>
      <c r="Q60" s="761"/>
      <c r="R60" s="761"/>
      <c r="S60" s="1216"/>
      <c r="T60" s="1215"/>
      <c r="U60" s="761"/>
      <c r="V60" s="761"/>
      <c r="W60" s="761"/>
      <c r="X60" s="761"/>
      <c r="Y60" s="761"/>
      <c r="Z60" s="761"/>
      <c r="AA60" s="761"/>
      <c r="AB60" s="761"/>
      <c r="AC60" s="761"/>
      <c r="AD60" s="761"/>
      <c r="AE60" s="1216"/>
      <c r="AF60" s="1215"/>
      <c r="AG60" s="761"/>
      <c r="AH60" s="761"/>
      <c r="AI60" s="761"/>
      <c r="AJ60" s="761"/>
      <c r="AK60" s="761"/>
      <c r="AL60" s="761"/>
      <c r="AM60" s="761"/>
      <c r="AN60" s="761"/>
      <c r="AO60" s="761"/>
      <c r="AP60" s="761"/>
      <c r="AQ60" s="1216"/>
      <c r="AR60" s="1215"/>
      <c r="AS60" s="761"/>
      <c r="AT60" s="761"/>
      <c r="AU60" s="761"/>
      <c r="AV60" s="761"/>
      <c r="AW60" s="761"/>
      <c r="AX60" s="761"/>
      <c r="AY60" s="761"/>
      <c r="AZ60" s="761"/>
      <c r="BA60" s="761"/>
      <c r="BB60" s="761"/>
      <c r="BC60" s="1216"/>
      <c r="BD60" s="1215"/>
      <c r="BE60" s="761"/>
      <c r="BF60" s="761"/>
      <c r="BG60" s="761"/>
      <c r="BH60" s="761"/>
      <c r="BI60" s="761"/>
      <c r="BJ60" s="761"/>
      <c r="BK60" s="761"/>
      <c r="BL60" s="761"/>
      <c r="BM60" s="761"/>
      <c r="BN60" s="761"/>
      <c r="BO60" s="1216"/>
      <c r="BP60" s="1215"/>
      <c r="BQ60" s="761"/>
      <c r="BR60" s="761"/>
      <c r="BS60" s="761"/>
      <c r="BT60" s="761"/>
      <c r="BU60" s="761"/>
      <c r="BV60" s="761"/>
      <c r="BW60" s="761"/>
      <c r="BX60" s="761"/>
      <c r="BY60" s="761"/>
      <c r="BZ60" s="761"/>
      <c r="CA60" s="1216"/>
      <c r="CB60" s="747"/>
      <c r="CC60" s="1222">
        <f>$G60*H60*Variables!$B$53</f>
        <v>0</v>
      </c>
      <c r="CD60" s="1223">
        <f>$G60*I60*Variables!$B$53</f>
        <v>0</v>
      </c>
      <c r="CE60" s="1223">
        <f>$G60*J60*Variables!$B$53</f>
        <v>0</v>
      </c>
      <c r="CF60" s="1223">
        <f>$G60*K60*Variables!$B$53</f>
        <v>0</v>
      </c>
      <c r="CG60" s="1223">
        <f>$G60*L60*Variables!$B$53</f>
        <v>0</v>
      </c>
      <c r="CH60" s="1223">
        <f>$G60*M60*Variables!$B$53</f>
        <v>0</v>
      </c>
      <c r="CI60" s="1223">
        <f>$G60*N60*Variables!$B$53</f>
        <v>0</v>
      </c>
      <c r="CJ60" s="1223">
        <f>$G60*O60*Variables!$B$53</f>
        <v>0</v>
      </c>
      <c r="CK60" s="1223">
        <f>$G60*P60*Variables!$B$53</f>
        <v>0</v>
      </c>
      <c r="CL60" s="1223">
        <f>$G60*Q60*Variables!$B$53</f>
        <v>0</v>
      </c>
      <c r="CM60" s="1223">
        <f>$G60*R60*Variables!$B$53</f>
        <v>0</v>
      </c>
      <c r="CN60" s="1225">
        <f>$G60*S60*Variables!$B$53</f>
        <v>0</v>
      </c>
      <c r="CO60" s="1222">
        <f>$G60*T60*Variables!$B$53*HLOOKUP($CO$2,Variables!$B$60:$F$61,2,FALSE)</f>
        <v>0</v>
      </c>
      <c r="CP60" s="1223">
        <f>$G60*U60*Variables!$B$53*HLOOKUP($CO$2,Variables!$B$60:$F$61,2,FALSE)</f>
        <v>0</v>
      </c>
      <c r="CQ60" s="1223">
        <f>$G60*V60*Variables!$B$53*HLOOKUP($CO$2,Variables!$B$60:$F$61,2,FALSE)</f>
        <v>0</v>
      </c>
      <c r="CR60" s="1223">
        <f>$G60*W60*Variables!$B$53*HLOOKUP($CO$2,Variables!$B$60:$F$61,2,FALSE)</f>
        <v>0</v>
      </c>
      <c r="CS60" s="1223">
        <f>$G60*X60*Variables!$B$53*HLOOKUP($CO$2,Variables!$B$60:$F$61,2,FALSE)</f>
        <v>0</v>
      </c>
      <c r="CT60" s="1223">
        <f>$G60*Y60*Variables!$B$53*HLOOKUP($CO$2,Variables!$B$60:$F$61,2,FALSE)</f>
        <v>0</v>
      </c>
      <c r="CU60" s="1223">
        <f>$G60*Z60*Variables!$B$53*HLOOKUP($CO$2,Variables!$B$60:$F$61,2,FALSE)</f>
        <v>0</v>
      </c>
      <c r="CV60" s="1223">
        <f>$G60*AA60*Variables!$B$53*HLOOKUP($CO$2,Variables!$B$60:$F$61,2,FALSE)</f>
        <v>0</v>
      </c>
      <c r="CW60" s="1223">
        <f>$G60*AB60*Variables!$B$53*HLOOKUP($CO$2,Variables!$B$60:$F$61,2,FALSE)</f>
        <v>0</v>
      </c>
      <c r="CX60" s="1223">
        <f>$G60*AC60*Variables!$B$53*HLOOKUP($CO$2,Variables!$B$60:$F$61,2,FALSE)</f>
        <v>0</v>
      </c>
      <c r="CY60" s="1223">
        <f>$G60*AD60*Variables!$B$53*HLOOKUP($CO$2,Variables!$B$60:$F$61,2,FALSE)</f>
        <v>0</v>
      </c>
      <c r="CZ60" s="1225">
        <f>$G60*AE60*Variables!$B$53*HLOOKUP($CO$2,Variables!$B$60:$F$61,2,FALSE)</f>
        <v>0</v>
      </c>
      <c r="DA60" s="1222">
        <f>$G60*AF60*Variables!$B$53*HLOOKUP($DA$2,Variables!$B$60:$F$61,2,FALSE)</f>
        <v>0</v>
      </c>
      <c r="DB60" s="1223">
        <f>$G60*AG60*Variables!$B$53*HLOOKUP($DA$2,Variables!$B$60:$F$61,2,FALSE)</f>
        <v>0</v>
      </c>
      <c r="DC60" s="1223">
        <f>$G60*AH60*Variables!$B$53*HLOOKUP($DA$2,Variables!$B$60:$F$61,2,FALSE)</f>
        <v>0</v>
      </c>
      <c r="DD60" s="1223">
        <f>$G60*AI60*Variables!$B$53*HLOOKUP($DA$2,Variables!$B$60:$F$61,2,FALSE)</f>
        <v>0</v>
      </c>
      <c r="DE60" s="1223">
        <f>$G60*AJ60*Variables!$B$53*HLOOKUP($DA$2,Variables!$B$60:$F$61,2,FALSE)</f>
        <v>0</v>
      </c>
      <c r="DF60" s="1223">
        <f>$G60*AK60*Variables!$B$53*HLOOKUP($DA$2,Variables!$B$60:$F$61,2,FALSE)</f>
        <v>0</v>
      </c>
      <c r="DG60" s="1223">
        <f>$G60*AL60*Variables!$B$53*HLOOKUP($DA$2,Variables!$B$60:$F$61,2,FALSE)</f>
        <v>0</v>
      </c>
      <c r="DH60" s="1223">
        <f>$G60*AM60*Variables!$B$53*HLOOKUP($DA$2,Variables!$B$60:$F$61,2,FALSE)</f>
        <v>0</v>
      </c>
      <c r="DI60" s="1223">
        <f>$G60*AN60*Variables!$B$53*HLOOKUP($DA$2,Variables!$B$60:$F$61,2,FALSE)</f>
        <v>0</v>
      </c>
      <c r="DJ60" s="1223">
        <f>$G60*AO60*Variables!$B$53*HLOOKUP($DA$2,Variables!$B$60:$F$61,2,FALSE)</f>
        <v>0</v>
      </c>
      <c r="DK60" s="1223">
        <f>$G60*AP60*Variables!$B$53*HLOOKUP($DA$2,Variables!$B$60:$F$61,2,FALSE)</f>
        <v>0</v>
      </c>
      <c r="DL60" s="1225">
        <f>$G60*AQ60*Variables!$B$53*HLOOKUP($DA$2,Variables!$B$60:$F$61,2,FALSE)</f>
        <v>0</v>
      </c>
      <c r="DM60" s="1222">
        <f>$G60*AR60*Variables!$B$53*HLOOKUP($DM$2,Variables!$B$60:$F$61,2,FALSE)</f>
        <v>0</v>
      </c>
      <c r="DN60" s="1223">
        <f>$G60*AS60*Variables!$B$53*HLOOKUP($DM$2,Variables!$B$60:$F$61,2,FALSE)</f>
        <v>0</v>
      </c>
      <c r="DO60" s="1223">
        <f>$G60*AT60*Variables!$B$53*HLOOKUP($DM$2,Variables!$B$60:$F$61,2,FALSE)</f>
        <v>0</v>
      </c>
      <c r="DP60" s="1223">
        <f>$G60*AU60*Variables!$B$53*HLOOKUP($DM$2,Variables!$B$60:$F$61,2,FALSE)</f>
        <v>0</v>
      </c>
      <c r="DQ60" s="1223">
        <f>$G60*AV60*Variables!$B$53*HLOOKUP($DM$2,Variables!$B$60:$F$61,2,FALSE)</f>
        <v>0</v>
      </c>
      <c r="DR60" s="1223">
        <f>$G60*AW60*Variables!$B$53*HLOOKUP($DM$2,Variables!$B$60:$F$61,2,FALSE)</f>
        <v>0</v>
      </c>
      <c r="DS60" s="1223">
        <f>$G60*AX60*Variables!$B$53*HLOOKUP($DM$2,Variables!$B$60:$F$61,2,FALSE)</f>
        <v>0</v>
      </c>
      <c r="DT60" s="1223">
        <f>$G60*AY60*Variables!$B$53*HLOOKUP($DM$2,Variables!$B$60:$F$61,2,FALSE)</f>
        <v>0</v>
      </c>
      <c r="DU60" s="1223">
        <f>$G60*AZ60*Variables!$B$53*HLOOKUP($DM$2,Variables!$B$60:$F$61,2,FALSE)</f>
        <v>0</v>
      </c>
      <c r="DV60" s="1223">
        <f>$G60*BA60*Variables!$B$53*HLOOKUP($DM$2,Variables!$B$60:$F$61,2,FALSE)</f>
        <v>0</v>
      </c>
      <c r="DW60" s="1223">
        <f>$G60*BB60*Variables!$B$53*HLOOKUP($DM$2,Variables!$B$60:$F$61,2,FALSE)</f>
        <v>0</v>
      </c>
      <c r="DX60" s="1225">
        <f>$G60*BC60*Variables!$B$53*HLOOKUP($DM$2,Variables!$B$60:$F$61,2,FALSE)</f>
        <v>0</v>
      </c>
      <c r="DY60" s="1222">
        <f>$G60*BD60*Variables!$B$53*HLOOKUP($DY$2,Variables!$B$60:$F$61,2,FALSE)</f>
        <v>0</v>
      </c>
      <c r="DZ60" s="1223">
        <f>$G60*BE60*Variables!$B$53*HLOOKUP($DY$2,Variables!$B$60:$F$61,2,FALSE)</f>
        <v>0</v>
      </c>
      <c r="EA60" s="1223">
        <f>$G60*BF60*Variables!$B$53*HLOOKUP($DY$2,Variables!$B$60:$F$61,2,FALSE)</f>
        <v>0</v>
      </c>
      <c r="EB60" s="1223">
        <f>$G60*BG60*Variables!$B$53*HLOOKUP($DY$2,Variables!$B$60:$F$61,2,FALSE)</f>
        <v>0</v>
      </c>
      <c r="EC60" s="1223">
        <f>$G60*BH60*Variables!$B$53*HLOOKUP($DY$2,Variables!$B$60:$F$61,2,FALSE)</f>
        <v>0</v>
      </c>
      <c r="ED60" s="1223">
        <f>$G60*BI60*Variables!$B$53*HLOOKUP($DY$2,Variables!$B$60:$F$61,2,FALSE)</f>
        <v>0</v>
      </c>
      <c r="EE60" s="1223">
        <f>$G60*BJ60*Variables!$B$53*HLOOKUP($DY$2,Variables!$B$60:$F$61,2,FALSE)</f>
        <v>0</v>
      </c>
      <c r="EF60" s="1223">
        <f>$G60*BK60*Variables!$B$53*HLOOKUP($DY$2,Variables!$B$60:$F$61,2,FALSE)</f>
        <v>0</v>
      </c>
      <c r="EG60" s="1223">
        <f>$G60*BL60*Variables!$B$53*HLOOKUP($DY$2,Variables!$B$60:$F$61,2,FALSE)</f>
        <v>0</v>
      </c>
      <c r="EH60" s="1223">
        <f>$G60*BM60*Variables!$B$53*HLOOKUP($DY$2,Variables!$B$60:$F$61,2,FALSE)</f>
        <v>0</v>
      </c>
      <c r="EI60" s="1223">
        <f>$G60*BN60*Variables!$B$53*HLOOKUP($DY$2,Variables!$B$60:$F$61,2,FALSE)</f>
        <v>0</v>
      </c>
      <c r="EJ60" s="1225">
        <f>$G60*BO60*Variables!$B$53*HLOOKUP($DY$2,Variables!$B$60:$F$61,2,FALSE)</f>
        <v>0</v>
      </c>
      <c r="EK60" s="1222">
        <f>$G60*BP60*Variables!$B$53*HLOOKUP($EK$2,Variables!$B$60:$F$61,2,FALSE)</f>
        <v>0</v>
      </c>
      <c r="EL60" s="1223">
        <f>$G60*BQ60*Variables!$B$53*HLOOKUP($EK$2,Variables!$B$60:$F$61,2,FALSE)</f>
        <v>0</v>
      </c>
      <c r="EM60" s="1223">
        <f>$G60*BR60*Variables!$B$53*HLOOKUP($EK$2,Variables!$B$60:$F$61,2,FALSE)</f>
        <v>0</v>
      </c>
      <c r="EN60" s="1223">
        <f>$G60*BS60*Variables!$B$53*HLOOKUP($EK$2,Variables!$B$60:$F$61,2,FALSE)</f>
        <v>0</v>
      </c>
      <c r="EO60" s="1223">
        <f>$G60*BT60*Variables!$B$53*HLOOKUP($EK$2,Variables!$B$60:$F$61,2,FALSE)</f>
        <v>0</v>
      </c>
      <c r="EP60" s="1223">
        <f>$G60*BU60*Variables!$B$53*HLOOKUP($EK$2,Variables!$B$60:$F$61,2,FALSE)</f>
        <v>0</v>
      </c>
      <c r="EQ60" s="1223">
        <f>$G60*BV60*Variables!$B$53*HLOOKUP($EK$2,Variables!$B$60:$F$61,2,FALSE)</f>
        <v>0</v>
      </c>
      <c r="ER60" s="1223">
        <f>$G60*BW60*Variables!$B$53*HLOOKUP($EK$2,Variables!$B$60:$F$61,2,FALSE)</f>
        <v>0</v>
      </c>
      <c r="ES60" s="1223">
        <f>$G60*BX60*Variables!$B$53*HLOOKUP($EK$2,Variables!$B$60:$F$61,2,FALSE)</f>
        <v>0</v>
      </c>
      <c r="ET60" s="1223">
        <f>$G60*BY60*Variables!$B$53*HLOOKUP($EK$2,Variables!$B$60:$F$61,2,FALSE)</f>
        <v>0</v>
      </c>
      <c r="EU60" s="1223">
        <f>$G60*BZ60*Variables!$B$53*HLOOKUP($EK$2,Variables!$B$60:$F$61,2,FALSE)</f>
        <v>0</v>
      </c>
      <c r="EV60" s="1225">
        <f>$G60*CA60*Variables!$B$53*HLOOKUP($EK$2,Variables!$B$60:$F$61,2,FALSE)</f>
        <v>0</v>
      </c>
      <c r="EW60" s="872">
        <f t="shared" si="6"/>
        <v>0</v>
      </c>
      <c r="EX60" s="872"/>
      <c r="EY60" s="872"/>
      <c r="EZ60" s="872"/>
      <c r="FA60" s="1332"/>
      <c r="FC60" s="958" t="str">
        <f t="shared" si="8"/>
        <v/>
      </c>
      <c r="FD60" s="959" t="str">
        <f t="shared" si="9"/>
        <v/>
      </c>
      <c r="FE60" s="959" t="s">
        <v>8407</v>
      </c>
      <c r="FF60" s="959" t="str">
        <f>IF(ISNA(VLOOKUP(FC60,Miscellaneous!E:F,2,0)),"",VLOOKUP(FC60,Miscellaneous!E:F,2,0))</f>
        <v/>
      </c>
      <c r="FG60" s="959" t="str">
        <f t="shared" si="10"/>
        <v/>
      </c>
      <c r="FH60" s="996">
        <f>IF($FG60="Opex",SUMIF('Monthly Summary'!$C$75:$N$75,"",CC60:CN60),SUMIF('Monthly Summary'!$C$74:$N$74,"",CC60:CN60))</f>
        <v>0</v>
      </c>
      <c r="FI60" s="996">
        <f>IF($FG60="Opex",SUMIF('Monthly Summary'!$O$75:$Z$75,"",CO60:CZ60),SUMIF('Monthly Summary'!$O$74:$Z$74,"",CO60:CZ60))</f>
        <v>0</v>
      </c>
      <c r="FJ60" s="996">
        <f>IF($FG60="Opex",SUMIF('Monthly Summary'!$AA$75:$AL$75,"",DA60:DL60),SUMIF('Monthly Summary'!$AA$74:$AL$74,"",DA60:DL60))</f>
        <v>0</v>
      </c>
      <c r="FK60" s="996">
        <f>IF($FG60="Opex",SUMIF('Monthly Summary'!$AM$75:$AX$75,"",DM60:DX60),SUMIF('Monthly Summary'!$AM$74:$AX$74,"",DM60:DX60))</f>
        <v>0</v>
      </c>
      <c r="FL60" s="996">
        <f>IF($FG60="Opex",SUMIF('Monthly Summary'!$AY$75:$BJ$75,"",DY60:EJ60),SUMIF('Monthly Summary'!$AY$74:$BJ$74,"",DY60:EJ60))</f>
        <v>0</v>
      </c>
      <c r="FM60" s="997">
        <f>IF($FG60="Opex",SUMIF('Monthly Summary'!$BK$75:$BV$75,"",EK60:EV60),SUMIF('Monthly Summary'!$BK$74:$BV$74,"",EK60:EV60))</f>
        <v>0</v>
      </c>
      <c r="FN60" s="997">
        <f t="shared" si="7"/>
        <v>0</v>
      </c>
    </row>
    <row r="61" spans="3:170">
      <c r="C61" s="757"/>
      <c r="D61" s="757"/>
      <c r="E61" s="758"/>
      <c r="F61" s="758"/>
      <c r="G61" s="758"/>
      <c r="H61" s="1215"/>
      <c r="I61" s="761"/>
      <c r="J61" s="761"/>
      <c r="K61" s="761"/>
      <c r="L61" s="761"/>
      <c r="M61" s="761"/>
      <c r="N61" s="761"/>
      <c r="O61" s="761"/>
      <c r="P61" s="761"/>
      <c r="Q61" s="761"/>
      <c r="R61" s="761"/>
      <c r="S61" s="1216"/>
      <c r="T61" s="1215"/>
      <c r="U61" s="761"/>
      <c r="V61" s="761"/>
      <c r="W61" s="761"/>
      <c r="X61" s="761"/>
      <c r="Y61" s="761"/>
      <c r="Z61" s="761"/>
      <c r="AA61" s="761"/>
      <c r="AB61" s="761"/>
      <c r="AC61" s="761"/>
      <c r="AD61" s="761"/>
      <c r="AE61" s="1216"/>
      <c r="AF61" s="1215"/>
      <c r="AG61" s="761"/>
      <c r="AH61" s="761"/>
      <c r="AI61" s="761"/>
      <c r="AJ61" s="761"/>
      <c r="AK61" s="761"/>
      <c r="AL61" s="761"/>
      <c r="AM61" s="761"/>
      <c r="AN61" s="761"/>
      <c r="AO61" s="761"/>
      <c r="AP61" s="761"/>
      <c r="AQ61" s="1216"/>
      <c r="AR61" s="1215"/>
      <c r="AS61" s="761"/>
      <c r="AT61" s="761"/>
      <c r="AU61" s="761"/>
      <c r="AV61" s="761"/>
      <c r="AW61" s="761"/>
      <c r="AX61" s="761"/>
      <c r="AY61" s="761"/>
      <c r="AZ61" s="761"/>
      <c r="BA61" s="761"/>
      <c r="BB61" s="761"/>
      <c r="BC61" s="1216"/>
      <c r="BD61" s="1215"/>
      <c r="BE61" s="761"/>
      <c r="BF61" s="761"/>
      <c r="BG61" s="761"/>
      <c r="BH61" s="761"/>
      <c r="BI61" s="761"/>
      <c r="BJ61" s="761"/>
      <c r="BK61" s="761"/>
      <c r="BL61" s="761"/>
      <c r="BM61" s="761"/>
      <c r="BN61" s="761"/>
      <c r="BO61" s="1216"/>
      <c r="BP61" s="1215"/>
      <c r="BQ61" s="761"/>
      <c r="BR61" s="761"/>
      <c r="BS61" s="761"/>
      <c r="BT61" s="761"/>
      <c r="BU61" s="761"/>
      <c r="BV61" s="761"/>
      <c r="BW61" s="761"/>
      <c r="BX61" s="761"/>
      <c r="BY61" s="761"/>
      <c r="BZ61" s="761"/>
      <c r="CA61" s="1216"/>
      <c r="CB61" s="747"/>
      <c r="CC61" s="1222">
        <f>$G61*H61*Variables!$B$53</f>
        <v>0</v>
      </c>
      <c r="CD61" s="1223">
        <f>$G61*I61*Variables!$B$53</f>
        <v>0</v>
      </c>
      <c r="CE61" s="1223">
        <f>$G61*J61*Variables!$B$53</f>
        <v>0</v>
      </c>
      <c r="CF61" s="1223">
        <f>$G61*K61*Variables!$B$53</f>
        <v>0</v>
      </c>
      <c r="CG61" s="1223">
        <f>$G61*L61*Variables!$B$53</f>
        <v>0</v>
      </c>
      <c r="CH61" s="1223">
        <f>$G61*M61*Variables!$B$53</f>
        <v>0</v>
      </c>
      <c r="CI61" s="1223">
        <f>$G61*N61*Variables!$B$53</f>
        <v>0</v>
      </c>
      <c r="CJ61" s="1223">
        <f>$G61*O61*Variables!$B$53</f>
        <v>0</v>
      </c>
      <c r="CK61" s="1223">
        <f>$G61*P61*Variables!$B$53</f>
        <v>0</v>
      </c>
      <c r="CL61" s="1223">
        <f>$G61*Q61*Variables!$B$53</f>
        <v>0</v>
      </c>
      <c r="CM61" s="1223">
        <f>$G61*R61*Variables!$B$53</f>
        <v>0</v>
      </c>
      <c r="CN61" s="1225">
        <f>$G61*S61*Variables!$B$53</f>
        <v>0</v>
      </c>
      <c r="CO61" s="1222">
        <f>$G61*T61*Variables!$B$53*HLOOKUP($CO$2,Variables!$B$60:$F$61,2,FALSE)</f>
        <v>0</v>
      </c>
      <c r="CP61" s="1223">
        <f>$G61*U61*Variables!$B$53*HLOOKUP($CO$2,Variables!$B$60:$F$61,2,FALSE)</f>
        <v>0</v>
      </c>
      <c r="CQ61" s="1223">
        <f>$G61*V61*Variables!$B$53*HLOOKUP($CO$2,Variables!$B$60:$F$61,2,FALSE)</f>
        <v>0</v>
      </c>
      <c r="CR61" s="1223">
        <f>$G61*W61*Variables!$B$53*HLOOKUP($CO$2,Variables!$B$60:$F$61,2,FALSE)</f>
        <v>0</v>
      </c>
      <c r="CS61" s="1223">
        <f>$G61*X61*Variables!$B$53*HLOOKUP($CO$2,Variables!$B$60:$F$61,2,FALSE)</f>
        <v>0</v>
      </c>
      <c r="CT61" s="1223">
        <f>$G61*Y61*Variables!$B$53*HLOOKUP($CO$2,Variables!$B$60:$F$61,2,FALSE)</f>
        <v>0</v>
      </c>
      <c r="CU61" s="1223">
        <f>$G61*Z61*Variables!$B$53*HLOOKUP($CO$2,Variables!$B$60:$F$61,2,FALSE)</f>
        <v>0</v>
      </c>
      <c r="CV61" s="1223">
        <f>$G61*AA61*Variables!$B$53*HLOOKUP($CO$2,Variables!$B$60:$F$61,2,FALSE)</f>
        <v>0</v>
      </c>
      <c r="CW61" s="1223">
        <f>$G61*AB61*Variables!$B$53*HLOOKUP($CO$2,Variables!$B$60:$F$61,2,FALSE)</f>
        <v>0</v>
      </c>
      <c r="CX61" s="1223">
        <f>$G61*AC61*Variables!$B$53*HLOOKUP($CO$2,Variables!$B$60:$F$61,2,FALSE)</f>
        <v>0</v>
      </c>
      <c r="CY61" s="1223">
        <f>$G61*AD61*Variables!$B$53*HLOOKUP($CO$2,Variables!$B$60:$F$61,2,FALSE)</f>
        <v>0</v>
      </c>
      <c r="CZ61" s="1225">
        <f>$G61*AE61*Variables!$B$53*HLOOKUP($CO$2,Variables!$B$60:$F$61,2,FALSE)</f>
        <v>0</v>
      </c>
      <c r="DA61" s="1222">
        <f>$G61*AF61*Variables!$B$53*HLOOKUP($DA$2,Variables!$B$60:$F$61,2,FALSE)</f>
        <v>0</v>
      </c>
      <c r="DB61" s="1223">
        <f>$G61*AG61*Variables!$B$53*HLOOKUP($DA$2,Variables!$B$60:$F$61,2,FALSE)</f>
        <v>0</v>
      </c>
      <c r="DC61" s="1223">
        <f>$G61*AH61*Variables!$B$53*HLOOKUP($DA$2,Variables!$B$60:$F$61,2,FALSE)</f>
        <v>0</v>
      </c>
      <c r="DD61" s="1223">
        <f>$G61*AI61*Variables!$B$53*HLOOKUP($DA$2,Variables!$B$60:$F$61,2,FALSE)</f>
        <v>0</v>
      </c>
      <c r="DE61" s="1223">
        <f>$G61*AJ61*Variables!$B$53*HLOOKUP($DA$2,Variables!$B$60:$F$61,2,FALSE)</f>
        <v>0</v>
      </c>
      <c r="DF61" s="1223">
        <f>$G61*AK61*Variables!$B$53*HLOOKUP($DA$2,Variables!$B$60:$F$61,2,FALSE)</f>
        <v>0</v>
      </c>
      <c r="DG61" s="1223">
        <f>$G61*AL61*Variables!$B$53*HLOOKUP($DA$2,Variables!$B$60:$F$61,2,FALSE)</f>
        <v>0</v>
      </c>
      <c r="DH61" s="1223">
        <f>$G61*AM61*Variables!$B$53*HLOOKUP($DA$2,Variables!$B$60:$F$61,2,FALSE)</f>
        <v>0</v>
      </c>
      <c r="DI61" s="1223">
        <f>$G61*AN61*Variables!$B$53*HLOOKUP($DA$2,Variables!$B$60:$F$61,2,FALSE)</f>
        <v>0</v>
      </c>
      <c r="DJ61" s="1223">
        <f>$G61*AO61*Variables!$B$53*HLOOKUP($DA$2,Variables!$B$60:$F$61,2,FALSE)</f>
        <v>0</v>
      </c>
      <c r="DK61" s="1223">
        <f>$G61*AP61*Variables!$B$53*HLOOKUP($DA$2,Variables!$B$60:$F$61,2,FALSE)</f>
        <v>0</v>
      </c>
      <c r="DL61" s="1225">
        <f>$G61*AQ61*Variables!$B$53*HLOOKUP($DA$2,Variables!$B$60:$F$61,2,FALSE)</f>
        <v>0</v>
      </c>
      <c r="DM61" s="1222">
        <f>$G61*AR61*Variables!$B$53*HLOOKUP($DM$2,Variables!$B$60:$F$61,2,FALSE)</f>
        <v>0</v>
      </c>
      <c r="DN61" s="1223">
        <f>$G61*AS61*Variables!$B$53*HLOOKUP($DM$2,Variables!$B$60:$F$61,2,FALSE)</f>
        <v>0</v>
      </c>
      <c r="DO61" s="1223">
        <f>$G61*AT61*Variables!$B$53*HLOOKUP($DM$2,Variables!$B$60:$F$61,2,FALSE)</f>
        <v>0</v>
      </c>
      <c r="DP61" s="1223">
        <f>$G61*AU61*Variables!$B$53*HLOOKUP($DM$2,Variables!$B$60:$F$61,2,FALSE)</f>
        <v>0</v>
      </c>
      <c r="DQ61" s="1223">
        <f>$G61*AV61*Variables!$B$53*HLOOKUP($DM$2,Variables!$B$60:$F$61,2,FALSE)</f>
        <v>0</v>
      </c>
      <c r="DR61" s="1223">
        <f>$G61*AW61*Variables!$B$53*HLOOKUP($DM$2,Variables!$B$60:$F$61,2,FALSE)</f>
        <v>0</v>
      </c>
      <c r="DS61" s="1223">
        <f>$G61*AX61*Variables!$B$53*HLOOKUP($DM$2,Variables!$B$60:$F$61,2,FALSE)</f>
        <v>0</v>
      </c>
      <c r="DT61" s="1223">
        <f>$G61*AY61*Variables!$B$53*HLOOKUP($DM$2,Variables!$B$60:$F$61,2,FALSE)</f>
        <v>0</v>
      </c>
      <c r="DU61" s="1223">
        <f>$G61*AZ61*Variables!$B$53*HLOOKUP($DM$2,Variables!$B$60:$F$61,2,FALSE)</f>
        <v>0</v>
      </c>
      <c r="DV61" s="1223">
        <f>$G61*BA61*Variables!$B$53*HLOOKUP($DM$2,Variables!$B$60:$F$61,2,FALSE)</f>
        <v>0</v>
      </c>
      <c r="DW61" s="1223">
        <f>$G61*BB61*Variables!$B$53*HLOOKUP($DM$2,Variables!$B$60:$F$61,2,FALSE)</f>
        <v>0</v>
      </c>
      <c r="DX61" s="1225">
        <f>$G61*BC61*Variables!$B$53*HLOOKUP($DM$2,Variables!$B$60:$F$61,2,FALSE)</f>
        <v>0</v>
      </c>
      <c r="DY61" s="1222">
        <f>$G61*BD61*Variables!$B$53*HLOOKUP($DY$2,Variables!$B$60:$F$61,2,FALSE)</f>
        <v>0</v>
      </c>
      <c r="DZ61" s="1223">
        <f>$G61*BE61*Variables!$B$53*HLOOKUP($DY$2,Variables!$B$60:$F$61,2,FALSE)</f>
        <v>0</v>
      </c>
      <c r="EA61" s="1223">
        <f>$G61*BF61*Variables!$B$53*HLOOKUP($DY$2,Variables!$B$60:$F$61,2,FALSE)</f>
        <v>0</v>
      </c>
      <c r="EB61" s="1223">
        <f>$G61*BG61*Variables!$B$53*HLOOKUP($DY$2,Variables!$B$60:$F$61,2,FALSE)</f>
        <v>0</v>
      </c>
      <c r="EC61" s="1223">
        <f>$G61*BH61*Variables!$B$53*HLOOKUP($DY$2,Variables!$B$60:$F$61,2,FALSE)</f>
        <v>0</v>
      </c>
      <c r="ED61" s="1223">
        <f>$G61*BI61*Variables!$B$53*HLOOKUP($DY$2,Variables!$B$60:$F$61,2,FALSE)</f>
        <v>0</v>
      </c>
      <c r="EE61" s="1223">
        <f>$G61*BJ61*Variables!$B$53*HLOOKUP($DY$2,Variables!$B$60:$F$61,2,FALSE)</f>
        <v>0</v>
      </c>
      <c r="EF61" s="1223">
        <f>$G61*BK61*Variables!$B$53*HLOOKUP($DY$2,Variables!$B$60:$F$61,2,FALSE)</f>
        <v>0</v>
      </c>
      <c r="EG61" s="1223">
        <f>$G61*BL61*Variables!$B$53*HLOOKUP($DY$2,Variables!$B$60:$F$61,2,FALSE)</f>
        <v>0</v>
      </c>
      <c r="EH61" s="1223">
        <f>$G61*BM61*Variables!$B$53*HLOOKUP($DY$2,Variables!$B$60:$F$61,2,FALSE)</f>
        <v>0</v>
      </c>
      <c r="EI61" s="1223">
        <f>$G61*BN61*Variables!$B$53*HLOOKUP($DY$2,Variables!$B$60:$F$61,2,FALSE)</f>
        <v>0</v>
      </c>
      <c r="EJ61" s="1225">
        <f>$G61*BO61*Variables!$B$53*HLOOKUP($DY$2,Variables!$B$60:$F$61,2,FALSE)</f>
        <v>0</v>
      </c>
      <c r="EK61" s="1222">
        <f>$G61*BP61*Variables!$B$53*HLOOKUP($EK$2,Variables!$B$60:$F$61,2,FALSE)</f>
        <v>0</v>
      </c>
      <c r="EL61" s="1223">
        <f>$G61*BQ61*Variables!$B$53*HLOOKUP($EK$2,Variables!$B$60:$F$61,2,FALSE)</f>
        <v>0</v>
      </c>
      <c r="EM61" s="1223">
        <f>$G61*BR61*Variables!$B$53*HLOOKUP($EK$2,Variables!$B$60:$F$61,2,FALSE)</f>
        <v>0</v>
      </c>
      <c r="EN61" s="1223">
        <f>$G61*BS61*Variables!$B$53*HLOOKUP($EK$2,Variables!$B$60:$F$61,2,FALSE)</f>
        <v>0</v>
      </c>
      <c r="EO61" s="1223">
        <f>$G61*BT61*Variables!$B$53*HLOOKUP($EK$2,Variables!$B$60:$F$61,2,FALSE)</f>
        <v>0</v>
      </c>
      <c r="EP61" s="1223">
        <f>$G61*BU61*Variables!$B$53*HLOOKUP($EK$2,Variables!$B$60:$F$61,2,FALSE)</f>
        <v>0</v>
      </c>
      <c r="EQ61" s="1223">
        <f>$G61*BV61*Variables!$B$53*HLOOKUP($EK$2,Variables!$B$60:$F$61,2,FALSE)</f>
        <v>0</v>
      </c>
      <c r="ER61" s="1223">
        <f>$G61*BW61*Variables!$B$53*HLOOKUP($EK$2,Variables!$B$60:$F$61,2,FALSE)</f>
        <v>0</v>
      </c>
      <c r="ES61" s="1223">
        <f>$G61*BX61*Variables!$B$53*HLOOKUP($EK$2,Variables!$B$60:$F$61,2,FALSE)</f>
        <v>0</v>
      </c>
      <c r="ET61" s="1223">
        <f>$G61*BY61*Variables!$B$53*HLOOKUP($EK$2,Variables!$B$60:$F$61,2,FALSE)</f>
        <v>0</v>
      </c>
      <c r="EU61" s="1223">
        <f>$G61*BZ61*Variables!$B$53*HLOOKUP($EK$2,Variables!$B$60:$F$61,2,FALSE)</f>
        <v>0</v>
      </c>
      <c r="EV61" s="1225">
        <f>$G61*CA61*Variables!$B$53*HLOOKUP($EK$2,Variables!$B$60:$F$61,2,FALSE)</f>
        <v>0</v>
      </c>
      <c r="EW61" s="872">
        <f t="shared" si="6"/>
        <v>0</v>
      </c>
      <c r="EX61" s="872"/>
      <c r="EY61" s="872"/>
      <c r="EZ61" s="872"/>
      <c r="FA61" s="1332"/>
      <c r="FC61" s="958" t="str">
        <f t="shared" si="8"/>
        <v/>
      </c>
      <c r="FD61" s="959" t="str">
        <f t="shared" si="9"/>
        <v/>
      </c>
      <c r="FE61" s="959" t="s">
        <v>8407</v>
      </c>
      <c r="FF61" s="959" t="str">
        <f>IF(ISNA(VLOOKUP(FC61,Miscellaneous!E:F,2,0)),"",VLOOKUP(FC61,Miscellaneous!E:F,2,0))</f>
        <v/>
      </c>
      <c r="FG61" s="959" t="str">
        <f t="shared" si="10"/>
        <v/>
      </c>
      <c r="FH61" s="996">
        <f>IF($FG61="Opex",SUMIF('Monthly Summary'!$C$75:$N$75,"",CC61:CN61),SUMIF('Monthly Summary'!$C$74:$N$74,"",CC61:CN61))</f>
        <v>0</v>
      </c>
      <c r="FI61" s="996">
        <f>IF($FG61="Opex",SUMIF('Monthly Summary'!$O$75:$Z$75,"",CO61:CZ61),SUMIF('Monthly Summary'!$O$74:$Z$74,"",CO61:CZ61))</f>
        <v>0</v>
      </c>
      <c r="FJ61" s="996">
        <f>IF($FG61="Opex",SUMIF('Monthly Summary'!$AA$75:$AL$75,"",DA61:DL61),SUMIF('Monthly Summary'!$AA$74:$AL$74,"",DA61:DL61))</f>
        <v>0</v>
      </c>
      <c r="FK61" s="996">
        <f>IF($FG61="Opex",SUMIF('Monthly Summary'!$AM$75:$AX$75,"",DM61:DX61),SUMIF('Monthly Summary'!$AM$74:$AX$74,"",DM61:DX61))</f>
        <v>0</v>
      </c>
      <c r="FL61" s="996">
        <f>IF($FG61="Opex",SUMIF('Monthly Summary'!$AY$75:$BJ$75,"",DY61:EJ61),SUMIF('Monthly Summary'!$AY$74:$BJ$74,"",DY61:EJ61))</f>
        <v>0</v>
      </c>
      <c r="FM61" s="997">
        <f>IF($FG61="Opex",SUMIF('Monthly Summary'!$BK$75:$BV$75,"",EK61:EV61),SUMIF('Monthly Summary'!$BK$74:$BV$74,"",EK61:EV61))</f>
        <v>0</v>
      </c>
      <c r="FN61" s="997">
        <f t="shared" si="7"/>
        <v>0</v>
      </c>
    </row>
    <row r="62" spans="3:170">
      <c r="C62" s="757"/>
      <c r="D62" s="757"/>
      <c r="E62" s="758"/>
      <c r="F62" s="758"/>
      <c r="G62" s="758"/>
      <c r="H62" s="1215"/>
      <c r="I62" s="761"/>
      <c r="J62" s="761"/>
      <c r="K62" s="761"/>
      <c r="L62" s="761"/>
      <c r="M62" s="761"/>
      <c r="N62" s="761"/>
      <c r="O62" s="761"/>
      <c r="P62" s="761"/>
      <c r="Q62" s="761"/>
      <c r="R62" s="761"/>
      <c r="S62" s="1216"/>
      <c r="T62" s="1215"/>
      <c r="U62" s="761"/>
      <c r="V62" s="761"/>
      <c r="W62" s="761"/>
      <c r="X62" s="761"/>
      <c r="Y62" s="761"/>
      <c r="Z62" s="761"/>
      <c r="AA62" s="761"/>
      <c r="AB62" s="761"/>
      <c r="AC62" s="761"/>
      <c r="AD62" s="761"/>
      <c r="AE62" s="1216"/>
      <c r="AF62" s="1215"/>
      <c r="AG62" s="761"/>
      <c r="AH62" s="761"/>
      <c r="AI62" s="761"/>
      <c r="AJ62" s="761"/>
      <c r="AK62" s="761"/>
      <c r="AL62" s="761"/>
      <c r="AM62" s="761"/>
      <c r="AN62" s="761"/>
      <c r="AO62" s="761"/>
      <c r="AP62" s="761"/>
      <c r="AQ62" s="1216"/>
      <c r="AR62" s="1215"/>
      <c r="AS62" s="761"/>
      <c r="AT62" s="761"/>
      <c r="AU62" s="761"/>
      <c r="AV62" s="761"/>
      <c r="AW62" s="761"/>
      <c r="AX62" s="761"/>
      <c r="AY62" s="761"/>
      <c r="AZ62" s="761"/>
      <c r="BA62" s="761"/>
      <c r="BB62" s="761"/>
      <c r="BC62" s="1216"/>
      <c r="BD62" s="1215"/>
      <c r="BE62" s="761"/>
      <c r="BF62" s="761"/>
      <c r="BG62" s="761"/>
      <c r="BH62" s="761"/>
      <c r="BI62" s="761"/>
      <c r="BJ62" s="761"/>
      <c r="BK62" s="761"/>
      <c r="BL62" s="761"/>
      <c r="BM62" s="761"/>
      <c r="BN62" s="761"/>
      <c r="BO62" s="1216"/>
      <c r="BP62" s="1215"/>
      <c r="BQ62" s="761"/>
      <c r="BR62" s="761"/>
      <c r="BS62" s="761"/>
      <c r="BT62" s="761"/>
      <c r="BU62" s="761"/>
      <c r="BV62" s="761"/>
      <c r="BW62" s="761"/>
      <c r="BX62" s="761"/>
      <c r="BY62" s="761"/>
      <c r="BZ62" s="761"/>
      <c r="CA62" s="1216"/>
      <c r="CB62" s="747"/>
      <c r="CC62" s="1222">
        <f>$G62*H62*Variables!$B$53</f>
        <v>0</v>
      </c>
      <c r="CD62" s="1223">
        <f>$G62*I62*Variables!$B$53</f>
        <v>0</v>
      </c>
      <c r="CE62" s="1223">
        <f>$G62*J62*Variables!$B$53</f>
        <v>0</v>
      </c>
      <c r="CF62" s="1223">
        <f>$G62*K62*Variables!$B$53</f>
        <v>0</v>
      </c>
      <c r="CG62" s="1223">
        <f>$G62*L62*Variables!$B$53</f>
        <v>0</v>
      </c>
      <c r="CH62" s="1223">
        <f>$G62*M62*Variables!$B$53</f>
        <v>0</v>
      </c>
      <c r="CI62" s="1223">
        <f>$G62*N62*Variables!$B$53</f>
        <v>0</v>
      </c>
      <c r="CJ62" s="1223">
        <f>$G62*O62*Variables!$B$53</f>
        <v>0</v>
      </c>
      <c r="CK62" s="1223">
        <f>$G62*P62*Variables!$B$53</f>
        <v>0</v>
      </c>
      <c r="CL62" s="1223">
        <f>$G62*Q62*Variables!$B$53</f>
        <v>0</v>
      </c>
      <c r="CM62" s="1223">
        <f>$G62*R62*Variables!$B$53</f>
        <v>0</v>
      </c>
      <c r="CN62" s="1225">
        <f>$G62*S62*Variables!$B$53</f>
        <v>0</v>
      </c>
      <c r="CO62" s="1222">
        <f>$G62*T62*Variables!$B$53*HLOOKUP($CO$2,Variables!$B$60:$F$61,2,FALSE)</f>
        <v>0</v>
      </c>
      <c r="CP62" s="1223">
        <f>$G62*U62*Variables!$B$53*HLOOKUP($CO$2,Variables!$B$60:$F$61,2,FALSE)</f>
        <v>0</v>
      </c>
      <c r="CQ62" s="1223">
        <f>$G62*V62*Variables!$B$53*HLOOKUP($CO$2,Variables!$B$60:$F$61,2,FALSE)</f>
        <v>0</v>
      </c>
      <c r="CR62" s="1223">
        <f>$G62*W62*Variables!$B$53*HLOOKUP($CO$2,Variables!$B$60:$F$61,2,FALSE)</f>
        <v>0</v>
      </c>
      <c r="CS62" s="1223">
        <f>$G62*X62*Variables!$B$53*HLOOKUP($CO$2,Variables!$B$60:$F$61,2,FALSE)</f>
        <v>0</v>
      </c>
      <c r="CT62" s="1223">
        <f>$G62*Y62*Variables!$B$53*HLOOKUP($CO$2,Variables!$B$60:$F$61,2,FALSE)</f>
        <v>0</v>
      </c>
      <c r="CU62" s="1223">
        <f>$G62*Z62*Variables!$B$53*HLOOKUP($CO$2,Variables!$B$60:$F$61,2,FALSE)</f>
        <v>0</v>
      </c>
      <c r="CV62" s="1223">
        <f>$G62*AA62*Variables!$B$53*HLOOKUP($CO$2,Variables!$B$60:$F$61,2,FALSE)</f>
        <v>0</v>
      </c>
      <c r="CW62" s="1223">
        <f>$G62*AB62*Variables!$B$53*HLOOKUP($CO$2,Variables!$B$60:$F$61,2,FALSE)</f>
        <v>0</v>
      </c>
      <c r="CX62" s="1223">
        <f>$G62*AC62*Variables!$B$53*HLOOKUP($CO$2,Variables!$B$60:$F$61,2,FALSE)</f>
        <v>0</v>
      </c>
      <c r="CY62" s="1223">
        <f>$G62*AD62*Variables!$B$53*HLOOKUP($CO$2,Variables!$B$60:$F$61,2,FALSE)</f>
        <v>0</v>
      </c>
      <c r="CZ62" s="1225">
        <f>$G62*AE62*Variables!$B$53*HLOOKUP($CO$2,Variables!$B$60:$F$61,2,FALSE)</f>
        <v>0</v>
      </c>
      <c r="DA62" s="1222">
        <f>$G62*AF62*Variables!$B$53*HLOOKUP($DA$2,Variables!$B$60:$F$61,2,FALSE)</f>
        <v>0</v>
      </c>
      <c r="DB62" s="1223">
        <f>$G62*AG62*Variables!$B$53*HLOOKUP($DA$2,Variables!$B$60:$F$61,2,FALSE)</f>
        <v>0</v>
      </c>
      <c r="DC62" s="1223">
        <f>$G62*AH62*Variables!$B$53*HLOOKUP($DA$2,Variables!$B$60:$F$61,2,FALSE)</f>
        <v>0</v>
      </c>
      <c r="DD62" s="1223">
        <f>$G62*AI62*Variables!$B$53*HLOOKUP($DA$2,Variables!$B$60:$F$61,2,FALSE)</f>
        <v>0</v>
      </c>
      <c r="DE62" s="1223">
        <f>$G62*AJ62*Variables!$B$53*HLOOKUP($DA$2,Variables!$B$60:$F$61,2,FALSE)</f>
        <v>0</v>
      </c>
      <c r="DF62" s="1223">
        <f>$G62*AK62*Variables!$B$53*HLOOKUP($DA$2,Variables!$B$60:$F$61,2,FALSE)</f>
        <v>0</v>
      </c>
      <c r="DG62" s="1223">
        <f>$G62*AL62*Variables!$B$53*HLOOKUP($DA$2,Variables!$B$60:$F$61,2,FALSE)</f>
        <v>0</v>
      </c>
      <c r="DH62" s="1223">
        <f>$G62*AM62*Variables!$B$53*HLOOKUP($DA$2,Variables!$B$60:$F$61,2,FALSE)</f>
        <v>0</v>
      </c>
      <c r="DI62" s="1223">
        <f>$G62*AN62*Variables!$B$53*HLOOKUP($DA$2,Variables!$B$60:$F$61,2,FALSE)</f>
        <v>0</v>
      </c>
      <c r="DJ62" s="1223">
        <f>$G62*AO62*Variables!$B$53*HLOOKUP($DA$2,Variables!$B$60:$F$61,2,FALSE)</f>
        <v>0</v>
      </c>
      <c r="DK62" s="1223">
        <f>$G62*AP62*Variables!$B$53*HLOOKUP($DA$2,Variables!$B$60:$F$61,2,FALSE)</f>
        <v>0</v>
      </c>
      <c r="DL62" s="1225">
        <f>$G62*AQ62*Variables!$B$53*HLOOKUP($DA$2,Variables!$B$60:$F$61,2,FALSE)</f>
        <v>0</v>
      </c>
      <c r="DM62" s="1222">
        <f>$G62*AR62*Variables!$B$53*HLOOKUP($DM$2,Variables!$B$60:$F$61,2,FALSE)</f>
        <v>0</v>
      </c>
      <c r="DN62" s="1223">
        <f>$G62*AS62*Variables!$B$53*HLOOKUP($DM$2,Variables!$B$60:$F$61,2,FALSE)</f>
        <v>0</v>
      </c>
      <c r="DO62" s="1223">
        <f>$G62*AT62*Variables!$B$53*HLOOKUP($DM$2,Variables!$B$60:$F$61,2,FALSE)</f>
        <v>0</v>
      </c>
      <c r="DP62" s="1223">
        <f>$G62*AU62*Variables!$B$53*HLOOKUP($DM$2,Variables!$B$60:$F$61,2,FALSE)</f>
        <v>0</v>
      </c>
      <c r="DQ62" s="1223">
        <f>$G62*AV62*Variables!$B$53*HLOOKUP($DM$2,Variables!$B$60:$F$61,2,FALSE)</f>
        <v>0</v>
      </c>
      <c r="DR62" s="1223">
        <f>$G62*AW62*Variables!$B$53*HLOOKUP($DM$2,Variables!$B$60:$F$61,2,FALSE)</f>
        <v>0</v>
      </c>
      <c r="DS62" s="1223">
        <f>$G62*AX62*Variables!$B$53*HLOOKUP($DM$2,Variables!$B$60:$F$61,2,FALSE)</f>
        <v>0</v>
      </c>
      <c r="DT62" s="1223">
        <f>$G62*AY62*Variables!$B$53*HLOOKUP($DM$2,Variables!$B$60:$F$61,2,FALSE)</f>
        <v>0</v>
      </c>
      <c r="DU62" s="1223">
        <f>$G62*AZ62*Variables!$B$53*HLOOKUP($DM$2,Variables!$B$60:$F$61,2,FALSE)</f>
        <v>0</v>
      </c>
      <c r="DV62" s="1223">
        <f>$G62*BA62*Variables!$B$53*HLOOKUP($DM$2,Variables!$B$60:$F$61,2,FALSE)</f>
        <v>0</v>
      </c>
      <c r="DW62" s="1223">
        <f>$G62*BB62*Variables!$B$53*HLOOKUP($DM$2,Variables!$B$60:$F$61,2,FALSE)</f>
        <v>0</v>
      </c>
      <c r="DX62" s="1225">
        <f>$G62*BC62*Variables!$B$53*HLOOKUP($DM$2,Variables!$B$60:$F$61,2,FALSE)</f>
        <v>0</v>
      </c>
      <c r="DY62" s="1222">
        <f>$G62*BD62*Variables!$B$53*HLOOKUP($DY$2,Variables!$B$60:$F$61,2,FALSE)</f>
        <v>0</v>
      </c>
      <c r="DZ62" s="1223">
        <f>$G62*BE62*Variables!$B$53*HLOOKUP($DY$2,Variables!$B$60:$F$61,2,FALSE)</f>
        <v>0</v>
      </c>
      <c r="EA62" s="1223">
        <f>$G62*BF62*Variables!$B$53*HLOOKUP($DY$2,Variables!$B$60:$F$61,2,FALSE)</f>
        <v>0</v>
      </c>
      <c r="EB62" s="1223">
        <f>$G62*BG62*Variables!$B$53*HLOOKUP($DY$2,Variables!$B$60:$F$61,2,FALSE)</f>
        <v>0</v>
      </c>
      <c r="EC62" s="1223">
        <f>$G62*BH62*Variables!$B$53*HLOOKUP($DY$2,Variables!$B$60:$F$61,2,FALSE)</f>
        <v>0</v>
      </c>
      <c r="ED62" s="1223">
        <f>$G62*BI62*Variables!$B$53*HLOOKUP($DY$2,Variables!$B$60:$F$61,2,FALSE)</f>
        <v>0</v>
      </c>
      <c r="EE62" s="1223">
        <f>$G62*BJ62*Variables!$B$53*HLOOKUP($DY$2,Variables!$B$60:$F$61,2,FALSE)</f>
        <v>0</v>
      </c>
      <c r="EF62" s="1223">
        <f>$G62*BK62*Variables!$B$53*HLOOKUP($DY$2,Variables!$B$60:$F$61,2,FALSE)</f>
        <v>0</v>
      </c>
      <c r="EG62" s="1223">
        <f>$G62*BL62*Variables!$B$53*HLOOKUP($DY$2,Variables!$B$60:$F$61,2,FALSE)</f>
        <v>0</v>
      </c>
      <c r="EH62" s="1223">
        <f>$G62*BM62*Variables!$B$53*HLOOKUP($DY$2,Variables!$B$60:$F$61,2,FALSE)</f>
        <v>0</v>
      </c>
      <c r="EI62" s="1223">
        <f>$G62*BN62*Variables!$B$53*HLOOKUP($DY$2,Variables!$B$60:$F$61,2,FALSE)</f>
        <v>0</v>
      </c>
      <c r="EJ62" s="1225">
        <f>$G62*BO62*Variables!$B$53*HLOOKUP($DY$2,Variables!$B$60:$F$61,2,FALSE)</f>
        <v>0</v>
      </c>
      <c r="EK62" s="1222">
        <f>$G62*BP62*Variables!$B$53*HLOOKUP($EK$2,Variables!$B$60:$F$61,2,FALSE)</f>
        <v>0</v>
      </c>
      <c r="EL62" s="1223">
        <f>$G62*BQ62*Variables!$B$53*HLOOKUP($EK$2,Variables!$B$60:$F$61,2,FALSE)</f>
        <v>0</v>
      </c>
      <c r="EM62" s="1223">
        <f>$G62*BR62*Variables!$B$53*HLOOKUP($EK$2,Variables!$B$60:$F$61,2,FALSE)</f>
        <v>0</v>
      </c>
      <c r="EN62" s="1223">
        <f>$G62*BS62*Variables!$B$53*HLOOKUP($EK$2,Variables!$B$60:$F$61,2,FALSE)</f>
        <v>0</v>
      </c>
      <c r="EO62" s="1223">
        <f>$G62*BT62*Variables!$B$53*HLOOKUP($EK$2,Variables!$B$60:$F$61,2,FALSE)</f>
        <v>0</v>
      </c>
      <c r="EP62" s="1223">
        <f>$G62*BU62*Variables!$B$53*HLOOKUP($EK$2,Variables!$B$60:$F$61,2,FALSE)</f>
        <v>0</v>
      </c>
      <c r="EQ62" s="1223">
        <f>$G62*BV62*Variables!$B$53*HLOOKUP($EK$2,Variables!$B$60:$F$61,2,FALSE)</f>
        <v>0</v>
      </c>
      <c r="ER62" s="1223">
        <f>$G62*BW62*Variables!$B$53*HLOOKUP($EK$2,Variables!$B$60:$F$61,2,FALSE)</f>
        <v>0</v>
      </c>
      <c r="ES62" s="1223">
        <f>$G62*BX62*Variables!$B$53*HLOOKUP($EK$2,Variables!$B$60:$F$61,2,FALSE)</f>
        <v>0</v>
      </c>
      <c r="ET62" s="1223">
        <f>$G62*BY62*Variables!$B$53*HLOOKUP($EK$2,Variables!$B$60:$F$61,2,FALSE)</f>
        <v>0</v>
      </c>
      <c r="EU62" s="1223">
        <f>$G62*BZ62*Variables!$B$53*HLOOKUP($EK$2,Variables!$B$60:$F$61,2,FALSE)</f>
        <v>0</v>
      </c>
      <c r="EV62" s="1225">
        <f>$G62*CA62*Variables!$B$53*HLOOKUP($EK$2,Variables!$B$60:$F$61,2,FALSE)</f>
        <v>0</v>
      </c>
      <c r="EW62" s="872">
        <f t="shared" si="6"/>
        <v>0</v>
      </c>
      <c r="EX62" s="872"/>
      <c r="EY62" s="872"/>
      <c r="EZ62" s="872"/>
      <c r="FA62" s="1332"/>
      <c r="FC62" s="958" t="str">
        <f t="shared" si="8"/>
        <v/>
      </c>
      <c r="FD62" s="959" t="str">
        <f t="shared" si="9"/>
        <v/>
      </c>
      <c r="FE62" s="959" t="s">
        <v>8407</v>
      </c>
      <c r="FF62" s="959" t="str">
        <f>IF(ISNA(VLOOKUP(FC62,Miscellaneous!E:F,2,0)),"",VLOOKUP(FC62,Miscellaneous!E:F,2,0))</f>
        <v/>
      </c>
      <c r="FG62" s="959" t="str">
        <f t="shared" si="10"/>
        <v/>
      </c>
      <c r="FH62" s="996">
        <f>IF($FG62="Opex",SUMIF('Monthly Summary'!$C$75:$N$75,"",CC62:CN62),SUMIF('Monthly Summary'!$C$74:$N$74,"",CC62:CN62))</f>
        <v>0</v>
      </c>
      <c r="FI62" s="996">
        <f>IF($FG62="Opex",SUMIF('Monthly Summary'!$O$75:$Z$75,"",CO62:CZ62),SUMIF('Monthly Summary'!$O$74:$Z$74,"",CO62:CZ62))</f>
        <v>0</v>
      </c>
      <c r="FJ62" s="996">
        <f>IF($FG62="Opex",SUMIF('Monthly Summary'!$AA$75:$AL$75,"",DA62:DL62),SUMIF('Monthly Summary'!$AA$74:$AL$74,"",DA62:DL62))</f>
        <v>0</v>
      </c>
      <c r="FK62" s="996">
        <f>IF($FG62="Opex",SUMIF('Monthly Summary'!$AM$75:$AX$75,"",DM62:DX62),SUMIF('Monthly Summary'!$AM$74:$AX$74,"",DM62:DX62))</f>
        <v>0</v>
      </c>
      <c r="FL62" s="996">
        <f>IF($FG62="Opex",SUMIF('Monthly Summary'!$AY$75:$BJ$75,"",DY62:EJ62),SUMIF('Monthly Summary'!$AY$74:$BJ$74,"",DY62:EJ62))</f>
        <v>0</v>
      </c>
      <c r="FM62" s="997">
        <f>IF($FG62="Opex",SUMIF('Monthly Summary'!$BK$75:$BV$75,"",EK62:EV62),SUMIF('Monthly Summary'!$BK$74:$BV$74,"",EK62:EV62))</f>
        <v>0</v>
      </c>
      <c r="FN62" s="997">
        <f t="shared" si="7"/>
        <v>0</v>
      </c>
    </row>
    <row r="63" spans="3:170">
      <c r="C63" s="757"/>
      <c r="D63" s="757"/>
      <c r="E63" s="758"/>
      <c r="F63" s="758"/>
      <c r="G63" s="758"/>
      <c r="H63" s="1215"/>
      <c r="I63" s="761"/>
      <c r="J63" s="761"/>
      <c r="K63" s="761"/>
      <c r="L63" s="761"/>
      <c r="M63" s="761"/>
      <c r="N63" s="761"/>
      <c r="O63" s="761"/>
      <c r="P63" s="761"/>
      <c r="Q63" s="761"/>
      <c r="R63" s="761"/>
      <c r="S63" s="1216"/>
      <c r="T63" s="1215"/>
      <c r="U63" s="761"/>
      <c r="V63" s="761"/>
      <c r="W63" s="761"/>
      <c r="X63" s="761"/>
      <c r="Y63" s="761"/>
      <c r="Z63" s="761"/>
      <c r="AA63" s="761"/>
      <c r="AB63" s="761"/>
      <c r="AC63" s="761"/>
      <c r="AD63" s="761"/>
      <c r="AE63" s="1216"/>
      <c r="AF63" s="1215"/>
      <c r="AG63" s="761"/>
      <c r="AH63" s="761"/>
      <c r="AI63" s="761"/>
      <c r="AJ63" s="761"/>
      <c r="AK63" s="761"/>
      <c r="AL63" s="761"/>
      <c r="AM63" s="761"/>
      <c r="AN63" s="761"/>
      <c r="AO63" s="761"/>
      <c r="AP63" s="761"/>
      <c r="AQ63" s="1216"/>
      <c r="AR63" s="1215"/>
      <c r="AS63" s="761"/>
      <c r="AT63" s="761"/>
      <c r="AU63" s="761"/>
      <c r="AV63" s="761"/>
      <c r="AW63" s="761"/>
      <c r="AX63" s="761"/>
      <c r="AY63" s="761"/>
      <c r="AZ63" s="761"/>
      <c r="BA63" s="761"/>
      <c r="BB63" s="761"/>
      <c r="BC63" s="1216"/>
      <c r="BD63" s="1215"/>
      <c r="BE63" s="761"/>
      <c r="BF63" s="761"/>
      <c r="BG63" s="761"/>
      <c r="BH63" s="761"/>
      <c r="BI63" s="761"/>
      <c r="BJ63" s="761"/>
      <c r="BK63" s="761"/>
      <c r="BL63" s="761"/>
      <c r="BM63" s="761"/>
      <c r="BN63" s="761"/>
      <c r="BO63" s="1216"/>
      <c r="BP63" s="1215"/>
      <c r="BQ63" s="761"/>
      <c r="BR63" s="761"/>
      <c r="BS63" s="761"/>
      <c r="BT63" s="761"/>
      <c r="BU63" s="761"/>
      <c r="BV63" s="761"/>
      <c r="BW63" s="761"/>
      <c r="BX63" s="761"/>
      <c r="BY63" s="761"/>
      <c r="BZ63" s="761"/>
      <c r="CA63" s="1216"/>
      <c r="CB63" s="747"/>
      <c r="CC63" s="1222">
        <f>$G63*H63*Variables!$B$53</f>
        <v>0</v>
      </c>
      <c r="CD63" s="1223">
        <f>$G63*I63*Variables!$B$53</f>
        <v>0</v>
      </c>
      <c r="CE63" s="1223">
        <f>$G63*J63*Variables!$B$53</f>
        <v>0</v>
      </c>
      <c r="CF63" s="1223">
        <f>$G63*K63*Variables!$B$53</f>
        <v>0</v>
      </c>
      <c r="CG63" s="1223">
        <f>$G63*L63*Variables!$B$53</f>
        <v>0</v>
      </c>
      <c r="CH63" s="1223">
        <f>$G63*M63*Variables!$B$53</f>
        <v>0</v>
      </c>
      <c r="CI63" s="1223">
        <f>$G63*N63*Variables!$B$53</f>
        <v>0</v>
      </c>
      <c r="CJ63" s="1223">
        <f>$G63*O63*Variables!$B$53</f>
        <v>0</v>
      </c>
      <c r="CK63" s="1223">
        <f>$G63*P63*Variables!$B$53</f>
        <v>0</v>
      </c>
      <c r="CL63" s="1223">
        <f>$G63*Q63*Variables!$B$53</f>
        <v>0</v>
      </c>
      <c r="CM63" s="1223">
        <f>$G63*R63*Variables!$B$53</f>
        <v>0</v>
      </c>
      <c r="CN63" s="1225">
        <f>$G63*S63*Variables!$B$53</f>
        <v>0</v>
      </c>
      <c r="CO63" s="1222">
        <f>$G63*T63*Variables!$B$53*HLOOKUP($CO$2,Variables!$B$60:$F$61,2,FALSE)</f>
        <v>0</v>
      </c>
      <c r="CP63" s="1223">
        <f>$G63*U63*Variables!$B$53*HLOOKUP($CO$2,Variables!$B$60:$F$61,2,FALSE)</f>
        <v>0</v>
      </c>
      <c r="CQ63" s="1223">
        <f>$G63*V63*Variables!$B$53*HLOOKUP($CO$2,Variables!$B$60:$F$61,2,FALSE)</f>
        <v>0</v>
      </c>
      <c r="CR63" s="1223">
        <f>$G63*W63*Variables!$B$53*HLOOKUP($CO$2,Variables!$B$60:$F$61,2,FALSE)</f>
        <v>0</v>
      </c>
      <c r="CS63" s="1223">
        <f>$G63*X63*Variables!$B$53*HLOOKUP($CO$2,Variables!$B$60:$F$61,2,FALSE)</f>
        <v>0</v>
      </c>
      <c r="CT63" s="1223">
        <f>$G63*Y63*Variables!$B$53*HLOOKUP($CO$2,Variables!$B$60:$F$61,2,FALSE)</f>
        <v>0</v>
      </c>
      <c r="CU63" s="1223">
        <f>$G63*Z63*Variables!$B$53*HLOOKUP($CO$2,Variables!$B$60:$F$61,2,FALSE)</f>
        <v>0</v>
      </c>
      <c r="CV63" s="1223">
        <f>$G63*AA63*Variables!$B$53*HLOOKUP($CO$2,Variables!$B$60:$F$61,2,FALSE)</f>
        <v>0</v>
      </c>
      <c r="CW63" s="1223">
        <f>$G63*AB63*Variables!$B$53*HLOOKUP($CO$2,Variables!$B$60:$F$61,2,FALSE)</f>
        <v>0</v>
      </c>
      <c r="CX63" s="1223">
        <f>$G63*AC63*Variables!$B$53*HLOOKUP($CO$2,Variables!$B$60:$F$61,2,FALSE)</f>
        <v>0</v>
      </c>
      <c r="CY63" s="1223">
        <f>$G63*AD63*Variables!$B$53*HLOOKUP($CO$2,Variables!$B$60:$F$61,2,FALSE)</f>
        <v>0</v>
      </c>
      <c r="CZ63" s="1225">
        <f>$G63*AE63*Variables!$B$53*HLOOKUP($CO$2,Variables!$B$60:$F$61,2,FALSE)</f>
        <v>0</v>
      </c>
      <c r="DA63" s="1222">
        <f>$G63*AF63*Variables!$B$53*HLOOKUP($DA$2,Variables!$B$60:$F$61,2,FALSE)</f>
        <v>0</v>
      </c>
      <c r="DB63" s="1223">
        <f>$G63*AG63*Variables!$B$53*HLOOKUP($DA$2,Variables!$B$60:$F$61,2,FALSE)</f>
        <v>0</v>
      </c>
      <c r="DC63" s="1223">
        <f>$G63*AH63*Variables!$B$53*HLOOKUP($DA$2,Variables!$B$60:$F$61,2,FALSE)</f>
        <v>0</v>
      </c>
      <c r="DD63" s="1223">
        <f>$G63*AI63*Variables!$B$53*HLOOKUP($DA$2,Variables!$B$60:$F$61,2,FALSE)</f>
        <v>0</v>
      </c>
      <c r="DE63" s="1223">
        <f>$G63*AJ63*Variables!$B$53*HLOOKUP($DA$2,Variables!$B$60:$F$61,2,FALSE)</f>
        <v>0</v>
      </c>
      <c r="DF63" s="1223">
        <f>$G63*AK63*Variables!$B$53*HLOOKUP($DA$2,Variables!$B$60:$F$61,2,FALSE)</f>
        <v>0</v>
      </c>
      <c r="DG63" s="1223">
        <f>$G63*AL63*Variables!$B$53*HLOOKUP($DA$2,Variables!$B$60:$F$61,2,FALSE)</f>
        <v>0</v>
      </c>
      <c r="DH63" s="1223">
        <f>$G63*AM63*Variables!$B$53*HLOOKUP($DA$2,Variables!$B$60:$F$61,2,FALSE)</f>
        <v>0</v>
      </c>
      <c r="DI63" s="1223">
        <f>$G63*AN63*Variables!$B$53*HLOOKUP($DA$2,Variables!$B$60:$F$61,2,FALSE)</f>
        <v>0</v>
      </c>
      <c r="DJ63" s="1223">
        <f>$G63*AO63*Variables!$B$53*HLOOKUP($DA$2,Variables!$B$60:$F$61,2,FALSE)</f>
        <v>0</v>
      </c>
      <c r="DK63" s="1223">
        <f>$G63*AP63*Variables!$B$53*HLOOKUP($DA$2,Variables!$B$60:$F$61,2,FALSE)</f>
        <v>0</v>
      </c>
      <c r="DL63" s="1225">
        <f>$G63*AQ63*Variables!$B$53*HLOOKUP($DA$2,Variables!$B$60:$F$61,2,FALSE)</f>
        <v>0</v>
      </c>
      <c r="DM63" s="1222">
        <f>$G63*AR63*Variables!$B$53*HLOOKUP($DM$2,Variables!$B$60:$F$61,2,FALSE)</f>
        <v>0</v>
      </c>
      <c r="DN63" s="1223">
        <f>$G63*AS63*Variables!$B$53*HLOOKUP($DM$2,Variables!$B$60:$F$61,2,FALSE)</f>
        <v>0</v>
      </c>
      <c r="DO63" s="1223">
        <f>$G63*AT63*Variables!$B$53*HLOOKUP($DM$2,Variables!$B$60:$F$61,2,FALSE)</f>
        <v>0</v>
      </c>
      <c r="DP63" s="1223">
        <f>$G63*AU63*Variables!$B$53*HLOOKUP($DM$2,Variables!$B$60:$F$61,2,FALSE)</f>
        <v>0</v>
      </c>
      <c r="DQ63" s="1223">
        <f>$G63*AV63*Variables!$B$53*HLOOKUP($DM$2,Variables!$B$60:$F$61,2,FALSE)</f>
        <v>0</v>
      </c>
      <c r="DR63" s="1223">
        <f>$G63*AW63*Variables!$B$53*HLOOKUP($DM$2,Variables!$B$60:$F$61,2,FALSE)</f>
        <v>0</v>
      </c>
      <c r="DS63" s="1223">
        <f>$G63*AX63*Variables!$B$53*HLOOKUP($DM$2,Variables!$B$60:$F$61,2,FALSE)</f>
        <v>0</v>
      </c>
      <c r="DT63" s="1223">
        <f>$G63*AY63*Variables!$B$53*HLOOKUP($DM$2,Variables!$B$60:$F$61,2,FALSE)</f>
        <v>0</v>
      </c>
      <c r="DU63" s="1223">
        <f>$G63*AZ63*Variables!$B$53*HLOOKUP($DM$2,Variables!$B$60:$F$61,2,FALSE)</f>
        <v>0</v>
      </c>
      <c r="DV63" s="1223">
        <f>$G63*BA63*Variables!$B$53*HLOOKUP($DM$2,Variables!$B$60:$F$61,2,FALSE)</f>
        <v>0</v>
      </c>
      <c r="DW63" s="1223">
        <f>$G63*BB63*Variables!$B$53*HLOOKUP($DM$2,Variables!$B$60:$F$61,2,FALSE)</f>
        <v>0</v>
      </c>
      <c r="DX63" s="1225">
        <f>$G63*BC63*Variables!$B$53*HLOOKUP($DM$2,Variables!$B$60:$F$61,2,FALSE)</f>
        <v>0</v>
      </c>
      <c r="DY63" s="1222">
        <f>$G63*BD63*Variables!$B$53*HLOOKUP($DY$2,Variables!$B$60:$F$61,2,FALSE)</f>
        <v>0</v>
      </c>
      <c r="DZ63" s="1223">
        <f>$G63*BE63*Variables!$B$53*HLOOKUP($DY$2,Variables!$B$60:$F$61,2,FALSE)</f>
        <v>0</v>
      </c>
      <c r="EA63" s="1223">
        <f>$G63*BF63*Variables!$B$53*HLOOKUP($DY$2,Variables!$B$60:$F$61,2,FALSE)</f>
        <v>0</v>
      </c>
      <c r="EB63" s="1223">
        <f>$G63*BG63*Variables!$B$53*HLOOKUP($DY$2,Variables!$B$60:$F$61,2,FALSE)</f>
        <v>0</v>
      </c>
      <c r="EC63" s="1223">
        <f>$G63*BH63*Variables!$B$53*HLOOKUP($DY$2,Variables!$B$60:$F$61,2,FALSE)</f>
        <v>0</v>
      </c>
      <c r="ED63" s="1223">
        <f>$G63*BI63*Variables!$B$53*HLOOKUP($DY$2,Variables!$B$60:$F$61,2,FALSE)</f>
        <v>0</v>
      </c>
      <c r="EE63" s="1223">
        <f>$G63*BJ63*Variables!$B$53*HLOOKUP($DY$2,Variables!$B$60:$F$61,2,FALSE)</f>
        <v>0</v>
      </c>
      <c r="EF63" s="1223">
        <f>$G63*BK63*Variables!$B$53*HLOOKUP($DY$2,Variables!$B$60:$F$61,2,FALSE)</f>
        <v>0</v>
      </c>
      <c r="EG63" s="1223">
        <f>$G63*BL63*Variables!$B$53*HLOOKUP($DY$2,Variables!$B$60:$F$61,2,FALSE)</f>
        <v>0</v>
      </c>
      <c r="EH63" s="1223">
        <f>$G63*BM63*Variables!$B$53*HLOOKUP($DY$2,Variables!$B$60:$F$61,2,FALSE)</f>
        <v>0</v>
      </c>
      <c r="EI63" s="1223">
        <f>$G63*BN63*Variables!$B$53*HLOOKUP($DY$2,Variables!$B$60:$F$61,2,FALSE)</f>
        <v>0</v>
      </c>
      <c r="EJ63" s="1225">
        <f>$G63*BO63*Variables!$B$53*HLOOKUP($DY$2,Variables!$B$60:$F$61,2,FALSE)</f>
        <v>0</v>
      </c>
      <c r="EK63" s="1222">
        <f>$G63*BP63*Variables!$B$53*HLOOKUP($EK$2,Variables!$B$60:$F$61,2,FALSE)</f>
        <v>0</v>
      </c>
      <c r="EL63" s="1223">
        <f>$G63*BQ63*Variables!$B$53*HLOOKUP($EK$2,Variables!$B$60:$F$61,2,FALSE)</f>
        <v>0</v>
      </c>
      <c r="EM63" s="1223">
        <f>$G63*BR63*Variables!$B$53*HLOOKUP($EK$2,Variables!$B$60:$F$61,2,FALSE)</f>
        <v>0</v>
      </c>
      <c r="EN63" s="1223">
        <f>$G63*BS63*Variables!$B$53*HLOOKUP($EK$2,Variables!$B$60:$F$61,2,FALSE)</f>
        <v>0</v>
      </c>
      <c r="EO63" s="1223">
        <f>$G63*BT63*Variables!$B$53*HLOOKUP($EK$2,Variables!$B$60:$F$61,2,FALSE)</f>
        <v>0</v>
      </c>
      <c r="EP63" s="1223">
        <f>$G63*BU63*Variables!$B$53*HLOOKUP($EK$2,Variables!$B$60:$F$61,2,FALSE)</f>
        <v>0</v>
      </c>
      <c r="EQ63" s="1223">
        <f>$G63*BV63*Variables!$B$53*HLOOKUP($EK$2,Variables!$B$60:$F$61,2,FALSE)</f>
        <v>0</v>
      </c>
      <c r="ER63" s="1223">
        <f>$G63*BW63*Variables!$B$53*HLOOKUP($EK$2,Variables!$B$60:$F$61,2,FALSE)</f>
        <v>0</v>
      </c>
      <c r="ES63" s="1223">
        <f>$G63*BX63*Variables!$B$53*HLOOKUP($EK$2,Variables!$B$60:$F$61,2,FALSE)</f>
        <v>0</v>
      </c>
      <c r="ET63" s="1223">
        <f>$G63*BY63*Variables!$B$53*HLOOKUP($EK$2,Variables!$B$60:$F$61,2,FALSE)</f>
        <v>0</v>
      </c>
      <c r="EU63" s="1223">
        <f>$G63*BZ63*Variables!$B$53*HLOOKUP($EK$2,Variables!$B$60:$F$61,2,FALSE)</f>
        <v>0</v>
      </c>
      <c r="EV63" s="1225">
        <f>$G63*CA63*Variables!$B$53*HLOOKUP($EK$2,Variables!$B$60:$F$61,2,FALSE)</f>
        <v>0</v>
      </c>
      <c r="EW63" s="872">
        <f t="shared" si="6"/>
        <v>0</v>
      </c>
      <c r="EX63" s="872"/>
      <c r="EY63" s="872"/>
      <c r="EZ63" s="872"/>
      <c r="FA63" s="1332"/>
      <c r="FC63" s="958" t="str">
        <f t="shared" si="8"/>
        <v/>
      </c>
      <c r="FD63" s="959" t="str">
        <f t="shared" si="9"/>
        <v/>
      </c>
      <c r="FE63" s="959" t="s">
        <v>8407</v>
      </c>
      <c r="FF63" s="959" t="str">
        <f>IF(ISNA(VLOOKUP(FC63,Miscellaneous!E:F,2,0)),"",VLOOKUP(FC63,Miscellaneous!E:F,2,0))</f>
        <v/>
      </c>
      <c r="FG63" s="959" t="str">
        <f t="shared" si="10"/>
        <v/>
      </c>
      <c r="FH63" s="996">
        <f>IF($FG63="Opex",SUMIF('Monthly Summary'!$C$75:$N$75,"",CC63:CN63),SUMIF('Monthly Summary'!$C$74:$N$74,"",CC63:CN63))</f>
        <v>0</v>
      </c>
      <c r="FI63" s="996">
        <f>IF($FG63="Opex",SUMIF('Monthly Summary'!$O$75:$Z$75,"",CO63:CZ63),SUMIF('Monthly Summary'!$O$74:$Z$74,"",CO63:CZ63))</f>
        <v>0</v>
      </c>
      <c r="FJ63" s="996">
        <f>IF($FG63="Opex",SUMIF('Monthly Summary'!$AA$75:$AL$75,"",DA63:DL63),SUMIF('Monthly Summary'!$AA$74:$AL$74,"",DA63:DL63))</f>
        <v>0</v>
      </c>
      <c r="FK63" s="996">
        <f>IF($FG63="Opex",SUMIF('Monthly Summary'!$AM$75:$AX$75,"",DM63:DX63),SUMIF('Monthly Summary'!$AM$74:$AX$74,"",DM63:DX63))</f>
        <v>0</v>
      </c>
      <c r="FL63" s="996">
        <f>IF($FG63="Opex",SUMIF('Monthly Summary'!$AY$75:$BJ$75,"",DY63:EJ63),SUMIF('Monthly Summary'!$AY$74:$BJ$74,"",DY63:EJ63))</f>
        <v>0</v>
      </c>
      <c r="FM63" s="997">
        <f>IF($FG63="Opex",SUMIF('Monthly Summary'!$BK$75:$BV$75,"",EK63:EV63),SUMIF('Monthly Summary'!$BK$74:$BV$74,"",EK63:EV63))</f>
        <v>0</v>
      </c>
      <c r="FN63" s="997">
        <f t="shared" si="7"/>
        <v>0</v>
      </c>
    </row>
    <row r="64" spans="3:170">
      <c r="C64" s="757"/>
      <c r="D64" s="757"/>
      <c r="E64" s="758"/>
      <c r="F64" s="758"/>
      <c r="G64" s="758"/>
      <c r="H64" s="1215"/>
      <c r="I64" s="761"/>
      <c r="J64" s="761"/>
      <c r="K64" s="761"/>
      <c r="L64" s="761"/>
      <c r="M64" s="761"/>
      <c r="N64" s="761"/>
      <c r="O64" s="761"/>
      <c r="P64" s="761"/>
      <c r="Q64" s="761"/>
      <c r="R64" s="761"/>
      <c r="S64" s="1216"/>
      <c r="T64" s="1215"/>
      <c r="U64" s="761"/>
      <c r="V64" s="761"/>
      <c r="W64" s="761"/>
      <c r="X64" s="761"/>
      <c r="Y64" s="761"/>
      <c r="Z64" s="761"/>
      <c r="AA64" s="761"/>
      <c r="AB64" s="761"/>
      <c r="AC64" s="761"/>
      <c r="AD64" s="761"/>
      <c r="AE64" s="1216"/>
      <c r="AF64" s="1215"/>
      <c r="AG64" s="761"/>
      <c r="AH64" s="761"/>
      <c r="AI64" s="761"/>
      <c r="AJ64" s="761"/>
      <c r="AK64" s="761"/>
      <c r="AL64" s="761"/>
      <c r="AM64" s="761"/>
      <c r="AN64" s="761"/>
      <c r="AO64" s="761"/>
      <c r="AP64" s="761"/>
      <c r="AQ64" s="1216"/>
      <c r="AR64" s="1215"/>
      <c r="AS64" s="761"/>
      <c r="AT64" s="761"/>
      <c r="AU64" s="761"/>
      <c r="AV64" s="761"/>
      <c r="AW64" s="761"/>
      <c r="AX64" s="761"/>
      <c r="AY64" s="761"/>
      <c r="AZ64" s="761"/>
      <c r="BA64" s="761"/>
      <c r="BB64" s="761"/>
      <c r="BC64" s="1216"/>
      <c r="BD64" s="1215"/>
      <c r="BE64" s="761"/>
      <c r="BF64" s="761"/>
      <c r="BG64" s="761"/>
      <c r="BH64" s="761"/>
      <c r="BI64" s="761"/>
      <c r="BJ64" s="761"/>
      <c r="BK64" s="761"/>
      <c r="BL64" s="761"/>
      <c r="BM64" s="761"/>
      <c r="BN64" s="761"/>
      <c r="BO64" s="1216"/>
      <c r="BP64" s="1215"/>
      <c r="BQ64" s="761"/>
      <c r="BR64" s="761"/>
      <c r="BS64" s="761"/>
      <c r="BT64" s="761"/>
      <c r="BU64" s="761"/>
      <c r="BV64" s="761"/>
      <c r="BW64" s="761"/>
      <c r="BX64" s="761"/>
      <c r="BY64" s="761"/>
      <c r="BZ64" s="761"/>
      <c r="CA64" s="1216"/>
      <c r="CB64" s="747"/>
      <c r="CC64" s="1222">
        <f>$G64*H64*Variables!$B$53</f>
        <v>0</v>
      </c>
      <c r="CD64" s="1223">
        <f>$G64*I64*Variables!$B$53</f>
        <v>0</v>
      </c>
      <c r="CE64" s="1223">
        <f>$G64*J64*Variables!$B$53</f>
        <v>0</v>
      </c>
      <c r="CF64" s="1223">
        <f>$G64*K64*Variables!$B$53</f>
        <v>0</v>
      </c>
      <c r="CG64" s="1223">
        <f>$G64*L64*Variables!$B$53</f>
        <v>0</v>
      </c>
      <c r="CH64" s="1223">
        <f>$G64*M64*Variables!$B$53</f>
        <v>0</v>
      </c>
      <c r="CI64" s="1223">
        <f>$G64*N64*Variables!$B$53</f>
        <v>0</v>
      </c>
      <c r="CJ64" s="1223">
        <f>$G64*O64*Variables!$B$53</f>
        <v>0</v>
      </c>
      <c r="CK64" s="1223">
        <f>$G64*P64*Variables!$B$53</f>
        <v>0</v>
      </c>
      <c r="CL64" s="1223">
        <f>$G64*Q64*Variables!$B$53</f>
        <v>0</v>
      </c>
      <c r="CM64" s="1223">
        <f>$G64*R64*Variables!$B$53</f>
        <v>0</v>
      </c>
      <c r="CN64" s="1225">
        <f>$G64*S64*Variables!$B$53</f>
        <v>0</v>
      </c>
      <c r="CO64" s="1222">
        <f>$G64*T64*Variables!$B$53*HLOOKUP($CO$2,Variables!$B$60:$F$61,2,FALSE)</f>
        <v>0</v>
      </c>
      <c r="CP64" s="1223">
        <f>$G64*U64*Variables!$B$53*HLOOKUP($CO$2,Variables!$B$60:$F$61,2,FALSE)</f>
        <v>0</v>
      </c>
      <c r="CQ64" s="1223">
        <f>$G64*V64*Variables!$B$53*HLOOKUP($CO$2,Variables!$B$60:$F$61,2,FALSE)</f>
        <v>0</v>
      </c>
      <c r="CR64" s="1223">
        <f>$G64*W64*Variables!$B$53*HLOOKUP($CO$2,Variables!$B$60:$F$61,2,FALSE)</f>
        <v>0</v>
      </c>
      <c r="CS64" s="1223">
        <f>$G64*X64*Variables!$B$53*HLOOKUP($CO$2,Variables!$B$60:$F$61,2,FALSE)</f>
        <v>0</v>
      </c>
      <c r="CT64" s="1223">
        <f>$G64*Y64*Variables!$B$53*HLOOKUP($CO$2,Variables!$B$60:$F$61,2,FALSE)</f>
        <v>0</v>
      </c>
      <c r="CU64" s="1223">
        <f>$G64*Z64*Variables!$B$53*HLOOKUP($CO$2,Variables!$B$60:$F$61,2,FALSE)</f>
        <v>0</v>
      </c>
      <c r="CV64" s="1223">
        <f>$G64*AA64*Variables!$B$53*HLOOKUP($CO$2,Variables!$B$60:$F$61,2,FALSE)</f>
        <v>0</v>
      </c>
      <c r="CW64" s="1223">
        <f>$G64*AB64*Variables!$B$53*HLOOKUP($CO$2,Variables!$B$60:$F$61,2,FALSE)</f>
        <v>0</v>
      </c>
      <c r="CX64" s="1223">
        <f>$G64*AC64*Variables!$B$53*HLOOKUP($CO$2,Variables!$B$60:$F$61,2,FALSE)</f>
        <v>0</v>
      </c>
      <c r="CY64" s="1223">
        <f>$G64*AD64*Variables!$B$53*HLOOKUP($CO$2,Variables!$B$60:$F$61,2,FALSE)</f>
        <v>0</v>
      </c>
      <c r="CZ64" s="1225">
        <f>$G64*AE64*Variables!$B$53*HLOOKUP($CO$2,Variables!$B$60:$F$61,2,FALSE)</f>
        <v>0</v>
      </c>
      <c r="DA64" s="1222">
        <f>$G64*AF64*Variables!$B$53*HLOOKUP($DA$2,Variables!$B$60:$F$61,2,FALSE)</f>
        <v>0</v>
      </c>
      <c r="DB64" s="1223">
        <f>$G64*AG64*Variables!$B$53*HLOOKUP($DA$2,Variables!$B$60:$F$61,2,FALSE)</f>
        <v>0</v>
      </c>
      <c r="DC64" s="1223">
        <f>$G64*AH64*Variables!$B$53*HLOOKUP($DA$2,Variables!$B$60:$F$61,2,FALSE)</f>
        <v>0</v>
      </c>
      <c r="DD64" s="1223">
        <f>$G64*AI64*Variables!$B$53*HLOOKUP($DA$2,Variables!$B$60:$F$61,2,FALSE)</f>
        <v>0</v>
      </c>
      <c r="DE64" s="1223">
        <f>$G64*AJ64*Variables!$B$53*HLOOKUP($DA$2,Variables!$B$60:$F$61,2,FALSE)</f>
        <v>0</v>
      </c>
      <c r="DF64" s="1223">
        <f>$G64*AK64*Variables!$B$53*HLOOKUP($DA$2,Variables!$B$60:$F$61,2,FALSE)</f>
        <v>0</v>
      </c>
      <c r="DG64" s="1223">
        <f>$G64*AL64*Variables!$B$53*HLOOKUP($DA$2,Variables!$B$60:$F$61,2,FALSE)</f>
        <v>0</v>
      </c>
      <c r="DH64" s="1223">
        <f>$G64*AM64*Variables!$B$53*HLOOKUP($DA$2,Variables!$B$60:$F$61,2,FALSE)</f>
        <v>0</v>
      </c>
      <c r="DI64" s="1223">
        <f>$G64*AN64*Variables!$B$53*HLOOKUP($DA$2,Variables!$B$60:$F$61,2,FALSE)</f>
        <v>0</v>
      </c>
      <c r="DJ64" s="1223">
        <f>$G64*AO64*Variables!$B$53*HLOOKUP($DA$2,Variables!$B$60:$F$61,2,FALSE)</f>
        <v>0</v>
      </c>
      <c r="DK64" s="1223">
        <f>$G64*AP64*Variables!$B$53*HLOOKUP($DA$2,Variables!$B$60:$F$61,2,FALSE)</f>
        <v>0</v>
      </c>
      <c r="DL64" s="1225">
        <f>$G64*AQ64*Variables!$B$53*HLOOKUP($DA$2,Variables!$B$60:$F$61,2,FALSE)</f>
        <v>0</v>
      </c>
      <c r="DM64" s="1222">
        <f>$G64*AR64*Variables!$B$53*HLOOKUP($DM$2,Variables!$B$60:$F$61,2,FALSE)</f>
        <v>0</v>
      </c>
      <c r="DN64" s="1223">
        <f>$G64*AS64*Variables!$B$53*HLOOKUP($DM$2,Variables!$B$60:$F$61,2,FALSE)</f>
        <v>0</v>
      </c>
      <c r="DO64" s="1223">
        <f>$G64*AT64*Variables!$B$53*HLOOKUP($DM$2,Variables!$B$60:$F$61,2,FALSE)</f>
        <v>0</v>
      </c>
      <c r="DP64" s="1223">
        <f>$G64*AU64*Variables!$B$53*HLOOKUP($DM$2,Variables!$B$60:$F$61,2,FALSE)</f>
        <v>0</v>
      </c>
      <c r="DQ64" s="1223">
        <f>$G64*AV64*Variables!$B$53*HLOOKUP($DM$2,Variables!$B$60:$F$61,2,FALSE)</f>
        <v>0</v>
      </c>
      <c r="DR64" s="1223">
        <f>$G64*AW64*Variables!$B$53*HLOOKUP($DM$2,Variables!$B$60:$F$61,2,FALSE)</f>
        <v>0</v>
      </c>
      <c r="DS64" s="1223">
        <f>$G64*AX64*Variables!$B$53*HLOOKUP($DM$2,Variables!$B$60:$F$61,2,FALSE)</f>
        <v>0</v>
      </c>
      <c r="DT64" s="1223">
        <f>$G64*AY64*Variables!$B$53*HLOOKUP($DM$2,Variables!$B$60:$F$61,2,FALSE)</f>
        <v>0</v>
      </c>
      <c r="DU64" s="1223">
        <f>$G64*AZ64*Variables!$B$53*HLOOKUP($DM$2,Variables!$B$60:$F$61,2,FALSE)</f>
        <v>0</v>
      </c>
      <c r="DV64" s="1223">
        <f>$G64*BA64*Variables!$B$53*HLOOKUP($DM$2,Variables!$B$60:$F$61,2,FALSE)</f>
        <v>0</v>
      </c>
      <c r="DW64" s="1223">
        <f>$G64*BB64*Variables!$B$53*HLOOKUP($DM$2,Variables!$B$60:$F$61,2,FALSE)</f>
        <v>0</v>
      </c>
      <c r="DX64" s="1225">
        <f>$G64*BC64*Variables!$B$53*HLOOKUP($DM$2,Variables!$B$60:$F$61,2,FALSE)</f>
        <v>0</v>
      </c>
      <c r="DY64" s="1222">
        <f>$G64*BD64*Variables!$B$53*HLOOKUP($DY$2,Variables!$B$60:$F$61,2,FALSE)</f>
        <v>0</v>
      </c>
      <c r="DZ64" s="1223">
        <f>$G64*BE64*Variables!$B$53*HLOOKUP($DY$2,Variables!$B$60:$F$61,2,FALSE)</f>
        <v>0</v>
      </c>
      <c r="EA64" s="1223">
        <f>$G64*BF64*Variables!$B$53*HLOOKUP($DY$2,Variables!$B$60:$F$61,2,FALSE)</f>
        <v>0</v>
      </c>
      <c r="EB64" s="1223">
        <f>$G64*BG64*Variables!$B$53*HLOOKUP($DY$2,Variables!$B$60:$F$61,2,FALSE)</f>
        <v>0</v>
      </c>
      <c r="EC64" s="1223">
        <f>$G64*BH64*Variables!$B$53*HLOOKUP($DY$2,Variables!$B$60:$F$61,2,FALSE)</f>
        <v>0</v>
      </c>
      <c r="ED64" s="1223">
        <f>$G64*BI64*Variables!$B$53*HLOOKUP($DY$2,Variables!$B$60:$F$61,2,FALSE)</f>
        <v>0</v>
      </c>
      <c r="EE64" s="1223">
        <f>$G64*BJ64*Variables!$B$53*HLOOKUP($DY$2,Variables!$B$60:$F$61,2,FALSE)</f>
        <v>0</v>
      </c>
      <c r="EF64" s="1223">
        <f>$G64*BK64*Variables!$B$53*HLOOKUP($DY$2,Variables!$B$60:$F$61,2,FALSE)</f>
        <v>0</v>
      </c>
      <c r="EG64" s="1223">
        <f>$G64*BL64*Variables!$B$53*HLOOKUP($DY$2,Variables!$B$60:$F$61,2,FALSE)</f>
        <v>0</v>
      </c>
      <c r="EH64" s="1223">
        <f>$G64*BM64*Variables!$B$53*HLOOKUP($DY$2,Variables!$B$60:$F$61,2,FALSE)</f>
        <v>0</v>
      </c>
      <c r="EI64" s="1223">
        <f>$G64*BN64*Variables!$B$53*HLOOKUP($DY$2,Variables!$B$60:$F$61,2,FALSE)</f>
        <v>0</v>
      </c>
      <c r="EJ64" s="1225">
        <f>$G64*BO64*Variables!$B$53*HLOOKUP($DY$2,Variables!$B$60:$F$61,2,FALSE)</f>
        <v>0</v>
      </c>
      <c r="EK64" s="1222">
        <f>$G64*BP64*Variables!$B$53*HLOOKUP($EK$2,Variables!$B$60:$F$61,2,FALSE)</f>
        <v>0</v>
      </c>
      <c r="EL64" s="1223">
        <f>$G64*BQ64*Variables!$B$53*HLOOKUP($EK$2,Variables!$B$60:$F$61,2,FALSE)</f>
        <v>0</v>
      </c>
      <c r="EM64" s="1223">
        <f>$G64*BR64*Variables!$B$53*HLOOKUP($EK$2,Variables!$B$60:$F$61,2,FALSE)</f>
        <v>0</v>
      </c>
      <c r="EN64" s="1223">
        <f>$G64*BS64*Variables!$B$53*HLOOKUP($EK$2,Variables!$B$60:$F$61,2,FALSE)</f>
        <v>0</v>
      </c>
      <c r="EO64" s="1223">
        <f>$G64*BT64*Variables!$B$53*HLOOKUP($EK$2,Variables!$B$60:$F$61,2,FALSE)</f>
        <v>0</v>
      </c>
      <c r="EP64" s="1223">
        <f>$G64*BU64*Variables!$B$53*HLOOKUP($EK$2,Variables!$B$60:$F$61,2,FALSE)</f>
        <v>0</v>
      </c>
      <c r="EQ64" s="1223">
        <f>$G64*BV64*Variables!$B$53*HLOOKUP($EK$2,Variables!$B$60:$F$61,2,FALSE)</f>
        <v>0</v>
      </c>
      <c r="ER64" s="1223">
        <f>$G64*BW64*Variables!$B$53*HLOOKUP($EK$2,Variables!$B$60:$F$61,2,FALSE)</f>
        <v>0</v>
      </c>
      <c r="ES64" s="1223">
        <f>$G64*BX64*Variables!$B$53*HLOOKUP($EK$2,Variables!$B$60:$F$61,2,FALSE)</f>
        <v>0</v>
      </c>
      <c r="ET64" s="1223">
        <f>$G64*BY64*Variables!$B$53*HLOOKUP($EK$2,Variables!$B$60:$F$61,2,FALSE)</f>
        <v>0</v>
      </c>
      <c r="EU64" s="1223">
        <f>$G64*BZ64*Variables!$B$53*HLOOKUP($EK$2,Variables!$B$60:$F$61,2,FALSE)</f>
        <v>0</v>
      </c>
      <c r="EV64" s="1225">
        <f>$G64*CA64*Variables!$B$53*HLOOKUP($EK$2,Variables!$B$60:$F$61,2,FALSE)</f>
        <v>0</v>
      </c>
      <c r="EW64" s="872">
        <f t="shared" si="6"/>
        <v>0</v>
      </c>
      <c r="EX64" s="872"/>
      <c r="EY64" s="872"/>
      <c r="EZ64" s="872"/>
      <c r="FA64" s="1332"/>
      <c r="FC64" s="958" t="str">
        <f t="shared" si="8"/>
        <v/>
      </c>
      <c r="FD64" s="959" t="str">
        <f t="shared" si="9"/>
        <v/>
      </c>
      <c r="FE64" s="959" t="s">
        <v>8407</v>
      </c>
      <c r="FF64" s="959" t="str">
        <f>IF(ISNA(VLOOKUP(FC64,Miscellaneous!E:F,2,0)),"",VLOOKUP(FC64,Miscellaneous!E:F,2,0))</f>
        <v/>
      </c>
      <c r="FG64" s="959" t="str">
        <f t="shared" si="10"/>
        <v/>
      </c>
      <c r="FH64" s="996">
        <f>IF($FG64="Opex",SUMIF('Monthly Summary'!$C$75:$N$75,"",CC64:CN64),SUMIF('Monthly Summary'!$C$74:$N$74,"",CC64:CN64))</f>
        <v>0</v>
      </c>
      <c r="FI64" s="996">
        <f>IF($FG64="Opex",SUMIF('Monthly Summary'!$O$75:$Z$75,"",CO64:CZ64),SUMIF('Monthly Summary'!$O$74:$Z$74,"",CO64:CZ64))</f>
        <v>0</v>
      </c>
      <c r="FJ64" s="996">
        <f>IF($FG64="Opex",SUMIF('Monthly Summary'!$AA$75:$AL$75,"",DA64:DL64),SUMIF('Monthly Summary'!$AA$74:$AL$74,"",DA64:DL64))</f>
        <v>0</v>
      </c>
      <c r="FK64" s="996">
        <f>IF($FG64="Opex",SUMIF('Monthly Summary'!$AM$75:$AX$75,"",DM64:DX64),SUMIF('Monthly Summary'!$AM$74:$AX$74,"",DM64:DX64))</f>
        <v>0</v>
      </c>
      <c r="FL64" s="996">
        <f>IF($FG64="Opex",SUMIF('Monthly Summary'!$AY$75:$BJ$75,"",DY64:EJ64),SUMIF('Monthly Summary'!$AY$74:$BJ$74,"",DY64:EJ64))</f>
        <v>0</v>
      </c>
      <c r="FM64" s="997">
        <f>IF($FG64="Opex",SUMIF('Monthly Summary'!$BK$75:$BV$75,"",EK64:EV64),SUMIF('Monthly Summary'!$BK$74:$BV$74,"",EK64:EV64))</f>
        <v>0</v>
      </c>
      <c r="FN64" s="997">
        <f t="shared" si="7"/>
        <v>0</v>
      </c>
    </row>
    <row r="65" spans="3:170">
      <c r="C65" s="757"/>
      <c r="D65" s="757"/>
      <c r="E65" s="758"/>
      <c r="F65" s="758"/>
      <c r="G65" s="758"/>
      <c r="H65" s="1215"/>
      <c r="I65" s="761"/>
      <c r="J65" s="761"/>
      <c r="K65" s="761"/>
      <c r="L65" s="761"/>
      <c r="M65" s="761"/>
      <c r="N65" s="761"/>
      <c r="O65" s="761"/>
      <c r="P65" s="761"/>
      <c r="Q65" s="761"/>
      <c r="R65" s="761"/>
      <c r="S65" s="1216"/>
      <c r="T65" s="1215"/>
      <c r="U65" s="761"/>
      <c r="V65" s="761"/>
      <c r="W65" s="761"/>
      <c r="X65" s="761"/>
      <c r="Y65" s="761"/>
      <c r="Z65" s="761"/>
      <c r="AA65" s="761"/>
      <c r="AB65" s="761"/>
      <c r="AC65" s="761"/>
      <c r="AD65" s="761"/>
      <c r="AE65" s="1216"/>
      <c r="AF65" s="1215"/>
      <c r="AG65" s="761"/>
      <c r="AH65" s="761"/>
      <c r="AI65" s="761"/>
      <c r="AJ65" s="761"/>
      <c r="AK65" s="761"/>
      <c r="AL65" s="761"/>
      <c r="AM65" s="761"/>
      <c r="AN65" s="761"/>
      <c r="AO65" s="761"/>
      <c r="AP65" s="761"/>
      <c r="AQ65" s="1216"/>
      <c r="AR65" s="1215"/>
      <c r="AS65" s="761"/>
      <c r="AT65" s="761"/>
      <c r="AU65" s="761"/>
      <c r="AV65" s="761"/>
      <c r="AW65" s="761"/>
      <c r="AX65" s="761"/>
      <c r="AY65" s="761"/>
      <c r="AZ65" s="761"/>
      <c r="BA65" s="761"/>
      <c r="BB65" s="761"/>
      <c r="BC65" s="1216"/>
      <c r="BD65" s="1215"/>
      <c r="BE65" s="761"/>
      <c r="BF65" s="761"/>
      <c r="BG65" s="761"/>
      <c r="BH65" s="761"/>
      <c r="BI65" s="761"/>
      <c r="BJ65" s="761"/>
      <c r="BK65" s="761"/>
      <c r="BL65" s="761"/>
      <c r="BM65" s="761"/>
      <c r="BN65" s="761"/>
      <c r="BO65" s="1216"/>
      <c r="BP65" s="1215"/>
      <c r="BQ65" s="761"/>
      <c r="BR65" s="761"/>
      <c r="BS65" s="761"/>
      <c r="BT65" s="761"/>
      <c r="BU65" s="761"/>
      <c r="BV65" s="761"/>
      <c r="BW65" s="761"/>
      <c r="BX65" s="761"/>
      <c r="BY65" s="761"/>
      <c r="BZ65" s="761"/>
      <c r="CA65" s="1216"/>
      <c r="CB65" s="747"/>
      <c r="CC65" s="1222">
        <f>$G65*H65*Variables!$B$53</f>
        <v>0</v>
      </c>
      <c r="CD65" s="1223">
        <f>$G65*I65*Variables!$B$53</f>
        <v>0</v>
      </c>
      <c r="CE65" s="1223">
        <f>$G65*J65*Variables!$B$53</f>
        <v>0</v>
      </c>
      <c r="CF65" s="1223">
        <f>$G65*K65*Variables!$B$53</f>
        <v>0</v>
      </c>
      <c r="CG65" s="1223">
        <f>$G65*L65*Variables!$B$53</f>
        <v>0</v>
      </c>
      <c r="CH65" s="1223">
        <f>$G65*M65*Variables!$B$53</f>
        <v>0</v>
      </c>
      <c r="CI65" s="1223">
        <f>$G65*N65*Variables!$B$53</f>
        <v>0</v>
      </c>
      <c r="CJ65" s="1223">
        <f>$G65*O65*Variables!$B$53</f>
        <v>0</v>
      </c>
      <c r="CK65" s="1223">
        <f>$G65*P65*Variables!$B$53</f>
        <v>0</v>
      </c>
      <c r="CL65" s="1223">
        <f>$G65*Q65*Variables!$B$53</f>
        <v>0</v>
      </c>
      <c r="CM65" s="1223">
        <f>$G65*R65*Variables!$B$53</f>
        <v>0</v>
      </c>
      <c r="CN65" s="1225">
        <f>$G65*S65*Variables!$B$53</f>
        <v>0</v>
      </c>
      <c r="CO65" s="1222">
        <f>$G65*T65*Variables!$B$53*HLOOKUP($CO$2,Variables!$B$60:$F$61,2,FALSE)</f>
        <v>0</v>
      </c>
      <c r="CP65" s="1223">
        <f>$G65*U65*Variables!$B$53*HLOOKUP($CO$2,Variables!$B$60:$F$61,2,FALSE)</f>
        <v>0</v>
      </c>
      <c r="CQ65" s="1223">
        <f>$G65*V65*Variables!$B$53*HLOOKUP($CO$2,Variables!$B$60:$F$61,2,FALSE)</f>
        <v>0</v>
      </c>
      <c r="CR65" s="1223">
        <f>$G65*W65*Variables!$B$53*HLOOKUP($CO$2,Variables!$B$60:$F$61,2,FALSE)</f>
        <v>0</v>
      </c>
      <c r="CS65" s="1223">
        <f>$G65*X65*Variables!$B$53*HLOOKUP($CO$2,Variables!$B$60:$F$61,2,FALSE)</f>
        <v>0</v>
      </c>
      <c r="CT65" s="1223">
        <f>$G65*Y65*Variables!$B$53*HLOOKUP($CO$2,Variables!$B$60:$F$61,2,FALSE)</f>
        <v>0</v>
      </c>
      <c r="CU65" s="1223">
        <f>$G65*Z65*Variables!$B$53*HLOOKUP($CO$2,Variables!$B$60:$F$61,2,FALSE)</f>
        <v>0</v>
      </c>
      <c r="CV65" s="1223">
        <f>$G65*AA65*Variables!$B$53*HLOOKUP($CO$2,Variables!$B$60:$F$61,2,FALSE)</f>
        <v>0</v>
      </c>
      <c r="CW65" s="1223">
        <f>$G65*AB65*Variables!$B$53*HLOOKUP($CO$2,Variables!$B$60:$F$61,2,FALSE)</f>
        <v>0</v>
      </c>
      <c r="CX65" s="1223">
        <f>$G65*AC65*Variables!$B$53*HLOOKUP($CO$2,Variables!$B$60:$F$61,2,FALSE)</f>
        <v>0</v>
      </c>
      <c r="CY65" s="1223">
        <f>$G65*AD65*Variables!$B$53*HLOOKUP($CO$2,Variables!$B$60:$F$61,2,FALSE)</f>
        <v>0</v>
      </c>
      <c r="CZ65" s="1225">
        <f>$G65*AE65*Variables!$B$53*HLOOKUP($CO$2,Variables!$B$60:$F$61,2,FALSE)</f>
        <v>0</v>
      </c>
      <c r="DA65" s="1222">
        <f>$G65*AF65*Variables!$B$53*HLOOKUP($DA$2,Variables!$B$60:$F$61,2,FALSE)</f>
        <v>0</v>
      </c>
      <c r="DB65" s="1223">
        <f>$G65*AG65*Variables!$B$53*HLOOKUP($DA$2,Variables!$B$60:$F$61,2,FALSE)</f>
        <v>0</v>
      </c>
      <c r="DC65" s="1223">
        <f>$G65*AH65*Variables!$B$53*HLOOKUP($DA$2,Variables!$B$60:$F$61,2,FALSE)</f>
        <v>0</v>
      </c>
      <c r="DD65" s="1223">
        <f>$G65*AI65*Variables!$B$53*HLOOKUP($DA$2,Variables!$B$60:$F$61,2,FALSE)</f>
        <v>0</v>
      </c>
      <c r="DE65" s="1223">
        <f>$G65*AJ65*Variables!$B$53*HLOOKUP($DA$2,Variables!$B$60:$F$61,2,FALSE)</f>
        <v>0</v>
      </c>
      <c r="DF65" s="1223">
        <f>$G65*AK65*Variables!$B$53*HLOOKUP($DA$2,Variables!$B$60:$F$61,2,FALSE)</f>
        <v>0</v>
      </c>
      <c r="DG65" s="1223">
        <f>$G65*AL65*Variables!$B$53*HLOOKUP($DA$2,Variables!$B$60:$F$61,2,FALSE)</f>
        <v>0</v>
      </c>
      <c r="DH65" s="1223">
        <f>$G65*AM65*Variables!$B$53*HLOOKUP($DA$2,Variables!$B$60:$F$61,2,FALSE)</f>
        <v>0</v>
      </c>
      <c r="DI65" s="1223">
        <f>$G65*AN65*Variables!$B$53*HLOOKUP($DA$2,Variables!$B$60:$F$61,2,FALSE)</f>
        <v>0</v>
      </c>
      <c r="DJ65" s="1223">
        <f>$G65*AO65*Variables!$B$53*HLOOKUP($DA$2,Variables!$B$60:$F$61,2,FALSE)</f>
        <v>0</v>
      </c>
      <c r="DK65" s="1223">
        <f>$G65*AP65*Variables!$B$53*HLOOKUP($DA$2,Variables!$B$60:$F$61,2,FALSE)</f>
        <v>0</v>
      </c>
      <c r="DL65" s="1225">
        <f>$G65*AQ65*Variables!$B$53*HLOOKUP($DA$2,Variables!$B$60:$F$61,2,FALSE)</f>
        <v>0</v>
      </c>
      <c r="DM65" s="1222">
        <f>$G65*AR65*Variables!$B$53*HLOOKUP($DM$2,Variables!$B$60:$F$61,2,FALSE)</f>
        <v>0</v>
      </c>
      <c r="DN65" s="1223">
        <f>$G65*AS65*Variables!$B$53*HLOOKUP($DM$2,Variables!$B$60:$F$61,2,FALSE)</f>
        <v>0</v>
      </c>
      <c r="DO65" s="1223">
        <f>$G65*AT65*Variables!$B$53*HLOOKUP($DM$2,Variables!$B$60:$F$61,2,FALSE)</f>
        <v>0</v>
      </c>
      <c r="DP65" s="1223">
        <f>$G65*AU65*Variables!$B$53*HLOOKUP($DM$2,Variables!$B$60:$F$61,2,FALSE)</f>
        <v>0</v>
      </c>
      <c r="DQ65" s="1223">
        <f>$G65*AV65*Variables!$B$53*HLOOKUP($DM$2,Variables!$B$60:$F$61,2,FALSE)</f>
        <v>0</v>
      </c>
      <c r="DR65" s="1223">
        <f>$G65*AW65*Variables!$B$53*HLOOKUP($DM$2,Variables!$B$60:$F$61,2,FALSE)</f>
        <v>0</v>
      </c>
      <c r="DS65" s="1223">
        <f>$G65*AX65*Variables!$B$53*HLOOKUP($DM$2,Variables!$B$60:$F$61,2,FALSE)</f>
        <v>0</v>
      </c>
      <c r="DT65" s="1223">
        <f>$G65*AY65*Variables!$B$53*HLOOKUP($DM$2,Variables!$B$60:$F$61,2,FALSE)</f>
        <v>0</v>
      </c>
      <c r="DU65" s="1223">
        <f>$G65*AZ65*Variables!$B$53*HLOOKUP($DM$2,Variables!$B$60:$F$61,2,FALSE)</f>
        <v>0</v>
      </c>
      <c r="DV65" s="1223">
        <f>$G65*BA65*Variables!$B$53*HLOOKUP($DM$2,Variables!$B$60:$F$61,2,FALSE)</f>
        <v>0</v>
      </c>
      <c r="DW65" s="1223">
        <f>$G65*BB65*Variables!$B$53*HLOOKUP($DM$2,Variables!$B$60:$F$61,2,FALSE)</f>
        <v>0</v>
      </c>
      <c r="DX65" s="1225">
        <f>$G65*BC65*Variables!$B$53*HLOOKUP($DM$2,Variables!$B$60:$F$61,2,FALSE)</f>
        <v>0</v>
      </c>
      <c r="DY65" s="1222">
        <f>$G65*BD65*Variables!$B$53*HLOOKUP($DY$2,Variables!$B$60:$F$61,2,FALSE)</f>
        <v>0</v>
      </c>
      <c r="DZ65" s="1223">
        <f>$G65*BE65*Variables!$B$53*HLOOKUP($DY$2,Variables!$B$60:$F$61,2,FALSE)</f>
        <v>0</v>
      </c>
      <c r="EA65" s="1223">
        <f>$G65*BF65*Variables!$B$53*HLOOKUP($DY$2,Variables!$B$60:$F$61,2,FALSE)</f>
        <v>0</v>
      </c>
      <c r="EB65" s="1223">
        <f>$G65*BG65*Variables!$B$53*HLOOKUP($DY$2,Variables!$B$60:$F$61,2,FALSE)</f>
        <v>0</v>
      </c>
      <c r="EC65" s="1223">
        <f>$G65*BH65*Variables!$B$53*HLOOKUP($DY$2,Variables!$B$60:$F$61,2,FALSE)</f>
        <v>0</v>
      </c>
      <c r="ED65" s="1223">
        <f>$G65*BI65*Variables!$B$53*HLOOKUP($DY$2,Variables!$B$60:$F$61,2,FALSE)</f>
        <v>0</v>
      </c>
      <c r="EE65" s="1223">
        <f>$G65*BJ65*Variables!$B$53*HLOOKUP($DY$2,Variables!$B$60:$F$61,2,FALSE)</f>
        <v>0</v>
      </c>
      <c r="EF65" s="1223">
        <f>$G65*BK65*Variables!$B$53*HLOOKUP($DY$2,Variables!$B$60:$F$61,2,FALSE)</f>
        <v>0</v>
      </c>
      <c r="EG65" s="1223">
        <f>$G65*BL65*Variables!$B$53*HLOOKUP($DY$2,Variables!$B$60:$F$61,2,FALSE)</f>
        <v>0</v>
      </c>
      <c r="EH65" s="1223">
        <f>$G65*BM65*Variables!$B$53*HLOOKUP($DY$2,Variables!$B$60:$F$61,2,FALSE)</f>
        <v>0</v>
      </c>
      <c r="EI65" s="1223">
        <f>$G65*BN65*Variables!$B$53*HLOOKUP($DY$2,Variables!$B$60:$F$61,2,FALSE)</f>
        <v>0</v>
      </c>
      <c r="EJ65" s="1225">
        <f>$G65*BO65*Variables!$B$53*HLOOKUP($DY$2,Variables!$B$60:$F$61,2,FALSE)</f>
        <v>0</v>
      </c>
      <c r="EK65" s="1222">
        <f>$G65*BP65*Variables!$B$53*HLOOKUP($EK$2,Variables!$B$60:$F$61,2,FALSE)</f>
        <v>0</v>
      </c>
      <c r="EL65" s="1223">
        <f>$G65*BQ65*Variables!$B$53*HLOOKUP($EK$2,Variables!$B$60:$F$61,2,FALSE)</f>
        <v>0</v>
      </c>
      <c r="EM65" s="1223">
        <f>$G65*BR65*Variables!$B$53*HLOOKUP($EK$2,Variables!$B$60:$F$61,2,FALSE)</f>
        <v>0</v>
      </c>
      <c r="EN65" s="1223">
        <f>$G65*BS65*Variables!$B$53*HLOOKUP($EK$2,Variables!$B$60:$F$61,2,FALSE)</f>
        <v>0</v>
      </c>
      <c r="EO65" s="1223">
        <f>$G65*BT65*Variables!$B$53*HLOOKUP($EK$2,Variables!$B$60:$F$61,2,FALSE)</f>
        <v>0</v>
      </c>
      <c r="EP65" s="1223">
        <f>$G65*BU65*Variables!$B$53*HLOOKUP($EK$2,Variables!$B$60:$F$61,2,FALSE)</f>
        <v>0</v>
      </c>
      <c r="EQ65" s="1223">
        <f>$G65*BV65*Variables!$B$53*HLOOKUP($EK$2,Variables!$B$60:$F$61,2,FALSE)</f>
        <v>0</v>
      </c>
      <c r="ER65" s="1223">
        <f>$G65*BW65*Variables!$B$53*HLOOKUP($EK$2,Variables!$B$60:$F$61,2,FALSE)</f>
        <v>0</v>
      </c>
      <c r="ES65" s="1223">
        <f>$G65*BX65*Variables!$B$53*HLOOKUP($EK$2,Variables!$B$60:$F$61,2,FALSE)</f>
        <v>0</v>
      </c>
      <c r="ET65" s="1223">
        <f>$G65*BY65*Variables!$B$53*HLOOKUP($EK$2,Variables!$B$60:$F$61,2,FALSE)</f>
        <v>0</v>
      </c>
      <c r="EU65" s="1223">
        <f>$G65*BZ65*Variables!$B$53*HLOOKUP($EK$2,Variables!$B$60:$F$61,2,FALSE)</f>
        <v>0</v>
      </c>
      <c r="EV65" s="1225">
        <f>$G65*CA65*Variables!$B$53*HLOOKUP($EK$2,Variables!$B$60:$F$61,2,FALSE)</f>
        <v>0</v>
      </c>
      <c r="EW65" s="872">
        <f t="shared" si="6"/>
        <v>0</v>
      </c>
      <c r="EX65" s="872"/>
      <c r="EY65" s="872"/>
      <c r="EZ65" s="872"/>
      <c r="FA65" s="1332"/>
      <c r="FC65" s="958" t="str">
        <f t="shared" si="8"/>
        <v/>
      </c>
      <c r="FD65" s="959" t="str">
        <f t="shared" si="9"/>
        <v/>
      </c>
      <c r="FE65" s="959" t="s">
        <v>8407</v>
      </c>
      <c r="FF65" s="959" t="str">
        <f>IF(ISNA(VLOOKUP(FC65,Miscellaneous!E:F,2,0)),"",VLOOKUP(FC65,Miscellaneous!E:F,2,0))</f>
        <v/>
      </c>
      <c r="FG65" s="959" t="str">
        <f t="shared" si="10"/>
        <v/>
      </c>
      <c r="FH65" s="996">
        <f>IF($FG65="Opex",SUMIF('Monthly Summary'!$C$75:$N$75,"",CC65:CN65),SUMIF('Monthly Summary'!$C$74:$N$74,"",CC65:CN65))</f>
        <v>0</v>
      </c>
      <c r="FI65" s="996">
        <f>IF($FG65="Opex",SUMIF('Monthly Summary'!$O$75:$Z$75,"",CO65:CZ65),SUMIF('Monthly Summary'!$O$74:$Z$74,"",CO65:CZ65))</f>
        <v>0</v>
      </c>
      <c r="FJ65" s="996">
        <f>IF($FG65="Opex",SUMIF('Monthly Summary'!$AA$75:$AL$75,"",DA65:DL65),SUMIF('Monthly Summary'!$AA$74:$AL$74,"",DA65:DL65))</f>
        <v>0</v>
      </c>
      <c r="FK65" s="996">
        <f>IF($FG65="Opex",SUMIF('Monthly Summary'!$AM$75:$AX$75,"",DM65:DX65),SUMIF('Monthly Summary'!$AM$74:$AX$74,"",DM65:DX65))</f>
        <v>0</v>
      </c>
      <c r="FL65" s="996">
        <f>IF($FG65="Opex",SUMIF('Monthly Summary'!$AY$75:$BJ$75,"",DY65:EJ65),SUMIF('Monthly Summary'!$AY$74:$BJ$74,"",DY65:EJ65))</f>
        <v>0</v>
      </c>
      <c r="FM65" s="997">
        <f>IF($FG65="Opex",SUMIF('Monthly Summary'!$BK$75:$BV$75,"",EK65:EV65),SUMIF('Monthly Summary'!$BK$74:$BV$74,"",EK65:EV65))</f>
        <v>0</v>
      </c>
      <c r="FN65" s="997">
        <f t="shared" si="7"/>
        <v>0</v>
      </c>
    </row>
    <row r="66" spans="3:170">
      <c r="C66" s="757"/>
      <c r="D66" s="757"/>
      <c r="E66" s="758"/>
      <c r="F66" s="758"/>
      <c r="G66" s="758"/>
      <c r="H66" s="1215"/>
      <c r="I66" s="761"/>
      <c r="J66" s="761"/>
      <c r="K66" s="761"/>
      <c r="L66" s="761"/>
      <c r="M66" s="761"/>
      <c r="N66" s="761"/>
      <c r="O66" s="761"/>
      <c r="P66" s="761"/>
      <c r="Q66" s="761"/>
      <c r="R66" s="761"/>
      <c r="S66" s="1216"/>
      <c r="T66" s="1215"/>
      <c r="U66" s="761"/>
      <c r="V66" s="761"/>
      <c r="W66" s="761"/>
      <c r="X66" s="761"/>
      <c r="Y66" s="761"/>
      <c r="Z66" s="761"/>
      <c r="AA66" s="761"/>
      <c r="AB66" s="761"/>
      <c r="AC66" s="761"/>
      <c r="AD66" s="761"/>
      <c r="AE66" s="1216"/>
      <c r="AF66" s="1215"/>
      <c r="AG66" s="761"/>
      <c r="AH66" s="761"/>
      <c r="AI66" s="761"/>
      <c r="AJ66" s="761"/>
      <c r="AK66" s="761"/>
      <c r="AL66" s="761"/>
      <c r="AM66" s="761"/>
      <c r="AN66" s="761"/>
      <c r="AO66" s="761"/>
      <c r="AP66" s="761"/>
      <c r="AQ66" s="1216"/>
      <c r="AR66" s="1215"/>
      <c r="AS66" s="761"/>
      <c r="AT66" s="761"/>
      <c r="AU66" s="761"/>
      <c r="AV66" s="761"/>
      <c r="AW66" s="761"/>
      <c r="AX66" s="761"/>
      <c r="AY66" s="761"/>
      <c r="AZ66" s="761"/>
      <c r="BA66" s="761"/>
      <c r="BB66" s="761"/>
      <c r="BC66" s="1216"/>
      <c r="BD66" s="1215"/>
      <c r="BE66" s="761"/>
      <c r="BF66" s="761"/>
      <c r="BG66" s="761"/>
      <c r="BH66" s="761"/>
      <c r="BI66" s="761"/>
      <c r="BJ66" s="761"/>
      <c r="BK66" s="761"/>
      <c r="BL66" s="761"/>
      <c r="BM66" s="761"/>
      <c r="BN66" s="761"/>
      <c r="BO66" s="1216"/>
      <c r="BP66" s="1215"/>
      <c r="BQ66" s="761"/>
      <c r="BR66" s="761"/>
      <c r="BS66" s="761"/>
      <c r="BT66" s="761"/>
      <c r="BU66" s="761"/>
      <c r="BV66" s="761"/>
      <c r="BW66" s="761"/>
      <c r="BX66" s="761"/>
      <c r="BY66" s="761"/>
      <c r="BZ66" s="761"/>
      <c r="CA66" s="1216"/>
      <c r="CB66" s="747"/>
      <c r="CC66" s="1222">
        <f>$G66*H66*Variables!$B$53</f>
        <v>0</v>
      </c>
      <c r="CD66" s="1223">
        <f>$G66*I66*Variables!$B$53</f>
        <v>0</v>
      </c>
      <c r="CE66" s="1223">
        <f>$G66*J66*Variables!$B$53</f>
        <v>0</v>
      </c>
      <c r="CF66" s="1223">
        <f>$G66*K66*Variables!$B$53</f>
        <v>0</v>
      </c>
      <c r="CG66" s="1223">
        <f>$G66*L66*Variables!$B$53</f>
        <v>0</v>
      </c>
      <c r="CH66" s="1223">
        <f>$G66*M66*Variables!$B$53</f>
        <v>0</v>
      </c>
      <c r="CI66" s="1223">
        <f>$G66*N66*Variables!$B$53</f>
        <v>0</v>
      </c>
      <c r="CJ66" s="1223">
        <f>$G66*O66*Variables!$B$53</f>
        <v>0</v>
      </c>
      <c r="CK66" s="1223">
        <f>$G66*P66*Variables!$B$53</f>
        <v>0</v>
      </c>
      <c r="CL66" s="1223">
        <f>$G66*Q66*Variables!$B$53</f>
        <v>0</v>
      </c>
      <c r="CM66" s="1223">
        <f>$G66*R66*Variables!$B$53</f>
        <v>0</v>
      </c>
      <c r="CN66" s="1225">
        <f>$G66*S66*Variables!$B$53</f>
        <v>0</v>
      </c>
      <c r="CO66" s="1222">
        <f>$G66*T66*Variables!$B$53*HLOOKUP($CO$2,Variables!$B$60:$F$61,2,FALSE)</f>
        <v>0</v>
      </c>
      <c r="CP66" s="1223">
        <f>$G66*U66*Variables!$B$53*HLOOKUP($CO$2,Variables!$B$60:$F$61,2,FALSE)</f>
        <v>0</v>
      </c>
      <c r="CQ66" s="1223">
        <f>$G66*V66*Variables!$B$53*HLOOKUP($CO$2,Variables!$B$60:$F$61,2,FALSE)</f>
        <v>0</v>
      </c>
      <c r="CR66" s="1223">
        <f>$G66*W66*Variables!$B$53*HLOOKUP($CO$2,Variables!$B$60:$F$61,2,FALSE)</f>
        <v>0</v>
      </c>
      <c r="CS66" s="1223">
        <f>$G66*X66*Variables!$B$53*HLOOKUP($CO$2,Variables!$B$60:$F$61,2,FALSE)</f>
        <v>0</v>
      </c>
      <c r="CT66" s="1223">
        <f>$G66*Y66*Variables!$B$53*HLOOKUP($CO$2,Variables!$B$60:$F$61,2,FALSE)</f>
        <v>0</v>
      </c>
      <c r="CU66" s="1223">
        <f>$G66*Z66*Variables!$B$53*HLOOKUP($CO$2,Variables!$B$60:$F$61,2,FALSE)</f>
        <v>0</v>
      </c>
      <c r="CV66" s="1223">
        <f>$G66*AA66*Variables!$B$53*HLOOKUP($CO$2,Variables!$B$60:$F$61,2,FALSE)</f>
        <v>0</v>
      </c>
      <c r="CW66" s="1223">
        <f>$G66*AB66*Variables!$B$53*HLOOKUP($CO$2,Variables!$B$60:$F$61,2,FALSE)</f>
        <v>0</v>
      </c>
      <c r="CX66" s="1223">
        <f>$G66*AC66*Variables!$B$53*HLOOKUP($CO$2,Variables!$B$60:$F$61,2,FALSE)</f>
        <v>0</v>
      </c>
      <c r="CY66" s="1223">
        <f>$G66*AD66*Variables!$B$53*HLOOKUP($CO$2,Variables!$B$60:$F$61,2,FALSE)</f>
        <v>0</v>
      </c>
      <c r="CZ66" s="1225">
        <f>$G66*AE66*Variables!$B$53*HLOOKUP($CO$2,Variables!$B$60:$F$61,2,FALSE)</f>
        <v>0</v>
      </c>
      <c r="DA66" s="1222">
        <f>$G66*AF66*Variables!$B$53*HLOOKUP($DA$2,Variables!$B$60:$F$61,2,FALSE)</f>
        <v>0</v>
      </c>
      <c r="DB66" s="1223">
        <f>$G66*AG66*Variables!$B$53*HLOOKUP($DA$2,Variables!$B$60:$F$61,2,FALSE)</f>
        <v>0</v>
      </c>
      <c r="DC66" s="1223">
        <f>$G66*AH66*Variables!$B$53*HLOOKUP($DA$2,Variables!$B$60:$F$61,2,FALSE)</f>
        <v>0</v>
      </c>
      <c r="DD66" s="1223">
        <f>$G66*AI66*Variables!$B$53*HLOOKUP($DA$2,Variables!$B$60:$F$61,2,FALSE)</f>
        <v>0</v>
      </c>
      <c r="DE66" s="1223">
        <f>$G66*AJ66*Variables!$B$53*HLOOKUP($DA$2,Variables!$B$60:$F$61,2,FALSE)</f>
        <v>0</v>
      </c>
      <c r="DF66" s="1223">
        <f>$G66*AK66*Variables!$B$53*HLOOKUP($DA$2,Variables!$B$60:$F$61,2,FALSE)</f>
        <v>0</v>
      </c>
      <c r="DG66" s="1223">
        <f>$G66*AL66*Variables!$B$53*HLOOKUP($DA$2,Variables!$B$60:$F$61,2,FALSE)</f>
        <v>0</v>
      </c>
      <c r="DH66" s="1223">
        <f>$G66*AM66*Variables!$B$53*HLOOKUP($DA$2,Variables!$B$60:$F$61,2,FALSE)</f>
        <v>0</v>
      </c>
      <c r="DI66" s="1223">
        <f>$G66*AN66*Variables!$B$53*HLOOKUP($DA$2,Variables!$B$60:$F$61,2,FALSE)</f>
        <v>0</v>
      </c>
      <c r="DJ66" s="1223">
        <f>$G66*AO66*Variables!$B$53*HLOOKUP($DA$2,Variables!$B$60:$F$61,2,FALSE)</f>
        <v>0</v>
      </c>
      <c r="DK66" s="1223">
        <f>$G66*AP66*Variables!$B$53*HLOOKUP($DA$2,Variables!$B$60:$F$61,2,FALSE)</f>
        <v>0</v>
      </c>
      <c r="DL66" s="1225">
        <f>$G66*AQ66*Variables!$B$53*HLOOKUP($DA$2,Variables!$B$60:$F$61,2,FALSE)</f>
        <v>0</v>
      </c>
      <c r="DM66" s="1222">
        <f>$G66*AR66*Variables!$B$53*HLOOKUP($DM$2,Variables!$B$60:$F$61,2,FALSE)</f>
        <v>0</v>
      </c>
      <c r="DN66" s="1223">
        <f>$G66*AS66*Variables!$B$53*HLOOKUP($DM$2,Variables!$B$60:$F$61,2,FALSE)</f>
        <v>0</v>
      </c>
      <c r="DO66" s="1223">
        <f>$G66*AT66*Variables!$B$53*HLOOKUP($DM$2,Variables!$B$60:$F$61,2,FALSE)</f>
        <v>0</v>
      </c>
      <c r="DP66" s="1223">
        <f>$G66*AU66*Variables!$B$53*HLOOKUP($DM$2,Variables!$B$60:$F$61,2,FALSE)</f>
        <v>0</v>
      </c>
      <c r="DQ66" s="1223">
        <f>$G66*AV66*Variables!$B$53*HLOOKUP($DM$2,Variables!$B$60:$F$61,2,FALSE)</f>
        <v>0</v>
      </c>
      <c r="DR66" s="1223">
        <f>$G66*AW66*Variables!$B$53*HLOOKUP($DM$2,Variables!$B$60:$F$61,2,FALSE)</f>
        <v>0</v>
      </c>
      <c r="DS66" s="1223">
        <f>$G66*AX66*Variables!$B$53*HLOOKUP($DM$2,Variables!$B$60:$F$61,2,FALSE)</f>
        <v>0</v>
      </c>
      <c r="DT66" s="1223">
        <f>$G66*AY66*Variables!$B$53*HLOOKUP($DM$2,Variables!$B$60:$F$61,2,FALSE)</f>
        <v>0</v>
      </c>
      <c r="DU66" s="1223">
        <f>$G66*AZ66*Variables!$B$53*HLOOKUP($DM$2,Variables!$B$60:$F$61,2,FALSE)</f>
        <v>0</v>
      </c>
      <c r="DV66" s="1223">
        <f>$G66*BA66*Variables!$B$53*HLOOKUP($DM$2,Variables!$B$60:$F$61,2,FALSE)</f>
        <v>0</v>
      </c>
      <c r="DW66" s="1223">
        <f>$G66*BB66*Variables!$B$53*HLOOKUP($DM$2,Variables!$B$60:$F$61,2,FALSE)</f>
        <v>0</v>
      </c>
      <c r="DX66" s="1225">
        <f>$G66*BC66*Variables!$B$53*HLOOKUP($DM$2,Variables!$B$60:$F$61,2,FALSE)</f>
        <v>0</v>
      </c>
      <c r="DY66" s="1222">
        <f>$G66*BD66*Variables!$B$53*HLOOKUP($DY$2,Variables!$B$60:$F$61,2,FALSE)</f>
        <v>0</v>
      </c>
      <c r="DZ66" s="1223">
        <f>$G66*BE66*Variables!$B$53*HLOOKUP($DY$2,Variables!$B$60:$F$61,2,FALSE)</f>
        <v>0</v>
      </c>
      <c r="EA66" s="1223">
        <f>$G66*BF66*Variables!$B$53*HLOOKUP($DY$2,Variables!$B$60:$F$61,2,FALSE)</f>
        <v>0</v>
      </c>
      <c r="EB66" s="1223">
        <f>$G66*BG66*Variables!$B$53*HLOOKUP($DY$2,Variables!$B$60:$F$61,2,FALSE)</f>
        <v>0</v>
      </c>
      <c r="EC66" s="1223">
        <f>$G66*BH66*Variables!$B$53*HLOOKUP($DY$2,Variables!$B$60:$F$61,2,FALSE)</f>
        <v>0</v>
      </c>
      <c r="ED66" s="1223">
        <f>$G66*BI66*Variables!$B$53*HLOOKUP($DY$2,Variables!$B$60:$F$61,2,FALSE)</f>
        <v>0</v>
      </c>
      <c r="EE66" s="1223">
        <f>$G66*BJ66*Variables!$B$53*HLOOKUP($DY$2,Variables!$B$60:$F$61,2,FALSE)</f>
        <v>0</v>
      </c>
      <c r="EF66" s="1223">
        <f>$G66*BK66*Variables!$B$53*HLOOKUP($DY$2,Variables!$B$60:$F$61,2,FALSE)</f>
        <v>0</v>
      </c>
      <c r="EG66" s="1223">
        <f>$G66*BL66*Variables!$B$53*HLOOKUP($DY$2,Variables!$B$60:$F$61,2,FALSE)</f>
        <v>0</v>
      </c>
      <c r="EH66" s="1223">
        <f>$G66*BM66*Variables!$B$53*HLOOKUP($DY$2,Variables!$B$60:$F$61,2,FALSE)</f>
        <v>0</v>
      </c>
      <c r="EI66" s="1223">
        <f>$G66*BN66*Variables!$B$53*HLOOKUP($DY$2,Variables!$B$60:$F$61,2,FALSE)</f>
        <v>0</v>
      </c>
      <c r="EJ66" s="1225">
        <f>$G66*BO66*Variables!$B$53*HLOOKUP($DY$2,Variables!$B$60:$F$61,2,FALSE)</f>
        <v>0</v>
      </c>
      <c r="EK66" s="1222">
        <f>$G66*BP66*Variables!$B$53*HLOOKUP($EK$2,Variables!$B$60:$F$61,2,FALSE)</f>
        <v>0</v>
      </c>
      <c r="EL66" s="1223">
        <f>$G66*BQ66*Variables!$B$53*HLOOKUP($EK$2,Variables!$B$60:$F$61,2,FALSE)</f>
        <v>0</v>
      </c>
      <c r="EM66" s="1223">
        <f>$G66*BR66*Variables!$B$53*HLOOKUP($EK$2,Variables!$B$60:$F$61,2,FALSE)</f>
        <v>0</v>
      </c>
      <c r="EN66" s="1223">
        <f>$G66*BS66*Variables!$B$53*HLOOKUP($EK$2,Variables!$B$60:$F$61,2,FALSE)</f>
        <v>0</v>
      </c>
      <c r="EO66" s="1223">
        <f>$G66*BT66*Variables!$B$53*HLOOKUP($EK$2,Variables!$B$60:$F$61,2,FALSE)</f>
        <v>0</v>
      </c>
      <c r="EP66" s="1223">
        <f>$G66*BU66*Variables!$B$53*HLOOKUP($EK$2,Variables!$B$60:$F$61,2,FALSE)</f>
        <v>0</v>
      </c>
      <c r="EQ66" s="1223">
        <f>$G66*BV66*Variables!$B$53*HLOOKUP($EK$2,Variables!$B$60:$F$61,2,FALSE)</f>
        <v>0</v>
      </c>
      <c r="ER66" s="1223">
        <f>$G66*BW66*Variables!$B$53*HLOOKUP($EK$2,Variables!$B$60:$F$61,2,FALSE)</f>
        <v>0</v>
      </c>
      <c r="ES66" s="1223">
        <f>$G66*BX66*Variables!$B$53*HLOOKUP($EK$2,Variables!$B$60:$F$61,2,FALSE)</f>
        <v>0</v>
      </c>
      <c r="ET66" s="1223">
        <f>$G66*BY66*Variables!$B$53*HLOOKUP($EK$2,Variables!$B$60:$F$61,2,FALSE)</f>
        <v>0</v>
      </c>
      <c r="EU66" s="1223">
        <f>$G66*BZ66*Variables!$B$53*HLOOKUP($EK$2,Variables!$B$60:$F$61,2,FALSE)</f>
        <v>0</v>
      </c>
      <c r="EV66" s="1225">
        <f>$G66*CA66*Variables!$B$53*HLOOKUP($EK$2,Variables!$B$60:$F$61,2,FALSE)</f>
        <v>0</v>
      </c>
      <c r="EW66" s="872">
        <f t="shared" si="6"/>
        <v>0</v>
      </c>
      <c r="EX66" s="872"/>
      <c r="EY66" s="872"/>
      <c r="EZ66" s="872"/>
      <c r="FA66" s="1332"/>
      <c r="FC66" s="958" t="str">
        <f t="shared" si="8"/>
        <v/>
      </c>
      <c r="FD66" s="959" t="str">
        <f t="shared" si="9"/>
        <v/>
      </c>
      <c r="FE66" s="959" t="s">
        <v>8407</v>
      </c>
      <c r="FF66" s="959" t="str">
        <f>IF(ISNA(VLOOKUP(FC66,Miscellaneous!E:F,2,0)),"",VLOOKUP(FC66,Miscellaneous!E:F,2,0))</f>
        <v/>
      </c>
      <c r="FG66" s="959" t="str">
        <f t="shared" si="10"/>
        <v/>
      </c>
      <c r="FH66" s="996">
        <f>IF($FG66="Opex",SUMIF('Monthly Summary'!$C$75:$N$75,"",CC66:CN66),SUMIF('Monthly Summary'!$C$74:$N$74,"",CC66:CN66))</f>
        <v>0</v>
      </c>
      <c r="FI66" s="996">
        <f>IF($FG66="Opex",SUMIF('Monthly Summary'!$O$75:$Z$75,"",CO66:CZ66),SUMIF('Monthly Summary'!$O$74:$Z$74,"",CO66:CZ66))</f>
        <v>0</v>
      </c>
      <c r="FJ66" s="996">
        <f>IF($FG66="Opex",SUMIF('Monthly Summary'!$AA$75:$AL$75,"",DA66:DL66),SUMIF('Monthly Summary'!$AA$74:$AL$74,"",DA66:DL66))</f>
        <v>0</v>
      </c>
      <c r="FK66" s="996">
        <f>IF($FG66="Opex",SUMIF('Monthly Summary'!$AM$75:$AX$75,"",DM66:DX66),SUMIF('Monthly Summary'!$AM$74:$AX$74,"",DM66:DX66))</f>
        <v>0</v>
      </c>
      <c r="FL66" s="996">
        <f>IF($FG66="Opex",SUMIF('Monthly Summary'!$AY$75:$BJ$75,"",DY66:EJ66),SUMIF('Monthly Summary'!$AY$74:$BJ$74,"",DY66:EJ66))</f>
        <v>0</v>
      </c>
      <c r="FM66" s="997">
        <f>IF($FG66="Opex",SUMIF('Monthly Summary'!$BK$75:$BV$75,"",EK66:EV66),SUMIF('Monthly Summary'!$BK$74:$BV$74,"",EK66:EV66))</f>
        <v>0</v>
      </c>
      <c r="FN66" s="997">
        <f t="shared" si="7"/>
        <v>0</v>
      </c>
    </row>
    <row r="67" spans="3:170">
      <c r="C67" s="757"/>
      <c r="D67" s="757"/>
      <c r="E67" s="758"/>
      <c r="F67" s="758"/>
      <c r="G67" s="758"/>
      <c r="H67" s="1215"/>
      <c r="I67" s="761"/>
      <c r="J67" s="761"/>
      <c r="K67" s="761"/>
      <c r="L67" s="761"/>
      <c r="M67" s="761"/>
      <c r="N67" s="761"/>
      <c r="O67" s="761"/>
      <c r="P67" s="761"/>
      <c r="Q67" s="761"/>
      <c r="R67" s="761"/>
      <c r="S67" s="1216"/>
      <c r="T67" s="1215"/>
      <c r="U67" s="761"/>
      <c r="V67" s="761"/>
      <c r="W67" s="761"/>
      <c r="X67" s="761"/>
      <c r="Y67" s="761"/>
      <c r="Z67" s="761"/>
      <c r="AA67" s="761"/>
      <c r="AB67" s="761"/>
      <c r="AC67" s="761"/>
      <c r="AD67" s="761"/>
      <c r="AE67" s="1216"/>
      <c r="AF67" s="1215"/>
      <c r="AG67" s="761"/>
      <c r="AH67" s="761"/>
      <c r="AI67" s="761"/>
      <c r="AJ67" s="761"/>
      <c r="AK67" s="761"/>
      <c r="AL67" s="761"/>
      <c r="AM67" s="761"/>
      <c r="AN67" s="761"/>
      <c r="AO67" s="761"/>
      <c r="AP67" s="761"/>
      <c r="AQ67" s="1216"/>
      <c r="AR67" s="1215"/>
      <c r="AS67" s="761"/>
      <c r="AT67" s="761"/>
      <c r="AU67" s="761"/>
      <c r="AV67" s="761"/>
      <c r="AW67" s="761"/>
      <c r="AX67" s="761"/>
      <c r="AY67" s="761"/>
      <c r="AZ67" s="761"/>
      <c r="BA67" s="761"/>
      <c r="BB67" s="761"/>
      <c r="BC67" s="1216"/>
      <c r="BD67" s="1215"/>
      <c r="BE67" s="761"/>
      <c r="BF67" s="761"/>
      <c r="BG67" s="761"/>
      <c r="BH67" s="761"/>
      <c r="BI67" s="761"/>
      <c r="BJ67" s="761"/>
      <c r="BK67" s="761"/>
      <c r="BL67" s="761"/>
      <c r="BM67" s="761"/>
      <c r="BN67" s="761"/>
      <c r="BO67" s="1216"/>
      <c r="BP67" s="1215"/>
      <c r="BQ67" s="761"/>
      <c r="BR67" s="761"/>
      <c r="BS67" s="761"/>
      <c r="BT67" s="761"/>
      <c r="BU67" s="761"/>
      <c r="BV67" s="761"/>
      <c r="BW67" s="761"/>
      <c r="BX67" s="761"/>
      <c r="BY67" s="761"/>
      <c r="BZ67" s="761"/>
      <c r="CA67" s="1216"/>
      <c r="CB67" s="747"/>
      <c r="CC67" s="1222">
        <f>$G67*H67*Variables!$B$53</f>
        <v>0</v>
      </c>
      <c r="CD67" s="1223">
        <f>$G67*I67*Variables!$B$53</f>
        <v>0</v>
      </c>
      <c r="CE67" s="1223">
        <f>$G67*J67*Variables!$B$53</f>
        <v>0</v>
      </c>
      <c r="CF67" s="1223">
        <f>$G67*K67*Variables!$B$53</f>
        <v>0</v>
      </c>
      <c r="CG67" s="1223">
        <f>$G67*L67*Variables!$B$53</f>
        <v>0</v>
      </c>
      <c r="CH67" s="1223">
        <f>$G67*M67*Variables!$B$53</f>
        <v>0</v>
      </c>
      <c r="CI67" s="1223">
        <f>$G67*N67*Variables!$B$53</f>
        <v>0</v>
      </c>
      <c r="CJ67" s="1223">
        <f>$G67*O67*Variables!$B$53</f>
        <v>0</v>
      </c>
      <c r="CK67" s="1223">
        <f>$G67*P67*Variables!$B$53</f>
        <v>0</v>
      </c>
      <c r="CL67" s="1223">
        <f>$G67*Q67*Variables!$B$53</f>
        <v>0</v>
      </c>
      <c r="CM67" s="1223">
        <f>$G67*R67*Variables!$B$53</f>
        <v>0</v>
      </c>
      <c r="CN67" s="1225">
        <f>$G67*S67*Variables!$B$53</f>
        <v>0</v>
      </c>
      <c r="CO67" s="1222">
        <f>$G67*T67*Variables!$B$53*HLOOKUP($CO$2,Variables!$B$60:$F$61,2,FALSE)</f>
        <v>0</v>
      </c>
      <c r="CP67" s="1223">
        <f>$G67*U67*Variables!$B$53*HLOOKUP($CO$2,Variables!$B$60:$F$61,2,FALSE)</f>
        <v>0</v>
      </c>
      <c r="CQ67" s="1223">
        <f>$G67*V67*Variables!$B$53*HLOOKUP($CO$2,Variables!$B$60:$F$61,2,FALSE)</f>
        <v>0</v>
      </c>
      <c r="CR67" s="1223">
        <f>$G67*W67*Variables!$B$53*HLOOKUP($CO$2,Variables!$B$60:$F$61,2,FALSE)</f>
        <v>0</v>
      </c>
      <c r="CS67" s="1223">
        <f>$G67*X67*Variables!$B$53*HLOOKUP($CO$2,Variables!$B$60:$F$61,2,FALSE)</f>
        <v>0</v>
      </c>
      <c r="CT67" s="1223">
        <f>$G67*Y67*Variables!$B$53*HLOOKUP($CO$2,Variables!$B$60:$F$61,2,FALSE)</f>
        <v>0</v>
      </c>
      <c r="CU67" s="1223">
        <f>$G67*Z67*Variables!$B$53*HLOOKUP($CO$2,Variables!$B$60:$F$61,2,FALSE)</f>
        <v>0</v>
      </c>
      <c r="CV67" s="1223">
        <f>$G67*AA67*Variables!$B$53*HLOOKUP($CO$2,Variables!$B$60:$F$61,2,FALSE)</f>
        <v>0</v>
      </c>
      <c r="CW67" s="1223">
        <f>$G67*AB67*Variables!$B$53*HLOOKUP($CO$2,Variables!$B$60:$F$61,2,FALSE)</f>
        <v>0</v>
      </c>
      <c r="CX67" s="1223">
        <f>$G67*AC67*Variables!$B$53*HLOOKUP($CO$2,Variables!$B$60:$F$61,2,FALSE)</f>
        <v>0</v>
      </c>
      <c r="CY67" s="1223">
        <f>$G67*AD67*Variables!$B$53*HLOOKUP($CO$2,Variables!$B$60:$F$61,2,FALSE)</f>
        <v>0</v>
      </c>
      <c r="CZ67" s="1225">
        <f>$G67*AE67*Variables!$B$53*HLOOKUP($CO$2,Variables!$B$60:$F$61,2,FALSE)</f>
        <v>0</v>
      </c>
      <c r="DA67" s="1222">
        <f>$G67*AF67*Variables!$B$53*HLOOKUP($DA$2,Variables!$B$60:$F$61,2,FALSE)</f>
        <v>0</v>
      </c>
      <c r="DB67" s="1223">
        <f>$G67*AG67*Variables!$B$53*HLOOKUP($DA$2,Variables!$B$60:$F$61,2,FALSE)</f>
        <v>0</v>
      </c>
      <c r="DC67" s="1223">
        <f>$G67*AH67*Variables!$B$53*HLOOKUP($DA$2,Variables!$B$60:$F$61,2,FALSE)</f>
        <v>0</v>
      </c>
      <c r="DD67" s="1223">
        <f>$G67*AI67*Variables!$B$53*HLOOKUP($DA$2,Variables!$B$60:$F$61,2,FALSE)</f>
        <v>0</v>
      </c>
      <c r="DE67" s="1223">
        <f>$G67*AJ67*Variables!$B$53*HLOOKUP($DA$2,Variables!$B$60:$F$61,2,FALSE)</f>
        <v>0</v>
      </c>
      <c r="DF67" s="1223">
        <f>$G67*AK67*Variables!$B$53*HLOOKUP($DA$2,Variables!$B$60:$F$61,2,FALSE)</f>
        <v>0</v>
      </c>
      <c r="DG67" s="1223">
        <f>$G67*AL67*Variables!$B$53*HLOOKUP($DA$2,Variables!$B$60:$F$61,2,FALSE)</f>
        <v>0</v>
      </c>
      <c r="DH67" s="1223">
        <f>$G67*AM67*Variables!$B$53*HLOOKUP($DA$2,Variables!$B$60:$F$61,2,FALSE)</f>
        <v>0</v>
      </c>
      <c r="DI67" s="1223">
        <f>$G67*AN67*Variables!$B$53*HLOOKUP($DA$2,Variables!$B$60:$F$61,2,FALSE)</f>
        <v>0</v>
      </c>
      <c r="DJ67" s="1223">
        <f>$G67*AO67*Variables!$B$53*HLOOKUP($DA$2,Variables!$B$60:$F$61,2,FALSE)</f>
        <v>0</v>
      </c>
      <c r="DK67" s="1223">
        <f>$G67*AP67*Variables!$B$53*HLOOKUP($DA$2,Variables!$B$60:$F$61,2,FALSE)</f>
        <v>0</v>
      </c>
      <c r="DL67" s="1225">
        <f>$G67*AQ67*Variables!$B$53*HLOOKUP($DA$2,Variables!$B$60:$F$61,2,FALSE)</f>
        <v>0</v>
      </c>
      <c r="DM67" s="1222">
        <f>$G67*AR67*Variables!$B$53*HLOOKUP($DM$2,Variables!$B$60:$F$61,2,FALSE)</f>
        <v>0</v>
      </c>
      <c r="DN67" s="1223">
        <f>$G67*AS67*Variables!$B$53*HLOOKUP($DM$2,Variables!$B$60:$F$61,2,FALSE)</f>
        <v>0</v>
      </c>
      <c r="DO67" s="1223">
        <f>$G67*AT67*Variables!$B$53*HLOOKUP($DM$2,Variables!$B$60:$F$61,2,FALSE)</f>
        <v>0</v>
      </c>
      <c r="DP67" s="1223">
        <f>$G67*AU67*Variables!$B$53*HLOOKUP($DM$2,Variables!$B$60:$F$61,2,FALSE)</f>
        <v>0</v>
      </c>
      <c r="DQ67" s="1223">
        <f>$G67*AV67*Variables!$B$53*HLOOKUP($DM$2,Variables!$B$60:$F$61,2,FALSE)</f>
        <v>0</v>
      </c>
      <c r="DR67" s="1223">
        <f>$G67*AW67*Variables!$B$53*HLOOKUP($DM$2,Variables!$B$60:$F$61,2,FALSE)</f>
        <v>0</v>
      </c>
      <c r="DS67" s="1223">
        <f>$G67*AX67*Variables!$B$53*HLOOKUP($DM$2,Variables!$B$60:$F$61,2,FALSE)</f>
        <v>0</v>
      </c>
      <c r="DT67" s="1223">
        <f>$G67*AY67*Variables!$B$53*HLOOKUP($DM$2,Variables!$B$60:$F$61,2,FALSE)</f>
        <v>0</v>
      </c>
      <c r="DU67" s="1223">
        <f>$G67*AZ67*Variables!$B$53*HLOOKUP($DM$2,Variables!$B$60:$F$61,2,FALSE)</f>
        <v>0</v>
      </c>
      <c r="DV67" s="1223">
        <f>$G67*BA67*Variables!$B$53*HLOOKUP($DM$2,Variables!$B$60:$F$61,2,FALSE)</f>
        <v>0</v>
      </c>
      <c r="DW67" s="1223">
        <f>$G67*BB67*Variables!$B$53*HLOOKUP($DM$2,Variables!$B$60:$F$61,2,FALSE)</f>
        <v>0</v>
      </c>
      <c r="DX67" s="1225">
        <f>$G67*BC67*Variables!$B$53*HLOOKUP($DM$2,Variables!$B$60:$F$61,2,FALSE)</f>
        <v>0</v>
      </c>
      <c r="DY67" s="1222">
        <f>$G67*BD67*Variables!$B$53*HLOOKUP($DY$2,Variables!$B$60:$F$61,2,FALSE)</f>
        <v>0</v>
      </c>
      <c r="DZ67" s="1223">
        <f>$G67*BE67*Variables!$B$53*HLOOKUP($DY$2,Variables!$B$60:$F$61,2,FALSE)</f>
        <v>0</v>
      </c>
      <c r="EA67" s="1223">
        <f>$G67*BF67*Variables!$B$53*HLOOKUP($DY$2,Variables!$B$60:$F$61,2,FALSE)</f>
        <v>0</v>
      </c>
      <c r="EB67" s="1223">
        <f>$G67*BG67*Variables!$B$53*HLOOKUP($DY$2,Variables!$B$60:$F$61,2,FALSE)</f>
        <v>0</v>
      </c>
      <c r="EC67" s="1223">
        <f>$G67*BH67*Variables!$B$53*HLOOKUP($DY$2,Variables!$B$60:$F$61,2,FALSE)</f>
        <v>0</v>
      </c>
      <c r="ED67" s="1223">
        <f>$G67*BI67*Variables!$B$53*HLOOKUP($DY$2,Variables!$B$60:$F$61,2,FALSE)</f>
        <v>0</v>
      </c>
      <c r="EE67" s="1223">
        <f>$G67*BJ67*Variables!$B$53*HLOOKUP($DY$2,Variables!$B$60:$F$61,2,FALSE)</f>
        <v>0</v>
      </c>
      <c r="EF67" s="1223">
        <f>$G67*BK67*Variables!$B$53*HLOOKUP($DY$2,Variables!$B$60:$F$61,2,FALSE)</f>
        <v>0</v>
      </c>
      <c r="EG67" s="1223">
        <f>$G67*BL67*Variables!$B$53*HLOOKUP($DY$2,Variables!$B$60:$F$61,2,FALSE)</f>
        <v>0</v>
      </c>
      <c r="EH67" s="1223">
        <f>$G67*BM67*Variables!$B$53*HLOOKUP($DY$2,Variables!$B$60:$F$61,2,FALSE)</f>
        <v>0</v>
      </c>
      <c r="EI67" s="1223">
        <f>$G67*BN67*Variables!$B$53*HLOOKUP($DY$2,Variables!$B$60:$F$61,2,FALSE)</f>
        <v>0</v>
      </c>
      <c r="EJ67" s="1225">
        <f>$G67*BO67*Variables!$B$53*HLOOKUP($DY$2,Variables!$B$60:$F$61,2,FALSE)</f>
        <v>0</v>
      </c>
      <c r="EK67" s="1222">
        <f>$G67*BP67*Variables!$B$53*HLOOKUP($EK$2,Variables!$B$60:$F$61,2,FALSE)</f>
        <v>0</v>
      </c>
      <c r="EL67" s="1223">
        <f>$G67*BQ67*Variables!$B$53*HLOOKUP($EK$2,Variables!$B$60:$F$61,2,FALSE)</f>
        <v>0</v>
      </c>
      <c r="EM67" s="1223">
        <f>$G67*BR67*Variables!$B$53*HLOOKUP($EK$2,Variables!$B$60:$F$61,2,FALSE)</f>
        <v>0</v>
      </c>
      <c r="EN67" s="1223">
        <f>$G67*BS67*Variables!$B$53*HLOOKUP($EK$2,Variables!$B$60:$F$61,2,FALSE)</f>
        <v>0</v>
      </c>
      <c r="EO67" s="1223">
        <f>$G67*BT67*Variables!$B$53*HLOOKUP($EK$2,Variables!$B$60:$F$61,2,FALSE)</f>
        <v>0</v>
      </c>
      <c r="EP67" s="1223">
        <f>$G67*BU67*Variables!$B$53*HLOOKUP($EK$2,Variables!$B$60:$F$61,2,FALSE)</f>
        <v>0</v>
      </c>
      <c r="EQ67" s="1223">
        <f>$G67*BV67*Variables!$B$53*HLOOKUP($EK$2,Variables!$B$60:$F$61,2,FALSE)</f>
        <v>0</v>
      </c>
      <c r="ER67" s="1223">
        <f>$G67*BW67*Variables!$B$53*HLOOKUP($EK$2,Variables!$B$60:$F$61,2,FALSE)</f>
        <v>0</v>
      </c>
      <c r="ES67" s="1223">
        <f>$G67*BX67*Variables!$B$53*HLOOKUP($EK$2,Variables!$B$60:$F$61,2,FALSE)</f>
        <v>0</v>
      </c>
      <c r="ET67" s="1223">
        <f>$G67*BY67*Variables!$B$53*HLOOKUP($EK$2,Variables!$B$60:$F$61,2,FALSE)</f>
        <v>0</v>
      </c>
      <c r="EU67" s="1223">
        <f>$G67*BZ67*Variables!$B$53*HLOOKUP($EK$2,Variables!$B$60:$F$61,2,FALSE)</f>
        <v>0</v>
      </c>
      <c r="EV67" s="1225">
        <f>$G67*CA67*Variables!$B$53*HLOOKUP($EK$2,Variables!$B$60:$F$61,2,FALSE)</f>
        <v>0</v>
      </c>
      <c r="EW67" s="872">
        <f t="shared" si="6"/>
        <v>0</v>
      </c>
      <c r="EX67" s="872"/>
      <c r="EY67" s="872"/>
      <c r="EZ67" s="872"/>
      <c r="FA67" s="1332"/>
      <c r="FC67" s="958" t="str">
        <f t="shared" si="8"/>
        <v/>
      </c>
      <c r="FD67" s="959" t="str">
        <f t="shared" si="9"/>
        <v/>
      </c>
      <c r="FE67" s="959" t="s">
        <v>8407</v>
      </c>
      <c r="FF67" s="959" t="str">
        <f>IF(ISNA(VLOOKUP(FC67,Miscellaneous!E:F,2,0)),"",VLOOKUP(FC67,Miscellaneous!E:F,2,0))</f>
        <v/>
      </c>
      <c r="FG67" s="959" t="str">
        <f t="shared" si="10"/>
        <v/>
      </c>
      <c r="FH67" s="996">
        <f>IF($FG67="Opex",SUMIF('Monthly Summary'!$C$75:$N$75,"",CC67:CN67),SUMIF('Monthly Summary'!$C$74:$N$74,"",CC67:CN67))</f>
        <v>0</v>
      </c>
      <c r="FI67" s="996">
        <f>IF($FG67="Opex",SUMIF('Monthly Summary'!$O$75:$Z$75,"",CO67:CZ67),SUMIF('Monthly Summary'!$O$74:$Z$74,"",CO67:CZ67))</f>
        <v>0</v>
      </c>
      <c r="FJ67" s="996">
        <f>IF($FG67="Opex",SUMIF('Monthly Summary'!$AA$75:$AL$75,"",DA67:DL67),SUMIF('Monthly Summary'!$AA$74:$AL$74,"",DA67:DL67))</f>
        <v>0</v>
      </c>
      <c r="FK67" s="996">
        <f>IF($FG67="Opex",SUMIF('Monthly Summary'!$AM$75:$AX$75,"",DM67:DX67),SUMIF('Monthly Summary'!$AM$74:$AX$74,"",DM67:DX67))</f>
        <v>0</v>
      </c>
      <c r="FL67" s="996">
        <f>IF($FG67="Opex",SUMIF('Monthly Summary'!$AY$75:$BJ$75,"",DY67:EJ67),SUMIF('Monthly Summary'!$AY$74:$BJ$74,"",DY67:EJ67))</f>
        <v>0</v>
      </c>
      <c r="FM67" s="997">
        <f>IF($FG67="Opex",SUMIF('Monthly Summary'!$BK$75:$BV$75,"",EK67:EV67),SUMIF('Monthly Summary'!$BK$74:$BV$74,"",EK67:EV67))</f>
        <v>0</v>
      </c>
      <c r="FN67" s="997">
        <f t="shared" si="7"/>
        <v>0</v>
      </c>
    </row>
    <row r="68" spans="3:170">
      <c r="C68" s="757"/>
      <c r="D68" s="757"/>
      <c r="E68" s="758"/>
      <c r="F68" s="758"/>
      <c r="G68" s="758"/>
      <c r="H68" s="1215"/>
      <c r="I68" s="761"/>
      <c r="J68" s="761"/>
      <c r="K68" s="761"/>
      <c r="L68" s="761"/>
      <c r="M68" s="761"/>
      <c r="N68" s="761"/>
      <c r="O68" s="761"/>
      <c r="P68" s="761"/>
      <c r="Q68" s="761"/>
      <c r="R68" s="761"/>
      <c r="S68" s="1216"/>
      <c r="T68" s="1215"/>
      <c r="U68" s="761"/>
      <c r="V68" s="761"/>
      <c r="W68" s="761"/>
      <c r="X68" s="761"/>
      <c r="Y68" s="761"/>
      <c r="Z68" s="761"/>
      <c r="AA68" s="761"/>
      <c r="AB68" s="761"/>
      <c r="AC68" s="761"/>
      <c r="AD68" s="761"/>
      <c r="AE68" s="1216"/>
      <c r="AF68" s="1215"/>
      <c r="AG68" s="761"/>
      <c r="AH68" s="761"/>
      <c r="AI68" s="761"/>
      <c r="AJ68" s="761"/>
      <c r="AK68" s="761"/>
      <c r="AL68" s="761"/>
      <c r="AM68" s="761"/>
      <c r="AN68" s="761"/>
      <c r="AO68" s="761"/>
      <c r="AP68" s="761"/>
      <c r="AQ68" s="1216"/>
      <c r="AR68" s="1215"/>
      <c r="AS68" s="761"/>
      <c r="AT68" s="761"/>
      <c r="AU68" s="761"/>
      <c r="AV68" s="761"/>
      <c r="AW68" s="761"/>
      <c r="AX68" s="761"/>
      <c r="AY68" s="761"/>
      <c r="AZ68" s="761"/>
      <c r="BA68" s="761"/>
      <c r="BB68" s="761"/>
      <c r="BC68" s="1216"/>
      <c r="BD68" s="1215"/>
      <c r="BE68" s="761"/>
      <c r="BF68" s="761"/>
      <c r="BG68" s="761"/>
      <c r="BH68" s="761"/>
      <c r="BI68" s="761"/>
      <c r="BJ68" s="761"/>
      <c r="BK68" s="761"/>
      <c r="BL68" s="761"/>
      <c r="BM68" s="761"/>
      <c r="BN68" s="761"/>
      <c r="BO68" s="1216"/>
      <c r="BP68" s="1215"/>
      <c r="BQ68" s="761"/>
      <c r="BR68" s="761"/>
      <c r="BS68" s="761"/>
      <c r="BT68" s="761"/>
      <c r="BU68" s="761"/>
      <c r="BV68" s="761"/>
      <c r="BW68" s="761"/>
      <c r="BX68" s="761"/>
      <c r="BY68" s="761"/>
      <c r="BZ68" s="761"/>
      <c r="CA68" s="1216"/>
      <c r="CB68" s="747"/>
      <c r="CC68" s="1222">
        <f>$G68*H68*Variables!$B$53</f>
        <v>0</v>
      </c>
      <c r="CD68" s="1223">
        <f>$G68*I68*Variables!$B$53</f>
        <v>0</v>
      </c>
      <c r="CE68" s="1223">
        <f>$G68*J68*Variables!$B$53</f>
        <v>0</v>
      </c>
      <c r="CF68" s="1223">
        <f>$G68*K68*Variables!$B$53</f>
        <v>0</v>
      </c>
      <c r="CG68" s="1223">
        <f>$G68*L68*Variables!$B$53</f>
        <v>0</v>
      </c>
      <c r="CH68" s="1223">
        <f>$G68*M68*Variables!$B$53</f>
        <v>0</v>
      </c>
      <c r="CI68" s="1223">
        <f>$G68*N68*Variables!$B$53</f>
        <v>0</v>
      </c>
      <c r="CJ68" s="1223">
        <f>$G68*O68*Variables!$B$53</f>
        <v>0</v>
      </c>
      <c r="CK68" s="1223">
        <f>$G68*P68*Variables!$B$53</f>
        <v>0</v>
      </c>
      <c r="CL68" s="1223">
        <f>$G68*Q68*Variables!$B$53</f>
        <v>0</v>
      </c>
      <c r="CM68" s="1223">
        <f>$G68*R68*Variables!$B$53</f>
        <v>0</v>
      </c>
      <c r="CN68" s="1225">
        <f>$G68*S68*Variables!$B$53</f>
        <v>0</v>
      </c>
      <c r="CO68" s="1222">
        <f>$G68*T68*Variables!$B$53*HLOOKUP($CO$2,Variables!$B$60:$F$61,2,FALSE)</f>
        <v>0</v>
      </c>
      <c r="CP68" s="1223">
        <f>$G68*U68*Variables!$B$53*HLOOKUP($CO$2,Variables!$B$60:$F$61,2,FALSE)</f>
        <v>0</v>
      </c>
      <c r="CQ68" s="1223">
        <f>$G68*V68*Variables!$B$53*HLOOKUP($CO$2,Variables!$B$60:$F$61,2,FALSE)</f>
        <v>0</v>
      </c>
      <c r="CR68" s="1223">
        <f>$G68*W68*Variables!$B$53*HLOOKUP($CO$2,Variables!$B$60:$F$61,2,FALSE)</f>
        <v>0</v>
      </c>
      <c r="CS68" s="1223">
        <f>$G68*X68*Variables!$B$53*HLOOKUP($CO$2,Variables!$B$60:$F$61,2,FALSE)</f>
        <v>0</v>
      </c>
      <c r="CT68" s="1223">
        <f>$G68*Y68*Variables!$B$53*HLOOKUP($CO$2,Variables!$B$60:$F$61,2,FALSE)</f>
        <v>0</v>
      </c>
      <c r="CU68" s="1223">
        <f>$G68*Z68*Variables!$B$53*HLOOKUP($CO$2,Variables!$B$60:$F$61,2,FALSE)</f>
        <v>0</v>
      </c>
      <c r="CV68" s="1223">
        <f>$G68*AA68*Variables!$B$53*HLOOKUP($CO$2,Variables!$B$60:$F$61,2,FALSE)</f>
        <v>0</v>
      </c>
      <c r="CW68" s="1223">
        <f>$G68*AB68*Variables!$B$53*HLOOKUP($CO$2,Variables!$B$60:$F$61,2,FALSE)</f>
        <v>0</v>
      </c>
      <c r="CX68" s="1223">
        <f>$G68*AC68*Variables!$B$53*HLOOKUP($CO$2,Variables!$B$60:$F$61,2,FALSE)</f>
        <v>0</v>
      </c>
      <c r="CY68" s="1223">
        <f>$G68*AD68*Variables!$B$53*HLOOKUP($CO$2,Variables!$B$60:$F$61,2,FALSE)</f>
        <v>0</v>
      </c>
      <c r="CZ68" s="1225">
        <f>$G68*AE68*Variables!$B$53*HLOOKUP($CO$2,Variables!$B$60:$F$61,2,FALSE)</f>
        <v>0</v>
      </c>
      <c r="DA68" s="1222">
        <f>$G68*AF68*Variables!$B$53*HLOOKUP($DA$2,Variables!$B$60:$F$61,2,FALSE)</f>
        <v>0</v>
      </c>
      <c r="DB68" s="1223">
        <f>$G68*AG68*Variables!$B$53*HLOOKUP($DA$2,Variables!$B$60:$F$61,2,FALSE)</f>
        <v>0</v>
      </c>
      <c r="DC68" s="1223">
        <f>$G68*AH68*Variables!$B$53*HLOOKUP($DA$2,Variables!$B$60:$F$61,2,FALSE)</f>
        <v>0</v>
      </c>
      <c r="DD68" s="1223">
        <f>$G68*AI68*Variables!$B$53*HLOOKUP($DA$2,Variables!$B$60:$F$61,2,FALSE)</f>
        <v>0</v>
      </c>
      <c r="DE68" s="1223">
        <f>$G68*AJ68*Variables!$B$53*HLOOKUP($DA$2,Variables!$B$60:$F$61,2,FALSE)</f>
        <v>0</v>
      </c>
      <c r="DF68" s="1223">
        <f>$G68*AK68*Variables!$B$53*HLOOKUP($DA$2,Variables!$B$60:$F$61,2,FALSE)</f>
        <v>0</v>
      </c>
      <c r="DG68" s="1223">
        <f>$G68*AL68*Variables!$B$53*HLOOKUP($DA$2,Variables!$B$60:$F$61,2,FALSE)</f>
        <v>0</v>
      </c>
      <c r="DH68" s="1223">
        <f>$G68*AM68*Variables!$B$53*HLOOKUP($DA$2,Variables!$B$60:$F$61,2,FALSE)</f>
        <v>0</v>
      </c>
      <c r="DI68" s="1223">
        <f>$G68*AN68*Variables!$B$53*HLOOKUP($DA$2,Variables!$B$60:$F$61,2,FALSE)</f>
        <v>0</v>
      </c>
      <c r="DJ68" s="1223">
        <f>$G68*AO68*Variables!$B$53*HLOOKUP($DA$2,Variables!$B$60:$F$61,2,FALSE)</f>
        <v>0</v>
      </c>
      <c r="DK68" s="1223">
        <f>$G68*AP68*Variables!$B$53*HLOOKUP($DA$2,Variables!$B$60:$F$61,2,FALSE)</f>
        <v>0</v>
      </c>
      <c r="DL68" s="1225">
        <f>$G68*AQ68*Variables!$B$53*HLOOKUP($DA$2,Variables!$B$60:$F$61,2,FALSE)</f>
        <v>0</v>
      </c>
      <c r="DM68" s="1222">
        <f>$G68*AR68*Variables!$B$53*HLOOKUP($DM$2,Variables!$B$60:$F$61,2,FALSE)</f>
        <v>0</v>
      </c>
      <c r="DN68" s="1223">
        <f>$G68*AS68*Variables!$B$53*HLOOKUP($DM$2,Variables!$B$60:$F$61,2,FALSE)</f>
        <v>0</v>
      </c>
      <c r="DO68" s="1223">
        <f>$G68*AT68*Variables!$B$53*HLOOKUP($DM$2,Variables!$B$60:$F$61,2,FALSE)</f>
        <v>0</v>
      </c>
      <c r="DP68" s="1223">
        <f>$G68*AU68*Variables!$B$53*HLOOKUP($DM$2,Variables!$B$60:$F$61,2,FALSE)</f>
        <v>0</v>
      </c>
      <c r="DQ68" s="1223">
        <f>$G68*AV68*Variables!$B$53*HLOOKUP($DM$2,Variables!$B$60:$F$61,2,FALSE)</f>
        <v>0</v>
      </c>
      <c r="DR68" s="1223">
        <f>$G68*AW68*Variables!$B$53*HLOOKUP($DM$2,Variables!$B$60:$F$61,2,FALSE)</f>
        <v>0</v>
      </c>
      <c r="DS68" s="1223">
        <f>$G68*AX68*Variables!$B$53*HLOOKUP($DM$2,Variables!$B$60:$F$61,2,FALSE)</f>
        <v>0</v>
      </c>
      <c r="DT68" s="1223">
        <f>$G68*AY68*Variables!$B$53*HLOOKUP($DM$2,Variables!$B$60:$F$61,2,FALSE)</f>
        <v>0</v>
      </c>
      <c r="DU68" s="1223">
        <f>$G68*AZ68*Variables!$B$53*HLOOKUP($DM$2,Variables!$B$60:$F$61,2,FALSE)</f>
        <v>0</v>
      </c>
      <c r="DV68" s="1223">
        <f>$G68*BA68*Variables!$B$53*HLOOKUP($DM$2,Variables!$B$60:$F$61,2,FALSE)</f>
        <v>0</v>
      </c>
      <c r="DW68" s="1223">
        <f>$G68*BB68*Variables!$B$53*HLOOKUP($DM$2,Variables!$B$60:$F$61,2,FALSE)</f>
        <v>0</v>
      </c>
      <c r="DX68" s="1225">
        <f>$G68*BC68*Variables!$B$53*HLOOKUP($DM$2,Variables!$B$60:$F$61,2,FALSE)</f>
        <v>0</v>
      </c>
      <c r="DY68" s="1222">
        <f>$G68*BD68*Variables!$B$53*HLOOKUP($DY$2,Variables!$B$60:$F$61,2,FALSE)</f>
        <v>0</v>
      </c>
      <c r="DZ68" s="1223">
        <f>$G68*BE68*Variables!$B$53*HLOOKUP($DY$2,Variables!$B$60:$F$61,2,FALSE)</f>
        <v>0</v>
      </c>
      <c r="EA68" s="1223">
        <f>$G68*BF68*Variables!$B$53*HLOOKUP($DY$2,Variables!$B$60:$F$61,2,FALSE)</f>
        <v>0</v>
      </c>
      <c r="EB68" s="1223">
        <f>$G68*BG68*Variables!$B$53*HLOOKUP($DY$2,Variables!$B$60:$F$61,2,FALSE)</f>
        <v>0</v>
      </c>
      <c r="EC68" s="1223">
        <f>$G68*BH68*Variables!$B$53*HLOOKUP($DY$2,Variables!$B$60:$F$61,2,FALSE)</f>
        <v>0</v>
      </c>
      <c r="ED68" s="1223">
        <f>$G68*BI68*Variables!$B$53*HLOOKUP($DY$2,Variables!$B$60:$F$61,2,FALSE)</f>
        <v>0</v>
      </c>
      <c r="EE68" s="1223">
        <f>$G68*BJ68*Variables!$B$53*HLOOKUP($DY$2,Variables!$B$60:$F$61,2,FALSE)</f>
        <v>0</v>
      </c>
      <c r="EF68" s="1223">
        <f>$G68*BK68*Variables!$B$53*HLOOKUP($DY$2,Variables!$B$60:$F$61,2,FALSE)</f>
        <v>0</v>
      </c>
      <c r="EG68" s="1223">
        <f>$G68*BL68*Variables!$B$53*HLOOKUP($DY$2,Variables!$B$60:$F$61,2,FALSE)</f>
        <v>0</v>
      </c>
      <c r="EH68" s="1223">
        <f>$G68*BM68*Variables!$B$53*HLOOKUP($DY$2,Variables!$B$60:$F$61,2,FALSE)</f>
        <v>0</v>
      </c>
      <c r="EI68" s="1223">
        <f>$G68*BN68*Variables!$B$53*HLOOKUP($DY$2,Variables!$B$60:$F$61,2,FALSE)</f>
        <v>0</v>
      </c>
      <c r="EJ68" s="1225">
        <f>$G68*BO68*Variables!$B$53*HLOOKUP($DY$2,Variables!$B$60:$F$61,2,FALSE)</f>
        <v>0</v>
      </c>
      <c r="EK68" s="1222">
        <f>$G68*BP68*Variables!$B$53*HLOOKUP($EK$2,Variables!$B$60:$F$61,2,FALSE)</f>
        <v>0</v>
      </c>
      <c r="EL68" s="1223">
        <f>$G68*BQ68*Variables!$B$53*HLOOKUP($EK$2,Variables!$B$60:$F$61,2,FALSE)</f>
        <v>0</v>
      </c>
      <c r="EM68" s="1223">
        <f>$G68*BR68*Variables!$B$53*HLOOKUP($EK$2,Variables!$B$60:$F$61,2,FALSE)</f>
        <v>0</v>
      </c>
      <c r="EN68" s="1223">
        <f>$G68*BS68*Variables!$B$53*HLOOKUP($EK$2,Variables!$B$60:$F$61,2,FALSE)</f>
        <v>0</v>
      </c>
      <c r="EO68" s="1223">
        <f>$G68*BT68*Variables!$B$53*HLOOKUP($EK$2,Variables!$B$60:$F$61,2,FALSE)</f>
        <v>0</v>
      </c>
      <c r="EP68" s="1223">
        <f>$G68*BU68*Variables!$B$53*HLOOKUP($EK$2,Variables!$B$60:$F$61,2,FALSE)</f>
        <v>0</v>
      </c>
      <c r="EQ68" s="1223">
        <f>$G68*BV68*Variables!$B$53*HLOOKUP($EK$2,Variables!$B$60:$F$61,2,FALSE)</f>
        <v>0</v>
      </c>
      <c r="ER68" s="1223">
        <f>$G68*BW68*Variables!$B$53*HLOOKUP($EK$2,Variables!$B$60:$F$61,2,FALSE)</f>
        <v>0</v>
      </c>
      <c r="ES68" s="1223">
        <f>$G68*BX68*Variables!$B$53*HLOOKUP($EK$2,Variables!$B$60:$F$61,2,FALSE)</f>
        <v>0</v>
      </c>
      <c r="ET68" s="1223">
        <f>$G68*BY68*Variables!$B$53*HLOOKUP($EK$2,Variables!$B$60:$F$61,2,FALSE)</f>
        <v>0</v>
      </c>
      <c r="EU68" s="1223">
        <f>$G68*BZ68*Variables!$B$53*HLOOKUP($EK$2,Variables!$B$60:$F$61,2,FALSE)</f>
        <v>0</v>
      </c>
      <c r="EV68" s="1225">
        <f>$G68*CA68*Variables!$B$53*HLOOKUP($EK$2,Variables!$B$60:$F$61,2,FALSE)</f>
        <v>0</v>
      </c>
      <c r="EW68" s="872">
        <f t="shared" si="6"/>
        <v>0</v>
      </c>
      <c r="EX68" s="872"/>
      <c r="EY68" s="872"/>
      <c r="EZ68" s="872"/>
      <c r="FA68" s="1332"/>
      <c r="FC68" s="958" t="str">
        <f t="shared" si="8"/>
        <v/>
      </c>
      <c r="FD68" s="959" t="str">
        <f t="shared" si="9"/>
        <v/>
      </c>
      <c r="FE68" s="959" t="s">
        <v>8407</v>
      </c>
      <c r="FF68" s="959" t="str">
        <f>IF(ISNA(VLOOKUP(FC68,Miscellaneous!E:F,2,0)),"",VLOOKUP(FC68,Miscellaneous!E:F,2,0))</f>
        <v/>
      </c>
      <c r="FG68" s="959" t="str">
        <f t="shared" si="10"/>
        <v/>
      </c>
      <c r="FH68" s="996">
        <f>IF($FG68="Opex",SUMIF('Monthly Summary'!$C$75:$N$75,"",CC68:CN68),SUMIF('Monthly Summary'!$C$74:$N$74,"",CC68:CN68))</f>
        <v>0</v>
      </c>
      <c r="FI68" s="996">
        <f>IF($FG68="Opex",SUMIF('Monthly Summary'!$O$75:$Z$75,"",CO68:CZ68),SUMIF('Monthly Summary'!$O$74:$Z$74,"",CO68:CZ68))</f>
        <v>0</v>
      </c>
      <c r="FJ68" s="996">
        <f>IF($FG68="Opex",SUMIF('Monthly Summary'!$AA$75:$AL$75,"",DA68:DL68),SUMIF('Monthly Summary'!$AA$74:$AL$74,"",DA68:DL68))</f>
        <v>0</v>
      </c>
      <c r="FK68" s="996">
        <f>IF($FG68="Opex",SUMIF('Monthly Summary'!$AM$75:$AX$75,"",DM68:DX68),SUMIF('Monthly Summary'!$AM$74:$AX$74,"",DM68:DX68))</f>
        <v>0</v>
      </c>
      <c r="FL68" s="996">
        <f>IF($FG68="Opex",SUMIF('Monthly Summary'!$AY$75:$BJ$75,"",DY68:EJ68),SUMIF('Monthly Summary'!$AY$74:$BJ$74,"",DY68:EJ68))</f>
        <v>0</v>
      </c>
      <c r="FM68" s="997">
        <f>IF($FG68="Opex",SUMIF('Monthly Summary'!$BK$75:$BV$75,"",EK68:EV68),SUMIF('Monthly Summary'!$BK$74:$BV$74,"",EK68:EV68))</f>
        <v>0</v>
      </c>
      <c r="FN68" s="997">
        <f t="shared" si="7"/>
        <v>0</v>
      </c>
    </row>
    <row r="69" spans="3:170">
      <c r="C69" s="757"/>
      <c r="D69" s="757"/>
      <c r="E69" s="758"/>
      <c r="F69" s="758"/>
      <c r="G69" s="758"/>
      <c r="H69" s="1215"/>
      <c r="I69" s="761"/>
      <c r="J69" s="761"/>
      <c r="K69" s="761"/>
      <c r="L69" s="761"/>
      <c r="M69" s="761"/>
      <c r="N69" s="761"/>
      <c r="O69" s="761"/>
      <c r="P69" s="761"/>
      <c r="Q69" s="761"/>
      <c r="R69" s="761"/>
      <c r="S69" s="1216"/>
      <c r="T69" s="1215"/>
      <c r="U69" s="761"/>
      <c r="V69" s="761"/>
      <c r="W69" s="761"/>
      <c r="X69" s="761"/>
      <c r="Y69" s="761"/>
      <c r="Z69" s="761"/>
      <c r="AA69" s="761"/>
      <c r="AB69" s="761"/>
      <c r="AC69" s="761"/>
      <c r="AD69" s="761"/>
      <c r="AE69" s="1216"/>
      <c r="AF69" s="1215"/>
      <c r="AG69" s="761"/>
      <c r="AH69" s="761"/>
      <c r="AI69" s="761"/>
      <c r="AJ69" s="761"/>
      <c r="AK69" s="761"/>
      <c r="AL69" s="761"/>
      <c r="AM69" s="761"/>
      <c r="AN69" s="761"/>
      <c r="AO69" s="761"/>
      <c r="AP69" s="761"/>
      <c r="AQ69" s="1216"/>
      <c r="AR69" s="1215"/>
      <c r="AS69" s="761"/>
      <c r="AT69" s="761"/>
      <c r="AU69" s="761"/>
      <c r="AV69" s="761"/>
      <c r="AW69" s="761"/>
      <c r="AX69" s="761"/>
      <c r="AY69" s="761"/>
      <c r="AZ69" s="761"/>
      <c r="BA69" s="761"/>
      <c r="BB69" s="761"/>
      <c r="BC69" s="1216"/>
      <c r="BD69" s="1215"/>
      <c r="BE69" s="761"/>
      <c r="BF69" s="761"/>
      <c r="BG69" s="761"/>
      <c r="BH69" s="761"/>
      <c r="BI69" s="761"/>
      <c r="BJ69" s="761"/>
      <c r="BK69" s="761"/>
      <c r="BL69" s="761"/>
      <c r="BM69" s="761"/>
      <c r="BN69" s="761"/>
      <c r="BO69" s="1216"/>
      <c r="BP69" s="1215"/>
      <c r="BQ69" s="761"/>
      <c r="BR69" s="761"/>
      <c r="BS69" s="761"/>
      <c r="BT69" s="761"/>
      <c r="BU69" s="761"/>
      <c r="BV69" s="761"/>
      <c r="BW69" s="761"/>
      <c r="BX69" s="761"/>
      <c r="BY69" s="761"/>
      <c r="BZ69" s="761"/>
      <c r="CA69" s="1216"/>
      <c r="CB69" s="747"/>
      <c r="CC69" s="1222">
        <f>$G69*H69*Variables!$B$53</f>
        <v>0</v>
      </c>
      <c r="CD69" s="1223">
        <f>$G69*I69*Variables!$B$53</f>
        <v>0</v>
      </c>
      <c r="CE69" s="1223">
        <f>$G69*J69*Variables!$B$53</f>
        <v>0</v>
      </c>
      <c r="CF69" s="1223">
        <f>$G69*K69*Variables!$B$53</f>
        <v>0</v>
      </c>
      <c r="CG69" s="1223">
        <f>$G69*L69*Variables!$B$53</f>
        <v>0</v>
      </c>
      <c r="CH69" s="1223">
        <f>$G69*M69*Variables!$B$53</f>
        <v>0</v>
      </c>
      <c r="CI69" s="1223">
        <f>$G69*N69*Variables!$B$53</f>
        <v>0</v>
      </c>
      <c r="CJ69" s="1223">
        <f>$G69*O69*Variables!$B$53</f>
        <v>0</v>
      </c>
      <c r="CK69" s="1223">
        <f>$G69*P69*Variables!$B$53</f>
        <v>0</v>
      </c>
      <c r="CL69" s="1223">
        <f>$G69*Q69*Variables!$B$53</f>
        <v>0</v>
      </c>
      <c r="CM69" s="1223">
        <f>$G69*R69*Variables!$B$53</f>
        <v>0</v>
      </c>
      <c r="CN69" s="1225">
        <f>$G69*S69*Variables!$B$53</f>
        <v>0</v>
      </c>
      <c r="CO69" s="1222">
        <f>$G69*T69*Variables!$B$53*HLOOKUP($CO$2,Variables!$B$60:$F$61,2,FALSE)</f>
        <v>0</v>
      </c>
      <c r="CP69" s="1223">
        <f>$G69*U69*Variables!$B$53*HLOOKUP($CO$2,Variables!$B$60:$F$61,2,FALSE)</f>
        <v>0</v>
      </c>
      <c r="CQ69" s="1223">
        <f>$G69*V69*Variables!$B$53*HLOOKUP($CO$2,Variables!$B$60:$F$61,2,FALSE)</f>
        <v>0</v>
      </c>
      <c r="CR69" s="1223">
        <f>$G69*W69*Variables!$B$53*HLOOKUP($CO$2,Variables!$B$60:$F$61,2,FALSE)</f>
        <v>0</v>
      </c>
      <c r="CS69" s="1223">
        <f>$G69*X69*Variables!$B$53*HLOOKUP($CO$2,Variables!$B$60:$F$61,2,FALSE)</f>
        <v>0</v>
      </c>
      <c r="CT69" s="1223">
        <f>$G69*Y69*Variables!$B$53*HLOOKUP($CO$2,Variables!$B$60:$F$61,2,FALSE)</f>
        <v>0</v>
      </c>
      <c r="CU69" s="1223">
        <f>$G69*Z69*Variables!$B$53*HLOOKUP($CO$2,Variables!$B$60:$F$61,2,FALSE)</f>
        <v>0</v>
      </c>
      <c r="CV69" s="1223">
        <f>$G69*AA69*Variables!$B$53*HLOOKUP($CO$2,Variables!$B$60:$F$61,2,FALSE)</f>
        <v>0</v>
      </c>
      <c r="CW69" s="1223">
        <f>$G69*AB69*Variables!$B$53*HLOOKUP($CO$2,Variables!$B$60:$F$61,2,FALSE)</f>
        <v>0</v>
      </c>
      <c r="CX69" s="1223">
        <f>$G69*AC69*Variables!$B$53*HLOOKUP($CO$2,Variables!$B$60:$F$61,2,FALSE)</f>
        <v>0</v>
      </c>
      <c r="CY69" s="1223">
        <f>$G69*AD69*Variables!$B$53*HLOOKUP($CO$2,Variables!$B$60:$F$61,2,FALSE)</f>
        <v>0</v>
      </c>
      <c r="CZ69" s="1225">
        <f>$G69*AE69*Variables!$B$53*HLOOKUP($CO$2,Variables!$B$60:$F$61,2,FALSE)</f>
        <v>0</v>
      </c>
      <c r="DA69" s="1222">
        <f>$G69*AF69*Variables!$B$53*HLOOKUP($DA$2,Variables!$B$60:$F$61,2,FALSE)</f>
        <v>0</v>
      </c>
      <c r="DB69" s="1223">
        <f>$G69*AG69*Variables!$B$53*HLOOKUP($DA$2,Variables!$B$60:$F$61,2,FALSE)</f>
        <v>0</v>
      </c>
      <c r="DC69" s="1223">
        <f>$G69*AH69*Variables!$B$53*HLOOKUP($DA$2,Variables!$B$60:$F$61,2,FALSE)</f>
        <v>0</v>
      </c>
      <c r="DD69" s="1223">
        <f>$G69*AI69*Variables!$B$53*HLOOKUP($DA$2,Variables!$B$60:$F$61,2,FALSE)</f>
        <v>0</v>
      </c>
      <c r="DE69" s="1223">
        <f>$G69*AJ69*Variables!$B$53*HLOOKUP($DA$2,Variables!$B$60:$F$61,2,FALSE)</f>
        <v>0</v>
      </c>
      <c r="DF69" s="1223">
        <f>$G69*AK69*Variables!$B$53*HLOOKUP($DA$2,Variables!$B$60:$F$61,2,FALSE)</f>
        <v>0</v>
      </c>
      <c r="DG69" s="1223">
        <f>$G69*AL69*Variables!$B$53*HLOOKUP($DA$2,Variables!$B$60:$F$61,2,FALSE)</f>
        <v>0</v>
      </c>
      <c r="DH69" s="1223">
        <f>$G69*AM69*Variables!$B$53*HLOOKUP($DA$2,Variables!$B$60:$F$61,2,FALSE)</f>
        <v>0</v>
      </c>
      <c r="DI69" s="1223">
        <f>$G69*AN69*Variables!$B$53*HLOOKUP($DA$2,Variables!$B$60:$F$61,2,FALSE)</f>
        <v>0</v>
      </c>
      <c r="DJ69" s="1223">
        <f>$G69*AO69*Variables!$B$53*HLOOKUP($DA$2,Variables!$B$60:$F$61,2,FALSE)</f>
        <v>0</v>
      </c>
      <c r="DK69" s="1223">
        <f>$G69*AP69*Variables!$B$53*HLOOKUP($DA$2,Variables!$B$60:$F$61,2,FALSE)</f>
        <v>0</v>
      </c>
      <c r="DL69" s="1225">
        <f>$G69*AQ69*Variables!$B$53*HLOOKUP($DA$2,Variables!$B$60:$F$61,2,FALSE)</f>
        <v>0</v>
      </c>
      <c r="DM69" s="1222">
        <f>$G69*AR69*Variables!$B$53*HLOOKUP($DM$2,Variables!$B$60:$F$61,2,FALSE)</f>
        <v>0</v>
      </c>
      <c r="DN69" s="1223">
        <f>$G69*AS69*Variables!$B$53*HLOOKUP($DM$2,Variables!$B$60:$F$61,2,FALSE)</f>
        <v>0</v>
      </c>
      <c r="DO69" s="1223">
        <f>$G69*AT69*Variables!$B$53*HLOOKUP($DM$2,Variables!$B$60:$F$61,2,FALSE)</f>
        <v>0</v>
      </c>
      <c r="DP69" s="1223">
        <f>$G69*AU69*Variables!$B$53*HLOOKUP($DM$2,Variables!$B$60:$F$61,2,FALSE)</f>
        <v>0</v>
      </c>
      <c r="DQ69" s="1223">
        <f>$G69*AV69*Variables!$B$53*HLOOKUP($DM$2,Variables!$B$60:$F$61,2,FALSE)</f>
        <v>0</v>
      </c>
      <c r="DR69" s="1223">
        <f>$G69*AW69*Variables!$B$53*HLOOKUP($DM$2,Variables!$B$60:$F$61,2,FALSE)</f>
        <v>0</v>
      </c>
      <c r="DS69" s="1223">
        <f>$G69*AX69*Variables!$B$53*HLOOKUP($DM$2,Variables!$B$60:$F$61,2,FALSE)</f>
        <v>0</v>
      </c>
      <c r="DT69" s="1223">
        <f>$G69*AY69*Variables!$B$53*HLOOKUP($DM$2,Variables!$B$60:$F$61,2,FALSE)</f>
        <v>0</v>
      </c>
      <c r="DU69" s="1223">
        <f>$G69*AZ69*Variables!$B$53*HLOOKUP($DM$2,Variables!$B$60:$F$61,2,FALSE)</f>
        <v>0</v>
      </c>
      <c r="DV69" s="1223">
        <f>$G69*BA69*Variables!$B$53*HLOOKUP($DM$2,Variables!$B$60:$F$61,2,FALSE)</f>
        <v>0</v>
      </c>
      <c r="DW69" s="1223">
        <f>$G69*BB69*Variables!$B$53*HLOOKUP($DM$2,Variables!$B$60:$F$61,2,FALSE)</f>
        <v>0</v>
      </c>
      <c r="DX69" s="1225">
        <f>$G69*BC69*Variables!$B$53*HLOOKUP($DM$2,Variables!$B$60:$F$61,2,FALSE)</f>
        <v>0</v>
      </c>
      <c r="DY69" s="1222">
        <f>$G69*BD69*Variables!$B$53*HLOOKUP($DY$2,Variables!$B$60:$F$61,2,FALSE)</f>
        <v>0</v>
      </c>
      <c r="DZ69" s="1223">
        <f>$G69*BE69*Variables!$B$53*HLOOKUP($DY$2,Variables!$B$60:$F$61,2,FALSE)</f>
        <v>0</v>
      </c>
      <c r="EA69" s="1223">
        <f>$G69*BF69*Variables!$B$53*HLOOKUP($DY$2,Variables!$B$60:$F$61,2,FALSE)</f>
        <v>0</v>
      </c>
      <c r="EB69" s="1223">
        <f>$G69*BG69*Variables!$B$53*HLOOKUP($DY$2,Variables!$B$60:$F$61,2,FALSE)</f>
        <v>0</v>
      </c>
      <c r="EC69" s="1223">
        <f>$G69*BH69*Variables!$B$53*HLOOKUP($DY$2,Variables!$B$60:$F$61,2,FALSE)</f>
        <v>0</v>
      </c>
      <c r="ED69" s="1223">
        <f>$G69*BI69*Variables!$B$53*HLOOKUP($DY$2,Variables!$B$60:$F$61,2,FALSE)</f>
        <v>0</v>
      </c>
      <c r="EE69" s="1223">
        <f>$G69*BJ69*Variables!$B$53*HLOOKUP($DY$2,Variables!$B$60:$F$61,2,FALSE)</f>
        <v>0</v>
      </c>
      <c r="EF69" s="1223">
        <f>$G69*BK69*Variables!$B$53*HLOOKUP($DY$2,Variables!$B$60:$F$61,2,FALSE)</f>
        <v>0</v>
      </c>
      <c r="EG69" s="1223">
        <f>$G69*BL69*Variables!$B$53*HLOOKUP($DY$2,Variables!$B$60:$F$61,2,FALSE)</f>
        <v>0</v>
      </c>
      <c r="EH69" s="1223">
        <f>$G69*BM69*Variables!$B$53*HLOOKUP($DY$2,Variables!$B$60:$F$61,2,FALSE)</f>
        <v>0</v>
      </c>
      <c r="EI69" s="1223">
        <f>$G69*BN69*Variables!$B$53*HLOOKUP($DY$2,Variables!$B$60:$F$61,2,FALSE)</f>
        <v>0</v>
      </c>
      <c r="EJ69" s="1225">
        <f>$G69*BO69*Variables!$B$53*HLOOKUP($DY$2,Variables!$B$60:$F$61,2,FALSE)</f>
        <v>0</v>
      </c>
      <c r="EK69" s="1222">
        <f>$G69*BP69*Variables!$B$53*HLOOKUP($EK$2,Variables!$B$60:$F$61,2,FALSE)</f>
        <v>0</v>
      </c>
      <c r="EL69" s="1223">
        <f>$G69*BQ69*Variables!$B$53*HLOOKUP($EK$2,Variables!$B$60:$F$61,2,FALSE)</f>
        <v>0</v>
      </c>
      <c r="EM69" s="1223">
        <f>$G69*BR69*Variables!$B$53*HLOOKUP($EK$2,Variables!$B$60:$F$61,2,FALSE)</f>
        <v>0</v>
      </c>
      <c r="EN69" s="1223">
        <f>$G69*BS69*Variables!$B$53*HLOOKUP($EK$2,Variables!$B$60:$F$61,2,FALSE)</f>
        <v>0</v>
      </c>
      <c r="EO69" s="1223">
        <f>$G69*BT69*Variables!$B$53*HLOOKUP($EK$2,Variables!$B$60:$F$61,2,FALSE)</f>
        <v>0</v>
      </c>
      <c r="EP69" s="1223">
        <f>$G69*BU69*Variables!$B$53*HLOOKUP($EK$2,Variables!$B$60:$F$61,2,FALSE)</f>
        <v>0</v>
      </c>
      <c r="EQ69" s="1223">
        <f>$G69*BV69*Variables!$B$53*HLOOKUP($EK$2,Variables!$B$60:$F$61,2,FALSE)</f>
        <v>0</v>
      </c>
      <c r="ER69" s="1223">
        <f>$G69*BW69*Variables!$B$53*HLOOKUP($EK$2,Variables!$B$60:$F$61,2,FALSE)</f>
        <v>0</v>
      </c>
      <c r="ES69" s="1223">
        <f>$G69*BX69*Variables!$B$53*HLOOKUP($EK$2,Variables!$B$60:$F$61,2,FALSE)</f>
        <v>0</v>
      </c>
      <c r="ET69" s="1223">
        <f>$G69*BY69*Variables!$B$53*HLOOKUP($EK$2,Variables!$B$60:$F$61,2,FALSE)</f>
        <v>0</v>
      </c>
      <c r="EU69" s="1223">
        <f>$G69*BZ69*Variables!$B$53*HLOOKUP($EK$2,Variables!$B$60:$F$61,2,FALSE)</f>
        <v>0</v>
      </c>
      <c r="EV69" s="1225">
        <f>$G69*CA69*Variables!$B$53*HLOOKUP($EK$2,Variables!$B$60:$F$61,2,FALSE)</f>
        <v>0</v>
      </c>
      <c r="EW69" s="872">
        <f t="shared" si="6"/>
        <v>0</v>
      </c>
      <c r="EX69" s="872"/>
      <c r="EY69" s="872"/>
      <c r="EZ69" s="872"/>
      <c r="FA69" s="1332"/>
      <c r="FC69" s="958" t="str">
        <f t="shared" ref="FC69:FC100" si="11">IF(ISBLANK(A69),"",A69)</f>
        <v/>
      </c>
      <c r="FD69" s="959" t="str">
        <f t="shared" ref="FD69:FD100" si="12">IF(ISBLANK(B69),"",B69)</f>
        <v/>
      </c>
      <c r="FE69" s="959" t="s">
        <v>8407</v>
      </c>
      <c r="FF69" s="959" t="str">
        <f>IF(ISNA(VLOOKUP(FC69,Miscellaneous!E:F,2,0)),"",VLOOKUP(FC69,Miscellaneous!E:F,2,0))</f>
        <v/>
      </c>
      <c r="FG69" s="959" t="str">
        <f t="shared" ref="FG69:FG100" si="13">IF(ISBLANK(F69),"",F69)</f>
        <v/>
      </c>
      <c r="FH69" s="996">
        <f>IF($FG69="Opex",SUMIF('Monthly Summary'!$C$75:$N$75,"",CC69:CN69),SUMIF('Monthly Summary'!$C$74:$N$74,"",CC69:CN69))</f>
        <v>0</v>
      </c>
      <c r="FI69" s="996">
        <f>IF($FG69="Opex",SUMIF('Monthly Summary'!$O$75:$Z$75,"",CO69:CZ69),SUMIF('Monthly Summary'!$O$74:$Z$74,"",CO69:CZ69))</f>
        <v>0</v>
      </c>
      <c r="FJ69" s="996">
        <f>IF($FG69="Opex",SUMIF('Monthly Summary'!$AA$75:$AL$75,"",DA69:DL69),SUMIF('Monthly Summary'!$AA$74:$AL$74,"",DA69:DL69))</f>
        <v>0</v>
      </c>
      <c r="FK69" s="996">
        <f>IF($FG69="Opex",SUMIF('Monthly Summary'!$AM$75:$AX$75,"",DM69:DX69),SUMIF('Monthly Summary'!$AM$74:$AX$74,"",DM69:DX69))</f>
        <v>0</v>
      </c>
      <c r="FL69" s="996">
        <f>IF($FG69="Opex",SUMIF('Monthly Summary'!$AY$75:$BJ$75,"",DY69:EJ69),SUMIF('Monthly Summary'!$AY$74:$BJ$74,"",DY69:EJ69))</f>
        <v>0</v>
      </c>
      <c r="FM69" s="997">
        <f>IF($FG69="Opex",SUMIF('Monthly Summary'!$BK$75:$BV$75,"",EK69:EV69),SUMIF('Monthly Summary'!$BK$74:$BV$74,"",EK69:EV69))</f>
        <v>0</v>
      </c>
      <c r="FN69" s="997">
        <f t="shared" si="7"/>
        <v>0</v>
      </c>
    </row>
    <row r="70" spans="3:170">
      <c r="C70" s="757"/>
      <c r="D70" s="757"/>
      <c r="E70" s="758"/>
      <c r="F70" s="758"/>
      <c r="G70" s="758"/>
      <c r="H70" s="1215"/>
      <c r="I70" s="761"/>
      <c r="J70" s="761"/>
      <c r="K70" s="761"/>
      <c r="L70" s="761"/>
      <c r="M70" s="761"/>
      <c r="N70" s="761"/>
      <c r="O70" s="761"/>
      <c r="P70" s="761"/>
      <c r="Q70" s="761"/>
      <c r="R70" s="761"/>
      <c r="S70" s="1216"/>
      <c r="T70" s="1215"/>
      <c r="U70" s="761"/>
      <c r="V70" s="761"/>
      <c r="W70" s="761"/>
      <c r="X70" s="761"/>
      <c r="Y70" s="761"/>
      <c r="Z70" s="761"/>
      <c r="AA70" s="761"/>
      <c r="AB70" s="761"/>
      <c r="AC70" s="761"/>
      <c r="AD70" s="761"/>
      <c r="AE70" s="1216"/>
      <c r="AF70" s="1215"/>
      <c r="AG70" s="761"/>
      <c r="AH70" s="761"/>
      <c r="AI70" s="761"/>
      <c r="AJ70" s="761"/>
      <c r="AK70" s="761"/>
      <c r="AL70" s="761"/>
      <c r="AM70" s="761"/>
      <c r="AN70" s="761"/>
      <c r="AO70" s="761"/>
      <c r="AP70" s="761"/>
      <c r="AQ70" s="1216"/>
      <c r="AR70" s="1215"/>
      <c r="AS70" s="761"/>
      <c r="AT70" s="761"/>
      <c r="AU70" s="761"/>
      <c r="AV70" s="761"/>
      <c r="AW70" s="761"/>
      <c r="AX70" s="761"/>
      <c r="AY70" s="761"/>
      <c r="AZ70" s="761"/>
      <c r="BA70" s="761"/>
      <c r="BB70" s="761"/>
      <c r="BC70" s="1216"/>
      <c r="BD70" s="1215"/>
      <c r="BE70" s="761"/>
      <c r="BF70" s="761"/>
      <c r="BG70" s="761"/>
      <c r="BH70" s="761"/>
      <c r="BI70" s="761"/>
      <c r="BJ70" s="761"/>
      <c r="BK70" s="761"/>
      <c r="BL70" s="761"/>
      <c r="BM70" s="761"/>
      <c r="BN70" s="761"/>
      <c r="BO70" s="1216"/>
      <c r="BP70" s="1215"/>
      <c r="BQ70" s="761"/>
      <c r="BR70" s="761"/>
      <c r="BS70" s="761"/>
      <c r="BT70" s="761"/>
      <c r="BU70" s="761"/>
      <c r="BV70" s="761"/>
      <c r="BW70" s="761"/>
      <c r="BX70" s="761"/>
      <c r="BY70" s="761"/>
      <c r="BZ70" s="761"/>
      <c r="CA70" s="1216"/>
      <c r="CB70" s="747"/>
      <c r="CC70" s="1222">
        <f>$G70*H70*Variables!$B$53</f>
        <v>0</v>
      </c>
      <c r="CD70" s="1223">
        <f>$G70*I70*Variables!$B$53</f>
        <v>0</v>
      </c>
      <c r="CE70" s="1223">
        <f>$G70*J70*Variables!$B$53</f>
        <v>0</v>
      </c>
      <c r="CF70" s="1223">
        <f>$G70*K70*Variables!$B$53</f>
        <v>0</v>
      </c>
      <c r="CG70" s="1223">
        <f>$G70*L70*Variables!$B$53</f>
        <v>0</v>
      </c>
      <c r="CH70" s="1223">
        <f>$G70*M70*Variables!$B$53</f>
        <v>0</v>
      </c>
      <c r="CI70" s="1223">
        <f>$G70*N70*Variables!$B$53</f>
        <v>0</v>
      </c>
      <c r="CJ70" s="1223">
        <f>$G70*O70*Variables!$B$53</f>
        <v>0</v>
      </c>
      <c r="CK70" s="1223">
        <f>$G70*P70*Variables!$B$53</f>
        <v>0</v>
      </c>
      <c r="CL70" s="1223">
        <f>$G70*Q70*Variables!$B$53</f>
        <v>0</v>
      </c>
      <c r="CM70" s="1223">
        <f>$G70*R70*Variables!$B$53</f>
        <v>0</v>
      </c>
      <c r="CN70" s="1225">
        <f>$G70*S70*Variables!$B$53</f>
        <v>0</v>
      </c>
      <c r="CO70" s="1222">
        <f>$G70*T70*Variables!$B$53*HLOOKUP($CO$2,Variables!$B$60:$F$61,2,FALSE)</f>
        <v>0</v>
      </c>
      <c r="CP70" s="1223">
        <f>$G70*U70*Variables!$B$53*HLOOKUP($CO$2,Variables!$B$60:$F$61,2,FALSE)</f>
        <v>0</v>
      </c>
      <c r="CQ70" s="1223">
        <f>$G70*V70*Variables!$B$53*HLOOKUP($CO$2,Variables!$B$60:$F$61,2,FALSE)</f>
        <v>0</v>
      </c>
      <c r="CR70" s="1223">
        <f>$G70*W70*Variables!$B$53*HLOOKUP($CO$2,Variables!$B$60:$F$61,2,FALSE)</f>
        <v>0</v>
      </c>
      <c r="CS70" s="1223">
        <f>$G70*X70*Variables!$B$53*HLOOKUP($CO$2,Variables!$B$60:$F$61,2,FALSE)</f>
        <v>0</v>
      </c>
      <c r="CT70" s="1223">
        <f>$G70*Y70*Variables!$B$53*HLOOKUP($CO$2,Variables!$B$60:$F$61,2,FALSE)</f>
        <v>0</v>
      </c>
      <c r="CU70" s="1223">
        <f>$G70*Z70*Variables!$B$53*HLOOKUP($CO$2,Variables!$B$60:$F$61,2,FALSE)</f>
        <v>0</v>
      </c>
      <c r="CV70" s="1223">
        <f>$G70*AA70*Variables!$B$53*HLOOKUP($CO$2,Variables!$B$60:$F$61,2,FALSE)</f>
        <v>0</v>
      </c>
      <c r="CW70" s="1223">
        <f>$G70*AB70*Variables!$B$53*HLOOKUP($CO$2,Variables!$B$60:$F$61,2,FALSE)</f>
        <v>0</v>
      </c>
      <c r="CX70" s="1223">
        <f>$G70*AC70*Variables!$B$53*HLOOKUP($CO$2,Variables!$B$60:$F$61,2,FALSE)</f>
        <v>0</v>
      </c>
      <c r="CY70" s="1223">
        <f>$G70*AD70*Variables!$B$53*HLOOKUP($CO$2,Variables!$B$60:$F$61,2,FALSE)</f>
        <v>0</v>
      </c>
      <c r="CZ70" s="1225">
        <f>$G70*AE70*Variables!$B$53*HLOOKUP($CO$2,Variables!$B$60:$F$61,2,FALSE)</f>
        <v>0</v>
      </c>
      <c r="DA70" s="1222">
        <f>$G70*AF70*Variables!$B$53*HLOOKUP($DA$2,Variables!$B$60:$F$61,2,FALSE)</f>
        <v>0</v>
      </c>
      <c r="DB70" s="1223">
        <f>$G70*AG70*Variables!$B$53*HLOOKUP($DA$2,Variables!$B$60:$F$61,2,FALSE)</f>
        <v>0</v>
      </c>
      <c r="DC70" s="1223">
        <f>$G70*AH70*Variables!$B$53*HLOOKUP($DA$2,Variables!$B$60:$F$61,2,FALSE)</f>
        <v>0</v>
      </c>
      <c r="DD70" s="1223">
        <f>$G70*AI70*Variables!$B$53*HLOOKUP($DA$2,Variables!$B$60:$F$61,2,FALSE)</f>
        <v>0</v>
      </c>
      <c r="DE70" s="1223">
        <f>$G70*AJ70*Variables!$B$53*HLOOKUP($DA$2,Variables!$B$60:$F$61,2,FALSE)</f>
        <v>0</v>
      </c>
      <c r="DF70" s="1223">
        <f>$G70*AK70*Variables!$B$53*HLOOKUP($DA$2,Variables!$B$60:$F$61,2,FALSE)</f>
        <v>0</v>
      </c>
      <c r="DG70" s="1223">
        <f>$G70*AL70*Variables!$B$53*HLOOKUP($DA$2,Variables!$B$60:$F$61,2,FALSE)</f>
        <v>0</v>
      </c>
      <c r="DH70" s="1223">
        <f>$G70*AM70*Variables!$B$53*HLOOKUP($DA$2,Variables!$B$60:$F$61,2,FALSE)</f>
        <v>0</v>
      </c>
      <c r="DI70" s="1223">
        <f>$G70*AN70*Variables!$B$53*HLOOKUP($DA$2,Variables!$B$60:$F$61,2,FALSE)</f>
        <v>0</v>
      </c>
      <c r="DJ70" s="1223">
        <f>$G70*AO70*Variables!$B$53*HLOOKUP($DA$2,Variables!$B$60:$F$61,2,FALSE)</f>
        <v>0</v>
      </c>
      <c r="DK70" s="1223">
        <f>$G70*AP70*Variables!$B$53*HLOOKUP($DA$2,Variables!$B$60:$F$61,2,FALSE)</f>
        <v>0</v>
      </c>
      <c r="DL70" s="1225">
        <f>$G70*AQ70*Variables!$B$53*HLOOKUP($DA$2,Variables!$B$60:$F$61,2,FALSE)</f>
        <v>0</v>
      </c>
      <c r="DM70" s="1222">
        <f>$G70*AR70*Variables!$B$53*HLOOKUP($DM$2,Variables!$B$60:$F$61,2,FALSE)</f>
        <v>0</v>
      </c>
      <c r="DN70" s="1223">
        <f>$G70*AS70*Variables!$B$53*HLOOKUP($DM$2,Variables!$B$60:$F$61,2,FALSE)</f>
        <v>0</v>
      </c>
      <c r="DO70" s="1223">
        <f>$G70*AT70*Variables!$B$53*HLOOKUP($DM$2,Variables!$B$60:$F$61,2,FALSE)</f>
        <v>0</v>
      </c>
      <c r="DP70" s="1223">
        <f>$G70*AU70*Variables!$B$53*HLOOKUP($DM$2,Variables!$B$60:$F$61,2,FALSE)</f>
        <v>0</v>
      </c>
      <c r="DQ70" s="1223">
        <f>$G70*AV70*Variables!$B$53*HLOOKUP($DM$2,Variables!$B$60:$F$61,2,FALSE)</f>
        <v>0</v>
      </c>
      <c r="DR70" s="1223">
        <f>$G70*AW70*Variables!$B$53*HLOOKUP($DM$2,Variables!$B$60:$F$61,2,FALSE)</f>
        <v>0</v>
      </c>
      <c r="DS70" s="1223">
        <f>$G70*AX70*Variables!$B$53*HLOOKUP($DM$2,Variables!$B$60:$F$61,2,FALSE)</f>
        <v>0</v>
      </c>
      <c r="DT70" s="1223">
        <f>$G70*AY70*Variables!$B$53*HLOOKUP($DM$2,Variables!$B$60:$F$61,2,FALSE)</f>
        <v>0</v>
      </c>
      <c r="DU70" s="1223">
        <f>$G70*AZ70*Variables!$B$53*HLOOKUP($DM$2,Variables!$B$60:$F$61,2,FALSE)</f>
        <v>0</v>
      </c>
      <c r="DV70" s="1223">
        <f>$G70*BA70*Variables!$B$53*HLOOKUP($DM$2,Variables!$B$60:$F$61,2,FALSE)</f>
        <v>0</v>
      </c>
      <c r="DW70" s="1223">
        <f>$G70*BB70*Variables!$B$53*HLOOKUP($DM$2,Variables!$B$60:$F$61,2,FALSE)</f>
        <v>0</v>
      </c>
      <c r="DX70" s="1225">
        <f>$G70*BC70*Variables!$B$53*HLOOKUP($DM$2,Variables!$B$60:$F$61,2,FALSE)</f>
        <v>0</v>
      </c>
      <c r="DY70" s="1222">
        <f>$G70*BD70*Variables!$B$53*HLOOKUP($DY$2,Variables!$B$60:$F$61,2,FALSE)</f>
        <v>0</v>
      </c>
      <c r="DZ70" s="1223">
        <f>$G70*BE70*Variables!$B$53*HLOOKUP($DY$2,Variables!$B$60:$F$61,2,FALSE)</f>
        <v>0</v>
      </c>
      <c r="EA70" s="1223">
        <f>$G70*BF70*Variables!$B$53*HLOOKUP($DY$2,Variables!$B$60:$F$61,2,FALSE)</f>
        <v>0</v>
      </c>
      <c r="EB70" s="1223">
        <f>$G70*BG70*Variables!$B$53*HLOOKUP($DY$2,Variables!$B$60:$F$61,2,FALSE)</f>
        <v>0</v>
      </c>
      <c r="EC70" s="1223">
        <f>$G70*BH70*Variables!$B$53*HLOOKUP($DY$2,Variables!$B$60:$F$61,2,FALSE)</f>
        <v>0</v>
      </c>
      <c r="ED70" s="1223">
        <f>$G70*BI70*Variables!$B$53*HLOOKUP($DY$2,Variables!$B$60:$F$61,2,FALSE)</f>
        <v>0</v>
      </c>
      <c r="EE70" s="1223">
        <f>$G70*BJ70*Variables!$B$53*HLOOKUP($DY$2,Variables!$B$60:$F$61,2,FALSE)</f>
        <v>0</v>
      </c>
      <c r="EF70" s="1223">
        <f>$G70*BK70*Variables!$B$53*HLOOKUP($DY$2,Variables!$B$60:$F$61,2,FALSE)</f>
        <v>0</v>
      </c>
      <c r="EG70" s="1223">
        <f>$G70*BL70*Variables!$B$53*HLOOKUP($DY$2,Variables!$B$60:$F$61,2,FALSE)</f>
        <v>0</v>
      </c>
      <c r="EH70" s="1223">
        <f>$G70*BM70*Variables!$B$53*HLOOKUP($DY$2,Variables!$B$60:$F$61,2,FALSE)</f>
        <v>0</v>
      </c>
      <c r="EI70" s="1223">
        <f>$G70*BN70*Variables!$B$53*HLOOKUP($DY$2,Variables!$B$60:$F$61,2,FALSE)</f>
        <v>0</v>
      </c>
      <c r="EJ70" s="1225">
        <f>$G70*BO70*Variables!$B$53*HLOOKUP($DY$2,Variables!$B$60:$F$61,2,FALSE)</f>
        <v>0</v>
      </c>
      <c r="EK70" s="1222">
        <f>$G70*BP70*Variables!$B$53*HLOOKUP($EK$2,Variables!$B$60:$F$61,2,FALSE)</f>
        <v>0</v>
      </c>
      <c r="EL70" s="1223">
        <f>$G70*BQ70*Variables!$B$53*HLOOKUP($EK$2,Variables!$B$60:$F$61,2,FALSE)</f>
        <v>0</v>
      </c>
      <c r="EM70" s="1223">
        <f>$G70*BR70*Variables!$B$53*HLOOKUP($EK$2,Variables!$B$60:$F$61,2,FALSE)</f>
        <v>0</v>
      </c>
      <c r="EN70" s="1223">
        <f>$G70*BS70*Variables!$B$53*HLOOKUP($EK$2,Variables!$B$60:$F$61,2,FALSE)</f>
        <v>0</v>
      </c>
      <c r="EO70" s="1223">
        <f>$G70*BT70*Variables!$B$53*HLOOKUP($EK$2,Variables!$B$60:$F$61,2,FALSE)</f>
        <v>0</v>
      </c>
      <c r="EP70" s="1223">
        <f>$G70*BU70*Variables!$B$53*HLOOKUP($EK$2,Variables!$B$60:$F$61,2,FALSE)</f>
        <v>0</v>
      </c>
      <c r="EQ70" s="1223">
        <f>$G70*BV70*Variables!$B$53*HLOOKUP($EK$2,Variables!$B$60:$F$61,2,FALSE)</f>
        <v>0</v>
      </c>
      <c r="ER70" s="1223">
        <f>$G70*BW70*Variables!$B$53*HLOOKUP($EK$2,Variables!$B$60:$F$61,2,FALSE)</f>
        <v>0</v>
      </c>
      <c r="ES70" s="1223">
        <f>$G70*BX70*Variables!$B$53*HLOOKUP($EK$2,Variables!$B$60:$F$61,2,FALSE)</f>
        <v>0</v>
      </c>
      <c r="ET70" s="1223">
        <f>$G70*BY70*Variables!$B$53*HLOOKUP($EK$2,Variables!$B$60:$F$61,2,FALSE)</f>
        <v>0</v>
      </c>
      <c r="EU70" s="1223">
        <f>$G70*BZ70*Variables!$B$53*HLOOKUP($EK$2,Variables!$B$60:$F$61,2,FALSE)</f>
        <v>0</v>
      </c>
      <c r="EV70" s="1225">
        <f>$G70*CA70*Variables!$B$53*HLOOKUP($EK$2,Variables!$B$60:$F$61,2,FALSE)</f>
        <v>0</v>
      </c>
      <c r="EW70" s="872">
        <f t="shared" si="6"/>
        <v>0</v>
      </c>
      <c r="EX70" s="872"/>
      <c r="EY70" s="872"/>
      <c r="EZ70" s="872"/>
      <c r="FA70" s="1332"/>
      <c r="FC70" s="958" t="str">
        <f t="shared" si="11"/>
        <v/>
      </c>
      <c r="FD70" s="959" t="str">
        <f t="shared" si="12"/>
        <v/>
      </c>
      <c r="FE70" s="959" t="s">
        <v>8407</v>
      </c>
      <c r="FF70" s="959" t="str">
        <f>IF(ISNA(VLOOKUP(FC70,Miscellaneous!E:F,2,0)),"",VLOOKUP(FC70,Miscellaneous!E:F,2,0))</f>
        <v/>
      </c>
      <c r="FG70" s="959" t="str">
        <f t="shared" si="13"/>
        <v/>
      </c>
      <c r="FH70" s="996">
        <f>IF($FG70="Opex",SUMIF('Monthly Summary'!$C$75:$N$75,"",CC70:CN70),SUMIF('Monthly Summary'!$C$74:$N$74,"",CC70:CN70))</f>
        <v>0</v>
      </c>
      <c r="FI70" s="996">
        <f>IF($FG70="Opex",SUMIF('Monthly Summary'!$O$75:$Z$75,"",CO70:CZ70),SUMIF('Monthly Summary'!$O$74:$Z$74,"",CO70:CZ70))</f>
        <v>0</v>
      </c>
      <c r="FJ70" s="996">
        <f>IF($FG70="Opex",SUMIF('Monthly Summary'!$AA$75:$AL$75,"",DA70:DL70),SUMIF('Monthly Summary'!$AA$74:$AL$74,"",DA70:DL70))</f>
        <v>0</v>
      </c>
      <c r="FK70" s="996">
        <f>IF($FG70="Opex",SUMIF('Monthly Summary'!$AM$75:$AX$75,"",DM70:DX70),SUMIF('Monthly Summary'!$AM$74:$AX$74,"",DM70:DX70))</f>
        <v>0</v>
      </c>
      <c r="FL70" s="996">
        <f>IF($FG70="Opex",SUMIF('Monthly Summary'!$AY$75:$BJ$75,"",DY70:EJ70),SUMIF('Monthly Summary'!$AY$74:$BJ$74,"",DY70:EJ70))</f>
        <v>0</v>
      </c>
      <c r="FM70" s="997">
        <f>IF($FG70="Opex",SUMIF('Monthly Summary'!$BK$75:$BV$75,"",EK70:EV70),SUMIF('Monthly Summary'!$BK$74:$BV$74,"",EK70:EV70))</f>
        <v>0</v>
      </c>
      <c r="FN70" s="997">
        <f t="shared" ref="FN70:FN133" si="14">SUM(FH70:FM70)</f>
        <v>0</v>
      </c>
    </row>
    <row r="71" spans="3:170">
      <c r="C71" s="757"/>
      <c r="D71" s="757"/>
      <c r="E71" s="758"/>
      <c r="F71" s="758"/>
      <c r="G71" s="758"/>
      <c r="H71" s="1215"/>
      <c r="I71" s="761"/>
      <c r="J71" s="761"/>
      <c r="K71" s="761"/>
      <c r="L71" s="761"/>
      <c r="M71" s="761"/>
      <c r="N71" s="761"/>
      <c r="O71" s="761"/>
      <c r="P71" s="761"/>
      <c r="Q71" s="761"/>
      <c r="R71" s="761"/>
      <c r="S71" s="1216"/>
      <c r="T71" s="1215"/>
      <c r="U71" s="761"/>
      <c r="V71" s="761"/>
      <c r="W71" s="761"/>
      <c r="X71" s="761"/>
      <c r="Y71" s="761"/>
      <c r="Z71" s="761"/>
      <c r="AA71" s="761"/>
      <c r="AB71" s="761"/>
      <c r="AC71" s="761"/>
      <c r="AD71" s="761"/>
      <c r="AE71" s="1216"/>
      <c r="AF71" s="1215"/>
      <c r="AG71" s="761"/>
      <c r="AH71" s="761"/>
      <c r="AI71" s="761"/>
      <c r="AJ71" s="761"/>
      <c r="AK71" s="761"/>
      <c r="AL71" s="761"/>
      <c r="AM71" s="761"/>
      <c r="AN71" s="761"/>
      <c r="AO71" s="761"/>
      <c r="AP71" s="761"/>
      <c r="AQ71" s="1216"/>
      <c r="AR71" s="1215"/>
      <c r="AS71" s="761"/>
      <c r="AT71" s="761"/>
      <c r="AU71" s="761"/>
      <c r="AV71" s="761"/>
      <c r="AW71" s="761"/>
      <c r="AX71" s="761"/>
      <c r="AY71" s="761"/>
      <c r="AZ71" s="761"/>
      <c r="BA71" s="761"/>
      <c r="BB71" s="761"/>
      <c r="BC71" s="1216"/>
      <c r="BD71" s="1215"/>
      <c r="BE71" s="761"/>
      <c r="BF71" s="761"/>
      <c r="BG71" s="761"/>
      <c r="BH71" s="761"/>
      <c r="BI71" s="761"/>
      <c r="BJ71" s="761"/>
      <c r="BK71" s="761"/>
      <c r="BL71" s="761"/>
      <c r="BM71" s="761"/>
      <c r="BN71" s="761"/>
      <c r="BO71" s="1216"/>
      <c r="BP71" s="1215"/>
      <c r="BQ71" s="761"/>
      <c r="BR71" s="761"/>
      <c r="BS71" s="761"/>
      <c r="BT71" s="761"/>
      <c r="BU71" s="761"/>
      <c r="BV71" s="761"/>
      <c r="BW71" s="761"/>
      <c r="BX71" s="761"/>
      <c r="BY71" s="761"/>
      <c r="BZ71" s="761"/>
      <c r="CA71" s="1216"/>
      <c r="CB71" s="747"/>
      <c r="CC71" s="1222">
        <f>$G71*H71*Variables!$B$53</f>
        <v>0</v>
      </c>
      <c r="CD71" s="1223">
        <f>$G71*I71*Variables!$B$53</f>
        <v>0</v>
      </c>
      <c r="CE71" s="1223">
        <f>$G71*J71*Variables!$B$53</f>
        <v>0</v>
      </c>
      <c r="CF71" s="1223">
        <f>$G71*K71*Variables!$B$53</f>
        <v>0</v>
      </c>
      <c r="CG71" s="1223">
        <f>$G71*L71*Variables!$B$53</f>
        <v>0</v>
      </c>
      <c r="CH71" s="1223">
        <f>$G71*M71*Variables!$B$53</f>
        <v>0</v>
      </c>
      <c r="CI71" s="1223">
        <f>$G71*N71*Variables!$B$53</f>
        <v>0</v>
      </c>
      <c r="CJ71" s="1223">
        <f>$G71*O71*Variables!$B$53</f>
        <v>0</v>
      </c>
      <c r="CK71" s="1223">
        <f>$G71*P71*Variables!$B$53</f>
        <v>0</v>
      </c>
      <c r="CL71" s="1223">
        <f>$G71*Q71*Variables!$B$53</f>
        <v>0</v>
      </c>
      <c r="CM71" s="1223">
        <f>$G71*R71*Variables!$B$53</f>
        <v>0</v>
      </c>
      <c r="CN71" s="1225">
        <f>$G71*S71*Variables!$B$53</f>
        <v>0</v>
      </c>
      <c r="CO71" s="1222">
        <f>$G71*T71*Variables!$B$53*HLOOKUP($CO$2,Variables!$B$60:$F$61,2,FALSE)</f>
        <v>0</v>
      </c>
      <c r="CP71" s="1223">
        <f>$G71*U71*Variables!$B$53*HLOOKUP($CO$2,Variables!$B$60:$F$61,2,FALSE)</f>
        <v>0</v>
      </c>
      <c r="CQ71" s="1223">
        <f>$G71*V71*Variables!$B$53*HLOOKUP($CO$2,Variables!$B$60:$F$61,2,FALSE)</f>
        <v>0</v>
      </c>
      <c r="CR71" s="1223">
        <f>$G71*W71*Variables!$B$53*HLOOKUP($CO$2,Variables!$B$60:$F$61,2,FALSE)</f>
        <v>0</v>
      </c>
      <c r="CS71" s="1223">
        <f>$G71*X71*Variables!$B$53*HLOOKUP($CO$2,Variables!$B$60:$F$61,2,FALSE)</f>
        <v>0</v>
      </c>
      <c r="CT71" s="1223">
        <f>$G71*Y71*Variables!$B$53*HLOOKUP($CO$2,Variables!$B$60:$F$61,2,FALSE)</f>
        <v>0</v>
      </c>
      <c r="CU71" s="1223">
        <f>$G71*Z71*Variables!$B$53*HLOOKUP($CO$2,Variables!$B$60:$F$61,2,FALSE)</f>
        <v>0</v>
      </c>
      <c r="CV71" s="1223">
        <f>$G71*AA71*Variables!$B$53*HLOOKUP($CO$2,Variables!$B$60:$F$61,2,FALSE)</f>
        <v>0</v>
      </c>
      <c r="CW71" s="1223">
        <f>$G71*AB71*Variables!$B$53*HLOOKUP($CO$2,Variables!$B$60:$F$61,2,FALSE)</f>
        <v>0</v>
      </c>
      <c r="CX71" s="1223">
        <f>$G71*AC71*Variables!$B$53*HLOOKUP($CO$2,Variables!$B$60:$F$61,2,FALSE)</f>
        <v>0</v>
      </c>
      <c r="CY71" s="1223">
        <f>$G71*AD71*Variables!$B$53*HLOOKUP($CO$2,Variables!$B$60:$F$61,2,FALSE)</f>
        <v>0</v>
      </c>
      <c r="CZ71" s="1225">
        <f>$G71*AE71*Variables!$B$53*HLOOKUP($CO$2,Variables!$B$60:$F$61,2,FALSE)</f>
        <v>0</v>
      </c>
      <c r="DA71" s="1222">
        <f>$G71*AF71*Variables!$B$53*HLOOKUP($DA$2,Variables!$B$60:$F$61,2,FALSE)</f>
        <v>0</v>
      </c>
      <c r="DB71" s="1223">
        <f>$G71*AG71*Variables!$B$53*HLOOKUP($DA$2,Variables!$B$60:$F$61,2,FALSE)</f>
        <v>0</v>
      </c>
      <c r="DC71" s="1223">
        <f>$G71*AH71*Variables!$B$53*HLOOKUP($DA$2,Variables!$B$60:$F$61,2,FALSE)</f>
        <v>0</v>
      </c>
      <c r="DD71" s="1223">
        <f>$G71*AI71*Variables!$B$53*HLOOKUP($DA$2,Variables!$B$60:$F$61,2,FALSE)</f>
        <v>0</v>
      </c>
      <c r="DE71" s="1223">
        <f>$G71*AJ71*Variables!$B$53*HLOOKUP($DA$2,Variables!$B$60:$F$61,2,FALSE)</f>
        <v>0</v>
      </c>
      <c r="DF71" s="1223">
        <f>$G71*AK71*Variables!$B$53*HLOOKUP($DA$2,Variables!$B$60:$F$61,2,FALSE)</f>
        <v>0</v>
      </c>
      <c r="DG71" s="1223">
        <f>$G71*AL71*Variables!$B$53*HLOOKUP($DA$2,Variables!$B$60:$F$61,2,FALSE)</f>
        <v>0</v>
      </c>
      <c r="DH71" s="1223">
        <f>$G71*AM71*Variables!$B$53*HLOOKUP($DA$2,Variables!$B$60:$F$61,2,FALSE)</f>
        <v>0</v>
      </c>
      <c r="DI71" s="1223">
        <f>$G71*AN71*Variables!$B$53*HLOOKUP($DA$2,Variables!$B$60:$F$61,2,FALSE)</f>
        <v>0</v>
      </c>
      <c r="DJ71" s="1223">
        <f>$G71*AO71*Variables!$B$53*HLOOKUP($DA$2,Variables!$B$60:$F$61,2,FALSE)</f>
        <v>0</v>
      </c>
      <c r="DK71" s="1223">
        <f>$G71*AP71*Variables!$B$53*HLOOKUP($DA$2,Variables!$B$60:$F$61,2,FALSE)</f>
        <v>0</v>
      </c>
      <c r="DL71" s="1225">
        <f>$G71*AQ71*Variables!$B$53*HLOOKUP($DA$2,Variables!$B$60:$F$61,2,FALSE)</f>
        <v>0</v>
      </c>
      <c r="DM71" s="1222">
        <f>$G71*AR71*Variables!$B$53*HLOOKUP($DM$2,Variables!$B$60:$F$61,2,FALSE)</f>
        <v>0</v>
      </c>
      <c r="DN71" s="1223">
        <f>$G71*AS71*Variables!$B$53*HLOOKUP($DM$2,Variables!$B$60:$F$61,2,FALSE)</f>
        <v>0</v>
      </c>
      <c r="DO71" s="1223">
        <f>$G71*AT71*Variables!$B$53*HLOOKUP($DM$2,Variables!$B$60:$F$61,2,FALSE)</f>
        <v>0</v>
      </c>
      <c r="DP71" s="1223">
        <f>$G71*AU71*Variables!$B$53*HLOOKUP($DM$2,Variables!$B$60:$F$61,2,FALSE)</f>
        <v>0</v>
      </c>
      <c r="DQ71" s="1223">
        <f>$G71*AV71*Variables!$B$53*HLOOKUP($DM$2,Variables!$B$60:$F$61,2,FALSE)</f>
        <v>0</v>
      </c>
      <c r="DR71" s="1223">
        <f>$G71*AW71*Variables!$B$53*HLOOKUP($DM$2,Variables!$B$60:$F$61,2,FALSE)</f>
        <v>0</v>
      </c>
      <c r="DS71" s="1223">
        <f>$G71*AX71*Variables!$B$53*HLOOKUP($DM$2,Variables!$B$60:$F$61,2,FALSE)</f>
        <v>0</v>
      </c>
      <c r="DT71" s="1223">
        <f>$G71*AY71*Variables!$B$53*HLOOKUP($DM$2,Variables!$B$60:$F$61,2,FALSE)</f>
        <v>0</v>
      </c>
      <c r="DU71" s="1223">
        <f>$G71*AZ71*Variables!$B$53*HLOOKUP($DM$2,Variables!$B$60:$F$61,2,FALSE)</f>
        <v>0</v>
      </c>
      <c r="DV71" s="1223">
        <f>$G71*BA71*Variables!$B$53*HLOOKUP($DM$2,Variables!$B$60:$F$61,2,FALSE)</f>
        <v>0</v>
      </c>
      <c r="DW71" s="1223">
        <f>$G71*BB71*Variables!$B$53*HLOOKUP($DM$2,Variables!$B$60:$F$61,2,FALSE)</f>
        <v>0</v>
      </c>
      <c r="DX71" s="1225">
        <f>$G71*BC71*Variables!$B$53*HLOOKUP($DM$2,Variables!$B$60:$F$61,2,FALSE)</f>
        <v>0</v>
      </c>
      <c r="DY71" s="1222">
        <f>$G71*BD71*Variables!$B$53*HLOOKUP($DY$2,Variables!$B$60:$F$61,2,FALSE)</f>
        <v>0</v>
      </c>
      <c r="DZ71" s="1223">
        <f>$G71*BE71*Variables!$B$53*HLOOKUP($DY$2,Variables!$B$60:$F$61,2,FALSE)</f>
        <v>0</v>
      </c>
      <c r="EA71" s="1223">
        <f>$G71*BF71*Variables!$B$53*HLOOKUP($DY$2,Variables!$B$60:$F$61,2,FALSE)</f>
        <v>0</v>
      </c>
      <c r="EB71" s="1223">
        <f>$G71*BG71*Variables!$B$53*HLOOKUP($DY$2,Variables!$B$60:$F$61,2,FALSE)</f>
        <v>0</v>
      </c>
      <c r="EC71" s="1223">
        <f>$G71*BH71*Variables!$B$53*HLOOKUP($DY$2,Variables!$B$60:$F$61,2,FALSE)</f>
        <v>0</v>
      </c>
      <c r="ED71" s="1223">
        <f>$G71*BI71*Variables!$B$53*HLOOKUP($DY$2,Variables!$B$60:$F$61,2,FALSE)</f>
        <v>0</v>
      </c>
      <c r="EE71" s="1223">
        <f>$G71*BJ71*Variables!$B$53*HLOOKUP($DY$2,Variables!$B$60:$F$61,2,FALSE)</f>
        <v>0</v>
      </c>
      <c r="EF71" s="1223">
        <f>$G71*BK71*Variables!$B$53*HLOOKUP($DY$2,Variables!$B$60:$F$61,2,FALSE)</f>
        <v>0</v>
      </c>
      <c r="EG71" s="1223">
        <f>$G71*BL71*Variables!$B$53*HLOOKUP($DY$2,Variables!$B$60:$F$61,2,FALSE)</f>
        <v>0</v>
      </c>
      <c r="EH71" s="1223">
        <f>$G71*BM71*Variables!$B$53*HLOOKUP($DY$2,Variables!$B$60:$F$61,2,FALSE)</f>
        <v>0</v>
      </c>
      <c r="EI71" s="1223">
        <f>$G71*BN71*Variables!$B$53*HLOOKUP($DY$2,Variables!$B$60:$F$61,2,FALSE)</f>
        <v>0</v>
      </c>
      <c r="EJ71" s="1225">
        <f>$G71*BO71*Variables!$B$53*HLOOKUP($DY$2,Variables!$B$60:$F$61,2,FALSE)</f>
        <v>0</v>
      </c>
      <c r="EK71" s="1222">
        <f>$G71*BP71*Variables!$B$53*HLOOKUP($EK$2,Variables!$B$60:$F$61,2,FALSE)</f>
        <v>0</v>
      </c>
      <c r="EL71" s="1223">
        <f>$G71*BQ71*Variables!$B$53*HLOOKUP($EK$2,Variables!$B$60:$F$61,2,FALSE)</f>
        <v>0</v>
      </c>
      <c r="EM71" s="1223">
        <f>$G71*BR71*Variables!$B$53*HLOOKUP($EK$2,Variables!$B$60:$F$61,2,FALSE)</f>
        <v>0</v>
      </c>
      <c r="EN71" s="1223">
        <f>$G71*BS71*Variables!$B$53*HLOOKUP($EK$2,Variables!$B$60:$F$61,2,FALSE)</f>
        <v>0</v>
      </c>
      <c r="EO71" s="1223">
        <f>$G71*BT71*Variables!$B$53*HLOOKUP($EK$2,Variables!$B$60:$F$61,2,FALSE)</f>
        <v>0</v>
      </c>
      <c r="EP71" s="1223">
        <f>$G71*BU71*Variables!$B$53*HLOOKUP($EK$2,Variables!$B$60:$F$61,2,FALSE)</f>
        <v>0</v>
      </c>
      <c r="EQ71" s="1223">
        <f>$G71*BV71*Variables!$B$53*HLOOKUP($EK$2,Variables!$B$60:$F$61,2,FALSE)</f>
        <v>0</v>
      </c>
      <c r="ER71" s="1223">
        <f>$G71*BW71*Variables!$B$53*HLOOKUP($EK$2,Variables!$B$60:$F$61,2,FALSE)</f>
        <v>0</v>
      </c>
      <c r="ES71" s="1223">
        <f>$G71*BX71*Variables!$B$53*HLOOKUP($EK$2,Variables!$B$60:$F$61,2,FALSE)</f>
        <v>0</v>
      </c>
      <c r="ET71" s="1223">
        <f>$G71*BY71*Variables!$B$53*HLOOKUP($EK$2,Variables!$B$60:$F$61,2,FALSE)</f>
        <v>0</v>
      </c>
      <c r="EU71" s="1223">
        <f>$G71*BZ71*Variables!$B$53*HLOOKUP($EK$2,Variables!$B$60:$F$61,2,FALSE)</f>
        <v>0</v>
      </c>
      <c r="EV71" s="1225">
        <f>$G71*CA71*Variables!$B$53*HLOOKUP($EK$2,Variables!$B$60:$F$61,2,FALSE)</f>
        <v>0</v>
      </c>
      <c r="EW71" s="872">
        <f t="shared" si="6"/>
        <v>0</v>
      </c>
      <c r="EX71" s="872"/>
      <c r="EY71" s="872"/>
      <c r="EZ71" s="872"/>
      <c r="FA71" s="1332"/>
      <c r="FC71" s="958" t="str">
        <f t="shared" si="11"/>
        <v/>
      </c>
      <c r="FD71" s="959" t="str">
        <f t="shared" si="12"/>
        <v/>
      </c>
      <c r="FE71" s="959" t="s">
        <v>8407</v>
      </c>
      <c r="FF71" s="959" t="str">
        <f>IF(ISNA(VLOOKUP(FC71,Miscellaneous!E:F,2,0)),"",VLOOKUP(FC71,Miscellaneous!E:F,2,0))</f>
        <v/>
      </c>
      <c r="FG71" s="959" t="str">
        <f t="shared" si="13"/>
        <v/>
      </c>
      <c r="FH71" s="996">
        <f>IF($FG71="Opex",SUMIF('Monthly Summary'!$C$75:$N$75,"",CC71:CN71),SUMIF('Monthly Summary'!$C$74:$N$74,"",CC71:CN71))</f>
        <v>0</v>
      </c>
      <c r="FI71" s="996">
        <f>IF($FG71="Opex",SUMIF('Monthly Summary'!$O$75:$Z$75,"",CO71:CZ71),SUMIF('Monthly Summary'!$O$74:$Z$74,"",CO71:CZ71))</f>
        <v>0</v>
      </c>
      <c r="FJ71" s="996">
        <f>IF($FG71="Opex",SUMIF('Monthly Summary'!$AA$75:$AL$75,"",DA71:DL71),SUMIF('Monthly Summary'!$AA$74:$AL$74,"",DA71:DL71))</f>
        <v>0</v>
      </c>
      <c r="FK71" s="996">
        <f>IF($FG71="Opex",SUMIF('Monthly Summary'!$AM$75:$AX$75,"",DM71:DX71),SUMIF('Monthly Summary'!$AM$74:$AX$74,"",DM71:DX71))</f>
        <v>0</v>
      </c>
      <c r="FL71" s="996">
        <f>IF($FG71="Opex",SUMIF('Monthly Summary'!$AY$75:$BJ$75,"",DY71:EJ71),SUMIF('Monthly Summary'!$AY$74:$BJ$74,"",DY71:EJ71))</f>
        <v>0</v>
      </c>
      <c r="FM71" s="997">
        <f>IF($FG71="Opex",SUMIF('Monthly Summary'!$BK$75:$BV$75,"",EK71:EV71),SUMIF('Monthly Summary'!$BK$74:$BV$74,"",EK71:EV71))</f>
        <v>0</v>
      </c>
      <c r="FN71" s="997">
        <f t="shared" si="14"/>
        <v>0</v>
      </c>
    </row>
    <row r="72" spans="3:170">
      <c r="C72" s="757"/>
      <c r="D72" s="757"/>
      <c r="E72" s="758"/>
      <c r="F72" s="758"/>
      <c r="G72" s="758"/>
      <c r="H72" s="1215"/>
      <c r="I72" s="761"/>
      <c r="J72" s="761"/>
      <c r="K72" s="761"/>
      <c r="L72" s="761"/>
      <c r="M72" s="761"/>
      <c r="N72" s="761"/>
      <c r="O72" s="761"/>
      <c r="P72" s="761"/>
      <c r="Q72" s="761"/>
      <c r="R72" s="761"/>
      <c r="S72" s="1216"/>
      <c r="T72" s="1215"/>
      <c r="U72" s="761"/>
      <c r="V72" s="761"/>
      <c r="W72" s="761"/>
      <c r="X72" s="761"/>
      <c r="Y72" s="761"/>
      <c r="Z72" s="761"/>
      <c r="AA72" s="761"/>
      <c r="AB72" s="761"/>
      <c r="AC72" s="761"/>
      <c r="AD72" s="761"/>
      <c r="AE72" s="1216"/>
      <c r="AF72" s="1215"/>
      <c r="AG72" s="761"/>
      <c r="AH72" s="761"/>
      <c r="AI72" s="761"/>
      <c r="AJ72" s="761"/>
      <c r="AK72" s="761"/>
      <c r="AL72" s="761"/>
      <c r="AM72" s="761"/>
      <c r="AN72" s="761"/>
      <c r="AO72" s="761"/>
      <c r="AP72" s="761"/>
      <c r="AQ72" s="1216"/>
      <c r="AR72" s="1215"/>
      <c r="AS72" s="761"/>
      <c r="AT72" s="761"/>
      <c r="AU72" s="761"/>
      <c r="AV72" s="761"/>
      <c r="AW72" s="761"/>
      <c r="AX72" s="761"/>
      <c r="AY72" s="761"/>
      <c r="AZ72" s="761"/>
      <c r="BA72" s="761"/>
      <c r="BB72" s="761"/>
      <c r="BC72" s="1216"/>
      <c r="BD72" s="1215"/>
      <c r="BE72" s="761"/>
      <c r="BF72" s="761"/>
      <c r="BG72" s="761"/>
      <c r="BH72" s="761"/>
      <c r="BI72" s="761"/>
      <c r="BJ72" s="761"/>
      <c r="BK72" s="761"/>
      <c r="BL72" s="761"/>
      <c r="BM72" s="761"/>
      <c r="BN72" s="761"/>
      <c r="BO72" s="1216"/>
      <c r="BP72" s="1215"/>
      <c r="BQ72" s="761"/>
      <c r="BR72" s="761"/>
      <c r="BS72" s="761"/>
      <c r="BT72" s="761"/>
      <c r="BU72" s="761"/>
      <c r="BV72" s="761"/>
      <c r="BW72" s="761"/>
      <c r="BX72" s="761"/>
      <c r="BY72" s="761"/>
      <c r="BZ72" s="761"/>
      <c r="CA72" s="1216"/>
      <c r="CB72" s="747"/>
      <c r="CC72" s="1222">
        <f>$G72*H72*Variables!$B$53</f>
        <v>0</v>
      </c>
      <c r="CD72" s="1223">
        <f>$G72*I72*Variables!$B$53</f>
        <v>0</v>
      </c>
      <c r="CE72" s="1223">
        <f>$G72*J72*Variables!$B$53</f>
        <v>0</v>
      </c>
      <c r="CF72" s="1223">
        <f>$G72*K72*Variables!$B$53</f>
        <v>0</v>
      </c>
      <c r="CG72" s="1223">
        <f>$G72*L72*Variables!$B$53</f>
        <v>0</v>
      </c>
      <c r="CH72" s="1223">
        <f>$G72*M72*Variables!$B$53</f>
        <v>0</v>
      </c>
      <c r="CI72" s="1223">
        <f>$G72*N72*Variables!$B$53</f>
        <v>0</v>
      </c>
      <c r="CJ72" s="1223">
        <f>$G72*O72*Variables!$B$53</f>
        <v>0</v>
      </c>
      <c r="CK72" s="1223">
        <f>$G72*P72*Variables!$B$53</f>
        <v>0</v>
      </c>
      <c r="CL72" s="1223">
        <f>$G72*Q72*Variables!$B$53</f>
        <v>0</v>
      </c>
      <c r="CM72" s="1223">
        <f>$G72*R72*Variables!$B$53</f>
        <v>0</v>
      </c>
      <c r="CN72" s="1225">
        <f>$G72*S72*Variables!$B$53</f>
        <v>0</v>
      </c>
      <c r="CO72" s="1222">
        <f>$G72*T72*Variables!$B$53*HLOOKUP($CO$2,Variables!$B$60:$F$61,2,FALSE)</f>
        <v>0</v>
      </c>
      <c r="CP72" s="1223">
        <f>$G72*U72*Variables!$B$53*HLOOKUP($CO$2,Variables!$B$60:$F$61,2,FALSE)</f>
        <v>0</v>
      </c>
      <c r="CQ72" s="1223">
        <f>$G72*V72*Variables!$B$53*HLOOKUP($CO$2,Variables!$B$60:$F$61,2,FALSE)</f>
        <v>0</v>
      </c>
      <c r="CR72" s="1223">
        <f>$G72*W72*Variables!$B$53*HLOOKUP($CO$2,Variables!$B$60:$F$61,2,FALSE)</f>
        <v>0</v>
      </c>
      <c r="CS72" s="1223">
        <f>$G72*X72*Variables!$B$53*HLOOKUP($CO$2,Variables!$B$60:$F$61,2,FALSE)</f>
        <v>0</v>
      </c>
      <c r="CT72" s="1223">
        <f>$G72*Y72*Variables!$B$53*HLOOKUP($CO$2,Variables!$B$60:$F$61,2,FALSE)</f>
        <v>0</v>
      </c>
      <c r="CU72" s="1223">
        <f>$G72*Z72*Variables!$B$53*HLOOKUP($CO$2,Variables!$B$60:$F$61,2,FALSE)</f>
        <v>0</v>
      </c>
      <c r="CV72" s="1223">
        <f>$G72*AA72*Variables!$B$53*HLOOKUP($CO$2,Variables!$B$60:$F$61,2,FALSE)</f>
        <v>0</v>
      </c>
      <c r="CW72" s="1223">
        <f>$G72*AB72*Variables!$B$53*HLOOKUP($CO$2,Variables!$B$60:$F$61,2,FALSE)</f>
        <v>0</v>
      </c>
      <c r="CX72" s="1223">
        <f>$G72*AC72*Variables!$B$53*HLOOKUP($CO$2,Variables!$B$60:$F$61,2,FALSE)</f>
        <v>0</v>
      </c>
      <c r="CY72" s="1223">
        <f>$G72*AD72*Variables!$B$53*HLOOKUP($CO$2,Variables!$B$60:$F$61,2,FALSE)</f>
        <v>0</v>
      </c>
      <c r="CZ72" s="1225">
        <f>$G72*AE72*Variables!$B$53*HLOOKUP($CO$2,Variables!$B$60:$F$61,2,FALSE)</f>
        <v>0</v>
      </c>
      <c r="DA72" s="1222">
        <f>$G72*AF72*Variables!$B$53*HLOOKUP($DA$2,Variables!$B$60:$F$61,2,FALSE)</f>
        <v>0</v>
      </c>
      <c r="DB72" s="1223">
        <f>$G72*AG72*Variables!$B$53*HLOOKUP($DA$2,Variables!$B$60:$F$61,2,FALSE)</f>
        <v>0</v>
      </c>
      <c r="DC72" s="1223">
        <f>$G72*AH72*Variables!$B$53*HLOOKUP($DA$2,Variables!$B$60:$F$61,2,FALSE)</f>
        <v>0</v>
      </c>
      <c r="DD72" s="1223">
        <f>$G72*AI72*Variables!$B$53*HLOOKUP($DA$2,Variables!$B$60:$F$61,2,FALSE)</f>
        <v>0</v>
      </c>
      <c r="DE72" s="1223">
        <f>$G72*AJ72*Variables!$B$53*HLOOKUP($DA$2,Variables!$B$60:$F$61,2,FALSE)</f>
        <v>0</v>
      </c>
      <c r="DF72" s="1223">
        <f>$G72*AK72*Variables!$B$53*HLOOKUP($DA$2,Variables!$B$60:$F$61,2,FALSE)</f>
        <v>0</v>
      </c>
      <c r="DG72" s="1223">
        <f>$G72*AL72*Variables!$B$53*HLOOKUP($DA$2,Variables!$B$60:$F$61,2,FALSE)</f>
        <v>0</v>
      </c>
      <c r="DH72" s="1223">
        <f>$G72*AM72*Variables!$B$53*HLOOKUP($DA$2,Variables!$B$60:$F$61,2,FALSE)</f>
        <v>0</v>
      </c>
      <c r="DI72" s="1223">
        <f>$G72*AN72*Variables!$B$53*HLOOKUP($DA$2,Variables!$B$60:$F$61,2,FALSE)</f>
        <v>0</v>
      </c>
      <c r="DJ72" s="1223">
        <f>$G72*AO72*Variables!$B$53*HLOOKUP($DA$2,Variables!$B$60:$F$61,2,FALSE)</f>
        <v>0</v>
      </c>
      <c r="DK72" s="1223">
        <f>$G72*AP72*Variables!$B$53*HLOOKUP($DA$2,Variables!$B$60:$F$61,2,FALSE)</f>
        <v>0</v>
      </c>
      <c r="DL72" s="1225">
        <f>$G72*AQ72*Variables!$B$53*HLOOKUP($DA$2,Variables!$B$60:$F$61,2,FALSE)</f>
        <v>0</v>
      </c>
      <c r="DM72" s="1222">
        <f>$G72*AR72*Variables!$B$53*HLOOKUP($DM$2,Variables!$B$60:$F$61,2,FALSE)</f>
        <v>0</v>
      </c>
      <c r="DN72" s="1223">
        <f>$G72*AS72*Variables!$B$53*HLOOKUP($DM$2,Variables!$B$60:$F$61,2,FALSE)</f>
        <v>0</v>
      </c>
      <c r="DO72" s="1223">
        <f>$G72*AT72*Variables!$B$53*HLOOKUP($DM$2,Variables!$B$60:$F$61,2,FALSE)</f>
        <v>0</v>
      </c>
      <c r="DP72" s="1223">
        <f>$G72*AU72*Variables!$B$53*HLOOKUP($DM$2,Variables!$B$60:$F$61,2,FALSE)</f>
        <v>0</v>
      </c>
      <c r="DQ72" s="1223">
        <f>$G72*AV72*Variables!$B$53*HLOOKUP($DM$2,Variables!$B$60:$F$61,2,FALSE)</f>
        <v>0</v>
      </c>
      <c r="DR72" s="1223">
        <f>$G72*AW72*Variables!$B$53*HLOOKUP($DM$2,Variables!$B$60:$F$61,2,FALSE)</f>
        <v>0</v>
      </c>
      <c r="DS72" s="1223">
        <f>$G72*AX72*Variables!$B$53*HLOOKUP($DM$2,Variables!$B$60:$F$61,2,FALSE)</f>
        <v>0</v>
      </c>
      <c r="DT72" s="1223">
        <f>$G72*AY72*Variables!$B$53*HLOOKUP($DM$2,Variables!$B$60:$F$61,2,FALSE)</f>
        <v>0</v>
      </c>
      <c r="DU72" s="1223">
        <f>$G72*AZ72*Variables!$B$53*HLOOKUP($DM$2,Variables!$B$60:$F$61,2,FALSE)</f>
        <v>0</v>
      </c>
      <c r="DV72" s="1223">
        <f>$G72*BA72*Variables!$B$53*HLOOKUP($DM$2,Variables!$B$60:$F$61,2,FALSE)</f>
        <v>0</v>
      </c>
      <c r="DW72" s="1223">
        <f>$G72*BB72*Variables!$B$53*HLOOKUP($DM$2,Variables!$B$60:$F$61,2,FALSE)</f>
        <v>0</v>
      </c>
      <c r="DX72" s="1225">
        <f>$G72*BC72*Variables!$B$53*HLOOKUP($DM$2,Variables!$B$60:$F$61,2,FALSE)</f>
        <v>0</v>
      </c>
      <c r="DY72" s="1222">
        <f>$G72*BD72*Variables!$B$53*HLOOKUP($DY$2,Variables!$B$60:$F$61,2,FALSE)</f>
        <v>0</v>
      </c>
      <c r="DZ72" s="1223">
        <f>$G72*BE72*Variables!$B$53*HLOOKUP($DY$2,Variables!$B$60:$F$61,2,FALSE)</f>
        <v>0</v>
      </c>
      <c r="EA72" s="1223">
        <f>$G72*BF72*Variables!$B$53*HLOOKUP($DY$2,Variables!$B$60:$F$61,2,FALSE)</f>
        <v>0</v>
      </c>
      <c r="EB72" s="1223">
        <f>$G72*BG72*Variables!$B$53*HLOOKUP($DY$2,Variables!$B$60:$F$61,2,FALSE)</f>
        <v>0</v>
      </c>
      <c r="EC72" s="1223">
        <f>$G72*BH72*Variables!$B$53*HLOOKUP($DY$2,Variables!$B$60:$F$61,2,FALSE)</f>
        <v>0</v>
      </c>
      <c r="ED72" s="1223">
        <f>$G72*BI72*Variables!$B$53*HLOOKUP($DY$2,Variables!$B$60:$F$61,2,FALSE)</f>
        <v>0</v>
      </c>
      <c r="EE72" s="1223">
        <f>$G72*BJ72*Variables!$B$53*HLOOKUP($DY$2,Variables!$B$60:$F$61,2,FALSE)</f>
        <v>0</v>
      </c>
      <c r="EF72" s="1223">
        <f>$G72*BK72*Variables!$B$53*HLOOKUP($DY$2,Variables!$B$60:$F$61,2,FALSE)</f>
        <v>0</v>
      </c>
      <c r="EG72" s="1223">
        <f>$G72*BL72*Variables!$B$53*HLOOKUP($DY$2,Variables!$B$60:$F$61,2,FALSE)</f>
        <v>0</v>
      </c>
      <c r="EH72" s="1223">
        <f>$G72*BM72*Variables!$B$53*HLOOKUP($DY$2,Variables!$B$60:$F$61,2,FALSE)</f>
        <v>0</v>
      </c>
      <c r="EI72" s="1223">
        <f>$G72*BN72*Variables!$B$53*HLOOKUP($DY$2,Variables!$B$60:$F$61,2,FALSE)</f>
        <v>0</v>
      </c>
      <c r="EJ72" s="1225">
        <f>$G72*BO72*Variables!$B$53*HLOOKUP($DY$2,Variables!$B$60:$F$61,2,FALSE)</f>
        <v>0</v>
      </c>
      <c r="EK72" s="1222">
        <f>$G72*BP72*Variables!$B$53*HLOOKUP($EK$2,Variables!$B$60:$F$61,2,FALSE)</f>
        <v>0</v>
      </c>
      <c r="EL72" s="1223">
        <f>$G72*BQ72*Variables!$B$53*HLOOKUP($EK$2,Variables!$B$60:$F$61,2,FALSE)</f>
        <v>0</v>
      </c>
      <c r="EM72" s="1223">
        <f>$G72*BR72*Variables!$B$53*HLOOKUP($EK$2,Variables!$B$60:$F$61,2,FALSE)</f>
        <v>0</v>
      </c>
      <c r="EN72" s="1223">
        <f>$G72*BS72*Variables!$B$53*HLOOKUP($EK$2,Variables!$B$60:$F$61,2,FALSE)</f>
        <v>0</v>
      </c>
      <c r="EO72" s="1223">
        <f>$G72*BT72*Variables!$B$53*HLOOKUP($EK$2,Variables!$B$60:$F$61,2,FALSE)</f>
        <v>0</v>
      </c>
      <c r="EP72" s="1223">
        <f>$G72*BU72*Variables!$B$53*HLOOKUP($EK$2,Variables!$B$60:$F$61,2,FALSE)</f>
        <v>0</v>
      </c>
      <c r="EQ72" s="1223">
        <f>$G72*BV72*Variables!$B$53*HLOOKUP($EK$2,Variables!$B$60:$F$61,2,FALSE)</f>
        <v>0</v>
      </c>
      <c r="ER72" s="1223">
        <f>$G72*BW72*Variables!$B$53*HLOOKUP($EK$2,Variables!$B$60:$F$61,2,FALSE)</f>
        <v>0</v>
      </c>
      <c r="ES72" s="1223">
        <f>$G72*BX72*Variables!$B$53*HLOOKUP($EK$2,Variables!$B$60:$F$61,2,FALSE)</f>
        <v>0</v>
      </c>
      <c r="ET72" s="1223">
        <f>$G72*BY72*Variables!$B$53*HLOOKUP($EK$2,Variables!$B$60:$F$61,2,FALSE)</f>
        <v>0</v>
      </c>
      <c r="EU72" s="1223">
        <f>$G72*BZ72*Variables!$B$53*HLOOKUP($EK$2,Variables!$B$60:$F$61,2,FALSE)</f>
        <v>0</v>
      </c>
      <c r="EV72" s="1225">
        <f>$G72*CA72*Variables!$B$53*HLOOKUP($EK$2,Variables!$B$60:$F$61,2,FALSE)</f>
        <v>0</v>
      </c>
      <c r="EW72" s="872">
        <f t="shared" si="6"/>
        <v>0</v>
      </c>
      <c r="EX72" s="872"/>
      <c r="EY72" s="872"/>
      <c r="EZ72" s="872"/>
      <c r="FA72" s="1332"/>
      <c r="FC72" s="958" t="str">
        <f t="shared" si="11"/>
        <v/>
      </c>
      <c r="FD72" s="959" t="str">
        <f t="shared" si="12"/>
        <v/>
      </c>
      <c r="FE72" s="959" t="s">
        <v>8407</v>
      </c>
      <c r="FF72" s="959" t="str">
        <f>IF(ISNA(VLOOKUP(FC72,Miscellaneous!E:F,2,0)),"",VLOOKUP(FC72,Miscellaneous!E:F,2,0))</f>
        <v/>
      </c>
      <c r="FG72" s="959" t="str">
        <f t="shared" si="13"/>
        <v/>
      </c>
      <c r="FH72" s="996">
        <f>IF($FG72="Opex",SUMIF('Monthly Summary'!$C$75:$N$75,"",CC72:CN72),SUMIF('Monthly Summary'!$C$74:$N$74,"",CC72:CN72))</f>
        <v>0</v>
      </c>
      <c r="FI72" s="996">
        <f>IF($FG72="Opex",SUMIF('Monthly Summary'!$O$75:$Z$75,"",CO72:CZ72),SUMIF('Monthly Summary'!$O$74:$Z$74,"",CO72:CZ72))</f>
        <v>0</v>
      </c>
      <c r="FJ72" s="996">
        <f>IF($FG72="Opex",SUMIF('Monthly Summary'!$AA$75:$AL$75,"",DA72:DL72),SUMIF('Monthly Summary'!$AA$74:$AL$74,"",DA72:DL72))</f>
        <v>0</v>
      </c>
      <c r="FK72" s="996">
        <f>IF($FG72="Opex",SUMIF('Monthly Summary'!$AM$75:$AX$75,"",DM72:DX72),SUMIF('Monthly Summary'!$AM$74:$AX$74,"",DM72:DX72))</f>
        <v>0</v>
      </c>
      <c r="FL72" s="996">
        <f>IF($FG72="Opex",SUMIF('Monthly Summary'!$AY$75:$BJ$75,"",DY72:EJ72),SUMIF('Monthly Summary'!$AY$74:$BJ$74,"",DY72:EJ72))</f>
        <v>0</v>
      </c>
      <c r="FM72" s="997">
        <f>IF($FG72="Opex",SUMIF('Monthly Summary'!$BK$75:$BV$75,"",EK72:EV72),SUMIF('Monthly Summary'!$BK$74:$BV$74,"",EK72:EV72))</f>
        <v>0</v>
      </c>
      <c r="FN72" s="997">
        <f t="shared" si="14"/>
        <v>0</v>
      </c>
    </row>
    <row r="73" spans="3:170">
      <c r="C73" s="757"/>
      <c r="D73" s="757"/>
      <c r="E73" s="758"/>
      <c r="F73" s="758"/>
      <c r="G73" s="758"/>
      <c r="H73" s="1215"/>
      <c r="I73" s="761"/>
      <c r="J73" s="761"/>
      <c r="K73" s="761"/>
      <c r="L73" s="761"/>
      <c r="M73" s="761"/>
      <c r="N73" s="761"/>
      <c r="O73" s="761"/>
      <c r="P73" s="761"/>
      <c r="Q73" s="761"/>
      <c r="R73" s="761"/>
      <c r="S73" s="1216"/>
      <c r="T73" s="1215"/>
      <c r="U73" s="761"/>
      <c r="V73" s="761"/>
      <c r="W73" s="761"/>
      <c r="X73" s="761"/>
      <c r="Y73" s="761"/>
      <c r="Z73" s="761"/>
      <c r="AA73" s="761"/>
      <c r="AB73" s="761"/>
      <c r="AC73" s="761"/>
      <c r="AD73" s="761"/>
      <c r="AE73" s="1216"/>
      <c r="AF73" s="1215"/>
      <c r="AG73" s="761"/>
      <c r="AH73" s="761"/>
      <c r="AI73" s="761"/>
      <c r="AJ73" s="761"/>
      <c r="AK73" s="761"/>
      <c r="AL73" s="761"/>
      <c r="AM73" s="761"/>
      <c r="AN73" s="761"/>
      <c r="AO73" s="761"/>
      <c r="AP73" s="761"/>
      <c r="AQ73" s="1216"/>
      <c r="AR73" s="1215"/>
      <c r="AS73" s="761"/>
      <c r="AT73" s="761"/>
      <c r="AU73" s="761"/>
      <c r="AV73" s="761"/>
      <c r="AW73" s="761"/>
      <c r="AX73" s="761"/>
      <c r="AY73" s="761"/>
      <c r="AZ73" s="761"/>
      <c r="BA73" s="761"/>
      <c r="BB73" s="761"/>
      <c r="BC73" s="1216"/>
      <c r="BD73" s="1215"/>
      <c r="BE73" s="761"/>
      <c r="BF73" s="761"/>
      <c r="BG73" s="761"/>
      <c r="BH73" s="761"/>
      <c r="BI73" s="761"/>
      <c r="BJ73" s="761"/>
      <c r="BK73" s="761"/>
      <c r="BL73" s="761"/>
      <c r="BM73" s="761"/>
      <c r="BN73" s="761"/>
      <c r="BO73" s="1216"/>
      <c r="BP73" s="1215"/>
      <c r="BQ73" s="761"/>
      <c r="BR73" s="761"/>
      <c r="BS73" s="761"/>
      <c r="BT73" s="761"/>
      <c r="BU73" s="761"/>
      <c r="BV73" s="761"/>
      <c r="BW73" s="761"/>
      <c r="BX73" s="761"/>
      <c r="BY73" s="761"/>
      <c r="BZ73" s="761"/>
      <c r="CA73" s="1216"/>
      <c r="CB73" s="747"/>
      <c r="CC73" s="1222">
        <f>$G73*H73*Variables!$B$53</f>
        <v>0</v>
      </c>
      <c r="CD73" s="1223">
        <f>$G73*I73*Variables!$B$53</f>
        <v>0</v>
      </c>
      <c r="CE73" s="1223">
        <f>$G73*J73*Variables!$B$53</f>
        <v>0</v>
      </c>
      <c r="CF73" s="1223">
        <f>$G73*K73*Variables!$B$53</f>
        <v>0</v>
      </c>
      <c r="CG73" s="1223">
        <f>$G73*L73*Variables!$B$53</f>
        <v>0</v>
      </c>
      <c r="CH73" s="1223">
        <f>$G73*M73*Variables!$B$53</f>
        <v>0</v>
      </c>
      <c r="CI73" s="1223">
        <f>$G73*N73*Variables!$B$53</f>
        <v>0</v>
      </c>
      <c r="CJ73" s="1223">
        <f>$G73*O73*Variables!$B$53</f>
        <v>0</v>
      </c>
      <c r="CK73" s="1223">
        <f>$G73*P73*Variables!$B$53</f>
        <v>0</v>
      </c>
      <c r="CL73" s="1223">
        <f>$G73*Q73*Variables!$B$53</f>
        <v>0</v>
      </c>
      <c r="CM73" s="1223">
        <f>$G73*R73*Variables!$B$53</f>
        <v>0</v>
      </c>
      <c r="CN73" s="1225">
        <f>$G73*S73*Variables!$B$53</f>
        <v>0</v>
      </c>
      <c r="CO73" s="1222">
        <f>$G73*T73*Variables!$B$53*HLOOKUP($CO$2,Variables!$B$60:$F$61,2,FALSE)</f>
        <v>0</v>
      </c>
      <c r="CP73" s="1223">
        <f>$G73*U73*Variables!$B$53*HLOOKUP($CO$2,Variables!$B$60:$F$61,2,FALSE)</f>
        <v>0</v>
      </c>
      <c r="CQ73" s="1223">
        <f>$G73*V73*Variables!$B$53*HLOOKUP($CO$2,Variables!$B$60:$F$61,2,FALSE)</f>
        <v>0</v>
      </c>
      <c r="CR73" s="1223">
        <f>$G73*W73*Variables!$B$53*HLOOKUP($CO$2,Variables!$B$60:$F$61,2,FALSE)</f>
        <v>0</v>
      </c>
      <c r="CS73" s="1223">
        <f>$G73*X73*Variables!$B$53*HLOOKUP($CO$2,Variables!$B$60:$F$61,2,FALSE)</f>
        <v>0</v>
      </c>
      <c r="CT73" s="1223">
        <f>$G73*Y73*Variables!$B$53*HLOOKUP($CO$2,Variables!$B$60:$F$61,2,FALSE)</f>
        <v>0</v>
      </c>
      <c r="CU73" s="1223">
        <f>$G73*Z73*Variables!$B$53*HLOOKUP($CO$2,Variables!$B$60:$F$61,2,FALSE)</f>
        <v>0</v>
      </c>
      <c r="CV73" s="1223">
        <f>$G73*AA73*Variables!$B$53*HLOOKUP($CO$2,Variables!$B$60:$F$61,2,FALSE)</f>
        <v>0</v>
      </c>
      <c r="CW73" s="1223">
        <f>$G73*AB73*Variables!$B$53*HLOOKUP($CO$2,Variables!$B$60:$F$61,2,FALSE)</f>
        <v>0</v>
      </c>
      <c r="CX73" s="1223">
        <f>$G73*AC73*Variables!$B$53*HLOOKUP($CO$2,Variables!$B$60:$F$61,2,FALSE)</f>
        <v>0</v>
      </c>
      <c r="CY73" s="1223">
        <f>$G73*AD73*Variables!$B$53*HLOOKUP($CO$2,Variables!$B$60:$F$61,2,FALSE)</f>
        <v>0</v>
      </c>
      <c r="CZ73" s="1225">
        <f>$G73*AE73*Variables!$B$53*HLOOKUP($CO$2,Variables!$B$60:$F$61,2,FALSE)</f>
        <v>0</v>
      </c>
      <c r="DA73" s="1222">
        <f>$G73*AF73*Variables!$B$53*HLOOKUP($DA$2,Variables!$B$60:$F$61,2,FALSE)</f>
        <v>0</v>
      </c>
      <c r="DB73" s="1223">
        <f>$G73*AG73*Variables!$B$53*HLOOKUP($DA$2,Variables!$B$60:$F$61,2,FALSE)</f>
        <v>0</v>
      </c>
      <c r="DC73" s="1223">
        <f>$G73*AH73*Variables!$B$53*HLOOKUP($DA$2,Variables!$B$60:$F$61,2,FALSE)</f>
        <v>0</v>
      </c>
      <c r="DD73" s="1223">
        <f>$G73*AI73*Variables!$B$53*HLOOKUP($DA$2,Variables!$B$60:$F$61,2,FALSE)</f>
        <v>0</v>
      </c>
      <c r="DE73" s="1223">
        <f>$G73*AJ73*Variables!$B$53*HLOOKUP($DA$2,Variables!$B$60:$F$61,2,FALSE)</f>
        <v>0</v>
      </c>
      <c r="DF73" s="1223">
        <f>$G73*AK73*Variables!$B$53*HLOOKUP($DA$2,Variables!$B$60:$F$61,2,FALSE)</f>
        <v>0</v>
      </c>
      <c r="DG73" s="1223">
        <f>$G73*AL73*Variables!$B$53*HLOOKUP($DA$2,Variables!$B$60:$F$61,2,FALSE)</f>
        <v>0</v>
      </c>
      <c r="DH73" s="1223">
        <f>$G73*AM73*Variables!$B$53*HLOOKUP($DA$2,Variables!$B$60:$F$61,2,FALSE)</f>
        <v>0</v>
      </c>
      <c r="DI73" s="1223">
        <f>$G73*AN73*Variables!$B$53*HLOOKUP($DA$2,Variables!$B$60:$F$61,2,FALSE)</f>
        <v>0</v>
      </c>
      <c r="DJ73" s="1223">
        <f>$G73*AO73*Variables!$B$53*HLOOKUP($DA$2,Variables!$B$60:$F$61,2,FALSE)</f>
        <v>0</v>
      </c>
      <c r="DK73" s="1223">
        <f>$G73*AP73*Variables!$B$53*HLOOKUP($DA$2,Variables!$B$60:$F$61,2,FALSE)</f>
        <v>0</v>
      </c>
      <c r="DL73" s="1225">
        <f>$G73*AQ73*Variables!$B$53*HLOOKUP($DA$2,Variables!$B$60:$F$61,2,FALSE)</f>
        <v>0</v>
      </c>
      <c r="DM73" s="1222">
        <f>$G73*AR73*Variables!$B$53*HLOOKUP($DM$2,Variables!$B$60:$F$61,2,FALSE)</f>
        <v>0</v>
      </c>
      <c r="DN73" s="1223">
        <f>$G73*AS73*Variables!$B$53*HLOOKUP($DM$2,Variables!$B$60:$F$61,2,FALSE)</f>
        <v>0</v>
      </c>
      <c r="DO73" s="1223">
        <f>$G73*AT73*Variables!$B$53*HLOOKUP($DM$2,Variables!$B$60:$F$61,2,FALSE)</f>
        <v>0</v>
      </c>
      <c r="DP73" s="1223">
        <f>$G73*AU73*Variables!$B$53*HLOOKUP($DM$2,Variables!$B$60:$F$61,2,FALSE)</f>
        <v>0</v>
      </c>
      <c r="DQ73" s="1223">
        <f>$G73*AV73*Variables!$B$53*HLOOKUP($DM$2,Variables!$B$60:$F$61,2,FALSE)</f>
        <v>0</v>
      </c>
      <c r="DR73" s="1223">
        <f>$G73*AW73*Variables!$B$53*HLOOKUP($DM$2,Variables!$B$60:$F$61,2,FALSE)</f>
        <v>0</v>
      </c>
      <c r="DS73" s="1223">
        <f>$G73*AX73*Variables!$B$53*HLOOKUP($DM$2,Variables!$B$60:$F$61,2,FALSE)</f>
        <v>0</v>
      </c>
      <c r="DT73" s="1223">
        <f>$G73*AY73*Variables!$B$53*HLOOKUP($DM$2,Variables!$B$60:$F$61,2,FALSE)</f>
        <v>0</v>
      </c>
      <c r="DU73" s="1223">
        <f>$G73*AZ73*Variables!$B$53*HLOOKUP($DM$2,Variables!$B$60:$F$61,2,FALSE)</f>
        <v>0</v>
      </c>
      <c r="DV73" s="1223">
        <f>$G73*BA73*Variables!$B$53*HLOOKUP($DM$2,Variables!$B$60:$F$61,2,FALSE)</f>
        <v>0</v>
      </c>
      <c r="DW73" s="1223">
        <f>$G73*BB73*Variables!$B$53*HLOOKUP($DM$2,Variables!$B$60:$F$61,2,FALSE)</f>
        <v>0</v>
      </c>
      <c r="DX73" s="1225">
        <f>$G73*BC73*Variables!$B$53*HLOOKUP($DM$2,Variables!$B$60:$F$61,2,FALSE)</f>
        <v>0</v>
      </c>
      <c r="DY73" s="1222">
        <f>$G73*BD73*Variables!$B$53*HLOOKUP($DY$2,Variables!$B$60:$F$61,2,FALSE)</f>
        <v>0</v>
      </c>
      <c r="DZ73" s="1223">
        <f>$G73*BE73*Variables!$B$53*HLOOKUP($DY$2,Variables!$B$60:$F$61,2,FALSE)</f>
        <v>0</v>
      </c>
      <c r="EA73" s="1223">
        <f>$G73*BF73*Variables!$B$53*HLOOKUP($DY$2,Variables!$B$60:$F$61,2,FALSE)</f>
        <v>0</v>
      </c>
      <c r="EB73" s="1223">
        <f>$G73*BG73*Variables!$B$53*HLOOKUP($DY$2,Variables!$B$60:$F$61,2,FALSE)</f>
        <v>0</v>
      </c>
      <c r="EC73" s="1223">
        <f>$G73*BH73*Variables!$B$53*HLOOKUP($DY$2,Variables!$B$60:$F$61,2,FALSE)</f>
        <v>0</v>
      </c>
      <c r="ED73" s="1223">
        <f>$G73*BI73*Variables!$B$53*HLOOKUP($DY$2,Variables!$B$60:$F$61,2,FALSE)</f>
        <v>0</v>
      </c>
      <c r="EE73" s="1223">
        <f>$G73*BJ73*Variables!$B$53*HLOOKUP($DY$2,Variables!$B$60:$F$61,2,FALSE)</f>
        <v>0</v>
      </c>
      <c r="EF73" s="1223">
        <f>$G73*BK73*Variables!$B$53*HLOOKUP($DY$2,Variables!$B$60:$F$61,2,FALSE)</f>
        <v>0</v>
      </c>
      <c r="EG73" s="1223">
        <f>$G73*BL73*Variables!$B$53*HLOOKUP($DY$2,Variables!$B$60:$F$61,2,FALSE)</f>
        <v>0</v>
      </c>
      <c r="EH73" s="1223">
        <f>$G73*BM73*Variables!$B$53*HLOOKUP($DY$2,Variables!$B$60:$F$61,2,FALSE)</f>
        <v>0</v>
      </c>
      <c r="EI73" s="1223">
        <f>$G73*BN73*Variables!$B$53*HLOOKUP($DY$2,Variables!$B$60:$F$61,2,FALSE)</f>
        <v>0</v>
      </c>
      <c r="EJ73" s="1225">
        <f>$G73*BO73*Variables!$B$53*HLOOKUP($DY$2,Variables!$B$60:$F$61,2,FALSE)</f>
        <v>0</v>
      </c>
      <c r="EK73" s="1222">
        <f>$G73*BP73*Variables!$B$53*HLOOKUP($EK$2,Variables!$B$60:$F$61,2,FALSE)</f>
        <v>0</v>
      </c>
      <c r="EL73" s="1223">
        <f>$G73*BQ73*Variables!$B$53*HLOOKUP($EK$2,Variables!$B$60:$F$61,2,FALSE)</f>
        <v>0</v>
      </c>
      <c r="EM73" s="1223">
        <f>$G73*BR73*Variables!$B$53*HLOOKUP($EK$2,Variables!$B$60:$F$61,2,FALSE)</f>
        <v>0</v>
      </c>
      <c r="EN73" s="1223">
        <f>$G73*BS73*Variables!$B$53*HLOOKUP($EK$2,Variables!$B$60:$F$61,2,FALSE)</f>
        <v>0</v>
      </c>
      <c r="EO73" s="1223">
        <f>$G73*BT73*Variables!$B$53*HLOOKUP($EK$2,Variables!$B$60:$F$61,2,FALSE)</f>
        <v>0</v>
      </c>
      <c r="EP73" s="1223">
        <f>$G73*BU73*Variables!$B$53*HLOOKUP($EK$2,Variables!$B$60:$F$61,2,FALSE)</f>
        <v>0</v>
      </c>
      <c r="EQ73" s="1223">
        <f>$G73*BV73*Variables!$B$53*HLOOKUP($EK$2,Variables!$B$60:$F$61,2,FALSE)</f>
        <v>0</v>
      </c>
      <c r="ER73" s="1223">
        <f>$G73*BW73*Variables!$B$53*HLOOKUP($EK$2,Variables!$B$60:$F$61,2,FALSE)</f>
        <v>0</v>
      </c>
      <c r="ES73" s="1223">
        <f>$G73*BX73*Variables!$B$53*HLOOKUP($EK$2,Variables!$B$60:$F$61,2,FALSE)</f>
        <v>0</v>
      </c>
      <c r="ET73" s="1223">
        <f>$G73*BY73*Variables!$B$53*HLOOKUP($EK$2,Variables!$B$60:$F$61,2,FALSE)</f>
        <v>0</v>
      </c>
      <c r="EU73" s="1223">
        <f>$G73*BZ73*Variables!$B$53*HLOOKUP($EK$2,Variables!$B$60:$F$61,2,FALSE)</f>
        <v>0</v>
      </c>
      <c r="EV73" s="1225">
        <f>$G73*CA73*Variables!$B$53*HLOOKUP($EK$2,Variables!$B$60:$F$61,2,FALSE)</f>
        <v>0</v>
      </c>
      <c r="EW73" s="872">
        <f t="shared" si="6"/>
        <v>0</v>
      </c>
      <c r="EX73" s="872"/>
      <c r="EY73" s="872"/>
      <c r="EZ73" s="872"/>
      <c r="FA73" s="1332"/>
      <c r="FC73" s="958" t="str">
        <f t="shared" si="11"/>
        <v/>
      </c>
      <c r="FD73" s="959" t="str">
        <f t="shared" si="12"/>
        <v/>
      </c>
      <c r="FE73" s="959" t="s">
        <v>8407</v>
      </c>
      <c r="FF73" s="959" t="str">
        <f>IF(ISNA(VLOOKUP(FC73,Miscellaneous!E:F,2,0)),"",VLOOKUP(FC73,Miscellaneous!E:F,2,0))</f>
        <v/>
      </c>
      <c r="FG73" s="959" t="str">
        <f t="shared" si="13"/>
        <v/>
      </c>
      <c r="FH73" s="996">
        <f>IF($FG73="Opex",SUMIF('Monthly Summary'!$C$75:$N$75,"",CC73:CN73),SUMIF('Monthly Summary'!$C$74:$N$74,"",CC73:CN73))</f>
        <v>0</v>
      </c>
      <c r="FI73" s="996">
        <f>IF($FG73="Opex",SUMIF('Monthly Summary'!$O$75:$Z$75,"",CO73:CZ73),SUMIF('Monthly Summary'!$O$74:$Z$74,"",CO73:CZ73))</f>
        <v>0</v>
      </c>
      <c r="FJ73" s="996">
        <f>IF($FG73="Opex",SUMIF('Monthly Summary'!$AA$75:$AL$75,"",DA73:DL73),SUMIF('Monthly Summary'!$AA$74:$AL$74,"",DA73:DL73))</f>
        <v>0</v>
      </c>
      <c r="FK73" s="996">
        <f>IF($FG73="Opex",SUMIF('Monthly Summary'!$AM$75:$AX$75,"",DM73:DX73),SUMIF('Monthly Summary'!$AM$74:$AX$74,"",DM73:DX73))</f>
        <v>0</v>
      </c>
      <c r="FL73" s="996">
        <f>IF($FG73="Opex",SUMIF('Monthly Summary'!$AY$75:$BJ$75,"",DY73:EJ73),SUMIF('Monthly Summary'!$AY$74:$BJ$74,"",DY73:EJ73))</f>
        <v>0</v>
      </c>
      <c r="FM73" s="997">
        <f>IF($FG73="Opex",SUMIF('Monthly Summary'!$BK$75:$BV$75,"",EK73:EV73),SUMIF('Monthly Summary'!$BK$74:$BV$74,"",EK73:EV73))</f>
        <v>0</v>
      </c>
      <c r="FN73" s="997">
        <f t="shared" si="14"/>
        <v>0</v>
      </c>
    </row>
    <row r="74" spans="3:170">
      <c r="C74" s="757"/>
      <c r="D74" s="757"/>
      <c r="E74" s="758"/>
      <c r="F74" s="758"/>
      <c r="G74" s="758"/>
      <c r="H74" s="1215"/>
      <c r="I74" s="761"/>
      <c r="J74" s="761"/>
      <c r="K74" s="761"/>
      <c r="L74" s="761"/>
      <c r="M74" s="761"/>
      <c r="N74" s="761"/>
      <c r="O74" s="761"/>
      <c r="P74" s="761"/>
      <c r="Q74" s="761"/>
      <c r="R74" s="761"/>
      <c r="S74" s="1216"/>
      <c r="T74" s="1215"/>
      <c r="U74" s="761"/>
      <c r="V74" s="761"/>
      <c r="W74" s="761"/>
      <c r="X74" s="761"/>
      <c r="Y74" s="761"/>
      <c r="Z74" s="761"/>
      <c r="AA74" s="761"/>
      <c r="AB74" s="761"/>
      <c r="AC74" s="761"/>
      <c r="AD74" s="761"/>
      <c r="AE74" s="1216"/>
      <c r="AF74" s="1215"/>
      <c r="AG74" s="761"/>
      <c r="AH74" s="761"/>
      <c r="AI74" s="761"/>
      <c r="AJ74" s="761"/>
      <c r="AK74" s="761"/>
      <c r="AL74" s="761"/>
      <c r="AM74" s="761"/>
      <c r="AN74" s="761"/>
      <c r="AO74" s="761"/>
      <c r="AP74" s="761"/>
      <c r="AQ74" s="1216"/>
      <c r="AR74" s="1215"/>
      <c r="AS74" s="761"/>
      <c r="AT74" s="761"/>
      <c r="AU74" s="761"/>
      <c r="AV74" s="761"/>
      <c r="AW74" s="761"/>
      <c r="AX74" s="761"/>
      <c r="AY74" s="761"/>
      <c r="AZ74" s="761"/>
      <c r="BA74" s="761"/>
      <c r="BB74" s="761"/>
      <c r="BC74" s="1216"/>
      <c r="BD74" s="1215"/>
      <c r="BE74" s="761"/>
      <c r="BF74" s="761"/>
      <c r="BG74" s="761"/>
      <c r="BH74" s="761"/>
      <c r="BI74" s="761"/>
      <c r="BJ74" s="761"/>
      <c r="BK74" s="761"/>
      <c r="BL74" s="761"/>
      <c r="BM74" s="761"/>
      <c r="BN74" s="761"/>
      <c r="BO74" s="1216"/>
      <c r="BP74" s="1215"/>
      <c r="BQ74" s="761"/>
      <c r="BR74" s="761"/>
      <c r="BS74" s="761"/>
      <c r="BT74" s="761"/>
      <c r="BU74" s="761"/>
      <c r="BV74" s="761"/>
      <c r="BW74" s="761"/>
      <c r="BX74" s="761"/>
      <c r="BY74" s="761"/>
      <c r="BZ74" s="761"/>
      <c r="CA74" s="1216"/>
      <c r="CB74" s="747"/>
      <c r="CC74" s="1222">
        <f>$G74*H74*Variables!$B$53</f>
        <v>0</v>
      </c>
      <c r="CD74" s="1223">
        <f>$G74*I74*Variables!$B$53</f>
        <v>0</v>
      </c>
      <c r="CE74" s="1223">
        <f>$G74*J74*Variables!$B$53</f>
        <v>0</v>
      </c>
      <c r="CF74" s="1223">
        <f>$G74*K74*Variables!$B$53</f>
        <v>0</v>
      </c>
      <c r="CG74" s="1223">
        <f>$G74*L74*Variables!$B$53</f>
        <v>0</v>
      </c>
      <c r="CH74" s="1223">
        <f>$G74*M74*Variables!$B$53</f>
        <v>0</v>
      </c>
      <c r="CI74" s="1223">
        <f>$G74*N74*Variables!$B$53</f>
        <v>0</v>
      </c>
      <c r="CJ74" s="1223">
        <f>$G74*O74*Variables!$B$53</f>
        <v>0</v>
      </c>
      <c r="CK74" s="1223">
        <f>$G74*P74*Variables!$B$53</f>
        <v>0</v>
      </c>
      <c r="CL74" s="1223">
        <f>$G74*Q74*Variables!$B$53</f>
        <v>0</v>
      </c>
      <c r="CM74" s="1223">
        <f>$G74*R74*Variables!$B$53</f>
        <v>0</v>
      </c>
      <c r="CN74" s="1225">
        <f>$G74*S74*Variables!$B$53</f>
        <v>0</v>
      </c>
      <c r="CO74" s="1222">
        <f>$G74*T74*Variables!$B$53*HLOOKUP($CO$2,Variables!$B$60:$F$61,2,FALSE)</f>
        <v>0</v>
      </c>
      <c r="CP74" s="1223">
        <f>$G74*U74*Variables!$B$53*HLOOKUP($CO$2,Variables!$B$60:$F$61,2,FALSE)</f>
        <v>0</v>
      </c>
      <c r="CQ74" s="1223">
        <f>$G74*V74*Variables!$B$53*HLOOKUP($CO$2,Variables!$B$60:$F$61,2,FALSE)</f>
        <v>0</v>
      </c>
      <c r="CR74" s="1223">
        <f>$G74*W74*Variables!$B$53*HLOOKUP($CO$2,Variables!$B$60:$F$61,2,FALSE)</f>
        <v>0</v>
      </c>
      <c r="CS74" s="1223">
        <f>$G74*X74*Variables!$B$53*HLOOKUP($CO$2,Variables!$B$60:$F$61,2,FALSE)</f>
        <v>0</v>
      </c>
      <c r="CT74" s="1223">
        <f>$G74*Y74*Variables!$B$53*HLOOKUP($CO$2,Variables!$B$60:$F$61,2,FALSE)</f>
        <v>0</v>
      </c>
      <c r="CU74" s="1223">
        <f>$G74*Z74*Variables!$B$53*HLOOKUP($CO$2,Variables!$B$60:$F$61,2,FALSE)</f>
        <v>0</v>
      </c>
      <c r="CV74" s="1223">
        <f>$G74*AA74*Variables!$B$53*HLOOKUP($CO$2,Variables!$B$60:$F$61,2,FALSE)</f>
        <v>0</v>
      </c>
      <c r="CW74" s="1223">
        <f>$G74*AB74*Variables!$B$53*HLOOKUP($CO$2,Variables!$B$60:$F$61,2,FALSE)</f>
        <v>0</v>
      </c>
      <c r="CX74" s="1223">
        <f>$G74*AC74*Variables!$B$53*HLOOKUP($CO$2,Variables!$B$60:$F$61,2,FALSE)</f>
        <v>0</v>
      </c>
      <c r="CY74" s="1223">
        <f>$G74*AD74*Variables!$B$53*HLOOKUP($CO$2,Variables!$B$60:$F$61,2,FALSE)</f>
        <v>0</v>
      </c>
      <c r="CZ74" s="1225">
        <f>$G74*AE74*Variables!$B$53*HLOOKUP($CO$2,Variables!$B$60:$F$61,2,FALSE)</f>
        <v>0</v>
      </c>
      <c r="DA74" s="1222">
        <f>$G74*AF74*Variables!$B$53*HLOOKUP($DA$2,Variables!$B$60:$F$61,2,FALSE)</f>
        <v>0</v>
      </c>
      <c r="DB74" s="1223">
        <f>$G74*AG74*Variables!$B$53*HLOOKUP($DA$2,Variables!$B$60:$F$61,2,FALSE)</f>
        <v>0</v>
      </c>
      <c r="DC74" s="1223">
        <f>$G74*AH74*Variables!$B$53*HLOOKUP($DA$2,Variables!$B$60:$F$61,2,FALSE)</f>
        <v>0</v>
      </c>
      <c r="DD74" s="1223">
        <f>$G74*AI74*Variables!$B$53*HLOOKUP($DA$2,Variables!$B$60:$F$61,2,FALSE)</f>
        <v>0</v>
      </c>
      <c r="DE74" s="1223">
        <f>$G74*AJ74*Variables!$B$53*HLOOKUP($DA$2,Variables!$B$60:$F$61,2,FALSE)</f>
        <v>0</v>
      </c>
      <c r="DF74" s="1223">
        <f>$G74*AK74*Variables!$B$53*HLOOKUP($DA$2,Variables!$B$60:$F$61,2,FALSE)</f>
        <v>0</v>
      </c>
      <c r="DG74" s="1223">
        <f>$G74*AL74*Variables!$B$53*HLOOKUP($DA$2,Variables!$B$60:$F$61,2,FALSE)</f>
        <v>0</v>
      </c>
      <c r="DH74" s="1223">
        <f>$G74*AM74*Variables!$B$53*HLOOKUP($DA$2,Variables!$B$60:$F$61,2,FALSE)</f>
        <v>0</v>
      </c>
      <c r="DI74" s="1223">
        <f>$G74*AN74*Variables!$B$53*HLOOKUP($DA$2,Variables!$B$60:$F$61,2,FALSE)</f>
        <v>0</v>
      </c>
      <c r="DJ74" s="1223">
        <f>$G74*AO74*Variables!$B$53*HLOOKUP($DA$2,Variables!$B$60:$F$61,2,FALSE)</f>
        <v>0</v>
      </c>
      <c r="DK74" s="1223">
        <f>$G74*AP74*Variables!$B$53*HLOOKUP($DA$2,Variables!$B$60:$F$61,2,FALSE)</f>
        <v>0</v>
      </c>
      <c r="DL74" s="1225">
        <f>$G74*AQ74*Variables!$B$53*HLOOKUP($DA$2,Variables!$B$60:$F$61,2,FALSE)</f>
        <v>0</v>
      </c>
      <c r="DM74" s="1222">
        <f>$G74*AR74*Variables!$B$53*HLOOKUP($DM$2,Variables!$B$60:$F$61,2,FALSE)</f>
        <v>0</v>
      </c>
      <c r="DN74" s="1223">
        <f>$G74*AS74*Variables!$B$53*HLOOKUP($DM$2,Variables!$B$60:$F$61,2,FALSE)</f>
        <v>0</v>
      </c>
      <c r="DO74" s="1223">
        <f>$G74*AT74*Variables!$B$53*HLOOKUP($DM$2,Variables!$B$60:$F$61,2,FALSE)</f>
        <v>0</v>
      </c>
      <c r="DP74" s="1223">
        <f>$G74*AU74*Variables!$B$53*HLOOKUP($DM$2,Variables!$B$60:$F$61,2,FALSE)</f>
        <v>0</v>
      </c>
      <c r="DQ74" s="1223">
        <f>$G74*AV74*Variables!$B$53*HLOOKUP($DM$2,Variables!$B$60:$F$61,2,FALSE)</f>
        <v>0</v>
      </c>
      <c r="DR74" s="1223">
        <f>$G74*AW74*Variables!$B$53*HLOOKUP($DM$2,Variables!$B$60:$F$61,2,FALSE)</f>
        <v>0</v>
      </c>
      <c r="DS74" s="1223">
        <f>$G74*AX74*Variables!$B$53*HLOOKUP($DM$2,Variables!$B$60:$F$61,2,FALSE)</f>
        <v>0</v>
      </c>
      <c r="DT74" s="1223">
        <f>$G74*AY74*Variables!$B$53*HLOOKUP($DM$2,Variables!$B$60:$F$61,2,FALSE)</f>
        <v>0</v>
      </c>
      <c r="DU74" s="1223">
        <f>$G74*AZ74*Variables!$B$53*HLOOKUP($DM$2,Variables!$B$60:$F$61,2,FALSE)</f>
        <v>0</v>
      </c>
      <c r="DV74" s="1223">
        <f>$G74*BA74*Variables!$B$53*HLOOKUP($DM$2,Variables!$B$60:$F$61,2,FALSE)</f>
        <v>0</v>
      </c>
      <c r="DW74" s="1223">
        <f>$G74*BB74*Variables!$B$53*HLOOKUP($DM$2,Variables!$B$60:$F$61,2,FALSE)</f>
        <v>0</v>
      </c>
      <c r="DX74" s="1225">
        <f>$G74*BC74*Variables!$B$53*HLOOKUP($DM$2,Variables!$B$60:$F$61,2,FALSE)</f>
        <v>0</v>
      </c>
      <c r="DY74" s="1222">
        <f>$G74*BD74*Variables!$B$53*HLOOKUP($DY$2,Variables!$B$60:$F$61,2,FALSE)</f>
        <v>0</v>
      </c>
      <c r="DZ74" s="1223">
        <f>$G74*BE74*Variables!$B$53*HLOOKUP($DY$2,Variables!$B$60:$F$61,2,FALSE)</f>
        <v>0</v>
      </c>
      <c r="EA74" s="1223">
        <f>$G74*BF74*Variables!$B$53*HLOOKUP($DY$2,Variables!$B$60:$F$61,2,FALSE)</f>
        <v>0</v>
      </c>
      <c r="EB74" s="1223">
        <f>$G74*BG74*Variables!$B$53*HLOOKUP($DY$2,Variables!$B$60:$F$61,2,FALSE)</f>
        <v>0</v>
      </c>
      <c r="EC74" s="1223">
        <f>$G74*BH74*Variables!$B$53*HLOOKUP($DY$2,Variables!$B$60:$F$61,2,FALSE)</f>
        <v>0</v>
      </c>
      <c r="ED74" s="1223">
        <f>$G74*BI74*Variables!$B$53*HLOOKUP($DY$2,Variables!$B$60:$F$61,2,FALSE)</f>
        <v>0</v>
      </c>
      <c r="EE74" s="1223">
        <f>$G74*BJ74*Variables!$B$53*HLOOKUP($DY$2,Variables!$B$60:$F$61,2,FALSE)</f>
        <v>0</v>
      </c>
      <c r="EF74" s="1223">
        <f>$G74*BK74*Variables!$B$53*HLOOKUP($DY$2,Variables!$B$60:$F$61,2,FALSE)</f>
        <v>0</v>
      </c>
      <c r="EG74" s="1223">
        <f>$G74*BL74*Variables!$B$53*HLOOKUP($DY$2,Variables!$B$60:$F$61,2,FALSE)</f>
        <v>0</v>
      </c>
      <c r="EH74" s="1223">
        <f>$G74*BM74*Variables!$B$53*HLOOKUP($DY$2,Variables!$B$60:$F$61,2,FALSE)</f>
        <v>0</v>
      </c>
      <c r="EI74" s="1223">
        <f>$G74*BN74*Variables!$B$53*HLOOKUP($DY$2,Variables!$B$60:$F$61,2,FALSE)</f>
        <v>0</v>
      </c>
      <c r="EJ74" s="1225">
        <f>$G74*BO74*Variables!$B$53*HLOOKUP($DY$2,Variables!$B$60:$F$61,2,FALSE)</f>
        <v>0</v>
      </c>
      <c r="EK74" s="1222">
        <f>$G74*BP74*Variables!$B$53*HLOOKUP($EK$2,Variables!$B$60:$F$61,2,FALSE)</f>
        <v>0</v>
      </c>
      <c r="EL74" s="1223">
        <f>$G74*BQ74*Variables!$B$53*HLOOKUP($EK$2,Variables!$B$60:$F$61,2,FALSE)</f>
        <v>0</v>
      </c>
      <c r="EM74" s="1223">
        <f>$G74*BR74*Variables!$B$53*HLOOKUP($EK$2,Variables!$B$60:$F$61,2,FALSE)</f>
        <v>0</v>
      </c>
      <c r="EN74" s="1223">
        <f>$G74*BS74*Variables!$B$53*HLOOKUP($EK$2,Variables!$B$60:$F$61,2,FALSE)</f>
        <v>0</v>
      </c>
      <c r="EO74" s="1223">
        <f>$G74*BT74*Variables!$B$53*HLOOKUP($EK$2,Variables!$B$60:$F$61,2,FALSE)</f>
        <v>0</v>
      </c>
      <c r="EP74" s="1223">
        <f>$G74*BU74*Variables!$B$53*HLOOKUP($EK$2,Variables!$B$60:$F$61,2,FALSE)</f>
        <v>0</v>
      </c>
      <c r="EQ74" s="1223">
        <f>$G74*BV74*Variables!$B$53*HLOOKUP($EK$2,Variables!$B$60:$F$61,2,FALSE)</f>
        <v>0</v>
      </c>
      <c r="ER74" s="1223">
        <f>$G74*BW74*Variables!$B$53*HLOOKUP($EK$2,Variables!$B$60:$F$61,2,FALSE)</f>
        <v>0</v>
      </c>
      <c r="ES74" s="1223">
        <f>$G74*BX74*Variables!$B$53*HLOOKUP($EK$2,Variables!$B$60:$F$61,2,FALSE)</f>
        <v>0</v>
      </c>
      <c r="ET74" s="1223">
        <f>$G74*BY74*Variables!$B$53*HLOOKUP($EK$2,Variables!$B$60:$F$61,2,FALSE)</f>
        <v>0</v>
      </c>
      <c r="EU74" s="1223">
        <f>$G74*BZ74*Variables!$B$53*HLOOKUP($EK$2,Variables!$B$60:$F$61,2,FALSE)</f>
        <v>0</v>
      </c>
      <c r="EV74" s="1225">
        <f>$G74*CA74*Variables!$B$53*HLOOKUP($EK$2,Variables!$B$60:$F$61,2,FALSE)</f>
        <v>0</v>
      </c>
      <c r="EW74" s="872">
        <f t="shared" si="6"/>
        <v>0</v>
      </c>
      <c r="EX74" s="872"/>
      <c r="EY74" s="872"/>
      <c r="EZ74" s="872"/>
      <c r="FA74" s="1332"/>
      <c r="FC74" s="958" t="str">
        <f t="shared" si="11"/>
        <v/>
      </c>
      <c r="FD74" s="959" t="str">
        <f t="shared" si="12"/>
        <v/>
      </c>
      <c r="FE74" s="959" t="s">
        <v>8407</v>
      </c>
      <c r="FF74" s="959" t="str">
        <f>IF(ISNA(VLOOKUP(FC74,Miscellaneous!E:F,2,0)),"",VLOOKUP(FC74,Miscellaneous!E:F,2,0))</f>
        <v/>
      </c>
      <c r="FG74" s="959" t="str">
        <f t="shared" si="13"/>
        <v/>
      </c>
      <c r="FH74" s="996">
        <f>IF($FG74="Opex",SUMIF('Monthly Summary'!$C$75:$N$75,"",CC74:CN74),SUMIF('Monthly Summary'!$C$74:$N$74,"",CC74:CN74))</f>
        <v>0</v>
      </c>
      <c r="FI74" s="996">
        <f>IF($FG74="Opex",SUMIF('Monthly Summary'!$O$75:$Z$75,"",CO74:CZ74),SUMIF('Monthly Summary'!$O$74:$Z$74,"",CO74:CZ74))</f>
        <v>0</v>
      </c>
      <c r="FJ74" s="996">
        <f>IF($FG74="Opex",SUMIF('Monthly Summary'!$AA$75:$AL$75,"",DA74:DL74),SUMIF('Monthly Summary'!$AA$74:$AL$74,"",DA74:DL74))</f>
        <v>0</v>
      </c>
      <c r="FK74" s="996">
        <f>IF($FG74="Opex",SUMIF('Monthly Summary'!$AM$75:$AX$75,"",DM74:DX74),SUMIF('Monthly Summary'!$AM$74:$AX$74,"",DM74:DX74))</f>
        <v>0</v>
      </c>
      <c r="FL74" s="996">
        <f>IF($FG74="Opex",SUMIF('Monthly Summary'!$AY$75:$BJ$75,"",DY74:EJ74),SUMIF('Monthly Summary'!$AY$74:$BJ$74,"",DY74:EJ74))</f>
        <v>0</v>
      </c>
      <c r="FM74" s="997">
        <f>IF($FG74="Opex",SUMIF('Monthly Summary'!$BK$75:$BV$75,"",EK74:EV74),SUMIF('Monthly Summary'!$BK$74:$BV$74,"",EK74:EV74))</f>
        <v>0</v>
      </c>
      <c r="FN74" s="997">
        <f t="shared" si="14"/>
        <v>0</v>
      </c>
    </row>
    <row r="75" spans="3:170">
      <c r="C75" s="757"/>
      <c r="D75" s="757"/>
      <c r="E75" s="758"/>
      <c r="F75" s="758"/>
      <c r="G75" s="758"/>
      <c r="H75" s="1215"/>
      <c r="I75" s="761"/>
      <c r="J75" s="761"/>
      <c r="K75" s="761"/>
      <c r="L75" s="761"/>
      <c r="M75" s="761"/>
      <c r="N75" s="761"/>
      <c r="O75" s="761"/>
      <c r="P75" s="761"/>
      <c r="Q75" s="761"/>
      <c r="R75" s="761"/>
      <c r="S75" s="1216"/>
      <c r="T75" s="1215"/>
      <c r="U75" s="761"/>
      <c r="V75" s="761"/>
      <c r="W75" s="761"/>
      <c r="X75" s="761"/>
      <c r="Y75" s="761"/>
      <c r="Z75" s="761"/>
      <c r="AA75" s="761"/>
      <c r="AB75" s="761"/>
      <c r="AC75" s="761"/>
      <c r="AD75" s="761"/>
      <c r="AE75" s="1216"/>
      <c r="AF75" s="1215"/>
      <c r="AG75" s="761"/>
      <c r="AH75" s="761"/>
      <c r="AI75" s="761"/>
      <c r="AJ75" s="761"/>
      <c r="AK75" s="761"/>
      <c r="AL75" s="761"/>
      <c r="AM75" s="761"/>
      <c r="AN75" s="761"/>
      <c r="AO75" s="761"/>
      <c r="AP75" s="761"/>
      <c r="AQ75" s="1216"/>
      <c r="AR75" s="1215"/>
      <c r="AS75" s="761"/>
      <c r="AT75" s="761"/>
      <c r="AU75" s="761"/>
      <c r="AV75" s="761"/>
      <c r="AW75" s="761"/>
      <c r="AX75" s="761"/>
      <c r="AY75" s="761"/>
      <c r="AZ75" s="761"/>
      <c r="BA75" s="761"/>
      <c r="BB75" s="761"/>
      <c r="BC75" s="1216"/>
      <c r="BD75" s="1215"/>
      <c r="BE75" s="761"/>
      <c r="BF75" s="761"/>
      <c r="BG75" s="761"/>
      <c r="BH75" s="761"/>
      <c r="BI75" s="761"/>
      <c r="BJ75" s="761"/>
      <c r="BK75" s="761"/>
      <c r="BL75" s="761"/>
      <c r="BM75" s="761"/>
      <c r="BN75" s="761"/>
      <c r="BO75" s="1216"/>
      <c r="BP75" s="1215"/>
      <c r="BQ75" s="761"/>
      <c r="BR75" s="761"/>
      <c r="BS75" s="761"/>
      <c r="BT75" s="761"/>
      <c r="BU75" s="761"/>
      <c r="BV75" s="761"/>
      <c r="BW75" s="761"/>
      <c r="BX75" s="761"/>
      <c r="BY75" s="761"/>
      <c r="BZ75" s="761"/>
      <c r="CA75" s="1216"/>
      <c r="CB75" s="747"/>
      <c r="CC75" s="1222">
        <f>$G75*H75*Variables!$B$53</f>
        <v>0</v>
      </c>
      <c r="CD75" s="1223">
        <f>$G75*I75*Variables!$B$53</f>
        <v>0</v>
      </c>
      <c r="CE75" s="1223">
        <f>$G75*J75*Variables!$B$53</f>
        <v>0</v>
      </c>
      <c r="CF75" s="1223">
        <f>$G75*K75*Variables!$B$53</f>
        <v>0</v>
      </c>
      <c r="CG75" s="1223">
        <f>$G75*L75*Variables!$B$53</f>
        <v>0</v>
      </c>
      <c r="CH75" s="1223">
        <f>$G75*M75*Variables!$B$53</f>
        <v>0</v>
      </c>
      <c r="CI75" s="1223">
        <f>$G75*N75*Variables!$B$53</f>
        <v>0</v>
      </c>
      <c r="CJ75" s="1223">
        <f>$G75*O75*Variables!$B$53</f>
        <v>0</v>
      </c>
      <c r="CK75" s="1223">
        <f>$G75*P75*Variables!$B$53</f>
        <v>0</v>
      </c>
      <c r="CL75" s="1223">
        <f>$G75*Q75*Variables!$B$53</f>
        <v>0</v>
      </c>
      <c r="CM75" s="1223">
        <f>$G75*R75*Variables!$B$53</f>
        <v>0</v>
      </c>
      <c r="CN75" s="1225">
        <f>$G75*S75*Variables!$B$53</f>
        <v>0</v>
      </c>
      <c r="CO75" s="1222">
        <f>$G75*T75*Variables!$B$53*HLOOKUP($CO$2,Variables!$B$60:$F$61,2,FALSE)</f>
        <v>0</v>
      </c>
      <c r="CP75" s="1223">
        <f>$G75*U75*Variables!$B$53*HLOOKUP($CO$2,Variables!$B$60:$F$61,2,FALSE)</f>
        <v>0</v>
      </c>
      <c r="CQ75" s="1223">
        <f>$G75*V75*Variables!$B$53*HLOOKUP($CO$2,Variables!$B$60:$F$61,2,FALSE)</f>
        <v>0</v>
      </c>
      <c r="CR75" s="1223">
        <f>$G75*W75*Variables!$B$53*HLOOKUP($CO$2,Variables!$B$60:$F$61,2,FALSE)</f>
        <v>0</v>
      </c>
      <c r="CS75" s="1223">
        <f>$G75*X75*Variables!$B$53*HLOOKUP($CO$2,Variables!$B$60:$F$61,2,FALSE)</f>
        <v>0</v>
      </c>
      <c r="CT75" s="1223">
        <f>$G75*Y75*Variables!$B$53*HLOOKUP($CO$2,Variables!$B$60:$F$61,2,FALSE)</f>
        <v>0</v>
      </c>
      <c r="CU75" s="1223">
        <f>$G75*Z75*Variables!$B$53*HLOOKUP($CO$2,Variables!$B$60:$F$61,2,FALSE)</f>
        <v>0</v>
      </c>
      <c r="CV75" s="1223">
        <f>$G75*AA75*Variables!$B$53*HLOOKUP($CO$2,Variables!$B$60:$F$61,2,FALSE)</f>
        <v>0</v>
      </c>
      <c r="CW75" s="1223">
        <f>$G75*AB75*Variables!$B$53*HLOOKUP($CO$2,Variables!$B$60:$F$61,2,FALSE)</f>
        <v>0</v>
      </c>
      <c r="CX75" s="1223">
        <f>$G75*AC75*Variables!$B$53*HLOOKUP($CO$2,Variables!$B$60:$F$61,2,FALSE)</f>
        <v>0</v>
      </c>
      <c r="CY75" s="1223">
        <f>$G75*AD75*Variables!$B$53*HLOOKUP($CO$2,Variables!$B$60:$F$61,2,FALSE)</f>
        <v>0</v>
      </c>
      <c r="CZ75" s="1225">
        <f>$G75*AE75*Variables!$B$53*HLOOKUP($CO$2,Variables!$B$60:$F$61,2,FALSE)</f>
        <v>0</v>
      </c>
      <c r="DA75" s="1222">
        <f>$G75*AF75*Variables!$B$53*HLOOKUP($DA$2,Variables!$B$60:$F$61,2,FALSE)</f>
        <v>0</v>
      </c>
      <c r="DB75" s="1223">
        <f>$G75*AG75*Variables!$B$53*HLOOKUP($DA$2,Variables!$B$60:$F$61,2,FALSE)</f>
        <v>0</v>
      </c>
      <c r="DC75" s="1223">
        <f>$G75*AH75*Variables!$B$53*HLOOKUP($DA$2,Variables!$B$60:$F$61,2,FALSE)</f>
        <v>0</v>
      </c>
      <c r="DD75" s="1223">
        <f>$G75*AI75*Variables!$B$53*HLOOKUP($DA$2,Variables!$B$60:$F$61,2,FALSE)</f>
        <v>0</v>
      </c>
      <c r="DE75" s="1223">
        <f>$G75*AJ75*Variables!$B$53*HLOOKUP($DA$2,Variables!$B$60:$F$61,2,FALSE)</f>
        <v>0</v>
      </c>
      <c r="DF75" s="1223">
        <f>$G75*AK75*Variables!$B$53*HLOOKUP($DA$2,Variables!$B$60:$F$61,2,FALSE)</f>
        <v>0</v>
      </c>
      <c r="DG75" s="1223">
        <f>$G75*AL75*Variables!$B$53*HLOOKUP($DA$2,Variables!$B$60:$F$61,2,FALSE)</f>
        <v>0</v>
      </c>
      <c r="DH75" s="1223">
        <f>$G75*AM75*Variables!$B$53*HLOOKUP($DA$2,Variables!$B$60:$F$61,2,FALSE)</f>
        <v>0</v>
      </c>
      <c r="DI75" s="1223">
        <f>$G75*AN75*Variables!$B$53*HLOOKUP($DA$2,Variables!$B$60:$F$61,2,FALSE)</f>
        <v>0</v>
      </c>
      <c r="DJ75" s="1223">
        <f>$G75*AO75*Variables!$B$53*HLOOKUP($DA$2,Variables!$B$60:$F$61,2,FALSE)</f>
        <v>0</v>
      </c>
      <c r="DK75" s="1223">
        <f>$G75*AP75*Variables!$B$53*HLOOKUP($DA$2,Variables!$B$60:$F$61,2,FALSE)</f>
        <v>0</v>
      </c>
      <c r="DL75" s="1225">
        <f>$G75*AQ75*Variables!$B$53*HLOOKUP($DA$2,Variables!$B$60:$F$61,2,FALSE)</f>
        <v>0</v>
      </c>
      <c r="DM75" s="1222">
        <f>$G75*AR75*Variables!$B$53*HLOOKUP($DM$2,Variables!$B$60:$F$61,2,FALSE)</f>
        <v>0</v>
      </c>
      <c r="DN75" s="1223">
        <f>$G75*AS75*Variables!$B$53*HLOOKUP($DM$2,Variables!$B$60:$F$61,2,FALSE)</f>
        <v>0</v>
      </c>
      <c r="DO75" s="1223">
        <f>$G75*AT75*Variables!$B$53*HLOOKUP($DM$2,Variables!$B$60:$F$61,2,FALSE)</f>
        <v>0</v>
      </c>
      <c r="DP75" s="1223">
        <f>$G75*AU75*Variables!$B$53*HLOOKUP($DM$2,Variables!$B$60:$F$61,2,FALSE)</f>
        <v>0</v>
      </c>
      <c r="DQ75" s="1223">
        <f>$G75*AV75*Variables!$B$53*HLOOKUP($DM$2,Variables!$B$60:$F$61,2,FALSE)</f>
        <v>0</v>
      </c>
      <c r="DR75" s="1223">
        <f>$G75*AW75*Variables!$B$53*HLOOKUP($DM$2,Variables!$B$60:$F$61,2,FALSE)</f>
        <v>0</v>
      </c>
      <c r="DS75" s="1223">
        <f>$G75*AX75*Variables!$B$53*HLOOKUP($DM$2,Variables!$B$60:$F$61,2,FALSE)</f>
        <v>0</v>
      </c>
      <c r="DT75" s="1223">
        <f>$G75*AY75*Variables!$B$53*HLOOKUP($DM$2,Variables!$B$60:$F$61,2,FALSE)</f>
        <v>0</v>
      </c>
      <c r="DU75" s="1223">
        <f>$G75*AZ75*Variables!$B$53*HLOOKUP($DM$2,Variables!$B$60:$F$61,2,FALSE)</f>
        <v>0</v>
      </c>
      <c r="DV75" s="1223">
        <f>$G75*BA75*Variables!$B$53*HLOOKUP($DM$2,Variables!$B$60:$F$61,2,FALSE)</f>
        <v>0</v>
      </c>
      <c r="DW75" s="1223">
        <f>$G75*BB75*Variables!$B$53*HLOOKUP($DM$2,Variables!$B$60:$F$61,2,FALSE)</f>
        <v>0</v>
      </c>
      <c r="DX75" s="1225">
        <f>$G75*BC75*Variables!$B$53*HLOOKUP($DM$2,Variables!$B$60:$F$61,2,FALSE)</f>
        <v>0</v>
      </c>
      <c r="DY75" s="1222">
        <f>$G75*BD75*Variables!$B$53*HLOOKUP($DY$2,Variables!$B$60:$F$61,2,FALSE)</f>
        <v>0</v>
      </c>
      <c r="DZ75" s="1223">
        <f>$G75*BE75*Variables!$B$53*HLOOKUP($DY$2,Variables!$B$60:$F$61,2,FALSE)</f>
        <v>0</v>
      </c>
      <c r="EA75" s="1223">
        <f>$G75*BF75*Variables!$B$53*HLOOKUP($DY$2,Variables!$B$60:$F$61,2,FALSE)</f>
        <v>0</v>
      </c>
      <c r="EB75" s="1223">
        <f>$G75*BG75*Variables!$B$53*HLOOKUP($DY$2,Variables!$B$60:$F$61,2,FALSE)</f>
        <v>0</v>
      </c>
      <c r="EC75" s="1223">
        <f>$G75*BH75*Variables!$B$53*HLOOKUP($DY$2,Variables!$B$60:$F$61,2,FALSE)</f>
        <v>0</v>
      </c>
      <c r="ED75" s="1223">
        <f>$G75*BI75*Variables!$B$53*HLOOKUP($DY$2,Variables!$B$60:$F$61,2,FALSE)</f>
        <v>0</v>
      </c>
      <c r="EE75" s="1223">
        <f>$G75*BJ75*Variables!$B$53*HLOOKUP($DY$2,Variables!$B$60:$F$61,2,FALSE)</f>
        <v>0</v>
      </c>
      <c r="EF75" s="1223">
        <f>$G75*BK75*Variables!$B$53*HLOOKUP($DY$2,Variables!$B$60:$F$61,2,FALSE)</f>
        <v>0</v>
      </c>
      <c r="EG75" s="1223">
        <f>$G75*BL75*Variables!$B$53*HLOOKUP($DY$2,Variables!$B$60:$F$61,2,FALSE)</f>
        <v>0</v>
      </c>
      <c r="EH75" s="1223">
        <f>$G75*BM75*Variables!$B$53*HLOOKUP($DY$2,Variables!$B$60:$F$61,2,FALSE)</f>
        <v>0</v>
      </c>
      <c r="EI75" s="1223">
        <f>$G75*BN75*Variables!$B$53*HLOOKUP($DY$2,Variables!$B$60:$F$61,2,FALSE)</f>
        <v>0</v>
      </c>
      <c r="EJ75" s="1225">
        <f>$G75*BO75*Variables!$B$53*HLOOKUP($DY$2,Variables!$B$60:$F$61,2,FALSE)</f>
        <v>0</v>
      </c>
      <c r="EK75" s="1222">
        <f>$G75*BP75*Variables!$B$53*HLOOKUP($EK$2,Variables!$B$60:$F$61,2,FALSE)</f>
        <v>0</v>
      </c>
      <c r="EL75" s="1223">
        <f>$G75*BQ75*Variables!$B$53*HLOOKUP($EK$2,Variables!$B$60:$F$61,2,FALSE)</f>
        <v>0</v>
      </c>
      <c r="EM75" s="1223">
        <f>$G75*BR75*Variables!$B$53*HLOOKUP($EK$2,Variables!$B$60:$F$61,2,FALSE)</f>
        <v>0</v>
      </c>
      <c r="EN75" s="1223">
        <f>$G75*BS75*Variables!$B$53*HLOOKUP($EK$2,Variables!$B$60:$F$61,2,FALSE)</f>
        <v>0</v>
      </c>
      <c r="EO75" s="1223">
        <f>$G75*BT75*Variables!$B$53*HLOOKUP($EK$2,Variables!$B$60:$F$61,2,FALSE)</f>
        <v>0</v>
      </c>
      <c r="EP75" s="1223">
        <f>$G75*BU75*Variables!$B$53*HLOOKUP($EK$2,Variables!$B$60:$F$61,2,FALSE)</f>
        <v>0</v>
      </c>
      <c r="EQ75" s="1223">
        <f>$G75*BV75*Variables!$B$53*HLOOKUP($EK$2,Variables!$B$60:$F$61,2,FALSE)</f>
        <v>0</v>
      </c>
      <c r="ER75" s="1223">
        <f>$G75*BW75*Variables!$B$53*HLOOKUP($EK$2,Variables!$B$60:$F$61,2,FALSE)</f>
        <v>0</v>
      </c>
      <c r="ES75" s="1223">
        <f>$G75*BX75*Variables!$B$53*HLOOKUP($EK$2,Variables!$B$60:$F$61,2,FALSE)</f>
        <v>0</v>
      </c>
      <c r="ET75" s="1223">
        <f>$G75*BY75*Variables!$B$53*HLOOKUP($EK$2,Variables!$B$60:$F$61,2,FALSE)</f>
        <v>0</v>
      </c>
      <c r="EU75" s="1223">
        <f>$G75*BZ75*Variables!$B$53*HLOOKUP($EK$2,Variables!$B$60:$F$61,2,FALSE)</f>
        <v>0</v>
      </c>
      <c r="EV75" s="1225">
        <f>$G75*CA75*Variables!$B$53*HLOOKUP($EK$2,Variables!$B$60:$F$61,2,FALSE)</f>
        <v>0</v>
      </c>
      <c r="EW75" s="872">
        <f t="shared" ref="EW75:EW138" si="15">SUM(CC75:EV75)</f>
        <v>0</v>
      </c>
      <c r="EX75" s="872"/>
      <c r="EY75" s="872"/>
      <c r="EZ75" s="872"/>
      <c r="FA75" s="1332"/>
      <c r="FC75" s="958" t="str">
        <f t="shared" si="11"/>
        <v/>
      </c>
      <c r="FD75" s="959" t="str">
        <f t="shared" si="12"/>
        <v/>
      </c>
      <c r="FE75" s="959" t="s">
        <v>8407</v>
      </c>
      <c r="FF75" s="959" t="str">
        <f>IF(ISNA(VLOOKUP(FC75,Miscellaneous!E:F,2,0)),"",VLOOKUP(FC75,Miscellaneous!E:F,2,0))</f>
        <v/>
      </c>
      <c r="FG75" s="959" t="str">
        <f t="shared" si="13"/>
        <v/>
      </c>
      <c r="FH75" s="996">
        <f>IF($FG75="Opex",SUMIF('Monthly Summary'!$C$75:$N$75,"",CC75:CN75),SUMIF('Monthly Summary'!$C$74:$N$74,"",CC75:CN75))</f>
        <v>0</v>
      </c>
      <c r="FI75" s="996">
        <f>IF($FG75="Opex",SUMIF('Monthly Summary'!$O$75:$Z$75,"",CO75:CZ75),SUMIF('Monthly Summary'!$O$74:$Z$74,"",CO75:CZ75))</f>
        <v>0</v>
      </c>
      <c r="FJ75" s="996">
        <f>IF($FG75="Opex",SUMIF('Monthly Summary'!$AA$75:$AL$75,"",DA75:DL75),SUMIF('Monthly Summary'!$AA$74:$AL$74,"",DA75:DL75))</f>
        <v>0</v>
      </c>
      <c r="FK75" s="996">
        <f>IF($FG75="Opex",SUMIF('Monthly Summary'!$AM$75:$AX$75,"",DM75:DX75),SUMIF('Monthly Summary'!$AM$74:$AX$74,"",DM75:DX75))</f>
        <v>0</v>
      </c>
      <c r="FL75" s="996">
        <f>IF($FG75="Opex",SUMIF('Monthly Summary'!$AY$75:$BJ$75,"",DY75:EJ75),SUMIF('Monthly Summary'!$AY$74:$BJ$74,"",DY75:EJ75))</f>
        <v>0</v>
      </c>
      <c r="FM75" s="997">
        <f>IF($FG75="Opex",SUMIF('Monthly Summary'!$BK$75:$BV$75,"",EK75:EV75),SUMIF('Monthly Summary'!$BK$74:$BV$74,"",EK75:EV75))</f>
        <v>0</v>
      </c>
      <c r="FN75" s="997">
        <f t="shared" si="14"/>
        <v>0</v>
      </c>
    </row>
    <row r="76" spans="3:170">
      <c r="C76" s="757"/>
      <c r="D76" s="757"/>
      <c r="E76" s="758"/>
      <c r="F76" s="758"/>
      <c r="G76" s="758"/>
      <c r="H76" s="1215"/>
      <c r="I76" s="761"/>
      <c r="J76" s="761"/>
      <c r="K76" s="761"/>
      <c r="L76" s="761"/>
      <c r="M76" s="761"/>
      <c r="N76" s="761"/>
      <c r="O76" s="761"/>
      <c r="P76" s="761"/>
      <c r="Q76" s="761"/>
      <c r="R76" s="761"/>
      <c r="S76" s="1216"/>
      <c r="T76" s="1215"/>
      <c r="U76" s="761"/>
      <c r="V76" s="761"/>
      <c r="W76" s="761"/>
      <c r="X76" s="761"/>
      <c r="Y76" s="761"/>
      <c r="Z76" s="761"/>
      <c r="AA76" s="761"/>
      <c r="AB76" s="761"/>
      <c r="AC76" s="761"/>
      <c r="AD76" s="761"/>
      <c r="AE76" s="1216"/>
      <c r="AF76" s="1215"/>
      <c r="AG76" s="761"/>
      <c r="AH76" s="761"/>
      <c r="AI76" s="761"/>
      <c r="AJ76" s="761"/>
      <c r="AK76" s="761"/>
      <c r="AL76" s="761"/>
      <c r="AM76" s="761"/>
      <c r="AN76" s="761"/>
      <c r="AO76" s="761"/>
      <c r="AP76" s="761"/>
      <c r="AQ76" s="1216"/>
      <c r="AR76" s="1215"/>
      <c r="AS76" s="761"/>
      <c r="AT76" s="761"/>
      <c r="AU76" s="761"/>
      <c r="AV76" s="761"/>
      <c r="AW76" s="761"/>
      <c r="AX76" s="761"/>
      <c r="AY76" s="761"/>
      <c r="AZ76" s="761"/>
      <c r="BA76" s="761"/>
      <c r="BB76" s="761"/>
      <c r="BC76" s="1216"/>
      <c r="BD76" s="1215"/>
      <c r="BE76" s="761"/>
      <c r="BF76" s="761"/>
      <c r="BG76" s="761"/>
      <c r="BH76" s="761"/>
      <c r="BI76" s="761"/>
      <c r="BJ76" s="761"/>
      <c r="BK76" s="761"/>
      <c r="BL76" s="761"/>
      <c r="BM76" s="761"/>
      <c r="BN76" s="761"/>
      <c r="BO76" s="1216"/>
      <c r="BP76" s="1215"/>
      <c r="BQ76" s="761"/>
      <c r="BR76" s="761"/>
      <c r="BS76" s="761"/>
      <c r="BT76" s="761"/>
      <c r="BU76" s="761"/>
      <c r="BV76" s="761"/>
      <c r="BW76" s="761"/>
      <c r="BX76" s="761"/>
      <c r="BY76" s="761"/>
      <c r="BZ76" s="761"/>
      <c r="CA76" s="1216"/>
      <c r="CB76" s="747"/>
      <c r="CC76" s="1222">
        <f>$G76*H76*Variables!$B$53</f>
        <v>0</v>
      </c>
      <c r="CD76" s="1223">
        <f>$G76*I76*Variables!$B$53</f>
        <v>0</v>
      </c>
      <c r="CE76" s="1223">
        <f>$G76*J76*Variables!$B$53</f>
        <v>0</v>
      </c>
      <c r="CF76" s="1223">
        <f>$G76*K76*Variables!$B$53</f>
        <v>0</v>
      </c>
      <c r="CG76" s="1223">
        <f>$G76*L76*Variables!$B$53</f>
        <v>0</v>
      </c>
      <c r="CH76" s="1223">
        <f>$G76*M76*Variables!$B$53</f>
        <v>0</v>
      </c>
      <c r="CI76" s="1223">
        <f>$G76*N76*Variables!$B$53</f>
        <v>0</v>
      </c>
      <c r="CJ76" s="1223">
        <f>$G76*O76*Variables!$B$53</f>
        <v>0</v>
      </c>
      <c r="CK76" s="1223">
        <f>$G76*P76*Variables!$B$53</f>
        <v>0</v>
      </c>
      <c r="CL76" s="1223">
        <f>$G76*Q76*Variables!$B$53</f>
        <v>0</v>
      </c>
      <c r="CM76" s="1223">
        <f>$G76*R76*Variables!$B$53</f>
        <v>0</v>
      </c>
      <c r="CN76" s="1225">
        <f>$G76*S76*Variables!$B$53</f>
        <v>0</v>
      </c>
      <c r="CO76" s="1222">
        <f>$G76*T76*Variables!$B$53*HLOOKUP($CO$2,Variables!$B$60:$F$61,2,FALSE)</f>
        <v>0</v>
      </c>
      <c r="CP76" s="1223">
        <f>$G76*U76*Variables!$B$53*HLOOKUP($CO$2,Variables!$B$60:$F$61,2,FALSE)</f>
        <v>0</v>
      </c>
      <c r="CQ76" s="1223">
        <f>$G76*V76*Variables!$B$53*HLOOKUP($CO$2,Variables!$B$60:$F$61,2,FALSE)</f>
        <v>0</v>
      </c>
      <c r="CR76" s="1223">
        <f>$G76*W76*Variables!$B$53*HLOOKUP($CO$2,Variables!$B$60:$F$61,2,FALSE)</f>
        <v>0</v>
      </c>
      <c r="CS76" s="1223">
        <f>$G76*X76*Variables!$B$53*HLOOKUP($CO$2,Variables!$B$60:$F$61,2,FALSE)</f>
        <v>0</v>
      </c>
      <c r="CT76" s="1223">
        <f>$G76*Y76*Variables!$B$53*HLOOKUP($CO$2,Variables!$B$60:$F$61,2,FALSE)</f>
        <v>0</v>
      </c>
      <c r="CU76" s="1223">
        <f>$G76*Z76*Variables!$B$53*HLOOKUP($CO$2,Variables!$B$60:$F$61,2,FALSE)</f>
        <v>0</v>
      </c>
      <c r="CV76" s="1223">
        <f>$G76*AA76*Variables!$B$53*HLOOKUP($CO$2,Variables!$B$60:$F$61,2,FALSE)</f>
        <v>0</v>
      </c>
      <c r="CW76" s="1223">
        <f>$G76*AB76*Variables!$B$53*HLOOKUP($CO$2,Variables!$B$60:$F$61,2,FALSE)</f>
        <v>0</v>
      </c>
      <c r="CX76" s="1223">
        <f>$G76*AC76*Variables!$B$53*HLOOKUP($CO$2,Variables!$B$60:$F$61,2,FALSE)</f>
        <v>0</v>
      </c>
      <c r="CY76" s="1223">
        <f>$G76*AD76*Variables!$B$53*HLOOKUP($CO$2,Variables!$B$60:$F$61,2,FALSE)</f>
        <v>0</v>
      </c>
      <c r="CZ76" s="1225">
        <f>$G76*AE76*Variables!$B$53*HLOOKUP($CO$2,Variables!$B$60:$F$61,2,FALSE)</f>
        <v>0</v>
      </c>
      <c r="DA76" s="1222">
        <f>$G76*AF76*Variables!$B$53*HLOOKUP($DA$2,Variables!$B$60:$F$61,2,FALSE)</f>
        <v>0</v>
      </c>
      <c r="DB76" s="1223">
        <f>$G76*AG76*Variables!$B$53*HLOOKUP($DA$2,Variables!$B$60:$F$61,2,FALSE)</f>
        <v>0</v>
      </c>
      <c r="DC76" s="1223">
        <f>$G76*AH76*Variables!$B$53*HLOOKUP($DA$2,Variables!$B$60:$F$61,2,FALSE)</f>
        <v>0</v>
      </c>
      <c r="DD76" s="1223">
        <f>$G76*AI76*Variables!$B$53*HLOOKUP($DA$2,Variables!$B$60:$F$61,2,FALSE)</f>
        <v>0</v>
      </c>
      <c r="DE76" s="1223">
        <f>$G76*AJ76*Variables!$B$53*HLOOKUP($DA$2,Variables!$B$60:$F$61,2,FALSE)</f>
        <v>0</v>
      </c>
      <c r="DF76" s="1223">
        <f>$G76*AK76*Variables!$B$53*HLOOKUP($DA$2,Variables!$B$60:$F$61,2,FALSE)</f>
        <v>0</v>
      </c>
      <c r="DG76" s="1223">
        <f>$G76*AL76*Variables!$B$53*HLOOKUP($DA$2,Variables!$B$60:$F$61,2,FALSE)</f>
        <v>0</v>
      </c>
      <c r="DH76" s="1223">
        <f>$G76*AM76*Variables!$B$53*HLOOKUP($DA$2,Variables!$B$60:$F$61,2,FALSE)</f>
        <v>0</v>
      </c>
      <c r="DI76" s="1223">
        <f>$G76*AN76*Variables!$B$53*HLOOKUP($DA$2,Variables!$B$60:$F$61,2,FALSE)</f>
        <v>0</v>
      </c>
      <c r="DJ76" s="1223">
        <f>$G76*AO76*Variables!$B$53*HLOOKUP($DA$2,Variables!$B$60:$F$61,2,FALSE)</f>
        <v>0</v>
      </c>
      <c r="DK76" s="1223">
        <f>$G76*AP76*Variables!$B$53*HLOOKUP($DA$2,Variables!$B$60:$F$61,2,FALSE)</f>
        <v>0</v>
      </c>
      <c r="DL76" s="1225">
        <f>$G76*AQ76*Variables!$B$53*HLOOKUP($DA$2,Variables!$B$60:$F$61,2,FALSE)</f>
        <v>0</v>
      </c>
      <c r="DM76" s="1222">
        <f>$G76*AR76*Variables!$B$53*HLOOKUP($DM$2,Variables!$B$60:$F$61,2,FALSE)</f>
        <v>0</v>
      </c>
      <c r="DN76" s="1223">
        <f>$G76*AS76*Variables!$B$53*HLOOKUP($DM$2,Variables!$B$60:$F$61,2,FALSE)</f>
        <v>0</v>
      </c>
      <c r="DO76" s="1223">
        <f>$G76*AT76*Variables!$B$53*HLOOKUP($DM$2,Variables!$B$60:$F$61,2,FALSE)</f>
        <v>0</v>
      </c>
      <c r="DP76" s="1223">
        <f>$G76*AU76*Variables!$B$53*HLOOKUP($DM$2,Variables!$B$60:$F$61,2,FALSE)</f>
        <v>0</v>
      </c>
      <c r="DQ76" s="1223">
        <f>$G76*AV76*Variables!$B$53*HLOOKUP($DM$2,Variables!$B$60:$F$61,2,FALSE)</f>
        <v>0</v>
      </c>
      <c r="DR76" s="1223">
        <f>$G76*AW76*Variables!$B$53*HLOOKUP($DM$2,Variables!$B$60:$F$61,2,FALSE)</f>
        <v>0</v>
      </c>
      <c r="DS76" s="1223">
        <f>$G76*AX76*Variables!$B$53*HLOOKUP($DM$2,Variables!$B$60:$F$61,2,FALSE)</f>
        <v>0</v>
      </c>
      <c r="DT76" s="1223">
        <f>$G76*AY76*Variables!$B$53*HLOOKUP($DM$2,Variables!$B$60:$F$61,2,FALSE)</f>
        <v>0</v>
      </c>
      <c r="DU76" s="1223">
        <f>$G76*AZ76*Variables!$B$53*HLOOKUP($DM$2,Variables!$B$60:$F$61,2,FALSE)</f>
        <v>0</v>
      </c>
      <c r="DV76" s="1223">
        <f>$G76*BA76*Variables!$B$53*HLOOKUP($DM$2,Variables!$B$60:$F$61,2,FALSE)</f>
        <v>0</v>
      </c>
      <c r="DW76" s="1223">
        <f>$G76*BB76*Variables!$B$53*HLOOKUP($DM$2,Variables!$B$60:$F$61,2,FALSE)</f>
        <v>0</v>
      </c>
      <c r="DX76" s="1225">
        <f>$G76*BC76*Variables!$B$53*HLOOKUP($DM$2,Variables!$B$60:$F$61,2,FALSE)</f>
        <v>0</v>
      </c>
      <c r="DY76" s="1222">
        <f>$G76*BD76*Variables!$B$53*HLOOKUP($DY$2,Variables!$B$60:$F$61,2,FALSE)</f>
        <v>0</v>
      </c>
      <c r="DZ76" s="1223">
        <f>$G76*BE76*Variables!$B$53*HLOOKUP($DY$2,Variables!$B$60:$F$61,2,FALSE)</f>
        <v>0</v>
      </c>
      <c r="EA76" s="1223">
        <f>$G76*BF76*Variables!$B$53*HLOOKUP($DY$2,Variables!$B$60:$F$61,2,FALSE)</f>
        <v>0</v>
      </c>
      <c r="EB76" s="1223">
        <f>$G76*BG76*Variables!$B$53*HLOOKUP($DY$2,Variables!$B$60:$F$61,2,FALSE)</f>
        <v>0</v>
      </c>
      <c r="EC76" s="1223">
        <f>$G76*BH76*Variables!$B$53*HLOOKUP($DY$2,Variables!$B$60:$F$61,2,FALSE)</f>
        <v>0</v>
      </c>
      <c r="ED76" s="1223">
        <f>$G76*BI76*Variables!$B$53*HLOOKUP($DY$2,Variables!$B$60:$F$61,2,FALSE)</f>
        <v>0</v>
      </c>
      <c r="EE76" s="1223">
        <f>$G76*BJ76*Variables!$B$53*HLOOKUP($DY$2,Variables!$B$60:$F$61,2,FALSE)</f>
        <v>0</v>
      </c>
      <c r="EF76" s="1223">
        <f>$G76*BK76*Variables!$B$53*HLOOKUP($DY$2,Variables!$B$60:$F$61,2,FALSE)</f>
        <v>0</v>
      </c>
      <c r="EG76" s="1223">
        <f>$G76*BL76*Variables!$B$53*HLOOKUP($DY$2,Variables!$B$60:$F$61,2,FALSE)</f>
        <v>0</v>
      </c>
      <c r="EH76" s="1223">
        <f>$G76*BM76*Variables!$B$53*HLOOKUP($DY$2,Variables!$B$60:$F$61,2,FALSE)</f>
        <v>0</v>
      </c>
      <c r="EI76" s="1223">
        <f>$G76*BN76*Variables!$B$53*HLOOKUP($DY$2,Variables!$B$60:$F$61,2,FALSE)</f>
        <v>0</v>
      </c>
      <c r="EJ76" s="1225">
        <f>$G76*BO76*Variables!$B$53*HLOOKUP($DY$2,Variables!$B$60:$F$61,2,FALSE)</f>
        <v>0</v>
      </c>
      <c r="EK76" s="1222">
        <f>$G76*BP76*Variables!$B$53*HLOOKUP($EK$2,Variables!$B$60:$F$61,2,FALSE)</f>
        <v>0</v>
      </c>
      <c r="EL76" s="1223">
        <f>$G76*BQ76*Variables!$B$53*HLOOKUP($EK$2,Variables!$B$60:$F$61,2,FALSE)</f>
        <v>0</v>
      </c>
      <c r="EM76" s="1223">
        <f>$G76*BR76*Variables!$B$53*HLOOKUP($EK$2,Variables!$B$60:$F$61,2,FALSE)</f>
        <v>0</v>
      </c>
      <c r="EN76" s="1223">
        <f>$G76*BS76*Variables!$B$53*HLOOKUP($EK$2,Variables!$B$60:$F$61,2,FALSE)</f>
        <v>0</v>
      </c>
      <c r="EO76" s="1223">
        <f>$G76*BT76*Variables!$B$53*HLOOKUP($EK$2,Variables!$B$60:$F$61,2,FALSE)</f>
        <v>0</v>
      </c>
      <c r="EP76" s="1223">
        <f>$G76*BU76*Variables!$B$53*HLOOKUP($EK$2,Variables!$B$60:$F$61,2,FALSE)</f>
        <v>0</v>
      </c>
      <c r="EQ76" s="1223">
        <f>$G76*BV76*Variables!$B$53*HLOOKUP($EK$2,Variables!$B$60:$F$61,2,FALSE)</f>
        <v>0</v>
      </c>
      <c r="ER76" s="1223">
        <f>$G76*BW76*Variables!$B$53*HLOOKUP($EK$2,Variables!$B$60:$F$61,2,FALSE)</f>
        <v>0</v>
      </c>
      <c r="ES76" s="1223">
        <f>$G76*BX76*Variables!$B$53*HLOOKUP($EK$2,Variables!$B$60:$F$61,2,FALSE)</f>
        <v>0</v>
      </c>
      <c r="ET76" s="1223">
        <f>$G76*BY76*Variables!$B$53*HLOOKUP($EK$2,Variables!$B$60:$F$61,2,FALSE)</f>
        <v>0</v>
      </c>
      <c r="EU76" s="1223">
        <f>$G76*BZ76*Variables!$B$53*HLOOKUP($EK$2,Variables!$B$60:$F$61,2,FALSE)</f>
        <v>0</v>
      </c>
      <c r="EV76" s="1225">
        <f>$G76*CA76*Variables!$B$53*HLOOKUP($EK$2,Variables!$B$60:$F$61,2,FALSE)</f>
        <v>0</v>
      </c>
      <c r="EW76" s="872">
        <f t="shared" si="15"/>
        <v>0</v>
      </c>
      <c r="EX76" s="872"/>
      <c r="EY76" s="872"/>
      <c r="EZ76" s="872"/>
      <c r="FA76" s="1332"/>
      <c r="FC76" s="958" t="str">
        <f t="shared" si="11"/>
        <v/>
      </c>
      <c r="FD76" s="959" t="str">
        <f t="shared" si="12"/>
        <v/>
      </c>
      <c r="FE76" s="959" t="s">
        <v>8407</v>
      </c>
      <c r="FF76" s="959" t="str">
        <f>IF(ISNA(VLOOKUP(FC76,Miscellaneous!E:F,2,0)),"",VLOOKUP(FC76,Miscellaneous!E:F,2,0))</f>
        <v/>
      </c>
      <c r="FG76" s="959" t="str">
        <f t="shared" si="13"/>
        <v/>
      </c>
      <c r="FH76" s="996">
        <f>IF($FG76="Opex",SUMIF('Monthly Summary'!$C$75:$N$75,"",CC76:CN76),SUMIF('Monthly Summary'!$C$74:$N$74,"",CC76:CN76))</f>
        <v>0</v>
      </c>
      <c r="FI76" s="996">
        <f>IF($FG76="Opex",SUMIF('Monthly Summary'!$O$75:$Z$75,"",CO76:CZ76),SUMIF('Monthly Summary'!$O$74:$Z$74,"",CO76:CZ76))</f>
        <v>0</v>
      </c>
      <c r="FJ76" s="996">
        <f>IF($FG76="Opex",SUMIF('Monthly Summary'!$AA$75:$AL$75,"",DA76:DL76),SUMIF('Monthly Summary'!$AA$74:$AL$74,"",DA76:DL76))</f>
        <v>0</v>
      </c>
      <c r="FK76" s="996">
        <f>IF($FG76="Opex",SUMIF('Monthly Summary'!$AM$75:$AX$75,"",DM76:DX76),SUMIF('Monthly Summary'!$AM$74:$AX$74,"",DM76:DX76))</f>
        <v>0</v>
      </c>
      <c r="FL76" s="996">
        <f>IF($FG76="Opex",SUMIF('Monthly Summary'!$AY$75:$BJ$75,"",DY76:EJ76),SUMIF('Monthly Summary'!$AY$74:$BJ$74,"",DY76:EJ76))</f>
        <v>0</v>
      </c>
      <c r="FM76" s="997">
        <f>IF($FG76="Opex",SUMIF('Monthly Summary'!$BK$75:$BV$75,"",EK76:EV76),SUMIF('Monthly Summary'!$BK$74:$BV$74,"",EK76:EV76))</f>
        <v>0</v>
      </c>
      <c r="FN76" s="997">
        <f t="shared" si="14"/>
        <v>0</v>
      </c>
    </row>
    <row r="77" spans="3:170">
      <c r="C77" s="757"/>
      <c r="D77" s="757"/>
      <c r="E77" s="758"/>
      <c r="F77" s="758"/>
      <c r="G77" s="758"/>
      <c r="H77" s="1215"/>
      <c r="I77" s="761"/>
      <c r="J77" s="761"/>
      <c r="K77" s="761"/>
      <c r="L77" s="761"/>
      <c r="M77" s="761"/>
      <c r="N77" s="761"/>
      <c r="O77" s="761"/>
      <c r="P77" s="761"/>
      <c r="Q77" s="761"/>
      <c r="R77" s="761"/>
      <c r="S77" s="1216"/>
      <c r="T77" s="1215"/>
      <c r="U77" s="761"/>
      <c r="V77" s="761"/>
      <c r="W77" s="761"/>
      <c r="X77" s="761"/>
      <c r="Y77" s="761"/>
      <c r="Z77" s="761"/>
      <c r="AA77" s="761"/>
      <c r="AB77" s="761"/>
      <c r="AC77" s="761"/>
      <c r="AD77" s="761"/>
      <c r="AE77" s="1216"/>
      <c r="AF77" s="1215"/>
      <c r="AG77" s="761"/>
      <c r="AH77" s="761"/>
      <c r="AI77" s="761"/>
      <c r="AJ77" s="761"/>
      <c r="AK77" s="761"/>
      <c r="AL77" s="761"/>
      <c r="AM77" s="761"/>
      <c r="AN77" s="761"/>
      <c r="AO77" s="761"/>
      <c r="AP77" s="761"/>
      <c r="AQ77" s="1216"/>
      <c r="AR77" s="1215"/>
      <c r="AS77" s="761"/>
      <c r="AT77" s="761"/>
      <c r="AU77" s="761"/>
      <c r="AV77" s="761"/>
      <c r="AW77" s="761"/>
      <c r="AX77" s="761"/>
      <c r="AY77" s="761"/>
      <c r="AZ77" s="761"/>
      <c r="BA77" s="761"/>
      <c r="BB77" s="761"/>
      <c r="BC77" s="1216"/>
      <c r="BD77" s="1215"/>
      <c r="BE77" s="761"/>
      <c r="BF77" s="761"/>
      <c r="BG77" s="761"/>
      <c r="BH77" s="761"/>
      <c r="BI77" s="761"/>
      <c r="BJ77" s="761"/>
      <c r="BK77" s="761"/>
      <c r="BL77" s="761"/>
      <c r="BM77" s="761"/>
      <c r="BN77" s="761"/>
      <c r="BO77" s="1216"/>
      <c r="BP77" s="1215"/>
      <c r="BQ77" s="761"/>
      <c r="BR77" s="761"/>
      <c r="BS77" s="761"/>
      <c r="BT77" s="761"/>
      <c r="BU77" s="761"/>
      <c r="BV77" s="761"/>
      <c r="BW77" s="761"/>
      <c r="BX77" s="761"/>
      <c r="BY77" s="761"/>
      <c r="BZ77" s="761"/>
      <c r="CA77" s="1216"/>
      <c r="CB77" s="747"/>
      <c r="CC77" s="1222">
        <f>$G77*H77*Variables!$B$53</f>
        <v>0</v>
      </c>
      <c r="CD77" s="1223">
        <f>$G77*I77*Variables!$B$53</f>
        <v>0</v>
      </c>
      <c r="CE77" s="1223">
        <f>$G77*J77*Variables!$B$53</f>
        <v>0</v>
      </c>
      <c r="CF77" s="1223">
        <f>$G77*K77*Variables!$B$53</f>
        <v>0</v>
      </c>
      <c r="CG77" s="1223">
        <f>$G77*L77*Variables!$B$53</f>
        <v>0</v>
      </c>
      <c r="CH77" s="1223">
        <f>$G77*M77*Variables!$B$53</f>
        <v>0</v>
      </c>
      <c r="CI77" s="1223">
        <f>$G77*N77*Variables!$B$53</f>
        <v>0</v>
      </c>
      <c r="CJ77" s="1223">
        <f>$G77*O77*Variables!$B$53</f>
        <v>0</v>
      </c>
      <c r="CK77" s="1223">
        <f>$G77*P77*Variables!$B$53</f>
        <v>0</v>
      </c>
      <c r="CL77" s="1223">
        <f>$G77*Q77*Variables!$B$53</f>
        <v>0</v>
      </c>
      <c r="CM77" s="1223">
        <f>$G77*R77*Variables!$B$53</f>
        <v>0</v>
      </c>
      <c r="CN77" s="1225">
        <f>$G77*S77*Variables!$B$53</f>
        <v>0</v>
      </c>
      <c r="CO77" s="1222">
        <f>$G77*T77*Variables!$B$53*HLOOKUP($CO$2,Variables!$B$60:$F$61,2,FALSE)</f>
        <v>0</v>
      </c>
      <c r="CP77" s="1223">
        <f>$G77*U77*Variables!$B$53*HLOOKUP($CO$2,Variables!$B$60:$F$61,2,FALSE)</f>
        <v>0</v>
      </c>
      <c r="CQ77" s="1223">
        <f>$G77*V77*Variables!$B$53*HLOOKUP($CO$2,Variables!$B$60:$F$61,2,FALSE)</f>
        <v>0</v>
      </c>
      <c r="CR77" s="1223">
        <f>$G77*W77*Variables!$B$53*HLOOKUP($CO$2,Variables!$B$60:$F$61,2,FALSE)</f>
        <v>0</v>
      </c>
      <c r="CS77" s="1223">
        <f>$G77*X77*Variables!$B$53*HLOOKUP($CO$2,Variables!$B$60:$F$61,2,FALSE)</f>
        <v>0</v>
      </c>
      <c r="CT77" s="1223">
        <f>$G77*Y77*Variables!$B$53*HLOOKUP($CO$2,Variables!$B$60:$F$61,2,FALSE)</f>
        <v>0</v>
      </c>
      <c r="CU77" s="1223">
        <f>$G77*Z77*Variables!$B$53*HLOOKUP($CO$2,Variables!$B$60:$F$61,2,FALSE)</f>
        <v>0</v>
      </c>
      <c r="CV77" s="1223">
        <f>$G77*AA77*Variables!$B$53*HLOOKUP($CO$2,Variables!$B$60:$F$61,2,FALSE)</f>
        <v>0</v>
      </c>
      <c r="CW77" s="1223">
        <f>$G77*AB77*Variables!$B$53*HLOOKUP($CO$2,Variables!$B$60:$F$61,2,FALSE)</f>
        <v>0</v>
      </c>
      <c r="CX77" s="1223">
        <f>$G77*AC77*Variables!$B$53*HLOOKUP($CO$2,Variables!$B$60:$F$61,2,FALSE)</f>
        <v>0</v>
      </c>
      <c r="CY77" s="1223">
        <f>$G77*AD77*Variables!$B$53*HLOOKUP($CO$2,Variables!$B$60:$F$61,2,FALSE)</f>
        <v>0</v>
      </c>
      <c r="CZ77" s="1225">
        <f>$G77*AE77*Variables!$B$53*HLOOKUP($CO$2,Variables!$B$60:$F$61,2,FALSE)</f>
        <v>0</v>
      </c>
      <c r="DA77" s="1222">
        <f>$G77*AF77*Variables!$B$53*HLOOKUP($DA$2,Variables!$B$60:$F$61,2,FALSE)</f>
        <v>0</v>
      </c>
      <c r="DB77" s="1223">
        <f>$G77*AG77*Variables!$B$53*HLOOKUP($DA$2,Variables!$B$60:$F$61,2,FALSE)</f>
        <v>0</v>
      </c>
      <c r="DC77" s="1223">
        <f>$G77*AH77*Variables!$B$53*HLOOKUP($DA$2,Variables!$B$60:$F$61,2,FALSE)</f>
        <v>0</v>
      </c>
      <c r="DD77" s="1223">
        <f>$G77*AI77*Variables!$B$53*HLOOKUP($DA$2,Variables!$B$60:$F$61,2,FALSE)</f>
        <v>0</v>
      </c>
      <c r="DE77" s="1223">
        <f>$G77*AJ77*Variables!$B$53*HLOOKUP($DA$2,Variables!$B$60:$F$61,2,FALSE)</f>
        <v>0</v>
      </c>
      <c r="DF77" s="1223">
        <f>$G77*AK77*Variables!$B$53*HLOOKUP($DA$2,Variables!$B$60:$F$61,2,FALSE)</f>
        <v>0</v>
      </c>
      <c r="DG77" s="1223">
        <f>$G77*AL77*Variables!$B$53*HLOOKUP($DA$2,Variables!$B$60:$F$61,2,FALSE)</f>
        <v>0</v>
      </c>
      <c r="DH77" s="1223">
        <f>$G77*AM77*Variables!$B$53*HLOOKUP($DA$2,Variables!$B$60:$F$61,2,FALSE)</f>
        <v>0</v>
      </c>
      <c r="DI77" s="1223">
        <f>$G77*AN77*Variables!$B$53*HLOOKUP($DA$2,Variables!$B$60:$F$61,2,FALSE)</f>
        <v>0</v>
      </c>
      <c r="DJ77" s="1223">
        <f>$G77*AO77*Variables!$B$53*HLOOKUP($DA$2,Variables!$B$60:$F$61,2,FALSE)</f>
        <v>0</v>
      </c>
      <c r="DK77" s="1223">
        <f>$G77*AP77*Variables!$B$53*HLOOKUP($DA$2,Variables!$B$60:$F$61,2,FALSE)</f>
        <v>0</v>
      </c>
      <c r="DL77" s="1225">
        <f>$G77*AQ77*Variables!$B$53*HLOOKUP($DA$2,Variables!$B$60:$F$61,2,FALSE)</f>
        <v>0</v>
      </c>
      <c r="DM77" s="1222">
        <f>$G77*AR77*Variables!$B$53*HLOOKUP($DM$2,Variables!$B$60:$F$61,2,FALSE)</f>
        <v>0</v>
      </c>
      <c r="DN77" s="1223">
        <f>$G77*AS77*Variables!$B$53*HLOOKUP($DM$2,Variables!$B$60:$F$61,2,FALSE)</f>
        <v>0</v>
      </c>
      <c r="DO77" s="1223">
        <f>$G77*AT77*Variables!$B$53*HLOOKUP($DM$2,Variables!$B$60:$F$61,2,FALSE)</f>
        <v>0</v>
      </c>
      <c r="DP77" s="1223">
        <f>$G77*AU77*Variables!$B$53*HLOOKUP($DM$2,Variables!$B$60:$F$61,2,FALSE)</f>
        <v>0</v>
      </c>
      <c r="DQ77" s="1223">
        <f>$G77*AV77*Variables!$B$53*HLOOKUP($DM$2,Variables!$B$60:$F$61,2,FALSE)</f>
        <v>0</v>
      </c>
      <c r="DR77" s="1223">
        <f>$G77*AW77*Variables!$B$53*HLOOKUP($DM$2,Variables!$B$60:$F$61,2,FALSE)</f>
        <v>0</v>
      </c>
      <c r="DS77" s="1223">
        <f>$G77*AX77*Variables!$B$53*HLOOKUP($DM$2,Variables!$B$60:$F$61,2,FALSE)</f>
        <v>0</v>
      </c>
      <c r="DT77" s="1223">
        <f>$G77*AY77*Variables!$B$53*HLOOKUP($DM$2,Variables!$B$60:$F$61,2,FALSE)</f>
        <v>0</v>
      </c>
      <c r="DU77" s="1223">
        <f>$G77*AZ77*Variables!$B$53*HLOOKUP($DM$2,Variables!$B$60:$F$61,2,FALSE)</f>
        <v>0</v>
      </c>
      <c r="DV77" s="1223">
        <f>$G77*BA77*Variables!$B$53*HLOOKUP($DM$2,Variables!$B$60:$F$61,2,FALSE)</f>
        <v>0</v>
      </c>
      <c r="DW77" s="1223">
        <f>$G77*BB77*Variables!$B$53*HLOOKUP($DM$2,Variables!$B$60:$F$61,2,FALSE)</f>
        <v>0</v>
      </c>
      <c r="DX77" s="1225">
        <f>$G77*BC77*Variables!$B$53*HLOOKUP($DM$2,Variables!$B$60:$F$61,2,FALSE)</f>
        <v>0</v>
      </c>
      <c r="DY77" s="1222">
        <f>$G77*BD77*Variables!$B$53*HLOOKUP($DY$2,Variables!$B$60:$F$61,2,FALSE)</f>
        <v>0</v>
      </c>
      <c r="DZ77" s="1223">
        <f>$G77*BE77*Variables!$B$53*HLOOKUP($DY$2,Variables!$B$60:$F$61,2,FALSE)</f>
        <v>0</v>
      </c>
      <c r="EA77" s="1223">
        <f>$G77*BF77*Variables!$B$53*HLOOKUP($DY$2,Variables!$B$60:$F$61,2,FALSE)</f>
        <v>0</v>
      </c>
      <c r="EB77" s="1223">
        <f>$G77*BG77*Variables!$B$53*HLOOKUP($DY$2,Variables!$B$60:$F$61,2,FALSE)</f>
        <v>0</v>
      </c>
      <c r="EC77" s="1223">
        <f>$G77*BH77*Variables!$B$53*HLOOKUP($DY$2,Variables!$B$60:$F$61,2,FALSE)</f>
        <v>0</v>
      </c>
      <c r="ED77" s="1223">
        <f>$G77*BI77*Variables!$B$53*HLOOKUP($DY$2,Variables!$B$60:$F$61,2,FALSE)</f>
        <v>0</v>
      </c>
      <c r="EE77" s="1223">
        <f>$G77*BJ77*Variables!$B$53*HLOOKUP($DY$2,Variables!$B$60:$F$61,2,FALSE)</f>
        <v>0</v>
      </c>
      <c r="EF77" s="1223">
        <f>$G77*BK77*Variables!$B$53*HLOOKUP($DY$2,Variables!$B$60:$F$61,2,FALSE)</f>
        <v>0</v>
      </c>
      <c r="EG77" s="1223">
        <f>$G77*BL77*Variables!$B$53*HLOOKUP($DY$2,Variables!$B$60:$F$61,2,FALSE)</f>
        <v>0</v>
      </c>
      <c r="EH77" s="1223">
        <f>$G77*BM77*Variables!$B$53*HLOOKUP($DY$2,Variables!$B$60:$F$61,2,FALSE)</f>
        <v>0</v>
      </c>
      <c r="EI77" s="1223">
        <f>$G77*BN77*Variables!$B$53*HLOOKUP($DY$2,Variables!$B$60:$F$61,2,FALSE)</f>
        <v>0</v>
      </c>
      <c r="EJ77" s="1225">
        <f>$G77*BO77*Variables!$B$53*HLOOKUP($DY$2,Variables!$B$60:$F$61,2,FALSE)</f>
        <v>0</v>
      </c>
      <c r="EK77" s="1222">
        <f>$G77*BP77*Variables!$B$53*HLOOKUP($EK$2,Variables!$B$60:$F$61,2,FALSE)</f>
        <v>0</v>
      </c>
      <c r="EL77" s="1223">
        <f>$G77*BQ77*Variables!$B$53*HLOOKUP($EK$2,Variables!$B$60:$F$61,2,FALSE)</f>
        <v>0</v>
      </c>
      <c r="EM77" s="1223">
        <f>$G77*BR77*Variables!$B$53*HLOOKUP($EK$2,Variables!$B$60:$F$61,2,FALSE)</f>
        <v>0</v>
      </c>
      <c r="EN77" s="1223">
        <f>$G77*BS77*Variables!$B$53*HLOOKUP($EK$2,Variables!$B$60:$F$61,2,FALSE)</f>
        <v>0</v>
      </c>
      <c r="EO77" s="1223">
        <f>$G77*BT77*Variables!$B$53*HLOOKUP($EK$2,Variables!$B$60:$F$61,2,FALSE)</f>
        <v>0</v>
      </c>
      <c r="EP77" s="1223">
        <f>$G77*BU77*Variables!$B$53*HLOOKUP($EK$2,Variables!$B$60:$F$61,2,FALSE)</f>
        <v>0</v>
      </c>
      <c r="EQ77" s="1223">
        <f>$G77*BV77*Variables!$B$53*HLOOKUP($EK$2,Variables!$B$60:$F$61,2,FALSE)</f>
        <v>0</v>
      </c>
      <c r="ER77" s="1223">
        <f>$G77*BW77*Variables!$B$53*HLOOKUP($EK$2,Variables!$B$60:$F$61,2,FALSE)</f>
        <v>0</v>
      </c>
      <c r="ES77" s="1223">
        <f>$G77*BX77*Variables!$B$53*HLOOKUP($EK$2,Variables!$B$60:$F$61,2,FALSE)</f>
        <v>0</v>
      </c>
      <c r="ET77" s="1223">
        <f>$G77*BY77*Variables!$B$53*HLOOKUP($EK$2,Variables!$B$60:$F$61,2,FALSE)</f>
        <v>0</v>
      </c>
      <c r="EU77" s="1223">
        <f>$G77*BZ77*Variables!$B$53*HLOOKUP($EK$2,Variables!$B$60:$F$61,2,FALSE)</f>
        <v>0</v>
      </c>
      <c r="EV77" s="1225">
        <f>$G77*CA77*Variables!$B$53*HLOOKUP($EK$2,Variables!$B$60:$F$61,2,FALSE)</f>
        <v>0</v>
      </c>
      <c r="EW77" s="872">
        <f t="shared" si="15"/>
        <v>0</v>
      </c>
      <c r="EX77" s="872"/>
      <c r="EY77" s="872"/>
      <c r="EZ77" s="872"/>
      <c r="FA77" s="1332"/>
      <c r="FC77" s="958" t="str">
        <f t="shared" si="11"/>
        <v/>
      </c>
      <c r="FD77" s="959" t="str">
        <f t="shared" si="12"/>
        <v/>
      </c>
      <c r="FE77" s="959" t="s">
        <v>8407</v>
      </c>
      <c r="FF77" s="959" t="str">
        <f>IF(ISNA(VLOOKUP(FC77,Miscellaneous!E:F,2,0)),"",VLOOKUP(FC77,Miscellaneous!E:F,2,0))</f>
        <v/>
      </c>
      <c r="FG77" s="959" t="str">
        <f t="shared" si="13"/>
        <v/>
      </c>
      <c r="FH77" s="996">
        <f>IF($FG77="Opex",SUMIF('Monthly Summary'!$C$75:$N$75,"",CC77:CN77),SUMIF('Monthly Summary'!$C$74:$N$74,"",CC77:CN77))</f>
        <v>0</v>
      </c>
      <c r="FI77" s="996">
        <f>IF($FG77="Opex",SUMIF('Monthly Summary'!$O$75:$Z$75,"",CO77:CZ77),SUMIF('Monthly Summary'!$O$74:$Z$74,"",CO77:CZ77))</f>
        <v>0</v>
      </c>
      <c r="FJ77" s="996">
        <f>IF($FG77="Opex",SUMIF('Monthly Summary'!$AA$75:$AL$75,"",DA77:DL77),SUMIF('Monthly Summary'!$AA$74:$AL$74,"",DA77:DL77))</f>
        <v>0</v>
      </c>
      <c r="FK77" s="996">
        <f>IF($FG77="Opex",SUMIF('Monthly Summary'!$AM$75:$AX$75,"",DM77:DX77),SUMIF('Monthly Summary'!$AM$74:$AX$74,"",DM77:DX77))</f>
        <v>0</v>
      </c>
      <c r="FL77" s="996">
        <f>IF($FG77="Opex",SUMIF('Monthly Summary'!$AY$75:$BJ$75,"",DY77:EJ77),SUMIF('Monthly Summary'!$AY$74:$BJ$74,"",DY77:EJ77))</f>
        <v>0</v>
      </c>
      <c r="FM77" s="997">
        <f>IF($FG77="Opex",SUMIF('Monthly Summary'!$BK$75:$BV$75,"",EK77:EV77),SUMIF('Monthly Summary'!$BK$74:$BV$74,"",EK77:EV77))</f>
        <v>0</v>
      </c>
      <c r="FN77" s="997">
        <f t="shared" si="14"/>
        <v>0</v>
      </c>
    </row>
    <row r="78" spans="3:170">
      <c r="C78" s="757"/>
      <c r="D78" s="757"/>
      <c r="E78" s="758"/>
      <c r="F78" s="758"/>
      <c r="G78" s="758"/>
      <c r="H78" s="1215"/>
      <c r="I78" s="761"/>
      <c r="J78" s="761"/>
      <c r="K78" s="761"/>
      <c r="L78" s="761"/>
      <c r="M78" s="761"/>
      <c r="N78" s="761"/>
      <c r="O78" s="761"/>
      <c r="P78" s="761"/>
      <c r="Q78" s="761"/>
      <c r="R78" s="761"/>
      <c r="S78" s="1216"/>
      <c r="T78" s="1215"/>
      <c r="U78" s="761"/>
      <c r="V78" s="761"/>
      <c r="W78" s="761"/>
      <c r="X78" s="761"/>
      <c r="Y78" s="761"/>
      <c r="Z78" s="761"/>
      <c r="AA78" s="761"/>
      <c r="AB78" s="761"/>
      <c r="AC78" s="761"/>
      <c r="AD78" s="761"/>
      <c r="AE78" s="1216"/>
      <c r="AF78" s="1215"/>
      <c r="AG78" s="761"/>
      <c r="AH78" s="761"/>
      <c r="AI78" s="761"/>
      <c r="AJ78" s="761"/>
      <c r="AK78" s="761"/>
      <c r="AL78" s="761"/>
      <c r="AM78" s="761"/>
      <c r="AN78" s="761"/>
      <c r="AO78" s="761"/>
      <c r="AP78" s="761"/>
      <c r="AQ78" s="1216"/>
      <c r="AR78" s="1215"/>
      <c r="AS78" s="761"/>
      <c r="AT78" s="761"/>
      <c r="AU78" s="761"/>
      <c r="AV78" s="761"/>
      <c r="AW78" s="761"/>
      <c r="AX78" s="761"/>
      <c r="AY78" s="761"/>
      <c r="AZ78" s="761"/>
      <c r="BA78" s="761"/>
      <c r="BB78" s="761"/>
      <c r="BC78" s="1216"/>
      <c r="BD78" s="1215"/>
      <c r="BE78" s="761"/>
      <c r="BF78" s="761"/>
      <c r="BG78" s="761"/>
      <c r="BH78" s="761"/>
      <c r="BI78" s="761"/>
      <c r="BJ78" s="761"/>
      <c r="BK78" s="761"/>
      <c r="BL78" s="761"/>
      <c r="BM78" s="761"/>
      <c r="BN78" s="761"/>
      <c r="BO78" s="1216"/>
      <c r="BP78" s="1215"/>
      <c r="BQ78" s="761"/>
      <c r="BR78" s="761"/>
      <c r="BS78" s="761"/>
      <c r="BT78" s="761"/>
      <c r="BU78" s="761"/>
      <c r="BV78" s="761"/>
      <c r="BW78" s="761"/>
      <c r="BX78" s="761"/>
      <c r="BY78" s="761"/>
      <c r="BZ78" s="761"/>
      <c r="CA78" s="1216"/>
      <c r="CB78" s="747"/>
      <c r="CC78" s="1222">
        <f>$G78*H78*Variables!$B$53</f>
        <v>0</v>
      </c>
      <c r="CD78" s="1223">
        <f>$G78*I78*Variables!$B$53</f>
        <v>0</v>
      </c>
      <c r="CE78" s="1223">
        <f>$G78*J78*Variables!$B$53</f>
        <v>0</v>
      </c>
      <c r="CF78" s="1223">
        <f>$G78*K78*Variables!$B$53</f>
        <v>0</v>
      </c>
      <c r="CG78" s="1223">
        <f>$G78*L78*Variables!$B$53</f>
        <v>0</v>
      </c>
      <c r="CH78" s="1223">
        <f>$G78*M78*Variables!$B$53</f>
        <v>0</v>
      </c>
      <c r="CI78" s="1223">
        <f>$G78*N78*Variables!$B$53</f>
        <v>0</v>
      </c>
      <c r="CJ78" s="1223">
        <f>$G78*O78*Variables!$B$53</f>
        <v>0</v>
      </c>
      <c r="CK78" s="1223">
        <f>$G78*P78*Variables!$B$53</f>
        <v>0</v>
      </c>
      <c r="CL78" s="1223">
        <f>$G78*Q78*Variables!$B$53</f>
        <v>0</v>
      </c>
      <c r="CM78" s="1223">
        <f>$G78*R78*Variables!$B$53</f>
        <v>0</v>
      </c>
      <c r="CN78" s="1225">
        <f>$G78*S78*Variables!$B$53</f>
        <v>0</v>
      </c>
      <c r="CO78" s="1222">
        <f>$G78*T78*Variables!$B$53*HLOOKUP($CO$2,Variables!$B$60:$F$61,2,FALSE)</f>
        <v>0</v>
      </c>
      <c r="CP78" s="1223">
        <f>$G78*U78*Variables!$B$53*HLOOKUP($CO$2,Variables!$B$60:$F$61,2,FALSE)</f>
        <v>0</v>
      </c>
      <c r="CQ78" s="1223">
        <f>$G78*V78*Variables!$B$53*HLOOKUP($CO$2,Variables!$B$60:$F$61,2,FALSE)</f>
        <v>0</v>
      </c>
      <c r="CR78" s="1223">
        <f>$G78*W78*Variables!$B$53*HLOOKUP($CO$2,Variables!$B$60:$F$61,2,FALSE)</f>
        <v>0</v>
      </c>
      <c r="CS78" s="1223">
        <f>$G78*X78*Variables!$B$53*HLOOKUP($CO$2,Variables!$B$60:$F$61,2,FALSE)</f>
        <v>0</v>
      </c>
      <c r="CT78" s="1223">
        <f>$G78*Y78*Variables!$B$53*HLOOKUP($CO$2,Variables!$B$60:$F$61,2,FALSE)</f>
        <v>0</v>
      </c>
      <c r="CU78" s="1223">
        <f>$G78*Z78*Variables!$B$53*HLOOKUP($CO$2,Variables!$B$60:$F$61,2,FALSE)</f>
        <v>0</v>
      </c>
      <c r="CV78" s="1223">
        <f>$G78*AA78*Variables!$B$53*HLOOKUP($CO$2,Variables!$B$60:$F$61,2,FALSE)</f>
        <v>0</v>
      </c>
      <c r="CW78" s="1223">
        <f>$G78*AB78*Variables!$B$53*HLOOKUP($CO$2,Variables!$B$60:$F$61,2,FALSE)</f>
        <v>0</v>
      </c>
      <c r="CX78" s="1223">
        <f>$G78*AC78*Variables!$B$53*HLOOKUP($CO$2,Variables!$B$60:$F$61,2,FALSE)</f>
        <v>0</v>
      </c>
      <c r="CY78" s="1223">
        <f>$G78*AD78*Variables!$B$53*HLOOKUP($CO$2,Variables!$B$60:$F$61,2,FALSE)</f>
        <v>0</v>
      </c>
      <c r="CZ78" s="1225">
        <f>$G78*AE78*Variables!$B$53*HLOOKUP($CO$2,Variables!$B$60:$F$61,2,FALSE)</f>
        <v>0</v>
      </c>
      <c r="DA78" s="1222">
        <f>$G78*AF78*Variables!$B$53*HLOOKUP($DA$2,Variables!$B$60:$F$61,2,FALSE)</f>
        <v>0</v>
      </c>
      <c r="DB78" s="1223">
        <f>$G78*AG78*Variables!$B$53*HLOOKUP($DA$2,Variables!$B$60:$F$61,2,FALSE)</f>
        <v>0</v>
      </c>
      <c r="DC78" s="1223">
        <f>$G78*AH78*Variables!$B$53*HLOOKUP($DA$2,Variables!$B$60:$F$61,2,FALSE)</f>
        <v>0</v>
      </c>
      <c r="DD78" s="1223">
        <f>$G78*AI78*Variables!$B$53*HLOOKUP($DA$2,Variables!$B$60:$F$61,2,FALSE)</f>
        <v>0</v>
      </c>
      <c r="DE78" s="1223">
        <f>$G78*AJ78*Variables!$B$53*HLOOKUP($DA$2,Variables!$B$60:$F$61,2,FALSE)</f>
        <v>0</v>
      </c>
      <c r="DF78" s="1223">
        <f>$G78*AK78*Variables!$B$53*HLOOKUP($DA$2,Variables!$B$60:$F$61,2,FALSE)</f>
        <v>0</v>
      </c>
      <c r="DG78" s="1223">
        <f>$G78*AL78*Variables!$B$53*HLOOKUP($DA$2,Variables!$B$60:$F$61,2,FALSE)</f>
        <v>0</v>
      </c>
      <c r="DH78" s="1223">
        <f>$G78*AM78*Variables!$B$53*HLOOKUP($DA$2,Variables!$B$60:$F$61,2,FALSE)</f>
        <v>0</v>
      </c>
      <c r="DI78" s="1223">
        <f>$G78*AN78*Variables!$B$53*HLOOKUP($DA$2,Variables!$B$60:$F$61,2,FALSE)</f>
        <v>0</v>
      </c>
      <c r="DJ78" s="1223">
        <f>$G78*AO78*Variables!$B$53*HLOOKUP($DA$2,Variables!$B$60:$F$61,2,FALSE)</f>
        <v>0</v>
      </c>
      <c r="DK78" s="1223">
        <f>$G78*AP78*Variables!$B$53*HLOOKUP($DA$2,Variables!$B$60:$F$61,2,FALSE)</f>
        <v>0</v>
      </c>
      <c r="DL78" s="1225">
        <f>$G78*AQ78*Variables!$B$53*HLOOKUP($DA$2,Variables!$B$60:$F$61,2,FALSE)</f>
        <v>0</v>
      </c>
      <c r="DM78" s="1222">
        <f>$G78*AR78*Variables!$B$53*HLOOKUP($DM$2,Variables!$B$60:$F$61,2,FALSE)</f>
        <v>0</v>
      </c>
      <c r="DN78" s="1223">
        <f>$G78*AS78*Variables!$B$53*HLOOKUP($DM$2,Variables!$B$60:$F$61,2,FALSE)</f>
        <v>0</v>
      </c>
      <c r="DO78" s="1223">
        <f>$G78*AT78*Variables!$B$53*HLOOKUP($DM$2,Variables!$B$60:$F$61,2,FALSE)</f>
        <v>0</v>
      </c>
      <c r="DP78" s="1223">
        <f>$G78*AU78*Variables!$B$53*HLOOKUP($DM$2,Variables!$B$60:$F$61,2,FALSE)</f>
        <v>0</v>
      </c>
      <c r="DQ78" s="1223">
        <f>$G78*AV78*Variables!$B$53*HLOOKUP($DM$2,Variables!$B$60:$F$61,2,FALSE)</f>
        <v>0</v>
      </c>
      <c r="DR78" s="1223">
        <f>$G78*AW78*Variables!$B$53*HLOOKUP($DM$2,Variables!$B$60:$F$61,2,FALSE)</f>
        <v>0</v>
      </c>
      <c r="DS78" s="1223">
        <f>$G78*AX78*Variables!$B$53*HLOOKUP($DM$2,Variables!$B$60:$F$61,2,FALSE)</f>
        <v>0</v>
      </c>
      <c r="DT78" s="1223">
        <f>$G78*AY78*Variables!$B$53*HLOOKUP($DM$2,Variables!$B$60:$F$61,2,FALSE)</f>
        <v>0</v>
      </c>
      <c r="DU78" s="1223">
        <f>$G78*AZ78*Variables!$B$53*HLOOKUP($DM$2,Variables!$B$60:$F$61,2,FALSE)</f>
        <v>0</v>
      </c>
      <c r="DV78" s="1223">
        <f>$G78*BA78*Variables!$B$53*HLOOKUP($DM$2,Variables!$B$60:$F$61,2,FALSE)</f>
        <v>0</v>
      </c>
      <c r="DW78" s="1223">
        <f>$G78*BB78*Variables!$B$53*HLOOKUP($DM$2,Variables!$B$60:$F$61,2,FALSE)</f>
        <v>0</v>
      </c>
      <c r="DX78" s="1225">
        <f>$G78*BC78*Variables!$B$53*HLOOKUP($DM$2,Variables!$B$60:$F$61,2,FALSE)</f>
        <v>0</v>
      </c>
      <c r="DY78" s="1222">
        <f>$G78*BD78*Variables!$B$53*HLOOKUP($DY$2,Variables!$B$60:$F$61,2,FALSE)</f>
        <v>0</v>
      </c>
      <c r="DZ78" s="1223">
        <f>$G78*BE78*Variables!$B$53*HLOOKUP($DY$2,Variables!$B$60:$F$61,2,FALSE)</f>
        <v>0</v>
      </c>
      <c r="EA78" s="1223">
        <f>$G78*BF78*Variables!$B$53*HLOOKUP($DY$2,Variables!$B$60:$F$61,2,FALSE)</f>
        <v>0</v>
      </c>
      <c r="EB78" s="1223">
        <f>$G78*BG78*Variables!$B$53*HLOOKUP($DY$2,Variables!$B$60:$F$61,2,FALSE)</f>
        <v>0</v>
      </c>
      <c r="EC78" s="1223">
        <f>$G78*BH78*Variables!$B$53*HLOOKUP($DY$2,Variables!$B$60:$F$61,2,FALSE)</f>
        <v>0</v>
      </c>
      <c r="ED78" s="1223">
        <f>$G78*BI78*Variables!$B$53*HLOOKUP($DY$2,Variables!$B$60:$F$61,2,FALSE)</f>
        <v>0</v>
      </c>
      <c r="EE78" s="1223">
        <f>$G78*BJ78*Variables!$B$53*HLOOKUP($DY$2,Variables!$B$60:$F$61,2,FALSE)</f>
        <v>0</v>
      </c>
      <c r="EF78" s="1223">
        <f>$G78*BK78*Variables!$B$53*HLOOKUP($DY$2,Variables!$B$60:$F$61,2,FALSE)</f>
        <v>0</v>
      </c>
      <c r="EG78" s="1223">
        <f>$G78*BL78*Variables!$B$53*HLOOKUP($DY$2,Variables!$B$60:$F$61,2,FALSE)</f>
        <v>0</v>
      </c>
      <c r="EH78" s="1223">
        <f>$G78*BM78*Variables!$B$53*HLOOKUP($DY$2,Variables!$B$60:$F$61,2,FALSE)</f>
        <v>0</v>
      </c>
      <c r="EI78" s="1223">
        <f>$G78*BN78*Variables!$B$53*HLOOKUP($DY$2,Variables!$B$60:$F$61,2,FALSE)</f>
        <v>0</v>
      </c>
      <c r="EJ78" s="1225">
        <f>$G78*BO78*Variables!$B$53*HLOOKUP($DY$2,Variables!$B$60:$F$61,2,FALSE)</f>
        <v>0</v>
      </c>
      <c r="EK78" s="1222">
        <f>$G78*BP78*Variables!$B$53*HLOOKUP($EK$2,Variables!$B$60:$F$61,2,FALSE)</f>
        <v>0</v>
      </c>
      <c r="EL78" s="1223">
        <f>$G78*BQ78*Variables!$B$53*HLOOKUP($EK$2,Variables!$B$60:$F$61,2,FALSE)</f>
        <v>0</v>
      </c>
      <c r="EM78" s="1223">
        <f>$G78*BR78*Variables!$B$53*HLOOKUP($EK$2,Variables!$B$60:$F$61,2,FALSE)</f>
        <v>0</v>
      </c>
      <c r="EN78" s="1223">
        <f>$G78*BS78*Variables!$B$53*HLOOKUP($EK$2,Variables!$B$60:$F$61,2,FALSE)</f>
        <v>0</v>
      </c>
      <c r="EO78" s="1223">
        <f>$G78*BT78*Variables!$B$53*HLOOKUP($EK$2,Variables!$B$60:$F$61,2,FALSE)</f>
        <v>0</v>
      </c>
      <c r="EP78" s="1223">
        <f>$G78*BU78*Variables!$B$53*HLOOKUP($EK$2,Variables!$B$60:$F$61,2,FALSE)</f>
        <v>0</v>
      </c>
      <c r="EQ78" s="1223">
        <f>$G78*BV78*Variables!$B$53*HLOOKUP($EK$2,Variables!$B$60:$F$61,2,FALSE)</f>
        <v>0</v>
      </c>
      <c r="ER78" s="1223">
        <f>$G78*BW78*Variables!$B$53*HLOOKUP($EK$2,Variables!$B$60:$F$61,2,FALSE)</f>
        <v>0</v>
      </c>
      <c r="ES78" s="1223">
        <f>$G78*BX78*Variables!$B$53*HLOOKUP($EK$2,Variables!$B$60:$F$61,2,FALSE)</f>
        <v>0</v>
      </c>
      <c r="ET78" s="1223">
        <f>$G78*BY78*Variables!$B$53*HLOOKUP($EK$2,Variables!$B$60:$F$61,2,FALSE)</f>
        <v>0</v>
      </c>
      <c r="EU78" s="1223">
        <f>$G78*BZ78*Variables!$B$53*HLOOKUP($EK$2,Variables!$B$60:$F$61,2,FALSE)</f>
        <v>0</v>
      </c>
      <c r="EV78" s="1225">
        <f>$G78*CA78*Variables!$B$53*HLOOKUP($EK$2,Variables!$B$60:$F$61,2,FALSE)</f>
        <v>0</v>
      </c>
      <c r="EW78" s="872">
        <f t="shared" si="15"/>
        <v>0</v>
      </c>
      <c r="EX78" s="872"/>
      <c r="EY78" s="872"/>
      <c r="EZ78" s="872"/>
      <c r="FA78" s="1332"/>
      <c r="FC78" s="958" t="str">
        <f t="shared" si="11"/>
        <v/>
      </c>
      <c r="FD78" s="959" t="str">
        <f t="shared" si="12"/>
        <v/>
      </c>
      <c r="FE78" s="959" t="s">
        <v>8407</v>
      </c>
      <c r="FF78" s="959" t="str">
        <f>IF(ISNA(VLOOKUP(FC78,Miscellaneous!E:F,2,0)),"",VLOOKUP(FC78,Miscellaneous!E:F,2,0))</f>
        <v/>
      </c>
      <c r="FG78" s="959" t="str">
        <f t="shared" si="13"/>
        <v/>
      </c>
      <c r="FH78" s="996">
        <f>IF($FG78="Opex",SUMIF('Monthly Summary'!$C$75:$N$75,"",CC78:CN78),SUMIF('Monthly Summary'!$C$74:$N$74,"",CC78:CN78))</f>
        <v>0</v>
      </c>
      <c r="FI78" s="996">
        <f>IF($FG78="Opex",SUMIF('Monthly Summary'!$O$75:$Z$75,"",CO78:CZ78),SUMIF('Monthly Summary'!$O$74:$Z$74,"",CO78:CZ78))</f>
        <v>0</v>
      </c>
      <c r="FJ78" s="996">
        <f>IF($FG78="Opex",SUMIF('Monthly Summary'!$AA$75:$AL$75,"",DA78:DL78),SUMIF('Monthly Summary'!$AA$74:$AL$74,"",DA78:DL78))</f>
        <v>0</v>
      </c>
      <c r="FK78" s="996">
        <f>IF($FG78="Opex",SUMIF('Monthly Summary'!$AM$75:$AX$75,"",DM78:DX78),SUMIF('Monthly Summary'!$AM$74:$AX$74,"",DM78:DX78))</f>
        <v>0</v>
      </c>
      <c r="FL78" s="996">
        <f>IF($FG78="Opex",SUMIF('Monthly Summary'!$AY$75:$BJ$75,"",DY78:EJ78),SUMIF('Monthly Summary'!$AY$74:$BJ$74,"",DY78:EJ78))</f>
        <v>0</v>
      </c>
      <c r="FM78" s="997">
        <f>IF($FG78="Opex",SUMIF('Monthly Summary'!$BK$75:$BV$75,"",EK78:EV78),SUMIF('Monthly Summary'!$BK$74:$BV$74,"",EK78:EV78))</f>
        <v>0</v>
      </c>
      <c r="FN78" s="997">
        <f t="shared" si="14"/>
        <v>0</v>
      </c>
    </row>
    <row r="79" spans="3:170">
      <c r="C79" s="757"/>
      <c r="D79" s="757"/>
      <c r="E79" s="758"/>
      <c r="F79" s="758"/>
      <c r="G79" s="758"/>
      <c r="H79" s="1215"/>
      <c r="I79" s="761"/>
      <c r="J79" s="761"/>
      <c r="K79" s="761"/>
      <c r="L79" s="761"/>
      <c r="M79" s="761"/>
      <c r="N79" s="761"/>
      <c r="O79" s="761"/>
      <c r="P79" s="761"/>
      <c r="Q79" s="761"/>
      <c r="R79" s="761"/>
      <c r="S79" s="1216"/>
      <c r="T79" s="1215"/>
      <c r="U79" s="761"/>
      <c r="V79" s="761"/>
      <c r="W79" s="761"/>
      <c r="X79" s="761"/>
      <c r="Y79" s="761"/>
      <c r="Z79" s="761"/>
      <c r="AA79" s="761"/>
      <c r="AB79" s="761"/>
      <c r="AC79" s="761"/>
      <c r="AD79" s="761"/>
      <c r="AE79" s="1216"/>
      <c r="AF79" s="1215"/>
      <c r="AG79" s="761"/>
      <c r="AH79" s="761"/>
      <c r="AI79" s="761"/>
      <c r="AJ79" s="761"/>
      <c r="AK79" s="761"/>
      <c r="AL79" s="761"/>
      <c r="AM79" s="761"/>
      <c r="AN79" s="761"/>
      <c r="AO79" s="761"/>
      <c r="AP79" s="761"/>
      <c r="AQ79" s="1216"/>
      <c r="AR79" s="1215"/>
      <c r="AS79" s="761"/>
      <c r="AT79" s="761"/>
      <c r="AU79" s="761"/>
      <c r="AV79" s="761"/>
      <c r="AW79" s="761"/>
      <c r="AX79" s="761"/>
      <c r="AY79" s="761"/>
      <c r="AZ79" s="761"/>
      <c r="BA79" s="761"/>
      <c r="BB79" s="761"/>
      <c r="BC79" s="1216"/>
      <c r="BD79" s="1215"/>
      <c r="BE79" s="761"/>
      <c r="BF79" s="761"/>
      <c r="BG79" s="761"/>
      <c r="BH79" s="761"/>
      <c r="BI79" s="761"/>
      <c r="BJ79" s="761"/>
      <c r="BK79" s="761"/>
      <c r="BL79" s="761"/>
      <c r="BM79" s="761"/>
      <c r="BN79" s="761"/>
      <c r="BO79" s="1216"/>
      <c r="BP79" s="1215"/>
      <c r="BQ79" s="761"/>
      <c r="BR79" s="761"/>
      <c r="BS79" s="761"/>
      <c r="BT79" s="761"/>
      <c r="BU79" s="761"/>
      <c r="BV79" s="761"/>
      <c r="BW79" s="761"/>
      <c r="BX79" s="761"/>
      <c r="BY79" s="761"/>
      <c r="BZ79" s="761"/>
      <c r="CA79" s="1216"/>
      <c r="CB79" s="747"/>
      <c r="CC79" s="1222">
        <f>$G79*H79*Variables!$B$53</f>
        <v>0</v>
      </c>
      <c r="CD79" s="1223">
        <f>$G79*I79*Variables!$B$53</f>
        <v>0</v>
      </c>
      <c r="CE79" s="1223">
        <f>$G79*J79*Variables!$B$53</f>
        <v>0</v>
      </c>
      <c r="CF79" s="1223">
        <f>$G79*K79*Variables!$B$53</f>
        <v>0</v>
      </c>
      <c r="CG79" s="1223">
        <f>$G79*L79*Variables!$B$53</f>
        <v>0</v>
      </c>
      <c r="CH79" s="1223">
        <f>$G79*M79*Variables!$B$53</f>
        <v>0</v>
      </c>
      <c r="CI79" s="1223">
        <f>$G79*N79*Variables!$B$53</f>
        <v>0</v>
      </c>
      <c r="CJ79" s="1223">
        <f>$G79*O79*Variables!$B$53</f>
        <v>0</v>
      </c>
      <c r="CK79" s="1223">
        <f>$G79*P79*Variables!$B$53</f>
        <v>0</v>
      </c>
      <c r="CL79" s="1223">
        <f>$G79*Q79*Variables!$B$53</f>
        <v>0</v>
      </c>
      <c r="CM79" s="1223">
        <f>$G79*R79*Variables!$B$53</f>
        <v>0</v>
      </c>
      <c r="CN79" s="1225">
        <f>$G79*S79*Variables!$B$53</f>
        <v>0</v>
      </c>
      <c r="CO79" s="1222">
        <f>$G79*T79*Variables!$B$53*HLOOKUP($CO$2,Variables!$B$60:$F$61,2,FALSE)</f>
        <v>0</v>
      </c>
      <c r="CP79" s="1223">
        <f>$G79*U79*Variables!$B$53*HLOOKUP($CO$2,Variables!$B$60:$F$61,2,FALSE)</f>
        <v>0</v>
      </c>
      <c r="CQ79" s="1223">
        <f>$G79*V79*Variables!$B$53*HLOOKUP($CO$2,Variables!$B$60:$F$61,2,FALSE)</f>
        <v>0</v>
      </c>
      <c r="CR79" s="1223">
        <f>$G79*W79*Variables!$B$53*HLOOKUP($CO$2,Variables!$B$60:$F$61,2,FALSE)</f>
        <v>0</v>
      </c>
      <c r="CS79" s="1223">
        <f>$G79*X79*Variables!$B$53*HLOOKUP($CO$2,Variables!$B$60:$F$61,2,FALSE)</f>
        <v>0</v>
      </c>
      <c r="CT79" s="1223">
        <f>$G79*Y79*Variables!$B$53*HLOOKUP($CO$2,Variables!$B$60:$F$61,2,FALSE)</f>
        <v>0</v>
      </c>
      <c r="CU79" s="1223">
        <f>$G79*Z79*Variables!$B$53*HLOOKUP($CO$2,Variables!$B$60:$F$61,2,FALSE)</f>
        <v>0</v>
      </c>
      <c r="CV79" s="1223">
        <f>$G79*AA79*Variables!$B$53*HLOOKUP($CO$2,Variables!$B$60:$F$61,2,FALSE)</f>
        <v>0</v>
      </c>
      <c r="CW79" s="1223">
        <f>$G79*AB79*Variables!$B$53*HLOOKUP($CO$2,Variables!$B$60:$F$61,2,FALSE)</f>
        <v>0</v>
      </c>
      <c r="CX79" s="1223">
        <f>$G79*AC79*Variables!$B$53*HLOOKUP($CO$2,Variables!$B$60:$F$61,2,FALSE)</f>
        <v>0</v>
      </c>
      <c r="CY79" s="1223">
        <f>$G79*AD79*Variables!$B$53*HLOOKUP($CO$2,Variables!$B$60:$F$61,2,FALSE)</f>
        <v>0</v>
      </c>
      <c r="CZ79" s="1225">
        <f>$G79*AE79*Variables!$B$53*HLOOKUP($CO$2,Variables!$B$60:$F$61,2,FALSE)</f>
        <v>0</v>
      </c>
      <c r="DA79" s="1222">
        <f>$G79*AF79*Variables!$B$53*HLOOKUP($DA$2,Variables!$B$60:$F$61,2,FALSE)</f>
        <v>0</v>
      </c>
      <c r="DB79" s="1223">
        <f>$G79*AG79*Variables!$B$53*HLOOKUP($DA$2,Variables!$B$60:$F$61,2,FALSE)</f>
        <v>0</v>
      </c>
      <c r="DC79" s="1223">
        <f>$G79*AH79*Variables!$B$53*HLOOKUP($DA$2,Variables!$B$60:$F$61,2,FALSE)</f>
        <v>0</v>
      </c>
      <c r="DD79" s="1223">
        <f>$G79*AI79*Variables!$B$53*HLOOKUP($DA$2,Variables!$B$60:$F$61,2,FALSE)</f>
        <v>0</v>
      </c>
      <c r="DE79" s="1223">
        <f>$G79*AJ79*Variables!$B$53*HLOOKUP($DA$2,Variables!$B$60:$F$61,2,FALSE)</f>
        <v>0</v>
      </c>
      <c r="DF79" s="1223">
        <f>$G79*AK79*Variables!$B$53*HLOOKUP($DA$2,Variables!$B$60:$F$61,2,FALSE)</f>
        <v>0</v>
      </c>
      <c r="DG79" s="1223">
        <f>$G79*AL79*Variables!$B$53*HLOOKUP($DA$2,Variables!$B$60:$F$61,2,FALSE)</f>
        <v>0</v>
      </c>
      <c r="DH79" s="1223">
        <f>$G79*AM79*Variables!$B$53*HLOOKUP($DA$2,Variables!$B$60:$F$61,2,FALSE)</f>
        <v>0</v>
      </c>
      <c r="DI79" s="1223">
        <f>$G79*AN79*Variables!$B$53*HLOOKUP($DA$2,Variables!$B$60:$F$61,2,FALSE)</f>
        <v>0</v>
      </c>
      <c r="DJ79" s="1223">
        <f>$G79*AO79*Variables!$B$53*HLOOKUP($DA$2,Variables!$B$60:$F$61,2,FALSE)</f>
        <v>0</v>
      </c>
      <c r="DK79" s="1223">
        <f>$G79*AP79*Variables!$B$53*HLOOKUP($DA$2,Variables!$B$60:$F$61,2,FALSE)</f>
        <v>0</v>
      </c>
      <c r="DL79" s="1225">
        <f>$G79*AQ79*Variables!$B$53*HLOOKUP($DA$2,Variables!$B$60:$F$61,2,FALSE)</f>
        <v>0</v>
      </c>
      <c r="DM79" s="1222">
        <f>$G79*AR79*Variables!$B$53*HLOOKUP($DM$2,Variables!$B$60:$F$61,2,FALSE)</f>
        <v>0</v>
      </c>
      <c r="DN79" s="1223">
        <f>$G79*AS79*Variables!$B$53*HLOOKUP($DM$2,Variables!$B$60:$F$61,2,FALSE)</f>
        <v>0</v>
      </c>
      <c r="DO79" s="1223">
        <f>$G79*AT79*Variables!$B$53*HLOOKUP($DM$2,Variables!$B$60:$F$61,2,FALSE)</f>
        <v>0</v>
      </c>
      <c r="DP79" s="1223">
        <f>$G79*AU79*Variables!$B$53*HLOOKUP($DM$2,Variables!$B$60:$F$61,2,FALSE)</f>
        <v>0</v>
      </c>
      <c r="DQ79" s="1223">
        <f>$G79*AV79*Variables!$B$53*HLOOKUP($DM$2,Variables!$B$60:$F$61,2,FALSE)</f>
        <v>0</v>
      </c>
      <c r="DR79" s="1223">
        <f>$G79*AW79*Variables!$B$53*HLOOKUP($DM$2,Variables!$B$60:$F$61,2,FALSE)</f>
        <v>0</v>
      </c>
      <c r="DS79" s="1223">
        <f>$G79*AX79*Variables!$B$53*HLOOKUP($DM$2,Variables!$B$60:$F$61,2,FALSE)</f>
        <v>0</v>
      </c>
      <c r="DT79" s="1223">
        <f>$G79*AY79*Variables!$B$53*HLOOKUP($DM$2,Variables!$B$60:$F$61,2,FALSE)</f>
        <v>0</v>
      </c>
      <c r="DU79" s="1223">
        <f>$G79*AZ79*Variables!$B$53*HLOOKUP($DM$2,Variables!$B$60:$F$61,2,FALSE)</f>
        <v>0</v>
      </c>
      <c r="DV79" s="1223">
        <f>$G79*BA79*Variables!$B$53*HLOOKUP($DM$2,Variables!$B$60:$F$61,2,FALSE)</f>
        <v>0</v>
      </c>
      <c r="DW79" s="1223">
        <f>$G79*BB79*Variables!$B$53*HLOOKUP($DM$2,Variables!$B$60:$F$61,2,FALSE)</f>
        <v>0</v>
      </c>
      <c r="DX79" s="1225">
        <f>$G79*BC79*Variables!$B$53*HLOOKUP($DM$2,Variables!$B$60:$F$61,2,FALSE)</f>
        <v>0</v>
      </c>
      <c r="DY79" s="1222">
        <f>$G79*BD79*Variables!$B$53*HLOOKUP($DY$2,Variables!$B$60:$F$61,2,FALSE)</f>
        <v>0</v>
      </c>
      <c r="DZ79" s="1223">
        <f>$G79*BE79*Variables!$B$53*HLOOKUP($DY$2,Variables!$B$60:$F$61,2,FALSE)</f>
        <v>0</v>
      </c>
      <c r="EA79" s="1223">
        <f>$G79*BF79*Variables!$B$53*HLOOKUP($DY$2,Variables!$B$60:$F$61,2,FALSE)</f>
        <v>0</v>
      </c>
      <c r="EB79" s="1223">
        <f>$G79*BG79*Variables!$B$53*HLOOKUP($DY$2,Variables!$B$60:$F$61,2,FALSE)</f>
        <v>0</v>
      </c>
      <c r="EC79" s="1223">
        <f>$G79*BH79*Variables!$B$53*HLOOKUP($DY$2,Variables!$B$60:$F$61,2,FALSE)</f>
        <v>0</v>
      </c>
      <c r="ED79" s="1223">
        <f>$G79*BI79*Variables!$B$53*HLOOKUP($DY$2,Variables!$B$60:$F$61,2,FALSE)</f>
        <v>0</v>
      </c>
      <c r="EE79" s="1223">
        <f>$G79*BJ79*Variables!$B$53*HLOOKUP($DY$2,Variables!$B$60:$F$61,2,FALSE)</f>
        <v>0</v>
      </c>
      <c r="EF79" s="1223">
        <f>$G79*BK79*Variables!$B$53*HLOOKUP($DY$2,Variables!$B$60:$F$61,2,FALSE)</f>
        <v>0</v>
      </c>
      <c r="EG79" s="1223">
        <f>$G79*BL79*Variables!$B$53*HLOOKUP($DY$2,Variables!$B$60:$F$61,2,FALSE)</f>
        <v>0</v>
      </c>
      <c r="EH79" s="1223">
        <f>$G79*BM79*Variables!$B$53*HLOOKUP($DY$2,Variables!$B$60:$F$61,2,FALSE)</f>
        <v>0</v>
      </c>
      <c r="EI79" s="1223">
        <f>$G79*BN79*Variables!$B$53*HLOOKUP($DY$2,Variables!$B$60:$F$61,2,FALSE)</f>
        <v>0</v>
      </c>
      <c r="EJ79" s="1225">
        <f>$G79*BO79*Variables!$B$53*HLOOKUP($DY$2,Variables!$B$60:$F$61,2,FALSE)</f>
        <v>0</v>
      </c>
      <c r="EK79" s="1222">
        <f>$G79*BP79*Variables!$B$53*HLOOKUP($EK$2,Variables!$B$60:$F$61,2,FALSE)</f>
        <v>0</v>
      </c>
      <c r="EL79" s="1223">
        <f>$G79*BQ79*Variables!$B$53*HLOOKUP($EK$2,Variables!$B$60:$F$61,2,FALSE)</f>
        <v>0</v>
      </c>
      <c r="EM79" s="1223">
        <f>$G79*BR79*Variables!$B$53*HLOOKUP($EK$2,Variables!$B$60:$F$61,2,FALSE)</f>
        <v>0</v>
      </c>
      <c r="EN79" s="1223">
        <f>$G79*BS79*Variables!$B$53*HLOOKUP($EK$2,Variables!$B$60:$F$61,2,FALSE)</f>
        <v>0</v>
      </c>
      <c r="EO79" s="1223">
        <f>$G79*BT79*Variables!$B$53*HLOOKUP($EK$2,Variables!$B$60:$F$61,2,FALSE)</f>
        <v>0</v>
      </c>
      <c r="EP79" s="1223">
        <f>$G79*BU79*Variables!$B$53*HLOOKUP($EK$2,Variables!$B$60:$F$61,2,FALSE)</f>
        <v>0</v>
      </c>
      <c r="EQ79" s="1223">
        <f>$G79*BV79*Variables!$B$53*HLOOKUP($EK$2,Variables!$B$60:$F$61,2,FALSE)</f>
        <v>0</v>
      </c>
      <c r="ER79" s="1223">
        <f>$G79*BW79*Variables!$B$53*HLOOKUP($EK$2,Variables!$B$60:$F$61,2,FALSE)</f>
        <v>0</v>
      </c>
      <c r="ES79" s="1223">
        <f>$G79*BX79*Variables!$B$53*HLOOKUP($EK$2,Variables!$B$60:$F$61,2,FALSE)</f>
        <v>0</v>
      </c>
      <c r="ET79" s="1223">
        <f>$G79*BY79*Variables!$B$53*HLOOKUP($EK$2,Variables!$B$60:$F$61,2,FALSE)</f>
        <v>0</v>
      </c>
      <c r="EU79" s="1223">
        <f>$G79*BZ79*Variables!$B$53*HLOOKUP($EK$2,Variables!$B$60:$F$61,2,FALSE)</f>
        <v>0</v>
      </c>
      <c r="EV79" s="1225">
        <f>$G79*CA79*Variables!$B$53*HLOOKUP($EK$2,Variables!$B$60:$F$61,2,FALSE)</f>
        <v>0</v>
      </c>
      <c r="EW79" s="872">
        <f t="shared" si="15"/>
        <v>0</v>
      </c>
      <c r="EX79" s="872"/>
      <c r="EY79" s="872"/>
      <c r="EZ79" s="872"/>
      <c r="FA79" s="1332"/>
      <c r="FC79" s="958" t="str">
        <f t="shared" si="11"/>
        <v/>
      </c>
      <c r="FD79" s="959" t="str">
        <f t="shared" si="12"/>
        <v/>
      </c>
      <c r="FE79" s="959" t="s">
        <v>8407</v>
      </c>
      <c r="FF79" s="959" t="str">
        <f>IF(ISNA(VLOOKUP(FC79,Miscellaneous!E:F,2,0)),"",VLOOKUP(FC79,Miscellaneous!E:F,2,0))</f>
        <v/>
      </c>
      <c r="FG79" s="959" t="str">
        <f t="shared" si="13"/>
        <v/>
      </c>
      <c r="FH79" s="996">
        <f>IF($FG79="Opex",SUMIF('Monthly Summary'!$C$75:$N$75,"",CC79:CN79),SUMIF('Monthly Summary'!$C$74:$N$74,"",CC79:CN79))</f>
        <v>0</v>
      </c>
      <c r="FI79" s="996">
        <f>IF($FG79="Opex",SUMIF('Monthly Summary'!$O$75:$Z$75,"",CO79:CZ79),SUMIF('Monthly Summary'!$O$74:$Z$74,"",CO79:CZ79))</f>
        <v>0</v>
      </c>
      <c r="FJ79" s="996">
        <f>IF($FG79="Opex",SUMIF('Monthly Summary'!$AA$75:$AL$75,"",DA79:DL79),SUMIF('Monthly Summary'!$AA$74:$AL$74,"",DA79:DL79))</f>
        <v>0</v>
      </c>
      <c r="FK79" s="996">
        <f>IF($FG79="Opex",SUMIF('Monthly Summary'!$AM$75:$AX$75,"",DM79:DX79),SUMIF('Monthly Summary'!$AM$74:$AX$74,"",DM79:DX79))</f>
        <v>0</v>
      </c>
      <c r="FL79" s="996">
        <f>IF($FG79="Opex",SUMIF('Monthly Summary'!$AY$75:$BJ$75,"",DY79:EJ79),SUMIF('Monthly Summary'!$AY$74:$BJ$74,"",DY79:EJ79))</f>
        <v>0</v>
      </c>
      <c r="FM79" s="997">
        <f>IF($FG79="Opex",SUMIF('Monthly Summary'!$BK$75:$BV$75,"",EK79:EV79),SUMIF('Monthly Summary'!$BK$74:$BV$74,"",EK79:EV79))</f>
        <v>0</v>
      </c>
      <c r="FN79" s="997">
        <f t="shared" si="14"/>
        <v>0</v>
      </c>
    </row>
    <row r="80" spans="3:170">
      <c r="C80" s="757"/>
      <c r="D80" s="757"/>
      <c r="E80" s="758"/>
      <c r="F80" s="758"/>
      <c r="G80" s="758"/>
      <c r="H80" s="1215"/>
      <c r="I80" s="761"/>
      <c r="J80" s="761"/>
      <c r="K80" s="761"/>
      <c r="L80" s="761"/>
      <c r="M80" s="761"/>
      <c r="N80" s="761"/>
      <c r="O80" s="761"/>
      <c r="P80" s="761"/>
      <c r="Q80" s="761"/>
      <c r="R80" s="761"/>
      <c r="S80" s="1216"/>
      <c r="T80" s="1215"/>
      <c r="U80" s="761"/>
      <c r="V80" s="761"/>
      <c r="W80" s="761"/>
      <c r="X80" s="761"/>
      <c r="Y80" s="761"/>
      <c r="Z80" s="761"/>
      <c r="AA80" s="761"/>
      <c r="AB80" s="761"/>
      <c r="AC80" s="761"/>
      <c r="AD80" s="761"/>
      <c r="AE80" s="1216"/>
      <c r="AF80" s="1215"/>
      <c r="AG80" s="761"/>
      <c r="AH80" s="761"/>
      <c r="AI80" s="761"/>
      <c r="AJ80" s="761"/>
      <c r="AK80" s="761"/>
      <c r="AL80" s="761"/>
      <c r="AM80" s="761"/>
      <c r="AN80" s="761"/>
      <c r="AO80" s="761"/>
      <c r="AP80" s="761"/>
      <c r="AQ80" s="1216"/>
      <c r="AR80" s="1215"/>
      <c r="AS80" s="761"/>
      <c r="AT80" s="761"/>
      <c r="AU80" s="761"/>
      <c r="AV80" s="761"/>
      <c r="AW80" s="761"/>
      <c r="AX80" s="761"/>
      <c r="AY80" s="761"/>
      <c r="AZ80" s="761"/>
      <c r="BA80" s="761"/>
      <c r="BB80" s="761"/>
      <c r="BC80" s="1216"/>
      <c r="BD80" s="1215"/>
      <c r="BE80" s="761"/>
      <c r="BF80" s="761"/>
      <c r="BG80" s="761"/>
      <c r="BH80" s="761"/>
      <c r="BI80" s="761"/>
      <c r="BJ80" s="761"/>
      <c r="BK80" s="761"/>
      <c r="BL80" s="761"/>
      <c r="BM80" s="761"/>
      <c r="BN80" s="761"/>
      <c r="BO80" s="1216"/>
      <c r="BP80" s="1215"/>
      <c r="BQ80" s="761"/>
      <c r="BR80" s="761"/>
      <c r="BS80" s="761"/>
      <c r="BT80" s="761"/>
      <c r="BU80" s="761"/>
      <c r="BV80" s="761"/>
      <c r="BW80" s="761"/>
      <c r="BX80" s="761"/>
      <c r="BY80" s="761"/>
      <c r="BZ80" s="761"/>
      <c r="CA80" s="1216"/>
      <c r="CB80" s="747"/>
      <c r="CC80" s="1222">
        <f>$G80*H80*Variables!$B$53</f>
        <v>0</v>
      </c>
      <c r="CD80" s="1223">
        <f>$G80*I80*Variables!$B$53</f>
        <v>0</v>
      </c>
      <c r="CE80" s="1223">
        <f>$G80*J80*Variables!$B$53</f>
        <v>0</v>
      </c>
      <c r="CF80" s="1223">
        <f>$G80*K80*Variables!$B$53</f>
        <v>0</v>
      </c>
      <c r="CG80" s="1223">
        <f>$G80*L80*Variables!$B$53</f>
        <v>0</v>
      </c>
      <c r="CH80" s="1223">
        <f>$G80*M80*Variables!$B$53</f>
        <v>0</v>
      </c>
      <c r="CI80" s="1223">
        <f>$G80*N80*Variables!$B$53</f>
        <v>0</v>
      </c>
      <c r="CJ80" s="1223">
        <f>$G80*O80*Variables!$B$53</f>
        <v>0</v>
      </c>
      <c r="CK80" s="1223">
        <f>$G80*P80*Variables!$B$53</f>
        <v>0</v>
      </c>
      <c r="CL80" s="1223">
        <f>$G80*Q80*Variables!$B$53</f>
        <v>0</v>
      </c>
      <c r="CM80" s="1223">
        <f>$G80*R80*Variables!$B$53</f>
        <v>0</v>
      </c>
      <c r="CN80" s="1225">
        <f>$G80*S80*Variables!$B$53</f>
        <v>0</v>
      </c>
      <c r="CO80" s="1222">
        <f>$G80*T80*Variables!$B$53*HLOOKUP($CO$2,Variables!$B$60:$F$61,2,FALSE)</f>
        <v>0</v>
      </c>
      <c r="CP80" s="1223">
        <f>$G80*U80*Variables!$B$53*HLOOKUP($CO$2,Variables!$B$60:$F$61,2,FALSE)</f>
        <v>0</v>
      </c>
      <c r="CQ80" s="1223">
        <f>$G80*V80*Variables!$B$53*HLOOKUP($CO$2,Variables!$B$60:$F$61,2,FALSE)</f>
        <v>0</v>
      </c>
      <c r="CR80" s="1223">
        <f>$G80*W80*Variables!$B$53*HLOOKUP($CO$2,Variables!$B$60:$F$61,2,FALSE)</f>
        <v>0</v>
      </c>
      <c r="CS80" s="1223">
        <f>$G80*X80*Variables!$B$53*HLOOKUP($CO$2,Variables!$B$60:$F$61,2,FALSE)</f>
        <v>0</v>
      </c>
      <c r="CT80" s="1223">
        <f>$G80*Y80*Variables!$B$53*HLOOKUP($CO$2,Variables!$B$60:$F$61,2,FALSE)</f>
        <v>0</v>
      </c>
      <c r="CU80" s="1223">
        <f>$G80*Z80*Variables!$B$53*HLOOKUP($CO$2,Variables!$B$60:$F$61,2,FALSE)</f>
        <v>0</v>
      </c>
      <c r="CV80" s="1223">
        <f>$G80*AA80*Variables!$B$53*HLOOKUP($CO$2,Variables!$B$60:$F$61,2,FALSE)</f>
        <v>0</v>
      </c>
      <c r="CW80" s="1223">
        <f>$G80*AB80*Variables!$B$53*HLOOKUP($CO$2,Variables!$B$60:$F$61,2,FALSE)</f>
        <v>0</v>
      </c>
      <c r="CX80" s="1223">
        <f>$G80*AC80*Variables!$B$53*HLOOKUP($CO$2,Variables!$B$60:$F$61,2,FALSE)</f>
        <v>0</v>
      </c>
      <c r="CY80" s="1223">
        <f>$G80*AD80*Variables!$B$53*HLOOKUP($CO$2,Variables!$B$60:$F$61,2,FALSE)</f>
        <v>0</v>
      </c>
      <c r="CZ80" s="1225">
        <f>$G80*AE80*Variables!$B$53*HLOOKUP($CO$2,Variables!$B$60:$F$61,2,FALSE)</f>
        <v>0</v>
      </c>
      <c r="DA80" s="1222">
        <f>$G80*AF80*Variables!$B$53*HLOOKUP($DA$2,Variables!$B$60:$F$61,2,FALSE)</f>
        <v>0</v>
      </c>
      <c r="DB80" s="1223">
        <f>$G80*AG80*Variables!$B$53*HLOOKUP($DA$2,Variables!$B$60:$F$61,2,FALSE)</f>
        <v>0</v>
      </c>
      <c r="DC80" s="1223">
        <f>$G80*AH80*Variables!$B$53*HLOOKUP($DA$2,Variables!$B$60:$F$61,2,FALSE)</f>
        <v>0</v>
      </c>
      <c r="DD80" s="1223">
        <f>$G80*AI80*Variables!$B$53*HLOOKUP($DA$2,Variables!$B$60:$F$61,2,FALSE)</f>
        <v>0</v>
      </c>
      <c r="DE80" s="1223">
        <f>$G80*AJ80*Variables!$B$53*HLOOKUP($DA$2,Variables!$B$60:$F$61,2,FALSE)</f>
        <v>0</v>
      </c>
      <c r="DF80" s="1223">
        <f>$G80*AK80*Variables!$B$53*HLOOKUP($DA$2,Variables!$B$60:$F$61,2,FALSE)</f>
        <v>0</v>
      </c>
      <c r="DG80" s="1223">
        <f>$G80*AL80*Variables!$B$53*HLOOKUP($DA$2,Variables!$B$60:$F$61,2,FALSE)</f>
        <v>0</v>
      </c>
      <c r="DH80" s="1223">
        <f>$G80*AM80*Variables!$B$53*HLOOKUP($DA$2,Variables!$B$60:$F$61,2,FALSE)</f>
        <v>0</v>
      </c>
      <c r="DI80" s="1223">
        <f>$G80*AN80*Variables!$B$53*HLOOKUP($DA$2,Variables!$B$60:$F$61,2,FALSE)</f>
        <v>0</v>
      </c>
      <c r="DJ80" s="1223">
        <f>$G80*AO80*Variables!$B$53*HLOOKUP($DA$2,Variables!$B$60:$F$61,2,FALSE)</f>
        <v>0</v>
      </c>
      <c r="DK80" s="1223">
        <f>$G80*AP80*Variables!$B$53*HLOOKUP($DA$2,Variables!$B$60:$F$61,2,FALSE)</f>
        <v>0</v>
      </c>
      <c r="DL80" s="1225">
        <f>$G80*AQ80*Variables!$B$53*HLOOKUP($DA$2,Variables!$B$60:$F$61,2,FALSE)</f>
        <v>0</v>
      </c>
      <c r="DM80" s="1222">
        <f>$G80*AR80*Variables!$B$53*HLOOKUP($DM$2,Variables!$B$60:$F$61,2,FALSE)</f>
        <v>0</v>
      </c>
      <c r="DN80" s="1223">
        <f>$G80*AS80*Variables!$B$53*HLOOKUP($DM$2,Variables!$B$60:$F$61,2,FALSE)</f>
        <v>0</v>
      </c>
      <c r="DO80" s="1223">
        <f>$G80*AT80*Variables!$B$53*HLOOKUP($DM$2,Variables!$B$60:$F$61,2,FALSE)</f>
        <v>0</v>
      </c>
      <c r="DP80" s="1223">
        <f>$G80*AU80*Variables!$B$53*HLOOKUP($DM$2,Variables!$B$60:$F$61,2,FALSE)</f>
        <v>0</v>
      </c>
      <c r="DQ80" s="1223">
        <f>$G80*AV80*Variables!$B$53*HLOOKUP($DM$2,Variables!$B$60:$F$61,2,FALSE)</f>
        <v>0</v>
      </c>
      <c r="DR80" s="1223">
        <f>$G80*AW80*Variables!$B$53*HLOOKUP($DM$2,Variables!$B$60:$F$61,2,FALSE)</f>
        <v>0</v>
      </c>
      <c r="DS80" s="1223">
        <f>$G80*AX80*Variables!$B$53*HLOOKUP($DM$2,Variables!$B$60:$F$61,2,FALSE)</f>
        <v>0</v>
      </c>
      <c r="DT80" s="1223">
        <f>$G80*AY80*Variables!$B$53*HLOOKUP($DM$2,Variables!$B$60:$F$61,2,FALSE)</f>
        <v>0</v>
      </c>
      <c r="DU80" s="1223">
        <f>$G80*AZ80*Variables!$B$53*HLOOKUP($DM$2,Variables!$B$60:$F$61,2,FALSE)</f>
        <v>0</v>
      </c>
      <c r="DV80" s="1223">
        <f>$G80*BA80*Variables!$B$53*HLOOKUP($DM$2,Variables!$B$60:$F$61,2,FALSE)</f>
        <v>0</v>
      </c>
      <c r="DW80" s="1223">
        <f>$G80*BB80*Variables!$B$53*HLOOKUP($DM$2,Variables!$B$60:$F$61,2,FALSE)</f>
        <v>0</v>
      </c>
      <c r="DX80" s="1225">
        <f>$G80*BC80*Variables!$B$53*HLOOKUP($DM$2,Variables!$B$60:$F$61,2,FALSE)</f>
        <v>0</v>
      </c>
      <c r="DY80" s="1222">
        <f>$G80*BD80*Variables!$B$53*HLOOKUP($DY$2,Variables!$B$60:$F$61,2,FALSE)</f>
        <v>0</v>
      </c>
      <c r="DZ80" s="1223">
        <f>$G80*BE80*Variables!$B$53*HLOOKUP($DY$2,Variables!$B$60:$F$61,2,FALSE)</f>
        <v>0</v>
      </c>
      <c r="EA80" s="1223">
        <f>$G80*BF80*Variables!$B$53*HLOOKUP($DY$2,Variables!$B$60:$F$61,2,FALSE)</f>
        <v>0</v>
      </c>
      <c r="EB80" s="1223">
        <f>$G80*BG80*Variables!$B$53*HLOOKUP($DY$2,Variables!$B$60:$F$61,2,FALSE)</f>
        <v>0</v>
      </c>
      <c r="EC80" s="1223">
        <f>$G80*BH80*Variables!$B$53*HLOOKUP($DY$2,Variables!$B$60:$F$61,2,FALSE)</f>
        <v>0</v>
      </c>
      <c r="ED80" s="1223">
        <f>$G80*BI80*Variables!$B$53*HLOOKUP($DY$2,Variables!$B$60:$F$61,2,FALSE)</f>
        <v>0</v>
      </c>
      <c r="EE80" s="1223">
        <f>$G80*BJ80*Variables!$B$53*HLOOKUP($DY$2,Variables!$B$60:$F$61,2,FALSE)</f>
        <v>0</v>
      </c>
      <c r="EF80" s="1223">
        <f>$G80*BK80*Variables!$B$53*HLOOKUP($DY$2,Variables!$B$60:$F$61,2,FALSE)</f>
        <v>0</v>
      </c>
      <c r="EG80" s="1223">
        <f>$G80*BL80*Variables!$B$53*HLOOKUP($DY$2,Variables!$B$60:$F$61,2,FALSE)</f>
        <v>0</v>
      </c>
      <c r="EH80" s="1223">
        <f>$G80*BM80*Variables!$B$53*HLOOKUP($DY$2,Variables!$B$60:$F$61,2,FALSE)</f>
        <v>0</v>
      </c>
      <c r="EI80" s="1223">
        <f>$G80*BN80*Variables!$B$53*HLOOKUP($DY$2,Variables!$B$60:$F$61,2,FALSE)</f>
        <v>0</v>
      </c>
      <c r="EJ80" s="1225">
        <f>$G80*BO80*Variables!$B$53*HLOOKUP($DY$2,Variables!$B$60:$F$61,2,FALSE)</f>
        <v>0</v>
      </c>
      <c r="EK80" s="1222">
        <f>$G80*BP80*Variables!$B$53*HLOOKUP($EK$2,Variables!$B$60:$F$61,2,FALSE)</f>
        <v>0</v>
      </c>
      <c r="EL80" s="1223">
        <f>$G80*BQ80*Variables!$B$53*HLOOKUP($EK$2,Variables!$B$60:$F$61,2,FALSE)</f>
        <v>0</v>
      </c>
      <c r="EM80" s="1223">
        <f>$G80*BR80*Variables!$B$53*HLOOKUP($EK$2,Variables!$B$60:$F$61,2,FALSE)</f>
        <v>0</v>
      </c>
      <c r="EN80" s="1223">
        <f>$G80*BS80*Variables!$B$53*HLOOKUP($EK$2,Variables!$B$60:$F$61,2,FALSE)</f>
        <v>0</v>
      </c>
      <c r="EO80" s="1223">
        <f>$G80*BT80*Variables!$B$53*HLOOKUP($EK$2,Variables!$B$60:$F$61,2,FALSE)</f>
        <v>0</v>
      </c>
      <c r="EP80" s="1223">
        <f>$G80*BU80*Variables!$B$53*HLOOKUP($EK$2,Variables!$B$60:$F$61,2,FALSE)</f>
        <v>0</v>
      </c>
      <c r="EQ80" s="1223">
        <f>$G80*BV80*Variables!$B$53*HLOOKUP($EK$2,Variables!$B$60:$F$61,2,FALSE)</f>
        <v>0</v>
      </c>
      <c r="ER80" s="1223">
        <f>$G80*BW80*Variables!$B$53*HLOOKUP($EK$2,Variables!$B$60:$F$61,2,FALSE)</f>
        <v>0</v>
      </c>
      <c r="ES80" s="1223">
        <f>$G80*BX80*Variables!$B$53*HLOOKUP($EK$2,Variables!$B$60:$F$61,2,FALSE)</f>
        <v>0</v>
      </c>
      <c r="ET80" s="1223">
        <f>$G80*BY80*Variables!$B$53*HLOOKUP($EK$2,Variables!$B$60:$F$61,2,FALSE)</f>
        <v>0</v>
      </c>
      <c r="EU80" s="1223">
        <f>$G80*BZ80*Variables!$B$53*HLOOKUP($EK$2,Variables!$B$60:$F$61,2,FALSE)</f>
        <v>0</v>
      </c>
      <c r="EV80" s="1225">
        <f>$G80*CA80*Variables!$B$53*HLOOKUP($EK$2,Variables!$B$60:$F$61,2,FALSE)</f>
        <v>0</v>
      </c>
      <c r="EW80" s="872">
        <f t="shared" si="15"/>
        <v>0</v>
      </c>
      <c r="EX80" s="872"/>
      <c r="EY80" s="872"/>
      <c r="EZ80" s="872"/>
      <c r="FA80" s="1332"/>
      <c r="FC80" s="958" t="str">
        <f t="shared" si="11"/>
        <v/>
      </c>
      <c r="FD80" s="959" t="str">
        <f t="shared" si="12"/>
        <v/>
      </c>
      <c r="FE80" s="959" t="s">
        <v>8407</v>
      </c>
      <c r="FF80" s="959" t="str">
        <f>IF(ISNA(VLOOKUP(FC80,Miscellaneous!E:F,2,0)),"",VLOOKUP(FC80,Miscellaneous!E:F,2,0))</f>
        <v/>
      </c>
      <c r="FG80" s="959" t="str">
        <f t="shared" si="13"/>
        <v/>
      </c>
      <c r="FH80" s="996">
        <f>IF($FG80="Opex",SUMIF('Monthly Summary'!$C$75:$N$75,"",CC80:CN80),SUMIF('Monthly Summary'!$C$74:$N$74,"",CC80:CN80))</f>
        <v>0</v>
      </c>
      <c r="FI80" s="996">
        <f>IF($FG80="Opex",SUMIF('Monthly Summary'!$O$75:$Z$75,"",CO80:CZ80),SUMIF('Monthly Summary'!$O$74:$Z$74,"",CO80:CZ80))</f>
        <v>0</v>
      </c>
      <c r="FJ80" s="996">
        <f>IF($FG80="Opex",SUMIF('Monthly Summary'!$AA$75:$AL$75,"",DA80:DL80),SUMIF('Monthly Summary'!$AA$74:$AL$74,"",DA80:DL80))</f>
        <v>0</v>
      </c>
      <c r="FK80" s="996">
        <f>IF($FG80="Opex",SUMIF('Monthly Summary'!$AM$75:$AX$75,"",DM80:DX80),SUMIF('Monthly Summary'!$AM$74:$AX$74,"",DM80:DX80))</f>
        <v>0</v>
      </c>
      <c r="FL80" s="996">
        <f>IF($FG80="Opex",SUMIF('Monthly Summary'!$AY$75:$BJ$75,"",DY80:EJ80),SUMIF('Monthly Summary'!$AY$74:$BJ$74,"",DY80:EJ80))</f>
        <v>0</v>
      </c>
      <c r="FM80" s="997">
        <f>IF($FG80="Opex",SUMIF('Monthly Summary'!$BK$75:$BV$75,"",EK80:EV80),SUMIF('Monthly Summary'!$BK$74:$BV$74,"",EK80:EV80))</f>
        <v>0</v>
      </c>
      <c r="FN80" s="997">
        <f t="shared" si="14"/>
        <v>0</v>
      </c>
    </row>
    <row r="81" spans="3:170">
      <c r="C81" s="757"/>
      <c r="D81" s="757"/>
      <c r="E81" s="758"/>
      <c r="F81" s="758"/>
      <c r="G81" s="758"/>
      <c r="H81" s="1215"/>
      <c r="I81" s="761"/>
      <c r="J81" s="761"/>
      <c r="K81" s="761"/>
      <c r="L81" s="761"/>
      <c r="M81" s="761"/>
      <c r="N81" s="761"/>
      <c r="O81" s="761"/>
      <c r="P81" s="761"/>
      <c r="Q81" s="761"/>
      <c r="R81" s="761"/>
      <c r="S81" s="1216"/>
      <c r="T81" s="1215"/>
      <c r="U81" s="761"/>
      <c r="V81" s="761"/>
      <c r="W81" s="761"/>
      <c r="X81" s="761"/>
      <c r="Y81" s="761"/>
      <c r="Z81" s="761"/>
      <c r="AA81" s="761"/>
      <c r="AB81" s="761"/>
      <c r="AC81" s="761"/>
      <c r="AD81" s="761"/>
      <c r="AE81" s="1216"/>
      <c r="AF81" s="1215"/>
      <c r="AG81" s="761"/>
      <c r="AH81" s="761"/>
      <c r="AI81" s="761"/>
      <c r="AJ81" s="761"/>
      <c r="AK81" s="761"/>
      <c r="AL81" s="761"/>
      <c r="AM81" s="761"/>
      <c r="AN81" s="761"/>
      <c r="AO81" s="761"/>
      <c r="AP81" s="761"/>
      <c r="AQ81" s="1216"/>
      <c r="AR81" s="1215"/>
      <c r="AS81" s="761"/>
      <c r="AT81" s="761"/>
      <c r="AU81" s="761"/>
      <c r="AV81" s="761"/>
      <c r="AW81" s="761"/>
      <c r="AX81" s="761"/>
      <c r="AY81" s="761"/>
      <c r="AZ81" s="761"/>
      <c r="BA81" s="761"/>
      <c r="BB81" s="761"/>
      <c r="BC81" s="1216"/>
      <c r="BD81" s="1215"/>
      <c r="BE81" s="761"/>
      <c r="BF81" s="761"/>
      <c r="BG81" s="761"/>
      <c r="BH81" s="761"/>
      <c r="BI81" s="761"/>
      <c r="BJ81" s="761"/>
      <c r="BK81" s="761"/>
      <c r="BL81" s="761"/>
      <c r="BM81" s="761"/>
      <c r="BN81" s="761"/>
      <c r="BO81" s="1216"/>
      <c r="BP81" s="1215"/>
      <c r="BQ81" s="761"/>
      <c r="BR81" s="761"/>
      <c r="BS81" s="761"/>
      <c r="BT81" s="761"/>
      <c r="BU81" s="761"/>
      <c r="BV81" s="761"/>
      <c r="BW81" s="761"/>
      <c r="BX81" s="761"/>
      <c r="BY81" s="761"/>
      <c r="BZ81" s="761"/>
      <c r="CA81" s="1216"/>
      <c r="CB81" s="747"/>
      <c r="CC81" s="1222">
        <f>$G81*H81*Variables!$B$53</f>
        <v>0</v>
      </c>
      <c r="CD81" s="1223">
        <f>$G81*I81*Variables!$B$53</f>
        <v>0</v>
      </c>
      <c r="CE81" s="1223">
        <f>$G81*J81*Variables!$B$53</f>
        <v>0</v>
      </c>
      <c r="CF81" s="1223">
        <f>$G81*K81*Variables!$B$53</f>
        <v>0</v>
      </c>
      <c r="CG81" s="1223">
        <f>$G81*L81*Variables!$B$53</f>
        <v>0</v>
      </c>
      <c r="CH81" s="1223">
        <f>$G81*M81*Variables!$B$53</f>
        <v>0</v>
      </c>
      <c r="CI81" s="1223">
        <f>$G81*N81*Variables!$B$53</f>
        <v>0</v>
      </c>
      <c r="CJ81" s="1223">
        <f>$G81*O81*Variables!$B$53</f>
        <v>0</v>
      </c>
      <c r="CK81" s="1223">
        <f>$G81*P81*Variables!$B$53</f>
        <v>0</v>
      </c>
      <c r="CL81" s="1223">
        <f>$G81*Q81*Variables!$B$53</f>
        <v>0</v>
      </c>
      <c r="CM81" s="1223">
        <f>$G81*R81*Variables!$B$53</f>
        <v>0</v>
      </c>
      <c r="CN81" s="1225">
        <f>$G81*S81*Variables!$B$53</f>
        <v>0</v>
      </c>
      <c r="CO81" s="1222">
        <f>$G81*T81*Variables!$B$53*HLOOKUP($CO$2,Variables!$B$60:$F$61,2,FALSE)</f>
        <v>0</v>
      </c>
      <c r="CP81" s="1223">
        <f>$G81*U81*Variables!$B$53*HLOOKUP($CO$2,Variables!$B$60:$F$61,2,FALSE)</f>
        <v>0</v>
      </c>
      <c r="CQ81" s="1223">
        <f>$G81*V81*Variables!$B$53*HLOOKUP($CO$2,Variables!$B$60:$F$61,2,FALSE)</f>
        <v>0</v>
      </c>
      <c r="CR81" s="1223">
        <f>$G81*W81*Variables!$B$53*HLOOKUP($CO$2,Variables!$B$60:$F$61,2,FALSE)</f>
        <v>0</v>
      </c>
      <c r="CS81" s="1223">
        <f>$G81*X81*Variables!$B$53*HLOOKUP($CO$2,Variables!$B$60:$F$61,2,FALSE)</f>
        <v>0</v>
      </c>
      <c r="CT81" s="1223">
        <f>$G81*Y81*Variables!$B$53*HLOOKUP($CO$2,Variables!$B$60:$F$61,2,FALSE)</f>
        <v>0</v>
      </c>
      <c r="CU81" s="1223">
        <f>$G81*Z81*Variables!$B$53*HLOOKUP($CO$2,Variables!$B$60:$F$61,2,FALSE)</f>
        <v>0</v>
      </c>
      <c r="CV81" s="1223">
        <f>$G81*AA81*Variables!$B$53*HLOOKUP($CO$2,Variables!$B$60:$F$61,2,FALSE)</f>
        <v>0</v>
      </c>
      <c r="CW81" s="1223">
        <f>$G81*AB81*Variables!$B$53*HLOOKUP($CO$2,Variables!$B$60:$F$61,2,FALSE)</f>
        <v>0</v>
      </c>
      <c r="CX81" s="1223">
        <f>$G81*AC81*Variables!$B$53*HLOOKUP($CO$2,Variables!$B$60:$F$61,2,FALSE)</f>
        <v>0</v>
      </c>
      <c r="CY81" s="1223">
        <f>$G81*AD81*Variables!$B$53*HLOOKUP($CO$2,Variables!$B$60:$F$61,2,FALSE)</f>
        <v>0</v>
      </c>
      <c r="CZ81" s="1225">
        <f>$G81*AE81*Variables!$B$53*HLOOKUP($CO$2,Variables!$B$60:$F$61,2,FALSE)</f>
        <v>0</v>
      </c>
      <c r="DA81" s="1222">
        <f>$G81*AF81*Variables!$B$53*HLOOKUP($DA$2,Variables!$B$60:$F$61,2,FALSE)</f>
        <v>0</v>
      </c>
      <c r="DB81" s="1223">
        <f>$G81*AG81*Variables!$B$53*HLOOKUP($DA$2,Variables!$B$60:$F$61,2,FALSE)</f>
        <v>0</v>
      </c>
      <c r="DC81" s="1223">
        <f>$G81*AH81*Variables!$B$53*HLOOKUP($DA$2,Variables!$B$60:$F$61,2,FALSE)</f>
        <v>0</v>
      </c>
      <c r="DD81" s="1223">
        <f>$G81*AI81*Variables!$B$53*HLOOKUP($DA$2,Variables!$B$60:$F$61,2,FALSE)</f>
        <v>0</v>
      </c>
      <c r="DE81" s="1223">
        <f>$G81*AJ81*Variables!$B$53*HLOOKUP($DA$2,Variables!$B$60:$F$61,2,FALSE)</f>
        <v>0</v>
      </c>
      <c r="DF81" s="1223">
        <f>$G81*AK81*Variables!$B$53*HLOOKUP($DA$2,Variables!$B$60:$F$61,2,FALSE)</f>
        <v>0</v>
      </c>
      <c r="DG81" s="1223">
        <f>$G81*AL81*Variables!$B$53*HLOOKUP($DA$2,Variables!$B$60:$F$61,2,FALSE)</f>
        <v>0</v>
      </c>
      <c r="DH81" s="1223">
        <f>$G81*AM81*Variables!$B$53*HLOOKUP($DA$2,Variables!$B$60:$F$61,2,FALSE)</f>
        <v>0</v>
      </c>
      <c r="DI81" s="1223">
        <f>$G81*AN81*Variables!$B$53*HLOOKUP($DA$2,Variables!$B$60:$F$61,2,FALSE)</f>
        <v>0</v>
      </c>
      <c r="DJ81" s="1223">
        <f>$G81*AO81*Variables!$B$53*HLOOKUP($DA$2,Variables!$B$60:$F$61,2,FALSE)</f>
        <v>0</v>
      </c>
      <c r="DK81" s="1223">
        <f>$G81*AP81*Variables!$B$53*HLOOKUP($DA$2,Variables!$B$60:$F$61,2,FALSE)</f>
        <v>0</v>
      </c>
      <c r="DL81" s="1225">
        <f>$G81*AQ81*Variables!$B$53*HLOOKUP($DA$2,Variables!$B$60:$F$61,2,FALSE)</f>
        <v>0</v>
      </c>
      <c r="DM81" s="1222">
        <f>$G81*AR81*Variables!$B$53*HLOOKUP($DM$2,Variables!$B$60:$F$61,2,FALSE)</f>
        <v>0</v>
      </c>
      <c r="DN81" s="1223">
        <f>$G81*AS81*Variables!$B$53*HLOOKUP($DM$2,Variables!$B$60:$F$61,2,FALSE)</f>
        <v>0</v>
      </c>
      <c r="DO81" s="1223">
        <f>$G81*AT81*Variables!$B$53*HLOOKUP($DM$2,Variables!$B$60:$F$61,2,FALSE)</f>
        <v>0</v>
      </c>
      <c r="DP81" s="1223">
        <f>$G81*AU81*Variables!$B$53*HLOOKUP($DM$2,Variables!$B$60:$F$61,2,FALSE)</f>
        <v>0</v>
      </c>
      <c r="DQ81" s="1223">
        <f>$G81*AV81*Variables!$B$53*HLOOKUP($DM$2,Variables!$B$60:$F$61,2,FALSE)</f>
        <v>0</v>
      </c>
      <c r="DR81" s="1223">
        <f>$G81*AW81*Variables!$B$53*HLOOKUP($DM$2,Variables!$B$60:$F$61,2,FALSE)</f>
        <v>0</v>
      </c>
      <c r="DS81" s="1223">
        <f>$G81*AX81*Variables!$B$53*HLOOKUP($DM$2,Variables!$B$60:$F$61,2,FALSE)</f>
        <v>0</v>
      </c>
      <c r="DT81" s="1223">
        <f>$G81*AY81*Variables!$B$53*HLOOKUP($DM$2,Variables!$B$60:$F$61,2,FALSE)</f>
        <v>0</v>
      </c>
      <c r="DU81" s="1223">
        <f>$G81*AZ81*Variables!$B$53*HLOOKUP($DM$2,Variables!$B$60:$F$61,2,FALSE)</f>
        <v>0</v>
      </c>
      <c r="DV81" s="1223">
        <f>$G81*BA81*Variables!$B$53*HLOOKUP($DM$2,Variables!$B$60:$F$61,2,FALSE)</f>
        <v>0</v>
      </c>
      <c r="DW81" s="1223">
        <f>$G81*BB81*Variables!$B$53*HLOOKUP($DM$2,Variables!$B$60:$F$61,2,FALSE)</f>
        <v>0</v>
      </c>
      <c r="DX81" s="1225">
        <f>$G81*BC81*Variables!$B$53*HLOOKUP($DM$2,Variables!$B$60:$F$61,2,FALSE)</f>
        <v>0</v>
      </c>
      <c r="DY81" s="1222">
        <f>$G81*BD81*Variables!$B$53*HLOOKUP($DY$2,Variables!$B$60:$F$61,2,FALSE)</f>
        <v>0</v>
      </c>
      <c r="DZ81" s="1223">
        <f>$G81*BE81*Variables!$B$53*HLOOKUP($DY$2,Variables!$B$60:$F$61,2,FALSE)</f>
        <v>0</v>
      </c>
      <c r="EA81" s="1223">
        <f>$G81*BF81*Variables!$B$53*HLOOKUP($DY$2,Variables!$B$60:$F$61,2,FALSE)</f>
        <v>0</v>
      </c>
      <c r="EB81" s="1223">
        <f>$G81*BG81*Variables!$B$53*HLOOKUP($DY$2,Variables!$B$60:$F$61,2,FALSE)</f>
        <v>0</v>
      </c>
      <c r="EC81" s="1223">
        <f>$G81*BH81*Variables!$B$53*HLOOKUP($DY$2,Variables!$B$60:$F$61,2,FALSE)</f>
        <v>0</v>
      </c>
      <c r="ED81" s="1223">
        <f>$G81*BI81*Variables!$B$53*HLOOKUP($DY$2,Variables!$B$60:$F$61,2,FALSE)</f>
        <v>0</v>
      </c>
      <c r="EE81" s="1223">
        <f>$G81*BJ81*Variables!$B$53*HLOOKUP($DY$2,Variables!$B$60:$F$61,2,FALSE)</f>
        <v>0</v>
      </c>
      <c r="EF81" s="1223">
        <f>$G81*BK81*Variables!$B$53*HLOOKUP($DY$2,Variables!$B$60:$F$61,2,FALSE)</f>
        <v>0</v>
      </c>
      <c r="EG81" s="1223">
        <f>$G81*BL81*Variables!$B$53*HLOOKUP($DY$2,Variables!$B$60:$F$61,2,FALSE)</f>
        <v>0</v>
      </c>
      <c r="EH81" s="1223">
        <f>$G81*BM81*Variables!$B$53*HLOOKUP($DY$2,Variables!$B$60:$F$61,2,FALSE)</f>
        <v>0</v>
      </c>
      <c r="EI81" s="1223">
        <f>$G81*BN81*Variables!$B$53*HLOOKUP($DY$2,Variables!$B$60:$F$61,2,FALSE)</f>
        <v>0</v>
      </c>
      <c r="EJ81" s="1225">
        <f>$G81*BO81*Variables!$B$53*HLOOKUP($DY$2,Variables!$B$60:$F$61,2,FALSE)</f>
        <v>0</v>
      </c>
      <c r="EK81" s="1222">
        <f>$G81*BP81*Variables!$B$53*HLOOKUP($EK$2,Variables!$B$60:$F$61,2,FALSE)</f>
        <v>0</v>
      </c>
      <c r="EL81" s="1223">
        <f>$G81*BQ81*Variables!$B$53*HLOOKUP($EK$2,Variables!$B$60:$F$61,2,FALSE)</f>
        <v>0</v>
      </c>
      <c r="EM81" s="1223">
        <f>$G81*BR81*Variables!$B$53*HLOOKUP($EK$2,Variables!$B$60:$F$61,2,FALSE)</f>
        <v>0</v>
      </c>
      <c r="EN81" s="1223">
        <f>$G81*BS81*Variables!$B$53*HLOOKUP($EK$2,Variables!$B$60:$F$61,2,FALSE)</f>
        <v>0</v>
      </c>
      <c r="EO81" s="1223">
        <f>$G81*BT81*Variables!$B$53*HLOOKUP($EK$2,Variables!$B$60:$F$61,2,FALSE)</f>
        <v>0</v>
      </c>
      <c r="EP81" s="1223">
        <f>$G81*BU81*Variables!$B$53*HLOOKUP($EK$2,Variables!$B$60:$F$61,2,FALSE)</f>
        <v>0</v>
      </c>
      <c r="EQ81" s="1223">
        <f>$G81*BV81*Variables!$B$53*HLOOKUP($EK$2,Variables!$B$60:$F$61,2,FALSE)</f>
        <v>0</v>
      </c>
      <c r="ER81" s="1223">
        <f>$G81*BW81*Variables!$B$53*HLOOKUP($EK$2,Variables!$B$60:$F$61,2,FALSE)</f>
        <v>0</v>
      </c>
      <c r="ES81" s="1223">
        <f>$G81*BX81*Variables!$B$53*HLOOKUP($EK$2,Variables!$B$60:$F$61,2,FALSE)</f>
        <v>0</v>
      </c>
      <c r="ET81" s="1223">
        <f>$G81*BY81*Variables!$B$53*HLOOKUP($EK$2,Variables!$B$60:$F$61,2,FALSE)</f>
        <v>0</v>
      </c>
      <c r="EU81" s="1223">
        <f>$G81*BZ81*Variables!$B$53*HLOOKUP($EK$2,Variables!$B$60:$F$61,2,FALSE)</f>
        <v>0</v>
      </c>
      <c r="EV81" s="1225">
        <f>$G81*CA81*Variables!$B$53*HLOOKUP($EK$2,Variables!$B$60:$F$61,2,FALSE)</f>
        <v>0</v>
      </c>
      <c r="EW81" s="872">
        <f t="shared" si="15"/>
        <v>0</v>
      </c>
      <c r="EX81" s="872"/>
      <c r="EY81" s="872"/>
      <c r="EZ81" s="872"/>
      <c r="FA81" s="1332"/>
      <c r="FC81" s="958" t="str">
        <f t="shared" si="11"/>
        <v/>
      </c>
      <c r="FD81" s="959" t="str">
        <f t="shared" si="12"/>
        <v/>
      </c>
      <c r="FE81" s="959" t="s">
        <v>8407</v>
      </c>
      <c r="FF81" s="959" t="str">
        <f>IF(ISNA(VLOOKUP(FC81,Miscellaneous!E:F,2,0)),"",VLOOKUP(FC81,Miscellaneous!E:F,2,0))</f>
        <v/>
      </c>
      <c r="FG81" s="959" t="str">
        <f t="shared" si="13"/>
        <v/>
      </c>
      <c r="FH81" s="996">
        <f>IF($FG81="Opex",SUMIF('Monthly Summary'!$C$75:$N$75,"",CC81:CN81),SUMIF('Monthly Summary'!$C$74:$N$74,"",CC81:CN81))</f>
        <v>0</v>
      </c>
      <c r="FI81" s="996">
        <f>IF($FG81="Opex",SUMIF('Monthly Summary'!$O$75:$Z$75,"",CO81:CZ81),SUMIF('Monthly Summary'!$O$74:$Z$74,"",CO81:CZ81))</f>
        <v>0</v>
      </c>
      <c r="FJ81" s="996">
        <f>IF($FG81="Opex",SUMIF('Monthly Summary'!$AA$75:$AL$75,"",DA81:DL81),SUMIF('Monthly Summary'!$AA$74:$AL$74,"",DA81:DL81))</f>
        <v>0</v>
      </c>
      <c r="FK81" s="996">
        <f>IF($FG81="Opex",SUMIF('Monthly Summary'!$AM$75:$AX$75,"",DM81:DX81),SUMIF('Monthly Summary'!$AM$74:$AX$74,"",DM81:DX81))</f>
        <v>0</v>
      </c>
      <c r="FL81" s="996">
        <f>IF($FG81="Opex",SUMIF('Monthly Summary'!$AY$75:$BJ$75,"",DY81:EJ81),SUMIF('Monthly Summary'!$AY$74:$BJ$74,"",DY81:EJ81))</f>
        <v>0</v>
      </c>
      <c r="FM81" s="997">
        <f>IF($FG81="Opex",SUMIF('Monthly Summary'!$BK$75:$BV$75,"",EK81:EV81),SUMIF('Monthly Summary'!$BK$74:$BV$74,"",EK81:EV81))</f>
        <v>0</v>
      </c>
      <c r="FN81" s="997">
        <f t="shared" si="14"/>
        <v>0</v>
      </c>
    </row>
    <row r="82" spans="3:170">
      <c r="C82" s="757"/>
      <c r="D82" s="757"/>
      <c r="E82" s="758"/>
      <c r="F82" s="758"/>
      <c r="G82" s="758"/>
      <c r="H82" s="1215"/>
      <c r="I82" s="761"/>
      <c r="J82" s="761"/>
      <c r="K82" s="761"/>
      <c r="L82" s="761"/>
      <c r="M82" s="761"/>
      <c r="N82" s="761"/>
      <c r="O82" s="761"/>
      <c r="P82" s="761"/>
      <c r="Q82" s="761"/>
      <c r="R82" s="761"/>
      <c r="S82" s="1216"/>
      <c r="T82" s="1215"/>
      <c r="U82" s="761"/>
      <c r="V82" s="761"/>
      <c r="W82" s="761"/>
      <c r="X82" s="761"/>
      <c r="Y82" s="761"/>
      <c r="Z82" s="761"/>
      <c r="AA82" s="761"/>
      <c r="AB82" s="761"/>
      <c r="AC82" s="761"/>
      <c r="AD82" s="761"/>
      <c r="AE82" s="1216"/>
      <c r="AF82" s="1215"/>
      <c r="AG82" s="761"/>
      <c r="AH82" s="761"/>
      <c r="AI82" s="761"/>
      <c r="AJ82" s="761"/>
      <c r="AK82" s="761"/>
      <c r="AL82" s="761"/>
      <c r="AM82" s="761"/>
      <c r="AN82" s="761"/>
      <c r="AO82" s="761"/>
      <c r="AP82" s="761"/>
      <c r="AQ82" s="1216"/>
      <c r="AR82" s="1215"/>
      <c r="AS82" s="761"/>
      <c r="AT82" s="761"/>
      <c r="AU82" s="761"/>
      <c r="AV82" s="761"/>
      <c r="AW82" s="761"/>
      <c r="AX82" s="761"/>
      <c r="AY82" s="761"/>
      <c r="AZ82" s="761"/>
      <c r="BA82" s="761"/>
      <c r="BB82" s="761"/>
      <c r="BC82" s="1216"/>
      <c r="BD82" s="1215"/>
      <c r="BE82" s="761"/>
      <c r="BF82" s="761"/>
      <c r="BG82" s="761"/>
      <c r="BH82" s="761"/>
      <c r="BI82" s="761"/>
      <c r="BJ82" s="761"/>
      <c r="BK82" s="761"/>
      <c r="BL82" s="761"/>
      <c r="BM82" s="761"/>
      <c r="BN82" s="761"/>
      <c r="BO82" s="1216"/>
      <c r="BP82" s="1215"/>
      <c r="BQ82" s="761"/>
      <c r="BR82" s="761"/>
      <c r="BS82" s="761"/>
      <c r="BT82" s="761"/>
      <c r="BU82" s="761"/>
      <c r="BV82" s="761"/>
      <c r="BW82" s="761"/>
      <c r="BX82" s="761"/>
      <c r="BY82" s="761"/>
      <c r="BZ82" s="761"/>
      <c r="CA82" s="1216"/>
      <c r="CB82" s="747"/>
      <c r="CC82" s="1222">
        <f>$G82*H82*Variables!$B$53</f>
        <v>0</v>
      </c>
      <c r="CD82" s="1223">
        <f>$G82*I82*Variables!$B$53</f>
        <v>0</v>
      </c>
      <c r="CE82" s="1223">
        <f>$G82*J82*Variables!$B$53</f>
        <v>0</v>
      </c>
      <c r="CF82" s="1223">
        <f>$G82*K82*Variables!$B$53</f>
        <v>0</v>
      </c>
      <c r="CG82" s="1223">
        <f>$G82*L82*Variables!$B$53</f>
        <v>0</v>
      </c>
      <c r="CH82" s="1223">
        <f>$G82*M82*Variables!$B$53</f>
        <v>0</v>
      </c>
      <c r="CI82" s="1223">
        <f>$G82*N82*Variables!$B$53</f>
        <v>0</v>
      </c>
      <c r="CJ82" s="1223">
        <f>$G82*O82*Variables!$B$53</f>
        <v>0</v>
      </c>
      <c r="CK82" s="1223">
        <f>$G82*P82*Variables!$B$53</f>
        <v>0</v>
      </c>
      <c r="CL82" s="1223">
        <f>$G82*Q82*Variables!$B$53</f>
        <v>0</v>
      </c>
      <c r="CM82" s="1223">
        <f>$G82*R82*Variables!$B$53</f>
        <v>0</v>
      </c>
      <c r="CN82" s="1225">
        <f>$G82*S82*Variables!$B$53</f>
        <v>0</v>
      </c>
      <c r="CO82" s="1222">
        <f>$G82*T82*Variables!$B$53*HLOOKUP($CO$2,Variables!$B$60:$F$61,2,FALSE)</f>
        <v>0</v>
      </c>
      <c r="CP82" s="1223">
        <f>$G82*U82*Variables!$B$53*HLOOKUP($CO$2,Variables!$B$60:$F$61,2,FALSE)</f>
        <v>0</v>
      </c>
      <c r="CQ82" s="1223">
        <f>$G82*V82*Variables!$B$53*HLOOKUP($CO$2,Variables!$B$60:$F$61,2,FALSE)</f>
        <v>0</v>
      </c>
      <c r="CR82" s="1223">
        <f>$G82*W82*Variables!$B$53*HLOOKUP($CO$2,Variables!$B$60:$F$61,2,FALSE)</f>
        <v>0</v>
      </c>
      <c r="CS82" s="1223">
        <f>$G82*X82*Variables!$B$53*HLOOKUP($CO$2,Variables!$B$60:$F$61,2,FALSE)</f>
        <v>0</v>
      </c>
      <c r="CT82" s="1223">
        <f>$G82*Y82*Variables!$B$53*HLOOKUP($CO$2,Variables!$B$60:$F$61,2,FALSE)</f>
        <v>0</v>
      </c>
      <c r="CU82" s="1223">
        <f>$G82*Z82*Variables!$B$53*HLOOKUP($CO$2,Variables!$B$60:$F$61,2,FALSE)</f>
        <v>0</v>
      </c>
      <c r="CV82" s="1223">
        <f>$G82*AA82*Variables!$B$53*HLOOKUP($CO$2,Variables!$B$60:$F$61,2,FALSE)</f>
        <v>0</v>
      </c>
      <c r="CW82" s="1223">
        <f>$G82*AB82*Variables!$B$53*HLOOKUP($CO$2,Variables!$B$60:$F$61,2,FALSE)</f>
        <v>0</v>
      </c>
      <c r="CX82" s="1223">
        <f>$G82*AC82*Variables!$B$53*HLOOKUP($CO$2,Variables!$B$60:$F$61,2,FALSE)</f>
        <v>0</v>
      </c>
      <c r="CY82" s="1223">
        <f>$G82*AD82*Variables!$B$53*HLOOKUP($CO$2,Variables!$B$60:$F$61,2,FALSE)</f>
        <v>0</v>
      </c>
      <c r="CZ82" s="1225">
        <f>$G82*AE82*Variables!$B$53*HLOOKUP($CO$2,Variables!$B$60:$F$61,2,FALSE)</f>
        <v>0</v>
      </c>
      <c r="DA82" s="1222">
        <f>$G82*AF82*Variables!$B$53*HLOOKUP($DA$2,Variables!$B$60:$F$61,2,FALSE)</f>
        <v>0</v>
      </c>
      <c r="DB82" s="1223">
        <f>$G82*AG82*Variables!$B$53*HLOOKUP($DA$2,Variables!$B$60:$F$61,2,FALSE)</f>
        <v>0</v>
      </c>
      <c r="DC82" s="1223">
        <f>$G82*AH82*Variables!$B$53*HLOOKUP($DA$2,Variables!$B$60:$F$61,2,FALSE)</f>
        <v>0</v>
      </c>
      <c r="DD82" s="1223">
        <f>$G82*AI82*Variables!$B$53*HLOOKUP($DA$2,Variables!$B$60:$F$61,2,FALSE)</f>
        <v>0</v>
      </c>
      <c r="DE82" s="1223">
        <f>$G82*AJ82*Variables!$B$53*HLOOKUP($DA$2,Variables!$B$60:$F$61,2,FALSE)</f>
        <v>0</v>
      </c>
      <c r="DF82" s="1223">
        <f>$G82*AK82*Variables!$B$53*HLOOKUP($DA$2,Variables!$B$60:$F$61,2,FALSE)</f>
        <v>0</v>
      </c>
      <c r="DG82" s="1223">
        <f>$G82*AL82*Variables!$B$53*HLOOKUP($DA$2,Variables!$B$60:$F$61,2,FALSE)</f>
        <v>0</v>
      </c>
      <c r="DH82" s="1223">
        <f>$G82*AM82*Variables!$B$53*HLOOKUP($DA$2,Variables!$B$60:$F$61,2,FALSE)</f>
        <v>0</v>
      </c>
      <c r="DI82" s="1223">
        <f>$G82*AN82*Variables!$B$53*HLOOKUP($DA$2,Variables!$B$60:$F$61,2,FALSE)</f>
        <v>0</v>
      </c>
      <c r="DJ82" s="1223">
        <f>$G82*AO82*Variables!$B$53*HLOOKUP($DA$2,Variables!$B$60:$F$61,2,FALSE)</f>
        <v>0</v>
      </c>
      <c r="DK82" s="1223">
        <f>$G82*AP82*Variables!$B$53*HLOOKUP($DA$2,Variables!$B$60:$F$61,2,FALSE)</f>
        <v>0</v>
      </c>
      <c r="DL82" s="1225">
        <f>$G82*AQ82*Variables!$B$53*HLOOKUP($DA$2,Variables!$B$60:$F$61,2,FALSE)</f>
        <v>0</v>
      </c>
      <c r="DM82" s="1222">
        <f>$G82*AR82*Variables!$B$53*HLOOKUP($DM$2,Variables!$B$60:$F$61,2,FALSE)</f>
        <v>0</v>
      </c>
      <c r="DN82" s="1223">
        <f>$G82*AS82*Variables!$B$53*HLOOKUP($DM$2,Variables!$B$60:$F$61,2,FALSE)</f>
        <v>0</v>
      </c>
      <c r="DO82" s="1223">
        <f>$G82*AT82*Variables!$B$53*HLOOKUP($DM$2,Variables!$B$60:$F$61,2,FALSE)</f>
        <v>0</v>
      </c>
      <c r="DP82" s="1223">
        <f>$G82*AU82*Variables!$B$53*HLOOKUP($DM$2,Variables!$B$60:$F$61,2,FALSE)</f>
        <v>0</v>
      </c>
      <c r="DQ82" s="1223">
        <f>$G82*AV82*Variables!$B$53*HLOOKUP($DM$2,Variables!$B$60:$F$61,2,FALSE)</f>
        <v>0</v>
      </c>
      <c r="DR82" s="1223">
        <f>$G82*AW82*Variables!$B$53*HLOOKUP($DM$2,Variables!$B$60:$F$61,2,FALSE)</f>
        <v>0</v>
      </c>
      <c r="DS82" s="1223">
        <f>$G82*AX82*Variables!$B$53*HLOOKUP($DM$2,Variables!$B$60:$F$61,2,FALSE)</f>
        <v>0</v>
      </c>
      <c r="DT82" s="1223">
        <f>$G82*AY82*Variables!$B$53*HLOOKUP($DM$2,Variables!$B$60:$F$61,2,FALSE)</f>
        <v>0</v>
      </c>
      <c r="DU82" s="1223">
        <f>$G82*AZ82*Variables!$B$53*HLOOKUP($DM$2,Variables!$B$60:$F$61,2,FALSE)</f>
        <v>0</v>
      </c>
      <c r="DV82" s="1223">
        <f>$G82*BA82*Variables!$B$53*HLOOKUP($DM$2,Variables!$B$60:$F$61,2,FALSE)</f>
        <v>0</v>
      </c>
      <c r="DW82" s="1223">
        <f>$G82*BB82*Variables!$B$53*HLOOKUP($DM$2,Variables!$B$60:$F$61,2,FALSE)</f>
        <v>0</v>
      </c>
      <c r="DX82" s="1225">
        <f>$G82*BC82*Variables!$B$53*HLOOKUP($DM$2,Variables!$B$60:$F$61,2,FALSE)</f>
        <v>0</v>
      </c>
      <c r="DY82" s="1222">
        <f>$G82*BD82*Variables!$B$53*HLOOKUP($DY$2,Variables!$B$60:$F$61,2,FALSE)</f>
        <v>0</v>
      </c>
      <c r="DZ82" s="1223">
        <f>$G82*BE82*Variables!$B$53*HLOOKUP($DY$2,Variables!$B$60:$F$61,2,FALSE)</f>
        <v>0</v>
      </c>
      <c r="EA82" s="1223">
        <f>$G82*BF82*Variables!$B$53*HLOOKUP($DY$2,Variables!$B$60:$F$61,2,FALSE)</f>
        <v>0</v>
      </c>
      <c r="EB82" s="1223">
        <f>$G82*BG82*Variables!$B$53*HLOOKUP($DY$2,Variables!$B$60:$F$61,2,FALSE)</f>
        <v>0</v>
      </c>
      <c r="EC82" s="1223">
        <f>$G82*BH82*Variables!$B$53*HLOOKUP($DY$2,Variables!$B$60:$F$61,2,FALSE)</f>
        <v>0</v>
      </c>
      <c r="ED82" s="1223">
        <f>$G82*BI82*Variables!$B$53*HLOOKUP($DY$2,Variables!$B$60:$F$61,2,FALSE)</f>
        <v>0</v>
      </c>
      <c r="EE82" s="1223">
        <f>$G82*BJ82*Variables!$B$53*HLOOKUP($DY$2,Variables!$B$60:$F$61,2,FALSE)</f>
        <v>0</v>
      </c>
      <c r="EF82" s="1223">
        <f>$G82*BK82*Variables!$B$53*HLOOKUP($DY$2,Variables!$B$60:$F$61,2,FALSE)</f>
        <v>0</v>
      </c>
      <c r="EG82" s="1223">
        <f>$G82*BL82*Variables!$B$53*HLOOKUP($DY$2,Variables!$B$60:$F$61,2,FALSE)</f>
        <v>0</v>
      </c>
      <c r="EH82" s="1223">
        <f>$G82*BM82*Variables!$B$53*HLOOKUP($DY$2,Variables!$B$60:$F$61,2,FALSE)</f>
        <v>0</v>
      </c>
      <c r="EI82" s="1223">
        <f>$G82*BN82*Variables!$B$53*HLOOKUP($DY$2,Variables!$B$60:$F$61,2,FALSE)</f>
        <v>0</v>
      </c>
      <c r="EJ82" s="1225">
        <f>$G82*BO82*Variables!$B$53*HLOOKUP($DY$2,Variables!$B$60:$F$61,2,FALSE)</f>
        <v>0</v>
      </c>
      <c r="EK82" s="1222">
        <f>$G82*BP82*Variables!$B$53*HLOOKUP($EK$2,Variables!$B$60:$F$61,2,FALSE)</f>
        <v>0</v>
      </c>
      <c r="EL82" s="1223">
        <f>$G82*BQ82*Variables!$B$53*HLOOKUP($EK$2,Variables!$B$60:$F$61,2,FALSE)</f>
        <v>0</v>
      </c>
      <c r="EM82" s="1223">
        <f>$G82*BR82*Variables!$B$53*HLOOKUP($EK$2,Variables!$B$60:$F$61,2,FALSE)</f>
        <v>0</v>
      </c>
      <c r="EN82" s="1223">
        <f>$G82*BS82*Variables!$B$53*HLOOKUP($EK$2,Variables!$B$60:$F$61,2,FALSE)</f>
        <v>0</v>
      </c>
      <c r="EO82" s="1223">
        <f>$G82*BT82*Variables!$B$53*HLOOKUP($EK$2,Variables!$B$60:$F$61,2,FALSE)</f>
        <v>0</v>
      </c>
      <c r="EP82" s="1223">
        <f>$G82*BU82*Variables!$B$53*HLOOKUP($EK$2,Variables!$B$60:$F$61,2,FALSE)</f>
        <v>0</v>
      </c>
      <c r="EQ82" s="1223">
        <f>$G82*BV82*Variables!$B$53*HLOOKUP($EK$2,Variables!$B$60:$F$61,2,FALSE)</f>
        <v>0</v>
      </c>
      <c r="ER82" s="1223">
        <f>$G82*BW82*Variables!$B$53*HLOOKUP($EK$2,Variables!$B$60:$F$61,2,FALSE)</f>
        <v>0</v>
      </c>
      <c r="ES82" s="1223">
        <f>$G82*BX82*Variables!$B$53*HLOOKUP($EK$2,Variables!$B$60:$F$61,2,FALSE)</f>
        <v>0</v>
      </c>
      <c r="ET82" s="1223">
        <f>$G82*BY82*Variables!$B$53*HLOOKUP($EK$2,Variables!$B$60:$F$61,2,FALSE)</f>
        <v>0</v>
      </c>
      <c r="EU82" s="1223">
        <f>$G82*BZ82*Variables!$B$53*HLOOKUP($EK$2,Variables!$B$60:$F$61,2,FALSE)</f>
        <v>0</v>
      </c>
      <c r="EV82" s="1225">
        <f>$G82*CA82*Variables!$B$53*HLOOKUP($EK$2,Variables!$B$60:$F$61,2,FALSE)</f>
        <v>0</v>
      </c>
      <c r="EW82" s="872">
        <f t="shared" si="15"/>
        <v>0</v>
      </c>
      <c r="EX82" s="872"/>
      <c r="EY82" s="872"/>
      <c r="EZ82" s="872"/>
      <c r="FA82" s="1332"/>
      <c r="FC82" s="958" t="str">
        <f t="shared" si="11"/>
        <v/>
      </c>
      <c r="FD82" s="959" t="str">
        <f t="shared" si="12"/>
        <v/>
      </c>
      <c r="FE82" s="959" t="s">
        <v>8407</v>
      </c>
      <c r="FF82" s="959" t="str">
        <f>IF(ISNA(VLOOKUP(FC82,Miscellaneous!E:F,2,0)),"",VLOOKUP(FC82,Miscellaneous!E:F,2,0))</f>
        <v/>
      </c>
      <c r="FG82" s="959" t="str">
        <f t="shared" si="13"/>
        <v/>
      </c>
      <c r="FH82" s="996">
        <f>IF($FG82="Opex",SUMIF('Monthly Summary'!$C$75:$N$75,"",CC82:CN82),SUMIF('Monthly Summary'!$C$74:$N$74,"",CC82:CN82))</f>
        <v>0</v>
      </c>
      <c r="FI82" s="996">
        <f>IF($FG82="Opex",SUMIF('Monthly Summary'!$O$75:$Z$75,"",CO82:CZ82),SUMIF('Monthly Summary'!$O$74:$Z$74,"",CO82:CZ82))</f>
        <v>0</v>
      </c>
      <c r="FJ82" s="996">
        <f>IF($FG82="Opex",SUMIF('Monthly Summary'!$AA$75:$AL$75,"",DA82:DL82),SUMIF('Monthly Summary'!$AA$74:$AL$74,"",DA82:DL82))</f>
        <v>0</v>
      </c>
      <c r="FK82" s="996">
        <f>IF($FG82="Opex",SUMIF('Monthly Summary'!$AM$75:$AX$75,"",DM82:DX82),SUMIF('Monthly Summary'!$AM$74:$AX$74,"",DM82:DX82))</f>
        <v>0</v>
      </c>
      <c r="FL82" s="996">
        <f>IF($FG82="Opex",SUMIF('Monthly Summary'!$AY$75:$BJ$75,"",DY82:EJ82),SUMIF('Monthly Summary'!$AY$74:$BJ$74,"",DY82:EJ82))</f>
        <v>0</v>
      </c>
      <c r="FM82" s="997">
        <f>IF($FG82="Opex",SUMIF('Monthly Summary'!$BK$75:$BV$75,"",EK82:EV82),SUMIF('Monthly Summary'!$BK$74:$BV$74,"",EK82:EV82))</f>
        <v>0</v>
      </c>
      <c r="FN82" s="997">
        <f t="shared" si="14"/>
        <v>0</v>
      </c>
    </row>
    <row r="83" spans="3:170">
      <c r="C83" s="757"/>
      <c r="D83" s="757"/>
      <c r="E83" s="758"/>
      <c r="F83" s="758"/>
      <c r="G83" s="758"/>
      <c r="H83" s="1215"/>
      <c r="I83" s="761"/>
      <c r="J83" s="761"/>
      <c r="K83" s="761"/>
      <c r="L83" s="761"/>
      <c r="M83" s="761"/>
      <c r="N83" s="761"/>
      <c r="O83" s="761"/>
      <c r="P83" s="761"/>
      <c r="Q83" s="761"/>
      <c r="R83" s="761"/>
      <c r="S83" s="1216"/>
      <c r="T83" s="1215"/>
      <c r="U83" s="761"/>
      <c r="V83" s="761"/>
      <c r="W83" s="761"/>
      <c r="X83" s="761"/>
      <c r="Y83" s="761"/>
      <c r="Z83" s="761"/>
      <c r="AA83" s="761"/>
      <c r="AB83" s="761"/>
      <c r="AC83" s="761"/>
      <c r="AD83" s="761"/>
      <c r="AE83" s="1216"/>
      <c r="AF83" s="1215"/>
      <c r="AG83" s="761"/>
      <c r="AH83" s="761"/>
      <c r="AI83" s="761"/>
      <c r="AJ83" s="761"/>
      <c r="AK83" s="761"/>
      <c r="AL83" s="761"/>
      <c r="AM83" s="761"/>
      <c r="AN83" s="761"/>
      <c r="AO83" s="761"/>
      <c r="AP83" s="761"/>
      <c r="AQ83" s="1216"/>
      <c r="AR83" s="1215"/>
      <c r="AS83" s="761"/>
      <c r="AT83" s="761"/>
      <c r="AU83" s="761"/>
      <c r="AV83" s="761"/>
      <c r="AW83" s="761"/>
      <c r="AX83" s="761"/>
      <c r="AY83" s="761"/>
      <c r="AZ83" s="761"/>
      <c r="BA83" s="761"/>
      <c r="BB83" s="761"/>
      <c r="BC83" s="1216"/>
      <c r="BD83" s="1215"/>
      <c r="BE83" s="761"/>
      <c r="BF83" s="761"/>
      <c r="BG83" s="761"/>
      <c r="BH83" s="761"/>
      <c r="BI83" s="761"/>
      <c r="BJ83" s="761"/>
      <c r="BK83" s="761"/>
      <c r="BL83" s="761"/>
      <c r="BM83" s="761"/>
      <c r="BN83" s="761"/>
      <c r="BO83" s="1216"/>
      <c r="BP83" s="1215"/>
      <c r="BQ83" s="761"/>
      <c r="BR83" s="761"/>
      <c r="BS83" s="761"/>
      <c r="BT83" s="761"/>
      <c r="BU83" s="761"/>
      <c r="BV83" s="761"/>
      <c r="BW83" s="761"/>
      <c r="BX83" s="761"/>
      <c r="BY83" s="761"/>
      <c r="BZ83" s="761"/>
      <c r="CA83" s="1216"/>
      <c r="CB83" s="747"/>
      <c r="CC83" s="1222">
        <f>$G83*H83*Variables!$B$53</f>
        <v>0</v>
      </c>
      <c r="CD83" s="1223">
        <f>$G83*I83*Variables!$B$53</f>
        <v>0</v>
      </c>
      <c r="CE83" s="1223">
        <f>$G83*J83*Variables!$B$53</f>
        <v>0</v>
      </c>
      <c r="CF83" s="1223">
        <f>$G83*K83*Variables!$B$53</f>
        <v>0</v>
      </c>
      <c r="CG83" s="1223">
        <f>$G83*L83*Variables!$B$53</f>
        <v>0</v>
      </c>
      <c r="CH83" s="1223">
        <f>$G83*M83*Variables!$B$53</f>
        <v>0</v>
      </c>
      <c r="CI83" s="1223">
        <f>$G83*N83*Variables!$B$53</f>
        <v>0</v>
      </c>
      <c r="CJ83" s="1223">
        <f>$G83*O83*Variables!$B$53</f>
        <v>0</v>
      </c>
      <c r="CK83" s="1223">
        <f>$G83*P83*Variables!$B$53</f>
        <v>0</v>
      </c>
      <c r="CL83" s="1223">
        <f>$G83*Q83*Variables!$B$53</f>
        <v>0</v>
      </c>
      <c r="CM83" s="1223">
        <f>$G83*R83*Variables!$B$53</f>
        <v>0</v>
      </c>
      <c r="CN83" s="1225">
        <f>$G83*S83*Variables!$B$53</f>
        <v>0</v>
      </c>
      <c r="CO83" s="1222">
        <f>$G83*T83*Variables!$B$53*HLOOKUP($CO$2,Variables!$B$60:$F$61,2,FALSE)</f>
        <v>0</v>
      </c>
      <c r="CP83" s="1223">
        <f>$G83*U83*Variables!$B$53*HLOOKUP($CO$2,Variables!$B$60:$F$61,2,FALSE)</f>
        <v>0</v>
      </c>
      <c r="CQ83" s="1223">
        <f>$G83*V83*Variables!$B$53*HLOOKUP($CO$2,Variables!$B$60:$F$61,2,FALSE)</f>
        <v>0</v>
      </c>
      <c r="CR83" s="1223">
        <f>$G83*W83*Variables!$B$53*HLOOKUP($CO$2,Variables!$B$60:$F$61,2,FALSE)</f>
        <v>0</v>
      </c>
      <c r="CS83" s="1223">
        <f>$G83*X83*Variables!$B$53*HLOOKUP($CO$2,Variables!$B$60:$F$61,2,FALSE)</f>
        <v>0</v>
      </c>
      <c r="CT83" s="1223">
        <f>$G83*Y83*Variables!$B$53*HLOOKUP($CO$2,Variables!$B$60:$F$61,2,FALSE)</f>
        <v>0</v>
      </c>
      <c r="CU83" s="1223">
        <f>$G83*Z83*Variables!$B$53*HLOOKUP($CO$2,Variables!$B$60:$F$61,2,FALSE)</f>
        <v>0</v>
      </c>
      <c r="CV83" s="1223">
        <f>$G83*AA83*Variables!$B$53*HLOOKUP($CO$2,Variables!$B$60:$F$61,2,FALSE)</f>
        <v>0</v>
      </c>
      <c r="CW83" s="1223">
        <f>$G83*AB83*Variables!$B$53*HLOOKUP($CO$2,Variables!$B$60:$F$61,2,FALSE)</f>
        <v>0</v>
      </c>
      <c r="CX83" s="1223">
        <f>$G83*AC83*Variables!$B$53*HLOOKUP($CO$2,Variables!$B$60:$F$61,2,FALSE)</f>
        <v>0</v>
      </c>
      <c r="CY83" s="1223">
        <f>$G83*AD83*Variables!$B$53*HLOOKUP($CO$2,Variables!$B$60:$F$61,2,FALSE)</f>
        <v>0</v>
      </c>
      <c r="CZ83" s="1225">
        <f>$G83*AE83*Variables!$B$53*HLOOKUP($CO$2,Variables!$B$60:$F$61,2,FALSE)</f>
        <v>0</v>
      </c>
      <c r="DA83" s="1222">
        <f>$G83*AF83*Variables!$B$53*HLOOKUP($DA$2,Variables!$B$60:$F$61,2,FALSE)</f>
        <v>0</v>
      </c>
      <c r="DB83" s="1223">
        <f>$G83*AG83*Variables!$B$53*HLOOKUP($DA$2,Variables!$B$60:$F$61,2,FALSE)</f>
        <v>0</v>
      </c>
      <c r="DC83" s="1223">
        <f>$G83*AH83*Variables!$B$53*HLOOKUP($DA$2,Variables!$B$60:$F$61,2,FALSE)</f>
        <v>0</v>
      </c>
      <c r="DD83" s="1223">
        <f>$G83*AI83*Variables!$B$53*HLOOKUP($DA$2,Variables!$B$60:$F$61,2,FALSE)</f>
        <v>0</v>
      </c>
      <c r="DE83" s="1223">
        <f>$G83*AJ83*Variables!$B$53*HLOOKUP($DA$2,Variables!$B$60:$F$61,2,FALSE)</f>
        <v>0</v>
      </c>
      <c r="DF83" s="1223">
        <f>$G83*AK83*Variables!$B$53*HLOOKUP($DA$2,Variables!$B$60:$F$61,2,FALSE)</f>
        <v>0</v>
      </c>
      <c r="DG83" s="1223">
        <f>$G83*AL83*Variables!$B$53*HLOOKUP($DA$2,Variables!$B$60:$F$61,2,FALSE)</f>
        <v>0</v>
      </c>
      <c r="DH83" s="1223">
        <f>$G83*AM83*Variables!$B$53*HLOOKUP($DA$2,Variables!$B$60:$F$61,2,FALSE)</f>
        <v>0</v>
      </c>
      <c r="DI83" s="1223">
        <f>$G83*AN83*Variables!$B$53*HLOOKUP($DA$2,Variables!$B$60:$F$61,2,FALSE)</f>
        <v>0</v>
      </c>
      <c r="DJ83" s="1223">
        <f>$G83*AO83*Variables!$B$53*HLOOKUP($DA$2,Variables!$B$60:$F$61,2,FALSE)</f>
        <v>0</v>
      </c>
      <c r="DK83" s="1223">
        <f>$G83*AP83*Variables!$B$53*HLOOKUP($DA$2,Variables!$B$60:$F$61,2,FALSE)</f>
        <v>0</v>
      </c>
      <c r="DL83" s="1225">
        <f>$G83*AQ83*Variables!$B$53*HLOOKUP($DA$2,Variables!$B$60:$F$61,2,FALSE)</f>
        <v>0</v>
      </c>
      <c r="DM83" s="1222">
        <f>$G83*AR83*Variables!$B$53*HLOOKUP($DM$2,Variables!$B$60:$F$61,2,FALSE)</f>
        <v>0</v>
      </c>
      <c r="DN83" s="1223">
        <f>$G83*AS83*Variables!$B$53*HLOOKUP($DM$2,Variables!$B$60:$F$61,2,FALSE)</f>
        <v>0</v>
      </c>
      <c r="DO83" s="1223">
        <f>$G83*AT83*Variables!$B$53*HLOOKUP($DM$2,Variables!$B$60:$F$61,2,FALSE)</f>
        <v>0</v>
      </c>
      <c r="DP83" s="1223">
        <f>$G83*AU83*Variables!$B$53*HLOOKUP($DM$2,Variables!$B$60:$F$61,2,FALSE)</f>
        <v>0</v>
      </c>
      <c r="DQ83" s="1223">
        <f>$G83*AV83*Variables!$B$53*HLOOKUP($DM$2,Variables!$B$60:$F$61,2,FALSE)</f>
        <v>0</v>
      </c>
      <c r="DR83" s="1223">
        <f>$G83*AW83*Variables!$B$53*HLOOKUP($DM$2,Variables!$B$60:$F$61,2,FALSE)</f>
        <v>0</v>
      </c>
      <c r="DS83" s="1223">
        <f>$G83*AX83*Variables!$B$53*HLOOKUP($DM$2,Variables!$B$60:$F$61,2,FALSE)</f>
        <v>0</v>
      </c>
      <c r="DT83" s="1223">
        <f>$G83*AY83*Variables!$B$53*HLOOKUP($DM$2,Variables!$B$60:$F$61,2,FALSE)</f>
        <v>0</v>
      </c>
      <c r="DU83" s="1223">
        <f>$G83*AZ83*Variables!$B$53*HLOOKUP($DM$2,Variables!$B$60:$F$61,2,FALSE)</f>
        <v>0</v>
      </c>
      <c r="DV83" s="1223">
        <f>$G83*BA83*Variables!$B$53*HLOOKUP($DM$2,Variables!$B$60:$F$61,2,FALSE)</f>
        <v>0</v>
      </c>
      <c r="DW83" s="1223">
        <f>$G83*BB83*Variables!$B$53*HLOOKUP($DM$2,Variables!$B$60:$F$61,2,FALSE)</f>
        <v>0</v>
      </c>
      <c r="DX83" s="1225">
        <f>$G83*BC83*Variables!$B$53*HLOOKUP($DM$2,Variables!$B$60:$F$61,2,FALSE)</f>
        <v>0</v>
      </c>
      <c r="DY83" s="1222">
        <f>$G83*BD83*Variables!$B$53*HLOOKUP($DY$2,Variables!$B$60:$F$61,2,FALSE)</f>
        <v>0</v>
      </c>
      <c r="DZ83" s="1223">
        <f>$G83*BE83*Variables!$B$53*HLOOKUP($DY$2,Variables!$B$60:$F$61,2,FALSE)</f>
        <v>0</v>
      </c>
      <c r="EA83" s="1223">
        <f>$G83*BF83*Variables!$B$53*HLOOKUP($DY$2,Variables!$B$60:$F$61,2,FALSE)</f>
        <v>0</v>
      </c>
      <c r="EB83" s="1223">
        <f>$G83*BG83*Variables!$B$53*HLOOKUP($DY$2,Variables!$B$60:$F$61,2,FALSE)</f>
        <v>0</v>
      </c>
      <c r="EC83" s="1223">
        <f>$G83*BH83*Variables!$B$53*HLOOKUP($DY$2,Variables!$B$60:$F$61,2,FALSE)</f>
        <v>0</v>
      </c>
      <c r="ED83" s="1223">
        <f>$G83*BI83*Variables!$B$53*HLOOKUP($DY$2,Variables!$B$60:$F$61,2,FALSE)</f>
        <v>0</v>
      </c>
      <c r="EE83" s="1223">
        <f>$G83*BJ83*Variables!$B$53*HLOOKUP($DY$2,Variables!$B$60:$F$61,2,FALSE)</f>
        <v>0</v>
      </c>
      <c r="EF83" s="1223">
        <f>$G83*BK83*Variables!$B$53*HLOOKUP($DY$2,Variables!$B$60:$F$61,2,FALSE)</f>
        <v>0</v>
      </c>
      <c r="EG83" s="1223">
        <f>$G83*BL83*Variables!$B$53*HLOOKUP($DY$2,Variables!$B$60:$F$61,2,FALSE)</f>
        <v>0</v>
      </c>
      <c r="EH83" s="1223">
        <f>$G83*BM83*Variables!$B$53*HLOOKUP($DY$2,Variables!$B$60:$F$61,2,FALSE)</f>
        <v>0</v>
      </c>
      <c r="EI83" s="1223">
        <f>$G83*BN83*Variables!$B$53*HLOOKUP($DY$2,Variables!$B$60:$F$61,2,FALSE)</f>
        <v>0</v>
      </c>
      <c r="EJ83" s="1225">
        <f>$G83*BO83*Variables!$B$53*HLOOKUP($DY$2,Variables!$B$60:$F$61,2,FALSE)</f>
        <v>0</v>
      </c>
      <c r="EK83" s="1222">
        <f>$G83*BP83*Variables!$B$53*HLOOKUP($EK$2,Variables!$B$60:$F$61,2,FALSE)</f>
        <v>0</v>
      </c>
      <c r="EL83" s="1223">
        <f>$G83*BQ83*Variables!$B$53*HLOOKUP($EK$2,Variables!$B$60:$F$61,2,FALSE)</f>
        <v>0</v>
      </c>
      <c r="EM83" s="1223">
        <f>$G83*BR83*Variables!$B$53*HLOOKUP($EK$2,Variables!$B$60:$F$61,2,FALSE)</f>
        <v>0</v>
      </c>
      <c r="EN83" s="1223">
        <f>$G83*BS83*Variables!$B$53*HLOOKUP($EK$2,Variables!$B$60:$F$61,2,FALSE)</f>
        <v>0</v>
      </c>
      <c r="EO83" s="1223">
        <f>$G83*BT83*Variables!$B$53*HLOOKUP($EK$2,Variables!$B$60:$F$61,2,FALSE)</f>
        <v>0</v>
      </c>
      <c r="EP83" s="1223">
        <f>$G83*BU83*Variables!$B$53*HLOOKUP($EK$2,Variables!$B$60:$F$61,2,FALSE)</f>
        <v>0</v>
      </c>
      <c r="EQ83" s="1223">
        <f>$G83*BV83*Variables!$B$53*HLOOKUP($EK$2,Variables!$B$60:$F$61,2,FALSE)</f>
        <v>0</v>
      </c>
      <c r="ER83" s="1223">
        <f>$G83*BW83*Variables!$B$53*HLOOKUP($EK$2,Variables!$B$60:$F$61,2,FALSE)</f>
        <v>0</v>
      </c>
      <c r="ES83" s="1223">
        <f>$G83*BX83*Variables!$B$53*HLOOKUP($EK$2,Variables!$B$60:$F$61,2,FALSE)</f>
        <v>0</v>
      </c>
      <c r="ET83" s="1223">
        <f>$G83*BY83*Variables!$B$53*HLOOKUP($EK$2,Variables!$B$60:$F$61,2,FALSE)</f>
        <v>0</v>
      </c>
      <c r="EU83" s="1223">
        <f>$G83*BZ83*Variables!$B$53*HLOOKUP($EK$2,Variables!$B$60:$F$61,2,FALSE)</f>
        <v>0</v>
      </c>
      <c r="EV83" s="1225">
        <f>$G83*CA83*Variables!$B$53*HLOOKUP($EK$2,Variables!$B$60:$F$61,2,FALSE)</f>
        <v>0</v>
      </c>
      <c r="EW83" s="872">
        <f t="shared" si="15"/>
        <v>0</v>
      </c>
      <c r="EX83" s="872"/>
      <c r="EY83" s="872"/>
      <c r="EZ83" s="872"/>
      <c r="FA83" s="1332"/>
      <c r="FC83" s="958" t="str">
        <f t="shared" si="11"/>
        <v/>
      </c>
      <c r="FD83" s="959" t="str">
        <f t="shared" si="12"/>
        <v/>
      </c>
      <c r="FE83" s="959" t="s">
        <v>8407</v>
      </c>
      <c r="FF83" s="959" t="str">
        <f>IF(ISNA(VLOOKUP(FC83,Miscellaneous!E:F,2,0)),"",VLOOKUP(FC83,Miscellaneous!E:F,2,0))</f>
        <v/>
      </c>
      <c r="FG83" s="959" t="str">
        <f t="shared" si="13"/>
        <v/>
      </c>
      <c r="FH83" s="996">
        <f>IF($FG83="Opex",SUMIF('Monthly Summary'!$C$75:$N$75,"",CC83:CN83),SUMIF('Monthly Summary'!$C$74:$N$74,"",CC83:CN83))</f>
        <v>0</v>
      </c>
      <c r="FI83" s="996">
        <f>IF($FG83="Opex",SUMIF('Monthly Summary'!$O$75:$Z$75,"",CO83:CZ83),SUMIF('Monthly Summary'!$O$74:$Z$74,"",CO83:CZ83))</f>
        <v>0</v>
      </c>
      <c r="FJ83" s="996">
        <f>IF($FG83="Opex",SUMIF('Monthly Summary'!$AA$75:$AL$75,"",DA83:DL83),SUMIF('Monthly Summary'!$AA$74:$AL$74,"",DA83:DL83))</f>
        <v>0</v>
      </c>
      <c r="FK83" s="996">
        <f>IF($FG83="Opex",SUMIF('Monthly Summary'!$AM$75:$AX$75,"",DM83:DX83),SUMIF('Monthly Summary'!$AM$74:$AX$74,"",DM83:DX83))</f>
        <v>0</v>
      </c>
      <c r="FL83" s="996">
        <f>IF($FG83="Opex",SUMIF('Monthly Summary'!$AY$75:$BJ$75,"",DY83:EJ83),SUMIF('Monthly Summary'!$AY$74:$BJ$74,"",DY83:EJ83))</f>
        <v>0</v>
      </c>
      <c r="FM83" s="997">
        <f>IF($FG83="Opex",SUMIF('Monthly Summary'!$BK$75:$BV$75,"",EK83:EV83),SUMIF('Monthly Summary'!$BK$74:$BV$74,"",EK83:EV83))</f>
        <v>0</v>
      </c>
      <c r="FN83" s="997">
        <f t="shared" si="14"/>
        <v>0</v>
      </c>
    </row>
    <row r="84" spans="3:170">
      <c r="C84" s="757"/>
      <c r="D84" s="757"/>
      <c r="E84" s="758"/>
      <c r="F84" s="758"/>
      <c r="G84" s="758"/>
      <c r="H84" s="1215"/>
      <c r="I84" s="761"/>
      <c r="J84" s="761"/>
      <c r="K84" s="761"/>
      <c r="L84" s="761"/>
      <c r="M84" s="761"/>
      <c r="N84" s="761"/>
      <c r="O84" s="761"/>
      <c r="P84" s="761"/>
      <c r="Q84" s="761"/>
      <c r="R84" s="761"/>
      <c r="S84" s="1216"/>
      <c r="T84" s="1215"/>
      <c r="U84" s="761"/>
      <c r="V84" s="761"/>
      <c r="W84" s="761"/>
      <c r="X84" s="761"/>
      <c r="Y84" s="761"/>
      <c r="Z84" s="761"/>
      <c r="AA84" s="761"/>
      <c r="AB84" s="761"/>
      <c r="AC84" s="761"/>
      <c r="AD84" s="761"/>
      <c r="AE84" s="1216"/>
      <c r="AF84" s="1215"/>
      <c r="AG84" s="761"/>
      <c r="AH84" s="761"/>
      <c r="AI84" s="761"/>
      <c r="AJ84" s="761"/>
      <c r="AK84" s="761"/>
      <c r="AL84" s="761"/>
      <c r="AM84" s="761"/>
      <c r="AN84" s="761"/>
      <c r="AO84" s="761"/>
      <c r="AP84" s="761"/>
      <c r="AQ84" s="1216"/>
      <c r="AR84" s="1215"/>
      <c r="AS84" s="761"/>
      <c r="AT84" s="761"/>
      <c r="AU84" s="761"/>
      <c r="AV84" s="761"/>
      <c r="AW84" s="761"/>
      <c r="AX84" s="761"/>
      <c r="AY84" s="761"/>
      <c r="AZ84" s="761"/>
      <c r="BA84" s="761"/>
      <c r="BB84" s="761"/>
      <c r="BC84" s="1216"/>
      <c r="BD84" s="1215"/>
      <c r="BE84" s="761"/>
      <c r="BF84" s="761"/>
      <c r="BG84" s="761"/>
      <c r="BH84" s="761"/>
      <c r="BI84" s="761"/>
      <c r="BJ84" s="761"/>
      <c r="BK84" s="761"/>
      <c r="BL84" s="761"/>
      <c r="BM84" s="761"/>
      <c r="BN84" s="761"/>
      <c r="BO84" s="1216"/>
      <c r="BP84" s="1215"/>
      <c r="BQ84" s="761"/>
      <c r="BR84" s="761"/>
      <c r="BS84" s="761"/>
      <c r="BT84" s="761"/>
      <c r="BU84" s="761"/>
      <c r="BV84" s="761"/>
      <c r="BW84" s="761"/>
      <c r="BX84" s="761"/>
      <c r="BY84" s="761"/>
      <c r="BZ84" s="761"/>
      <c r="CA84" s="1216"/>
      <c r="CB84" s="747"/>
      <c r="CC84" s="1222">
        <f>$G84*H84*Variables!$B$53</f>
        <v>0</v>
      </c>
      <c r="CD84" s="1223">
        <f>$G84*I84*Variables!$B$53</f>
        <v>0</v>
      </c>
      <c r="CE84" s="1223">
        <f>$G84*J84*Variables!$B$53</f>
        <v>0</v>
      </c>
      <c r="CF84" s="1223">
        <f>$G84*K84*Variables!$B$53</f>
        <v>0</v>
      </c>
      <c r="CG84" s="1223">
        <f>$G84*L84*Variables!$B$53</f>
        <v>0</v>
      </c>
      <c r="CH84" s="1223">
        <f>$G84*M84*Variables!$B$53</f>
        <v>0</v>
      </c>
      <c r="CI84" s="1223">
        <f>$G84*N84*Variables!$B$53</f>
        <v>0</v>
      </c>
      <c r="CJ84" s="1223">
        <f>$G84*O84*Variables!$B$53</f>
        <v>0</v>
      </c>
      <c r="CK84" s="1223">
        <f>$G84*P84*Variables!$B$53</f>
        <v>0</v>
      </c>
      <c r="CL84" s="1223">
        <f>$G84*Q84*Variables!$B$53</f>
        <v>0</v>
      </c>
      <c r="CM84" s="1223">
        <f>$G84*R84*Variables!$B$53</f>
        <v>0</v>
      </c>
      <c r="CN84" s="1225">
        <f>$G84*S84*Variables!$B$53</f>
        <v>0</v>
      </c>
      <c r="CO84" s="1222">
        <f>$G84*T84*Variables!$B$53*HLOOKUP($CO$2,Variables!$B$60:$F$61,2,FALSE)</f>
        <v>0</v>
      </c>
      <c r="CP84" s="1223">
        <f>$G84*U84*Variables!$B$53*HLOOKUP($CO$2,Variables!$B$60:$F$61,2,FALSE)</f>
        <v>0</v>
      </c>
      <c r="CQ84" s="1223">
        <f>$G84*V84*Variables!$B$53*HLOOKUP($CO$2,Variables!$B$60:$F$61,2,FALSE)</f>
        <v>0</v>
      </c>
      <c r="CR84" s="1223">
        <f>$G84*W84*Variables!$B$53*HLOOKUP($CO$2,Variables!$B$60:$F$61,2,FALSE)</f>
        <v>0</v>
      </c>
      <c r="CS84" s="1223">
        <f>$G84*X84*Variables!$B$53*HLOOKUP($CO$2,Variables!$B$60:$F$61,2,FALSE)</f>
        <v>0</v>
      </c>
      <c r="CT84" s="1223">
        <f>$G84*Y84*Variables!$B$53*HLOOKUP($CO$2,Variables!$B$60:$F$61,2,FALSE)</f>
        <v>0</v>
      </c>
      <c r="CU84" s="1223">
        <f>$G84*Z84*Variables!$B$53*HLOOKUP($CO$2,Variables!$B$60:$F$61,2,FALSE)</f>
        <v>0</v>
      </c>
      <c r="CV84" s="1223">
        <f>$G84*AA84*Variables!$B$53*HLOOKUP($CO$2,Variables!$B$60:$F$61,2,FALSE)</f>
        <v>0</v>
      </c>
      <c r="CW84" s="1223">
        <f>$G84*AB84*Variables!$B$53*HLOOKUP($CO$2,Variables!$B$60:$F$61,2,FALSE)</f>
        <v>0</v>
      </c>
      <c r="CX84" s="1223">
        <f>$G84*AC84*Variables!$B$53*HLOOKUP($CO$2,Variables!$B$60:$F$61,2,FALSE)</f>
        <v>0</v>
      </c>
      <c r="CY84" s="1223">
        <f>$G84*AD84*Variables!$B$53*HLOOKUP($CO$2,Variables!$B$60:$F$61,2,FALSE)</f>
        <v>0</v>
      </c>
      <c r="CZ84" s="1225">
        <f>$G84*AE84*Variables!$B$53*HLOOKUP($CO$2,Variables!$B$60:$F$61,2,FALSE)</f>
        <v>0</v>
      </c>
      <c r="DA84" s="1222">
        <f>$G84*AF84*Variables!$B$53*HLOOKUP($DA$2,Variables!$B$60:$F$61,2,FALSE)</f>
        <v>0</v>
      </c>
      <c r="DB84" s="1223">
        <f>$G84*AG84*Variables!$B$53*HLOOKUP($DA$2,Variables!$B$60:$F$61,2,FALSE)</f>
        <v>0</v>
      </c>
      <c r="DC84" s="1223">
        <f>$G84*AH84*Variables!$B$53*HLOOKUP($DA$2,Variables!$B$60:$F$61,2,FALSE)</f>
        <v>0</v>
      </c>
      <c r="DD84" s="1223">
        <f>$G84*AI84*Variables!$B$53*HLOOKUP($DA$2,Variables!$B$60:$F$61,2,FALSE)</f>
        <v>0</v>
      </c>
      <c r="DE84" s="1223">
        <f>$G84*AJ84*Variables!$B$53*HLOOKUP($DA$2,Variables!$B$60:$F$61,2,FALSE)</f>
        <v>0</v>
      </c>
      <c r="DF84" s="1223">
        <f>$G84*AK84*Variables!$B$53*HLOOKUP($DA$2,Variables!$B$60:$F$61,2,FALSE)</f>
        <v>0</v>
      </c>
      <c r="DG84" s="1223">
        <f>$G84*AL84*Variables!$B$53*HLOOKUP($DA$2,Variables!$B$60:$F$61,2,FALSE)</f>
        <v>0</v>
      </c>
      <c r="DH84" s="1223">
        <f>$G84*AM84*Variables!$B$53*HLOOKUP($DA$2,Variables!$B$60:$F$61,2,FALSE)</f>
        <v>0</v>
      </c>
      <c r="DI84" s="1223">
        <f>$G84*AN84*Variables!$B$53*HLOOKUP($DA$2,Variables!$B$60:$F$61,2,FALSE)</f>
        <v>0</v>
      </c>
      <c r="DJ84" s="1223">
        <f>$G84*AO84*Variables!$B$53*HLOOKUP($DA$2,Variables!$B$60:$F$61,2,FALSE)</f>
        <v>0</v>
      </c>
      <c r="DK84" s="1223">
        <f>$G84*AP84*Variables!$B$53*HLOOKUP($DA$2,Variables!$B$60:$F$61,2,FALSE)</f>
        <v>0</v>
      </c>
      <c r="DL84" s="1225">
        <f>$G84*AQ84*Variables!$B$53*HLOOKUP($DA$2,Variables!$B$60:$F$61,2,FALSE)</f>
        <v>0</v>
      </c>
      <c r="DM84" s="1222">
        <f>$G84*AR84*Variables!$B$53*HLOOKUP($DM$2,Variables!$B$60:$F$61,2,FALSE)</f>
        <v>0</v>
      </c>
      <c r="DN84" s="1223">
        <f>$G84*AS84*Variables!$B$53*HLOOKUP($DM$2,Variables!$B$60:$F$61,2,FALSE)</f>
        <v>0</v>
      </c>
      <c r="DO84" s="1223">
        <f>$G84*AT84*Variables!$B$53*HLOOKUP($DM$2,Variables!$B$60:$F$61,2,FALSE)</f>
        <v>0</v>
      </c>
      <c r="DP84" s="1223">
        <f>$G84*AU84*Variables!$B$53*HLOOKUP($DM$2,Variables!$B$60:$F$61,2,FALSE)</f>
        <v>0</v>
      </c>
      <c r="DQ84" s="1223">
        <f>$G84*AV84*Variables!$B$53*HLOOKUP($DM$2,Variables!$B$60:$F$61,2,FALSE)</f>
        <v>0</v>
      </c>
      <c r="DR84" s="1223">
        <f>$G84*AW84*Variables!$B$53*HLOOKUP($DM$2,Variables!$B$60:$F$61,2,FALSE)</f>
        <v>0</v>
      </c>
      <c r="DS84" s="1223">
        <f>$G84*AX84*Variables!$B$53*HLOOKUP($DM$2,Variables!$B$60:$F$61,2,FALSE)</f>
        <v>0</v>
      </c>
      <c r="DT84" s="1223">
        <f>$G84*AY84*Variables!$B$53*HLOOKUP($DM$2,Variables!$B$60:$F$61,2,FALSE)</f>
        <v>0</v>
      </c>
      <c r="DU84" s="1223">
        <f>$G84*AZ84*Variables!$B$53*HLOOKUP($DM$2,Variables!$B$60:$F$61,2,FALSE)</f>
        <v>0</v>
      </c>
      <c r="DV84" s="1223">
        <f>$G84*BA84*Variables!$B$53*HLOOKUP($DM$2,Variables!$B$60:$F$61,2,FALSE)</f>
        <v>0</v>
      </c>
      <c r="DW84" s="1223">
        <f>$G84*BB84*Variables!$B$53*HLOOKUP($DM$2,Variables!$B$60:$F$61,2,FALSE)</f>
        <v>0</v>
      </c>
      <c r="DX84" s="1225">
        <f>$G84*BC84*Variables!$B$53*HLOOKUP($DM$2,Variables!$B$60:$F$61,2,FALSE)</f>
        <v>0</v>
      </c>
      <c r="DY84" s="1222">
        <f>$G84*BD84*Variables!$B$53*HLOOKUP($DY$2,Variables!$B$60:$F$61,2,FALSE)</f>
        <v>0</v>
      </c>
      <c r="DZ84" s="1223">
        <f>$G84*BE84*Variables!$B$53*HLOOKUP($DY$2,Variables!$B$60:$F$61,2,FALSE)</f>
        <v>0</v>
      </c>
      <c r="EA84" s="1223">
        <f>$G84*BF84*Variables!$B$53*HLOOKUP($DY$2,Variables!$B$60:$F$61,2,FALSE)</f>
        <v>0</v>
      </c>
      <c r="EB84" s="1223">
        <f>$G84*BG84*Variables!$B$53*HLOOKUP($DY$2,Variables!$B$60:$F$61,2,FALSE)</f>
        <v>0</v>
      </c>
      <c r="EC84" s="1223">
        <f>$G84*BH84*Variables!$B$53*HLOOKUP($DY$2,Variables!$B$60:$F$61,2,FALSE)</f>
        <v>0</v>
      </c>
      <c r="ED84" s="1223">
        <f>$G84*BI84*Variables!$B$53*HLOOKUP($DY$2,Variables!$B$60:$F$61,2,FALSE)</f>
        <v>0</v>
      </c>
      <c r="EE84" s="1223">
        <f>$G84*BJ84*Variables!$B$53*HLOOKUP($DY$2,Variables!$B$60:$F$61,2,FALSE)</f>
        <v>0</v>
      </c>
      <c r="EF84" s="1223">
        <f>$G84*BK84*Variables!$B$53*HLOOKUP($DY$2,Variables!$B$60:$F$61,2,FALSE)</f>
        <v>0</v>
      </c>
      <c r="EG84" s="1223">
        <f>$G84*BL84*Variables!$B$53*HLOOKUP($DY$2,Variables!$B$60:$F$61,2,FALSE)</f>
        <v>0</v>
      </c>
      <c r="EH84" s="1223">
        <f>$G84*BM84*Variables!$B$53*HLOOKUP($DY$2,Variables!$B$60:$F$61,2,FALSE)</f>
        <v>0</v>
      </c>
      <c r="EI84" s="1223">
        <f>$G84*BN84*Variables!$B$53*HLOOKUP($DY$2,Variables!$B$60:$F$61,2,FALSE)</f>
        <v>0</v>
      </c>
      <c r="EJ84" s="1225">
        <f>$G84*BO84*Variables!$B$53*HLOOKUP($DY$2,Variables!$B$60:$F$61,2,FALSE)</f>
        <v>0</v>
      </c>
      <c r="EK84" s="1222">
        <f>$G84*BP84*Variables!$B$53*HLOOKUP($EK$2,Variables!$B$60:$F$61,2,FALSE)</f>
        <v>0</v>
      </c>
      <c r="EL84" s="1223">
        <f>$G84*BQ84*Variables!$B$53*HLOOKUP($EK$2,Variables!$B$60:$F$61,2,FALSE)</f>
        <v>0</v>
      </c>
      <c r="EM84" s="1223">
        <f>$G84*BR84*Variables!$B$53*HLOOKUP($EK$2,Variables!$B$60:$F$61,2,FALSE)</f>
        <v>0</v>
      </c>
      <c r="EN84" s="1223">
        <f>$G84*BS84*Variables!$B$53*HLOOKUP($EK$2,Variables!$B$60:$F$61,2,FALSE)</f>
        <v>0</v>
      </c>
      <c r="EO84" s="1223">
        <f>$G84*BT84*Variables!$B$53*HLOOKUP($EK$2,Variables!$B$60:$F$61,2,FALSE)</f>
        <v>0</v>
      </c>
      <c r="EP84" s="1223">
        <f>$G84*BU84*Variables!$B$53*HLOOKUP($EK$2,Variables!$B$60:$F$61,2,FALSE)</f>
        <v>0</v>
      </c>
      <c r="EQ84" s="1223">
        <f>$G84*BV84*Variables!$B$53*HLOOKUP($EK$2,Variables!$B$60:$F$61,2,FALSE)</f>
        <v>0</v>
      </c>
      <c r="ER84" s="1223">
        <f>$G84*BW84*Variables!$B$53*HLOOKUP($EK$2,Variables!$B$60:$F$61,2,FALSE)</f>
        <v>0</v>
      </c>
      <c r="ES84" s="1223">
        <f>$G84*BX84*Variables!$B$53*HLOOKUP($EK$2,Variables!$B$60:$F$61,2,FALSE)</f>
        <v>0</v>
      </c>
      <c r="ET84" s="1223">
        <f>$G84*BY84*Variables!$B$53*HLOOKUP($EK$2,Variables!$B$60:$F$61,2,FALSE)</f>
        <v>0</v>
      </c>
      <c r="EU84" s="1223">
        <f>$G84*BZ84*Variables!$B$53*HLOOKUP($EK$2,Variables!$B$60:$F$61,2,FALSE)</f>
        <v>0</v>
      </c>
      <c r="EV84" s="1225">
        <f>$G84*CA84*Variables!$B$53*HLOOKUP($EK$2,Variables!$B$60:$F$61,2,FALSE)</f>
        <v>0</v>
      </c>
      <c r="EW84" s="872">
        <f t="shared" si="15"/>
        <v>0</v>
      </c>
      <c r="EX84" s="872"/>
      <c r="EY84" s="872"/>
      <c r="EZ84" s="872"/>
      <c r="FA84" s="1332"/>
      <c r="FC84" s="958" t="str">
        <f t="shared" si="11"/>
        <v/>
      </c>
      <c r="FD84" s="959" t="str">
        <f t="shared" si="12"/>
        <v/>
      </c>
      <c r="FE84" s="959" t="s">
        <v>8407</v>
      </c>
      <c r="FF84" s="959" t="str">
        <f>IF(ISNA(VLOOKUP(FC84,Miscellaneous!E:F,2,0)),"",VLOOKUP(FC84,Miscellaneous!E:F,2,0))</f>
        <v/>
      </c>
      <c r="FG84" s="959" t="str">
        <f t="shared" si="13"/>
        <v/>
      </c>
      <c r="FH84" s="996">
        <f>IF($FG84="Opex",SUMIF('Monthly Summary'!$C$75:$N$75,"",CC84:CN84),SUMIF('Monthly Summary'!$C$74:$N$74,"",CC84:CN84))</f>
        <v>0</v>
      </c>
      <c r="FI84" s="996">
        <f>IF($FG84="Opex",SUMIF('Monthly Summary'!$O$75:$Z$75,"",CO84:CZ84),SUMIF('Monthly Summary'!$O$74:$Z$74,"",CO84:CZ84))</f>
        <v>0</v>
      </c>
      <c r="FJ84" s="996">
        <f>IF($FG84="Opex",SUMIF('Monthly Summary'!$AA$75:$AL$75,"",DA84:DL84),SUMIF('Monthly Summary'!$AA$74:$AL$74,"",DA84:DL84))</f>
        <v>0</v>
      </c>
      <c r="FK84" s="996">
        <f>IF($FG84="Opex",SUMIF('Monthly Summary'!$AM$75:$AX$75,"",DM84:DX84),SUMIF('Monthly Summary'!$AM$74:$AX$74,"",DM84:DX84))</f>
        <v>0</v>
      </c>
      <c r="FL84" s="996">
        <f>IF($FG84="Opex",SUMIF('Monthly Summary'!$AY$75:$BJ$75,"",DY84:EJ84),SUMIF('Monthly Summary'!$AY$74:$BJ$74,"",DY84:EJ84))</f>
        <v>0</v>
      </c>
      <c r="FM84" s="997">
        <f>IF($FG84="Opex",SUMIF('Monthly Summary'!$BK$75:$BV$75,"",EK84:EV84),SUMIF('Monthly Summary'!$BK$74:$BV$74,"",EK84:EV84))</f>
        <v>0</v>
      </c>
      <c r="FN84" s="997">
        <f t="shared" si="14"/>
        <v>0</v>
      </c>
    </row>
    <row r="85" spans="3:170">
      <c r="C85" s="757"/>
      <c r="D85" s="757"/>
      <c r="E85" s="758"/>
      <c r="F85" s="758"/>
      <c r="G85" s="758"/>
      <c r="H85" s="1215"/>
      <c r="I85" s="761"/>
      <c r="J85" s="761"/>
      <c r="K85" s="761"/>
      <c r="L85" s="761"/>
      <c r="M85" s="761"/>
      <c r="N85" s="761"/>
      <c r="O85" s="761"/>
      <c r="P85" s="761"/>
      <c r="Q85" s="761"/>
      <c r="R85" s="761"/>
      <c r="S85" s="1216"/>
      <c r="T85" s="1215"/>
      <c r="U85" s="761"/>
      <c r="V85" s="761"/>
      <c r="W85" s="761"/>
      <c r="X85" s="761"/>
      <c r="Y85" s="761"/>
      <c r="Z85" s="761"/>
      <c r="AA85" s="761"/>
      <c r="AB85" s="761"/>
      <c r="AC85" s="761"/>
      <c r="AD85" s="761"/>
      <c r="AE85" s="1216"/>
      <c r="AF85" s="1215"/>
      <c r="AG85" s="761"/>
      <c r="AH85" s="761"/>
      <c r="AI85" s="761"/>
      <c r="AJ85" s="761"/>
      <c r="AK85" s="761"/>
      <c r="AL85" s="761"/>
      <c r="AM85" s="761"/>
      <c r="AN85" s="761"/>
      <c r="AO85" s="761"/>
      <c r="AP85" s="761"/>
      <c r="AQ85" s="1216"/>
      <c r="AR85" s="1215"/>
      <c r="AS85" s="761"/>
      <c r="AT85" s="761"/>
      <c r="AU85" s="761"/>
      <c r="AV85" s="761"/>
      <c r="AW85" s="761"/>
      <c r="AX85" s="761"/>
      <c r="AY85" s="761"/>
      <c r="AZ85" s="761"/>
      <c r="BA85" s="761"/>
      <c r="BB85" s="761"/>
      <c r="BC85" s="1216"/>
      <c r="BD85" s="1215"/>
      <c r="BE85" s="761"/>
      <c r="BF85" s="761"/>
      <c r="BG85" s="761"/>
      <c r="BH85" s="761"/>
      <c r="BI85" s="761"/>
      <c r="BJ85" s="761"/>
      <c r="BK85" s="761"/>
      <c r="BL85" s="761"/>
      <c r="BM85" s="761"/>
      <c r="BN85" s="761"/>
      <c r="BO85" s="1216"/>
      <c r="BP85" s="1215"/>
      <c r="BQ85" s="761"/>
      <c r="BR85" s="761"/>
      <c r="BS85" s="761"/>
      <c r="BT85" s="761"/>
      <c r="BU85" s="761"/>
      <c r="BV85" s="761"/>
      <c r="BW85" s="761"/>
      <c r="BX85" s="761"/>
      <c r="BY85" s="761"/>
      <c r="BZ85" s="761"/>
      <c r="CA85" s="1216"/>
      <c r="CB85" s="747"/>
      <c r="CC85" s="1222">
        <f>$G85*H85*Variables!$B$53</f>
        <v>0</v>
      </c>
      <c r="CD85" s="1223">
        <f>$G85*I85*Variables!$B$53</f>
        <v>0</v>
      </c>
      <c r="CE85" s="1223">
        <f>$G85*J85*Variables!$B$53</f>
        <v>0</v>
      </c>
      <c r="CF85" s="1223">
        <f>$G85*K85*Variables!$B$53</f>
        <v>0</v>
      </c>
      <c r="CG85" s="1223">
        <f>$G85*L85*Variables!$B$53</f>
        <v>0</v>
      </c>
      <c r="CH85" s="1223">
        <f>$G85*M85*Variables!$B$53</f>
        <v>0</v>
      </c>
      <c r="CI85" s="1223">
        <f>$G85*N85*Variables!$B$53</f>
        <v>0</v>
      </c>
      <c r="CJ85" s="1223">
        <f>$G85*O85*Variables!$B$53</f>
        <v>0</v>
      </c>
      <c r="CK85" s="1223">
        <f>$G85*P85*Variables!$B$53</f>
        <v>0</v>
      </c>
      <c r="CL85" s="1223">
        <f>$G85*Q85*Variables!$B$53</f>
        <v>0</v>
      </c>
      <c r="CM85" s="1223">
        <f>$G85*R85*Variables!$B$53</f>
        <v>0</v>
      </c>
      <c r="CN85" s="1225">
        <f>$G85*S85*Variables!$B$53</f>
        <v>0</v>
      </c>
      <c r="CO85" s="1222">
        <f>$G85*T85*Variables!$B$53*HLOOKUP($CO$2,Variables!$B$60:$F$61,2,FALSE)</f>
        <v>0</v>
      </c>
      <c r="CP85" s="1223">
        <f>$G85*U85*Variables!$B$53*HLOOKUP($CO$2,Variables!$B$60:$F$61,2,FALSE)</f>
        <v>0</v>
      </c>
      <c r="CQ85" s="1223">
        <f>$G85*V85*Variables!$B$53*HLOOKUP($CO$2,Variables!$B$60:$F$61,2,FALSE)</f>
        <v>0</v>
      </c>
      <c r="CR85" s="1223">
        <f>$G85*W85*Variables!$B$53*HLOOKUP($CO$2,Variables!$B$60:$F$61,2,FALSE)</f>
        <v>0</v>
      </c>
      <c r="CS85" s="1223">
        <f>$G85*X85*Variables!$B$53*HLOOKUP($CO$2,Variables!$B$60:$F$61,2,FALSE)</f>
        <v>0</v>
      </c>
      <c r="CT85" s="1223">
        <f>$G85*Y85*Variables!$B$53*HLOOKUP($CO$2,Variables!$B$60:$F$61,2,FALSE)</f>
        <v>0</v>
      </c>
      <c r="CU85" s="1223">
        <f>$G85*Z85*Variables!$B$53*HLOOKUP($CO$2,Variables!$B$60:$F$61,2,FALSE)</f>
        <v>0</v>
      </c>
      <c r="CV85" s="1223">
        <f>$G85*AA85*Variables!$B$53*HLOOKUP($CO$2,Variables!$B$60:$F$61,2,FALSE)</f>
        <v>0</v>
      </c>
      <c r="CW85" s="1223">
        <f>$G85*AB85*Variables!$B$53*HLOOKUP($CO$2,Variables!$B$60:$F$61,2,FALSE)</f>
        <v>0</v>
      </c>
      <c r="CX85" s="1223">
        <f>$G85*AC85*Variables!$B$53*HLOOKUP($CO$2,Variables!$B$60:$F$61,2,FALSE)</f>
        <v>0</v>
      </c>
      <c r="CY85" s="1223">
        <f>$G85*AD85*Variables!$B$53*HLOOKUP($CO$2,Variables!$B$60:$F$61,2,FALSE)</f>
        <v>0</v>
      </c>
      <c r="CZ85" s="1225">
        <f>$G85*AE85*Variables!$B$53*HLOOKUP($CO$2,Variables!$B$60:$F$61,2,FALSE)</f>
        <v>0</v>
      </c>
      <c r="DA85" s="1222">
        <f>$G85*AF85*Variables!$B$53*HLOOKUP($DA$2,Variables!$B$60:$F$61,2,FALSE)</f>
        <v>0</v>
      </c>
      <c r="DB85" s="1223">
        <f>$G85*AG85*Variables!$B$53*HLOOKUP($DA$2,Variables!$B$60:$F$61,2,FALSE)</f>
        <v>0</v>
      </c>
      <c r="DC85" s="1223">
        <f>$G85*AH85*Variables!$B$53*HLOOKUP($DA$2,Variables!$B$60:$F$61,2,FALSE)</f>
        <v>0</v>
      </c>
      <c r="DD85" s="1223">
        <f>$G85*AI85*Variables!$B$53*HLOOKUP($DA$2,Variables!$B$60:$F$61,2,FALSE)</f>
        <v>0</v>
      </c>
      <c r="DE85" s="1223">
        <f>$G85*AJ85*Variables!$B$53*HLOOKUP($DA$2,Variables!$B$60:$F$61,2,FALSE)</f>
        <v>0</v>
      </c>
      <c r="DF85" s="1223">
        <f>$G85*AK85*Variables!$B$53*HLOOKUP($DA$2,Variables!$B$60:$F$61,2,FALSE)</f>
        <v>0</v>
      </c>
      <c r="DG85" s="1223">
        <f>$G85*AL85*Variables!$B$53*HLOOKUP($DA$2,Variables!$B$60:$F$61,2,FALSE)</f>
        <v>0</v>
      </c>
      <c r="DH85" s="1223">
        <f>$G85*AM85*Variables!$B$53*HLOOKUP($DA$2,Variables!$B$60:$F$61,2,FALSE)</f>
        <v>0</v>
      </c>
      <c r="DI85" s="1223">
        <f>$G85*AN85*Variables!$B$53*HLOOKUP($DA$2,Variables!$B$60:$F$61,2,FALSE)</f>
        <v>0</v>
      </c>
      <c r="DJ85" s="1223">
        <f>$G85*AO85*Variables!$B$53*HLOOKUP($DA$2,Variables!$B$60:$F$61,2,FALSE)</f>
        <v>0</v>
      </c>
      <c r="DK85" s="1223">
        <f>$G85*AP85*Variables!$B$53*HLOOKUP($DA$2,Variables!$B$60:$F$61,2,FALSE)</f>
        <v>0</v>
      </c>
      <c r="DL85" s="1225">
        <f>$G85*AQ85*Variables!$B$53*HLOOKUP($DA$2,Variables!$B$60:$F$61,2,FALSE)</f>
        <v>0</v>
      </c>
      <c r="DM85" s="1222">
        <f>$G85*AR85*Variables!$B$53*HLOOKUP($DM$2,Variables!$B$60:$F$61,2,FALSE)</f>
        <v>0</v>
      </c>
      <c r="DN85" s="1223">
        <f>$G85*AS85*Variables!$B$53*HLOOKUP($DM$2,Variables!$B$60:$F$61,2,FALSE)</f>
        <v>0</v>
      </c>
      <c r="DO85" s="1223">
        <f>$G85*AT85*Variables!$B$53*HLOOKUP($DM$2,Variables!$B$60:$F$61,2,FALSE)</f>
        <v>0</v>
      </c>
      <c r="DP85" s="1223">
        <f>$G85*AU85*Variables!$B$53*HLOOKUP($DM$2,Variables!$B$60:$F$61,2,FALSE)</f>
        <v>0</v>
      </c>
      <c r="DQ85" s="1223">
        <f>$G85*AV85*Variables!$B$53*HLOOKUP($DM$2,Variables!$B$60:$F$61,2,FALSE)</f>
        <v>0</v>
      </c>
      <c r="DR85" s="1223">
        <f>$G85*AW85*Variables!$B$53*HLOOKUP($DM$2,Variables!$B$60:$F$61,2,FALSE)</f>
        <v>0</v>
      </c>
      <c r="DS85" s="1223">
        <f>$G85*AX85*Variables!$B$53*HLOOKUP($DM$2,Variables!$B$60:$F$61,2,FALSE)</f>
        <v>0</v>
      </c>
      <c r="DT85" s="1223">
        <f>$G85*AY85*Variables!$B$53*HLOOKUP($DM$2,Variables!$B$60:$F$61,2,FALSE)</f>
        <v>0</v>
      </c>
      <c r="DU85" s="1223">
        <f>$G85*AZ85*Variables!$B$53*HLOOKUP($DM$2,Variables!$B$60:$F$61,2,FALSE)</f>
        <v>0</v>
      </c>
      <c r="DV85" s="1223">
        <f>$G85*BA85*Variables!$B$53*HLOOKUP($DM$2,Variables!$B$60:$F$61,2,FALSE)</f>
        <v>0</v>
      </c>
      <c r="DW85" s="1223">
        <f>$G85*BB85*Variables!$B$53*HLOOKUP($DM$2,Variables!$B$60:$F$61,2,FALSE)</f>
        <v>0</v>
      </c>
      <c r="DX85" s="1225">
        <f>$G85*BC85*Variables!$B$53*HLOOKUP($DM$2,Variables!$B$60:$F$61,2,FALSE)</f>
        <v>0</v>
      </c>
      <c r="DY85" s="1222">
        <f>$G85*BD85*Variables!$B$53*HLOOKUP($DY$2,Variables!$B$60:$F$61,2,FALSE)</f>
        <v>0</v>
      </c>
      <c r="DZ85" s="1223">
        <f>$G85*BE85*Variables!$B$53*HLOOKUP($DY$2,Variables!$B$60:$F$61,2,FALSE)</f>
        <v>0</v>
      </c>
      <c r="EA85" s="1223">
        <f>$G85*BF85*Variables!$B$53*HLOOKUP($DY$2,Variables!$B$60:$F$61,2,FALSE)</f>
        <v>0</v>
      </c>
      <c r="EB85" s="1223">
        <f>$G85*BG85*Variables!$B$53*HLOOKUP($DY$2,Variables!$B$60:$F$61,2,FALSE)</f>
        <v>0</v>
      </c>
      <c r="EC85" s="1223">
        <f>$G85*BH85*Variables!$B$53*HLOOKUP($DY$2,Variables!$B$60:$F$61,2,FALSE)</f>
        <v>0</v>
      </c>
      <c r="ED85" s="1223">
        <f>$G85*BI85*Variables!$B$53*HLOOKUP($DY$2,Variables!$B$60:$F$61,2,FALSE)</f>
        <v>0</v>
      </c>
      <c r="EE85" s="1223">
        <f>$G85*BJ85*Variables!$B$53*HLOOKUP($DY$2,Variables!$B$60:$F$61,2,FALSE)</f>
        <v>0</v>
      </c>
      <c r="EF85" s="1223">
        <f>$G85*BK85*Variables!$B$53*HLOOKUP($DY$2,Variables!$B$60:$F$61,2,FALSE)</f>
        <v>0</v>
      </c>
      <c r="EG85" s="1223">
        <f>$G85*BL85*Variables!$B$53*HLOOKUP($DY$2,Variables!$B$60:$F$61,2,FALSE)</f>
        <v>0</v>
      </c>
      <c r="EH85" s="1223">
        <f>$G85*BM85*Variables!$B$53*HLOOKUP($DY$2,Variables!$B$60:$F$61,2,FALSE)</f>
        <v>0</v>
      </c>
      <c r="EI85" s="1223">
        <f>$G85*BN85*Variables!$B$53*HLOOKUP($DY$2,Variables!$B$60:$F$61,2,FALSE)</f>
        <v>0</v>
      </c>
      <c r="EJ85" s="1225">
        <f>$G85*BO85*Variables!$B$53*HLOOKUP($DY$2,Variables!$B$60:$F$61,2,FALSE)</f>
        <v>0</v>
      </c>
      <c r="EK85" s="1222">
        <f>$G85*BP85*Variables!$B$53*HLOOKUP($EK$2,Variables!$B$60:$F$61,2,FALSE)</f>
        <v>0</v>
      </c>
      <c r="EL85" s="1223">
        <f>$G85*BQ85*Variables!$B$53*HLOOKUP($EK$2,Variables!$B$60:$F$61,2,FALSE)</f>
        <v>0</v>
      </c>
      <c r="EM85" s="1223">
        <f>$G85*BR85*Variables!$B$53*HLOOKUP($EK$2,Variables!$B$60:$F$61,2,FALSE)</f>
        <v>0</v>
      </c>
      <c r="EN85" s="1223">
        <f>$G85*BS85*Variables!$B$53*HLOOKUP($EK$2,Variables!$B$60:$F$61,2,FALSE)</f>
        <v>0</v>
      </c>
      <c r="EO85" s="1223">
        <f>$G85*BT85*Variables!$B$53*HLOOKUP($EK$2,Variables!$B$60:$F$61,2,FALSE)</f>
        <v>0</v>
      </c>
      <c r="EP85" s="1223">
        <f>$G85*BU85*Variables!$B$53*HLOOKUP($EK$2,Variables!$B$60:$F$61,2,FALSE)</f>
        <v>0</v>
      </c>
      <c r="EQ85" s="1223">
        <f>$G85*BV85*Variables!$B$53*HLOOKUP($EK$2,Variables!$B$60:$F$61,2,FALSE)</f>
        <v>0</v>
      </c>
      <c r="ER85" s="1223">
        <f>$G85*BW85*Variables!$B$53*HLOOKUP($EK$2,Variables!$B$60:$F$61,2,FALSE)</f>
        <v>0</v>
      </c>
      <c r="ES85" s="1223">
        <f>$G85*BX85*Variables!$B$53*HLOOKUP($EK$2,Variables!$B$60:$F$61,2,FALSE)</f>
        <v>0</v>
      </c>
      <c r="ET85" s="1223">
        <f>$G85*BY85*Variables!$B$53*HLOOKUP($EK$2,Variables!$B$60:$F$61,2,FALSE)</f>
        <v>0</v>
      </c>
      <c r="EU85" s="1223">
        <f>$G85*BZ85*Variables!$B$53*HLOOKUP($EK$2,Variables!$B$60:$F$61,2,FALSE)</f>
        <v>0</v>
      </c>
      <c r="EV85" s="1225">
        <f>$G85*CA85*Variables!$B$53*HLOOKUP($EK$2,Variables!$B$60:$F$61,2,FALSE)</f>
        <v>0</v>
      </c>
      <c r="EW85" s="872">
        <f t="shared" si="15"/>
        <v>0</v>
      </c>
      <c r="EX85" s="872"/>
      <c r="EY85" s="872"/>
      <c r="EZ85" s="872"/>
      <c r="FA85" s="1332"/>
      <c r="FC85" s="958" t="str">
        <f t="shared" si="11"/>
        <v/>
      </c>
      <c r="FD85" s="959" t="str">
        <f t="shared" si="12"/>
        <v/>
      </c>
      <c r="FE85" s="959" t="s">
        <v>8407</v>
      </c>
      <c r="FF85" s="959" t="str">
        <f>IF(ISNA(VLOOKUP(FC85,Miscellaneous!E:F,2,0)),"",VLOOKUP(FC85,Miscellaneous!E:F,2,0))</f>
        <v/>
      </c>
      <c r="FG85" s="959" t="str">
        <f t="shared" si="13"/>
        <v/>
      </c>
      <c r="FH85" s="996">
        <f>IF($FG85="Opex",SUMIF('Monthly Summary'!$C$75:$N$75,"",CC85:CN85),SUMIF('Monthly Summary'!$C$74:$N$74,"",CC85:CN85))</f>
        <v>0</v>
      </c>
      <c r="FI85" s="996">
        <f>IF($FG85="Opex",SUMIF('Monthly Summary'!$O$75:$Z$75,"",CO85:CZ85),SUMIF('Monthly Summary'!$O$74:$Z$74,"",CO85:CZ85))</f>
        <v>0</v>
      </c>
      <c r="FJ85" s="996">
        <f>IF($FG85="Opex",SUMIF('Monthly Summary'!$AA$75:$AL$75,"",DA85:DL85),SUMIF('Monthly Summary'!$AA$74:$AL$74,"",DA85:DL85))</f>
        <v>0</v>
      </c>
      <c r="FK85" s="996">
        <f>IF($FG85="Opex",SUMIF('Monthly Summary'!$AM$75:$AX$75,"",DM85:DX85),SUMIF('Monthly Summary'!$AM$74:$AX$74,"",DM85:DX85))</f>
        <v>0</v>
      </c>
      <c r="FL85" s="996">
        <f>IF($FG85="Opex",SUMIF('Monthly Summary'!$AY$75:$BJ$75,"",DY85:EJ85),SUMIF('Monthly Summary'!$AY$74:$BJ$74,"",DY85:EJ85))</f>
        <v>0</v>
      </c>
      <c r="FM85" s="997">
        <f>IF($FG85="Opex",SUMIF('Monthly Summary'!$BK$75:$BV$75,"",EK85:EV85),SUMIF('Monthly Summary'!$BK$74:$BV$74,"",EK85:EV85))</f>
        <v>0</v>
      </c>
      <c r="FN85" s="997">
        <f t="shared" si="14"/>
        <v>0</v>
      </c>
    </row>
    <row r="86" spans="3:170">
      <c r="C86" s="757"/>
      <c r="D86" s="757"/>
      <c r="E86" s="758"/>
      <c r="F86" s="758"/>
      <c r="G86" s="758"/>
      <c r="H86" s="1215"/>
      <c r="I86" s="761"/>
      <c r="J86" s="761"/>
      <c r="K86" s="761"/>
      <c r="L86" s="761"/>
      <c r="M86" s="761"/>
      <c r="N86" s="761"/>
      <c r="O86" s="761"/>
      <c r="P86" s="761"/>
      <c r="Q86" s="761"/>
      <c r="R86" s="761"/>
      <c r="S86" s="1216"/>
      <c r="T86" s="1215"/>
      <c r="U86" s="761"/>
      <c r="V86" s="761"/>
      <c r="W86" s="761"/>
      <c r="X86" s="761"/>
      <c r="Y86" s="761"/>
      <c r="Z86" s="761"/>
      <c r="AA86" s="761"/>
      <c r="AB86" s="761"/>
      <c r="AC86" s="761"/>
      <c r="AD86" s="761"/>
      <c r="AE86" s="1216"/>
      <c r="AF86" s="1215"/>
      <c r="AG86" s="761"/>
      <c r="AH86" s="761"/>
      <c r="AI86" s="761"/>
      <c r="AJ86" s="761"/>
      <c r="AK86" s="761"/>
      <c r="AL86" s="761"/>
      <c r="AM86" s="761"/>
      <c r="AN86" s="761"/>
      <c r="AO86" s="761"/>
      <c r="AP86" s="761"/>
      <c r="AQ86" s="1216"/>
      <c r="AR86" s="1215"/>
      <c r="AS86" s="761"/>
      <c r="AT86" s="761"/>
      <c r="AU86" s="761"/>
      <c r="AV86" s="761"/>
      <c r="AW86" s="761"/>
      <c r="AX86" s="761"/>
      <c r="AY86" s="761"/>
      <c r="AZ86" s="761"/>
      <c r="BA86" s="761"/>
      <c r="BB86" s="761"/>
      <c r="BC86" s="1216"/>
      <c r="BD86" s="1215"/>
      <c r="BE86" s="761"/>
      <c r="BF86" s="761"/>
      <c r="BG86" s="761"/>
      <c r="BH86" s="761"/>
      <c r="BI86" s="761"/>
      <c r="BJ86" s="761"/>
      <c r="BK86" s="761"/>
      <c r="BL86" s="761"/>
      <c r="BM86" s="761"/>
      <c r="BN86" s="761"/>
      <c r="BO86" s="1216"/>
      <c r="BP86" s="1215"/>
      <c r="BQ86" s="761"/>
      <c r="BR86" s="761"/>
      <c r="BS86" s="761"/>
      <c r="BT86" s="761"/>
      <c r="BU86" s="761"/>
      <c r="BV86" s="761"/>
      <c r="BW86" s="761"/>
      <c r="BX86" s="761"/>
      <c r="BY86" s="761"/>
      <c r="BZ86" s="761"/>
      <c r="CA86" s="1216"/>
      <c r="CB86" s="747"/>
      <c r="CC86" s="1222">
        <f>$G86*H86*Variables!$B$53</f>
        <v>0</v>
      </c>
      <c r="CD86" s="1223">
        <f>$G86*I86*Variables!$B$53</f>
        <v>0</v>
      </c>
      <c r="CE86" s="1223">
        <f>$G86*J86*Variables!$B$53</f>
        <v>0</v>
      </c>
      <c r="CF86" s="1223">
        <f>$G86*K86*Variables!$B$53</f>
        <v>0</v>
      </c>
      <c r="CG86" s="1223">
        <f>$G86*L86*Variables!$B$53</f>
        <v>0</v>
      </c>
      <c r="CH86" s="1223">
        <f>$G86*M86*Variables!$B$53</f>
        <v>0</v>
      </c>
      <c r="CI86" s="1223">
        <f>$G86*N86*Variables!$B$53</f>
        <v>0</v>
      </c>
      <c r="CJ86" s="1223">
        <f>$G86*O86*Variables!$B$53</f>
        <v>0</v>
      </c>
      <c r="CK86" s="1223">
        <f>$G86*P86*Variables!$B$53</f>
        <v>0</v>
      </c>
      <c r="CL86" s="1223">
        <f>$G86*Q86*Variables!$B$53</f>
        <v>0</v>
      </c>
      <c r="CM86" s="1223">
        <f>$G86*R86*Variables!$B$53</f>
        <v>0</v>
      </c>
      <c r="CN86" s="1225">
        <f>$G86*S86*Variables!$B$53</f>
        <v>0</v>
      </c>
      <c r="CO86" s="1222">
        <f>$G86*T86*Variables!$B$53*HLOOKUP($CO$2,Variables!$B$60:$F$61,2,FALSE)</f>
        <v>0</v>
      </c>
      <c r="CP86" s="1223">
        <f>$G86*U86*Variables!$B$53*HLOOKUP($CO$2,Variables!$B$60:$F$61,2,FALSE)</f>
        <v>0</v>
      </c>
      <c r="CQ86" s="1223">
        <f>$G86*V86*Variables!$B$53*HLOOKUP($CO$2,Variables!$B$60:$F$61,2,FALSE)</f>
        <v>0</v>
      </c>
      <c r="CR86" s="1223">
        <f>$G86*W86*Variables!$B$53*HLOOKUP($CO$2,Variables!$B$60:$F$61,2,FALSE)</f>
        <v>0</v>
      </c>
      <c r="CS86" s="1223">
        <f>$G86*X86*Variables!$B$53*HLOOKUP($CO$2,Variables!$B$60:$F$61,2,FALSE)</f>
        <v>0</v>
      </c>
      <c r="CT86" s="1223">
        <f>$G86*Y86*Variables!$B$53*HLOOKUP($CO$2,Variables!$B$60:$F$61,2,FALSE)</f>
        <v>0</v>
      </c>
      <c r="CU86" s="1223">
        <f>$G86*Z86*Variables!$B$53*HLOOKUP($CO$2,Variables!$B$60:$F$61,2,FALSE)</f>
        <v>0</v>
      </c>
      <c r="CV86" s="1223">
        <f>$G86*AA86*Variables!$B$53*HLOOKUP($CO$2,Variables!$B$60:$F$61,2,FALSE)</f>
        <v>0</v>
      </c>
      <c r="CW86" s="1223">
        <f>$G86*AB86*Variables!$B$53*HLOOKUP($CO$2,Variables!$B$60:$F$61,2,FALSE)</f>
        <v>0</v>
      </c>
      <c r="CX86" s="1223">
        <f>$G86*AC86*Variables!$B$53*HLOOKUP($CO$2,Variables!$B$60:$F$61,2,FALSE)</f>
        <v>0</v>
      </c>
      <c r="CY86" s="1223">
        <f>$G86*AD86*Variables!$B$53*HLOOKUP($CO$2,Variables!$B$60:$F$61,2,FALSE)</f>
        <v>0</v>
      </c>
      <c r="CZ86" s="1225">
        <f>$G86*AE86*Variables!$B$53*HLOOKUP($CO$2,Variables!$B$60:$F$61,2,FALSE)</f>
        <v>0</v>
      </c>
      <c r="DA86" s="1222">
        <f>$G86*AF86*Variables!$B$53*HLOOKUP($DA$2,Variables!$B$60:$F$61,2,FALSE)</f>
        <v>0</v>
      </c>
      <c r="DB86" s="1223">
        <f>$G86*AG86*Variables!$B$53*HLOOKUP($DA$2,Variables!$B$60:$F$61,2,FALSE)</f>
        <v>0</v>
      </c>
      <c r="DC86" s="1223">
        <f>$G86*AH86*Variables!$B$53*HLOOKUP($DA$2,Variables!$B$60:$F$61,2,FALSE)</f>
        <v>0</v>
      </c>
      <c r="DD86" s="1223">
        <f>$G86*AI86*Variables!$B$53*HLOOKUP($DA$2,Variables!$B$60:$F$61,2,FALSE)</f>
        <v>0</v>
      </c>
      <c r="DE86" s="1223">
        <f>$G86*AJ86*Variables!$B$53*HLOOKUP($DA$2,Variables!$B$60:$F$61,2,FALSE)</f>
        <v>0</v>
      </c>
      <c r="DF86" s="1223">
        <f>$G86*AK86*Variables!$B$53*HLOOKUP($DA$2,Variables!$B$60:$F$61,2,FALSE)</f>
        <v>0</v>
      </c>
      <c r="DG86" s="1223">
        <f>$G86*AL86*Variables!$B$53*HLOOKUP($DA$2,Variables!$B$60:$F$61,2,FALSE)</f>
        <v>0</v>
      </c>
      <c r="DH86" s="1223">
        <f>$G86*AM86*Variables!$B$53*HLOOKUP($DA$2,Variables!$B$60:$F$61,2,FALSE)</f>
        <v>0</v>
      </c>
      <c r="DI86" s="1223">
        <f>$G86*AN86*Variables!$B$53*HLOOKUP($DA$2,Variables!$B$60:$F$61,2,FALSE)</f>
        <v>0</v>
      </c>
      <c r="DJ86" s="1223">
        <f>$G86*AO86*Variables!$B$53*HLOOKUP($DA$2,Variables!$B$60:$F$61,2,FALSE)</f>
        <v>0</v>
      </c>
      <c r="DK86" s="1223">
        <f>$G86*AP86*Variables!$B$53*HLOOKUP($DA$2,Variables!$B$60:$F$61,2,FALSE)</f>
        <v>0</v>
      </c>
      <c r="DL86" s="1225">
        <f>$G86*AQ86*Variables!$B$53*HLOOKUP($DA$2,Variables!$B$60:$F$61,2,FALSE)</f>
        <v>0</v>
      </c>
      <c r="DM86" s="1222">
        <f>$G86*AR86*Variables!$B$53*HLOOKUP($DM$2,Variables!$B$60:$F$61,2,FALSE)</f>
        <v>0</v>
      </c>
      <c r="DN86" s="1223">
        <f>$G86*AS86*Variables!$B$53*HLOOKUP($DM$2,Variables!$B$60:$F$61,2,FALSE)</f>
        <v>0</v>
      </c>
      <c r="DO86" s="1223">
        <f>$G86*AT86*Variables!$B$53*HLOOKUP($DM$2,Variables!$B$60:$F$61,2,FALSE)</f>
        <v>0</v>
      </c>
      <c r="DP86" s="1223">
        <f>$G86*AU86*Variables!$B$53*HLOOKUP($DM$2,Variables!$B$60:$F$61,2,FALSE)</f>
        <v>0</v>
      </c>
      <c r="DQ86" s="1223">
        <f>$G86*AV86*Variables!$B$53*HLOOKUP($DM$2,Variables!$B$60:$F$61,2,FALSE)</f>
        <v>0</v>
      </c>
      <c r="DR86" s="1223">
        <f>$G86*AW86*Variables!$B$53*HLOOKUP($DM$2,Variables!$B$60:$F$61,2,FALSE)</f>
        <v>0</v>
      </c>
      <c r="DS86" s="1223">
        <f>$G86*AX86*Variables!$B$53*HLOOKUP($DM$2,Variables!$B$60:$F$61,2,FALSE)</f>
        <v>0</v>
      </c>
      <c r="DT86" s="1223">
        <f>$G86*AY86*Variables!$B$53*HLOOKUP($DM$2,Variables!$B$60:$F$61,2,FALSE)</f>
        <v>0</v>
      </c>
      <c r="DU86" s="1223">
        <f>$G86*AZ86*Variables!$B$53*HLOOKUP($DM$2,Variables!$B$60:$F$61,2,FALSE)</f>
        <v>0</v>
      </c>
      <c r="DV86" s="1223">
        <f>$G86*BA86*Variables!$B$53*HLOOKUP($DM$2,Variables!$B$60:$F$61,2,FALSE)</f>
        <v>0</v>
      </c>
      <c r="DW86" s="1223">
        <f>$G86*BB86*Variables!$B$53*HLOOKUP($DM$2,Variables!$B$60:$F$61,2,FALSE)</f>
        <v>0</v>
      </c>
      <c r="DX86" s="1225">
        <f>$G86*BC86*Variables!$B$53*HLOOKUP($DM$2,Variables!$B$60:$F$61,2,FALSE)</f>
        <v>0</v>
      </c>
      <c r="DY86" s="1222">
        <f>$G86*BD86*Variables!$B$53*HLOOKUP($DY$2,Variables!$B$60:$F$61,2,FALSE)</f>
        <v>0</v>
      </c>
      <c r="DZ86" s="1223">
        <f>$G86*BE86*Variables!$B$53*HLOOKUP($DY$2,Variables!$B$60:$F$61,2,FALSE)</f>
        <v>0</v>
      </c>
      <c r="EA86" s="1223">
        <f>$G86*BF86*Variables!$B$53*HLOOKUP($DY$2,Variables!$B$60:$F$61,2,FALSE)</f>
        <v>0</v>
      </c>
      <c r="EB86" s="1223">
        <f>$G86*BG86*Variables!$B$53*HLOOKUP($DY$2,Variables!$B$60:$F$61,2,FALSE)</f>
        <v>0</v>
      </c>
      <c r="EC86" s="1223">
        <f>$G86*BH86*Variables!$B$53*HLOOKUP($DY$2,Variables!$B$60:$F$61,2,FALSE)</f>
        <v>0</v>
      </c>
      <c r="ED86" s="1223">
        <f>$G86*BI86*Variables!$B$53*HLOOKUP($DY$2,Variables!$B$60:$F$61,2,FALSE)</f>
        <v>0</v>
      </c>
      <c r="EE86" s="1223">
        <f>$G86*BJ86*Variables!$B$53*HLOOKUP($DY$2,Variables!$B$60:$F$61,2,FALSE)</f>
        <v>0</v>
      </c>
      <c r="EF86" s="1223">
        <f>$G86*BK86*Variables!$B$53*HLOOKUP($DY$2,Variables!$B$60:$F$61,2,FALSE)</f>
        <v>0</v>
      </c>
      <c r="EG86" s="1223">
        <f>$G86*BL86*Variables!$B$53*HLOOKUP($DY$2,Variables!$B$60:$F$61,2,FALSE)</f>
        <v>0</v>
      </c>
      <c r="EH86" s="1223">
        <f>$G86*BM86*Variables!$B$53*HLOOKUP($DY$2,Variables!$B$60:$F$61,2,FALSE)</f>
        <v>0</v>
      </c>
      <c r="EI86" s="1223">
        <f>$G86*BN86*Variables!$B$53*HLOOKUP($DY$2,Variables!$B$60:$F$61,2,FALSE)</f>
        <v>0</v>
      </c>
      <c r="EJ86" s="1225">
        <f>$G86*BO86*Variables!$B$53*HLOOKUP($DY$2,Variables!$B$60:$F$61,2,FALSE)</f>
        <v>0</v>
      </c>
      <c r="EK86" s="1222">
        <f>$G86*BP86*Variables!$B$53*HLOOKUP($EK$2,Variables!$B$60:$F$61,2,FALSE)</f>
        <v>0</v>
      </c>
      <c r="EL86" s="1223">
        <f>$G86*BQ86*Variables!$B$53*HLOOKUP($EK$2,Variables!$B$60:$F$61,2,FALSE)</f>
        <v>0</v>
      </c>
      <c r="EM86" s="1223">
        <f>$G86*BR86*Variables!$B$53*HLOOKUP($EK$2,Variables!$B$60:$F$61,2,FALSE)</f>
        <v>0</v>
      </c>
      <c r="EN86" s="1223">
        <f>$G86*BS86*Variables!$B$53*HLOOKUP($EK$2,Variables!$B$60:$F$61,2,FALSE)</f>
        <v>0</v>
      </c>
      <c r="EO86" s="1223">
        <f>$G86*BT86*Variables!$B$53*HLOOKUP($EK$2,Variables!$B$60:$F$61,2,FALSE)</f>
        <v>0</v>
      </c>
      <c r="EP86" s="1223">
        <f>$G86*BU86*Variables!$B$53*HLOOKUP($EK$2,Variables!$B$60:$F$61,2,FALSE)</f>
        <v>0</v>
      </c>
      <c r="EQ86" s="1223">
        <f>$G86*BV86*Variables!$B$53*HLOOKUP($EK$2,Variables!$B$60:$F$61,2,FALSE)</f>
        <v>0</v>
      </c>
      <c r="ER86" s="1223">
        <f>$G86*BW86*Variables!$B$53*HLOOKUP($EK$2,Variables!$B$60:$F$61,2,FALSE)</f>
        <v>0</v>
      </c>
      <c r="ES86" s="1223">
        <f>$G86*BX86*Variables!$B$53*HLOOKUP($EK$2,Variables!$B$60:$F$61,2,FALSE)</f>
        <v>0</v>
      </c>
      <c r="ET86" s="1223">
        <f>$G86*BY86*Variables!$B$53*HLOOKUP($EK$2,Variables!$B$60:$F$61,2,FALSE)</f>
        <v>0</v>
      </c>
      <c r="EU86" s="1223">
        <f>$G86*BZ86*Variables!$B$53*HLOOKUP($EK$2,Variables!$B$60:$F$61,2,FALSE)</f>
        <v>0</v>
      </c>
      <c r="EV86" s="1225">
        <f>$G86*CA86*Variables!$B$53*HLOOKUP($EK$2,Variables!$B$60:$F$61,2,FALSE)</f>
        <v>0</v>
      </c>
      <c r="EW86" s="872">
        <f t="shared" si="15"/>
        <v>0</v>
      </c>
      <c r="EX86" s="872"/>
      <c r="EY86" s="872"/>
      <c r="EZ86" s="872"/>
      <c r="FA86" s="1332"/>
      <c r="FC86" s="958" t="str">
        <f t="shared" si="11"/>
        <v/>
      </c>
      <c r="FD86" s="959" t="str">
        <f t="shared" si="12"/>
        <v/>
      </c>
      <c r="FE86" s="959" t="s">
        <v>8407</v>
      </c>
      <c r="FF86" s="959" t="str">
        <f>IF(ISNA(VLOOKUP(FC86,Miscellaneous!E:F,2,0)),"",VLOOKUP(FC86,Miscellaneous!E:F,2,0))</f>
        <v/>
      </c>
      <c r="FG86" s="959" t="str">
        <f t="shared" si="13"/>
        <v/>
      </c>
      <c r="FH86" s="996">
        <f>IF($FG86="Opex",SUMIF('Monthly Summary'!$C$75:$N$75,"",CC86:CN86),SUMIF('Monthly Summary'!$C$74:$N$74,"",CC86:CN86))</f>
        <v>0</v>
      </c>
      <c r="FI86" s="996">
        <f>IF($FG86="Opex",SUMIF('Monthly Summary'!$O$75:$Z$75,"",CO86:CZ86),SUMIF('Monthly Summary'!$O$74:$Z$74,"",CO86:CZ86))</f>
        <v>0</v>
      </c>
      <c r="FJ86" s="996">
        <f>IF($FG86="Opex",SUMIF('Monthly Summary'!$AA$75:$AL$75,"",DA86:DL86),SUMIF('Monthly Summary'!$AA$74:$AL$74,"",DA86:DL86))</f>
        <v>0</v>
      </c>
      <c r="FK86" s="996">
        <f>IF($FG86="Opex",SUMIF('Monthly Summary'!$AM$75:$AX$75,"",DM86:DX86),SUMIF('Monthly Summary'!$AM$74:$AX$74,"",DM86:DX86))</f>
        <v>0</v>
      </c>
      <c r="FL86" s="996">
        <f>IF($FG86="Opex",SUMIF('Monthly Summary'!$AY$75:$BJ$75,"",DY86:EJ86),SUMIF('Monthly Summary'!$AY$74:$BJ$74,"",DY86:EJ86))</f>
        <v>0</v>
      </c>
      <c r="FM86" s="997">
        <f>IF($FG86="Opex",SUMIF('Monthly Summary'!$BK$75:$BV$75,"",EK86:EV86),SUMIF('Monthly Summary'!$BK$74:$BV$74,"",EK86:EV86))</f>
        <v>0</v>
      </c>
      <c r="FN86" s="997">
        <f t="shared" si="14"/>
        <v>0</v>
      </c>
    </row>
    <row r="87" spans="3:170">
      <c r="C87" s="757"/>
      <c r="D87" s="757"/>
      <c r="E87" s="758"/>
      <c r="F87" s="758"/>
      <c r="G87" s="758"/>
      <c r="H87" s="1215"/>
      <c r="I87" s="761"/>
      <c r="J87" s="761"/>
      <c r="K87" s="761"/>
      <c r="L87" s="761"/>
      <c r="M87" s="761"/>
      <c r="N87" s="761"/>
      <c r="O87" s="761"/>
      <c r="P87" s="761"/>
      <c r="Q87" s="761"/>
      <c r="R87" s="761"/>
      <c r="S87" s="1216"/>
      <c r="T87" s="1215"/>
      <c r="U87" s="761"/>
      <c r="V87" s="761"/>
      <c r="W87" s="761"/>
      <c r="X87" s="761"/>
      <c r="Y87" s="761"/>
      <c r="Z87" s="761"/>
      <c r="AA87" s="761"/>
      <c r="AB87" s="761"/>
      <c r="AC87" s="761"/>
      <c r="AD87" s="761"/>
      <c r="AE87" s="1216"/>
      <c r="AF87" s="1215"/>
      <c r="AG87" s="761"/>
      <c r="AH87" s="761"/>
      <c r="AI87" s="761"/>
      <c r="AJ87" s="761"/>
      <c r="AK87" s="761"/>
      <c r="AL87" s="761"/>
      <c r="AM87" s="761"/>
      <c r="AN87" s="761"/>
      <c r="AO87" s="761"/>
      <c r="AP87" s="761"/>
      <c r="AQ87" s="1216"/>
      <c r="AR87" s="1215"/>
      <c r="AS87" s="761"/>
      <c r="AT87" s="761"/>
      <c r="AU87" s="761"/>
      <c r="AV87" s="761"/>
      <c r="AW87" s="761"/>
      <c r="AX87" s="761"/>
      <c r="AY87" s="761"/>
      <c r="AZ87" s="761"/>
      <c r="BA87" s="761"/>
      <c r="BB87" s="761"/>
      <c r="BC87" s="1216"/>
      <c r="BD87" s="1215"/>
      <c r="BE87" s="761"/>
      <c r="BF87" s="761"/>
      <c r="BG87" s="761"/>
      <c r="BH87" s="761"/>
      <c r="BI87" s="761"/>
      <c r="BJ87" s="761"/>
      <c r="BK87" s="761"/>
      <c r="BL87" s="761"/>
      <c r="BM87" s="761"/>
      <c r="BN87" s="761"/>
      <c r="BO87" s="1216"/>
      <c r="BP87" s="1215"/>
      <c r="BQ87" s="761"/>
      <c r="BR87" s="761"/>
      <c r="BS87" s="761"/>
      <c r="BT87" s="761"/>
      <c r="BU87" s="761"/>
      <c r="BV87" s="761"/>
      <c r="BW87" s="761"/>
      <c r="BX87" s="761"/>
      <c r="BY87" s="761"/>
      <c r="BZ87" s="761"/>
      <c r="CA87" s="1216"/>
      <c r="CB87" s="747"/>
      <c r="CC87" s="1222">
        <f>$G87*H87*Variables!$B$53</f>
        <v>0</v>
      </c>
      <c r="CD87" s="1223">
        <f>$G87*I87*Variables!$B$53</f>
        <v>0</v>
      </c>
      <c r="CE87" s="1223">
        <f>$G87*J87*Variables!$B$53</f>
        <v>0</v>
      </c>
      <c r="CF87" s="1223">
        <f>$G87*K87*Variables!$B$53</f>
        <v>0</v>
      </c>
      <c r="CG87" s="1223">
        <f>$G87*L87*Variables!$B$53</f>
        <v>0</v>
      </c>
      <c r="CH87" s="1223">
        <f>$G87*M87*Variables!$B$53</f>
        <v>0</v>
      </c>
      <c r="CI87" s="1223">
        <f>$G87*N87*Variables!$B$53</f>
        <v>0</v>
      </c>
      <c r="CJ87" s="1223">
        <f>$G87*O87*Variables!$B$53</f>
        <v>0</v>
      </c>
      <c r="CK87" s="1223">
        <f>$G87*P87*Variables!$B$53</f>
        <v>0</v>
      </c>
      <c r="CL87" s="1223">
        <f>$G87*Q87*Variables!$B$53</f>
        <v>0</v>
      </c>
      <c r="CM87" s="1223">
        <f>$G87*R87*Variables!$B$53</f>
        <v>0</v>
      </c>
      <c r="CN87" s="1225">
        <f>$G87*S87*Variables!$B$53</f>
        <v>0</v>
      </c>
      <c r="CO87" s="1222">
        <f>$G87*T87*Variables!$B$53*HLOOKUP($CO$2,Variables!$B$60:$F$61,2,FALSE)</f>
        <v>0</v>
      </c>
      <c r="CP87" s="1223">
        <f>$G87*U87*Variables!$B$53*HLOOKUP($CO$2,Variables!$B$60:$F$61,2,FALSE)</f>
        <v>0</v>
      </c>
      <c r="CQ87" s="1223">
        <f>$G87*V87*Variables!$B$53*HLOOKUP($CO$2,Variables!$B$60:$F$61,2,FALSE)</f>
        <v>0</v>
      </c>
      <c r="CR87" s="1223">
        <f>$G87*W87*Variables!$B$53*HLOOKUP($CO$2,Variables!$B$60:$F$61,2,FALSE)</f>
        <v>0</v>
      </c>
      <c r="CS87" s="1223">
        <f>$G87*X87*Variables!$B$53*HLOOKUP($CO$2,Variables!$B$60:$F$61,2,FALSE)</f>
        <v>0</v>
      </c>
      <c r="CT87" s="1223">
        <f>$G87*Y87*Variables!$B$53*HLOOKUP($CO$2,Variables!$B$60:$F$61,2,FALSE)</f>
        <v>0</v>
      </c>
      <c r="CU87" s="1223">
        <f>$G87*Z87*Variables!$B$53*HLOOKUP($CO$2,Variables!$B$60:$F$61,2,FALSE)</f>
        <v>0</v>
      </c>
      <c r="CV87" s="1223">
        <f>$G87*AA87*Variables!$B$53*HLOOKUP($CO$2,Variables!$B$60:$F$61,2,FALSE)</f>
        <v>0</v>
      </c>
      <c r="CW87" s="1223">
        <f>$G87*AB87*Variables!$B$53*HLOOKUP($CO$2,Variables!$B$60:$F$61,2,FALSE)</f>
        <v>0</v>
      </c>
      <c r="CX87" s="1223">
        <f>$G87*AC87*Variables!$B$53*HLOOKUP($CO$2,Variables!$B$60:$F$61,2,FALSE)</f>
        <v>0</v>
      </c>
      <c r="CY87" s="1223">
        <f>$G87*AD87*Variables!$B$53*HLOOKUP($CO$2,Variables!$B$60:$F$61,2,FALSE)</f>
        <v>0</v>
      </c>
      <c r="CZ87" s="1225">
        <f>$G87*AE87*Variables!$B$53*HLOOKUP($CO$2,Variables!$B$60:$F$61,2,FALSE)</f>
        <v>0</v>
      </c>
      <c r="DA87" s="1222">
        <f>$G87*AF87*Variables!$B$53*HLOOKUP($DA$2,Variables!$B$60:$F$61,2,FALSE)</f>
        <v>0</v>
      </c>
      <c r="DB87" s="1223">
        <f>$G87*AG87*Variables!$B$53*HLOOKUP($DA$2,Variables!$B$60:$F$61,2,FALSE)</f>
        <v>0</v>
      </c>
      <c r="DC87" s="1223">
        <f>$G87*AH87*Variables!$B$53*HLOOKUP($DA$2,Variables!$B$60:$F$61,2,FALSE)</f>
        <v>0</v>
      </c>
      <c r="DD87" s="1223">
        <f>$G87*AI87*Variables!$B$53*HLOOKUP($DA$2,Variables!$B$60:$F$61,2,FALSE)</f>
        <v>0</v>
      </c>
      <c r="DE87" s="1223">
        <f>$G87*AJ87*Variables!$B$53*HLOOKUP($DA$2,Variables!$B$60:$F$61,2,FALSE)</f>
        <v>0</v>
      </c>
      <c r="DF87" s="1223">
        <f>$G87*AK87*Variables!$B$53*HLOOKUP($DA$2,Variables!$B$60:$F$61,2,FALSE)</f>
        <v>0</v>
      </c>
      <c r="DG87" s="1223">
        <f>$G87*AL87*Variables!$B$53*HLOOKUP($DA$2,Variables!$B$60:$F$61,2,FALSE)</f>
        <v>0</v>
      </c>
      <c r="DH87" s="1223">
        <f>$G87*AM87*Variables!$B$53*HLOOKUP($DA$2,Variables!$B$60:$F$61,2,FALSE)</f>
        <v>0</v>
      </c>
      <c r="DI87" s="1223">
        <f>$G87*AN87*Variables!$B$53*HLOOKUP($DA$2,Variables!$B$60:$F$61,2,FALSE)</f>
        <v>0</v>
      </c>
      <c r="DJ87" s="1223">
        <f>$G87*AO87*Variables!$B$53*HLOOKUP($DA$2,Variables!$B$60:$F$61,2,FALSE)</f>
        <v>0</v>
      </c>
      <c r="DK87" s="1223">
        <f>$G87*AP87*Variables!$B$53*HLOOKUP($DA$2,Variables!$B$60:$F$61,2,FALSE)</f>
        <v>0</v>
      </c>
      <c r="DL87" s="1225">
        <f>$G87*AQ87*Variables!$B$53*HLOOKUP($DA$2,Variables!$B$60:$F$61,2,FALSE)</f>
        <v>0</v>
      </c>
      <c r="DM87" s="1222">
        <f>$G87*AR87*Variables!$B$53*HLOOKUP($DM$2,Variables!$B$60:$F$61,2,FALSE)</f>
        <v>0</v>
      </c>
      <c r="DN87" s="1223">
        <f>$G87*AS87*Variables!$B$53*HLOOKUP($DM$2,Variables!$B$60:$F$61,2,FALSE)</f>
        <v>0</v>
      </c>
      <c r="DO87" s="1223">
        <f>$G87*AT87*Variables!$B$53*HLOOKUP($DM$2,Variables!$B$60:$F$61,2,FALSE)</f>
        <v>0</v>
      </c>
      <c r="DP87" s="1223">
        <f>$G87*AU87*Variables!$B$53*HLOOKUP($DM$2,Variables!$B$60:$F$61,2,FALSE)</f>
        <v>0</v>
      </c>
      <c r="DQ87" s="1223">
        <f>$G87*AV87*Variables!$B$53*HLOOKUP($DM$2,Variables!$B$60:$F$61,2,FALSE)</f>
        <v>0</v>
      </c>
      <c r="DR87" s="1223">
        <f>$G87*AW87*Variables!$B$53*HLOOKUP($DM$2,Variables!$B$60:$F$61,2,FALSE)</f>
        <v>0</v>
      </c>
      <c r="DS87" s="1223">
        <f>$G87*AX87*Variables!$B$53*HLOOKUP($DM$2,Variables!$B$60:$F$61,2,FALSE)</f>
        <v>0</v>
      </c>
      <c r="DT87" s="1223">
        <f>$G87*AY87*Variables!$B$53*HLOOKUP($DM$2,Variables!$B$60:$F$61,2,FALSE)</f>
        <v>0</v>
      </c>
      <c r="DU87" s="1223">
        <f>$G87*AZ87*Variables!$B$53*HLOOKUP($DM$2,Variables!$B$60:$F$61,2,FALSE)</f>
        <v>0</v>
      </c>
      <c r="DV87" s="1223">
        <f>$G87*BA87*Variables!$B$53*HLOOKUP($DM$2,Variables!$B$60:$F$61,2,FALSE)</f>
        <v>0</v>
      </c>
      <c r="DW87" s="1223">
        <f>$G87*BB87*Variables!$B$53*HLOOKUP($DM$2,Variables!$B$60:$F$61,2,FALSE)</f>
        <v>0</v>
      </c>
      <c r="DX87" s="1225">
        <f>$G87*BC87*Variables!$B$53*HLOOKUP($DM$2,Variables!$B$60:$F$61,2,FALSE)</f>
        <v>0</v>
      </c>
      <c r="DY87" s="1222">
        <f>$G87*BD87*Variables!$B$53*HLOOKUP($DY$2,Variables!$B$60:$F$61,2,FALSE)</f>
        <v>0</v>
      </c>
      <c r="DZ87" s="1223">
        <f>$G87*BE87*Variables!$B$53*HLOOKUP($DY$2,Variables!$B$60:$F$61,2,FALSE)</f>
        <v>0</v>
      </c>
      <c r="EA87" s="1223">
        <f>$G87*BF87*Variables!$B$53*HLOOKUP($DY$2,Variables!$B$60:$F$61,2,FALSE)</f>
        <v>0</v>
      </c>
      <c r="EB87" s="1223">
        <f>$G87*BG87*Variables!$B$53*HLOOKUP($DY$2,Variables!$B$60:$F$61,2,FALSE)</f>
        <v>0</v>
      </c>
      <c r="EC87" s="1223">
        <f>$G87*BH87*Variables!$B$53*HLOOKUP($DY$2,Variables!$B$60:$F$61,2,FALSE)</f>
        <v>0</v>
      </c>
      <c r="ED87" s="1223">
        <f>$G87*BI87*Variables!$B$53*HLOOKUP($DY$2,Variables!$B$60:$F$61,2,FALSE)</f>
        <v>0</v>
      </c>
      <c r="EE87" s="1223">
        <f>$G87*BJ87*Variables!$B$53*HLOOKUP($DY$2,Variables!$B$60:$F$61,2,FALSE)</f>
        <v>0</v>
      </c>
      <c r="EF87" s="1223">
        <f>$G87*BK87*Variables!$B$53*HLOOKUP($DY$2,Variables!$B$60:$F$61,2,FALSE)</f>
        <v>0</v>
      </c>
      <c r="EG87" s="1223">
        <f>$G87*BL87*Variables!$B$53*HLOOKUP($DY$2,Variables!$B$60:$F$61,2,FALSE)</f>
        <v>0</v>
      </c>
      <c r="EH87" s="1223">
        <f>$G87*BM87*Variables!$B$53*HLOOKUP($DY$2,Variables!$B$60:$F$61,2,FALSE)</f>
        <v>0</v>
      </c>
      <c r="EI87" s="1223">
        <f>$G87*BN87*Variables!$B$53*HLOOKUP($DY$2,Variables!$B$60:$F$61,2,FALSE)</f>
        <v>0</v>
      </c>
      <c r="EJ87" s="1225">
        <f>$G87*BO87*Variables!$B$53*HLOOKUP($DY$2,Variables!$B$60:$F$61,2,FALSE)</f>
        <v>0</v>
      </c>
      <c r="EK87" s="1222">
        <f>$G87*BP87*Variables!$B$53*HLOOKUP($EK$2,Variables!$B$60:$F$61,2,FALSE)</f>
        <v>0</v>
      </c>
      <c r="EL87" s="1223">
        <f>$G87*BQ87*Variables!$B$53*HLOOKUP($EK$2,Variables!$B$60:$F$61,2,FALSE)</f>
        <v>0</v>
      </c>
      <c r="EM87" s="1223">
        <f>$G87*BR87*Variables!$B$53*HLOOKUP($EK$2,Variables!$B$60:$F$61,2,FALSE)</f>
        <v>0</v>
      </c>
      <c r="EN87" s="1223">
        <f>$G87*BS87*Variables!$B$53*HLOOKUP($EK$2,Variables!$B$60:$F$61,2,FALSE)</f>
        <v>0</v>
      </c>
      <c r="EO87" s="1223">
        <f>$G87*BT87*Variables!$B$53*HLOOKUP($EK$2,Variables!$B$60:$F$61,2,FALSE)</f>
        <v>0</v>
      </c>
      <c r="EP87" s="1223">
        <f>$G87*BU87*Variables!$B$53*HLOOKUP($EK$2,Variables!$B$60:$F$61,2,FALSE)</f>
        <v>0</v>
      </c>
      <c r="EQ87" s="1223">
        <f>$G87*BV87*Variables!$B$53*HLOOKUP($EK$2,Variables!$B$60:$F$61,2,FALSE)</f>
        <v>0</v>
      </c>
      <c r="ER87" s="1223">
        <f>$G87*BW87*Variables!$B$53*HLOOKUP($EK$2,Variables!$B$60:$F$61,2,FALSE)</f>
        <v>0</v>
      </c>
      <c r="ES87" s="1223">
        <f>$G87*BX87*Variables!$B$53*HLOOKUP($EK$2,Variables!$B$60:$F$61,2,FALSE)</f>
        <v>0</v>
      </c>
      <c r="ET87" s="1223">
        <f>$G87*BY87*Variables!$B$53*HLOOKUP($EK$2,Variables!$B$60:$F$61,2,FALSE)</f>
        <v>0</v>
      </c>
      <c r="EU87" s="1223">
        <f>$G87*BZ87*Variables!$B$53*HLOOKUP($EK$2,Variables!$B$60:$F$61,2,FALSE)</f>
        <v>0</v>
      </c>
      <c r="EV87" s="1225">
        <f>$G87*CA87*Variables!$B$53*HLOOKUP($EK$2,Variables!$B$60:$F$61,2,FALSE)</f>
        <v>0</v>
      </c>
      <c r="EW87" s="872">
        <f t="shared" si="15"/>
        <v>0</v>
      </c>
      <c r="EX87" s="872"/>
      <c r="EY87" s="872"/>
      <c r="EZ87" s="872"/>
      <c r="FA87" s="1332"/>
      <c r="FC87" s="958" t="str">
        <f t="shared" si="11"/>
        <v/>
      </c>
      <c r="FD87" s="959" t="str">
        <f t="shared" si="12"/>
        <v/>
      </c>
      <c r="FE87" s="959" t="s">
        <v>8407</v>
      </c>
      <c r="FF87" s="959" t="str">
        <f>IF(ISNA(VLOOKUP(FC87,Miscellaneous!E:F,2,0)),"",VLOOKUP(FC87,Miscellaneous!E:F,2,0))</f>
        <v/>
      </c>
      <c r="FG87" s="959" t="str">
        <f t="shared" si="13"/>
        <v/>
      </c>
      <c r="FH87" s="996">
        <f>IF($FG87="Opex",SUMIF('Monthly Summary'!$C$75:$N$75,"",CC87:CN87),SUMIF('Monthly Summary'!$C$74:$N$74,"",CC87:CN87))</f>
        <v>0</v>
      </c>
      <c r="FI87" s="996">
        <f>IF($FG87="Opex",SUMIF('Monthly Summary'!$O$75:$Z$75,"",CO87:CZ87),SUMIF('Monthly Summary'!$O$74:$Z$74,"",CO87:CZ87))</f>
        <v>0</v>
      </c>
      <c r="FJ87" s="996">
        <f>IF($FG87="Opex",SUMIF('Monthly Summary'!$AA$75:$AL$75,"",DA87:DL87),SUMIF('Monthly Summary'!$AA$74:$AL$74,"",DA87:DL87))</f>
        <v>0</v>
      </c>
      <c r="FK87" s="996">
        <f>IF($FG87="Opex",SUMIF('Monthly Summary'!$AM$75:$AX$75,"",DM87:DX87),SUMIF('Monthly Summary'!$AM$74:$AX$74,"",DM87:DX87))</f>
        <v>0</v>
      </c>
      <c r="FL87" s="996">
        <f>IF($FG87="Opex",SUMIF('Monthly Summary'!$AY$75:$BJ$75,"",DY87:EJ87),SUMIF('Monthly Summary'!$AY$74:$BJ$74,"",DY87:EJ87))</f>
        <v>0</v>
      </c>
      <c r="FM87" s="997">
        <f>IF($FG87="Opex",SUMIF('Monthly Summary'!$BK$75:$BV$75,"",EK87:EV87),SUMIF('Monthly Summary'!$BK$74:$BV$74,"",EK87:EV87))</f>
        <v>0</v>
      </c>
      <c r="FN87" s="997">
        <f t="shared" si="14"/>
        <v>0</v>
      </c>
    </row>
    <row r="88" spans="3:170">
      <c r="C88" s="757"/>
      <c r="D88" s="757"/>
      <c r="E88" s="758"/>
      <c r="F88" s="758"/>
      <c r="G88" s="758"/>
      <c r="H88" s="1215"/>
      <c r="I88" s="761"/>
      <c r="J88" s="761"/>
      <c r="K88" s="761"/>
      <c r="L88" s="761"/>
      <c r="M88" s="761"/>
      <c r="N88" s="761"/>
      <c r="O88" s="761"/>
      <c r="P88" s="761"/>
      <c r="Q88" s="761"/>
      <c r="R88" s="761"/>
      <c r="S88" s="1216"/>
      <c r="T88" s="1215"/>
      <c r="U88" s="761"/>
      <c r="V88" s="761"/>
      <c r="W88" s="761"/>
      <c r="X88" s="761"/>
      <c r="Y88" s="761"/>
      <c r="Z88" s="761"/>
      <c r="AA88" s="761"/>
      <c r="AB88" s="761"/>
      <c r="AC88" s="761"/>
      <c r="AD88" s="761"/>
      <c r="AE88" s="1216"/>
      <c r="AF88" s="1215"/>
      <c r="AG88" s="761"/>
      <c r="AH88" s="761"/>
      <c r="AI88" s="761"/>
      <c r="AJ88" s="761"/>
      <c r="AK88" s="761"/>
      <c r="AL88" s="761"/>
      <c r="AM88" s="761"/>
      <c r="AN88" s="761"/>
      <c r="AO88" s="761"/>
      <c r="AP88" s="761"/>
      <c r="AQ88" s="1216"/>
      <c r="AR88" s="1215"/>
      <c r="AS88" s="761"/>
      <c r="AT88" s="761"/>
      <c r="AU88" s="761"/>
      <c r="AV88" s="761"/>
      <c r="AW88" s="761"/>
      <c r="AX88" s="761"/>
      <c r="AY88" s="761"/>
      <c r="AZ88" s="761"/>
      <c r="BA88" s="761"/>
      <c r="BB88" s="761"/>
      <c r="BC88" s="1216"/>
      <c r="BD88" s="1215"/>
      <c r="BE88" s="761"/>
      <c r="BF88" s="761"/>
      <c r="BG88" s="761"/>
      <c r="BH88" s="761"/>
      <c r="BI88" s="761"/>
      <c r="BJ88" s="761"/>
      <c r="BK88" s="761"/>
      <c r="BL88" s="761"/>
      <c r="BM88" s="761"/>
      <c r="BN88" s="761"/>
      <c r="BO88" s="1216"/>
      <c r="BP88" s="1215"/>
      <c r="BQ88" s="761"/>
      <c r="BR88" s="761"/>
      <c r="BS88" s="761"/>
      <c r="BT88" s="761"/>
      <c r="BU88" s="761"/>
      <c r="BV88" s="761"/>
      <c r="BW88" s="761"/>
      <c r="BX88" s="761"/>
      <c r="BY88" s="761"/>
      <c r="BZ88" s="761"/>
      <c r="CA88" s="1216"/>
      <c r="CB88" s="747"/>
      <c r="CC88" s="1222">
        <f>$G88*H88*Variables!$B$53</f>
        <v>0</v>
      </c>
      <c r="CD88" s="1223">
        <f>$G88*I88*Variables!$B$53</f>
        <v>0</v>
      </c>
      <c r="CE88" s="1223">
        <f>$G88*J88*Variables!$B$53</f>
        <v>0</v>
      </c>
      <c r="CF88" s="1223">
        <f>$G88*K88*Variables!$B$53</f>
        <v>0</v>
      </c>
      <c r="CG88" s="1223">
        <f>$G88*L88*Variables!$B$53</f>
        <v>0</v>
      </c>
      <c r="CH88" s="1223">
        <f>$G88*M88*Variables!$B$53</f>
        <v>0</v>
      </c>
      <c r="CI88" s="1223">
        <f>$G88*N88*Variables!$B$53</f>
        <v>0</v>
      </c>
      <c r="CJ88" s="1223">
        <f>$G88*O88*Variables!$B$53</f>
        <v>0</v>
      </c>
      <c r="CK88" s="1223">
        <f>$G88*P88*Variables!$B$53</f>
        <v>0</v>
      </c>
      <c r="CL88" s="1223">
        <f>$G88*Q88*Variables!$B$53</f>
        <v>0</v>
      </c>
      <c r="CM88" s="1223">
        <f>$G88*R88*Variables!$B$53</f>
        <v>0</v>
      </c>
      <c r="CN88" s="1225">
        <f>$G88*S88*Variables!$B$53</f>
        <v>0</v>
      </c>
      <c r="CO88" s="1222">
        <f>$G88*T88*Variables!$B$53*HLOOKUP($CO$2,Variables!$B$60:$F$61,2,FALSE)</f>
        <v>0</v>
      </c>
      <c r="CP88" s="1223">
        <f>$G88*U88*Variables!$B$53*HLOOKUP($CO$2,Variables!$B$60:$F$61,2,FALSE)</f>
        <v>0</v>
      </c>
      <c r="CQ88" s="1223">
        <f>$G88*V88*Variables!$B$53*HLOOKUP($CO$2,Variables!$B$60:$F$61,2,FALSE)</f>
        <v>0</v>
      </c>
      <c r="CR88" s="1223">
        <f>$G88*W88*Variables!$B$53*HLOOKUP($CO$2,Variables!$B$60:$F$61,2,FALSE)</f>
        <v>0</v>
      </c>
      <c r="CS88" s="1223">
        <f>$G88*X88*Variables!$B$53*HLOOKUP($CO$2,Variables!$B$60:$F$61,2,FALSE)</f>
        <v>0</v>
      </c>
      <c r="CT88" s="1223">
        <f>$G88*Y88*Variables!$B$53*HLOOKUP($CO$2,Variables!$B$60:$F$61,2,FALSE)</f>
        <v>0</v>
      </c>
      <c r="CU88" s="1223">
        <f>$G88*Z88*Variables!$B$53*HLOOKUP($CO$2,Variables!$B$60:$F$61,2,FALSE)</f>
        <v>0</v>
      </c>
      <c r="CV88" s="1223">
        <f>$G88*AA88*Variables!$B$53*HLOOKUP($CO$2,Variables!$B$60:$F$61,2,FALSE)</f>
        <v>0</v>
      </c>
      <c r="CW88" s="1223">
        <f>$G88*AB88*Variables!$B$53*HLOOKUP($CO$2,Variables!$B$60:$F$61,2,FALSE)</f>
        <v>0</v>
      </c>
      <c r="CX88" s="1223">
        <f>$G88*AC88*Variables!$B$53*HLOOKUP($CO$2,Variables!$B$60:$F$61,2,FALSE)</f>
        <v>0</v>
      </c>
      <c r="CY88" s="1223">
        <f>$G88*AD88*Variables!$B$53*HLOOKUP($CO$2,Variables!$B$60:$F$61,2,FALSE)</f>
        <v>0</v>
      </c>
      <c r="CZ88" s="1225">
        <f>$G88*AE88*Variables!$B$53*HLOOKUP($CO$2,Variables!$B$60:$F$61,2,FALSE)</f>
        <v>0</v>
      </c>
      <c r="DA88" s="1222">
        <f>$G88*AF88*Variables!$B$53*HLOOKUP($DA$2,Variables!$B$60:$F$61,2,FALSE)</f>
        <v>0</v>
      </c>
      <c r="DB88" s="1223">
        <f>$G88*AG88*Variables!$B$53*HLOOKUP($DA$2,Variables!$B$60:$F$61,2,FALSE)</f>
        <v>0</v>
      </c>
      <c r="DC88" s="1223">
        <f>$G88*AH88*Variables!$B$53*HLOOKUP($DA$2,Variables!$B$60:$F$61,2,FALSE)</f>
        <v>0</v>
      </c>
      <c r="DD88" s="1223">
        <f>$G88*AI88*Variables!$B$53*HLOOKUP($DA$2,Variables!$B$60:$F$61,2,FALSE)</f>
        <v>0</v>
      </c>
      <c r="DE88" s="1223">
        <f>$G88*AJ88*Variables!$B$53*HLOOKUP($DA$2,Variables!$B$60:$F$61,2,FALSE)</f>
        <v>0</v>
      </c>
      <c r="DF88" s="1223">
        <f>$G88*AK88*Variables!$B$53*HLOOKUP($DA$2,Variables!$B$60:$F$61,2,FALSE)</f>
        <v>0</v>
      </c>
      <c r="DG88" s="1223">
        <f>$G88*AL88*Variables!$B$53*HLOOKUP($DA$2,Variables!$B$60:$F$61,2,FALSE)</f>
        <v>0</v>
      </c>
      <c r="DH88" s="1223">
        <f>$G88*AM88*Variables!$B$53*HLOOKUP($DA$2,Variables!$B$60:$F$61,2,FALSE)</f>
        <v>0</v>
      </c>
      <c r="DI88" s="1223">
        <f>$G88*AN88*Variables!$B$53*HLOOKUP($DA$2,Variables!$B$60:$F$61,2,FALSE)</f>
        <v>0</v>
      </c>
      <c r="DJ88" s="1223">
        <f>$G88*AO88*Variables!$B$53*HLOOKUP($DA$2,Variables!$B$60:$F$61,2,FALSE)</f>
        <v>0</v>
      </c>
      <c r="DK88" s="1223">
        <f>$G88*AP88*Variables!$B$53*HLOOKUP($DA$2,Variables!$B$60:$F$61,2,FALSE)</f>
        <v>0</v>
      </c>
      <c r="DL88" s="1225">
        <f>$G88*AQ88*Variables!$B$53*HLOOKUP($DA$2,Variables!$B$60:$F$61,2,FALSE)</f>
        <v>0</v>
      </c>
      <c r="DM88" s="1222">
        <f>$G88*AR88*Variables!$B$53*HLOOKUP($DM$2,Variables!$B$60:$F$61,2,FALSE)</f>
        <v>0</v>
      </c>
      <c r="DN88" s="1223">
        <f>$G88*AS88*Variables!$B$53*HLOOKUP($DM$2,Variables!$B$60:$F$61,2,FALSE)</f>
        <v>0</v>
      </c>
      <c r="DO88" s="1223">
        <f>$G88*AT88*Variables!$B$53*HLOOKUP($DM$2,Variables!$B$60:$F$61,2,FALSE)</f>
        <v>0</v>
      </c>
      <c r="DP88" s="1223">
        <f>$G88*AU88*Variables!$B$53*HLOOKUP($DM$2,Variables!$B$60:$F$61,2,FALSE)</f>
        <v>0</v>
      </c>
      <c r="DQ88" s="1223">
        <f>$G88*AV88*Variables!$B$53*HLOOKUP($DM$2,Variables!$B$60:$F$61,2,FALSE)</f>
        <v>0</v>
      </c>
      <c r="DR88" s="1223">
        <f>$G88*AW88*Variables!$B$53*HLOOKUP($DM$2,Variables!$B$60:$F$61,2,FALSE)</f>
        <v>0</v>
      </c>
      <c r="DS88" s="1223">
        <f>$G88*AX88*Variables!$B$53*HLOOKUP($DM$2,Variables!$B$60:$F$61,2,FALSE)</f>
        <v>0</v>
      </c>
      <c r="DT88" s="1223">
        <f>$G88*AY88*Variables!$B$53*HLOOKUP($DM$2,Variables!$B$60:$F$61,2,FALSE)</f>
        <v>0</v>
      </c>
      <c r="DU88" s="1223">
        <f>$G88*AZ88*Variables!$B$53*HLOOKUP($DM$2,Variables!$B$60:$F$61,2,FALSE)</f>
        <v>0</v>
      </c>
      <c r="DV88" s="1223">
        <f>$G88*BA88*Variables!$B$53*HLOOKUP($DM$2,Variables!$B$60:$F$61,2,FALSE)</f>
        <v>0</v>
      </c>
      <c r="DW88" s="1223">
        <f>$G88*BB88*Variables!$B$53*HLOOKUP($DM$2,Variables!$B$60:$F$61,2,FALSE)</f>
        <v>0</v>
      </c>
      <c r="DX88" s="1225">
        <f>$G88*BC88*Variables!$B$53*HLOOKUP($DM$2,Variables!$B$60:$F$61,2,FALSE)</f>
        <v>0</v>
      </c>
      <c r="DY88" s="1222">
        <f>$G88*BD88*Variables!$B$53*HLOOKUP($DY$2,Variables!$B$60:$F$61,2,FALSE)</f>
        <v>0</v>
      </c>
      <c r="DZ88" s="1223">
        <f>$G88*BE88*Variables!$B$53*HLOOKUP($DY$2,Variables!$B$60:$F$61,2,FALSE)</f>
        <v>0</v>
      </c>
      <c r="EA88" s="1223">
        <f>$G88*BF88*Variables!$B$53*HLOOKUP($DY$2,Variables!$B$60:$F$61,2,FALSE)</f>
        <v>0</v>
      </c>
      <c r="EB88" s="1223">
        <f>$G88*BG88*Variables!$B$53*HLOOKUP($DY$2,Variables!$B$60:$F$61,2,FALSE)</f>
        <v>0</v>
      </c>
      <c r="EC88" s="1223">
        <f>$G88*BH88*Variables!$B$53*HLOOKUP($DY$2,Variables!$B$60:$F$61,2,FALSE)</f>
        <v>0</v>
      </c>
      <c r="ED88" s="1223">
        <f>$G88*BI88*Variables!$B$53*HLOOKUP($DY$2,Variables!$B$60:$F$61,2,FALSE)</f>
        <v>0</v>
      </c>
      <c r="EE88" s="1223">
        <f>$G88*BJ88*Variables!$B$53*HLOOKUP($DY$2,Variables!$B$60:$F$61,2,FALSE)</f>
        <v>0</v>
      </c>
      <c r="EF88" s="1223">
        <f>$G88*BK88*Variables!$B$53*HLOOKUP($DY$2,Variables!$B$60:$F$61,2,FALSE)</f>
        <v>0</v>
      </c>
      <c r="EG88" s="1223">
        <f>$G88*BL88*Variables!$B$53*HLOOKUP($DY$2,Variables!$B$60:$F$61,2,FALSE)</f>
        <v>0</v>
      </c>
      <c r="EH88" s="1223">
        <f>$G88*BM88*Variables!$B$53*HLOOKUP($DY$2,Variables!$B$60:$F$61,2,FALSE)</f>
        <v>0</v>
      </c>
      <c r="EI88" s="1223">
        <f>$G88*BN88*Variables!$B$53*HLOOKUP($DY$2,Variables!$B$60:$F$61,2,FALSE)</f>
        <v>0</v>
      </c>
      <c r="EJ88" s="1225">
        <f>$G88*BO88*Variables!$B$53*HLOOKUP($DY$2,Variables!$B$60:$F$61,2,FALSE)</f>
        <v>0</v>
      </c>
      <c r="EK88" s="1222">
        <f>$G88*BP88*Variables!$B$53*HLOOKUP($EK$2,Variables!$B$60:$F$61,2,FALSE)</f>
        <v>0</v>
      </c>
      <c r="EL88" s="1223">
        <f>$G88*BQ88*Variables!$B$53*HLOOKUP($EK$2,Variables!$B$60:$F$61,2,FALSE)</f>
        <v>0</v>
      </c>
      <c r="EM88" s="1223">
        <f>$G88*BR88*Variables!$B$53*HLOOKUP($EK$2,Variables!$B$60:$F$61,2,FALSE)</f>
        <v>0</v>
      </c>
      <c r="EN88" s="1223">
        <f>$G88*BS88*Variables!$B$53*HLOOKUP($EK$2,Variables!$B$60:$F$61,2,FALSE)</f>
        <v>0</v>
      </c>
      <c r="EO88" s="1223">
        <f>$G88*BT88*Variables!$B$53*HLOOKUP($EK$2,Variables!$B$60:$F$61,2,FALSE)</f>
        <v>0</v>
      </c>
      <c r="EP88" s="1223">
        <f>$G88*BU88*Variables!$B$53*HLOOKUP($EK$2,Variables!$B$60:$F$61,2,FALSE)</f>
        <v>0</v>
      </c>
      <c r="EQ88" s="1223">
        <f>$G88*BV88*Variables!$B$53*HLOOKUP($EK$2,Variables!$B$60:$F$61,2,FALSE)</f>
        <v>0</v>
      </c>
      <c r="ER88" s="1223">
        <f>$G88*BW88*Variables!$B$53*HLOOKUP($EK$2,Variables!$B$60:$F$61,2,FALSE)</f>
        <v>0</v>
      </c>
      <c r="ES88" s="1223">
        <f>$G88*BX88*Variables!$B$53*HLOOKUP($EK$2,Variables!$B$60:$F$61,2,FALSE)</f>
        <v>0</v>
      </c>
      <c r="ET88" s="1223">
        <f>$G88*BY88*Variables!$B$53*HLOOKUP($EK$2,Variables!$B$60:$F$61,2,FALSE)</f>
        <v>0</v>
      </c>
      <c r="EU88" s="1223">
        <f>$G88*BZ88*Variables!$B$53*HLOOKUP($EK$2,Variables!$B$60:$F$61,2,FALSE)</f>
        <v>0</v>
      </c>
      <c r="EV88" s="1225">
        <f>$G88*CA88*Variables!$B$53*HLOOKUP($EK$2,Variables!$B$60:$F$61,2,FALSE)</f>
        <v>0</v>
      </c>
      <c r="EW88" s="872">
        <f t="shared" si="15"/>
        <v>0</v>
      </c>
      <c r="EX88" s="872"/>
      <c r="EY88" s="872"/>
      <c r="EZ88" s="872"/>
      <c r="FA88" s="1332"/>
      <c r="FC88" s="958" t="str">
        <f t="shared" si="11"/>
        <v/>
      </c>
      <c r="FD88" s="959" t="str">
        <f t="shared" si="12"/>
        <v/>
      </c>
      <c r="FE88" s="959" t="s">
        <v>8407</v>
      </c>
      <c r="FF88" s="959" t="str">
        <f>IF(ISNA(VLOOKUP(FC88,Miscellaneous!E:F,2,0)),"",VLOOKUP(FC88,Miscellaneous!E:F,2,0))</f>
        <v/>
      </c>
      <c r="FG88" s="959" t="str">
        <f t="shared" si="13"/>
        <v/>
      </c>
      <c r="FH88" s="996">
        <f>IF($FG88="Opex",SUMIF('Monthly Summary'!$C$75:$N$75,"",CC88:CN88),SUMIF('Monthly Summary'!$C$74:$N$74,"",CC88:CN88))</f>
        <v>0</v>
      </c>
      <c r="FI88" s="996">
        <f>IF($FG88="Opex",SUMIF('Monthly Summary'!$O$75:$Z$75,"",CO88:CZ88),SUMIF('Monthly Summary'!$O$74:$Z$74,"",CO88:CZ88))</f>
        <v>0</v>
      </c>
      <c r="FJ88" s="996">
        <f>IF($FG88="Opex",SUMIF('Monthly Summary'!$AA$75:$AL$75,"",DA88:DL88),SUMIF('Monthly Summary'!$AA$74:$AL$74,"",DA88:DL88))</f>
        <v>0</v>
      </c>
      <c r="FK88" s="996">
        <f>IF($FG88="Opex",SUMIF('Monthly Summary'!$AM$75:$AX$75,"",DM88:DX88),SUMIF('Monthly Summary'!$AM$74:$AX$74,"",DM88:DX88))</f>
        <v>0</v>
      </c>
      <c r="FL88" s="996">
        <f>IF($FG88="Opex",SUMIF('Monthly Summary'!$AY$75:$BJ$75,"",DY88:EJ88),SUMIF('Monthly Summary'!$AY$74:$BJ$74,"",DY88:EJ88))</f>
        <v>0</v>
      </c>
      <c r="FM88" s="997">
        <f>IF($FG88="Opex",SUMIF('Monthly Summary'!$BK$75:$BV$75,"",EK88:EV88),SUMIF('Monthly Summary'!$BK$74:$BV$74,"",EK88:EV88))</f>
        <v>0</v>
      </c>
      <c r="FN88" s="997">
        <f t="shared" si="14"/>
        <v>0</v>
      </c>
    </row>
    <row r="89" spans="3:170">
      <c r="C89" s="757"/>
      <c r="D89" s="757"/>
      <c r="E89" s="758"/>
      <c r="F89" s="758"/>
      <c r="G89" s="758"/>
      <c r="H89" s="1215"/>
      <c r="I89" s="761"/>
      <c r="J89" s="761"/>
      <c r="K89" s="761"/>
      <c r="L89" s="761"/>
      <c r="M89" s="761"/>
      <c r="N89" s="761"/>
      <c r="O89" s="761"/>
      <c r="P89" s="761"/>
      <c r="Q89" s="761"/>
      <c r="R89" s="761"/>
      <c r="S89" s="1216"/>
      <c r="T89" s="1215"/>
      <c r="U89" s="761"/>
      <c r="V89" s="761"/>
      <c r="W89" s="761"/>
      <c r="X89" s="761"/>
      <c r="Y89" s="761"/>
      <c r="Z89" s="761"/>
      <c r="AA89" s="761"/>
      <c r="AB89" s="761"/>
      <c r="AC89" s="761"/>
      <c r="AD89" s="761"/>
      <c r="AE89" s="1216"/>
      <c r="AF89" s="1215"/>
      <c r="AG89" s="761"/>
      <c r="AH89" s="761"/>
      <c r="AI89" s="761"/>
      <c r="AJ89" s="761"/>
      <c r="AK89" s="761"/>
      <c r="AL89" s="761"/>
      <c r="AM89" s="761"/>
      <c r="AN89" s="761"/>
      <c r="AO89" s="761"/>
      <c r="AP89" s="761"/>
      <c r="AQ89" s="1216"/>
      <c r="AR89" s="1215"/>
      <c r="AS89" s="761"/>
      <c r="AT89" s="761"/>
      <c r="AU89" s="761"/>
      <c r="AV89" s="761"/>
      <c r="AW89" s="761"/>
      <c r="AX89" s="761"/>
      <c r="AY89" s="761"/>
      <c r="AZ89" s="761"/>
      <c r="BA89" s="761"/>
      <c r="BB89" s="761"/>
      <c r="BC89" s="1216"/>
      <c r="BD89" s="1215"/>
      <c r="BE89" s="761"/>
      <c r="BF89" s="761"/>
      <c r="BG89" s="761"/>
      <c r="BH89" s="761"/>
      <c r="BI89" s="761"/>
      <c r="BJ89" s="761"/>
      <c r="BK89" s="761"/>
      <c r="BL89" s="761"/>
      <c r="BM89" s="761"/>
      <c r="BN89" s="761"/>
      <c r="BO89" s="1216"/>
      <c r="BP89" s="1215"/>
      <c r="BQ89" s="761"/>
      <c r="BR89" s="761"/>
      <c r="BS89" s="761"/>
      <c r="BT89" s="761"/>
      <c r="BU89" s="761"/>
      <c r="BV89" s="761"/>
      <c r="BW89" s="761"/>
      <c r="BX89" s="761"/>
      <c r="BY89" s="761"/>
      <c r="BZ89" s="761"/>
      <c r="CA89" s="1216"/>
      <c r="CB89" s="747"/>
      <c r="CC89" s="1222">
        <f>$G89*H89*Variables!$B$53</f>
        <v>0</v>
      </c>
      <c r="CD89" s="1223">
        <f>$G89*I89*Variables!$B$53</f>
        <v>0</v>
      </c>
      <c r="CE89" s="1223">
        <f>$G89*J89*Variables!$B$53</f>
        <v>0</v>
      </c>
      <c r="CF89" s="1223">
        <f>$G89*K89*Variables!$B$53</f>
        <v>0</v>
      </c>
      <c r="CG89" s="1223">
        <f>$G89*L89*Variables!$B$53</f>
        <v>0</v>
      </c>
      <c r="CH89" s="1223">
        <f>$G89*M89*Variables!$B$53</f>
        <v>0</v>
      </c>
      <c r="CI89" s="1223">
        <f>$G89*N89*Variables!$B$53</f>
        <v>0</v>
      </c>
      <c r="CJ89" s="1223">
        <f>$G89*O89*Variables!$B$53</f>
        <v>0</v>
      </c>
      <c r="CK89" s="1223">
        <f>$G89*P89*Variables!$B$53</f>
        <v>0</v>
      </c>
      <c r="CL89" s="1223">
        <f>$G89*Q89*Variables!$B$53</f>
        <v>0</v>
      </c>
      <c r="CM89" s="1223">
        <f>$G89*R89*Variables!$B$53</f>
        <v>0</v>
      </c>
      <c r="CN89" s="1225">
        <f>$G89*S89*Variables!$B$53</f>
        <v>0</v>
      </c>
      <c r="CO89" s="1222">
        <f>$G89*T89*Variables!$B$53*HLOOKUP($CO$2,Variables!$B$60:$F$61,2,FALSE)</f>
        <v>0</v>
      </c>
      <c r="CP89" s="1223">
        <f>$G89*U89*Variables!$B$53*HLOOKUP($CO$2,Variables!$B$60:$F$61,2,FALSE)</f>
        <v>0</v>
      </c>
      <c r="CQ89" s="1223">
        <f>$G89*V89*Variables!$B$53*HLOOKUP($CO$2,Variables!$B$60:$F$61,2,FALSE)</f>
        <v>0</v>
      </c>
      <c r="CR89" s="1223">
        <f>$G89*W89*Variables!$B$53*HLOOKUP($CO$2,Variables!$B$60:$F$61,2,FALSE)</f>
        <v>0</v>
      </c>
      <c r="CS89" s="1223">
        <f>$G89*X89*Variables!$B$53*HLOOKUP($CO$2,Variables!$B$60:$F$61,2,FALSE)</f>
        <v>0</v>
      </c>
      <c r="CT89" s="1223">
        <f>$G89*Y89*Variables!$B$53*HLOOKUP($CO$2,Variables!$B$60:$F$61,2,FALSE)</f>
        <v>0</v>
      </c>
      <c r="CU89" s="1223">
        <f>$G89*Z89*Variables!$B$53*HLOOKUP($CO$2,Variables!$B$60:$F$61,2,FALSE)</f>
        <v>0</v>
      </c>
      <c r="CV89" s="1223">
        <f>$G89*AA89*Variables!$B$53*HLOOKUP($CO$2,Variables!$B$60:$F$61,2,FALSE)</f>
        <v>0</v>
      </c>
      <c r="CW89" s="1223">
        <f>$G89*AB89*Variables!$B$53*HLOOKUP($CO$2,Variables!$B$60:$F$61,2,FALSE)</f>
        <v>0</v>
      </c>
      <c r="CX89" s="1223">
        <f>$G89*AC89*Variables!$B$53*HLOOKUP($CO$2,Variables!$B$60:$F$61,2,FALSE)</f>
        <v>0</v>
      </c>
      <c r="CY89" s="1223">
        <f>$G89*AD89*Variables!$B$53*HLOOKUP($CO$2,Variables!$B$60:$F$61,2,FALSE)</f>
        <v>0</v>
      </c>
      <c r="CZ89" s="1225">
        <f>$G89*AE89*Variables!$B$53*HLOOKUP($CO$2,Variables!$B$60:$F$61,2,FALSE)</f>
        <v>0</v>
      </c>
      <c r="DA89" s="1222">
        <f>$G89*AF89*Variables!$B$53*HLOOKUP($DA$2,Variables!$B$60:$F$61,2,FALSE)</f>
        <v>0</v>
      </c>
      <c r="DB89" s="1223">
        <f>$G89*AG89*Variables!$B$53*HLOOKUP($DA$2,Variables!$B$60:$F$61,2,FALSE)</f>
        <v>0</v>
      </c>
      <c r="DC89" s="1223">
        <f>$G89*AH89*Variables!$B$53*HLOOKUP($DA$2,Variables!$B$60:$F$61,2,FALSE)</f>
        <v>0</v>
      </c>
      <c r="DD89" s="1223">
        <f>$G89*AI89*Variables!$B$53*HLOOKUP($DA$2,Variables!$B$60:$F$61,2,FALSE)</f>
        <v>0</v>
      </c>
      <c r="DE89" s="1223">
        <f>$G89*AJ89*Variables!$B$53*HLOOKUP($DA$2,Variables!$B$60:$F$61,2,FALSE)</f>
        <v>0</v>
      </c>
      <c r="DF89" s="1223">
        <f>$G89*AK89*Variables!$B$53*HLOOKUP($DA$2,Variables!$B$60:$F$61,2,FALSE)</f>
        <v>0</v>
      </c>
      <c r="DG89" s="1223">
        <f>$G89*AL89*Variables!$B$53*HLOOKUP($DA$2,Variables!$B$60:$F$61,2,FALSE)</f>
        <v>0</v>
      </c>
      <c r="DH89" s="1223">
        <f>$G89*AM89*Variables!$B$53*HLOOKUP($DA$2,Variables!$B$60:$F$61,2,FALSE)</f>
        <v>0</v>
      </c>
      <c r="DI89" s="1223">
        <f>$G89*AN89*Variables!$B$53*HLOOKUP($DA$2,Variables!$B$60:$F$61,2,FALSE)</f>
        <v>0</v>
      </c>
      <c r="DJ89" s="1223">
        <f>$G89*AO89*Variables!$B$53*HLOOKUP($DA$2,Variables!$B$60:$F$61,2,FALSE)</f>
        <v>0</v>
      </c>
      <c r="DK89" s="1223">
        <f>$G89*AP89*Variables!$B$53*HLOOKUP($DA$2,Variables!$B$60:$F$61,2,FALSE)</f>
        <v>0</v>
      </c>
      <c r="DL89" s="1225">
        <f>$G89*AQ89*Variables!$B$53*HLOOKUP($DA$2,Variables!$B$60:$F$61,2,FALSE)</f>
        <v>0</v>
      </c>
      <c r="DM89" s="1222">
        <f>$G89*AR89*Variables!$B$53*HLOOKUP($DM$2,Variables!$B$60:$F$61,2,FALSE)</f>
        <v>0</v>
      </c>
      <c r="DN89" s="1223">
        <f>$G89*AS89*Variables!$B$53*HLOOKUP($DM$2,Variables!$B$60:$F$61,2,FALSE)</f>
        <v>0</v>
      </c>
      <c r="DO89" s="1223">
        <f>$G89*AT89*Variables!$B$53*HLOOKUP($DM$2,Variables!$B$60:$F$61,2,FALSE)</f>
        <v>0</v>
      </c>
      <c r="DP89" s="1223">
        <f>$G89*AU89*Variables!$B$53*HLOOKUP($DM$2,Variables!$B$60:$F$61,2,FALSE)</f>
        <v>0</v>
      </c>
      <c r="DQ89" s="1223">
        <f>$G89*AV89*Variables!$B$53*HLOOKUP($DM$2,Variables!$B$60:$F$61,2,FALSE)</f>
        <v>0</v>
      </c>
      <c r="DR89" s="1223">
        <f>$G89*AW89*Variables!$B$53*HLOOKUP($DM$2,Variables!$B$60:$F$61,2,FALSE)</f>
        <v>0</v>
      </c>
      <c r="DS89" s="1223">
        <f>$G89*AX89*Variables!$B$53*HLOOKUP($DM$2,Variables!$B$60:$F$61,2,FALSE)</f>
        <v>0</v>
      </c>
      <c r="DT89" s="1223">
        <f>$G89*AY89*Variables!$B$53*HLOOKUP($DM$2,Variables!$B$60:$F$61,2,FALSE)</f>
        <v>0</v>
      </c>
      <c r="DU89" s="1223">
        <f>$G89*AZ89*Variables!$B$53*HLOOKUP($DM$2,Variables!$B$60:$F$61,2,FALSE)</f>
        <v>0</v>
      </c>
      <c r="DV89" s="1223">
        <f>$G89*BA89*Variables!$B$53*HLOOKUP($DM$2,Variables!$B$60:$F$61,2,FALSE)</f>
        <v>0</v>
      </c>
      <c r="DW89" s="1223">
        <f>$G89*BB89*Variables!$B$53*HLOOKUP($DM$2,Variables!$B$60:$F$61,2,FALSE)</f>
        <v>0</v>
      </c>
      <c r="DX89" s="1225">
        <f>$G89*BC89*Variables!$B$53*HLOOKUP($DM$2,Variables!$B$60:$F$61,2,FALSE)</f>
        <v>0</v>
      </c>
      <c r="DY89" s="1222">
        <f>$G89*BD89*Variables!$B$53*HLOOKUP($DY$2,Variables!$B$60:$F$61,2,FALSE)</f>
        <v>0</v>
      </c>
      <c r="DZ89" s="1223">
        <f>$G89*BE89*Variables!$B$53*HLOOKUP($DY$2,Variables!$B$60:$F$61,2,FALSE)</f>
        <v>0</v>
      </c>
      <c r="EA89" s="1223">
        <f>$G89*BF89*Variables!$B$53*HLOOKUP($DY$2,Variables!$B$60:$F$61,2,FALSE)</f>
        <v>0</v>
      </c>
      <c r="EB89" s="1223">
        <f>$G89*BG89*Variables!$B$53*HLOOKUP($DY$2,Variables!$B$60:$F$61,2,FALSE)</f>
        <v>0</v>
      </c>
      <c r="EC89" s="1223">
        <f>$G89*BH89*Variables!$B$53*HLOOKUP($DY$2,Variables!$B$60:$F$61,2,FALSE)</f>
        <v>0</v>
      </c>
      <c r="ED89" s="1223">
        <f>$G89*BI89*Variables!$B$53*HLOOKUP($DY$2,Variables!$B$60:$F$61,2,FALSE)</f>
        <v>0</v>
      </c>
      <c r="EE89" s="1223">
        <f>$G89*BJ89*Variables!$B$53*HLOOKUP($DY$2,Variables!$B$60:$F$61,2,FALSE)</f>
        <v>0</v>
      </c>
      <c r="EF89" s="1223">
        <f>$G89*BK89*Variables!$B$53*HLOOKUP($DY$2,Variables!$B$60:$F$61,2,FALSE)</f>
        <v>0</v>
      </c>
      <c r="EG89" s="1223">
        <f>$G89*BL89*Variables!$B$53*HLOOKUP($DY$2,Variables!$B$60:$F$61,2,FALSE)</f>
        <v>0</v>
      </c>
      <c r="EH89" s="1223">
        <f>$G89*BM89*Variables!$B$53*HLOOKUP($DY$2,Variables!$B$60:$F$61,2,FALSE)</f>
        <v>0</v>
      </c>
      <c r="EI89" s="1223">
        <f>$G89*BN89*Variables!$B$53*HLOOKUP($DY$2,Variables!$B$60:$F$61,2,FALSE)</f>
        <v>0</v>
      </c>
      <c r="EJ89" s="1225">
        <f>$G89*BO89*Variables!$B$53*HLOOKUP($DY$2,Variables!$B$60:$F$61,2,FALSE)</f>
        <v>0</v>
      </c>
      <c r="EK89" s="1222">
        <f>$G89*BP89*Variables!$B$53*HLOOKUP($EK$2,Variables!$B$60:$F$61,2,FALSE)</f>
        <v>0</v>
      </c>
      <c r="EL89" s="1223">
        <f>$G89*BQ89*Variables!$B$53*HLOOKUP($EK$2,Variables!$B$60:$F$61,2,FALSE)</f>
        <v>0</v>
      </c>
      <c r="EM89" s="1223">
        <f>$G89*BR89*Variables!$B$53*HLOOKUP($EK$2,Variables!$B$60:$F$61,2,FALSE)</f>
        <v>0</v>
      </c>
      <c r="EN89" s="1223">
        <f>$G89*BS89*Variables!$B$53*HLOOKUP($EK$2,Variables!$B$60:$F$61,2,FALSE)</f>
        <v>0</v>
      </c>
      <c r="EO89" s="1223">
        <f>$G89*BT89*Variables!$B$53*HLOOKUP($EK$2,Variables!$B$60:$F$61,2,FALSE)</f>
        <v>0</v>
      </c>
      <c r="EP89" s="1223">
        <f>$G89*BU89*Variables!$B$53*HLOOKUP($EK$2,Variables!$B$60:$F$61,2,FALSE)</f>
        <v>0</v>
      </c>
      <c r="EQ89" s="1223">
        <f>$G89*BV89*Variables!$B$53*HLOOKUP($EK$2,Variables!$B$60:$F$61,2,FALSE)</f>
        <v>0</v>
      </c>
      <c r="ER89" s="1223">
        <f>$G89*BW89*Variables!$B$53*HLOOKUP($EK$2,Variables!$B$60:$F$61,2,FALSE)</f>
        <v>0</v>
      </c>
      <c r="ES89" s="1223">
        <f>$G89*BX89*Variables!$B$53*HLOOKUP($EK$2,Variables!$B$60:$F$61,2,FALSE)</f>
        <v>0</v>
      </c>
      <c r="ET89" s="1223">
        <f>$G89*BY89*Variables!$B$53*HLOOKUP($EK$2,Variables!$B$60:$F$61,2,FALSE)</f>
        <v>0</v>
      </c>
      <c r="EU89" s="1223">
        <f>$G89*BZ89*Variables!$B$53*HLOOKUP($EK$2,Variables!$B$60:$F$61,2,FALSE)</f>
        <v>0</v>
      </c>
      <c r="EV89" s="1225">
        <f>$G89*CA89*Variables!$B$53*HLOOKUP($EK$2,Variables!$B$60:$F$61,2,FALSE)</f>
        <v>0</v>
      </c>
      <c r="EW89" s="872">
        <f t="shared" si="15"/>
        <v>0</v>
      </c>
      <c r="EX89" s="872"/>
      <c r="EY89" s="872"/>
      <c r="EZ89" s="872"/>
      <c r="FA89" s="1332"/>
      <c r="FC89" s="958" t="str">
        <f t="shared" si="11"/>
        <v/>
      </c>
      <c r="FD89" s="959" t="str">
        <f t="shared" si="12"/>
        <v/>
      </c>
      <c r="FE89" s="959" t="s">
        <v>8407</v>
      </c>
      <c r="FF89" s="959" t="str">
        <f>IF(ISNA(VLOOKUP(FC89,Miscellaneous!E:F,2,0)),"",VLOOKUP(FC89,Miscellaneous!E:F,2,0))</f>
        <v/>
      </c>
      <c r="FG89" s="959" t="str">
        <f t="shared" si="13"/>
        <v/>
      </c>
      <c r="FH89" s="996">
        <f>IF($FG89="Opex",SUMIF('Monthly Summary'!$C$75:$N$75,"",CC89:CN89),SUMIF('Monthly Summary'!$C$74:$N$74,"",CC89:CN89))</f>
        <v>0</v>
      </c>
      <c r="FI89" s="996">
        <f>IF($FG89="Opex",SUMIF('Monthly Summary'!$O$75:$Z$75,"",CO89:CZ89),SUMIF('Monthly Summary'!$O$74:$Z$74,"",CO89:CZ89))</f>
        <v>0</v>
      </c>
      <c r="FJ89" s="996">
        <f>IF($FG89="Opex",SUMIF('Monthly Summary'!$AA$75:$AL$75,"",DA89:DL89),SUMIF('Monthly Summary'!$AA$74:$AL$74,"",DA89:DL89))</f>
        <v>0</v>
      </c>
      <c r="FK89" s="996">
        <f>IF($FG89="Opex",SUMIF('Monthly Summary'!$AM$75:$AX$75,"",DM89:DX89),SUMIF('Monthly Summary'!$AM$74:$AX$74,"",DM89:DX89))</f>
        <v>0</v>
      </c>
      <c r="FL89" s="996">
        <f>IF($FG89="Opex",SUMIF('Monthly Summary'!$AY$75:$BJ$75,"",DY89:EJ89),SUMIF('Monthly Summary'!$AY$74:$BJ$74,"",DY89:EJ89))</f>
        <v>0</v>
      </c>
      <c r="FM89" s="997">
        <f>IF($FG89="Opex",SUMIF('Monthly Summary'!$BK$75:$BV$75,"",EK89:EV89),SUMIF('Monthly Summary'!$BK$74:$BV$74,"",EK89:EV89))</f>
        <v>0</v>
      </c>
      <c r="FN89" s="997">
        <f t="shared" si="14"/>
        <v>0</v>
      </c>
    </row>
    <row r="90" spans="3:170">
      <c r="C90" s="757"/>
      <c r="D90" s="757"/>
      <c r="E90" s="758"/>
      <c r="F90" s="758"/>
      <c r="G90" s="758"/>
      <c r="H90" s="1215"/>
      <c r="I90" s="761"/>
      <c r="J90" s="761"/>
      <c r="K90" s="761"/>
      <c r="L90" s="761"/>
      <c r="M90" s="761"/>
      <c r="N90" s="761"/>
      <c r="O90" s="761"/>
      <c r="P90" s="761"/>
      <c r="Q90" s="761"/>
      <c r="R90" s="761"/>
      <c r="S90" s="1216"/>
      <c r="T90" s="1215"/>
      <c r="U90" s="761"/>
      <c r="V90" s="761"/>
      <c r="W90" s="761"/>
      <c r="X90" s="761"/>
      <c r="Y90" s="761"/>
      <c r="Z90" s="761"/>
      <c r="AA90" s="761"/>
      <c r="AB90" s="761"/>
      <c r="AC90" s="761"/>
      <c r="AD90" s="761"/>
      <c r="AE90" s="1216"/>
      <c r="AF90" s="1215"/>
      <c r="AG90" s="761"/>
      <c r="AH90" s="761"/>
      <c r="AI90" s="761"/>
      <c r="AJ90" s="761"/>
      <c r="AK90" s="761"/>
      <c r="AL90" s="761"/>
      <c r="AM90" s="761"/>
      <c r="AN90" s="761"/>
      <c r="AO90" s="761"/>
      <c r="AP90" s="761"/>
      <c r="AQ90" s="1216"/>
      <c r="AR90" s="1215"/>
      <c r="AS90" s="761"/>
      <c r="AT90" s="761"/>
      <c r="AU90" s="761"/>
      <c r="AV90" s="761"/>
      <c r="AW90" s="761"/>
      <c r="AX90" s="761"/>
      <c r="AY90" s="761"/>
      <c r="AZ90" s="761"/>
      <c r="BA90" s="761"/>
      <c r="BB90" s="761"/>
      <c r="BC90" s="1216"/>
      <c r="BD90" s="1215"/>
      <c r="BE90" s="761"/>
      <c r="BF90" s="761"/>
      <c r="BG90" s="761"/>
      <c r="BH90" s="761"/>
      <c r="BI90" s="761"/>
      <c r="BJ90" s="761"/>
      <c r="BK90" s="761"/>
      <c r="BL90" s="761"/>
      <c r="BM90" s="761"/>
      <c r="BN90" s="761"/>
      <c r="BO90" s="1216"/>
      <c r="BP90" s="1215"/>
      <c r="BQ90" s="761"/>
      <c r="BR90" s="761"/>
      <c r="BS90" s="761"/>
      <c r="BT90" s="761"/>
      <c r="BU90" s="761"/>
      <c r="BV90" s="761"/>
      <c r="BW90" s="761"/>
      <c r="BX90" s="761"/>
      <c r="BY90" s="761"/>
      <c r="BZ90" s="761"/>
      <c r="CA90" s="1216"/>
      <c r="CB90" s="747"/>
      <c r="CC90" s="1222">
        <f>$G90*H90*Variables!$B$53</f>
        <v>0</v>
      </c>
      <c r="CD90" s="1223">
        <f>$G90*I90*Variables!$B$53</f>
        <v>0</v>
      </c>
      <c r="CE90" s="1223">
        <f>$G90*J90*Variables!$B$53</f>
        <v>0</v>
      </c>
      <c r="CF90" s="1223">
        <f>$G90*K90*Variables!$B$53</f>
        <v>0</v>
      </c>
      <c r="CG90" s="1223">
        <f>$G90*L90*Variables!$B$53</f>
        <v>0</v>
      </c>
      <c r="CH90" s="1223">
        <f>$G90*M90*Variables!$B$53</f>
        <v>0</v>
      </c>
      <c r="CI90" s="1223">
        <f>$G90*N90*Variables!$B$53</f>
        <v>0</v>
      </c>
      <c r="CJ90" s="1223">
        <f>$G90*O90*Variables!$B$53</f>
        <v>0</v>
      </c>
      <c r="CK90" s="1223">
        <f>$G90*P90*Variables!$B$53</f>
        <v>0</v>
      </c>
      <c r="CL90" s="1223">
        <f>$G90*Q90*Variables!$B$53</f>
        <v>0</v>
      </c>
      <c r="CM90" s="1223">
        <f>$G90*R90*Variables!$B$53</f>
        <v>0</v>
      </c>
      <c r="CN90" s="1225">
        <f>$G90*S90*Variables!$B$53</f>
        <v>0</v>
      </c>
      <c r="CO90" s="1222">
        <f>$G90*T90*Variables!$B$53*HLOOKUP($CO$2,Variables!$B$60:$F$61,2,FALSE)</f>
        <v>0</v>
      </c>
      <c r="CP90" s="1223">
        <f>$G90*U90*Variables!$B$53*HLOOKUP($CO$2,Variables!$B$60:$F$61,2,FALSE)</f>
        <v>0</v>
      </c>
      <c r="CQ90" s="1223">
        <f>$G90*V90*Variables!$B$53*HLOOKUP($CO$2,Variables!$B$60:$F$61,2,FALSE)</f>
        <v>0</v>
      </c>
      <c r="CR90" s="1223">
        <f>$G90*W90*Variables!$B$53*HLOOKUP($CO$2,Variables!$B$60:$F$61,2,FALSE)</f>
        <v>0</v>
      </c>
      <c r="CS90" s="1223">
        <f>$G90*X90*Variables!$B$53*HLOOKUP($CO$2,Variables!$B$60:$F$61,2,FALSE)</f>
        <v>0</v>
      </c>
      <c r="CT90" s="1223">
        <f>$G90*Y90*Variables!$B$53*HLOOKUP($CO$2,Variables!$B$60:$F$61,2,FALSE)</f>
        <v>0</v>
      </c>
      <c r="CU90" s="1223">
        <f>$G90*Z90*Variables!$B$53*HLOOKUP($CO$2,Variables!$B$60:$F$61,2,FALSE)</f>
        <v>0</v>
      </c>
      <c r="CV90" s="1223">
        <f>$G90*AA90*Variables!$B$53*HLOOKUP($CO$2,Variables!$B$60:$F$61,2,FALSE)</f>
        <v>0</v>
      </c>
      <c r="CW90" s="1223">
        <f>$G90*AB90*Variables!$B$53*HLOOKUP($CO$2,Variables!$B$60:$F$61,2,FALSE)</f>
        <v>0</v>
      </c>
      <c r="CX90" s="1223">
        <f>$G90*AC90*Variables!$B$53*HLOOKUP($CO$2,Variables!$B$60:$F$61,2,FALSE)</f>
        <v>0</v>
      </c>
      <c r="CY90" s="1223">
        <f>$G90*AD90*Variables!$B$53*HLOOKUP($CO$2,Variables!$B$60:$F$61,2,FALSE)</f>
        <v>0</v>
      </c>
      <c r="CZ90" s="1225">
        <f>$G90*AE90*Variables!$B$53*HLOOKUP($CO$2,Variables!$B$60:$F$61,2,FALSE)</f>
        <v>0</v>
      </c>
      <c r="DA90" s="1222">
        <f>$G90*AF90*Variables!$B$53*HLOOKUP($DA$2,Variables!$B$60:$F$61,2,FALSE)</f>
        <v>0</v>
      </c>
      <c r="DB90" s="1223">
        <f>$G90*AG90*Variables!$B$53*HLOOKUP($DA$2,Variables!$B$60:$F$61,2,FALSE)</f>
        <v>0</v>
      </c>
      <c r="DC90" s="1223">
        <f>$G90*AH90*Variables!$B$53*HLOOKUP($DA$2,Variables!$B$60:$F$61,2,FALSE)</f>
        <v>0</v>
      </c>
      <c r="DD90" s="1223">
        <f>$G90*AI90*Variables!$B$53*HLOOKUP($DA$2,Variables!$B$60:$F$61,2,FALSE)</f>
        <v>0</v>
      </c>
      <c r="DE90" s="1223">
        <f>$G90*AJ90*Variables!$B$53*HLOOKUP($DA$2,Variables!$B$60:$F$61,2,FALSE)</f>
        <v>0</v>
      </c>
      <c r="DF90" s="1223">
        <f>$G90*AK90*Variables!$B$53*HLOOKUP($DA$2,Variables!$B$60:$F$61,2,FALSE)</f>
        <v>0</v>
      </c>
      <c r="DG90" s="1223">
        <f>$G90*AL90*Variables!$B$53*HLOOKUP($DA$2,Variables!$B$60:$F$61,2,FALSE)</f>
        <v>0</v>
      </c>
      <c r="DH90" s="1223">
        <f>$G90*AM90*Variables!$B$53*HLOOKUP($DA$2,Variables!$B$60:$F$61,2,FALSE)</f>
        <v>0</v>
      </c>
      <c r="DI90" s="1223">
        <f>$G90*AN90*Variables!$B$53*HLOOKUP($DA$2,Variables!$B$60:$F$61,2,FALSE)</f>
        <v>0</v>
      </c>
      <c r="DJ90" s="1223">
        <f>$G90*AO90*Variables!$B$53*HLOOKUP($DA$2,Variables!$B$60:$F$61,2,FALSE)</f>
        <v>0</v>
      </c>
      <c r="DK90" s="1223">
        <f>$G90*AP90*Variables!$B$53*HLOOKUP($DA$2,Variables!$B$60:$F$61,2,FALSE)</f>
        <v>0</v>
      </c>
      <c r="DL90" s="1225">
        <f>$G90*AQ90*Variables!$B$53*HLOOKUP($DA$2,Variables!$B$60:$F$61,2,FALSE)</f>
        <v>0</v>
      </c>
      <c r="DM90" s="1222">
        <f>$G90*AR90*Variables!$B$53*HLOOKUP($DM$2,Variables!$B$60:$F$61,2,FALSE)</f>
        <v>0</v>
      </c>
      <c r="DN90" s="1223">
        <f>$G90*AS90*Variables!$B$53*HLOOKUP($DM$2,Variables!$B$60:$F$61,2,FALSE)</f>
        <v>0</v>
      </c>
      <c r="DO90" s="1223">
        <f>$G90*AT90*Variables!$B$53*HLOOKUP($DM$2,Variables!$B$60:$F$61,2,FALSE)</f>
        <v>0</v>
      </c>
      <c r="DP90" s="1223">
        <f>$G90*AU90*Variables!$B$53*HLOOKUP($DM$2,Variables!$B$60:$F$61,2,FALSE)</f>
        <v>0</v>
      </c>
      <c r="DQ90" s="1223">
        <f>$G90*AV90*Variables!$B$53*HLOOKUP($DM$2,Variables!$B$60:$F$61,2,FALSE)</f>
        <v>0</v>
      </c>
      <c r="DR90" s="1223">
        <f>$G90*AW90*Variables!$B$53*HLOOKUP($DM$2,Variables!$B$60:$F$61,2,FALSE)</f>
        <v>0</v>
      </c>
      <c r="DS90" s="1223">
        <f>$G90*AX90*Variables!$B$53*HLOOKUP($DM$2,Variables!$B$60:$F$61,2,FALSE)</f>
        <v>0</v>
      </c>
      <c r="DT90" s="1223">
        <f>$G90*AY90*Variables!$B$53*HLOOKUP($DM$2,Variables!$B$60:$F$61,2,FALSE)</f>
        <v>0</v>
      </c>
      <c r="DU90" s="1223">
        <f>$G90*AZ90*Variables!$B$53*HLOOKUP($DM$2,Variables!$B$60:$F$61,2,FALSE)</f>
        <v>0</v>
      </c>
      <c r="DV90" s="1223">
        <f>$G90*BA90*Variables!$B$53*HLOOKUP($DM$2,Variables!$B$60:$F$61,2,FALSE)</f>
        <v>0</v>
      </c>
      <c r="DW90" s="1223">
        <f>$G90*BB90*Variables!$B$53*HLOOKUP($DM$2,Variables!$B$60:$F$61,2,FALSE)</f>
        <v>0</v>
      </c>
      <c r="DX90" s="1225">
        <f>$G90*BC90*Variables!$B$53*HLOOKUP($DM$2,Variables!$B$60:$F$61,2,FALSE)</f>
        <v>0</v>
      </c>
      <c r="DY90" s="1222">
        <f>$G90*BD90*Variables!$B$53*HLOOKUP($DY$2,Variables!$B$60:$F$61,2,FALSE)</f>
        <v>0</v>
      </c>
      <c r="DZ90" s="1223">
        <f>$G90*BE90*Variables!$B$53*HLOOKUP($DY$2,Variables!$B$60:$F$61,2,FALSE)</f>
        <v>0</v>
      </c>
      <c r="EA90" s="1223">
        <f>$G90*BF90*Variables!$B$53*HLOOKUP($DY$2,Variables!$B$60:$F$61,2,FALSE)</f>
        <v>0</v>
      </c>
      <c r="EB90" s="1223">
        <f>$G90*BG90*Variables!$B$53*HLOOKUP($DY$2,Variables!$B$60:$F$61,2,FALSE)</f>
        <v>0</v>
      </c>
      <c r="EC90" s="1223">
        <f>$G90*BH90*Variables!$B$53*HLOOKUP($DY$2,Variables!$B$60:$F$61,2,FALSE)</f>
        <v>0</v>
      </c>
      <c r="ED90" s="1223">
        <f>$G90*BI90*Variables!$B$53*HLOOKUP($DY$2,Variables!$B$60:$F$61,2,FALSE)</f>
        <v>0</v>
      </c>
      <c r="EE90" s="1223">
        <f>$G90*BJ90*Variables!$B$53*HLOOKUP($DY$2,Variables!$B$60:$F$61,2,FALSE)</f>
        <v>0</v>
      </c>
      <c r="EF90" s="1223">
        <f>$G90*BK90*Variables!$B$53*HLOOKUP($DY$2,Variables!$B$60:$F$61,2,FALSE)</f>
        <v>0</v>
      </c>
      <c r="EG90" s="1223">
        <f>$G90*BL90*Variables!$B$53*HLOOKUP($DY$2,Variables!$B$60:$F$61,2,FALSE)</f>
        <v>0</v>
      </c>
      <c r="EH90" s="1223">
        <f>$G90*BM90*Variables!$B$53*HLOOKUP($DY$2,Variables!$B$60:$F$61,2,FALSE)</f>
        <v>0</v>
      </c>
      <c r="EI90" s="1223">
        <f>$G90*BN90*Variables!$B$53*HLOOKUP($DY$2,Variables!$B$60:$F$61,2,FALSE)</f>
        <v>0</v>
      </c>
      <c r="EJ90" s="1225">
        <f>$G90*BO90*Variables!$B$53*HLOOKUP($DY$2,Variables!$B$60:$F$61,2,FALSE)</f>
        <v>0</v>
      </c>
      <c r="EK90" s="1222">
        <f>$G90*BP90*Variables!$B$53*HLOOKUP($EK$2,Variables!$B$60:$F$61,2,FALSE)</f>
        <v>0</v>
      </c>
      <c r="EL90" s="1223">
        <f>$G90*BQ90*Variables!$B$53*HLOOKUP($EK$2,Variables!$B$60:$F$61,2,FALSE)</f>
        <v>0</v>
      </c>
      <c r="EM90" s="1223">
        <f>$G90*BR90*Variables!$B$53*HLOOKUP($EK$2,Variables!$B$60:$F$61,2,FALSE)</f>
        <v>0</v>
      </c>
      <c r="EN90" s="1223">
        <f>$G90*BS90*Variables!$B$53*HLOOKUP($EK$2,Variables!$B$60:$F$61,2,FALSE)</f>
        <v>0</v>
      </c>
      <c r="EO90" s="1223">
        <f>$G90*BT90*Variables!$B$53*HLOOKUP($EK$2,Variables!$B$60:$F$61,2,FALSE)</f>
        <v>0</v>
      </c>
      <c r="EP90" s="1223">
        <f>$G90*BU90*Variables!$B$53*HLOOKUP($EK$2,Variables!$B$60:$F$61,2,FALSE)</f>
        <v>0</v>
      </c>
      <c r="EQ90" s="1223">
        <f>$G90*BV90*Variables!$B$53*HLOOKUP($EK$2,Variables!$B$60:$F$61,2,FALSE)</f>
        <v>0</v>
      </c>
      <c r="ER90" s="1223">
        <f>$G90*BW90*Variables!$B$53*HLOOKUP($EK$2,Variables!$B$60:$F$61,2,FALSE)</f>
        <v>0</v>
      </c>
      <c r="ES90" s="1223">
        <f>$G90*BX90*Variables!$B$53*HLOOKUP($EK$2,Variables!$B$60:$F$61,2,FALSE)</f>
        <v>0</v>
      </c>
      <c r="ET90" s="1223">
        <f>$G90*BY90*Variables!$B$53*HLOOKUP($EK$2,Variables!$B$60:$F$61,2,FALSE)</f>
        <v>0</v>
      </c>
      <c r="EU90" s="1223">
        <f>$G90*BZ90*Variables!$B$53*HLOOKUP($EK$2,Variables!$B$60:$F$61,2,FALSE)</f>
        <v>0</v>
      </c>
      <c r="EV90" s="1225">
        <f>$G90*CA90*Variables!$B$53*HLOOKUP($EK$2,Variables!$B$60:$F$61,2,FALSE)</f>
        <v>0</v>
      </c>
      <c r="EW90" s="872">
        <f t="shared" si="15"/>
        <v>0</v>
      </c>
      <c r="EX90" s="872"/>
      <c r="EY90" s="872"/>
      <c r="EZ90" s="872"/>
      <c r="FA90" s="1332"/>
      <c r="FC90" s="958" t="str">
        <f t="shared" si="11"/>
        <v/>
      </c>
      <c r="FD90" s="959" t="str">
        <f t="shared" si="12"/>
        <v/>
      </c>
      <c r="FE90" s="959" t="s">
        <v>8407</v>
      </c>
      <c r="FF90" s="959" t="str">
        <f>IF(ISNA(VLOOKUP(FC90,Miscellaneous!E:F,2,0)),"",VLOOKUP(FC90,Miscellaneous!E:F,2,0))</f>
        <v/>
      </c>
      <c r="FG90" s="959" t="str">
        <f t="shared" si="13"/>
        <v/>
      </c>
      <c r="FH90" s="996">
        <f>IF($FG90="Opex",SUMIF('Monthly Summary'!$C$75:$N$75,"",CC90:CN90),SUMIF('Monthly Summary'!$C$74:$N$74,"",CC90:CN90))</f>
        <v>0</v>
      </c>
      <c r="FI90" s="996">
        <f>IF($FG90="Opex",SUMIF('Monthly Summary'!$O$75:$Z$75,"",CO90:CZ90),SUMIF('Monthly Summary'!$O$74:$Z$74,"",CO90:CZ90))</f>
        <v>0</v>
      </c>
      <c r="FJ90" s="996">
        <f>IF($FG90="Opex",SUMIF('Monthly Summary'!$AA$75:$AL$75,"",DA90:DL90),SUMIF('Monthly Summary'!$AA$74:$AL$74,"",DA90:DL90))</f>
        <v>0</v>
      </c>
      <c r="FK90" s="996">
        <f>IF($FG90="Opex",SUMIF('Monthly Summary'!$AM$75:$AX$75,"",DM90:DX90),SUMIF('Monthly Summary'!$AM$74:$AX$74,"",DM90:DX90))</f>
        <v>0</v>
      </c>
      <c r="FL90" s="996">
        <f>IF($FG90="Opex",SUMIF('Monthly Summary'!$AY$75:$BJ$75,"",DY90:EJ90),SUMIF('Monthly Summary'!$AY$74:$BJ$74,"",DY90:EJ90))</f>
        <v>0</v>
      </c>
      <c r="FM90" s="997">
        <f>IF($FG90="Opex",SUMIF('Monthly Summary'!$BK$75:$BV$75,"",EK90:EV90),SUMIF('Monthly Summary'!$BK$74:$BV$74,"",EK90:EV90))</f>
        <v>0</v>
      </c>
      <c r="FN90" s="997">
        <f t="shared" si="14"/>
        <v>0</v>
      </c>
    </row>
    <row r="91" spans="3:170">
      <c r="C91" s="757"/>
      <c r="D91" s="757"/>
      <c r="E91" s="758"/>
      <c r="F91" s="758"/>
      <c r="G91" s="758"/>
      <c r="H91" s="1215"/>
      <c r="I91" s="761"/>
      <c r="J91" s="761"/>
      <c r="K91" s="761"/>
      <c r="L91" s="761"/>
      <c r="M91" s="761"/>
      <c r="N91" s="761"/>
      <c r="O91" s="761"/>
      <c r="P91" s="761"/>
      <c r="Q91" s="761"/>
      <c r="R91" s="761"/>
      <c r="S91" s="1216"/>
      <c r="T91" s="1215"/>
      <c r="U91" s="761"/>
      <c r="V91" s="761"/>
      <c r="W91" s="761"/>
      <c r="X91" s="761"/>
      <c r="Y91" s="761"/>
      <c r="Z91" s="761"/>
      <c r="AA91" s="761"/>
      <c r="AB91" s="761"/>
      <c r="AC91" s="761"/>
      <c r="AD91" s="761"/>
      <c r="AE91" s="1216"/>
      <c r="AF91" s="1215"/>
      <c r="AG91" s="761"/>
      <c r="AH91" s="761"/>
      <c r="AI91" s="761"/>
      <c r="AJ91" s="761"/>
      <c r="AK91" s="761"/>
      <c r="AL91" s="761"/>
      <c r="AM91" s="761"/>
      <c r="AN91" s="761"/>
      <c r="AO91" s="761"/>
      <c r="AP91" s="761"/>
      <c r="AQ91" s="1216"/>
      <c r="AR91" s="1215"/>
      <c r="AS91" s="761"/>
      <c r="AT91" s="761"/>
      <c r="AU91" s="761"/>
      <c r="AV91" s="761"/>
      <c r="AW91" s="761"/>
      <c r="AX91" s="761"/>
      <c r="AY91" s="761"/>
      <c r="AZ91" s="761"/>
      <c r="BA91" s="761"/>
      <c r="BB91" s="761"/>
      <c r="BC91" s="1216"/>
      <c r="BD91" s="1215"/>
      <c r="BE91" s="761"/>
      <c r="BF91" s="761"/>
      <c r="BG91" s="761"/>
      <c r="BH91" s="761"/>
      <c r="BI91" s="761"/>
      <c r="BJ91" s="761"/>
      <c r="BK91" s="761"/>
      <c r="BL91" s="761"/>
      <c r="BM91" s="761"/>
      <c r="BN91" s="761"/>
      <c r="BO91" s="1216"/>
      <c r="BP91" s="1215"/>
      <c r="BQ91" s="761"/>
      <c r="BR91" s="761"/>
      <c r="BS91" s="761"/>
      <c r="BT91" s="761"/>
      <c r="BU91" s="761"/>
      <c r="BV91" s="761"/>
      <c r="BW91" s="761"/>
      <c r="BX91" s="761"/>
      <c r="BY91" s="761"/>
      <c r="BZ91" s="761"/>
      <c r="CA91" s="1216"/>
      <c r="CB91" s="747"/>
      <c r="CC91" s="1222">
        <f>$G91*H91*Variables!$B$53</f>
        <v>0</v>
      </c>
      <c r="CD91" s="1223">
        <f>$G91*I91*Variables!$B$53</f>
        <v>0</v>
      </c>
      <c r="CE91" s="1223">
        <f>$G91*J91*Variables!$B$53</f>
        <v>0</v>
      </c>
      <c r="CF91" s="1223">
        <f>$G91*K91*Variables!$B$53</f>
        <v>0</v>
      </c>
      <c r="CG91" s="1223">
        <f>$G91*L91*Variables!$B$53</f>
        <v>0</v>
      </c>
      <c r="CH91" s="1223">
        <f>$G91*M91*Variables!$B$53</f>
        <v>0</v>
      </c>
      <c r="CI91" s="1223">
        <f>$G91*N91*Variables!$B$53</f>
        <v>0</v>
      </c>
      <c r="CJ91" s="1223">
        <f>$G91*O91*Variables!$B$53</f>
        <v>0</v>
      </c>
      <c r="CK91" s="1223">
        <f>$G91*P91*Variables!$B$53</f>
        <v>0</v>
      </c>
      <c r="CL91" s="1223">
        <f>$G91*Q91*Variables!$B$53</f>
        <v>0</v>
      </c>
      <c r="CM91" s="1223">
        <f>$G91*R91*Variables!$B$53</f>
        <v>0</v>
      </c>
      <c r="CN91" s="1225">
        <f>$G91*S91*Variables!$B$53</f>
        <v>0</v>
      </c>
      <c r="CO91" s="1222">
        <f>$G91*T91*Variables!$B$53*HLOOKUP($CO$2,Variables!$B$60:$F$61,2,FALSE)</f>
        <v>0</v>
      </c>
      <c r="CP91" s="1223">
        <f>$G91*U91*Variables!$B$53*HLOOKUP($CO$2,Variables!$B$60:$F$61,2,FALSE)</f>
        <v>0</v>
      </c>
      <c r="CQ91" s="1223">
        <f>$G91*V91*Variables!$B$53*HLOOKUP($CO$2,Variables!$B$60:$F$61,2,FALSE)</f>
        <v>0</v>
      </c>
      <c r="CR91" s="1223">
        <f>$G91*W91*Variables!$B$53*HLOOKUP($CO$2,Variables!$B$60:$F$61,2,FALSE)</f>
        <v>0</v>
      </c>
      <c r="CS91" s="1223">
        <f>$G91*X91*Variables!$B$53*HLOOKUP($CO$2,Variables!$B$60:$F$61,2,FALSE)</f>
        <v>0</v>
      </c>
      <c r="CT91" s="1223">
        <f>$G91*Y91*Variables!$B$53*HLOOKUP($CO$2,Variables!$B$60:$F$61,2,FALSE)</f>
        <v>0</v>
      </c>
      <c r="CU91" s="1223">
        <f>$G91*Z91*Variables!$B$53*HLOOKUP($CO$2,Variables!$B$60:$F$61,2,FALSE)</f>
        <v>0</v>
      </c>
      <c r="CV91" s="1223">
        <f>$G91*AA91*Variables!$B$53*HLOOKUP($CO$2,Variables!$B$60:$F$61,2,FALSE)</f>
        <v>0</v>
      </c>
      <c r="CW91" s="1223">
        <f>$G91*AB91*Variables!$B$53*HLOOKUP($CO$2,Variables!$B$60:$F$61,2,FALSE)</f>
        <v>0</v>
      </c>
      <c r="CX91" s="1223">
        <f>$G91*AC91*Variables!$B$53*HLOOKUP($CO$2,Variables!$B$60:$F$61,2,FALSE)</f>
        <v>0</v>
      </c>
      <c r="CY91" s="1223">
        <f>$G91*AD91*Variables!$B$53*HLOOKUP($CO$2,Variables!$B$60:$F$61,2,FALSE)</f>
        <v>0</v>
      </c>
      <c r="CZ91" s="1225">
        <f>$G91*AE91*Variables!$B$53*HLOOKUP($CO$2,Variables!$B$60:$F$61,2,FALSE)</f>
        <v>0</v>
      </c>
      <c r="DA91" s="1222">
        <f>$G91*AF91*Variables!$B$53*HLOOKUP($DA$2,Variables!$B$60:$F$61,2,FALSE)</f>
        <v>0</v>
      </c>
      <c r="DB91" s="1223">
        <f>$G91*AG91*Variables!$B$53*HLOOKUP($DA$2,Variables!$B$60:$F$61,2,FALSE)</f>
        <v>0</v>
      </c>
      <c r="DC91" s="1223">
        <f>$G91*AH91*Variables!$B$53*HLOOKUP($DA$2,Variables!$B$60:$F$61,2,FALSE)</f>
        <v>0</v>
      </c>
      <c r="DD91" s="1223">
        <f>$G91*AI91*Variables!$B$53*HLOOKUP($DA$2,Variables!$B$60:$F$61,2,FALSE)</f>
        <v>0</v>
      </c>
      <c r="DE91" s="1223">
        <f>$G91*AJ91*Variables!$B$53*HLOOKUP($DA$2,Variables!$B$60:$F$61,2,FALSE)</f>
        <v>0</v>
      </c>
      <c r="DF91" s="1223">
        <f>$G91*AK91*Variables!$B$53*HLOOKUP($DA$2,Variables!$B$60:$F$61,2,FALSE)</f>
        <v>0</v>
      </c>
      <c r="DG91" s="1223">
        <f>$G91*AL91*Variables!$B$53*HLOOKUP($DA$2,Variables!$B$60:$F$61,2,FALSE)</f>
        <v>0</v>
      </c>
      <c r="DH91" s="1223">
        <f>$G91*AM91*Variables!$B$53*HLOOKUP($DA$2,Variables!$B$60:$F$61,2,FALSE)</f>
        <v>0</v>
      </c>
      <c r="DI91" s="1223">
        <f>$G91*AN91*Variables!$B$53*HLOOKUP($DA$2,Variables!$B$60:$F$61,2,FALSE)</f>
        <v>0</v>
      </c>
      <c r="DJ91" s="1223">
        <f>$G91*AO91*Variables!$B$53*HLOOKUP($DA$2,Variables!$B$60:$F$61,2,FALSE)</f>
        <v>0</v>
      </c>
      <c r="DK91" s="1223">
        <f>$G91*AP91*Variables!$B$53*HLOOKUP($DA$2,Variables!$B$60:$F$61,2,FALSE)</f>
        <v>0</v>
      </c>
      <c r="DL91" s="1225">
        <f>$G91*AQ91*Variables!$B$53*HLOOKUP($DA$2,Variables!$B$60:$F$61,2,FALSE)</f>
        <v>0</v>
      </c>
      <c r="DM91" s="1222">
        <f>$G91*AR91*Variables!$B$53*HLOOKUP($DM$2,Variables!$B$60:$F$61,2,FALSE)</f>
        <v>0</v>
      </c>
      <c r="DN91" s="1223">
        <f>$G91*AS91*Variables!$B$53*HLOOKUP($DM$2,Variables!$B$60:$F$61,2,FALSE)</f>
        <v>0</v>
      </c>
      <c r="DO91" s="1223">
        <f>$G91*AT91*Variables!$B$53*HLOOKUP($DM$2,Variables!$B$60:$F$61,2,FALSE)</f>
        <v>0</v>
      </c>
      <c r="DP91" s="1223">
        <f>$G91*AU91*Variables!$B$53*HLOOKUP($DM$2,Variables!$B$60:$F$61,2,FALSE)</f>
        <v>0</v>
      </c>
      <c r="DQ91" s="1223">
        <f>$G91*AV91*Variables!$B$53*HLOOKUP($DM$2,Variables!$B$60:$F$61,2,FALSE)</f>
        <v>0</v>
      </c>
      <c r="DR91" s="1223">
        <f>$G91*AW91*Variables!$B$53*HLOOKUP($DM$2,Variables!$B$60:$F$61,2,FALSE)</f>
        <v>0</v>
      </c>
      <c r="DS91" s="1223">
        <f>$G91*AX91*Variables!$B$53*HLOOKUP($DM$2,Variables!$B$60:$F$61,2,FALSE)</f>
        <v>0</v>
      </c>
      <c r="DT91" s="1223">
        <f>$G91*AY91*Variables!$B$53*HLOOKUP($DM$2,Variables!$B$60:$F$61,2,FALSE)</f>
        <v>0</v>
      </c>
      <c r="DU91" s="1223">
        <f>$G91*AZ91*Variables!$B$53*HLOOKUP($DM$2,Variables!$B$60:$F$61,2,FALSE)</f>
        <v>0</v>
      </c>
      <c r="DV91" s="1223">
        <f>$G91*BA91*Variables!$B$53*HLOOKUP($DM$2,Variables!$B$60:$F$61,2,FALSE)</f>
        <v>0</v>
      </c>
      <c r="DW91" s="1223">
        <f>$G91*BB91*Variables!$B$53*HLOOKUP($DM$2,Variables!$B$60:$F$61,2,FALSE)</f>
        <v>0</v>
      </c>
      <c r="DX91" s="1225">
        <f>$G91*BC91*Variables!$B$53*HLOOKUP($DM$2,Variables!$B$60:$F$61,2,FALSE)</f>
        <v>0</v>
      </c>
      <c r="DY91" s="1222">
        <f>$G91*BD91*Variables!$B$53*HLOOKUP($DY$2,Variables!$B$60:$F$61,2,FALSE)</f>
        <v>0</v>
      </c>
      <c r="DZ91" s="1223">
        <f>$G91*BE91*Variables!$B$53*HLOOKUP($DY$2,Variables!$B$60:$F$61,2,FALSE)</f>
        <v>0</v>
      </c>
      <c r="EA91" s="1223">
        <f>$G91*BF91*Variables!$B$53*HLOOKUP($DY$2,Variables!$B$60:$F$61,2,FALSE)</f>
        <v>0</v>
      </c>
      <c r="EB91" s="1223">
        <f>$G91*BG91*Variables!$B$53*HLOOKUP($DY$2,Variables!$B$60:$F$61,2,FALSE)</f>
        <v>0</v>
      </c>
      <c r="EC91" s="1223">
        <f>$G91*BH91*Variables!$B$53*HLOOKUP($DY$2,Variables!$B$60:$F$61,2,FALSE)</f>
        <v>0</v>
      </c>
      <c r="ED91" s="1223">
        <f>$G91*BI91*Variables!$B$53*HLOOKUP($DY$2,Variables!$B$60:$F$61,2,FALSE)</f>
        <v>0</v>
      </c>
      <c r="EE91" s="1223">
        <f>$G91*BJ91*Variables!$B$53*HLOOKUP($DY$2,Variables!$B$60:$F$61,2,FALSE)</f>
        <v>0</v>
      </c>
      <c r="EF91" s="1223">
        <f>$G91*BK91*Variables!$B$53*HLOOKUP($DY$2,Variables!$B$60:$F$61,2,FALSE)</f>
        <v>0</v>
      </c>
      <c r="EG91" s="1223">
        <f>$G91*BL91*Variables!$B$53*HLOOKUP($DY$2,Variables!$B$60:$F$61,2,FALSE)</f>
        <v>0</v>
      </c>
      <c r="EH91" s="1223">
        <f>$G91*BM91*Variables!$B$53*HLOOKUP($DY$2,Variables!$B$60:$F$61,2,FALSE)</f>
        <v>0</v>
      </c>
      <c r="EI91" s="1223">
        <f>$G91*BN91*Variables!$B$53*HLOOKUP($DY$2,Variables!$B$60:$F$61,2,FALSE)</f>
        <v>0</v>
      </c>
      <c r="EJ91" s="1225">
        <f>$G91*BO91*Variables!$B$53*HLOOKUP($DY$2,Variables!$B$60:$F$61,2,FALSE)</f>
        <v>0</v>
      </c>
      <c r="EK91" s="1222">
        <f>$G91*BP91*Variables!$B$53*HLOOKUP($EK$2,Variables!$B$60:$F$61,2,FALSE)</f>
        <v>0</v>
      </c>
      <c r="EL91" s="1223">
        <f>$G91*BQ91*Variables!$B$53*HLOOKUP($EK$2,Variables!$B$60:$F$61,2,FALSE)</f>
        <v>0</v>
      </c>
      <c r="EM91" s="1223">
        <f>$G91*BR91*Variables!$B$53*HLOOKUP($EK$2,Variables!$B$60:$F$61,2,FALSE)</f>
        <v>0</v>
      </c>
      <c r="EN91" s="1223">
        <f>$G91*BS91*Variables!$B$53*HLOOKUP($EK$2,Variables!$B$60:$F$61,2,FALSE)</f>
        <v>0</v>
      </c>
      <c r="EO91" s="1223">
        <f>$G91*BT91*Variables!$B$53*HLOOKUP($EK$2,Variables!$B$60:$F$61,2,FALSE)</f>
        <v>0</v>
      </c>
      <c r="EP91" s="1223">
        <f>$G91*BU91*Variables!$B$53*HLOOKUP($EK$2,Variables!$B$60:$F$61,2,FALSE)</f>
        <v>0</v>
      </c>
      <c r="EQ91" s="1223">
        <f>$G91*BV91*Variables!$B$53*HLOOKUP($EK$2,Variables!$B$60:$F$61,2,FALSE)</f>
        <v>0</v>
      </c>
      <c r="ER91" s="1223">
        <f>$G91*BW91*Variables!$B$53*HLOOKUP($EK$2,Variables!$B$60:$F$61,2,FALSE)</f>
        <v>0</v>
      </c>
      <c r="ES91" s="1223">
        <f>$G91*BX91*Variables!$B$53*HLOOKUP($EK$2,Variables!$B$60:$F$61,2,FALSE)</f>
        <v>0</v>
      </c>
      <c r="ET91" s="1223">
        <f>$G91*BY91*Variables!$B$53*HLOOKUP($EK$2,Variables!$B$60:$F$61,2,FALSE)</f>
        <v>0</v>
      </c>
      <c r="EU91" s="1223">
        <f>$G91*BZ91*Variables!$B$53*HLOOKUP($EK$2,Variables!$B$60:$F$61,2,FALSE)</f>
        <v>0</v>
      </c>
      <c r="EV91" s="1225">
        <f>$G91*CA91*Variables!$B$53*HLOOKUP($EK$2,Variables!$B$60:$F$61,2,FALSE)</f>
        <v>0</v>
      </c>
      <c r="EW91" s="872">
        <f t="shared" si="15"/>
        <v>0</v>
      </c>
      <c r="EX91" s="872"/>
      <c r="EY91" s="872"/>
      <c r="EZ91" s="872"/>
      <c r="FA91" s="1332"/>
      <c r="FC91" s="958" t="str">
        <f t="shared" si="11"/>
        <v/>
      </c>
      <c r="FD91" s="959" t="str">
        <f t="shared" si="12"/>
        <v/>
      </c>
      <c r="FE91" s="959" t="s">
        <v>8407</v>
      </c>
      <c r="FF91" s="959" t="str">
        <f>IF(ISNA(VLOOKUP(FC91,Miscellaneous!E:F,2,0)),"",VLOOKUP(FC91,Miscellaneous!E:F,2,0))</f>
        <v/>
      </c>
      <c r="FG91" s="959" t="str">
        <f t="shared" si="13"/>
        <v/>
      </c>
      <c r="FH91" s="996">
        <f>IF($FG91="Opex",SUMIF('Monthly Summary'!$C$75:$N$75,"",CC91:CN91),SUMIF('Monthly Summary'!$C$74:$N$74,"",CC91:CN91))</f>
        <v>0</v>
      </c>
      <c r="FI91" s="996">
        <f>IF($FG91="Opex",SUMIF('Monthly Summary'!$O$75:$Z$75,"",CO91:CZ91),SUMIF('Monthly Summary'!$O$74:$Z$74,"",CO91:CZ91))</f>
        <v>0</v>
      </c>
      <c r="FJ91" s="996">
        <f>IF($FG91="Opex",SUMIF('Monthly Summary'!$AA$75:$AL$75,"",DA91:DL91),SUMIF('Monthly Summary'!$AA$74:$AL$74,"",DA91:DL91))</f>
        <v>0</v>
      </c>
      <c r="FK91" s="996">
        <f>IF($FG91="Opex",SUMIF('Monthly Summary'!$AM$75:$AX$75,"",DM91:DX91),SUMIF('Monthly Summary'!$AM$74:$AX$74,"",DM91:DX91))</f>
        <v>0</v>
      </c>
      <c r="FL91" s="996">
        <f>IF($FG91="Opex",SUMIF('Monthly Summary'!$AY$75:$BJ$75,"",DY91:EJ91),SUMIF('Monthly Summary'!$AY$74:$BJ$74,"",DY91:EJ91))</f>
        <v>0</v>
      </c>
      <c r="FM91" s="997">
        <f>IF($FG91="Opex",SUMIF('Monthly Summary'!$BK$75:$BV$75,"",EK91:EV91),SUMIF('Monthly Summary'!$BK$74:$BV$74,"",EK91:EV91))</f>
        <v>0</v>
      </c>
      <c r="FN91" s="997">
        <f t="shared" si="14"/>
        <v>0</v>
      </c>
    </row>
    <row r="92" spans="3:170">
      <c r="C92" s="757"/>
      <c r="D92" s="757"/>
      <c r="E92" s="758"/>
      <c r="F92" s="758"/>
      <c r="G92" s="758"/>
      <c r="H92" s="1215"/>
      <c r="I92" s="761"/>
      <c r="J92" s="761"/>
      <c r="K92" s="761"/>
      <c r="L92" s="761"/>
      <c r="M92" s="761"/>
      <c r="N92" s="761"/>
      <c r="O92" s="761"/>
      <c r="P92" s="761"/>
      <c r="Q92" s="761"/>
      <c r="R92" s="761"/>
      <c r="S92" s="1216"/>
      <c r="T92" s="1215"/>
      <c r="U92" s="761"/>
      <c r="V92" s="761"/>
      <c r="W92" s="761"/>
      <c r="X92" s="761"/>
      <c r="Y92" s="761"/>
      <c r="Z92" s="761"/>
      <c r="AA92" s="761"/>
      <c r="AB92" s="761"/>
      <c r="AC92" s="761"/>
      <c r="AD92" s="761"/>
      <c r="AE92" s="1216"/>
      <c r="AF92" s="1215"/>
      <c r="AG92" s="761"/>
      <c r="AH92" s="761"/>
      <c r="AI92" s="761"/>
      <c r="AJ92" s="761"/>
      <c r="AK92" s="761"/>
      <c r="AL92" s="761"/>
      <c r="AM92" s="761"/>
      <c r="AN92" s="761"/>
      <c r="AO92" s="761"/>
      <c r="AP92" s="761"/>
      <c r="AQ92" s="1216"/>
      <c r="AR92" s="1215"/>
      <c r="AS92" s="761"/>
      <c r="AT92" s="761"/>
      <c r="AU92" s="761"/>
      <c r="AV92" s="761"/>
      <c r="AW92" s="761"/>
      <c r="AX92" s="761"/>
      <c r="AY92" s="761"/>
      <c r="AZ92" s="761"/>
      <c r="BA92" s="761"/>
      <c r="BB92" s="761"/>
      <c r="BC92" s="1216"/>
      <c r="BD92" s="1215"/>
      <c r="BE92" s="761"/>
      <c r="BF92" s="761"/>
      <c r="BG92" s="761"/>
      <c r="BH92" s="761"/>
      <c r="BI92" s="761"/>
      <c r="BJ92" s="761"/>
      <c r="BK92" s="761"/>
      <c r="BL92" s="761"/>
      <c r="BM92" s="761"/>
      <c r="BN92" s="761"/>
      <c r="BO92" s="1216"/>
      <c r="BP92" s="1215"/>
      <c r="BQ92" s="761"/>
      <c r="BR92" s="761"/>
      <c r="BS92" s="761"/>
      <c r="BT92" s="761"/>
      <c r="BU92" s="761"/>
      <c r="BV92" s="761"/>
      <c r="BW92" s="761"/>
      <c r="BX92" s="761"/>
      <c r="BY92" s="761"/>
      <c r="BZ92" s="761"/>
      <c r="CA92" s="1216"/>
      <c r="CB92" s="747"/>
      <c r="CC92" s="1222">
        <f>$G92*H92*Variables!$B$53</f>
        <v>0</v>
      </c>
      <c r="CD92" s="1223">
        <f>$G92*I92*Variables!$B$53</f>
        <v>0</v>
      </c>
      <c r="CE92" s="1223">
        <f>$G92*J92*Variables!$B$53</f>
        <v>0</v>
      </c>
      <c r="CF92" s="1223">
        <f>$G92*K92*Variables!$B$53</f>
        <v>0</v>
      </c>
      <c r="CG92" s="1223">
        <f>$G92*L92*Variables!$B$53</f>
        <v>0</v>
      </c>
      <c r="CH92" s="1223">
        <f>$G92*M92*Variables!$B$53</f>
        <v>0</v>
      </c>
      <c r="CI92" s="1223">
        <f>$G92*N92*Variables!$B$53</f>
        <v>0</v>
      </c>
      <c r="CJ92" s="1223">
        <f>$G92*O92*Variables!$B$53</f>
        <v>0</v>
      </c>
      <c r="CK92" s="1223">
        <f>$G92*P92*Variables!$B$53</f>
        <v>0</v>
      </c>
      <c r="CL92" s="1223">
        <f>$G92*Q92*Variables!$B$53</f>
        <v>0</v>
      </c>
      <c r="CM92" s="1223">
        <f>$G92*R92*Variables!$B$53</f>
        <v>0</v>
      </c>
      <c r="CN92" s="1225">
        <f>$G92*S92*Variables!$B$53</f>
        <v>0</v>
      </c>
      <c r="CO92" s="1222">
        <f>$G92*T92*Variables!$B$53*HLOOKUP($CO$2,Variables!$B$60:$F$61,2,FALSE)</f>
        <v>0</v>
      </c>
      <c r="CP92" s="1223">
        <f>$G92*U92*Variables!$B$53*HLOOKUP($CO$2,Variables!$B$60:$F$61,2,FALSE)</f>
        <v>0</v>
      </c>
      <c r="CQ92" s="1223">
        <f>$G92*V92*Variables!$B$53*HLOOKUP($CO$2,Variables!$B$60:$F$61,2,FALSE)</f>
        <v>0</v>
      </c>
      <c r="CR92" s="1223">
        <f>$G92*W92*Variables!$B$53*HLOOKUP($CO$2,Variables!$B$60:$F$61,2,FALSE)</f>
        <v>0</v>
      </c>
      <c r="CS92" s="1223">
        <f>$G92*X92*Variables!$B$53*HLOOKUP($CO$2,Variables!$B$60:$F$61,2,FALSE)</f>
        <v>0</v>
      </c>
      <c r="CT92" s="1223">
        <f>$G92*Y92*Variables!$B$53*HLOOKUP($CO$2,Variables!$B$60:$F$61,2,FALSE)</f>
        <v>0</v>
      </c>
      <c r="CU92" s="1223">
        <f>$G92*Z92*Variables!$B$53*HLOOKUP($CO$2,Variables!$B$60:$F$61,2,FALSE)</f>
        <v>0</v>
      </c>
      <c r="CV92" s="1223">
        <f>$G92*AA92*Variables!$B$53*HLOOKUP($CO$2,Variables!$B$60:$F$61,2,FALSE)</f>
        <v>0</v>
      </c>
      <c r="CW92" s="1223">
        <f>$G92*AB92*Variables!$B$53*HLOOKUP($CO$2,Variables!$B$60:$F$61,2,FALSE)</f>
        <v>0</v>
      </c>
      <c r="CX92" s="1223">
        <f>$G92*AC92*Variables!$B$53*HLOOKUP($CO$2,Variables!$B$60:$F$61,2,FALSE)</f>
        <v>0</v>
      </c>
      <c r="CY92" s="1223">
        <f>$G92*AD92*Variables!$B$53*HLOOKUP($CO$2,Variables!$B$60:$F$61,2,FALSE)</f>
        <v>0</v>
      </c>
      <c r="CZ92" s="1225">
        <f>$G92*AE92*Variables!$B$53*HLOOKUP($CO$2,Variables!$B$60:$F$61,2,FALSE)</f>
        <v>0</v>
      </c>
      <c r="DA92" s="1222">
        <f>$G92*AF92*Variables!$B$53*HLOOKUP($DA$2,Variables!$B$60:$F$61,2,FALSE)</f>
        <v>0</v>
      </c>
      <c r="DB92" s="1223">
        <f>$G92*AG92*Variables!$B$53*HLOOKUP($DA$2,Variables!$B$60:$F$61,2,FALSE)</f>
        <v>0</v>
      </c>
      <c r="DC92" s="1223">
        <f>$G92*AH92*Variables!$B$53*HLOOKUP($DA$2,Variables!$B$60:$F$61,2,FALSE)</f>
        <v>0</v>
      </c>
      <c r="DD92" s="1223">
        <f>$G92*AI92*Variables!$B$53*HLOOKUP($DA$2,Variables!$B$60:$F$61,2,FALSE)</f>
        <v>0</v>
      </c>
      <c r="DE92" s="1223">
        <f>$G92*AJ92*Variables!$B$53*HLOOKUP($DA$2,Variables!$B$60:$F$61,2,FALSE)</f>
        <v>0</v>
      </c>
      <c r="DF92" s="1223">
        <f>$G92*AK92*Variables!$B$53*HLOOKUP($DA$2,Variables!$B$60:$F$61,2,FALSE)</f>
        <v>0</v>
      </c>
      <c r="DG92" s="1223">
        <f>$G92*AL92*Variables!$B$53*HLOOKUP($DA$2,Variables!$B$60:$F$61,2,FALSE)</f>
        <v>0</v>
      </c>
      <c r="DH92" s="1223">
        <f>$G92*AM92*Variables!$B$53*HLOOKUP($DA$2,Variables!$B$60:$F$61,2,FALSE)</f>
        <v>0</v>
      </c>
      <c r="DI92" s="1223">
        <f>$G92*AN92*Variables!$B$53*HLOOKUP($DA$2,Variables!$B$60:$F$61,2,FALSE)</f>
        <v>0</v>
      </c>
      <c r="DJ92" s="1223">
        <f>$G92*AO92*Variables!$B$53*HLOOKUP($DA$2,Variables!$B$60:$F$61,2,FALSE)</f>
        <v>0</v>
      </c>
      <c r="DK92" s="1223">
        <f>$G92*AP92*Variables!$B$53*HLOOKUP($DA$2,Variables!$B$60:$F$61,2,FALSE)</f>
        <v>0</v>
      </c>
      <c r="DL92" s="1225">
        <f>$G92*AQ92*Variables!$B$53*HLOOKUP($DA$2,Variables!$B$60:$F$61,2,FALSE)</f>
        <v>0</v>
      </c>
      <c r="DM92" s="1222">
        <f>$G92*AR92*Variables!$B$53*HLOOKUP($DM$2,Variables!$B$60:$F$61,2,FALSE)</f>
        <v>0</v>
      </c>
      <c r="DN92" s="1223">
        <f>$G92*AS92*Variables!$B$53*HLOOKUP($DM$2,Variables!$B$60:$F$61,2,FALSE)</f>
        <v>0</v>
      </c>
      <c r="DO92" s="1223">
        <f>$G92*AT92*Variables!$B$53*HLOOKUP($DM$2,Variables!$B$60:$F$61,2,FALSE)</f>
        <v>0</v>
      </c>
      <c r="DP92" s="1223">
        <f>$G92*AU92*Variables!$B$53*HLOOKUP($DM$2,Variables!$B$60:$F$61,2,FALSE)</f>
        <v>0</v>
      </c>
      <c r="DQ92" s="1223">
        <f>$G92*AV92*Variables!$B$53*HLOOKUP($DM$2,Variables!$B$60:$F$61,2,FALSE)</f>
        <v>0</v>
      </c>
      <c r="DR92" s="1223">
        <f>$G92*AW92*Variables!$B$53*HLOOKUP($DM$2,Variables!$B$60:$F$61,2,FALSE)</f>
        <v>0</v>
      </c>
      <c r="DS92" s="1223">
        <f>$G92*AX92*Variables!$B$53*HLOOKUP($DM$2,Variables!$B$60:$F$61,2,FALSE)</f>
        <v>0</v>
      </c>
      <c r="DT92" s="1223">
        <f>$G92*AY92*Variables!$B$53*HLOOKUP($DM$2,Variables!$B$60:$F$61,2,FALSE)</f>
        <v>0</v>
      </c>
      <c r="DU92" s="1223">
        <f>$G92*AZ92*Variables!$B$53*HLOOKUP($DM$2,Variables!$B$60:$F$61,2,FALSE)</f>
        <v>0</v>
      </c>
      <c r="DV92" s="1223">
        <f>$G92*BA92*Variables!$B$53*HLOOKUP($DM$2,Variables!$B$60:$F$61,2,FALSE)</f>
        <v>0</v>
      </c>
      <c r="DW92" s="1223">
        <f>$G92*BB92*Variables!$B$53*HLOOKUP($DM$2,Variables!$B$60:$F$61,2,FALSE)</f>
        <v>0</v>
      </c>
      <c r="DX92" s="1225">
        <f>$G92*BC92*Variables!$B$53*HLOOKUP($DM$2,Variables!$B$60:$F$61,2,FALSE)</f>
        <v>0</v>
      </c>
      <c r="DY92" s="1222">
        <f>$G92*BD92*Variables!$B$53*HLOOKUP($DY$2,Variables!$B$60:$F$61,2,FALSE)</f>
        <v>0</v>
      </c>
      <c r="DZ92" s="1223">
        <f>$G92*BE92*Variables!$B$53*HLOOKUP($DY$2,Variables!$B$60:$F$61,2,FALSE)</f>
        <v>0</v>
      </c>
      <c r="EA92" s="1223">
        <f>$G92*BF92*Variables!$B$53*HLOOKUP($DY$2,Variables!$B$60:$F$61,2,FALSE)</f>
        <v>0</v>
      </c>
      <c r="EB92" s="1223">
        <f>$G92*BG92*Variables!$B$53*HLOOKUP($DY$2,Variables!$B$60:$F$61,2,FALSE)</f>
        <v>0</v>
      </c>
      <c r="EC92" s="1223">
        <f>$G92*BH92*Variables!$B$53*HLOOKUP($DY$2,Variables!$B$60:$F$61,2,FALSE)</f>
        <v>0</v>
      </c>
      <c r="ED92" s="1223">
        <f>$G92*BI92*Variables!$B$53*HLOOKUP($DY$2,Variables!$B$60:$F$61,2,FALSE)</f>
        <v>0</v>
      </c>
      <c r="EE92" s="1223">
        <f>$G92*BJ92*Variables!$B$53*HLOOKUP($DY$2,Variables!$B$60:$F$61,2,FALSE)</f>
        <v>0</v>
      </c>
      <c r="EF92" s="1223">
        <f>$G92*BK92*Variables!$B$53*HLOOKUP($DY$2,Variables!$B$60:$F$61,2,FALSE)</f>
        <v>0</v>
      </c>
      <c r="EG92" s="1223">
        <f>$G92*BL92*Variables!$B$53*HLOOKUP($DY$2,Variables!$B$60:$F$61,2,FALSE)</f>
        <v>0</v>
      </c>
      <c r="EH92" s="1223">
        <f>$G92*BM92*Variables!$B$53*HLOOKUP($DY$2,Variables!$B$60:$F$61,2,FALSE)</f>
        <v>0</v>
      </c>
      <c r="EI92" s="1223">
        <f>$G92*BN92*Variables!$B$53*HLOOKUP($DY$2,Variables!$B$60:$F$61,2,FALSE)</f>
        <v>0</v>
      </c>
      <c r="EJ92" s="1225">
        <f>$G92*BO92*Variables!$B$53*HLOOKUP($DY$2,Variables!$B$60:$F$61,2,FALSE)</f>
        <v>0</v>
      </c>
      <c r="EK92" s="1222">
        <f>$G92*BP92*Variables!$B$53*HLOOKUP($EK$2,Variables!$B$60:$F$61,2,FALSE)</f>
        <v>0</v>
      </c>
      <c r="EL92" s="1223">
        <f>$G92*BQ92*Variables!$B$53*HLOOKUP($EK$2,Variables!$B$60:$F$61,2,FALSE)</f>
        <v>0</v>
      </c>
      <c r="EM92" s="1223">
        <f>$G92*BR92*Variables!$B$53*HLOOKUP($EK$2,Variables!$B$60:$F$61,2,FALSE)</f>
        <v>0</v>
      </c>
      <c r="EN92" s="1223">
        <f>$G92*BS92*Variables!$B$53*HLOOKUP($EK$2,Variables!$B$60:$F$61,2,FALSE)</f>
        <v>0</v>
      </c>
      <c r="EO92" s="1223">
        <f>$G92*BT92*Variables!$B$53*HLOOKUP($EK$2,Variables!$B$60:$F$61,2,FALSE)</f>
        <v>0</v>
      </c>
      <c r="EP92" s="1223">
        <f>$G92*BU92*Variables!$B$53*HLOOKUP($EK$2,Variables!$B$60:$F$61,2,FALSE)</f>
        <v>0</v>
      </c>
      <c r="EQ92" s="1223">
        <f>$G92*BV92*Variables!$B$53*HLOOKUP($EK$2,Variables!$B$60:$F$61,2,FALSE)</f>
        <v>0</v>
      </c>
      <c r="ER92" s="1223">
        <f>$G92*BW92*Variables!$B$53*HLOOKUP($EK$2,Variables!$B$60:$F$61,2,FALSE)</f>
        <v>0</v>
      </c>
      <c r="ES92" s="1223">
        <f>$G92*BX92*Variables!$B$53*HLOOKUP($EK$2,Variables!$B$60:$F$61,2,FALSE)</f>
        <v>0</v>
      </c>
      <c r="ET92" s="1223">
        <f>$G92*BY92*Variables!$B$53*HLOOKUP($EK$2,Variables!$B$60:$F$61,2,FALSE)</f>
        <v>0</v>
      </c>
      <c r="EU92" s="1223">
        <f>$G92*BZ92*Variables!$B$53*HLOOKUP($EK$2,Variables!$B$60:$F$61,2,FALSE)</f>
        <v>0</v>
      </c>
      <c r="EV92" s="1225">
        <f>$G92*CA92*Variables!$B$53*HLOOKUP($EK$2,Variables!$B$60:$F$61,2,FALSE)</f>
        <v>0</v>
      </c>
      <c r="EW92" s="872">
        <f t="shared" si="15"/>
        <v>0</v>
      </c>
      <c r="EX92" s="872"/>
      <c r="EY92" s="872"/>
      <c r="EZ92" s="872"/>
      <c r="FA92" s="1332"/>
      <c r="FC92" s="958" t="str">
        <f t="shared" si="11"/>
        <v/>
      </c>
      <c r="FD92" s="959" t="str">
        <f t="shared" si="12"/>
        <v/>
      </c>
      <c r="FE92" s="959" t="s">
        <v>8407</v>
      </c>
      <c r="FF92" s="959" t="str">
        <f>IF(ISNA(VLOOKUP(FC92,Miscellaneous!E:F,2,0)),"",VLOOKUP(FC92,Miscellaneous!E:F,2,0))</f>
        <v/>
      </c>
      <c r="FG92" s="959" t="str">
        <f t="shared" si="13"/>
        <v/>
      </c>
      <c r="FH92" s="996">
        <f>IF($FG92="Opex",SUMIF('Monthly Summary'!$C$75:$N$75,"",CC92:CN92),SUMIF('Monthly Summary'!$C$74:$N$74,"",CC92:CN92))</f>
        <v>0</v>
      </c>
      <c r="FI92" s="996">
        <f>IF($FG92="Opex",SUMIF('Monthly Summary'!$O$75:$Z$75,"",CO92:CZ92),SUMIF('Monthly Summary'!$O$74:$Z$74,"",CO92:CZ92))</f>
        <v>0</v>
      </c>
      <c r="FJ92" s="996">
        <f>IF($FG92="Opex",SUMIF('Monthly Summary'!$AA$75:$AL$75,"",DA92:DL92),SUMIF('Monthly Summary'!$AA$74:$AL$74,"",DA92:DL92))</f>
        <v>0</v>
      </c>
      <c r="FK92" s="996">
        <f>IF($FG92="Opex",SUMIF('Monthly Summary'!$AM$75:$AX$75,"",DM92:DX92),SUMIF('Monthly Summary'!$AM$74:$AX$74,"",DM92:DX92))</f>
        <v>0</v>
      </c>
      <c r="FL92" s="996">
        <f>IF($FG92="Opex",SUMIF('Monthly Summary'!$AY$75:$BJ$75,"",DY92:EJ92),SUMIF('Monthly Summary'!$AY$74:$BJ$74,"",DY92:EJ92))</f>
        <v>0</v>
      </c>
      <c r="FM92" s="997">
        <f>IF($FG92="Opex",SUMIF('Monthly Summary'!$BK$75:$BV$75,"",EK92:EV92),SUMIF('Monthly Summary'!$BK$74:$BV$74,"",EK92:EV92))</f>
        <v>0</v>
      </c>
      <c r="FN92" s="997">
        <f t="shared" si="14"/>
        <v>0</v>
      </c>
    </row>
    <row r="93" spans="3:170">
      <c r="C93" s="757"/>
      <c r="D93" s="757"/>
      <c r="E93" s="758"/>
      <c r="F93" s="758"/>
      <c r="G93" s="758"/>
      <c r="H93" s="1215"/>
      <c r="I93" s="761"/>
      <c r="J93" s="761"/>
      <c r="K93" s="761"/>
      <c r="L93" s="761"/>
      <c r="M93" s="761"/>
      <c r="N93" s="761"/>
      <c r="O93" s="761"/>
      <c r="P93" s="761"/>
      <c r="Q93" s="761"/>
      <c r="R93" s="761"/>
      <c r="S93" s="1216"/>
      <c r="T93" s="1215"/>
      <c r="U93" s="761"/>
      <c r="V93" s="761"/>
      <c r="W93" s="761"/>
      <c r="X93" s="761"/>
      <c r="Y93" s="761"/>
      <c r="Z93" s="761"/>
      <c r="AA93" s="761"/>
      <c r="AB93" s="761"/>
      <c r="AC93" s="761"/>
      <c r="AD93" s="761"/>
      <c r="AE93" s="1216"/>
      <c r="AF93" s="1215"/>
      <c r="AG93" s="761"/>
      <c r="AH93" s="761"/>
      <c r="AI93" s="761"/>
      <c r="AJ93" s="761"/>
      <c r="AK93" s="761"/>
      <c r="AL93" s="761"/>
      <c r="AM93" s="761"/>
      <c r="AN93" s="761"/>
      <c r="AO93" s="761"/>
      <c r="AP93" s="761"/>
      <c r="AQ93" s="1216"/>
      <c r="AR93" s="1215"/>
      <c r="AS93" s="761"/>
      <c r="AT93" s="761"/>
      <c r="AU93" s="761"/>
      <c r="AV93" s="761"/>
      <c r="AW93" s="761"/>
      <c r="AX93" s="761"/>
      <c r="AY93" s="761"/>
      <c r="AZ93" s="761"/>
      <c r="BA93" s="761"/>
      <c r="BB93" s="761"/>
      <c r="BC93" s="1216"/>
      <c r="BD93" s="1215"/>
      <c r="BE93" s="761"/>
      <c r="BF93" s="761"/>
      <c r="BG93" s="761"/>
      <c r="BH93" s="761"/>
      <c r="BI93" s="761"/>
      <c r="BJ93" s="761"/>
      <c r="BK93" s="761"/>
      <c r="BL93" s="761"/>
      <c r="BM93" s="761"/>
      <c r="BN93" s="761"/>
      <c r="BO93" s="1216"/>
      <c r="BP93" s="1215"/>
      <c r="BQ93" s="761"/>
      <c r="BR93" s="761"/>
      <c r="BS93" s="761"/>
      <c r="BT93" s="761"/>
      <c r="BU93" s="761"/>
      <c r="BV93" s="761"/>
      <c r="BW93" s="761"/>
      <c r="BX93" s="761"/>
      <c r="BY93" s="761"/>
      <c r="BZ93" s="761"/>
      <c r="CA93" s="1216"/>
      <c r="CB93" s="747"/>
      <c r="CC93" s="1222">
        <f>$G93*H93*Variables!$B$53</f>
        <v>0</v>
      </c>
      <c r="CD93" s="1223">
        <f>$G93*I93*Variables!$B$53</f>
        <v>0</v>
      </c>
      <c r="CE93" s="1223">
        <f>$G93*J93*Variables!$B$53</f>
        <v>0</v>
      </c>
      <c r="CF93" s="1223">
        <f>$G93*K93*Variables!$B$53</f>
        <v>0</v>
      </c>
      <c r="CG93" s="1223">
        <f>$G93*L93*Variables!$B$53</f>
        <v>0</v>
      </c>
      <c r="CH93" s="1223">
        <f>$G93*M93*Variables!$B$53</f>
        <v>0</v>
      </c>
      <c r="CI93" s="1223">
        <f>$G93*N93*Variables!$B$53</f>
        <v>0</v>
      </c>
      <c r="CJ93" s="1223">
        <f>$G93*O93*Variables!$B$53</f>
        <v>0</v>
      </c>
      <c r="CK93" s="1223">
        <f>$G93*P93*Variables!$B$53</f>
        <v>0</v>
      </c>
      <c r="CL93" s="1223">
        <f>$G93*Q93*Variables!$B$53</f>
        <v>0</v>
      </c>
      <c r="CM93" s="1223">
        <f>$G93*R93*Variables!$B$53</f>
        <v>0</v>
      </c>
      <c r="CN93" s="1225">
        <f>$G93*S93*Variables!$B$53</f>
        <v>0</v>
      </c>
      <c r="CO93" s="1222">
        <f>$G93*T93*Variables!$B$53*HLOOKUP($CO$2,Variables!$B$60:$F$61,2,FALSE)</f>
        <v>0</v>
      </c>
      <c r="CP93" s="1223">
        <f>$G93*U93*Variables!$B$53*HLOOKUP($CO$2,Variables!$B$60:$F$61,2,FALSE)</f>
        <v>0</v>
      </c>
      <c r="CQ93" s="1223">
        <f>$G93*V93*Variables!$B$53*HLOOKUP($CO$2,Variables!$B$60:$F$61,2,FALSE)</f>
        <v>0</v>
      </c>
      <c r="CR93" s="1223">
        <f>$G93*W93*Variables!$B$53*HLOOKUP($CO$2,Variables!$B$60:$F$61,2,FALSE)</f>
        <v>0</v>
      </c>
      <c r="CS93" s="1223">
        <f>$G93*X93*Variables!$B$53*HLOOKUP($CO$2,Variables!$B$60:$F$61,2,FALSE)</f>
        <v>0</v>
      </c>
      <c r="CT93" s="1223">
        <f>$G93*Y93*Variables!$B$53*HLOOKUP($CO$2,Variables!$B$60:$F$61,2,FALSE)</f>
        <v>0</v>
      </c>
      <c r="CU93" s="1223">
        <f>$G93*Z93*Variables!$B$53*HLOOKUP($CO$2,Variables!$B$60:$F$61,2,FALSE)</f>
        <v>0</v>
      </c>
      <c r="CV93" s="1223">
        <f>$G93*AA93*Variables!$B$53*HLOOKUP($CO$2,Variables!$B$60:$F$61,2,FALSE)</f>
        <v>0</v>
      </c>
      <c r="CW93" s="1223">
        <f>$G93*AB93*Variables!$B$53*HLOOKUP($CO$2,Variables!$B$60:$F$61,2,FALSE)</f>
        <v>0</v>
      </c>
      <c r="CX93" s="1223">
        <f>$G93*AC93*Variables!$B$53*HLOOKUP($CO$2,Variables!$B$60:$F$61,2,FALSE)</f>
        <v>0</v>
      </c>
      <c r="CY93" s="1223">
        <f>$G93*AD93*Variables!$B$53*HLOOKUP($CO$2,Variables!$B$60:$F$61,2,FALSE)</f>
        <v>0</v>
      </c>
      <c r="CZ93" s="1225">
        <f>$G93*AE93*Variables!$B$53*HLOOKUP($CO$2,Variables!$B$60:$F$61,2,FALSE)</f>
        <v>0</v>
      </c>
      <c r="DA93" s="1222">
        <f>$G93*AF93*Variables!$B$53*HLOOKUP($DA$2,Variables!$B$60:$F$61,2,FALSE)</f>
        <v>0</v>
      </c>
      <c r="DB93" s="1223">
        <f>$G93*AG93*Variables!$B$53*HLOOKUP($DA$2,Variables!$B$60:$F$61,2,FALSE)</f>
        <v>0</v>
      </c>
      <c r="DC93" s="1223">
        <f>$G93*AH93*Variables!$B$53*HLOOKUP($DA$2,Variables!$B$60:$F$61,2,FALSE)</f>
        <v>0</v>
      </c>
      <c r="DD93" s="1223">
        <f>$G93*AI93*Variables!$B$53*HLOOKUP($DA$2,Variables!$B$60:$F$61,2,FALSE)</f>
        <v>0</v>
      </c>
      <c r="DE93" s="1223">
        <f>$G93*AJ93*Variables!$B$53*HLOOKUP($DA$2,Variables!$B$60:$F$61,2,FALSE)</f>
        <v>0</v>
      </c>
      <c r="DF93" s="1223">
        <f>$G93*AK93*Variables!$B$53*HLOOKUP($DA$2,Variables!$B$60:$F$61,2,FALSE)</f>
        <v>0</v>
      </c>
      <c r="DG93" s="1223">
        <f>$G93*AL93*Variables!$B$53*HLOOKUP($DA$2,Variables!$B$60:$F$61,2,FALSE)</f>
        <v>0</v>
      </c>
      <c r="DH93" s="1223">
        <f>$G93*AM93*Variables!$B$53*HLOOKUP($DA$2,Variables!$B$60:$F$61,2,FALSE)</f>
        <v>0</v>
      </c>
      <c r="DI93" s="1223">
        <f>$G93*AN93*Variables!$B$53*HLOOKUP($DA$2,Variables!$B$60:$F$61,2,FALSE)</f>
        <v>0</v>
      </c>
      <c r="DJ93" s="1223">
        <f>$G93*AO93*Variables!$B$53*HLOOKUP($DA$2,Variables!$B$60:$F$61,2,FALSE)</f>
        <v>0</v>
      </c>
      <c r="DK93" s="1223">
        <f>$G93*AP93*Variables!$B$53*HLOOKUP($DA$2,Variables!$B$60:$F$61,2,FALSE)</f>
        <v>0</v>
      </c>
      <c r="DL93" s="1225">
        <f>$G93*AQ93*Variables!$B$53*HLOOKUP($DA$2,Variables!$B$60:$F$61,2,FALSE)</f>
        <v>0</v>
      </c>
      <c r="DM93" s="1222">
        <f>$G93*AR93*Variables!$B$53*HLOOKUP($DM$2,Variables!$B$60:$F$61,2,FALSE)</f>
        <v>0</v>
      </c>
      <c r="DN93" s="1223">
        <f>$G93*AS93*Variables!$B$53*HLOOKUP($DM$2,Variables!$B$60:$F$61,2,FALSE)</f>
        <v>0</v>
      </c>
      <c r="DO93" s="1223">
        <f>$G93*AT93*Variables!$B$53*HLOOKUP($DM$2,Variables!$B$60:$F$61,2,FALSE)</f>
        <v>0</v>
      </c>
      <c r="DP93" s="1223">
        <f>$G93*AU93*Variables!$B$53*HLOOKUP($DM$2,Variables!$B$60:$F$61,2,FALSE)</f>
        <v>0</v>
      </c>
      <c r="DQ93" s="1223">
        <f>$G93*AV93*Variables!$B$53*HLOOKUP($DM$2,Variables!$B$60:$F$61,2,FALSE)</f>
        <v>0</v>
      </c>
      <c r="DR93" s="1223">
        <f>$G93*AW93*Variables!$B$53*HLOOKUP($DM$2,Variables!$B$60:$F$61,2,FALSE)</f>
        <v>0</v>
      </c>
      <c r="DS93" s="1223">
        <f>$G93*AX93*Variables!$B$53*HLOOKUP($DM$2,Variables!$B$60:$F$61,2,FALSE)</f>
        <v>0</v>
      </c>
      <c r="DT93" s="1223">
        <f>$G93*AY93*Variables!$B$53*HLOOKUP($DM$2,Variables!$B$60:$F$61,2,FALSE)</f>
        <v>0</v>
      </c>
      <c r="DU93" s="1223">
        <f>$G93*AZ93*Variables!$B$53*HLOOKUP($DM$2,Variables!$B$60:$F$61,2,FALSE)</f>
        <v>0</v>
      </c>
      <c r="DV93" s="1223">
        <f>$G93*BA93*Variables!$B$53*HLOOKUP($DM$2,Variables!$B$60:$F$61,2,FALSE)</f>
        <v>0</v>
      </c>
      <c r="DW93" s="1223">
        <f>$G93*BB93*Variables!$B$53*HLOOKUP($DM$2,Variables!$B$60:$F$61,2,FALSE)</f>
        <v>0</v>
      </c>
      <c r="DX93" s="1225">
        <f>$G93*BC93*Variables!$B$53*HLOOKUP($DM$2,Variables!$B$60:$F$61,2,FALSE)</f>
        <v>0</v>
      </c>
      <c r="DY93" s="1222">
        <f>$G93*BD93*Variables!$B$53*HLOOKUP($DY$2,Variables!$B$60:$F$61,2,FALSE)</f>
        <v>0</v>
      </c>
      <c r="DZ93" s="1223">
        <f>$G93*BE93*Variables!$B$53*HLOOKUP($DY$2,Variables!$B$60:$F$61,2,FALSE)</f>
        <v>0</v>
      </c>
      <c r="EA93" s="1223">
        <f>$G93*BF93*Variables!$B$53*HLOOKUP($DY$2,Variables!$B$60:$F$61,2,FALSE)</f>
        <v>0</v>
      </c>
      <c r="EB93" s="1223">
        <f>$G93*BG93*Variables!$B$53*HLOOKUP($DY$2,Variables!$B$60:$F$61,2,FALSE)</f>
        <v>0</v>
      </c>
      <c r="EC93" s="1223">
        <f>$G93*BH93*Variables!$B$53*HLOOKUP($DY$2,Variables!$B$60:$F$61,2,FALSE)</f>
        <v>0</v>
      </c>
      <c r="ED93" s="1223">
        <f>$G93*BI93*Variables!$B$53*HLOOKUP($DY$2,Variables!$B$60:$F$61,2,FALSE)</f>
        <v>0</v>
      </c>
      <c r="EE93" s="1223">
        <f>$G93*BJ93*Variables!$B$53*HLOOKUP($DY$2,Variables!$B$60:$F$61,2,FALSE)</f>
        <v>0</v>
      </c>
      <c r="EF93" s="1223">
        <f>$G93*BK93*Variables!$B$53*HLOOKUP($DY$2,Variables!$B$60:$F$61,2,FALSE)</f>
        <v>0</v>
      </c>
      <c r="EG93" s="1223">
        <f>$G93*BL93*Variables!$B$53*HLOOKUP($DY$2,Variables!$B$60:$F$61,2,FALSE)</f>
        <v>0</v>
      </c>
      <c r="EH93" s="1223">
        <f>$G93*BM93*Variables!$B$53*HLOOKUP($DY$2,Variables!$B$60:$F$61,2,FALSE)</f>
        <v>0</v>
      </c>
      <c r="EI93" s="1223">
        <f>$G93*BN93*Variables!$B$53*HLOOKUP($DY$2,Variables!$B$60:$F$61,2,FALSE)</f>
        <v>0</v>
      </c>
      <c r="EJ93" s="1225">
        <f>$G93*BO93*Variables!$B$53*HLOOKUP($DY$2,Variables!$B$60:$F$61,2,FALSE)</f>
        <v>0</v>
      </c>
      <c r="EK93" s="1222">
        <f>$G93*BP93*Variables!$B$53*HLOOKUP($EK$2,Variables!$B$60:$F$61,2,FALSE)</f>
        <v>0</v>
      </c>
      <c r="EL93" s="1223">
        <f>$G93*BQ93*Variables!$B$53*HLOOKUP($EK$2,Variables!$B$60:$F$61,2,FALSE)</f>
        <v>0</v>
      </c>
      <c r="EM93" s="1223">
        <f>$G93*BR93*Variables!$B$53*HLOOKUP($EK$2,Variables!$B$60:$F$61,2,FALSE)</f>
        <v>0</v>
      </c>
      <c r="EN93" s="1223">
        <f>$G93*BS93*Variables!$B$53*HLOOKUP($EK$2,Variables!$B$60:$F$61,2,FALSE)</f>
        <v>0</v>
      </c>
      <c r="EO93" s="1223">
        <f>$G93*BT93*Variables!$B$53*HLOOKUP($EK$2,Variables!$B$60:$F$61,2,FALSE)</f>
        <v>0</v>
      </c>
      <c r="EP93" s="1223">
        <f>$G93*BU93*Variables!$B$53*HLOOKUP($EK$2,Variables!$B$60:$F$61,2,FALSE)</f>
        <v>0</v>
      </c>
      <c r="EQ93" s="1223">
        <f>$G93*BV93*Variables!$B$53*HLOOKUP($EK$2,Variables!$B$60:$F$61,2,FALSE)</f>
        <v>0</v>
      </c>
      <c r="ER93" s="1223">
        <f>$G93*BW93*Variables!$B$53*HLOOKUP($EK$2,Variables!$B$60:$F$61,2,FALSE)</f>
        <v>0</v>
      </c>
      <c r="ES93" s="1223">
        <f>$G93*BX93*Variables!$B$53*HLOOKUP($EK$2,Variables!$B$60:$F$61,2,FALSE)</f>
        <v>0</v>
      </c>
      <c r="ET93" s="1223">
        <f>$G93*BY93*Variables!$B$53*HLOOKUP($EK$2,Variables!$B$60:$F$61,2,FALSE)</f>
        <v>0</v>
      </c>
      <c r="EU93" s="1223">
        <f>$G93*BZ93*Variables!$B$53*HLOOKUP($EK$2,Variables!$B$60:$F$61,2,FALSE)</f>
        <v>0</v>
      </c>
      <c r="EV93" s="1225">
        <f>$G93*CA93*Variables!$B$53*HLOOKUP($EK$2,Variables!$B$60:$F$61,2,FALSE)</f>
        <v>0</v>
      </c>
      <c r="EW93" s="872">
        <f t="shared" si="15"/>
        <v>0</v>
      </c>
      <c r="EX93" s="872"/>
      <c r="EY93" s="872"/>
      <c r="EZ93" s="872"/>
      <c r="FA93" s="1332"/>
      <c r="FC93" s="958" t="str">
        <f t="shared" si="11"/>
        <v/>
      </c>
      <c r="FD93" s="959" t="str">
        <f t="shared" si="12"/>
        <v/>
      </c>
      <c r="FE93" s="959" t="s">
        <v>8407</v>
      </c>
      <c r="FF93" s="959" t="str">
        <f>IF(ISNA(VLOOKUP(FC93,Miscellaneous!E:F,2,0)),"",VLOOKUP(FC93,Miscellaneous!E:F,2,0))</f>
        <v/>
      </c>
      <c r="FG93" s="959" t="str">
        <f t="shared" si="13"/>
        <v/>
      </c>
      <c r="FH93" s="996">
        <f>IF($FG93="Opex",SUMIF('Monthly Summary'!$C$75:$N$75,"",CC93:CN93),SUMIF('Monthly Summary'!$C$74:$N$74,"",CC93:CN93))</f>
        <v>0</v>
      </c>
      <c r="FI93" s="996">
        <f>IF($FG93="Opex",SUMIF('Monthly Summary'!$O$75:$Z$75,"",CO93:CZ93),SUMIF('Monthly Summary'!$O$74:$Z$74,"",CO93:CZ93))</f>
        <v>0</v>
      </c>
      <c r="FJ93" s="996">
        <f>IF($FG93="Opex",SUMIF('Monthly Summary'!$AA$75:$AL$75,"",DA93:DL93),SUMIF('Monthly Summary'!$AA$74:$AL$74,"",DA93:DL93))</f>
        <v>0</v>
      </c>
      <c r="FK93" s="996">
        <f>IF($FG93="Opex",SUMIF('Monthly Summary'!$AM$75:$AX$75,"",DM93:DX93),SUMIF('Monthly Summary'!$AM$74:$AX$74,"",DM93:DX93))</f>
        <v>0</v>
      </c>
      <c r="FL93" s="996">
        <f>IF($FG93="Opex",SUMIF('Monthly Summary'!$AY$75:$BJ$75,"",DY93:EJ93),SUMIF('Monthly Summary'!$AY$74:$BJ$74,"",DY93:EJ93))</f>
        <v>0</v>
      </c>
      <c r="FM93" s="997">
        <f>IF($FG93="Opex",SUMIF('Monthly Summary'!$BK$75:$BV$75,"",EK93:EV93),SUMIF('Monthly Summary'!$BK$74:$BV$74,"",EK93:EV93))</f>
        <v>0</v>
      </c>
      <c r="FN93" s="997">
        <f t="shared" si="14"/>
        <v>0</v>
      </c>
    </row>
    <row r="94" spans="3:170">
      <c r="C94" s="757"/>
      <c r="D94" s="757"/>
      <c r="E94" s="758"/>
      <c r="F94" s="758"/>
      <c r="G94" s="758"/>
      <c r="H94" s="1215"/>
      <c r="I94" s="761"/>
      <c r="J94" s="761"/>
      <c r="K94" s="761"/>
      <c r="L94" s="761"/>
      <c r="M94" s="761"/>
      <c r="N94" s="761"/>
      <c r="O94" s="761"/>
      <c r="P94" s="761"/>
      <c r="Q94" s="761"/>
      <c r="R94" s="761"/>
      <c r="S94" s="1216"/>
      <c r="T94" s="1215"/>
      <c r="U94" s="761"/>
      <c r="V94" s="761"/>
      <c r="W94" s="761"/>
      <c r="X94" s="761"/>
      <c r="Y94" s="761"/>
      <c r="Z94" s="761"/>
      <c r="AA94" s="761"/>
      <c r="AB94" s="761"/>
      <c r="AC94" s="761"/>
      <c r="AD94" s="761"/>
      <c r="AE94" s="1216"/>
      <c r="AF94" s="1215"/>
      <c r="AG94" s="761"/>
      <c r="AH94" s="761"/>
      <c r="AI94" s="761"/>
      <c r="AJ94" s="761"/>
      <c r="AK94" s="761"/>
      <c r="AL94" s="761"/>
      <c r="AM94" s="761"/>
      <c r="AN94" s="761"/>
      <c r="AO94" s="761"/>
      <c r="AP94" s="761"/>
      <c r="AQ94" s="1216"/>
      <c r="AR94" s="1215"/>
      <c r="AS94" s="761"/>
      <c r="AT94" s="761"/>
      <c r="AU94" s="761"/>
      <c r="AV94" s="761"/>
      <c r="AW94" s="761"/>
      <c r="AX94" s="761"/>
      <c r="AY94" s="761"/>
      <c r="AZ94" s="761"/>
      <c r="BA94" s="761"/>
      <c r="BB94" s="761"/>
      <c r="BC94" s="1216"/>
      <c r="BD94" s="1215"/>
      <c r="BE94" s="761"/>
      <c r="BF94" s="761"/>
      <c r="BG94" s="761"/>
      <c r="BH94" s="761"/>
      <c r="BI94" s="761"/>
      <c r="BJ94" s="761"/>
      <c r="BK94" s="761"/>
      <c r="BL94" s="761"/>
      <c r="BM94" s="761"/>
      <c r="BN94" s="761"/>
      <c r="BO94" s="1216"/>
      <c r="BP94" s="1215"/>
      <c r="BQ94" s="761"/>
      <c r="BR94" s="761"/>
      <c r="BS94" s="761"/>
      <c r="BT94" s="761"/>
      <c r="BU94" s="761"/>
      <c r="BV94" s="761"/>
      <c r="BW94" s="761"/>
      <c r="BX94" s="761"/>
      <c r="BY94" s="761"/>
      <c r="BZ94" s="761"/>
      <c r="CA94" s="1216"/>
      <c r="CB94" s="747"/>
      <c r="CC94" s="1222">
        <f>$G94*H94*Variables!$B$53</f>
        <v>0</v>
      </c>
      <c r="CD94" s="1223">
        <f>$G94*I94*Variables!$B$53</f>
        <v>0</v>
      </c>
      <c r="CE94" s="1223">
        <f>$G94*J94*Variables!$B$53</f>
        <v>0</v>
      </c>
      <c r="CF94" s="1223">
        <f>$G94*K94*Variables!$B$53</f>
        <v>0</v>
      </c>
      <c r="CG94" s="1223">
        <f>$G94*L94*Variables!$B$53</f>
        <v>0</v>
      </c>
      <c r="CH94" s="1223">
        <f>$G94*M94*Variables!$B$53</f>
        <v>0</v>
      </c>
      <c r="CI94" s="1223">
        <f>$G94*N94*Variables!$B$53</f>
        <v>0</v>
      </c>
      <c r="CJ94" s="1223">
        <f>$G94*O94*Variables!$B$53</f>
        <v>0</v>
      </c>
      <c r="CK94" s="1223">
        <f>$G94*P94*Variables!$B$53</f>
        <v>0</v>
      </c>
      <c r="CL94" s="1223">
        <f>$G94*Q94*Variables!$B$53</f>
        <v>0</v>
      </c>
      <c r="CM94" s="1223">
        <f>$G94*R94*Variables!$B$53</f>
        <v>0</v>
      </c>
      <c r="CN94" s="1225">
        <f>$G94*S94*Variables!$B$53</f>
        <v>0</v>
      </c>
      <c r="CO94" s="1222">
        <f>$G94*T94*Variables!$B$53*HLOOKUP($CO$2,Variables!$B$60:$F$61,2,FALSE)</f>
        <v>0</v>
      </c>
      <c r="CP94" s="1223">
        <f>$G94*U94*Variables!$B$53*HLOOKUP($CO$2,Variables!$B$60:$F$61,2,FALSE)</f>
        <v>0</v>
      </c>
      <c r="CQ94" s="1223">
        <f>$G94*V94*Variables!$B$53*HLOOKUP($CO$2,Variables!$B$60:$F$61,2,FALSE)</f>
        <v>0</v>
      </c>
      <c r="CR94" s="1223">
        <f>$G94*W94*Variables!$B$53*HLOOKUP($CO$2,Variables!$B$60:$F$61,2,FALSE)</f>
        <v>0</v>
      </c>
      <c r="CS94" s="1223">
        <f>$G94*X94*Variables!$B$53*HLOOKUP($CO$2,Variables!$B$60:$F$61,2,FALSE)</f>
        <v>0</v>
      </c>
      <c r="CT94" s="1223">
        <f>$G94*Y94*Variables!$B$53*HLOOKUP($CO$2,Variables!$B$60:$F$61,2,FALSE)</f>
        <v>0</v>
      </c>
      <c r="CU94" s="1223">
        <f>$G94*Z94*Variables!$B$53*HLOOKUP($CO$2,Variables!$B$60:$F$61,2,FALSE)</f>
        <v>0</v>
      </c>
      <c r="CV94" s="1223">
        <f>$G94*AA94*Variables!$B$53*HLOOKUP($CO$2,Variables!$B$60:$F$61,2,FALSE)</f>
        <v>0</v>
      </c>
      <c r="CW94" s="1223">
        <f>$G94*AB94*Variables!$B$53*HLOOKUP($CO$2,Variables!$B$60:$F$61,2,FALSE)</f>
        <v>0</v>
      </c>
      <c r="CX94" s="1223">
        <f>$G94*AC94*Variables!$B$53*HLOOKUP($CO$2,Variables!$B$60:$F$61,2,FALSE)</f>
        <v>0</v>
      </c>
      <c r="CY94" s="1223">
        <f>$G94*AD94*Variables!$B$53*HLOOKUP($CO$2,Variables!$B$60:$F$61,2,FALSE)</f>
        <v>0</v>
      </c>
      <c r="CZ94" s="1225">
        <f>$G94*AE94*Variables!$B$53*HLOOKUP($CO$2,Variables!$B$60:$F$61,2,FALSE)</f>
        <v>0</v>
      </c>
      <c r="DA94" s="1222">
        <f>$G94*AF94*Variables!$B$53*HLOOKUP($DA$2,Variables!$B$60:$F$61,2,FALSE)</f>
        <v>0</v>
      </c>
      <c r="DB94" s="1223">
        <f>$G94*AG94*Variables!$B$53*HLOOKUP($DA$2,Variables!$B$60:$F$61,2,FALSE)</f>
        <v>0</v>
      </c>
      <c r="DC94" s="1223">
        <f>$G94*AH94*Variables!$B$53*HLOOKUP($DA$2,Variables!$B$60:$F$61,2,FALSE)</f>
        <v>0</v>
      </c>
      <c r="DD94" s="1223">
        <f>$G94*AI94*Variables!$B$53*HLOOKUP($DA$2,Variables!$B$60:$F$61,2,FALSE)</f>
        <v>0</v>
      </c>
      <c r="DE94" s="1223">
        <f>$G94*AJ94*Variables!$B$53*HLOOKUP($DA$2,Variables!$B$60:$F$61,2,FALSE)</f>
        <v>0</v>
      </c>
      <c r="DF94" s="1223">
        <f>$G94*AK94*Variables!$B$53*HLOOKUP($DA$2,Variables!$B$60:$F$61,2,FALSE)</f>
        <v>0</v>
      </c>
      <c r="DG94" s="1223">
        <f>$G94*AL94*Variables!$B$53*HLOOKUP($DA$2,Variables!$B$60:$F$61,2,FALSE)</f>
        <v>0</v>
      </c>
      <c r="DH94" s="1223">
        <f>$G94*AM94*Variables!$B$53*HLOOKUP($DA$2,Variables!$B$60:$F$61,2,FALSE)</f>
        <v>0</v>
      </c>
      <c r="DI94" s="1223">
        <f>$G94*AN94*Variables!$B$53*HLOOKUP($DA$2,Variables!$B$60:$F$61,2,FALSE)</f>
        <v>0</v>
      </c>
      <c r="DJ94" s="1223">
        <f>$G94*AO94*Variables!$B$53*HLOOKUP($DA$2,Variables!$B$60:$F$61,2,FALSE)</f>
        <v>0</v>
      </c>
      <c r="DK94" s="1223">
        <f>$G94*AP94*Variables!$B$53*HLOOKUP($DA$2,Variables!$B$60:$F$61,2,FALSE)</f>
        <v>0</v>
      </c>
      <c r="DL94" s="1225">
        <f>$G94*AQ94*Variables!$B$53*HLOOKUP($DA$2,Variables!$B$60:$F$61,2,FALSE)</f>
        <v>0</v>
      </c>
      <c r="DM94" s="1222">
        <f>$G94*AR94*Variables!$B$53*HLOOKUP($DM$2,Variables!$B$60:$F$61,2,FALSE)</f>
        <v>0</v>
      </c>
      <c r="DN94" s="1223">
        <f>$G94*AS94*Variables!$B$53*HLOOKUP($DM$2,Variables!$B$60:$F$61,2,FALSE)</f>
        <v>0</v>
      </c>
      <c r="DO94" s="1223">
        <f>$G94*AT94*Variables!$B$53*HLOOKUP($DM$2,Variables!$B$60:$F$61,2,FALSE)</f>
        <v>0</v>
      </c>
      <c r="DP94" s="1223">
        <f>$G94*AU94*Variables!$B$53*HLOOKUP($DM$2,Variables!$B$60:$F$61,2,FALSE)</f>
        <v>0</v>
      </c>
      <c r="DQ94" s="1223">
        <f>$G94*AV94*Variables!$B$53*HLOOKUP($DM$2,Variables!$B$60:$F$61,2,FALSE)</f>
        <v>0</v>
      </c>
      <c r="DR94" s="1223">
        <f>$G94*AW94*Variables!$B$53*HLOOKUP($DM$2,Variables!$B$60:$F$61,2,FALSE)</f>
        <v>0</v>
      </c>
      <c r="DS94" s="1223">
        <f>$G94*AX94*Variables!$B$53*HLOOKUP($DM$2,Variables!$B$60:$F$61,2,FALSE)</f>
        <v>0</v>
      </c>
      <c r="DT94" s="1223">
        <f>$G94*AY94*Variables!$B$53*HLOOKUP($DM$2,Variables!$B$60:$F$61,2,FALSE)</f>
        <v>0</v>
      </c>
      <c r="DU94" s="1223">
        <f>$G94*AZ94*Variables!$B$53*HLOOKUP($DM$2,Variables!$B$60:$F$61,2,FALSE)</f>
        <v>0</v>
      </c>
      <c r="DV94" s="1223">
        <f>$G94*BA94*Variables!$B$53*HLOOKUP($DM$2,Variables!$B$60:$F$61,2,FALSE)</f>
        <v>0</v>
      </c>
      <c r="DW94" s="1223">
        <f>$G94*BB94*Variables!$B$53*HLOOKUP($DM$2,Variables!$B$60:$F$61,2,FALSE)</f>
        <v>0</v>
      </c>
      <c r="DX94" s="1225">
        <f>$G94*BC94*Variables!$B$53*HLOOKUP($DM$2,Variables!$B$60:$F$61,2,FALSE)</f>
        <v>0</v>
      </c>
      <c r="DY94" s="1222">
        <f>$G94*BD94*Variables!$B$53*HLOOKUP($DY$2,Variables!$B$60:$F$61,2,FALSE)</f>
        <v>0</v>
      </c>
      <c r="DZ94" s="1223">
        <f>$G94*BE94*Variables!$B$53*HLOOKUP($DY$2,Variables!$B$60:$F$61,2,FALSE)</f>
        <v>0</v>
      </c>
      <c r="EA94" s="1223">
        <f>$G94*BF94*Variables!$B$53*HLOOKUP($DY$2,Variables!$B$60:$F$61,2,FALSE)</f>
        <v>0</v>
      </c>
      <c r="EB94" s="1223">
        <f>$G94*BG94*Variables!$B$53*HLOOKUP($DY$2,Variables!$B$60:$F$61,2,FALSE)</f>
        <v>0</v>
      </c>
      <c r="EC94" s="1223">
        <f>$G94*BH94*Variables!$B$53*HLOOKUP($DY$2,Variables!$B$60:$F$61,2,FALSE)</f>
        <v>0</v>
      </c>
      <c r="ED94" s="1223">
        <f>$G94*BI94*Variables!$B$53*HLOOKUP($DY$2,Variables!$B$60:$F$61,2,FALSE)</f>
        <v>0</v>
      </c>
      <c r="EE94" s="1223">
        <f>$G94*BJ94*Variables!$B$53*HLOOKUP($DY$2,Variables!$B$60:$F$61,2,FALSE)</f>
        <v>0</v>
      </c>
      <c r="EF94" s="1223">
        <f>$G94*BK94*Variables!$B$53*HLOOKUP($DY$2,Variables!$B$60:$F$61,2,FALSE)</f>
        <v>0</v>
      </c>
      <c r="EG94" s="1223">
        <f>$G94*BL94*Variables!$B$53*HLOOKUP($DY$2,Variables!$B$60:$F$61,2,FALSE)</f>
        <v>0</v>
      </c>
      <c r="EH94" s="1223">
        <f>$G94*BM94*Variables!$B$53*HLOOKUP($DY$2,Variables!$B$60:$F$61,2,FALSE)</f>
        <v>0</v>
      </c>
      <c r="EI94" s="1223">
        <f>$G94*BN94*Variables!$B$53*HLOOKUP($DY$2,Variables!$B$60:$F$61,2,FALSE)</f>
        <v>0</v>
      </c>
      <c r="EJ94" s="1225">
        <f>$G94*BO94*Variables!$B$53*HLOOKUP($DY$2,Variables!$B$60:$F$61,2,FALSE)</f>
        <v>0</v>
      </c>
      <c r="EK94" s="1222">
        <f>$G94*BP94*Variables!$B$53*HLOOKUP($EK$2,Variables!$B$60:$F$61,2,FALSE)</f>
        <v>0</v>
      </c>
      <c r="EL94" s="1223">
        <f>$G94*BQ94*Variables!$B$53*HLOOKUP($EK$2,Variables!$B$60:$F$61,2,FALSE)</f>
        <v>0</v>
      </c>
      <c r="EM94" s="1223">
        <f>$G94*BR94*Variables!$B$53*HLOOKUP($EK$2,Variables!$B$60:$F$61,2,FALSE)</f>
        <v>0</v>
      </c>
      <c r="EN94" s="1223">
        <f>$G94*BS94*Variables!$B$53*HLOOKUP($EK$2,Variables!$B$60:$F$61,2,FALSE)</f>
        <v>0</v>
      </c>
      <c r="EO94" s="1223">
        <f>$G94*BT94*Variables!$B$53*HLOOKUP($EK$2,Variables!$B$60:$F$61,2,FALSE)</f>
        <v>0</v>
      </c>
      <c r="EP94" s="1223">
        <f>$G94*BU94*Variables!$B$53*HLOOKUP($EK$2,Variables!$B$60:$F$61,2,FALSE)</f>
        <v>0</v>
      </c>
      <c r="EQ94" s="1223">
        <f>$G94*BV94*Variables!$B$53*HLOOKUP($EK$2,Variables!$B$60:$F$61,2,FALSE)</f>
        <v>0</v>
      </c>
      <c r="ER94" s="1223">
        <f>$G94*BW94*Variables!$B$53*HLOOKUP($EK$2,Variables!$B$60:$F$61,2,FALSE)</f>
        <v>0</v>
      </c>
      <c r="ES94" s="1223">
        <f>$G94*BX94*Variables!$B$53*HLOOKUP($EK$2,Variables!$B$60:$F$61,2,FALSE)</f>
        <v>0</v>
      </c>
      <c r="ET94" s="1223">
        <f>$G94*BY94*Variables!$B$53*HLOOKUP($EK$2,Variables!$B$60:$F$61,2,FALSE)</f>
        <v>0</v>
      </c>
      <c r="EU94" s="1223">
        <f>$G94*BZ94*Variables!$B$53*HLOOKUP($EK$2,Variables!$B$60:$F$61,2,FALSE)</f>
        <v>0</v>
      </c>
      <c r="EV94" s="1225">
        <f>$G94*CA94*Variables!$B$53*HLOOKUP($EK$2,Variables!$B$60:$F$61,2,FALSE)</f>
        <v>0</v>
      </c>
      <c r="EW94" s="872">
        <f t="shared" si="15"/>
        <v>0</v>
      </c>
      <c r="EX94" s="872"/>
      <c r="EY94" s="872"/>
      <c r="EZ94" s="872"/>
      <c r="FA94" s="1332"/>
      <c r="FC94" s="958" t="str">
        <f t="shared" si="11"/>
        <v/>
      </c>
      <c r="FD94" s="959" t="str">
        <f t="shared" si="12"/>
        <v/>
      </c>
      <c r="FE94" s="959" t="s">
        <v>8407</v>
      </c>
      <c r="FF94" s="959" t="str">
        <f>IF(ISNA(VLOOKUP(FC94,Miscellaneous!E:F,2,0)),"",VLOOKUP(FC94,Miscellaneous!E:F,2,0))</f>
        <v/>
      </c>
      <c r="FG94" s="959" t="str">
        <f t="shared" si="13"/>
        <v/>
      </c>
      <c r="FH94" s="996">
        <f>IF($FG94="Opex",SUMIF('Monthly Summary'!$C$75:$N$75,"",CC94:CN94),SUMIF('Monthly Summary'!$C$74:$N$74,"",CC94:CN94))</f>
        <v>0</v>
      </c>
      <c r="FI94" s="996">
        <f>IF($FG94="Opex",SUMIF('Monthly Summary'!$O$75:$Z$75,"",CO94:CZ94),SUMIF('Monthly Summary'!$O$74:$Z$74,"",CO94:CZ94))</f>
        <v>0</v>
      </c>
      <c r="FJ94" s="996">
        <f>IF($FG94="Opex",SUMIF('Monthly Summary'!$AA$75:$AL$75,"",DA94:DL94),SUMIF('Monthly Summary'!$AA$74:$AL$74,"",DA94:DL94))</f>
        <v>0</v>
      </c>
      <c r="FK94" s="996">
        <f>IF($FG94="Opex",SUMIF('Monthly Summary'!$AM$75:$AX$75,"",DM94:DX94),SUMIF('Monthly Summary'!$AM$74:$AX$74,"",DM94:DX94))</f>
        <v>0</v>
      </c>
      <c r="FL94" s="996">
        <f>IF($FG94="Opex",SUMIF('Monthly Summary'!$AY$75:$BJ$75,"",DY94:EJ94),SUMIF('Monthly Summary'!$AY$74:$BJ$74,"",DY94:EJ94))</f>
        <v>0</v>
      </c>
      <c r="FM94" s="997">
        <f>IF($FG94="Opex",SUMIF('Monthly Summary'!$BK$75:$BV$75,"",EK94:EV94),SUMIF('Monthly Summary'!$BK$74:$BV$74,"",EK94:EV94))</f>
        <v>0</v>
      </c>
      <c r="FN94" s="997">
        <f t="shared" si="14"/>
        <v>0</v>
      </c>
    </row>
    <row r="95" spans="3:170">
      <c r="C95" s="757"/>
      <c r="D95" s="757"/>
      <c r="E95" s="758"/>
      <c r="F95" s="758"/>
      <c r="G95" s="758"/>
      <c r="H95" s="1215"/>
      <c r="I95" s="761"/>
      <c r="J95" s="761"/>
      <c r="K95" s="761"/>
      <c r="L95" s="761"/>
      <c r="M95" s="761"/>
      <c r="N95" s="761"/>
      <c r="O95" s="761"/>
      <c r="P95" s="761"/>
      <c r="Q95" s="761"/>
      <c r="R95" s="761"/>
      <c r="S95" s="1216"/>
      <c r="T95" s="1215"/>
      <c r="U95" s="761"/>
      <c r="V95" s="761"/>
      <c r="W95" s="761"/>
      <c r="X95" s="761"/>
      <c r="Y95" s="761"/>
      <c r="Z95" s="761"/>
      <c r="AA95" s="761"/>
      <c r="AB95" s="761"/>
      <c r="AC95" s="761"/>
      <c r="AD95" s="761"/>
      <c r="AE95" s="1216"/>
      <c r="AF95" s="1215"/>
      <c r="AG95" s="761"/>
      <c r="AH95" s="761"/>
      <c r="AI95" s="761"/>
      <c r="AJ95" s="761"/>
      <c r="AK95" s="761"/>
      <c r="AL95" s="761"/>
      <c r="AM95" s="761"/>
      <c r="AN95" s="761"/>
      <c r="AO95" s="761"/>
      <c r="AP95" s="761"/>
      <c r="AQ95" s="1216"/>
      <c r="AR95" s="1215"/>
      <c r="AS95" s="761"/>
      <c r="AT95" s="761"/>
      <c r="AU95" s="761"/>
      <c r="AV95" s="761"/>
      <c r="AW95" s="761"/>
      <c r="AX95" s="761"/>
      <c r="AY95" s="761"/>
      <c r="AZ95" s="761"/>
      <c r="BA95" s="761"/>
      <c r="BB95" s="761"/>
      <c r="BC95" s="1216"/>
      <c r="BD95" s="1215"/>
      <c r="BE95" s="761"/>
      <c r="BF95" s="761"/>
      <c r="BG95" s="761"/>
      <c r="BH95" s="761"/>
      <c r="BI95" s="761"/>
      <c r="BJ95" s="761"/>
      <c r="BK95" s="761"/>
      <c r="BL95" s="761"/>
      <c r="BM95" s="761"/>
      <c r="BN95" s="761"/>
      <c r="BO95" s="1216"/>
      <c r="BP95" s="1215"/>
      <c r="BQ95" s="761"/>
      <c r="BR95" s="761"/>
      <c r="BS95" s="761"/>
      <c r="BT95" s="761"/>
      <c r="BU95" s="761"/>
      <c r="BV95" s="761"/>
      <c r="BW95" s="761"/>
      <c r="BX95" s="761"/>
      <c r="BY95" s="761"/>
      <c r="BZ95" s="761"/>
      <c r="CA95" s="1216"/>
      <c r="CB95" s="747"/>
      <c r="CC95" s="1222">
        <f>$G95*H95*Variables!$B$53</f>
        <v>0</v>
      </c>
      <c r="CD95" s="1223">
        <f>$G95*I95*Variables!$B$53</f>
        <v>0</v>
      </c>
      <c r="CE95" s="1223">
        <f>$G95*J95*Variables!$B$53</f>
        <v>0</v>
      </c>
      <c r="CF95" s="1223">
        <f>$G95*K95*Variables!$B$53</f>
        <v>0</v>
      </c>
      <c r="CG95" s="1223">
        <f>$G95*L95*Variables!$B$53</f>
        <v>0</v>
      </c>
      <c r="CH95" s="1223">
        <f>$G95*M95*Variables!$B$53</f>
        <v>0</v>
      </c>
      <c r="CI95" s="1223">
        <f>$G95*N95*Variables!$B$53</f>
        <v>0</v>
      </c>
      <c r="CJ95" s="1223">
        <f>$G95*O95*Variables!$B$53</f>
        <v>0</v>
      </c>
      <c r="CK95" s="1223">
        <f>$G95*P95*Variables!$B$53</f>
        <v>0</v>
      </c>
      <c r="CL95" s="1223">
        <f>$G95*Q95*Variables!$B$53</f>
        <v>0</v>
      </c>
      <c r="CM95" s="1223">
        <f>$G95*R95*Variables!$B$53</f>
        <v>0</v>
      </c>
      <c r="CN95" s="1225">
        <f>$G95*S95*Variables!$B$53</f>
        <v>0</v>
      </c>
      <c r="CO95" s="1222">
        <f>$G95*T95*Variables!$B$53*HLOOKUP($CO$2,Variables!$B$60:$F$61,2,FALSE)</f>
        <v>0</v>
      </c>
      <c r="CP95" s="1223">
        <f>$G95*U95*Variables!$B$53*HLOOKUP($CO$2,Variables!$B$60:$F$61,2,FALSE)</f>
        <v>0</v>
      </c>
      <c r="CQ95" s="1223">
        <f>$G95*V95*Variables!$B$53*HLOOKUP($CO$2,Variables!$B$60:$F$61,2,FALSE)</f>
        <v>0</v>
      </c>
      <c r="CR95" s="1223">
        <f>$G95*W95*Variables!$B$53*HLOOKUP($CO$2,Variables!$B$60:$F$61,2,FALSE)</f>
        <v>0</v>
      </c>
      <c r="CS95" s="1223">
        <f>$G95*X95*Variables!$B$53*HLOOKUP($CO$2,Variables!$B$60:$F$61,2,FALSE)</f>
        <v>0</v>
      </c>
      <c r="CT95" s="1223">
        <f>$G95*Y95*Variables!$B$53*HLOOKUP($CO$2,Variables!$B$60:$F$61,2,FALSE)</f>
        <v>0</v>
      </c>
      <c r="CU95" s="1223">
        <f>$G95*Z95*Variables!$B$53*HLOOKUP($CO$2,Variables!$B$60:$F$61,2,FALSE)</f>
        <v>0</v>
      </c>
      <c r="CV95" s="1223">
        <f>$G95*AA95*Variables!$B$53*HLOOKUP($CO$2,Variables!$B$60:$F$61,2,FALSE)</f>
        <v>0</v>
      </c>
      <c r="CW95" s="1223">
        <f>$G95*AB95*Variables!$B$53*HLOOKUP($CO$2,Variables!$B$60:$F$61,2,FALSE)</f>
        <v>0</v>
      </c>
      <c r="CX95" s="1223">
        <f>$G95*AC95*Variables!$B$53*HLOOKUP($CO$2,Variables!$B$60:$F$61,2,FALSE)</f>
        <v>0</v>
      </c>
      <c r="CY95" s="1223">
        <f>$G95*AD95*Variables!$B$53*HLOOKUP($CO$2,Variables!$B$60:$F$61,2,FALSE)</f>
        <v>0</v>
      </c>
      <c r="CZ95" s="1225">
        <f>$G95*AE95*Variables!$B$53*HLOOKUP($CO$2,Variables!$B$60:$F$61,2,FALSE)</f>
        <v>0</v>
      </c>
      <c r="DA95" s="1222">
        <f>$G95*AF95*Variables!$B$53*HLOOKUP($DA$2,Variables!$B$60:$F$61,2,FALSE)</f>
        <v>0</v>
      </c>
      <c r="DB95" s="1223">
        <f>$G95*AG95*Variables!$B$53*HLOOKUP($DA$2,Variables!$B$60:$F$61,2,FALSE)</f>
        <v>0</v>
      </c>
      <c r="DC95" s="1223">
        <f>$G95*AH95*Variables!$B$53*HLOOKUP($DA$2,Variables!$B$60:$F$61,2,FALSE)</f>
        <v>0</v>
      </c>
      <c r="DD95" s="1223">
        <f>$G95*AI95*Variables!$B$53*HLOOKUP($DA$2,Variables!$B$60:$F$61,2,FALSE)</f>
        <v>0</v>
      </c>
      <c r="DE95" s="1223">
        <f>$G95*AJ95*Variables!$B$53*HLOOKUP($DA$2,Variables!$B$60:$F$61,2,FALSE)</f>
        <v>0</v>
      </c>
      <c r="DF95" s="1223">
        <f>$G95*AK95*Variables!$B$53*HLOOKUP($DA$2,Variables!$B$60:$F$61,2,FALSE)</f>
        <v>0</v>
      </c>
      <c r="DG95" s="1223">
        <f>$G95*AL95*Variables!$B$53*HLOOKUP($DA$2,Variables!$B$60:$F$61,2,FALSE)</f>
        <v>0</v>
      </c>
      <c r="DH95" s="1223">
        <f>$G95*AM95*Variables!$B$53*HLOOKUP($DA$2,Variables!$B$60:$F$61,2,FALSE)</f>
        <v>0</v>
      </c>
      <c r="DI95" s="1223">
        <f>$G95*AN95*Variables!$B$53*HLOOKUP($DA$2,Variables!$B$60:$F$61,2,FALSE)</f>
        <v>0</v>
      </c>
      <c r="DJ95" s="1223">
        <f>$G95*AO95*Variables!$B$53*HLOOKUP($DA$2,Variables!$B$60:$F$61,2,FALSE)</f>
        <v>0</v>
      </c>
      <c r="DK95" s="1223">
        <f>$G95*AP95*Variables!$B$53*HLOOKUP($DA$2,Variables!$B$60:$F$61,2,FALSE)</f>
        <v>0</v>
      </c>
      <c r="DL95" s="1225">
        <f>$G95*AQ95*Variables!$B$53*HLOOKUP($DA$2,Variables!$B$60:$F$61,2,FALSE)</f>
        <v>0</v>
      </c>
      <c r="DM95" s="1222">
        <f>$G95*AR95*Variables!$B$53*HLOOKUP($DM$2,Variables!$B$60:$F$61,2,FALSE)</f>
        <v>0</v>
      </c>
      <c r="DN95" s="1223">
        <f>$G95*AS95*Variables!$B$53*HLOOKUP($DM$2,Variables!$B$60:$F$61,2,FALSE)</f>
        <v>0</v>
      </c>
      <c r="DO95" s="1223">
        <f>$G95*AT95*Variables!$B$53*HLOOKUP($DM$2,Variables!$B$60:$F$61,2,FALSE)</f>
        <v>0</v>
      </c>
      <c r="DP95" s="1223">
        <f>$G95*AU95*Variables!$B$53*HLOOKUP($DM$2,Variables!$B$60:$F$61,2,FALSE)</f>
        <v>0</v>
      </c>
      <c r="DQ95" s="1223">
        <f>$G95*AV95*Variables!$B$53*HLOOKUP($DM$2,Variables!$B$60:$F$61,2,FALSE)</f>
        <v>0</v>
      </c>
      <c r="DR95" s="1223">
        <f>$G95*AW95*Variables!$B$53*HLOOKUP($DM$2,Variables!$B$60:$F$61,2,FALSE)</f>
        <v>0</v>
      </c>
      <c r="DS95" s="1223">
        <f>$G95*AX95*Variables!$B$53*HLOOKUP($DM$2,Variables!$B$60:$F$61,2,FALSE)</f>
        <v>0</v>
      </c>
      <c r="DT95" s="1223">
        <f>$G95*AY95*Variables!$B$53*HLOOKUP($DM$2,Variables!$B$60:$F$61,2,FALSE)</f>
        <v>0</v>
      </c>
      <c r="DU95" s="1223">
        <f>$G95*AZ95*Variables!$B$53*HLOOKUP($DM$2,Variables!$B$60:$F$61,2,FALSE)</f>
        <v>0</v>
      </c>
      <c r="DV95" s="1223">
        <f>$G95*BA95*Variables!$B$53*HLOOKUP($DM$2,Variables!$B$60:$F$61,2,FALSE)</f>
        <v>0</v>
      </c>
      <c r="DW95" s="1223">
        <f>$G95*BB95*Variables!$B$53*HLOOKUP($DM$2,Variables!$B$60:$F$61,2,FALSE)</f>
        <v>0</v>
      </c>
      <c r="DX95" s="1225">
        <f>$G95*BC95*Variables!$B$53*HLOOKUP($DM$2,Variables!$B$60:$F$61,2,FALSE)</f>
        <v>0</v>
      </c>
      <c r="DY95" s="1222">
        <f>$G95*BD95*Variables!$B$53*HLOOKUP($DY$2,Variables!$B$60:$F$61,2,FALSE)</f>
        <v>0</v>
      </c>
      <c r="DZ95" s="1223">
        <f>$G95*BE95*Variables!$B$53*HLOOKUP($DY$2,Variables!$B$60:$F$61,2,FALSE)</f>
        <v>0</v>
      </c>
      <c r="EA95" s="1223">
        <f>$G95*BF95*Variables!$B$53*HLOOKUP($DY$2,Variables!$B$60:$F$61,2,FALSE)</f>
        <v>0</v>
      </c>
      <c r="EB95" s="1223">
        <f>$G95*BG95*Variables!$B$53*HLOOKUP($DY$2,Variables!$B$60:$F$61,2,FALSE)</f>
        <v>0</v>
      </c>
      <c r="EC95" s="1223">
        <f>$G95*BH95*Variables!$B$53*HLOOKUP($DY$2,Variables!$B$60:$F$61,2,FALSE)</f>
        <v>0</v>
      </c>
      <c r="ED95" s="1223">
        <f>$G95*BI95*Variables!$B$53*HLOOKUP($DY$2,Variables!$B$60:$F$61,2,FALSE)</f>
        <v>0</v>
      </c>
      <c r="EE95" s="1223">
        <f>$G95*BJ95*Variables!$B$53*HLOOKUP($DY$2,Variables!$B$60:$F$61,2,FALSE)</f>
        <v>0</v>
      </c>
      <c r="EF95" s="1223">
        <f>$G95*BK95*Variables!$B$53*HLOOKUP($DY$2,Variables!$B$60:$F$61,2,FALSE)</f>
        <v>0</v>
      </c>
      <c r="EG95" s="1223">
        <f>$G95*BL95*Variables!$B$53*HLOOKUP($DY$2,Variables!$B$60:$F$61,2,FALSE)</f>
        <v>0</v>
      </c>
      <c r="EH95" s="1223">
        <f>$G95*BM95*Variables!$B$53*HLOOKUP($DY$2,Variables!$B$60:$F$61,2,FALSE)</f>
        <v>0</v>
      </c>
      <c r="EI95" s="1223">
        <f>$G95*BN95*Variables!$B$53*HLOOKUP($DY$2,Variables!$B$60:$F$61,2,FALSE)</f>
        <v>0</v>
      </c>
      <c r="EJ95" s="1225">
        <f>$G95*BO95*Variables!$B$53*HLOOKUP($DY$2,Variables!$B$60:$F$61,2,FALSE)</f>
        <v>0</v>
      </c>
      <c r="EK95" s="1222">
        <f>$G95*BP95*Variables!$B$53*HLOOKUP($EK$2,Variables!$B$60:$F$61,2,FALSE)</f>
        <v>0</v>
      </c>
      <c r="EL95" s="1223">
        <f>$G95*BQ95*Variables!$B$53*HLOOKUP($EK$2,Variables!$B$60:$F$61,2,FALSE)</f>
        <v>0</v>
      </c>
      <c r="EM95" s="1223">
        <f>$G95*BR95*Variables!$B$53*HLOOKUP($EK$2,Variables!$B$60:$F$61,2,FALSE)</f>
        <v>0</v>
      </c>
      <c r="EN95" s="1223">
        <f>$G95*BS95*Variables!$B$53*HLOOKUP($EK$2,Variables!$B$60:$F$61,2,FALSE)</f>
        <v>0</v>
      </c>
      <c r="EO95" s="1223">
        <f>$G95*BT95*Variables!$B$53*HLOOKUP($EK$2,Variables!$B$60:$F$61,2,FALSE)</f>
        <v>0</v>
      </c>
      <c r="EP95" s="1223">
        <f>$G95*BU95*Variables!$B$53*HLOOKUP($EK$2,Variables!$B$60:$F$61,2,FALSE)</f>
        <v>0</v>
      </c>
      <c r="EQ95" s="1223">
        <f>$G95*BV95*Variables!$B$53*HLOOKUP($EK$2,Variables!$B$60:$F$61,2,FALSE)</f>
        <v>0</v>
      </c>
      <c r="ER95" s="1223">
        <f>$G95*BW95*Variables!$B$53*HLOOKUP($EK$2,Variables!$B$60:$F$61,2,FALSE)</f>
        <v>0</v>
      </c>
      <c r="ES95" s="1223">
        <f>$G95*BX95*Variables!$B$53*HLOOKUP($EK$2,Variables!$B$60:$F$61,2,FALSE)</f>
        <v>0</v>
      </c>
      <c r="ET95" s="1223">
        <f>$G95*BY95*Variables!$B$53*HLOOKUP($EK$2,Variables!$B$60:$F$61,2,FALSE)</f>
        <v>0</v>
      </c>
      <c r="EU95" s="1223">
        <f>$G95*BZ95*Variables!$B$53*HLOOKUP($EK$2,Variables!$B$60:$F$61,2,FALSE)</f>
        <v>0</v>
      </c>
      <c r="EV95" s="1225">
        <f>$G95*CA95*Variables!$B$53*HLOOKUP($EK$2,Variables!$B$60:$F$61,2,FALSE)</f>
        <v>0</v>
      </c>
      <c r="EW95" s="872">
        <f t="shared" si="15"/>
        <v>0</v>
      </c>
      <c r="EX95" s="872"/>
      <c r="EY95" s="872"/>
      <c r="EZ95" s="872"/>
      <c r="FA95" s="1332"/>
      <c r="FC95" s="958" t="str">
        <f t="shared" si="11"/>
        <v/>
      </c>
      <c r="FD95" s="959" t="str">
        <f t="shared" si="12"/>
        <v/>
      </c>
      <c r="FE95" s="959" t="s">
        <v>8407</v>
      </c>
      <c r="FF95" s="959" t="str">
        <f>IF(ISNA(VLOOKUP(FC95,Miscellaneous!E:F,2,0)),"",VLOOKUP(FC95,Miscellaneous!E:F,2,0))</f>
        <v/>
      </c>
      <c r="FG95" s="959" t="str">
        <f t="shared" si="13"/>
        <v/>
      </c>
      <c r="FH95" s="996">
        <f>IF($FG95="Opex",SUMIF('Monthly Summary'!$C$75:$N$75,"",CC95:CN95),SUMIF('Monthly Summary'!$C$74:$N$74,"",CC95:CN95))</f>
        <v>0</v>
      </c>
      <c r="FI95" s="996">
        <f>IF($FG95="Opex",SUMIF('Monthly Summary'!$O$75:$Z$75,"",CO95:CZ95),SUMIF('Monthly Summary'!$O$74:$Z$74,"",CO95:CZ95))</f>
        <v>0</v>
      </c>
      <c r="FJ95" s="996">
        <f>IF($FG95="Opex",SUMIF('Monthly Summary'!$AA$75:$AL$75,"",DA95:DL95),SUMIF('Monthly Summary'!$AA$74:$AL$74,"",DA95:DL95))</f>
        <v>0</v>
      </c>
      <c r="FK95" s="996">
        <f>IF($FG95="Opex",SUMIF('Monthly Summary'!$AM$75:$AX$75,"",DM95:DX95),SUMIF('Monthly Summary'!$AM$74:$AX$74,"",DM95:DX95))</f>
        <v>0</v>
      </c>
      <c r="FL95" s="996">
        <f>IF($FG95="Opex",SUMIF('Monthly Summary'!$AY$75:$BJ$75,"",DY95:EJ95),SUMIF('Monthly Summary'!$AY$74:$BJ$74,"",DY95:EJ95))</f>
        <v>0</v>
      </c>
      <c r="FM95" s="997">
        <f>IF($FG95="Opex",SUMIF('Monthly Summary'!$BK$75:$BV$75,"",EK95:EV95),SUMIF('Monthly Summary'!$BK$74:$BV$74,"",EK95:EV95))</f>
        <v>0</v>
      </c>
      <c r="FN95" s="997">
        <f t="shared" si="14"/>
        <v>0</v>
      </c>
    </row>
    <row r="96" spans="3:170">
      <c r="C96" s="757"/>
      <c r="D96" s="757"/>
      <c r="E96" s="758"/>
      <c r="F96" s="758"/>
      <c r="G96" s="758"/>
      <c r="H96" s="1215"/>
      <c r="I96" s="761"/>
      <c r="J96" s="761"/>
      <c r="K96" s="761"/>
      <c r="L96" s="761"/>
      <c r="M96" s="761"/>
      <c r="N96" s="761"/>
      <c r="O96" s="761"/>
      <c r="P96" s="761"/>
      <c r="Q96" s="761"/>
      <c r="R96" s="761"/>
      <c r="S96" s="1216"/>
      <c r="T96" s="1215"/>
      <c r="U96" s="761"/>
      <c r="V96" s="761"/>
      <c r="W96" s="761"/>
      <c r="X96" s="761"/>
      <c r="Y96" s="761"/>
      <c r="Z96" s="761"/>
      <c r="AA96" s="761"/>
      <c r="AB96" s="761"/>
      <c r="AC96" s="761"/>
      <c r="AD96" s="761"/>
      <c r="AE96" s="1216"/>
      <c r="AF96" s="1215"/>
      <c r="AG96" s="761"/>
      <c r="AH96" s="761"/>
      <c r="AI96" s="761"/>
      <c r="AJ96" s="761"/>
      <c r="AK96" s="761"/>
      <c r="AL96" s="761"/>
      <c r="AM96" s="761"/>
      <c r="AN96" s="761"/>
      <c r="AO96" s="761"/>
      <c r="AP96" s="761"/>
      <c r="AQ96" s="1216"/>
      <c r="AR96" s="1215"/>
      <c r="AS96" s="761"/>
      <c r="AT96" s="761"/>
      <c r="AU96" s="761"/>
      <c r="AV96" s="761"/>
      <c r="AW96" s="761"/>
      <c r="AX96" s="761"/>
      <c r="AY96" s="761"/>
      <c r="AZ96" s="761"/>
      <c r="BA96" s="761"/>
      <c r="BB96" s="761"/>
      <c r="BC96" s="1216"/>
      <c r="BD96" s="1215"/>
      <c r="BE96" s="761"/>
      <c r="BF96" s="761"/>
      <c r="BG96" s="761"/>
      <c r="BH96" s="761"/>
      <c r="BI96" s="761"/>
      <c r="BJ96" s="761"/>
      <c r="BK96" s="761"/>
      <c r="BL96" s="761"/>
      <c r="BM96" s="761"/>
      <c r="BN96" s="761"/>
      <c r="BO96" s="1216"/>
      <c r="BP96" s="1215"/>
      <c r="BQ96" s="761"/>
      <c r="BR96" s="761"/>
      <c r="BS96" s="761"/>
      <c r="BT96" s="761"/>
      <c r="BU96" s="761"/>
      <c r="BV96" s="761"/>
      <c r="BW96" s="761"/>
      <c r="BX96" s="761"/>
      <c r="BY96" s="761"/>
      <c r="BZ96" s="761"/>
      <c r="CA96" s="1216"/>
      <c r="CB96" s="747"/>
      <c r="CC96" s="1222">
        <f>$G96*H96*Variables!$B$53</f>
        <v>0</v>
      </c>
      <c r="CD96" s="1223">
        <f>$G96*I96*Variables!$B$53</f>
        <v>0</v>
      </c>
      <c r="CE96" s="1223">
        <f>$G96*J96*Variables!$B$53</f>
        <v>0</v>
      </c>
      <c r="CF96" s="1223">
        <f>$G96*K96*Variables!$B$53</f>
        <v>0</v>
      </c>
      <c r="CG96" s="1223">
        <f>$G96*L96*Variables!$B$53</f>
        <v>0</v>
      </c>
      <c r="CH96" s="1223">
        <f>$G96*M96*Variables!$B$53</f>
        <v>0</v>
      </c>
      <c r="CI96" s="1223">
        <f>$G96*N96*Variables!$B$53</f>
        <v>0</v>
      </c>
      <c r="CJ96" s="1223">
        <f>$G96*O96*Variables!$B$53</f>
        <v>0</v>
      </c>
      <c r="CK96" s="1223">
        <f>$G96*P96*Variables!$B$53</f>
        <v>0</v>
      </c>
      <c r="CL96" s="1223">
        <f>$G96*Q96*Variables!$B$53</f>
        <v>0</v>
      </c>
      <c r="CM96" s="1223">
        <f>$G96*R96*Variables!$B$53</f>
        <v>0</v>
      </c>
      <c r="CN96" s="1225">
        <f>$G96*S96*Variables!$B$53</f>
        <v>0</v>
      </c>
      <c r="CO96" s="1222">
        <f>$G96*T96*Variables!$B$53*HLOOKUP($CO$2,Variables!$B$60:$F$61,2,FALSE)</f>
        <v>0</v>
      </c>
      <c r="CP96" s="1223">
        <f>$G96*U96*Variables!$B$53*HLOOKUP($CO$2,Variables!$B$60:$F$61,2,FALSE)</f>
        <v>0</v>
      </c>
      <c r="CQ96" s="1223">
        <f>$G96*V96*Variables!$B$53*HLOOKUP($CO$2,Variables!$B$60:$F$61,2,FALSE)</f>
        <v>0</v>
      </c>
      <c r="CR96" s="1223">
        <f>$G96*W96*Variables!$B$53*HLOOKUP($CO$2,Variables!$B$60:$F$61,2,FALSE)</f>
        <v>0</v>
      </c>
      <c r="CS96" s="1223">
        <f>$G96*X96*Variables!$B$53*HLOOKUP($CO$2,Variables!$B$60:$F$61,2,FALSE)</f>
        <v>0</v>
      </c>
      <c r="CT96" s="1223">
        <f>$G96*Y96*Variables!$B$53*HLOOKUP($CO$2,Variables!$B$60:$F$61,2,FALSE)</f>
        <v>0</v>
      </c>
      <c r="CU96" s="1223">
        <f>$G96*Z96*Variables!$B$53*HLOOKUP($CO$2,Variables!$B$60:$F$61,2,FALSE)</f>
        <v>0</v>
      </c>
      <c r="CV96" s="1223">
        <f>$G96*AA96*Variables!$B$53*HLOOKUP($CO$2,Variables!$B$60:$F$61,2,FALSE)</f>
        <v>0</v>
      </c>
      <c r="CW96" s="1223">
        <f>$G96*AB96*Variables!$B$53*HLOOKUP($CO$2,Variables!$B$60:$F$61,2,FALSE)</f>
        <v>0</v>
      </c>
      <c r="CX96" s="1223">
        <f>$G96*AC96*Variables!$B$53*HLOOKUP($CO$2,Variables!$B$60:$F$61,2,FALSE)</f>
        <v>0</v>
      </c>
      <c r="CY96" s="1223">
        <f>$G96*AD96*Variables!$B$53*HLOOKUP($CO$2,Variables!$B$60:$F$61,2,FALSE)</f>
        <v>0</v>
      </c>
      <c r="CZ96" s="1225">
        <f>$G96*AE96*Variables!$B$53*HLOOKUP($CO$2,Variables!$B$60:$F$61,2,FALSE)</f>
        <v>0</v>
      </c>
      <c r="DA96" s="1222">
        <f>$G96*AF96*Variables!$B$53*HLOOKUP($DA$2,Variables!$B$60:$F$61,2,FALSE)</f>
        <v>0</v>
      </c>
      <c r="DB96" s="1223">
        <f>$G96*AG96*Variables!$B$53*HLOOKUP($DA$2,Variables!$B$60:$F$61,2,FALSE)</f>
        <v>0</v>
      </c>
      <c r="DC96" s="1223">
        <f>$G96*AH96*Variables!$B$53*HLOOKUP($DA$2,Variables!$B$60:$F$61,2,FALSE)</f>
        <v>0</v>
      </c>
      <c r="DD96" s="1223">
        <f>$G96*AI96*Variables!$B$53*HLOOKUP($DA$2,Variables!$B$60:$F$61,2,FALSE)</f>
        <v>0</v>
      </c>
      <c r="DE96" s="1223">
        <f>$G96*AJ96*Variables!$B$53*HLOOKUP($DA$2,Variables!$B$60:$F$61,2,FALSE)</f>
        <v>0</v>
      </c>
      <c r="DF96" s="1223">
        <f>$G96*AK96*Variables!$B$53*HLOOKUP($DA$2,Variables!$B$60:$F$61,2,FALSE)</f>
        <v>0</v>
      </c>
      <c r="DG96" s="1223">
        <f>$G96*AL96*Variables!$B$53*HLOOKUP($DA$2,Variables!$B$60:$F$61,2,FALSE)</f>
        <v>0</v>
      </c>
      <c r="DH96" s="1223">
        <f>$G96*AM96*Variables!$B$53*HLOOKUP($DA$2,Variables!$B$60:$F$61,2,FALSE)</f>
        <v>0</v>
      </c>
      <c r="DI96" s="1223">
        <f>$G96*AN96*Variables!$B$53*HLOOKUP($DA$2,Variables!$B$60:$F$61,2,FALSE)</f>
        <v>0</v>
      </c>
      <c r="DJ96" s="1223">
        <f>$G96*AO96*Variables!$B$53*HLOOKUP($DA$2,Variables!$B$60:$F$61,2,FALSE)</f>
        <v>0</v>
      </c>
      <c r="DK96" s="1223">
        <f>$G96*AP96*Variables!$B$53*HLOOKUP($DA$2,Variables!$B$60:$F$61,2,FALSE)</f>
        <v>0</v>
      </c>
      <c r="DL96" s="1225">
        <f>$G96*AQ96*Variables!$B$53*HLOOKUP($DA$2,Variables!$B$60:$F$61,2,FALSE)</f>
        <v>0</v>
      </c>
      <c r="DM96" s="1222">
        <f>$G96*AR96*Variables!$B$53*HLOOKUP($DM$2,Variables!$B$60:$F$61,2,FALSE)</f>
        <v>0</v>
      </c>
      <c r="DN96" s="1223">
        <f>$G96*AS96*Variables!$B$53*HLOOKUP($DM$2,Variables!$B$60:$F$61,2,FALSE)</f>
        <v>0</v>
      </c>
      <c r="DO96" s="1223">
        <f>$G96*AT96*Variables!$B$53*HLOOKUP($DM$2,Variables!$B$60:$F$61,2,FALSE)</f>
        <v>0</v>
      </c>
      <c r="DP96" s="1223">
        <f>$G96*AU96*Variables!$B$53*HLOOKUP($DM$2,Variables!$B$60:$F$61,2,FALSE)</f>
        <v>0</v>
      </c>
      <c r="DQ96" s="1223">
        <f>$G96*AV96*Variables!$B$53*HLOOKUP($DM$2,Variables!$B$60:$F$61,2,FALSE)</f>
        <v>0</v>
      </c>
      <c r="DR96" s="1223">
        <f>$G96*AW96*Variables!$B$53*HLOOKUP($DM$2,Variables!$B$60:$F$61,2,FALSE)</f>
        <v>0</v>
      </c>
      <c r="DS96" s="1223">
        <f>$G96*AX96*Variables!$B$53*HLOOKUP($DM$2,Variables!$B$60:$F$61,2,FALSE)</f>
        <v>0</v>
      </c>
      <c r="DT96" s="1223">
        <f>$G96*AY96*Variables!$B$53*HLOOKUP($DM$2,Variables!$B$60:$F$61,2,FALSE)</f>
        <v>0</v>
      </c>
      <c r="DU96" s="1223">
        <f>$G96*AZ96*Variables!$B$53*HLOOKUP($DM$2,Variables!$B$60:$F$61,2,FALSE)</f>
        <v>0</v>
      </c>
      <c r="DV96" s="1223">
        <f>$G96*BA96*Variables!$B$53*HLOOKUP($DM$2,Variables!$B$60:$F$61,2,FALSE)</f>
        <v>0</v>
      </c>
      <c r="DW96" s="1223">
        <f>$G96*BB96*Variables!$B$53*HLOOKUP($DM$2,Variables!$B$60:$F$61,2,FALSE)</f>
        <v>0</v>
      </c>
      <c r="DX96" s="1225">
        <f>$G96*BC96*Variables!$B$53*HLOOKUP($DM$2,Variables!$B$60:$F$61,2,FALSE)</f>
        <v>0</v>
      </c>
      <c r="DY96" s="1222">
        <f>$G96*BD96*Variables!$B$53*HLOOKUP($DY$2,Variables!$B$60:$F$61,2,FALSE)</f>
        <v>0</v>
      </c>
      <c r="DZ96" s="1223">
        <f>$G96*BE96*Variables!$B$53*HLOOKUP($DY$2,Variables!$B$60:$F$61,2,FALSE)</f>
        <v>0</v>
      </c>
      <c r="EA96" s="1223">
        <f>$G96*BF96*Variables!$B$53*HLOOKUP($DY$2,Variables!$B$60:$F$61,2,FALSE)</f>
        <v>0</v>
      </c>
      <c r="EB96" s="1223">
        <f>$G96*BG96*Variables!$B$53*HLOOKUP($DY$2,Variables!$B$60:$F$61,2,FALSE)</f>
        <v>0</v>
      </c>
      <c r="EC96" s="1223">
        <f>$G96*BH96*Variables!$B$53*HLOOKUP($DY$2,Variables!$B$60:$F$61,2,FALSE)</f>
        <v>0</v>
      </c>
      <c r="ED96" s="1223">
        <f>$G96*BI96*Variables!$B$53*HLOOKUP($DY$2,Variables!$B$60:$F$61,2,FALSE)</f>
        <v>0</v>
      </c>
      <c r="EE96" s="1223">
        <f>$G96*BJ96*Variables!$B$53*HLOOKUP($DY$2,Variables!$B$60:$F$61,2,FALSE)</f>
        <v>0</v>
      </c>
      <c r="EF96" s="1223">
        <f>$G96*BK96*Variables!$B$53*HLOOKUP($DY$2,Variables!$B$60:$F$61,2,FALSE)</f>
        <v>0</v>
      </c>
      <c r="EG96" s="1223">
        <f>$G96*BL96*Variables!$B$53*HLOOKUP($DY$2,Variables!$B$60:$F$61,2,FALSE)</f>
        <v>0</v>
      </c>
      <c r="EH96" s="1223">
        <f>$G96*BM96*Variables!$B$53*HLOOKUP($DY$2,Variables!$B$60:$F$61,2,FALSE)</f>
        <v>0</v>
      </c>
      <c r="EI96" s="1223">
        <f>$G96*BN96*Variables!$B$53*HLOOKUP($DY$2,Variables!$B$60:$F$61,2,FALSE)</f>
        <v>0</v>
      </c>
      <c r="EJ96" s="1225">
        <f>$G96*BO96*Variables!$B$53*HLOOKUP($DY$2,Variables!$B$60:$F$61,2,FALSE)</f>
        <v>0</v>
      </c>
      <c r="EK96" s="1222">
        <f>$G96*BP96*Variables!$B$53*HLOOKUP($EK$2,Variables!$B$60:$F$61,2,FALSE)</f>
        <v>0</v>
      </c>
      <c r="EL96" s="1223">
        <f>$G96*BQ96*Variables!$B$53*HLOOKUP($EK$2,Variables!$B$60:$F$61,2,FALSE)</f>
        <v>0</v>
      </c>
      <c r="EM96" s="1223">
        <f>$G96*BR96*Variables!$B$53*HLOOKUP($EK$2,Variables!$B$60:$F$61,2,FALSE)</f>
        <v>0</v>
      </c>
      <c r="EN96" s="1223">
        <f>$G96*BS96*Variables!$B$53*HLOOKUP($EK$2,Variables!$B$60:$F$61,2,FALSE)</f>
        <v>0</v>
      </c>
      <c r="EO96" s="1223">
        <f>$G96*BT96*Variables!$B$53*HLOOKUP($EK$2,Variables!$B$60:$F$61,2,FALSE)</f>
        <v>0</v>
      </c>
      <c r="EP96" s="1223">
        <f>$G96*BU96*Variables!$B$53*HLOOKUP($EK$2,Variables!$B$60:$F$61,2,FALSE)</f>
        <v>0</v>
      </c>
      <c r="EQ96" s="1223">
        <f>$G96*BV96*Variables!$B$53*HLOOKUP($EK$2,Variables!$B$60:$F$61,2,FALSE)</f>
        <v>0</v>
      </c>
      <c r="ER96" s="1223">
        <f>$G96*BW96*Variables!$B$53*HLOOKUP($EK$2,Variables!$B$60:$F$61,2,FALSE)</f>
        <v>0</v>
      </c>
      <c r="ES96" s="1223">
        <f>$G96*BX96*Variables!$B$53*HLOOKUP($EK$2,Variables!$B$60:$F$61,2,FALSE)</f>
        <v>0</v>
      </c>
      <c r="ET96" s="1223">
        <f>$G96*BY96*Variables!$B$53*HLOOKUP($EK$2,Variables!$B$60:$F$61,2,FALSE)</f>
        <v>0</v>
      </c>
      <c r="EU96" s="1223">
        <f>$G96*BZ96*Variables!$B$53*HLOOKUP($EK$2,Variables!$B$60:$F$61,2,FALSE)</f>
        <v>0</v>
      </c>
      <c r="EV96" s="1225">
        <f>$G96*CA96*Variables!$B$53*HLOOKUP($EK$2,Variables!$B$60:$F$61,2,FALSE)</f>
        <v>0</v>
      </c>
      <c r="EW96" s="872">
        <f t="shared" si="15"/>
        <v>0</v>
      </c>
      <c r="EX96" s="872"/>
      <c r="EY96" s="872"/>
      <c r="EZ96" s="872"/>
      <c r="FA96" s="1332"/>
      <c r="FC96" s="958" t="str">
        <f t="shared" si="11"/>
        <v/>
      </c>
      <c r="FD96" s="959" t="str">
        <f t="shared" si="12"/>
        <v/>
      </c>
      <c r="FE96" s="959" t="s">
        <v>8407</v>
      </c>
      <c r="FF96" s="959" t="str">
        <f>IF(ISNA(VLOOKUP(FC96,Miscellaneous!E:F,2,0)),"",VLOOKUP(FC96,Miscellaneous!E:F,2,0))</f>
        <v/>
      </c>
      <c r="FG96" s="959" t="str">
        <f t="shared" si="13"/>
        <v/>
      </c>
      <c r="FH96" s="996">
        <f>IF($FG96="Opex",SUMIF('Monthly Summary'!$C$75:$N$75,"",CC96:CN96),SUMIF('Monthly Summary'!$C$74:$N$74,"",CC96:CN96))</f>
        <v>0</v>
      </c>
      <c r="FI96" s="996">
        <f>IF($FG96="Opex",SUMIF('Monthly Summary'!$O$75:$Z$75,"",CO96:CZ96),SUMIF('Monthly Summary'!$O$74:$Z$74,"",CO96:CZ96))</f>
        <v>0</v>
      </c>
      <c r="FJ96" s="996">
        <f>IF($FG96="Opex",SUMIF('Monthly Summary'!$AA$75:$AL$75,"",DA96:DL96),SUMIF('Monthly Summary'!$AA$74:$AL$74,"",DA96:DL96))</f>
        <v>0</v>
      </c>
      <c r="FK96" s="996">
        <f>IF($FG96="Opex",SUMIF('Monthly Summary'!$AM$75:$AX$75,"",DM96:DX96),SUMIF('Monthly Summary'!$AM$74:$AX$74,"",DM96:DX96))</f>
        <v>0</v>
      </c>
      <c r="FL96" s="996">
        <f>IF($FG96="Opex",SUMIF('Monthly Summary'!$AY$75:$BJ$75,"",DY96:EJ96),SUMIF('Monthly Summary'!$AY$74:$BJ$74,"",DY96:EJ96))</f>
        <v>0</v>
      </c>
      <c r="FM96" s="997">
        <f>IF($FG96="Opex",SUMIF('Monthly Summary'!$BK$75:$BV$75,"",EK96:EV96),SUMIF('Monthly Summary'!$BK$74:$BV$74,"",EK96:EV96))</f>
        <v>0</v>
      </c>
      <c r="FN96" s="997">
        <f t="shared" si="14"/>
        <v>0</v>
      </c>
    </row>
    <row r="97" spans="3:170">
      <c r="C97" s="757"/>
      <c r="D97" s="757"/>
      <c r="E97" s="758"/>
      <c r="F97" s="758"/>
      <c r="G97" s="758"/>
      <c r="H97" s="1215"/>
      <c r="I97" s="761"/>
      <c r="J97" s="761"/>
      <c r="K97" s="761"/>
      <c r="L97" s="761"/>
      <c r="M97" s="761"/>
      <c r="N97" s="761"/>
      <c r="O97" s="761"/>
      <c r="P97" s="761"/>
      <c r="Q97" s="761"/>
      <c r="R97" s="761"/>
      <c r="S97" s="1216"/>
      <c r="T97" s="1215"/>
      <c r="U97" s="761"/>
      <c r="V97" s="761"/>
      <c r="W97" s="761"/>
      <c r="X97" s="761"/>
      <c r="Y97" s="761"/>
      <c r="Z97" s="761"/>
      <c r="AA97" s="761"/>
      <c r="AB97" s="761"/>
      <c r="AC97" s="761"/>
      <c r="AD97" s="761"/>
      <c r="AE97" s="1216"/>
      <c r="AF97" s="1215"/>
      <c r="AG97" s="761"/>
      <c r="AH97" s="761"/>
      <c r="AI97" s="761"/>
      <c r="AJ97" s="761"/>
      <c r="AK97" s="761"/>
      <c r="AL97" s="761"/>
      <c r="AM97" s="761"/>
      <c r="AN97" s="761"/>
      <c r="AO97" s="761"/>
      <c r="AP97" s="761"/>
      <c r="AQ97" s="1216"/>
      <c r="AR97" s="1215"/>
      <c r="AS97" s="761"/>
      <c r="AT97" s="761"/>
      <c r="AU97" s="761"/>
      <c r="AV97" s="761"/>
      <c r="AW97" s="761"/>
      <c r="AX97" s="761"/>
      <c r="AY97" s="761"/>
      <c r="AZ97" s="761"/>
      <c r="BA97" s="761"/>
      <c r="BB97" s="761"/>
      <c r="BC97" s="1216"/>
      <c r="BD97" s="1215"/>
      <c r="BE97" s="761"/>
      <c r="BF97" s="761"/>
      <c r="BG97" s="761"/>
      <c r="BH97" s="761"/>
      <c r="BI97" s="761"/>
      <c r="BJ97" s="761"/>
      <c r="BK97" s="761"/>
      <c r="BL97" s="761"/>
      <c r="BM97" s="761"/>
      <c r="BN97" s="761"/>
      <c r="BO97" s="1216"/>
      <c r="BP97" s="1215"/>
      <c r="BQ97" s="761"/>
      <c r="BR97" s="761"/>
      <c r="BS97" s="761"/>
      <c r="BT97" s="761"/>
      <c r="BU97" s="761"/>
      <c r="BV97" s="761"/>
      <c r="BW97" s="761"/>
      <c r="BX97" s="761"/>
      <c r="BY97" s="761"/>
      <c r="BZ97" s="761"/>
      <c r="CA97" s="1216"/>
      <c r="CB97" s="747"/>
      <c r="CC97" s="1222">
        <f>$G97*H97*Variables!$B$53</f>
        <v>0</v>
      </c>
      <c r="CD97" s="1223">
        <f>$G97*I97*Variables!$B$53</f>
        <v>0</v>
      </c>
      <c r="CE97" s="1223">
        <f>$G97*J97*Variables!$B$53</f>
        <v>0</v>
      </c>
      <c r="CF97" s="1223">
        <f>$G97*K97*Variables!$B$53</f>
        <v>0</v>
      </c>
      <c r="CG97" s="1223">
        <f>$G97*L97*Variables!$B$53</f>
        <v>0</v>
      </c>
      <c r="CH97" s="1223">
        <f>$G97*M97*Variables!$B$53</f>
        <v>0</v>
      </c>
      <c r="CI97" s="1223">
        <f>$G97*N97*Variables!$B$53</f>
        <v>0</v>
      </c>
      <c r="CJ97" s="1223">
        <f>$G97*O97*Variables!$B$53</f>
        <v>0</v>
      </c>
      <c r="CK97" s="1223">
        <f>$G97*P97*Variables!$B$53</f>
        <v>0</v>
      </c>
      <c r="CL97" s="1223">
        <f>$G97*Q97*Variables!$B$53</f>
        <v>0</v>
      </c>
      <c r="CM97" s="1223">
        <f>$G97*R97*Variables!$B$53</f>
        <v>0</v>
      </c>
      <c r="CN97" s="1225">
        <f>$G97*S97*Variables!$B$53</f>
        <v>0</v>
      </c>
      <c r="CO97" s="1222">
        <f>$G97*T97*Variables!$B$53*HLOOKUP($CO$2,Variables!$B$60:$F$61,2,FALSE)</f>
        <v>0</v>
      </c>
      <c r="CP97" s="1223">
        <f>$G97*U97*Variables!$B$53*HLOOKUP($CO$2,Variables!$B$60:$F$61,2,FALSE)</f>
        <v>0</v>
      </c>
      <c r="CQ97" s="1223">
        <f>$G97*V97*Variables!$B$53*HLOOKUP($CO$2,Variables!$B$60:$F$61,2,FALSE)</f>
        <v>0</v>
      </c>
      <c r="CR97" s="1223">
        <f>$G97*W97*Variables!$B$53*HLOOKUP($CO$2,Variables!$B$60:$F$61,2,FALSE)</f>
        <v>0</v>
      </c>
      <c r="CS97" s="1223">
        <f>$G97*X97*Variables!$B$53*HLOOKUP($CO$2,Variables!$B$60:$F$61,2,FALSE)</f>
        <v>0</v>
      </c>
      <c r="CT97" s="1223">
        <f>$G97*Y97*Variables!$B$53*HLOOKUP($CO$2,Variables!$B$60:$F$61,2,FALSE)</f>
        <v>0</v>
      </c>
      <c r="CU97" s="1223">
        <f>$G97*Z97*Variables!$B$53*HLOOKUP($CO$2,Variables!$B$60:$F$61,2,FALSE)</f>
        <v>0</v>
      </c>
      <c r="CV97" s="1223">
        <f>$G97*AA97*Variables!$B$53*HLOOKUP($CO$2,Variables!$B$60:$F$61,2,FALSE)</f>
        <v>0</v>
      </c>
      <c r="CW97" s="1223">
        <f>$G97*AB97*Variables!$B$53*HLOOKUP($CO$2,Variables!$B$60:$F$61,2,FALSE)</f>
        <v>0</v>
      </c>
      <c r="CX97" s="1223">
        <f>$G97*AC97*Variables!$B$53*HLOOKUP($CO$2,Variables!$B$60:$F$61,2,FALSE)</f>
        <v>0</v>
      </c>
      <c r="CY97" s="1223">
        <f>$G97*AD97*Variables!$B$53*HLOOKUP($CO$2,Variables!$B$60:$F$61,2,FALSE)</f>
        <v>0</v>
      </c>
      <c r="CZ97" s="1225">
        <f>$G97*AE97*Variables!$B$53*HLOOKUP($CO$2,Variables!$B$60:$F$61,2,FALSE)</f>
        <v>0</v>
      </c>
      <c r="DA97" s="1222">
        <f>$G97*AF97*Variables!$B$53*HLOOKUP($DA$2,Variables!$B$60:$F$61,2,FALSE)</f>
        <v>0</v>
      </c>
      <c r="DB97" s="1223">
        <f>$G97*AG97*Variables!$B$53*HLOOKUP($DA$2,Variables!$B$60:$F$61,2,FALSE)</f>
        <v>0</v>
      </c>
      <c r="DC97" s="1223">
        <f>$G97*AH97*Variables!$B$53*HLOOKUP($DA$2,Variables!$B$60:$F$61,2,FALSE)</f>
        <v>0</v>
      </c>
      <c r="DD97" s="1223">
        <f>$G97*AI97*Variables!$B$53*HLOOKUP($DA$2,Variables!$B$60:$F$61,2,FALSE)</f>
        <v>0</v>
      </c>
      <c r="DE97" s="1223">
        <f>$G97*AJ97*Variables!$B$53*HLOOKUP($DA$2,Variables!$B$60:$F$61,2,FALSE)</f>
        <v>0</v>
      </c>
      <c r="DF97" s="1223">
        <f>$G97*AK97*Variables!$B$53*HLOOKUP($DA$2,Variables!$B$60:$F$61,2,FALSE)</f>
        <v>0</v>
      </c>
      <c r="DG97" s="1223">
        <f>$G97*AL97*Variables!$B$53*HLOOKUP($DA$2,Variables!$B$60:$F$61,2,FALSE)</f>
        <v>0</v>
      </c>
      <c r="DH97" s="1223">
        <f>$G97*AM97*Variables!$B$53*HLOOKUP($DA$2,Variables!$B$60:$F$61,2,FALSE)</f>
        <v>0</v>
      </c>
      <c r="DI97" s="1223">
        <f>$G97*AN97*Variables!$B$53*HLOOKUP($DA$2,Variables!$B$60:$F$61,2,FALSE)</f>
        <v>0</v>
      </c>
      <c r="DJ97" s="1223">
        <f>$G97*AO97*Variables!$B$53*HLOOKUP($DA$2,Variables!$B$60:$F$61,2,FALSE)</f>
        <v>0</v>
      </c>
      <c r="DK97" s="1223">
        <f>$G97*AP97*Variables!$B$53*HLOOKUP($DA$2,Variables!$B$60:$F$61,2,FALSE)</f>
        <v>0</v>
      </c>
      <c r="DL97" s="1225">
        <f>$G97*AQ97*Variables!$B$53*HLOOKUP($DA$2,Variables!$B$60:$F$61,2,FALSE)</f>
        <v>0</v>
      </c>
      <c r="DM97" s="1222">
        <f>$G97*AR97*Variables!$B$53*HLOOKUP($DM$2,Variables!$B$60:$F$61,2,FALSE)</f>
        <v>0</v>
      </c>
      <c r="DN97" s="1223">
        <f>$G97*AS97*Variables!$B$53*HLOOKUP($DM$2,Variables!$B$60:$F$61,2,FALSE)</f>
        <v>0</v>
      </c>
      <c r="DO97" s="1223">
        <f>$G97*AT97*Variables!$B$53*HLOOKUP($DM$2,Variables!$B$60:$F$61,2,FALSE)</f>
        <v>0</v>
      </c>
      <c r="DP97" s="1223">
        <f>$G97*AU97*Variables!$B$53*HLOOKUP($DM$2,Variables!$B$60:$F$61,2,FALSE)</f>
        <v>0</v>
      </c>
      <c r="DQ97" s="1223">
        <f>$G97*AV97*Variables!$B$53*HLOOKUP($DM$2,Variables!$B$60:$F$61,2,FALSE)</f>
        <v>0</v>
      </c>
      <c r="DR97" s="1223">
        <f>$G97*AW97*Variables!$B$53*HLOOKUP($DM$2,Variables!$B$60:$F$61,2,FALSE)</f>
        <v>0</v>
      </c>
      <c r="DS97" s="1223">
        <f>$G97*AX97*Variables!$B$53*HLOOKUP($DM$2,Variables!$B$60:$F$61,2,FALSE)</f>
        <v>0</v>
      </c>
      <c r="DT97" s="1223">
        <f>$G97*AY97*Variables!$B$53*HLOOKUP($DM$2,Variables!$B$60:$F$61,2,FALSE)</f>
        <v>0</v>
      </c>
      <c r="DU97" s="1223">
        <f>$G97*AZ97*Variables!$B$53*HLOOKUP($DM$2,Variables!$B$60:$F$61,2,FALSE)</f>
        <v>0</v>
      </c>
      <c r="DV97" s="1223">
        <f>$G97*BA97*Variables!$B$53*HLOOKUP($DM$2,Variables!$B$60:$F$61,2,FALSE)</f>
        <v>0</v>
      </c>
      <c r="DW97" s="1223">
        <f>$G97*BB97*Variables!$B$53*HLOOKUP($DM$2,Variables!$B$60:$F$61,2,FALSE)</f>
        <v>0</v>
      </c>
      <c r="DX97" s="1225">
        <f>$G97*BC97*Variables!$B$53*HLOOKUP($DM$2,Variables!$B$60:$F$61,2,FALSE)</f>
        <v>0</v>
      </c>
      <c r="DY97" s="1222">
        <f>$G97*BD97*Variables!$B$53*HLOOKUP($DY$2,Variables!$B$60:$F$61,2,FALSE)</f>
        <v>0</v>
      </c>
      <c r="DZ97" s="1223">
        <f>$G97*BE97*Variables!$B$53*HLOOKUP($DY$2,Variables!$B$60:$F$61,2,FALSE)</f>
        <v>0</v>
      </c>
      <c r="EA97" s="1223">
        <f>$G97*BF97*Variables!$B$53*HLOOKUP($DY$2,Variables!$B$60:$F$61,2,FALSE)</f>
        <v>0</v>
      </c>
      <c r="EB97" s="1223">
        <f>$G97*BG97*Variables!$B$53*HLOOKUP($DY$2,Variables!$B$60:$F$61,2,FALSE)</f>
        <v>0</v>
      </c>
      <c r="EC97" s="1223">
        <f>$G97*BH97*Variables!$B$53*HLOOKUP($DY$2,Variables!$B$60:$F$61,2,FALSE)</f>
        <v>0</v>
      </c>
      <c r="ED97" s="1223">
        <f>$G97*BI97*Variables!$B$53*HLOOKUP($DY$2,Variables!$B$60:$F$61,2,FALSE)</f>
        <v>0</v>
      </c>
      <c r="EE97" s="1223">
        <f>$G97*BJ97*Variables!$B$53*HLOOKUP($DY$2,Variables!$B$60:$F$61,2,FALSE)</f>
        <v>0</v>
      </c>
      <c r="EF97" s="1223">
        <f>$G97*BK97*Variables!$B$53*HLOOKUP($DY$2,Variables!$B$60:$F$61,2,FALSE)</f>
        <v>0</v>
      </c>
      <c r="EG97" s="1223">
        <f>$G97*BL97*Variables!$B$53*HLOOKUP($DY$2,Variables!$B$60:$F$61,2,FALSE)</f>
        <v>0</v>
      </c>
      <c r="EH97" s="1223">
        <f>$G97*BM97*Variables!$B$53*HLOOKUP($DY$2,Variables!$B$60:$F$61,2,FALSE)</f>
        <v>0</v>
      </c>
      <c r="EI97" s="1223">
        <f>$G97*BN97*Variables!$B$53*HLOOKUP($DY$2,Variables!$B$60:$F$61,2,FALSE)</f>
        <v>0</v>
      </c>
      <c r="EJ97" s="1225">
        <f>$G97*BO97*Variables!$B$53*HLOOKUP($DY$2,Variables!$B$60:$F$61,2,FALSE)</f>
        <v>0</v>
      </c>
      <c r="EK97" s="1222">
        <f>$G97*BP97*Variables!$B$53*HLOOKUP($EK$2,Variables!$B$60:$F$61,2,FALSE)</f>
        <v>0</v>
      </c>
      <c r="EL97" s="1223">
        <f>$G97*BQ97*Variables!$B$53*HLOOKUP($EK$2,Variables!$B$60:$F$61,2,FALSE)</f>
        <v>0</v>
      </c>
      <c r="EM97" s="1223">
        <f>$G97*BR97*Variables!$B$53*HLOOKUP($EK$2,Variables!$B$60:$F$61,2,FALSE)</f>
        <v>0</v>
      </c>
      <c r="EN97" s="1223">
        <f>$G97*BS97*Variables!$B$53*HLOOKUP($EK$2,Variables!$B$60:$F$61,2,FALSE)</f>
        <v>0</v>
      </c>
      <c r="EO97" s="1223">
        <f>$G97*BT97*Variables!$B$53*HLOOKUP($EK$2,Variables!$B$60:$F$61,2,FALSE)</f>
        <v>0</v>
      </c>
      <c r="EP97" s="1223">
        <f>$G97*BU97*Variables!$B$53*HLOOKUP($EK$2,Variables!$B$60:$F$61,2,FALSE)</f>
        <v>0</v>
      </c>
      <c r="EQ97" s="1223">
        <f>$G97*BV97*Variables!$B$53*HLOOKUP($EK$2,Variables!$B$60:$F$61,2,FALSE)</f>
        <v>0</v>
      </c>
      <c r="ER97" s="1223">
        <f>$G97*BW97*Variables!$B$53*HLOOKUP($EK$2,Variables!$B$60:$F$61,2,FALSE)</f>
        <v>0</v>
      </c>
      <c r="ES97" s="1223">
        <f>$G97*BX97*Variables!$B$53*HLOOKUP($EK$2,Variables!$B$60:$F$61,2,FALSE)</f>
        <v>0</v>
      </c>
      <c r="ET97" s="1223">
        <f>$G97*BY97*Variables!$B$53*HLOOKUP($EK$2,Variables!$B$60:$F$61,2,FALSE)</f>
        <v>0</v>
      </c>
      <c r="EU97" s="1223">
        <f>$G97*BZ97*Variables!$B$53*HLOOKUP($EK$2,Variables!$B$60:$F$61,2,FALSE)</f>
        <v>0</v>
      </c>
      <c r="EV97" s="1225">
        <f>$G97*CA97*Variables!$B$53*HLOOKUP($EK$2,Variables!$B$60:$F$61,2,FALSE)</f>
        <v>0</v>
      </c>
      <c r="EW97" s="872">
        <f t="shared" si="15"/>
        <v>0</v>
      </c>
      <c r="EX97" s="872"/>
      <c r="EY97" s="872"/>
      <c r="EZ97" s="872"/>
      <c r="FA97" s="1332"/>
      <c r="FC97" s="958" t="str">
        <f t="shared" si="11"/>
        <v/>
      </c>
      <c r="FD97" s="959" t="str">
        <f t="shared" si="12"/>
        <v/>
      </c>
      <c r="FE97" s="959" t="s">
        <v>8407</v>
      </c>
      <c r="FF97" s="959" t="str">
        <f>IF(ISNA(VLOOKUP(FC97,Miscellaneous!E:F,2,0)),"",VLOOKUP(FC97,Miscellaneous!E:F,2,0))</f>
        <v/>
      </c>
      <c r="FG97" s="959" t="str">
        <f t="shared" si="13"/>
        <v/>
      </c>
      <c r="FH97" s="996">
        <f>IF($FG97="Opex",SUMIF('Monthly Summary'!$C$75:$N$75,"",CC97:CN97),SUMIF('Monthly Summary'!$C$74:$N$74,"",CC97:CN97))</f>
        <v>0</v>
      </c>
      <c r="FI97" s="996">
        <f>IF($FG97="Opex",SUMIF('Monthly Summary'!$O$75:$Z$75,"",CO97:CZ97),SUMIF('Monthly Summary'!$O$74:$Z$74,"",CO97:CZ97))</f>
        <v>0</v>
      </c>
      <c r="FJ97" s="996">
        <f>IF($FG97="Opex",SUMIF('Monthly Summary'!$AA$75:$AL$75,"",DA97:DL97),SUMIF('Monthly Summary'!$AA$74:$AL$74,"",DA97:DL97))</f>
        <v>0</v>
      </c>
      <c r="FK97" s="996">
        <f>IF($FG97="Opex",SUMIF('Monthly Summary'!$AM$75:$AX$75,"",DM97:DX97),SUMIF('Monthly Summary'!$AM$74:$AX$74,"",DM97:DX97))</f>
        <v>0</v>
      </c>
      <c r="FL97" s="996">
        <f>IF($FG97="Opex",SUMIF('Monthly Summary'!$AY$75:$BJ$75,"",DY97:EJ97),SUMIF('Monthly Summary'!$AY$74:$BJ$74,"",DY97:EJ97))</f>
        <v>0</v>
      </c>
      <c r="FM97" s="997">
        <f>IF($FG97="Opex",SUMIF('Monthly Summary'!$BK$75:$BV$75,"",EK97:EV97),SUMIF('Monthly Summary'!$BK$74:$BV$74,"",EK97:EV97))</f>
        <v>0</v>
      </c>
      <c r="FN97" s="997">
        <f t="shared" si="14"/>
        <v>0</v>
      </c>
    </row>
    <row r="98" spans="3:170">
      <c r="C98" s="757"/>
      <c r="D98" s="757"/>
      <c r="E98" s="758"/>
      <c r="F98" s="758"/>
      <c r="G98" s="758"/>
      <c r="H98" s="1215"/>
      <c r="I98" s="761"/>
      <c r="J98" s="761"/>
      <c r="K98" s="761"/>
      <c r="L98" s="761"/>
      <c r="M98" s="761"/>
      <c r="N98" s="761"/>
      <c r="O98" s="761"/>
      <c r="P98" s="761"/>
      <c r="Q98" s="761"/>
      <c r="R98" s="761"/>
      <c r="S98" s="1216"/>
      <c r="T98" s="1215"/>
      <c r="U98" s="761"/>
      <c r="V98" s="761"/>
      <c r="W98" s="761"/>
      <c r="X98" s="761"/>
      <c r="Y98" s="761"/>
      <c r="Z98" s="761"/>
      <c r="AA98" s="761"/>
      <c r="AB98" s="761"/>
      <c r="AC98" s="761"/>
      <c r="AD98" s="761"/>
      <c r="AE98" s="1216"/>
      <c r="AF98" s="1215"/>
      <c r="AG98" s="761"/>
      <c r="AH98" s="761"/>
      <c r="AI98" s="761"/>
      <c r="AJ98" s="761"/>
      <c r="AK98" s="761"/>
      <c r="AL98" s="761"/>
      <c r="AM98" s="761"/>
      <c r="AN98" s="761"/>
      <c r="AO98" s="761"/>
      <c r="AP98" s="761"/>
      <c r="AQ98" s="1216"/>
      <c r="AR98" s="1215"/>
      <c r="AS98" s="761"/>
      <c r="AT98" s="761"/>
      <c r="AU98" s="761"/>
      <c r="AV98" s="761"/>
      <c r="AW98" s="761"/>
      <c r="AX98" s="761"/>
      <c r="AY98" s="761"/>
      <c r="AZ98" s="761"/>
      <c r="BA98" s="761"/>
      <c r="BB98" s="761"/>
      <c r="BC98" s="1216"/>
      <c r="BD98" s="1215"/>
      <c r="BE98" s="761"/>
      <c r="BF98" s="761"/>
      <c r="BG98" s="761"/>
      <c r="BH98" s="761"/>
      <c r="BI98" s="761"/>
      <c r="BJ98" s="761"/>
      <c r="BK98" s="761"/>
      <c r="BL98" s="761"/>
      <c r="BM98" s="761"/>
      <c r="BN98" s="761"/>
      <c r="BO98" s="1216"/>
      <c r="BP98" s="1215"/>
      <c r="BQ98" s="761"/>
      <c r="BR98" s="761"/>
      <c r="BS98" s="761"/>
      <c r="BT98" s="761"/>
      <c r="BU98" s="761"/>
      <c r="BV98" s="761"/>
      <c r="BW98" s="761"/>
      <c r="BX98" s="761"/>
      <c r="BY98" s="761"/>
      <c r="BZ98" s="761"/>
      <c r="CA98" s="1216"/>
      <c r="CB98" s="747"/>
      <c r="CC98" s="1222">
        <f>$G98*H98*Variables!$B$53</f>
        <v>0</v>
      </c>
      <c r="CD98" s="1223">
        <f>$G98*I98*Variables!$B$53</f>
        <v>0</v>
      </c>
      <c r="CE98" s="1223">
        <f>$G98*J98*Variables!$B$53</f>
        <v>0</v>
      </c>
      <c r="CF98" s="1223">
        <f>$G98*K98*Variables!$B$53</f>
        <v>0</v>
      </c>
      <c r="CG98" s="1223">
        <f>$G98*L98*Variables!$B$53</f>
        <v>0</v>
      </c>
      <c r="CH98" s="1223">
        <f>$G98*M98*Variables!$B$53</f>
        <v>0</v>
      </c>
      <c r="CI98" s="1223">
        <f>$G98*N98*Variables!$B$53</f>
        <v>0</v>
      </c>
      <c r="CJ98" s="1223">
        <f>$G98*O98*Variables!$B$53</f>
        <v>0</v>
      </c>
      <c r="CK98" s="1223">
        <f>$G98*P98*Variables!$B$53</f>
        <v>0</v>
      </c>
      <c r="CL98" s="1223">
        <f>$G98*Q98*Variables!$B$53</f>
        <v>0</v>
      </c>
      <c r="CM98" s="1223">
        <f>$G98*R98*Variables!$B$53</f>
        <v>0</v>
      </c>
      <c r="CN98" s="1225">
        <f>$G98*S98*Variables!$B$53</f>
        <v>0</v>
      </c>
      <c r="CO98" s="1222">
        <f>$G98*T98*Variables!$B$53*HLOOKUP($CO$2,Variables!$B$60:$F$61,2,FALSE)</f>
        <v>0</v>
      </c>
      <c r="CP98" s="1223">
        <f>$G98*U98*Variables!$B$53*HLOOKUP($CO$2,Variables!$B$60:$F$61,2,FALSE)</f>
        <v>0</v>
      </c>
      <c r="CQ98" s="1223">
        <f>$G98*V98*Variables!$B$53*HLOOKUP($CO$2,Variables!$B$60:$F$61,2,FALSE)</f>
        <v>0</v>
      </c>
      <c r="CR98" s="1223">
        <f>$G98*W98*Variables!$B$53*HLOOKUP($CO$2,Variables!$B$60:$F$61,2,FALSE)</f>
        <v>0</v>
      </c>
      <c r="CS98" s="1223">
        <f>$G98*X98*Variables!$B$53*HLOOKUP($CO$2,Variables!$B$60:$F$61,2,FALSE)</f>
        <v>0</v>
      </c>
      <c r="CT98" s="1223">
        <f>$G98*Y98*Variables!$B$53*HLOOKUP($CO$2,Variables!$B$60:$F$61,2,FALSE)</f>
        <v>0</v>
      </c>
      <c r="CU98" s="1223">
        <f>$G98*Z98*Variables!$B$53*HLOOKUP($CO$2,Variables!$B$60:$F$61,2,FALSE)</f>
        <v>0</v>
      </c>
      <c r="CV98" s="1223">
        <f>$G98*AA98*Variables!$B$53*HLOOKUP($CO$2,Variables!$B$60:$F$61,2,FALSE)</f>
        <v>0</v>
      </c>
      <c r="CW98" s="1223">
        <f>$G98*AB98*Variables!$B$53*HLOOKUP($CO$2,Variables!$B$60:$F$61,2,FALSE)</f>
        <v>0</v>
      </c>
      <c r="CX98" s="1223">
        <f>$G98*AC98*Variables!$B$53*HLOOKUP($CO$2,Variables!$B$60:$F$61,2,FALSE)</f>
        <v>0</v>
      </c>
      <c r="CY98" s="1223">
        <f>$G98*AD98*Variables!$B$53*HLOOKUP($CO$2,Variables!$B$60:$F$61,2,FALSE)</f>
        <v>0</v>
      </c>
      <c r="CZ98" s="1225">
        <f>$G98*AE98*Variables!$B$53*HLOOKUP($CO$2,Variables!$B$60:$F$61,2,FALSE)</f>
        <v>0</v>
      </c>
      <c r="DA98" s="1222">
        <f>$G98*AF98*Variables!$B$53*HLOOKUP($DA$2,Variables!$B$60:$F$61,2,FALSE)</f>
        <v>0</v>
      </c>
      <c r="DB98" s="1223">
        <f>$G98*AG98*Variables!$B$53*HLOOKUP($DA$2,Variables!$B$60:$F$61,2,FALSE)</f>
        <v>0</v>
      </c>
      <c r="DC98" s="1223">
        <f>$G98*AH98*Variables!$B$53*HLOOKUP($DA$2,Variables!$B$60:$F$61,2,FALSE)</f>
        <v>0</v>
      </c>
      <c r="DD98" s="1223">
        <f>$G98*AI98*Variables!$B$53*HLOOKUP($DA$2,Variables!$B$60:$F$61,2,FALSE)</f>
        <v>0</v>
      </c>
      <c r="DE98" s="1223">
        <f>$G98*AJ98*Variables!$B$53*HLOOKUP($DA$2,Variables!$B$60:$F$61,2,FALSE)</f>
        <v>0</v>
      </c>
      <c r="DF98" s="1223">
        <f>$G98*AK98*Variables!$B$53*HLOOKUP($DA$2,Variables!$B$60:$F$61,2,FALSE)</f>
        <v>0</v>
      </c>
      <c r="DG98" s="1223">
        <f>$G98*AL98*Variables!$B$53*HLOOKUP($DA$2,Variables!$B$60:$F$61,2,FALSE)</f>
        <v>0</v>
      </c>
      <c r="DH98" s="1223">
        <f>$G98*AM98*Variables!$B$53*HLOOKUP($DA$2,Variables!$B$60:$F$61,2,FALSE)</f>
        <v>0</v>
      </c>
      <c r="DI98" s="1223">
        <f>$G98*AN98*Variables!$B$53*HLOOKUP($DA$2,Variables!$B$60:$F$61,2,FALSE)</f>
        <v>0</v>
      </c>
      <c r="DJ98" s="1223">
        <f>$G98*AO98*Variables!$B$53*HLOOKUP($DA$2,Variables!$B$60:$F$61,2,FALSE)</f>
        <v>0</v>
      </c>
      <c r="DK98" s="1223">
        <f>$G98*AP98*Variables!$B$53*HLOOKUP($DA$2,Variables!$B$60:$F$61,2,FALSE)</f>
        <v>0</v>
      </c>
      <c r="DL98" s="1225">
        <f>$G98*AQ98*Variables!$B$53*HLOOKUP($DA$2,Variables!$B$60:$F$61,2,FALSE)</f>
        <v>0</v>
      </c>
      <c r="DM98" s="1222">
        <f>$G98*AR98*Variables!$B$53*HLOOKUP($DM$2,Variables!$B$60:$F$61,2,FALSE)</f>
        <v>0</v>
      </c>
      <c r="DN98" s="1223">
        <f>$G98*AS98*Variables!$B$53*HLOOKUP($DM$2,Variables!$B$60:$F$61,2,FALSE)</f>
        <v>0</v>
      </c>
      <c r="DO98" s="1223">
        <f>$G98*AT98*Variables!$B$53*HLOOKUP($DM$2,Variables!$B$60:$F$61,2,FALSE)</f>
        <v>0</v>
      </c>
      <c r="DP98" s="1223">
        <f>$G98*AU98*Variables!$B$53*HLOOKUP($DM$2,Variables!$B$60:$F$61,2,FALSE)</f>
        <v>0</v>
      </c>
      <c r="DQ98" s="1223">
        <f>$G98*AV98*Variables!$B$53*HLOOKUP($DM$2,Variables!$B$60:$F$61,2,FALSE)</f>
        <v>0</v>
      </c>
      <c r="DR98" s="1223">
        <f>$G98*AW98*Variables!$B$53*HLOOKUP($DM$2,Variables!$B$60:$F$61,2,FALSE)</f>
        <v>0</v>
      </c>
      <c r="DS98" s="1223">
        <f>$G98*AX98*Variables!$B$53*HLOOKUP($DM$2,Variables!$B$60:$F$61,2,FALSE)</f>
        <v>0</v>
      </c>
      <c r="DT98" s="1223">
        <f>$G98*AY98*Variables!$B$53*HLOOKUP($DM$2,Variables!$B$60:$F$61,2,FALSE)</f>
        <v>0</v>
      </c>
      <c r="DU98" s="1223">
        <f>$G98*AZ98*Variables!$B$53*HLOOKUP($DM$2,Variables!$B$60:$F$61,2,FALSE)</f>
        <v>0</v>
      </c>
      <c r="DV98" s="1223">
        <f>$G98*BA98*Variables!$B$53*HLOOKUP($DM$2,Variables!$B$60:$F$61,2,FALSE)</f>
        <v>0</v>
      </c>
      <c r="DW98" s="1223">
        <f>$G98*BB98*Variables!$B$53*HLOOKUP($DM$2,Variables!$B$60:$F$61,2,FALSE)</f>
        <v>0</v>
      </c>
      <c r="DX98" s="1225">
        <f>$G98*BC98*Variables!$B$53*HLOOKUP($DM$2,Variables!$B$60:$F$61,2,FALSE)</f>
        <v>0</v>
      </c>
      <c r="DY98" s="1222">
        <f>$G98*BD98*Variables!$B$53*HLOOKUP($DY$2,Variables!$B$60:$F$61,2,FALSE)</f>
        <v>0</v>
      </c>
      <c r="DZ98" s="1223">
        <f>$G98*BE98*Variables!$B$53*HLOOKUP($DY$2,Variables!$B$60:$F$61,2,FALSE)</f>
        <v>0</v>
      </c>
      <c r="EA98" s="1223">
        <f>$G98*BF98*Variables!$B$53*HLOOKUP($DY$2,Variables!$B$60:$F$61,2,FALSE)</f>
        <v>0</v>
      </c>
      <c r="EB98" s="1223">
        <f>$G98*BG98*Variables!$B$53*HLOOKUP($DY$2,Variables!$B$60:$F$61,2,FALSE)</f>
        <v>0</v>
      </c>
      <c r="EC98" s="1223">
        <f>$G98*BH98*Variables!$B$53*HLOOKUP($DY$2,Variables!$B$60:$F$61,2,FALSE)</f>
        <v>0</v>
      </c>
      <c r="ED98" s="1223">
        <f>$G98*BI98*Variables!$B$53*HLOOKUP($DY$2,Variables!$B$60:$F$61,2,FALSE)</f>
        <v>0</v>
      </c>
      <c r="EE98" s="1223">
        <f>$G98*BJ98*Variables!$B$53*HLOOKUP($DY$2,Variables!$B$60:$F$61,2,FALSE)</f>
        <v>0</v>
      </c>
      <c r="EF98" s="1223">
        <f>$G98*BK98*Variables!$B$53*HLOOKUP($DY$2,Variables!$B$60:$F$61,2,FALSE)</f>
        <v>0</v>
      </c>
      <c r="EG98" s="1223">
        <f>$G98*BL98*Variables!$B$53*HLOOKUP($DY$2,Variables!$B$60:$F$61,2,FALSE)</f>
        <v>0</v>
      </c>
      <c r="EH98" s="1223">
        <f>$G98*BM98*Variables!$B$53*HLOOKUP($DY$2,Variables!$B$60:$F$61,2,FALSE)</f>
        <v>0</v>
      </c>
      <c r="EI98" s="1223">
        <f>$G98*BN98*Variables!$B$53*HLOOKUP($DY$2,Variables!$B$60:$F$61,2,FALSE)</f>
        <v>0</v>
      </c>
      <c r="EJ98" s="1225">
        <f>$G98*BO98*Variables!$B$53*HLOOKUP($DY$2,Variables!$B$60:$F$61,2,FALSE)</f>
        <v>0</v>
      </c>
      <c r="EK98" s="1222">
        <f>$G98*BP98*Variables!$B$53*HLOOKUP($EK$2,Variables!$B$60:$F$61,2,FALSE)</f>
        <v>0</v>
      </c>
      <c r="EL98" s="1223">
        <f>$G98*BQ98*Variables!$B$53*HLOOKUP($EK$2,Variables!$B$60:$F$61,2,FALSE)</f>
        <v>0</v>
      </c>
      <c r="EM98" s="1223">
        <f>$G98*BR98*Variables!$B$53*HLOOKUP($EK$2,Variables!$B$60:$F$61,2,FALSE)</f>
        <v>0</v>
      </c>
      <c r="EN98" s="1223">
        <f>$G98*BS98*Variables!$B$53*HLOOKUP($EK$2,Variables!$B$60:$F$61,2,FALSE)</f>
        <v>0</v>
      </c>
      <c r="EO98" s="1223">
        <f>$G98*BT98*Variables!$B$53*HLOOKUP($EK$2,Variables!$B$60:$F$61,2,FALSE)</f>
        <v>0</v>
      </c>
      <c r="EP98" s="1223">
        <f>$G98*BU98*Variables!$B$53*HLOOKUP($EK$2,Variables!$B$60:$F$61,2,FALSE)</f>
        <v>0</v>
      </c>
      <c r="EQ98" s="1223">
        <f>$G98*BV98*Variables!$B$53*HLOOKUP($EK$2,Variables!$B$60:$F$61,2,FALSE)</f>
        <v>0</v>
      </c>
      <c r="ER98" s="1223">
        <f>$G98*BW98*Variables!$B$53*HLOOKUP($EK$2,Variables!$B$60:$F$61,2,FALSE)</f>
        <v>0</v>
      </c>
      <c r="ES98" s="1223">
        <f>$G98*BX98*Variables!$B$53*HLOOKUP($EK$2,Variables!$B$60:$F$61,2,FALSE)</f>
        <v>0</v>
      </c>
      <c r="ET98" s="1223">
        <f>$G98*BY98*Variables!$B$53*HLOOKUP($EK$2,Variables!$B$60:$F$61,2,FALSE)</f>
        <v>0</v>
      </c>
      <c r="EU98" s="1223">
        <f>$G98*BZ98*Variables!$B$53*HLOOKUP($EK$2,Variables!$B$60:$F$61,2,FALSE)</f>
        <v>0</v>
      </c>
      <c r="EV98" s="1225">
        <f>$G98*CA98*Variables!$B$53*HLOOKUP($EK$2,Variables!$B$60:$F$61,2,FALSE)</f>
        <v>0</v>
      </c>
      <c r="EW98" s="872">
        <f t="shared" si="15"/>
        <v>0</v>
      </c>
      <c r="EX98" s="872"/>
      <c r="EY98" s="872"/>
      <c r="EZ98" s="872"/>
      <c r="FA98" s="1332"/>
      <c r="FC98" s="958" t="str">
        <f t="shared" si="11"/>
        <v/>
      </c>
      <c r="FD98" s="959" t="str">
        <f t="shared" si="12"/>
        <v/>
      </c>
      <c r="FE98" s="959" t="s">
        <v>8407</v>
      </c>
      <c r="FF98" s="959" t="str">
        <f>IF(ISNA(VLOOKUP(FC98,Miscellaneous!E:F,2,0)),"",VLOOKUP(FC98,Miscellaneous!E:F,2,0))</f>
        <v/>
      </c>
      <c r="FG98" s="959" t="str">
        <f t="shared" si="13"/>
        <v/>
      </c>
      <c r="FH98" s="996">
        <f>IF($FG98="Opex",SUMIF('Monthly Summary'!$C$75:$N$75,"",CC98:CN98),SUMIF('Monthly Summary'!$C$74:$N$74,"",CC98:CN98))</f>
        <v>0</v>
      </c>
      <c r="FI98" s="996">
        <f>IF($FG98="Opex",SUMIF('Monthly Summary'!$O$75:$Z$75,"",CO98:CZ98),SUMIF('Monthly Summary'!$O$74:$Z$74,"",CO98:CZ98))</f>
        <v>0</v>
      </c>
      <c r="FJ98" s="996">
        <f>IF($FG98="Opex",SUMIF('Monthly Summary'!$AA$75:$AL$75,"",DA98:DL98),SUMIF('Monthly Summary'!$AA$74:$AL$74,"",DA98:DL98))</f>
        <v>0</v>
      </c>
      <c r="FK98" s="996">
        <f>IF($FG98="Opex",SUMIF('Monthly Summary'!$AM$75:$AX$75,"",DM98:DX98),SUMIF('Monthly Summary'!$AM$74:$AX$74,"",DM98:DX98))</f>
        <v>0</v>
      </c>
      <c r="FL98" s="996">
        <f>IF($FG98="Opex",SUMIF('Monthly Summary'!$AY$75:$BJ$75,"",DY98:EJ98),SUMIF('Monthly Summary'!$AY$74:$BJ$74,"",DY98:EJ98))</f>
        <v>0</v>
      </c>
      <c r="FM98" s="997">
        <f>IF($FG98="Opex",SUMIF('Monthly Summary'!$BK$75:$BV$75,"",EK98:EV98),SUMIF('Monthly Summary'!$BK$74:$BV$74,"",EK98:EV98))</f>
        <v>0</v>
      </c>
      <c r="FN98" s="997">
        <f t="shared" si="14"/>
        <v>0</v>
      </c>
    </row>
    <row r="99" spans="3:170">
      <c r="C99" s="757"/>
      <c r="D99" s="757"/>
      <c r="E99" s="758"/>
      <c r="F99" s="758"/>
      <c r="G99" s="758"/>
      <c r="H99" s="1215"/>
      <c r="I99" s="761"/>
      <c r="J99" s="761"/>
      <c r="K99" s="761"/>
      <c r="L99" s="761"/>
      <c r="M99" s="761"/>
      <c r="N99" s="761"/>
      <c r="O99" s="761"/>
      <c r="P99" s="761"/>
      <c r="Q99" s="761"/>
      <c r="R99" s="761"/>
      <c r="S99" s="1216"/>
      <c r="T99" s="1215"/>
      <c r="U99" s="761"/>
      <c r="V99" s="761"/>
      <c r="W99" s="761"/>
      <c r="X99" s="761"/>
      <c r="Y99" s="761"/>
      <c r="Z99" s="761"/>
      <c r="AA99" s="761"/>
      <c r="AB99" s="761"/>
      <c r="AC99" s="761"/>
      <c r="AD99" s="761"/>
      <c r="AE99" s="1216"/>
      <c r="AF99" s="1215"/>
      <c r="AG99" s="761"/>
      <c r="AH99" s="761"/>
      <c r="AI99" s="761"/>
      <c r="AJ99" s="761"/>
      <c r="AK99" s="761"/>
      <c r="AL99" s="761"/>
      <c r="AM99" s="761"/>
      <c r="AN99" s="761"/>
      <c r="AO99" s="761"/>
      <c r="AP99" s="761"/>
      <c r="AQ99" s="1216"/>
      <c r="AR99" s="1215"/>
      <c r="AS99" s="761"/>
      <c r="AT99" s="761"/>
      <c r="AU99" s="761"/>
      <c r="AV99" s="761"/>
      <c r="AW99" s="761"/>
      <c r="AX99" s="761"/>
      <c r="AY99" s="761"/>
      <c r="AZ99" s="761"/>
      <c r="BA99" s="761"/>
      <c r="BB99" s="761"/>
      <c r="BC99" s="1216"/>
      <c r="BD99" s="1215"/>
      <c r="BE99" s="761"/>
      <c r="BF99" s="761"/>
      <c r="BG99" s="761"/>
      <c r="BH99" s="761"/>
      <c r="BI99" s="761"/>
      <c r="BJ99" s="761"/>
      <c r="BK99" s="761"/>
      <c r="BL99" s="761"/>
      <c r="BM99" s="761"/>
      <c r="BN99" s="761"/>
      <c r="BO99" s="1216"/>
      <c r="BP99" s="1215"/>
      <c r="BQ99" s="761"/>
      <c r="BR99" s="761"/>
      <c r="BS99" s="761"/>
      <c r="BT99" s="761"/>
      <c r="BU99" s="761"/>
      <c r="BV99" s="761"/>
      <c r="BW99" s="761"/>
      <c r="BX99" s="761"/>
      <c r="BY99" s="761"/>
      <c r="BZ99" s="761"/>
      <c r="CA99" s="1216"/>
      <c r="CB99" s="747"/>
      <c r="CC99" s="1222">
        <f>$G99*H99*Variables!$B$53</f>
        <v>0</v>
      </c>
      <c r="CD99" s="1223">
        <f>$G99*I99*Variables!$B$53</f>
        <v>0</v>
      </c>
      <c r="CE99" s="1223">
        <f>$G99*J99*Variables!$B$53</f>
        <v>0</v>
      </c>
      <c r="CF99" s="1223">
        <f>$G99*K99*Variables!$B$53</f>
        <v>0</v>
      </c>
      <c r="CG99" s="1223">
        <f>$G99*L99*Variables!$B$53</f>
        <v>0</v>
      </c>
      <c r="CH99" s="1223">
        <f>$G99*M99*Variables!$B$53</f>
        <v>0</v>
      </c>
      <c r="CI99" s="1223">
        <f>$G99*N99*Variables!$B$53</f>
        <v>0</v>
      </c>
      <c r="CJ99" s="1223">
        <f>$G99*O99*Variables!$B$53</f>
        <v>0</v>
      </c>
      <c r="CK99" s="1223">
        <f>$G99*P99*Variables!$B$53</f>
        <v>0</v>
      </c>
      <c r="CL99" s="1223">
        <f>$G99*Q99*Variables!$B$53</f>
        <v>0</v>
      </c>
      <c r="CM99" s="1223">
        <f>$G99*R99*Variables!$B$53</f>
        <v>0</v>
      </c>
      <c r="CN99" s="1225">
        <f>$G99*S99*Variables!$B$53</f>
        <v>0</v>
      </c>
      <c r="CO99" s="1222">
        <f>$G99*T99*Variables!$B$53*HLOOKUP($CO$2,Variables!$B$60:$F$61,2,FALSE)</f>
        <v>0</v>
      </c>
      <c r="CP99" s="1223">
        <f>$G99*U99*Variables!$B$53*HLOOKUP($CO$2,Variables!$B$60:$F$61,2,FALSE)</f>
        <v>0</v>
      </c>
      <c r="CQ99" s="1223">
        <f>$G99*V99*Variables!$B$53*HLOOKUP($CO$2,Variables!$B$60:$F$61,2,FALSE)</f>
        <v>0</v>
      </c>
      <c r="CR99" s="1223">
        <f>$G99*W99*Variables!$B$53*HLOOKUP($CO$2,Variables!$B$60:$F$61,2,FALSE)</f>
        <v>0</v>
      </c>
      <c r="CS99" s="1223">
        <f>$G99*X99*Variables!$B$53*HLOOKUP($CO$2,Variables!$B$60:$F$61,2,FALSE)</f>
        <v>0</v>
      </c>
      <c r="CT99" s="1223">
        <f>$G99*Y99*Variables!$B$53*HLOOKUP($CO$2,Variables!$B$60:$F$61,2,FALSE)</f>
        <v>0</v>
      </c>
      <c r="CU99" s="1223">
        <f>$G99*Z99*Variables!$B$53*HLOOKUP($CO$2,Variables!$B$60:$F$61,2,FALSE)</f>
        <v>0</v>
      </c>
      <c r="CV99" s="1223">
        <f>$G99*AA99*Variables!$B$53*HLOOKUP($CO$2,Variables!$B$60:$F$61,2,FALSE)</f>
        <v>0</v>
      </c>
      <c r="CW99" s="1223">
        <f>$G99*AB99*Variables!$B$53*HLOOKUP($CO$2,Variables!$B$60:$F$61,2,FALSE)</f>
        <v>0</v>
      </c>
      <c r="CX99" s="1223">
        <f>$G99*AC99*Variables!$B$53*HLOOKUP($CO$2,Variables!$B$60:$F$61,2,FALSE)</f>
        <v>0</v>
      </c>
      <c r="CY99" s="1223">
        <f>$G99*AD99*Variables!$B$53*HLOOKUP($CO$2,Variables!$B$60:$F$61,2,FALSE)</f>
        <v>0</v>
      </c>
      <c r="CZ99" s="1225">
        <f>$G99*AE99*Variables!$B$53*HLOOKUP($CO$2,Variables!$B$60:$F$61,2,FALSE)</f>
        <v>0</v>
      </c>
      <c r="DA99" s="1222">
        <f>$G99*AF99*Variables!$B$53*HLOOKUP($DA$2,Variables!$B$60:$F$61,2,FALSE)</f>
        <v>0</v>
      </c>
      <c r="DB99" s="1223">
        <f>$G99*AG99*Variables!$B$53*HLOOKUP($DA$2,Variables!$B$60:$F$61,2,FALSE)</f>
        <v>0</v>
      </c>
      <c r="DC99" s="1223">
        <f>$G99*AH99*Variables!$B$53*HLOOKUP($DA$2,Variables!$B$60:$F$61,2,FALSE)</f>
        <v>0</v>
      </c>
      <c r="DD99" s="1223">
        <f>$G99*AI99*Variables!$B$53*HLOOKUP($DA$2,Variables!$B$60:$F$61,2,FALSE)</f>
        <v>0</v>
      </c>
      <c r="DE99" s="1223">
        <f>$G99*AJ99*Variables!$B$53*HLOOKUP($DA$2,Variables!$B$60:$F$61,2,FALSE)</f>
        <v>0</v>
      </c>
      <c r="DF99" s="1223">
        <f>$G99*AK99*Variables!$B$53*HLOOKUP($DA$2,Variables!$B$60:$F$61,2,FALSE)</f>
        <v>0</v>
      </c>
      <c r="DG99" s="1223">
        <f>$G99*AL99*Variables!$B$53*HLOOKUP($DA$2,Variables!$B$60:$F$61,2,FALSE)</f>
        <v>0</v>
      </c>
      <c r="DH99" s="1223">
        <f>$G99*AM99*Variables!$B$53*HLOOKUP($DA$2,Variables!$B$60:$F$61,2,FALSE)</f>
        <v>0</v>
      </c>
      <c r="DI99" s="1223">
        <f>$G99*AN99*Variables!$B$53*HLOOKUP($DA$2,Variables!$B$60:$F$61,2,FALSE)</f>
        <v>0</v>
      </c>
      <c r="DJ99" s="1223">
        <f>$G99*AO99*Variables!$B$53*HLOOKUP($DA$2,Variables!$B$60:$F$61,2,FALSE)</f>
        <v>0</v>
      </c>
      <c r="DK99" s="1223">
        <f>$G99*AP99*Variables!$B$53*HLOOKUP($DA$2,Variables!$B$60:$F$61,2,FALSE)</f>
        <v>0</v>
      </c>
      <c r="DL99" s="1225">
        <f>$G99*AQ99*Variables!$B$53*HLOOKUP($DA$2,Variables!$B$60:$F$61,2,FALSE)</f>
        <v>0</v>
      </c>
      <c r="DM99" s="1222">
        <f>$G99*AR99*Variables!$B$53*HLOOKUP($DM$2,Variables!$B$60:$F$61,2,FALSE)</f>
        <v>0</v>
      </c>
      <c r="DN99" s="1223">
        <f>$G99*AS99*Variables!$B$53*HLOOKUP($DM$2,Variables!$B$60:$F$61,2,FALSE)</f>
        <v>0</v>
      </c>
      <c r="DO99" s="1223">
        <f>$G99*AT99*Variables!$B$53*HLOOKUP($DM$2,Variables!$B$60:$F$61,2,FALSE)</f>
        <v>0</v>
      </c>
      <c r="DP99" s="1223">
        <f>$G99*AU99*Variables!$B$53*HLOOKUP($DM$2,Variables!$B$60:$F$61,2,FALSE)</f>
        <v>0</v>
      </c>
      <c r="DQ99" s="1223">
        <f>$G99*AV99*Variables!$B$53*HLOOKUP($DM$2,Variables!$B$60:$F$61,2,FALSE)</f>
        <v>0</v>
      </c>
      <c r="DR99" s="1223">
        <f>$G99*AW99*Variables!$B$53*HLOOKUP($DM$2,Variables!$B$60:$F$61,2,FALSE)</f>
        <v>0</v>
      </c>
      <c r="DS99" s="1223">
        <f>$G99*AX99*Variables!$B$53*HLOOKUP($DM$2,Variables!$B$60:$F$61,2,FALSE)</f>
        <v>0</v>
      </c>
      <c r="DT99" s="1223">
        <f>$G99*AY99*Variables!$B$53*HLOOKUP($DM$2,Variables!$B$60:$F$61,2,FALSE)</f>
        <v>0</v>
      </c>
      <c r="DU99" s="1223">
        <f>$G99*AZ99*Variables!$B$53*HLOOKUP($DM$2,Variables!$B$60:$F$61,2,FALSE)</f>
        <v>0</v>
      </c>
      <c r="DV99" s="1223">
        <f>$G99*BA99*Variables!$B$53*HLOOKUP($DM$2,Variables!$B$60:$F$61,2,FALSE)</f>
        <v>0</v>
      </c>
      <c r="DW99" s="1223">
        <f>$G99*BB99*Variables!$B$53*HLOOKUP($DM$2,Variables!$B$60:$F$61,2,FALSE)</f>
        <v>0</v>
      </c>
      <c r="DX99" s="1225">
        <f>$G99*BC99*Variables!$B$53*HLOOKUP($DM$2,Variables!$B$60:$F$61,2,FALSE)</f>
        <v>0</v>
      </c>
      <c r="DY99" s="1222">
        <f>$G99*BD99*Variables!$B$53*HLOOKUP($DY$2,Variables!$B$60:$F$61,2,FALSE)</f>
        <v>0</v>
      </c>
      <c r="DZ99" s="1223">
        <f>$G99*BE99*Variables!$B$53*HLOOKUP($DY$2,Variables!$B$60:$F$61,2,FALSE)</f>
        <v>0</v>
      </c>
      <c r="EA99" s="1223">
        <f>$G99*BF99*Variables!$B$53*HLOOKUP($DY$2,Variables!$B$60:$F$61,2,FALSE)</f>
        <v>0</v>
      </c>
      <c r="EB99" s="1223">
        <f>$G99*BG99*Variables!$B$53*HLOOKUP($DY$2,Variables!$B$60:$F$61,2,FALSE)</f>
        <v>0</v>
      </c>
      <c r="EC99" s="1223">
        <f>$G99*BH99*Variables!$B$53*HLOOKUP($DY$2,Variables!$B$60:$F$61,2,FALSE)</f>
        <v>0</v>
      </c>
      <c r="ED99" s="1223">
        <f>$G99*BI99*Variables!$B$53*HLOOKUP($DY$2,Variables!$B$60:$F$61,2,FALSE)</f>
        <v>0</v>
      </c>
      <c r="EE99" s="1223">
        <f>$G99*BJ99*Variables!$B$53*HLOOKUP($DY$2,Variables!$B$60:$F$61,2,FALSE)</f>
        <v>0</v>
      </c>
      <c r="EF99" s="1223">
        <f>$G99*BK99*Variables!$B$53*HLOOKUP($DY$2,Variables!$B$60:$F$61,2,FALSE)</f>
        <v>0</v>
      </c>
      <c r="EG99" s="1223">
        <f>$G99*BL99*Variables!$B$53*HLOOKUP($DY$2,Variables!$B$60:$F$61,2,FALSE)</f>
        <v>0</v>
      </c>
      <c r="EH99" s="1223">
        <f>$G99*BM99*Variables!$B$53*HLOOKUP($DY$2,Variables!$B$60:$F$61,2,FALSE)</f>
        <v>0</v>
      </c>
      <c r="EI99" s="1223">
        <f>$G99*BN99*Variables!$B$53*HLOOKUP($DY$2,Variables!$B$60:$F$61,2,FALSE)</f>
        <v>0</v>
      </c>
      <c r="EJ99" s="1225">
        <f>$G99*BO99*Variables!$B$53*HLOOKUP($DY$2,Variables!$B$60:$F$61,2,FALSE)</f>
        <v>0</v>
      </c>
      <c r="EK99" s="1222">
        <f>$G99*BP99*Variables!$B$53*HLOOKUP($EK$2,Variables!$B$60:$F$61,2,FALSE)</f>
        <v>0</v>
      </c>
      <c r="EL99" s="1223">
        <f>$G99*BQ99*Variables!$B$53*HLOOKUP($EK$2,Variables!$B$60:$F$61,2,FALSE)</f>
        <v>0</v>
      </c>
      <c r="EM99" s="1223">
        <f>$G99*BR99*Variables!$B$53*HLOOKUP($EK$2,Variables!$B$60:$F$61,2,FALSE)</f>
        <v>0</v>
      </c>
      <c r="EN99" s="1223">
        <f>$G99*BS99*Variables!$B$53*HLOOKUP($EK$2,Variables!$B$60:$F$61,2,FALSE)</f>
        <v>0</v>
      </c>
      <c r="EO99" s="1223">
        <f>$G99*BT99*Variables!$B$53*HLOOKUP($EK$2,Variables!$B$60:$F$61,2,FALSE)</f>
        <v>0</v>
      </c>
      <c r="EP99" s="1223">
        <f>$G99*BU99*Variables!$B$53*HLOOKUP($EK$2,Variables!$B$60:$F$61,2,FALSE)</f>
        <v>0</v>
      </c>
      <c r="EQ99" s="1223">
        <f>$G99*BV99*Variables!$B$53*HLOOKUP($EK$2,Variables!$B$60:$F$61,2,FALSE)</f>
        <v>0</v>
      </c>
      <c r="ER99" s="1223">
        <f>$G99*BW99*Variables!$B$53*HLOOKUP($EK$2,Variables!$B$60:$F$61,2,FALSE)</f>
        <v>0</v>
      </c>
      <c r="ES99" s="1223">
        <f>$G99*BX99*Variables!$B$53*HLOOKUP($EK$2,Variables!$B$60:$F$61,2,FALSE)</f>
        <v>0</v>
      </c>
      <c r="ET99" s="1223">
        <f>$G99*BY99*Variables!$B$53*HLOOKUP($EK$2,Variables!$B$60:$F$61,2,FALSE)</f>
        <v>0</v>
      </c>
      <c r="EU99" s="1223">
        <f>$G99*BZ99*Variables!$B$53*HLOOKUP($EK$2,Variables!$B$60:$F$61,2,FALSE)</f>
        <v>0</v>
      </c>
      <c r="EV99" s="1225">
        <f>$G99*CA99*Variables!$B$53*HLOOKUP($EK$2,Variables!$B$60:$F$61,2,FALSE)</f>
        <v>0</v>
      </c>
      <c r="EW99" s="872">
        <f t="shared" si="15"/>
        <v>0</v>
      </c>
      <c r="EX99" s="872"/>
      <c r="EY99" s="872"/>
      <c r="EZ99" s="872"/>
      <c r="FA99" s="1332"/>
      <c r="FC99" s="958" t="str">
        <f t="shared" si="11"/>
        <v/>
      </c>
      <c r="FD99" s="959" t="str">
        <f t="shared" si="12"/>
        <v/>
      </c>
      <c r="FE99" s="959" t="s">
        <v>8407</v>
      </c>
      <c r="FF99" s="959" t="str">
        <f>IF(ISNA(VLOOKUP(FC99,Miscellaneous!E:F,2,0)),"",VLOOKUP(FC99,Miscellaneous!E:F,2,0))</f>
        <v/>
      </c>
      <c r="FG99" s="959" t="str">
        <f t="shared" si="13"/>
        <v/>
      </c>
      <c r="FH99" s="996">
        <f>IF($FG99="Opex",SUMIF('Monthly Summary'!$C$75:$N$75,"",CC99:CN99),SUMIF('Monthly Summary'!$C$74:$N$74,"",CC99:CN99))</f>
        <v>0</v>
      </c>
      <c r="FI99" s="996">
        <f>IF($FG99="Opex",SUMIF('Monthly Summary'!$O$75:$Z$75,"",CO99:CZ99),SUMIF('Monthly Summary'!$O$74:$Z$74,"",CO99:CZ99))</f>
        <v>0</v>
      </c>
      <c r="FJ99" s="996">
        <f>IF($FG99="Opex",SUMIF('Monthly Summary'!$AA$75:$AL$75,"",DA99:DL99),SUMIF('Monthly Summary'!$AA$74:$AL$74,"",DA99:DL99))</f>
        <v>0</v>
      </c>
      <c r="FK99" s="996">
        <f>IF($FG99="Opex",SUMIF('Monthly Summary'!$AM$75:$AX$75,"",DM99:DX99),SUMIF('Monthly Summary'!$AM$74:$AX$74,"",DM99:DX99))</f>
        <v>0</v>
      </c>
      <c r="FL99" s="996">
        <f>IF($FG99="Opex",SUMIF('Monthly Summary'!$AY$75:$BJ$75,"",DY99:EJ99),SUMIF('Monthly Summary'!$AY$74:$BJ$74,"",DY99:EJ99))</f>
        <v>0</v>
      </c>
      <c r="FM99" s="997">
        <f>IF($FG99="Opex",SUMIF('Monthly Summary'!$BK$75:$BV$75,"",EK99:EV99),SUMIF('Monthly Summary'!$BK$74:$BV$74,"",EK99:EV99))</f>
        <v>0</v>
      </c>
      <c r="FN99" s="997">
        <f t="shared" si="14"/>
        <v>0</v>
      </c>
    </row>
    <row r="100" spans="3:170">
      <c r="C100" s="757"/>
      <c r="D100" s="757"/>
      <c r="E100" s="758"/>
      <c r="F100" s="758"/>
      <c r="G100" s="758"/>
      <c r="H100" s="1215"/>
      <c r="I100" s="761"/>
      <c r="J100" s="761"/>
      <c r="K100" s="761"/>
      <c r="L100" s="761"/>
      <c r="M100" s="761"/>
      <c r="N100" s="761"/>
      <c r="O100" s="761"/>
      <c r="P100" s="761"/>
      <c r="Q100" s="761"/>
      <c r="R100" s="761"/>
      <c r="S100" s="1216"/>
      <c r="T100" s="1215"/>
      <c r="U100" s="761"/>
      <c r="V100" s="761"/>
      <c r="W100" s="761"/>
      <c r="X100" s="761"/>
      <c r="Y100" s="761"/>
      <c r="Z100" s="761"/>
      <c r="AA100" s="761"/>
      <c r="AB100" s="761"/>
      <c r="AC100" s="761"/>
      <c r="AD100" s="761"/>
      <c r="AE100" s="1216"/>
      <c r="AF100" s="1215"/>
      <c r="AG100" s="761"/>
      <c r="AH100" s="761"/>
      <c r="AI100" s="761"/>
      <c r="AJ100" s="761"/>
      <c r="AK100" s="761"/>
      <c r="AL100" s="761"/>
      <c r="AM100" s="761"/>
      <c r="AN100" s="761"/>
      <c r="AO100" s="761"/>
      <c r="AP100" s="761"/>
      <c r="AQ100" s="1216"/>
      <c r="AR100" s="1215"/>
      <c r="AS100" s="761"/>
      <c r="AT100" s="761"/>
      <c r="AU100" s="761"/>
      <c r="AV100" s="761"/>
      <c r="AW100" s="761"/>
      <c r="AX100" s="761"/>
      <c r="AY100" s="761"/>
      <c r="AZ100" s="761"/>
      <c r="BA100" s="761"/>
      <c r="BB100" s="761"/>
      <c r="BC100" s="1216"/>
      <c r="BD100" s="1215"/>
      <c r="BE100" s="761"/>
      <c r="BF100" s="761"/>
      <c r="BG100" s="761"/>
      <c r="BH100" s="761"/>
      <c r="BI100" s="761"/>
      <c r="BJ100" s="761"/>
      <c r="BK100" s="761"/>
      <c r="BL100" s="761"/>
      <c r="BM100" s="761"/>
      <c r="BN100" s="761"/>
      <c r="BO100" s="1216"/>
      <c r="BP100" s="1215"/>
      <c r="BQ100" s="761"/>
      <c r="BR100" s="761"/>
      <c r="BS100" s="761"/>
      <c r="BT100" s="761"/>
      <c r="BU100" s="761"/>
      <c r="BV100" s="761"/>
      <c r="BW100" s="761"/>
      <c r="BX100" s="761"/>
      <c r="BY100" s="761"/>
      <c r="BZ100" s="761"/>
      <c r="CA100" s="1216"/>
      <c r="CB100" s="747"/>
      <c r="CC100" s="1222">
        <f>$G100*H100*Variables!$B$53</f>
        <v>0</v>
      </c>
      <c r="CD100" s="1223">
        <f>$G100*I100*Variables!$B$53</f>
        <v>0</v>
      </c>
      <c r="CE100" s="1223">
        <f>$G100*J100*Variables!$B$53</f>
        <v>0</v>
      </c>
      <c r="CF100" s="1223">
        <f>$G100*K100*Variables!$B$53</f>
        <v>0</v>
      </c>
      <c r="CG100" s="1223">
        <f>$G100*L100*Variables!$B$53</f>
        <v>0</v>
      </c>
      <c r="CH100" s="1223">
        <f>$G100*M100*Variables!$B$53</f>
        <v>0</v>
      </c>
      <c r="CI100" s="1223">
        <f>$G100*N100*Variables!$B$53</f>
        <v>0</v>
      </c>
      <c r="CJ100" s="1223">
        <f>$G100*O100*Variables!$B$53</f>
        <v>0</v>
      </c>
      <c r="CK100" s="1223">
        <f>$G100*P100*Variables!$B$53</f>
        <v>0</v>
      </c>
      <c r="CL100" s="1223">
        <f>$G100*Q100*Variables!$B$53</f>
        <v>0</v>
      </c>
      <c r="CM100" s="1223">
        <f>$G100*R100*Variables!$B$53</f>
        <v>0</v>
      </c>
      <c r="CN100" s="1225">
        <f>$G100*S100*Variables!$B$53</f>
        <v>0</v>
      </c>
      <c r="CO100" s="1222">
        <f>$G100*T100*Variables!$B$53*HLOOKUP($CO$2,Variables!$B$60:$F$61,2,FALSE)</f>
        <v>0</v>
      </c>
      <c r="CP100" s="1223">
        <f>$G100*U100*Variables!$B$53*HLOOKUP($CO$2,Variables!$B$60:$F$61,2,FALSE)</f>
        <v>0</v>
      </c>
      <c r="CQ100" s="1223">
        <f>$G100*V100*Variables!$B$53*HLOOKUP($CO$2,Variables!$B$60:$F$61,2,FALSE)</f>
        <v>0</v>
      </c>
      <c r="CR100" s="1223">
        <f>$G100*W100*Variables!$B$53*HLOOKUP($CO$2,Variables!$B$60:$F$61,2,FALSE)</f>
        <v>0</v>
      </c>
      <c r="CS100" s="1223">
        <f>$G100*X100*Variables!$B$53*HLOOKUP($CO$2,Variables!$B$60:$F$61,2,FALSE)</f>
        <v>0</v>
      </c>
      <c r="CT100" s="1223">
        <f>$G100*Y100*Variables!$B$53*HLOOKUP($CO$2,Variables!$B$60:$F$61,2,FALSE)</f>
        <v>0</v>
      </c>
      <c r="CU100" s="1223">
        <f>$G100*Z100*Variables!$B$53*HLOOKUP($CO$2,Variables!$B$60:$F$61,2,FALSE)</f>
        <v>0</v>
      </c>
      <c r="CV100" s="1223">
        <f>$G100*AA100*Variables!$B$53*HLOOKUP($CO$2,Variables!$B$60:$F$61,2,FALSE)</f>
        <v>0</v>
      </c>
      <c r="CW100" s="1223">
        <f>$G100*AB100*Variables!$B$53*HLOOKUP($CO$2,Variables!$B$60:$F$61,2,FALSE)</f>
        <v>0</v>
      </c>
      <c r="CX100" s="1223">
        <f>$G100*AC100*Variables!$B$53*HLOOKUP($CO$2,Variables!$B$60:$F$61,2,FALSE)</f>
        <v>0</v>
      </c>
      <c r="CY100" s="1223">
        <f>$G100*AD100*Variables!$B$53*HLOOKUP($CO$2,Variables!$B$60:$F$61,2,FALSE)</f>
        <v>0</v>
      </c>
      <c r="CZ100" s="1225">
        <f>$G100*AE100*Variables!$B$53*HLOOKUP($CO$2,Variables!$B$60:$F$61,2,FALSE)</f>
        <v>0</v>
      </c>
      <c r="DA100" s="1222">
        <f>$G100*AF100*Variables!$B$53*HLOOKUP($DA$2,Variables!$B$60:$F$61,2,FALSE)</f>
        <v>0</v>
      </c>
      <c r="DB100" s="1223">
        <f>$G100*AG100*Variables!$B$53*HLOOKUP($DA$2,Variables!$B$60:$F$61,2,FALSE)</f>
        <v>0</v>
      </c>
      <c r="DC100" s="1223">
        <f>$G100*AH100*Variables!$B$53*HLOOKUP($DA$2,Variables!$B$60:$F$61,2,FALSE)</f>
        <v>0</v>
      </c>
      <c r="DD100" s="1223">
        <f>$G100*AI100*Variables!$B$53*HLOOKUP($DA$2,Variables!$B$60:$F$61,2,FALSE)</f>
        <v>0</v>
      </c>
      <c r="DE100" s="1223">
        <f>$G100*AJ100*Variables!$B$53*HLOOKUP($DA$2,Variables!$B$60:$F$61,2,FALSE)</f>
        <v>0</v>
      </c>
      <c r="DF100" s="1223">
        <f>$G100*AK100*Variables!$B$53*HLOOKUP($DA$2,Variables!$B$60:$F$61,2,FALSE)</f>
        <v>0</v>
      </c>
      <c r="DG100" s="1223">
        <f>$G100*AL100*Variables!$B$53*HLOOKUP($DA$2,Variables!$B$60:$F$61,2,FALSE)</f>
        <v>0</v>
      </c>
      <c r="DH100" s="1223">
        <f>$G100*AM100*Variables!$B$53*HLOOKUP($DA$2,Variables!$B$60:$F$61,2,FALSE)</f>
        <v>0</v>
      </c>
      <c r="DI100" s="1223">
        <f>$G100*AN100*Variables!$B$53*HLOOKUP($DA$2,Variables!$B$60:$F$61,2,FALSE)</f>
        <v>0</v>
      </c>
      <c r="DJ100" s="1223">
        <f>$G100*AO100*Variables!$B$53*HLOOKUP($DA$2,Variables!$B$60:$F$61,2,FALSE)</f>
        <v>0</v>
      </c>
      <c r="DK100" s="1223">
        <f>$G100*AP100*Variables!$B$53*HLOOKUP($DA$2,Variables!$B$60:$F$61,2,FALSE)</f>
        <v>0</v>
      </c>
      <c r="DL100" s="1225">
        <f>$G100*AQ100*Variables!$B$53*HLOOKUP($DA$2,Variables!$B$60:$F$61,2,FALSE)</f>
        <v>0</v>
      </c>
      <c r="DM100" s="1222">
        <f>$G100*AR100*Variables!$B$53*HLOOKUP($DM$2,Variables!$B$60:$F$61,2,FALSE)</f>
        <v>0</v>
      </c>
      <c r="DN100" s="1223">
        <f>$G100*AS100*Variables!$B$53*HLOOKUP($DM$2,Variables!$B$60:$F$61,2,FALSE)</f>
        <v>0</v>
      </c>
      <c r="DO100" s="1223">
        <f>$G100*AT100*Variables!$B$53*HLOOKUP($DM$2,Variables!$B$60:$F$61,2,FALSE)</f>
        <v>0</v>
      </c>
      <c r="DP100" s="1223">
        <f>$G100*AU100*Variables!$B$53*HLOOKUP($DM$2,Variables!$B$60:$F$61,2,FALSE)</f>
        <v>0</v>
      </c>
      <c r="DQ100" s="1223">
        <f>$G100*AV100*Variables!$B$53*HLOOKUP($DM$2,Variables!$B$60:$F$61,2,FALSE)</f>
        <v>0</v>
      </c>
      <c r="DR100" s="1223">
        <f>$G100*AW100*Variables!$B$53*HLOOKUP($DM$2,Variables!$B$60:$F$61,2,FALSE)</f>
        <v>0</v>
      </c>
      <c r="DS100" s="1223">
        <f>$G100*AX100*Variables!$B$53*HLOOKUP($DM$2,Variables!$B$60:$F$61,2,FALSE)</f>
        <v>0</v>
      </c>
      <c r="DT100" s="1223">
        <f>$G100*AY100*Variables!$B$53*HLOOKUP($DM$2,Variables!$B$60:$F$61,2,FALSE)</f>
        <v>0</v>
      </c>
      <c r="DU100" s="1223">
        <f>$G100*AZ100*Variables!$B$53*HLOOKUP($DM$2,Variables!$B$60:$F$61,2,FALSE)</f>
        <v>0</v>
      </c>
      <c r="DV100" s="1223">
        <f>$G100*BA100*Variables!$B$53*HLOOKUP($DM$2,Variables!$B$60:$F$61,2,FALSE)</f>
        <v>0</v>
      </c>
      <c r="DW100" s="1223">
        <f>$G100*BB100*Variables!$B$53*HLOOKUP($DM$2,Variables!$B$60:$F$61,2,FALSE)</f>
        <v>0</v>
      </c>
      <c r="DX100" s="1225">
        <f>$G100*BC100*Variables!$B$53*HLOOKUP($DM$2,Variables!$B$60:$F$61,2,FALSE)</f>
        <v>0</v>
      </c>
      <c r="DY100" s="1222">
        <f>$G100*BD100*Variables!$B$53*HLOOKUP($DY$2,Variables!$B$60:$F$61,2,FALSE)</f>
        <v>0</v>
      </c>
      <c r="DZ100" s="1223">
        <f>$G100*BE100*Variables!$B$53*HLOOKUP($DY$2,Variables!$B$60:$F$61,2,FALSE)</f>
        <v>0</v>
      </c>
      <c r="EA100" s="1223">
        <f>$G100*BF100*Variables!$B$53*HLOOKUP($DY$2,Variables!$B$60:$F$61,2,FALSE)</f>
        <v>0</v>
      </c>
      <c r="EB100" s="1223">
        <f>$G100*BG100*Variables!$B$53*HLOOKUP($DY$2,Variables!$B$60:$F$61,2,FALSE)</f>
        <v>0</v>
      </c>
      <c r="EC100" s="1223">
        <f>$G100*BH100*Variables!$B$53*HLOOKUP($DY$2,Variables!$B$60:$F$61,2,FALSE)</f>
        <v>0</v>
      </c>
      <c r="ED100" s="1223">
        <f>$G100*BI100*Variables!$B$53*HLOOKUP($DY$2,Variables!$B$60:$F$61,2,FALSE)</f>
        <v>0</v>
      </c>
      <c r="EE100" s="1223">
        <f>$G100*BJ100*Variables!$B$53*HLOOKUP($DY$2,Variables!$B$60:$F$61,2,FALSE)</f>
        <v>0</v>
      </c>
      <c r="EF100" s="1223">
        <f>$G100*BK100*Variables!$B$53*HLOOKUP($DY$2,Variables!$B$60:$F$61,2,FALSE)</f>
        <v>0</v>
      </c>
      <c r="EG100" s="1223">
        <f>$G100*BL100*Variables!$B$53*HLOOKUP($DY$2,Variables!$B$60:$F$61,2,FALSE)</f>
        <v>0</v>
      </c>
      <c r="EH100" s="1223">
        <f>$G100*BM100*Variables!$B$53*HLOOKUP($DY$2,Variables!$B$60:$F$61,2,FALSE)</f>
        <v>0</v>
      </c>
      <c r="EI100" s="1223">
        <f>$G100*BN100*Variables!$B$53*HLOOKUP($DY$2,Variables!$B$60:$F$61,2,FALSE)</f>
        <v>0</v>
      </c>
      <c r="EJ100" s="1225">
        <f>$G100*BO100*Variables!$B$53*HLOOKUP($DY$2,Variables!$B$60:$F$61,2,FALSE)</f>
        <v>0</v>
      </c>
      <c r="EK100" s="1222">
        <f>$G100*BP100*Variables!$B$53*HLOOKUP($EK$2,Variables!$B$60:$F$61,2,FALSE)</f>
        <v>0</v>
      </c>
      <c r="EL100" s="1223">
        <f>$G100*BQ100*Variables!$B$53*HLOOKUP($EK$2,Variables!$B$60:$F$61,2,FALSE)</f>
        <v>0</v>
      </c>
      <c r="EM100" s="1223">
        <f>$G100*BR100*Variables!$B$53*HLOOKUP($EK$2,Variables!$B$60:$F$61,2,FALSE)</f>
        <v>0</v>
      </c>
      <c r="EN100" s="1223">
        <f>$G100*BS100*Variables!$B$53*HLOOKUP($EK$2,Variables!$B$60:$F$61,2,FALSE)</f>
        <v>0</v>
      </c>
      <c r="EO100" s="1223">
        <f>$G100*BT100*Variables!$B$53*HLOOKUP($EK$2,Variables!$B$60:$F$61,2,FALSE)</f>
        <v>0</v>
      </c>
      <c r="EP100" s="1223">
        <f>$G100*BU100*Variables!$B$53*HLOOKUP($EK$2,Variables!$B$60:$F$61,2,FALSE)</f>
        <v>0</v>
      </c>
      <c r="EQ100" s="1223">
        <f>$G100*BV100*Variables!$B$53*HLOOKUP($EK$2,Variables!$B$60:$F$61,2,FALSE)</f>
        <v>0</v>
      </c>
      <c r="ER100" s="1223">
        <f>$G100*BW100*Variables!$B$53*HLOOKUP($EK$2,Variables!$B$60:$F$61,2,FALSE)</f>
        <v>0</v>
      </c>
      <c r="ES100" s="1223">
        <f>$G100*BX100*Variables!$B$53*HLOOKUP($EK$2,Variables!$B$60:$F$61,2,FALSE)</f>
        <v>0</v>
      </c>
      <c r="ET100" s="1223">
        <f>$G100*BY100*Variables!$B$53*HLOOKUP($EK$2,Variables!$B$60:$F$61,2,FALSE)</f>
        <v>0</v>
      </c>
      <c r="EU100" s="1223">
        <f>$G100*BZ100*Variables!$B$53*HLOOKUP($EK$2,Variables!$B$60:$F$61,2,FALSE)</f>
        <v>0</v>
      </c>
      <c r="EV100" s="1225">
        <f>$G100*CA100*Variables!$B$53*HLOOKUP($EK$2,Variables!$B$60:$F$61,2,FALSE)</f>
        <v>0</v>
      </c>
      <c r="EW100" s="872">
        <f t="shared" si="15"/>
        <v>0</v>
      </c>
      <c r="EX100" s="872"/>
      <c r="EY100" s="872"/>
      <c r="EZ100" s="872"/>
      <c r="FA100" s="1332"/>
      <c r="FC100" s="958" t="str">
        <f t="shared" si="11"/>
        <v/>
      </c>
      <c r="FD100" s="959" t="str">
        <f t="shared" si="12"/>
        <v/>
      </c>
      <c r="FE100" s="959" t="s">
        <v>8407</v>
      </c>
      <c r="FF100" s="959" t="str">
        <f>IF(ISNA(VLOOKUP(FC100,Miscellaneous!E:F,2,0)),"",VLOOKUP(FC100,Miscellaneous!E:F,2,0))</f>
        <v/>
      </c>
      <c r="FG100" s="959" t="str">
        <f t="shared" si="13"/>
        <v/>
      </c>
      <c r="FH100" s="996">
        <f>IF($FG100="Opex",SUMIF('Monthly Summary'!$C$75:$N$75,"",CC100:CN100),SUMIF('Monthly Summary'!$C$74:$N$74,"",CC100:CN100))</f>
        <v>0</v>
      </c>
      <c r="FI100" s="996">
        <f>IF($FG100="Opex",SUMIF('Monthly Summary'!$O$75:$Z$75,"",CO100:CZ100),SUMIF('Monthly Summary'!$O$74:$Z$74,"",CO100:CZ100))</f>
        <v>0</v>
      </c>
      <c r="FJ100" s="996">
        <f>IF($FG100="Opex",SUMIF('Monthly Summary'!$AA$75:$AL$75,"",DA100:DL100),SUMIF('Monthly Summary'!$AA$74:$AL$74,"",DA100:DL100))</f>
        <v>0</v>
      </c>
      <c r="FK100" s="996">
        <f>IF($FG100="Opex",SUMIF('Monthly Summary'!$AM$75:$AX$75,"",DM100:DX100),SUMIF('Monthly Summary'!$AM$74:$AX$74,"",DM100:DX100))</f>
        <v>0</v>
      </c>
      <c r="FL100" s="996">
        <f>IF($FG100="Opex",SUMIF('Monthly Summary'!$AY$75:$BJ$75,"",DY100:EJ100),SUMIF('Monthly Summary'!$AY$74:$BJ$74,"",DY100:EJ100))</f>
        <v>0</v>
      </c>
      <c r="FM100" s="997">
        <f>IF($FG100="Opex",SUMIF('Monthly Summary'!$BK$75:$BV$75,"",EK100:EV100),SUMIF('Monthly Summary'!$BK$74:$BV$74,"",EK100:EV100))</f>
        <v>0</v>
      </c>
      <c r="FN100" s="997">
        <f t="shared" si="14"/>
        <v>0</v>
      </c>
    </row>
    <row r="101" spans="3:170">
      <c r="C101" s="757"/>
      <c r="D101" s="757"/>
      <c r="E101" s="758"/>
      <c r="F101" s="758"/>
      <c r="G101" s="758"/>
      <c r="H101" s="1215"/>
      <c r="I101" s="761"/>
      <c r="J101" s="761"/>
      <c r="K101" s="761"/>
      <c r="L101" s="761"/>
      <c r="M101" s="761"/>
      <c r="N101" s="761"/>
      <c r="O101" s="761"/>
      <c r="P101" s="761"/>
      <c r="Q101" s="761"/>
      <c r="R101" s="761"/>
      <c r="S101" s="1216"/>
      <c r="T101" s="1215"/>
      <c r="U101" s="761"/>
      <c r="V101" s="761"/>
      <c r="W101" s="761"/>
      <c r="X101" s="761"/>
      <c r="Y101" s="761"/>
      <c r="Z101" s="761"/>
      <c r="AA101" s="761"/>
      <c r="AB101" s="761"/>
      <c r="AC101" s="761"/>
      <c r="AD101" s="761"/>
      <c r="AE101" s="1216"/>
      <c r="AF101" s="1215"/>
      <c r="AG101" s="761"/>
      <c r="AH101" s="761"/>
      <c r="AI101" s="761"/>
      <c r="AJ101" s="761"/>
      <c r="AK101" s="761"/>
      <c r="AL101" s="761"/>
      <c r="AM101" s="761"/>
      <c r="AN101" s="761"/>
      <c r="AO101" s="761"/>
      <c r="AP101" s="761"/>
      <c r="AQ101" s="1216"/>
      <c r="AR101" s="1215"/>
      <c r="AS101" s="761"/>
      <c r="AT101" s="761"/>
      <c r="AU101" s="761"/>
      <c r="AV101" s="761"/>
      <c r="AW101" s="761"/>
      <c r="AX101" s="761"/>
      <c r="AY101" s="761"/>
      <c r="AZ101" s="761"/>
      <c r="BA101" s="761"/>
      <c r="BB101" s="761"/>
      <c r="BC101" s="1216"/>
      <c r="BD101" s="1215"/>
      <c r="BE101" s="761"/>
      <c r="BF101" s="761"/>
      <c r="BG101" s="761"/>
      <c r="BH101" s="761"/>
      <c r="BI101" s="761"/>
      <c r="BJ101" s="761"/>
      <c r="BK101" s="761"/>
      <c r="BL101" s="761"/>
      <c r="BM101" s="761"/>
      <c r="BN101" s="761"/>
      <c r="BO101" s="1216"/>
      <c r="BP101" s="1215"/>
      <c r="BQ101" s="761"/>
      <c r="BR101" s="761"/>
      <c r="BS101" s="761"/>
      <c r="BT101" s="761"/>
      <c r="BU101" s="761"/>
      <c r="BV101" s="761"/>
      <c r="BW101" s="761"/>
      <c r="BX101" s="761"/>
      <c r="BY101" s="761"/>
      <c r="BZ101" s="761"/>
      <c r="CA101" s="1216"/>
      <c r="CB101" s="747"/>
      <c r="CC101" s="1222">
        <f>$G101*H101*Variables!$B$53</f>
        <v>0</v>
      </c>
      <c r="CD101" s="1223">
        <f>$G101*I101*Variables!$B$53</f>
        <v>0</v>
      </c>
      <c r="CE101" s="1223">
        <f>$G101*J101*Variables!$B$53</f>
        <v>0</v>
      </c>
      <c r="CF101" s="1223">
        <f>$G101*K101*Variables!$B$53</f>
        <v>0</v>
      </c>
      <c r="CG101" s="1223">
        <f>$G101*L101*Variables!$B$53</f>
        <v>0</v>
      </c>
      <c r="CH101" s="1223">
        <f>$G101*M101*Variables!$B$53</f>
        <v>0</v>
      </c>
      <c r="CI101" s="1223">
        <f>$G101*N101*Variables!$B$53</f>
        <v>0</v>
      </c>
      <c r="CJ101" s="1223">
        <f>$G101*O101*Variables!$B$53</f>
        <v>0</v>
      </c>
      <c r="CK101" s="1223">
        <f>$G101*P101*Variables!$B$53</f>
        <v>0</v>
      </c>
      <c r="CL101" s="1223">
        <f>$G101*Q101*Variables!$B$53</f>
        <v>0</v>
      </c>
      <c r="CM101" s="1223">
        <f>$G101*R101*Variables!$B$53</f>
        <v>0</v>
      </c>
      <c r="CN101" s="1225">
        <f>$G101*S101*Variables!$B$53</f>
        <v>0</v>
      </c>
      <c r="CO101" s="1222">
        <f>$G101*T101*Variables!$B$53*HLOOKUP($CO$2,Variables!$B$60:$F$61,2,FALSE)</f>
        <v>0</v>
      </c>
      <c r="CP101" s="1223">
        <f>$G101*U101*Variables!$B$53*HLOOKUP($CO$2,Variables!$B$60:$F$61,2,FALSE)</f>
        <v>0</v>
      </c>
      <c r="CQ101" s="1223">
        <f>$G101*V101*Variables!$B$53*HLOOKUP($CO$2,Variables!$B$60:$F$61,2,FALSE)</f>
        <v>0</v>
      </c>
      <c r="CR101" s="1223">
        <f>$G101*W101*Variables!$B$53*HLOOKUP($CO$2,Variables!$B$60:$F$61,2,FALSE)</f>
        <v>0</v>
      </c>
      <c r="CS101" s="1223">
        <f>$G101*X101*Variables!$B$53*HLOOKUP($CO$2,Variables!$B$60:$F$61,2,FALSE)</f>
        <v>0</v>
      </c>
      <c r="CT101" s="1223">
        <f>$G101*Y101*Variables!$B$53*HLOOKUP($CO$2,Variables!$B$60:$F$61,2,FALSE)</f>
        <v>0</v>
      </c>
      <c r="CU101" s="1223">
        <f>$G101*Z101*Variables!$B$53*HLOOKUP($CO$2,Variables!$B$60:$F$61,2,FALSE)</f>
        <v>0</v>
      </c>
      <c r="CV101" s="1223">
        <f>$G101*AA101*Variables!$B$53*HLOOKUP($CO$2,Variables!$B$60:$F$61,2,FALSE)</f>
        <v>0</v>
      </c>
      <c r="CW101" s="1223">
        <f>$G101*AB101*Variables!$B$53*HLOOKUP($CO$2,Variables!$B$60:$F$61,2,FALSE)</f>
        <v>0</v>
      </c>
      <c r="CX101" s="1223">
        <f>$G101*AC101*Variables!$B$53*HLOOKUP($CO$2,Variables!$B$60:$F$61,2,FALSE)</f>
        <v>0</v>
      </c>
      <c r="CY101" s="1223">
        <f>$G101*AD101*Variables!$B$53*HLOOKUP($CO$2,Variables!$B$60:$F$61,2,FALSE)</f>
        <v>0</v>
      </c>
      <c r="CZ101" s="1225">
        <f>$G101*AE101*Variables!$B$53*HLOOKUP($CO$2,Variables!$B$60:$F$61,2,FALSE)</f>
        <v>0</v>
      </c>
      <c r="DA101" s="1222">
        <f>$G101*AF101*Variables!$B$53*HLOOKUP($DA$2,Variables!$B$60:$F$61,2,FALSE)</f>
        <v>0</v>
      </c>
      <c r="DB101" s="1223">
        <f>$G101*AG101*Variables!$B$53*HLOOKUP($DA$2,Variables!$B$60:$F$61,2,FALSE)</f>
        <v>0</v>
      </c>
      <c r="DC101" s="1223">
        <f>$G101*AH101*Variables!$B$53*HLOOKUP($DA$2,Variables!$B$60:$F$61,2,FALSE)</f>
        <v>0</v>
      </c>
      <c r="DD101" s="1223">
        <f>$G101*AI101*Variables!$B$53*HLOOKUP($DA$2,Variables!$B$60:$F$61,2,FALSE)</f>
        <v>0</v>
      </c>
      <c r="DE101" s="1223">
        <f>$G101*AJ101*Variables!$B$53*HLOOKUP($DA$2,Variables!$B$60:$F$61,2,FALSE)</f>
        <v>0</v>
      </c>
      <c r="DF101" s="1223">
        <f>$G101*AK101*Variables!$B$53*HLOOKUP($DA$2,Variables!$B$60:$F$61,2,FALSE)</f>
        <v>0</v>
      </c>
      <c r="DG101" s="1223">
        <f>$G101*AL101*Variables!$B$53*HLOOKUP($DA$2,Variables!$B$60:$F$61,2,FALSE)</f>
        <v>0</v>
      </c>
      <c r="DH101" s="1223">
        <f>$G101*AM101*Variables!$B$53*HLOOKUP($DA$2,Variables!$B$60:$F$61,2,FALSE)</f>
        <v>0</v>
      </c>
      <c r="DI101" s="1223">
        <f>$G101*AN101*Variables!$B$53*HLOOKUP($DA$2,Variables!$B$60:$F$61,2,FALSE)</f>
        <v>0</v>
      </c>
      <c r="DJ101" s="1223">
        <f>$G101*AO101*Variables!$B$53*HLOOKUP($DA$2,Variables!$B$60:$F$61,2,FALSE)</f>
        <v>0</v>
      </c>
      <c r="DK101" s="1223">
        <f>$G101*AP101*Variables!$B$53*HLOOKUP($DA$2,Variables!$B$60:$F$61,2,FALSE)</f>
        <v>0</v>
      </c>
      <c r="DL101" s="1225">
        <f>$G101*AQ101*Variables!$B$53*HLOOKUP($DA$2,Variables!$B$60:$F$61,2,FALSE)</f>
        <v>0</v>
      </c>
      <c r="DM101" s="1222">
        <f>$G101*AR101*Variables!$B$53*HLOOKUP($DM$2,Variables!$B$60:$F$61,2,FALSE)</f>
        <v>0</v>
      </c>
      <c r="DN101" s="1223">
        <f>$G101*AS101*Variables!$B$53*HLOOKUP($DM$2,Variables!$B$60:$F$61,2,FALSE)</f>
        <v>0</v>
      </c>
      <c r="DO101" s="1223">
        <f>$G101*AT101*Variables!$B$53*HLOOKUP($DM$2,Variables!$B$60:$F$61,2,FALSE)</f>
        <v>0</v>
      </c>
      <c r="DP101" s="1223">
        <f>$G101*AU101*Variables!$B$53*HLOOKUP($DM$2,Variables!$B$60:$F$61,2,FALSE)</f>
        <v>0</v>
      </c>
      <c r="DQ101" s="1223">
        <f>$G101*AV101*Variables!$B$53*HLOOKUP($DM$2,Variables!$B$60:$F$61,2,FALSE)</f>
        <v>0</v>
      </c>
      <c r="DR101" s="1223">
        <f>$G101*AW101*Variables!$B$53*HLOOKUP($DM$2,Variables!$B$60:$F$61,2,FALSE)</f>
        <v>0</v>
      </c>
      <c r="DS101" s="1223">
        <f>$G101*AX101*Variables!$B$53*HLOOKUP($DM$2,Variables!$B$60:$F$61,2,FALSE)</f>
        <v>0</v>
      </c>
      <c r="DT101" s="1223">
        <f>$G101*AY101*Variables!$B$53*HLOOKUP($DM$2,Variables!$B$60:$F$61,2,FALSE)</f>
        <v>0</v>
      </c>
      <c r="DU101" s="1223">
        <f>$G101*AZ101*Variables!$B$53*HLOOKUP($DM$2,Variables!$B$60:$F$61,2,FALSE)</f>
        <v>0</v>
      </c>
      <c r="DV101" s="1223">
        <f>$G101*BA101*Variables!$B$53*HLOOKUP($DM$2,Variables!$B$60:$F$61,2,FALSE)</f>
        <v>0</v>
      </c>
      <c r="DW101" s="1223">
        <f>$G101*BB101*Variables!$B$53*HLOOKUP($DM$2,Variables!$B$60:$F$61,2,FALSE)</f>
        <v>0</v>
      </c>
      <c r="DX101" s="1225">
        <f>$G101*BC101*Variables!$B$53*HLOOKUP($DM$2,Variables!$B$60:$F$61,2,FALSE)</f>
        <v>0</v>
      </c>
      <c r="DY101" s="1222">
        <f>$G101*BD101*Variables!$B$53*HLOOKUP($DY$2,Variables!$B$60:$F$61,2,FALSE)</f>
        <v>0</v>
      </c>
      <c r="DZ101" s="1223">
        <f>$G101*BE101*Variables!$B$53*HLOOKUP($DY$2,Variables!$B$60:$F$61,2,FALSE)</f>
        <v>0</v>
      </c>
      <c r="EA101" s="1223">
        <f>$G101*BF101*Variables!$B$53*HLOOKUP($DY$2,Variables!$B$60:$F$61,2,FALSE)</f>
        <v>0</v>
      </c>
      <c r="EB101" s="1223">
        <f>$G101*BG101*Variables!$B$53*HLOOKUP($DY$2,Variables!$B$60:$F$61,2,FALSE)</f>
        <v>0</v>
      </c>
      <c r="EC101" s="1223">
        <f>$G101*BH101*Variables!$B$53*HLOOKUP($DY$2,Variables!$B$60:$F$61,2,FALSE)</f>
        <v>0</v>
      </c>
      <c r="ED101" s="1223">
        <f>$G101*BI101*Variables!$B$53*HLOOKUP($DY$2,Variables!$B$60:$F$61,2,FALSE)</f>
        <v>0</v>
      </c>
      <c r="EE101" s="1223">
        <f>$G101*BJ101*Variables!$B$53*HLOOKUP($DY$2,Variables!$B$60:$F$61,2,FALSE)</f>
        <v>0</v>
      </c>
      <c r="EF101" s="1223">
        <f>$G101*BK101*Variables!$B$53*HLOOKUP($DY$2,Variables!$B$60:$F$61,2,FALSE)</f>
        <v>0</v>
      </c>
      <c r="EG101" s="1223">
        <f>$G101*BL101*Variables!$B$53*HLOOKUP($DY$2,Variables!$B$60:$F$61,2,FALSE)</f>
        <v>0</v>
      </c>
      <c r="EH101" s="1223">
        <f>$G101*BM101*Variables!$B$53*HLOOKUP($DY$2,Variables!$B$60:$F$61,2,FALSE)</f>
        <v>0</v>
      </c>
      <c r="EI101" s="1223">
        <f>$G101*BN101*Variables!$B$53*HLOOKUP($DY$2,Variables!$B$60:$F$61,2,FALSE)</f>
        <v>0</v>
      </c>
      <c r="EJ101" s="1225">
        <f>$G101*BO101*Variables!$B$53*HLOOKUP($DY$2,Variables!$B$60:$F$61,2,FALSE)</f>
        <v>0</v>
      </c>
      <c r="EK101" s="1222">
        <f>$G101*BP101*Variables!$B$53*HLOOKUP($EK$2,Variables!$B$60:$F$61,2,FALSE)</f>
        <v>0</v>
      </c>
      <c r="EL101" s="1223">
        <f>$G101*BQ101*Variables!$B$53*HLOOKUP($EK$2,Variables!$B$60:$F$61,2,FALSE)</f>
        <v>0</v>
      </c>
      <c r="EM101" s="1223">
        <f>$G101*BR101*Variables!$B$53*HLOOKUP($EK$2,Variables!$B$60:$F$61,2,FALSE)</f>
        <v>0</v>
      </c>
      <c r="EN101" s="1223">
        <f>$G101*BS101*Variables!$B$53*HLOOKUP($EK$2,Variables!$B$60:$F$61,2,FALSE)</f>
        <v>0</v>
      </c>
      <c r="EO101" s="1223">
        <f>$G101*BT101*Variables!$B$53*HLOOKUP($EK$2,Variables!$B$60:$F$61,2,FALSE)</f>
        <v>0</v>
      </c>
      <c r="EP101" s="1223">
        <f>$G101*BU101*Variables!$B$53*HLOOKUP($EK$2,Variables!$B$60:$F$61,2,FALSE)</f>
        <v>0</v>
      </c>
      <c r="EQ101" s="1223">
        <f>$G101*BV101*Variables!$B$53*HLOOKUP($EK$2,Variables!$B$60:$F$61,2,FALSE)</f>
        <v>0</v>
      </c>
      <c r="ER101" s="1223">
        <f>$G101*BW101*Variables!$B$53*HLOOKUP($EK$2,Variables!$B$60:$F$61,2,FALSE)</f>
        <v>0</v>
      </c>
      <c r="ES101" s="1223">
        <f>$G101*BX101*Variables!$B$53*HLOOKUP($EK$2,Variables!$B$60:$F$61,2,FALSE)</f>
        <v>0</v>
      </c>
      <c r="ET101" s="1223">
        <f>$G101*BY101*Variables!$B$53*HLOOKUP($EK$2,Variables!$B$60:$F$61,2,FALSE)</f>
        <v>0</v>
      </c>
      <c r="EU101" s="1223">
        <f>$G101*BZ101*Variables!$B$53*HLOOKUP($EK$2,Variables!$B$60:$F$61,2,FALSE)</f>
        <v>0</v>
      </c>
      <c r="EV101" s="1225">
        <f>$G101*CA101*Variables!$B$53*HLOOKUP($EK$2,Variables!$B$60:$F$61,2,FALSE)</f>
        <v>0</v>
      </c>
      <c r="EW101" s="872">
        <f t="shared" si="15"/>
        <v>0</v>
      </c>
      <c r="EX101" s="872"/>
      <c r="EY101" s="872"/>
      <c r="EZ101" s="872"/>
      <c r="FA101" s="1332"/>
      <c r="FC101" s="958" t="str">
        <f t="shared" ref="FC101:FC132" si="16">IF(ISBLANK(A101),"",A101)</f>
        <v/>
      </c>
      <c r="FD101" s="959" t="str">
        <f t="shared" ref="FD101:FD132" si="17">IF(ISBLANK(B101),"",B101)</f>
        <v/>
      </c>
      <c r="FE101" s="959" t="s">
        <v>8407</v>
      </c>
      <c r="FF101" s="959" t="str">
        <f>IF(ISNA(VLOOKUP(FC101,Miscellaneous!E:F,2,0)),"",VLOOKUP(FC101,Miscellaneous!E:F,2,0))</f>
        <v/>
      </c>
      <c r="FG101" s="959" t="str">
        <f t="shared" ref="FG101:FG132" si="18">IF(ISBLANK(F101),"",F101)</f>
        <v/>
      </c>
      <c r="FH101" s="996">
        <f>IF($FG101="Opex",SUMIF('Monthly Summary'!$C$75:$N$75,"",CC101:CN101),SUMIF('Monthly Summary'!$C$74:$N$74,"",CC101:CN101))</f>
        <v>0</v>
      </c>
      <c r="FI101" s="996">
        <f>IF($FG101="Opex",SUMIF('Monthly Summary'!$O$75:$Z$75,"",CO101:CZ101),SUMIF('Monthly Summary'!$O$74:$Z$74,"",CO101:CZ101))</f>
        <v>0</v>
      </c>
      <c r="FJ101" s="996">
        <f>IF($FG101="Opex",SUMIF('Monthly Summary'!$AA$75:$AL$75,"",DA101:DL101),SUMIF('Monthly Summary'!$AA$74:$AL$74,"",DA101:DL101))</f>
        <v>0</v>
      </c>
      <c r="FK101" s="996">
        <f>IF($FG101="Opex",SUMIF('Monthly Summary'!$AM$75:$AX$75,"",DM101:DX101),SUMIF('Monthly Summary'!$AM$74:$AX$74,"",DM101:DX101))</f>
        <v>0</v>
      </c>
      <c r="FL101" s="996">
        <f>IF($FG101="Opex",SUMIF('Monthly Summary'!$AY$75:$BJ$75,"",DY101:EJ101),SUMIF('Monthly Summary'!$AY$74:$BJ$74,"",DY101:EJ101))</f>
        <v>0</v>
      </c>
      <c r="FM101" s="997">
        <f>IF($FG101="Opex",SUMIF('Monthly Summary'!$BK$75:$BV$75,"",EK101:EV101),SUMIF('Monthly Summary'!$BK$74:$BV$74,"",EK101:EV101))</f>
        <v>0</v>
      </c>
      <c r="FN101" s="997">
        <f t="shared" si="14"/>
        <v>0</v>
      </c>
    </row>
    <row r="102" spans="3:170">
      <c r="C102" s="757"/>
      <c r="D102" s="757"/>
      <c r="E102" s="758"/>
      <c r="F102" s="758"/>
      <c r="G102" s="758"/>
      <c r="H102" s="1215"/>
      <c r="I102" s="761"/>
      <c r="J102" s="761"/>
      <c r="K102" s="761"/>
      <c r="L102" s="761"/>
      <c r="M102" s="761"/>
      <c r="N102" s="761"/>
      <c r="O102" s="761"/>
      <c r="P102" s="761"/>
      <c r="Q102" s="761"/>
      <c r="R102" s="761"/>
      <c r="S102" s="1216"/>
      <c r="T102" s="1215"/>
      <c r="U102" s="761"/>
      <c r="V102" s="761"/>
      <c r="W102" s="761"/>
      <c r="X102" s="761"/>
      <c r="Y102" s="761"/>
      <c r="Z102" s="761"/>
      <c r="AA102" s="761"/>
      <c r="AB102" s="761"/>
      <c r="AC102" s="761"/>
      <c r="AD102" s="761"/>
      <c r="AE102" s="1216"/>
      <c r="AF102" s="1215"/>
      <c r="AG102" s="761"/>
      <c r="AH102" s="761"/>
      <c r="AI102" s="761"/>
      <c r="AJ102" s="761"/>
      <c r="AK102" s="761"/>
      <c r="AL102" s="761"/>
      <c r="AM102" s="761"/>
      <c r="AN102" s="761"/>
      <c r="AO102" s="761"/>
      <c r="AP102" s="761"/>
      <c r="AQ102" s="1216"/>
      <c r="AR102" s="1215"/>
      <c r="AS102" s="761"/>
      <c r="AT102" s="761"/>
      <c r="AU102" s="761"/>
      <c r="AV102" s="761"/>
      <c r="AW102" s="761"/>
      <c r="AX102" s="761"/>
      <c r="AY102" s="761"/>
      <c r="AZ102" s="761"/>
      <c r="BA102" s="761"/>
      <c r="BB102" s="761"/>
      <c r="BC102" s="1216"/>
      <c r="BD102" s="1215"/>
      <c r="BE102" s="761"/>
      <c r="BF102" s="761"/>
      <c r="BG102" s="761"/>
      <c r="BH102" s="761"/>
      <c r="BI102" s="761"/>
      <c r="BJ102" s="761"/>
      <c r="BK102" s="761"/>
      <c r="BL102" s="761"/>
      <c r="BM102" s="761"/>
      <c r="BN102" s="761"/>
      <c r="BO102" s="1216"/>
      <c r="BP102" s="1215"/>
      <c r="BQ102" s="761"/>
      <c r="BR102" s="761"/>
      <c r="BS102" s="761"/>
      <c r="BT102" s="761"/>
      <c r="BU102" s="761"/>
      <c r="BV102" s="761"/>
      <c r="BW102" s="761"/>
      <c r="BX102" s="761"/>
      <c r="BY102" s="761"/>
      <c r="BZ102" s="761"/>
      <c r="CA102" s="1216"/>
      <c r="CB102" s="747"/>
      <c r="CC102" s="1222">
        <f>$G102*H102*Variables!$B$53</f>
        <v>0</v>
      </c>
      <c r="CD102" s="1223">
        <f>$G102*I102*Variables!$B$53</f>
        <v>0</v>
      </c>
      <c r="CE102" s="1223">
        <f>$G102*J102*Variables!$B$53</f>
        <v>0</v>
      </c>
      <c r="CF102" s="1223">
        <f>$G102*K102*Variables!$B$53</f>
        <v>0</v>
      </c>
      <c r="CG102" s="1223">
        <f>$G102*L102*Variables!$B$53</f>
        <v>0</v>
      </c>
      <c r="CH102" s="1223">
        <f>$G102*M102*Variables!$B$53</f>
        <v>0</v>
      </c>
      <c r="CI102" s="1223">
        <f>$G102*N102*Variables!$B$53</f>
        <v>0</v>
      </c>
      <c r="CJ102" s="1223">
        <f>$G102*O102*Variables!$B$53</f>
        <v>0</v>
      </c>
      <c r="CK102" s="1223">
        <f>$G102*P102*Variables!$B$53</f>
        <v>0</v>
      </c>
      <c r="CL102" s="1223">
        <f>$G102*Q102*Variables!$B$53</f>
        <v>0</v>
      </c>
      <c r="CM102" s="1223">
        <f>$G102*R102*Variables!$B$53</f>
        <v>0</v>
      </c>
      <c r="CN102" s="1225">
        <f>$G102*S102*Variables!$B$53</f>
        <v>0</v>
      </c>
      <c r="CO102" s="1222">
        <f>$G102*T102*Variables!$B$53*HLOOKUP($CO$2,Variables!$B$60:$F$61,2,FALSE)</f>
        <v>0</v>
      </c>
      <c r="CP102" s="1223">
        <f>$G102*U102*Variables!$B$53*HLOOKUP($CO$2,Variables!$B$60:$F$61,2,FALSE)</f>
        <v>0</v>
      </c>
      <c r="CQ102" s="1223">
        <f>$G102*V102*Variables!$B$53*HLOOKUP($CO$2,Variables!$B$60:$F$61,2,FALSE)</f>
        <v>0</v>
      </c>
      <c r="CR102" s="1223">
        <f>$G102*W102*Variables!$B$53*HLOOKUP($CO$2,Variables!$B$60:$F$61,2,FALSE)</f>
        <v>0</v>
      </c>
      <c r="CS102" s="1223">
        <f>$G102*X102*Variables!$B$53*HLOOKUP($CO$2,Variables!$B$60:$F$61,2,FALSE)</f>
        <v>0</v>
      </c>
      <c r="CT102" s="1223">
        <f>$G102*Y102*Variables!$B$53*HLOOKUP($CO$2,Variables!$B$60:$F$61,2,FALSE)</f>
        <v>0</v>
      </c>
      <c r="CU102" s="1223">
        <f>$G102*Z102*Variables!$B$53*HLOOKUP($CO$2,Variables!$B$60:$F$61,2,FALSE)</f>
        <v>0</v>
      </c>
      <c r="CV102" s="1223">
        <f>$G102*AA102*Variables!$B$53*HLOOKUP($CO$2,Variables!$B$60:$F$61,2,FALSE)</f>
        <v>0</v>
      </c>
      <c r="CW102" s="1223">
        <f>$G102*AB102*Variables!$B$53*HLOOKUP($CO$2,Variables!$B$60:$F$61,2,FALSE)</f>
        <v>0</v>
      </c>
      <c r="CX102" s="1223">
        <f>$G102*AC102*Variables!$B$53*HLOOKUP($CO$2,Variables!$B$60:$F$61,2,FALSE)</f>
        <v>0</v>
      </c>
      <c r="CY102" s="1223">
        <f>$G102*AD102*Variables!$B$53*HLOOKUP($CO$2,Variables!$B$60:$F$61,2,FALSE)</f>
        <v>0</v>
      </c>
      <c r="CZ102" s="1225">
        <f>$G102*AE102*Variables!$B$53*HLOOKUP($CO$2,Variables!$B$60:$F$61,2,FALSE)</f>
        <v>0</v>
      </c>
      <c r="DA102" s="1222">
        <f>$G102*AF102*Variables!$B$53*HLOOKUP($DA$2,Variables!$B$60:$F$61,2,FALSE)</f>
        <v>0</v>
      </c>
      <c r="DB102" s="1223">
        <f>$G102*AG102*Variables!$B$53*HLOOKUP($DA$2,Variables!$B$60:$F$61,2,FALSE)</f>
        <v>0</v>
      </c>
      <c r="DC102" s="1223">
        <f>$G102*AH102*Variables!$B$53*HLOOKUP($DA$2,Variables!$B$60:$F$61,2,FALSE)</f>
        <v>0</v>
      </c>
      <c r="DD102" s="1223">
        <f>$G102*AI102*Variables!$B$53*HLOOKUP($DA$2,Variables!$B$60:$F$61,2,FALSE)</f>
        <v>0</v>
      </c>
      <c r="DE102" s="1223">
        <f>$G102*AJ102*Variables!$B$53*HLOOKUP($DA$2,Variables!$B$60:$F$61,2,FALSE)</f>
        <v>0</v>
      </c>
      <c r="DF102" s="1223">
        <f>$G102*AK102*Variables!$B$53*HLOOKUP($DA$2,Variables!$B$60:$F$61,2,FALSE)</f>
        <v>0</v>
      </c>
      <c r="DG102" s="1223">
        <f>$G102*AL102*Variables!$B$53*HLOOKUP($DA$2,Variables!$B$60:$F$61,2,FALSE)</f>
        <v>0</v>
      </c>
      <c r="DH102" s="1223">
        <f>$G102*AM102*Variables!$B$53*HLOOKUP($DA$2,Variables!$B$60:$F$61,2,FALSE)</f>
        <v>0</v>
      </c>
      <c r="DI102" s="1223">
        <f>$G102*AN102*Variables!$B$53*HLOOKUP($DA$2,Variables!$B$60:$F$61,2,FALSE)</f>
        <v>0</v>
      </c>
      <c r="DJ102" s="1223">
        <f>$G102*AO102*Variables!$B$53*HLOOKUP($DA$2,Variables!$B$60:$F$61,2,FALSE)</f>
        <v>0</v>
      </c>
      <c r="DK102" s="1223">
        <f>$G102*AP102*Variables!$B$53*HLOOKUP($DA$2,Variables!$B$60:$F$61,2,FALSE)</f>
        <v>0</v>
      </c>
      <c r="DL102" s="1225">
        <f>$G102*AQ102*Variables!$B$53*HLOOKUP($DA$2,Variables!$B$60:$F$61,2,FALSE)</f>
        <v>0</v>
      </c>
      <c r="DM102" s="1222">
        <f>$G102*AR102*Variables!$B$53*HLOOKUP($DM$2,Variables!$B$60:$F$61,2,FALSE)</f>
        <v>0</v>
      </c>
      <c r="DN102" s="1223">
        <f>$G102*AS102*Variables!$B$53*HLOOKUP($DM$2,Variables!$B$60:$F$61,2,FALSE)</f>
        <v>0</v>
      </c>
      <c r="DO102" s="1223">
        <f>$G102*AT102*Variables!$B$53*HLOOKUP($DM$2,Variables!$B$60:$F$61,2,FALSE)</f>
        <v>0</v>
      </c>
      <c r="DP102" s="1223">
        <f>$G102*AU102*Variables!$B$53*HLOOKUP($DM$2,Variables!$B$60:$F$61,2,FALSE)</f>
        <v>0</v>
      </c>
      <c r="DQ102" s="1223">
        <f>$G102*AV102*Variables!$B$53*HLOOKUP($DM$2,Variables!$B$60:$F$61,2,FALSE)</f>
        <v>0</v>
      </c>
      <c r="DR102" s="1223">
        <f>$G102*AW102*Variables!$B$53*HLOOKUP($DM$2,Variables!$B$60:$F$61,2,FALSE)</f>
        <v>0</v>
      </c>
      <c r="DS102" s="1223">
        <f>$G102*AX102*Variables!$B$53*HLOOKUP($DM$2,Variables!$B$60:$F$61,2,FALSE)</f>
        <v>0</v>
      </c>
      <c r="DT102" s="1223">
        <f>$G102*AY102*Variables!$B$53*HLOOKUP($DM$2,Variables!$B$60:$F$61,2,FALSE)</f>
        <v>0</v>
      </c>
      <c r="DU102" s="1223">
        <f>$G102*AZ102*Variables!$B$53*HLOOKUP($DM$2,Variables!$B$60:$F$61,2,FALSE)</f>
        <v>0</v>
      </c>
      <c r="DV102" s="1223">
        <f>$G102*BA102*Variables!$B$53*HLOOKUP($DM$2,Variables!$B$60:$F$61,2,FALSE)</f>
        <v>0</v>
      </c>
      <c r="DW102" s="1223">
        <f>$G102*BB102*Variables!$B$53*HLOOKUP($DM$2,Variables!$B$60:$F$61,2,FALSE)</f>
        <v>0</v>
      </c>
      <c r="DX102" s="1225">
        <f>$G102*BC102*Variables!$B$53*HLOOKUP($DM$2,Variables!$B$60:$F$61,2,FALSE)</f>
        <v>0</v>
      </c>
      <c r="DY102" s="1222">
        <f>$G102*BD102*Variables!$B$53*HLOOKUP($DY$2,Variables!$B$60:$F$61,2,FALSE)</f>
        <v>0</v>
      </c>
      <c r="DZ102" s="1223">
        <f>$G102*BE102*Variables!$B$53*HLOOKUP($DY$2,Variables!$B$60:$F$61,2,FALSE)</f>
        <v>0</v>
      </c>
      <c r="EA102" s="1223">
        <f>$G102*BF102*Variables!$B$53*HLOOKUP($DY$2,Variables!$B$60:$F$61,2,FALSE)</f>
        <v>0</v>
      </c>
      <c r="EB102" s="1223">
        <f>$G102*BG102*Variables!$B$53*HLOOKUP($DY$2,Variables!$B$60:$F$61,2,FALSE)</f>
        <v>0</v>
      </c>
      <c r="EC102" s="1223">
        <f>$G102*BH102*Variables!$B$53*HLOOKUP($DY$2,Variables!$B$60:$F$61,2,FALSE)</f>
        <v>0</v>
      </c>
      <c r="ED102" s="1223">
        <f>$G102*BI102*Variables!$B$53*HLOOKUP($DY$2,Variables!$B$60:$F$61,2,FALSE)</f>
        <v>0</v>
      </c>
      <c r="EE102" s="1223">
        <f>$G102*BJ102*Variables!$B$53*HLOOKUP($DY$2,Variables!$B$60:$F$61,2,FALSE)</f>
        <v>0</v>
      </c>
      <c r="EF102" s="1223">
        <f>$G102*BK102*Variables!$B$53*HLOOKUP($DY$2,Variables!$B$60:$F$61,2,FALSE)</f>
        <v>0</v>
      </c>
      <c r="EG102" s="1223">
        <f>$G102*BL102*Variables!$B$53*HLOOKUP($DY$2,Variables!$B$60:$F$61,2,FALSE)</f>
        <v>0</v>
      </c>
      <c r="EH102" s="1223">
        <f>$G102*BM102*Variables!$B$53*HLOOKUP($DY$2,Variables!$B$60:$F$61,2,FALSE)</f>
        <v>0</v>
      </c>
      <c r="EI102" s="1223">
        <f>$G102*BN102*Variables!$B$53*HLOOKUP($DY$2,Variables!$B$60:$F$61,2,FALSE)</f>
        <v>0</v>
      </c>
      <c r="EJ102" s="1225">
        <f>$G102*BO102*Variables!$B$53*HLOOKUP($DY$2,Variables!$B$60:$F$61,2,FALSE)</f>
        <v>0</v>
      </c>
      <c r="EK102" s="1222">
        <f>$G102*BP102*Variables!$B$53*HLOOKUP($EK$2,Variables!$B$60:$F$61,2,FALSE)</f>
        <v>0</v>
      </c>
      <c r="EL102" s="1223">
        <f>$G102*BQ102*Variables!$B$53*HLOOKUP($EK$2,Variables!$B$60:$F$61,2,FALSE)</f>
        <v>0</v>
      </c>
      <c r="EM102" s="1223">
        <f>$G102*BR102*Variables!$B$53*HLOOKUP($EK$2,Variables!$B$60:$F$61,2,FALSE)</f>
        <v>0</v>
      </c>
      <c r="EN102" s="1223">
        <f>$G102*BS102*Variables!$B$53*HLOOKUP($EK$2,Variables!$B$60:$F$61,2,FALSE)</f>
        <v>0</v>
      </c>
      <c r="EO102" s="1223">
        <f>$G102*BT102*Variables!$B$53*HLOOKUP($EK$2,Variables!$B$60:$F$61,2,FALSE)</f>
        <v>0</v>
      </c>
      <c r="EP102" s="1223">
        <f>$G102*BU102*Variables!$B$53*HLOOKUP($EK$2,Variables!$B$60:$F$61,2,FALSE)</f>
        <v>0</v>
      </c>
      <c r="EQ102" s="1223">
        <f>$G102*BV102*Variables!$B$53*HLOOKUP($EK$2,Variables!$B$60:$F$61,2,FALSE)</f>
        <v>0</v>
      </c>
      <c r="ER102" s="1223">
        <f>$G102*BW102*Variables!$B$53*HLOOKUP($EK$2,Variables!$B$60:$F$61,2,FALSE)</f>
        <v>0</v>
      </c>
      <c r="ES102" s="1223">
        <f>$G102*BX102*Variables!$B$53*HLOOKUP($EK$2,Variables!$B$60:$F$61,2,FALSE)</f>
        <v>0</v>
      </c>
      <c r="ET102" s="1223">
        <f>$G102*BY102*Variables!$B$53*HLOOKUP($EK$2,Variables!$B$60:$F$61,2,FALSE)</f>
        <v>0</v>
      </c>
      <c r="EU102" s="1223">
        <f>$G102*BZ102*Variables!$B$53*HLOOKUP($EK$2,Variables!$B$60:$F$61,2,FALSE)</f>
        <v>0</v>
      </c>
      <c r="EV102" s="1225">
        <f>$G102*CA102*Variables!$B$53*HLOOKUP($EK$2,Variables!$B$60:$F$61,2,FALSE)</f>
        <v>0</v>
      </c>
      <c r="EW102" s="872">
        <f t="shared" si="15"/>
        <v>0</v>
      </c>
      <c r="EX102" s="872"/>
      <c r="EY102" s="872"/>
      <c r="EZ102" s="872"/>
      <c r="FA102" s="1332"/>
      <c r="FC102" s="958" t="str">
        <f t="shared" si="16"/>
        <v/>
      </c>
      <c r="FD102" s="959" t="str">
        <f t="shared" si="17"/>
        <v/>
      </c>
      <c r="FE102" s="959" t="s">
        <v>8407</v>
      </c>
      <c r="FF102" s="959" t="str">
        <f>IF(ISNA(VLOOKUP(FC102,Miscellaneous!E:F,2,0)),"",VLOOKUP(FC102,Miscellaneous!E:F,2,0))</f>
        <v/>
      </c>
      <c r="FG102" s="959" t="str">
        <f t="shared" si="18"/>
        <v/>
      </c>
      <c r="FH102" s="996">
        <f>IF($FG102="Opex",SUMIF('Monthly Summary'!$C$75:$N$75,"",CC102:CN102),SUMIF('Monthly Summary'!$C$74:$N$74,"",CC102:CN102))</f>
        <v>0</v>
      </c>
      <c r="FI102" s="996">
        <f>IF($FG102="Opex",SUMIF('Monthly Summary'!$O$75:$Z$75,"",CO102:CZ102),SUMIF('Monthly Summary'!$O$74:$Z$74,"",CO102:CZ102))</f>
        <v>0</v>
      </c>
      <c r="FJ102" s="996">
        <f>IF($FG102="Opex",SUMIF('Monthly Summary'!$AA$75:$AL$75,"",DA102:DL102),SUMIF('Monthly Summary'!$AA$74:$AL$74,"",DA102:DL102))</f>
        <v>0</v>
      </c>
      <c r="FK102" s="996">
        <f>IF($FG102="Opex",SUMIF('Monthly Summary'!$AM$75:$AX$75,"",DM102:DX102),SUMIF('Monthly Summary'!$AM$74:$AX$74,"",DM102:DX102))</f>
        <v>0</v>
      </c>
      <c r="FL102" s="996">
        <f>IF($FG102="Opex",SUMIF('Monthly Summary'!$AY$75:$BJ$75,"",DY102:EJ102),SUMIF('Monthly Summary'!$AY$74:$BJ$74,"",DY102:EJ102))</f>
        <v>0</v>
      </c>
      <c r="FM102" s="997">
        <f>IF($FG102="Opex",SUMIF('Monthly Summary'!$BK$75:$BV$75,"",EK102:EV102),SUMIF('Monthly Summary'!$BK$74:$BV$74,"",EK102:EV102))</f>
        <v>0</v>
      </c>
      <c r="FN102" s="997">
        <f t="shared" si="14"/>
        <v>0</v>
      </c>
    </row>
    <row r="103" spans="3:170">
      <c r="C103" s="757"/>
      <c r="D103" s="757"/>
      <c r="E103" s="758"/>
      <c r="F103" s="758"/>
      <c r="G103" s="758"/>
      <c r="H103" s="1215"/>
      <c r="I103" s="761"/>
      <c r="J103" s="761"/>
      <c r="K103" s="761"/>
      <c r="L103" s="761"/>
      <c r="M103" s="761"/>
      <c r="N103" s="761"/>
      <c r="O103" s="761"/>
      <c r="P103" s="761"/>
      <c r="Q103" s="761"/>
      <c r="R103" s="761"/>
      <c r="S103" s="1216"/>
      <c r="T103" s="1215"/>
      <c r="U103" s="761"/>
      <c r="V103" s="761"/>
      <c r="W103" s="761"/>
      <c r="X103" s="761"/>
      <c r="Y103" s="761"/>
      <c r="Z103" s="761"/>
      <c r="AA103" s="761"/>
      <c r="AB103" s="761"/>
      <c r="AC103" s="761"/>
      <c r="AD103" s="761"/>
      <c r="AE103" s="1216"/>
      <c r="AF103" s="1215"/>
      <c r="AG103" s="761"/>
      <c r="AH103" s="761"/>
      <c r="AI103" s="761"/>
      <c r="AJ103" s="761"/>
      <c r="AK103" s="761"/>
      <c r="AL103" s="761"/>
      <c r="AM103" s="761"/>
      <c r="AN103" s="761"/>
      <c r="AO103" s="761"/>
      <c r="AP103" s="761"/>
      <c r="AQ103" s="1216"/>
      <c r="AR103" s="1215"/>
      <c r="AS103" s="761"/>
      <c r="AT103" s="761"/>
      <c r="AU103" s="761"/>
      <c r="AV103" s="761"/>
      <c r="AW103" s="761"/>
      <c r="AX103" s="761"/>
      <c r="AY103" s="761"/>
      <c r="AZ103" s="761"/>
      <c r="BA103" s="761"/>
      <c r="BB103" s="761"/>
      <c r="BC103" s="1216"/>
      <c r="BD103" s="1215"/>
      <c r="BE103" s="761"/>
      <c r="BF103" s="761"/>
      <c r="BG103" s="761"/>
      <c r="BH103" s="761"/>
      <c r="BI103" s="761"/>
      <c r="BJ103" s="761"/>
      <c r="BK103" s="761"/>
      <c r="BL103" s="761"/>
      <c r="BM103" s="761"/>
      <c r="BN103" s="761"/>
      <c r="BO103" s="1216"/>
      <c r="BP103" s="1215"/>
      <c r="BQ103" s="761"/>
      <c r="BR103" s="761"/>
      <c r="BS103" s="761"/>
      <c r="BT103" s="761"/>
      <c r="BU103" s="761"/>
      <c r="BV103" s="761"/>
      <c r="BW103" s="761"/>
      <c r="BX103" s="761"/>
      <c r="BY103" s="761"/>
      <c r="BZ103" s="761"/>
      <c r="CA103" s="1216"/>
      <c r="CB103" s="747"/>
      <c r="CC103" s="1222">
        <f>$G103*H103*Variables!$B$53</f>
        <v>0</v>
      </c>
      <c r="CD103" s="1223">
        <f>$G103*I103*Variables!$B$53</f>
        <v>0</v>
      </c>
      <c r="CE103" s="1223">
        <f>$G103*J103*Variables!$B$53</f>
        <v>0</v>
      </c>
      <c r="CF103" s="1223">
        <f>$G103*K103*Variables!$B$53</f>
        <v>0</v>
      </c>
      <c r="CG103" s="1223">
        <f>$G103*L103*Variables!$B$53</f>
        <v>0</v>
      </c>
      <c r="CH103" s="1223">
        <f>$G103*M103*Variables!$B$53</f>
        <v>0</v>
      </c>
      <c r="CI103" s="1223">
        <f>$G103*N103*Variables!$B$53</f>
        <v>0</v>
      </c>
      <c r="CJ103" s="1223">
        <f>$G103*O103*Variables!$B$53</f>
        <v>0</v>
      </c>
      <c r="CK103" s="1223">
        <f>$G103*P103*Variables!$B$53</f>
        <v>0</v>
      </c>
      <c r="CL103" s="1223">
        <f>$G103*Q103*Variables!$B$53</f>
        <v>0</v>
      </c>
      <c r="CM103" s="1223">
        <f>$G103*R103*Variables!$B$53</f>
        <v>0</v>
      </c>
      <c r="CN103" s="1225">
        <f>$G103*S103*Variables!$B$53</f>
        <v>0</v>
      </c>
      <c r="CO103" s="1222">
        <f>$G103*T103*Variables!$B$53*HLOOKUP($CO$2,Variables!$B$60:$F$61,2,FALSE)</f>
        <v>0</v>
      </c>
      <c r="CP103" s="1223">
        <f>$G103*U103*Variables!$B$53*HLOOKUP($CO$2,Variables!$B$60:$F$61,2,FALSE)</f>
        <v>0</v>
      </c>
      <c r="CQ103" s="1223">
        <f>$G103*V103*Variables!$B$53*HLOOKUP($CO$2,Variables!$B$60:$F$61,2,FALSE)</f>
        <v>0</v>
      </c>
      <c r="CR103" s="1223">
        <f>$G103*W103*Variables!$B$53*HLOOKUP($CO$2,Variables!$B$60:$F$61,2,FALSE)</f>
        <v>0</v>
      </c>
      <c r="CS103" s="1223">
        <f>$G103*X103*Variables!$B$53*HLOOKUP($CO$2,Variables!$B$60:$F$61,2,FALSE)</f>
        <v>0</v>
      </c>
      <c r="CT103" s="1223">
        <f>$G103*Y103*Variables!$B$53*HLOOKUP($CO$2,Variables!$B$60:$F$61,2,FALSE)</f>
        <v>0</v>
      </c>
      <c r="CU103" s="1223">
        <f>$G103*Z103*Variables!$B$53*HLOOKUP($CO$2,Variables!$B$60:$F$61,2,FALSE)</f>
        <v>0</v>
      </c>
      <c r="CV103" s="1223">
        <f>$G103*AA103*Variables!$B$53*HLOOKUP($CO$2,Variables!$B$60:$F$61,2,FALSE)</f>
        <v>0</v>
      </c>
      <c r="CW103" s="1223">
        <f>$G103*AB103*Variables!$B$53*HLOOKUP($CO$2,Variables!$B$60:$F$61,2,FALSE)</f>
        <v>0</v>
      </c>
      <c r="CX103" s="1223">
        <f>$G103*AC103*Variables!$B$53*HLOOKUP($CO$2,Variables!$B$60:$F$61,2,FALSE)</f>
        <v>0</v>
      </c>
      <c r="CY103" s="1223">
        <f>$G103*AD103*Variables!$B$53*HLOOKUP($CO$2,Variables!$B$60:$F$61,2,FALSE)</f>
        <v>0</v>
      </c>
      <c r="CZ103" s="1225">
        <f>$G103*AE103*Variables!$B$53*HLOOKUP($CO$2,Variables!$B$60:$F$61,2,FALSE)</f>
        <v>0</v>
      </c>
      <c r="DA103" s="1222">
        <f>$G103*AF103*Variables!$B$53*HLOOKUP($DA$2,Variables!$B$60:$F$61,2,FALSE)</f>
        <v>0</v>
      </c>
      <c r="DB103" s="1223">
        <f>$G103*AG103*Variables!$B$53*HLOOKUP($DA$2,Variables!$B$60:$F$61,2,FALSE)</f>
        <v>0</v>
      </c>
      <c r="DC103" s="1223">
        <f>$G103*AH103*Variables!$B$53*HLOOKUP($DA$2,Variables!$B$60:$F$61,2,FALSE)</f>
        <v>0</v>
      </c>
      <c r="DD103" s="1223">
        <f>$G103*AI103*Variables!$B$53*HLOOKUP($DA$2,Variables!$B$60:$F$61,2,FALSE)</f>
        <v>0</v>
      </c>
      <c r="DE103" s="1223">
        <f>$G103*AJ103*Variables!$B$53*HLOOKUP($DA$2,Variables!$B$60:$F$61,2,FALSE)</f>
        <v>0</v>
      </c>
      <c r="DF103" s="1223">
        <f>$G103*AK103*Variables!$B$53*HLOOKUP($DA$2,Variables!$B$60:$F$61,2,FALSE)</f>
        <v>0</v>
      </c>
      <c r="DG103" s="1223">
        <f>$G103*AL103*Variables!$B$53*HLOOKUP($DA$2,Variables!$B$60:$F$61,2,FALSE)</f>
        <v>0</v>
      </c>
      <c r="DH103" s="1223">
        <f>$G103*AM103*Variables!$B$53*HLOOKUP($DA$2,Variables!$B$60:$F$61,2,FALSE)</f>
        <v>0</v>
      </c>
      <c r="DI103" s="1223">
        <f>$G103*AN103*Variables!$B$53*HLOOKUP($DA$2,Variables!$B$60:$F$61,2,FALSE)</f>
        <v>0</v>
      </c>
      <c r="DJ103" s="1223">
        <f>$G103*AO103*Variables!$B$53*HLOOKUP($DA$2,Variables!$B$60:$F$61,2,FALSE)</f>
        <v>0</v>
      </c>
      <c r="DK103" s="1223">
        <f>$G103*AP103*Variables!$B$53*HLOOKUP($DA$2,Variables!$B$60:$F$61,2,FALSE)</f>
        <v>0</v>
      </c>
      <c r="DL103" s="1225">
        <f>$G103*AQ103*Variables!$B$53*HLOOKUP($DA$2,Variables!$B$60:$F$61,2,FALSE)</f>
        <v>0</v>
      </c>
      <c r="DM103" s="1222">
        <f>$G103*AR103*Variables!$B$53*HLOOKUP($DM$2,Variables!$B$60:$F$61,2,FALSE)</f>
        <v>0</v>
      </c>
      <c r="DN103" s="1223">
        <f>$G103*AS103*Variables!$B$53*HLOOKUP($DM$2,Variables!$B$60:$F$61,2,FALSE)</f>
        <v>0</v>
      </c>
      <c r="DO103" s="1223">
        <f>$G103*AT103*Variables!$B$53*HLOOKUP($DM$2,Variables!$B$60:$F$61,2,FALSE)</f>
        <v>0</v>
      </c>
      <c r="DP103" s="1223">
        <f>$G103*AU103*Variables!$B$53*HLOOKUP($DM$2,Variables!$B$60:$F$61,2,FALSE)</f>
        <v>0</v>
      </c>
      <c r="DQ103" s="1223">
        <f>$G103*AV103*Variables!$B$53*HLOOKUP($DM$2,Variables!$B$60:$F$61,2,FALSE)</f>
        <v>0</v>
      </c>
      <c r="DR103" s="1223">
        <f>$G103*AW103*Variables!$B$53*HLOOKUP($DM$2,Variables!$B$60:$F$61,2,FALSE)</f>
        <v>0</v>
      </c>
      <c r="DS103" s="1223">
        <f>$G103*AX103*Variables!$B$53*HLOOKUP($DM$2,Variables!$B$60:$F$61,2,FALSE)</f>
        <v>0</v>
      </c>
      <c r="DT103" s="1223">
        <f>$G103*AY103*Variables!$B$53*HLOOKUP($DM$2,Variables!$B$60:$F$61,2,FALSE)</f>
        <v>0</v>
      </c>
      <c r="DU103" s="1223">
        <f>$G103*AZ103*Variables!$B$53*HLOOKUP($DM$2,Variables!$B$60:$F$61,2,FALSE)</f>
        <v>0</v>
      </c>
      <c r="DV103" s="1223">
        <f>$G103*BA103*Variables!$B$53*HLOOKUP($DM$2,Variables!$B$60:$F$61,2,FALSE)</f>
        <v>0</v>
      </c>
      <c r="DW103" s="1223">
        <f>$G103*BB103*Variables!$B$53*HLOOKUP($DM$2,Variables!$B$60:$F$61,2,FALSE)</f>
        <v>0</v>
      </c>
      <c r="DX103" s="1225">
        <f>$G103*BC103*Variables!$B$53*HLOOKUP($DM$2,Variables!$B$60:$F$61,2,FALSE)</f>
        <v>0</v>
      </c>
      <c r="DY103" s="1222">
        <f>$G103*BD103*Variables!$B$53*HLOOKUP($DY$2,Variables!$B$60:$F$61,2,FALSE)</f>
        <v>0</v>
      </c>
      <c r="DZ103" s="1223">
        <f>$G103*BE103*Variables!$B$53*HLOOKUP($DY$2,Variables!$B$60:$F$61,2,FALSE)</f>
        <v>0</v>
      </c>
      <c r="EA103" s="1223">
        <f>$G103*BF103*Variables!$B$53*HLOOKUP($DY$2,Variables!$B$60:$F$61,2,FALSE)</f>
        <v>0</v>
      </c>
      <c r="EB103" s="1223">
        <f>$G103*BG103*Variables!$B$53*HLOOKUP($DY$2,Variables!$B$60:$F$61,2,FALSE)</f>
        <v>0</v>
      </c>
      <c r="EC103" s="1223">
        <f>$G103*BH103*Variables!$B$53*HLOOKUP($DY$2,Variables!$B$60:$F$61,2,FALSE)</f>
        <v>0</v>
      </c>
      <c r="ED103" s="1223">
        <f>$G103*BI103*Variables!$B$53*HLOOKUP($DY$2,Variables!$B$60:$F$61,2,FALSE)</f>
        <v>0</v>
      </c>
      <c r="EE103" s="1223">
        <f>$G103*BJ103*Variables!$B$53*HLOOKUP($DY$2,Variables!$B$60:$F$61,2,FALSE)</f>
        <v>0</v>
      </c>
      <c r="EF103" s="1223">
        <f>$G103*BK103*Variables!$B$53*HLOOKUP($DY$2,Variables!$B$60:$F$61,2,FALSE)</f>
        <v>0</v>
      </c>
      <c r="EG103" s="1223">
        <f>$G103*BL103*Variables!$B$53*HLOOKUP($DY$2,Variables!$B$60:$F$61,2,FALSE)</f>
        <v>0</v>
      </c>
      <c r="EH103" s="1223">
        <f>$G103*BM103*Variables!$B$53*HLOOKUP($DY$2,Variables!$B$60:$F$61,2,FALSE)</f>
        <v>0</v>
      </c>
      <c r="EI103" s="1223">
        <f>$G103*BN103*Variables!$B$53*HLOOKUP($DY$2,Variables!$B$60:$F$61,2,FALSE)</f>
        <v>0</v>
      </c>
      <c r="EJ103" s="1225">
        <f>$G103*BO103*Variables!$B$53*HLOOKUP($DY$2,Variables!$B$60:$F$61,2,FALSE)</f>
        <v>0</v>
      </c>
      <c r="EK103" s="1222">
        <f>$G103*BP103*Variables!$B$53*HLOOKUP($EK$2,Variables!$B$60:$F$61,2,FALSE)</f>
        <v>0</v>
      </c>
      <c r="EL103" s="1223">
        <f>$G103*BQ103*Variables!$B$53*HLOOKUP($EK$2,Variables!$B$60:$F$61,2,FALSE)</f>
        <v>0</v>
      </c>
      <c r="EM103" s="1223">
        <f>$G103*BR103*Variables!$B$53*HLOOKUP($EK$2,Variables!$B$60:$F$61,2,FALSE)</f>
        <v>0</v>
      </c>
      <c r="EN103" s="1223">
        <f>$G103*BS103*Variables!$B$53*HLOOKUP($EK$2,Variables!$B$60:$F$61,2,FALSE)</f>
        <v>0</v>
      </c>
      <c r="EO103" s="1223">
        <f>$G103*BT103*Variables!$B$53*HLOOKUP($EK$2,Variables!$B$60:$F$61,2,FALSE)</f>
        <v>0</v>
      </c>
      <c r="EP103" s="1223">
        <f>$G103*BU103*Variables!$B$53*HLOOKUP($EK$2,Variables!$B$60:$F$61,2,FALSE)</f>
        <v>0</v>
      </c>
      <c r="EQ103" s="1223">
        <f>$G103*BV103*Variables!$B$53*HLOOKUP($EK$2,Variables!$B$60:$F$61,2,FALSE)</f>
        <v>0</v>
      </c>
      <c r="ER103" s="1223">
        <f>$G103*BW103*Variables!$B$53*HLOOKUP($EK$2,Variables!$B$60:$F$61,2,FALSE)</f>
        <v>0</v>
      </c>
      <c r="ES103" s="1223">
        <f>$G103*BX103*Variables!$B$53*HLOOKUP($EK$2,Variables!$B$60:$F$61,2,FALSE)</f>
        <v>0</v>
      </c>
      <c r="ET103" s="1223">
        <f>$G103*BY103*Variables!$B$53*HLOOKUP($EK$2,Variables!$B$60:$F$61,2,FALSE)</f>
        <v>0</v>
      </c>
      <c r="EU103" s="1223">
        <f>$G103*BZ103*Variables!$B$53*HLOOKUP($EK$2,Variables!$B$60:$F$61,2,FALSE)</f>
        <v>0</v>
      </c>
      <c r="EV103" s="1225">
        <f>$G103*CA103*Variables!$B$53*HLOOKUP($EK$2,Variables!$B$60:$F$61,2,FALSE)</f>
        <v>0</v>
      </c>
      <c r="EW103" s="872">
        <f t="shared" si="15"/>
        <v>0</v>
      </c>
      <c r="EX103" s="872"/>
      <c r="EY103" s="872"/>
      <c r="EZ103" s="872"/>
      <c r="FA103" s="1332"/>
      <c r="FC103" s="958" t="str">
        <f t="shared" si="16"/>
        <v/>
      </c>
      <c r="FD103" s="959" t="str">
        <f t="shared" si="17"/>
        <v/>
      </c>
      <c r="FE103" s="959" t="s">
        <v>8407</v>
      </c>
      <c r="FF103" s="959" t="str">
        <f>IF(ISNA(VLOOKUP(FC103,Miscellaneous!E:F,2,0)),"",VLOOKUP(FC103,Miscellaneous!E:F,2,0))</f>
        <v/>
      </c>
      <c r="FG103" s="959" t="str">
        <f t="shared" si="18"/>
        <v/>
      </c>
      <c r="FH103" s="996">
        <f>IF($FG103="Opex",SUMIF('Monthly Summary'!$C$75:$N$75,"",CC103:CN103),SUMIF('Monthly Summary'!$C$74:$N$74,"",CC103:CN103))</f>
        <v>0</v>
      </c>
      <c r="FI103" s="996">
        <f>IF($FG103="Opex",SUMIF('Monthly Summary'!$O$75:$Z$75,"",CO103:CZ103),SUMIF('Monthly Summary'!$O$74:$Z$74,"",CO103:CZ103))</f>
        <v>0</v>
      </c>
      <c r="FJ103" s="996">
        <f>IF($FG103="Opex",SUMIF('Monthly Summary'!$AA$75:$AL$75,"",DA103:DL103),SUMIF('Monthly Summary'!$AA$74:$AL$74,"",DA103:DL103))</f>
        <v>0</v>
      </c>
      <c r="FK103" s="996">
        <f>IF($FG103="Opex",SUMIF('Monthly Summary'!$AM$75:$AX$75,"",DM103:DX103),SUMIF('Monthly Summary'!$AM$74:$AX$74,"",DM103:DX103))</f>
        <v>0</v>
      </c>
      <c r="FL103" s="996">
        <f>IF($FG103="Opex",SUMIF('Monthly Summary'!$AY$75:$BJ$75,"",DY103:EJ103),SUMIF('Monthly Summary'!$AY$74:$BJ$74,"",DY103:EJ103))</f>
        <v>0</v>
      </c>
      <c r="FM103" s="997">
        <f>IF($FG103="Opex",SUMIF('Monthly Summary'!$BK$75:$BV$75,"",EK103:EV103),SUMIF('Monthly Summary'!$BK$74:$BV$74,"",EK103:EV103))</f>
        <v>0</v>
      </c>
      <c r="FN103" s="997">
        <f t="shared" si="14"/>
        <v>0</v>
      </c>
    </row>
    <row r="104" spans="3:170">
      <c r="C104" s="757"/>
      <c r="D104" s="757"/>
      <c r="E104" s="758"/>
      <c r="F104" s="758"/>
      <c r="G104" s="758"/>
      <c r="H104" s="1215"/>
      <c r="I104" s="761"/>
      <c r="J104" s="761"/>
      <c r="K104" s="761"/>
      <c r="L104" s="761"/>
      <c r="M104" s="761"/>
      <c r="N104" s="761"/>
      <c r="O104" s="761"/>
      <c r="P104" s="761"/>
      <c r="Q104" s="761"/>
      <c r="R104" s="761"/>
      <c r="S104" s="1216"/>
      <c r="T104" s="1215"/>
      <c r="U104" s="761"/>
      <c r="V104" s="761"/>
      <c r="W104" s="761"/>
      <c r="X104" s="761"/>
      <c r="Y104" s="761"/>
      <c r="Z104" s="761"/>
      <c r="AA104" s="761"/>
      <c r="AB104" s="761"/>
      <c r="AC104" s="761"/>
      <c r="AD104" s="761"/>
      <c r="AE104" s="1216"/>
      <c r="AF104" s="1215"/>
      <c r="AG104" s="761"/>
      <c r="AH104" s="761"/>
      <c r="AI104" s="761"/>
      <c r="AJ104" s="761"/>
      <c r="AK104" s="761"/>
      <c r="AL104" s="761"/>
      <c r="AM104" s="761"/>
      <c r="AN104" s="761"/>
      <c r="AO104" s="761"/>
      <c r="AP104" s="761"/>
      <c r="AQ104" s="1216"/>
      <c r="AR104" s="1215"/>
      <c r="AS104" s="761"/>
      <c r="AT104" s="761"/>
      <c r="AU104" s="761"/>
      <c r="AV104" s="761"/>
      <c r="AW104" s="761"/>
      <c r="AX104" s="761"/>
      <c r="AY104" s="761"/>
      <c r="AZ104" s="761"/>
      <c r="BA104" s="761"/>
      <c r="BB104" s="761"/>
      <c r="BC104" s="1216"/>
      <c r="BD104" s="1215"/>
      <c r="BE104" s="761"/>
      <c r="BF104" s="761"/>
      <c r="BG104" s="761"/>
      <c r="BH104" s="761"/>
      <c r="BI104" s="761"/>
      <c r="BJ104" s="761"/>
      <c r="BK104" s="761"/>
      <c r="BL104" s="761"/>
      <c r="BM104" s="761"/>
      <c r="BN104" s="761"/>
      <c r="BO104" s="1216"/>
      <c r="BP104" s="1215"/>
      <c r="BQ104" s="761"/>
      <c r="BR104" s="761"/>
      <c r="BS104" s="761"/>
      <c r="BT104" s="761"/>
      <c r="BU104" s="761"/>
      <c r="BV104" s="761"/>
      <c r="BW104" s="761"/>
      <c r="BX104" s="761"/>
      <c r="BY104" s="761"/>
      <c r="BZ104" s="761"/>
      <c r="CA104" s="1216"/>
      <c r="CB104" s="747"/>
      <c r="CC104" s="1222">
        <f>$G104*H104*Variables!$B$53</f>
        <v>0</v>
      </c>
      <c r="CD104" s="1223">
        <f>$G104*I104*Variables!$B$53</f>
        <v>0</v>
      </c>
      <c r="CE104" s="1223">
        <f>$G104*J104*Variables!$B$53</f>
        <v>0</v>
      </c>
      <c r="CF104" s="1223">
        <f>$G104*K104*Variables!$B$53</f>
        <v>0</v>
      </c>
      <c r="CG104" s="1223">
        <f>$G104*L104*Variables!$B$53</f>
        <v>0</v>
      </c>
      <c r="CH104" s="1223">
        <f>$G104*M104*Variables!$B$53</f>
        <v>0</v>
      </c>
      <c r="CI104" s="1223">
        <f>$G104*N104*Variables!$B$53</f>
        <v>0</v>
      </c>
      <c r="CJ104" s="1223">
        <f>$G104*O104*Variables!$B$53</f>
        <v>0</v>
      </c>
      <c r="CK104" s="1223">
        <f>$G104*P104*Variables!$B$53</f>
        <v>0</v>
      </c>
      <c r="CL104" s="1223">
        <f>$G104*Q104*Variables!$B$53</f>
        <v>0</v>
      </c>
      <c r="CM104" s="1223">
        <f>$G104*R104*Variables!$B$53</f>
        <v>0</v>
      </c>
      <c r="CN104" s="1225">
        <f>$G104*S104*Variables!$B$53</f>
        <v>0</v>
      </c>
      <c r="CO104" s="1222">
        <f>$G104*T104*Variables!$B$53*HLOOKUP($CO$2,Variables!$B$60:$F$61,2,FALSE)</f>
        <v>0</v>
      </c>
      <c r="CP104" s="1223">
        <f>$G104*U104*Variables!$B$53*HLOOKUP($CO$2,Variables!$B$60:$F$61,2,FALSE)</f>
        <v>0</v>
      </c>
      <c r="CQ104" s="1223">
        <f>$G104*V104*Variables!$B$53*HLOOKUP($CO$2,Variables!$B$60:$F$61,2,FALSE)</f>
        <v>0</v>
      </c>
      <c r="CR104" s="1223">
        <f>$G104*W104*Variables!$B$53*HLOOKUP($CO$2,Variables!$B$60:$F$61,2,FALSE)</f>
        <v>0</v>
      </c>
      <c r="CS104" s="1223">
        <f>$G104*X104*Variables!$B$53*HLOOKUP($CO$2,Variables!$B$60:$F$61,2,FALSE)</f>
        <v>0</v>
      </c>
      <c r="CT104" s="1223">
        <f>$G104*Y104*Variables!$B$53*HLOOKUP($CO$2,Variables!$B$60:$F$61,2,FALSE)</f>
        <v>0</v>
      </c>
      <c r="CU104" s="1223">
        <f>$G104*Z104*Variables!$B$53*HLOOKUP($CO$2,Variables!$B$60:$F$61,2,FALSE)</f>
        <v>0</v>
      </c>
      <c r="CV104" s="1223">
        <f>$G104*AA104*Variables!$B$53*HLOOKUP($CO$2,Variables!$B$60:$F$61,2,FALSE)</f>
        <v>0</v>
      </c>
      <c r="CW104" s="1223">
        <f>$G104*AB104*Variables!$B$53*HLOOKUP($CO$2,Variables!$B$60:$F$61,2,FALSE)</f>
        <v>0</v>
      </c>
      <c r="CX104" s="1223">
        <f>$G104*AC104*Variables!$B$53*HLOOKUP($CO$2,Variables!$B$60:$F$61,2,FALSE)</f>
        <v>0</v>
      </c>
      <c r="CY104" s="1223">
        <f>$G104*AD104*Variables!$B$53*HLOOKUP($CO$2,Variables!$B$60:$F$61,2,FALSE)</f>
        <v>0</v>
      </c>
      <c r="CZ104" s="1225">
        <f>$G104*AE104*Variables!$B$53*HLOOKUP($CO$2,Variables!$B$60:$F$61,2,FALSE)</f>
        <v>0</v>
      </c>
      <c r="DA104" s="1222">
        <f>$G104*AF104*Variables!$B$53*HLOOKUP($DA$2,Variables!$B$60:$F$61,2,FALSE)</f>
        <v>0</v>
      </c>
      <c r="DB104" s="1223">
        <f>$G104*AG104*Variables!$B$53*HLOOKUP($DA$2,Variables!$B$60:$F$61,2,FALSE)</f>
        <v>0</v>
      </c>
      <c r="DC104" s="1223">
        <f>$G104*AH104*Variables!$B$53*HLOOKUP($DA$2,Variables!$B$60:$F$61,2,FALSE)</f>
        <v>0</v>
      </c>
      <c r="DD104" s="1223">
        <f>$G104*AI104*Variables!$B$53*HLOOKUP($DA$2,Variables!$B$60:$F$61,2,FALSE)</f>
        <v>0</v>
      </c>
      <c r="DE104" s="1223">
        <f>$G104*AJ104*Variables!$B$53*HLOOKUP($DA$2,Variables!$B$60:$F$61,2,FALSE)</f>
        <v>0</v>
      </c>
      <c r="DF104" s="1223">
        <f>$G104*AK104*Variables!$B$53*HLOOKUP($DA$2,Variables!$B$60:$F$61,2,FALSE)</f>
        <v>0</v>
      </c>
      <c r="DG104" s="1223">
        <f>$G104*AL104*Variables!$B$53*HLOOKUP($DA$2,Variables!$B$60:$F$61,2,FALSE)</f>
        <v>0</v>
      </c>
      <c r="DH104" s="1223">
        <f>$G104*AM104*Variables!$B$53*HLOOKUP($DA$2,Variables!$B$60:$F$61,2,FALSE)</f>
        <v>0</v>
      </c>
      <c r="DI104" s="1223">
        <f>$G104*AN104*Variables!$B$53*HLOOKUP($DA$2,Variables!$B$60:$F$61,2,FALSE)</f>
        <v>0</v>
      </c>
      <c r="DJ104" s="1223">
        <f>$G104*AO104*Variables!$B$53*HLOOKUP($DA$2,Variables!$B$60:$F$61,2,FALSE)</f>
        <v>0</v>
      </c>
      <c r="DK104" s="1223">
        <f>$G104*AP104*Variables!$B$53*HLOOKUP($DA$2,Variables!$B$60:$F$61,2,FALSE)</f>
        <v>0</v>
      </c>
      <c r="DL104" s="1225">
        <f>$G104*AQ104*Variables!$B$53*HLOOKUP($DA$2,Variables!$B$60:$F$61,2,FALSE)</f>
        <v>0</v>
      </c>
      <c r="DM104" s="1222">
        <f>$G104*AR104*Variables!$B$53*HLOOKUP($DM$2,Variables!$B$60:$F$61,2,FALSE)</f>
        <v>0</v>
      </c>
      <c r="DN104" s="1223">
        <f>$G104*AS104*Variables!$B$53*HLOOKUP($DM$2,Variables!$B$60:$F$61,2,FALSE)</f>
        <v>0</v>
      </c>
      <c r="DO104" s="1223">
        <f>$G104*AT104*Variables!$B$53*HLOOKUP($DM$2,Variables!$B$60:$F$61,2,FALSE)</f>
        <v>0</v>
      </c>
      <c r="DP104" s="1223">
        <f>$G104*AU104*Variables!$B$53*HLOOKUP($DM$2,Variables!$B$60:$F$61,2,FALSE)</f>
        <v>0</v>
      </c>
      <c r="DQ104" s="1223">
        <f>$G104*AV104*Variables!$B$53*HLOOKUP($DM$2,Variables!$B$60:$F$61,2,FALSE)</f>
        <v>0</v>
      </c>
      <c r="DR104" s="1223">
        <f>$G104*AW104*Variables!$B$53*HLOOKUP($DM$2,Variables!$B$60:$F$61,2,FALSE)</f>
        <v>0</v>
      </c>
      <c r="DS104" s="1223">
        <f>$G104*AX104*Variables!$B$53*HLOOKUP($DM$2,Variables!$B$60:$F$61,2,FALSE)</f>
        <v>0</v>
      </c>
      <c r="DT104" s="1223">
        <f>$G104*AY104*Variables!$B$53*HLOOKUP($DM$2,Variables!$B$60:$F$61,2,FALSE)</f>
        <v>0</v>
      </c>
      <c r="DU104" s="1223">
        <f>$G104*AZ104*Variables!$B$53*HLOOKUP($DM$2,Variables!$B$60:$F$61,2,FALSE)</f>
        <v>0</v>
      </c>
      <c r="DV104" s="1223">
        <f>$G104*BA104*Variables!$B$53*HLOOKUP($DM$2,Variables!$B$60:$F$61,2,FALSE)</f>
        <v>0</v>
      </c>
      <c r="DW104" s="1223">
        <f>$G104*BB104*Variables!$B$53*HLOOKUP($DM$2,Variables!$B$60:$F$61,2,FALSE)</f>
        <v>0</v>
      </c>
      <c r="DX104" s="1225">
        <f>$G104*BC104*Variables!$B$53*HLOOKUP($DM$2,Variables!$B$60:$F$61,2,FALSE)</f>
        <v>0</v>
      </c>
      <c r="DY104" s="1222">
        <f>$G104*BD104*Variables!$B$53*HLOOKUP($DY$2,Variables!$B$60:$F$61,2,FALSE)</f>
        <v>0</v>
      </c>
      <c r="DZ104" s="1223">
        <f>$G104*BE104*Variables!$B$53*HLOOKUP($DY$2,Variables!$B$60:$F$61,2,FALSE)</f>
        <v>0</v>
      </c>
      <c r="EA104" s="1223">
        <f>$G104*BF104*Variables!$B$53*HLOOKUP($DY$2,Variables!$B$60:$F$61,2,FALSE)</f>
        <v>0</v>
      </c>
      <c r="EB104" s="1223">
        <f>$G104*BG104*Variables!$B$53*HLOOKUP($DY$2,Variables!$B$60:$F$61,2,FALSE)</f>
        <v>0</v>
      </c>
      <c r="EC104" s="1223">
        <f>$G104*BH104*Variables!$B$53*HLOOKUP($DY$2,Variables!$B$60:$F$61,2,FALSE)</f>
        <v>0</v>
      </c>
      <c r="ED104" s="1223">
        <f>$G104*BI104*Variables!$B$53*HLOOKUP($DY$2,Variables!$B$60:$F$61,2,FALSE)</f>
        <v>0</v>
      </c>
      <c r="EE104" s="1223">
        <f>$G104*BJ104*Variables!$B$53*HLOOKUP($DY$2,Variables!$B$60:$F$61,2,FALSE)</f>
        <v>0</v>
      </c>
      <c r="EF104" s="1223">
        <f>$G104*BK104*Variables!$B$53*HLOOKUP($DY$2,Variables!$B$60:$F$61,2,FALSE)</f>
        <v>0</v>
      </c>
      <c r="EG104" s="1223">
        <f>$G104*BL104*Variables!$B$53*HLOOKUP($DY$2,Variables!$B$60:$F$61,2,FALSE)</f>
        <v>0</v>
      </c>
      <c r="EH104" s="1223">
        <f>$G104*BM104*Variables!$B$53*HLOOKUP($DY$2,Variables!$B$60:$F$61,2,FALSE)</f>
        <v>0</v>
      </c>
      <c r="EI104" s="1223">
        <f>$G104*BN104*Variables!$B$53*HLOOKUP($DY$2,Variables!$B$60:$F$61,2,FALSE)</f>
        <v>0</v>
      </c>
      <c r="EJ104" s="1225">
        <f>$G104*BO104*Variables!$B$53*HLOOKUP($DY$2,Variables!$B$60:$F$61,2,FALSE)</f>
        <v>0</v>
      </c>
      <c r="EK104" s="1222">
        <f>$G104*BP104*Variables!$B$53*HLOOKUP($EK$2,Variables!$B$60:$F$61,2,FALSE)</f>
        <v>0</v>
      </c>
      <c r="EL104" s="1223">
        <f>$G104*BQ104*Variables!$B$53*HLOOKUP($EK$2,Variables!$B$60:$F$61,2,FALSE)</f>
        <v>0</v>
      </c>
      <c r="EM104" s="1223">
        <f>$G104*BR104*Variables!$B$53*HLOOKUP($EK$2,Variables!$B$60:$F$61,2,FALSE)</f>
        <v>0</v>
      </c>
      <c r="EN104" s="1223">
        <f>$G104*BS104*Variables!$B$53*HLOOKUP($EK$2,Variables!$B$60:$F$61,2,FALSE)</f>
        <v>0</v>
      </c>
      <c r="EO104" s="1223">
        <f>$G104*BT104*Variables!$B$53*HLOOKUP($EK$2,Variables!$B$60:$F$61,2,FALSE)</f>
        <v>0</v>
      </c>
      <c r="EP104" s="1223">
        <f>$G104*BU104*Variables!$B$53*HLOOKUP($EK$2,Variables!$B$60:$F$61,2,FALSE)</f>
        <v>0</v>
      </c>
      <c r="EQ104" s="1223">
        <f>$G104*BV104*Variables!$B$53*HLOOKUP($EK$2,Variables!$B$60:$F$61,2,FALSE)</f>
        <v>0</v>
      </c>
      <c r="ER104" s="1223">
        <f>$G104*BW104*Variables!$B$53*HLOOKUP($EK$2,Variables!$B$60:$F$61,2,FALSE)</f>
        <v>0</v>
      </c>
      <c r="ES104" s="1223">
        <f>$G104*BX104*Variables!$B$53*HLOOKUP($EK$2,Variables!$B$60:$F$61,2,FALSE)</f>
        <v>0</v>
      </c>
      <c r="ET104" s="1223">
        <f>$G104*BY104*Variables!$B$53*HLOOKUP($EK$2,Variables!$B$60:$F$61,2,FALSE)</f>
        <v>0</v>
      </c>
      <c r="EU104" s="1223">
        <f>$G104*BZ104*Variables!$B$53*HLOOKUP($EK$2,Variables!$B$60:$F$61,2,FALSE)</f>
        <v>0</v>
      </c>
      <c r="EV104" s="1225">
        <f>$G104*CA104*Variables!$B$53*HLOOKUP($EK$2,Variables!$B$60:$F$61,2,FALSE)</f>
        <v>0</v>
      </c>
      <c r="EW104" s="872">
        <f t="shared" si="15"/>
        <v>0</v>
      </c>
      <c r="EX104" s="872"/>
      <c r="EY104" s="872"/>
      <c r="EZ104" s="872"/>
      <c r="FA104" s="1332"/>
      <c r="FC104" s="958" t="str">
        <f t="shared" si="16"/>
        <v/>
      </c>
      <c r="FD104" s="959" t="str">
        <f t="shared" si="17"/>
        <v/>
      </c>
      <c r="FE104" s="959" t="s">
        <v>8407</v>
      </c>
      <c r="FF104" s="959" t="str">
        <f>IF(ISNA(VLOOKUP(FC104,Miscellaneous!E:F,2,0)),"",VLOOKUP(FC104,Miscellaneous!E:F,2,0))</f>
        <v/>
      </c>
      <c r="FG104" s="959" t="str">
        <f t="shared" si="18"/>
        <v/>
      </c>
      <c r="FH104" s="996">
        <f>IF($FG104="Opex",SUMIF('Monthly Summary'!$C$75:$N$75,"",CC104:CN104),SUMIF('Monthly Summary'!$C$74:$N$74,"",CC104:CN104))</f>
        <v>0</v>
      </c>
      <c r="FI104" s="996">
        <f>IF($FG104="Opex",SUMIF('Monthly Summary'!$O$75:$Z$75,"",CO104:CZ104),SUMIF('Monthly Summary'!$O$74:$Z$74,"",CO104:CZ104))</f>
        <v>0</v>
      </c>
      <c r="FJ104" s="996">
        <f>IF($FG104="Opex",SUMIF('Monthly Summary'!$AA$75:$AL$75,"",DA104:DL104),SUMIF('Monthly Summary'!$AA$74:$AL$74,"",DA104:DL104))</f>
        <v>0</v>
      </c>
      <c r="FK104" s="996">
        <f>IF($FG104="Opex",SUMIF('Monthly Summary'!$AM$75:$AX$75,"",DM104:DX104),SUMIF('Monthly Summary'!$AM$74:$AX$74,"",DM104:DX104))</f>
        <v>0</v>
      </c>
      <c r="FL104" s="996">
        <f>IF($FG104="Opex",SUMIF('Monthly Summary'!$AY$75:$BJ$75,"",DY104:EJ104),SUMIF('Monthly Summary'!$AY$74:$BJ$74,"",DY104:EJ104))</f>
        <v>0</v>
      </c>
      <c r="FM104" s="997">
        <f>IF($FG104="Opex",SUMIF('Monthly Summary'!$BK$75:$BV$75,"",EK104:EV104),SUMIF('Monthly Summary'!$BK$74:$BV$74,"",EK104:EV104))</f>
        <v>0</v>
      </c>
      <c r="FN104" s="997">
        <f t="shared" si="14"/>
        <v>0</v>
      </c>
    </row>
    <row r="105" spans="3:170">
      <c r="C105" s="757"/>
      <c r="D105" s="757"/>
      <c r="E105" s="758"/>
      <c r="F105" s="758"/>
      <c r="G105" s="758"/>
      <c r="H105" s="1215"/>
      <c r="I105" s="761"/>
      <c r="J105" s="761"/>
      <c r="K105" s="761"/>
      <c r="L105" s="761"/>
      <c r="M105" s="761"/>
      <c r="N105" s="761"/>
      <c r="O105" s="761"/>
      <c r="P105" s="761"/>
      <c r="Q105" s="761"/>
      <c r="R105" s="761"/>
      <c r="S105" s="1216"/>
      <c r="T105" s="1215"/>
      <c r="U105" s="761"/>
      <c r="V105" s="761"/>
      <c r="W105" s="761"/>
      <c r="X105" s="761"/>
      <c r="Y105" s="761"/>
      <c r="Z105" s="761"/>
      <c r="AA105" s="761"/>
      <c r="AB105" s="761"/>
      <c r="AC105" s="761"/>
      <c r="AD105" s="761"/>
      <c r="AE105" s="1216"/>
      <c r="AF105" s="1215"/>
      <c r="AG105" s="761"/>
      <c r="AH105" s="761"/>
      <c r="AI105" s="761"/>
      <c r="AJ105" s="761"/>
      <c r="AK105" s="761"/>
      <c r="AL105" s="761"/>
      <c r="AM105" s="761"/>
      <c r="AN105" s="761"/>
      <c r="AO105" s="761"/>
      <c r="AP105" s="761"/>
      <c r="AQ105" s="1216"/>
      <c r="AR105" s="1215"/>
      <c r="AS105" s="761"/>
      <c r="AT105" s="761"/>
      <c r="AU105" s="761"/>
      <c r="AV105" s="761"/>
      <c r="AW105" s="761"/>
      <c r="AX105" s="761"/>
      <c r="AY105" s="761"/>
      <c r="AZ105" s="761"/>
      <c r="BA105" s="761"/>
      <c r="BB105" s="761"/>
      <c r="BC105" s="1216"/>
      <c r="BD105" s="1215"/>
      <c r="BE105" s="761"/>
      <c r="BF105" s="761"/>
      <c r="BG105" s="761"/>
      <c r="BH105" s="761"/>
      <c r="BI105" s="761"/>
      <c r="BJ105" s="761"/>
      <c r="BK105" s="761"/>
      <c r="BL105" s="761"/>
      <c r="BM105" s="761"/>
      <c r="BN105" s="761"/>
      <c r="BO105" s="1216"/>
      <c r="BP105" s="1215"/>
      <c r="BQ105" s="761"/>
      <c r="BR105" s="761"/>
      <c r="BS105" s="761"/>
      <c r="BT105" s="761"/>
      <c r="BU105" s="761"/>
      <c r="BV105" s="761"/>
      <c r="BW105" s="761"/>
      <c r="BX105" s="761"/>
      <c r="BY105" s="761"/>
      <c r="BZ105" s="761"/>
      <c r="CA105" s="1216"/>
      <c r="CB105" s="747"/>
      <c r="CC105" s="1222">
        <f>$G105*H105*Variables!$B$53</f>
        <v>0</v>
      </c>
      <c r="CD105" s="1223">
        <f>$G105*I105*Variables!$B$53</f>
        <v>0</v>
      </c>
      <c r="CE105" s="1223">
        <f>$G105*J105*Variables!$B$53</f>
        <v>0</v>
      </c>
      <c r="CF105" s="1223">
        <f>$G105*K105*Variables!$B$53</f>
        <v>0</v>
      </c>
      <c r="CG105" s="1223">
        <f>$G105*L105*Variables!$B$53</f>
        <v>0</v>
      </c>
      <c r="CH105" s="1223">
        <f>$G105*M105*Variables!$B$53</f>
        <v>0</v>
      </c>
      <c r="CI105" s="1223">
        <f>$G105*N105*Variables!$B$53</f>
        <v>0</v>
      </c>
      <c r="CJ105" s="1223">
        <f>$G105*O105*Variables!$B$53</f>
        <v>0</v>
      </c>
      <c r="CK105" s="1223">
        <f>$G105*P105*Variables!$B$53</f>
        <v>0</v>
      </c>
      <c r="CL105" s="1223">
        <f>$G105*Q105*Variables!$B$53</f>
        <v>0</v>
      </c>
      <c r="CM105" s="1223">
        <f>$G105*R105*Variables!$B$53</f>
        <v>0</v>
      </c>
      <c r="CN105" s="1225">
        <f>$G105*S105*Variables!$B$53</f>
        <v>0</v>
      </c>
      <c r="CO105" s="1222">
        <f>$G105*T105*Variables!$B$53*HLOOKUP($CO$2,Variables!$B$60:$F$61,2,FALSE)</f>
        <v>0</v>
      </c>
      <c r="CP105" s="1223">
        <f>$G105*U105*Variables!$B$53*HLOOKUP($CO$2,Variables!$B$60:$F$61,2,FALSE)</f>
        <v>0</v>
      </c>
      <c r="CQ105" s="1223">
        <f>$G105*V105*Variables!$B$53*HLOOKUP($CO$2,Variables!$B$60:$F$61,2,FALSE)</f>
        <v>0</v>
      </c>
      <c r="CR105" s="1223">
        <f>$G105*W105*Variables!$B$53*HLOOKUP($CO$2,Variables!$B$60:$F$61,2,FALSE)</f>
        <v>0</v>
      </c>
      <c r="CS105" s="1223">
        <f>$G105*X105*Variables!$B$53*HLOOKUP($CO$2,Variables!$B$60:$F$61,2,FALSE)</f>
        <v>0</v>
      </c>
      <c r="CT105" s="1223">
        <f>$G105*Y105*Variables!$B$53*HLOOKUP($CO$2,Variables!$B$60:$F$61,2,FALSE)</f>
        <v>0</v>
      </c>
      <c r="CU105" s="1223">
        <f>$G105*Z105*Variables!$B$53*HLOOKUP($CO$2,Variables!$B$60:$F$61,2,FALSE)</f>
        <v>0</v>
      </c>
      <c r="CV105" s="1223">
        <f>$G105*AA105*Variables!$B$53*HLOOKUP($CO$2,Variables!$B$60:$F$61,2,FALSE)</f>
        <v>0</v>
      </c>
      <c r="CW105" s="1223">
        <f>$G105*AB105*Variables!$B$53*HLOOKUP($CO$2,Variables!$B$60:$F$61,2,FALSE)</f>
        <v>0</v>
      </c>
      <c r="CX105" s="1223">
        <f>$G105*AC105*Variables!$B$53*HLOOKUP($CO$2,Variables!$B$60:$F$61,2,FALSE)</f>
        <v>0</v>
      </c>
      <c r="CY105" s="1223">
        <f>$G105*AD105*Variables!$B$53*HLOOKUP($CO$2,Variables!$B$60:$F$61,2,FALSE)</f>
        <v>0</v>
      </c>
      <c r="CZ105" s="1225">
        <f>$G105*AE105*Variables!$B$53*HLOOKUP($CO$2,Variables!$B$60:$F$61,2,FALSE)</f>
        <v>0</v>
      </c>
      <c r="DA105" s="1222">
        <f>$G105*AF105*Variables!$B$53*HLOOKUP($DA$2,Variables!$B$60:$F$61,2,FALSE)</f>
        <v>0</v>
      </c>
      <c r="DB105" s="1223">
        <f>$G105*AG105*Variables!$B$53*HLOOKUP($DA$2,Variables!$B$60:$F$61,2,FALSE)</f>
        <v>0</v>
      </c>
      <c r="DC105" s="1223">
        <f>$G105*AH105*Variables!$B$53*HLOOKUP($DA$2,Variables!$B$60:$F$61,2,FALSE)</f>
        <v>0</v>
      </c>
      <c r="DD105" s="1223">
        <f>$G105*AI105*Variables!$B$53*HLOOKUP($DA$2,Variables!$B$60:$F$61,2,FALSE)</f>
        <v>0</v>
      </c>
      <c r="DE105" s="1223">
        <f>$G105*AJ105*Variables!$B$53*HLOOKUP($DA$2,Variables!$B$60:$F$61,2,FALSE)</f>
        <v>0</v>
      </c>
      <c r="DF105" s="1223">
        <f>$G105*AK105*Variables!$B$53*HLOOKUP($DA$2,Variables!$B$60:$F$61,2,FALSE)</f>
        <v>0</v>
      </c>
      <c r="DG105" s="1223">
        <f>$G105*AL105*Variables!$B$53*HLOOKUP($DA$2,Variables!$B$60:$F$61,2,FALSE)</f>
        <v>0</v>
      </c>
      <c r="DH105" s="1223">
        <f>$G105*AM105*Variables!$B$53*HLOOKUP($DA$2,Variables!$B$60:$F$61,2,FALSE)</f>
        <v>0</v>
      </c>
      <c r="DI105" s="1223">
        <f>$G105*AN105*Variables!$B$53*HLOOKUP($DA$2,Variables!$B$60:$F$61,2,FALSE)</f>
        <v>0</v>
      </c>
      <c r="DJ105" s="1223">
        <f>$G105*AO105*Variables!$B$53*HLOOKUP($DA$2,Variables!$B$60:$F$61,2,FALSE)</f>
        <v>0</v>
      </c>
      <c r="DK105" s="1223">
        <f>$G105*AP105*Variables!$B$53*HLOOKUP($DA$2,Variables!$B$60:$F$61,2,FALSE)</f>
        <v>0</v>
      </c>
      <c r="DL105" s="1225">
        <f>$G105*AQ105*Variables!$B$53*HLOOKUP($DA$2,Variables!$B$60:$F$61,2,FALSE)</f>
        <v>0</v>
      </c>
      <c r="DM105" s="1222">
        <f>$G105*AR105*Variables!$B$53*HLOOKUP($DM$2,Variables!$B$60:$F$61,2,FALSE)</f>
        <v>0</v>
      </c>
      <c r="DN105" s="1223">
        <f>$G105*AS105*Variables!$B$53*HLOOKUP($DM$2,Variables!$B$60:$F$61,2,FALSE)</f>
        <v>0</v>
      </c>
      <c r="DO105" s="1223">
        <f>$G105*AT105*Variables!$B$53*HLOOKUP($DM$2,Variables!$B$60:$F$61,2,FALSE)</f>
        <v>0</v>
      </c>
      <c r="DP105" s="1223">
        <f>$G105*AU105*Variables!$B$53*HLOOKUP($DM$2,Variables!$B$60:$F$61,2,FALSE)</f>
        <v>0</v>
      </c>
      <c r="DQ105" s="1223">
        <f>$G105*AV105*Variables!$B$53*HLOOKUP($DM$2,Variables!$B$60:$F$61,2,FALSE)</f>
        <v>0</v>
      </c>
      <c r="DR105" s="1223">
        <f>$G105*AW105*Variables!$B$53*HLOOKUP($DM$2,Variables!$B$60:$F$61,2,FALSE)</f>
        <v>0</v>
      </c>
      <c r="DS105" s="1223">
        <f>$G105*AX105*Variables!$B$53*HLOOKUP($DM$2,Variables!$B$60:$F$61,2,FALSE)</f>
        <v>0</v>
      </c>
      <c r="DT105" s="1223">
        <f>$G105*AY105*Variables!$B$53*HLOOKUP($DM$2,Variables!$B$60:$F$61,2,FALSE)</f>
        <v>0</v>
      </c>
      <c r="DU105" s="1223">
        <f>$G105*AZ105*Variables!$B$53*HLOOKUP($DM$2,Variables!$B$60:$F$61,2,FALSE)</f>
        <v>0</v>
      </c>
      <c r="DV105" s="1223">
        <f>$G105*BA105*Variables!$B$53*HLOOKUP($DM$2,Variables!$B$60:$F$61,2,FALSE)</f>
        <v>0</v>
      </c>
      <c r="DW105" s="1223">
        <f>$G105*BB105*Variables!$B$53*HLOOKUP($DM$2,Variables!$B$60:$F$61,2,FALSE)</f>
        <v>0</v>
      </c>
      <c r="DX105" s="1225">
        <f>$G105*BC105*Variables!$B$53*HLOOKUP($DM$2,Variables!$B$60:$F$61,2,FALSE)</f>
        <v>0</v>
      </c>
      <c r="DY105" s="1222">
        <f>$G105*BD105*Variables!$B$53*HLOOKUP($DY$2,Variables!$B$60:$F$61,2,FALSE)</f>
        <v>0</v>
      </c>
      <c r="DZ105" s="1223">
        <f>$G105*BE105*Variables!$B$53*HLOOKUP($DY$2,Variables!$B$60:$F$61,2,FALSE)</f>
        <v>0</v>
      </c>
      <c r="EA105" s="1223">
        <f>$G105*BF105*Variables!$B$53*HLOOKUP($DY$2,Variables!$B$60:$F$61,2,FALSE)</f>
        <v>0</v>
      </c>
      <c r="EB105" s="1223">
        <f>$G105*BG105*Variables!$B$53*HLOOKUP($DY$2,Variables!$B$60:$F$61,2,FALSE)</f>
        <v>0</v>
      </c>
      <c r="EC105" s="1223">
        <f>$G105*BH105*Variables!$B$53*HLOOKUP($DY$2,Variables!$B$60:$F$61,2,FALSE)</f>
        <v>0</v>
      </c>
      <c r="ED105" s="1223">
        <f>$G105*BI105*Variables!$B$53*HLOOKUP($DY$2,Variables!$B$60:$F$61,2,FALSE)</f>
        <v>0</v>
      </c>
      <c r="EE105" s="1223">
        <f>$G105*BJ105*Variables!$B$53*HLOOKUP($DY$2,Variables!$B$60:$F$61,2,FALSE)</f>
        <v>0</v>
      </c>
      <c r="EF105" s="1223">
        <f>$G105*BK105*Variables!$B$53*HLOOKUP($DY$2,Variables!$B$60:$F$61,2,FALSE)</f>
        <v>0</v>
      </c>
      <c r="EG105" s="1223">
        <f>$G105*BL105*Variables!$B$53*HLOOKUP($DY$2,Variables!$B$60:$F$61,2,FALSE)</f>
        <v>0</v>
      </c>
      <c r="EH105" s="1223">
        <f>$G105*BM105*Variables!$B$53*HLOOKUP($DY$2,Variables!$B$60:$F$61,2,FALSE)</f>
        <v>0</v>
      </c>
      <c r="EI105" s="1223">
        <f>$G105*BN105*Variables!$B$53*HLOOKUP($DY$2,Variables!$B$60:$F$61,2,FALSE)</f>
        <v>0</v>
      </c>
      <c r="EJ105" s="1225">
        <f>$G105*BO105*Variables!$B$53*HLOOKUP($DY$2,Variables!$B$60:$F$61,2,FALSE)</f>
        <v>0</v>
      </c>
      <c r="EK105" s="1222">
        <f>$G105*BP105*Variables!$B$53*HLOOKUP($EK$2,Variables!$B$60:$F$61,2,FALSE)</f>
        <v>0</v>
      </c>
      <c r="EL105" s="1223">
        <f>$G105*BQ105*Variables!$B$53*HLOOKUP($EK$2,Variables!$B$60:$F$61,2,FALSE)</f>
        <v>0</v>
      </c>
      <c r="EM105" s="1223">
        <f>$G105*BR105*Variables!$B$53*HLOOKUP($EK$2,Variables!$B$60:$F$61,2,FALSE)</f>
        <v>0</v>
      </c>
      <c r="EN105" s="1223">
        <f>$G105*BS105*Variables!$B$53*HLOOKUP($EK$2,Variables!$B$60:$F$61,2,FALSE)</f>
        <v>0</v>
      </c>
      <c r="EO105" s="1223">
        <f>$G105*BT105*Variables!$B$53*HLOOKUP($EK$2,Variables!$B$60:$F$61,2,FALSE)</f>
        <v>0</v>
      </c>
      <c r="EP105" s="1223">
        <f>$G105*BU105*Variables!$B$53*HLOOKUP($EK$2,Variables!$B$60:$F$61,2,FALSE)</f>
        <v>0</v>
      </c>
      <c r="EQ105" s="1223">
        <f>$G105*BV105*Variables!$B$53*HLOOKUP($EK$2,Variables!$B$60:$F$61,2,FALSE)</f>
        <v>0</v>
      </c>
      <c r="ER105" s="1223">
        <f>$G105*BW105*Variables!$B$53*HLOOKUP($EK$2,Variables!$B$60:$F$61,2,FALSE)</f>
        <v>0</v>
      </c>
      <c r="ES105" s="1223">
        <f>$G105*BX105*Variables!$B$53*HLOOKUP($EK$2,Variables!$B$60:$F$61,2,FALSE)</f>
        <v>0</v>
      </c>
      <c r="ET105" s="1223">
        <f>$G105*BY105*Variables!$B$53*HLOOKUP($EK$2,Variables!$B$60:$F$61,2,FALSE)</f>
        <v>0</v>
      </c>
      <c r="EU105" s="1223">
        <f>$G105*BZ105*Variables!$B$53*HLOOKUP($EK$2,Variables!$B$60:$F$61,2,FALSE)</f>
        <v>0</v>
      </c>
      <c r="EV105" s="1225">
        <f>$G105*CA105*Variables!$B$53*HLOOKUP($EK$2,Variables!$B$60:$F$61,2,FALSE)</f>
        <v>0</v>
      </c>
      <c r="EW105" s="872">
        <f t="shared" si="15"/>
        <v>0</v>
      </c>
      <c r="EX105" s="872"/>
      <c r="EY105" s="872"/>
      <c r="EZ105" s="872"/>
      <c r="FA105" s="1332"/>
      <c r="FC105" s="958" t="str">
        <f t="shared" si="16"/>
        <v/>
      </c>
      <c r="FD105" s="959" t="str">
        <f t="shared" si="17"/>
        <v/>
      </c>
      <c r="FE105" s="959" t="s">
        <v>8407</v>
      </c>
      <c r="FF105" s="959" t="str">
        <f>IF(ISNA(VLOOKUP(FC105,Miscellaneous!E:F,2,0)),"",VLOOKUP(FC105,Miscellaneous!E:F,2,0))</f>
        <v/>
      </c>
      <c r="FG105" s="959" t="str">
        <f t="shared" si="18"/>
        <v/>
      </c>
      <c r="FH105" s="996">
        <f>IF($FG105="Opex",SUMIF('Monthly Summary'!$C$75:$N$75,"",CC105:CN105),SUMIF('Monthly Summary'!$C$74:$N$74,"",CC105:CN105))</f>
        <v>0</v>
      </c>
      <c r="FI105" s="996">
        <f>IF($FG105="Opex",SUMIF('Monthly Summary'!$O$75:$Z$75,"",CO105:CZ105),SUMIF('Monthly Summary'!$O$74:$Z$74,"",CO105:CZ105))</f>
        <v>0</v>
      </c>
      <c r="FJ105" s="996">
        <f>IF($FG105="Opex",SUMIF('Monthly Summary'!$AA$75:$AL$75,"",DA105:DL105),SUMIF('Monthly Summary'!$AA$74:$AL$74,"",DA105:DL105))</f>
        <v>0</v>
      </c>
      <c r="FK105" s="996">
        <f>IF($FG105="Opex",SUMIF('Monthly Summary'!$AM$75:$AX$75,"",DM105:DX105),SUMIF('Monthly Summary'!$AM$74:$AX$74,"",DM105:DX105))</f>
        <v>0</v>
      </c>
      <c r="FL105" s="996">
        <f>IF($FG105="Opex",SUMIF('Monthly Summary'!$AY$75:$BJ$75,"",DY105:EJ105),SUMIF('Monthly Summary'!$AY$74:$BJ$74,"",DY105:EJ105))</f>
        <v>0</v>
      </c>
      <c r="FM105" s="997">
        <f>IF($FG105="Opex",SUMIF('Monthly Summary'!$BK$75:$BV$75,"",EK105:EV105),SUMIF('Monthly Summary'!$BK$74:$BV$74,"",EK105:EV105))</f>
        <v>0</v>
      </c>
      <c r="FN105" s="997">
        <f t="shared" si="14"/>
        <v>0</v>
      </c>
    </row>
    <row r="106" spans="3:170">
      <c r="C106" s="757"/>
      <c r="D106" s="757"/>
      <c r="E106" s="758"/>
      <c r="F106" s="758"/>
      <c r="G106" s="758"/>
      <c r="H106" s="1215"/>
      <c r="I106" s="761"/>
      <c r="J106" s="761"/>
      <c r="K106" s="761"/>
      <c r="L106" s="761"/>
      <c r="M106" s="761"/>
      <c r="N106" s="761"/>
      <c r="O106" s="761"/>
      <c r="P106" s="761"/>
      <c r="Q106" s="761"/>
      <c r="R106" s="761"/>
      <c r="S106" s="1216"/>
      <c r="T106" s="1215"/>
      <c r="U106" s="761"/>
      <c r="V106" s="761"/>
      <c r="W106" s="761"/>
      <c r="X106" s="761"/>
      <c r="Y106" s="761"/>
      <c r="Z106" s="761"/>
      <c r="AA106" s="761"/>
      <c r="AB106" s="761"/>
      <c r="AC106" s="761"/>
      <c r="AD106" s="761"/>
      <c r="AE106" s="1216"/>
      <c r="AF106" s="1215"/>
      <c r="AG106" s="761"/>
      <c r="AH106" s="761"/>
      <c r="AI106" s="761"/>
      <c r="AJ106" s="761"/>
      <c r="AK106" s="761"/>
      <c r="AL106" s="761"/>
      <c r="AM106" s="761"/>
      <c r="AN106" s="761"/>
      <c r="AO106" s="761"/>
      <c r="AP106" s="761"/>
      <c r="AQ106" s="1216"/>
      <c r="AR106" s="1215"/>
      <c r="AS106" s="761"/>
      <c r="AT106" s="761"/>
      <c r="AU106" s="761"/>
      <c r="AV106" s="761"/>
      <c r="AW106" s="761"/>
      <c r="AX106" s="761"/>
      <c r="AY106" s="761"/>
      <c r="AZ106" s="761"/>
      <c r="BA106" s="761"/>
      <c r="BB106" s="761"/>
      <c r="BC106" s="1216"/>
      <c r="BD106" s="1215"/>
      <c r="BE106" s="761"/>
      <c r="BF106" s="761"/>
      <c r="BG106" s="761"/>
      <c r="BH106" s="761"/>
      <c r="BI106" s="761"/>
      <c r="BJ106" s="761"/>
      <c r="BK106" s="761"/>
      <c r="BL106" s="761"/>
      <c r="BM106" s="761"/>
      <c r="BN106" s="761"/>
      <c r="BO106" s="1216"/>
      <c r="BP106" s="1215"/>
      <c r="BQ106" s="761"/>
      <c r="BR106" s="761"/>
      <c r="BS106" s="761"/>
      <c r="BT106" s="761"/>
      <c r="BU106" s="761"/>
      <c r="BV106" s="761"/>
      <c r="BW106" s="761"/>
      <c r="BX106" s="761"/>
      <c r="BY106" s="761"/>
      <c r="BZ106" s="761"/>
      <c r="CA106" s="1216"/>
      <c r="CB106" s="747"/>
      <c r="CC106" s="1222">
        <f>$G106*H106*Variables!$B$53</f>
        <v>0</v>
      </c>
      <c r="CD106" s="1223">
        <f>$G106*I106*Variables!$B$53</f>
        <v>0</v>
      </c>
      <c r="CE106" s="1223">
        <f>$G106*J106*Variables!$B$53</f>
        <v>0</v>
      </c>
      <c r="CF106" s="1223">
        <f>$G106*K106*Variables!$B$53</f>
        <v>0</v>
      </c>
      <c r="CG106" s="1223">
        <f>$G106*L106*Variables!$B$53</f>
        <v>0</v>
      </c>
      <c r="CH106" s="1223">
        <f>$G106*M106*Variables!$B$53</f>
        <v>0</v>
      </c>
      <c r="CI106" s="1223">
        <f>$G106*N106*Variables!$B$53</f>
        <v>0</v>
      </c>
      <c r="CJ106" s="1223">
        <f>$G106*O106*Variables!$B$53</f>
        <v>0</v>
      </c>
      <c r="CK106" s="1223">
        <f>$G106*P106*Variables!$B$53</f>
        <v>0</v>
      </c>
      <c r="CL106" s="1223">
        <f>$G106*Q106*Variables!$B$53</f>
        <v>0</v>
      </c>
      <c r="CM106" s="1223">
        <f>$G106*R106*Variables!$B$53</f>
        <v>0</v>
      </c>
      <c r="CN106" s="1225">
        <f>$G106*S106*Variables!$B$53</f>
        <v>0</v>
      </c>
      <c r="CO106" s="1222">
        <f>$G106*T106*Variables!$B$53*HLOOKUP($CO$2,Variables!$B$60:$F$61,2,FALSE)</f>
        <v>0</v>
      </c>
      <c r="CP106" s="1223">
        <f>$G106*U106*Variables!$B$53*HLOOKUP($CO$2,Variables!$B$60:$F$61,2,FALSE)</f>
        <v>0</v>
      </c>
      <c r="CQ106" s="1223">
        <f>$G106*V106*Variables!$B$53*HLOOKUP($CO$2,Variables!$B$60:$F$61,2,FALSE)</f>
        <v>0</v>
      </c>
      <c r="CR106" s="1223">
        <f>$G106*W106*Variables!$B$53*HLOOKUP($CO$2,Variables!$B$60:$F$61,2,FALSE)</f>
        <v>0</v>
      </c>
      <c r="CS106" s="1223">
        <f>$G106*X106*Variables!$B$53*HLOOKUP($CO$2,Variables!$B$60:$F$61,2,FALSE)</f>
        <v>0</v>
      </c>
      <c r="CT106" s="1223">
        <f>$G106*Y106*Variables!$B$53*HLOOKUP($CO$2,Variables!$B$60:$F$61,2,FALSE)</f>
        <v>0</v>
      </c>
      <c r="CU106" s="1223">
        <f>$G106*Z106*Variables!$B$53*HLOOKUP($CO$2,Variables!$B$60:$F$61,2,FALSE)</f>
        <v>0</v>
      </c>
      <c r="CV106" s="1223">
        <f>$G106*AA106*Variables!$B$53*HLOOKUP($CO$2,Variables!$B$60:$F$61,2,FALSE)</f>
        <v>0</v>
      </c>
      <c r="CW106" s="1223">
        <f>$G106*AB106*Variables!$B$53*HLOOKUP($CO$2,Variables!$B$60:$F$61,2,FALSE)</f>
        <v>0</v>
      </c>
      <c r="CX106" s="1223">
        <f>$G106*AC106*Variables!$B$53*HLOOKUP($CO$2,Variables!$B$60:$F$61,2,FALSE)</f>
        <v>0</v>
      </c>
      <c r="CY106" s="1223">
        <f>$G106*AD106*Variables!$B$53*HLOOKUP($CO$2,Variables!$B$60:$F$61,2,FALSE)</f>
        <v>0</v>
      </c>
      <c r="CZ106" s="1225">
        <f>$G106*AE106*Variables!$B$53*HLOOKUP($CO$2,Variables!$B$60:$F$61,2,FALSE)</f>
        <v>0</v>
      </c>
      <c r="DA106" s="1222">
        <f>$G106*AF106*Variables!$B$53*HLOOKUP($DA$2,Variables!$B$60:$F$61,2,FALSE)</f>
        <v>0</v>
      </c>
      <c r="DB106" s="1223">
        <f>$G106*AG106*Variables!$B$53*HLOOKUP($DA$2,Variables!$B$60:$F$61,2,FALSE)</f>
        <v>0</v>
      </c>
      <c r="DC106" s="1223">
        <f>$G106*AH106*Variables!$B$53*HLOOKUP($DA$2,Variables!$B$60:$F$61,2,FALSE)</f>
        <v>0</v>
      </c>
      <c r="DD106" s="1223">
        <f>$G106*AI106*Variables!$B$53*HLOOKUP($DA$2,Variables!$B$60:$F$61,2,FALSE)</f>
        <v>0</v>
      </c>
      <c r="DE106" s="1223">
        <f>$G106*AJ106*Variables!$B$53*HLOOKUP($DA$2,Variables!$B$60:$F$61,2,FALSE)</f>
        <v>0</v>
      </c>
      <c r="DF106" s="1223">
        <f>$G106*AK106*Variables!$B$53*HLOOKUP($DA$2,Variables!$B$60:$F$61,2,FALSE)</f>
        <v>0</v>
      </c>
      <c r="DG106" s="1223">
        <f>$G106*AL106*Variables!$B$53*HLOOKUP($DA$2,Variables!$B$60:$F$61,2,FALSE)</f>
        <v>0</v>
      </c>
      <c r="DH106" s="1223">
        <f>$G106*AM106*Variables!$B$53*HLOOKUP($DA$2,Variables!$B$60:$F$61,2,FALSE)</f>
        <v>0</v>
      </c>
      <c r="DI106" s="1223">
        <f>$G106*AN106*Variables!$B$53*HLOOKUP($DA$2,Variables!$B$60:$F$61,2,FALSE)</f>
        <v>0</v>
      </c>
      <c r="DJ106" s="1223">
        <f>$G106*AO106*Variables!$B$53*HLOOKUP($DA$2,Variables!$B$60:$F$61,2,FALSE)</f>
        <v>0</v>
      </c>
      <c r="DK106" s="1223">
        <f>$G106*AP106*Variables!$B$53*HLOOKUP($DA$2,Variables!$B$60:$F$61,2,FALSE)</f>
        <v>0</v>
      </c>
      <c r="DL106" s="1225">
        <f>$G106*AQ106*Variables!$B$53*HLOOKUP($DA$2,Variables!$B$60:$F$61,2,FALSE)</f>
        <v>0</v>
      </c>
      <c r="DM106" s="1222">
        <f>$G106*AR106*Variables!$B$53*HLOOKUP($DM$2,Variables!$B$60:$F$61,2,FALSE)</f>
        <v>0</v>
      </c>
      <c r="DN106" s="1223">
        <f>$G106*AS106*Variables!$B$53*HLOOKUP($DM$2,Variables!$B$60:$F$61,2,FALSE)</f>
        <v>0</v>
      </c>
      <c r="DO106" s="1223">
        <f>$G106*AT106*Variables!$B$53*HLOOKUP($DM$2,Variables!$B$60:$F$61,2,FALSE)</f>
        <v>0</v>
      </c>
      <c r="DP106" s="1223">
        <f>$G106*AU106*Variables!$B$53*HLOOKUP($DM$2,Variables!$B$60:$F$61,2,FALSE)</f>
        <v>0</v>
      </c>
      <c r="DQ106" s="1223">
        <f>$G106*AV106*Variables!$B$53*HLOOKUP($DM$2,Variables!$B$60:$F$61,2,FALSE)</f>
        <v>0</v>
      </c>
      <c r="DR106" s="1223">
        <f>$G106*AW106*Variables!$B$53*HLOOKUP($DM$2,Variables!$B$60:$F$61,2,FALSE)</f>
        <v>0</v>
      </c>
      <c r="DS106" s="1223">
        <f>$G106*AX106*Variables!$B$53*HLOOKUP($DM$2,Variables!$B$60:$F$61,2,FALSE)</f>
        <v>0</v>
      </c>
      <c r="DT106" s="1223">
        <f>$G106*AY106*Variables!$B$53*HLOOKUP($DM$2,Variables!$B$60:$F$61,2,FALSE)</f>
        <v>0</v>
      </c>
      <c r="DU106" s="1223">
        <f>$G106*AZ106*Variables!$B$53*HLOOKUP($DM$2,Variables!$B$60:$F$61,2,FALSE)</f>
        <v>0</v>
      </c>
      <c r="DV106" s="1223">
        <f>$G106*BA106*Variables!$B$53*HLOOKUP($DM$2,Variables!$B$60:$F$61,2,FALSE)</f>
        <v>0</v>
      </c>
      <c r="DW106" s="1223">
        <f>$G106*BB106*Variables!$B$53*HLOOKUP($DM$2,Variables!$B$60:$F$61,2,FALSE)</f>
        <v>0</v>
      </c>
      <c r="DX106" s="1225">
        <f>$G106*BC106*Variables!$B$53*HLOOKUP($DM$2,Variables!$B$60:$F$61,2,FALSE)</f>
        <v>0</v>
      </c>
      <c r="DY106" s="1222">
        <f>$G106*BD106*Variables!$B$53*HLOOKUP($DY$2,Variables!$B$60:$F$61,2,FALSE)</f>
        <v>0</v>
      </c>
      <c r="DZ106" s="1223">
        <f>$G106*BE106*Variables!$B$53*HLOOKUP($DY$2,Variables!$B$60:$F$61,2,FALSE)</f>
        <v>0</v>
      </c>
      <c r="EA106" s="1223">
        <f>$G106*BF106*Variables!$B$53*HLOOKUP($DY$2,Variables!$B$60:$F$61,2,FALSE)</f>
        <v>0</v>
      </c>
      <c r="EB106" s="1223">
        <f>$G106*BG106*Variables!$B$53*HLOOKUP($DY$2,Variables!$B$60:$F$61,2,FALSE)</f>
        <v>0</v>
      </c>
      <c r="EC106" s="1223">
        <f>$G106*BH106*Variables!$B$53*HLOOKUP($DY$2,Variables!$B$60:$F$61,2,FALSE)</f>
        <v>0</v>
      </c>
      <c r="ED106" s="1223">
        <f>$G106*BI106*Variables!$B$53*HLOOKUP($DY$2,Variables!$B$60:$F$61,2,FALSE)</f>
        <v>0</v>
      </c>
      <c r="EE106" s="1223">
        <f>$G106*BJ106*Variables!$B$53*HLOOKUP($DY$2,Variables!$B$60:$F$61,2,FALSE)</f>
        <v>0</v>
      </c>
      <c r="EF106" s="1223">
        <f>$G106*BK106*Variables!$B$53*HLOOKUP($DY$2,Variables!$B$60:$F$61,2,FALSE)</f>
        <v>0</v>
      </c>
      <c r="EG106" s="1223">
        <f>$G106*BL106*Variables!$B$53*HLOOKUP($DY$2,Variables!$B$60:$F$61,2,FALSE)</f>
        <v>0</v>
      </c>
      <c r="EH106" s="1223">
        <f>$G106*BM106*Variables!$B$53*HLOOKUP($DY$2,Variables!$B$60:$F$61,2,FALSE)</f>
        <v>0</v>
      </c>
      <c r="EI106" s="1223">
        <f>$G106*BN106*Variables!$B$53*HLOOKUP($DY$2,Variables!$B$60:$F$61,2,FALSE)</f>
        <v>0</v>
      </c>
      <c r="EJ106" s="1225">
        <f>$G106*BO106*Variables!$B$53*HLOOKUP($DY$2,Variables!$B$60:$F$61,2,FALSE)</f>
        <v>0</v>
      </c>
      <c r="EK106" s="1222">
        <f>$G106*BP106*Variables!$B$53*HLOOKUP($EK$2,Variables!$B$60:$F$61,2,FALSE)</f>
        <v>0</v>
      </c>
      <c r="EL106" s="1223">
        <f>$G106*BQ106*Variables!$B$53*HLOOKUP($EK$2,Variables!$B$60:$F$61,2,FALSE)</f>
        <v>0</v>
      </c>
      <c r="EM106" s="1223">
        <f>$G106*BR106*Variables!$B$53*HLOOKUP($EK$2,Variables!$B$60:$F$61,2,FALSE)</f>
        <v>0</v>
      </c>
      <c r="EN106" s="1223">
        <f>$G106*BS106*Variables!$B$53*HLOOKUP($EK$2,Variables!$B$60:$F$61,2,FALSE)</f>
        <v>0</v>
      </c>
      <c r="EO106" s="1223">
        <f>$G106*BT106*Variables!$B$53*HLOOKUP($EK$2,Variables!$B$60:$F$61,2,FALSE)</f>
        <v>0</v>
      </c>
      <c r="EP106" s="1223">
        <f>$G106*BU106*Variables!$B$53*HLOOKUP($EK$2,Variables!$B$60:$F$61,2,FALSE)</f>
        <v>0</v>
      </c>
      <c r="EQ106" s="1223">
        <f>$G106*BV106*Variables!$B$53*HLOOKUP($EK$2,Variables!$B$60:$F$61,2,FALSE)</f>
        <v>0</v>
      </c>
      <c r="ER106" s="1223">
        <f>$G106*BW106*Variables!$B$53*HLOOKUP($EK$2,Variables!$B$60:$F$61,2,FALSE)</f>
        <v>0</v>
      </c>
      <c r="ES106" s="1223">
        <f>$G106*BX106*Variables!$B$53*HLOOKUP($EK$2,Variables!$B$60:$F$61,2,FALSE)</f>
        <v>0</v>
      </c>
      <c r="ET106" s="1223">
        <f>$G106*BY106*Variables!$B$53*HLOOKUP($EK$2,Variables!$B$60:$F$61,2,FALSE)</f>
        <v>0</v>
      </c>
      <c r="EU106" s="1223">
        <f>$G106*BZ106*Variables!$B$53*HLOOKUP($EK$2,Variables!$B$60:$F$61,2,FALSE)</f>
        <v>0</v>
      </c>
      <c r="EV106" s="1225">
        <f>$G106*CA106*Variables!$B$53*HLOOKUP($EK$2,Variables!$B$60:$F$61,2,FALSE)</f>
        <v>0</v>
      </c>
      <c r="EW106" s="872">
        <f t="shared" si="15"/>
        <v>0</v>
      </c>
      <c r="EX106" s="872"/>
      <c r="EY106" s="872"/>
      <c r="EZ106" s="872"/>
      <c r="FA106" s="1332"/>
      <c r="FC106" s="958" t="str">
        <f t="shared" si="16"/>
        <v/>
      </c>
      <c r="FD106" s="959" t="str">
        <f t="shared" si="17"/>
        <v/>
      </c>
      <c r="FE106" s="959" t="s">
        <v>8407</v>
      </c>
      <c r="FF106" s="959" t="str">
        <f>IF(ISNA(VLOOKUP(FC106,Miscellaneous!E:F,2,0)),"",VLOOKUP(FC106,Miscellaneous!E:F,2,0))</f>
        <v/>
      </c>
      <c r="FG106" s="959" t="str">
        <f t="shared" si="18"/>
        <v/>
      </c>
      <c r="FH106" s="996">
        <f>IF($FG106="Opex",SUMIF('Monthly Summary'!$C$75:$N$75,"",CC106:CN106),SUMIF('Monthly Summary'!$C$74:$N$74,"",CC106:CN106))</f>
        <v>0</v>
      </c>
      <c r="FI106" s="996">
        <f>IF($FG106="Opex",SUMIF('Monthly Summary'!$O$75:$Z$75,"",CO106:CZ106),SUMIF('Monthly Summary'!$O$74:$Z$74,"",CO106:CZ106))</f>
        <v>0</v>
      </c>
      <c r="FJ106" s="996">
        <f>IF($FG106="Opex",SUMIF('Monthly Summary'!$AA$75:$AL$75,"",DA106:DL106),SUMIF('Monthly Summary'!$AA$74:$AL$74,"",DA106:DL106))</f>
        <v>0</v>
      </c>
      <c r="FK106" s="996">
        <f>IF($FG106="Opex",SUMIF('Monthly Summary'!$AM$75:$AX$75,"",DM106:DX106),SUMIF('Monthly Summary'!$AM$74:$AX$74,"",DM106:DX106))</f>
        <v>0</v>
      </c>
      <c r="FL106" s="996">
        <f>IF($FG106="Opex",SUMIF('Monthly Summary'!$AY$75:$BJ$75,"",DY106:EJ106),SUMIF('Monthly Summary'!$AY$74:$BJ$74,"",DY106:EJ106))</f>
        <v>0</v>
      </c>
      <c r="FM106" s="997">
        <f>IF($FG106="Opex",SUMIF('Monthly Summary'!$BK$75:$BV$75,"",EK106:EV106),SUMIF('Monthly Summary'!$BK$74:$BV$74,"",EK106:EV106))</f>
        <v>0</v>
      </c>
      <c r="FN106" s="997">
        <f t="shared" si="14"/>
        <v>0</v>
      </c>
    </row>
    <row r="107" spans="3:170">
      <c r="C107" s="757"/>
      <c r="D107" s="757"/>
      <c r="E107" s="758"/>
      <c r="F107" s="758"/>
      <c r="G107" s="758"/>
      <c r="H107" s="1215"/>
      <c r="I107" s="761"/>
      <c r="J107" s="761"/>
      <c r="K107" s="761"/>
      <c r="L107" s="761"/>
      <c r="M107" s="761"/>
      <c r="N107" s="761"/>
      <c r="O107" s="761"/>
      <c r="P107" s="761"/>
      <c r="Q107" s="761"/>
      <c r="R107" s="761"/>
      <c r="S107" s="1216"/>
      <c r="T107" s="1215"/>
      <c r="U107" s="761"/>
      <c r="V107" s="761"/>
      <c r="W107" s="761"/>
      <c r="X107" s="761"/>
      <c r="Y107" s="761"/>
      <c r="Z107" s="761"/>
      <c r="AA107" s="761"/>
      <c r="AB107" s="761"/>
      <c r="AC107" s="761"/>
      <c r="AD107" s="761"/>
      <c r="AE107" s="1216"/>
      <c r="AF107" s="1215"/>
      <c r="AG107" s="761"/>
      <c r="AH107" s="761"/>
      <c r="AI107" s="761"/>
      <c r="AJ107" s="761"/>
      <c r="AK107" s="761"/>
      <c r="AL107" s="761"/>
      <c r="AM107" s="761"/>
      <c r="AN107" s="761"/>
      <c r="AO107" s="761"/>
      <c r="AP107" s="761"/>
      <c r="AQ107" s="1216"/>
      <c r="AR107" s="1215"/>
      <c r="AS107" s="761"/>
      <c r="AT107" s="761"/>
      <c r="AU107" s="761"/>
      <c r="AV107" s="761"/>
      <c r="AW107" s="761"/>
      <c r="AX107" s="761"/>
      <c r="AY107" s="761"/>
      <c r="AZ107" s="761"/>
      <c r="BA107" s="761"/>
      <c r="BB107" s="761"/>
      <c r="BC107" s="1216"/>
      <c r="BD107" s="1215"/>
      <c r="BE107" s="761"/>
      <c r="BF107" s="761"/>
      <c r="BG107" s="761"/>
      <c r="BH107" s="761"/>
      <c r="BI107" s="761"/>
      <c r="BJ107" s="761"/>
      <c r="BK107" s="761"/>
      <c r="BL107" s="761"/>
      <c r="BM107" s="761"/>
      <c r="BN107" s="761"/>
      <c r="BO107" s="1216"/>
      <c r="BP107" s="1215"/>
      <c r="BQ107" s="761"/>
      <c r="BR107" s="761"/>
      <c r="BS107" s="761"/>
      <c r="BT107" s="761"/>
      <c r="BU107" s="761"/>
      <c r="BV107" s="761"/>
      <c r="BW107" s="761"/>
      <c r="BX107" s="761"/>
      <c r="BY107" s="761"/>
      <c r="BZ107" s="761"/>
      <c r="CA107" s="1216"/>
      <c r="CB107" s="747"/>
      <c r="CC107" s="1222">
        <f>$G107*H107*Variables!$B$53</f>
        <v>0</v>
      </c>
      <c r="CD107" s="1223">
        <f>$G107*I107*Variables!$B$53</f>
        <v>0</v>
      </c>
      <c r="CE107" s="1223">
        <f>$G107*J107*Variables!$B$53</f>
        <v>0</v>
      </c>
      <c r="CF107" s="1223">
        <f>$G107*K107*Variables!$B$53</f>
        <v>0</v>
      </c>
      <c r="CG107" s="1223">
        <f>$G107*L107*Variables!$B$53</f>
        <v>0</v>
      </c>
      <c r="CH107" s="1223">
        <f>$G107*M107*Variables!$B$53</f>
        <v>0</v>
      </c>
      <c r="CI107" s="1223">
        <f>$G107*N107*Variables!$B$53</f>
        <v>0</v>
      </c>
      <c r="CJ107" s="1223">
        <f>$G107*O107*Variables!$B$53</f>
        <v>0</v>
      </c>
      <c r="CK107" s="1223">
        <f>$G107*P107*Variables!$B$53</f>
        <v>0</v>
      </c>
      <c r="CL107" s="1223">
        <f>$G107*Q107*Variables!$B$53</f>
        <v>0</v>
      </c>
      <c r="CM107" s="1223">
        <f>$G107*R107*Variables!$B$53</f>
        <v>0</v>
      </c>
      <c r="CN107" s="1225">
        <f>$G107*S107*Variables!$B$53</f>
        <v>0</v>
      </c>
      <c r="CO107" s="1222">
        <f>$G107*T107*Variables!$B$53*HLOOKUP($CO$2,Variables!$B$60:$F$61,2,FALSE)</f>
        <v>0</v>
      </c>
      <c r="CP107" s="1223">
        <f>$G107*U107*Variables!$B$53*HLOOKUP($CO$2,Variables!$B$60:$F$61,2,FALSE)</f>
        <v>0</v>
      </c>
      <c r="CQ107" s="1223">
        <f>$G107*V107*Variables!$B$53*HLOOKUP($CO$2,Variables!$B$60:$F$61,2,FALSE)</f>
        <v>0</v>
      </c>
      <c r="CR107" s="1223">
        <f>$G107*W107*Variables!$B$53*HLOOKUP($CO$2,Variables!$B$60:$F$61,2,FALSE)</f>
        <v>0</v>
      </c>
      <c r="CS107" s="1223">
        <f>$G107*X107*Variables!$B$53*HLOOKUP($CO$2,Variables!$B$60:$F$61,2,FALSE)</f>
        <v>0</v>
      </c>
      <c r="CT107" s="1223">
        <f>$G107*Y107*Variables!$B$53*HLOOKUP($CO$2,Variables!$B$60:$F$61,2,FALSE)</f>
        <v>0</v>
      </c>
      <c r="CU107" s="1223">
        <f>$G107*Z107*Variables!$B$53*HLOOKUP($CO$2,Variables!$B$60:$F$61,2,FALSE)</f>
        <v>0</v>
      </c>
      <c r="CV107" s="1223">
        <f>$G107*AA107*Variables!$B$53*HLOOKUP($CO$2,Variables!$B$60:$F$61,2,FALSE)</f>
        <v>0</v>
      </c>
      <c r="CW107" s="1223">
        <f>$G107*AB107*Variables!$B$53*HLOOKUP($CO$2,Variables!$B$60:$F$61,2,FALSE)</f>
        <v>0</v>
      </c>
      <c r="CX107" s="1223">
        <f>$G107*AC107*Variables!$B$53*HLOOKUP($CO$2,Variables!$B$60:$F$61,2,FALSE)</f>
        <v>0</v>
      </c>
      <c r="CY107" s="1223">
        <f>$G107*AD107*Variables!$B$53*HLOOKUP($CO$2,Variables!$B$60:$F$61,2,FALSE)</f>
        <v>0</v>
      </c>
      <c r="CZ107" s="1225">
        <f>$G107*AE107*Variables!$B$53*HLOOKUP($CO$2,Variables!$B$60:$F$61,2,FALSE)</f>
        <v>0</v>
      </c>
      <c r="DA107" s="1222">
        <f>$G107*AF107*Variables!$B$53*HLOOKUP($DA$2,Variables!$B$60:$F$61,2,FALSE)</f>
        <v>0</v>
      </c>
      <c r="DB107" s="1223">
        <f>$G107*AG107*Variables!$B$53*HLOOKUP($DA$2,Variables!$B$60:$F$61,2,FALSE)</f>
        <v>0</v>
      </c>
      <c r="DC107" s="1223">
        <f>$G107*AH107*Variables!$B$53*HLOOKUP($DA$2,Variables!$B$60:$F$61,2,FALSE)</f>
        <v>0</v>
      </c>
      <c r="DD107" s="1223">
        <f>$G107*AI107*Variables!$B$53*HLOOKUP($DA$2,Variables!$B$60:$F$61,2,FALSE)</f>
        <v>0</v>
      </c>
      <c r="DE107" s="1223">
        <f>$G107*AJ107*Variables!$B$53*HLOOKUP($DA$2,Variables!$B$60:$F$61,2,FALSE)</f>
        <v>0</v>
      </c>
      <c r="DF107" s="1223">
        <f>$G107*AK107*Variables!$B$53*HLOOKUP($DA$2,Variables!$B$60:$F$61,2,FALSE)</f>
        <v>0</v>
      </c>
      <c r="DG107" s="1223">
        <f>$G107*AL107*Variables!$B$53*HLOOKUP($DA$2,Variables!$B$60:$F$61,2,FALSE)</f>
        <v>0</v>
      </c>
      <c r="DH107" s="1223">
        <f>$G107*AM107*Variables!$B$53*HLOOKUP($DA$2,Variables!$B$60:$F$61,2,FALSE)</f>
        <v>0</v>
      </c>
      <c r="DI107" s="1223">
        <f>$G107*AN107*Variables!$B$53*HLOOKUP($DA$2,Variables!$B$60:$F$61,2,FALSE)</f>
        <v>0</v>
      </c>
      <c r="DJ107" s="1223">
        <f>$G107*AO107*Variables!$B$53*HLOOKUP($DA$2,Variables!$B$60:$F$61,2,FALSE)</f>
        <v>0</v>
      </c>
      <c r="DK107" s="1223">
        <f>$G107*AP107*Variables!$B$53*HLOOKUP($DA$2,Variables!$B$60:$F$61,2,FALSE)</f>
        <v>0</v>
      </c>
      <c r="DL107" s="1225">
        <f>$G107*AQ107*Variables!$B$53*HLOOKUP($DA$2,Variables!$B$60:$F$61,2,FALSE)</f>
        <v>0</v>
      </c>
      <c r="DM107" s="1222">
        <f>$G107*AR107*Variables!$B$53*HLOOKUP($DM$2,Variables!$B$60:$F$61,2,FALSE)</f>
        <v>0</v>
      </c>
      <c r="DN107" s="1223">
        <f>$G107*AS107*Variables!$B$53*HLOOKUP($DM$2,Variables!$B$60:$F$61,2,FALSE)</f>
        <v>0</v>
      </c>
      <c r="DO107" s="1223">
        <f>$G107*AT107*Variables!$B$53*HLOOKUP($DM$2,Variables!$B$60:$F$61,2,FALSE)</f>
        <v>0</v>
      </c>
      <c r="DP107" s="1223">
        <f>$G107*AU107*Variables!$B$53*HLOOKUP($DM$2,Variables!$B$60:$F$61,2,FALSE)</f>
        <v>0</v>
      </c>
      <c r="DQ107" s="1223">
        <f>$G107*AV107*Variables!$B$53*HLOOKUP($DM$2,Variables!$B$60:$F$61,2,FALSE)</f>
        <v>0</v>
      </c>
      <c r="DR107" s="1223">
        <f>$G107*AW107*Variables!$B$53*HLOOKUP($DM$2,Variables!$B$60:$F$61,2,FALSE)</f>
        <v>0</v>
      </c>
      <c r="DS107" s="1223">
        <f>$G107*AX107*Variables!$B$53*HLOOKUP($DM$2,Variables!$B$60:$F$61,2,FALSE)</f>
        <v>0</v>
      </c>
      <c r="DT107" s="1223">
        <f>$G107*AY107*Variables!$B$53*HLOOKUP($DM$2,Variables!$B$60:$F$61,2,FALSE)</f>
        <v>0</v>
      </c>
      <c r="DU107" s="1223">
        <f>$G107*AZ107*Variables!$B$53*HLOOKUP($DM$2,Variables!$B$60:$F$61,2,FALSE)</f>
        <v>0</v>
      </c>
      <c r="DV107" s="1223">
        <f>$G107*BA107*Variables!$B$53*HLOOKUP($DM$2,Variables!$B$60:$F$61,2,FALSE)</f>
        <v>0</v>
      </c>
      <c r="DW107" s="1223">
        <f>$G107*BB107*Variables!$B$53*HLOOKUP($DM$2,Variables!$B$60:$F$61,2,FALSE)</f>
        <v>0</v>
      </c>
      <c r="DX107" s="1225">
        <f>$G107*BC107*Variables!$B$53*HLOOKUP($DM$2,Variables!$B$60:$F$61,2,FALSE)</f>
        <v>0</v>
      </c>
      <c r="DY107" s="1222">
        <f>$G107*BD107*Variables!$B$53*HLOOKUP($DY$2,Variables!$B$60:$F$61,2,FALSE)</f>
        <v>0</v>
      </c>
      <c r="DZ107" s="1223">
        <f>$G107*BE107*Variables!$B$53*HLOOKUP($DY$2,Variables!$B$60:$F$61,2,FALSE)</f>
        <v>0</v>
      </c>
      <c r="EA107" s="1223">
        <f>$G107*BF107*Variables!$B$53*HLOOKUP($DY$2,Variables!$B$60:$F$61,2,FALSE)</f>
        <v>0</v>
      </c>
      <c r="EB107" s="1223">
        <f>$G107*BG107*Variables!$B$53*HLOOKUP($DY$2,Variables!$B$60:$F$61,2,FALSE)</f>
        <v>0</v>
      </c>
      <c r="EC107" s="1223">
        <f>$G107*BH107*Variables!$B$53*HLOOKUP($DY$2,Variables!$B$60:$F$61,2,FALSE)</f>
        <v>0</v>
      </c>
      <c r="ED107" s="1223">
        <f>$G107*BI107*Variables!$B$53*HLOOKUP($DY$2,Variables!$B$60:$F$61,2,FALSE)</f>
        <v>0</v>
      </c>
      <c r="EE107" s="1223">
        <f>$G107*BJ107*Variables!$B$53*HLOOKUP($DY$2,Variables!$B$60:$F$61,2,FALSE)</f>
        <v>0</v>
      </c>
      <c r="EF107" s="1223">
        <f>$G107*BK107*Variables!$B$53*HLOOKUP($DY$2,Variables!$B$60:$F$61,2,FALSE)</f>
        <v>0</v>
      </c>
      <c r="EG107" s="1223">
        <f>$G107*BL107*Variables!$B$53*HLOOKUP($DY$2,Variables!$B$60:$F$61,2,FALSE)</f>
        <v>0</v>
      </c>
      <c r="EH107" s="1223">
        <f>$G107*BM107*Variables!$B$53*HLOOKUP($DY$2,Variables!$B$60:$F$61,2,FALSE)</f>
        <v>0</v>
      </c>
      <c r="EI107" s="1223">
        <f>$G107*BN107*Variables!$B$53*HLOOKUP($DY$2,Variables!$B$60:$F$61,2,FALSE)</f>
        <v>0</v>
      </c>
      <c r="EJ107" s="1225">
        <f>$G107*BO107*Variables!$B$53*HLOOKUP($DY$2,Variables!$B$60:$F$61,2,FALSE)</f>
        <v>0</v>
      </c>
      <c r="EK107" s="1222">
        <f>$G107*BP107*Variables!$B$53*HLOOKUP($EK$2,Variables!$B$60:$F$61,2,FALSE)</f>
        <v>0</v>
      </c>
      <c r="EL107" s="1223">
        <f>$G107*BQ107*Variables!$B$53*HLOOKUP($EK$2,Variables!$B$60:$F$61,2,FALSE)</f>
        <v>0</v>
      </c>
      <c r="EM107" s="1223">
        <f>$G107*BR107*Variables!$B$53*HLOOKUP($EK$2,Variables!$B$60:$F$61,2,FALSE)</f>
        <v>0</v>
      </c>
      <c r="EN107" s="1223">
        <f>$G107*BS107*Variables!$B$53*HLOOKUP($EK$2,Variables!$B$60:$F$61,2,FALSE)</f>
        <v>0</v>
      </c>
      <c r="EO107" s="1223">
        <f>$G107*BT107*Variables!$B$53*HLOOKUP($EK$2,Variables!$B$60:$F$61,2,FALSE)</f>
        <v>0</v>
      </c>
      <c r="EP107" s="1223">
        <f>$G107*BU107*Variables!$B$53*HLOOKUP($EK$2,Variables!$B$60:$F$61,2,FALSE)</f>
        <v>0</v>
      </c>
      <c r="EQ107" s="1223">
        <f>$G107*BV107*Variables!$B$53*HLOOKUP($EK$2,Variables!$B$60:$F$61,2,FALSE)</f>
        <v>0</v>
      </c>
      <c r="ER107" s="1223">
        <f>$G107*BW107*Variables!$B$53*HLOOKUP($EK$2,Variables!$B$60:$F$61,2,FALSE)</f>
        <v>0</v>
      </c>
      <c r="ES107" s="1223">
        <f>$G107*BX107*Variables!$B$53*HLOOKUP($EK$2,Variables!$B$60:$F$61,2,FALSE)</f>
        <v>0</v>
      </c>
      <c r="ET107" s="1223">
        <f>$G107*BY107*Variables!$B$53*HLOOKUP($EK$2,Variables!$B$60:$F$61,2,FALSE)</f>
        <v>0</v>
      </c>
      <c r="EU107" s="1223">
        <f>$G107*BZ107*Variables!$B$53*HLOOKUP($EK$2,Variables!$B$60:$F$61,2,FALSE)</f>
        <v>0</v>
      </c>
      <c r="EV107" s="1225">
        <f>$G107*CA107*Variables!$B$53*HLOOKUP($EK$2,Variables!$B$60:$F$61,2,FALSE)</f>
        <v>0</v>
      </c>
      <c r="EW107" s="872">
        <f t="shared" si="15"/>
        <v>0</v>
      </c>
      <c r="EX107" s="872"/>
      <c r="EY107" s="872"/>
      <c r="EZ107" s="872"/>
      <c r="FA107" s="1332"/>
      <c r="FC107" s="958" t="str">
        <f t="shared" si="16"/>
        <v/>
      </c>
      <c r="FD107" s="959" t="str">
        <f t="shared" si="17"/>
        <v/>
      </c>
      <c r="FE107" s="959" t="s">
        <v>8407</v>
      </c>
      <c r="FF107" s="959" t="str">
        <f>IF(ISNA(VLOOKUP(FC107,Miscellaneous!E:F,2,0)),"",VLOOKUP(FC107,Miscellaneous!E:F,2,0))</f>
        <v/>
      </c>
      <c r="FG107" s="959" t="str">
        <f t="shared" si="18"/>
        <v/>
      </c>
      <c r="FH107" s="996">
        <f>IF($FG107="Opex",SUMIF('Monthly Summary'!$C$75:$N$75,"",CC107:CN107),SUMIF('Monthly Summary'!$C$74:$N$74,"",CC107:CN107))</f>
        <v>0</v>
      </c>
      <c r="FI107" s="996">
        <f>IF($FG107="Opex",SUMIF('Monthly Summary'!$O$75:$Z$75,"",CO107:CZ107),SUMIF('Monthly Summary'!$O$74:$Z$74,"",CO107:CZ107))</f>
        <v>0</v>
      </c>
      <c r="FJ107" s="996">
        <f>IF($FG107="Opex",SUMIF('Monthly Summary'!$AA$75:$AL$75,"",DA107:DL107),SUMIF('Monthly Summary'!$AA$74:$AL$74,"",DA107:DL107))</f>
        <v>0</v>
      </c>
      <c r="FK107" s="996">
        <f>IF($FG107="Opex",SUMIF('Monthly Summary'!$AM$75:$AX$75,"",DM107:DX107),SUMIF('Monthly Summary'!$AM$74:$AX$74,"",DM107:DX107))</f>
        <v>0</v>
      </c>
      <c r="FL107" s="996">
        <f>IF($FG107="Opex",SUMIF('Monthly Summary'!$AY$75:$BJ$75,"",DY107:EJ107),SUMIF('Monthly Summary'!$AY$74:$BJ$74,"",DY107:EJ107))</f>
        <v>0</v>
      </c>
      <c r="FM107" s="997">
        <f>IF($FG107="Opex",SUMIF('Monthly Summary'!$BK$75:$BV$75,"",EK107:EV107),SUMIF('Monthly Summary'!$BK$74:$BV$74,"",EK107:EV107))</f>
        <v>0</v>
      </c>
      <c r="FN107" s="997">
        <f t="shared" si="14"/>
        <v>0</v>
      </c>
    </row>
    <row r="108" spans="3:170">
      <c r="C108" s="757"/>
      <c r="D108" s="757"/>
      <c r="E108" s="758"/>
      <c r="F108" s="758"/>
      <c r="G108" s="758"/>
      <c r="H108" s="1215"/>
      <c r="I108" s="761"/>
      <c r="J108" s="761"/>
      <c r="K108" s="761"/>
      <c r="L108" s="761"/>
      <c r="M108" s="761"/>
      <c r="N108" s="761"/>
      <c r="O108" s="761"/>
      <c r="P108" s="761"/>
      <c r="Q108" s="761"/>
      <c r="R108" s="761"/>
      <c r="S108" s="1216"/>
      <c r="T108" s="1215"/>
      <c r="U108" s="761"/>
      <c r="V108" s="761"/>
      <c r="W108" s="761"/>
      <c r="X108" s="761"/>
      <c r="Y108" s="761"/>
      <c r="Z108" s="761"/>
      <c r="AA108" s="761"/>
      <c r="AB108" s="761"/>
      <c r="AC108" s="761"/>
      <c r="AD108" s="761"/>
      <c r="AE108" s="1216"/>
      <c r="AF108" s="1215"/>
      <c r="AG108" s="761"/>
      <c r="AH108" s="761"/>
      <c r="AI108" s="761"/>
      <c r="AJ108" s="761"/>
      <c r="AK108" s="761"/>
      <c r="AL108" s="761"/>
      <c r="AM108" s="761"/>
      <c r="AN108" s="761"/>
      <c r="AO108" s="761"/>
      <c r="AP108" s="761"/>
      <c r="AQ108" s="1216"/>
      <c r="AR108" s="1215"/>
      <c r="AS108" s="761"/>
      <c r="AT108" s="761"/>
      <c r="AU108" s="761"/>
      <c r="AV108" s="761"/>
      <c r="AW108" s="761"/>
      <c r="AX108" s="761"/>
      <c r="AY108" s="761"/>
      <c r="AZ108" s="761"/>
      <c r="BA108" s="761"/>
      <c r="BB108" s="761"/>
      <c r="BC108" s="1216"/>
      <c r="BD108" s="1215"/>
      <c r="BE108" s="761"/>
      <c r="BF108" s="761"/>
      <c r="BG108" s="761"/>
      <c r="BH108" s="761"/>
      <c r="BI108" s="761"/>
      <c r="BJ108" s="761"/>
      <c r="BK108" s="761"/>
      <c r="BL108" s="761"/>
      <c r="BM108" s="761"/>
      <c r="BN108" s="761"/>
      <c r="BO108" s="1216"/>
      <c r="BP108" s="1215"/>
      <c r="BQ108" s="761"/>
      <c r="BR108" s="761"/>
      <c r="BS108" s="761"/>
      <c r="BT108" s="761"/>
      <c r="BU108" s="761"/>
      <c r="BV108" s="761"/>
      <c r="BW108" s="761"/>
      <c r="BX108" s="761"/>
      <c r="BY108" s="761"/>
      <c r="BZ108" s="761"/>
      <c r="CA108" s="1216"/>
      <c r="CB108" s="747"/>
      <c r="CC108" s="1222">
        <f>$G108*H108*Variables!$B$53</f>
        <v>0</v>
      </c>
      <c r="CD108" s="1223">
        <f>$G108*I108*Variables!$B$53</f>
        <v>0</v>
      </c>
      <c r="CE108" s="1223">
        <f>$G108*J108*Variables!$B$53</f>
        <v>0</v>
      </c>
      <c r="CF108" s="1223">
        <f>$G108*K108*Variables!$B$53</f>
        <v>0</v>
      </c>
      <c r="CG108" s="1223">
        <f>$G108*L108*Variables!$B$53</f>
        <v>0</v>
      </c>
      <c r="CH108" s="1223">
        <f>$G108*M108*Variables!$B$53</f>
        <v>0</v>
      </c>
      <c r="CI108" s="1223">
        <f>$G108*N108*Variables!$B$53</f>
        <v>0</v>
      </c>
      <c r="CJ108" s="1223">
        <f>$G108*O108*Variables!$B$53</f>
        <v>0</v>
      </c>
      <c r="CK108" s="1223">
        <f>$G108*P108*Variables!$B$53</f>
        <v>0</v>
      </c>
      <c r="CL108" s="1223">
        <f>$G108*Q108*Variables!$B$53</f>
        <v>0</v>
      </c>
      <c r="CM108" s="1223">
        <f>$G108*R108*Variables!$B$53</f>
        <v>0</v>
      </c>
      <c r="CN108" s="1225">
        <f>$G108*S108*Variables!$B$53</f>
        <v>0</v>
      </c>
      <c r="CO108" s="1222">
        <f>$G108*T108*Variables!$B$53*HLOOKUP($CO$2,Variables!$B$60:$F$61,2,FALSE)</f>
        <v>0</v>
      </c>
      <c r="CP108" s="1223">
        <f>$G108*U108*Variables!$B$53*HLOOKUP($CO$2,Variables!$B$60:$F$61,2,FALSE)</f>
        <v>0</v>
      </c>
      <c r="CQ108" s="1223">
        <f>$G108*V108*Variables!$B$53*HLOOKUP($CO$2,Variables!$B$60:$F$61,2,FALSE)</f>
        <v>0</v>
      </c>
      <c r="CR108" s="1223">
        <f>$G108*W108*Variables!$B$53*HLOOKUP($CO$2,Variables!$B$60:$F$61,2,FALSE)</f>
        <v>0</v>
      </c>
      <c r="CS108" s="1223">
        <f>$G108*X108*Variables!$B$53*HLOOKUP($CO$2,Variables!$B$60:$F$61,2,FALSE)</f>
        <v>0</v>
      </c>
      <c r="CT108" s="1223">
        <f>$G108*Y108*Variables!$B$53*HLOOKUP($CO$2,Variables!$B$60:$F$61,2,FALSE)</f>
        <v>0</v>
      </c>
      <c r="CU108" s="1223">
        <f>$G108*Z108*Variables!$B$53*HLOOKUP($CO$2,Variables!$B$60:$F$61,2,FALSE)</f>
        <v>0</v>
      </c>
      <c r="CV108" s="1223">
        <f>$G108*AA108*Variables!$B$53*HLOOKUP($CO$2,Variables!$B$60:$F$61,2,FALSE)</f>
        <v>0</v>
      </c>
      <c r="CW108" s="1223">
        <f>$G108*AB108*Variables!$B$53*HLOOKUP($CO$2,Variables!$B$60:$F$61,2,FALSE)</f>
        <v>0</v>
      </c>
      <c r="CX108" s="1223">
        <f>$G108*AC108*Variables!$B$53*HLOOKUP($CO$2,Variables!$B$60:$F$61,2,FALSE)</f>
        <v>0</v>
      </c>
      <c r="CY108" s="1223">
        <f>$G108*AD108*Variables!$B$53*HLOOKUP($CO$2,Variables!$B$60:$F$61,2,FALSE)</f>
        <v>0</v>
      </c>
      <c r="CZ108" s="1225">
        <f>$G108*AE108*Variables!$B$53*HLOOKUP($CO$2,Variables!$B$60:$F$61,2,FALSE)</f>
        <v>0</v>
      </c>
      <c r="DA108" s="1222">
        <f>$G108*AF108*Variables!$B$53*HLOOKUP($DA$2,Variables!$B$60:$F$61,2,FALSE)</f>
        <v>0</v>
      </c>
      <c r="DB108" s="1223">
        <f>$G108*AG108*Variables!$B$53*HLOOKUP($DA$2,Variables!$B$60:$F$61,2,FALSE)</f>
        <v>0</v>
      </c>
      <c r="DC108" s="1223">
        <f>$G108*AH108*Variables!$B$53*HLOOKUP($DA$2,Variables!$B$60:$F$61,2,FALSE)</f>
        <v>0</v>
      </c>
      <c r="DD108" s="1223">
        <f>$G108*AI108*Variables!$B$53*HLOOKUP($DA$2,Variables!$B$60:$F$61,2,FALSE)</f>
        <v>0</v>
      </c>
      <c r="DE108" s="1223">
        <f>$G108*AJ108*Variables!$B$53*HLOOKUP($DA$2,Variables!$B$60:$F$61,2,FALSE)</f>
        <v>0</v>
      </c>
      <c r="DF108" s="1223">
        <f>$G108*AK108*Variables!$B$53*HLOOKUP($DA$2,Variables!$B$60:$F$61,2,FALSE)</f>
        <v>0</v>
      </c>
      <c r="DG108" s="1223">
        <f>$G108*AL108*Variables!$B$53*HLOOKUP($DA$2,Variables!$B$60:$F$61,2,FALSE)</f>
        <v>0</v>
      </c>
      <c r="DH108" s="1223">
        <f>$G108*AM108*Variables!$B$53*HLOOKUP($DA$2,Variables!$B$60:$F$61,2,FALSE)</f>
        <v>0</v>
      </c>
      <c r="DI108" s="1223">
        <f>$G108*AN108*Variables!$B$53*HLOOKUP($DA$2,Variables!$B$60:$F$61,2,FALSE)</f>
        <v>0</v>
      </c>
      <c r="DJ108" s="1223">
        <f>$G108*AO108*Variables!$B$53*HLOOKUP($DA$2,Variables!$B$60:$F$61,2,FALSE)</f>
        <v>0</v>
      </c>
      <c r="DK108" s="1223">
        <f>$G108*AP108*Variables!$B$53*HLOOKUP($DA$2,Variables!$B$60:$F$61,2,FALSE)</f>
        <v>0</v>
      </c>
      <c r="DL108" s="1225">
        <f>$G108*AQ108*Variables!$B$53*HLOOKUP($DA$2,Variables!$B$60:$F$61,2,FALSE)</f>
        <v>0</v>
      </c>
      <c r="DM108" s="1222">
        <f>$G108*AR108*Variables!$B$53*HLOOKUP($DM$2,Variables!$B$60:$F$61,2,FALSE)</f>
        <v>0</v>
      </c>
      <c r="DN108" s="1223">
        <f>$G108*AS108*Variables!$B$53*HLOOKUP($DM$2,Variables!$B$60:$F$61,2,FALSE)</f>
        <v>0</v>
      </c>
      <c r="DO108" s="1223">
        <f>$G108*AT108*Variables!$B$53*HLOOKUP($DM$2,Variables!$B$60:$F$61,2,FALSE)</f>
        <v>0</v>
      </c>
      <c r="DP108" s="1223">
        <f>$G108*AU108*Variables!$B$53*HLOOKUP($DM$2,Variables!$B$60:$F$61,2,FALSE)</f>
        <v>0</v>
      </c>
      <c r="DQ108" s="1223">
        <f>$G108*AV108*Variables!$B$53*HLOOKUP($DM$2,Variables!$B$60:$F$61,2,FALSE)</f>
        <v>0</v>
      </c>
      <c r="DR108" s="1223">
        <f>$G108*AW108*Variables!$B$53*HLOOKUP($DM$2,Variables!$B$60:$F$61,2,FALSE)</f>
        <v>0</v>
      </c>
      <c r="DS108" s="1223">
        <f>$G108*AX108*Variables!$B$53*HLOOKUP($DM$2,Variables!$B$60:$F$61,2,FALSE)</f>
        <v>0</v>
      </c>
      <c r="DT108" s="1223">
        <f>$G108*AY108*Variables!$B$53*HLOOKUP($DM$2,Variables!$B$60:$F$61,2,FALSE)</f>
        <v>0</v>
      </c>
      <c r="DU108" s="1223">
        <f>$G108*AZ108*Variables!$B$53*HLOOKUP($DM$2,Variables!$B$60:$F$61,2,FALSE)</f>
        <v>0</v>
      </c>
      <c r="DV108" s="1223">
        <f>$G108*BA108*Variables!$B$53*HLOOKUP($DM$2,Variables!$B$60:$F$61,2,FALSE)</f>
        <v>0</v>
      </c>
      <c r="DW108" s="1223">
        <f>$G108*BB108*Variables!$B$53*HLOOKUP($DM$2,Variables!$B$60:$F$61,2,FALSE)</f>
        <v>0</v>
      </c>
      <c r="DX108" s="1225">
        <f>$G108*BC108*Variables!$B$53*HLOOKUP($DM$2,Variables!$B$60:$F$61,2,FALSE)</f>
        <v>0</v>
      </c>
      <c r="DY108" s="1222">
        <f>$G108*BD108*Variables!$B$53*HLOOKUP($DY$2,Variables!$B$60:$F$61,2,FALSE)</f>
        <v>0</v>
      </c>
      <c r="DZ108" s="1223">
        <f>$G108*BE108*Variables!$B$53*HLOOKUP($DY$2,Variables!$B$60:$F$61,2,FALSE)</f>
        <v>0</v>
      </c>
      <c r="EA108" s="1223">
        <f>$G108*BF108*Variables!$B$53*HLOOKUP($DY$2,Variables!$B$60:$F$61,2,FALSE)</f>
        <v>0</v>
      </c>
      <c r="EB108" s="1223">
        <f>$G108*BG108*Variables!$B$53*HLOOKUP($DY$2,Variables!$B$60:$F$61,2,FALSE)</f>
        <v>0</v>
      </c>
      <c r="EC108" s="1223">
        <f>$G108*BH108*Variables!$B$53*HLOOKUP($DY$2,Variables!$B$60:$F$61,2,FALSE)</f>
        <v>0</v>
      </c>
      <c r="ED108" s="1223">
        <f>$G108*BI108*Variables!$B$53*HLOOKUP($DY$2,Variables!$B$60:$F$61,2,FALSE)</f>
        <v>0</v>
      </c>
      <c r="EE108" s="1223">
        <f>$G108*BJ108*Variables!$B$53*HLOOKUP($DY$2,Variables!$B$60:$F$61,2,FALSE)</f>
        <v>0</v>
      </c>
      <c r="EF108" s="1223">
        <f>$G108*BK108*Variables!$B$53*HLOOKUP($DY$2,Variables!$B$60:$F$61,2,FALSE)</f>
        <v>0</v>
      </c>
      <c r="EG108" s="1223">
        <f>$G108*BL108*Variables!$B$53*HLOOKUP($DY$2,Variables!$B$60:$F$61,2,FALSE)</f>
        <v>0</v>
      </c>
      <c r="EH108" s="1223">
        <f>$G108*BM108*Variables!$B$53*HLOOKUP($DY$2,Variables!$B$60:$F$61,2,FALSE)</f>
        <v>0</v>
      </c>
      <c r="EI108" s="1223">
        <f>$G108*BN108*Variables!$B$53*HLOOKUP($DY$2,Variables!$B$60:$F$61,2,FALSE)</f>
        <v>0</v>
      </c>
      <c r="EJ108" s="1225">
        <f>$G108*BO108*Variables!$B$53*HLOOKUP($DY$2,Variables!$B$60:$F$61,2,FALSE)</f>
        <v>0</v>
      </c>
      <c r="EK108" s="1222">
        <f>$G108*BP108*Variables!$B$53*HLOOKUP($EK$2,Variables!$B$60:$F$61,2,FALSE)</f>
        <v>0</v>
      </c>
      <c r="EL108" s="1223">
        <f>$G108*BQ108*Variables!$B$53*HLOOKUP($EK$2,Variables!$B$60:$F$61,2,FALSE)</f>
        <v>0</v>
      </c>
      <c r="EM108" s="1223">
        <f>$G108*BR108*Variables!$B$53*HLOOKUP($EK$2,Variables!$B$60:$F$61,2,FALSE)</f>
        <v>0</v>
      </c>
      <c r="EN108" s="1223">
        <f>$G108*BS108*Variables!$B$53*HLOOKUP($EK$2,Variables!$B$60:$F$61,2,FALSE)</f>
        <v>0</v>
      </c>
      <c r="EO108" s="1223">
        <f>$G108*BT108*Variables!$B$53*HLOOKUP($EK$2,Variables!$B$60:$F$61,2,FALSE)</f>
        <v>0</v>
      </c>
      <c r="EP108" s="1223">
        <f>$G108*BU108*Variables!$B$53*HLOOKUP($EK$2,Variables!$B$60:$F$61,2,FALSE)</f>
        <v>0</v>
      </c>
      <c r="EQ108" s="1223">
        <f>$G108*BV108*Variables!$B$53*HLOOKUP($EK$2,Variables!$B$60:$F$61,2,FALSE)</f>
        <v>0</v>
      </c>
      <c r="ER108" s="1223">
        <f>$G108*BW108*Variables!$B$53*HLOOKUP($EK$2,Variables!$B$60:$F$61,2,FALSE)</f>
        <v>0</v>
      </c>
      <c r="ES108" s="1223">
        <f>$G108*BX108*Variables!$B$53*HLOOKUP($EK$2,Variables!$B$60:$F$61,2,FALSE)</f>
        <v>0</v>
      </c>
      <c r="ET108" s="1223">
        <f>$G108*BY108*Variables!$B$53*HLOOKUP($EK$2,Variables!$B$60:$F$61,2,FALSE)</f>
        <v>0</v>
      </c>
      <c r="EU108" s="1223">
        <f>$G108*BZ108*Variables!$B$53*HLOOKUP($EK$2,Variables!$B$60:$F$61,2,FALSE)</f>
        <v>0</v>
      </c>
      <c r="EV108" s="1225">
        <f>$G108*CA108*Variables!$B$53*HLOOKUP($EK$2,Variables!$B$60:$F$61,2,FALSE)</f>
        <v>0</v>
      </c>
      <c r="EW108" s="872">
        <f t="shared" si="15"/>
        <v>0</v>
      </c>
      <c r="EX108" s="872"/>
      <c r="EY108" s="872"/>
      <c r="EZ108" s="872"/>
      <c r="FA108" s="1332"/>
      <c r="FC108" s="958" t="str">
        <f t="shared" si="16"/>
        <v/>
      </c>
      <c r="FD108" s="959" t="str">
        <f t="shared" si="17"/>
        <v/>
      </c>
      <c r="FE108" s="959" t="s">
        <v>8407</v>
      </c>
      <c r="FF108" s="959" t="str">
        <f>IF(ISNA(VLOOKUP(FC108,Miscellaneous!E:F,2,0)),"",VLOOKUP(FC108,Miscellaneous!E:F,2,0))</f>
        <v/>
      </c>
      <c r="FG108" s="959" t="str">
        <f t="shared" si="18"/>
        <v/>
      </c>
      <c r="FH108" s="996">
        <f>IF($FG108="Opex",SUMIF('Monthly Summary'!$C$75:$N$75,"",CC108:CN108),SUMIF('Monthly Summary'!$C$74:$N$74,"",CC108:CN108))</f>
        <v>0</v>
      </c>
      <c r="FI108" s="996">
        <f>IF($FG108="Opex",SUMIF('Monthly Summary'!$O$75:$Z$75,"",CO108:CZ108),SUMIF('Monthly Summary'!$O$74:$Z$74,"",CO108:CZ108))</f>
        <v>0</v>
      </c>
      <c r="FJ108" s="996">
        <f>IF($FG108="Opex",SUMIF('Monthly Summary'!$AA$75:$AL$75,"",DA108:DL108),SUMIF('Monthly Summary'!$AA$74:$AL$74,"",DA108:DL108))</f>
        <v>0</v>
      </c>
      <c r="FK108" s="996">
        <f>IF($FG108="Opex",SUMIF('Monthly Summary'!$AM$75:$AX$75,"",DM108:DX108),SUMIF('Monthly Summary'!$AM$74:$AX$74,"",DM108:DX108))</f>
        <v>0</v>
      </c>
      <c r="FL108" s="996">
        <f>IF($FG108="Opex",SUMIF('Monthly Summary'!$AY$75:$BJ$75,"",DY108:EJ108),SUMIF('Monthly Summary'!$AY$74:$BJ$74,"",DY108:EJ108))</f>
        <v>0</v>
      </c>
      <c r="FM108" s="997">
        <f>IF($FG108="Opex",SUMIF('Monthly Summary'!$BK$75:$BV$75,"",EK108:EV108),SUMIF('Monthly Summary'!$BK$74:$BV$74,"",EK108:EV108))</f>
        <v>0</v>
      </c>
      <c r="FN108" s="997">
        <f t="shared" si="14"/>
        <v>0</v>
      </c>
    </row>
    <row r="109" spans="3:170">
      <c r="C109" s="757"/>
      <c r="D109" s="757"/>
      <c r="E109" s="758"/>
      <c r="F109" s="758"/>
      <c r="G109" s="758"/>
      <c r="H109" s="1215"/>
      <c r="I109" s="761"/>
      <c r="J109" s="761"/>
      <c r="K109" s="761"/>
      <c r="L109" s="761"/>
      <c r="M109" s="761"/>
      <c r="N109" s="761"/>
      <c r="O109" s="761"/>
      <c r="P109" s="761"/>
      <c r="Q109" s="761"/>
      <c r="R109" s="761"/>
      <c r="S109" s="1216"/>
      <c r="T109" s="1215"/>
      <c r="U109" s="761"/>
      <c r="V109" s="761"/>
      <c r="W109" s="761"/>
      <c r="X109" s="761"/>
      <c r="Y109" s="761"/>
      <c r="Z109" s="761"/>
      <c r="AA109" s="761"/>
      <c r="AB109" s="761"/>
      <c r="AC109" s="761"/>
      <c r="AD109" s="761"/>
      <c r="AE109" s="1216"/>
      <c r="AF109" s="1215"/>
      <c r="AG109" s="761"/>
      <c r="AH109" s="761"/>
      <c r="AI109" s="761"/>
      <c r="AJ109" s="761"/>
      <c r="AK109" s="761"/>
      <c r="AL109" s="761"/>
      <c r="AM109" s="761"/>
      <c r="AN109" s="761"/>
      <c r="AO109" s="761"/>
      <c r="AP109" s="761"/>
      <c r="AQ109" s="1216"/>
      <c r="AR109" s="1215"/>
      <c r="AS109" s="761"/>
      <c r="AT109" s="761"/>
      <c r="AU109" s="761"/>
      <c r="AV109" s="761"/>
      <c r="AW109" s="761"/>
      <c r="AX109" s="761"/>
      <c r="AY109" s="761"/>
      <c r="AZ109" s="761"/>
      <c r="BA109" s="761"/>
      <c r="BB109" s="761"/>
      <c r="BC109" s="1216"/>
      <c r="BD109" s="1215"/>
      <c r="BE109" s="761"/>
      <c r="BF109" s="761"/>
      <c r="BG109" s="761"/>
      <c r="BH109" s="761"/>
      <c r="BI109" s="761"/>
      <c r="BJ109" s="761"/>
      <c r="BK109" s="761"/>
      <c r="BL109" s="761"/>
      <c r="BM109" s="761"/>
      <c r="BN109" s="761"/>
      <c r="BO109" s="1216"/>
      <c r="BP109" s="1215"/>
      <c r="BQ109" s="761"/>
      <c r="BR109" s="761"/>
      <c r="BS109" s="761"/>
      <c r="BT109" s="761"/>
      <c r="BU109" s="761"/>
      <c r="BV109" s="761"/>
      <c r="BW109" s="761"/>
      <c r="BX109" s="761"/>
      <c r="BY109" s="761"/>
      <c r="BZ109" s="761"/>
      <c r="CA109" s="1216"/>
      <c r="CB109" s="747"/>
      <c r="CC109" s="1222">
        <f>$G109*H109*Variables!$B$53</f>
        <v>0</v>
      </c>
      <c r="CD109" s="1223">
        <f>$G109*I109*Variables!$B$53</f>
        <v>0</v>
      </c>
      <c r="CE109" s="1223">
        <f>$G109*J109*Variables!$B$53</f>
        <v>0</v>
      </c>
      <c r="CF109" s="1223">
        <f>$G109*K109*Variables!$B$53</f>
        <v>0</v>
      </c>
      <c r="CG109" s="1223">
        <f>$G109*L109*Variables!$B$53</f>
        <v>0</v>
      </c>
      <c r="CH109" s="1223">
        <f>$G109*M109*Variables!$B$53</f>
        <v>0</v>
      </c>
      <c r="CI109" s="1223">
        <f>$G109*N109*Variables!$B$53</f>
        <v>0</v>
      </c>
      <c r="CJ109" s="1223">
        <f>$G109*O109*Variables!$B$53</f>
        <v>0</v>
      </c>
      <c r="CK109" s="1223">
        <f>$G109*P109*Variables!$B$53</f>
        <v>0</v>
      </c>
      <c r="CL109" s="1223">
        <f>$G109*Q109*Variables!$B$53</f>
        <v>0</v>
      </c>
      <c r="CM109" s="1223">
        <f>$G109*R109*Variables!$B$53</f>
        <v>0</v>
      </c>
      <c r="CN109" s="1225">
        <f>$G109*S109*Variables!$B$53</f>
        <v>0</v>
      </c>
      <c r="CO109" s="1222">
        <f>$G109*T109*Variables!$B$53*HLOOKUP($CO$2,Variables!$B$60:$F$61,2,FALSE)</f>
        <v>0</v>
      </c>
      <c r="CP109" s="1223">
        <f>$G109*U109*Variables!$B$53*HLOOKUP($CO$2,Variables!$B$60:$F$61,2,FALSE)</f>
        <v>0</v>
      </c>
      <c r="CQ109" s="1223">
        <f>$G109*V109*Variables!$B$53*HLOOKUP($CO$2,Variables!$B$60:$F$61,2,FALSE)</f>
        <v>0</v>
      </c>
      <c r="CR109" s="1223">
        <f>$G109*W109*Variables!$B$53*HLOOKUP($CO$2,Variables!$B$60:$F$61,2,FALSE)</f>
        <v>0</v>
      </c>
      <c r="CS109" s="1223">
        <f>$G109*X109*Variables!$B$53*HLOOKUP($CO$2,Variables!$B$60:$F$61,2,FALSE)</f>
        <v>0</v>
      </c>
      <c r="CT109" s="1223">
        <f>$G109*Y109*Variables!$B$53*HLOOKUP($CO$2,Variables!$B$60:$F$61,2,FALSE)</f>
        <v>0</v>
      </c>
      <c r="CU109" s="1223">
        <f>$G109*Z109*Variables!$B$53*HLOOKUP($CO$2,Variables!$B$60:$F$61,2,FALSE)</f>
        <v>0</v>
      </c>
      <c r="CV109" s="1223">
        <f>$G109*AA109*Variables!$B$53*HLOOKUP($CO$2,Variables!$B$60:$F$61,2,FALSE)</f>
        <v>0</v>
      </c>
      <c r="CW109" s="1223">
        <f>$G109*AB109*Variables!$B$53*HLOOKUP($CO$2,Variables!$B$60:$F$61,2,FALSE)</f>
        <v>0</v>
      </c>
      <c r="CX109" s="1223">
        <f>$G109*AC109*Variables!$B$53*HLOOKUP($CO$2,Variables!$B$60:$F$61,2,FALSE)</f>
        <v>0</v>
      </c>
      <c r="CY109" s="1223">
        <f>$G109*AD109*Variables!$B$53*HLOOKUP($CO$2,Variables!$B$60:$F$61,2,FALSE)</f>
        <v>0</v>
      </c>
      <c r="CZ109" s="1225">
        <f>$G109*AE109*Variables!$B$53*HLOOKUP($CO$2,Variables!$B$60:$F$61,2,FALSE)</f>
        <v>0</v>
      </c>
      <c r="DA109" s="1222">
        <f>$G109*AF109*Variables!$B$53*HLOOKUP($DA$2,Variables!$B$60:$F$61,2,FALSE)</f>
        <v>0</v>
      </c>
      <c r="DB109" s="1223">
        <f>$G109*AG109*Variables!$B$53*HLOOKUP($DA$2,Variables!$B$60:$F$61,2,FALSE)</f>
        <v>0</v>
      </c>
      <c r="DC109" s="1223">
        <f>$G109*AH109*Variables!$B$53*HLOOKUP($DA$2,Variables!$B$60:$F$61,2,FALSE)</f>
        <v>0</v>
      </c>
      <c r="DD109" s="1223">
        <f>$G109*AI109*Variables!$B$53*HLOOKUP($DA$2,Variables!$B$60:$F$61,2,FALSE)</f>
        <v>0</v>
      </c>
      <c r="DE109" s="1223">
        <f>$G109*AJ109*Variables!$B$53*HLOOKUP($DA$2,Variables!$B$60:$F$61,2,FALSE)</f>
        <v>0</v>
      </c>
      <c r="DF109" s="1223">
        <f>$G109*AK109*Variables!$B$53*HLOOKUP($DA$2,Variables!$B$60:$F$61,2,FALSE)</f>
        <v>0</v>
      </c>
      <c r="DG109" s="1223">
        <f>$G109*AL109*Variables!$B$53*HLOOKUP($DA$2,Variables!$B$60:$F$61,2,FALSE)</f>
        <v>0</v>
      </c>
      <c r="DH109" s="1223">
        <f>$G109*AM109*Variables!$B$53*HLOOKUP($DA$2,Variables!$B$60:$F$61,2,FALSE)</f>
        <v>0</v>
      </c>
      <c r="DI109" s="1223">
        <f>$G109*AN109*Variables!$B$53*HLOOKUP($DA$2,Variables!$B$60:$F$61,2,FALSE)</f>
        <v>0</v>
      </c>
      <c r="DJ109" s="1223">
        <f>$G109*AO109*Variables!$B$53*HLOOKUP($DA$2,Variables!$B$60:$F$61,2,FALSE)</f>
        <v>0</v>
      </c>
      <c r="DK109" s="1223">
        <f>$G109*AP109*Variables!$B$53*HLOOKUP($DA$2,Variables!$B$60:$F$61,2,FALSE)</f>
        <v>0</v>
      </c>
      <c r="DL109" s="1225">
        <f>$G109*AQ109*Variables!$B$53*HLOOKUP($DA$2,Variables!$B$60:$F$61,2,FALSE)</f>
        <v>0</v>
      </c>
      <c r="DM109" s="1222">
        <f>$G109*AR109*Variables!$B$53*HLOOKUP($DM$2,Variables!$B$60:$F$61,2,FALSE)</f>
        <v>0</v>
      </c>
      <c r="DN109" s="1223">
        <f>$G109*AS109*Variables!$B$53*HLOOKUP($DM$2,Variables!$B$60:$F$61,2,FALSE)</f>
        <v>0</v>
      </c>
      <c r="DO109" s="1223">
        <f>$G109*AT109*Variables!$B$53*HLOOKUP($DM$2,Variables!$B$60:$F$61,2,FALSE)</f>
        <v>0</v>
      </c>
      <c r="DP109" s="1223">
        <f>$G109*AU109*Variables!$B$53*HLOOKUP($DM$2,Variables!$B$60:$F$61,2,FALSE)</f>
        <v>0</v>
      </c>
      <c r="DQ109" s="1223">
        <f>$G109*AV109*Variables!$B$53*HLOOKUP($DM$2,Variables!$B$60:$F$61,2,FALSE)</f>
        <v>0</v>
      </c>
      <c r="DR109" s="1223">
        <f>$G109*AW109*Variables!$B$53*HLOOKUP($DM$2,Variables!$B$60:$F$61,2,FALSE)</f>
        <v>0</v>
      </c>
      <c r="DS109" s="1223">
        <f>$G109*AX109*Variables!$B$53*HLOOKUP($DM$2,Variables!$B$60:$F$61,2,FALSE)</f>
        <v>0</v>
      </c>
      <c r="DT109" s="1223">
        <f>$G109*AY109*Variables!$B$53*HLOOKUP($DM$2,Variables!$B$60:$F$61,2,FALSE)</f>
        <v>0</v>
      </c>
      <c r="DU109" s="1223">
        <f>$G109*AZ109*Variables!$B$53*HLOOKUP($DM$2,Variables!$B$60:$F$61,2,FALSE)</f>
        <v>0</v>
      </c>
      <c r="DV109" s="1223">
        <f>$G109*BA109*Variables!$B$53*HLOOKUP($DM$2,Variables!$B$60:$F$61,2,FALSE)</f>
        <v>0</v>
      </c>
      <c r="DW109" s="1223">
        <f>$G109*BB109*Variables!$B$53*HLOOKUP($DM$2,Variables!$B$60:$F$61,2,FALSE)</f>
        <v>0</v>
      </c>
      <c r="DX109" s="1225">
        <f>$G109*BC109*Variables!$B$53*HLOOKUP($DM$2,Variables!$B$60:$F$61,2,FALSE)</f>
        <v>0</v>
      </c>
      <c r="DY109" s="1222">
        <f>$G109*BD109*Variables!$B$53*HLOOKUP($DY$2,Variables!$B$60:$F$61,2,FALSE)</f>
        <v>0</v>
      </c>
      <c r="DZ109" s="1223">
        <f>$G109*BE109*Variables!$B$53*HLOOKUP($DY$2,Variables!$B$60:$F$61,2,FALSE)</f>
        <v>0</v>
      </c>
      <c r="EA109" s="1223">
        <f>$G109*BF109*Variables!$B$53*HLOOKUP($DY$2,Variables!$B$60:$F$61,2,FALSE)</f>
        <v>0</v>
      </c>
      <c r="EB109" s="1223">
        <f>$G109*BG109*Variables!$B$53*HLOOKUP($DY$2,Variables!$B$60:$F$61,2,FALSE)</f>
        <v>0</v>
      </c>
      <c r="EC109" s="1223">
        <f>$G109*BH109*Variables!$B$53*HLOOKUP($DY$2,Variables!$B$60:$F$61,2,FALSE)</f>
        <v>0</v>
      </c>
      <c r="ED109" s="1223">
        <f>$G109*BI109*Variables!$B$53*HLOOKUP($DY$2,Variables!$B$60:$F$61,2,FALSE)</f>
        <v>0</v>
      </c>
      <c r="EE109" s="1223">
        <f>$G109*BJ109*Variables!$B$53*HLOOKUP($DY$2,Variables!$B$60:$F$61,2,FALSE)</f>
        <v>0</v>
      </c>
      <c r="EF109" s="1223">
        <f>$G109*BK109*Variables!$B$53*HLOOKUP($DY$2,Variables!$B$60:$F$61,2,FALSE)</f>
        <v>0</v>
      </c>
      <c r="EG109" s="1223">
        <f>$G109*BL109*Variables!$B$53*HLOOKUP($DY$2,Variables!$B$60:$F$61,2,FALSE)</f>
        <v>0</v>
      </c>
      <c r="EH109" s="1223">
        <f>$G109*BM109*Variables!$B$53*HLOOKUP($DY$2,Variables!$B$60:$F$61,2,FALSE)</f>
        <v>0</v>
      </c>
      <c r="EI109" s="1223">
        <f>$G109*BN109*Variables!$B$53*HLOOKUP($DY$2,Variables!$B$60:$F$61,2,FALSE)</f>
        <v>0</v>
      </c>
      <c r="EJ109" s="1225">
        <f>$G109*BO109*Variables!$B$53*HLOOKUP($DY$2,Variables!$B$60:$F$61,2,FALSE)</f>
        <v>0</v>
      </c>
      <c r="EK109" s="1222">
        <f>$G109*BP109*Variables!$B$53*HLOOKUP($EK$2,Variables!$B$60:$F$61,2,FALSE)</f>
        <v>0</v>
      </c>
      <c r="EL109" s="1223">
        <f>$G109*BQ109*Variables!$B$53*HLOOKUP($EK$2,Variables!$B$60:$F$61,2,FALSE)</f>
        <v>0</v>
      </c>
      <c r="EM109" s="1223">
        <f>$G109*BR109*Variables!$B$53*HLOOKUP($EK$2,Variables!$B$60:$F$61,2,FALSE)</f>
        <v>0</v>
      </c>
      <c r="EN109" s="1223">
        <f>$G109*BS109*Variables!$B$53*HLOOKUP($EK$2,Variables!$B$60:$F$61,2,FALSE)</f>
        <v>0</v>
      </c>
      <c r="EO109" s="1223">
        <f>$G109*BT109*Variables!$B$53*HLOOKUP($EK$2,Variables!$B$60:$F$61,2,FALSE)</f>
        <v>0</v>
      </c>
      <c r="EP109" s="1223">
        <f>$G109*BU109*Variables!$B$53*HLOOKUP($EK$2,Variables!$B$60:$F$61,2,FALSE)</f>
        <v>0</v>
      </c>
      <c r="EQ109" s="1223">
        <f>$G109*BV109*Variables!$B$53*HLOOKUP($EK$2,Variables!$B$60:$F$61,2,FALSE)</f>
        <v>0</v>
      </c>
      <c r="ER109" s="1223">
        <f>$G109*BW109*Variables!$B$53*HLOOKUP($EK$2,Variables!$B$60:$F$61,2,FALSE)</f>
        <v>0</v>
      </c>
      <c r="ES109" s="1223">
        <f>$G109*BX109*Variables!$B$53*HLOOKUP($EK$2,Variables!$B$60:$F$61,2,FALSE)</f>
        <v>0</v>
      </c>
      <c r="ET109" s="1223">
        <f>$G109*BY109*Variables!$B$53*HLOOKUP($EK$2,Variables!$B$60:$F$61,2,FALSE)</f>
        <v>0</v>
      </c>
      <c r="EU109" s="1223">
        <f>$G109*BZ109*Variables!$B$53*HLOOKUP($EK$2,Variables!$B$60:$F$61,2,FALSE)</f>
        <v>0</v>
      </c>
      <c r="EV109" s="1225">
        <f>$G109*CA109*Variables!$B$53*HLOOKUP($EK$2,Variables!$B$60:$F$61,2,FALSE)</f>
        <v>0</v>
      </c>
      <c r="EW109" s="872">
        <f t="shared" si="15"/>
        <v>0</v>
      </c>
      <c r="EX109" s="872"/>
      <c r="EY109" s="872"/>
      <c r="EZ109" s="872"/>
      <c r="FA109" s="1332"/>
      <c r="FC109" s="958" t="str">
        <f t="shared" si="16"/>
        <v/>
      </c>
      <c r="FD109" s="959" t="str">
        <f t="shared" si="17"/>
        <v/>
      </c>
      <c r="FE109" s="959" t="s">
        <v>8407</v>
      </c>
      <c r="FF109" s="959" t="str">
        <f>IF(ISNA(VLOOKUP(FC109,Miscellaneous!E:F,2,0)),"",VLOOKUP(FC109,Miscellaneous!E:F,2,0))</f>
        <v/>
      </c>
      <c r="FG109" s="959" t="str">
        <f t="shared" si="18"/>
        <v/>
      </c>
      <c r="FH109" s="996">
        <f>IF($FG109="Opex",SUMIF('Monthly Summary'!$C$75:$N$75,"",CC109:CN109),SUMIF('Monthly Summary'!$C$74:$N$74,"",CC109:CN109))</f>
        <v>0</v>
      </c>
      <c r="FI109" s="996">
        <f>IF($FG109="Opex",SUMIF('Monthly Summary'!$O$75:$Z$75,"",CO109:CZ109),SUMIF('Monthly Summary'!$O$74:$Z$74,"",CO109:CZ109))</f>
        <v>0</v>
      </c>
      <c r="FJ109" s="996">
        <f>IF($FG109="Opex",SUMIF('Monthly Summary'!$AA$75:$AL$75,"",DA109:DL109),SUMIF('Monthly Summary'!$AA$74:$AL$74,"",DA109:DL109))</f>
        <v>0</v>
      </c>
      <c r="FK109" s="996">
        <f>IF($FG109="Opex",SUMIF('Monthly Summary'!$AM$75:$AX$75,"",DM109:DX109),SUMIF('Monthly Summary'!$AM$74:$AX$74,"",DM109:DX109))</f>
        <v>0</v>
      </c>
      <c r="FL109" s="996">
        <f>IF($FG109="Opex",SUMIF('Monthly Summary'!$AY$75:$BJ$75,"",DY109:EJ109),SUMIF('Monthly Summary'!$AY$74:$BJ$74,"",DY109:EJ109))</f>
        <v>0</v>
      </c>
      <c r="FM109" s="997">
        <f>IF($FG109="Opex",SUMIF('Monthly Summary'!$BK$75:$BV$75,"",EK109:EV109),SUMIF('Monthly Summary'!$BK$74:$BV$74,"",EK109:EV109))</f>
        <v>0</v>
      </c>
      <c r="FN109" s="997">
        <f t="shared" si="14"/>
        <v>0</v>
      </c>
    </row>
    <row r="110" spans="3:170">
      <c r="C110" s="757"/>
      <c r="D110" s="757"/>
      <c r="E110" s="758"/>
      <c r="F110" s="758"/>
      <c r="G110" s="758"/>
      <c r="H110" s="1215"/>
      <c r="I110" s="761"/>
      <c r="J110" s="761"/>
      <c r="K110" s="761"/>
      <c r="L110" s="761"/>
      <c r="M110" s="761"/>
      <c r="N110" s="761"/>
      <c r="O110" s="761"/>
      <c r="P110" s="761"/>
      <c r="Q110" s="761"/>
      <c r="R110" s="761"/>
      <c r="S110" s="1216"/>
      <c r="T110" s="1215"/>
      <c r="U110" s="761"/>
      <c r="V110" s="761"/>
      <c r="W110" s="761"/>
      <c r="X110" s="761"/>
      <c r="Y110" s="761"/>
      <c r="Z110" s="761"/>
      <c r="AA110" s="761"/>
      <c r="AB110" s="761"/>
      <c r="AC110" s="761"/>
      <c r="AD110" s="761"/>
      <c r="AE110" s="1216"/>
      <c r="AF110" s="1215"/>
      <c r="AG110" s="761"/>
      <c r="AH110" s="761"/>
      <c r="AI110" s="761"/>
      <c r="AJ110" s="761"/>
      <c r="AK110" s="761"/>
      <c r="AL110" s="761"/>
      <c r="AM110" s="761"/>
      <c r="AN110" s="761"/>
      <c r="AO110" s="761"/>
      <c r="AP110" s="761"/>
      <c r="AQ110" s="1216"/>
      <c r="AR110" s="1215"/>
      <c r="AS110" s="761"/>
      <c r="AT110" s="761"/>
      <c r="AU110" s="761"/>
      <c r="AV110" s="761"/>
      <c r="AW110" s="761"/>
      <c r="AX110" s="761"/>
      <c r="AY110" s="761"/>
      <c r="AZ110" s="761"/>
      <c r="BA110" s="761"/>
      <c r="BB110" s="761"/>
      <c r="BC110" s="1216"/>
      <c r="BD110" s="1215"/>
      <c r="BE110" s="761"/>
      <c r="BF110" s="761"/>
      <c r="BG110" s="761"/>
      <c r="BH110" s="761"/>
      <c r="BI110" s="761"/>
      <c r="BJ110" s="761"/>
      <c r="BK110" s="761"/>
      <c r="BL110" s="761"/>
      <c r="BM110" s="761"/>
      <c r="BN110" s="761"/>
      <c r="BO110" s="1216"/>
      <c r="BP110" s="1215"/>
      <c r="BQ110" s="761"/>
      <c r="BR110" s="761"/>
      <c r="BS110" s="761"/>
      <c r="BT110" s="761"/>
      <c r="BU110" s="761"/>
      <c r="BV110" s="761"/>
      <c r="BW110" s="761"/>
      <c r="BX110" s="761"/>
      <c r="BY110" s="761"/>
      <c r="BZ110" s="761"/>
      <c r="CA110" s="1216"/>
      <c r="CB110" s="747"/>
      <c r="CC110" s="1222">
        <f>$G110*H110*Variables!$B$53</f>
        <v>0</v>
      </c>
      <c r="CD110" s="1223">
        <f>$G110*I110*Variables!$B$53</f>
        <v>0</v>
      </c>
      <c r="CE110" s="1223">
        <f>$G110*J110*Variables!$B$53</f>
        <v>0</v>
      </c>
      <c r="CF110" s="1223">
        <f>$G110*K110*Variables!$B$53</f>
        <v>0</v>
      </c>
      <c r="CG110" s="1223">
        <f>$G110*L110*Variables!$B$53</f>
        <v>0</v>
      </c>
      <c r="CH110" s="1223">
        <f>$G110*M110*Variables!$B$53</f>
        <v>0</v>
      </c>
      <c r="CI110" s="1223">
        <f>$G110*N110*Variables!$B$53</f>
        <v>0</v>
      </c>
      <c r="CJ110" s="1223">
        <f>$G110*O110*Variables!$B$53</f>
        <v>0</v>
      </c>
      <c r="CK110" s="1223">
        <f>$G110*P110*Variables!$B$53</f>
        <v>0</v>
      </c>
      <c r="CL110" s="1223">
        <f>$G110*Q110*Variables!$B$53</f>
        <v>0</v>
      </c>
      <c r="CM110" s="1223">
        <f>$G110*R110*Variables!$B$53</f>
        <v>0</v>
      </c>
      <c r="CN110" s="1225">
        <f>$G110*S110*Variables!$B$53</f>
        <v>0</v>
      </c>
      <c r="CO110" s="1222">
        <f>$G110*T110*Variables!$B$53*HLOOKUP($CO$2,Variables!$B$60:$F$61,2,FALSE)</f>
        <v>0</v>
      </c>
      <c r="CP110" s="1223">
        <f>$G110*U110*Variables!$B$53*HLOOKUP($CO$2,Variables!$B$60:$F$61,2,FALSE)</f>
        <v>0</v>
      </c>
      <c r="CQ110" s="1223">
        <f>$G110*V110*Variables!$B$53*HLOOKUP($CO$2,Variables!$B$60:$F$61,2,FALSE)</f>
        <v>0</v>
      </c>
      <c r="CR110" s="1223">
        <f>$G110*W110*Variables!$B$53*HLOOKUP($CO$2,Variables!$B$60:$F$61,2,FALSE)</f>
        <v>0</v>
      </c>
      <c r="CS110" s="1223">
        <f>$G110*X110*Variables!$B$53*HLOOKUP($CO$2,Variables!$B$60:$F$61,2,FALSE)</f>
        <v>0</v>
      </c>
      <c r="CT110" s="1223">
        <f>$G110*Y110*Variables!$B$53*HLOOKUP($CO$2,Variables!$B$60:$F$61,2,FALSE)</f>
        <v>0</v>
      </c>
      <c r="CU110" s="1223">
        <f>$G110*Z110*Variables!$B$53*HLOOKUP($CO$2,Variables!$B$60:$F$61,2,FALSE)</f>
        <v>0</v>
      </c>
      <c r="CV110" s="1223">
        <f>$G110*AA110*Variables!$B$53*HLOOKUP($CO$2,Variables!$B$60:$F$61,2,FALSE)</f>
        <v>0</v>
      </c>
      <c r="CW110" s="1223">
        <f>$G110*AB110*Variables!$B$53*HLOOKUP($CO$2,Variables!$B$60:$F$61,2,FALSE)</f>
        <v>0</v>
      </c>
      <c r="CX110" s="1223">
        <f>$G110*AC110*Variables!$B$53*HLOOKUP($CO$2,Variables!$B$60:$F$61,2,FALSE)</f>
        <v>0</v>
      </c>
      <c r="CY110" s="1223">
        <f>$G110*AD110*Variables!$B$53*HLOOKUP($CO$2,Variables!$B$60:$F$61,2,FALSE)</f>
        <v>0</v>
      </c>
      <c r="CZ110" s="1225">
        <f>$G110*AE110*Variables!$B$53*HLOOKUP($CO$2,Variables!$B$60:$F$61,2,FALSE)</f>
        <v>0</v>
      </c>
      <c r="DA110" s="1222">
        <f>$G110*AF110*Variables!$B$53*HLOOKUP($DA$2,Variables!$B$60:$F$61,2,FALSE)</f>
        <v>0</v>
      </c>
      <c r="DB110" s="1223">
        <f>$G110*AG110*Variables!$B$53*HLOOKUP($DA$2,Variables!$B$60:$F$61,2,FALSE)</f>
        <v>0</v>
      </c>
      <c r="DC110" s="1223">
        <f>$G110*AH110*Variables!$B$53*HLOOKUP($DA$2,Variables!$B$60:$F$61,2,FALSE)</f>
        <v>0</v>
      </c>
      <c r="DD110" s="1223">
        <f>$G110*AI110*Variables!$B$53*HLOOKUP($DA$2,Variables!$B$60:$F$61,2,FALSE)</f>
        <v>0</v>
      </c>
      <c r="DE110" s="1223">
        <f>$G110*AJ110*Variables!$B$53*HLOOKUP($DA$2,Variables!$B$60:$F$61,2,FALSE)</f>
        <v>0</v>
      </c>
      <c r="DF110" s="1223">
        <f>$G110*AK110*Variables!$B$53*HLOOKUP($DA$2,Variables!$B$60:$F$61,2,FALSE)</f>
        <v>0</v>
      </c>
      <c r="DG110" s="1223">
        <f>$G110*AL110*Variables!$B$53*HLOOKUP($DA$2,Variables!$B$60:$F$61,2,FALSE)</f>
        <v>0</v>
      </c>
      <c r="DH110" s="1223">
        <f>$G110*AM110*Variables!$B$53*HLOOKUP($DA$2,Variables!$B$60:$F$61,2,FALSE)</f>
        <v>0</v>
      </c>
      <c r="DI110" s="1223">
        <f>$G110*AN110*Variables!$B$53*HLOOKUP($DA$2,Variables!$B$60:$F$61,2,FALSE)</f>
        <v>0</v>
      </c>
      <c r="DJ110" s="1223">
        <f>$G110*AO110*Variables!$B$53*HLOOKUP($DA$2,Variables!$B$60:$F$61,2,FALSE)</f>
        <v>0</v>
      </c>
      <c r="DK110" s="1223">
        <f>$G110*AP110*Variables!$B$53*HLOOKUP($DA$2,Variables!$B$60:$F$61,2,FALSE)</f>
        <v>0</v>
      </c>
      <c r="DL110" s="1225">
        <f>$G110*AQ110*Variables!$B$53*HLOOKUP($DA$2,Variables!$B$60:$F$61,2,FALSE)</f>
        <v>0</v>
      </c>
      <c r="DM110" s="1222">
        <f>$G110*AR110*Variables!$B$53*HLOOKUP($DM$2,Variables!$B$60:$F$61,2,FALSE)</f>
        <v>0</v>
      </c>
      <c r="DN110" s="1223">
        <f>$G110*AS110*Variables!$B$53*HLOOKUP($DM$2,Variables!$B$60:$F$61,2,FALSE)</f>
        <v>0</v>
      </c>
      <c r="DO110" s="1223">
        <f>$G110*AT110*Variables!$B$53*HLOOKUP($DM$2,Variables!$B$60:$F$61,2,FALSE)</f>
        <v>0</v>
      </c>
      <c r="DP110" s="1223">
        <f>$G110*AU110*Variables!$B$53*HLOOKUP($DM$2,Variables!$B$60:$F$61,2,FALSE)</f>
        <v>0</v>
      </c>
      <c r="DQ110" s="1223">
        <f>$G110*AV110*Variables!$B$53*HLOOKUP($DM$2,Variables!$B$60:$F$61,2,FALSE)</f>
        <v>0</v>
      </c>
      <c r="DR110" s="1223">
        <f>$G110*AW110*Variables!$B$53*HLOOKUP($DM$2,Variables!$B$60:$F$61,2,FALSE)</f>
        <v>0</v>
      </c>
      <c r="DS110" s="1223">
        <f>$G110*AX110*Variables!$B$53*HLOOKUP($DM$2,Variables!$B$60:$F$61,2,FALSE)</f>
        <v>0</v>
      </c>
      <c r="DT110" s="1223">
        <f>$G110*AY110*Variables!$B$53*HLOOKUP($DM$2,Variables!$B$60:$F$61,2,FALSE)</f>
        <v>0</v>
      </c>
      <c r="DU110" s="1223">
        <f>$G110*AZ110*Variables!$B$53*HLOOKUP($DM$2,Variables!$B$60:$F$61,2,FALSE)</f>
        <v>0</v>
      </c>
      <c r="DV110" s="1223">
        <f>$G110*BA110*Variables!$B$53*HLOOKUP($DM$2,Variables!$B$60:$F$61,2,FALSE)</f>
        <v>0</v>
      </c>
      <c r="DW110" s="1223">
        <f>$G110*BB110*Variables!$B$53*HLOOKUP($DM$2,Variables!$B$60:$F$61,2,FALSE)</f>
        <v>0</v>
      </c>
      <c r="DX110" s="1225">
        <f>$G110*BC110*Variables!$B$53*HLOOKUP($DM$2,Variables!$B$60:$F$61,2,FALSE)</f>
        <v>0</v>
      </c>
      <c r="DY110" s="1222">
        <f>$G110*BD110*Variables!$B$53*HLOOKUP($DY$2,Variables!$B$60:$F$61,2,FALSE)</f>
        <v>0</v>
      </c>
      <c r="DZ110" s="1223">
        <f>$G110*BE110*Variables!$B$53*HLOOKUP($DY$2,Variables!$B$60:$F$61,2,FALSE)</f>
        <v>0</v>
      </c>
      <c r="EA110" s="1223">
        <f>$G110*BF110*Variables!$B$53*HLOOKUP($DY$2,Variables!$B$60:$F$61,2,FALSE)</f>
        <v>0</v>
      </c>
      <c r="EB110" s="1223">
        <f>$G110*BG110*Variables!$B$53*HLOOKUP($DY$2,Variables!$B$60:$F$61,2,FALSE)</f>
        <v>0</v>
      </c>
      <c r="EC110" s="1223">
        <f>$G110*BH110*Variables!$B$53*HLOOKUP($DY$2,Variables!$B$60:$F$61,2,FALSE)</f>
        <v>0</v>
      </c>
      <c r="ED110" s="1223">
        <f>$G110*BI110*Variables!$B$53*HLOOKUP($DY$2,Variables!$B$60:$F$61,2,FALSE)</f>
        <v>0</v>
      </c>
      <c r="EE110" s="1223">
        <f>$G110*BJ110*Variables!$B$53*HLOOKUP($DY$2,Variables!$B$60:$F$61,2,FALSE)</f>
        <v>0</v>
      </c>
      <c r="EF110" s="1223">
        <f>$G110*BK110*Variables!$B$53*HLOOKUP($DY$2,Variables!$B$60:$F$61,2,FALSE)</f>
        <v>0</v>
      </c>
      <c r="EG110" s="1223">
        <f>$G110*BL110*Variables!$B$53*HLOOKUP($DY$2,Variables!$B$60:$F$61,2,FALSE)</f>
        <v>0</v>
      </c>
      <c r="EH110" s="1223">
        <f>$G110*BM110*Variables!$B$53*HLOOKUP($DY$2,Variables!$B$60:$F$61,2,FALSE)</f>
        <v>0</v>
      </c>
      <c r="EI110" s="1223">
        <f>$G110*BN110*Variables!$B$53*HLOOKUP($DY$2,Variables!$B$60:$F$61,2,FALSE)</f>
        <v>0</v>
      </c>
      <c r="EJ110" s="1225">
        <f>$G110*BO110*Variables!$B$53*HLOOKUP($DY$2,Variables!$B$60:$F$61,2,FALSE)</f>
        <v>0</v>
      </c>
      <c r="EK110" s="1222">
        <f>$G110*BP110*Variables!$B$53*HLOOKUP($EK$2,Variables!$B$60:$F$61,2,FALSE)</f>
        <v>0</v>
      </c>
      <c r="EL110" s="1223">
        <f>$G110*BQ110*Variables!$B$53*HLOOKUP($EK$2,Variables!$B$60:$F$61,2,FALSE)</f>
        <v>0</v>
      </c>
      <c r="EM110" s="1223">
        <f>$G110*BR110*Variables!$B$53*HLOOKUP($EK$2,Variables!$B$60:$F$61,2,FALSE)</f>
        <v>0</v>
      </c>
      <c r="EN110" s="1223">
        <f>$G110*BS110*Variables!$B$53*HLOOKUP($EK$2,Variables!$B$60:$F$61,2,FALSE)</f>
        <v>0</v>
      </c>
      <c r="EO110" s="1223">
        <f>$G110*BT110*Variables!$B$53*HLOOKUP($EK$2,Variables!$B$60:$F$61,2,FALSE)</f>
        <v>0</v>
      </c>
      <c r="EP110" s="1223">
        <f>$G110*BU110*Variables!$B$53*HLOOKUP($EK$2,Variables!$B$60:$F$61,2,FALSE)</f>
        <v>0</v>
      </c>
      <c r="EQ110" s="1223">
        <f>$G110*BV110*Variables!$B$53*HLOOKUP($EK$2,Variables!$B$60:$F$61,2,FALSE)</f>
        <v>0</v>
      </c>
      <c r="ER110" s="1223">
        <f>$G110*BW110*Variables!$B$53*HLOOKUP($EK$2,Variables!$B$60:$F$61,2,FALSE)</f>
        <v>0</v>
      </c>
      <c r="ES110" s="1223">
        <f>$G110*BX110*Variables!$B$53*HLOOKUP($EK$2,Variables!$B$60:$F$61,2,FALSE)</f>
        <v>0</v>
      </c>
      <c r="ET110" s="1223">
        <f>$G110*BY110*Variables!$B$53*HLOOKUP($EK$2,Variables!$B$60:$F$61,2,FALSE)</f>
        <v>0</v>
      </c>
      <c r="EU110" s="1223">
        <f>$G110*BZ110*Variables!$B$53*HLOOKUP($EK$2,Variables!$B$60:$F$61,2,FALSE)</f>
        <v>0</v>
      </c>
      <c r="EV110" s="1225">
        <f>$G110*CA110*Variables!$B$53*HLOOKUP($EK$2,Variables!$B$60:$F$61,2,FALSE)</f>
        <v>0</v>
      </c>
      <c r="EW110" s="872">
        <f t="shared" si="15"/>
        <v>0</v>
      </c>
      <c r="EX110" s="872"/>
      <c r="EY110" s="872"/>
      <c r="EZ110" s="872"/>
      <c r="FA110" s="1332"/>
      <c r="FC110" s="958" t="str">
        <f t="shared" si="16"/>
        <v/>
      </c>
      <c r="FD110" s="959" t="str">
        <f t="shared" si="17"/>
        <v/>
      </c>
      <c r="FE110" s="959" t="s">
        <v>8407</v>
      </c>
      <c r="FF110" s="959" t="str">
        <f>IF(ISNA(VLOOKUP(FC110,Miscellaneous!E:F,2,0)),"",VLOOKUP(FC110,Miscellaneous!E:F,2,0))</f>
        <v/>
      </c>
      <c r="FG110" s="959" t="str">
        <f t="shared" si="18"/>
        <v/>
      </c>
      <c r="FH110" s="996">
        <f>IF($FG110="Opex",SUMIF('Monthly Summary'!$C$75:$N$75,"",CC110:CN110),SUMIF('Monthly Summary'!$C$74:$N$74,"",CC110:CN110))</f>
        <v>0</v>
      </c>
      <c r="FI110" s="996">
        <f>IF($FG110="Opex",SUMIF('Monthly Summary'!$O$75:$Z$75,"",CO110:CZ110),SUMIF('Monthly Summary'!$O$74:$Z$74,"",CO110:CZ110))</f>
        <v>0</v>
      </c>
      <c r="FJ110" s="996">
        <f>IF($FG110="Opex",SUMIF('Monthly Summary'!$AA$75:$AL$75,"",DA110:DL110),SUMIF('Monthly Summary'!$AA$74:$AL$74,"",DA110:DL110))</f>
        <v>0</v>
      </c>
      <c r="FK110" s="996">
        <f>IF($FG110="Opex",SUMIF('Monthly Summary'!$AM$75:$AX$75,"",DM110:DX110),SUMIF('Monthly Summary'!$AM$74:$AX$74,"",DM110:DX110))</f>
        <v>0</v>
      </c>
      <c r="FL110" s="996">
        <f>IF($FG110="Opex",SUMIF('Monthly Summary'!$AY$75:$BJ$75,"",DY110:EJ110),SUMIF('Monthly Summary'!$AY$74:$BJ$74,"",DY110:EJ110))</f>
        <v>0</v>
      </c>
      <c r="FM110" s="997">
        <f>IF($FG110="Opex",SUMIF('Monthly Summary'!$BK$75:$BV$75,"",EK110:EV110),SUMIF('Monthly Summary'!$BK$74:$BV$74,"",EK110:EV110))</f>
        <v>0</v>
      </c>
      <c r="FN110" s="997">
        <f t="shared" si="14"/>
        <v>0</v>
      </c>
    </row>
    <row r="111" spans="3:170">
      <c r="C111" s="757"/>
      <c r="D111" s="757"/>
      <c r="E111" s="758"/>
      <c r="F111" s="758"/>
      <c r="G111" s="758"/>
      <c r="H111" s="1215"/>
      <c r="I111" s="761"/>
      <c r="J111" s="761"/>
      <c r="K111" s="761"/>
      <c r="L111" s="761"/>
      <c r="M111" s="761"/>
      <c r="N111" s="761"/>
      <c r="O111" s="761"/>
      <c r="P111" s="761"/>
      <c r="Q111" s="761"/>
      <c r="R111" s="761"/>
      <c r="S111" s="1216"/>
      <c r="T111" s="1215"/>
      <c r="U111" s="761"/>
      <c r="V111" s="761"/>
      <c r="W111" s="761"/>
      <c r="X111" s="761"/>
      <c r="Y111" s="761"/>
      <c r="Z111" s="761"/>
      <c r="AA111" s="761"/>
      <c r="AB111" s="761"/>
      <c r="AC111" s="761"/>
      <c r="AD111" s="761"/>
      <c r="AE111" s="1216"/>
      <c r="AF111" s="1215"/>
      <c r="AG111" s="761"/>
      <c r="AH111" s="761"/>
      <c r="AI111" s="761"/>
      <c r="AJ111" s="761"/>
      <c r="AK111" s="761"/>
      <c r="AL111" s="761"/>
      <c r="AM111" s="761"/>
      <c r="AN111" s="761"/>
      <c r="AO111" s="761"/>
      <c r="AP111" s="761"/>
      <c r="AQ111" s="1216"/>
      <c r="AR111" s="1215"/>
      <c r="AS111" s="761"/>
      <c r="AT111" s="761"/>
      <c r="AU111" s="761"/>
      <c r="AV111" s="761"/>
      <c r="AW111" s="761"/>
      <c r="AX111" s="761"/>
      <c r="AY111" s="761"/>
      <c r="AZ111" s="761"/>
      <c r="BA111" s="761"/>
      <c r="BB111" s="761"/>
      <c r="BC111" s="1216"/>
      <c r="BD111" s="1215"/>
      <c r="BE111" s="761"/>
      <c r="BF111" s="761"/>
      <c r="BG111" s="761"/>
      <c r="BH111" s="761"/>
      <c r="BI111" s="761"/>
      <c r="BJ111" s="761"/>
      <c r="BK111" s="761"/>
      <c r="BL111" s="761"/>
      <c r="BM111" s="761"/>
      <c r="BN111" s="761"/>
      <c r="BO111" s="1216"/>
      <c r="BP111" s="1215"/>
      <c r="BQ111" s="761"/>
      <c r="BR111" s="761"/>
      <c r="BS111" s="761"/>
      <c r="BT111" s="761"/>
      <c r="BU111" s="761"/>
      <c r="BV111" s="761"/>
      <c r="BW111" s="761"/>
      <c r="BX111" s="761"/>
      <c r="BY111" s="761"/>
      <c r="BZ111" s="761"/>
      <c r="CA111" s="1216"/>
      <c r="CB111" s="747"/>
      <c r="CC111" s="1222">
        <f>$G111*H111*Variables!$B$53</f>
        <v>0</v>
      </c>
      <c r="CD111" s="1223">
        <f>$G111*I111*Variables!$B$53</f>
        <v>0</v>
      </c>
      <c r="CE111" s="1223">
        <f>$G111*J111*Variables!$B$53</f>
        <v>0</v>
      </c>
      <c r="CF111" s="1223">
        <f>$G111*K111*Variables!$B$53</f>
        <v>0</v>
      </c>
      <c r="CG111" s="1223">
        <f>$G111*L111*Variables!$B$53</f>
        <v>0</v>
      </c>
      <c r="CH111" s="1223">
        <f>$G111*M111*Variables!$B$53</f>
        <v>0</v>
      </c>
      <c r="CI111" s="1223">
        <f>$G111*N111*Variables!$B$53</f>
        <v>0</v>
      </c>
      <c r="CJ111" s="1223">
        <f>$G111*O111*Variables!$B$53</f>
        <v>0</v>
      </c>
      <c r="CK111" s="1223">
        <f>$G111*P111*Variables!$B$53</f>
        <v>0</v>
      </c>
      <c r="CL111" s="1223">
        <f>$G111*Q111*Variables!$B$53</f>
        <v>0</v>
      </c>
      <c r="CM111" s="1223">
        <f>$G111*R111*Variables!$B$53</f>
        <v>0</v>
      </c>
      <c r="CN111" s="1225">
        <f>$G111*S111*Variables!$B$53</f>
        <v>0</v>
      </c>
      <c r="CO111" s="1222">
        <f>$G111*T111*Variables!$B$53*HLOOKUP($CO$2,Variables!$B$60:$F$61,2,FALSE)</f>
        <v>0</v>
      </c>
      <c r="CP111" s="1223">
        <f>$G111*U111*Variables!$B$53*HLOOKUP($CO$2,Variables!$B$60:$F$61,2,FALSE)</f>
        <v>0</v>
      </c>
      <c r="CQ111" s="1223">
        <f>$G111*V111*Variables!$B$53*HLOOKUP($CO$2,Variables!$B$60:$F$61,2,FALSE)</f>
        <v>0</v>
      </c>
      <c r="CR111" s="1223">
        <f>$G111*W111*Variables!$B$53*HLOOKUP($CO$2,Variables!$B$60:$F$61,2,FALSE)</f>
        <v>0</v>
      </c>
      <c r="CS111" s="1223">
        <f>$G111*X111*Variables!$B$53*HLOOKUP($CO$2,Variables!$B$60:$F$61,2,FALSE)</f>
        <v>0</v>
      </c>
      <c r="CT111" s="1223">
        <f>$G111*Y111*Variables!$B$53*HLOOKUP($CO$2,Variables!$B$60:$F$61,2,FALSE)</f>
        <v>0</v>
      </c>
      <c r="CU111" s="1223">
        <f>$G111*Z111*Variables!$B$53*HLOOKUP($CO$2,Variables!$B$60:$F$61,2,FALSE)</f>
        <v>0</v>
      </c>
      <c r="CV111" s="1223">
        <f>$G111*AA111*Variables!$B$53*HLOOKUP($CO$2,Variables!$B$60:$F$61,2,FALSE)</f>
        <v>0</v>
      </c>
      <c r="CW111" s="1223">
        <f>$G111*AB111*Variables!$B$53*HLOOKUP($CO$2,Variables!$B$60:$F$61,2,FALSE)</f>
        <v>0</v>
      </c>
      <c r="CX111" s="1223">
        <f>$G111*AC111*Variables!$B$53*HLOOKUP($CO$2,Variables!$B$60:$F$61,2,FALSE)</f>
        <v>0</v>
      </c>
      <c r="CY111" s="1223">
        <f>$G111*AD111*Variables!$B$53*HLOOKUP($CO$2,Variables!$B$60:$F$61,2,FALSE)</f>
        <v>0</v>
      </c>
      <c r="CZ111" s="1225">
        <f>$G111*AE111*Variables!$B$53*HLOOKUP($CO$2,Variables!$B$60:$F$61,2,FALSE)</f>
        <v>0</v>
      </c>
      <c r="DA111" s="1222">
        <f>$G111*AF111*Variables!$B$53*HLOOKUP($DA$2,Variables!$B$60:$F$61,2,FALSE)</f>
        <v>0</v>
      </c>
      <c r="DB111" s="1223">
        <f>$G111*AG111*Variables!$B$53*HLOOKUP($DA$2,Variables!$B$60:$F$61,2,FALSE)</f>
        <v>0</v>
      </c>
      <c r="DC111" s="1223">
        <f>$G111*AH111*Variables!$B$53*HLOOKUP($DA$2,Variables!$B$60:$F$61,2,FALSE)</f>
        <v>0</v>
      </c>
      <c r="DD111" s="1223">
        <f>$G111*AI111*Variables!$B$53*HLOOKUP($DA$2,Variables!$B$60:$F$61,2,FALSE)</f>
        <v>0</v>
      </c>
      <c r="DE111" s="1223">
        <f>$G111*AJ111*Variables!$B$53*HLOOKUP($DA$2,Variables!$B$60:$F$61,2,FALSE)</f>
        <v>0</v>
      </c>
      <c r="DF111" s="1223">
        <f>$G111*AK111*Variables!$B$53*HLOOKUP($DA$2,Variables!$B$60:$F$61,2,FALSE)</f>
        <v>0</v>
      </c>
      <c r="DG111" s="1223">
        <f>$G111*AL111*Variables!$B$53*HLOOKUP($DA$2,Variables!$B$60:$F$61,2,FALSE)</f>
        <v>0</v>
      </c>
      <c r="DH111" s="1223">
        <f>$G111*AM111*Variables!$B$53*HLOOKUP($DA$2,Variables!$B$60:$F$61,2,FALSE)</f>
        <v>0</v>
      </c>
      <c r="DI111" s="1223">
        <f>$G111*AN111*Variables!$B$53*HLOOKUP($DA$2,Variables!$B$60:$F$61,2,FALSE)</f>
        <v>0</v>
      </c>
      <c r="DJ111" s="1223">
        <f>$G111*AO111*Variables!$B$53*HLOOKUP($DA$2,Variables!$B$60:$F$61,2,FALSE)</f>
        <v>0</v>
      </c>
      <c r="DK111" s="1223">
        <f>$G111*AP111*Variables!$B$53*HLOOKUP($DA$2,Variables!$B$60:$F$61,2,FALSE)</f>
        <v>0</v>
      </c>
      <c r="DL111" s="1225">
        <f>$G111*AQ111*Variables!$B$53*HLOOKUP($DA$2,Variables!$B$60:$F$61,2,FALSE)</f>
        <v>0</v>
      </c>
      <c r="DM111" s="1222">
        <f>$G111*AR111*Variables!$B$53*HLOOKUP($DM$2,Variables!$B$60:$F$61,2,FALSE)</f>
        <v>0</v>
      </c>
      <c r="DN111" s="1223">
        <f>$G111*AS111*Variables!$B$53*HLOOKUP($DM$2,Variables!$B$60:$F$61,2,FALSE)</f>
        <v>0</v>
      </c>
      <c r="DO111" s="1223">
        <f>$G111*AT111*Variables!$B$53*HLOOKUP($DM$2,Variables!$B$60:$F$61,2,FALSE)</f>
        <v>0</v>
      </c>
      <c r="DP111" s="1223">
        <f>$G111*AU111*Variables!$B$53*HLOOKUP($DM$2,Variables!$B$60:$F$61,2,FALSE)</f>
        <v>0</v>
      </c>
      <c r="DQ111" s="1223">
        <f>$G111*AV111*Variables!$B$53*HLOOKUP($DM$2,Variables!$B$60:$F$61,2,FALSE)</f>
        <v>0</v>
      </c>
      <c r="DR111" s="1223">
        <f>$G111*AW111*Variables!$B$53*HLOOKUP($DM$2,Variables!$B$60:$F$61,2,FALSE)</f>
        <v>0</v>
      </c>
      <c r="DS111" s="1223">
        <f>$G111*AX111*Variables!$B$53*HLOOKUP($DM$2,Variables!$B$60:$F$61,2,FALSE)</f>
        <v>0</v>
      </c>
      <c r="DT111" s="1223">
        <f>$G111*AY111*Variables!$B$53*HLOOKUP($DM$2,Variables!$B$60:$F$61,2,FALSE)</f>
        <v>0</v>
      </c>
      <c r="DU111" s="1223">
        <f>$G111*AZ111*Variables!$B$53*HLOOKUP($DM$2,Variables!$B$60:$F$61,2,FALSE)</f>
        <v>0</v>
      </c>
      <c r="DV111" s="1223">
        <f>$G111*BA111*Variables!$B$53*HLOOKUP($DM$2,Variables!$B$60:$F$61,2,FALSE)</f>
        <v>0</v>
      </c>
      <c r="DW111" s="1223">
        <f>$G111*BB111*Variables!$B$53*HLOOKUP($DM$2,Variables!$B$60:$F$61,2,FALSE)</f>
        <v>0</v>
      </c>
      <c r="DX111" s="1225">
        <f>$G111*BC111*Variables!$B$53*HLOOKUP($DM$2,Variables!$B$60:$F$61,2,FALSE)</f>
        <v>0</v>
      </c>
      <c r="DY111" s="1222">
        <f>$G111*BD111*Variables!$B$53*HLOOKUP($DY$2,Variables!$B$60:$F$61,2,FALSE)</f>
        <v>0</v>
      </c>
      <c r="DZ111" s="1223">
        <f>$G111*BE111*Variables!$B$53*HLOOKUP($DY$2,Variables!$B$60:$F$61,2,FALSE)</f>
        <v>0</v>
      </c>
      <c r="EA111" s="1223">
        <f>$G111*BF111*Variables!$B$53*HLOOKUP($DY$2,Variables!$B$60:$F$61,2,FALSE)</f>
        <v>0</v>
      </c>
      <c r="EB111" s="1223">
        <f>$G111*BG111*Variables!$B$53*HLOOKUP($DY$2,Variables!$B$60:$F$61,2,FALSE)</f>
        <v>0</v>
      </c>
      <c r="EC111" s="1223">
        <f>$G111*BH111*Variables!$B$53*HLOOKUP($DY$2,Variables!$B$60:$F$61,2,FALSE)</f>
        <v>0</v>
      </c>
      <c r="ED111" s="1223">
        <f>$G111*BI111*Variables!$B$53*HLOOKUP($DY$2,Variables!$B$60:$F$61,2,FALSE)</f>
        <v>0</v>
      </c>
      <c r="EE111" s="1223">
        <f>$G111*BJ111*Variables!$B$53*HLOOKUP($DY$2,Variables!$B$60:$F$61,2,FALSE)</f>
        <v>0</v>
      </c>
      <c r="EF111" s="1223">
        <f>$G111*BK111*Variables!$B$53*HLOOKUP($DY$2,Variables!$B$60:$F$61,2,FALSE)</f>
        <v>0</v>
      </c>
      <c r="EG111" s="1223">
        <f>$G111*BL111*Variables!$B$53*HLOOKUP($DY$2,Variables!$B$60:$F$61,2,FALSE)</f>
        <v>0</v>
      </c>
      <c r="EH111" s="1223">
        <f>$G111*BM111*Variables!$B$53*HLOOKUP($DY$2,Variables!$B$60:$F$61,2,FALSE)</f>
        <v>0</v>
      </c>
      <c r="EI111" s="1223">
        <f>$G111*BN111*Variables!$B$53*HLOOKUP($DY$2,Variables!$B$60:$F$61,2,FALSE)</f>
        <v>0</v>
      </c>
      <c r="EJ111" s="1225">
        <f>$G111*BO111*Variables!$B$53*HLOOKUP($DY$2,Variables!$B$60:$F$61,2,FALSE)</f>
        <v>0</v>
      </c>
      <c r="EK111" s="1222">
        <f>$G111*BP111*Variables!$B$53*HLOOKUP($EK$2,Variables!$B$60:$F$61,2,FALSE)</f>
        <v>0</v>
      </c>
      <c r="EL111" s="1223">
        <f>$G111*BQ111*Variables!$B$53*HLOOKUP($EK$2,Variables!$B$60:$F$61,2,FALSE)</f>
        <v>0</v>
      </c>
      <c r="EM111" s="1223">
        <f>$G111*BR111*Variables!$B$53*HLOOKUP($EK$2,Variables!$B$60:$F$61,2,FALSE)</f>
        <v>0</v>
      </c>
      <c r="EN111" s="1223">
        <f>$G111*BS111*Variables!$B$53*HLOOKUP($EK$2,Variables!$B$60:$F$61,2,FALSE)</f>
        <v>0</v>
      </c>
      <c r="EO111" s="1223">
        <f>$G111*BT111*Variables!$B$53*HLOOKUP($EK$2,Variables!$B$60:$F$61,2,FALSE)</f>
        <v>0</v>
      </c>
      <c r="EP111" s="1223">
        <f>$G111*BU111*Variables!$B$53*HLOOKUP($EK$2,Variables!$B$60:$F$61,2,FALSE)</f>
        <v>0</v>
      </c>
      <c r="EQ111" s="1223">
        <f>$G111*BV111*Variables!$B$53*HLOOKUP($EK$2,Variables!$B$60:$F$61,2,FALSE)</f>
        <v>0</v>
      </c>
      <c r="ER111" s="1223">
        <f>$G111*BW111*Variables!$B$53*HLOOKUP($EK$2,Variables!$B$60:$F$61,2,FALSE)</f>
        <v>0</v>
      </c>
      <c r="ES111" s="1223">
        <f>$G111*BX111*Variables!$B$53*HLOOKUP($EK$2,Variables!$B$60:$F$61,2,FALSE)</f>
        <v>0</v>
      </c>
      <c r="ET111" s="1223">
        <f>$G111*BY111*Variables!$B$53*HLOOKUP($EK$2,Variables!$B$60:$F$61,2,FALSE)</f>
        <v>0</v>
      </c>
      <c r="EU111" s="1223">
        <f>$G111*BZ111*Variables!$B$53*HLOOKUP($EK$2,Variables!$B$60:$F$61,2,FALSE)</f>
        <v>0</v>
      </c>
      <c r="EV111" s="1225">
        <f>$G111*CA111*Variables!$B$53*HLOOKUP($EK$2,Variables!$B$60:$F$61,2,FALSE)</f>
        <v>0</v>
      </c>
      <c r="EW111" s="872">
        <f t="shared" si="15"/>
        <v>0</v>
      </c>
      <c r="EX111" s="872"/>
      <c r="EY111" s="872"/>
      <c r="EZ111" s="872"/>
      <c r="FA111" s="1332"/>
      <c r="FC111" s="958" t="str">
        <f t="shared" si="16"/>
        <v/>
      </c>
      <c r="FD111" s="959" t="str">
        <f t="shared" si="17"/>
        <v/>
      </c>
      <c r="FE111" s="959" t="s">
        <v>8407</v>
      </c>
      <c r="FF111" s="959" t="str">
        <f>IF(ISNA(VLOOKUP(FC111,Miscellaneous!E:F,2,0)),"",VLOOKUP(FC111,Miscellaneous!E:F,2,0))</f>
        <v/>
      </c>
      <c r="FG111" s="959" t="str">
        <f t="shared" si="18"/>
        <v/>
      </c>
      <c r="FH111" s="996">
        <f>IF($FG111="Opex",SUMIF('Monthly Summary'!$C$75:$N$75,"",CC111:CN111),SUMIF('Monthly Summary'!$C$74:$N$74,"",CC111:CN111))</f>
        <v>0</v>
      </c>
      <c r="FI111" s="996">
        <f>IF($FG111="Opex",SUMIF('Monthly Summary'!$O$75:$Z$75,"",CO111:CZ111),SUMIF('Monthly Summary'!$O$74:$Z$74,"",CO111:CZ111))</f>
        <v>0</v>
      </c>
      <c r="FJ111" s="996">
        <f>IF($FG111="Opex",SUMIF('Monthly Summary'!$AA$75:$AL$75,"",DA111:DL111),SUMIF('Monthly Summary'!$AA$74:$AL$74,"",DA111:DL111))</f>
        <v>0</v>
      </c>
      <c r="FK111" s="996">
        <f>IF($FG111="Opex",SUMIF('Monthly Summary'!$AM$75:$AX$75,"",DM111:DX111),SUMIF('Monthly Summary'!$AM$74:$AX$74,"",DM111:DX111))</f>
        <v>0</v>
      </c>
      <c r="FL111" s="996">
        <f>IF($FG111="Opex",SUMIF('Monthly Summary'!$AY$75:$BJ$75,"",DY111:EJ111),SUMIF('Monthly Summary'!$AY$74:$BJ$74,"",DY111:EJ111))</f>
        <v>0</v>
      </c>
      <c r="FM111" s="997">
        <f>IF($FG111="Opex",SUMIF('Monthly Summary'!$BK$75:$BV$75,"",EK111:EV111),SUMIF('Monthly Summary'!$BK$74:$BV$74,"",EK111:EV111))</f>
        <v>0</v>
      </c>
      <c r="FN111" s="997">
        <f t="shared" si="14"/>
        <v>0</v>
      </c>
    </row>
    <row r="112" spans="3:170">
      <c r="C112" s="757"/>
      <c r="D112" s="757"/>
      <c r="E112" s="758"/>
      <c r="F112" s="758"/>
      <c r="G112" s="758"/>
      <c r="H112" s="1215"/>
      <c r="I112" s="761"/>
      <c r="J112" s="761"/>
      <c r="K112" s="761"/>
      <c r="L112" s="761"/>
      <c r="M112" s="761"/>
      <c r="N112" s="761"/>
      <c r="O112" s="761"/>
      <c r="P112" s="761"/>
      <c r="Q112" s="761"/>
      <c r="R112" s="761"/>
      <c r="S112" s="1216"/>
      <c r="T112" s="1215"/>
      <c r="U112" s="761"/>
      <c r="V112" s="761"/>
      <c r="W112" s="761"/>
      <c r="X112" s="761"/>
      <c r="Y112" s="761"/>
      <c r="Z112" s="761"/>
      <c r="AA112" s="761"/>
      <c r="AB112" s="761"/>
      <c r="AC112" s="761"/>
      <c r="AD112" s="761"/>
      <c r="AE112" s="1216"/>
      <c r="AF112" s="1215"/>
      <c r="AG112" s="761"/>
      <c r="AH112" s="761"/>
      <c r="AI112" s="761"/>
      <c r="AJ112" s="761"/>
      <c r="AK112" s="761"/>
      <c r="AL112" s="761"/>
      <c r="AM112" s="761"/>
      <c r="AN112" s="761"/>
      <c r="AO112" s="761"/>
      <c r="AP112" s="761"/>
      <c r="AQ112" s="1216"/>
      <c r="AR112" s="1215"/>
      <c r="AS112" s="761"/>
      <c r="AT112" s="761"/>
      <c r="AU112" s="761"/>
      <c r="AV112" s="761"/>
      <c r="AW112" s="761"/>
      <c r="AX112" s="761"/>
      <c r="AY112" s="761"/>
      <c r="AZ112" s="761"/>
      <c r="BA112" s="761"/>
      <c r="BB112" s="761"/>
      <c r="BC112" s="1216"/>
      <c r="BD112" s="1215"/>
      <c r="BE112" s="761"/>
      <c r="BF112" s="761"/>
      <c r="BG112" s="761"/>
      <c r="BH112" s="761"/>
      <c r="BI112" s="761"/>
      <c r="BJ112" s="761"/>
      <c r="BK112" s="761"/>
      <c r="BL112" s="761"/>
      <c r="BM112" s="761"/>
      <c r="BN112" s="761"/>
      <c r="BO112" s="1216"/>
      <c r="BP112" s="1215"/>
      <c r="BQ112" s="761"/>
      <c r="BR112" s="761"/>
      <c r="BS112" s="761"/>
      <c r="BT112" s="761"/>
      <c r="BU112" s="761"/>
      <c r="BV112" s="761"/>
      <c r="BW112" s="761"/>
      <c r="BX112" s="761"/>
      <c r="BY112" s="761"/>
      <c r="BZ112" s="761"/>
      <c r="CA112" s="1216"/>
      <c r="CB112" s="747"/>
      <c r="CC112" s="1222">
        <f>$G112*H112*Variables!$B$53</f>
        <v>0</v>
      </c>
      <c r="CD112" s="1223">
        <f>$G112*I112*Variables!$B$53</f>
        <v>0</v>
      </c>
      <c r="CE112" s="1223">
        <f>$G112*J112*Variables!$B$53</f>
        <v>0</v>
      </c>
      <c r="CF112" s="1223">
        <f>$G112*K112*Variables!$B$53</f>
        <v>0</v>
      </c>
      <c r="CG112" s="1223">
        <f>$G112*L112*Variables!$B$53</f>
        <v>0</v>
      </c>
      <c r="CH112" s="1223">
        <f>$G112*M112*Variables!$B$53</f>
        <v>0</v>
      </c>
      <c r="CI112" s="1223">
        <f>$G112*N112*Variables!$B$53</f>
        <v>0</v>
      </c>
      <c r="CJ112" s="1223">
        <f>$G112*O112*Variables!$B$53</f>
        <v>0</v>
      </c>
      <c r="CK112" s="1223">
        <f>$G112*P112*Variables!$B$53</f>
        <v>0</v>
      </c>
      <c r="CL112" s="1223">
        <f>$G112*Q112*Variables!$B$53</f>
        <v>0</v>
      </c>
      <c r="CM112" s="1223">
        <f>$G112*R112*Variables!$B$53</f>
        <v>0</v>
      </c>
      <c r="CN112" s="1225">
        <f>$G112*S112*Variables!$B$53</f>
        <v>0</v>
      </c>
      <c r="CO112" s="1222">
        <f>$G112*T112*Variables!$B$53*HLOOKUP($CO$2,Variables!$B$60:$F$61,2,FALSE)</f>
        <v>0</v>
      </c>
      <c r="CP112" s="1223">
        <f>$G112*U112*Variables!$B$53*HLOOKUP($CO$2,Variables!$B$60:$F$61,2,FALSE)</f>
        <v>0</v>
      </c>
      <c r="CQ112" s="1223">
        <f>$G112*V112*Variables!$B$53*HLOOKUP($CO$2,Variables!$B$60:$F$61,2,FALSE)</f>
        <v>0</v>
      </c>
      <c r="CR112" s="1223">
        <f>$G112*W112*Variables!$B$53*HLOOKUP($CO$2,Variables!$B$60:$F$61,2,FALSE)</f>
        <v>0</v>
      </c>
      <c r="CS112" s="1223">
        <f>$G112*X112*Variables!$B$53*HLOOKUP($CO$2,Variables!$B$60:$F$61,2,FALSE)</f>
        <v>0</v>
      </c>
      <c r="CT112" s="1223">
        <f>$G112*Y112*Variables!$B$53*HLOOKUP($CO$2,Variables!$B$60:$F$61,2,FALSE)</f>
        <v>0</v>
      </c>
      <c r="CU112" s="1223">
        <f>$G112*Z112*Variables!$B$53*HLOOKUP($CO$2,Variables!$B$60:$F$61,2,FALSE)</f>
        <v>0</v>
      </c>
      <c r="CV112" s="1223">
        <f>$G112*AA112*Variables!$B$53*HLOOKUP($CO$2,Variables!$B$60:$F$61,2,FALSE)</f>
        <v>0</v>
      </c>
      <c r="CW112" s="1223">
        <f>$G112*AB112*Variables!$B$53*HLOOKUP($CO$2,Variables!$B$60:$F$61,2,FALSE)</f>
        <v>0</v>
      </c>
      <c r="CX112" s="1223">
        <f>$G112*AC112*Variables!$B$53*HLOOKUP($CO$2,Variables!$B$60:$F$61,2,FALSE)</f>
        <v>0</v>
      </c>
      <c r="CY112" s="1223">
        <f>$G112*AD112*Variables!$B$53*HLOOKUP($CO$2,Variables!$B$60:$F$61,2,FALSE)</f>
        <v>0</v>
      </c>
      <c r="CZ112" s="1225">
        <f>$G112*AE112*Variables!$B$53*HLOOKUP($CO$2,Variables!$B$60:$F$61,2,FALSE)</f>
        <v>0</v>
      </c>
      <c r="DA112" s="1222">
        <f>$G112*AF112*Variables!$B$53*HLOOKUP($DA$2,Variables!$B$60:$F$61,2,FALSE)</f>
        <v>0</v>
      </c>
      <c r="DB112" s="1223">
        <f>$G112*AG112*Variables!$B$53*HLOOKUP($DA$2,Variables!$B$60:$F$61,2,FALSE)</f>
        <v>0</v>
      </c>
      <c r="DC112" s="1223">
        <f>$G112*AH112*Variables!$B$53*HLOOKUP($DA$2,Variables!$B$60:$F$61,2,FALSE)</f>
        <v>0</v>
      </c>
      <c r="DD112" s="1223">
        <f>$G112*AI112*Variables!$B$53*HLOOKUP($DA$2,Variables!$B$60:$F$61,2,FALSE)</f>
        <v>0</v>
      </c>
      <c r="DE112" s="1223">
        <f>$G112*AJ112*Variables!$B$53*HLOOKUP($DA$2,Variables!$B$60:$F$61,2,FALSE)</f>
        <v>0</v>
      </c>
      <c r="DF112" s="1223">
        <f>$G112*AK112*Variables!$B$53*HLOOKUP($DA$2,Variables!$B$60:$F$61,2,FALSE)</f>
        <v>0</v>
      </c>
      <c r="DG112" s="1223">
        <f>$G112*AL112*Variables!$B$53*HLOOKUP($DA$2,Variables!$B$60:$F$61,2,FALSE)</f>
        <v>0</v>
      </c>
      <c r="DH112" s="1223">
        <f>$G112*AM112*Variables!$B$53*HLOOKUP($DA$2,Variables!$B$60:$F$61,2,FALSE)</f>
        <v>0</v>
      </c>
      <c r="DI112" s="1223">
        <f>$G112*AN112*Variables!$B$53*HLOOKUP($DA$2,Variables!$B$60:$F$61,2,FALSE)</f>
        <v>0</v>
      </c>
      <c r="DJ112" s="1223">
        <f>$G112*AO112*Variables!$B$53*HLOOKUP($DA$2,Variables!$B$60:$F$61,2,FALSE)</f>
        <v>0</v>
      </c>
      <c r="DK112" s="1223">
        <f>$G112*AP112*Variables!$B$53*HLOOKUP($DA$2,Variables!$B$60:$F$61,2,FALSE)</f>
        <v>0</v>
      </c>
      <c r="DL112" s="1225">
        <f>$G112*AQ112*Variables!$B$53*HLOOKUP($DA$2,Variables!$B$60:$F$61,2,FALSE)</f>
        <v>0</v>
      </c>
      <c r="DM112" s="1222">
        <f>$G112*AR112*Variables!$B$53*HLOOKUP($DM$2,Variables!$B$60:$F$61,2,FALSE)</f>
        <v>0</v>
      </c>
      <c r="DN112" s="1223">
        <f>$G112*AS112*Variables!$B$53*HLOOKUP($DM$2,Variables!$B$60:$F$61,2,FALSE)</f>
        <v>0</v>
      </c>
      <c r="DO112" s="1223">
        <f>$G112*AT112*Variables!$B$53*HLOOKUP($DM$2,Variables!$B$60:$F$61,2,FALSE)</f>
        <v>0</v>
      </c>
      <c r="DP112" s="1223">
        <f>$G112*AU112*Variables!$B$53*HLOOKUP($DM$2,Variables!$B$60:$F$61,2,FALSE)</f>
        <v>0</v>
      </c>
      <c r="DQ112" s="1223">
        <f>$G112*AV112*Variables!$B$53*HLOOKUP($DM$2,Variables!$B$60:$F$61,2,FALSE)</f>
        <v>0</v>
      </c>
      <c r="DR112" s="1223">
        <f>$G112*AW112*Variables!$B$53*HLOOKUP($DM$2,Variables!$B$60:$F$61,2,FALSE)</f>
        <v>0</v>
      </c>
      <c r="DS112" s="1223">
        <f>$G112*AX112*Variables!$B$53*HLOOKUP($DM$2,Variables!$B$60:$F$61,2,FALSE)</f>
        <v>0</v>
      </c>
      <c r="DT112" s="1223">
        <f>$G112*AY112*Variables!$B$53*HLOOKUP($DM$2,Variables!$B$60:$F$61,2,FALSE)</f>
        <v>0</v>
      </c>
      <c r="DU112" s="1223">
        <f>$G112*AZ112*Variables!$B$53*HLOOKUP($DM$2,Variables!$B$60:$F$61,2,FALSE)</f>
        <v>0</v>
      </c>
      <c r="DV112" s="1223">
        <f>$G112*BA112*Variables!$B$53*HLOOKUP($DM$2,Variables!$B$60:$F$61,2,FALSE)</f>
        <v>0</v>
      </c>
      <c r="DW112" s="1223">
        <f>$G112*BB112*Variables!$B$53*HLOOKUP($DM$2,Variables!$B$60:$F$61,2,FALSE)</f>
        <v>0</v>
      </c>
      <c r="DX112" s="1225">
        <f>$G112*BC112*Variables!$B$53*HLOOKUP($DM$2,Variables!$B$60:$F$61,2,FALSE)</f>
        <v>0</v>
      </c>
      <c r="DY112" s="1222">
        <f>$G112*BD112*Variables!$B$53*HLOOKUP($DY$2,Variables!$B$60:$F$61,2,FALSE)</f>
        <v>0</v>
      </c>
      <c r="DZ112" s="1223">
        <f>$G112*BE112*Variables!$B$53*HLOOKUP($DY$2,Variables!$B$60:$F$61,2,FALSE)</f>
        <v>0</v>
      </c>
      <c r="EA112" s="1223">
        <f>$G112*BF112*Variables!$B$53*HLOOKUP($DY$2,Variables!$B$60:$F$61,2,FALSE)</f>
        <v>0</v>
      </c>
      <c r="EB112" s="1223">
        <f>$G112*BG112*Variables!$B$53*HLOOKUP($DY$2,Variables!$B$60:$F$61,2,FALSE)</f>
        <v>0</v>
      </c>
      <c r="EC112" s="1223">
        <f>$G112*BH112*Variables!$B$53*HLOOKUP($DY$2,Variables!$B$60:$F$61,2,FALSE)</f>
        <v>0</v>
      </c>
      <c r="ED112" s="1223">
        <f>$G112*BI112*Variables!$B$53*HLOOKUP($DY$2,Variables!$B$60:$F$61,2,FALSE)</f>
        <v>0</v>
      </c>
      <c r="EE112" s="1223">
        <f>$G112*BJ112*Variables!$B$53*HLOOKUP($DY$2,Variables!$B$60:$F$61,2,FALSE)</f>
        <v>0</v>
      </c>
      <c r="EF112" s="1223">
        <f>$G112*BK112*Variables!$B$53*HLOOKUP($DY$2,Variables!$B$60:$F$61,2,FALSE)</f>
        <v>0</v>
      </c>
      <c r="EG112" s="1223">
        <f>$G112*BL112*Variables!$B$53*HLOOKUP($DY$2,Variables!$B$60:$F$61,2,FALSE)</f>
        <v>0</v>
      </c>
      <c r="EH112" s="1223">
        <f>$G112*BM112*Variables!$B$53*HLOOKUP($DY$2,Variables!$B$60:$F$61,2,FALSE)</f>
        <v>0</v>
      </c>
      <c r="EI112" s="1223">
        <f>$G112*BN112*Variables!$B$53*HLOOKUP($DY$2,Variables!$B$60:$F$61,2,FALSE)</f>
        <v>0</v>
      </c>
      <c r="EJ112" s="1225">
        <f>$G112*BO112*Variables!$B$53*HLOOKUP($DY$2,Variables!$B$60:$F$61,2,FALSE)</f>
        <v>0</v>
      </c>
      <c r="EK112" s="1222">
        <f>$G112*BP112*Variables!$B$53*HLOOKUP($EK$2,Variables!$B$60:$F$61,2,FALSE)</f>
        <v>0</v>
      </c>
      <c r="EL112" s="1223">
        <f>$G112*BQ112*Variables!$B$53*HLOOKUP($EK$2,Variables!$B$60:$F$61,2,FALSE)</f>
        <v>0</v>
      </c>
      <c r="EM112" s="1223">
        <f>$G112*BR112*Variables!$B$53*HLOOKUP($EK$2,Variables!$B$60:$F$61,2,FALSE)</f>
        <v>0</v>
      </c>
      <c r="EN112" s="1223">
        <f>$G112*BS112*Variables!$B$53*HLOOKUP($EK$2,Variables!$B$60:$F$61,2,FALSE)</f>
        <v>0</v>
      </c>
      <c r="EO112" s="1223">
        <f>$G112*BT112*Variables!$B$53*HLOOKUP($EK$2,Variables!$B$60:$F$61,2,FALSE)</f>
        <v>0</v>
      </c>
      <c r="EP112" s="1223">
        <f>$G112*BU112*Variables!$B$53*HLOOKUP($EK$2,Variables!$B$60:$F$61,2,FALSE)</f>
        <v>0</v>
      </c>
      <c r="EQ112" s="1223">
        <f>$G112*BV112*Variables!$B$53*HLOOKUP($EK$2,Variables!$B$60:$F$61,2,FALSE)</f>
        <v>0</v>
      </c>
      <c r="ER112" s="1223">
        <f>$G112*BW112*Variables!$B$53*HLOOKUP($EK$2,Variables!$B$60:$F$61,2,FALSE)</f>
        <v>0</v>
      </c>
      <c r="ES112" s="1223">
        <f>$G112*BX112*Variables!$B$53*HLOOKUP($EK$2,Variables!$B$60:$F$61,2,FALSE)</f>
        <v>0</v>
      </c>
      <c r="ET112" s="1223">
        <f>$G112*BY112*Variables!$B$53*HLOOKUP($EK$2,Variables!$B$60:$F$61,2,FALSE)</f>
        <v>0</v>
      </c>
      <c r="EU112" s="1223">
        <f>$G112*BZ112*Variables!$B$53*HLOOKUP($EK$2,Variables!$B$60:$F$61,2,FALSE)</f>
        <v>0</v>
      </c>
      <c r="EV112" s="1225">
        <f>$G112*CA112*Variables!$B$53*HLOOKUP($EK$2,Variables!$B$60:$F$61,2,FALSE)</f>
        <v>0</v>
      </c>
      <c r="EW112" s="872">
        <f t="shared" si="15"/>
        <v>0</v>
      </c>
      <c r="EX112" s="872"/>
      <c r="EY112" s="872"/>
      <c r="EZ112" s="872"/>
      <c r="FA112" s="1332"/>
      <c r="FC112" s="958" t="str">
        <f t="shared" si="16"/>
        <v/>
      </c>
      <c r="FD112" s="959" t="str">
        <f t="shared" si="17"/>
        <v/>
      </c>
      <c r="FE112" s="959" t="s">
        <v>8407</v>
      </c>
      <c r="FF112" s="959" t="str">
        <f>IF(ISNA(VLOOKUP(FC112,Miscellaneous!E:F,2,0)),"",VLOOKUP(FC112,Miscellaneous!E:F,2,0))</f>
        <v/>
      </c>
      <c r="FG112" s="959" t="str">
        <f t="shared" si="18"/>
        <v/>
      </c>
      <c r="FH112" s="996">
        <f>IF($FG112="Opex",SUMIF('Monthly Summary'!$C$75:$N$75,"",CC112:CN112),SUMIF('Monthly Summary'!$C$74:$N$74,"",CC112:CN112))</f>
        <v>0</v>
      </c>
      <c r="FI112" s="996">
        <f>IF($FG112="Opex",SUMIF('Monthly Summary'!$O$75:$Z$75,"",CO112:CZ112),SUMIF('Monthly Summary'!$O$74:$Z$74,"",CO112:CZ112))</f>
        <v>0</v>
      </c>
      <c r="FJ112" s="996">
        <f>IF($FG112="Opex",SUMIF('Monthly Summary'!$AA$75:$AL$75,"",DA112:DL112),SUMIF('Monthly Summary'!$AA$74:$AL$74,"",DA112:DL112))</f>
        <v>0</v>
      </c>
      <c r="FK112" s="996">
        <f>IF($FG112="Opex",SUMIF('Monthly Summary'!$AM$75:$AX$75,"",DM112:DX112),SUMIF('Monthly Summary'!$AM$74:$AX$74,"",DM112:DX112))</f>
        <v>0</v>
      </c>
      <c r="FL112" s="996">
        <f>IF($FG112="Opex",SUMIF('Monthly Summary'!$AY$75:$BJ$75,"",DY112:EJ112),SUMIF('Monthly Summary'!$AY$74:$BJ$74,"",DY112:EJ112))</f>
        <v>0</v>
      </c>
      <c r="FM112" s="997">
        <f>IF($FG112="Opex",SUMIF('Monthly Summary'!$BK$75:$BV$75,"",EK112:EV112),SUMIF('Monthly Summary'!$BK$74:$BV$74,"",EK112:EV112))</f>
        <v>0</v>
      </c>
      <c r="FN112" s="997">
        <f t="shared" si="14"/>
        <v>0</v>
      </c>
    </row>
    <row r="113" spans="3:170">
      <c r="C113" s="757"/>
      <c r="D113" s="757"/>
      <c r="E113" s="758"/>
      <c r="F113" s="758"/>
      <c r="G113" s="758"/>
      <c r="H113" s="1215"/>
      <c r="I113" s="761"/>
      <c r="J113" s="761"/>
      <c r="K113" s="761"/>
      <c r="L113" s="761"/>
      <c r="M113" s="761"/>
      <c r="N113" s="761"/>
      <c r="O113" s="761"/>
      <c r="P113" s="761"/>
      <c r="Q113" s="761"/>
      <c r="R113" s="761"/>
      <c r="S113" s="1216"/>
      <c r="T113" s="1215"/>
      <c r="U113" s="761"/>
      <c r="V113" s="761"/>
      <c r="W113" s="761"/>
      <c r="X113" s="761"/>
      <c r="Y113" s="761"/>
      <c r="Z113" s="761"/>
      <c r="AA113" s="761"/>
      <c r="AB113" s="761"/>
      <c r="AC113" s="761"/>
      <c r="AD113" s="761"/>
      <c r="AE113" s="1216"/>
      <c r="AF113" s="1215"/>
      <c r="AG113" s="761"/>
      <c r="AH113" s="761"/>
      <c r="AI113" s="761"/>
      <c r="AJ113" s="761"/>
      <c r="AK113" s="761"/>
      <c r="AL113" s="761"/>
      <c r="AM113" s="761"/>
      <c r="AN113" s="761"/>
      <c r="AO113" s="761"/>
      <c r="AP113" s="761"/>
      <c r="AQ113" s="1216"/>
      <c r="AR113" s="1215"/>
      <c r="AS113" s="761"/>
      <c r="AT113" s="761"/>
      <c r="AU113" s="761"/>
      <c r="AV113" s="761"/>
      <c r="AW113" s="761"/>
      <c r="AX113" s="761"/>
      <c r="AY113" s="761"/>
      <c r="AZ113" s="761"/>
      <c r="BA113" s="761"/>
      <c r="BB113" s="761"/>
      <c r="BC113" s="1216"/>
      <c r="BD113" s="1215"/>
      <c r="BE113" s="761"/>
      <c r="BF113" s="761"/>
      <c r="BG113" s="761"/>
      <c r="BH113" s="761"/>
      <c r="BI113" s="761"/>
      <c r="BJ113" s="761"/>
      <c r="BK113" s="761"/>
      <c r="BL113" s="761"/>
      <c r="BM113" s="761"/>
      <c r="BN113" s="761"/>
      <c r="BO113" s="1216"/>
      <c r="BP113" s="1215"/>
      <c r="BQ113" s="761"/>
      <c r="BR113" s="761"/>
      <c r="BS113" s="761"/>
      <c r="BT113" s="761"/>
      <c r="BU113" s="761"/>
      <c r="BV113" s="761"/>
      <c r="BW113" s="761"/>
      <c r="BX113" s="761"/>
      <c r="BY113" s="761"/>
      <c r="BZ113" s="761"/>
      <c r="CA113" s="1216"/>
      <c r="CB113" s="747"/>
      <c r="CC113" s="1222">
        <f>$G113*H113*Variables!$B$53</f>
        <v>0</v>
      </c>
      <c r="CD113" s="1223">
        <f>$G113*I113*Variables!$B$53</f>
        <v>0</v>
      </c>
      <c r="CE113" s="1223">
        <f>$G113*J113*Variables!$B$53</f>
        <v>0</v>
      </c>
      <c r="CF113" s="1223">
        <f>$G113*K113*Variables!$B$53</f>
        <v>0</v>
      </c>
      <c r="CG113" s="1223">
        <f>$G113*L113*Variables!$B$53</f>
        <v>0</v>
      </c>
      <c r="CH113" s="1223">
        <f>$G113*M113*Variables!$B$53</f>
        <v>0</v>
      </c>
      <c r="CI113" s="1223">
        <f>$G113*N113*Variables!$B$53</f>
        <v>0</v>
      </c>
      <c r="CJ113" s="1223">
        <f>$G113*O113*Variables!$B$53</f>
        <v>0</v>
      </c>
      <c r="CK113" s="1223">
        <f>$G113*P113*Variables!$B$53</f>
        <v>0</v>
      </c>
      <c r="CL113" s="1223">
        <f>$G113*Q113*Variables!$B$53</f>
        <v>0</v>
      </c>
      <c r="CM113" s="1223">
        <f>$G113*R113*Variables!$B$53</f>
        <v>0</v>
      </c>
      <c r="CN113" s="1225">
        <f>$G113*S113*Variables!$B$53</f>
        <v>0</v>
      </c>
      <c r="CO113" s="1222">
        <f>$G113*T113*Variables!$B$53*HLOOKUP($CO$2,Variables!$B$60:$F$61,2,FALSE)</f>
        <v>0</v>
      </c>
      <c r="CP113" s="1223">
        <f>$G113*U113*Variables!$B$53*HLOOKUP($CO$2,Variables!$B$60:$F$61,2,FALSE)</f>
        <v>0</v>
      </c>
      <c r="CQ113" s="1223">
        <f>$G113*V113*Variables!$B$53*HLOOKUP($CO$2,Variables!$B$60:$F$61,2,FALSE)</f>
        <v>0</v>
      </c>
      <c r="CR113" s="1223">
        <f>$G113*W113*Variables!$B$53*HLOOKUP($CO$2,Variables!$B$60:$F$61,2,FALSE)</f>
        <v>0</v>
      </c>
      <c r="CS113" s="1223">
        <f>$G113*X113*Variables!$B$53*HLOOKUP($CO$2,Variables!$B$60:$F$61,2,FALSE)</f>
        <v>0</v>
      </c>
      <c r="CT113" s="1223">
        <f>$G113*Y113*Variables!$B$53*HLOOKUP($CO$2,Variables!$B$60:$F$61,2,FALSE)</f>
        <v>0</v>
      </c>
      <c r="CU113" s="1223">
        <f>$G113*Z113*Variables!$B$53*HLOOKUP($CO$2,Variables!$B$60:$F$61,2,FALSE)</f>
        <v>0</v>
      </c>
      <c r="CV113" s="1223">
        <f>$G113*AA113*Variables!$B$53*HLOOKUP($CO$2,Variables!$B$60:$F$61,2,FALSE)</f>
        <v>0</v>
      </c>
      <c r="CW113" s="1223">
        <f>$G113*AB113*Variables!$B$53*HLOOKUP($CO$2,Variables!$B$60:$F$61,2,FALSE)</f>
        <v>0</v>
      </c>
      <c r="CX113" s="1223">
        <f>$G113*AC113*Variables!$B$53*HLOOKUP($CO$2,Variables!$B$60:$F$61,2,FALSE)</f>
        <v>0</v>
      </c>
      <c r="CY113" s="1223">
        <f>$G113*AD113*Variables!$B$53*HLOOKUP($CO$2,Variables!$B$60:$F$61,2,FALSE)</f>
        <v>0</v>
      </c>
      <c r="CZ113" s="1225">
        <f>$G113*AE113*Variables!$B$53*HLOOKUP($CO$2,Variables!$B$60:$F$61,2,FALSE)</f>
        <v>0</v>
      </c>
      <c r="DA113" s="1222">
        <f>$G113*AF113*Variables!$B$53*HLOOKUP($DA$2,Variables!$B$60:$F$61,2,FALSE)</f>
        <v>0</v>
      </c>
      <c r="DB113" s="1223">
        <f>$G113*AG113*Variables!$B$53*HLOOKUP($DA$2,Variables!$B$60:$F$61,2,FALSE)</f>
        <v>0</v>
      </c>
      <c r="DC113" s="1223">
        <f>$G113*AH113*Variables!$B$53*HLOOKUP($DA$2,Variables!$B$60:$F$61,2,FALSE)</f>
        <v>0</v>
      </c>
      <c r="DD113" s="1223">
        <f>$G113*AI113*Variables!$B$53*HLOOKUP($DA$2,Variables!$B$60:$F$61,2,FALSE)</f>
        <v>0</v>
      </c>
      <c r="DE113" s="1223">
        <f>$G113*AJ113*Variables!$B$53*HLOOKUP($DA$2,Variables!$B$60:$F$61,2,FALSE)</f>
        <v>0</v>
      </c>
      <c r="DF113" s="1223">
        <f>$G113*AK113*Variables!$B$53*HLOOKUP($DA$2,Variables!$B$60:$F$61,2,FALSE)</f>
        <v>0</v>
      </c>
      <c r="DG113" s="1223">
        <f>$G113*AL113*Variables!$B$53*HLOOKUP($DA$2,Variables!$B$60:$F$61,2,FALSE)</f>
        <v>0</v>
      </c>
      <c r="DH113" s="1223">
        <f>$G113*AM113*Variables!$B$53*HLOOKUP($DA$2,Variables!$B$60:$F$61,2,FALSE)</f>
        <v>0</v>
      </c>
      <c r="DI113" s="1223">
        <f>$G113*AN113*Variables!$B$53*HLOOKUP($DA$2,Variables!$B$60:$F$61,2,FALSE)</f>
        <v>0</v>
      </c>
      <c r="DJ113" s="1223">
        <f>$G113*AO113*Variables!$B$53*HLOOKUP($DA$2,Variables!$B$60:$F$61,2,FALSE)</f>
        <v>0</v>
      </c>
      <c r="DK113" s="1223">
        <f>$G113*AP113*Variables!$B$53*HLOOKUP($DA$2,Variables!$B$60:$F$61,2,FALSE)</f>
        <v>0</v>
      </c>
      <c r="DL113" s="1225">
        <f>$G113*AQ113*Variables!$B$53*HLOOKUP($DA$2,Variables!$B$60:$F$61,2,FALSE)</f>
        <v>0</v>
      </c>
      <c r="DM113" s="1222">
        <f>$G113*AR113*Variables!$B$53*HLOOKUP($DM$2,Variables!$B$60:$F$61,2,FALSE)</f>
        <v>0</v>
      </c>
      <c r="DN113" s="1223">
        <f>$G113*AS113*Variables!$B$53*HLOOKUP($DM$2,Variables!$B$60:$F$61,2,FALSE)</f>
        <v>0</v>
      </c>
      <c r="DO113" s="1223">
        <f>$G113*AT113*Variables!$B$53*HLOOKUP($DM$2,Variables!$B$60:$F$61,2,FALSE)</f>
        <v>0</v>
      </c>
      <c r="DP113" s="1223">
        <f>$G113*AU113*Variables!$B$53*HLOOKUP($DM$2,Variables!$B$60:$F$61,2,FALSE)</f>
        <v>0</v>
      </c>
      <c r="DQ113" s="1223">
        <f>$G113*AV113*Variables!$B$53*HLOOKUP($DM$2,Variables!$B$60:$F$61,2,FALSE)</f>
        <v>0</v>
      </c>
      <c r="DR113" s="1223">
        <f>$G113*AW113*Variables!$B$53*HLOOKUP($DM$2,Variables!$B$60:$F$61,2,FALSE)</f>
        <v>0</v>
      </c>
      <c r="DS113" s="1223">
        <f>$G113*AX113*Variables!$B$53*HLOOKUP($DM$2,Variables!$B$60:$F$61,2,FALSE)</f>
        <v>0</v>
      </c>
      <c r="DT113" s="1223">
        <f>$G113*AY113*Variables!$B$53*HLOOKUP($DM$2,Variables!$B$60:$F$61,2,FALSE)</f>
        <v>0</v>
      </c>
      <c r="DU113" s="1223">
        <f>$G113*AZ113*Variables!$B$53*HLOOKUP($DM$2,Variables!$B$60:$F$61,2,FALSE)</f>
        <v>0</v>
      </c>
      <c r="DV113" s="1223">
        <f>$G113*BA113*Variables!$B$53*HLOOKUP($DM$2,Variables!$B$60:$F$61,2,FALSE)</f>
        <v>0</v>
      </c>
      <c r="DW113" s="1223">
        <f>$G113*BB113*Variables!$B$53*HLOOKUP($DM$2,Variables!$B$60:$F$61,2,FALSE)</f>
        <v>0</v>
      </c>
      <c r="DX113" s="1225">
        <f>$G113*BC113*Variables!$B$53*HLOOKUP($DM$2,Variables!$B$60:$F$61,2,FALSE)</f>
        <v>0</v>
      </c>
      <c r="DY113" s="1222">
        <f>$G113*BD113*Variables!$B$53*HLOOKUP($DY$2,Variables!$B$60:$F$61,2,FALSE)</f>
        <v>0</v>
      </c>
      <c r="DZ113" s="1223">
        <f>$G113*BE113*Variables!$B$53*HLOOKUP($DY$2,Variables!$B$60:$F$61,2,FALSE)</f>
        <v>0</v>
      </c>
      <c r="EA113" s="1223">
        <f>$G113*BF113*Variables!$B$53*HLOOKUP($DY$2,Variables!$B$60:$F$61,2,FALSE)</f>
        <v>0</v>
      </c>
      <c r="EB113" s="1223">
        <f>$G113*BG113*Variables!$B$53*HLOOKUP($DY$2,Variables!$B$60:$F$61,2,FALSE)</f>
        <v>0</v>
      </c>
      <c r="EC113" s="1223">
        <f>$G113*BH113*Variables!$B$53*HLOOKUP($DY$2,Variables!$B$60:$F$61,2,FALSE)</f>
        <v>0</v>
      </c>
      <c r="ED113" s="1223">
        <f>$G113*BI113*Variables!$B$53*HLOOKUP($DY$2,Variables!$B$60:$F$61,2,FALSE)</f>
        <v>0</v>
      </c>
      <c r="EE113" s="1223">
        <f>$G113*BJ113*Variables!$B$53*HLOOKUP($DY$2,Variables!$B$60:$F$61,2,FALSE)</f>
        <v>0</v>
      </c>
      <c r="EF113" s="1223">
        <f>$G113*BK113*Variables!$B$53*HLOOKUP($DY$2,Variables!$B$60:$F$61,2,FALSE)</f>
        <v>0</v>
      </c>
      <c r="EG113" s="1223">
        <f>$G113*BL113*Variables!$B$53*HLOOKUP($DY$2,Variables!$B$60:$F$61,2,FALSE)</f>
        <v>0</v>
      </c>
      <c r="EH113" s="1223">
        <f>$G113*BM113*Variables!$B$53*HLOOKUP($DY$2,Variables!$B$60:$F$61,2,FALSE)</f>
        <v>0</v>
      </c>
      <c r="EI113" s="1223">
        <f>$G113*BN113*Variables!$B$53*HLOOKUP($DY$2,Variables!$B$60:$F$61,2,FALSE)</f>
        <v>0</v>
      </c>
      <c r="EJ113" s="1225">
        <f>$G113*BO113*Variables!$B$53*HLOOKUP($DY$2,Variables!$B$60:$F$61,2,FALSE)</f>
        <v>0</v>
      </c>
      <c r="EK113" s="1222">
        <f>$G113*BP113*Variables!$B$53*HLOOKUP($EK$2,Variables!$B$60:$F$61,2,FALSE)</f>
        <v>0</v>
      </c>
      <c r="EL113" s="1223">
        <f>$G113*BQ113*Variables!$B$53*HLOOKUP($EK$2,Variables!$B$60:$F$61,2,FALSE)</f>
        <v>0</v>
      </c>
      <c r="EM113" s="1223">
        <f>$G113*BR113*Variables!$B$53*HLOOKUP($EK$2,Variables!$B$60:$F$61,2,FALSE)</f>
        <v>0</v>
      </c>
      <c r="EN113" s="1223">
        <f>$G113*BS113*Variables!$B$53*HLOOKUP($EK$2,Variables!$B$60:$F$61,2,FALSE)</f>
        <v>0</v>
      </c>
      <c r="EO113" s="1223">
        <f>$G113*BT113*Variables!$B$53*HLOOKUP($EK$2,Variables!$B$60:$F$61,2,FALSE)</f>
        <v>0</v>
      </c>
      <c r="EP113" s="1223">
        <f>$G113*BU113*Variables!$B$53*HLOOKUP($EK$2,Variables!$B$60:$F$61,2,FALSE)</f>
        <v>0</v>
      </c>
      <c r="EQ113" s="1223">
        <f>$G113*BV113*Variables!$B$53*HLOOKUP($EK$2,Variables!$B$60:$F$61,2,FALSE)</f>
        <v>0</v>
      </c>
      <c r="ER113" s="1223">
        <f>$G113*BW113*Variables!$B$53*HLOOKUP($EK$2,Variables!$B$60:$F$61,2,FALSE)</f>
        <v>0</v>
      </c>
      <c r="ES113" s="1223">
        <f>$G113*BX113*Variables!$B$53*HLOOKUP($EK$2,Variables!$B$60:$F$61,2,FALSE)</f>
        <v>0</v>
      </c>
      <c r="ET113" s="1223">
        <f>$G113*BY113*Variables!$B$53*HLOOKUP($EK$2,Variables!$B$60:$F$61,2,FALSE)</f>
        <v>0</v>
      </c>
      <c r="EU113" s="1223">
        <f>$G113*BZ113*Variables!$B$53*HLOOKUP($EK$2,Variables!$B$60:$F$61,2,FALSE)</f>
        <v>0</v>
      </c>
      <c r="EV113" s="1225">
        <f>$G113*CA113*Variables!$B$53*HLOOKUP($EK$2,Variables!$B$60:$F$61,2,FALSE)</f>
        <v>0</v>
      </c>
      <c r="EW113" s="872">
        <f t="shared" si="15"/>
        <v>0</v>
      </c>
      <c r="EX113" s="872"/>
      <c r="EY113" s="872"/>
      <c r="EZ113" s="872"/>
      <c r="FA113" s="1332"/>
      <c r="FC113" s="958" t="str">
        <f t="shared" si="16"/>
        <v/>
      </c>
      <c r="FD113" s="959" t="str">
        <f t="shared" si="17"/>
        <v/>
      </c>
      <c r="FE113" s="959" t="s">
        <v>8407</v>
      </c>
      <c r="FF113" s="959" t="str">
        <f>IF(ISNA(VLOOKUP(FC113,Miscellaneous!E:F,2,0)),"",VLOOKUP(FC113,Miscellaneous!E:F,2,0))</f>
        <v/>
      </c>
      <c r="FG113" s="959" t="str">
        <f t="shared" si="18"/>
        <v/>
      </c>
      <c r="FH113" s="996">
        <f>IF($FG113="Opex",SUMIF('Monthly Summary'!$C$75:$N$75,"",CC113:CN113),SUMIF('Monthly Summary'!$C$74:$N$74,"",CC113:CN113))</f>
        <v>0</v>
      </c>
      <c r="FI113" s="996">
        <f>IF($FG113="Opex",SUMIF('Monthly Summary'!$O$75:$Z$75,"",CO113:CZ113),SUMIF('Monthly Summary'!$O$74:$Z$74,"",CO113:CZ113))</f>
        <v>0</v>
      </c>
      <c r="FJ113" s="996">
        <f>IF($FG113="Opex",SUMIF('Monthly Summary'!$AA$75:$AL$75,"",DA113:DL113),SUMIF('Monthly Summary'!$AA$74:$AL$74,"",DA113:DL113))</f>
        <v>0</v>
      </c>
      <c r="FK113" s="996">
        <f>IF($FG113="Opex",SUMIF('Monthly Summary'!$AM$75:$AX$75,"",DM113:DX113),SUMIF('Monthly Summary'!$AM$74:$AX$74,"",DM113:DX113))</f>
        <v>0</v>
      </c>
      <c r="FL113" s="996">
        <f>IF($FG113="Opex",SUMIF('Monthly Summary'!$AY$75:$BJ$75,"",DY113:EJ113),SUMIF('Monthly Summary'!$AY$74:$BJ$74,"",DY113:EJ113))</f>
        <v>0</v>
      </c>
      <c r="FM113" s="997">
        <f>IF($FG113="Opex",SUMIF('Monthly Summary'!$BK$75:$BV$75,"",EK113:EV113),SUMIF('Monthly Summary'!$BK$74:$BV$74,"",EK113:EV113))</f>
        <v>0</v>
      </c>
      <c r="FN113" s="997">
        <f t="shared" si="14"/>
        <v>0</v>
      </c>
    </row>
    <row r="114" spans="3:170">
      <c r="C114" s="757"/>
      <c r="D114" s="757"/>
      <c r="E114" s="758"/>
      <c r="F114" s="758"/>
      <c r="G114" s="758"/>
      <c r="H114" s="1215"/>
      <c r="I114" s="761"/>
      <c r="J114" s="761"/>
      <c r="K114" s="761"/>
      <c r="L114" s="761"/>
      <c r="M114" s="761"/>
      <c r="N114" s="761"/>
      <c r="O114" s="761"/>
      <c r="P114" s="761"/>
      <c r="Q114" s="761"/>
      <c r="R114" s="761"/>
      <c r="S114" s="1216"/>
      <c r="T114" s="1215"/>
      <c r="U114" s="761"/>
      <c r="V114" s="761"/>
      <c r="W114" s="761"/>
      <c r="X114" s="761"/>
      <c r="Y114" s="761"/>
      <c r="Z114" s="761"/>
      <c r="AA114" s="761"/>
      <c r="AB114" s="761"/>
      <c r="AC114" s="761"/>
      <c r="AD114" s="761"/>
      <c r="AE114" s="1216"/>
      <c r="AF114" s="1215"/>
      <c r="AG114" s="761"/>
      <c r="AH114" s="761"/>
      <c r="AI114" s="761"/>
      <c r="AJ114" s="761"/>
      <c r="AK114" s="761"/>
      <c r="AL114" s="761"/>
      <c r="AM114" s="761"/>
      <c r="AN114" s="761"/>
      <c r="AO114" s="761"/>
      <c r="AP114" s="761"/>
      <c r="AQ114" s="1216"/>
      <c r="AR114" s="1215"/>
      <c r="AS114" s="761"/>
      <c r="AT114" s="761"/>
      <c r="AU114" s="761"/>
      <c r="AV114" s="761"/>
      <c r="AW114" s="761"/>
      <c r="AX114" s="761"/>
      <c r="AY114" s="761"/>
      <c r="AZ114" s="761"/>
      <c r="BA114" s="761"/>
      <c r="BB114" s="761"/>
      <c r="BC114" s="1216"/>
      <c r="BD114" s="1215"/>
      <c r="BE114" s="761"/>
      <c r="BF114" s="761"/>
      <c r="BG114" s="761"/>
      <c r="BH114" s="761"/>
      <c r="BI114" s="761"/>
      <c r="BJ114" s="761"/>
      <c r="BK114" s="761"/>
      <c r="BL114" s="761"/>
      <c r="BM114" s="761"/>
      <c r="BN114" s="761"/>
      <c r="BO114" s="1216"/>
      <c r="BP114" s="1215"/>
      <c r="BQ114" s="761"/>
      <c r="BR114" s="761"/>
      <c r="BS114" s="761"/>
      <c r="BT114" s="761"/>
      <c r="BU114" s="761"/>
      <c r="BV114" s="761"/>
      <c r="BW114" s="761"/>
      <c r="BX114" s="761"/>
      <c r="BY114" s="761"/>
      <c r="BZ114" s="761"/>
      <c r="CA114" s="1216"/>
      <c r="CB114" s="747"/>
      <c r="CC114" s="1222">
        <f>$G114*H114*Variables!$B$53</f>
        <v>0</v>
      </c>
      <c r="CD114" s="1223">
        <f>$G114*I114*Variables!$B$53</f>
        <v>0</v>
      </c>
      <c r="CE114" s="1223">
        <f>$G114*J114*Variables!$B$53</f>
        <v>0</v>
      </c>
      <c r="CF114" s="1223">
        <f>$G114*K114*Variables!$B$53</f>
        <v>0</v>
      </c>
      <c r="CG114" s="1223">
        <f>$G114*L114*Variables!$B$53</f>
        <v>0</v>
      </c>
      <c r="CH114" s="1223">
        <f>$G114*M114*Variables!$B$53</f>
        <v>0</v>
      </c>
      <c r="CI114" s="1223">
        <f>$G114*N114*Variables!$B$53</f>
        <v>0</v>
      </c>
      <c r="CJ114" s="1223">
        <f>$G114*O114*Variables!$B$53</f>
        <v>0</v>
      </c>
      <c r="CK114" s="1223">
        <f>$G114*P114*Variables!$B$53</f>
        <v>0</v>
      </c>
      <c r="CL114" s="1223">
        <f>$G114*Q114*Variables!$B$53</f>
        <v>0</v>
      </c>
      <c r="CM114" s="1223">
        <f>$G114*R114*Variables!$B$53</f>
        <v>0</v>
      </c>
      <c r="CN114" s="1225">
        <f>$G114*S114*Variables!$B$53</f>
        <v>0</v>
      </c>
      <c r="CO114" s="1222">
        <f>$G114*T114*Variables!$B$53*HLOOKUP($CO$2,Variables!$B$60:$F$61,2,FALSE)</f>
        <v>0</v>
      </c>
      <c r="CP114" s="1223">
        <f>$G114*U114*Variables!$B$53*HLOOKUP($CO$2,Variables!$B$60:$F$61,2,FALSE)</f>
        <v>0</v>
      </c>
      <c r="CQ114" s="1223">
        <f>$G114*V114*Variables!$B$53*HLOOKUP($CO$2,Variables!$B$60:$F$61,2,FALSE)</f>
        <v>0</v>
      </c>
      <c r="CR114" s="1223">
        <f>$G114*W114*Variables!$B$53*HLOOKUP($CO$2,Variables!$B$60:$F$61,2,FALSE)</f>
        <v>0</v>
      </c>
      <c r="CS114" s="1223">
        <f>$G114*X114*Variables!$B$53*HLOOKUP($CO$2,Variables!$B$60:$F$61,2,FALSE)</f>
        <v>0</v>
      </c>
      <c r="CT114" s="1223">
        <f>$G114*Y114*Variables!$B$53*HLOOKUP($CO$2,Variables!$B$60:$F$61,2,FALSE)</f>
        <v>0</v>
      </c>
      <c r="CU114" s="1223">
        <f>$G114*Z114*Variables!$B$53*HLOOKUP($CO$2,Variables!$B$60:$F$61,2,FALSE)</f>
        <v>0</v>
      </c>
      <c r="CV114" s="1223">
        <f>$G114*AA114*Variables!$B$53*HLOOKUP($CO$2,Variables!$B$60:$F$61,2,FALSE)</f>
        <v>0</v>
      </c>
      <c r="CW114" s="1223">
        <f>$G114*AB114*Variables!$B$53*HLOOKUP($CO$2,Variables!$B$60:$F$61,2,FALSE)</f>
        <v>0</v>
      </c>
      <c r="CX114" s="1223">
        <f>$G114*AC114*Variables!$B$53*HLOOKUP($CO$2,Variables!$B$60:$F$61,2,FALSE)</f>
        <v>0</v>
      </c>
      <c r="CY114" s="1223">
        <f>$G114*AD114*Variables!$B$53*HLOOKUP($CO$2,Variables!$B$60:$F$61,2,FALSE)</f>
        <v>0</v>
      </c>
      <c r="CZ114" s="1225">
        <f>$G114*AE114*Variables!$B$53*HLOOKUP($CO$2,Variables!$B$60:$F$61,2,FALSE)</f>
        <v>0</v>
      </c>
      <c r="DA114" s="1222">
        <f>$G114*AF114*Variables!$B$53*HLOOKUP($DA$2,Variables!$B$60:$F$61,2,FALSE)</f>
        <v>0</v>
      </c>
      <c r="DB114" s="1223">
        <f>$G114*AG114*Variables!$B$53*HLOOKUP($DA$2,Variables!$B$60:$F$61,2,FALSE)</f>
        <v>0</v>
      </c>
      <c r="DC114" s="1223">
        <f>$G114*AH114*Variables!$B$53*HLOOKUP($DA$2,Variables!$B$60:$F$61,2,FALSE)</f>
        <v>0</v>
      </c>
      <c r="DD114" s="1223">
        <f>$G114*AI114*Variables!$B$53*HLOOKUP($DA$2,Variables!$B$60:$F$61,2,FALSE)</f>
        <v>0</v>
      </c>
      <c r="DE114" s="1223">
        <f>$G114*AJ114*Variables!$B$53*HLOOKUP($DA$2,Variables!$B$60:$F$61,2,FALSE)</f>
        <v>0</v>
      </c>
      <c r="DF114" s="1223">
        <f>$G114*AK114*Variables!$B$53*HLOOKUP($DA$2,Variables!$B$60:$F$61,2,FALSE)</f>
        <v>0</v>
      </c>
      <c r="DG114" s="1223">
        <f>$G114*AL114*Variables!$B$53*HLOOKUP($DA$2,Variables!$B$60:$F$61,2,FALSE)</f>
        <v>0</v>
      </c>
      <c r="DH114" s="1223">
        <f>$G114*AM114*Variables!$B$53*HLOOKUP($DA$2,Variables!$B$60:$F$61,2,FALSE)</f>
        <v>0</v>
      </c>
      <c r="DI114" s="1223">
        <f>$G114*AN114*Variables!$B$53*HLOOKUP($DA$2,Variables!$B$60:$F$61,2,FALSE)</f>
        <v>0</v>
      </c>
      <c r="DJ114" s="1223">
        <f>$G114*AO114*Variables!$B$53*HLOOKUP($DA$2,Variables!$B$60:$F$61,2,FALSE)</f>
        <v>0</v>
      </c>
      <c r="DK114" s="1223">
        <f>$G114*AP114*Variables!$B$53*HLOOKUP($DA$2,Variables!$B$60:$F$61,2,FALSE)</f>
        <v>0</v>
      </c>
      <c r="DL114" s="1225">
        <f>$G114*AQ114*Variables!$B$53*HLOOKUP($DA$2,Variables!$B$60:$F$61,2,FALSE)</f>
        <v>0</v>
      </c>
      <c r="DM114" s="1222">
        <f>$G114*AR114*Variables!$B$53*HLOOKUP($DM$2,Variables!$B$60:$F$61,2,FALSE)</f>
        <v>0</v>
      </c>
      <c r="DN114" s="1223">
        <f>$G114*AS114*Variables!$B$53*HLOOKUP($DM$2,Variables!$B$60:$F$61,2,FALSE)</f>
        <v>0</v>
      </c>
      <c r="DO114" s="1223">
        <f>$G114*AT114*Variables!$B$53*HLOOKUP($DM$2,Variables!$B$60:$F$61,2,FALSE)</f>
        <v>0</v>
      </c>
      <c r="DP114" s="1223">
        <f>$G114*AU114*Variables!$B$53*HLOOKUP($DM$2,Variables!$B$60:$F$61,2,FALSE)</f>
        <v>0</v>
      </c>
      <c r="DQ114" s="1223">
        <f>$G114*AV114*Variables!$B$53*HLOOKUP($DM$2,Variables!$B$60:$F$61,2,FALSE)</f>
        <v>0</v>
      </c>
      <c r="DR114" s="1223">
        <f>$G114*AW114*Variables!$B$53*HLOOKUP($DM$2,Variables!$B$60:$F$61,2,FALSE)</f>
        <v>0</v>
      </c>
      <c r="DS114" s="1223">
        <f>$G114*AX114*Variables!$B$53*HLOOKUP($DM$2,Variables!$B$60:$F$61,2,FALSE)</f>
        <v>0</v>
      </c>
      <c r="DT114" s="1223">
        <f>$G114*AY114*Variables!$B$53*HLOOKUP($DM$2,Variables!$B$60:$F$61,2,FALSE)</f>
        <v>0</v>
      </c>
      <c r="DU114" s="1223">
        <f>$G114*AZ114*Variables!$B$53*HLOOKUP($DM$2,Variables!$B$60:$F$61,2,FALSE)</f>
        <v>0</v>
      </c>
      <c r="DV114" s="1223">
        <f>$G114*BA114*Variables!$B$53*HLOOKUP($DM$2,Variables!$B$60:$F$61,2,FALSE)</f>
        <v>0</v>
      </c>
      <c r="DW114" s="1223">
        <f>$G114*BB114*Variables!$B$53*HLOOKUP($DM$2,Variables!$B$60:$F$61,2,FALSE)</f>
        <v>0</v>
      </c>
      <c r="DX114" s="1225">
        <f>$G114*BC114*Variables!$B$53*HLOOKUP($DM$2,Variables!$B$60:$F$61,2,FALSE)</f>
        <v>0</v>
      </c>
      <c r="DY114" s="1222">
        <f>$G114*BD114*Variables!$B$53*HLOOKUP($DY$2,Variables!$B$60:$F$61,2,FALSE)</f>
        <v>0</v>
      </c>
      <c r="DZ114" s="1223">
        <f>$G114*BE114*Variables!$B$53*HLOOKUP($DY$2,Variables!$B$60:$F$61,2,FALSE)</f>
        <v>0</v>
      </c>
      <c r="EA114" s="1223">
        <f>$G114*BF114*Variables!$B$53*HLOOKUP($DY$2,Variables!$B$60:$F$61,2,FALSE)</f>
        <v>0</v>
      </c>
      <c r="EB114" s="1223">
        <f>$G114*BG114*Variables!$B$53*HLOOKUP($DY$2,Variables!$B$60:$F$61,2,FALSE)</f>
        <v>0</v>
      </c>
      <c r="EC114" s="1223">
        <f>$G114*BH114*Variables!$B$53*HLOOKUP($DY$2,Variables!$B$60:$F$61,2,FALSE)</f>
        <v>0</v>
      </c>
      <c r="ED114" s="1223">
        <f>$G114*BI114*Variables!$B$53*HLOOKUP($DY$2,Variables!$B$60:$F$61,2,FALSE)</f>
        <v>0</v>
      </c>
      <c r="EE114" s="1223">
        <f>$G114*BJ114*Variables!$B$53*HLOOKUP($DY$2,Variables!$B$60:$F$61,2,FALSE)</f>
        <v>0</v>
      </c>
      <c r="EF114" s="1223">
        <f>$G114*BK114*Variables!$B$53*HLOOKUP($DY$2,Variables!$B$60:$F$61,2,FALSE)</f>
        <v>0</v>
      </c>
      <c r="EG114" s="1223">
        <f>$G114*BL114*Variables!$B$53*HLOOKUP($DY$2,Variables!$B$60:$F$61,2,FALSE)</f>
        <v>0</v>
      </c>
      <c r="EH114" s="1223">
        <f>$G114*BM114*Variables!$B$53*HLOOKUP($DY$2,Variables!$B$60:$F$61,2,FALSE)</f>
        <v>0</v>
      </c>
      <c r="EI114" s="1223">
        <f>$G114*BN114*Variables!$B$53*HLOOKUP($DY$2,Variables!$B$60:$F$61,2,FALSE)</f>
        <v>0</v>
      </c>
      <c r="EJ114" s="1225">
        <f>$G114*BO114*Variables!$B$53*HLOOKUP($DY$2,Variables!$B$60:$F$61,2,FALSE)</f>
        <v>0</v>
      </c>
      <c r="EK114" s="1222">
        <f>$G114*BP114*Variables!$B$53*HLOOKUP($EK$2,Variables!$B$60:$F$61,2,FALSE)</f>
        <v>0</v>
      </c>
      <c r="EL114" s="1223">
        <f>$G114*BQ114*Variables!$B$53*HLOOKUP($EK$2,Variables!$B$60:$F$61,2,FALSE)</f>
        <v>0</v>
      </c>
      <c r="EM114" s="1223">
        <f>$G114*BR114*Variables!$B$53*HLOOKUP($EK$2,Variables!$B$60:$F$61,2,FALSE)</f>
        <v>0</v>
      </c>
      <c r="EN114" s="1223">
        <f>$G114*BS114*Variables!$B$53*HLOOKUP($EK$2,Variables!$B$60:$F$61,2,FALSE)</f>
        <v>0</v>
      </c>
      <c r="EO114" s="1223">
        <f>$G114*BT114*Variables!$B$53*HLOOKUP($EK$2,Variables!$B$60:$F$61,2,FALSE)</f>
        <v>0</v>
      </c>
      <c r="EP114" s="1223">
        <f>$G114*BU114*Variables!$B$53*HLOOKUP($EK$2,Variables!$B$60:$F$61,2,FALSE)</f>
        <v>0</v>
      </c>
      <c r="EQ114" s="1223">
        <f>$G114*BV114*Variables!$B$53*HLOOKUP($EK$2,Variables!$B$60:$F$61,2,FALSE)</f>
        <v>0</v>
      </c>
      <c r="ER114" s="1223">
        <f>$G114*BW114*Variables!$B$53*HLOOKUP($EK$2,Variables!$B$60:$F$61,2,FALSE)</f>
        <v>0</v>
      </c>
      <c r="ES114" s="1223">
        <f>$G114*BX114*Variables!$B$53*HLOOKUP($EK$2,Variables!$B$60:$F$61,2,FALSE)</f>
        <v>0</v>
      </c>
      <c r="ET114" s="1223">
        <f>$G114*BY114*Variables!$B$53*HLOOKUP($EK$2,Variables!$B$60:$F$61,2,FALSE)</f>
        <v>0</v>
      </c>
      <c r="EU114" s="1223">
        <f>$G114*BZ114*Variables!$B$53*HLOOKUP($EK$2,Variables!$B$60:$F$61,2,FALSE)</f>
        <v>0</v>
      </c>
      <c r="EV114" s="1225">
        <f>$G114*CA114*Variables!$B$53*HLOOKUP($EK$2,Variables!$B$60:$F$61,2,FALSE)</f>
        <v>0</v>
      </c>
      <c r="EW114" s="872">
        <f t="shared" si="15"/>
        <v>0</v>
      </c>
      <c r="EX114" s="872"/>
      <c r="EY114" s="872"/>
      <c r="EZ114" s="872"/>
      <c r="FA114" s="1332"/>
      <c r="FC114" s="958" t="str">
        <f t="shared" si="16"/>
        <v/>
      </c>
      <c r="FD114" s="959" t="str">
        <f t="shared" si="17"/>
        <v/>
      </c>
      <c r="FE114" s="959" t="s">
        <v>8407</v>
      </c>
      <c r="FF114" s="959" t="str">
        <f>IF(ISNA(VLOOKUP(FC114,Miscellaneous!E:F,2,0)),"",VLOOKUP(FC114,Miscellaneous!E:F,2,0))</f>
        <v/>
      </c>
      <c r="FG114" s="959" t="str">
        <f t="shared" si="18"/>
        <v/>
      </c>
      <c r="FH114" s="996">
        <f>IF($FG114="Opex",SUMIF('Monthly Summary'!$C$75:$N$75,"",CC114:CN114),SUMIF('Monthly Summary'!$C$74:$N$74,"",CC114:CN114))</f>
        <v>0</v>
      </c>
      <c r="FI114" s="996">
        <f>IF($FG114="Opex",SUMIF('Monthly Summary'!$O$75:$Z$75,"",CO114:CZ114),SUMIF('Monthly Summary'!$O$74:$Z$74,"",CO114:CZ114))</f>
        <v>0</v>
      </c>
      <c r="FJ114" s="996">
        <f>IF($FG114="Opex",SUMIF('Monthly Summary'!$AA$75:$AL$75,"",DA114:DL114),SUMIF('Monthly Summary'!$AA$74:$AL$74,"",DA114:DL114))</f>
        <v>0</v>
      </c>
      <c r="FK114" s="996">
        <f>IF($FG114="Opex",SUMIF('Monthly Summary'!$AM$75:$AX$75,"",DM114:DX114),SUMIF('Monthly Summary'!$AM$74:$AX$74,"",DM114:DX114))</f>
        <v>0</v>
      </c>
      <c r="FL114" s="996">
        <f>IF($FG114="Opex",SUMIF('Monthly Summary'!$AY$75:$BJ$75,"",DY114:EJ114),SUMIF('Monthly Summary'!$AY$74:$BJ$74,"",DY114:EJ114))</f>
        <v>0</v>
      </c>
      <c r="FM114" s="997">
        <f>IF($FG114="Opex",SUMIF('Monthly Summary'!$BK$75:$BV$75,"",EK114:EV114),SUMIF('Monthly Summary'!$BK$74:$BV$74,"",EK114:EV114))</f>
        <v>0</v>
      </c>
      <c r="FN114" s="997">
        <f t="shared" si="14"/>
        <v>0</v>
      </c>
    </row>
    <row r="115" spans="3:170">
      <c r="C115" s="757"/>
      <c r="D115" s="757"/>
      <c r="E115" s="758"/>
      <c r="F115" s="758"/>
      <c r="G115" s="758"/>
      <c r="H115" s="1215"/>
      <c r="I115" s="761"/>
      <c r="J115" s="761"/>
      <c r="K115" s="761"/>
      <c r="L115" s="761"/>
      <c r="M115" s="761"/>
      <c r="N115" s="761"/>
      <c r="O115" s="761"/>
      <c r="P115" s="761"/>
      <c r="Q115" s="761"/>
      <c r="R115" s="761"/>
      <c r="S115" s="1216"/>
      <c r="T115" s="1215"/>
      <c r="U115" s="761"/>
      <c r="V115" s="761"/>
      <c r="W115" s="761"/>
      <c r="X115" s="761"/>
      <c r="Y115" s="761"/>
      <c r="Z115" s="761"/>
      <c r="AA115" s="761"/>
      <c r="AB115" s="761"/>
      <c r="AC115" s="761"/>
      <c r="AD115" s="761"/>
      <c r="AE115" s="1216"/>
      <c r="AF115" s="1215"/>
      <c r="AG115" s="761"/>
      <c r="AH115" s="761"/>
      <c r="AI115" s="761"/>
      <c r="AJ115" s="761"/>
      <c r="AK115" s="761"/>
      <c r="AL115" s="761"/>
      <c r="AM115" s="761"/>
      <c r="AN115" s="761"/>
      <c r="AO115" s="761"/>
      <c r="AP115" s="761"/>
      <c r="AQ115" s="1216"/>
      <c r="AR115" s="1215"/>
      <c r="AS115" s="761"/>
      <c r="AT115" s="761"/>
      <c r="AU115" s="761"/>
      <c r="AV115" s="761"/>
      <c r="AW115" s="761"/>
      <c r="AX115" s="761"/>
      <c r="AY115" s="761"/>
      <c r="AZ115" s="761"/>
      <c r="BA115" s="761"/>
      <c r="BB115" s="761"/>
      <c r="BC115" s="1216"/>
      <c r="BD115" s="1215"/>
      <c r="BE115" s="761"/>
      <c r="BF115" s="761"/>
      <c r="BG115" s="761"/>
      <c r="BH115" s="761"/>
      <c r="BI115" s="761"/>
      <c r="BJ115" s="761"/>
      <c r="BK115" s="761"/>
      <c r="BL115" s="761"/>
      <c r="BM115" s="761"/>
      <c r="BN115" s="761"/>
      <c r="BO115" s="1216"/>
      <c r="BP115" s="1215"/>
      <c r="BQ115" s="761"/>
      <c r="BR115" s="761"/>
      <c r="BS115" s="761"/>
      <c r="BT115" s="761"/>
      <c r="BU115" s="761"/>
      <c r="BV115" s="761"/>
      <c r="BW115" s="761"/>
      <c r="BX115" s="761"/>
      <c r="BY115" s="761"/>
      <c r="BZ115" s="761"/>
      <c r="CA115" s="1216"/>
      <c r="CB115" s="747"/>
      <c r="CC115" s="1222">
        <f>$G115*H115*Variables!$B$53</f>
        <v>0</v>
      </c>
      <c r="CD115" s="1223">
        <f>$G115*I115*Variables!$B$53</f>
        <v>0</v>
      </c>
      <c r="CE115" s="1223">
        <f>$G115*J115*Variables!$B$53</f>
        <v>0</v>
      </c>
      <c r="CF115" s="1223">
        <f>$G115*K115*Variables!$B$53</f>
        <v>0</v>
      </c>
      <c r="CG115" s="1223">
        <f>$G115*L115*Variables!$B$53</f>
        <v>0</v>
      </c>
      <c r="CH115" s="1223">
        <f>$G115*M115*Variables!$B$53</f>
        <v>0</v>
      </c>
      <c r="CI115" s="1223">
        <f>$G115*N115*Variables!$B$53</f>
        <v>0</v>
      </c>
      <c r="CJ115" s="1223">
        <f>$G115*O115*Variables!$B$53</f>
        <v>0</v>
      </c>
      <c r="CK115" s="1223">
        <f>$G115*P115*Variables!$B$53</f>
        <v>0</v>
      </c>
      <c r="CL115" s="1223">
        <f>$G115*Q115*Variables!$B$53</f>
        <v>0</v>
      </c>
      <c r="CM115" s="1223">
        <f>$G115*R115*Variables!$B$53</f>
        <v>0</v>
      </c>
      <c r="CN115" s="1225">
        <f>$G115*S115*Variables!$B$53</f>
        <v>0</v>
      </c>
      <c r="CO115" s="1222">
        <f>$G115*T115*Variables!$B$53*HLOOKUP($CO$2,Variables!$B$60:$F$61,2,FALSE)</f>
        <v>0</v>
      </c>
      <c r="CP115" s="1223">
        <f>$G115*U115*Variables!$B$53*HLOOKUP($CO$2,Variables!$B$60:$F$61,2,FALSE)</f>
        <v>0</v>
      </c>
      <c r="CQ115" s="1223">
        <f>$G115*V115*Variables!$B$53*HLOOKUP($CO$2,Variables!$B$60:$F$61,2,FALSE)</f>
        <v>0</v>
      </c>
      <c r="CR115" s="1223">
        <f>$G115*W115*Variables!$B$53*HLOOKUP($CO$2,Variables!$B$60:$F$61,2,FALSE)</f>
        <v>0</v>
      </c>
      <c r="CS115" s="1223">
        <f>$G115*X115*Variables!$B$53*HLOOKUP($CO$2,Variables!$B$60:$F$61,2,FALSE)</f>
        <v>0</v>
      </c>
      <c r="CT115" s="1223">
        <f>$G115*Y115*Variables!$B$53*HLOOKUP($CO$2,Variables!$B$60:$F$61,2,FALSE)</f>
        <v>0</v>
      </c>
      <c r="CU115" s="1223">
        <f>$G115*Z115*Variables!$B$53*HLOOKUP($CO$2,Variables!$B$60:$F$61,2,FALSE)</f>
        <v>0</v>
      </c>
      <c r="CV115" s="1223">
        <f>$G115*AA115*Variables!$B$53*HLOOKUP($CO$2,Variables!$B$60:$F$61,2,FALSE)</f>
        <v>0</v>
      </c>
      <c r="CW115" s="1223">
        <f>$G115*AB115*Variables!$B$53*HLOOKUP($CO$2,Variables!$B$60:$F$61,2,FALSE)</f>
        <v>0</v>
      </c>
      <c r="CX115" s="1223">
        <f>$G115*AC115*Variables!$B$53*HLOOKUP($CO$2,Variables!$B$60:$F$61,2,FALSE)</f>
        <v>0</v>
      </c>
      <c r="CY115" s="1223">
        <f>$G115*AD115*Variables!$B$53*HLOOKUP($CO$2,Variables!$B$60:$F$61,2,FALSE)</f>
        <v>0</v>
      </c>
      <c r="CZ115" s="1225">
        <f>$G115*AE115*Variables!$B$53*HLOOKUP($CO$2,Variables!$B$60:$F$61,2,FALSE)</f>
        <v>0</v>
      </c>
      <c r="DA115" s="1222">
        <f>$G115*AF115*Variables!$B$53*HLOOKUP($DA$2,Variables!$B$60:$F$61,2,FALSE)</f>
        <v>0</v>
      </c>
      <c r="DB115" s="1223">
        <f>$G115*AG115*Variables!$B$53*HLOOKUP($DA$2,Variables!$B$60:$F$61,2,FALSE)</f>
        <v>0</v>
      </c>
      <c r="DC115" s="1223">
        <f>$G115*AH115*Variables!$B$53*HLOOKUP($DA$2,Variables!$B$60:$F$61,2,FALSE)</f>
        <v>0</v>
      </c>
      <c r="DD115" s="1223">
        <f>$G115*AI115*Variables!$B$53*HLOOKUP($DA$2,Variables!$B$60:$F$61,2,FALSE)</f>
        <v>0</v>
      </c>
      <c r="DE115" s="1223">
        <f>$G115*AJ115*Variables!$B$53*HLOOKUP($DA$2,Variables!$B$60:$F$61,2,FALSE)</f>
        <v>0</v>
      </c>
      <c r="DF115" s="1223">
        <f>$G115*AK115*Variables!$B$53*HLOOKUP($DA$2,Variables!$B$60:$F$61,2,FALSE)</f>
        <v>0</v>
      </c>
      <c r="DG115" s="1223">
        <f>$G115*AL115*Variables!$B$53*HLOOKUP($DA$2,Variables!$B$60:$F$61,2,FALSE)</f>
        <v>0</v>
      </c>
      <c r="DH115" s="1223">
        <f>$G115*AM115*Variables!$B$53*HLOOKUP($DA$2,Variables!$B$60:$F$61,2,FALSE)</f>
        <v>0</v>
      </c>
      <c r="DI115" s="1223">
        <f>$G115*AN115*Variables!$B$53*HLOOKUP($DA$2,Variables!$B$60:$F$61,2,FALSE)</f>
        <v>0</v>
      </c>
      <c r="DJ115" s="1223">
        <f>$G115*AO115*Variables!$B$53*HLOOKUP($DA$2,Variables!$B$60:$F$61,2,FALSE)</f>
        <v>0</v>
      </c>
      <c r="DK115" s="1223">
        <f>$G115*AP115*Variables!$B$53*HLOOKUP($DA$2,Variables!$B$60:$F$61,2,FALSE)</f>
        <v>0</v>
      </c>
      <c r="DL115" s="1225">
        <f>$G115*AQ115*Variables!$B$53*HLOOKUP($DA$2,Variables!$B$60:$F$61,2,FALSE)</f>
        <v>0</v>
      </c>
      <c r="DM115" s="1222">
        <f>$G115*AR115*Variables!$B$53*HLOOKUP($DM$2,Variables!$B$60:$F$61,2,FALSE)</f>
        <v>0</v>
      </c>
      <c r="DN115" s="1223">
        <f>$G115*AS115*Variables!$B$53*HLOOKUP($DM$2,Variables!$B$60:$F$61,2,FALSE)</f>
        <v>0</v>
      </c>
      <c r="DO115" s="1223">
        <f>$G115*AT115*Variables!$B$53*HLOOKUP($DM$2,Variables!$B$60:$F$61,2,FALSE)</f>
        <v>0</v>
      </c>
      <c r="DP115" s="1223">
        <f>$G115*AU115*Variables!$B$53*HLOOKUP($DM$2,Variables!$B$60:$F$61,2,FALSE)</f>
        <v>0</v>
      </c>
      <c r="DQ115" s="1223">
        <f>$G115*AV115*Variables!$B$53*HLOOKUP($DM$2,Variables!$B$60:$F$61,2,FALSE)</f>
        <v>0</v>
      </c>
      <c r="DR115" s="1223">
        <f>$G115*AW115*Variables!$B$53*HLOOKUP($DM$2,Variables!$B$60:$F$61,2,FALSE)</f>
        <v>0</v>
      </c>
      <c r="DS115" s="1223">
        <f>$G115*AX115*Variables!$B$53*HLOOKUP($DM$2,Variables!$B$60:$F$61,2,FALSE)</f>
        <v>0</v>
      </c>
      <c r="DT115" s="1223">
        <f>$G115*AY115*Variables!$B$53*HLOOKUP($DM$2,Variables!$B$60:$F$61,2,FALSE)</f>
        <v>0</v>
      </c>
      <c r="DU115" s="1223">
        <f>$G115*AZ115*Variables!$B$53*HLOOKUP($DM$2,Variables!$B$60:$F$61,2,FALSE)</f>
        <v>0</v>
      </c>
      <c r="DV115" s="1223">
        <f>$G115*BA115*Variables!$B$53*HLOOKUP($DM$2,Variables!$B$60:$F$61,2,FALSE)</f>
        <v>0</v>
      </c>
      <c r="DW115" s="1223">
        <f>$G115*BB115*Variables!$B$53*HLOOKUP($DM$2,Variables!$B$60:$F$61,2,FALSE)</f>
        <v>0</v>
      </c>
      <c r="DX115" s="1225">
        <f>$G115*BC115*Variables!$B$53*HLOOKUP($DM$2,Variables!$B$60:$F$61,2,FALSE)</f>
        <v>0</v>
      </c>
      <c r="DY115" s="1222">
        <f>$G115*BD115*Variables!$B$53*HLOOKUP($DY$2,Variables!$B$60:$F$61,2,FALSE)</f>
        <v>0</v>
      </c>
      <c r="DZ115" s="1223">
        <f>$G115*BE115*Variables!$B$53*HLOOKUP($DY$2,Variables!$B$60:$F$61,2,FALSE)</f>
        <v>0</v>
      </c>
      <c r="EA115" s="1223">
        <f>$G115*BF115*Variables!$B$53*HLOOKUP($DY$2,Variables!$B$60:$F$61,2,FALSE)</f>
        <v>0</v>
      </c>
      <c r="EB115" s="1223">
        <f>$G115*BG115*Variables!$B$53*HLOOKUP($DY$2,Variables!$B$60:$F$61,2,FALSE)</f>
        <v>0</v>
      </c>
      <c r="EC115" s="1223">
        <f>$G115*BH115*Variables!$B$53*HLOOKUP($DY$2,Variables!$B$60:$F$61,2,FALSE)</f>
        <v>0</v>
      </c>
      <c r="ED115" s="1223">
        <f>$G115*BI115*Variables!$B$53*HLOOKUP($DY$2,Variables!$B$60:$F$61,2,FALSE)</f>
        <v>0</v>
      </c>
      <c r="EE115" s="1223">
        <f>$G115*BJ115*Variables!$B$53*HLOOKUP($DY$2,Variables!$B$60:$F$61,2,FALSE)</f>
        <v>0</v>
      </c>
      <c r="EF115" s="1223">
        <f>$G115*BK115*Variables!$B$53*HLOOKUP($DY$2,Variables!$B$60:$F$61,2,FALSE)</f>
        <v>0</v>
      </c>
      <c r="EG115" s="1223">
        <f>$G115*BL115*Variables!$B$53*HLOOKUP($DY$2,Variables!$B$60:$F$61,2,FALSE)</f>
        <v>0</v>
      </c>
      <c r="EH115" s="1223">
        <f>$G115*BM115*Variables!$B$53*HLOOKUP($DY$2,Variables!$B$60:$F$61,2,FALSE)</f>
        <v>0</v>
      </c>
      <c r="EI115" s="1223">
        <f>$G115*BN115*Variables!$B$53*HLOOKUP($DY$2,Variables!$B$60:$F$61,2,FALSE)</f>
        <v>0</v>
      </c>
      <c r="EJ115" s="1225">
        <f>$G115*BO115*Variables!$B$53*HLOOKUP($DY$2,Variables!$B$60:$F$61,2,FALSE)</f>
        <v>0</v>
      </c>
      <c r="EK115" s="1222">
        <f>$G115*BP115*Variables!$B$53*HLOOKUP($EK$2,Variables!$B$60:$F$61,2,FALSE)</f>
        <v>0</v>
      </c>
      <c r="EL115" s="1223">
        <f>$G115*BQ115*Variables!$B$53*HLOOKUP($EK$2,Variables!$B$60:$F$61,2,FALSE)</f>
        <v>0</v>
      </c>
      <c r="EM115" s="1223">
        <f>$G115*BR115*Variables!$B$53*HLOOKUP($EK$2,Variables!$B$60:$F$61,2,FALSE)</f>
        <v>0</v>
      </c>
      <c r="EN115" s="1223">
        <f>$G115*BS115*Variables!$B$53*HLOOKUP($EK$2,Variables!$B$60:$F$61,2,FALSE)</f>
        <v>0</v>
      </c>
      <c r="EO115" s="1223">
        <f>$G115*BT115*Variables!$B$53*HLOOKUP($EK$2,Variables!$B$60:$F$61,2,FALSE)</f>
        <v>0</v>
      </c>
      <c r="EP115" s="1223">
        <f>$G115*BU115*Variables!$B$53*HLOOKUP($EK$2,Variables!$B$60:$F$61,2,FALSE)</f>
        <v>0</v>
      </c>
      <c r="EQ115" s="1223">
        <f>$G115*BV115*Variables!$B$53*HLOOKUP($EK$2,Variables!$B$60:$F$61,2,FALSE)</f>
        <v>0</v>
      </c>
      <c r="ER115" s="1223">
        <f>$G115*BW115*Variables!$B$53*HLOOKUP($EK$2,Variables!$B$60:$F$61,2,FALSE)</f>
        <v>0</v>
      </c>
      <c r="ES115" s="1223">
        <f>$G115*BX115*Variables!$B$53*HLOOKUP($EK$2,Variables!$B$60:$F$61,2,FALSE)</f>
        <v>0</v>
      </c>
      <c r="ET115" s="1223">
        <f>$G115*BY115*Variables!$B$53*HLOOKUP($EK$2,Variables!$B$60:$F$61,2,FALSE)</f>
        <v>0</v>
      </c>
      <c r="EU115" s="1223">
        <f>$G115*BZ115*Variables!$B$53*HLOOKUP($EK$2,Variables!$B$60:$F$61,2,FALSE)</f>
        <v>0</v>
      </c>
      <c r="EV115" s="1225">
        <f>$G115*CA115*Variables!$B$53*HLOOKUP($EK$2,Variables!$B$60:$F$61,2,FALSE)</f>
        <v>0</v>
      </c>
      <c r="EW115" s="872">
        <f t="shared" si="15"/>
        <v>0</v>
      </c>
      <c r="EX115" s="872"/>
      <c r="EY115" s="872"/>
      <c r="EZ115" s="872"/>
      <c r="FA115" s="1332"/>
      <c r="FC115" s="958" t="str">
        <f t="shared" si="16"/>
        <v/>
      </c>
      <c r="FD115" s="959" t="str">
        <f t="shared" si="17"/>
        <v/>
      </c>
      <c r="FE115" s="959" t="s">
        <v>8407</v>
      </c>
      <c r="FF115" s="959" t="str">
        <f>IF(ISNA(VLOOKUP(FC115,Miscellaneous!E:F,2,0)),"",VLOOKUP(FC115,Miscellaneous!E:F,2,0))</f>
        <v/>
      </c>
      <c r="FG115" s="959" t="str">
        <f t="shared" si="18"/>
        <v/>
      </c>
      <c r="FH115" s="996">
        <f>IF($FG115="Opex",SUMIF('Monthly Summary'!$C$75:$N$75,"",CC115:CN115),SUMIF('Monthly Summary'!$C$74:$N$74,"",CC115:CN115))</f>
        <v>0</v>
      </c>
      <c r="FI115" s="996">
        <f>IF($FG115="Opex",SUMIF('Monthly Summary'!$O$75:$Z$75,"",CO115:CZ115),SUMIF('Monthly Summary'!$O$74:$Z$74,"",CO115:CZ115))</f>
        <v>0</v>
      </c>
      <c r="FJ115" s="996">
        <f>IF($FG115="Opex",SUMIF('Monthly Summary'!$AA$75:$AL$75,"",DA115:DL115),SUMIF('Monthly Summary'!$AA$74:$AL$74,"",DA115:DL115))</f>
        <v>0</v>
      </c>
      <c r="FK115" s="996">
        <f>IF($FG115="Opex",SUMIF('Monthly Summary'!$AM$75:$AX$75,"",DM115:DX115),SUMIF('Monthly Summary'!$AM$74:$AX$74,"",DM115:DX115))</f>
        <v>0</v>
      </c>
      <c r="FL115" s="996">
        <f>IF($FG115="Opex",SUMIF('Monthly Summary'!$AY$75:$BJ$75,"",DY115:EJ115),SUMIF('Monthly Summary'!$AY$74:$BJ$74,"",DY115:EJ115))</f>
        <v>0</v>
      </c>
      <c r="FM115" s="997">
        <f>IF($FG115="Opex",SUMIF('Monthly Summary'!$BK$75:$BV$75,"",EK115:EV115),SUMIF('Monthly Summary'!$BK$74:$BV$74,"",EK115:EV115))</f>
        <v>0</v>
      </c>
      <c r="FN115" s="997">
        <f t="shared" si="14"/>
        <v>0</v>
      </c>
    </row>
    <row r="116" spans="3:170">
      <c r="C116" s="757"/>
      <c r="D116" s="757"/>
      <c r="E116" s="758"/>
      <c r="F116" s="758"/>
      <c r="G116" s="758"/>
      <c r="H116" s="1215"/>
      <c r="I116" s="761"/>
      <c r="J116" s="761"/>
      <c r="K116" s="761"/>
      <c r="L116" s="761"/>
      <c r="M116" s="761"/>
      <c r="N116" s="761"/>
      <c r="O116" s="761"/>
      <c r="P116" s="761"/>
      <c r="Q116" s="761"/>
      <c r="R116" s="761"/>
      <c r="S116" s="1216"/>
      <c r="T116" s="1215"/>
      <c r="U116" s="761"/>
      <c r="V116" s="761"/>
      <c r="W116" s="761"/>
      <c r="X116" s="761"/>
      <c r="Y116" s="761"/>
      <c r="Z116" s="761"/>
      <c r="AA116" s="761"/>
      <c r="AB116" s="761"/>
      <c r="AC116" s="761"/>
      <c r="AD116" s="761"/>
      <c r="AE116" s="1216"/>
      <c r="AF116" s="1215"/>
      <c r="AG116" s="761"/>
      <c r="AH116" s="761"/>
      <c r="AI116" s="761"/>
      <c r="AJ116" s="761"/>
      <c r="AK116" s="761"/>
      <c r="AL116" s="761"/>
      <c r="AM116" s="761"/>
      <c r="AN116" s="761"/>
      <c r="AO116" s="761"/>
      <c r="AP116" s="761"/>
      <c r="AQ116" s="1216"/>
      <c r="AR116" s="1215"/>
      <c r="AS116" s="761"/>
      <c r="AT116" s="761"/>
      <c r="AU116" s="761"/>
      <c r="AV116" s="761"/>
      <c r="AW116" s="761"/>
      <c r="AX116" s="761"/>
      <c r="AY116" s="761"/>
      <c r="AZ116" s="761"/>
      <c r="BA116" s="761"/>
      <c r="BB116" s="761"/>
      <c r="BC116" s="1216"/>
      <c r="BD116" s="1215"/>
      <c r="BE116" s="761"/>
      <c r="BF116" s="761"/>
      <c r="BG116" s="761"/>
      <c r="BH116" s="761"/>
      <c r="BI116" s="761"/>
      <c r="BJ116" s="761"/>
      <c r="BK116" s="761"/>
      <c r="BL116" s="761"/>
      <c r="BM116" s="761"/>
      <c r="BN116" s="761"/>
      <c r="BO116" s="1216"/>
      <c r="BP116" s="1215"/>
      <c r="BQ116" s="761"/>
      <c r="BR116" s="761"/>
      <c r="BS116" s="761"/>
      <c r="BT116" s="761"/>
      <c r="BU116" s="761"/>
      <c r="BV116" s="761"/>
      <c r="BW116" s="761"/>
      <c r="BX116" s="761"/>
      <c r="BY116" s="761"/>
      <c r="BZ116" s="761"/>
      <c r="CA116" s="1216"/>
      <c r="CB116" s="747"/>
      <c r="CC116" s="1222">
        <f>$G116*H116*Variables!$B$53</f>
        <v>0</v>
      </c>
      <c r="CD116" s="1223">
        <f>$G116*I116*Variables!$B$53</f>
        <v>0</v>
      </c>
      <c r="CE116" s="1223">
        <f>$G116*J116*Variables!$B$53</f>
        <v>0</v>
      </c>
      <c r="CF116" s="1223">
        <f>$G116*K116*Variables!$B$53</f>
        <v>0</v>
      </c>
      <c r="CG116" s="1223">
        <f>$G116*L116*Variables!$B$53</f>
        <v>0</v>
      </c>
      <c r="CH116" s="1223">
        <f>$G116*M116*Variables!$B$53</f>
        <v>0</v>
      </c>
      <c r="CI116" s="1223">
        <f>$G116*N116*Variables!$B$53</f>
        <v>0</v>
      </c>
      <c r="CJ116" s="1223">
        <f>$G116*O116*Variables!$B$53</f>
        <v>0</v>
      </c>
      <c r="CK116" s="1223">
        <f>$G116*P116*Variables!$B$53</f>
        <v>0</v>
      </c>
      <c r="CL116" s="1223">
        <f>$G116*Q116*Variables!$B$53</f>
        <v>0</v>
      </c>
      <c r="CM116" s="1223">
        <f>$G116*R116*Variables!$B$53</f>
        <v>0</v>
      </c>
      <c r="CN116" s="1225">
        <f>$G116*S116*Variables!$B$53</f>
        <v>0</v>
      </c>
      <c r="CO116" s="1222">
        <f>$G116*T116*Variables!$B$53*HLOOKUP($CO$2,Variables!$B$60:$F$61,2,FALSE)</f>
        <v>0</v>
      </c>
      <c r="CP116" s="1223">
        <f>$G116*U116*Variables!$B$53*HLOOKUP($CO$2,Variables!$B$60:$F$61,2,FALSE)</f>
        <v>0</v>
      </c>
      <c r="CQ116" s="1223">
        <f>$G116*V116*Variables!$B$53*HLOOKUP($CO$2,Variables!$B$60:$F$61,2,FALSE)</f>
        <v>0</v>
      </c>
      <c r="CR116" s="1223">
        <f>$G116*W116*Variables!$B$53*HLOOKUP($CO$2,Variables!$B$60:$F$61,2,FALSE)</f>
        <v>0</v>
      </c>
      <c r="CS116" s="1223">
        <f>$G116*X116*Variables!$B$53*HLOOKUP($CO$2,Variables!$B$60:$F$61,2,FALSE)</f>
        <v>0</v>
      </c>
      <c r="CT116" s="1223">
        <f>$G116*Y116*Variables!$B$53*HLOOKUP($CO$2,Variables!$B$60:$F$61,2,FALSE)</f>
        <v>0</v>
      </c>
      <c r="CU116" s="1223">
        <f>$G116*Z116*Variables!$B$53*HLOOKUP($CO$2,Variables!$B$60:$F$61,2,FALSE)</f>
        <v>0</v>
      </c>
      <c r="CV116" s="1223">
        <f>$G116*AA116*Variables!$B$53*HLOOKUP($CO$2,Variables!$B$60:$F$61,2,FALSE)</f>
        <v>0</v>
      </c>
      <c r="CW116" s="1223">
        <f>$G116*AB116*Variables!$B$53*HLOOKUP($CO$2,Variables!$B$60:$F$61,2,FALSE)</f>
        <v>0</v>
      </c>
      <c r="CX116" s="1223">
        <f>$G116*AC116*Variables!$B$53*HLOOKUP($CO$2,Variables!$B$60:$F$61,2,FALSE)</f>
        <v>0</v>
      </c>
      <c r="CY116" s="1223">
        <f>$G116*AD116*Variables!$B$53*HLOOKUP($CO$2,Variables!$B$60:$F$61,2,FALSE)</f>
        <v>0</v>
      </c>
      <c r="CZ116" s="1225">
        <f>$G116*AE116*Variables!$B$53*HLOOKUP($CO$2,Variables!$B$60:$F$61,2,FALSE)</f>
        <v>0</v>
      </c>
      <c r="DA116" s="1222">
        <f>$G116*AF116*Variables!$B$53*HLOOKUP($DA$2,Variables!$B$60:$F$61,2,FALSE)</f>
        <v>0</v>
      </c>
      <c r="DB116" s="1223">
        <f>$G116*AG116*Variables!$B$53*HLOOKUP($DA$2,Variables!$B$60:$F$61,2,FALSE)</f>
        <v>0</v>
      </c>
      <c r="DC116" s="1223">
        <f>$G116*AH116*Variables!$B$53*HLOOKUP($DA$2,Variables!$B$60:$F$61,2,FALSE)</f>
        <v>0</v>
      </c>
      <c r="DD116" s="1223">
        <f>$G116*AI116*Variables!$B$53*HLOOKUP($DA$2,Variables!$B$60:$F$61,2,FALSE)</f>
        <v>0</v>
      </c>
      <c r="DE116" s="1223">
        <f>$G116*AJ116*Variables!$B$53*HLOOKUP($DA$2,Variables!$B$60:$F$61,2,FALSE)</f>
        <v>0</v>
      </c>
      <c r="DF116" s="1223">
        <f>$G116*AK116*Variables!$B$53*HLOOKUP($DA$2,Variables!$B$60:$F$61,2,FALSE)</f>
        <v>0</v>
      </c>
      <c r="DG116" s="1223">
        <f>$G116*AL116*Variables!$B$53*HLOOKUP($DA$2,Variables!$B$60:$F$61,2,FALSE)</f>
        <v>0</v>
      </c>
      <c r="DH116" s="1223">
        <f>$G116*AM116*Variables!$B$53*HLOOKUP($DA$2,Variables!$B$60:$F$61,2,FALSE)</f>
        <v>0</v>
      </c>
      <c r="DI116" s="1223">
        <f>$G116*AN116*Variables!$B$53*HLOOKUP($DA$2,Variables!$B$60:$F$61,2,FALSE)</f>
        <v>0</v>
      </c>
      <c r="DJ116" s="1223">
        <f>$G116*AO116*Variables!$B$53*HLOOKUP($DA$2,Variables!$B$60:$F$61,2,FALSE)</f>
        <v>0</v>
      </c>
      <c r="DK116" s="1223">
        <f>$G116*AP116*Variables!$B$53*HLOOKUP($DA$2,Variables!$B$60:$F$61,2,FALSE)</f>
        <v>0</v>
      </c>
      <c r="DL116" s="1225">
        <f>$G116*AQ116*Variables!$B$53*HLOOKUP($DA$2,Variables!$B$60:$F$61,2,FALSE)</f>
        <v>0</v>
      </c>
      <c r="DM116" s="1222">
        <f>$G116*AR116*Variables!$B$53*HLOOKUP($DM$2,Variables!$B$60:$F$61,2,FALSE)</f>
        <v>0</v>
      </c>
      <c r="DN116" s="1223">
        <f>$G116*AS116*Variables!$B$53*HLOOKUP($DM$2,Variables!$B$60:$F$61,2,FALSE)</f>
        <v>0</v>
      </c>
      <c r="DO116" s="1223">
        <f>$G116*AT116*Variables!$B$53*HLOOKUP($DM$2,Variables!$B$60:$F$61,2,FALSE)</f>
        <v>0</v>
      </c>
      <c r="DP116" s="1223">
        <f>$G116*AU116*Variables!$B$53*HLOOKUP($DM$2,Variables!$B$60:$F$61,2,FALSE)</f>
        <v>0</v>
      </c>
      <c r="DQ116" s="1223">
        <f>$G116*AV116*Variables!$B$53*HLOOKUP($DM$2,Variables!$B$60:$F$61,2,FALSE)</f>
        <v>0</v>
      </c>
      <c r="DR116" s="1223">
        <f>$G116*AW116*Variables!$B$53*HLOOKUP($DM$2,Variables!$B$60:$F$61,2,FALSE)</f>
        <v>0</v>
      </c>
      <c r="DS116" s="1223">
        <f>$G116*AX116*Variables!$B$53*HLOOKUP($DM$2,Variables!$B$60:$F$61,2,FALSE)</f>
        <v>0</v>
      </c>
      <c r="DT116" s="1223">
        <f>$G116*AY116*Variables!$B$53*HLOOKUP($DM$2,Variables!$B$60:$F$61,2,FALSE)</f>
        <v>0</v>
      </c>
      <c r="DU116" s="1223">
        <f>$G116*AZ116*Variables!$B$53*HLOOKUP($DM$2,Variables!$B$60:$F$61,2,FALSE)</f>
        <v>0</v>
      </c>
      <c r="DV116" s="1223">
        <f>$G116*BA116*Variables!$B$53*HLOOKUP($DM$2,Variables!$B$60:$F$61,2,FALSE)</f>
        <v>0</v>
      </c>
      <c r="DW116" s="1223">
        <f>$G116*BB116*Variables!$B$53*HLOOKUP($DM$2,Variables!$B$60:$F$61,2,FALSE)</f>
        <v>0</v>
      </c>
      <c r="DX116" s="1225">
        <f>$G116*BC116*Variables!$B$53*HLOOKUP($DM$2,Variables!$B$60:$F$61,2,FALSE)</f>
        <v>0</v>
      </c>
      <c r="DY116" s="1222">
        <f>$G116*BD116*Variables!$B$53*HLOOKUP($DY$2,Variables!$B$60:$F$61,2,FALSE)</f>
        <v>0</v>
      </c>
      <c r="DZ116" s="1223">
        <f>$G116*BE116*Variables!$B$53*HLOOKUP($DY$2,Variables!$B$60:$F$61,2,FALSE)</f>
        <v>0</v>
      </c>
      <c r="EA116" s="1223">
        <f>$G116*BF116*Variables!$B$53*HLOOKUP($DY$2,Variables!$B$60:$F$61,2,FALSE)</f>
        <v>0</v>
      </c>
      <c r="EB116" s="1223">
        <f>$G116*BG116*Variables!$B$53*HLOOKUP($DY$2,Variables!$B$60:$F$61,2,FALSE)</f>
        <v>0</v>
      </c>
      <c r="EC116" s="1223">
        <f>$G116*BH116*Variables!$B$53*HLOOKUP($DY$2,Variables!$B$60:$F$61,2,FALSE)</f>
        <v>0</v>
      </c>
      <c r="ED116" s="1223">
        <f>$G116*BI116*Variables!$B$53*HLOOKUP($DY$2,Variables!$B$60:$F$61,2,FALSE)</f>
        <v>0</v>
      </c>
      <c r="EE116" s="1223">
        <f>$G116*BJ116*Variables!$B$53*HLOOKUP($DY$2,Variables!$B$60:$F$61,2,FALSE)</f>
        <v>0</v>
      </c>
      <c r="EF116" s="1223">
        <f>$G116*BK116*Variables!$B$53*HLOOKUP($DY$2,Variables!$B$60:$F$61,2,FALSE)</f>
        <v>0</v>
      </c>
      <c r="EG116" s="1223">
        <f>$G116*BL116*Variables!$B$53*HLOOKUP($DY$2,Variables!$B$60:$F$61,2,FALSE)</f>
        <v>0</v>
      </c>
      <c r="EH116" s="1223">
        <f>$G116*BM116*Variables!$B$53*HLOOKUP($DY$2,Variables!$B$60:$F$61,2,FALSE)</f>
        <v>0</v>
      </c>
      <c r="EI116" s="1223">
        <f>$G116*BN116*Variables!$B$53*HLOOKUP($DY$2,Variables!$B$60:$F$61,2,FALSE)</f>
        <v>0</v>
      </c>
      <c r="EJ116" s="1225">
        <f>$G116*BO116*Variables!$B$53*HLOOKUP($DY$2,Variables!$B$60:$F$61,2,FALSE)</f>
        <v>0</v>
      </c>
      <c r="EK116" s="1222">
        <f>$G116*BP116*Variables!$B$53*HLOOKUP($EK$2,Variables!$B$60:$F$61,2,FALSE)</f>
        <v>0</v>
      </c>
      <c r="EL116" s="1223">
        <f>$G116*BQ116*Variables!$B$53*HLOOKUP($EK$2,Variables!$B$60:$F$61,2,FALSE)</f>
        <v>0</v>
      </c>
      <c r="EM116" s="1223">
        <f>$G116*BR116*Variables!$B$53*HLOOKUP($EK$2,Variables!$B$60:$F$61,2,FALSE)</f>
        <v>0</v>
      </c>
      <c r="EN116" s="1223">
        <f>$G116*BS116*Variables!$B$53*HLOOKUP($EK$2,Variables!$B$60:$F$61,2,FALSE)</f>
        <v>0</v>
      </c>
      <c r="EO116" s="1223">
        <f>$G116*BT116*Variables!$B$53*HLOOKUP($EK$2,Variables!$B$60:$F$61,2,FALSE)</f>
        <v>0</v>
      </c>
      <c r="EP116" s="1223">
        <f>$G116*BU116*Variables!$B$53*HLOOKUP($EK$2,Variables!$B$60:$F$61,2,FALSE)</f>
        <v>0</v>
      </c>
      <c r="EQ116" s="1223">
        <f>$G116*BV116*Variables!$B$53*HLOOKUP($EK$2,Variables!$B$60:$F$61,2,FALSE)</f>
        <v>0</v>
      </c>
      <c r="ER116" s="1223">
        <f>$G116*BW116*Variables!$B$53*HLOOKUP($EK$2,Variables!$B$60:$F$61,2,FALSE)</f>
        <v>0</v>
      </c>
      <c r="ES116" s="1223">
        <f>$G116*BX116*Variables!$B$53*HLOOKUP($EK$2,Variables!$B$60:$F$61,2,FALSE)</f>
        <v>0</v>
      </c>
      <c r="ET116" s="1223">
        <f>$G116*BY116*Variables!$B$53*HLOOKUP($EK$2,Variables!$B$60:$F$61,2,FALSE)</f>
        <v>0</v>
      </c>
      <c r="EU116" s="1223">
        <f>$G116*BZ116*Variables!$B$53*HLOOKUP($EK$2,Variables!$B$60:$F$61,2,FALSE)</f>
        <v>0</v>
      </c>
      <c r="EV116" s="1225">
        <f>$G116*CA116*Variables!$B$53*HLOOKUP($EK$2,Variables!$B$60:$F$61,2,FALSE)</f>
        <v>0</v>
      </c>
      <c r="EW116" s="872">
        <f t="shared" si="15"/>
        <v>0</v>
      </c>
      <c r="EX116" s="872"/>
      <c r="EY116" s="872"/>
      <c r="EZ116" s="872"/>
      <c r="FA116" s="1332"/>
      <c r="FC116" s="958" t="str">
        <f t="shared" si="16"/>
        <v/>
      </c>
      <c r="FD116" s="959" t="str">
        <f t="shared" si="17"/>
        <v/>
      </c>
      <c r="FE116" s="959" t="s">
        <v>8407</v>
      </c>
      <c r="FF116" s="959" t="str">
        <f>IF(ISNA(VLOOKUP(FC116,Miscellaneous!E:F,2,0)),"",VLOOKUP(FC116,Miscellaneous!E:F,2,0))</f>
        <v/>
      </c>
      <c r="FG116" s="959" t="str">
        <f t="shared" si="18"/>
        <v/>
      </c>
      <c r="FH116" s="996">
        <f>IF($FG116="Opex",SUMIF('Monthly Summary'!$C$75:$N$75,"",CC116:CN116),SUMIF('Monthly Summary'!$C$74:$N$74,"",CC116:CN116))</f>
        <v>0</v>
      </c>
      <c r="FI116" s="996">
        <f>IF($FG116="Opex",SUMIF('Monthly Summary'!$O$75:$Z$75,"",CO116:CZ116),SUMIF('Monthly Summary'!$O$74:$Z$74,"",CO116:CZ116))</f>
        <v>0</v>
      </c>
      <c r="FJ116" s="996">
        <f>IF($FG116="Opex",SUMIF('Monthly Summary'!$AA$75:$AL$75,"",DA116:DL116),SUMIF('Monthly Summary'!$AA$74:$AL$74,"",DA116:DL116))</f>
        <v>0</v>
      </c>
      <c r="FK116" s="996">
        <f>IF($FG116="Opex",SUMIF('Monthly Summary'!$AM$75:$AX$75,"",DM116:DX116),SUMIF('Monthly Summary'!$AM$74:$AX$74,"",DM116:DX116))</f>
        <v>0</v>
      </c>
      <c r="FL116" s="996">
        <f>IF($FG116="Opex",SUMIF('Monthly Summary'!$AY$75:$BJ$75,"",DY116:EJ116),SUMIF('Monthly Summary'!$AY$74:$BJ$74,"",DY116:EJ116))</f>
        <v>0</v>
      </c>
      <c r="FM116" s="997">
        <f>IF($FG116="Opex",SUMIF('Monthly Summary'!$BK$75:$BV$75,"",EK116:EV116),SUMIF('Monthly Summary'!$BK$74:$BV$74,"",EK116:EV116))</f>
        <v>0</v>
      </c>
      <c r="FN116" s="997">
        <f t="shared" si="14"/>
        <v>0</v>
      </c>
    </row>
    <row r="117" spans="3:170">
      <c r="C117" s="757"/>
      <c r="D117" s="757"/>
      <c r="E117" s="758"/>
      <c r="F117" s="758"/>
      <c r="G117" s="758"/>
      <c r="H117" s="1215"/>
      <c r="I117" s="761"/>
      <c r="J117" s="761"/>
      <c r="K117" s="761"/>
      <c r="L117" s="761"/>
      <c r="M117" s="761"/>
      <c r="N117" s="761"/>
      <c r="O117" s="761"/>
      <c r="P117" s="761"/>
      <c r="Q117" s="761"/>
      <c r="R117" s="761"/>
      <c r="S117" s="1216"/>
      <c r="T117" s="1215"/>
      <c r="U117" s="761"/>
      <c r="V117" s="761"/>
      <c r="W117" s="761"/>
      <c r="X117" s="761"/>
      <c r="Y117" s="761"/>
      <c r="Z117" s="761"/>
      <c r="AA117" s="761"/>
      <c r="AB117" s="761"/>
      <c r="AC117" s="761"/>
      <c r="AD117" s="761"/>
      <c r="AE117" s="1216"/>
      <c r="AF117" s="1215"/>
      <c r="AG117" s="761"/>
      <c r="AH117" s="761"/>
      <c r="AI117" s="761"/>
      <c r="AJ117" s="761"/>
      <c r="AK117" s="761"/>
      <c r="AL117" s="761"/>
      <c r="AM117" s="761"/>
      <c r="AN117" s="761"/>
      <c r="AO117" s="761"/>
      <c r="AP117" s="761"/>
      <c r="AQ117" s="1216"/>
      <c r="AR117" s="1215"/>
      <c r="AS117" s="761"/>
      <c r="AT117" s="761"/>
      <c r="AU117" s="761"/>
      <c r="AV117" s="761"/>
      <c r="AW117" s="761"/>
      <c r="AX117" s="761"/>
      <c r="AY117" s="761"/>
      <c r="AZ117" s="761"/>
      <c r="BA117" s="761"/>
      <c r="BB117" s="761"/>
      <c r="BC117" s="1216"/>
      <c r="BD117" s="1215"/>
      <c r="BE117" s="761"/>
      <c r="BF117" s="761"/>
      <c r="BG117" s="761"/>
      <c r="BH117" s="761"/>
      <c r="BI117" s="761"/>
      <c r="BJ117" s="761"/>
      <c r="BK117" s="761"/>
      <c r="BL117" s="761"/>
      <c r="BM117" s="761"/>
      <c r="BN117" s="761"/>
      <c r="BO117" s="1216"/>
      <c r="BP117" s="1215"/>
      <c r="BQ117" s="761"/>
      <c r="BR117" s="761"/>
      <c r="BS117" s="761"/>
      <c r="BT117" s="761"/>
      <c r="BU117" s="761"/>
      <c r="BV117" s="761"/>
      <c r="BW117" s="761"/>
      <c r="BX117" s="761"/>
      <c r="BY117" s="761"/>
      <c r="BZ117" s="761"/>
      <c r="CA117" s="1216"/>
      <c r="CB117" s="747"/>
      <c r="CC117" s="1222">
        <f>$G117*H117*Variables!$B$53</f>
        <v>0</v>
      </c>
      <c r="CD117" s="1223">
        <f>$G117*I117*Variables!$B$53</f>
        <v>0</v>
      </c>
      <c r="CE117" s="1223">
        <f>$G117*J117*Variables!$B$53</f>
        <v>0</v>
      </c>
      <c r="CF117" s="1223">
        <f>$G117*K117*Variables!$B$53</f>
        <v>0</v>
      </c>
      <c r="CG117" s="1223">
        <f>$G117*L117*Variables!$B$53</f>
        <v>0</v>
      </c>
      <c r="CH117" s="1223">
        <f>$G117*M117*Variables!$B$53</f>
        <v>0</v>
      </c>
      <c r="CI117" s="1223">
        <f>$G117*N117*Variables!$B$53</f>
        <v>0</v>
      </c>
      <c r="CJ117" s="1223">
        <f>$G117*O117*Variables!$B$53</f>
        <v>0</v>
      </c>
      <c r="CK117" s="1223">
        <f>$G117*P117*Variables!$B$53</f>
        <v>0</v>
      </c>
      <c r="CL117" s="1223">
        <f>$G117*Q117*Variables!$B$53</f>
        <v>0</v>
      </c>
      <c r="CM117" s="1223">
        <f>$G117*R117*Variables!$B$53</f>
        <v>0</v>
      </c>
      <c r="CN117" s="1225">
        <f>$G117*S117*Variables!$B$53</f>
        <v>0</v>
      </c>
      <c r="CO117" s="1222">
        <f>$G117*T117*Variables!$B$53*HLOOKUP($CO$2,Variables!$B$60:$F$61,2,FALSE)</f>
        <v>0</v>
      </c>
      <c r="CP117" s="1223">
        <f>$G117*U117*Variables!$B$53*HLOOKUP($CO$2,Variables!$B$60:$F$61,2,FALSE)</f>
        <v>0</v>
      </c>
      <c r="CQ117" s="1223">
        <f>$G117*V117*Variables!$B$53*HLOOKUP($CO$2,Variables!$B$60:$F$61,2,FALSE)</f>
        <v>0</v>
      </c>
      <c r="CR117" s="1223">
        <f>$G117*W117*Variables!$B$53*HLOOKUP($CO$2,Variables!$B$60:$F$61,2,FALSE)</f>
        <v>0</v>
      </c>
      <c r="CS117" s="1223">
        <f>$G117*X117*Variables!$B$53*HLOOKUP($CO$2,Variables!$B$60:$F$61,2,FALSE)</f>
        <v>0</v>
      </c>
      <c r="CT117" s="1223">
        <f>$G117*Y117*Variables!$B$53*HLOOKUP($CO$2,Variables!$B$60:$F$61,2,FALSE)</f>
        <v>0</v>
      </c>
      <c r="CU117" s="1223">
        <f>$G117*Z117*Variables!$B$53*HLOOKUP($CO$2,Variables!$B$60:$F$61,2,FALSE)</f>
        <v>0</v>
      </c>
      <c r="CV117" s="1223">
        <f>$G117*AA117*Variables!$B$53*HLOOKUP($CO$2,Variables!$B$60:$F$61,2,FALSE)</f>
        <v>0</v>
      </c>
      <c r="CW117" s="1223">
        <f>$G117*AB117*Variables!$B$53*HLOOKUP($CO$2,Variables!$B$60:$F$61,2,FALSE)</f>
        <v>0</v>
      </c>
      <c r="CX117" s="1223">
        <f>$G117*AC117*Variables!$B$53*HLOOKUP($CO$2,Variables!$B$60:$F$61,2,FALSE)</f>
        <v>0</v>
      </c>
      <c r="CY117" s="1223">
        <f>$G117*AD117*Variables!$B$53*HLOOKUP($CO$2,Variables!$B$60:$F$61,2,FALSE)</f>
        <v>0</v>
      </c>
      <c r="CZ117" s="1225">
        <f>$G117*AE117*Variables!$B$53*HLOOKUP($CO$2,Variables!$B$60:$F$61,2,FALSE)</f>
        <v>0</v>
      </c>
      <c r="DA117" s="1222">
        <f>$G117*AF117*Variables!$B$53*HLOOKUP($DA$2,Variables!$B$60:$F$61,2,FALSE)</f>
        <v>0</v>
      </c>
      <c r="DB117" s="1223">
        <f>$G117*AG117*Variables!$B$53*HLOOKUP($DA$2,Variables!$B$60:$F$61,2,FALSE)</f>
        <v>0</v>
      </c>
      <c r="DC117" s="1223">
        <f>$G117*AH117*Variables!$B$53*HLOOKUP($DA$2,Variables!$B$60:$F$61,2,FALSE)</f>
        <v>0</v>
      </c>
      <c r="DD117" s="1223">
        <f>$G117*AI117*Variables!$B$53*HLOOKUP($DA$2,Variables!$B$60:$F$61,2,FALSE)</f>
        <v>0</v>
      </c>
      <c r="DE117" s="1223">
        <f>$G117*AJ117*Variables!$B$53*HLOOKUP($DA$2,Variables!$B$60:$F$61,2,FALSE)</f>
        <v>0</v>
      </c>
      <c r="DF117" s="1223">
        <f>$G117*AK117*Variables!$B$53*HLOOKUP($DA$2,Variables!$B$60:$F$61,2,FALSE)</f>
        <v>0</v>
      </c>
      <c r="DG117" s="1223">
        <f>$G117*AL117*Variables!$B$53*HLOOKUP($DA$2,Variables!$B$60:$F$61,2,FALSE)</f>
        <v>0</v>
      </c>
      <c r="DH117" s="1223">
        <f>$G117*AM117*Variables!$B$53*HLOOKUP($DA$2,Variables!$B$60:$F$61,2,FALSE)</f>
        <v>0</v>
      </c>
      <c r="DI117" s="1223">
        <f>$G117*AN117*Variables!$B$53*HLOOKUP($DA$2,Variables!$B$60:$F$61,2,FALSE)</f>
        <v>0</v>
      </c>
      <c r="DJ117" s="1223">
        <f>$G117*AO117*Variables!$B$53*HLOOKUP($DA$2,Variables!$B$60:$F$61,2,FALSE)</f>
        <v>0</v>
      </c>
      <c r="DK117" s="1223">
        <f>$G117*AP117*Variables!$B$53*HLOOKUP($DA$2,Variables!$B$60:$F$61,2,FALSE)</f>
        <v>0</v>
      </c>
      <c r="DL117" s="1225">
        <f>$G117*AQ117*Variables!$B$53*HLOOKUP($DA$2,Variables!$B$60:$F$61,2,FALSE)</f>
        <v>0</v>
      </c>
      <c r="DM117" s="1222">
        <f>$G117*AR117*Variables!$B$53*HLOOKUP($DM$2,Variables!$B$60:$F$61,2,FALSE)</f>
        <v>0</v>
      </c>
      <c r="DN117" s="1223">
        <f>$G117*AS117*Variables!$B$53*HLOOKUP($DM$2,Variables!$B$60:$F$61,2,FALSE)</f>
        <v>0</v>
      </c>
      <c r="DO117" s="1223">
        <f>$G117*AT117*Variables!$B$53*HLOOKUP($DM$2,Variables!$B$60:$F$61,2,FALSE)</f>
        <v>0</v>
      </c>
      <c r="DP117" s="1223">
        <f>$G117*AU117*Variables!$B$53*HLOOKUP($DM$2,Variables!$B$60:$F$61,2,FALSE)</f>
        <v>0</v>
      </c>
      <c r="DQ117" s="1223">
        <f>$G117*AV117*Variables!$B$53*HLOOKUP($DM$2,Variables!$B$60:$F$61,2,FALSE)</f>
        <v>0</v>
      </c>
      <c r="DR117" s="1223">
        <f>$G117*AW117*Variables!$B$53*HLOOKUP($DM$2,Variables!$B$60:$F$61,2,FALSE)</f>
        <v>0</v>
      </c>
      <c r="DS117" s="1223">
        <f>$G117*AX117*Variables!$B$53*HLOOKUP($DM$2,Variables!$B$60:$F$61,2,FALSE)</f>
        <v>0</v>
      </c>
      <c r="DT117" s="1223">
        <f>$G117*AY117*Variables!$B$53*HLOOKUP($DM$2,Variables!$B$60:$F$61,2,FALSE)</f>
        <v>0</v>
      </c>
      <c r="DU117" s="1223">
        <f>$G117*AZ117*Variables!$B$53*HLOOKUP($DM$2,Variables!$B$60:$F$61,2,FALSE)</f>
        <v>0</v>
      </c>
      <c r="DV117" s="1223">
        <f>$G117*BA117*Variables!$B$53*HLOOKUP($DM$2,Variables!$B$60:$F$61,2,FALSE)</f>
        <v>0</v>
      </c>
      <c r="DW117" s="1223">
        <f>$G117*BB117*Variables!$B$53*HLOOKUP($DM$2,Variables!$B$60:$F$61,2,FALSE)</f>
        <v>0</v>
      </c>
      <c r="DX117" s="1225">
        <f>$G117*BC117*Variables!$B$53*HLOOKUP($DM$2,Variables!$B$60:$F$61,2,FALSE)</f>
        <v>0</v>
      </c>
      <c r="DY117" s="1222">
        <f>$G117*BD117*Variables!$B$53*HLOOKUP($DY$2,Variables!$B$60:$F$61,2,FALSE)</f>
        <v>0</v>
      </c>
      <c r="DZ117" s="1223">
        <f>$G117*BE117*Variables!$B$53*HLOOKUP($DY$2,Variables!$B$60:$F$61,2,FALSE)</f>
        <v>0</v>
      </c>
      <c r="EA117" s="1223">
        <f>$G117*BF117*Variables!$B$53*HLOOKUP($DY$2,Variables!$B$60:$F$61,2,FALSE)</f>
        <v>0</v>
      </c>
      <c r="EB117" s="1223">
        <f>$G117*BG117*Variables!$B$53*HLOOKUP($DY$2,Variables!$B$60:$F$61,2,FALSE)</f>
        <v>0</v>
      </c>
      <c r="EC117" s="1223">
        <f>$G117*BH117*Variables!$B$53*HLOOKUP($DY$2,Variables!$B$60:$F$61,2,FALSE)</f>
        <v>0</v>
      </c>
      <c r="ED117" s="1223">
        <f>$G117*BI117*Variables!$B$53*HLOOKUP($DY$2,Variables!$B$60:$F$61,2,FALSE)</f>
        <v>0</v>
      </c>
      <c r="EE117" s="1223">
        <f>$G117*BJ117*Variables!$B$53*HLOOKUP($DY$2,Variables!$B$60:$F$61,2,FALSE)</f>
        <v>0</v>
      </c>
      <c r="EF117" s="1223">
        <f>$G117*BK117*Variables!$B$53*HLOOKUP($DY$2,Variables!$B$60:$F$61,2,FALSE)</f>
        <v>0</v>
      </c>
      <c r="EG117" s="1223">
        <f>$G117*BL117*Variables!$B$53*HLOOKUP($DY$2,Variables!$B$60:$F$61,2,FALSE)</f>
        <v>0</v>
      </c>
      <c r="EH117" s="1223">
        <f>$G117*BM117*Variables!$B$53*HLOOKUP($DY$2,Variables!$B$60:$F$61,2,FALSE)</f>
        <v>0</v>
      </c>
      <c r="EI117" s="1223">
        <f>$G117*BN117*Variables!$B$53*HLOOKUP($DY$2,Variables!$B$60:$F$61,2,FALSE)</f>
        <v>0</v>
      </c>
      <c r="EJ117" s="1225">
        <f>$G117*BO117*Variables!$B$53*HLOOKUP($DY$2,Variables!$B$60:$F$61,2,FALSE)</f>
        <v>0</v>
      </c>
      <c r="EK117" s="1222">
        <f>$G117*BP117*Variables!$B$53*HLOOKUP($EK$2,Variables!$B$60:$F$61,2,FALSE)</f>
        <v>0</v>
      </c>
      <c r="EL117" s="1223">
        <f>$G117*BQ117*Variables!$B$53*HLOOKUP($EK$2,Variables!$B$60:$F$61,2,FALSE)</f>
        <v>0</v>
      </c>
      <c r="EM117" s="1223">
        <f>$G117*BR117*Variables!$B$53*HLOOKUP($EK$2,Variables!$B$60:$F$61,2,FALSE)</f>
        <v>0</v>
      </c>
      <c r="EN117" s="1223">
        <f>$G117*BS117*Variables!$B$53*HLOOKUP($EK$2,Variables!$B$60:$F$61,2,FALSE)</f>
        <v>0</v>
      </c>
      <c r="EO117" s="1223">
        <f>$G117*BT117*Variables!$B$53*HLOOKUP($EK$2,Variables!$B$60:$F$61,2,FALSE)</f>
        <v>0</v>
      </c>
      <c r="EP117" s="1223">
        <f>$G117*BU117*Variables!$B$53*HLOOKUP($EK$2,Variables!$B$60:$F$61,2,FALSE)</f>
        <v>0</v>
      </c>
      <c r="EQ117" s="1223">
        <f>$G117*BV117*Variables!$B$53*HLOOKUP($EK$2,Variables!$B$60:$F$61,2,FALSE)</f>
        <v>0</v>
      </c>
      <c r="ER117" s="1223">
        <f>$G117*BW117*Variables!$B$53*HLOOKUP($EK$2,Variables!$B$60:$F$61,2,FALSE)</f>
        <v>0</v>
      </c>
      <c r="ES117" s="1223">
        <f>$G117*BX117*Variables!$B$53*HLOOKUP($EK$2,Variables!$B$60:$F$61,2,FALSE)</f>
        <v>0</v>
      </c>
      <c r="ET117" s="1223">
        <f>$G117*BY117*Variables!$B$53*HLOOKUP($EK$2,Variables!$B$60:$F$61,2,FALSE)</f>
        <v>0</v>
      </c>
      <c r="EU117" s="1223">
        <f>$G117*BZ117*Variables!$B$53*HLOOKUP($EK$2,Variables!$B$60:$F$61,2,FALSE)</f>
        <v>0</v>
      </c>
      <c r="EV117" s="1225">
        <f>$G117*CA117*Variables!$B$53*HLOOKUP($EK$2,Variables!$B$60:$F$61,2,FALSE)</f>
        <v>0</v>
      </c>
      <c r="EW117" s="872">
        <f t="shared" si="15"/>
        <v>0</v>
      </c>
      <c r="EX117" s="872"/>
      <c r="EY117" s="872"/>
      <c r="EZ117" s="872"/>
      <c r="FA117" s="1332"/>
      <c r="FC117" s="958" t="str">
        <f t="shared" si="16"/>
        <v/>
      </c>
      <c r="FD117" s="959" t="str">
        <f t="shared" si="17"/>
        <v/>
      </c>
      <c r="FE117" s="959" t="s">
        <v>8407</v>
      </c>
      <c r="FF117" s="959" t="str">
        <f>IF(ISNA(VLOOKUP(FC117,Miscellaneous!E:F,2,0)),"",VLOOKUP(FC117,Miscellaneous!E:F,2,0))</f>
        <v/>
      </c>
      <c r="FG117" s="959" t="str">
        <f t="shared" si="18"/>
        <v/>
      </c>
      <c r="FH117" s="996">
        <f>IF($FG117="Opex",SUMIF('Monthly Summary'!$C$75:$N$75,"",CC117:CN117),SUMIF('Monthly Summary'!$C$74:$N$74,"",CC117:CN117))</f>
        <v>0</v>
      </c>
      <c r="FI117" s="996">
        <f>IF($FG117="Opex",SUMIF('Monthly Summary'!$O$75:$Z$75,"",CO117:CZ117),SUMIF('Monthly Summary'!$O$74:$Z$74,"",CO117:CZ117))</f>
        <v>0</v>
      </c>
      <c r="FJ117" s="996">
        <f>IF($FG117="Opex",SUMIF('Monthly Summary'!$AA$75:$AL$75,"",DA117:DL117),SUMIF('Monthly Summary'!$AA$74:$AL$74,"",DA117:DL117))</f>
        <v>0</v>
      </c>
      <c r="FK117" s="996">
        <f>IF($FG117="Opex",SUMIF('Monthly Summary'!$AM$75:$AX$75,"",DM117:DX117),SUMIF('Monthly Summary'!$AM$74:$AX$74,"",DM117:DX117))</f>
        <v>0</v>
      </c>
      <c r="FL117" s="996">
        <f>IF($FG117="Opex",SUMIF('Monthly Summary'!$AY$75:$BJ$75,"",DY117:EJ117),SUMIF('Monthly Summary'!$AY$74:$BJ$74,"",DY117:EJ117))</f>
        <v>0</v>
      </c>
      <c r="FM117" s="997">
        <f>IF($FG117="Opex",SUMIF('Monthly Summary'!$BK$75:$BV$75,"",EK117:EV117),SUMIF('Monthly Summary'!$BK$74:$BV$74,"",EK117:EV117))</f>
        <v>0</v>
      </c>
      <c r="FN117" s="997">
        <f t="shared" si="14"/>
        <v>0</v>
      </c>
    </row>
    <row r="118" spans="3:170">
      <c r="C118" s="757"/>
      <c r="D118" s="757"/>
      <c r="E118" s="758"/>
      <c r="F118" s="758"/>
      <c r="G118" s="758"/>
      <c r="H118" s="1215"/>
      <c r="I118" s="761"/>
      <c r="J118" s="761"/>
      <c r="K118" s="761"/>
      <c r="L118" s="761"/>
      <c r="M118" s="761"/>
      <c r="N118" s="761"/>
      <c r="O118" s="761"/>
      <c r="P118" s="761"/>
      <c r="Q118" s="761"/>
      <c r="R118" s="761"/>
      <c r="S118" s="1216"/>
      <c r="T118" s="1215"/>
      <c r="U118" s="761"/>
      <c r="V118" s="761"/>
      <c r="W118" s="761"/>
      <c r="X118" s="761"/>
      <c r="Y118" s="761"/>
      <c r="Z118" s="761"/>
      <c r="AA118" s="761"/>
      <c r="AB118" s="761"/>
      <c r="AC118" s="761"/>
      <c r="AD118" s="761"/>
      <c r="AE118" s="1216"/>
      <c r="AF118" s="1215"/>
      <c r="AG118" s="761"/>
      <c r="AH118" s="761"/>
      <c r="AI118" s="761"/>
      <c r="AJ118" s="761"/>
      <c r="AK118" s="761"/>
      <c r="AL118" s="761"/>
      <c r="AM118" s="761"/>
      <c r="AN118" s="761"/>
      <c r="AO118" s="761"/>
      <c r="AP118" s="761"/>
      <c r="AQ118" s="1216"/>
      <c r="AR118" s="1215"/>
      <c r="AS118" s="761"/>
      <c r="AT118" s="761"/>
      <c r="AU118" s="761"/>
      <c r="AV118" s="761"/>
      <c r="AW118" s="761"/>
      <c r="AX118" s="761"/>
      <c r="AY118" s="761"/>
      <c r="AZ118" s="761"/>
      <c r="BA118" s="761"/>
      <c r="BB118" s="761"/>
      <c r="BC118" s="1216"/>
      <c r="BD118" s="1215"/>
      <c r="BE118" s="761"/>
      <c r="BF118" s="761"/>
      <c r="BG118" s="761"/>
      <c r="BH118" s="761"/>
      <c r="BI118" s="761"/>
      <c r="BJ118" s="761"/>
      <c r="BK118" s="761"/>
      <c r="BL118" s="761"/>
      <c r="BM118" s="761"/>
      <c r="BN118" s="761"/>
      <c r="BO118" s="1216"/>
      <c r="BP118" s="1215"/>
      <c r="BQ118" s="761"/>
      <c r="BR118" s="761"/>
      <c r="BS118" s="761"/>
      <c r="BT118" s="761"/>
      <c r="BU118" s="761"/>
      <c r="BV118" s="761"/>
      <c r="BW118" s="761"/>
      <c r="BX118" s="761"/>
      <c r="BY118" s="761"/>
      <c r="BZ118" s="761"/>
      <c r="CA118" s="1216"/>
      <c r="CB118" s="747"/>
      <c r="CC118" s="1222">
        <f>$G118*H118*Variables!$B$53</f>
        <v>0</v>
      </c>
      <c r="CD118" s="1223">
        <f>$G118*I118*Variables!$B$53</f>
        <v>0</v>
      </c>
      <c r="CE118" s="1223">
        <f>$G118*J118*Variables!$B$53</f>
        <v>0</v>
      </c>
      <c r="CF118" s="1223">
        <f>$G118*K118*Variables!$B$53</f>
        <v>0</v>
      </c>
      <c r="CG118" s="1223">
        <f>$G118*L118*Variables!$B$53</f>
        <v>0</v>
      </c>
      <c r="CH118" s="1223">
        <f>$G118*M118*Variables!$B$53</f>
        <v>0</v>
      </c>
      <c r="CI118" s="1223">
        <f>$G118*N118*Variables!$B$53</f>
        <v>0</v>
      </c>
      <c r="CJ118" s="1223">
        <f>$G118*O118*Variables!$B$53</f>
        <v>0</v>
      </c>
      <c r="CK118" s="1223">
        <f>$G118*P118*Variables!$B$53</f>
        <v>0</v>
      </c>
      <c r="CL118" s="1223">
        <f>$G118*Q118*Variables!$B$53</f>
        <v>0</v>
      </c>
      <c r="CM118" s="1223">
        <f>$G118*R118*Variables!$B$53</f>
        <v>0</v>
      </c>
      <c r="CN118" s="1225">
        <f>$G118*S118*Variables!$B$53</f>
        <v>0</v>
      </c>
      <c r="CO118" s="1222">
        <f>$G118*T118*Variables!$B$53*HLOOKUP($CO$2,Variables!$B$60:$F$61,2,FALSE)</f>
        <v>0</v>
      </c>
      <c r="CP118" s="1223">
        <f>$G118*U118*Variables!$B$53*HLOOKUP($CO$2,Variables!$B$60:$F$61,2,FALSE)</f>
        <v>0</v>
      </c>
      <c r="CQ118" s="1223">
        <f>$G118*V118*Variables!$B$53*HLOOKUP($CO$2,Variables!$B$60:$F$61,2,FALSE)</f>
        <v>0</v>
      </c>
      <c r="CR118" s="1223">
        <f>$G118*W118*Variables!$B$53*HLOOKUP($CO$2,Variables!$B$60:$F$61,2,FALSE)</f>
        <v>0</v>
      </c>
      <c r="CS118" s="1223">
        <f>$G118*X118*Variables!$B$53*HLOOKUP($CO$2,Variables!$B$60:$F$61,2,FALSE)</f>
        <v>0</v>
      </c>
      <c r="CT118" s="1223">
        <f>$G118*Y118*Variables!$B$53*HLOOKUP($CO$2,Variables!$B$60:$F$61,2,FALSE)</f>
        <v>0</v>
      </c>
      <c r="CU118" s="1223">
        <f>$G118*Z118*Variables!$B$53*HLOOKUP($CO$2,Variables!$B$60:$F$61,2,FALSE)</f>
        <v>0</v>
      </c>
      <c r="CV118" s="1223">
        <f>$G118*AA118*Variables!$B$53*HLOOKUP($CO$2,Variables!$B$60:$F$61,2,FALSE)</f>
        <v>0</v>
      </c>
      <c r="CW118" s="1223">
        <f>$G118*AB118*Variables!$B$53*HLOOKUP($CO$2,Variables!$B$60:$F$61,2,FALSE)</f>
        <v>0</v>
      </c>
      <c r="CX118" s="1223">
        <f>$G118*AC118*Variables!$B$53*HLOOKUP($CO$2,Variables!$B$60:$F$61,2,FALSE)</f>
        <v>0</v>
      </c>
      <c r="CY118" s="1223">
        <f>$G118*AD118*Variables!$B$53*HLOOKUP($CO$2,Variables!$B$60:$F$61,2,FALSE)</f>
        <v>0</v>
      </c>
      <c r="CZ118" s="1225">
        <f>$G118*AE118*Variables!$B$53*HLOOKUP($CO$2,Variables!$B$60:$F$61,2,FALSE)</f>
        <v>0</v>
      </c>
      <c r="DA118" s="1222">
        <f>$G118*AF118*Variables!$B$53*HLOOKUP($DA$2,Variables!$B$60:$F$61,2,FALSE)</f>
        <v>0</v>
      </c>
      <c r="DB118" s="1223">
        <f>$G118*AG118*Variables!$B$53*HLOOKUP($DA$2,Variables!$B$60:$F$61,2,FALSE)</f>
        <v>0</v>
      </c>
      <c r="DC118" s="1223">
        <f>$G118*AH118*Variables!$B$53*HLOOKUP($DA$2,Variables!$B$60:$F$61,2,FALSE)</f>
        <v>0</v>
      </c>
      <c r="DD118" s="1223">
        <f>$G118*AI118*Variables!$B$53*HLOOKUP($DA$2,Variables!$B$60:$F$61,2,FALSE)</f>
        <v>0</v>
      </c>
      <c r="DE118" s="1223">
        <f>$G118*AJ118*Variables!$B$53*HLOOKUP($DA$2,Variables!$B$60:$F$61,2,FALSE)</f>
        <v>0</v>
      </c>
      <c r="DF118" s="1223">
        <f>$G118*AK118*Variables!$B$53*HLOOKUP($DA$2,Variables!$B$60:$F$61,2,FALSE)</f>
        <v>0</v>
      </c>
      <c r="DG118" s="1223">
        <f>$G118*AL118*Variables!$B$53*HLOOKUP($DA$2,Variables!$B$60:$F$61,2,FALSE)</f>
        <v>0</v>
      </c>
      <c r="DH118" s="1223">
        <f>$G118*AM118*Variables!$B$53*HLOOKUP($DA$2,Variables!$B$60:$F$61,2,FALSE)</f>
        <v>0</v>
      </c>
      <c r="DI118" s="1223">
        <f>$G118*AN118*Variables!$B$53*HLOOKUP($DA$2,Variables!$B$60:$F$61,2,FALSE)</f>
        <v>0</v>
      </c>
      <c r="DJ118" s="1223">
        <f>$G118*AO118*Variables!$B$53*HLOOKUP($DA$2,Variables!$B$60:$F$61,2,FALSE)</f>
        <v>0</v>
      </c>
      <c r="DK118" s="1223">
        <f>$G118*AP118*Variables!$B$53*HLOOKUP($DA$2,Variables!$B$60:$F$61,2,FALSE)</f>
        <v>0</v>
      </c>
      <c r="DL118" s="1225">
        <f>$G118*AQ118*Variables!$B$53*HLOOKUP($DA$2,Variables!$B$60:$F$61,2,FALSE)</f>
        <v>0</v>
      </c>
      <c r="DM118" s="1222">
        <f>$G118*AR118*Variables!$B$53*HLOOKUP($DM$2,Variables!$B$60:$F$61,2,FALSE)</f>
        <v>0</v>
      </c>
      <c r="DN118" s="1223">
        <f>$G118*AS118*Variables!$B$53*HLOOKUP($DM$2,Variables!$B$60:$F$61,2,FALSE)</f>
        <v>0</v>
      </c>
      <c r="DO118" s="1223">
        <f>$G118*AT118*Variables!$B$53*HLOOKUP($DM$2,Variables!$B$60:$F$61,2,FALSE)</f>
        <v>0</v>
      </c>
      <c r="DP118" s="1223">
        <f>$G118*AU118*Variables!$B$53*HLOOKUP($DM$2,Variables!$B$60:$F$61,2,FALSE)</f>
        <v>0</v>
      </c>
      <c r="DQ118" s="1223">
        <f>$G118*AV118*Variables!$B$53*HLOOKUP($DM$2,Variables!$B$60:$F$61,2,FALSE)</f>
        <v>0</v>
      </c>
      <c r="DR118" s="1223">
        <f>$G118*AW118*Variables!$B$53*HLOOKUP($DM$2,Variables!$B$60:$F$61,2,FALSE)</f>
        <v>0</v>
      </c>
      <c r="DS118" s="1223">
        <f>$G118*AX118*Variables!$B$53*HLOOKUP($DM$2,Variables!$B$60:$F$61,2,FALSE)</f>
        <v>0</v>
      </c>
      <c r="DT118" s="1223">
        <f>$G118*AY118*Variables!$B$53*HLOOKUP($DM$2,Variables!$B$60:$F$61,2,FALSE)</f>
        <v>0</v>
      </c>
      <c r="DU118" s="1223">
        <f>$G118*AZ118*Variables!$B$53*HLOOKUP($DM$2,Variables!$B$60:$F$61,2,FALSE)</f>
        <v>0</v>
      </c>
      <c r="DV118" s="1223">
        <f>$G118*BA118*Variables!$B$53*HLOOKUP($DM$2,Variables!$B$60:$F$61,2,FALSE)</f>
        <v>0</v>
      </c>
      <c r="DW118" s="1223">
        <f>$G118*BB118*Variables!$B$53*HLOOKUP($DM$2,Variables!$B$60:$F$61,2,FALSE)</f>
        <v>0</v>
      </c>
      <c r="DX118" s="1225">
        <f>$G118*BC118*Variables!$B$53*HLOOKUP($DM$2,Variables!$B$60:$F$61,2,FALSE)</f>
        <v>0</v>
      </c>
      <c r="DY118" s="1222">
        <f>$G118*BD118*Variables!$B$53*HLOOKUP($DY$2,Variables!$B$60:$F$61,2,FALSE)</f>
        <v>0</v>
      </c>
      <c r="DZ118" s="1223">
        <f>$G118*BE118*Variables!$B$53*HLOOKUP($DY$2,Variables!$B$60:$F$61,2,FALSE)</f>
        <v>0</v>
      </c>
      <c r="EA118" s="1223">
        <f>$G118*BF118*Variables!$B$53*HLOOKUP($DY$2,Variables!$B$60:$F$61,2,FALSE)</f>
        <v>0</v>
      </c>
      <c r="EB118" s="1223">
        <f>$G118*BG118*Variables!$B$53*HLOOKUP($DY$2,Variables!$B$60:$F$61,2,FALSE)</f>
        <v>0</v>
      </c>
      <c r="EC118" s="1223">
        <f>$G118*BH118*Variables!$B$53*HLOOKUP($DY$2,Variables!$B$60:$F$61,2,FALSE)</f>
        <v>0</v>
      </c>
      <c r="ED118" s="1223">
        <f>$G118*BI118*Variables!$B$53*HLOOKUP($DY$2,Variables!$B$60:$F$61,2,FALSE)</f>
        <v>0</v>
      </c>
      <c r="EE118" s="1223">
        <f>$G118*BJ118*Variables!$B$53*HLOOKUP($DY$2,Variables!$B$60:$F$61,2,FALSE)</f>
        <v>0</v>
      </c>
      <c r="EF118" s="1223">
        <f>$G118*BK118*Variables!$B$53*HLOOKUP($DY$2,Variables!$B$60:$F$61,2,FALSE)</f>
        <v>0</v>
      </c>
      <c r="EG118" s="1223">
        <f>$G118*BL118*Variables!$B$53*HLOOKUP($DY$2,Variables!$B$60:$F$61,2,FALSE)</f>
        <v>0</v>
      </c>
      <c r="EH118" s="1223">
        <f>$G118*BM118*Variables!$B$53*HLOOKUP($DY$2,Variables!$B$60:$F$61,2,FALSE)</f>
        <v>0</v>
      </c>
      <c r="EI118" s="1223">
        <f>$G118*BN118*Variables!$B$53*HLOOKUP($DY$2,Variables!$B$60:$F$61,2,FALSE)</f>
        <v>0</v>
      </c>
      <c r="EJ118" s="1225">
        <f>$G118*BO118*Variables!$B$53*HLOOKUP($DY$2,Variables!$B$60:$F$61,2,FALSE)</f>
        <v>0</v>
      </c>
      <c r="EK118" s="1222">
        <f>$G118*BP118*Variables!$B$53*HLOOKUP($EK$2,Variables!$B$60:$F$61,2,FALSE)</f>
        <v>0</v>
      </c>
      <c r="EL118" s="1223">
        <f>$G118*BQ118*Variables!$B$53*HLOOKUP($EK$2,Variables!$B$60:$F$61,2,FALSE)</f>
        <v>0</v>
      </c>
      <c r="EM118" s="1223">
        <f>$G118*BR118*Variables!$B$53*HLOOKUP($EK$2,Variables!$B$60:$F$61,2,FALSE)</f>
        <v>0</v>
      </c>
      <c r="EN118" s="1223">
        <f>$G118*BS118*Variables!$B$53*HLOOKUP($EK$2,Variables!$B$60:$F$61,2,FALSE)</f>
        <v>0</v>
      </c>
      <c r="EO118" s="1223">
        <f>$G118*BT118*Variables!$B$53*HLOOKUP($EK$2,Variables!$B$60:$F$61,2,FALSE)</f>
        <v>0</v>
      </c>
      <c r="EP118" s="1223">
        <f>$G118*BU118*Variables!$B$53*HLOOKUP($EK$2,Variables!$B$60:$F$61,2,FALSE)</f>
        <v>0</v>
      </c>
      <c r="EQ118" s="1223">
        <f>$G118*BV118*Variables!$B$53*HLOOKUP($EK$2,Variables!$B$60:$F$61,2,FALSE)</f>
        <v>0</v>
      </c>
      <c r="ER118" s="1223">
        <f>$G118*BW118*Variables!$B$53*HLOOKUP($EK$2,Variables!$B$60:$F$61,2,FALSE)</f>
        <v>0</v>
      </c>
      <c r="ES118" s="1223">
        <f>$G118*BX118*Variables!$B$53*HLOOKUP($EK$2,Variables!$B$60:$F$61,2,FALSE)</f>
        <v>0</v>
      </c>
      <c r="ET118" s="1223">
        <f>$G118*BY118*Variables!$B$53*HLOOKUP($EK$2,Variables!$B$60:$F$61,2,FALSE)</f>
        <v>0</v>
      </c>
      <c r="EU118" s="1223">
        <f>$G118*BZ118*Variables!$B$53*HLOOKUP($EK$2,Variables!$B$60:$F$61,2,FALSE)</f>
        <v>0</v>
      </c>
      <c r="EV118" s="1225">
        <f>$G118*CA118*Variables!$B$53*HLOOKUP($EK$2,Variables!$B$60:$F$61,2,FALSE)</f>
        <v>0</v>
      </c>
      <c r="EW118" s="872">
        <f t="shared" si="15"/>
        <v>0</v>
      </c>
      <c r="EX118" s="872"/>
      <c r="EY118" s="872"/>
      <c r="EZ118" s="872"/>
      <c r="FA118" s="1332"/>
      <c r="FC118" s="958" t="str">
        <f t="shared" si="16"/>
        <v/>
      </c>
      <c r="FD118" s="959" t="str">
        <f t="shared" si="17"/>
        <v/>
      </c>
      <c r="FE118" s="959" t="s">
        <v>8407</v>
      </c>
      <c r="FF118" s="959" t="str">
        <f>IF(ISNA(VLOOKUP(FC118,Miscellaneous!E:F,2,0)),"",VLOOKUP(FC118,Miscellaneous!E:F,2,0))</f>
        <v/>
      </c>
      <c r="FG118" s="959" t="str">
        <f t="shared" si="18"/>
        <v/>
      </c>
      <c r="FH118" s="996">
        <f>IF($FG118="Opex",SUMIF('Monthly Summary'!$C$75:$N$75,"",CC118:CN118),SUMIF('Monthly Summary'!$C$74:$N$74,"",CC118:CN118))</f>
        <v>0</v>
      </c>
      <c r="FI118" s="996">
        <f>IF($FG118="Opex",SUMIF('Monthly Summary'!$O$75:$Z$75,"",CO118:CZ118),SUMIF('Monthly Summary'!$O$74:$Z$74,"",CO118:CZ118))</f>
        <v>0</v>
      </c>
      <c r="FJ118" s="996">
        <f>IF($FG118="Opex",SUMIF('Monthly Summary'!$AA$75:$AL$75,"",DA118:DL118),SUMIF('Monthly Summary'!$AA$74:$AL$74,"",DA118:DL118))</f>
        <v>0</v>
      </c>
      <c r="FK118" s="996">
        <f>IF($FG118="Opex",SUMIF('Monthly Summary'!$AM$75:$AX$75,"",DM118:DX118),SUMIF('Monthly Summary'!$AM$74:$AX$74,"",DM118:DX118))</f>
        <v>0</v>
      </c>
      <c r="FL118" s="996">
        <f>IF($FG118="Opex",SUMIF('Monthly Summary'!$AY$75:$BJ$75,"",DY118:EJ118),SUMIF('Monthly Summary'!$AY$74:$BJ$74,"",DY118:EJ118))</f>
        <v>0</v>
      </c>
      <c r="FM118" s="997">
        <f>IF($FG118="Opex",SUMIF('Monthly Summary'!$BK$75:$BV$75,"",EK118:EV118),SUMIF('Monthly Summary'!$BK$74:$BV$74,"",EK118:EV118))</f>
        <v>0</v>
      </c>
      <c r="FN118" s="997">
        <f t="shared" si="14"/>
        <v>0</v>
      </c>
    </row>
    <row r="119" spans="3:170">
      <c r="C119" s="757"/>
      <c r="D119" s="757"/>
      <c r="E119" s="758"/>
      <c r="F119" s="758"/>
      <c r="G119" s="758"/>
      <c r="H119" s="1215"/>
      <c r="I119" s="761"/>
      <c r="J119" s="761"/>
      <c r="K119" s="761"/>
      <c r="L119" s="761"/>
      <c r="M119" s="761"/>
      <c r="N119" s="761"/>
      <c r="O119" s="761"/>
      <c r="P119" s="761"/>
      <c r="Q119" s="761"/>
      <c r="R119" s="761"/>
      <c r="S119" s="1216"/>
      <c r="T119" s="1215"/>
      <c r="U119" s="761"/>
      <c r="V119" s="761"/>
      <c r="W119" s="761"/>
      <c r="X119" s="761"/>
      <c r="Y119" s="761"/>
      <c r="Z119" s="761"/>
      <c r="AA119" s="761"/>
      <c r="AB119" s="761"/>
      <c r="AC119" s="761"/>
      <c r="AD119" s="761"/>
      <c r="AE119" s="1216"/>
      <c r="AF119" s="1215"/>
      <c r="AG119" s="761"/>
      <c r="AH119" s="761"/>
      <c r="AI119" s="761"/>
      <c r="AJ119" s="761"/>
      <c r="AK119" s="761"/>
      <c r="AL119" s="761"/>
      <c r="AM119" s="761"/>
      <c r="AN119" s="761"/>
      <c r="AO119" s="761"/>
      <c r="AP119" s="761"/>
      <c r="AQ119" s="1216"/>
      <c r="AR119" s="1215"/>
      <c r="AS119" s="761"/>
      <c r="AT119" s="761"/>
      <c r="AU119" s="761"/>
      <c r="AV119" s="761"/>
      <c r="AW119" s="761"/>
      <c r="AX119" s="761"/>
      <c r="AY119" s="761"/>
      <c r="AZ119" s="761"/>
      <c r="BA119" s="761"/>
      <c r="BB119" s="761"/>
      <c r="BC119" s="1216"/>
      <c r="BD119" s="1215"/>
      <c r="BE119" s="761"/>
      <c r="BF119" s="761"/>
      <c r="BG119" s="761"/>
      <c r="BH119" s="761"/>
      <c r="BI119" s="761"/>
      <c r="BJ119" s="761"/>
      <c r="BK119" s="761"/>
      <c r="BL119" s="761"/>
      <c r="BM119" s="761"/>
      <c r="BN119" s="761"/>
      <c r="BO119" s="1216"/>
      <c r="BP119" s="1215"/>
      <c r="BQ119" s="761"/>
      <c r="BR119" s="761"/>
      <c r="BS119" s="761"/>
      <c r="BT119" s="761"/>
      <c r="BU119" s="761"/>
      <c r="BV119" s="761"/>
      <c r="BW119" s="761"/>
      <c r="BX119" s="761"/>
      <c r="BY119" s="761"/>
      <c r="BZ119" s="761"/>
      <c r="CA119" s="1216"/>
      <c r="CB119" s="747"/>
      <c r="CC119" s="1222">
        <f>$G119*H119*Variables!$B$53</f>
        <v>0</v>
      </c>
      <c r="CD119" s="1223">
        <f>$G119*I119*Variables!$B$53</f>
        <v>0</v>
      </c>
      <c r="CE119" s="1223">
        <f>$G119*J119*Variables!$B$53</f>
        <v>0</v>
      </c>
      <c r="CF119" s="1223">
        <f>$G119*K119*Variables!$B$53</f>
        <v>0</v>
      </c>
      <c r="CG119" s="1223">
        <f>$G119*L119*Variables!$B$53</f>
        <v>0</v>
      </c>
      <c r="CH119" s="1223">
        <f>$G119*M119*Variables!$B$53</f>
        <v>0</v>
      </c>
      <c r="CI119" s="1223">
        <f>$G119*N119*Variables!$B$53</f>
        <v>0</v>
      </c>
      <c r="CJ119" s="1223">
        <f>$G119*O119*Variables!$B$53</f>
        <v>0</v>
      </c>
      <c r="CK119" s="1223">
        <f>$G119*P119*Variables!$B$53</f>
        <v>0</v>
      </c>
      <c r="CL119" s="1223">
        <f>$G119*Q119*Variables!$B$53</f>
        <v>0</v>
      </c>
      <c r="CM119" s="1223">
        <f>$G119*R119*Variables!$B$53</f>
        <v>0</v>
      </c>
      <c r="CN119" s="1225">
        <f>$G119*S119*Variables!$B$53</f>
        <v>0</v>
      </c>
      <c r="CO119" s="1222">
        <f>$G119*T119*Variables!$B$53*HLOOKUP($CO$2,Variables!$B$60:$F$61,2,FALSE)</f>
        <v>0</v>
      </c>
      <c r="CP119" s="1223">
        <f>$G119*U119*Variables!$B$53*HLOOKUP($CO$2,Variables!$B$60:$F$61,2,FALSE)</f>
        <v>0</v>
      </c>
      <c r="CQ119" s="1223">
        <f>$G119*V119*Variables!$B$53*HLOOKUP($CO$2,Variables!$B$60:$F$61,2,FALSE)</f>
        <v>0</v>
      </c>
      <c r="CR119" s="1223">
        <f>$G119*W119*Variables!$B$53*HLOOKUP($CO$2,Variables!$B$60:$F$61,2,FALSE)</f>
        <v>0</v>
      </c>
      <c r="CS119" s="1223">
        <f>$G119*X119*Variables!$B$53*HLOOKUP($CO$2,Variables!$B$60:$F$61,2,FALSE)</f>
        <v>0</v>
      </c>
      <c r="CT119" s="1223">
        <f>$G119*Y119*Variables!$B$53*HLOOKUP($CO$2,Variables!$B$60:$F$61,2,FALSE)</f>
        <v>0</v>
      </c>
      <c r="CU119" s="1223">
        <f>$G119*Z119*Variables!$B$53*HLOOKUP($CO$2,Variables!$B$60:$F$61,2,FALSE)</f>
        <v>0</v>
      </c>
      <c r="CV119" s="1223">
        <f>$G119*AA119*Variables!$B$53*HLOOKUP($CO$2,Variables!$B$60:$F$61,2,FALSE)</f>
        <v>0</v>
      </c>
      <c r="CW119" s="1223">
        <f>$G119*AB119*Variables!$B$53*HLOOKUP($CO$2,Variables!$B$60:$F$61,2,FALSE)</f>
        <v>0</v>
      </c>
      <c r="CX119" s="1223">
        <f>$G119*AC119*Variables!$B$53*HLOOKUP($CO$2,Variables!$B$60:$F$61,2,FALSE)</f>
        <v>0</v>
      </c>
      <c r="CY119" s="1223">
        <f>$G119*AD119*Variables!$B$53*HLOOKUP($CO$2,Variables!$B$60:$F$61,2,FALSE)</f>
        <v>0</v>
      </c>
      <c r="CZ119" s="1225">
        <f>$G119*AE119*Variables!$B$53*HLOOKUP($CO$2,Variables!$B$60:$F$61,2,FALSE)</f>
        <v>0</v>
      </c>
      <c r="DA119" s="1222">
        <f>$G119*AF119*Variables!$B$53*HLOOKUP($DA$2,Variables!$B$60:$F$61,2,FALSE)</f>
        <v>0</v>
      </c>
      <c r="DB119" s="1223">
        <f>$G119*AG119*Variables!$B$53*HLOOKUP($DA$2,Variables!$B$60:$F$61,2,FALSE)</f>
        <v>0</v>
      </c>
      <c r="DC119" s="1223">
        <f>$G119*AH119*Variables!$B$53*HLOOKUP($DA$2,Variables!$B$60:$F$61,2,FALSE)</f>
        <v>0</v>
      </c>
      <c r="DD119" s="1223">
        <f>$G119*AI119*Variables!$B$53*HLOOKUP($DA$2,Variables!$B$60:$F$61,2,FALSE)</f>
        <v>0</v>
      </c>
      <c r="DE119" s="1223">
        <f>$G119*AJ119*Variables!$B$53*HLOOKUP($DA$2,Variables!$B$60:$F$61,2,FALSE)</f>
        <v>0</v>
      </c>
      <c r="DF119" s="1223">
        <f>$G119*AK119*Variables!$B$53*HLOOKUP($DA$2,Variables!$B$60:$F$61,2,FALSE)</f>
        <v>0</v>
      </c>
      <c r="DG119" s="1223">
        <f>$G119*AL119*Variables!$B$53*HLOOKUP($DA$2,Variables!$B$60:$F$61,2,FALSE)</f>
        <v>0</v>
      </c>
      <c r="DH119" s="1223">
        <f>$G119*AM119*Variables!$B$53*HLOOKUP($DA$2,Variables!$B$60:$F$61,2,FALSE)</f>
        <v>0</v>
      </c>
      <c r="DI119" s="1223">
        <f>$G119*AN119*Variables!$B$53*HLOOKUP($DA$2,Variables!$B$60:$F$61,2,FALSE)</f>
        <v>0</v>
      </c>
      <c r="DJ119" s="1223">
        <f>$G119*AO119*Variables!$B$53*HLOOKUP($DA$2,Variables!$B$60:$F$61,2,FALSE)</f>
        <v>0</v>
      </c>
      <c r="DK119" s="1223">
        <f>$G119*AP119*Variables!$B$53*HLOOKUP($DA$2,Variables!$B$60:$F$61,2,FALSE)</f>
        <v>0</v>
      </c>
      <c r="DL119" s="1225">
        <f>$G119*AQ119*Variables!$B$53*HLOOKUP($DA$2,Variables!$B$60:$F$61,2,FALSE)</f>
        <v>0</v>
      </c>
      <c r="DM119" s="1222">
        <f>$G119*AR119*Variables!$B$53*HLOOKUP($DM$2,Variables!$B$60:$F$61,2,FALSE)</f>
        <v>0</v>
      </c>
      <c r="DN119" s="1223">
        <f>$G119*AS119*Variables!$B$53*HLOOKUP($DM$2,Variables!$B$60:$F$61,2,FALSE)</f>
        <v>0</v>
      </c>
      <c r="DO119" s="1223">
        <f>$G119*AT119*Variables!$B$53*HLOOKUP($DM$2,Variables!$B$60:$F$61,2,FALSE)</f>
        <v>0</v>
      </c>
      <c r="DP119" s="1223">
        <f>$G119*AU119*Variables!$B$53*HLOOKUP($DM$2,Variables!$B$60:$F$61,2,FALSE)</f>
        <v>0</v>
      </c>
      <c r="DQ119" s="1223">
        <f>$G119*AV119*Variables!$B$53*HLOOKUP($DM$2,Variables!$B$60:$F$61,2,FALSE)</f>
        <v>0</v>
      </c>
      <c r="DR119" s="1223">
        <f>$G119*AW119*Variables!$B$53*HLOOKUP($DM$2,Variables!$B$60:$F$61,2,FALSE)</f>
        <v>0</v>
      </c>
      <c r="DS119" s="1223">
        <f>$G119*AX119*Variables!$B$53*HLOOKUP($DM$2,Variables!$B$60:$F$61,2,FALSE)</f>
        <v>0</v>
      </c>
      <c r="DT119" s="1223">
        <f>$G119*AY119*Variables!$B$53*HLOOKUP($DM$2,Variables!$B$60:$F$61,2,FALSE)</f>
        <v>0</v>
      </c>
      <c r="DU119" s="1223">
        <f>$G119*AZ119*Variables!$B$53*HLOOKUP($DM$2,Variables!$B$60:$F$61,2,FALSE)</f>
        <v>0</v>
      </c>
      <c r="DV119" s="1223">
        <f>$G119*BA119*Variables!$B$53*HLOOKUP($DM$2,Variables!$B$60:$F$61,2,FALSE)</f>
        <v>0</v>
      </c>
      <c r="DW119" s="1223">
        <f>$G119*BB119*Variables!$B$53*HLOOKUP($DM$2,Variables!$B$60:$F$61,2,FALSE)</f>
        <v>0</v>
      </c>
      <c r="DX119" s="1225">
        <f>$G119*BC119*Variables!$B$53*HLOOKUP($DM$2,Variables!$B$60:$F$61,2,FALSE)</f>
        <v>0</v>
      </c>
      <c r="DY119" s="1222">
        <f>$G119*BD119*Variables!$B$53*HLOOKUP($DY$2,Variables!$B$60:$F$61,2,FALSE)</f>
        <v>0</v>
      </c>
      <c r="DZ119" s="1223">
        <f>$G119*BE119*Variables!$B$53*HLOOKUP($DY$2,Variables!$B$60:$F$61,2,FALSE)</f>
        <v>0</v>
      </c>
      <c r="EA119" s="1223">
        <f>$G119*BF119*Variables!$B$53*HLOOKUP($DY$2,Variables!$B$60:$F$61,2,FALSE)</f>
        <v>0</v>
      </c>
      <c r="EB119" s="1223">
        <f>$G119*BG119*Variables!$B$53*HLOOKUP($DY$2,Variables!$B$60:$F$61,2,FALSE)</f>
        <v>0</v>
      </c>
      <c r="EC119" s="1223">
        <f>$G119*BH119*Variables!$B$53*HLOOKUP($DY$2,Variables!$B$60:$F$61,2,FALSE)</f>
        <v>0</v>
      </c>
      <c r="ED119" s="1223">
        <f>$G119*BI119*Variables!$B$53*HLOOKUP($DY$2,Variables!$B$60:$F$61,2,FALSE)</f>
        <v>0</v>
      </c>
      <c r="EE119" s="1223">
        <f>$G119*BJ119*Variables!$B$53*HLOOKUP($DY$2,Variables!$B$60:$F$61,2,FALSE)</f>
        <v>0</v>
      </c>
      <c r="EF119" s="1223">
        <f>$G119*BK119*Variables!$B$53*HLOOKUP($DY$2,Variables!$B$60:$F$61,2,FALSE)</f>
        <v>0</v>
      </c>
      <c r="EG119" s="1223">
        <f>$G119*BL119*Variables!$B$53*HLOOKUP($DY$2,Variables!$B$60:$F$61,2,FALSE)</f>
        <v>0</v>
      </c>
      <c r="EH119" s="1223">
        <f>$G119*BM119*Variables!$B$53*HLOOKUP($DY$2,Variables!$B$60:$F$61,2,FALSE)</f>
        <v>0</v>
      </c>
      <c r="EI119" s="1223">
        <f>$G119*BN119*Variables!$B$53*HLOOKUP($DY$2,Variables!$B$60:$F$61,2,FALSE)</f>
        <v>0</v>
      </c>
      <c r="EJ119" s="1225">
        <f>$G119*BO119*Variables!$B$53*HLOOKUP($DY$2,Variables!$B$60:$F$61,2,FALSE)</f>
        <v>0</v>
      </c>
      <c r="EK119" s="1222">
        <f>$G119*BP119*Variables!$B$53*HLOOKUP($EK$2,Variables!$B$60:$F$61,2,FALSE)</f>
        <v>0</v>
      </c>
      <c r="EL119" s="1223">
        <f>$G119*BQ119*Variables!$B$53*HLOOKUP($EK$2,Variables!$B$60:$F$61,2,FALSE)</f>
        <v>0</v>
      </c>
      <c r="EM119" s="1223">
        <f>$G119*BR119*Variables!$B$53*HLOOKUP($EK$2,Variables!$B$60:$F$61,2,FALSE)</f>
        <v>0</v>
      </c>
      <c r="EN119" s="1223">
        <f>$G119*BS119*Variables!$B$53*HLOOKUP($EK$2,Variables!$B$60:$F$61,2,FALSE)</f>
        <v>0</v>
      </c>
      <c r="EO119" s="1223">
        <f>$G119*BT119*Variables!$B$53*HLOOKUP($EK$2,Variables!$B$60:$F$61,2,FALSE)</f>
        <v>0</v>
      </c>
      <c r="EP119" s="1223">
        <f>$G119*BU119*Variables!$B$53*HLOOKUP($EK$2,Variables!$B$60:$F$61,2,FALSE)</f>
        <v>0</v>
      </c>
      <c r="EQ119" s="1223">
        <f>$G119*BV119*Variables!$B$53*HLOOKUP($EK$2,Variables!$B$60:$F$61,2,FALSE)</f>
        <v>0</v>
      </c>
      <c r="ER119" s="1223">
        <f>$G119*BW119*Variables!$B$53*HLOOKUP($EK$2,Variables!$B$60:$F$61,2,FALSE)</f>
        <v>0</v>
      </c>
      <c r="ES119" s="1223">
        <f>$G119*BX119*Variables!$B$53*HLOOKUP($EK$2,Variables!$B$60:$F$61,2,FALSE)</f>
        <v>0</v>
      </c>
      <c r="ET119" s="1223">
        <f>$G119*BY119*Variables!$B$53*HLOOKUP($EK$2,Variables!$B$60:$F$61,2,FALSE)</f>
        <v>0</v>
      </c>
      <c r="EU119" s="1223">
        <f>$G119*BZ119*Variables!$B$53*HLOOKUP($EK$2,Variables!$B$60:$F$61,2,FALSE)</f>
        <v>0</v>
      </c>
      <c r="EV119" s="1225">
        <f>$G119*CA119*Variables!$B$53*HLOOKUP($EK$2,Variables!$B$60:$F$61,2,FALSE)</f>
        <v>0</v>
      </c>
      <c r="EW119" s="872">
        <f t="shared" si="15"/>
        <v>0</v>
      </c>
      <c r="EX119" s="872"/>
      <c r="EY119" s="872"/>
      <c r="EZ119" s="872"/>
      <c r="FA119" s="1332"/>
      <c r="FC119" s="958" t="str">
        <f t="shared" si="16"/>
        <v/>
      </c>
      <c r="FD119" s="959" t="str">
        <f t="shared" si="17"/>
        <v/>
      </c>
      <c r="FE119" s="959" t="s">
        <v>8407</v>
      </c>
      <c r="FF119" s="959" t="str">
        <f>IF(ISNA(VLOOKUP(FC119,Miscellaneous!E:F,2,0)),"",VLOOKUP(FC119,Miscellaneous!E:F,2,0))</f>
        <v/>
      </c>
      <c r="FG119" s="959" t="str">
        <f t="shared" si="18"/>
        <v/>
      </c>
      <c r="FH119" s="996">
        <f>IF($FG119="Opex",SUMIF('Monthly Summary'!$C$75:$N$75,"",CC119:CN119),SUMIF('Monthly Summary'!$C$74:$N$74,"",CC119:CN119))</f>
        <v>0</v>
      </c>
      <c r="FI119" s="996">
        <f>IF($FG119="Opex",SUMIF('Monthly Summary'!$O$75:$Z$75,"",CO119:CZ119),SUMIF('Monthly Summary'!$O$74:$Z$74,"",CO119:CZ119))</f>
        <v>0</v>
      </c>
      <c r="FJ119" s="996">
        <f>IF($FG119="Opex",SUMIF('Monthly Summary'!$AA$75:$AL$75,"",DA119:DL119),SUMIF('Monthly Summary'!$AA$74:$AL$74,"",DA119:DL119))</f>
        <v>0</v>
      </c>
      <c r="FK119" s="996">
        <f>IF($FG119="Opex",SUMIF('Monthly Summary'!$AM$75:$AX$75,"",DM119:DX119),SUMIF('Monthly Summary'!$AM$74:$AX$74,"",DM119:DX119))</f>
        <v>0</v>
      </c>
      <c r="FL119" s="996">
        <f>IF($FG119="Opex",SUMIF('Monthly Summary'!$AY$75:$BJ$75,"",DY119:EJ119),SUMIF('Monthly Summary'!$AY$74:$BJ$74,"",DY119:EJ119))</f>
        <v>0</v>
      </c>
      <c r="FM119" s="997">
        <f>IF($FG119="Opex",SUMIF('Monthly Summary'!$BK$75:$BV$75,"",EK119:EV119),SUMIF('Monthly Summary'!$BK$74:$BV$74,"",EK119:EV119))</f>
        <v>0</v>
      </c>
      <c r="FN119" s="997">
        <f t="shared" si="14"/>
        <v>0</v>
      </c>
    </row>
    <row r="120" spans="3:170">
      <c r="C120" s="757"/>
      <c r="D120" s="757"/>
      <c r="E120" s="758"/>
      <c r="F120" s="758"/>
      <c r="G120" s="758"/>
      <c r="H120" s="1215"/>
      <c r="I120" s="761"/>
      <c r="J120" s="761"/>
      <c r="K120" s="761"/>
      <c r="L120" s="761"/>
      <c r="M120" s="761"/>
      <c r="N120" s="761"/>
      <c r="O120" s="761"/>
      <c r="P120" s="761"/>
      <c r="Q120" s="761"/>
      <c r="R120" s="761"/>
      <c r="S120" s="1216"/>
      <c r="T120" s="1215"/>
      <c r="U120" s="761"/>
      <c r="V120" s="761"/>
      <c r="W120" s="761"/>
      <c r="X120" s="761"/>
      <c r="Y120" s="761"/>
      <c r="Z120" s="761"/>
      <c r="AA120" s="761"/>
      <c r="AB120" s="761"/>
      <c r="AC120" s="761"/>
      <c r="AD120" s="761"/>
      <c r="AE120" s="1216"/>
      <c r="AF120" s="1215"/>
      <c r="AG120" s="761"/>
      <c r="AH120" s="761"/>
      <c r="AI120" s="761"/>
      <c r="AJ120" s="761"/>
      <c r="AK120" s="761"/>
      <c r="AL120" s="761"/>
      <c r="AM120" s="761"/>
      <c r="AN120" s="761"/>
      <c r="AO120" s="761"/>
      <c r="AP120" s="761"/>
      <c r="AQ120" s="1216"/>
      <c r="AR120" s="1215"/>
      <c r="AS120" s="761"/>
      <c r="AT120" s="761"/>
      <c r="AU120" s="761"/>
      <c r="AV120" s="761"/>
      <c r="AW120" s="761"/>
      <c r="AX120" s="761"/>
      <c r="AY120" s="761"/>
      <c r="AZ120" s="761"/>
      <c r="BA120" s="761"/>
      <c r="BB120" s="761"/>
      <c r="BC120" s="1216"/>
      <c r="BD120" s="1215"/>
      <c r="BE120" s="761"/>
      <c r="BF120" s="761"/>
      <c r="BG120" s="761"/>
      <c r="BH120" s="761"/>
      <c r="BI120" s="761"/>
      <c r="BJ120" s="761"/>
      <c r="BK120" s="761"/>
      <c r="BL120" s="761"/>
      <c r="BM120" s="761"/>
      <c r="BN120" s="761"/>
      <c r="BO120" s="1216"/>
      <c r="BP120" s="1215"/>
      <c r="BQ120" s="761"/>
      <c r="BR120" s="761"/>
      <c r="BS120" s="761"/>
      <c r="BT120" s="761"/>
      <c r="BU120" s="761"/>
      <c r="BV120" s="761"/>
      <c r="BW120" s="761"/>
      <c r="BX120" s="761"/>
      <c r="BY120" s="761"/>
      <c r="BZ120" s="761"/>
      <c r="CA120" s="1216"/>
      <c r="CB120" s="747"/>
      <c r="CC120" s="1222">
        <f>$G120*H120*Variables!$B$53</f>
        <v>0</v>
      </c>
      <c r="CD120" s="1223">
        <f>$G120*I120*Variables!$B$53</f>
        <v>0</v>
      </c>
      <c r="CE120" s="1223">
        <f>$G120*J120*Variables!$B$53</f>
        <v>0</v>
      </c>
      <c r="CF120" s="1223">
        <f>$G120*K120*Variables!$B$53</f>
        <v>0</v>
      </c>
      <c r="CG120" s="1223">
        <f>$G120*L120*Variables!$B$53</f>
        <v>0</v>
      </c>
      <c r="CH120" s="1223">
        <f>$G120*M120*Variables!$B$53</f>
        <v>0</v>
      </c>
      <c r="CI120" s="1223">
        <f>$G120*N120*Variables!$B$53</f>
        <v>0</v>
      </c>
      <c r="CJ120" s="1223">
        <f>$G120*O120*Variables!$B$53</f>
        <v>0</v>
      </c>
      <c r="CK120" s="1223">
        <f>$G120*P120*Variables!$B$53</f>
        <v>0</v>
      </c>
      <c r="CL120" s="1223">
        <f>$G120*Q120*Variables!$B$53</f>
        <v>0</v>
      </c>
      <c r="CM120" s="1223">
        <f>$G120*R120*Variables!$B$53</f>
        <v>0</v>
      </c>
      <c r="CN120" s="1225">
        <f>$G120*S120*Variables!$B$53</f>
        <v>0</v>
      </c>
      <c r="CO120" s="1222">
        <f>$G120*T120*Variables!$B$53*HLOOKUP($CO$2,Variables!$B$60:$F$61,2,FALSE)</f>
        <v>0</v>
      </c>
      <c r="CP120" s="1223">
        <f>$G120*U120*Variables!$B$53*HLOOKUP($CO$2,Variables!$B$60:$F$61,2,FALSE)</f>
        <v>0</v>
      </c>
      <c r="CQ120" s="1223">
        <f>$G120*V120*Variables!$B$53*HLOOKUP($CO$2,Variables!$B$60:$F$61,2,FALSE)</f>
        <v>0</v>
      </c>
      <c r="CR120" s="1223">
        <f>$G120*W120*Variables!$B$53*HLOOKUP($CO$2,Variables!$B$60:$F$61,2,FALSE)</f>
        <v>0</v>
      </c>
      <c r="CS120" s="1223">
        <f>$G120*X120*Variables!$B$53*HLOOKUP($CO$2,Variables!$B$60:$F$61,2,FALSE)</f>
        <v>0</v>
      </c>
      <c r="CT120" s="1223">
        <f>$G120*Y120*Variables!$B$53*HLOOKUP($CO$2,Variables!$B$60:$F$61,2,FALSE)</f>
        <v>0</v>
      </c>
      <c r="CU120" s="1223">
        <f>$G120*Z120*Variables!$B$53*HLOOKUP($CO$2,Variables!$B$60:$F$61,2,FALSE)</f>
        <v>0</v>
      </c>
      <c r="CV120" s="1223">
        <f>$G120*AA120*Variables!$B$53*HLOOKUP($CO$2,Variables!$B$60:$F$61,2,FALSE)</f>
        <v>0</v>
      </c>
      <c r="CW120" s="1223">
        <f>$G120*AB120*Variables!$B$53*HLOOKUP($CO$2,Variables!$B$60:$F$61,2,FALSE)</f>
        <v>0</v>
      </c>
      <c r="CX120" s="1223">
        <f>$G120*AC120*Variables!$B$53*HLOOKUP($CO$2,Variables!$B$60:$F$61,2,FALSE)</f>
        <v>0</v>
      </c>
      <c r="CY120" s="1223">
        <f>$G120*AD120*Variables!$B$53*HLOOKUP($CO$2,Variables!$B$60:$F$61,2,FALSE)</f>
        <v>0</v>
      </c>
      <c r="CZ120" s="1225">
        <f>$G120*AE120*Variables!$B$53*HLOOKUP($CO$2,Variables!$B$60:$F$61,2,FALSE)</f>
        <v>0</v>
      </c>
      <c r="DA120" s="1222">
        <f>$G120*AF120*Variables!$B$53*HLOOKUP($DA$2,Variables!$B$60:$F$61,2,FALSE)</f>
        <v>0</v>
      </c>
      <c r="DB120" s="1223">
        <f>$G120*AG120*Variables!$B$53*HLOOKUP($DA$2,Variables!$B$60:$F$61,2,FALSE)</f>
        <v>0</v>
      </c>
      <c r="DC120" s="1223">
        <f>$G120*AH120*Variables!$B$53*HLOOKUP($DA$2,Variables!$B$60:$F$61,2,FALSE)</f>
        <v>0</v>
      </c>
      <c r="DD120" s="1223">
        <f>$G120*AI120*Variables!$B$53*HLOOKUP($DA$2,Variables!$B$60:$F$61,2,FALSE)</f>
        <v>0</v>
      </c>
      <c r="DE120" s="1223">
        <f>$G120*AJ120*Variables!$B$53*HLOOKUP($DA$2,Variables!$B$60:$F$61,2,FALSE)</f>
        <v>0</v>
      </c>
      <c r="DF120" s="1223">
        <f>$G120*AK120*Variables!$B$53*HLOOKUP($DA$2,Variables!$B$60:$F$61,2,FALSE)</f>
        <v>0</v>
      </c>
      <c r="DG120" s="1223">
        <f>$G120*AL120*Variables!$B$53*HLOOKUP($DA$2,Variables!$B$60:$F$61,2,FALSE)</f>
        <v>0</v>
      </c>
      <c r="DH120" s="1223">
        <f>$G120*AM120*Variables!$B$53*HLOOKUP($DA$2,Variables!$B$60:$F$61,2,FALSE)</f>
        <v>0</v>
      </c>
      <c r="DI120" s="1223">
        <f>$G120*AN120*Variables!$B$53*HLOOKUP($DA$2,Variables!$B$60:$F$61,2,FALSE)</f>
        <v>0</v>
      </c>
      <c r="DJ120" s="1223">
        <f>$G120*AO120*Variables!$B$53*HLOOKUP($DA$2,Variables!$B$60:$F$61,2,FALSE)</f>
        <v>0</v>
      </c>
      <c r="DK120" s="1223">
        <f>$G120*AP120*Variables!$B$53*HLOOKUP($DA$2,Variables!$B$60:$F$61,2,FALSE)</f>
        <v>0</v>
      </c>
      <c r="DL120" s="1225">
        <f>$G120*AQ120*Variables!$B$53*HLOOKUP($DA$2,Variables!$B$60:$F$61,2,FALSE)</f>
        <v>0</v>
      </c>
      <c r="DM120" s="1222">
        <f>$G120*AR120*Variables!$B$53*HLOOKUP($DM$2,Variables!$B$60:$F$61,2,FALSE)</f>
        <v>0</v>
      </c>
      <c r="DN120" s="1223">
        <f>$G120*AS120*Variables!$B$53*HLOOKUP($DM$2,Variables!$B$60:$F$61,2,FALSE)</f>
        <v>0</v>
      </c>
      <c r="DO120" s="1223">
        <f>$G120*AT120*Variables!$B$53*HLOOKUP($DM$2,Variables!$B$60:$F$61,2,FALSE)</f>
        <v>0</v>
      </c>
      <c r="DP120" s="1223">
        <f>$G120*AU120*Variables!$B$53*HLOOKUP($DM$2,Variables!$B$60:$F$61,2,FALSE)</f>
        <v>0</v>
      </c>
      <c r="DQ120" s="1223">
        <f>$G120*AV120*Variables!$B$53*HLOOKUP($DM$2,Variables!$B$60:$F$61,2,FALSE)</f>
        <v>0</v>
      </c>
      <c r="DR120" s="1223">
        <f>$G120*AW120*Variables!$B$53*HLOOKUP($DM$2,Variables!$B$60:$F$61,2,FALSE)</f>
        <v>0</v>
      </c>
      <c r="DS120" s="1223">
        <f>$G120*AX120*Variables!$B$53*HLOOKUP($DM$2,Variables!$B$60:$F$61,2,FALSE)</f>
        <v>0</v>
      </c>
      <c r="DT120" s="1223">
        <f>$G120*AY120*Variables!$B$53*HLOOKUP($DM$2,Variables!$B$60:$F$61,2,FALSE)</f>
        <v>0</v>
      </c>
      <c r="DU120" s="1223">
        <f>$G120*AZ120*Variables!$B$53*HLOOKUP($DM$2,Variables!$B$60:$F$61,2,FALSE)</f>
        <v>0</v>
      </c>
      <c r="DV120" s="1223">
        <f>$G120*BA120*Variables!$B$53*HLOOKUP($DM$2,Variables!$B$60:$F$61,2,FALSE)</f>
        <v>0</v>
      </c>
      <c r="DW120" s="1223">
        <f>$G120*BB120*Variables!$B$53*HLOOKUP($DM$2,Variables!$B$60:$F$61,2,FALSE)</f>
        <v>0</v>
      </c>
      <c r="DX120" s="1225">
        <f>$G120*BC120*Variables!$B$53*HLOOKUP($DM$2,Variables!$B$60:$F$61,2,FALSE)</f>
        <v>0</v>
      </c>
      <c r="DY120" s="1222">
        <f>$G120*BD120*Variables!$B$53*HLOOKUP($DY$2,Variables!$B$60:$F$61,2,FALSE)</f>
        <v>0</v>
      </c>
      <c r="DZ120" s="1223">
        <f>$G120*BE120*Variables!$B$53*HLOOKUP($DY$2,Variables!$B$60:$F$61,2,FALSE)</f>
        <v>0</v>
      </c>
      <c r="EA120" s="1223">
        <f>$G120*BF120*Variables!$B$53*HLOOKUP($DY$2,Variables!$B$60:$F$61,2,FALSE)</f>
        <v>0</v>
      </c>
      <c r="EB120" s="1223">
        <f>$G120*BG120*Variables!$B$53*HLOOKUP($DY$2,Variables!$B$60:$F$61,2,FALSE)</f>
        <v>0</v>
      </c>
      <c r="EC120" s="1223">
        <f>$G120*BH120*Variables!$B$53*HLOOKUP($DY$2,Variables!$B$60:$F$61,2,FALSE)</f>
        <v>0</v>
      </c>
      <c r="ED120" s="1223">
        <f>$G120*BI120*Variables!$B$53*HLOOKUP($DY$2,Variables!$B$60:$F$61,2,FALSE)</f>
        <v>0</v>
      </c>
      <c r="EE120" s="1223">
        <f>$G120*BJ120*Variables!$B$53*HLOOKUP($DY$2,Variables!$B$60:$F$61,2,FALSE)</f>
        <v>0</v>
      </c>
      <c r="EF120" s="1223">
        <f>$G120*BK120*Variables!$B$53*HLOOKUP($DY$2,Variables!$B$60:$F$61,2,FALSE)</f>
        <v>0</v>
      </c>
      <c r="EG120" s="1223">
        <f>$G120*BL120*Variables!$B$53*HLOOKUP($DY$2,Variables!$B$60:$F$61,2,FALSE)</f>
        <v>0</v>
      </c>
      <c r="EH120" s="1223">
        <f>$G120*BM120*Variables!$B$53*HLOOKUP($DY$2,Variables!$B$60:$F$61,2,FALSE)</f>
        <v>0</v>
      </c>
      <c r="EI120" s="1223">
        <f>$G120*BN120*Variables!$B$53*HLOOKUP($DY$2,Variables!$B$60:$F$61,2,FALSE)</f>
        <v>0</v>
      </c>
      <c r="EJ120" s="1225">
        <f>$G120*BO120*Variables!$B$53*HLOOKUP($DY$2,Variables!$B$60:$F$61,2,FALSE)</f>
        <v>0</v>
      </c>
      <c r="EK120" s="1222">
        <f>$G120*BP120*Variables!$B$53*HLOOKUP($EK$2,Variables!$B$60:$F$61,2,FALSE)</f>
        <v>0</v>
      </c>
      <c r="EL120" s="1223">
        <f>$G120*BQ120*Variables!$B$53*HLOOKUP($EK$2,Variables!$B$60:$F$61,2,FALSE)</f>
        <v>0</v>
      </c>
      <c r="EM120" s="1223">
        <f>$G120*BR120*Variables!$B$53*HLOOKUP($EK$2,Variables!$B$60:$F$61,2,FALSE)</f>
        <v>0</v>
      </c>
      <c r="EN120" s="1223">
        <f>$G120*BS120*Variables!$B$53*HLOOKUP($EK$2,Variables!$B$60:$F$61,2,FALSE)</f>
        <v>0</v>
      </c>
      <c r="EO120" s="1223">
        <f>$G120*BT120*Variables!$B$53*HLOOKUP($EK$2,Variables!$B$60:$F$61,2,FALSE)</f>
        <v>0</v>
      </c>
      <c r="EP120" s="1223">
        <f>$G120*BU120*Variables!$B$53*HLOOKUP($EK$2,Variables!$B$60:$F$61,2,FALSE)</f>
        <v>0</v>
      </c>
      <c r="EQ120" s="1223">
        <f>$G120*BV120*Variables!$B$53*HLOOKUP($EK$2,Variables!$B$60:$F$61,2,FALSE)</f>
        <v>0</v>
      </c>
      <c r="ER120" s="1223">
        <f>$G120*BW120*Variables!$B$53*HLOOKUP($EK$2,Variables!$B$60:$F$61,2,FALSE)</f>
        <v>0</v>
      </c>
      <c r="ES120" s="1223">
        <f>$G120*BX120*Variables!$B$53*HLOOKUP($EK$2,Variables!$B$60:$F$61,2,FALSE)</f>
        <v>0</v>
      </c>
      <c r="ET120" s="1223">
        <f>$G120*BY120*Variables!$B$53*HLOOKUP($EK$2,Variables!$B$60:$F$61,2,FALSE)</f>
        <v>0</v>
      </c>
      <c r="EU120" s="1223">
        <f>$G120*BZ120*Variables!$B$53*HLOOKUP($EK$2,Variables!$B$60:$F$61,2,FALSE)</f>
        <v>0</v>
      </c>
      <c r="EV120" s="1225">
        <f>$G120*CA120*Variables!$B$53*HLOOKUP($EK$2,Variables!$B$60:$F$61,2,FALSE)</f>
        <v>0</v>
      </c>
      <c r="EW120" s="872">
        <f t="shared" si="15"/>
        <v>0</v>
      </c>
      <c r="EX120" s="872"/>
      <c r="EY120" s="872"/>
      <c r="EZ120" s="872"/>
      <c r="FA120" s="1332"/>
      <c r="FC120" s="958" t="str">
        <f t="shared" si="16"/>
        <v/>
      </c>
      <c r="FD120" s="959" t="str">
        <f t="shared" si="17"/>
        <v/>
      </c>
      <c r="FE120" s="959" t="s">
        <v>8407</v>
      </c>
      <c r="FF120" s="959" t="str">
        <f>IF(ISNA(VLOOKUP(FC120,Miscellaneous!E:F,2,0)),"",VLOOKUP(FC120,Miscellaneous!E:F,2,0))</f>
        <v/>
      </c>
      <c r="FG120" s="959" t="str">
        <f t="shared" si="18"/>
        <v/>
      </c>
      <c r="FH120" s="996">
        <f>IF($FG120="Opex",SUMIF('Monthly Summary'!$C$75:$N$75,"",CC120:CN120),SUMIF('Monthly Summary'!$C$74:$N$74,"",CC120:CN120))</f>
        <v>0</v>
      </c>
      <c r="FI120" s="996">
        <f>IF($FG120="Opex",SUMIF('Monthly Summary'!$O$75:$Z$75,"",CO120:CZ120),SUMIF('Monthly Summary'!$O$74:$Z$74,"",CO120:CZ120))</f>
        <v>0</v>
      </c>
      <c r="FJ120" s="996">
        <f>IF($FG120="Opex",SUMIF('Monthly Summary'!$AA$75:$AL$75,"",DA120:DL120),SUMIF('Monthly Summary'!$AA$74:$AL$74,"",DA120:DL120))</f>
        <v>0</v>
      </c>
      <c r="FK120" s="996">
        <f>IF($FG120="Opex",SUMIF('Monthly Summary'!$AM$75:$AX$75,"",DM120:DX120),SUMIF('Monthly Summary'!$AM$74:$AX$74,"",DM120:DX120))</f>
        <v>0</v>
      </c>
      <c r="FL120" s="996">
        <f>IF($FG120="Opex",SUMIF('Monthly Summary'!$AY$75:$BJ$75,"",DY120:EJ120),SUMIF('Monthly Summary'!$AY$74:$BJ$74,"",DY120:EJ120))</f>
        <v>0</v>
      </c>
      <c r="FM120" s="997">
        <f>IF($FG120="Opex",SUMIF('Monthly Summary'!$BK$75:$BV$75,"",EK120:EV120),SUMIF('Monthly Summary'!$BK$74:$BV$74,"",EK120:EV120))</f>
        <v>0</v>
      </c>
      <c r="FN120" s="997">
        <f t="shared" si="14"/>
        <v>0</v>
      </c>
    </row>
    <row r="121" spans="3:170">
      <c r="C121" s="757"/>
      <c r="D121" s="757"/>
      <c r="E121" s="758"/>
      <c r="F121" s="758"/>
      <c r="G121" s="758"/>
      <c r="H121" s="1215"/>
      <c r="I121" s="761"/>
      <c r="J121" s="761"/>
      <c r="K121" s="761"/>
      <c r="L121" s="761"/>
      <c r="M121" s="761"/>
      <c r="N121" s="761"/>
      <c r="O121" s="761"/>
      <c r="P121" s="761"/>
      <c r="Q121" s="761"/>
      <c r="R121" s="761"/>
      <c r="S121" s="1216"/>
      <c r="T121" s="1215"/>
      <c r="U121" s="761"/>
      <c r="V121" s="761"/>
      <c r="W121" s="761"/>
      <c r="X121" s="761"/>
      <c r="Y121" s="761"/>
      <c r="Z121" s="761"/>
      <c r="AA121" s="761"/>
      <c r="AB121" s="761"/>
      <c r="AC121" s="761"/>
      <c r="AD121" s="761"/>
      <c r="AE121" s="1216"/>
      <c r="AF121" s="1215"/>
      <c r="AG121" s="761"/>
      <c r="AH121" s="761"/>
      <c r="AI121" s="761"/>
      <c r="AJ121" s="761"/>
      <c r="AK121" s="761"/>
      <c r="AL121" s="761"/>
      <c r="AM121" s="761"/>
      <c r="AN121" s="761"/>
      <c r="AO121" s="761"/>
      <c r="AP121" s="761"/>
      <c r="AQ121" s="1216"/>
      <c r="AR121" s="1215"/>
      <c r="AS121" s="761"/>
      <c r="AT121" s="761"/>
      <c r="AU121" s="761"/>
      <c r="AV121" s="761"/>
      <c r="AW121" s="761"/>
      <c r="AX121" s="761"/>
      <c r="AY121" s="761"/>
      <c r="AZ121" s="761"/>
      <c r="BA121" s="761"/>
      <c r="BB121" s="761"/>
      <c r="BC121" s="1216"/>
      <c r="BD121" s="1215"/>
      <c r="BE121" s="761"/>
      <c r="BF121" s="761"/>
      <c r="BG121" s="761"/>
      <c r="BH121" s="761"/>
      <c r="BI121" s="761"/>
      <c r="BJ121" s="761"/>
      <c r="BK121" s="761"/>
      <c r="BL121" s="761"/>
      <c r="BM121" s="761"/>
      <c r="BN121" s="761"/>
      <c r="BO121" s="1216"/>
      <c r="BP121" s="1215"/>
      <c r="BQ121" s="761"/>
      <c r="BR121" s="761"/>
      <c r="BS121" s="761"/>
      <c r="BT121" s="761"/>
      <c r="BU121" s="761"/>
      <c r="BV121" s="761"/>
      <c r="BW121" s="761"/>
      <c r="BX121" s="761"/>
      <c r="BY121" s="761"/>
      <c r="BZ121" s="761"/>
      <c r="CA121" s="1216"/>
      <c r="CB121" s="747"/>
      <c r="CC121" s="1222">
        <f>$G121*H121*Variables!$B$53</f>
        <v>0</v>
      </c>
      <c r="CD121" s="1223">
        <f>$G121*I121*Variables!$B$53</f>
        <v>0</v>
      </c>
      <c r="CE121" s="1223">
        <f>$G121*J121*Variables!$B$53</f>
        <v>0</v>
      </c>
      <c r="CF121" s="1223">
        <f>$G121*K121*Variables!$B$53</f>
        <v>0</v>
      </c>
      <c r="CG121" s="1223">
        <f>$G121*L121*Variables!$B$53</f>
        <v>0</v>
      </c>
      <c r="CH121" s="1223">
        <f>$G121*M121*Variables!$B$53</f>
        <v>0</v>
      </c>
      <c r="CI121" s="1223">
        <f>$G121*N121*Variables!$B$53</f>
        <v>0</v>
      </c>
      <c r="CJ121" s="1223">
        <f>$G121*O121*Variables!$B$53</f>
        <v>0</v>
      </c>
      <c r="CK121" s="1223">
        <f>$G121*P121*Variables!$B$53</f>
        <v>0</v>
      </c>
      <c r="CL121" s="1223">
        <f>$G121*Q121*Variables!$B$53</f>
        <v>0</v>
      </c>
      <c r="CM121" s="1223">
        <f>$G121*R121*Variables!$B$53</f>
        <v>0</v>
      </c>
      <c r="CN121" s="1225">
        <f>$G121*S121*Variables!$B$53</f>
        <v>0</v>
      </c>
      <c r="CO121" s="1222">
        <f>$G121*T121*Variables!$B$53*HLOOKUP($CO$2,Variables!$B$60:$F$61,2,FALSE)</f>
        <v>0</v>
      </c>
      <c r="CP121" s="1223">
        <f>$G121*U121*Variables!$B$53*HLOOKUP($CO$2,Variables!$B$60:$F$61,2,FALSE)</f>
        <v>0</v>
      </c>
      <c r="CQ121" s="1223">
        <f>$G121*V121*Variables!$B$53*HLOOKUP($CO$2,Variables!$B$60:$F$61,2,FALSE)</f>
        <v>0</v>
      </c>
      <c r="CR121" s="1223">
        <f>$G121*W121*Variables!$B$53*HLOOKUP($CO$2,Variables!$B$60:$F$61,2,FALSE)</f>
        <v>0</v>
      </c>
      <c r="CS121" s="1223">
        <f>$G121*X121*Variables!$B$53*HLOOKUP($CO$2,Variables!$B$60:$F$61,2,FALSE)</f>
        <v>0</v>
      </c>
      <c r="CT121" s="1223">
        <f>$G121*Y121*Variables!$B$53*HLOOKUP($CO$2,Variables!$B$60:$F$61,2,FALSE)</f>
        <v>0</v>
      </c>
      <c r="CU121" s="1223">
        <f>$G121*Z121*Variables!$B$53*HLOOKUP($CO$2,Variables!$B$60:$F$61,2,FALSE)</f>
        <v>0</v>
      </c>
      <c r="CV121" s="1223">
        <f>$G121*AA121*Variables!$B$53*HLOOKUP($CO$2,Variables!$B$60:$F$61,2,FALSE)</f>
        <v>0</v>
      </c>
      <c r="CW121" s="1223">
        <f>$G121*AB121*Variables!$B$53*HLOOKUP($CO$2,Variables!$B$60:$F$61,2,FALSE)</f>
        <v>0</v>
      </c>
      <c r="CX121" s="1223">
        <f>$G121*AC121*Variables!$B$53*HLOOKUP($CO$2,Variables!$B$60:$F$61,2,FALSE)</f>
        <v>0</v>
      </c>
      <c r="CY121" s="1223">
        <f>$G121*AD121*Variables!$B$53*HLOOKUP($CO$2,Variables!$B$60:$F$61,2,FALSE)</f>
        <v>0</v>
      </c>
      <c r="CZ121" s="1225">
        <f>$G121*AE121*Variables!$B$53*HLOOKUP($CO$2,Variables!$B$60:$F$61,2,FALSE)</f>
        <v>0</v>
      </c>
      <c r="DA121" s="1222">
        <f>$G121*AF121*Variables!$B$53*HLOOKUP($DA$2,Variables!$B$60:$F$61,2,FALSE)</f>
        <v>0</v>
      </c>
      <c r="DB121" s="1223">
        <f>$G121*AG121*Variables!$B$53*HLOOKUP($DA$2,Variables!$B$60:$F$61,2,FALSE)</f>
        <v>0</v>
      </c>
      <c r="DC121" s="1223">
        <f>$G121*AH121*Variables!$B$53*HLOOKUP($DA$2,Variables!$B$60:$F$61,2,FALSE)</f>
        <v>0</v>
      </c>
      <c r="DD121" s="1223">
        <f>$G121*AI121*Variables!$B$53*HLOOKUP($DA$2,Variables!$B$60:$F$61,2,FALSE)</f>
        <v>0</v>
      </c>
      <c r="DE121" s="1223">
        <f>$G121*AJ121*Variables!$B$53*HLOOKUP($DA$2,Variables!$B$60:$F$61,2,FALSE)</f>
        <v>0</v>
      </c>
      <c r="DF121" s="1223">
        <f>$G121*AK121*Variables!$B$53*HLOOKUP($DA$2,Variables!$B$60:$F$61,2,FALSE)</f>
        <v>0</v>
      </c>
      <c r="DG121" s="1223">
        <f>$G121*AL121*Variables!$B$53*HLOOKUP($DA$2,Variables!$B$60:$F$61,2,FALSE)</f>
        <v>0</v>
      </c>
      <c r="DH121" s="1223">
        <f>$G121*AM121*Variables!$B$53*HLOOKUP($DA$2,Variables!$B$60:$F$61,2,FALSE)</f>
        <v>0</v>
      </c>
      <c r="DI121" s="1223">
        <f>$G121*AN121*Variables!$B$53*HLOOKUP($DA$2,Variables!$B$60:$F$61,2,FALSE)</f>
        <v>0</v>
      </c>
      <c r="DJ121" s="1223">
        <f>$G121*AO121*Variables!$B$53*HLOOKUP($DA$2,Variables!$B$60:$F$61,2,FALSE)</f>
        <v>0</v>
      </c>
      <c r="DK121" s="1223">
        <f>$G121*AP121*Variables!$B$53*HLOOKUP($DA$2,Variables!$B$60:$F$61,2,FALSE)</f>
        <v>0</v>
      </c>
      <c r="DL121" s="1225">
        <f>$G121*AQ121*Variables!$B$53*HLOOKUP($DA$2,Variables!$B$60:$F$61,2,FALSE)</f>
        <v>0</v>
      </c>
      <c r="DM121" s="1222">
        <f>$G121*AR121*Variables!$B$53*HLOOKUP($DM$2,Variables!$B$60:$F$61,2,FALSE)</f>
        <v>0</v>
      </c>
      <c r="DN121" s="1223">
        <f>$G121*AS121*Variables!$B$53*HLOOKUP($DM$2,Variables!$B$60:$F$61,2,FALSE)</f>
        <v>0</v>
      </c>
      <c r="DO121" s="1223">
        <f>$G121*AT121*Variables!$B$53*HLOOKUP($DM$2,Variables!$B$60:$F$61,2,FALSE)</f>
        <v>0</v>
      </c>
      <c r="DP121" s="1223">
        <f>$G121*AU121*Variables!$B$53*HLOOKUP($DM$2,Variables!$B$60:$F$61,2,FALSE)</f>
        <v>0</v>
      </c>
      <c r="DQ121" s="1223">
        <f>$G121*AV121*Variables!$B$53*HLOOKUP($DM$2,Variables!$B$60:$F$61,2,FALSE)</f>
        <v>0</v>
      </c>
      <c r="DR121" s="1223">
        <f>$G121*AW121*Variables!$B$53*HLOOKUP($DM$2,Variables!$B$60:$F$61,2,FALSE)</f>
        <v>0</v>
      </c>
      <c r="DS121" s="1223">
        <f>$G121*AX121*Variables!$B$53*HLOOKUP($DM$2,Variables!$B$60:$F$61,2,FALSE)</f>
        <v>0</v>
      </c>
      <c r="DT121" s="1223">
        <f>$G121*AY121*Variables!$B$53*HLOOKUP($DM$2,Variables!$B$60:$F$61,2,FALSE)</f>
        <v>0</v>
      </c>
      <c r="DU121" s="1223">
        <f>$G121*AZ121*Variables!$B$53*HLOOKUP($DM$2,Variables!$B$60:$F$61,2,FALSE)</f>
        <v>0</v>
      </c>
      <c r="DV121" s="1223">
        <f>$G121*BA121*Variables!$B$53*HLOOKUP($DM$2,Variables!$B$60:$F$61,2,FALSE)</f>
        <v>0</v>
      </c>
      <c r="DW121" s="1223">
        <f>$G121*BB121*Variables!$B$53*HLOOKUP($DM$2,Variables!$B$60:$F$61,2,FALSE)</f>
        <v>0</v>
      </c>
      <c r="DX121" s="1225">
        <f>$G121*BC121*Variables!$B$53*HLOOKUP($DM$2,Variables!$B$60:$F$61,2,FALSE)</f>
        <v>0</v>
      </c>
      <c r="DY121" s="1222">
        <f>$G121*BD121*Variables!$B$53*HLOOKUP($DY$2,Variables!$B$60:$F$61,2,FALSE)</f>
        <v>0</v>
      </c>
      <c r="DZ121" s="1223">
        <f>$G121*BE121*Variables!$B$53*HLOOKUP($DY$2,Variables!$B$60:$F$61,2,FALSE)</f>
        <v>0</v>
      </c>
      <c r="EA121" s="1223">
        <f>$G121*BF121*Variables!$B$53*HLOOKUP($DY$2,Variables!$B$60:$F$61,2,FALSE)</f>
        <v>0</v>
      </c>
      <c r="EB121" s="1223">
        <f>$G121*BG121*Variables!$B$53*HLOOKUP($DY$2,Variables!$B$60:$F$61,2,FALSE)</f>
        <v>0</v>
      </c>
      <c r="EC121" s="1223">
        <f>$G121*BH121*Variables!$B$53*HLOOKUP($DY$2,Variables!$B$60:$F$61,2,FALSE)</f>
        <v>0</v>
      </c>
      <c r="ED121" s="1223">
        <f>$G121*BI121*Variables!$B$53*HLOOKUP($DY$2,Variables!$B$60:$F$61,2,FALSE)</f>
        <v>0</v>
      </c>
      <c r="EE121" s="1223">
        <f>$G121*BJ121*Variables!$B$53*HLOOKUP($DY$2,Variables!$B$60:$F$61,2,FALSE)</f>
        <v>0</v>
      </c>
      <c r="EF121" s="1223">
        <f>$G121*BK121*Variables!$B$53*HLOOKUP($DY$2,Variables!$B$60:$F$61,2,FALSE)</f>
        <v>0</v>
      </c>
      <c r="EG121" s="1223">
        <f>$G121*BL121*Variables!$B$53*HLOOKUP($DY$2,Variables!$B$60:$F$61,2,FALSE)</f>
        <v>0</v>
      </c>
      <c r="EH121" s="1223">
        <f>$G121*BM121*Variables!$B$53*HLOOKUP($DY$2,Variables!$B$60:$F$61,2,FALSE)</f>
        <v>0</v>
      </c>
      <c r="EI121" s="1223">
        <f>$G121*BN121*Variables!$B$53*HLOOKUP($DY$2,Variables!$B$60:$F$61,2,FALSE)</f>
        <v>0</v>
      </c>
      <c r="EJ121" s="1225">
        <f>$G121*BO121*Variables!$B$53*HLOOKUP($DY$2,Variables!$B$60:$F$61,2,FALSE)</f>
        <v>0</v>
      </c>
      <c r="EK121" s="1222">
        <f>$G121*BP121*Variables!$B$53*HLOOKUP($EK$2,Variables!$B$60:$F$61,2,FALSE)</f>
        <v>0</v>
      </c>
      <c r="EL121" s="1223">
        <f>$G121*BQ121*Variables!$B$53*HLOOKUP($EK$2,Variables!$B$60:$F$61,2,FALSE)</f>
        <v>0</v>
      </c>
      <c r="EM121" s="1223">
        <f>$G121*BR121*Variables!$B$53*HLOOKUP($EK$2,Variables!$B$60:$F$61,2,FALSE)</f>
        <v>0</v>
      </c>
      <c r="EN121" s="1223">
        <f>$G121*BS121*Variables!$B$53*HLOOKUP($EK$2,Variables!$B$60:$F$61,2,FALSE)</f>
        <v>0</v>
      </c>
      <c r="EO121" s="1223">
        <f>$G121*BT121*Variables!$B$53*HLOOKUP($EK$2,Variables!$B$60:$F$61,2,FALSE)</f>
        <v>0</v>
      </c>
      <c r="EP121" s="1223">
        <f>$G121*BU121*Variables!$B$53*HLOOKUP($EK$2,Variables!$B$60:$F$61,2,FALSE)</f>
        <v>0</v>
      </c>
      <c r="EQ121" s="1223">
        <f>$G121*BV121*Variables!$B$53*HLOOKUP($EK$2,Variables!$B$60:$F$61,2,FALSE)</f>
        <v>0</v>
      </c>
      <c r="ER121" s="1223">
        <f>$G121*BW121*Variables!$B$53*HLOOKUP($EK$2,Variables!$B$60:$F$61,2,FALSE)</f>
        <v>0</v>
      </c>
      <c r="ES121" s="1223">
        <f>$G121*BX121*Variables!$B$53*HLOOKUP($EK$2,Variables!$B$60:$F$61,2,FALSE)</f>
        <v>0</v>
      </c>
      <c r="ET121" s="1223">
        <f>$G121*BY121*Variables!$B$53*HLOOKUP($EK$2,Variables!$B$60:$F$61,2,FALSE)</f>
        <v>0</v>
      </c>
      <c r="EU121" s="1223">
        <f>$G121*BZ121*Variables!$B$53*HLOOKUP($EK$2,Variables!$B$60:$F$61,2,FALSE)</f>
        <v>0</v>
      </c>
      <c r="EV121" s="1225">
        <f>$G121*CA121*Variables!$B$53*HLOOKUP($EK$2,Variables!$B$60:$F$61,2,FALSE)</f>
        <v>0</v>
      </c>
      <c r="EW121" s="872">
        <f t="shared" si="15"/>
        <v>0</v>
      </c>
      <c r="EX121" s="872"/>
      <c r="EY121" s="872"/>
      <c r="EZ121" s="872"/>
      <c r="FA121" s="1332"/>
      <c r="FC121" s="958" t="str">
        <f t="shared" si="16"/>
        <v/>
      </c>
      <c r="FD121" s="959" t="str">
        <f t="shared" si="17"/>
        <v/>
      </c>
      <c r="FE121" s="959" t="s">
        <v>8407</v>
      </c>
      <c r="FF121" s="959" t="str">
        <f>IF(ISNA(VLOOKUP(FC121,Miscellaneous!E:F,2,0)),"",VLOOKUP(FC121,Miscellaneous!E:F,2,0))</f>
        <v/>
      </c>
      <c r="FG121" s="959" t="str">
        <f t="shared" si="18"/>
        <v/>
      </c>
      <c r="FH121" s="996">
        <f>IF($FG121="Opex",SUMIF('Monthly Summary'!$C$75:$N$75,"",CC121:CN121),SUMIF('Monthly Summary'!$C$74:$N$74,"",CC121:CN121))</f>
        <v>0</v>
      </c>
      <c r="FI121" s="996">
        <f>IF($FG121="Opex",SUMIF('Monthly Summary'!$O$75:$Z$75,"",CO121:CZ121),SUMIF('Monthly Summary'!$O$74:$Z$74,"",CO121:CZ121))</f>
        <v>0</v>
      </c>
      <c r="FJ121" s="996">
        <f>IF($FG121="Opex",SUMIF('Monthly Summary'!$AA$75:$AL$75,"",DA121:DL121),SUMIF('Monthly Summary'!$AA$74:$AL$74,"",DA121:DL121))</f>
        <v>0</v>
      </c>
      <c r="FK121" s="996">
        <f>IF($FG121="Opex",SUMIF('Monthly Summary'!$AM$75:$AX$75,"",DM121:DX121),SUMIF('Monthly Summary'!$AM$74:$AX$74,"",DM121:DX121))</f>
        <v>0</v>
      </c>
      <c r="FL121" s="996">
        <f>IF($FG121="Opex",SUMIF('Monthly Summary'!$AY$75:$BJ$75,"",DY121:EJ121),SUMIF('Monthly Summary'!$AY$74:$BJ$74,"",DY121:EJ121))</f>
        <v>0</v>
      </c>
      <c r="FM121" s="997">
        <f>IF($FG121="Opex",SUMIF('Monthly Summary'!$BK$75:$BV$75,"",EK121:EV121),SUMIF('Monthly Summary'!$BK$74:$BV$74,"",EK121:EV121))</f>
        <v>0</v>
      </c>
      <c r="FN121" s="997">
        <f t="shared" si="14"/>
        <v>0</v>
      </c>
    </row>
    <row r="122" spans="3:170">
      <c r="C122" s="757"/>
      <c r="D122" s="757"/>
      <c r="E122" s="758"/>
      <c r="F122" s="758"/>
      <c r="G122" s="758"/>
      <c r="H122" s="1215"/>
      <c r="I122" s="761"/>
      <c r="J122" s="761"/>
      <c r="K122" s="761"/>
      <c r="L122" s="761"/>
      <c r="M122" s="761"/>
      <c r="N122" s="761"/>
      <c r="O122" s="761"/>
      <c r="P122" s="761"/>
      <c r="Q122" s="761"/>
      <c r="R122" s="761"/>
      <c r="S122" s="1216"/>
      <c r="T122" s="1215"/>
      <c r="U122" s="761"/>
      <c r="V122" s="761"/>
      <c r="W122" s="761"/>
      <c r="X122" s="761"/>
      <c r="Y122" s="761"/>
      <c r="Z122" s="761"/>
      <c r="AA122" s="761"/>
      <c r="AB122" s="761"/>
      <c r="AC122" s="761"/>
      <c r="AD122" s="761"/>
      <c r="AE122" s="1216"/>
      <c r="AF122" s="1215"/>
      <c r="AG122" s="761"/>
      <c r="AH122" s="761"/>
      <c r="AI122" s="761"/>
      <c r="AJ122" s="761"/>
      <c r="AK122" s="761"/>
      <c r="AL122" s="761"/>
      <c r="AM122" s="761"/>
      <c r="AN122" s="761"/>
      <c r="AO122" s="761"/>
      <c r="AP122" s="761"/>
      <c r="AQ122" s="1216"/>
      <c r="AR122" s="1215"/>
      <c r="AS122" s="761"/>
      <c r="AT122" s="761"/>
      <c r="AU122" s="761"/>
      <c r="AV122" s="761"/>
      <c r="AW122" s="761"/>
      <c r="AX122" s="761"/>
      <c r="AY122" s="761"/>
      <c r="AZ122" s="761"/>
      <c r="BA122" s="761"/>
      <c r="BB122" s="761"/>
      <c r="BC122" s="1216"/>
      <c r="BD122" s="1215"/>
      <c r="BE122" s="761"/>
      <c r="BF122" s="761"/>
      <c r="BG122" s="761"/>
      <c r="BH122" s="761"/>
      <c r="BI122" s="761"/>
      <c r="BJ122" s="761"/>
      <c r="BK122" s="761"/>
      <c r="BL122" s="761"/>
      <c r="BM122" s="761"/>
      <c r="BN122" s="761"/>
      <c r="BO122" s="1216"/>
      <c r="BP122" s="1215"/>
      <c r="BQ122" s="761"/>
      <c r="BR122" s="761"/>
      <c r="BS122" s="761"/>
      <c r="BT122" s="761"/>
      <c r="BU122" s="761"/>
      <c r="BV122" s="761"/>
      <c r="BW122" s="761"/>
      <c r="BX122" s="761"/>
      <c r="BY122" s="761"/>
      <c r="BZ122" s="761"/>
      <c r="CA122" s="1216"/>
      <c r="CB122" s="747"/>
      <c r="CC122" s="1222">
        <f>$G122*H122*Variables!$B$53</f>
        <v>0</v>
      </c>
      <c r="CD122" s="1223">
        <f>$G122*I122*Variables!$B$53</f>
        <v>0</v>
      </c>
      <c r="CE122" s="1223">
        <f>$G122*J122*Variables!$B$53</f>
        <v>0</v>
      </c>
      <c r="CF122" s="1223">
        <f>$G122*K122*Variables!$B$53</f>
        <v>0</v>
      </c>
      <c r="CG122" s="1223">
        <f>$G122*L122*Variables!$B$53</f>
        <v>0</v>
      </c>
      <c r="CH122" s="1223">
        <f>$G122*M122*Variables!$B$53</f>
        <v>0</v>
      </c>
      <c r="CI122" s="1223">
        <f>$G122*N122*Variables!$B$53</f>
        <v>0</v>
      </c>
      <c r="CJ122" s="1223">
        <f>$G122*O122*Variables!$B$53</f>
        <v>0</v>
      </c>
      <c r="CK122" s="1223">
        <f>$G122*P122*Variables!$B$53</f>
        <v>0</v>
      </c>
      <c r="CL122" s="1223">
        <f>$G122*Q122*Variables!$B$53</f>
        <v>0</v>
      </c>
      <c r="CM122" s="1223">
        <f>$G122*R122*Variables!$B$53</f>
        <v>0</v>
      </c>
      <c r="CN122" s="1225">
        <f>$G122*S122*Variables!$B$53</f>
        <v>0</v>
      </c>
      <c r="CO122" s="1222">
        <f>$G122*T122*Variables!$B$53*HLOOKUP($CO$2,Variables!$B$60:$F$61,2,FALSE)</f>
        <v>0</v>
      </c>
      <c r="CP122" s="1223">
        <f>$G122*U122*Variables!$B$53*HLOOKUP($CO$2,Variables!$B$60:$F$61,2,FALSE)</f>
        <v>0</v>
      </c>
      <c r="CQ122" s="1223">
        <f>$G122*V122*Variables!$B$53*HLOOKUP($CO$2,Variables!$B$60:$F$61,2,FALSE)</f>
        <v>0</v>
      </c>
      <c r="CR122" s="1223">
        <f>$G122*W122*Variables!$B$53*HLOOKUP($CO$2,Variables!$B$60:$F$61,2,FALSE)</f>
        <v>0</v>
      </c>
      <c r="CS122" s="1223">
        <f>$G122*X122*Variables!$B$53*HLOOKUP($CO$2,Variables!$B$60:$F$61,2,FALSE)</f>
        <v>0</v>
      </c>
      <c r="CT122" s="1223">
        <f>$G122*Y122*Variables!$B$53*HLOOKUP($CO$2,Variables!$B$60:$F$61,2,FALSE)</f>
        <v>0</v>
      </c>
      <c r="CU122" s="1223">
        <f>$G122*Z122*Variables!$B$53*HLOOKUP($CO$2,Variables!$B$60:$F$61,2,FALSE)</f>
        <v>0</v>
      </c>
      <c r="CV122" s="1223">
        <f>$G122*AA122*Variables!$B$53*HLOOKUP($CO$2,Variables!$B$60:$F$61,2,FALSE)</f>
        <v>0</v>
      </c>
      <c r="CW122" s="1223">
        <f>$G122*AB122*Variables!$B$53*HLOOKUP($CO$2,Variables!$B$60:$F$61,2,FALSE)</f>
        <v>0</v>
      </c>
      <c r="CX122" s="1223">
        <f>$G122*AC122*Variables!$B$53*HLOOKUP($CO$2,Variables!$B$60:$F$61,2,FALSE)</f>
        <v>0</v>
      </c>
      <c r="CY122" s="1223">
        <f>$G122*AD122*Variables!$B$53*HLOOKUP($CO$2,Variables!$B$60:$F$61,2,FALSE)</f>
        <v>0</v>
      </c>
      <c r="CZ122" s="1225">
        <f>$G122*AE122*Variables!$B$53*HLOOKUP($CO$2,Variables!$B$60:$F$61,2,FALSE)</f>
        <v>0</v>
      </c>
      <c r="DA122" s="1222">
        <f>$G122*AF122*Variables!$B$53*HLOOKUP($DA$2,Variables!$B$60:$F$61,2,FALSE)</f>
        <v>0</v>
      </c>
      <c r="DB122" s="1223">
        <f>$G122*AG122*Variables!$B$53*HLOOKUP($DA$2,Variables!$B$60:$F$61,2,FALSE)</f>
        <v>0</v>
      </c>
      <c r="DC122" s="1223">
        <f>$G122*AH122*Variables!$B$53*HLOOKUP($DA$2,Variables!$B$60:$F$61,2,FALSE)</f>
        <v>0</v>
      </c>
      <c r="DD122" s="1223">
        <f>$G122*AI122*Variables!$B$53*HLOOKUP($DA$2,Variables!$B$60:$F$61,2,FALSE)</f>
        <v>0</v>
      </c>
      <c r="DE122" s="1223">
        <f>$G122*AJ122*Variables!$B$53*HLOOKUP($DA$2,Variables!$B$60:$F$61,2,FALSE)</f>
        <v>0</v>
      </c>
      <c r="DF122" s="1223">
        <f>$G122*AK122*Variables!$B$53*HLOOKUP($DA$2,Variables!$B$60:$F$61,2,FALSE)</f>
        <v>0</v>
      </c>
      <c r="DG122" s="1223">
        <f>$G122*AL122*Variables!$B$53*HLOOKUP($DA$2,Variables!$B$60:$F$61,2,FALSE)</f>
        <v>0</v>
      </c>
      <c r="DH122" s="1223">
        <f>$G122*AM122*Variables!$B$53*HLOOKUP($DA$2,Variables!$B$60:$F$61,2,FALSE)</f>
        <v>0</v>
      </c>
      <c r="DI122" s="1223">
        <f>$G122*AN122*Variables!$B$53*HLOOKUP($DA$2,Variables!$B$60:$F$61,2,FALSE)</f>
        <v>0</v>
      </c>
      <c r="DJ122" s="1223">
        <f>$G122*AO122*Variables!$B$53*HLOOKUP($DA$2,Variables!$B$60:$F$61,2,FALSE)</f>
        <v>0</v>
      </c>
      <c r="DK122" s="1223">
        <f>$G122*AP122*Variables!$B$53*HLOOKUP($DA$2,Variables!$B$60:$F$61,2,FALSE)</f>
        <v>0</v>
      </c>
      <c r="DL122" s="1225">
        <f>$G122*AQ122*Variables!$B$53*HLOOKUP($DA$2,Variables!$B$60:$F$61,2,FALSE)</f>
        <v>0</v>
      </c>
      <c r="DM122" s="1222">
        <f>$G122*AR122*Variables!$B$53*HLOOKUP($DM$2,Variables!$B$60:$F$61,2,FALSE)</f>
        <v>0</v>
      </c>
      <c r="DN122" s="1223">
        <f>$G122*AS122*Variables!$B$53*HLOOKUP($DM$2,Variables!$B$60:$F$61,2,FALSE)</f>
        <v>0</v>
      </c>
      <c r="DO122" s="1223">
        <f>$G122*AT122*Variables!$B$53*HLOOKUP($DM$2,Variables!$B$60:$F$61,2,FALSE)</f>
        <v>0</v>
      </c>
      <c r="DP122" s="1223">
        <f>$G122*AU122*Variables!$B$53*HLOOKUP($DM$2,Variables!$B$60:$F$61,2,FALSE)</f>
        <v>0</v>
      </c>
      <c r="DQ122" s="1223">
        <f>$G122*AV122*Variables!$B$53*HLOOKUP($DM$2,Variables!$B$60:$F$61,2,FALSE)</f>
        <v>0</v>
      </c>
      <c r="DR122" s="1223">
        <f>$G122*AW122*Variables!$B$53*HLOOKUP($DM$2,Variables!$B$60:$F$61,2,FALSE)</f>
        <v>0</v>
      </c>
      <c r="DS122" s="1223">
        <f>$G122*AX122*Variables!$B$53*HLOOKUP($DM$2,Variables!$B$60:$F$61,2,FALSE)</f>
        <v>0</v>
      </c>
      <c r="DT122" s="1223">
        <f>$G122*AY122*Variables!$B$53*HLOOKUP($DM$2,Variables!$B$60:$F$61,2,FALSE)</f>
        <v>0</v>
      </c>
      <c r="DU122" s="1223">
        <f>$G122*AZ122*Variables!$B$53*HLOOKUP($DM$2,Variables!$B$60:$F$61,2,FALSE)</f>
        <v>0</v>
      </c>
      <c r="DV122" s="1223">
        <f>$G122*BA122*Variables!$B$53*HLOOKUP($DM$2,Variables!$B$60:$F$61,2,FALSE)</f>
        <v>0</v>
      </c>
      <c r="DW122" s="1223">
        <f>$G122*BB122*Variables!$B$53*HLOOKUP($DM$2,Variables!$B$60:$F$61,2,FALSE)</f>
        <v>0</v>
      </c>
      <c r="DX122" s="1225">
        <f>$G122*BC122*Variables!$B$53*HLOOKUP($DM$2,Variables!$B$60:$F$61,2,FALSE)</f>
        <v>0</v>
      </c>
      <c r="DY122" s="1222">
        <f>$G122*BD122*Variables!$B$53*HLOOKUP($DY$2,Variables!$B$60:$F$61,2,FALSE)</f>
        <v>0</v>
      </c>
      <c r="DZ122" s="1223">
        <f>$G122*BE122*Variables!$B$53*HLOOKUP($DY$2,Variables!$B$60:$F$61,2,FALSE)</f>
        <v>0</v>
      </c>
      <c r="EA122" s="1223">
        <f>$G122*BF122*Variables!$B$53*HLOOKUP($DY$2,Variables!$B$60:$F$61,2,FALSE)</f>
        <v>0</v>
      </c>
      <c r="EB122" s="1223">
        <f>$G122*BG122*Variables!$B$53*HLOOKUP($DY$2,Variables!$B$60:$F$61,2,FALSE)</f>
        <v>0</v>
      </c>
      <c r="EC122" s="1223">
        <f>$G122*BH122*Variables!$B$53*HLOOKUP($DY$2,Variables!$B$60:$F$61,2,FALSE)</f>
        <v>0</v>
      </c>
      <c r="ED122" s="1223">
        <f>$G122*BI122*Variables!$B$53*HLOOKUP($DY$2,Variables!$B$60:$F$61,2,FALSE)</f>
        <v>0</v>
      </c>
      <c r="EE122" s="1223">
        <f>$G122*BJ122*Variables!$B$53*HLOOKUP($DY$2,Variables!$B$60:$F$61,2,FALSE)</f>
        <v>0</v>
      </c>
      <c r="EF122" s="1223">
        <f>$G122*BK122*Variables!$B$53*HLOOKUP($DY$2,Variables!$B$60:$F$61,2,FALSE)</f>
        <v>0</v>
      </c>
      <c r="EG122" s="1223">
        <f>$G122*BL122*Variables!$B$53*HLOOKUP($DY$2,Variables!$B$60:$F$61,2,FALSE)</f>
        <v>0</v>
      </c>
      <c r="EH122" s="1223">
        <f>$G122*BM122*Variables!$B$53*HLOOKUP($DY$2,Variables!$B$60:$F$61,2,FALSE)</f>
        <v>0</v>
      </c>
      <c r="EI122" s="1223">
        <f>$G122*BN122*Variables!$B$53*HLOOKUP($DY$2,Variables!$B$60:$F$61,2,FALSE)</f>
        <v>0</v>
      </c>
      <c r="EJ122" s="1225">
        <f>$G122*BO122*Variables!$B$53*HLOOKUP($DY$2,Variables!$B$60:$F$61,2,FALSE)</f>
        <v>0</v>
      </c>
      <c r="EK122" s="1222">
        <f>$G122*BP122*Variables!$B$53*HLOOKUP($EK$2,Variables!$B$60:$F$61,2,FALSE)</f>
        <v>0</v>
      </c>
      <c r="EL122" s="1223">
        <f>$G122*BQ122*Variables!$B$53*HLOOKUP($EK$2,Variables!$B$60:$F$61,2,FALSE)</f>
        <v>0</v>
      </c>
      <c r="EM122" s="1223">
        <f>$G122*BR122*Variables!$B$53*HLOOKUP($EK$2,Variables!$B$60:$F$61,2,FALSE)</f>
        <v>0</v>
      </c>
      <c r="EN122" s="1223">
        <f>$G122*BS122*Variables!$B$53*HLOOKUP($EK$2,Variables!$B$60:$F$61,2,FALSE)</f>
        <v>0</v>
      </c>
      <c r="EO122" s="1223">
        <f>$G122*BT122*Variables!$B$53*HLOOKUP($EK$2,Variables!$B$60:$F$61,2,FALSE)</f>
        <v>0</v>
      </c>
      <c r="EP122" s="1223">
        <f>$G122*BU122*Variables!$B$53*HLOOKUP($EK$2,Variables!$B$60:$F$61,2,FALSE)</f>
        <v>0</v>
      </c>
      <c r="EQ122" s="1223">
        <f>$G122*BV122*Variables!$B$53*HLOOKUP($EK$2,Variables!$B$60:$F$61,2,FALSE)</f>
        <v>0</v>
      </c>
      <c r="ER122" s="1223">
        <f>$G122*BW122*Variables!$B$53*HLOOKUP($EK$2,Variables!$B$60:$F$61,2,FALSE)</f>
        <v>0</v>
      </c>
      <c r="ES122" s="1223">
        <f>$G122*BX122*Variables!$B$53*HLOOKUP($EK$2,Variables!$B$60:$F$61,2,FALSE)</f>
        <v>0</v>
      </c>
      <c r="ET122" s="1223">
        <f>$G122*BY122*Variables!$B$53*HLOOKUP($EK$2,Variables!$B$60:$F$61,2,FALSE)</f>
        <v>0</v>
      </c>
      <c r="EU122" s="1223">
        <f>$G122*BZ122*Variables!$B$53*HLOOKUP($EK$2,Variables!$B$60:$F$61,2,FALSE)</f>
        <v>0</v>
      </c>
      <c r="EV122" s="1225">
        <f>$G122*CA122*Variables!$B$53*HLOOKUP($EK$2,Variables!$B$60:$F$61,2,FALSE)</f>
        <v>0</v>
      </c>
      <c r="EW122" s="872">
        <f t="shared" si="15"/>
        <v>0</v>
      </c>
      <c r="EX122" s="872"/>
      <c r="EY122" s="872"/>
      <c r="EZ122" s="872"/>
      <c r="FA122" s="1332"/>
      <c r="FC122" s="958" t="str">
        <f t="shared" si="16"/>
        <v/>
      </c>
      <c r="FD122" s="959" t="str">
        <f t="shared" si="17"/>
        <v/>
      </c>
      <c r="FE122" s="959" t="s">
        <v>8407</v>
      </c>
      <c r="FF122" s="959" t="str">
        <f>IF(ISNA(VLOOKUP(FC122,Miscellaneous!E:F,2,0)),"",VLOOKUP(FC122,Miscellaneous!E:F,2,0))</f>
        <v/>
      </c>
      <c r="FG122" s="959" t="str">
        <f t="shared" si="18"/>
        <v/>
      </c>
      <c r="FH122" s="996">
        <f>IF($FG122="Opex",SUMIF('Monthly Summary'!$C$75:$N$75,"",CC122:CN122),SUMIF('Monthly Summary'!$C$74:$N$74,"",CC122:CN122))</f>
        <v>0</v>
      </c>
      <c r="FI122" s="996">
        <f>IF($FG122="Opex",SUMIF('Monthly Summary'!$O$75:$Z$75,"",CO122:CZ122),SUMIF('Monthly Summary'!$O$74:$Z$74,"",CO122:CZ122))</f>
        <v>0</v>
      </c>
      <c r="FJ122" s="996">
        <f>IF($FG122="Opex",SUMIF('Monthly Summary'!$AA$75:$AL$75,"",DA122:DL122),SUMIF('Monthly Summary'!$AA$74:$AL$74,"",DA122:DL122))</f>
        <v>0</v>
      </c>
      <c r="FK122" s="996">
        <f>IF($FG122="Opex",SUMIF('Monthly Summary'!$AM$75:$AX$75,"",DM122:DX122),SUMIF('Monthly Summary'!$AM$74:$AX$74,"",DM122:DX122))</f>
        <v>0</v>
      </c>
      <c r="FL122" s="996">
        <f>IF($FG122="Opex",SUMIF('Monthly Summary'!$AY$75:$BJ$75,"",DY122:EJ122),SUMIF('Monthly Summary'!$AY$74:$BJ$74,"",DY122:EJ122))</f>
        <v>0</v>
      </c>
      <c r="FM122" s="997">
        <f>IF($FG122="Opex",SUMIF('Monthly Summary'!$BK$75:$BV$75,"",EK122:EV122),SUMIF('Monthly Summary'!$BK$74:$BV$74,"",EK122:EV122))</f>
        <v>0</v>
      </c>
      <c r="FN122" s="997">
        <f t="shared" si="14"/>
        <v>0</v>
      </c>
    </row>
    <row r="123" spans="3:170">
      <c r="C123" s="757"/>
      <c r="D123" s="757"/>
      <c r="E123" s="758"/>
      <c r="F123" s="758"/>
      <c r="G123" s="758"/>
      <c r="H123" s="1215"/>
      <c r="I123" s="761"/>
      <c r="J123" s="761"/>
      <c r="K123" s="761"/>
      <c r="L123" s="761"/>
      <c r="M123" s="761"/>
      <c r="N123" s="761"/>
      <c r="O123" s="761"/>
      <c r="P123" s="761"/>
      <c r="Q123" s="761"/>
      <c r="R123" s="761"/>
      <c r="S123" s="1216"/>
      <c r="T123" s="1215"/>
      <c r="U123" s="761"/>
      <c r="V123" s="761"/>
      <c r="W123" s="761"/>
      <c r="X123" s="761"/>
      <c r="Y123" s="761"/>
      <c r="Z123" s="761"/>
      <c r="AA123" s="761"/>
      <c r="AB123" s="761"/>
      <c r="AC123" s="761"/>
      <c r="AD123" s="761"/>
      <c r="AE123" s="1216"/>
      <c r="AF123" s="1215"/>
      <c r="AG123" s="761"/>
      <c r="AH123" s="761"/>
      <c r="AI123" s="761"/>
      <c r="AJ123" s="761"/>
      <c r="AK123" s="761"/>
      <c r="AL123" s="761"/>
      <c r="AM123" s="761"/>
      <c r="AN123" s="761"/>
      <c r="AO123" s="761"/>
      <c r="AP123" s="761"/>
      <c r="AQ123" s="1216"/>
      <c r="AR123" s="1215"/>
      <c r="AS123" s="761"/>
      <c r="AT123" s="761"/>
      <c r="AU123" s="761"/>
      <c r="AV123" s="761"/>
      <c r="AW123" s="761"/>
      <c r="AX123" s="761"/>
      <c r="AY123" s="761"/>
      <c r="AZ123" s="761"/>
      <c r="BA123" s="761"/>
      <c r="BB123" s="761"/>
      <c r="BC123" s="1216"/>
      <c r="BD123" s="1215"/>
      <c r="BE123" s="761"/>
      <c r="BF123" s="761"/>
      <c r="BG123" s="761"/>
      <c r="BH123" s="761"/>
      <c r="BI123" s="761"/>
      <c r="BJ123" s="761"/>
      <c r="BK123" s="761"/>
      <c r="BL123" s="761"/>
      <c r="BM123" s="761"/>
      <c r="BN123" s="761"/>
      <c r="BO123" s="1216"/>
      <c r="BP123" s="1215"/>
      <c r="BQ123" s="761"/>
      <c r="BR123" s="761"/>
      <c r="BS123" s="761"/>
      <c r="BT123" s="761"/>
      <c r="BU123" s="761"/>
      <c r="BV123" s="761"/>
      <c r="BW123" s="761"/>
      <c r="BX123" s="761"/>
      <c r="BY123" s="761"/>
      <c r="BZ123" s="761"/>
      <c r="CA123" s="1216"/>
      <c r="CB123" s="747"/>
      <c r="CC123" s="1222">
        <f>$G123*H123*Variables!$B$53</f>
        <v>0</v>
      </c>
      <c r="CD123" s="1223">
        <f>$G123*I123*Variables!$B$53</f>
        <v>0</v>
      </c>
      <c r="CE123" s="1223">
        <f>$G123*J123*Variables!$B$53</f>
        <v>0</v>
      </c>
      <c r="CF123" s="1223">
        <f>$G123*K123*Variables!$B$53</f>
        <v>0</v>
      </c>
      <c r="CG123" s="1223">
        <f>$G123*L123*Variables!$B$53</f>
        <v>0</v>
      </c>
      <c r="CH123" s="1223">
        <f>$G123*M123*Variables!$B$53</f>
        <v>0</v>
      </c>
      <c r="CI123" s="1223">
        <f>$G123*N123*Variables!$B$53</f>
        <v>0</v>
      </c>
      <c r="CJ123" s="1223">
        <f>$G123*O123*Variables!$B$53</f>
        <v>0</v>
      </c>
      <c r="CK123" s="1223">
        <f>$G123*P123*Variables!$B$53</f>
        <v>0</v>
      </c>
      <c r="CL123" s="1223">
        <f>$G123*Q123*Variables!$B$53</f>
        <v>0</v>
      </c>
      <c r="CM123" s="1223">
        <f>$G123*R123*Variables!$B$53</f>
        <v>0</v>
      </c>
      <c r="CN123" s="1225">
        <f>$G123*S123*Variables!$B$53</f>
        <v>0</v>
      </c>
      <c r="CO123" s="1222">
        <f>$G123*T123*Variables!$B$53*HLOOKUP($CO$2,Variables!$B$60:$F$61,2,FALSE)</f>
        <v>0</v>
      </c>
      <c r="CP123" s="1223">
        <f>$G123*U123*Variables!$B$53*HLOOKUP($CO$2,Variables!$B$60:$F$61,2,FALSE)</f>
        <v>0</v>
      </c>
      <c r="CQ123" s="1223">
        <f>$G123*V123*Variables!$B$53*HLOOKUP($CO$2,Variables!$B$60:$F$61,2,FALSE)</f>
        <v>0</v>
      </c>
      <c r="CR123" s="1223">
        <f>$G123*W123*Variables!$B$53*HLOOKUP($CO$2,Variables!$B$60:$F$61,2,FALSE)</f>
        <v>0</v>
      </c>
      <c r="CS123" s="1223">
        <f>$G123*X123*Variables!$B$53*HLOOKUP($CO$2,Variables!$B$60:$F$61,2,FALSE)</f>
        <v>0</v>
      </c>
      <c r="CT123" s="1223">
        <f>$G123*Y123*Variables!$B$53*HLOOKUP($CO$2,Variables!$B$60:$F$61,2,FALSE)</f>
        <v>0</v>
      </c>
      <c r="CU123" s="1223">
        <f>$G123*Z123*Variables!$B$53*HLOOKUP($CO$2,Variables!$B$60:$F$61,2,FALSE)</f>
        <v>0</v>
      </c>
      <c r="CV123" s="1223">
        <f>$G123*AA123*Variables!$B$53*HLOOKUP($CO$2,Variables!$B$60:$F$61,2,FALSE)</f>
        <v>0</v>
      </c>
      <c r="CW123" s="1223">
        <f>$G123*AB123*Variables!$B$53*HLOOKUP($CO$2,Variables!$B$60:$F$61,2,FALSE)</f>
        <v>0</v>
      </c>
      <c r="CX123" s="1223">
        <f>$G123*AC123*Variables!$B$53*HLOOKUP($CO$2,Variables!$B$60:$F$61,2,FALSE)</f>
        <v>0</v>
      </c>
      <c r="CY123" s="1223">
        <f>$G123*AD123*Variables!$B$53*HLOOKUP($CO$2,Variables!$B$60:$F$61,2,FALSE)</f>
        <v>0</v>
      </c>
      <c r="CZ123" s="1225">
        <f>$G123*AE123*Variables!$B$53*HLOOKUP($CO$2,Variables!$B$60:$F$61,2,FALSE)</f>
        <v>0</v>
      </c>
      <c r="DA123" s="1222">
        <f>$G123*AF123*Variables!$B$53*HLOOKUP($DA$2,Variables!$B$60:$F$61,2,FALSE)</f>
        <v>0</v>
      </c>
      <c r="DB123" s="1223">
        <f>$G123*AG123*Variables!$B$53*HLOOKUP($DA$2,Variables!$B$60:$F$61,2,FALSE)</f>
        <v>0</v>
      </c>
      <c r="DC123" s="1223">
        <f>$G123*AH123*Variables!$B$53*HLOOKUP($DA$2,Variables!$B$60:$F$61,2,FALSE)</f>
        <v>0</v>
      </c>
      <c r="DD123" s="1223">
        <f>$G123*AI123*Variables!$B$53*HLOOKUP($DA$2,Variables!$B$60:$F$61,2,FALSE)</f>
        <v>0</v>
      </c>
      <c r="DE123" s="1223">
        <f>$G123*AJ123*Variables!$B$53*HLOOKUP($DA$2,Variables!$B$60:$F$61,2,FALSE)</f>
        <v>0</v>
      </c>
      <c r="DF123" s="1223">
        <f>$G123*AK123*Variables!$B$53*HLOOKUP($DA$2,Variables!$B$60:$F$61,2,FALSE)</f>
        <v>0</v>
      </c>
      <c r="DG123" s="1223">
        <f>$G123*AL123*Variables!$B$53*HLOOKUP($DA$2,Variables!$B$60:$F$61,2,FALSE)</f>
        <v>0</v>
      </c>
      <c r="DH123" s="1223">
        <f>$G123*AM123*Variables!$B$53*HLOOKUP($DA$2,Variables!$B$60:$F$61,2,FALSE)</f>
        <v>0</v>
      </c>
      <c r="DI123" s="1223">
        <f>$G123*AN123*Variables!$B$53*HLOOKUP($DA$2,Variables!$B$60:$F$61,2,FALSE)</f>
        <v>0</v>
      </c>
      <c r="DJ123" s="1223">
        <f>$G123*AO123*Variables!$B$53*HLOOKUP($DA$2,Variables!$B$60:$F$61,2,FALSE)</f>
        <v>0</v>
      </c>
      <c r="DK123" s="1223">
        <f>$G123*AP123*Variables!$B$53*HLOOKUP($DA$2,Variables!$B$60:$F$61,2,FALSE)</f>
        <v>0</v>
      </c>
      <c r="DL123" s="1225">
        <f>$G123*AQ123*Variables!$B$53*HLOOKUP($DA$2,Variables!$B$60:$F$61,2,FALSE)</f>
        <v>0</v>
      </c>
      <c r="DM123" s="1222">
        <f>$G123*AR123*Variables!$B$53*HLOOKUP($DM$2,Variables!$B$60:$F$61,2,FALSE)</f>
        <v>0</v>
      </c>
      <c r="DN123" s="1223">
        <f>$G123*AS123*Variables!$B$53*HLOOKUP($DM$2,Variables!$B$60:$F$61,2,FALSE)</f>
        <v>0</v>
      </c>
      <c r="DO123" s="1223">
        <f>$G123*AT123*Variables!$B$53*HLOOKUP($DM$2,Variables!$B$60:$F$61,2,FALSE)</f>
        <v>0</v>
      </c>
      <c r="DP123" s="1223">
        <f>$G123*AU123*Variables!$B$53*HLOOKUP($DM$2,Variables!$B$60:$F$61,2,FALSE)</f>
        <v>0</v>
      </c>
      <c r="DQ123" s="1223">
        <f>$G123*AV123*Variables!$B$53*HLOOKUP($DM$2,Variables!$B$60:$F$61,2,FALSE)</f>
        <v>0</v>
      </c>
      <c r="DR123" s="1223">
        <f>$G123*AW123*Variables!$B$53*HLOOKUP($DM$2,Variables!$B$60:$F$61,2,FALSE)</f>
        <v>0</v>
      </c>
      <c r="DS123" s="1223">
        <f>$G123*AX123*Variables!$B$53*HLOOKUP($DM$2,Variables!$B$60:$F$61,2,FALSE)</f>
        <v>0</v>
      </c>
      <c r="DT123" s="1223">
        <f>$G123*AY123*Variables!$B$53*HLOOKUP($DM$2,Variables!$B$60:$F$61,2,FALSE)</f>
        <v>0</v>
      </c>
      <c r="DU123" s="1223">
        <f>$G123*AZ123*Variables!$B$53*HLOOKUP($DM$2,Variables!$B$60:$F$61,2,FALSE)</f>
        <v>0</v>
      </c>
      <c r="DV123" s="1223">
        <f>$G123*BA123*Variables!$B$53*HLOOKUP($DM$2,Variables!$B$60:$F$61,2,FALSE)</f>
        <v>0</v>
      </c>
      <c r="DW123" s="1223">
        <f>$G123*BB123*Variables!$B$53*HLOOKUP($DM$2,Variables!$B$60:$F$61,2,FALSE)</f>
        <v>0</v>
      </c>
      <c r="DX123" s="1225">
        <f>$G123*BC123*Variables!$B$53*HLOOKUP($DM$2,Variables!$B$60:$F$61,2,FALSE)</f>
        <v>0</v>
      </c>
      <c r="DY123" s="1222">
        <f>$G123*BD123*Variables!$B$53*HLOOKUP($DY$2,Variables!$B$60:$F$61,2,FALSE)</f>
        <v>0</v>
      </c>
      <c r="DZ123" s="1223">
        <f>$G123*BE123*Variables!$B$53*HLOOKUP($DY$2,Variables!$B$60:$F$61,2,FALSE)</f>
        <v>0</v>
      </c>
      <c r="EA123" s="1223">
        <f>$G123*BF123*Variables!$B$53*HLOOKUP($DY$2,Variables!$B$60:$F$61,2,FALSE)</f>
        <v>0</v>
      </c>
      <c r="EB123" s="1223">
        <f>$G123*BG123*Variables!$B$53*HLOOKUP($DY$2,Variables!$B$60:$F$61,2,FALSE)</f>
        <v>0</v>
      </c>
      <c r="EC123" s="1223">
        <f>$G123*BH123*Variables!$B$53*HLOOKUP($DY$2,Variables!$B$60:$F$61,2,FALSE)</f>
        <v>0</v>
      </c>
      <c r="ED123" s="1223">
        <f>$G123*BI123*Variables!$B$53*HLOOKUP($DY$2,Variables!$B$60:$F$61,2,FALSE)</f>
        <v>0</v>
      </c>
      <c r="EE123" s="1223">
        <f>$G123*BJ123*Variables!$B$53*HLOOKUP($DY$2,Variables!$B$60:$F$61,2,FALSE)</f>
        <v>0</v>
      </c>
      <c r="EF123" s="1223">
        <f>$G123*BK123*Variables!$B$53*HLOOKUP($DY$2,Variables!$B$60:$F$61,2,FALSE)</f>
        <v>0</v>
      </c>
      <c r="EG123" s="1223">
        <f>$G123*BL123*Variables!$B$53*HLOOKUP($DY$2,Variables!$B$60:$F$61,2,FALSE)</f>
        <v>0</v>
      </c>
      <c r="EH123" s="1223">
        <f>$G123*BM123*Variables!$B$53*HLOOKUP($DY$2,Variables!$B$60:$F$61,2,FALSE)</f>
        <v>0</v>
      </c>
      <c r="EI123" s="1223">
        <f>$G123*BN123*Variables!$B$53*HLOOKUP($DY$2,Variables!$B$60:$F$61,2,FALSE)</f>
        <v>0</v>
      </c>
      <c r="EJ123" s="1225">
        <f>$G123*BO123*Variables!$B$53*HLOOKUP($DY$2,Variables!$B$60:$F$61,2,FALSE)</f>
        <v>0</v>
      </c>
      <c r="EK123" s="1222">
        <f>$G123*BP123*Variables!$B$53*HLOOKUP($EK$2,Variables!$B$60:$F$61,2,FALSE)</f>
        <v>0</v>
      </c>
      <c r="EL123" s="1223">
        <f>$G123*BQ123*Variables!$B$53*HLOOKUP($EK$2,Variables!$B$60:$F$61,2,FALSE)</f>
        <v>0</v>
      </c>
      <c r="EM123" s="1223">
        <f>$G123*BR123*Variables!$B$53*HLOOKUP($EK$2,Variables!$B$60:$F$61,2,FALSE)</f>
        <v>0</v>
      </c>
      <c r="EN123" s="1223">
        <f>$G123*BS123*Variables!$B$53*HLOOKUP($EK$2,Variables!$B$60:$F$61,2,FALSE)</f>
        <v>0</v>
      </c>
      <c r="EO123" s="1223">
        <f>$G123*BT123*Variables!$B$53*HLOOKUP($EK$2,Variables!$B$60:$F$61,2,FALSE)</f>
        <v>0</v>
      </c>
      <c r="EP123" s="1223">
        <f>$G123*BU123*Variables!$B$53*HLOOKUP($EK$2,Variables!$B$60:$F$61,2,FALSE)</f>
        <v>0</v>
      </c>
      <c r="EQ123" s="1223">
        <f>$G123*BV123*Variables!$B$53*HLOOKUP($EK$2,Variables!$B$60:$F$61,2,FALSE)</f>
        <v>0</v>
      </c>
      <c r="ER123" s="1223">
        <f>$G123*BW123*Variables!$B$53*HLOOKUP($EK$2,Variables!$B$60:$F$61,2,FALSE)</f>
        <v>0</v>
      </c>
      <c r="ES123" s="1223">
        <f>$G123*BX123*Variables!$B$53*HLOOKUP($EK$2,Variables!$B$60:$F$61,2,FALSE)</f>
        <v>0</v>
      </c>
      <c r="ET123" s="1223">
        <f>$G123*BY123*Variables!$B$53*HLOOKUP($EK$2,Variables!$B$60:$F$61,2,FALSE)</f>
        <v>0</v>
      </c>
      <c r="EU123" s="1223">
        <f>$G123*BZ123*Variables!$B$53*HLOOKUP($EK$2,Variables!$B$60:$F$61,2,FALSE)</f>
        <v>0</v>
      </c>
      <c r="EV123" s="1225">
        <f>$G123*CA123*Variables!$B$53*HLOOKUP($EK$2,Variables!$B$60:$F$61,2,FALSE)</f>
        <v>0</v>
      </c>
      <c r="EW123" s="872">
        <f t="shared" si="15"/>
        <v>0</v>
      </c>
      <c r="EX123" s="872"/>
      <c r="EY123" s="872"/>
      <c r="EZ123" s="872"/>
      <c r="FA123" s="1332"/>
      <c r="FC123" s="958" t="str">
        <f t="shared" si="16"/>
        <v/>
      </c>
      <c r="FD123" s="959" t="str">
        <f t="shared" si="17"/>
        <v/>
      </c>
      <c r="FE123" s="959" t="s">
        <v>8407</v>
      </c>
      <c r="FF123" s="959" t="str">
        <f>IF(ISNA(VLOOKUP(FC123,Miscellaneous!E:F,2,0)),"",VLOOKUP(FC123,Miscellaneous!E:F,2,0))</f>
        <v/>
      </c>
      <c r="FG123" s="959" t="str">
        <f t="shared" si="18"/>
        <v/>
      </c>
      <c r="FH123" s="996">
        <f>IF($FG123="Opex",SUMIF('Monthly Summary'!$C$75:$N$75,"",CC123:CN123),SUMIF('Monthly Summary'!$C$74:$N$74,"",CC123:CN123))</f>
        <v>0</v>
      </c>
      <c r="FI123" s="996">
        <f>IF($FG123="Opex",SUMIF('Monthly Summary'!$O$75:$Z$75,"",CO123:CZ123),SUMIF('Monthly Summary'!$O$74:$Z$74,"",CO123:CZ123))</f>
        <v>0</v>
      </c>
      <c r="FJ123" s="996">
        <f>IF($FG123="Opex",SUMIF('Monthly Summary'!$AA$75:$AL$75,"",DA123:DL123),SUMIF('Monthly Summary'!$AA$74:$AL$74,"",DA123:DL123))</f>
        <v>0</v>
      </c>
      <c r="FK123" s="996">
        <f>IF($FG123="Opex",SUMIF('Monthly Summary'!$AM$75:$AX$75,"",DM123:DX123),SUMIF('Monthly Summary'!$AM$74:$AX$74,"",DM123:DX123))</f>
        <v>0</v>
      </c>
      <c r="FL123" s="996">
        <f>IF($FG123="Opex",SUMIF('Monthly Summary'!$AY$75:$BJ$75,"",DY123:EJ123),SUMIF('Monthly Summary'!$AY$74:$BJ$74,"",DY123:EJ123))</f>
        <v>0</v>
      </c>
      <c r="FM123" s="997">
        <f>IF($FG123="Opex",SUMIF('Monthly Summary'!$BK$75:$BV$75,"",EK123:EV123),SUMIF('Monthly Summary'!$BK$74:$BV$74,"",EK123:EV123))</f>
        <v>0</v>
      </c>
      <c r="FN123" s="997">
        <f t="shared" si="14"/>
        <v>0</v>
      </c>
    </row>
    <row r="124" spans="3:170">
      <c r="C124" s="757"/>
      <c r="D124" s="757"/>
      <c r="E124" s="758"/>
      <c r="F124" s="758"/>
      <c r="G124" s="758"/>
      <c r="H124" s="1215"/>
      <c r="I124" s="761"/>
      <c r="J124" s="761"/>
      <c r="K124" s="761"/>
      <c r="L124" s="761"/>
      <c r="M124" s="761"/>
      <c r="N124" s="761"/>
      <c r="O124" s="761"/>
      <c r="P124" s="761"/>
      <c r="Q124" s="761"/>
      <c r="R124" s="761"/>
      <c r="S124" s="1216"/>
      <c r="T124" s="1215"/>
      <c r="U124" s="761"/>
      <c r="V124" s="761"/>
      <c r="W124" s="761"/>
      <c r="X124" s="761"/>
      <c r="Y124" s="761"/>
      <c r="Z124" s="761"/>
      <c r="AA124" s="761"/>
      <c r="AB124" s="761"/>
      <c r="AC124" s="761"/>
      <c r="AD124" s="761"/>
      <c r="AE124" s="1216"/>
      <c r="AF124" s="1215"/>
      <c r="AG124" s="761"/>
      <c r="AH124" s="761"/>
      <c r="AI124" s="761"/>
      <c r="AJ124" s="761"/>
      <c r="AK124" s="761"/>
      <c r="AL124" s="761"/>
      <c r="AM124" s="761"/>
      <c r="AN124" s="761"/>
      <c r="AO124" s="761"/>
      <c r="AP124" s="761"/>
      <c r="AQ124" s="1216"/>
      <c r="AR124" s="1215"/>
      <c r="AS124" s="761"/>
      <c r="AT124" s="761"/>
      <c r="AU124" s="761"/>
      <c r="AV124" s="761"/>
      <c r="AW124" s="761"/>
      <c r="AX124" s="761"/>
      <c r="AY124" s="761"/>
      <c r="AZ124" s="761"/>
      <c r="BA124" s="761"/>
      <c r="BB124" s="761"/>
      <c r="BC124" s="1216"/>
      <c r="BD124" s="1215"/>
      <c r="BE124" s="761"/>
      <c r="BF124" s="761"/>
      <c r="BG124" s="761"/>
      <c r="BH124" s="761"/>
      <c r="BI124" s="761"/>
      <c r="BJ124" s="761"/>
      <c r="BK124" s="761"/>
      <c r="BL124" s="761"/>
      <c r="BM124" s="761"/>
      <c r="BN124" s="761"/>
      <c r="BO124" s="1216"/>
      <c r="BP124" s="1215"/>
      <c r="BQ124" s="761"/>
      <c r="BR124" s="761"/>
      <c r="BS124" s="761"/>
      <c r="BT124" s="761"/>
      <c r="BU124" s="761"/>
      <c r="BV124" s="761"/>
      <c r="BW124" s="761"/>
      <c r="BX124" s="761"/>
      <c r="BY124" s="761"/>
      <c r="BZ124" s="761"/>
      <c r="CA124" s="1216"/>
      <c r="CB124" s="747"/>
      <c r="CC124" s="1222">
        <f>$G124*H124*Variables!$B$53</f>
        <v>0</v>
      </c>
      <c r="CD124" s="1223">
        <f>$G124*I124*Variables!$B$53</f>
        <v>0</v>
      </c>
      <c r="CE124" s="1223">
        <f>$G124*J124*Variables!$B$53</f>
        <v>0</v>
      </c>
      <c r="CF124" s="1223">
        <f>$G124*K124*Variables!$B$53</f>
        <v>0</v>
      </c>
      <c r="CG124" s="1223">
        <f>$G124*L124*Variables!$B$53</f>
        <v>0</v>
      </c>
      <c r="CH124" s="1223">
        <f>$G124*M124*Variables!$B$53</f>
        <v>0</v>
      </c>
      <c r="CI124" s="1223">
        <f>$G124*N124*Variables!$B$53</f>
        <v>0</v>
      </c>
      <c r="CJ124" s="1223">
        <f>$G124*O124*Variables!$B$53</f>
        <v>0</v>
      </c>
      <c r="CK124" s="1223">
        <f>$G124*P124*Variables!$B$53</f>
        <v>0</v>
      </c>
      <c r="CL124" s="1223">
        <f>$G124*Q124*Variables!$B$53</f>
        <v>0</v>
      </c>
      <c r="CM124" s="1223">
        <f>$G124*R124*Variables!$B$53</f>
        <v>0</v>
      </c>
      <c r="CN124" s="1225">
        <f>$G124*S124*Variables!$B$53</f>
        <v>0</v>
      </c>
      <c r="CO124" s="1222">
        <f>$G124*T124*Variables!$B$53*HLOOKUP($CO$2,Variables!$B$60:$F$61,2,FALSE)</f>
        <v>0</v>
      </c>
      <c r="CP124" s="1223">
        <f>$G124*U124*Variables!$B$53*HLOOKUP($CO$2,Variables!$B$60:$F$61,2,FALSE)</f>
        <v>0</v>
      </c>
      <c r="CQ124" s="1223">
        <f>$G124*V124*Variables!$B$53*HLOOKUP($CO$2,Variables!$B$60:$F$61,2,FALSE)</f>
        <v>0</v>
      </c>
      <c r="CR124" s="1223">
        <f>$G124*W124*Variables!$B$53*HLOOKUP($CO$2,Variables!$B$60:$F$61,2,FALSE)</f>
        <v>0</v>
      </c>
      <c r="CS124" s="1223">
        <f>$G124*X124*Variables!$B$53*HLOOKUP($CO$2,Variables!$B$60:$F$61,2,FALSE)</f>
        <v>0</v>
      </c>
      <c r="CT124" s="1223">
        <f>$G124*Y124*Variables!$B$53*HLOOKUP($CO$2,Variables!$B$60:$F$61,2,FALSE)</f>
        <v>0</v>
      </c>
      <c r="CU124" s="1223">
        <f>$G124*Z124*Variables!$B$53*HLOOKUP($CO$2,Variables!$B$60:$F$61,2,FALSE)</f>
        <v>0</v>
      </c>
      <c r="CV124" s="1223">
        <f>$G124*AA124*Variables!$B$53*HLOOKUP($CO$2,Variables!$B$60:$F$61,2,FALSE)</f>
        <v>0</v>
      </c>
      <c r="CW124" s="1223">
        <f>$G124*AB124*Variables!$B$53*HLOOKUP($CO$2,Variables!$B$60:$F$61,2,FALSE)</f>
        <v>0</v>
      </c>
      <c r="CX124" s="1223">
        <f>$G124*AC124*Variables!$B$53*HLOOKUP($CO$2,Variables!$B$60:$F$61,2,FALSE)</f>
        <v>0</v>
      </c>
      <c r="CY124" s="1223">
        <f>$G124*AD124*Variables!$B$53*HLOOKUP($CO$2,Variables!$B$60:$F$61,2,FALSE)</f>
        <v>0</v>
      </c>
      <c r="CZ124" s="1225">
        <f>$G124*AE124*Variables!$B$53*HLOOKUP($CO$2,Variables!$B$60:$F$61,2,FALSE)</f>
        <v>0</v>
      </c>
      <c r="DA124" s="1222">
        <f>$G124*AF124*Variables!$B$53*HLOOKUP($DA$2,Variables!$B$60:$F$61,2,FALSE)</f>
        <v>0</v>
      </c>
      <c r="DB124" s="1223">
        <f>$G124*AG124*Variables!$B$53*HLOOKUP($DA$2,Variables!$B$60:$F$61,2,FALSE)</f>
        <v>0</v>
      </c>
      <c r="DC124" s="1223">
        <f>$G124*AH124*Variables!$B$53*HLOOKUP($DA$2,Variables!$B$60:$F$61,2,FALSE)</f>
        <v>0</v>
      </c>
      <c r="DD124" s="1223">
        <f>$G124*AI124*Variables!$B$53*HLOOKUP($DA$2,Variables!$B$60:$F$61,2,FALSE)</f>
        <v>0</v>
      </c>
      <c r="DE124" s="1223">
        <f>$G124*AJ124*Variables!$B$53*HLOOKUP($DA$2,Variables!$B$60:$F$61,2,FALSE)</f>
        <v>0</v>
      </c>
      <c r="DF124" s="1223">
        <f>$G124*AK124*Variables!$B$53*HLOOKUP($DA$2,Variables!$B$60:$F$61,2,FALSE)</f>
        <v>0</v>
      </c>
      <c r="DG124" s="1223">
        <f>$G124*AL124*Variables!$B$53*HLOOKUP($DA$2,Variables!$B$60:$F$61,2,FALSE)</f>
        <v>0</v>
      </c>
      <c r="DH124" s="1223">
        <f>$G124*AM124*Variables!$B$53*HLOOKUP($DA$2,Variables!$B$60:$F$61,2,FALSE)</f>
        <v>0</v>
      </c>
      <c r="DI124" s="1223">
        <f>$G124*AN124*Variables!$B$53*HLOOKUP($DA$2,Variables!$B$60:$F$61,2,FALSE)</f>
        <v>0</v>
      </c>
      <c r="DJ124" s="1223">
        <f>$G124*AO124*Variables!$B$53*HLOOKUP($DA$2,Variables!$B$60:$F$61,2,FALSE)</f>
        <v>0</v>
      </c>
      <c r="DK124" s="1223">
        <f>$G124*AP124*Variables!$B$53*HLOOKUP($DA$2,Variables!$B$60:$F$61,2,FALSE)</f>
        <v>0</v>
      </c>
      <c r="DL124" s="1225">
        <f>$G124*AQ124*Variables!$B$53*HLOOKUP($DA$2,Variables!$B$60:$F$61,2,FALSE)</f>
        <v>0</v>
      </c>
      <c r="DM124" s="1222">
        <f>$G124*AR124*Variables!$B$53*HLOOKUP($DM$2,Variables!$B$60:$F$61,2,FALSE)</f>
        <v>0</v>
      </c>
      <c r="DN124" s="1223">
        <f>$G124*AS124*Variables!$B$53*HLOOKUP($DM$2,Variables!$B$60:$F$61,2,FALSE)</f>
        <v>0</v>
      </c>
      <c r="DO124" s="1223">
        <f>$G124*AT124*Variables!$B$53*HLOOKUP($DM$2,Variables!$B$60:$F$61,2,FALSE)</f>
        <v>0</v>
      </c>
      <c r="DP124" s="1223">
        <f>$G124*AU124*Variables!$B$53*HLOOKUP($DM$2,Variables!$B$60:$F$61,2,FALSE)</f>
        <v>0</v>
      </c>
      <c r="DQ124" s="1223">
        <f>$G124*AV124*Variables!$B$53*HLOOKUP($DM$2,Variables!$B$60:$F$61,2,FALSE)</f>
        <v>0</v>
      </c>
      <c r="DR124" s="1223">
        <f>$G124*AW124*Variables!$B$53*HLOOKUP($DM$2,Variables!$B$60:$F$61,2,FALSE)</f>
        <v>0</v>
      </c>
      <c r="DS124" s="1223">
        <f>$G124*AX124*Variables!$B$53*HLOOKUP($DM$2,Variables!$B$60:$F$61,2,FALSE)</f>
        <v>0</v>
      </c>
      <c r="DT124" s="1223">
        <f>$G124*AY124*Variables!$B$53*HLOOKUP($DM$2,Variables!$B$60:$F$61,2,FALSE)</f>
        <v>0</v>
      </c>
      <c r="DU124" s="1223">
        <f>$G124*AZ124*Variables!$B$53*HLOOKUP($DM$2,Variables!$B$60:$F$61,2,FALSE)</f>
        <v>0</v>
      </c>
      <c r="DV124" s="1223">
        <f>$G124*BA124*Variables!$B$53*HLOOKUP($DM$2,Variables!$B$60:$F$61,2,FALSE)</f>
        <v>0</v>
      </c>
      <c r="DW124" s="1223">
        <f>$G124*BB124*Variables!$B$53*HLOOKUP($DM$2,Variables!$B$60:$F$61,2,FALSE)</f>
        <v>0</v>
      </c>
      <c r="DX124" s="1225">
        <f>$G124*BC124*Variables!$B$53*HLOOKUP($DM$2,Variables!$B$60:$F$61,2,FALSE)</f>
        <v>0</v>
      </c>
      <c r="DY124" s="1222">
        <f>$G124*BD124*Variables!$B$53*HLOOKUP($DY$2,Variables!$B$60:$F$61,2,FALSE)</f>
        <v>0</v>
      </c>
      <c r="DZ124" s="1223">
        <f>$G124*BE124*Variables!$B$53*HLOOKUP($DY$2,Variables!$B$60:$F$61,2,FALSE)</f>
        <v>0</v>
      </c>
      <c r="EA124" s="1223">
        <f>$G124*BF124*Variables!$B$53*HLOOKUP($DY$2,Variables!$B$60:$F$61,2,FALSE)</f>
        <v>0</v>
      </c>
      <c r="EB124" s="1223">
        <f>$G124*BG124*Variables!$B$53*HLOOKUP($DY$2,Variables!$B$60:$F$61,2,FALSE)</f>
        <v>0</v>
      </c>
      <c r="EC124" s="1223">
        <f>$G124*BH124*Variables!$B$53*HLOOKUP($DY$2,Variables!$B$60:$F$61,2,FALSE)</f>
        <v>0</v>
      </c>
      <c r="ED124" s="1223">
        <f>$G124*BI124*Variables!$B$53*HLOOKUP($DY$2,Variables!$B$60:$F$61,2,FALSE)</f>
        <v>0</v>
      </c>
      <c r="EE124" s="1223">
        <f>$G124*BJ124*Variables!$B$53*HLOOKUP($DY$2,Variables!$B$60:$F$61,2,FALSE)</f>
        <v>0</v>
      </c>
      <c r="EF124" s="1223">
        <f>$G124*BK124*Variables!$B$53*HLOOKUP($DY$2,Variables!$B$60:$F$61,2,FALSE)</f>
        <v>0</v>
      </c>
      <c r="EG124" s="1223">
        <f>$G124*BL124*Variables!$B$53*HLOOKUP($DY$2,Variables!$B$60:$F$61,2,FALSE)</f>
        <v>0</v>
      </c>
      <c r="EH124" s="1223">
        <f>$G124*BM124*Variables!$B$53*HLOOKUP($DY$2,Variables!$B$60:$F$61,2,FALSE)</f>
        <v>0</v>
      </c>
      <c r="EI124" s="1223">
        <f>$G124*BN124*Variables!$B$53*HLOOKUP($DY$2,Variables!$B$60:$F$61,2,FALSE)</f>
        <v>0</v>
      </c>
      <c r="EJ124" s="1225">
        <f>$G124*BO124*Variables!$B$53*HLOOKUP($DY$2,Variables!$B$60:$F$61,2,FALSE)</f>
        <v>0</v>
      </c>
      <c r="EK124" s="1222">
        <f>$G124*BP124*Variables!$B$53*HLOOKUP($EK$2,Variables!$B$60:$F$61,2,FALSE)</f>
        <v>0</v>
      </c>
      <c r="EL124" s="1223">
        <f>$G124*BQ124*Variables!$B$53*HLOOKUP($EK$2,Variables!$B$60:$F$61,2,FALSE)</f>
        <v>0</v>
      </c>
      <c r="EM124" s="1223">
        <f>$G124*BR124*Variables!$B$53*HLOOKUP($EK$2,Variables!$B$60:$F$61,2,FALSE)</f>
        <v>0</v>
      </c>
      <c r="EN124" s="1223">
        <f>$G124*BS124*Variables!$B$53*HLOOKUP($EK$2,Variables!$B$60:$F$61,2,FALSE)</f>
        <v>0</v>
      </c>
      <c r="EO124" s="1223">
        <f>$G124*BT124*Variables!$B$53*HLOOKUP($EK$2,Variables!$B$60:$F$61,2,FALSE)</f>
        <v>0</v>
      </c>
      <c r="EP124" s="1223">
        <f>$G124*BU124*Variables!$B$53*HLOOKUP($EK$2,Variables!$B$60:$F$61,2,FALSE)</f>
        <v>0</v>
      </c>
      <c r="EQ124" s="1223">
        <f>$G124*BV124*Variables!$B$53*HLOOKUP($EK$2,Variables!$B$60:$F$61,2,FALSE)</f>
        <v>0</v>
      </c>
      <c r="ER124" s="1223">
        <f>$G124*BW124*Variables!$B$53*HLOOKUP($EK$2,Variables!$B$60:$F$61,2,FALSE)</f>
        <v>0</v>
      </c>
      <c r="ES124" s="1223">
        <f>$G124*BX124*Variables!$B$53*HLOOKUP($EK$2,Variables!$B$60:$F$61,2,FALSE)</f>
        <v>0</v>
      </c>
      <c r="ET124" s="1223">
        <f>$G124*BY124*Variables!$B$53*HLOOKUP($EK$2,Variables!$B$60:$F$61,2,FALSE)</f>
        <v>0</v>
      </c>
      <c r="EU124" s="1223">
        <f>$G124*BZ124*Variables!$B$53*HLOOKUP($EK$2,Variables!$B$60:$F$61,2,FALSE)</f>
        <v>0</v>
      </c>
      <c r="EV124" s="1225">
        <f>$G124*CA124*Variables!$B$53*HLOOKUP($EK$2,Variables!$B$60:$F$61,2,FALSE)</f>
        <v>0</v>
      </c>
      <c r="EW124" s="872">
        <f t="shared" si="15"/>
        <v>0</v>
      </c>
      <c r="EX124" s="872"/>
      <c r="EY124" s="872"/>
      <c r="EZ124" s="872"/>
      <c r="FA124" s="1332"/>
      <c r="FC124" s="958" t="str">
        <f t="shared" si="16"/>
        <v/>
      </c>
      <c r="FD124" s="959" t="str">
        <f t="shared" si="17"/>
        <v/>
      </c>
      <c r="FE124" s="959" t="s">
        <v>8407</v>
      </c>
      <c r="FF124" s="959" t="str">
        <f>IF(ISNA(VLOOKUP(FC124,Miscellaneous!E:F,2,0)),"",VLOOKUP(FC124,Miscellaneous!E:F,2,0))</f>
        <v/>
      </c>
      <c r="FG124" s="959" t="str">
        <f t="shared" si="18"/>
        <v/>
      </c>
      <c r="FH124" s="996">
        <f>IF($FG124="Opex",SUMIF('Monthly Summary'!$C$75:$N$75,"",CC124:CN124),SUMIF('Monthly Summary'!$C$74:$N$74,"",CC124:CN124))</f>
        <v>0</v>
      </c>
      <c r="FI124" s="996">
        <f>IF($FG124="Opex",SUMIF('Monthly Summary'!$O$75:$Z$75,"",CO124:CZ124),SUMIF('Monthly Summary'!$O$74:$Z$74,"",CO124:CZ124))</f>
        <v>0</v>
      </c>
      <c r="FJ124" s="996">
        <f>IF($FG124="Opex",SUMIF('Monthly Summary'!$AA$75:$AL$75,"",DA124:DL124),SUMIF('Monthly Summary'!$AA$74:$AL$74,"",DA124:DL124))</f>
        <v>0</v>
      </c>
      <c r="FK124" s="996">
        <f>IF($FG124="Opex",SUMIF('Monthly Summary'!$AM$75:$AX$75,"",DM124:DX124),SUMIF('Monthly Summary'!$AM$74:$AX$74,"",DM124:DX124))</f>
        <v>0</v>
      </c>
      <c r="FL124" s="996">
        <f>IF($FG124="Opex",SUMIF('Monthly Summary'!$AY$75:$BJ$75,"",DY124:EJ124),SUMIF('Monthly Summary'!$AY$74:$BJ$74,"",DY124:EJ124))</f>
        <v>0</v>
      </c>
      <c r="FM124" s="997">
        <f>IF($FG124="Opex",SUMIF('Monthly Summary'!$BK$75:$BV$75,"",EK124:EV124),SUMIF('Monthly Summary'!$BK$74:$BV$74,"",EK124:EV124))</f>
        <v>0</v>
      </c>
      <c r="FN124" s="997">
        <f t="shared" si="14"/>
        <v>0</v>
      </c>
    </row>
    <row r="125" spans="3:170">
      <c r="C125" s="757"/>
      <c r="D125" s="757"/>
      <c r="E125" s="758"/>
      <c r="F125" s="758"/>
      <c r="G125" s="758"/>
      <c r="H125" s="1215"/>
      <c r="I125" s="761"/>
      <c r="J125" s="761"/>
      <c r="K125" s="761"/>
      <c r="L125" s="761"/>
      <c r="M125" s="761"/>
      <c r="N125" s="761"/>
      <c r="O125" s="761"/>
      <c r="P125" s="761"/>
      <c r="Q125" s="761"/>
      <c r="R125" s="761"/>
      <c r="S125" s="1216"/>
      <c r="T125" s="1215"/>
      <c r="U125" s="761"/>
      <c r="V125" s="761"/>
      <c r="W125" s="761"/>
      <c r="X125" s="761"/>
      <c r="Y125" s="761"/>
      <c r="Z125" s="761"/>
      <c r="AA125" s="761"/>
      <c r="AB125" s="761"/>
      <c r="AC125" s="761"/>
      <c r="AD125" s="761"/>
      <c r="AE125" s="1216"/>
      <c r="AF125" s="1215"/>
      <c r="AG125" s="761"/>
      <c r="AH125" s="761"/>
      <c r="AI125" s="761"/>
      <c r="AJ125" s="761"/>
      <c r="AK125" s="761"/>
      <c r="AL125" s="761"/>
      <c r="AM125" s="761"/>
      <c r="AN125" s="761"/>
      <c r="AO125" s="761"/>
      <c r="AP125" s="761"/>
      <c r="AQ125" s="1216"/>
      <c r="AR125" s="1215"/>
      <c r="AS125" s="761"/>
      <c r="AT125" s="761"/>
      <c r="AU125" s="761"/>
      <c r="AV125" s="761"/>
      <c r="AW125" s="761"/>
      <c r="AX125" s="761"/>
      <c r="AY125" s="761"/>
      <c r="AZ125" s="761"/>
      <c r="BA125" s="761"/>
      <c r="BB125" s="761"/>
      <c r="BC125" s="1216"/>
      <c r="BD125" s="1215"/>
      <c r="BE125" s="761"/>
      <c r="BF125" s="761"/>
      <c r="BG125" s="761"/>
      <c r="BH125" s="761"/>
      <c r="BI125" s="761"/>
      <c r="BJ125" s="761"/>
      <c r="BK125" s="761"/>
      <c r="BL125" s="761"/>
      <c r="BM125" s="761"/>
      <c r="BN125" s="761"/>
      <c r="BO125" s="1216"/>
      <c r="BP125" s="1215"/>
      <c r="BQ125" s="761"/>
      <c r="BR125" s="761"/>
      <c r="BS125" s="761"/>
      <c r="BT125" s="761"/>
      <c r="BU125" s="761"/>
      <c r="BV125" s="761"/>
      <c r="BW125" s="761"/>
      <c r="BX125" s="761"/>
      <c r="BY125" s="761"/>
      <c r="BZ125" s="761"/>
      <c r="CA125" s="1216"/>
      <c r="CB125" s="747"/>
      <c r="CC125" s="1222">
        <f>$G125*H125*Variables!$B$53</f>
        <v>0</v>
      </c>
      <c r="CD125" s="1223">
        <f>$G125*I125*Variables!$B$53</f>
        <v>0</v>
      </c>
      <c r="CE125" s="1223">
        <f>$G125*J125*Variables!$B$53</f>
        <v>0</v>
      </c>
      <c r="CF125" s="1223">
        <f>$G125*K125*Variables!$B$53</f>
        <v>0</v>
      </c>
      <c r="CG125" s="1223">
        <f>$G125*L125*Variables!$B$53</f>
        <v>0</v>
      </c>
      <c r="CH125" s="1223">
        <f>$G125*M125*Variables!$B$53</f>
        <v>0</v>
      </c>
      <c r="CI125" s="1223">
        <f>$G125*N125*Variables!$B$53</f>
        <v>0</v>
      </c>
      <c r="CJ125" s="1223">
        <f>$G125*O125*Variables!$B$53</f>
        <v>0</v>
      </c>
      <c r="CK125" s="1223">
        <f>$G125*P125*Variables!$B$53</f>
        <v>0</v>
      </c>
      <c r="CL125" s="1223">
        <f>$G125*Q125*Variables!$B$53</f>
        <v>0</v>
      </c>
      <c r="CM125" s="1223">
        <f>$G125*R125*Variables!$B$53</f>
        <v>0</v>
      </c>
      <c r="CN125" s="1225">
        <f>$G125*S125*Variables!$B$53</f>
        <v>0</v>
      </c>
      <c r="CO125" s="1222">
        <f>$G125*T125*Variables!$B$53*HLOOKUP($CO$2,Variables!$B$60:$F$61,2,FALSE)</f>
        <v>0</v>
      </c>
      <c r="CP125" s="1223">
        <f>$G125*U125*Variables!$B$53*HLOOKUP($CO$2,Variables!$B$60:$F$61,2,FALSE)</f>
        <v>0</v>
      </c>
      <c r="CQ125" s="1223">
        <f>$G125*V125*Variables!$B$53*HLOOKUP($CO$2,Variables!$B$60:$F$61,2,FALSE)</f>
        <v>0</v>
      </c>
      <c r="CR125" s="1223">
        <f>$G125*W125*Variables!$B$53*HLOOKUP($CO$2,Variables!$B$60:$F$61,2,FALSE)</f>
        <v>0</v>
      </c>
      <c r="CS125" s="1223">
        <f>$G125*X125*Variables!$B$53*HLOOKUP($CO$2,Variables!$B$60:$F$61,2,FALSE)</f>
        <v>0</v>
      </c>
      <c r="CT125" s="1223">
        <f>$G125*Y125*Variables!$B$53*HLOOKUP($CO$2,Variables!$B$60:$F$61,2,FALSE)</f>
        <v>0</v>
      </c>
      <c r="CU125" s="1223">
        <f>$G125*Z125*Variables!$B$53*HLOOKUP($CO$2,Variables!$B$60:$F$61,2,FALSE)</f>
        <v>0</v>
      </c>
      <c r="CV125" s="1223">
        <f>$G125*AA125*Variables!$B$53*HLOOKUP($CO$2,Variables!$B$60:$F$61,2,FALSE)</f>
        <v>0</v>
      </c>
      <c r="CW125" s="1223">
        <f>$G125*AB125*Variables!$B$53*HLOOKUP($CO$2,Variables!$B$60:$F$61,2,FALSE)</f>
        <v>0</v>
      </c>
      <c r="CX125" s="1223">
        <f>$G125*AC125*Variables!$B$53*HLOOKUP($CO$2,Variables!$B$60:$F$61,2,FALSE)</f>
        <v>0</v>
      </c>
      <c r="CY125" s="1223">
        <f>$G125*AD125*Variables!$B$53*HLOOKUP($CO$2,Variables!$B$60:$F$61,2,FALSE)</f>
        <v>0</v>
      </c>
      <c r="CZ125" s="1225">
        <f>$G125*AE125*Variables!$B$53*HLOOKUP($CO$2,Variables!$B$60:$F$61,2,FALSE)</f>
        <v>0</v>
      </c>
      <c r="DA125" s="1222">
        <f>$G125*AF125*Variables!$B$53*HLOOKUP($DA$2,Variables!$B$60:$F$61,2,FALSE)</f>
        <v>0</v>
      </c>
      <c r="DB125" s="1223">
        <f>$G125*AG125*Variables!$B$53*HLOOKUP($DA$2,Variables!$B$60:$F$61,2,FALSE)</f>
        <v>0</v>
      </c>
      <c r="DC125" s="1223">
        <f>$G125*AH125*Variables!$B$53*HLOOKUP($DA$2,Variables!$B$60:$F$61,2,FALSE)</f>
        <v>0</v>
      </c>
      <c r="DD125" s="1223">
        <f>$G125*AI125*Variables!$B$53*HLOOKUP($DA$2,Variables!$B$60:$F$61,2,FALSE)</f>
        <v>0</v>
      </c>
      <c r="DE125" s="1223">
        <f>$G125*AJ125*Variables!$B$53*HLOOKUP($DA$2,Variables!$B$60:$F$61,2,FALSE)</f>
        <v>0</v>
      </c>
      <c r="DF125" s="1223">
        <f>$G125*AK125*Variables!$B$53*HLOOKUP($DA$2,Variables!$B$60:$F$61,2,FALSE)</f>
        <v>0</v>
      </c>
      <c r="DG125" s="1223">
        <f>$G125*AL125*Variables!$B$53*HLOOKUP($DA$2,Variables!$B$60:$F$61,2,FALSE)</f>
        <v>0</v>
      </c>
      <c r="DH125" s="1223">
        <f>$G125*AM125*Variables!$B$53*HLOOKUP($DA$2,Variables!$B$60:$F$61,2,FALSE)</f>
        <v>0</v>
      </c>
      <c r="DI125" s="1223">
        <f>$G125*AN125*Variables!$B$53*HLOOKUP($DA$2,Variables!$B$60:$F$61,2,FALSE)</f>
        <v>0</v>
      </c>
      <c r="DJ125" s="1223">
        <f>$G125*AO125*Variables!$B$53*HLOOKUP($DA$2,Variables!$B$60:$F$61,2,FALSE)</f>
        <v>0</v>
      </c>
      <c r="DK125" s="1223">
        <f>$G125*AP125*Variables!$B$53*HLOOKUP($DA$2,Variables!$B$60:$F$61,2,FALSE)</f>
        <v>0</v>
      </c>
      <c r="DL125" s="1225">
        <f>$G125*AQ125*Variables!$B$53*HLOOKUP($DA$2,Variables!$B$60:$F$61,2,FALSE)</f>
        <v>0</v>
      </c>
      <c r="DM125" s="1222">
        <f>$G125*AR125*Variables!$B$53*HLOOKUP($DM$2,Variables!$B$60:$F$61,2,FALSE)</f>
        <v>0</v>
      </c>
      <c r="DN125" s="1223">
        <f>$G125*AS125*Variables!$B$53*HLOOKUP($DM$2,Variables!$B$60:$F$61,2,FALSE)</f>
        <v>0</v>
      </c>
      <c r="DO125" s="1223">
        <f>$G125*AT125*Variables!$B$53*HLOOKUP($DM$2,Variables!$B$60:$F$61,2,FALSE)</f>
        <v>0</v>
      </c>
      <c r="DP125" s="1223">
        <f>$G125*AU125*Variables!$B$53*HLOOKUP($DM$2,Variables!$B$60:$F$61,2,FALSE)</f>
        <v>0</v>
      </c>
      <c r="DQ125" s="1223">
        <f>$G125*AV125*Variables!$B$53*HLOOKUP($DM$2,Variables!$B$60:$F$61,2,FALSE)</f>
        <v>0</v>
      </c>
      <c r="DR125" s="1223">
        <f>$G125*AW125*Variables!$B$53*HLOOKUP($DM$2,Variables!$B$60:$F$61,2,FALSE)</f>
        <v>0</v>
      </c>
      <c r="DS125" s="1223">
        <f>$G125*AX125*Variables!$B$53*HLOOKUP($DM$2,Variables!$B$60:$F$61,2,FALSE)</f>
        <v>0</v>
      </c>
      <c r="DT125" s="1223">
        <f>$G125*AY125*Variables!$B$53*HLOOKUP($DM$2,Variables!$B$60:$F$61,2,FALSE)</f>
        <v>0</v>
      </c>
      <c r="DU125" s="1223">
        <f>$G125*AZ125*Variables!$B$53*HLOOKUP($DM$2,Variables!$B$60:$F$61,2,FALSE)</f>
        <v>0</v>
      </c>
      <c r="DV125" s="1223">
        <f>$G125*BA125*Variables!$B$53*HLOOKUP($DM$2,Variables!$B$60:$F$61,2,FALSE)</f>
        <v>0</v>
      </c>
      <c r="DW125" s="1223">
        <f>$G125*BB125*Variables!$B$53*HLOOKUP($DM$2,Variables!$B$60:$F$61,2,FALSE)</f>
        <v>0</v>
      </c>
      <c r="DX125" s="1225">
        <f>$G125*BC125*Variables!$B$53*HLOOKUP($DM$2,Variables!$B$60:$F$61,2,FALSE)</f>
        <v>0</v>
      </c>
      <c r="DY125" s="1222">
        <f>$G125*BD125*Variables!$B$53*HLOOKUP($DY$2,Variables!$B$60:$F$61,2,FALSE)</f>
        <v>0</v>
      </c>
      <c r="DZ125" s="1223">
        <f>$G125*BE125*Variables!$B$53*HLOOKUP($DY$2,Variables!$B$60:$F$61,2,FALSE)</f>
        <v>0</v>
      </c>
      <c r="EA125" s="1223">
        <f>$G125*BF125*Variables!$B$53*HLOOKUP($DY$2,Variables!$B$60:$F$61,2,FALSE)</f>
        <v>0</v>
      </c>
      <c r="EB125" s="1223">
        <f>$G125*BG125*Variables!$B$53*HLOOKUP($DY$2,Variables!$B$60:$F$61,2,FALSE)</f>
        <v>0</v>
      </c>
      <c r="EC125" s="1223">
        <f>$G125*BH125*Variables!$B$53*HLOOKUP($DY$2,Variables!$B$60:$F$61,2,FALSE)</f>
        <v>0</v>
      </c>
      <c r="ED125" s="1223">
        <f>$G125*BI125*Variables!$B$53*HLOOKUP($DY$2,Variables!$B$60:$F$61,2,FALSE)</f>
        <v>0</v>
      </c>
      <c r="EE125" s="1223">
        <f>$G125*BJ125*Variables!$B$53*HLOOKUP($DY$2,Variables!$B$60:$F$61,2,FALSE)</f>
        <v>0</v>
      </c>
      <c r="EF125" s="1223">
        <f>$G125*BK125*Variables!$B$53*HLOOKUP($DY$2,Variables!$B$60:$F$61,2,FALSE)</f>
        <v>0</v>
      </c>
      <c r="EG125" s="1223">
        <f>$G125*BL125*Variables!$B$53*HLOOKUP($DY$2,Variables!$B$60:$F$61,2,FALSE)</f>
        <v>0</v>
      </c>
      <c r="EH125" s="1223">
        <f>$G125*BM125*Variables!$B$53*HLOOKUP($DY$2,Variables!$B$60:$F$61,2,FALSE)</f>
        <v>0</v>
      </c>
      <c r="EI125" s="1223">
        <f>$G125*BN125*Variables!$B$53*HLOOKUP($DY$2,Variables!$B$60:$F$61,2,FALSE)</f>
        <v>0</v>
      </c>
      <c r="EJ125" s="1225">
        <f>$G125*BO125*Variables!$B$53*HLOOKUP($DY$2,Variables!$B$60:$F$61,2,FALSE)</f>
        <v>0</v>
      </c>
      <c r="EK125" s="1222">
        <f>$G125*BP125*Variables!$B$53*HLOOKUP($EK$2,Variables!$B$60:$F$61,2,FALSE)</f>
        <v>0</v>
      </c>
      <c r="EL125" s="1223">
        <f>$G125*BQ125*Variables!$B$53*HLOOKUP($EK$2,Variables!$B$60:$F$61,2,FALSE)</f>
        <v>0</v>
      </c>
      <c r="EM125" s="1223">
        <f>$G125*BR125*Variables!$B$53*HLOOKUP($EK$2,Variables!$B$60:$F$61,2,FALSE)</f>
        <v>0</v>
      </c>
      <c r="EN125" s="1223">
        <f>$G125*BS125*Variables!$B$53*HLOOKUP($EK$2,Variables!$B$60:$F$61,2,FALSE)</f>
        <v>0</v>
      </c>
      <c r="EO125" s="1223">
        <f>$G125*BT125*Variables!$B$53*HLOOKUP($EK$2,Variables!$B$60:$F$61,2,FALSE)</f>
        <v>0</v>
      </c>
      <c r="EP125" s="1223">
        <f>$G125*BU125*Variables!$B$53*HLOOKUP($EK$2,Variables!$B$60:$F$61,2,FALSE)</f>
        <v>0</v>
      </c>
      <c r="EQ125" s="1223">
        <f>$G125*BV125*Variables!$B$53*HLOOKUP($EK$2,Variables!$B$60:$F$61,2,FALSE)</f>
        <v>0</v>
      </c>
      <c r="ER125" s="1223">
        <f>$G125*BW125*Variables!$B$53*HLOOKUP($EK$2,Variables!$B$60:$F$61,2,FALSE)</f>
        <v>0</v>
      </c>
      <c r="ES125" s="1223">
        <f>$G125*BX125*Variables!$B$53*HLOOKUP($EK$2,Variables!$B$60:$F$61,2,FALSE)</f>
        <v>0</v>
      </c>
      <c r="ET125" s="1223">
        <f>$G125*BY125*Variables!$B$53*HLOOKUP($EK$2,Variables!$B$60:$F$61,2,FALSE)</f>
        <v>0</v>
      </c>
      <c r="EU125" s="1223">
        <f>$G125*BZ125*Variables!$B$53*HLOOKUP($EK$2,Variables!$B$60:$F$61,2,FALSE)</f>
        <v>0</v>
      </c>
      <c r="EV125" s="1225">
        <f>$G125*CA125*Variables!$B$53*HLOOKUP($EK$2,Variables!$B$60:$F$61,2,FALSE)</f>
        <v>0</v>
      </c>
      <c r="EW125" s="872">
        <f t="shared" si="15"/>
        <v>0</v>
      </c>
      <c r="EX125" s="872"/>
      <c r="EY125" s="872"/>
      <c r="EZ125" s="872"/>
      <c r="FA125" s="1332"/>
      <c r="FC125" s="958" t="str">
        <f t="shared" si="16"/>
        <v/>
      </c>
      <c r="FD125" s="959" t="str">
        <f t="shared" si="17"/>
        <v/>
      </c>
      <c r="FE125" s="959" t="s">
        <v>8407</v>
      </c>
      <c r="FF125" s="959" t="str">
        <f>IF(ISNA(VLOOKUP(FC125,Miscellaneous!E:F,2,0)),"",VLOOKUP(FC125,Miscellaneous!E:F,2,0))</f>
        <v/>
      </c>
      <c r="FG125" s="959" t="str">
        <f t="shared" si="18"/>
        <v/>
      </c>
      <c r="FH125" s="996">
        <f>IF($FG125="Opex",SUMIF('Monthly Summary'!$C$75:$N$75,"",CC125:CN125),SUMIF('Monthly Summary'!$C$74:$N$74,"",CC125:CN125))</f>
        <v>0</v>
      </c>
      <c r="FI125" s="996">
        <f>IF($FG125="Opex",SUMIF('Monthly Summary'!$O$75:$Z$75,"",CO125:CZ125),SUMIF('Monthly Summary'!$O$74:$Z$74,"",CO125:CZ125))</f>
        <v>0</v>
      </c>
      <c r="FJ125" s="996">
        <f>IF($FG125="Opex",SUMIF('Monthly Summary'!$AA$75:$AL$75,"",DA125:DL125),SUMIF('Monthly Summary'!$AA$74:$AL$74,"",DA125:DL125))</f>
        <v>0</v>
      </c>
      <c r="FK125" s="996">
        <f>IF($FG125="Opex",SUMIF('Monthly Summary'!$AM$75:$AX$75,"",DM125:DX125),SUMIF('Monthly Summary'!$AM$74:$AX$74,"",DM125:DX125))</f>
        <v>0</v>
      </c>
      <c r="FL125" s="996">
        <f>IF($FG125="Opex",SUMIF('Monthly Summary'!$AY$75:$BJ$75,"",DY125:EJ125),SUMIF('Monthly Summary'!$AY$74:$BJ$74,"",DY125:EJ125))</f>
        <v>0</v>
      </c>
      <c r="FM125" s="997">
        <f>IF($FG125="Opex",SUMIF('Monthly Summary'!$BK$75:$BV$75,"",EK125:EV125),SUMIF('Monthly Summary'!$BK$74:$BV$74,"",EK125:EV125))</f>
        <v>0</v>
      </c>
      <c r="FN125" s="997">
        <f t="shared" si="14"/>
        <v>0</v>
      </c>
    </row>
    <row r="126" spans="3:170">
      <c r="C126" s="757"/>
      <c r="D126" s="757"/>
      <c r="E126" s="758"/>
      <c r="F126" s="758"/>
      <c r="G126" s="758"/>
      <c r="H126" s="1215"/>
      <c r="I126" s="761"/>
      <c r="J126" s="761"/>
      <c r="K126" s="761"/>
      <c r="L126" s="761"/>
      <c r="M126" s="761"/>
      <c r="N126" s="761"/>
      <c r="O126" s="761"/>
      <c r="P126" s="761"/>
      <c r="Q126" s="761"/>
      <c r="R126" s="761"/>
      <c r="S126" s="1216"/>
      <c r="T126" s="1215"/>
      <c r="U126" s="761"/>
      <c r="V126" s="761"/>
      <c r="W126" s="761"/>
      <c r="X126" s="761"/>
      <c r="Y126" s="761"/>
      <c r="Z126" s="761"/>
      <c r="AA126" s="761"/>
      <c r="AB126" s="761"/>
      <c r="AC126" s="761"/>
      <c r="AD126" s="761"/>
      <c r="AE126" s="1216"/>
      <c r="AF126" s="1215"/>
      <c r="AG126" s="761"/>
      <c r="AH126" s="761"/>
      <c r="AI126" s="761"/>
      <c r="AJ126" s="761"/>
      <c r="AK126" s="761"/>
      <c r="AL126" s="761"/>
      <c r="AM126" s="761"/>
      <c r="AN126" s="761"/>
      <c r="AO126" s="761"/>
      <c r="AP126" s="761"/>
      <c r="AQ126" s="1216"/>
      <c r="AR126" s="1215"/>
      <c r="AS126" s="761"/>
      <c r="AT126" s="761"/>
      <c r="AU126" s="761"/>
      <c r="AV126" s="761"/>
      <c r="AW126" s="761"/>
      <c r="AX126" s="761"/>
      <c r="AY126" s="761"/>
      <c r="AZ126" s="761"/>
      <c r="BA126" s="761"/>
      <c r="BB126" s="761"/>
      <c r="BC126" s="1216"/>
      <c r="BD126" s="1215"/>
      <c r="BE126" s="761"/>
      <c r="BF126" s="761"/>
      <c r="BG126" s="761"/>
      <c r="BH126" s="761"/>
      <c r="BI126" s="761"/>
      <c r="BJ126" s="761"/>
      <c r="BK126" s="761"/>
      <c r="BL126" s="761"/>
      <c r="BM126" s="761"/>
      <c r="BN126" s="761"/>
      <c r="BO126" s="1216"/>
      <c r="BP126" s="1215"/>
      <c r="BQ126" s="761"/>
      <c r="BR126" s="761"/>
      <c r="BS126" s="761"/>
      <c r="BT126" s="761"/>
      <c r="BU126" s="761"/>
      <c r="BV126" s="761"/>
      <c r="BW126" s="761"/>
      <c r="BX126" s="761"/>
      <c r="BY126" s="761"/>
      <c r="BZ126" s="761"/>
      <c r="CA126" s="1216"/>
      <c r="CB126" s="747"/>
      <c r="CC126" s="1222">
        <f>$G126*H126*Variables!$B$53</f>
        <v>0</v>
      </c>
      <c r="CD126" s="1223">
        <f>$G126*I126*Variables!$B$53</f>
        <v>0</v>
      </c>
      <c r="CE126" s="1223">
        <f>$G126*J126*Variables!$B$53</f>
        <v>0</v>
      </c>
      <c r="CF126" s="1223">
        <f>$G126*K126*Variables!$B$53</f>
        <v>0</v>
      </c>
      <c r="CG126" s="1223">
        <f>$G126*L126*Variables!$B$53</f>
        <v>0</v>
      </c>
      <c r="CH126" s="1223">
        <f>$G126*M126*Variables!$B$53</f>
        <v>0</v>
      </c>
      <c r="CI126" s="1223">
        <f>$G126*N126*Variables!$B$53</f>
        <v>0</v>
      </c>
      <c r="CJ126" s="1223">
        <f>$G126*O126*Variables!$B$53</f>
        <v>0</v>
      </c>
      <c r="CK126" s="1223">
        <f>$G126*P126*Variables!$B$53</f>
        <v>0</v>
      </c>
      <c r="CL126" s="1223">
        <f>$G126*Q126*Variables!$B$53</f>
        <v>0</v>
      </c>
      <c r="CM126" s="1223">
        <f>$G126*R126*Variables!$B$53</f>
        <v>0</v>
      </c>
      <c r="CN126" s="1225">
        <f>$G126*S126*Variables!$B$53</f>
        <v>0</v>
      </c>
      <c r="CO126" s="1222">
        <f>$G126*T126*Variables!$B$53*HLOOKUP($CO$2,Variables!$B$60:$F$61,2,FALSE)</f>
        <v>0</v>
      </c>
      <c r="CP126" s="1223">
        <f>$G126*U126*Variables!$B$53*HLOOKUP($CO$2,Variables!$B$60:$F$61,2,FALSE)</f>
        <v>0</v>
      </c>
      <c r="CQ126" s="1223">
        <f>$G126*V126*Variables!$B$53*HLOOKUP($CO$2,Variables!$B$60:$F$61,2,FALSE)</f>
        <v>0</v>
      </c>
      <c r="CR126" s="1223">
        <f>$G126*W126*Variables!$B$53*HLOOKUP($CO$2,Variables!$B$60:$F$61,2,FALSE)</f>
        <v>0</v>
      </c>
      <c r="CS126" s="1223">
        <f>$G126*X126*Variables!$B$53*HLOOKUP($CO$2,Variables!$B$60:$F$61,2,FALSE)</f>
        <v>0</v>
      </c>
      <c r="CT126" s="1223">
        <f>$G126*Y126*Variables!$B$53*HLOOKUP($CO$2,Variables!$B$60:$F$61,2,FALSE)</f>
        <v>0</v>
      </c>
      <c r="CU126" s="1223">
        <f>$G126*Z126*Variables!$B$53*HLOOKUP($CO$2,Variables!$B$60:$F$61,2,FALSE)</f>
        <v>0</v>
      </c>
      <c r="CV126" s="1223">
        <f>$G126*AA126*Variables!$B$53*HLOOKUP($CO$2,Variables!$B$60:$F$61,2,FALSE)</f>
        <v>0</v>
      </c>
      <c r="CW126" s="1223">
        <f>$G126*AB126*Variables!$B$53*HLOOKUP($CO$2,Variables!$B$60:$F$61,2,FALSE)</f>
        <v>0</v>
      </c>
      <c r="CX126" s="1223">
        <f>$G126*AC126*Variables!$B$53*HLOOKUP($CO$2,Variables!$B$60:$F$61,2,FALSE)</f>
        <v>0</v>
      </c>
      <c r="CY126" s="1223">
        <f>$G126*AD126*Variables!$B$53*HLOOKUP($CO$2,Variables!$B$60:$F$61,2,FALSE)</f>
        <v>0</v>
      </c>
      <c r="CZ126" s="1225">
        <f>$G126*AE126*Variables!$B$53*HLOOKUP($CO$2,Variables!$B$60:$F$61,2,FALSE)</f>
        <v>0</v>
      </c>
      <c r="DA126" s="1222">
        <f>$G126*AF126*Variables!$B$53*HLOOKUP($DA$2,Variables!$B$60:$F$61,2,FALSE)</f>
        <v>0</v>
      </c>
      <c r="DB126" s="1223">
        <f>$G126*AG126*Variables!$B$53*HLOOKUP($DA$2,Variables!$B$60:$F$61,2,FALSE)</f>
        <v>0</v>
      </c>
      <c r="DC126" s="1223">
        <f>$G126*AH126*Variables!$B$53*HLOOKUP($DA$2,Variables!$B$60:$F$61,2,FALSE)</f>
        <v>0</v>
      </c>
      <c r="DD126" s="1223">
        <f>$G126*AI126*Variables!$B$53*HLOOKUP($DA$2,Variables!$B$60:$F$61,2,FALSE)</f>
        <v>0</v>
      </c>
      <c r="DE126" s="1223">
        <f>$G126*AJ126*Variables!$B$53*HLOOKUP($DA$2,Variables!$B$60:$F$61,2,FALSE)</f>
        <v>0</v>
      </c>
      <c r="DF126" s="1223">
        <f>$G126*AK126*Variables!$B$53*HLOOKUP($DA$2,Variables!$B$60:$F$61,2,FALSE)</f>
        <v>0</v>
      </c>
      <c r="DG126" s="1223">
        <f>$G126*AL126*Variables!$B$53*HLOOKUP($DA$2,Variables!$B$60:$F$61,2,FALSE)</f>
        <v>0</v>
      </c>
      <c r="DH126" s="1223">
        <f>$G126*AM126*Variables!$B$53*HLOOKUP($DA$2,Variables!$B$60:$F$61,2,FALSE)</f>
        <v>0</v>
      </c>
      <c r="DI126" s="1223">
        <f>$G126*AN126*Variables!$B$53*HLOOKUP($DA$2,Variables!$B$60:$F$61,2,FALSE)</f>
        <v>0</v>
      </c>
      <c r="DJ126" s="1223">
        <f>$G126*AO126*Variables!$B$53*HLOOKUP($DA$2,Variables!$B$60:$F$61,2,FALSE)</f>
        <v>0</v>
      </c>
      <c r="DK126" s="1223">
        <f>$G126*AP126*Variables!$B$53*HLOOKUP($DA$2,Variables!$B$60:$F$61,2,FALSE)</f>
        <v>0</v>
      </c>
      <c r="DL126" s="1225">
        <f>$G126*AQ126*Variables!$B$53*HLOOKUP($DA$2,Variables!$B$60:$F$61,2,FALSE)</f>
        <v>0</v>
      </c>
      <c r="DM126" s="1222">
        <f>$G126*AR126*Variables!$B$53*HLOOKUP($DM$2,Variables!$B$60:$F$61,2,FALSE)</f>
        <v>0</v>
      </c>
      <c r="DN126" s="1223">
        <f>$G126*AS126*Variables!$B$53*HLOOKUP($DM$2,Variables!$B$60:$F$61,2,FALSE)</f>
        <v>0</v>
      </c>
      <c r="DO126" s="1223">
        <f>$G126*AT126*Variables!$B$53*HLOOKUP($DM$2,Variables!$B$60:$F$61,2,FALSE)</f>
        <v>0</v>
      </c>
      <c r="DP126" s="1223">
        <f>$G126*AU126*Variables!$B$53*HLOOKUP($DM$2,Variables!$B$60:$F$61,2,FALSE)</f>
        <v>0</v>
      </c>
      <c r="DQ126" s="1223">
        <f>$G126*AV126*Variables!$B$53*HLOOKUP($DM$2,Variables!$B$60:$F$61,2,FALSE)</f>
        <v>0</v>
      </c>
      <c r="DR126" s="1223">
        <f>$G126*AW126*Variables!$B$53*HLOOKUP($DM$2,Variables!$B$60:$F$61,2,FALSE)</f>
        <v>0</v>
      </c>
      <c r="DS126" s="1223">
        <f>$G126*AX126*Variables!$B$53*HLOOKUP($DM$2,Variables!$B$60:$F$61,2,FALSE)</f>
        <v>0</v>
      </c>
      <c r="DT126" s="1223">
        <f>$G126*AY126*Variables!$B$53*HLOOKUP($DM$2,Variables!$B$60:$F$61,2,FALSE)</f>
        <v>0</v>
      </c>
      <c r="DU126" s="1223">
        <f>$G126*AZ126*Variables!$B$53*HLOOKUP($DM$2,Variables!$B$60:$F$61,2,FALSE)</f>
        <v>0</v>
      </c>
      <c r="DV126" s="1223">
        <f>$G126*BA126*Variables!$B$53*HLOOKUP($DM$2,Variables!$B$60:$F$61,2,FALSE)</f>
        <v>0</v>
      </c>
      <c r="DW126" s="1223">
        <f>$G126*BB126*Variables!$B$53*HLOOKUP($DM$2,Variables!$B$60:$F$61,2,FALSE)</f>
        <v>0</v>
      </c>
      <c r="DX126" s="1225">
        <f>$G126*BC126*Variables!$B$53*HLOOKUP($DM$2,Variables!$B$60:$F$61,2,FALSE)</f>
        <v>0</v>
      </c>
      <c r="DY126" s="1222">
        <f>$G126*BD126*Variables!$B$53*HLOOKUP($DY$2,Variables!$B$60:$F$61,2,FALSE)</f>
        <v>0</v>
      </c>
      <c r="DZ126" s="1223">
        <f>$G126*BE126*Variables!$B$53*HLOOKUP($DY$2,Variables!$B$60:$F$61,2,FALSE)</f>
        <v>0</v>
      </c>
      <c r="EA126" s="1223">
        <f>$G126*BF126*Variables!$B$53*HLOOKUP($DY$2,Variables!$B$60:$F$61,2,FALSE)</f>
        <v>0</v>
      </c>
      <c r="EB126" s="1223">
        <f>$G126*BG126*Variables!$B$53*HLOOKUP($DY$2,Variables!$B$60:$F$61,2,FALSE)</f>
        <v>0</v>
      </c>
      <c r="EC126" s="1223">
        <f>$G126*BH126*Variables!$B$53*HLOOKUP($DY$2,Variables!$B$60:$F$61,2,FALSE)</f>
        <v>0</v>
      </c>
      <c r="ED126" s="1223">
        <f>$G126*BI126*Variables!$B$53*HLOOKUP($DY$2,Variables!$B$60:$F$61,2,FALSE)</f>
        <v>0</v>
      </c>
      <c r="EE126" s="1223">
        <f>$G126*BJ126*Variables!$B$53*HLOOKUP($DY$2,Variables!$B$60:$F$61,2,FALSE)</f>
        <v>0</v>
      </c>
      <c r="EF126" s="1223">
        <f>$G126*BK126*Variables!$B$53*HLOOKUP($DY$2,Variables!$B$60:$F$61,2,FALSE)</f>
        <v>0</v>
      </c>
      <c r="EG126" s="1223">
        <f>$G126*BL126*Variables!$B$53*HLOOKUP($DY$2,Variables!$B$60:$F$61,2,FALSE)</f>
        <v>0</v>
      </c>
      <c r="EH126" s="1223">
        <f>$G126*BM126*Variables!$B$53*HLOOKUP($DY$2,Variables!$B$60:$F$61,2,FALSE)</f>
        <v>0</v>
      </c>
      <c r="EI126" s="1223">
        <f>$G126*BN126*Variables!$B$53*HLOOKUP($DY$2,Variables!$B$60:$F$61,2,FALSE)</f>
        <v>0</v>
      </c>
      <c r="EJ126" s="1225">
        <f>$G126*BO126*Variables!$B$53*HLOOKUP($DY$2,Variables!$B$60:$F$61,2,FALSE)</f>
        <v>0</v>
      </c>
      <c r="EK126" s="1222">
        <f>$G126*BP126*Variables!$B$53*HLOOKUP($EK$2,Variables!$B$60:$F$61,2,FALSE)</f>
        <v>0</v>
      </c>
      <c r="EL126" s="1223">
        <f>$G126*BQ126*Variables!$B$53*HLOOKUP($EK$2,Variables!$B$60:$F$61,2,FALSE)</f>
        <v>0</v>
      </c>
      <c r="EM126" s="1223">
        <f>$G126*BR126*Variables!$B$53*HLOOKUP($EK$2,Variables!$B$60:$F$61,2,FALSE)</f>
        <v>0</v>
      </c>
      <c r="EN126" s="1223">
        <f>$G126*BS126*Variables!$B$53*HLOOKUP($EK$2,Variables!$B$60:$F$61,2,FALSE)</f>
        <v>0</v>
      </c>
      <c r="EO126" s="1223">
        <f>$G126*BT126*Variables!$B$53*HLOOKUP($EK$2,Variables!$B$60:$F$61,2,FALSE)</f>
        <v>0</v>
      </c>
      <c r="EP126" s="1223">
        <f>$G126*BU126*Variables!$B$53*HLOOKUP($EK$2,Variables!$B$60:$F$61,2,FALSE)</f>
        <v>0</v>
      </c>
      <c r="EQ126" s="1223">
        <f>$G126*BV126*Variables!$B$53*HLOOKUP($EK$2,Variables!$B$60:$F$61,2,FALSE)</f>
        <v>0</v>
      </c>
      <c r="ER126" s="1223">
        <f>$G126*BW126*Variables!$B$53*HLOOKUP($EK$2,Variables!$B$60:$F$61,2,FALSE)</f>
        <v>0</v>
      </c>
      <c r="ES126" s="1223">
        <f>$G126*BX126*Variables!$B$53*HLOOKUP($EK$2,Variables!$B$60:$F$61,2,FALSE)</f>
        <v>0</v>
      </c>
      <c r="ET126" s="1223">
        <f>$G126*BY126*Variables!$B$53*HLOOKUP($EK$2,Variables!$B$60:$F$61,2,FALSE)</f>
        <v>0</v>
      </c>
      <c r="EU126" s="1223">
        <f>$G126*BZ126*Variables!$B$53*HLOOKUP($EK$2,Variables!$B$60:$F$61,2,FALSE)</f>
        <v>0</v>
      </c>
      <c r="EV126" s="1225">
        <f>$G126*CA126*Variables!$B$53*HLOOKUP($EK$2,Variables!$B$60:$F$61,2,FALSE)</f>
        <v>0</v>
      </c>
      <c r="EW126" s="872">
        <f t="shared" si="15"/>
        <v>0</v>
      </c>
      <c r="EX126" s="872"/>
      <c r="EY126" s="872"/>
      <c r="EZ126" s="872"/>
      <c r="FA126" s="1332"/>
      <c r="FC126" s="958" t="str">
        <f t="shared" si="16"/>
        <v/>
      </c>
      <c r="FD126" s="959" t="str">
        <f t="shared" si="17"/>
        <v/>
      </c>
      <c r="FE126" s="959" t="s">
        <v>8407</v>
      </c>
      <c r="FF126" s="959" t="str">
        <f>IF(ISNA(VLOOKUP(FC126,Miscellaneous!E:F,2,0)),"",VLOOKUP(FC126,Miscellaneous!E:F,2,0))</f>
        <v/>
      </c>
      <c r="FG126" s="959" t="str">
        <f t="shared" si="18"/>
        <v/>
      </c>
      <c r="FH126" s="996">
        <f>IF($FG126="Opex",SUMIF('Monthly Summary'!$C$75:$N$75,"",CC126:CN126),SUMIF('Monthly Summary'!$C$74:$N$74,"",CC126:CN126))</f>
        <v>0</v>
      </c>
      <c r="FI126" s="996">
        <f>IF($FG126="Opex",SUMIF('Monthly Summary'!$O$75:$Z$75,"",CO126:CZ126),SUMIF('Monthly Summary'!$O$74:$Z$74,"",CO126:CZ126))</f>
        <v>0</v>
      </c>
      <c r="FJ126" s="996">
        <f>IF($FG126="Opex",SUMIF('Monthly Summary'!$AA$75:$AL$75,"",DA126:DL126),SUMIF('Monthly Summary'!$AA$74:$AL$74,"",DA126:DL126))</f>
        <v>0</v>
      </c>
      <c r="FK126" s="996">
        <f>IF($FG126="Opex",SUMIF('Monthly Summary'!$AM$75:$AX$75,"",DM126:DX126),SUMIF('Monthly Summary'!$AM$74:$AX$74,"",DM126:DX126))</f>
        <v>0</v>
      </c>
      <c r="FL126" s="996">
        <f>IF($FG126="Opex",SUMIF('Monthly Summary'!$AY$75:$BJ$75,"",DY126:EJ126),SUMIF('Monthly Summary'!$AY$74:$BJ$74,"",DY126:EJ126))</f>
        <v>0</v>
      </c>
      <c r="FM126" s="997">
        <f>IF($FG126="Opex",SUMIF('Monthly Summary'!$BK$75:$BV$75,"",EK126:EV126),SUMIF('Monthly Summary'!$BK$74:$BV$74,"",EK126:EV126))</f>
        <v>0</v>
      </c>
      <c r="FN126" s="997">
        <f t="shared" si="14"/>
        <v>0</v>
      </c>
    </row>
    <row r="127" spans="3:170">
      <c r="C127" s="757"/>
      <c r="D127" s="757"/>
      <c r="E127" s="758"/>
      <c r="F127" s="758"/>
      <c r="G127" s="758"/>
      <c r="H127" s="1215"/>
      <c r="I127" s="761"/>
      <c r="J127" s="761"/>
      <c r="K127" s="761"/>
      <c r="L127" s="761"/>
      <c r="M127" s="761"/>
      <c r="N127" s="761"/>
      <c r="O127" s="761"/>
      <c r="P127" s="761"/>
      <c r="Q127" s="761"/>
      <c r="R127" s="761"/>
      <c r="S127" s="1216"/>
      <c r="T127" s="1215"/>
      <c r="U127" s="761"/>
      <c r="V127" s="761"/>
      <c r="W127" s="761"/>
      <c r="X127" s="761"/>
      <c r="Y127" s="761"/>
      <c r="Z127" s="761"/>
      <c r="AA127" s="761"/>
      <c r="AB127" s="761"/>
      <c r="AC127" s="761"/>
      <c r="AD127" s="761"/>
      <c r="AE127" s="1216"/>
      <c r="AF127" s="1215"/>
      <c r="AG127" s="761"/>
      <c r="AH127" s="761"/>
      <c r="AI127" s="761"/>
      <c r="AJ127" s="761"/>
      <c r="AK127" s="761"/>
      <c r="AL127" s="761"/>
      <c r="AM127" s="761"/>
      <c r="AN127" s="761"/>
      <c r="AO127" s="761"/>
      <c r="AP127" s="761"/>
      <c r="AQ127" s="1216"/>
      <c r="AR127" s="1215"/>
      <c r="AS127" s="761"/>
      <c r="AT127" s="761"/>
      <c r="AU127" s="761"/>
      <c r="AV127" s="761"/>
      <c r="AW127" s="761"/>
      <c r="AX127" s="761"/>
      <c r="AY127" s="761"/>
      <c r="AZ127" s="761"/>
      <c r="BA127" s="761"/>
      <c r="BB127" s="761"/>
      <c r="BC127" s="1216"/>
      <c r="BD127" s="1215"/>
      <c r="BE127" s="761"/>
      <c r="BF127" s="761"/>
      <c r="BG127" s="761"/>
      <c r="BH127" s="761"/>
      <c r="BI127" s="761"/>
      <c r="BJ127" s="761"/>
      <c r="BK127" s="761"/>
      <c r="BL127" s="761"/>
      <c r="BM127" s="761"/>
      <c r="BN127" s="761"/>
      <c r="BO127" s="1216"/>
      <c r="BP127" s="1215"/>
      <c r="BQ127" s="761"/>
      <c r="BR127" s="761"/>
      <c r="BS127" s="761"/>
      <c r="BT127" s="761"/>
      <c r="BU127" s="761"/>
      <c r="BV127" s="761"/>
      <c r="BW127" s="761"/>
      <c r="BX127" s="761"/>
      <c r="BY127" s="761"/>
      <c r="BZ127" s="761"/>
      <c r="CA127" s="1216"/>
      <c r="CB127" s="747"/>
      <c r="CC127" s="1222">
        <f>$G127*H127*Variables!$B$53</f>
        <v>0</v>
      </c>
      <c r="CD127" s="1223">
        <f>$G127*I127*Variables!$B$53</f>
        <v>0</v>
      </c>
      <c r="CE127" s="1223">
        <f>$G127*J127*Variables!$B$53</f>
        <v>0</v>
      </c>
      <c r="CF127" s="1223">
        <f>$G127*K127*Variables!$B$53</f>
        <v>0</v>
      </c>
      <c r="CG127" s="1223">
        <f>$G127*L127*Variables!$B$53</f>
        <v>0</v>
      </c>
      <c r="CH127" s="1223">
        <f>$G127*M127*Variables!$B$53</f>
        <v>0</v>
      </c>
      <c r="CI127" s="1223">
        <f>$G127*N127*Variables!$B$53</f>
        <v>0</v>
      </c>
      <c r="CJ127" s="1223">
        <f>$G127*O127*Variables!$B$53</f>
        <v>0</v>
      </c>
      <c r="CK127" s="1223">
        <f>$G127*P127*Variables!$B$53</f>
        <v>0</v>
      </c>
      <c r="CL127" s="1223">
        <f>$G127*Q127*Variables!$B$53</f>
        <v>0</v>
      </c>
      <c r="CM127" s="1223">
        <f>$G127*R127*Variables!$B$53</f>
        <v>0</v>
      </c>
      <c r="CN127" s="1225">
        <f>$G127*S127*Variables!$B$53</f>
        <v>0</v>
      </c>
      <c r="CO127" s="1222">
        <f>$G127*T127*Variables!$B$53*HLOOKUP($CO$2,Variables!$B$60:$F$61,2,FALSE)</f>
        <v>0</v>
      </c>
      <c r="CP127" s="1223">
        <f>$G127*U127*Variables!$B$53*HLOOKUP($CO$2,Variables!$B$60:$F$61,2,FALSE)</f>
        <v>0</v>
      </c>
      <c r="CQ127" s="1223">
        <f>$G127*V127*Variables!$B$53*HLOOKUP($CO$2,Variables!$B$60:$F$61,2,FALSE)</f>
        <v>0</v>
      </c>
      <c r="CR127" s="1223">
        <f>$G127*W127*Variables!$B$53*HLOOKUP($CO$2,Variables!$B$60:$F$61,2,FALSE)</f>
        <v>0</v>
      </c>
      <c r="CS127" s="1223">
        <f>$G127*X127*Variables!$B$53*HLOOKUP($CO$2,Variables!$B$60:$F$61,2,FALSE)</f>
        <v>0</v>
      </c>
      <c r="CT127" s="1223">
        <f>$G127*Y127*Variables!$B$53*HLOOKUP($CO$2,Variables!$B$60:$F$61,2,FALSE)</f>
        <v>0</v>
      </c>
      <c r="CU127" s="1223">
        <f>$G127*Z127*Variables!$B$53*HLOOKUP($CO$2,Variables!$B$60:$F$61,2,FALSE)</f>
        <v>0</v>
      </c>
      <c r="CV127" s="1223">
        <f>$G127*AA127*Variables!$B$53*HLOOKUP($CO$2,Variables!$B$60:$F$61,2,FALSE)</f>
        <v>0</v>
      </c>
      <c r="CW127" s="1223">
        <f>$G127*AB127*Variables!$B$53*HLOOKUP($CO$2,Variables!$B$60:$F$61,2,FALSE)</f>
        <v>0</v>
      </c>
      <c r="CX127" s="1223">
        <f>$G127*AC127*Variables!$B$53*HLOOKUP($CO$2,Variables!$B$60:$F$61,2,FALSE)</f>
        <v>0</v>
      </c>
      <c r="CY127" s="1223">
        <f>$G127*AD127*Variables!$B$53*HLOOKUP($CO$2,Variables!$B$60:$F$61,2,FALSE)</f>
        <v>0</v>
      </c>
      <c r="CZ127" s="1225">
        <f>$G127*AE127*Variables!$B$53*HLOOKUP($CO$2,Variables!$B$60:$F$61,2,FALSE)</f>
        <v>0</v>
      </c>
      <c r="DA127" s="1222">
        <f>$G127*AF127*Variables!$B$53*HLOOKUP($DA$2,Variables!$B$60:$F$61,2,FALSE)</f>
        <v>0</v>
      </c>
      <c r="DB127" s="1223">
        <f>$G127*AG127*Variables!$B$53*HLOOKUP($DA$2,Variables!$B$60:$F$61,2,FALSE)</f>
        <v>0</v>
      </c>
      <c r="DC127" s="1223">
        <f>$G127*AH127*Variables!$B$53*HLOOKUP($DA$2,Variables!$B$60:$F$61,2,FALSE)</f>
        <v>0</v>
      </c>
      <c r="DD127" s="1223">
        <f>$G127*AI127*Variables!$B$53*HLOOKUP($DA$2,Variables!$B$60:$F$61,2,FALSE)</f>
        <v>0</v>
      </c>
      <c r="DE127" s="1223">
        <f>$G127*AJ127*Variables!$B$53*HLOOKUP($DA$2,Variables!$B$60:$F$61,2,FALSE)</f>
        <v>0</v>
      </c>
      <c r="DF127" s="1223">
        <f>$G127*AK127*Variables!$B$53*HLOOKUP($DA$2,Variables!$B$60:$F$61,2,FALSE)</f>
        <v>0</v>
      </c>
      <c r="DG127" s="1223">
        <f>$G127*AL127*Variables!$B$53*HLOOKUP($DA$2,Variables!$B$60:$F$61,2,FALSE)</f>
        <v>0</v>
      </c>
      <c r="DH127" s="1223">
        <f>$G127*AM127*Variables!$B$53*HLOOKUP($DA$2,Variables!$B$60:$F$61,2,FALSE)</f>
        <v>0</v>
      </c>
      <c r="DI127" s="1223">
        <f>$G127*AN127*Variables!$B$53*HLOOKUP($DA$2,Variables!$B$60:$F$61,2,FALSE)</f>
        <v>0</v>
      </c>
      <c r="DJ127" s="1223">
        <f>$G127*AO127*Variables!$B$53*HLOOKUP($DA$2,Variables!$B$60:$F$61,2,FALSE)</f>
        <v>0</v>
      </c>
      <c r="DK127" s="1223">
        <f>$G127*AP127*Variables!$B$53*HLOOKUP($DA$2,Variables!$B$60:$F$61,2,FALSE)</f>
        <v>0</v>
      </c>
      <c r="DL127" s="1225">
        <f>$G127*AQ127*Variables!$B$53*HLOOKUP($DA$2,Variables!$B$60:$F$61,2,FALSE)</f>
        <v>0</v>
      </c>
      <c r="DM127" s="1222">
        <f>$G127*AR127*Variables!$B$53*HLOOKUP($DM$2,Variables!$B$60:$F$61,2,FALSE)</f>
        <v>0</v>
      </c>
      <c r="DN127" s="1223">
        <f>$G127*AS127*Variables!$B$53*HLOOKUP($DM$2,Variables!$B$60:$F$61,2,FALSE)</f>
        <v>0</v>
      </c>
      <c r="DO127" s="1223">
        <f>$G127*AT127*Variables!$B$53*HLOOKUP($DM$2,Variables!$B$60:$F$61,2,FALSE)</f>
        <v>0</v>
      </c>
      <c r="DP127" s="1223">
        <f>$G127*AU127*Variables!$B$53*HLOOKUP($DM$2,Variables!$B$60:$F$61,2,FALSE)</f>
        <v>0</v>
      </c>
      <c r="DQ127" s="1223">
        <f>$G127*AV127*Variables!$B$53*HLOOKUP($DM$2,Variables!$B$60:$F$61,2,FALSE)</f>
        <v>0</v>
      </c>
      <c r="DR127" s="1223">
        <f>$G127*AW127*Variables!$B$53*HLOOKUP($DM$2,Variables!$B$60:$F$61,2,FALSE)</f>
        <v>0</v>
      </c>
      <c r="DS127" s="1223">
        <f>$G127*AX127*Variables!$B$53*HLOOKUP($DM$2,Variables!$B$60:$F$61,2,FALSE)</f>
        <v>0</v>
      </c>
      <c r="DT127" s="1223">
        <f>$G127*AY127*Variables!$B$53*HLOOKUP($DM$2,Variables!$B$60:$F$61,2,FALSE)</f>
        <v>0</v>
      </c>
      <c r="DU127" s="1223">
        <f>$G127*AZ127*Variables!$B$53*HLOOKUP($DM$2,Variables!$B$60:$F$61,2,FALSE)</f>
        <v>0</v>
      </c>
      <c r="DV127" s="1223">
        <f>$G127*BA127*Variables!$B$53*HLOOKUP($DM$2,Variables!$B$60:$F$61,2,FALSE)</f>
        <v>0</v>
      </c>
      <c r="DW127" s="1223">
        <f>$G127*BB127*Variables!$B$53*HLOOKUP($DM$2,Variables!$B$60:$F$61,2,FALSE)</f>
        <v>0</v>
      </c>
      <c r="DX127" s="1225">
        <f>$G127*BC127*Variables!$B$53*HLOOKUP($DM$2,Variables!$B$60:$F$61,2,FALSE)</f>
        <v>0</v>
      </c>
      <c r="DY127" s="1222">
        <f>$G127*BD127*Variables!$B$53*HLOOKUP($DY$2,Variables!$B$60:$F$61,2,FALSE)</f>
        <v>0</v>
      </c>
      <c r="DZ127" s="1223">
        <f>$G127*BE127*Variables!$B$53*HLOOKUP($DY$2,Variables!$B$60:$F$61,2,FALSE)</f>
        <v>0</v>
      </c>
      <c r="EA127" s="1223">
        <f>$G127*BF127*Variables!$B$53*HLOOKUP($DY$2,Variables!$B$60:$F$61,2,FALSE)</f>
        <v>0</v>
      </c>
      <c r="EB127" s="1223">
        <f>$G127*BG127*Variables!$B$53*HLOOKUP($DY$2,Variables!$B$60:$F$61,2,FALSE)</f>
        <v>0</v>
      </c>
      <c r="EC127" s="1223">
        <f>$G127*BH127*Variables!$B$53*HLOOKUP($DY$2,Variables!$B$60:$F$61,2,FALSE)</f>
        <v>0</v>
      </c>
      <c r="ED127" s="1223">
        <f>$G127*BI127*Variables!$B$53*HLOOKUP($DY$2,Variables!$B$60:$F$61,2,FALSE)</f>
        <v>0</v>
      </c>
      <c r="EE127" s="1223">
        <f>$G127*BJ127*Variables!$B$53*HLOOKUP($DY$2,Variables!$B$60:$F$61,2,FALSE)</f>
        <v>0</v>
      </c>
      <c r="EF127" s="1223">
        <f>$G127*BK127*Variables!$B$53*HLOOKUP($DY$2,Variables!$B$60:$F$61,2,FALSE)</f>
        <v>0</v>
      </c>
      <c r="EG127" s="1223">
        <f>$G127*BL127*Variables!$B$53*HLOOKUP($DY$2,Variables!$B$60:$F$61,2,FALSE)</f>
        <v>0</v>
      </c>
      <c r="EH127" s="1223">
        <f>$G127*BM127*Variables!$B$53*HLOOKUP($DY$2,Variables!$B$60:$F$61,2,FALSE)</f>
        <v>0</v>
      </c>
      <c r="EI127" s="1223">
        <f>$G127*BN127*Variables!$B$53*HLOOKUP($DY$2,Variables!$B$60:$F$61,2,FALSE)</f>
        <v>0</v>
      </c>
      <c r="EJ127" s="1225">
        <f>$G127*BO127*Variables!$B$53*HLOOKUP($DY$2,Variables!$B$60:$F$61,2,FALSE)</f>
        <v>0</v>
      </c>
      <c r="EK127" s="1222">
        <f>$G127*BP127*Variables!$B$53*HLOOKUP($EK$2,Variables!$B$60:$F$61,2,FALSE)</f>
        <v>0</v>
      </c>
      <c r="EL127" s="1223">
        <f>$G127*BQ127*Variables!$B$53*HLOOKUP($EK$2,Variables!$B$60:$F$61,2,FALSE)</f>
        <v>0</v>
      </c>
      <c r="EM127" s="1223">
        <f>$G127*BR127*Variables!$B$53*HLOOKUP($EK$2,Variables!$B$60:$F$61,2,FALSE)</f>
        <v>0</v>
      </c>
      <c r="EN127" s="1223">
        <f>$G127*BS127*Variables!$B$53*HLOOKUP($EK$2,Variables!$B$60:$F$61,2,FALSE)</f>
        <v>0</v>
      </c>
      <c r="EO127" s="1223">
        <f>$G127*BT127*Variables!$B$53*HLOOKUP($EK$2,Variables!$B$60:$F$61,2,FALSE)</f>
        <v>0</v>
      </c>
      <c r="EP127" s="1223">
        <f>$G127*BU127*Variables!$B$53*HLOOKUP($EK$2,Variables!$B$60:$F$61,2,FALSE)</f>
        <v>0</v>
      </c>
      <c r="EQ127" s="1223">
        <f>$G127*BV127*Variables!$B$53*HLOOKUP($EK$2,Variables!$B$60:$F$61,2,FALSE)</f>
        <v>0</v>
      </c>
      <c r="ER127" s="1223">
        <f>$G127*BW127*Variables!$B$53*HLOOKUP($EK$2,Variables!$B$60:$F$61,2,FALSE)</f>
        <v>0</v>
      </c>
      <c r="ES127" s="1223">
        <f>$G127*BX127*Variables!$B$53*HLOOKUP($EK$2,Variables!$B$60:$F$61,2,FALSE)</f>
        <v>0</v>
      </c>
      <c r="ET127" s="1223">
        <f>$G127*BY127*Variables!$B$53*HLOOKUP($EK$2,Variables!$B$60:$F$61,2,FALSE)</f>
        <v>0</v>
      </c>
      <c r="EU127" s="1223">
        <f>$G127*BZ127*Variables!$B$53*HLOOKUP($EK$2,Variables!$B$60:$F$61,2,FALSE)</f>
        <v>0</v>
      </c>
      <c r="EV127" s="1225">
        <f>$G127*CA127*Variables!$B$53*HLOOKUP($EK$2,Variables!$B$60:$F$61,2,FALSE)</f>
        <v>0</v>
      </c>
      <c r="EW127" s="872">
        <f t="shared" si="15"/>
        <v>0</v>
      </c>
      <c r="EX127" s="872"/>
      <c r="EY127" s="872"/>
      <c r="EZ127" s="872"/>
      <c r="FA127" s="1332"/>
      <c r="FC127" s="958" t="str">
        <f t="shared" si="16"/>
        <v/>
      </c>
      <c r="FD127" s="959" t="str">
        <f t="shared" si="17"/>
        <v/>
      </c>
      <c r="FE127" s="959" t="s">
        <v>8407</v>
      </c>
      <c r="FF127" s="959" t="str">
        <f>IF(ISNA(VLOOKUP(FC127,Miscellaneous!E:F,2,0)),"",VLOOKUP(FC127,Miscellaneous!E:F,2,0))</f>
        <v/>
      </c>
      <c r="FG127" s="959" t="str">
        <f t="shared" si="18"/>
        <v/>
      </c>
      <c r="FH127" s="996">
        <f>IF($FG127="Opex",SUMIF('Monthly Summary'!$C$75:$N$75,"",CC127:CN127),SUMIF('Monthly Summary'!$C$74:$N$74,"",CC127:CN127))</f>
        <v>0</v>
      </c>
      <c r="FI127" s="996">
        <f>IF($FG127="Opex",SUMIF('Monthly Summary'!$O$75:$Z$75,"",CO127:CZ127),SUMIF('Monthly Summary'!$O$74:$Z$74,"",CO127:CZ127))</f>
        <v>0</v>
      </c>
      <c r="FJ127" s="996">
        <f>IF($FG127="Opex",SUMIF('Monthly Summary'!$AA$75:$AL$75,"",DA127:DL127),SUMIF('Monthly Summary'!$AA$74:$AL$74,"",DA127:DL127))</f>
        <v>0</v>
      </c>
      <c r="FK127" s="996">
        <f>IF($FG127="Opex",SUMIF('Monthly Summary'!$AM$75:$AX$75,"",DM127:DX127),SUMIF('Monthly Summary'!$AM$74:$AX$74,"",DM127:DX127))</f>
        <v>0</v>
      </c>
      <c r="FL127" s="996">
        <f>IF($FG127="Opex",SUMIF('Monthly Summary'!$AY$75:$BJ$75,"",DY127:EJ127),SUMIF('Monthly Summary'!$AY$74:$BJ$74,"",DY127:EJ127))</f>
        <v>0</v>
      </c>
      <c r="FM127" s="997">
        <f>IF($FG127="Opex",SUMIF('Monthly Summary'!$BK$75:$BV$75,"",EK127:EV127),SUMIF('Monthly Summary'!$BK$74:$BV$74,"",EK127:EV127))</f>
        <v>0</v>
      </c>
      <c r="FN127" s="997">
        <f t="shared" si="14"/>
        <v>0</v>
      </c>
    </row>
    <row r="128" spans="3:170">
      <c r="C128" s="757"/>
      <c r="D128" s="757"/>
      <c r="E128" s="758"/>
      <c r="F128" s="758"/>
      <c r="G128" s="758"/>
      <c r="H128" s="1215"/>
      <c r="I128" s="761"/>
      <c r="J128" s="761"/>
      <c r="K128" s="761"/>
      <c r="L128" s="761"/>
      <c r="M128" s="761"/>
      <c r="N128" s="761"/>
      <c r="O128" s="761"/>
      <c r="P128" s="761"/>
      <c r="Q128" s="761"/>
      <c r="R128" s="761"/>
      <c r="S128" s="1216"/>
      <c r="T128" s="1215"/>
      <c r="U128" s="761"/>
      <c r="V128" s="761"/>
      <c r="W128" s="761"/>
      <c r="X128" s="761"/>
      <c r="Y128" s="761"/>
      <c r="Z128" s="761"/>
      <c r="AA128" s="761"/>
      <c r="AB128" s="761"/>
      <c r="AC128" s="761"/>
      <c r="AD128" s="761"/>
      <c r="AE128" s="1216"/>
      <c r="AF128" s="1215"/>
      <c r="AG128" s="761"/>
      <c r="AH128" s="761"/>
      <c r="AI128" s="761"/>
      <c r="AJ128" s="761"/>
      <c r="AK128" s="761"/>
      <c r="AL128" s="761"/>
      <c r="AM128" s="761"/>
      <c r="AN128" s="761"/>
      <c r="AO128" s="761"/>
      <c r="AP128" s="761"/>
      <c r="AQ128" s="1216"/>
      <c r="AR128" s="1215"/>
      <c r="AS128" s="761"/>
      <c r="AT128" s="761"/>
      <c r="AU128" s="761"/>
      <c r="AV128" s="761"/>
      <c r="AW128" s="761"/>
      <c r="AX128" s="761"/>
      <c r="AY128" s="761"/>
      <c r="AZ128" s="761"/>
      <c r="BA128" s="761"/>
      <c r="BB128" s="761"/>
      <c r="BC128" s="1216"/>
      <c r="BD128" s="1215"/>
      <c r="BE128" s="761"/>
      <c r="BF128" s="761"/>
      <c r="BG128" s="761"/>
      <c r="BH128" s="761"/>
      <c r="BI128" s="761"/>
      <c r="BJ128" s="761"/>
      <c r="BK128" s="761"/>
      <c r="BL128" s="761"/>
      <c r="BM128" s="761"/>
      <c r="BN128" s="761"/>
      <c r="BO128" s="1216"/>
      <c r="BP128" s="1215"/>
      <c r="BQ128" s="761"/>
      <c r="BR128" s="761"/>
      <c r="BS128" s="761"/>
      <c r="BT128" s="761"/>
      <c r="BU128" s="761"/>
      <c r="BV128" s="761"/>
      <c r="BW128" s="761"/>
      <c r="BX128" s="761"/>
      <c r="BY128" s="761"/>
      <c r="BZ128" s="761"/>
      <c r="CA128" s="1216"/>
      <c r="CB128" s="747"/>
      <c r="CC128" s="1222">
        <f>$G128*H128*Variables!$B$53</f>
        <v>0</v>
      </c>
      <c r="CD128" s="1223">
        <f>$G128*I128*Variables!$B$53</f>
        <v>0</v>
      </c>
      <c r="CE128" s="1223">
        <f>$G128*J128*Variables!$B$53</f>
        <v>0</v>
      </c>
      <c r="CF128" s="1223">
        <f>$G128*K128*Variables!$B$53</f>
        <v>0</v>
      </c>
      <c r="CG128" s="1223">
        <f>$G128*L128*Variables!$B$53</f>
        <v>0</v>
      </c>
      <c r="CH128" s="1223">
        <f>$G128*M128*Variables!$B$53</f>
        <v>0</v>
      </c>
      <c r="CI128" s="1223">
        <f>$G128*N128*Variables!$B$53</f>
        <v>0</v>
      </c>
      <c r="CJ128" s="1223">
        <f>$G128*O128*Variables!$B$53</f>
        <v>0</v>
      </c>
      <c r="CK128" s="1223">
        <f>$G128*P128*Variables!$B$53</f>
        <v>0</v>
      </c>
      <c r="CL128" s="1223">
        <f>$G128*Q128*Variables!$B$53</f>
        <v>0</v>
      </c>
      <c r="CM128" s="1223">
        <f>$G128*R128*Variables!$B$53</f>
        <v>0</v>
      </c>
      <c r="CN128" s="1225">
        <f>$G128*S128*Variables!$B$53</f>
        <v>0</v>
      </c>
      <c r="CO128" s="1222">
        <f>$G128*T128*Variables!$B$53*HLOOKUP($CO$2,Variables!$B$60:$F$61,2,FALSE)</f>
        <v>0</v>
      </c>
      <c r="CP128" s="1223">
        <f>$G128*U128*Variables!$B$53*HLOOKUP($CO$2,Variables!$B$60:$F$61,2,FALSE)</f>
        <v>0</v>
      </c>
      <c r="CQ128" s="1223">
        <f>$G128*V128*Variables!$B$53*HLOOKUP($CO$2,Variables!$B$60:$F$61,2,FALSE)</f>
        <v>0</v>
      </c>
      <c r="CR128" s="1223">
        <f>$G128*W128*Variables!$B$53*HLOOKUP($CO$2,Variables!$B$60:$F$61,2,FALSE)</f>
        <v>0</v>
      </c>
      <c r="CS128" s="1223">
        <f>$G128*X128*Variables!$B$53*HLOOKUP($CO$2,Variables!$B$60:$F$61,2,FALSE)</f>
        <v>0</v>
      </c>
      <c r="CT128" s="1223">
        <f>$G128*Y128*Variables!$B$53*HLOOKUP($CO$2,Variables!$B$60:$F$61,2,FALSE)</f>
        <v>0</v>
      </c>
      <c r="CU128" s="1223">
        <f>$G128*Z128*Variables!$B$53*HLOOKUP($CO$2,Variables!$B$60:$F$61,2,FALSE)</f>
        <v>0</v>
      </c>
      <c r="CV128" s="1223">
        <f>$G128*AA128*Variables!$B$53*HLOOKUP($CO$2,Variables!$B$60:$F$61,2,FALSE)</f>
        <v>0</v>
      </c>
      <c r="CW128" s="1223">
        <f>$G128*AB128*Variables!$B$53*HLOOKUP($CO$2,Variables!$B$60:$F$61,2,FALSE)</f>
        <v>0</v>
      </c>
      <c r="CX128" s="1223">
        <f>$G128*AC128*Variables!$B$53*HLOOKUP($CO$2,Variables!$B$60:$F$61,2,FALSE)</f>
        <v>0</v>
      </c>
      <c r="CY128" s="1223">
        <f>$G128*AD128*Variables!$B$53*HLOOKUP($CO$2,Variables!$B$60:$F$61,2,FALSE)</f>
        <v>0</v>
      </c>
      <c r="CZ128" s="1225">
        <f>$G128*AE128*Variables!$B$53*HLOOKUP($CO$2,Variables!$B$60:$F$61,2,FALSE)</f>
        <v>0</v>
      </c>
      <c r="DA128" s="1222">
        <f>$G128*AF128*Variables!$B$53*HLOOKUP($DA$2,Variables!$B$60:$F$61,2,FALSE)</f>
        <v>0</v>
      </c>
      <c r="DB128" s="1223">
        <f>$G128*AG128*Variables!$B$53*HLOOKUP($DA$2,Variables!$B$60:$F$61,2,FALSE)</f>
        <v>0</v>
      </c>
      <c r="DC128" s="1223">
        <f>$G128*AH128*Variables!$B$53*HLOOKUP($DA$2,Variables!$B$60:$F$61,2,FALSE)</f>
        <v>0</v>
      </c>
      <c r="DD128" s="1223">
        <f>$G128*AI128*Variables!$B$53*HLOOKUP($DA$2,Variables!$B$60:$F$61,2,FALSE)</f>
        <v>0</v>
      </c>
      <c r="DE128" s="1223">
        <f>$G128*AJ128*Variables!$B$53*HLOOKUP($DA$2,Variables!$B$60:$F$61,2,FALSE)</f>
        <v>0</v>
      </c>
      <c r="DF128" s="1223">
        <f>$G128*AK128*Variables!$B$53*HLOOKUP($DA$2,Variables!$B$60:$F$61,2,FALSE)</f>
        <v>0</v>
      </c>
      <c r="DG128" s="1223">
        <f>$G128*AL128*Variables!$B$53*HLOOKUP($DA$2,Variables!$B$60:$F$61,2,FALSE)</f>
        <v>0</v>
      </c>
      <c r="DH128" s="1223">
        <f>$G128*AM128*Variables!$B$53*HLOOKUP($DA$2,Variables!$B$60:$F$61,2,FALSE)</f>
        <v>0</v>
      </c>
      <c r="DI128" s="1223">
        <f>$G128*AN128*Variables!$B$53*HLOOKUP($DA$2,Variables!$B$60:$F$61,2,FALSE)</f>
        <v>0</v>
      </c>
      <c r="DJ128" s="1223">
        <f>$G128*AO128*Variables!$B$53*HLOOKUP($DA$2,Variables!$B$60:$F$61,2,FALSE)</f>
        <v>0</v>
      </c>
      <c r="DK128" s="1223">
        <f>$G128*AP128*Variables!$B$53*HLOOKUP($DA$2,Variables!$B$60:$F$61,2,FALSE)</f>
        <v>0</v>
      </c>
      <c r="DL128" s="1225">
        <f>$G128*AQ128*Variables!$B$53*HLOOKUP($DA$2,Variables!$B$60:$F$61,2,FALSE)</f>
        <v>0</v>
      </c>
      <c r="DM128" s="1222">
        <f>$G128*AR128*Variables!$B$53*HLOOKUP($DM$2,Variables!$B$60:$F$61,2,FALSE)</f>
        <v>0</v>
      </c>
      <c r="DN128" s="1223">
        <f>$G128*AS128*Variables!$B$53*HLOOKUP($DM$2,Variables!$B$60:$F$61,2,FALSE)</f>
        <v>0</v>
      </c>
      <c r="DO128" s="1223">
        <f>$G128*AT128*Variables!$B$53*HLOOKUP($DM$2,Variables!$B$60:$F$61,2,FALSE)</f>
        <v>0</v>
      </c>
      <c r="DP128" s="1223">
        <f>$G128*AU128*Variables!$B$53*HLOOKUP($DM$2,Variables!$B$60:$F$61,2,FALSE)</f>
        <v>0</v>
      </c>
      <c r="DQ128" s="1223">
        <f>$G128*AV128*Variables!$B$53*HLOOKUP($DM$2,Variables!$B$60:$F$61,2,FALSE)</f>
        <v>0</v>
      </c>
      <c r="DR128" s="1223">
        <f>$G128*AW128*Variables!$B$53*HLOOKUP($DM$2,Variables!$B$60:$F$61,2,FALSE)</f>
        <v>0</v>
      </c>
      <c r="DS128" s="1223">
        <f>$G128*AX128*Variables!$B$53*HLOOKUP($DM$2,Variables!$B$60:$F$61,2,FALSE)</f>
        <v>0</v>
      </c>
      <c r="DT128" s="1223">
        <f>$G128*AY128*Variables!$B$53*HLOOKUP($DM$2,Variables!$B$60:$F$61,2,FALSE)</f>
        <v>0</v>
      </c>
      <c r="DU128" s="1223">
        <f>$G128*AZ128*Variables!$B$53*HLOOKUP($DM$2,Variables!$B$60:$F$61,2,FALSE)</f>
        <v>0</v>
      </c>
      <c r="DV128" s="1223">
        <f>$G128*BA128*Variables!$B$53*HLOOKUP($DM$2,Variables!$B$60:$F$61,2,FALSE)</f>
        <v>0</v>
      </c>
      <c r="DW128" s="1223">
        <f>$G128*BB128*Variables!$B$53*HLOOKUP($DM$2,Variables!$B$60:$F$61,2,FALSE)</f>
        <v>0</v>
      </c>
      <c r="DX128" s="1225">
        <f>$G128*BC128*Variables!$B$53*HLOOKUP($DM$2,Variables!$B$60:$F$61,2,FALSE)</f>
        <v>0</v>
      </c>
      <c r="DY128" s="1222">
        <f>$G128*BD128*Variables!$B$53*HLOOKUP($DY$2,Variables!$B$60:$F$61,2,FALSE)</f>
        <v>0</v>
      </c>
      <c r="DZ128" s="1223">
        <f>$G128*BE128*Variables!$B$53*HLOOKUP($DY$2,Variables!$B$60:$F$61,2,FALSE)</f>
        <v>0</v>
      </c>
      <c r="EA128" s="1223">
        <f>$G128*BF128*Variables!$B$53*HLOOKUP($DY$2,Variables!$B$60:$F$61,2,FALSE)</f>
        <v>0</v>
      </c>
      <c r="EB128" s="1223">
        <f>$G128*BG128*Variables!$B$53*HLOOKUP($DY$2,Variables!$B$60:$F$61,2,FALSE)</f>
        <v>0</v>
      </c>
      <c r="EC128" s="1223">
        <f>$G128*BH128*Variables!$B$53*HLOOKUP($DY$2,Variables!$B$60:$F$61,2,FALSE)</f>
        <v>0</v>
      </c>
      <c r="ED128" s="1223">
        <f>$G128*BI128*Variables!$B$53*HLOOKUP($DY$2,Variables!$B$60:$F$61,2,FALSE)</f>
        <v>0</v>
      </c>
      <c r="EE128" s="1223">
        <f>$G128*BJ128*Variables!$B$53*HLOOKUP($DY$2,Variables!$B$60:$F$61,2,FALSE)</f>
        <v>0</v>
      </c>
      <c r="EF128" s="1223">
        <f>$G128*BK128*Variables!$B$53*HLOOKUP($DY$2,Variables!$B$60:$F$61,2,FALSE)</f>
        <v>0</v>
      </c>
      <c r="EG128" s="1223">
        <f>$G128*BL128*Variables!$B$53*HLOOKUP($DY$2,Variables!$B$60:$F$61,2,FALSE)</f>
        <v>0</v>
      </c>
      <c r="EH128" s="1223">
        <f>$G128*BM128*Variables!$B$53*HLOOKUP($DY$2,Variables!$B$60:$F$61,2,FALSE)</f>
        <v>0</v>
      </c>
      <c r="EI128" s="1223">
        <f>$G128*BN128*Variables!$B$53*HLOOKUP($DY$2,Variables!$B$60:$F$61,2,FALSE)</f>
        <v>0</v>
      </c>
      <c r="EJ128" s="1225">
        <f>$G128*BO128*Variables!$B$53*HLOOKUP($DY$2,Variables!$B$60:$F$61,2,FALSE)</f>
        <v>0</v>
      </c>
      <c r="EK128" s="1222">
        <f>$G128*BP128*Variables!$B$53*HLOOKUP($EK$2,Variables!$B$60:$F$61,2,FALSE)</f>
        <v>0</v>
      </c>
      <c r="EL128" s="1223">
        <f>$G128*BQ128*Variables!$B$53*HLOOKUP($EK$2,Variables!$B$60:$F$61,2,FALSE)</f>
        <v>0</v>
      </c>
      <c r="EM128" s="1223">
        <f>$G128*BR128*Variables!$B$53*HLOOKUP($EK$2,Variables!$B$60:$F$61,2,FALSE)</f>
        <v>0</v>
      </c>
      <c r="EN128" s="1223">
        <f>$G128*BS128*Variables!$B$53*HLOOKUP($EK$2,Variables!$B$60:$F$61,2,FALSE)</f>
        <v>0</v>
      </c>
      <c r="EO128" s="1223">
        <f>$G128*BT128*Variables!$B$53*HLOOKUP($EK$2,Variables!$B$60:$F$61,2,FALSE)</f>
        <v>0</v>
      </c>
      <c r="EP128" s="1223">
        <f>$G128*BU128*Variables!$B$53*HLOOKUP($EK$2,Variables!$B$60:$F$61,2,FALSE)</f>
        <v>0</v>
      </c>
      <c r="EQ128" s="1223">
        <f>$G128*BV128*Variables!$B$53*HLOOKUP($EK$2,Variables!$B$60:$F$61,2,FALSE)</f>
        <v>0</v>
      </c>
      <c r="ER128" s="1223">
        <f>$G128*BW128*Variables!$B$53*HLOOKUP($EK$2,Variables!$B$60:$F$61,2,FALSE)</f>
        <v>0</v>
      </c>
      <c r="ES128" s="1223">
        <f>$G128*BX128*Variables!$B$53*HLOOKUP($EK$2,Variables!$B$60:$F$61,2,FALSE)</f>
        <v>0</v>
      </c>
      <c r="ET128" s="1223">
        <f>$G128*BY128*Variables!$B$53*HLOOKUP($EK$2,Variables!$B$60:$F$61,2,FALSE)</f>
        <v>0</v>
      </c>
      <c r="EU128" s="1223">
        <f>$G128*BZ128*Variables!$B$53*HLOOKUP($EK$2,Variables!$B$60:$F$61,2,FALSE)</f>
        <v>0</v>
      </c>
      <c r="EV128" s="1225">
        <f>$G128*CA128*Variables!$B$53*HLOOKUP($EK$2,Variables!$B$60:$F$61,2,FALSE)</f>
        <v>0</v>
      </c>
      <c r="EW128" s="872">
        <f t="shared" si="15"/>
        <v>0</v>
      </c>
      <c r="EX128" s="872"/>
      <c r="EY128" s="872"/>
      <c r="EZ128" s="872"/>
      <c r="FA128" s="1332"/>
      <c r="FC128" s="958" t="str">
        <f t="shared" si="16"/>
        <v/>
      </c>
      <c r="FD128" s="959" t="str">
        <f t="shared" si="17"/>
        <v/>
      </c>
      <c r="FE128" s="959" t="s">
        <v>8407</v>
      </c>
      <c r="FF128" s="959" t="str">
        <f>IF(ISNA(VLOOKUP(FC128,Miscellaneous!E:F,2,0)),"",VLOOKUP(FC128,Miscellaneous!E:F,2,0))</f>
        <v/>
      </c>
      <c r="FG128" s="959" t="str">
        <f t="shared" si="18"/>
        <v/>
      </c>
      <c r="FH128" s="996">
        <f>IF($FG128="Opex",SUMIF('Monthly Summary'!$C$75:$N$75,"",CC128:CN128),SUMIF('Monthly Summary'!$C$74:$N$74,"",CC128:CN128))</f>
        <v>0</v>
      </c>
      <c r="FI128" s="996">
        <f>IF($FG128="Opex",SUMIF('Monthly Summary'!$O$75:$Z$75,"",CO128:CZ128),SUMIF('Monthly Summary'!$O$74:$Z$74,"",CO128:CZ128))</f>
        <v>0</v>
      </c>
      <c r="FJ128" s="996">
        <f>IF($FG128="Opex",SUMIF('Monthly Summary'!$AA$75:$AL$75,"",DA128:DL128),SUMIF('Monthly Summary'!$AA$74:$AL$74,"",DA128:DL128))</f>
        <v>0</v>
      </c>
      <c r="FK128" s="996">
        <f>IF($FG128="Opex",SUMIF('Monthly Summary'!$AM$75:$AX$75,"",DM128:DX128),SUMIF('Monthly Summary'!$AM$74:$AX$74,"",DM128:DX128))</f>
        <v>0</v>
      </c>
      <c r="FL128" s="996">
        <f>IF($FG128="Opex",SUMIF('Monthly Summary'!$AY$75:$BJ$75,"",DY128:EJ128),SUMIF('Monthly Summary'!$AY$74:$BJ$74,"",DY128:EJ128))</f>
        <v>0</v>
      </c>
      <c r="FM128" s="997">
        <f>IF($FG128="Opex",SUMIF('Monthly Summary'!$BK$75:$BV$75,"",EK128:EV128),SUMIF('Monthly Summary'!$BK$74:$BV$74,"",EK128:EV128))</f>
        <v>0</v>
      </c>
      <c r="FN128" s="997">
        <f t="shared" si="14"/>
        <v>0</v>
      </c>
    </row>
    <row r="129" spans="3:170">
      <c r="C129" s="757"/>
      <c r="D129" s="757"/>
      <c r="E129" s="758"/>
      <c r="F129" s="758"/>
      <c r="G129" s="758"/>
      <c r="H129" s="1215"/>
      <c r="I129" s="761"/>
      <c r="J129" s="761"/>
      <c r="K129" s="761"/>
      <c r="L129" s="761"/>
      <c r="M129" s="761"/>
      <c r="N129" s="761"/>
      <c r="O129" s="761"/>
      <c r="P129" s="761"/>
      <c r="Q129" s="761"/>
      <c r="R129" s="761"/>
      <c r="S129" s="1216"/>
      <c r="T129" s="1215"/>
      <c r="U129" s="761"/>
      <c r="V129" s="761"/>
      <c r="W129" s="761"/>
      <c r="X129" s="761"/>
      <c r="Y129" s="761"/>
      <c r="Z129" s="761"/>
      <c r="AA129" s="761"/>
      <c r="AB129" s="761"/>
      <c r="AC129" s="761"/>
      <c r="AD129" s="761"/>
      <c r="AE129" s="1216"/>
      <c r="AF129" s="1215"/>
      <c r="AG129" s="761"/>
      <c r="AH129" s="761"/>
      <c r="AI129" s="761"/>
      <c r="AJ129" s="761"/>
      <c r="AK129" s="761"/>
      <c r="AL129" s="761"/>
      <c r="AM129" s="761"/>
      <c r="AN129" s="761"/>
      <c r="AO129" s="761"/>
      <c r="AP129" s="761"/>
      <c r="AQ129" s="1216"/>
      <c r="AR129" s="1215"/>
      <c r="AS129" s="761"/>
      <c r="AT129" s="761"/>
      <c r="AU129" s="761"/>
      <c r="AV129" s="761"/>
      <c r="AW129" s="761"/>
      <c r="AX129" s="761"/>
      <c r="AY129" s="761"/>
      <c r="AZ129" s="761"/>
      <c r="BA129" s="761"/>
      <c r="BB129" s="761"/>
      <c r="BC129" s="1216"/>
      <c r="BD129" s="1215"/>
      <c r="BE129" s="761"/>
      <c r="BF129" s="761"/>
      <c r="BG129" s="761"/>
      <c r="BH129" s="761"/>
      <c r="BI129" s="761"/>
      <c r="BJ129" s="761"/>
      <c r="BK129" s="761"/>
      <c r="BL129" s="761"/>
      <c r="BM129" s="761"/>
      <c r="BN129" s="761"/>
      <c r="BO129" s="1216"/>
      <c r="BP129" s="1215"/>
      <c r="BQ129" s="761"/>
      <c r="BR129" s="761"/>
      <c r="BS129" s="761"/>
      <c r="BT129" s="761"/>
      <c r="BU129" s="761"/>
      <c r="BV129" s="761"/>
      <c r="BW129" s="761"/>
      <c r="BX129" s="761"/>
      <c r="BY129" s="761"/>
      <c r="BZ129" s="761"/>
      <c r="CA129" s="1216"/>
      <c r="CB129" s="747"/>
      <c r="CC129" s="1222">
        <f>$G129*H129*Variables!$B$53</f>
        <v>0</v>
      </c>
      <c r="CD129" s="1223">
        <f>$G129*I129*Variables!$B$53</f>
        <v>0</v>
      </c>
      <c r="CE129" s="1223">
        <f>$G129*J129*Variables!$B$53</f>
        <v>0</v>
      </c>
      <c r="CF129" s="1223">
        <f>$G129*K129*Variables!$B$53</f>
        <v>0</v>
      </c>
      <c r="CG129" s="1223">
        <f>$G129*L129*Variables!$B$53</f>
        <v>0</v>
      </c>
      <c r="CH129" s="1223">
        <f>$G129*M129*Variables!$B$53</f>
        <v>0</v>
      </c>
      <c r="CI129" s="1223">
        <f>$G129*N129*Variables!$B$53</f>
        <v>0</v>
      </c>
      <c r="CJ129" s="1223">
        <f>$G129*O129*Variables!$B$53</f>
        <v>0</v>
      </c>
      <c r="CK129" s="1223">
        <f>$G129*P129*Variables!$B$53</f>
        <v>0</v>
      </c>
      <c r="CL129" s="1223">
        <f>$G129*Q129*Variables!$B$53</f>
        <v>0</v>
      </c>
      <c r="CM129" s="1223">
        <f>$G129*R129*Variables!$B$53</f>
        <v>0</v>
      </c>
      <c r="CN129" s="1225">
        <f>$G129*S129*Variables!$B$53</f>
        <v>0</v>
      </c>
      <c r="CO129" s="1222">
        <f>$G129*T129*Variables!$B$53*HLOOKUP($CO$2,Variables!$B$60:$F$61,2,FALSE)</f>
        <v>0</v>
      </c>
      <c r="CP129" s="1223">
        <f>$G129*U129*Variables!$B$53*HLOOKUP($CO$2,Variables!$B$60:$F$61,2,FALSE)</f>
        <v>0</v>
      </c>
      <c r="CQ129" s="1223">
        <f>$G129*V129*Variables!$B$53*HLOOKUP($CO$2,Variables!$B$60:$F$61,2,FALSE)</f>
        <v>0</v>
      </c>
      <c r="CR129" s="1223">
        <f>$G129*W129*Variables!$B$53*HLOOKUP($CO$2,Variables!$B$60:$F$61,2,FALSE)</f>
        <v>0</v>
      </c>
      <c r="CS129" s="1223">
        <f>$G129*X129*Variables!$B$53*HLOOKUP($CO$2,Variables!$B$60:$F$61,2,FALSE)</f>
        <v>0</v>
      </c>
      <c r="CT129" s="1223">
        <f>$G129*Y129*Variables!$B$53*HLOOKUP($CO$2,Variables!$B$60:$F$61,2,FALSE)</f>
        <v>0</v>
      </c>
      <c r="CU129" s="1223">
        <f>$G129*Z129*Variables!$B$53*HLOOKUP($CO$2,Variables!$B$60:$F$61,2,FALSE)</f>
        <v>0</v>
      </c>
      <c r="CV129" s="1223">
        <f>$G129*AA129*Variables!$B$53*HLOOKUP($CO$2,Variables!$B$60:$F$61,2,FALSE)</f>
        <v>0</v>
      </c>
      <c r="CW129" s="1223">
        <f>$G129*AB129*Variables!$B$53*HLOOKUP($CO$2,Variables!$B$60:$F$61,2,FALSE)</f>
        <v>0</v>
      </c>
      <c r="CX129" s="1223">
        <f>$G129*AC129*Variables!$B$53*HLOOKUP($CO$2,Variables!$B$60:$F$61,2,FALSE)</f>
        <v>0</v>
      </c>
      <c r="CY129" s="1223">
        <f>$G129*AD129*Variables!$B$53*HLOOKUP($CO$2,Variables!$B$60:$F$61,2,FALSE)</f>
        <v>0</v>
      </c>
      <c r="CZ129" s="1225">
        <f>$G129*AE129*Variables!$B$53*HLOOKUP($CO$2,Variables!$B$60:$F$61,2,FALSE)</f>
        <v>0</v>
      </c>
      <c r="DA129" s="1222">
        <f>$G129*AF129*Variables!$B$53*HLOOKUP($DA$2,Variables!$B$60:$F$61,2,FALSE)</f>
        <v>0</v>
      </c>
      <c r="DB129" s="1223">
        <f>$G129*AG129*Variables!$B$53*HLOOKUP($DA$2,Variables!$B$60:$F$61,2,FALSE)</f>
        <v>0</v>
      </c>
      <c r="DC129" s="1223">
        <f>$G129*AH129*Variables!$B$53*HLOOKUP($DA$2,Variables!$B$60:$F$61,2,FALSE)</f>
        <v>0</v>
      </c>
      <c r="DD129" s="1223">
        <f>$G129*AI129*Variables!$B$53*HLOOKUP($DA$2,Variables!$B$60:$F$61,2,FALSE)</f>
        <v>0</v>
      </c>
      <c r="DE129" s="1223">
        <f>$G129*AJ129*Variables!$B$53*HLOOKUP($DA$2,Variables!$B$60:$F$61,2,FALSE)</f>
        <v>0</v>
      </c>
      <c r="DF129" s="1223">
        <f>$G129*AK129*Variables!$B$53*HLOOKUP($DA$2,Variables!$B$60:$F$61,2,FALSE)</f>
        <v>0</v>
      </c>
      <c r="DG129" s="1223">
        <f>$G129*AL129*Variables!$B$53*HLOOKUP($DA$2,Variables!$B$60:$F$61,2,FALSE)</f>
        <v>0</v>
      </c>
      <c r="DH129" s="1223">
        <f>$G129*AM129*Variables!$B$53*HLOOKUP($DA$2,Variables!$B$60:$F$61,2,FALSE)</f>
        <v>0</v>
      </c>
      <c r="DI129" s="1223">
        <f>$G129*AN129*Variables!$B$53*HLOOKUP($DA$2,Variables!$B$60:$F$61,2,FALSE)</f>
        <v>0</v>
      </c>
      <c r="DJ129" s="1223">
        <f>$G129*AO129*Variables!$B$53*HLOOKUP($DA$2,Variables!$B$60:$F$61,2,FALSE)</f>
        <v>0</v>
      </c>
      <c r="DK129" s="1223">
        <f>$G129*AP129*Variables!$B$53*HLOOKUP($DA$2,Variables!$B$60:$F$61,2,FALSE)</f>
        <v>0</v>
      </c>
      <c r="DL129" s="1225">
        <f>$G129*AQ129*Variables!$B$53*HLOOKUP($DA$2,Variables!$B$60:$F$61,2,FALSE)</f>
        <v>0</v>
      </c>
      <c r="DM129" s="1222">
        <f>$G129*AR129*Variables!$B$53*HLOOKUP($DM$2,Variables!$B$60:$F$61,2,FALSE)</f>
        <v>0</v>
      </c>
      <c r="DN129" s="1223">
        <f>$G129*AS129*Variables!$B$53*HLOOKUP($DM$2,Variables!$B$60:$F$61,2,FALSE)</f>
        <v>0</v>
      </c>
      <c r="DO129" s="1223">
        <f>$G129*AT129*Variables!$B$53*HLOOKUP($DM$2,Variables!$B$60:$F$61,2,FALSE)</f>
        <v>0</v>
      </c>
      <c r="DP129" s="1223">
        <f>$G129*AU129*Variables!$B$53*HLOOKUP($DM$2,Variables!$B$60:$F$61,2,FALSE)</f>
        <v>0</v>
      </c>
      <c r="DQ129" s="1223">
        <f>$G129*AV129*Variables!$B$53*HLOOKUP($DM$2,Variables!$B$60:$F$61,2,FALSE)</f>
        <v>0</v>
      </c>
      <c r="DR129" s="1223">
        <f>$G129*AW129*Variables!$B$53*HLOOKUP($DM$2,Variables!$B$60:$F$61,2,FALSE)</f>
        <v>0</v>
      </c>
      <c r="DS129" s="1223">
        <f>$G129*AX129*Variables!$B$53*HLOOKUP($DM$2,Variables!$B$60:$F$61,2,FALSE)</f>
        <v>0</v>
      </c>
      <c r="DT129" s="1223">
        <f>$G129*AY129*Variables!$B$53*HLOOKUP($DM$2,Variables!$B$60:$F$61,2,FALSE)</f>
        <v>0</v>
      </c>
      <c r="DU129" s="1223">
        <f>$G129*AZ129*Variables!$B$53*HLOOKUP($DM$2,Variables!$B$60:$F$61,2,FALSE)</f>
        <v>0</v>
      </c>
      <c r="DV129" s="1223">
        <f>$G129*BA129*Variables!$B$53*HLOOKUP($DM$2,Variables!$B$60:$F$61,2,FALSE)</f>
        <v>0</v>
      </c>
      <c r="DW129" s="1223">
        <f>$G129*BB129*Variables!$B$53*HLOOKUP($DM$2,Variables!$B$60:$F$61,2,FALSE)</f>
        <v>0</v>
      </c>
      <c r="DX129" s="1225">
        <f>$G129*BC129*Variables!$B$53*HLOOKUP($DM$2,Variables!$B$60:$F$61,2,FALSE)</f>
        <v>0</v>
      </c>
      <c r="DY129" s="1222">
        <f>$G129*BD129*Variables!$B$53*HLOOKUP($DY$2,Variables!$B$60:$F$61,2,FALSE)</f>
        <v>0</v>
      </c>
      <c r="DZ129" s="1223">
        <f>$G129*BE129*Variables!$B$53*HLOOKUP($DY$2,Variables!$B$60:$F$61,2,FALSE)</f>
        <v>0</v>
      </c>
      <c r="EA129" s="1223">
        <f>$G129*BF129*Variables!$B$53*HLOOKUP($DY$2,Variables!$B$60:$F$61,2,FALSE)</f>
        <v>0</v>
      </c>
      <c r="EB129" s="1223">
        <f>$G129*BG129*Variables!$B$53*HLOOKUP($DY$2,Variables!$B$60:$F$61,2,FALSE)</f>
        <v>0</v>
      </c>
      <c r="EC129" s="1223">
        <f>$G129*BH129*Variables!$B$53*HLOOKUP($DY$2,Variables!$B$60:$F$61,2,FALSE)</f>
        <v>0</v>
      </c>
      <c r="ED129" s="1223">
        <f>$G129*BI129*Variables!$B$53*HLOOKUP($DY$2,Variables!$B$60:$F$61,2,FALSE)</f>
        <v>0</v>
      </c>
      <c r="EE129" s="1223">
        <f>$G129*BJ129*Variables!$B$53*HLOOKUP($DY$2,Variables!$B$60:$F$61,2,FALSE)</f>
        <v>0</v>
      </c>
      <c r="EF129" s="1223">
        <f>$G129*BK129*Variables!$B$53*HLOOKUP($DY$2,Variables!$B$60:$F$61,2,FALSE)</f>
        <v>0</v>
      </c>
      <c r="EG129" s="1223">
        <f>$G129*BL129*Variables!$B$53*HLOOKUP($DY$2,Variables!$B$60:$F$61,2,FALSE)</f>
        <v>0</v>
      </c>
      <c r="EH129" s="1223">
        <f>$G129*BM129*Variables!$B$53*HLOOKUP($DY$2,Variables!$B$60:$F$61,2,FALSE)</f>
        <v>0</v>
      </c>
      <c r="EI129" s="1223">
        <f>$G129*BN129*Variables!$B$53*HLOOKUP($DY$2,Variables!$B$60:$F$61,2,FALSE)</f>
        <v>0</v>
      </c>
      <c r="EJ129" s="1225">
        <f>$G129*BO129*Variables!$B$53*HLOOKUP($DY$2,Variables!$B$60:$F$61,2,FALSE)</f>
        <v>0</v>
      </c>
      <c r="EK129" s="1222">
        <f>$G129*BP129*Variables!$B$53*HLOOKUP($EK$2,Variables!$B$60:$F$61,2,FALSE)</f>
        <v>0</v>
      </c>
      <c r="EL129" s="1223">
        <f>$G129*BQ129*Variables!$B$53*HLOOKUP($EK$2,Variables!$B$60:$F$61,2,FALSE)</f>
        <v>0</v>
      </c>
      <c r="EM129" s="1223">
        <f>$G129*BR129*Variables!$B$53*HLOOKUP($EK$2,Variables!$B$60:$F$61,2,FALSE)</f>
        <v>0</v>
      </c>
      <c r="EN129" s="1223">
        <f>$G129*BS129*Variables!$B$53*HLOOKUP($EK$2,Variables!$B$60:$F$61,2,FALSE)</f>
        <v>0</v>
      </c>
      <c r="EO129" s="1223">
        <f>$G129*BT129*Variables!$B$53*HLOOKUP($EK$2,Variables!$B$60:$F$61,2,FALSE)</f>
        <v>0</v>
      </c>
      <c r="EP129" s="1223">
        <f>$G129*BU129*Variables!$B$53*HLOOKUP($EK$2,Variables!$B$60:$F$61,2,FALSE)</f>
        <v>0</v>
      </c>
      <c r="EQ129" s="1223">
        <f>$G129*BV129*Variables!$B$53*HLOOKUP($EK$2,Variables!$B$60:$F$61,2,FALSE)</f>
        <v>0</v>
      </c>
      <c r="ER129" s="1223">
        <f>$G129*BW129*Variables!$B$53*HLOOKUP($EK$2,Variables!$B$60:$F$61,2,FALSE)</f>
        <v>0</v>
      </c>
      <c r="ES129" s="1223">
        <f>$G129*BX129*Variables!$B$53*HLOOKUP($EK$2,Variables!$B$60:$F$61,2,FALSE)</f>
        <v>0</v>
      </c>
      <c r="ET129" s="1223">
        <f>$G129*BY129*Variables!$B$53*HLOOKUP($EK$2,Variables!$B$60:$F$61,2,FALSE)</f>
        <v>0</v>
      </c>
      <c r="EU129" s="1223">
        <f>$G129*BZ129*Variables!$B$53*HLOOKUP($EK$2,Variables!$B$60:$F$61,2,FALSE)</f>
        <v>0</v>
      </c>
      <c r="EV129" s="1225">
        <f>$G129*CA129*Variables!$B$53*HLOOKUP($EK$2,Variables!$B$60:$F$61,2,FALSE)</f>
        <v>0</v>
      </c>
      <c r="EW129" s="872">
        <f t="shared" si="15"/>
        <v>0</v>
      </c>
      <c r="EX129" s="872"/>
      <c r="EY129" s="872"/>
      <c r="EZ129" s="872"/>
      <c r="FA129" s="1332"/>
      <c r="FC129" s="958" t="str">
        <f t="shared" si="16"/>
        <v/>
      </c>
      <c r="FD129" s="959" t="str">
        <f t="shared" si="17"/>
        <v/>
      </c>
      <c r="FE129" s="959" t="s">
        <v>8407</v>
      </c>
      <c r="FF129" s="959" t="str">
        <f>IF(ISNA(VLOOKUP(FC129,Miscellaneous!E:F,2,0)),"",VLOOKUP(FC129,Miscellaneous!E:F,2,0))</f>
        <v/>
      </c>
      <c r="FG129" s="959" t="str">
        <f t="shared" si="18"/>
        <v/>
      </c>
      <c r="FH129" s="996">
        <f>IF($FG129="Opex",SUMIF('Monthly Summary'!$C$75:$N$75,"",CC129:CN129),SUMIF('Monthly Summary'!$C$74:$N$74,"",CC129:CN129))</f>
        <v>0</v>
      </c>
      <c r="FI129" s="996">
        <f>IF($FG129="Opex",SUMIF('Monthly Summary'!$O$75:$Z$75,"",CO129:CZ129),SUMIF('Monthly Summary'!$O$74:$Z$74,"",CO129:CZ129))</f>
        <v>0</v>
      </c>
      <c r="FJ129" s="996">
        <f>IF($FG129="Opex",SUMIF('Monthly Summary'!$AA$75:$AL$75,"",DA129:DL129),SUMIF('Monthly Summary'!$AA$74:$AL$74,"",DA129:DL129))</f>
        <v>0</v>
      </c>
      <c r="FK129" s="996">
        <f>IF($FG129="Opex",SUMIF('Monthly Summary'!$AM$75:$AX$75,"",DM129:DX129),SUMIF('Monthly Summary'!$AM$74:$AX$74,"",DM129:DX129))</f>
        <v>0</v>
      </c>
      <c r="FL129" s="996">
        <f>IF($FG129="Opex",SUMIF('Monthly Summary'!$AY$75:$BJ$75,"",DY129:EJ129),SUMIF('Monthly Summary'!$AY$74:$BJ$74,"",DY129:EJ129))</f>
        <v>0</v>
      </c>
      <c r="FM129" s="997">
        <f>IF($FG129="Opex",SUMIF('Monthly Summary'!$BK$75:$BV$75,"",EK129:EV129),SUMIF('Monthly Summary'!$BK$74:$BV$74,"",EK129:EV129))</f>
        <v>0</v>
      </c>
      <c r="FN129" s="997">
        <f t="shared" si="14"/>
        <v>0</v>
      </c>
    </row>
    <row r="130" spans="3:170">
      <c r="C130" s="757"/>
      <c r="D130" s="757"/>
      <c r="E130" s="758"/>
      <c r="F130" s="758"/>
      <c r="G130" s="758"/>
      <c r="H130" s="1215"/>
      <c r="I130" s="761"/>
      <c r="J130" s="761"/>
      <c r="K130" s="761"/>
      <c r="L130" s="761"/>
      <c r="M130" s="761"/>
      <c r="N130" s="761"/>
      <c r="O130" s="761"/>
      <c r="P130" s="761"/>
      <c r="Q130" s="761"/>
      <c r="R130" s="761"/>
      <c r="S130" s="1216"/>
      <c r="T130" s="1215"/>
      <c r="U130" s="761"/>
      <c r="V130" s="761"/>
      <c r="W130" s="761"/>
      <c r="X130" s="761"/>
      <c r="Y130" s="761"/>
      <c r="Z130" s="761"/>
      <c r="AA130" s="761"/>
      <c r="AB130" s="761"/>
      <c r="AC130" s="761"/>
      <c r="AD130" s="761"/>
      <c r="AE130" s="1216"/>
      <c r="AF130" s="1215"/>
      <c r="AG130" s="761"/>
      <c r="AH130" s="761"/>
      <c r="AI130" s="761"/>
      <c r="AJ130" s="761"/>
      <c r="AK130" s="761"/>
      <c r="AL130" s="761"/>
      <c r="AM130" s="761"/>
      <c r="AN130" s="761"/>
      <c r="AO130" s="761"/>
      <c r="AP130" s="761"/>
      <c r="AQ130" s="1216"/>
      <c r="AR130" s="1215"/>
      <c r="AS130" s="761"/>
      <c r="AT130" s="761"/>
      <c r="AU130" s="761"/>
      <c r="AV130" s="761"/>
      <c r="AW130" s="761"/>
      <c r="AX130" s="761"/>
      <c r="AY130" s="761"/>
      <c r="AZ130" s="761"/>
      <c r="BA130" s="761"/>
      <c r="BB130" s="761"/>
      <c r="BC130" s="1216"/>
      <c r="BD130" s="1215"/>
      <c r="BE130" s="761"/>
      <c r="BF130" s="761"/>
      <c r="BG130" s="761"/>
      <c r="BH130" s="761"/>
      <c r="BI130" s="761"/>
      <c r="BJ130" s="761"/>
      <c r="BK130" s="761"/>
      <c r="BL130" s="761"/>
      <c r="BM130" s="761"/>
      <c r="BN130" s="761"/>
      <c r="BO130" s="1216"/>
      <c r="BP130" s="1215"/>
      <c r="BQ130" s="761"/>
      <c r="BR130" s="761"/>
      <c r="BS130" s="761"/>
      <c r="BT130" s="761"/>
      <c r="BU130" s="761"/>
      <c r="BV130" s="761"/>
      <c r="BW130" s="761"/>
      <c r="BX130" s="761"/>
      <c r="BY130" s="761"/>
      <c r="BZ130" s="761"/>
      <c r="CA130" s="1216"/>
      <c r="CB130" s="747"/>
      <c r="CC130" s="1222">
        <f>$G130*H130*Variables!$B$53</f>
        <v>0</v>
      </c>
      <c r="CD130" s="1223">
        <f>$G130*I130*Variables!$B$53</f>
        <v>0</v>
      </c>
      <c r="CE130" s="1223">
        <f>$G130*J130*Variables!$B$53</f>
        <v>0</v>
      </c>
      <c r="CF130" s="1223">
        <f>$G130*K130*Variables!$B$53</f>
        <v>0</v>
      </c>
      <c r="CG130" s="1223">
        <f>$G130*L130*Variables!$B$53</f>
        <v>0</v>
      </c>
      <c r="CH130" s="1223">
        <f>$G130*M130*Variables!$B$53</f>
        <v>0</v>
      </c>
      <c r="CI130" s="1223">
        <f>$G130*N130*Variables!$B$53</f>
        <v>0</v>
      </c>
      <c r="CJ130" s="1223">
        <f>$G130*O130*Variables!$B$53</f>
        <v>0</v>
      </c>
      <c r="CK130" s="1223">
        <f>$G130*P130*Variables!$B$53</f>
        <v>0</v>
      </c>
      <c r="CL130" s="1223">
        <f>$G130*Q130*Variables!$B$53</f>
        <v>0</v>
      </c>
      <c r="CM130" s="1223">
        <f>$G130*R130*Variables!$B$53</f>
        <v>0</v>
      </c>
      <c r="CN130" s="1225">
        <f>$G130*S130*Variables!$B$53</f>
        <v>0</v>
      </c>
      <c r="CO130" s="1222">
        <f>$G130*T130*Variables!$B$53*HLOOKUP($CO$2,Variables!$B$60:$F$61,2,FALSE)</f>
        <v>0</v>
      </c>
      <c r="CP130" s="1223">
        <f>$G130*U130*Variables!$B$53*HLOOKUP($CO$2,Variables!$B$60:$F$61,2,FALSE)</f>
        <v>0</v>
      </c>
      <c r="CQ130" s="1223">
        <f>$G130*V130*Variables!$B$53*HLOOKUP($CO$2,Variables!$B$60:$F$61,2,FALSE)</f>
        <v>0</v>
      </c>
      <c r="CR130" s="1223">
        <f>$G130*W130*Variables!$B$53*HLOOKUP($CO$2,Variables!$B$60:$F$61,2,FALSE)</f>
        <v>0</v>
      </c>
      <c r="CS130" s="1223">
        <f>$G130*X130*Variables!$B$53*HLOOKUP($CO$2,Variables!$B$60:$F$61,2,FALSE)</f>
        <v>0</v>
      </c>
      <c r="CT130" s="1223">
        <f>$G130*Y130*Variables!$B$53*HLOOKUP($CO$2,Variables!$B$60:$F$61,2,FALSE)</f>
        <v>0</v>
      </c>
      <c r="CU130" s="1223">
        <f>$G130*Z130*Variables!$B$53*HLOOKUP($CO$2,Variables!$B$60:$F$61,2,FALSE)</f>
        <v>0</v>
      </c>
      <c r="CV130" s="1223">
        <f>$G130*AA130*Variables!$B$53*HLOOKUP($CO$2,Variables!$B$60:$F$61,2,FALSE)</f>
        <v>0</v>
      </c>
      <c r="CW130" s="1223">
        <f>$G130*AB130*Variables!$B$53*HLOOKUP($CO$2,Variables!$B$60:$F$61,2,FALSE)</f>
        <v>0</v>
      </c>
      <c r="CX130" s="1223">
        <f>$G130*AC130*Variables!$B$53*HLOOKUP($CO$2,Variables!$B$60:$F$61,2,FALSE)</f>
        <v>0</v>
      </c>
      <c r="CY130" s="1223">
        <f>$G130*AD130*Variables!$B$53*HLOOKUP($CO$2,Variables!$B$60:$F$61,2,FALSE)</f>
        <v>0</v>
      </c>
      <c r="CZ130" s="1225">
        <f>$G130*AE130*Variables!$B$53*HLOOKUP($CO$2,Variables!$B$60:$F$61,2,FALSE)</f>
        <v>0</v>
      </c>
      <c r="DA130" s="1222">
        <f>$G130*AF130*Variables!$B$53*HLOOKUP($DA$2,Variables!$B$60:$F$61,2,FALSE)</f>
        <v>0</v>
      </c>
      <c r="DB130" s="1223">
        <f>$G130*AG130*Variables!$B$53*HLOOKUP($DA$2,Variables!$B$60:$F$61,2,FALSE)</f>
        <v>0</v>
      </c>
      <c r="DC130" s="1223">
        <f>$G130*AH130*Variables!$B$53*HLOOKUP($DA$2,Variables!$B$60:$F$61,2,FALSE)</f>
        <v>0</v>
      </c>
      <c r="DD130" s="1223">
        <f>$G130*AI130*Variables!$B$53*HLOOKUP($DA$2,Variables!$B$60:$F$61,2,FALSE)</f>
        <v>0</v>
      </c>
      <c r="DE130" s="1223">
        <f>$G130*AJ130*Variables!$B$53*HLOOKUP($DA$2,Variables!$B$60:$F$61,2,FALSE)</f>
        <v>0</v>
      </c>
      <c r="DF130" s="1223">
        <f>$G130*AK130*Variables!$B$53*HLOOKUP($DA$2,Variables!$B$60:$F$61,2,FALSE)</f>
        <v>0</v>
      </c>
      <c r="DG130" s="1223">
        <f>$G130*AL130*Variables!$B$53*HLOOKUP($DA$2,Variables!$B$60:$F$61,2,FALSE)</f>
        <v>0</v>
      </c>
      <c r="DH130" s="1223">
        <f>$G130*AM130*Variables!$B$53*HLOOKUP($DA$2,Variables!$B$60:$F$61,2,FALSE)</f>
        <v>0</v>
      </c>
      <c r="DI130" s="1223">
        <f>$G130*AN130*Variables!$B$53*HLOOKUP($DA$2,Variables!$B$60:$F$61,2,FALSE)</f>
        <v>0</v>
      </c>
      <c r="DJ130" s="1223">
        <f>$G130*AO130*Variables!$B$53*HLOOKUP($DA$2,Variables!$B$60:$F$61,2,FALSE)</f>
        <v>0</v>
      </c>
      <c r="DK130" s="1223">
        <f>$G130*AP130*Variables!$B$53*HLOOKUP($DA$2,Variables!$B$60:$F$61,2,FALSE)</f>
        <v>0</v>
      </c>
      <c r="DL130" s="1225">
        <f>$G130*AQ130*Variables!$B$53*HLOOKUP($DA$2,Variables!$B$60:$F$61,2,FALSE)</f>
        <v>0</v>
      </c>
      <c r="DM130" s="1222">
        <f>$G130*AR130*Variables!$B$53*HLOOKUP($DM$2,Variables!$B$60:$F$61,2,FALSE)</f>
        <v>0</v>
      </c>
      <c r="DN130" s="1223">
        <f>$G130*AS130*Variables!$B$53*HLOOKUP($DM$2,Variables!$B$60:$F$61,2,FALSE)</f>
        <v>0</v>
      </c>
      <c r="DO130" s="1223">
        <f>$G130*AT130*Variables!$B$53*HLOOKUP($DM$2,Variables!$B$60:$F$61,2,FALSE)</f>
        <v>0</v>
      </c>
      <c r="DP130" s="1223">
        <f>$G130*AU130*Variables!$B$53*HLOOKUP($DM$2,Variables!$B$60:$F$61,2,FALSE)</f>
        <v>0</v>
      </c>
      <c r="DQ130" s="1223">
        <f>$G130*AV130*Variables!$B$53*HLOOKUP($DM$2,Variables!$B$60:$F$61,2,FALSE)</f>
        <v>0</v>
      </c>
      <c r="DR130" s="1223">
        <f>$G130*AW130*Variables!$B$53*HLOOKUP($DM$2,Variables!$B$60:$F$61,2,FALSE)</f>
        <v>0</v>
      </c>
      <c r="DS130" s="1223">
        <f>$G130*AX130*Variables!$B$53*HLOOKUP($DM$2,Variables!$B$60:$F$61,2,FALSE)</f>
        <v>0</v>
      </c>
      <c r="DT130" s="1223">
        <f>$G130*AY130*Variables!$B$53*HLOOKUP($DM$2,Variables!$B$60:$F$61,2,FALSE)</f>
        <v>0</v>
      </c>
      <c r="DU130" s="1223">
        <f>$G130*AZ130*Variables!$B$53*HLOOKUP($DM$2,Variables!$B$60:$F$61,2,FALSE)</f>
        <v>0</v>
      </c>
      <c r="DV130" s="1223">
        <f>$G130*BA130*Variables!$B$53*HLOOKUP($DM$2,Variables!$B$60:$F$61,2,FALSE)</f>
        <v>0</v>
      </c>
      <c r="DW130" s="1223">
        <f>$G130*BB130*Variables!$B$53*HLOOKUP($DM$2,Variables!$B$60:$F$61,2,FALSE)</f>
        <v>0</v>
      </c>
      <c r="DX130" s="1225">
        <f>$G130*BC130*Variables!$B$53*HLOOKUP($DM$2,Variables!$B$60:$F$61,2,FALSE)</f>
        <v>0</v>
      </c>
      <c r="DY130" s="1222">
        <f>$G130*BD130*Variables!$B$53*HLOOKUP($DY$2,Variables!$B$60:$F$61,2,FALSE)</f>
        <v>0</v>
      </c>
      <c r="DZ130" s="1223">
        <f>$G130*BE130*Variables!$B$53*HLOOKUP($DY$2,Variables!$B$60:$F$61,2,FALSE)</f>
        <v>0</v>
      </c>
      <c r="EA130" s="1223">
        <f>$G130*BF130*Variables!$B$53*HLOOKUP($DY$2,Variables!$B$60:$F$61,2,FALSE)</f>
        <v>0</v>
      </c>
      <c r="EB130" s="1223">
        <f>$G130*BG130*Variables!$B$53*HLOOKUP($DY$2,Variables!$B$60:$F$61,2,FALSE)</f>
        <v>0</v>
      </c>
      <c r="EC130" s="1223">
        <f>$G130*BH130*Variables!$B$53*HLOOKUP($DY$2,Variables!$B$60:$F$61,2,FALSE)</f>
        <v>0</v>
      </c>
      <c r="ED130" s="1223">
        <f>$G130*BI130*Variables!$B$53*HLOOKUP($DY$2,Variables!$B$60:$F$61,2,FALSE)</f>
        <v>0</v>
      </c>
      <c r="EE130" s="1223">
        <f>$G130*BJ130*Variables!$B$53*HLOOKUP($DY$2,Variables!$B$60:$F$61,2,FALSE)</f>
        <v>0</v>
      </c>
      <c r="EF130" s="1223">
        <f>$G130*BK130*Variables!$B$53*HLOOKUP($DY$2,Variables!$B$60:$F$61,2,FALSE)</f>
        <v>0</v>
      </c>
      <c r="EG130" s="1223">
        <f>$G130*BL130*Variables!$B$53*HLOOKUP($DY$2,Variables!$B$60:$F$61,2,FALSE)</f>
        <v>0</v>
      </c>
      <c r="EH130" s="1223">
        <f>$G130*BM130*Variables!$B$53*HLOOKUP($DY$2,Variables!$B$60:$F$61,2,FALSE)</f>
        <v>0</v>
      </c>
      <c r="EI130" s="1223">
        <f>$G130*BN130*Variables!$B$53*HLOOKUP($DY$2,Variables!$B$60:$F$61,2,FALSE)</f>
        <v>0</v>
      </c>
      <c r="EJ130" s="1225">
        <f>$G130*BO130*Variables!$B$53*HLOOKUP($DY$2,Variables!$B$60:$F$61,2,FALSE)</f>
        <v>0</v>
      </c>
      <c r="EK130" s="1222">
        <f>$G130*BP130*Variables!$B$53*HLOOKUP($EK$2,Variables!$B$60:$F$61,2,FALSE)</f>
        <v>0</v>
      </c>
      <c r="EL130" s="1223">
        <f>$G130*BQ130*Variables!$B$53*HLOOKUP($EK$2,Variables!$B$60:$F$61,2,FALSE)</f>
        <v>0</v>
      </c>
      <c r="EM130" s="1223">
        <f>$G130*BR130*Variables!$B$53*HLOOKUP($EK$2,Variables!$B$60:$F$61,2,FALSE)</f>
        <v>0</v>
      </c>
      <c r="EN130" s="1223">
        <f>$G130*BS130*Variables!$B$53*HLOOKUP($EK$2,Variables!$B$60:$F$61,2,FALSE)</f>
        <v>0</v>
      </c>
      <c r="EO130" s="1223">
        <f>$G130*BT130*Variables!$B$53*HLOOKUP($EK$2,Variables!$B$60:$F$61,2,FALSE)</f>
        <v>0</v>
      </c>
      <c r="EP130" s="1223">
        <f>$G130*BU130*Variables!$B$53*HLOOKUP($EK$2,Variables!$B$60:$F$61,2,FALSE)</f>
        <v>0</v>
      </c>
      <c r="EQ130" s="1223">
        <f>$G130*BV130*Variables!$B$53*HLOOKUP($EK$2,Variables!$B$60:$F$61,2,FALSE)</f>
        <v>0</v>
      </c>
      <c r="ER130" s="1223">
        <f>$G130*BW130*Variables!$B$53*HLOOKUP($EK$2,Variables!$B$60:$F$61,2,FALSE)</f>
        <v>0</v>
      </c>
      <c r="ES130" s="1223">
        <f>$G130*BX130*Variables!$B$53*HLOOKUP($EK$2,Variables!$B$60:$F$61,2,FALSE)</f>
        <v>0</v>
      </c>
      <c r="ET130" s="1223">
        <f>$G130*BY130*Variables!$B$53*HLOOKUP($EK$2,Variables!$B$60:$F$61,2,FALSE)</f>
        <v>0</v>
      </c>
      <c r="EU130" s="1223">
        <f>$G130*BZ130*Variables!$B$53*HLOOKUP($EK$2,Variables!$B$60:$F$61,2,FALSE)</f>
        <v>0</v>
      </c>
      <c r="EV130" s="1225">
        <f>$G130*CA130*Variables!$B$53*HLOOKUP($EK$2,Variables!$B$60:$F$61,2,FALSE)</f>
        <v>0</v>
      </c>
      <c r="EW130" s="872">
        <f t="shared" si="15"/>
        <v>0</v>
      </c>
      <c r="EX130" s="872"/>
      <c r="EY130" s="872"/>
      <c r="EZ130" s="872"/>
      <c r="FA130" s="1332"/>
      <c r="FC130" s="958" t="str">
        <f t="shared" si="16"/>
        <v/>
      </c>
      <c r="FD130" s="959" t="str">
        <f t="shared" si="17"/>
        <v/>
      </c>
      <c r="FE130" s="959" t="s">
        <v>8407</v>
      </c>
      <c r="FF130" s="959" t="str">
        <f>IF(ISNA(VLOOKUP(FC130,Miscellaneous!E:F,2,0)),"",VLOOKUP(FC130,Miscellaneous!E:F,2,0))</f>
        <v/>
      </c>
      <c r="FG130" s="959" t="str">
        <f t="shared" si="18"/>
        <v/>
      </c>
      <c r="FH130" s="996">
        <f>IF($FG130="Opex",SUMIF('Monthly Summary'!$C$75:$N$75,"",CC130:CN130),SUMIF('Monthly Summary'!$C$74:$N$74,"",CC130:CN130))</f>
        <v>0</v>
      </c>
      <c r="FI130" s="996">
        <f>IF($FG130="Opex",SUMIF('Monthly Summary'!$O$75:$Z$75,"",CO130:CZ130),SUMIF('Monthly Summary'!$O$74:$Z$74,"",CO130:CZ130))</f>
        <v>0</v>
      </c>
      <c r="FJ130" s="996">
        <f>IF($FG130="Opex",SUMIF('Monthly Summary'!$AA$75:$AL$75,"",DA130:DL130),SUMIF('Monthly Summary'!$AA$74:$AL$74,"",DA130:DL130))</f>
        <v>0</v>
      </c>
      <c r="FK130" s="996">
        <f>IF($FG130="Opex",SUMIF('Monthly Summary'!$AM$75:$AX$75,"",DM130:DX130),SUMIF('Monthly Summary'!$AM$74:$AX$74,"",DM130:DX130))</f>
        <v>0</v>
      </c>
      <c r="FL130" s="996">
        <f>IF($FG130="Opex",SUMIF('Monthly Summary'!$AY$75:$BJ$75,"",DY130:EJ130),SUMIF('Monthly Summary'!$AY$74:$BJ$74,"",DY130:EJ130))</f>
        <v>0</v>
      </c>
      <c r="FM130" s="997">
        <f>IF($FG130="Opex",SUMIF('Monthly Summary'!$BK$75:$BV$75,"",EK130:EV130),SUMIF('Monthly Summary'!$BK$74:$BV$74,"",EK130:EV130))</f>
        <v>0</v>
      </c>
      <c r="FN130" s="997">
        <f t="shared" si="14"/>
        <v>0</v>
      </c>
    </row>
    <row r="131" spans="3:170">
      <c r="C131" s="757"/>
      <c r="D131" s="757"/>
      <c r="E131" s="758"/>
      <c r="F131" s="758"/>
      <c r="G131" s="758"/>
      <c r="H131" s="1215"/>
      <c r="I131" s="761"/>
      <c r="J131" s="761"/>
      <c r="K131" s="761"/>
      <c r="L131" s="761"/>
      <c r="M131" s="761"/>
      <c r="N131" s="761"/>
      <c r="O131" s="761"/>
      <c r="P131" s="761"/>
      <c r="Q131" s="761"/>
      <c r="R131" s="761"/>
      <c r="S131" s="1216"/>
      <c r="T131" s="1215"/>
      <c r="U131" s="761"/>
      <c r="V131" s="761"/>
      <c r="W131" s="761"/>
      <c r="X131" s="761"/>
      <c r="Y131" s="761"/>
      <c r="Z131" s="761"/>
      <c r="AA131" s="761"/>
      <c r="AB131" s="761"/>
      <c r="AC131" s="761"/>
      <c r="AD131" s="761"/>
      <c r="AE131" s="1216"/>
      <c r="AF131" s="1215"/>
      <c r="AG131" s="761"/>
      <c r="AH131" s="761"/>
      <c r="AI131" s="761"/>
      <c r="AJ131" s="761"/>
      <c r="AK131" s="761"/>
      <c r="AL131" s="761"/>
      <c r="AM131" s="761"/>
      <c r="AN131" s="761"/>
      <c r="AO131" s="761"/>
      <c r="AP131" s="761"/>
      <c r="AQ131" s="1216"/>
      <c r="AR131" s="1215"/>
      <c r="AS131" s="761"/>
      <c r="AT131" s="761"/>
      <c r="AU131" s="761"/>
      <c r="AV131" s="761"/>
      <c r="AW131" s="761"/>
      <c r="AX131" s="761"/>
      <c r="AY131" s="761"/>
      <c r="AZ131" s="761"/>
      <c r="BA131" s="761"/>
      <c r="BB131" s="761"/>
      <c r="BC131" s="1216"/>
      <c r="BD131" s="1215"/>
      <c r="BE131" s="761"/>
      <c r="BF131" s="761"/>
      <c r="BG131" s="761"/>
      <c r="BH131" s="761"/>
      <c r="BI131" s="761"/>
      <c r="BJ131" s="761"/>
      <c r="BK131" s="761"/>
      <c r="BL131" s="761"/>
      <c r="BM131" s="761"/>
      <c r="BN131" s="761"/>
      <c r="BO131" s="1216"/>
      <c r="BP131" s="1215"/>
      <c r="BQ131" s="761"/>
      <c r="BR131" s="761"/>
      <c r="BS131" s="761"/>
      <c r="BT131" s="761"/>
      <c r="BU131" s="761"/>
      <c r="BV131" s="761"/>
      <c r="BW131" s="761"/>
      <c r="BX131" s="761"/>
      <c r="BY131" s="761"/>
      <c r="BZ131" s="761"/>
      <c r="CA131" s="1216"/>
      <c r="CB131" s="747"/>
      <c r="CC131" s="1222">
        <f>$G131*H131*Variables!$B$53</f>
        <v>0</v>
      </c>
      <c r="CD131" s="1223">
        <f>$G131*I131*Variables!$B$53</f>
        <v>0</v>
      </c>
      <c r="CE131" s="1223">
        <f>$G131*J131*Variables!$B$53</f>
        <v>0</v>
      </c>
      <c r="CF131" s="1223">
        <f>$G131*K131*Variables!$B$53</f>
        <v>0</v>
      </c>
      <c r="CG131" s="1223">
        <f>$G131*L131*Variables!$B$53</f>
        <v>0</v>
      </c>
      <c r="CH131" s="1223">
        <f>$G131*M131*Variables!$B$53</f>
        <v>0</v>
      </c>
      <c r="CI131" s="1223">
        <f>$G131*N131*Variables!$B$53</f>
        <v>0</v>
      </c>
      <c r="CJ131" s="1223">
        <f>$G131*O131*Variables!$B$53</f>
        <v>0</v>
      </c>
      <c r="CK131" s="1223">
        <f>$G131*P131*Variables!$B$53</f>
        <v>0</v>
      </c>
      <c r="CL131" s="1223">
        <f>$G131*Q131*Variables!$B$53</f>
        <v>0</v>
      </c>
      <c r="CM131" s="1223">
        <f>$G131*R131*Variables!$B$53</f>
        <v>0</v>
      </c>
      <c r="CN131" s="1225">
        <f>$G131*S131*Variables!$B$53</f>
        <v>0</v>
      </c>
      <c r="CO131" s="1222">
        <f>$G131*T131*Variables!$B$53*HLOOKUP($CO$2,Variables!$B$60:$F$61,2,FALSE)</f>
        <v>0</v>
      </c>
      <c r="CP131" s="1223">
        <f>$G131*U131*Variables!$B$53*HLOOKUP($CO$2,Variables!$B$60:$F$61,2,FALSE)</f>
        <v>0</v>
      </c>
      <c r="CQ131" s="1223">
        <f>$G131*V131*Variables!$B$53*HLOOKUP($CO$2,Variables!$B$60:$F$61,2,FALSE)</f>
        <v>0</v>
      </c>
      <c r="CR131" s="1223">
        <f>$G131*W131*Variables!$B$53*HLOOKUP($CO$2,Variables!$B$60:$F$61,2,FALSE)</f>
        <v>0</v>
      </c>
      <c r="CS131" s="1223">
        <f>$G131*X131*Variables!$B$53*HLOOKUP($CO$2,Variables!$B$60:$F$61,2,FALSE)</f>
        <v>0</v>
      </c>
      <c r="CT131" s="1223">
        <f>$G131*Y131*Variables!$B$53*HLOOKUP($CO$2,Variables!$B$60:$F$61,2,FALSE)</f>
        <v>0</v>
      </c>
      <c r="CU131" s="1223">
        <f>$G131*Z131*Variables!$B$53*HLOOKUP($CO$2,Variables!$B$60:$F$61,2,FALSE)</f>
        <v>0</v>
      </c>
      <c r="CV131" s="1223">
        <f>$G131*AA131*Variables!$B$53*HLOOKUP($CO$2,Variables!$B$60:$F$61,2,FALSE)</f>
        <v>0</v>
      </c>
      <c r="CW131" s="1223">
        <f>$G131*AB131*Variables!$B$53*HLOOKUP($CO$2,Variables!$B$60:$F$61,2,FALSE)</f>
        <v>0</v>
      </c>
      <c r="CX131" s="1223">
        <f>$G131*AC131*Variables!$B$53*HLOOKUP($CO$2,Variables!$B$60:$F$61,2,FALSE)</f>
        <v>0</v>
      </c>
      <c r="CY131" s="1223">
        <f>$G131*AD131*Variables!$B$53*HLOOKUP($CO$2,Variables!$B$60:$F$61,2,FALSE)</f>
        <v>0</v>
      </c>
      <c r="CZ131" s="1225">
        <f>$G131*AE131*Variables!$B$53*HLOOKUP($CO$2,Variables!$B$60:$F$61,2,FALSE)</f>
        <v>0</v>
      </c>
      <c r="DA131" s="1222">
        <f>$G131*AF131*Variables!$B$53*HLOOKUP($DA$2,Variables!$B$60:$F$61,2,FALSE)</f>
        <v>0</v>
      </c>
      <c r="DB131" s="1223">
        <f>$G131*AG131*Variables!$B$53*HLOOKUP($DA$2,Variables!$B$60:$F$61,2,FALSE)</f>
        <v>0</v>
      </c>
      <c r="DC131" s="1223">
        <f>$G131*AH131*Variables!$B$53*HLOOKUP($DA$2,Variables!$B$60:$F$61,2,FALSE)</f>
        <v>0</v>
      </c>
      <c r="DD131" s="1223">
        <f>$G131*AI131*Variables!$B$53*HLOOKUP($DA$2,Variables!$B$60:$F$61,2,FALSE)</f>
        <v>0</v>
      </c>
      <c r="DE131" s="1223">
        <f>$G131*AJ131*Variables!$B$53*HLOOKUP($DA$2,Variables!$B$60:$F$61,2,FALSE)</f>
        <v>0</v>
      </c>
      <c r="DF131" s="1223">
        <f>$G131*AK131*Variables!$B$53*HLOOKUP($DA$2,Variables!$B$60:$F$61,2,FALSE)</f>
        <v>0</v>
      </c>
      <c r="DG131" s="1223">
        <f>$G131*AL131*Variables!$B$53*HLOOKUP($DA$2,Variables!$B$60:$F$61,2,FALSE)</f>
        <v>0</v>
      </c>
      <c r="DH131" s="1223">
        <f>$G131*AM131*Variables!$B$53*HLOOKUP($DA$2,Variables!$B$60:$F$61,2,FALSE)</f>
        <v>0</v>
      </c>
      <c r="DI131" s="1223">
        <f>$G131*AN131*Variables!$B$53*HLOOKUP($DA$2,Variables!$B$60:$F$61,2,FALSE)</f>
        <v>0</v>
      </c>
      <c r="DJ131" s="1223">
        <f>$G131*AO131*Variables!$B$53*HLOOKUP($DA$2,Variables!$B$60:$F$61,2,FALSE)</f>
        <v>0</v>
      </c>
      <c r="DK131" s="1223">
        <f>$G131*AP131*Variables!$B$53*HLOOKUP($DA$2,Variables!$B$60:$F$61,2,FALSE)</f>
        <v>0</v>
      </c>
      <c r="DL131" s="1225">
        <f>$G131*AQ131*Variables!$B$53*HLOOKUP($DA$2,Variables!$B$60:$F$61,2,FALSE)</f>
        <v>0</v>
      </c>
      <c r="DM131" s="1222">
        <f>$G131*AR131*Variables!$B$53*HLOOKUP($DM$2,Variables!$B$60:$F$61,2,FALSE)</f>
        <v>0</v>
      </c>
      <c r="DN131" s="1223">
        <f>$G131*AS131*Variables!$B$53*HLOOKUP($DM$2,Variables!$B$60:$F$61,2,FALSE)</f>
        <v>0</v>
      </c>
      <c r="DO131" s="1223">
        <f>$G131*AT131*Variables!$B$53*HLOOKUP($DM$2,Variables!$B$60:$F$61,2,FALSE)</f>
        <v>0</v>
      </c>
      <c r="DP131" s="1223">
        <f>$G131*AU131*Variables!$B$53*HLOOKUP($DM$2,Variables!$B$60:$F$61,2,FALSE)</f>
        <v>0</v>
      </c>
      <c r="DQ131" s="1223">
        <f>$G131*AV131*Variables!$B$53*HLOOKUP($DM$2,Variables!$B$60:$F$61,2,FALSE)</f>
        <v>0</v>
      </c>
      <c r="DR131" s="1223">
        <f>$G131*AW131*Variables!$B$53*HLOOKUP($DM$2,Variables!$B$60:$F$61,2,FALSE)</f>
        <v>0</v>
      </c>
      <c r="DS131" s="1223">
        <f>$G131*AX131*Variables!$B$53*HLOOKUP($DM$2,Variables!$B$60:$F$61,2,FALSE)</f>
        <v>0</v>
      </c>
      <c r="DT131" s="1223">
        <f>$G131*AY131*Variables!$B$53*HLOOKUP($DM$2,Variables!$B$60:$F$61,2,FALSE)</f>
        <v>0</v>
      </c>
      <c r="DU131" s="1223">
        <f>$G131*AZ131*Variables!$B$53*HLOOKUP($DM$2,Variables!$B$60:$F$61,2,FALSE)</f>
        <v>0</v>
      </c>
      <c r="DV131" s="1223">
        <f>$G131*BA131*Variables!$B$53*HLOOKUP($DM$2,Variables!$B$60:$F$61,2,FALSE)</f>
        <v>0</v>
      </c>
      <c r="DW131" s="1223">
        <f>$G131*BB131*Variables!$B$53*HLOOKUP($DM$2,Variables!$B$60:$F$61,2,FALSE)</f>
        <v>0</v>
      </c>
      <c r="DX131" s="1225">
        <f>$G131*BC131*Variables!$B$53*HLOOKUP($DM$2,Variables!$B$60:$F$61,2,FALSE)</f>
        <v>0</v>
      </c>
      <c r="DY131" s="1222">
        <f>$G131*BD131*Variables!$B$53*HLOOKUP($DY$2,Variables!$B$60:$F$61,2,FALSE)</f>
        <v>0</v>
      </c>
      <c r="DZ131" s="1223">
        <f>$G131*BE131*Variables!$B$53*HLOOKUP($DY$2,Variables!$B$60:$F$61,2,FALSE)</f>
        <v>0</v>
      </c>
      <c r="EA131" s="1223">
        <f>$G131*BF131*Variables!$B$53*HLOOKUP($DY$2,Variables!$B$60:$F$61,2,FALSE)</f>
        <v>0</v>
      </c>
      <c r="EB131" s="1223">
        <f>$G131*BG131*Variables!$B$53*HLOOKUP($DY$2,Variables!$B$60:$F$61,2,FALSE)</f>
        <v>0</v>
      </c>
      <c r="EC131" s="1223">
        <f>$G131*BH131*Variables!$B$53*HLOOKUP($DY$2,Variables!$B$60:$F$61,2,FALSE)</f>
        <v>0</v>
      </c>
      <c r="ED131" s="1223">
        <f>$G131*BI131*Variables!$B$53*HLOOKUP($DY$2,Variables!$B$60:$F$61,2,FALSE)</f>
        <v>0</v>
      </c>
      <c r="EE131" s="1223">
        <f>$G131*BJ131*Variables!$B$53*HLOOKUP($DY$2,Variables!$B$60:$F$61,2,FALSE)</f>
        <v>0</v>
      </c>
      <c r="EF131" s="1223">
        <f>$G131*BK131*Variables!$B$53*HLOOKUP($DY$2,Variables!$B$60:$F$61,2,FALSE)</f>
        <v>0</v>
      </c>
      <c r="EG131" s="1223">
        <f>$G131*BL131*Variables!$B$53*HLOOKUP($DY$2,Variables!$B$60:$F$61,2,FALSE)</f>
        <v>0</v>
      </c>
      <c r="EH131" s="1223">
        <f>$G131*BM131*Variables!$B$53*HLOOKUP($DY$2,Variables!$B$60:$F$61,2,FALSE)</f>
        <v>0</v>
      </c>
      <c r="EI131" s="1223">
        <f>$G131*BN131*Variables!$B$53*HLOOKUP($DY$2,Variables!$B$60:$F$61,2,FALSE)</f>
        <v>0</v>
      </c>
      <c r="EJ131" s="1225">
        <f>$G131*BO131*Variables!$B$53*HLOOKUP($DY$2,Variables!$B$60:$F$61,2,FALSE)</f>
        <v>0</v>
      </c>
      <c r="EK131" s="1222">
        <f>$G131*BP131*Variables!$B$53*HLOOKUP($EK$2,Variables!$B$60:$F$61,2,FALSE)</f>
        <v>0</v>
      </c>
      <c r="EL131" s="1223">
        <f>$G131*BQ131*Variables!$B$53*HLOOKUP($EK$2,Variables!$B$60:$F$61,2,FALSE)</f>
        <v>0</v>
      </c>
      <c r="EM131" s="1223">
        <f>$G131*BR131*Variables!$B$53*HLOOKUP($EK$2,Variables!$B$60:$F$61,2,FALSE)</f>
        <v>0</v>
      </c>
      <c r="EN131" s="1223">
        <f>$G131*BS131*Variables!$B$53*HLOOKUP($EK$2,Variables!$B$60:$F$61,2,FALSE)</f>
        <v>0</v>
      </c>
      <c r="EO131" s="1223">
        <f>$G131*BT131*Variables!$B$53*HLOOKUP($EK$2,Variables!$B$60:$F$61,2,FALSE)</f>
        <v>0</v>
      </c>
      <c r="EP131" s="1223">
        <f>$G131*BU131*Variables!$B$53*HLOOKUP($EK$2,Variables!$B$60:$F$61,2,FALSE)</f>
        <v>0</v>
      </c>
      <c r="EQ131" s="1223">
        <f>$G131*BV131*Variables!$B$53*HLOOKUP($EK$2,Variables!$B$60:$F$61,2,FALSE)</f>
        <v>0</v>
      </c>
      <c r="ER131" s="1223">
        <f>$G131*BW131*Variables!$B$53*HLOOKUP($EK$2,Variables!$B$60:$F$61,2,FALSE)</f>
        <v>0</v>
      </c>
      <c r="ES131" s="1223">
        <f>$G131*BX131*Variables!$B$53*HLOOKUP($EK$2,Variables!$B$60:$F$61,2,FALSE)</f>
        <v>0</v>
      </c>
      <c r="ET131" s="1223">
        <f>$G131*BY131*Variables!$B$53*HLOOKUP($EK$2,Variables!$B$60:$F$61,2,FALSE)</f>
        <v>0</v>
      </c>
      <c r="EU131" s="1223">
        <f>$G131*BZ131*Variables!$B$53*HLOOKUP($EK$2,Variables!$B$60:$F$61,2,FALSE)</f>
        <v>0</v>
      </c>
      <c r="EV131" s="1225">
        <f>$G131*CA131*Variables!$B$53*HLOOKUP($EK$2,Variables!$B$60:$F$61,2,FALSE)</f>
        <v>0</v>
      </c>
      <c r="EW131" s="872">
        <f t="shared" si="15"/>
        <v>0</v>
      </c>
      <c r="EX131" s="872"/>
      <c r="EY131" s="872"/>
      <c r="EZ131" s="872"/>
      <c r="FA131" s="1332"/>
      <c r="FC131" s="958" t="str">
        <f t="shared" si="16"/>
        <v/>
      </c>
      <c r="FD131" s="959" t="str">
        <f t="shared" si="17"/>
        <v/>
      </c>
      <c r="FE131" s="959" t="s">
        <v>8407</v>
      </c>
      <c r="FF131" s="959" t="str">
        <f>IF(ISNA(VLOOKUP(FC131,Miscellaneous!E:F,2,0)),"",VLOOKUP(FC131,Miscellaneous!E:F,2,0))</f>
        <v/>
      </c>
      <c r="FG131" s="959" t="str">
        <f t="shared" si="18"/>
        <v/>
      </c>
      <c r="FH131" s="996">
        <f>IF($FG131="Opex",SUMIF('Monthly Summary'!$C$75:$N$75,"",CC131:CN131),SUMIF('Monthly Summary'!$C$74:$N$74,"",CC131:CN131))</f>
        <v>0</v>
      </c>
      <c r="FI131" s="996">
        <f>IF($FG131="Opex",SUMIF('Monthly Summary'!$O$75:$Z$75,"",CO131:CZ131),SUMIF('Monthly Summary'!$O$74:$Z$74,"",CO131:CZ131))</f>
        <v>0</v>
      </c>
      <c r="FJ131" s="996">
        <f>IF($FG131="Opex",SUMIF('Monthly Summary'!$AA$75:$AL$75,"",DA131:DL131),SUMIF('Monthly Summary'!$AA$74:$AL$74,"",DA131:DL131))</f>
        <v>0</v>
      </c>
      <c r="FK131" s="996">
        <f>IF($FG131="Opex",SUMIF('Monthly Summary'!$AM$75:$AX$75,"",DM131:DX131),SUMIF('Monthly Summary'!$AM$74:$AX$74,"",DM131:DX131))</f>
        <v>0</v>
      </c>
      <c r="FL131" s="996">
        <f>IF($FG131="Opex",SUMIF('Monthly Summary'!$AY$75:$BJ$75,"",DY131:EJ131),SUMIF('Monthly Summary'!$AY$74:$BJ$74,"",DY131:EJ131))</f>
        <v>0</v>
      </c>
      <c r="FM131" s="997">
        <f>IF($FG131="Opex",SUMIF('Monthly Summary'!$BK$75:$BV$75,"",EK131:EV131),SUMIF('Monthly Summary'!$BK$74:$BV$74,"",EK131:EV131))</f>
        <v>0</v>
      </c>
      <c r="FN131" s="997">
        <f t="shared" si="14"/>
        <v>0</v>
      </c>
    </row>
    <row r="132" spans="3:170">
      <c r="C132" s="757"/>
      <c r="D132" s="757"/>
      <c r="E132" s="758"/>
      <c r="F132" s="758"/>
      <c r="G132" s="758"/>
      <c r="H132" s="1215"/>
      <c r="I132" s="761"/>
      <c r="J132" s="761"/>
      <c r="K132" s="761"/>
      <c r="L132" s="761"/>
      <c r="M132" s="761"/>
      <c r="N132" s="761"/>
      <c r="O132" s="761"/>
      <c r="P132" s="761"/>
      <c r="Q132" s="761"/>
      <c r="R132" s="761"/>
      <c r="S132" s="1216"/>
      <c r="T132" s="1215"/>
      <c r="U132" s="761"/>
      <c r="V132" s="761"/>
      <c r="W132" s="761"/>
      <c r="X132" s="761"/>
      <c r="Y132" s="761"/>
      <c r="Z132" s="761"/>
      <c r="AA132" s="761"/>
      <c r="AB132" s="761"/>
      <c r="AC132" s="761"/>
      <c r="AD132" s="761"/>
      <c r="AE132" s="1216"/>
      <c r="AF132" s="1215"/>
      <c r="AG132" s="761"/>
      <c r="AH132" s="761"/>
      <c r="AI132" s="761"/>
      <c r="AJ132" s="761"/>
      <c r="AK132" s="761"/>
      <c r="AL132" s="761"/>
      <c r="AM132" s="761"/>
      <c r="AN132" s="761"/>
      <c r="AO132" s="761"/>
      <c r="AP132" s="761"/>
      <c r="AQ132" s="1216"/>
      <c r="AR132" s="1215"/>
      <c r="AS132" s="761"/>
      <c r="AT132" s="761"/>
      <c r="AU132" s="761"/>
      <c r="AV132" s="761"/>
      <c r="AW132" s="761"/>
      <c r="AX132" s="761"/>
      <c r="AY132" s="761"/>
      <c r="AZ132" s="761"/>
      <c r="BA132" s="761"/>
      <c r="BB132" s="761"/>
      <c r="BC132" s="1216"/>
      <c r="BD132" s="1215"/>
      <c r="BE132" s="761"/>
      <c r="BF132" s="761"/>
      <c r="BG132" s="761"/>
      <c r="BH132" s="761"/>
      <c r="BI132" s="761"/>
      <c r="BJ132" s="761"/>
      <c r="BK132" s="761"/>
      <c r="BL132" s="761"/>
      <c r="BM132" s="761"/>
      <c r="BN132" s="761"/>
      <c r="BO132" s="1216"/>
      <c r="BP132" s="1215"/>
      <c r="BQ132" s="761"/>
      <c r="BR132" s="761"/>
      <c r="BS132" s="761"/>
      <c r="BT132" s="761"/>
      <c r="BU132" s="761"/>
      <c r="BV132" s="761"/>
      <c r="BW132" s="761"/>
      <c r="BX132" s="761"/>
      <c r="BY132" s="761"/>
      <c r="BZ132" s="761"/>
      <c r="CA132" s="1216"/>
      <c r="CB132" s="747"/>
      <c r="CC132" s="1222">
        <f>$G132*H132*Variables!$B$53</f>
        <v>0</v>
      </c>
      <c r="CD132" s="1223">
        <f>$G132*I132*Variables!$B$53</f>
        <v>0</v>
      </c>
      <c r="CE132" s="1223">
        <f>$G132*J132*Variables!$B$53</f>
        <v>0</v>
      </c>
      <c r="CF132" s="1223">
        <f>$G132*K132*Variables!$B$53</f>
        <v>0</v>
      </c>
      <c r="CG132" s="1223">
        <f>$G132*L132*Variables!$B$53</f>
        <v>0</v>
      </c>
      <c r="CH132" s="1223">
        <f>$G132*M132*Variables!$B$53</f>
        <v>0</v>
      </c>
      <c r="CI132" s="1223">
        <f>$G132*N132*Variables!$B$53</f>
        <v>0</v>
      </c>
      <c r="CJ132" s="1223">
        <f>$G132*O132*Variables!$B$53</f>
        <v>0</v>
      </c>
      <c r="CK132" s="1223">
        <f>$G132*P132*Variables!$B$53</f>
        <v>0</v>
      </c>
      <c r="CL132" s="1223">
        <f>$G132*Q132*Variables!$B$53</f>
        <v>0</v>
      </c>
      <c r="CM132" s="1223">
        <f>$G132*R132*Variables!$B$53</f>
        <v>0</v>
      </c>
      <c r="CN132" s="1225">
        <f>$G132*S132*Variables!$B$53</f>
        <v>0</v>
      </c>
      <c r="CO132" s="1222">
        <f>$G132*T132*Variables!$B$53*HLOOKUP($CO$2,Variables!$B$60:$F$61,2,FALSE)</f>
        <v>0</v>
      </c>
      <c r="CP132" s="1223">
        <f>$G132*U132*Variables!$B$53*HLOOKUP($CO$2,Variables!$B$60:$F$61,2,FALSE)</f>
        <v>0</v>
      </c>
      <c r="CQ132" s="1223">
        <f>$G132*V132*Variables!$B$53*HLOOKUP($CO$2,Variables!$B$60:$F$61,2,FALSE)</f>
        <v>0</v>
      </c>
      <c r="CR132" s="1223">
        <f>$G132*W132*Variables!$B$53*HLOOKUP($CO$2,Variables!$B$60:$F$61,2,FALSE)</f>
        <v>0</v>
      </c>
      <c r="CS132" s="1223">
        <f>$G132*X132*Variables!$B$53*HLOOKUP($CO$2,Variables!$B$60:$F$61,2,FALSE)</f>
        <v>0</v>
      </c>
      <c r="CT132" s="1223">
        <f>$G132*Y132*Variables!$B$53*HLOOKUP($CO$2,Variables!$B$60:$F$61,2,FALSE)</f>
        <v>0</v>
      </c>
      <c r="CU132" s="1223">
        <f>$G132*Z132*Variables!$B$53*HLOOKUP($CO$2,Variables!$B$60:$F$61,2,FALSE)</f>
        <v>0</v>
      </c>
      <c r="CV132" s="1223">
        <f>$G132*AA132*Variables!$B$53*HLOOKUP($CO$2,Variables!$B$60:$F$61,2,FALSE)</f>
        <v>0</v>
      </c>
      <c r="CW132" s="1223">
        <f>$G132*AB132*Variables!$B$53*HLOOKUP($CO$2,Variables!$B$60:$F$61,2,FALSE)</f>
        <v>0</v>
      </c>
      <c r="CX132" s="1223">
        <f>$G132*AC132*Variables!$B$53*HLOOKUP($CO$2,Variables!$B$60:$F$61,2,FALSE)</f>
        <v>0</v>
      </c>
      <c r="CY132" s="1223">
        <f>$G132*AD132*Variables!$B$53*HLOOKUP($CO$2,Variables!$B$60:$F$61,2,FALSE)</f>
        <v>0</v>
      </c>
      <c r="CZ132" s="1225">
        <f>$G132*AE132*Variables!$B$53*HLOOKUP($CO$2,Variables!$B$60:$F$61,2,FALSE)</f>
        <v>0</v>
      </c>
      <c r="DA132" s="1222">
        <f>$G132*AF132*Variables!$B$53*HLOOKUP($DA$2,Variables!$B$60:$F$61,2,FALSE)</f>
        <v>0</v>
      </c>
      <c r="DB132" s="1223">
        <f>$G132*AG132*Variables!$B$53*HLOOKUP($DA$2,Variables!$B$60:$F$61,2,FALSE)</f>
        <v>0</v>
      </c>
      <c r="DC132" s="1223">
        <f>$G132*AH132*Variables!$B$53*HLOOKUP($DA$2,Variables!$B$60:$F$61,2,FALSE)</f>
        <v>0</v>
      </c>
      <c r="DD132" s="1223">
        <f>$G132*AI132*Variables!$B$53*HLOOKUP($DA$2,Variables!$B$60:$F$61,2,FALSE)</f>
        <v>0</v>
      </c>
      <c r="DE132" s="1223">
        <f>$G132*AJ132*Variables!$B$53*HLOOKUP($DA$2,Variables!$B$60:$F$61,2,FALSE)</f>
        <v>0</v>
      </c>
      <c r="DF132" s="1223">
        <f>$G132*AK132*Variables!$B$53*HLOOKUP($DA$2,Variables!$B$60:$F$61,2,FALSE)</f>
        <v>0</v>
      </c>
      <c r="DG132" s="1223">
        <f>$G132*AL132*Variables!$B$53*HLOOKUP($DA$2,Variables!$B$60:$F$61,2,FALSE)</f>
        <v>0</v>
      </c>
      <c r="DH132" s="1223">
        <f>$G132*AM132*Variables!$B$53*HLOOKUP($DA$2,Variables!$B$60:$F$61,2,FALSE)</f>
        <v>0</v>
      </c>
      <c r="DI132" s="1223">
        <f>$G132*AN132*Variables!$B$53*HLOOKUP($DA$2,Variables!$B$60:$F$61,2,FALSE)</f>
        <v>0</v>
      </c>
      <c r="DJ132" s="1223">
        <f>$G132*AO132*Variables!$B$53*HLOOKUP($DA$2,Variables!$B$60:$F$61,2,FALSE)</f>
        <v>0</v>
      </c>
      <c r="DK132" s="1223">
        <f>$G132*AP132*Variables!$B$53*HLOOKUP($DA$2,Variables!$B$60:$F$61,2,FALSE)</f>
        <v>0</v>
      </c>
      <c r="DL132" s="1225">
        <f>$G132*AQ132*Variables!$B$53*HLOOKUP($DA$2,Variables!$B$60:$F$61,2,FALSE)</f>
        <v>0</v>
      </c>
      <c r="DM132" s="1222">
        <f>$G132*AR132*Variables!$B$53*HLOOKUP($DM$2,Variables!$B$60:$F$61,2,FALSE)</f>
        <v>0</v>
      </c>
      <c r="DN132" s="1223">
        <f>$G132*AS132*Variables!$B$53*HLOOKUP($DM$2,Variables!$B$60:$F$61,2,FALSE)</f>
        <v>0</v>
      </c>
      <c r="DO132" s="1223">
        <f>$G132*AT132*Variables!$B$53*HLOOKUP($DM$2,Variables!$B$60:$F$61,2,FALSE)</f>
        <v>0</v>
      </c>
      <c r="DP132" s="1223">
        <f>$G132*AU132*Variables!$B$53*HLOOKUP($DM$2,Variables!$B$60:$F$61,2,FALSE)</f>
        <v>0</v>
      </c>
      <c r="DQ132" s="1223">
        <f>$G132*AV132*Variables!$B$53*HLOOKUP($DM$2,Variables!$B$60:$F$61,2,FALSE)</f>
        <v>0</v>
      </c>
      <c r="DR132" s="1223">
        <f>$G132*AW132*Variables!$B$53*HLOOKUP($DM$2,Variables!$B$60:$F$61,2,FALSE)</f>
        <v>0</v>
      </c>
      <c r="DS132" s="1223">
        <f>$G132*AX132*Variables!$B$53*HLOOKUP($DM$2,Variables!$B$60:$F$61,2,FALSE)</f>
        <v>0</v>
      </c>
      <c r="DT132" s="1223">
        <f>$G132*AY132*Variables!$B$53*HLOOKUP($DM$2,Variables!$B$60:$F$61,2,FALSE)</f>
        <v>0</v>
      </c>
      <c r="DU132" s="1223">
        <f>$G132*AZ132*Variables!$B$53*HLOOKUP($DM$2,Variables!$B$60:$F$61,2,FALSE)</f>
        <v>0</v>
      </c>
      <c r="DV132" s="1223">
        <f>$G132*BA132*Variables!$B$53*HLOOKUP($DM$2,Variables!$B$60:$F$61,2,FALSE)</f>
        <v>0</v>
      </c>
      <c r="DW132" s="1223">
        <f>$G132*BB132*Variables!$B$53*HLOOKUP($DM$2,Variables!$B$60:$F$61,2,FALSE)</f>
        <v>0</v>
      </c>
      <c r="DX132" s="1225">
        <f>$G132*BC132*Variables!$B$53*HLOOKUP($DM$2,Variables!$B$60:$F$61,2,FALSE)</f>
        <v>0</v>
      </c>
      <c r="DY132" s="1222">
        <f>$G132*BD132*Variables!$B$53*HLOOKUP($DY$2,Variables!$B$60:$F$61,2,FALSE)</f>
        <v>0</v>
      </c>
      <c r="DZ132" s="1223">
        <f>$G132*BE132*Variables!$B$53*HLOOKUP($DY$2,Variables!$B$60:$F$61,2,FALSE)</f>
        <v>0</v>
      </c>
      <c r="EA132" s="1223">
        <f>$G132*BF132*Variables!$B$53*HLOOKUP($DY$2,Variables!$B$60:$F$61,2,FALSE)</f>
        <v>0</v>
      </c>
      <c r="EB132" s="1223">
        <f>$G132*BG132*Variables!$B$53*HLOOKUP($DY$2,Variables!$B$60:$F$61,2,FALSE)</f>
        <v>0</v>
      </c>
      <c r="EC132" s="1223">
        <f>$G132*BH132*Variables!$B$53*HLOOKUP($DY$2,Variables!$B$60:$F$61,2,FALSE)</f>
        <v>0</v>
      </c>
      <c r="ED132" s="1223">
        <f>$G132*BI132*Variables!$B$53*HLOOKUP($DY$2,Variables!$B$60:$F$61,2,FALSE)</f>
        <v>0</v>
      </c>
      <c r="EE132" s="1223">
        <f>$G132*BJ132*Variables!$B$53*HLOOKUP($DY$2,Variables!$B$60:$F$61,2,FALSE)</f>
        <v>0</v>
      </c>
      <c r="EF132" s="1223">
        <f>$G132*BK132*Variables!$B$53*HLOOKUP($DY$2,Variables!$B$60:$F$61,2,FALSE)</f>
        <v>0</v>
      </c>
      <c r="EG132" s="1223">
        <f>$G132*BL132*Variables!$B$53*HLOOKUP($DY$2,Variables!$B$60:$F$61,2,FALSE)</f>
        <v>0</v>
      </c>
      <c r="EH132" s="1223">
        <f>$G132*BM132*Variables!$B$53*HLOOKUP($DY$2,Variables!$B$60:$F$61,2,FALSE)</f>
        <v>0</v>
      </c>
      <c r="EI132" s="1223">
        <f>$G132*BN132*Variables!$B$53*HLOOKUP($DY$2,Variables!$B$60:$F$61,2,FALSE)</f>
        <v>0</v>
      </c>
      <c r="EJ132" s="1225">
        <f>$G132*BO132*Variables!$B$53*HLOOKUP($DY$2,Variables!$B$60:$F$61,2,FALSE)</f>
        <v>0</v>
      </c>
      <c r="EK132" s="1222">
        <f>$G132*BP132*Variables!$B$53*HLOOKUP($EK$2,Variables!$B$60:$F$61,2,FALSE)</f>
        <v>0</v>
      </c>
      <c r="EL132" s="1223">
        <f>$G132*BQ132*Variables!$B$53*HLOOKUP($EK$2,Variables!$B$60:$F$61,2,FALSE)</f>
        <v>0</v>
      </c>
      <c r="EM132" s="1223">
        <f>$G132*BR132*Variables!$B$53*HLOOKUP($EK$2,Variables!$B$60:$F$61,2,FALSE)</f>
        <v>0</v>
      </c>
      <c r="EN132" s="1223">
        <f>$G132*BS132*Variables!$B$53*HLOOKUP($EK$2,Variables!$B$60:$F$61,2,FALSE)</f>
        <v>0</v>
      </c>
      <c r="EO132" s="1223">
        <f>$G132*BT132*Variables!$B$53*HLOOKUP($EK$2,Variables!$B$60:$F$61,2,FALSE)</f>
        <v>0</v>
      </c>
      <c r="EP132" s="1223">
        <f>$G132*BU132*Variables!$B$53*HLOOKUP($EK$2,Variables!$B$60:$F$61,2,FALSE)</f>
        <v>0</v>
      </c>
      <c r="EQ132" s="1223">
        <f>$G132*BV132*Variables!$B$53*HLOOKUP($EK$2,Variables!$B$60:$F$61,2,FALSE)</f>
        <v>0</v>
      </c>
      <c r="ER132" s="1223">
        <f>$G132*BW132*Variables!$B$53*HLOOKUP($EK$2,Variables!$B$60:$F$61,2,FALSE)</f>
        <v>0</v>
      </c>
      <c r="ES132" s="1223">
        <f>$G132*BX132*Variables!$B$53*HLOOKUP($EK$2,Variables!$B$60:$F$61,2,FALSE)</f>
        <v>0</v>
      </c>
      <c r="ET132" s="1223">
        <f>$G132*BY132*Variables!$B$53*HLOOKUP($EK$2,Variables!$B$60:$F$61,2,FALSE)</f>
        <v>0</v>
      </c>
      <c r="EU132" s="1223">
        <f>$G132*BZ132*Variables!$B$53*HLOOKUP($EK$2,Variables!$B$60:$F$61,2,FALSE)</f>
        <v>0</v>
      </c>
      <c r="EV132" s="1225">
        <f>$G132*CA132*Variables!$B$53*HLOOKUP($EK$2,Variables!$B$60:$F$61,2,FALSE)</f>
        <v>0</v>
      </c>
      <c r="EW132" s="872">
        <f t="shared" si="15"/>
        <v>0</v>
      </c>
      <c r="EX132" s="872"/>
      <c r="EY132" s="872"/>
      <c r="EZ132" s="872"/>
      <c r="FA132" s="1332"/>
      <c r="FC132" s="958" t="str">
        <f t="shared" si="16"/>
        <v/>
      </c>
      <c r="FD132" s="959" t="str">
        <f t="shared" si="17"/>
        <v/>
      </c>
      <c r="FE132" s="959" t="s">
        <v>8407</v>
      </c>
      <c r="FF132" s="959" t="str">
        <f>IF(ISNA(VLOOKUP(FC132,Miscellaneous!E:F,2,0)),"",VLOOKUP(FC132,Miscellaneous!E:F,2,0))</f>
        <v/>
      </c>
      <c r="FG132" s="959" t="str">
        <f t="shared" si="18"/>
        <v/>
      </c>
      <c r="FH132" s="996">
        <f>IF($FG132="Opex",SUMIF('Monthly Summary'!$C$75:$N$75,"",CC132:CN132),SUMIF('Monthly Summary'!$C$74:$N$74,"",CC132:CN132))</f>
        <v>0</v>
      </c>
      <c r="FI132" s="996">
        <f>IF($FG132="Opex",SUMIF('Monthly Summary'!$O$75:$Z$75,"",CO132:CZ132),SUMIF('Monthly Summary'!$O$74:$Z$74,"",CO132:CZ132))</f>
        <v>0</v>
      </c>
      <c r="FJ132" s="996">
        <f>IF($FG132="Opex",SUMIF('Monthly Summary'!$AA$75:$AL$75,"",DA132:DL132),SUMIF('Monthly Summary'!$AA$74:$AL$74,"",DA132:DL132))</f>
        <v>0</v>
      </c>
      <c r="FK132" s="996">
        <f>IF($FG132="Opex",SUMIF('Monthly Summary'!$AM$75:$AX$75,"",DM132:DX132),SUMIF('Monthly Summary'!$AM$74:$AX$74,"",DM132:DX132))</f>
        <v>0</v>
      </c>
      <c r="FL132" s="996">
        <f>IF($FG132="Opex",SUMIF('Monthly Summary'!$AY$75:$BJ$75,"",DY132:EJ132),SUMIF('Monthly Summary'!$AY$74:$BJ$74,"",DY132:EJ132))</f>
        <v>0</v>
      </c>
      <c r="FM132" s="997">
        <f>IF($FG132="Opex",SUMIF('Monthly Summary'!$BK$75:$BV$75,"",EK132:EV132),SUMIF('Monthly Summary'!$BK$74:$BV$74,"",EK132:EV132))</f>
        <v>0</v>
      </c>
      <c r="FN132" s="997">
        <f t="shared" si="14"/>
        <v>0</v>
      </c>
    </row>
    <row r="133" spans="3:170">
      <c r="C133" s="757"/>
      <c r="D133" s="757"/>
      <c r="E133" s="758"/>
      <c r="F133" s="758"/>
      <c r="G133" s="758"/>
      <c r="H133" s="1215"/>
      <c r="I133" s="761"/>
      <c r="J133" s="761"/>
      <c r="K133" s="761"/>
      <c r="L133" s="761"/>
      <c r="M133" s="761"/>
      <c r="N133" s="761"/>
      <c r="O133" s="761"/>
      <c r="P133" s="761"/>
      <c r="Q133" s="761"/>
      <c r="R133" s="761"/>
      <c r="S133" s="1216"/>
      <c r="T133" s="1215"/>
      <c r="U133" s="761"/>
      <c r="V133" s="761"/>
      <c r="W133" s="761"/>
      <c r="X133" s="761"/>
      <c r="Y133" s="761"/>
      <c r="Z133" s="761"/>
      <c r="AA133" s="761"/>
      <c r="AB133" s="761"/>
      <c r="AC133" s="761"/>
      <c r="AD133" s="761"/>
      <c r="AE133" s="1216"/>
      <c r="AF133" s="1215"/>
      <c r="AG133" s="761"/>
      <c r="AH133" s="761"/>
      <c r="AI133" s="761"/>
      <c r="AJ133" s="761"/>
      <c r="AK133" s="761"/>
      <c r="AL133" s="761"/>
      <c r="AM133" s="761"/>
      <c r="AN133" s="761"/>
      <c r="AO133" s="761"/>
      <c r="AP133" s="761"/>
      <c r="AQ133" s="1216"/>
      <c r="AR133" s="1215"/>
      <c r="AS133" s="761"/>
      <c r="AT133" s="761"/>
      <c r="AU133" s="761"/>
      <c r="AV133" s="761"/>
      <c r="AW133" s="761"/>
      <c r="AX133" s="761"/>
      <c r="AY133" s="761"/>
      <c r="AZ133" s="761"/>
      <c r="BA133" s="761"/>
      <c r="BB133" s="761"/>
      <c r="BC133" s="1216"/>
      <c r="BD133" s="1215"/>
      <c r="BE133" s="761"/>
      <c r="BF133" s="761"/>
      <c r="BG133" s="761"/>
      <c r="BH133" s="761"/>
      <c r="BI133" s="761"/>
      <c r="BJ133" s="761"/>
      <c r="BK133" s="761"/>
      <c r="BL133" s="761"/>
      <c r="BM133" s="761"/>
      <c r="BN133" s="761"/>
      <c r="BO133" s="1216"/>
      <c r="BP133" s="1215"/>
      <c r="BQ133" s="761"/>
      <c r="BR133" s="761"/>
      <c r="BS133" s="761"/>
      <c r="BT133" s="761"/>
      <c r="BU133" s="761"/>
      <c r="BV133" s="761"/>
      <c r="BW133" s="761"/>
      <c r="BX133" s="761"/>
      <c r="BY133" s="761"/>
      <c r="BZ133" s="761"/>
      <c r="CA133" s="1216"/>
      <c r="CB133" s="747"/>
      <c r="CC133" s="1222">
        <f>$G133*H133*Variables!$B$53</f>
        <v>0</v>
      </c>
      <c r="CD133" s="1223">
        <f>$G133*I133*Variables!$B$53</f>
        <v>0</v>
      </c>
      <c r="CE133" s="1223">
        <f>$G133*J133*Variables!$B$53</f>
        <v>0</v>
      </c>
      <c r="CF133" s="1223">
        <f>$G133*K133*Variables!$B$53</f>
        <v>0</v>
      </c>
      <c r="CG133" s="1223">
        <f>$G133*L133*Variables!$B$53</f>
        <v>0</v>
      </c>
      <c r="CH133" s="1223">
        <f>$G133*M133*Variables!$B$53</f>
        <v>0</v>
      </c>
      <c r="CI133" s="1223">
        <f>$G133*N133*Variables!$B$53</f>
        <v>0</v>
      </c>
      <c r="CJ133" s="1223">
        <f>$G133*O133*Variables!$B$53</f>
        <v>0</v>
      </c>
      <c r="CK133" s="1223">
        <f>$G133*P133*Variables!$B$53</f>
        <v>0</v>
      </c>
      <c r="CL133" s="1223">
        <f>$G133*Q133*Variables!$B$53</f>
        <v>0</v>
      </c>
      <c r="CM133" s="1223">
        <f>$G133*R133*Variables!$B$53</f>
        <v>0</v>
      </c>
      <c r="CN133" s="1225">
        <f>$G133*S133*Variables!$B$53</f>
        <v>0</v>
      </c>
      <c r="CO133" s="1222">
        <f>$G133*T133*Variables!$B$53*HLOOKUP($CO$2,Variables!$B$60:$F$61,2,FALSE)</f>
        <v>0</v>
      </c>
      <c r="CP133" s="1223">
        <f>$G133*U133*Variables!$B$53*HLOOKUP($CO$2,Variables!$B$60:$F$61,2,FALSE)</f>
        <v>0</v>
      </c>
      <c r="CQ133" s="1223">
        <f>$G133*V133*Variables!$B$53*HLOOKUP($CO$2,Variables!$B$60:$F$61,2,FALSE)</f>
        <v>0</v>
      </c>
      <c r="CR133" s="1223">
        <f>$G133*W133*Variables!$B$53*HLOOKUP($CO$2,Variables!$B$60:$F$61,2,FALSE)</f>
        <v>0</v>
      </c>
      <c r="CS133" s="1223">
        <f>$G133*X133*Variables!$B$53*HLOOKUP($CO$2,Variables!$B$60:$F$61,2,FALSE)</f>
        <v>0</v>
      </c>
      <c r="CT133" s="1223">
        <f>$G133*Y133*Variables!$B$53*HLOOKUP($CO$2,Variables!$B$60:$F$61,2,FALSE)</f>
        <v>0</v>
      </c>
      <c r="CU133" s="1223">
        <f>$G133*Z133*Variables!$B$53*HLOOKUP($CO$2,Variables!$B$60:$F$61,2,FALSE)</f>
        <v>0</v>
      </c>
      <c r="CV133" s="1223">
        <f>$G133*AA133*Variables!$B$53*HLOOKUP($CO$2,Variables!$B$60:$F$61,2,FALSE)</f>
        <v>0</v>
      </c>
      <c r="CW133" s="1223">
        <f>$G133*AB133*Variables!$B$53*HLOOKUP($CO$2,Variables!$B$60:$F$61,2,FALSE)</f>
        <v>0</v>
      </c>
      <c r="CX133" s="1223">
        <f>$G133*AC133*Variables!$B$53*HLOOKUP($CO$2,Variables!$B$60:$F$61,2,FALSE)</f>
        <v>0</v>
      </c>
      <c r="CY133" s="1223">
        <f>$G133*AD133*Variables!$B$53*HLOOKUP($CO$2,Variables!$B$60:$F$61,2,FALSE)</f>
        <v>0</v>
      </c>
      <c r="CZ133" s="1225">
        <f>$G133*AE133*Variables!$B$53*HLOOKUP($CO$2,Variables!$B$60:$F$61,2,FALSE)</f>
        <v>0</v>
      </c>
      <c r="DA133" s="1222">
        <f>$G133*AF133*Variables!$B$53*HLOOKUP($DA$2,Variables!$B$60:$F$61,2,FALSE)</f>
        <v>0</v>
      </c>
      <c r="DB133" s="1223">
        <f>$G133*AG133*Variables!$B$53*HLOOKUP($DA$2,Variables!$B$60:$F$61,2,FALSE)</f>
        <v>0</v>
      </c>
      <c r="DC133" s="1223">
        <f>$G133*AH133*Variables!$B$53*HLOOKUP($DA$2,Variables!$B$60:$F$61,2,FALSE)</f>
        <v>0</v>
      </c>
      <c r="DD133" s="1223">
        <f>$G133*AI133*Variables!$B$53*HLOOKUP($DA$2,Variables!$B$60:$F$61,2,FALSE)</f>
        <v>0</v>
      </c>
      <c r="DE133" s="1223">
        <f>$G133*AJ133*Variables!$B$53*HLOOKUP($DA$2,Variables!$B$60:$F$61,2,FALSE)</f>
        <v>0</v>
      </c>
      <c r="DF133" s="1223">
        <f>$G133*AK133*Variables!$B$53*HLOOKUP($DA$2,Variables!$B$60:$F$61,2,FALSE)</f>
        <v>0</v>
      </c>
      <c r="DG133" s="1223">
        <f>$G133*AL133*Variables!$B$53*HLOOKUP($DA$2,Variables!$B$60:$F$61,2,FALSE)</f>
        <v>0</v>
      </c>
      <c r="DH133" s="1223">
        <f>$G133*AM133*Variables!$B$53*HLOOKUP($DA$2,Variables!$B$60:$F$61,2,FALSE)</f>
        <v>0</v>
      </c>
      <c r="DI133" s="1223">
        <f>$G133*AN133*Variables!$B$53*HLOOKUP($DA$2,Variables!$B$60:$F$61,2,FALSE)</f>
        <v>0</v>
      </c>
      <c r="DJ133" s="1223">
        <f>$G133*AO133*Variables!$B$53*HLOOKUP($DA$2,Variables!$B$60:$F$61,2,FALSE)</f>
        <v>0</v>
      </c>
      <c r="DK133" s="1223">
        <f>$G133*AP133*Variables!$B$53*HLOOKUP($DA$2,Variables!$B$60:$F$61,2,FALSE)</f>
        <v>0</v>
      </c>
      <c r="DL133" s="1225">
        <f>$G133*AQ133*Variables!$B$53*HLOOKUP($DA$2,Variables!$B$60:$F$61,2,FALSE)</f>
        <v>0</v>
      </c>
      <c r="DM133" s="1222">
        <f>$G133*AR133*Variables!$B$53*HLOOKUP($DM$2,Variables!$B$60:$F$61,2,FALSE)</f>
        <v>0</v>
      </c>
      <c r="DN133" s="1223">
        <f>$G133*AS133*Variables!$B$53*HLOOKUP($DM$2,Variables!$B$60:$F$61,2,FALSE)</f>
        <v>0</v>
      </c>
      <c r="DO133" s="1223">
        <f>$G133*AT133*Variables!$B$53*HLOOKUP($DM$2,Variables!$B$60:$F$61,2,FALSE)</f>
        <v>0</v>
      </c>
      <c r="DP133" s="1223">
        <f>$G133*AU133*Variables!$B$53*HLOOKUP($DM$2,Variables!$B$60:$F$61,2,FALSE)</f>
        <v>0</v>
      </c>
      <c r="DQ133" s="1223">
        <f>$G133*AV133*Variables!$B$53*HLOOKUP($DM$2,Variables!$B$60:$F$61,2,FALSE)</f>
        <v>0</v>
      </c>
      <c r="DR133" s="1223">
        <f>$G133*AW133*Variables!$B$53*HLOOKUP($DM$2,Variables!$B$60:$F$61,2,FALSE)</f>
        <v>0</v>
      </c>
      <c r="DS133" s="1223">
        <f>$G133*AX133*Variables!$B$53*HLOOKUP($DM$2,Variables!$B$60:$F$61,2,FALSE)</f>
        <v>0</v>
      </c>
      <c r="DT133" s="1223">
        <f>$G133*AY133*Variables!$B$53*HLOOKUP($DM$2,Variables!$B$60:$F$61,2,FALSE)</f>
        <v>0</v>
      </c>
      <c r="DU133" s="1223">
        <f>$G133*AZ133*Variables!$B$53*HLOOKUP($DM$2,Variables!$B$60:$F$61,2,FALSE)</f>
        <v>0</v>
      </c>
      <c r="DV133" s="1223">
        <f>$G133*BA133*Variables!$B$53*HLOOKUP($DM$2,Variables!$B$60:$F$61,2,FALSE)</f>
        <v>0</v>
      </c>
      <c r="DW133" s="1223">
        <f>$G133*BB133*Variables!$B$53*HLOOKUP($DM$2,Variables!$B$60:$F$61,2,FALSE)</f>
        <v>0</v>
      </c>
      <c r="DX133" s="1225">
        <f>$G133*BC133*Variables!$B$53*HLOOKUP($DM$2,Variables!$B$60:$F$61,2,FALSE)</f>
        <v>0</v>
      </c>
      <c r="DY133" s="1222">
        <f>$G133*BD133*Variables!$B$53*HLOOKUP($DY$2,Variables!$B$60:$F$61,2,FALSE)</f>
        <v>0</v>
      </c>
      <c r="DZ133" s="1223">
        <f>$G133*BE133*Variables!$B$53*HLOOKUP($DY$2,Variables!$B$60:$F$61,2,FALSE)</f>
        <v>0</v>
      </c>
      <c r="EA133" s="1223">
        <f>$G133*BF133*Variables!$B$53*HLOOKUP($DY$2,Variables!$B$60:$F$61,2,FALSE)</f>
        <v>0</v>
      </c>
      <c r="EB133" s="1223">
        <f>$G133*BG133*Variables!$B$53*HLOOKUP($DY$2,Variables!$B$60:$F$61,2,FALSE)</f>
        <v>0</v>
      </c>
      <c r="EC133" s="1223">
        <f>$G133*BH133*Variables!$B$53*HLOOKUP($DY$2,Variables!$B$60:$F$61,2,FALSE)</f>
        <v>0</v>
      </c>
      <c r="ED133" s="1223">
        <f>$G133*BI133*Variables!$B$53*HLOOKUP($DY$2,Variables!$B$60:$F$61,2,FALSE)</f>
        <v>0</v>
      </c>
      <c r="EE133" s="1223">
        <f>$G133*BJ133*Variables!$B$53*HLOOKUP($DY$2,Variables!$B$60:$F$61,2,FALSE)</f>
        <v>0</v>
      </c>
      <c r="EF133" s="1223">
        <f>$G133*BK133*Variables!$B$53*HLOOKUP($DY$2,Variables!$B$60:$F$61,2,FALSE)</f>
        <v>0</v>
      </c>
      <c r="EG133" s="1223">
        <f>$G133*BL133*Variables!$B$53*HLOOKUP($DY$2,Variables!$B$60:$F$61,2,FALSE)</f>
        <v>0</v>
      </c>
      <c r="EH133" s="1223">
        <f>$G133*BM133*Variables!$B$53*HLOOKUP($DY$2,Variables!$B$60:$F$61,2,FALSE)</f>
        <v>0</v>
      </c>
      <c r="EI133" s="1223">
        <f>$G133*BN133*Variables!$B$53*HLOOKUP($DY$2,Variables!$B$60:$F$61,2,FALSE)</f>
        <v>0</v>
      </c>
      <c r="EJ133" s="1225">
        <f>$G133*BO133*Variables!$B$53*HLOOKUP($DY$2,Variables!$B$60:$F$61,2,FALSE)</f>
        <v>0</v>
      </c>
      <c r="EK133" s="1222">
        <f>$G133*BP133*Variables!$B$53*HLOOKUP($EK$2,Variables!$B$60:$F$61,2,FALSE)</f>
        <v>0</v>
      </c>
      <c r="EL133" s="1223">
        <f>$G133*BQ133*Variables!$B$53*HLOOKUP($EK$2,Variables!$B$60:$F$61,2,FALSE)</f>
        <v>0</v>
      </c>
      <c r="EM133" s="1223">
        <f>$G133*BR133*Variables!$B$53*HLOOKUP($EK$2,Variables!$B$60:$F$61,2,FALSE)</f>
        <v>0</v>
      </c>
      <c r="EN133" s="1223">
        <f>$G133*BS133*Variables!$B$53*HLOOKUP($EK$2,Variables!$B$60:$F$61,2,FALSE)</f>
        <v>0</v>
      </c>
      <c r="EO133" s="1223">
        <f>$G133*BT133*Variables!$B$53*HLOOKUP($EK$2,Variables!$B$60:$F$61,2,FALSE)</f>
        <v>0</v>
      </c>
      <c r="EP133" s="1223">
        <f>$G133*BU133*Variables!$B$53*HLOOKUP($EK$2,Variables!$B$60:$F$61,2,FALSE)</f>
        <v>0</v>
      </c>
      <c r="EQ133" s="1223">
        <f>$G133*BV133*Variables!$B$53*HLOOKUP($EK$2,Variables!$B$60:$F$61,2,FALSE)</f>
        <v>0</v>
      </c>
      <c r="ER133" s="1223">
        <f>$G133*BW133*Variables!$B$53*HLOOKUP($EK$2,Variables!$B$60:$F$61,2,FALSE)</f>
        <v>0</v>
      </c>
      <c r="ES133" s="1223">
        <f>$G133*BX133*Variables!$B$53*HLOOKUP($EK$2,Variables!$B$60:$F$61,2,FALSE)</f>
        <v>0</v>
      </c>
      <c r="ET133" s="1223">
        <f>$G133*BY133*Variables!$B$53*HLOOKUP($EK$2,Variables!$B$60:$F$61,2,FALSE)</f>
        <v>0</v>
      </c>
      <c r="EU133" s="1223">
        <f>$G133*BZ133*Variables!$B$53*HLOOKUP($EK$2,Variables!$B$60:$F$61,2,FALSE)</f>
        <v>0</v>
      </c>
      <c r="EV133" s="1225">
        <f>$G133*CA133*Variables!$B$53*HLOOKUP($EK$2,Variables!$B$60:$F$61,2,FALSE)</f>
        <v>0</v>
      </c>
      <c r="EW133" s="872">
        <f t="shared" si="15"/>
        <v>0</v>
      </c>
      <c r="EX133" s="872"/>
      <c r="EY133" s="872"/>
      <c r="EZ133" s="872"/>
      <c r="FA133" s="1332"/>
      <c r="FC133" s="958" t="str">
        <f t="shared" ref="FC133:FC254" si="19">IF(ISBLANK(A133),"",A133)</f>
        <v/>
      </c>
      <c r="FD133" s="959" t="str">
        <f t="shared" ref="FD133:FD254" si="20">IF(ISBLANK(B133),"",B133)</f>
        <v/>
      </c>
      <c r="FE133" s="959" t="s">
        <v>8407</v>
      </c>
      <c r="FF133" s="959" t="str">
        <f>IF(ISNA(VLOOKUP(FC133,Miscellaneous!E:F,2,0)),"",VLOOKUP(FC133,Miscellaneous!E:F,2,0))</f>
        <v/>
      </c>
      <c r="FG133" s="959" t="str">
        <f t="shared" ref="FG133:FG254" si="21">IF(ISBLANK(F133),"",F133)</f>
        <v/>
      </c>
      <c r="FH133" s="996">
        <f>IF($FG133="Opex",SUMIF('Monthly Summary'!$C$75:$N$75,"",CC133:CN133),SUMIF('Monthly Summary'!$C$74:$N$74,"",CC133:CN133))</f>
        <v>0</v>
      </c>
      <c r="FI133" s="996">
        <f>IF($FG133="Opex",SUMIF('Monthly Summary'!$O$75:$Z$75,"",CO133:CZ133),SUMIF('Monthly Summary'!$O$74:$Z$74,"",CO133:CZ133))</f>
        <v>0</v>
      </c>
      <c r="FJ133" s="996">
        <f>IF($FG133="Opex",SUMIF('Monthly Summary'!$AA$75:$AL$75,"",DA133:DL133),SUMIF('Monthly Summary'!$AA$74:$AL$74,"",DA133:DL133))</f>
        <v>0</v>
      </c>
      <c r="FK133" s="996">
        <f>IF($FG133="Opex",SUMIF('Monthly Summary'!$AM$75:$AX$75,"",DM133:DX133),SUMIF('Monthly Summary'!$AM$74:$AX$74,"",DM133:DX133))</f>
        <v>0</v>
      </c>
      <c r="FL133" s="996">
        <f>IF($FG133="Opex",SUMIF('Monthly Summary'!$AY$75:$BJ$75,"",DY133:EJ133),SUMIF('Monthly Summary'!$AY$74:$BJ$74,"",DY133:EJ133))</f>
        <v>0</v>
      </c>
      <c r="FM133" s="997">
        <f>IF($FG133="Opex",SUMIF('Monthly Summary'!$BK$75:$BV$75,"",EK133:EV133),SUMIF('Monthly Summary'!$BK$74:$BV$74,"",EK133:EV133))</f>
        <v>0</v>
      </c>
      <c r="FN133" s="997">
        <f t="shared" si="14"/>
        <v>0</v>
      </c>
    </row>
    <row r="134" spans="3:170">
      <c r="C134" s="757"/>
      <c r="D134" s="757"/>
      <c r="E134" s="758"/>
      <c r="F134" s="758"/>
      <c r="G134" s="758"/>
      <c r="H134" s="1215"/>
      <c r="I134" s="761"/>
      <c r="J134" s="761"/>
      <c r="K134" s="761"/>
      <c r="L134" s="761"/>
      <c r="M134" s="761"/>
      <c r="N134" s="761"/>
      <c r="O134" s="761"/>
      <c r="P134" s="761"/>
      <c r="Q134" s="761"/>
      <c r="R134" s="761"/>
      <c r="S134" s="1216"/>
      <c r="T134" s="1215"/>
      <c r="U134" s="761"/>
      <c r="V134" s="761"/>
      <c r="W134" s="761"/>
      <c r="X134" s="761"/>
      <c r="Y134" s="761"/>
      <c r="Z134" s="761"/>
      <c r="AA134" s="761"/>
      <c r="AB134" s="761"/>
      <c r="AC134" s="761"/>
      <c r="AD134" s="761"/>
      <c r="AE134" s="1216"/>
      <c r="AF134" s="1215"/>
      <c r="AG134" s="761"/>
      <c r="AH134" s="761"/>
      <c r="AI134" s="761"/>
      <c r="AJ134" s="761"/>
      <c r="AK134" s="761"/>
      <c r="AL134" s="761"/>
      <c r="AM134" s="761"/>
      <c r="AN134" s="761"/>
      <c r="AO134" s="761"/>
      <c r="AP134" s="761"/>
      <c r="AQ134" s="1216"/>
      <c r="AR134" s="1215"/>
      <c r="AS134" s="761"/>
      <c r="AT134" s="761"/>
      <c r="AU134" s="761"/>
      <c r="AV134" s="761"/>
      <c r="AW134" s="761"/>
      <c r="AX134" s="761"/>
      <c r="AY134" s="761"/>
      <c r="AZ134" s="761"/>
      <c r="BA134" s="761"/>
      <c r="BB134" s="761"/>
      <c r="BC134" s="1216"/>
      <c r="BD134" s="1215"/>
      <c r="BE134" s="761"/>
      <c r="BF134" s="761"/>
      <c r="BG134" s="761"/>
      <c r="BH134" s="761"/>
      <c r="BI134" s="761"/>
      <c r="BJ134" s="761"/>
      <c r="BK134" s="761"/>
      <c r="BL134" s="761"/>
      <c r="BM134" s="761"/>
      <c r="BN134" s="761"/>
      <c r="BO134" s="1216"/>
      <c r="BP134" s="1215"/>
      <c r="BQ134" s="761"/>
      <c r="BR134" s="761"/>
      <c r="BS134" s="761"/>
      <c r="BT134" s="761"/>
      <c r="BU134" s="761"/>
      <c r="BV134" s="761"/>
      <c r="BW134" s="761"/>
      <c r="BX134" s="761"/>
      <c r="BY134" s="761"/>
      <c r="BZ134" s="761"/>
      <c r="CA134" s="1216"/>
      <c r="CB134" s="747"/>
      <c r="CC134" s="1222">
        <f>$G134*H134*Variables!$B$53</f>
        <v>0</v>
      </c>
      <c r="CD134" s="1223">
        <f>$G134*I134*Variables!$B$53</f>
        <v>0</v>
      </c>
      <c r="CE134" s="1223">
        <f>$G134*J134*Variables!$B$53</f>
        <v>0</v>
      </c>
      <c r="CF134" s="1223">
        <f>$G134*K134*Variables!$B$53</f>
        <v>0</v>
      </c>
      <c r="CG134" s="1223">
        <f>$G134*L134*Variables!$B$53</f>
        <v>0</v>
      </c>
      <c r="CH134" s="1223">
        <f>$G134*M134*Variables!$B$53</f>
        <v>0</v>
      </c>
      <c r="CI134" s="1223">
        <f>$G134*N134*Variables!$B$53</f>
        <v>0</v>
      </c>
      <c r="CJ134" s="1223">
        <f>$G134*O134*Variables!$B$53</f>
        <v>0</v>
      </c>
      <c r="CK134" s="1223">
        <f>$G134*P134*Variables!$B$53</f>
        <v>0</v>
      </c>
      <c r="CL134" s="1223">
        <f>$G134*Q134*Variables!$B$53</f>
        <v>0</v>
      </c>
      <c r="CM134" s="1223">
        <f>$G134*R134*Variables!$B$53</f>
        <v>0</v>
      </c>
      <c r="CN134" s="1225">
        <f>$G134*S134*Variables!$B$53</f>
        <v>0</v>
      </c>
      <c r="CO134" s="1222">
        <f>$G134*T134*Variables!$B$53*HLOOKUP($CO$2,Variables!$B$60:$F$61,2,FALSE)</f>
        <v>0</v>
      </c>
      <c r="CP134" s="1223">
        <f>$G134*U134*Variables!$B$53*HLOOKUP($CO$2,Variables!$B$60:$F$61,2,FALSE)</f>
        <v>0</v>
      </c>
      <c r="CQ134" s="1223">
        <f>$G134*V134*Variables!$B$53*HLOOKUP($CO$2,Variables!$B$60:$F$61,2,FALSE)</f>
        <v>0</v>
      </c>
      <c r="CR134" s="1223">
        <f>$G134*W134*Variables!$B$53*HLOOKUP($CO$2,Variables!$B$60:$F$61,2,FALSE)</f>
        <v>0</v>
      </c>
      <c r="CS134" s="1223">
        <f>$G134*X134*Variables!$B$53*HLOOKUP($CO$2,Variables!$B$60:$F$61,2,FALSE)</f>
        <v>0</v>
      </c>
      <c r="CT134" s="1223">
        <f>$G134*Y134*Variables!$B$53*HLOOKUP($CO$2,Variables!$B$60:$F$61,2,FALSE)</f>
        <v>0</v>
      </c>
      <c r="CU134" s="1223">
        <f>$G134*Z134*Variables!$B$53*HLOOKUP($CO$2,Variables!$B$60:$F$61,2,FALSE)</f>
        <v>0</v>
      </c>
      <c r="CV134" s="1223">
        <f>$G134*AA134*Variables!$B$53*HLOOKUP($CO$2,Variables!$B$60:$F$61,2,FALSE)</f>
        <v>0</v>
      </c>
      <c r="CW134" s="1223">
        <f>$G134*AB134*Variables!$B$53*HLOOKUP($CO$2,Variables!$B$60:$F$61,2,FALSE)</f>
        <v>0</v>
      </c>
      <c r="CX134" s="1223">
        <f>$G134*AC134*Variables!$B$53*HLOOKUP($CO$2,Variables!$B$60:$F$61,2,FALSE)</f>
        <v>0</v>
      </c>
      <c r="CY134" s="1223">
        <f>$G134*AD134*Variables!$B$53*HLOOKUP($CO$2,Variables!$B$60:$F$61,2,FALSE)</f>
        <v>0</v>
      </c>
      <c r="CZ134" s="1225">
        <f>$G134*AE134*Variables!$B$53*HLOOKUP($CO$2,Variables!$B$60:$F$61,2,FALSE)</f>
        <v>0</v>
      </c>
      <c r="DA134" s="1222">
        <f>$G134*AF134*Variables!$B$53*HLOOKUP($DA$2,Variables!$B$60:$F$61,2,FALSE)</f>
        <v>0</v>
      </c>
      <c r="DB134" s="1223">
        <f>$G134*AG134*Variables!$B$53*HLOOKUP($DA$2,Variables!$B$60:$F$61,2,FALSE)</f>
        <v>0</v>
      </c>
      <c r="DC134" s="1223">
        <f>$G134*AH134*Variables!$B$53*HLOOKUP($DA$2,Variables!$B$60:$F$61,2,FALSE)</f>
        <v>0</v>
      </c>
      <c r="DD134" s="1223">
        <f>$G134*AI134*Variables!$B$53*HLOOKUP($DA$2,Variables!$B$60:$F$61,2,FALSE)</f>
        <v>0</v>
      </c>
      <c r="DE134" s="1223">
        <f>$G134*AJ134*Variables!$B$53*HLOOKUP($DA$2,Variables!$B$60:$F$61,2,FALSE)</f>
        <v>0</v>
      </c>
      <c r="DF134" s="1223">
        <f>$G134*AK134*Variables!$B$53*HLOOKUP($DA$2,Variables!$B$60:$F$61,2,FALSE)</f>
        <v>0</v>
      </c>
      <c r="DG134" s="1223">
        <f>$G134*AL134*Variables!$B$53*HLOOKUP($DA$2,Variables!$B$60:$F$61,2,FALSE)</f>
        <v>0</v>
      </c>
      <c r="DH134" s="1223">
        <f>$G134*AM134*Variables!$B$53*HLOOKUP($DA$2,Variables!$B$60:$F$61,2,FALSE)</f>
        <v>0</v>
      </c>
      <c r="DI134" s="1223">
        <f>$G134*AN134*Variables!$B$53*HLOOKUP($DA$2,Variables!$B$60:$F$61,2,FALSE)</f>
        <v>0</v>
      </c>
      <c r="DJ134" s="1223">
        <f>$G134*AO134*Variables!$B$53*HLOOKUP($DA$2,Variables!$B$60:$F$61,2,FALSE)</f>
        <v>0</v>
      </c>
      <c r="DK134" s="1223">
        <f>$G134*AP134*Variables!$B$53*HLOOKUP($DA$2,Variables!$B$60:$F$61,2,FALSE)</f>
        <v>0</v>
      </c>
      <c r="DL134" s="1225">
        <f>$G134*AQ134*Variables!$B$53*HLOOKUP($DA$2,Variables!$B$60:$F$61,2,FALSE)</f>
        <v>0</v>
      </c>
      <c r="DM134" s="1222">
        <f>$G134*AR134*Variables!$B$53*HLOOKUP($DM$2,Variables!$B$60:$F$61,2,FALSE)</f>
        <v>0</v>
      </c>
      <c r="DN134" s="1223">
        <f>$G134*AS134*Variables!$B$53*HLOOKUP($DM$2,Variables!$B$60:$F$61,2,FALSE)</f>
        <v>0</v>
      </c>
      <c r="DO134" s="1223">
        <f>$G134*AT134*Variables!$B$53*HLOOKUP($DM$2,Variables!$B$60:$F$61,2,FALSE)</f>
        <v>0</v>
      </c>
      <c r="DP134" s="1223">
        <f>$G134*AU134*Variables!$B$53*HLOOKUP($DM$2,Variables!$B$60:$F$61,2,FALSE)</f>
        <v>0</v>
      </c>
      <c r="DQ134" s="1223">
        <f>$G134*AV134*Variables!$B$53*HLOOKUP($DM$2,Variables!$B$60:$F$61,2,FALSE)</f>
        <v>0</v>
      </c>
      <c r="DR134" s="1223">
        <f>$G134*AW134*Variables!$B$53*HLOOKUP($DM$2,Variables!$B$60:$F$61,2,FALSE)</f>
        <v>0</v>
      </c>
      <c r="DS134" s="1223">
        <f>$G134*AX134*Variables!$B$53*HLOOKUP($DM$2,Variables!$B$60:$F$61,2,FALSE)</f>
        <v>0</v>
      </c>
      <c r="DT134" s="1223">
        <f>$G134*AY134*Variables!$B$53*HLOOKUP($DM$2,Variables!$B$60:$F$61,2,FALSE)</f>
        <v>0</v>
      </c>
      <c r="DU134" s="1223">
        <f>$G134*AZ134*Variables!$B$53*HLOOKUP($DM$2,Variables!$B$60:$F$61,2,FALSE)</f>
        <v>0</v>
      </c>
      <c r="DV134" s="1223">
        <f>$G134*BA134*Variables!$B$53*HLOOKUP($DM$2,Variables!$B$60:$F$61,2,FALSE)</f>
        <v>0</v>
      </c>
      <c r="DW134" s="1223">
        <f>$G134*BB134*Variables!$B$53*HLOOKUP($DM$2,Variables!$B$60:$F$61,2,FALSE)</f>
        <v>0</v>
      </c>
      <c r="DX134" s="1225">
        <f>$G134*BC134*Variables!$B$53*HLOOKUP($DM$2,Variables!$B$60:$F$61,2,FALSE)</f>
        <v>0</v>
      </c>
      <c r="DY134" s="1222">
        <f>$G134*BD134*Variables!$B$53*HLOOKUP($DY$2,Variables!$B$60:$F$61,2,FALSE)</f>
        <v>0</v>
      </c>
      <c r="DZ134" s="1223">
        <f>$G134*BE134*Variables!$B$53*HLOOKUP($DY$2,Variables!$B$60:$F$61,2,FALSE)</f>
        <v>0</v>
      </c>
      <c r="EA134" s="1223">
        <f>$G134*BF134*Variables!$B$53*HLOOKUP($DY$2,Variables!$B$60:$F$61,2,FALSE)</f>
        <v>0</v>
      </c>
      <c r="EB134" s="1223">
        <f>$G134*BG134*Variables!$B$53*HLOOKUP($DY$2,Variables!$B$60:$F$61,2,FALSE)</f>
        <v>0</v>
      </c>
      <c r="EC134" s="1223">
        <f>$G134*BH134*Variables!$B$53*HLOOKUP($DY$2,Variables!$B$60:$F$61,2,FALSE)</f>
        <v>0</v>
      </c>
      <c r="ED134" s="1223">
        <f>$G134*BI134*Variables!$B$53*HLOOKUP($DY$2,Variables!$B$60:$F$61,2,FALSE)</f>
        <v>0</v>
      </c>
      <c r="EE134" s="1223">
        <f>$G134*BJ134*Variables!$B$53*HLOOKUP($DY$2,Variables!$B$60:$F$61,2,FALSE)</f>
        <v>0</v>
      </c>
      <c r="EF134" s="1223">
        <f>$G134*BK134*Variables!$B$53*HLOOKUP($DY$2,Variables!$B$60:$F$61,2,FALSE)</f>
        <v>0</v>
      </c>
      <c r="EG134" s="1223">
        <f>$G134*BL134*Variables!$B$53*HLOOKUP($DY$2,Variables!$B$60:$F$61,2,FALSE)</f>
        <v>0</v>
      </c>
      <c r="EH134" s="1223">
        <f>$G134*BM134*Variables!$B$53*HLOOKUP($DY$2,Variables!$B$60:$F$61,2,FALSE)</f>
        <v>0</v>
      </c>
      <c r="EI134" s="1223">
        <f>$G134*BN134*Variables!$B$53*HLOOKUP($DY$2,Variables!$B$60:$F$61,2,FALSE)</f>
        <v>0</v>
      </c>
      <c r="EJ134" s="1225">
        <f>$G134*BO134*Variables!$B$53*HLOOKUP($DY$2,Variables!$B$60:$F$61,2,FALSE)</f>
        <v>0</v>
      </c>
      <c r="EK134" s="1222">
        <f>$G134*BP134*Variables!$B$53*HLOOKUP($EK$2,Variables!$B$60:$F$61,2,FALSE)</f>
        <v>0</v>
      </c>
      <c r="EL134" s="1223">
        <f>$G134*BQ134*Variables!$B$53*HLOOKUP($EK$2,Variables!$B$60:$F$61,2,FALSE)</f>
        <v>0</v>
      </c>
      <c r="EM134" s="1223">
        <f>$G134*BR134*Variables!$B$53*HLOOKUP($EK$2,Variables!$B$60:$F$61,2,FALSE)</f>
        <v>0</v>
      </c>
      <c r="EN134" s="1223">
        <f>$G134*BS134*Variables!$B$53*HLOOKUP($EK$2,Variables!$B$60:$F$61,2,FALSE)</f>
        <v>0</v>
      </c>
      <c r="EO134" s="1223">
        <f>$G134*BT134*Variables!$B$53*HLOOKUP($EK$2,Variables!$B$60:$F$61,2,FALSE)</f>
        <v>0</v>
      </c>
      <c r="EP134" s="1223">
        <f>$G134*BU134*Variables!$B$53*HLOOKUP($EK$2,Variables!$B$60:$F$61,2,FALSE)</f>
        <v>0</v>
      </c>
      <c r="EQ134" s="1223">
        <f>$G134*BV134*Variables!$B$53*HLOOKUP($EK$2,Variables!$B$60:$F$61,2,FALSE)</f>
        <v>0</v>
      </c>
      <c r="ER134" s="1223">
        <f>$G134*BW134*Variables!$B$53*HLOOKUP($EK$2,Variables!$B$60:$F$61,2,FALSE)</f>
        <v>0</v>
      </c>
      <c r="ES134" s="1223">
        <f>$G134*BX134*Variables!$B$53*HLOOKUP($EK$2,Variables!$B$60:$F$61,2,FALSE)</f>
        <v>0</v>
      </c>
      <c r="ET134" s="1223">
        <f>$G134*BY134*Variables!$B$53*HLOOKUP($EK$2,Variables!$B$60:$F$61,2,FALSE)</f>
        <v>0</v>
      </c>
      <c r="EU134" s="1223">
        <f>$G134*BZ134*Variables!$B$53*HLOOKUP($EK$2,Variables!$B$60:$F$61,2,FALSE)</f>
        <v>0</v>
      </c>
      <c r="EV134" s="1225">
        <f>$G134*CA134*Variables!$B$53*HLOOKUP($EK$2,Variables!$B$60:$F$61,2,FALSE)</f>
        <v>0</v>
      </c>
      <c r="EW134" s="872">
        <f t="shared" si="15"/>
        <v>0</v>
      </c>
      <c r="EX134" s="872"/>
      <c r="EY134" s="872"/>
      <c r="EZ134" s="872"/>
      <c r="FA134" s="1332"/>
      <c r="FC134" s="958" t="str">
        <f t="shared" si="19"/>
        <v/>
      </c>
      <c r="FD134" s="959" t="str">
        <f t="shared" si="20"/>
        <v/>
      </c>
      <c r="FE134" s="959" t="s">
        <v>8407</v>
      </c>
      <c r="FF134" s="959" t="str">
        <f>IF(ISNA(VLOOKUP(FC134,Miscellaneous!E:F,2,0)),"",VLOOKUP(FC134,Miscellaneous!E:F,2,0))</f>
        <v/>
      </c>
      <c r="FG134" s="959" t="str">
        <f t="shared" si="21"/>
        <v/>
      </c>
      <c r="FH134" s="996">
        <f>IF($FG134="Opex",SUMIF('Monthly Summary'!$C$75:$N$75,"",CC134:CN134),SUMIF('Monthly Summary'!$C$74:$N$74,"",CC134:CN134))</f>
        <v>0</v>
      </c>
      <c r="FI134" s="996">
        <f>IF($FG134="Opex",SUMIF('Monthly Summary'!$O$75:$Z$75,"",CO134:CZ134),SUMIF('Monthly Summary'!$O$74:$Z$74,"",CO134:CZ134))</f>
        <v>0</v>
      </c>
      <c r="FJ134" s="996">
        <f>IF($FG134="Opex",SUMIF('Monthly Summary'!$AA$75:$AL$75,"",DA134:DL134),SUMIF('Monthly Summary'!$AA$74:$AL$74,"",DA134:DL134))</f>
        <v>0</v>
      </c>
      <c r="FK134" s="996">
        <f>IF($FG134="Opex",SUMIF('Monthly Summary'!$AM$75:$AX$75,"",DM134:DX134),SUMIF('Monthly Summary'!$AM$74:$AX$74,"",DM134:DX134))</f>
        <v>0</v>
      </c>
      <c r="FL134" s="996">
        <f>IF($FG134="Opex",SUMIF('Monthly Summary'!$AY$75:$BJ$75,"",DY134:EJ134),SUMIF('Monthly Summary'!$AY$74:$BJ$74,"",DY134:EJ134))</f>
        <v>0</v>
      </c>
      <c r="FM134" s="997">
        <f>IF($FG134="Opex",SUMIF('Monthly Summary'!$BK$75:$BV$75,"",EK134:EV134),SUMIF('Monthly Summary'!$BK$74:$BV$74,"",EK134:EV134))</f>
        <v>0</v>
      </c>
      <c r="FN134" s="997">
        <f t="shared" ref="FN134:FN254" si="22">SUM(FH134:FM134)</f>
        <v>0</v>
      </c>
    </row>
    <row r="135" spans="3:170">
      <c r="C135" s="757"/>
      <c r="D135" s="757"/>
      <c r="E135" s="758"/>
      <c r="F135" s="758"/>
      <c r="G135" s="758"/>
      <c r="H135" s="1215"/>
      <c r="I135" s="761"/>
      <c r="J135" s="761"/>
      <c r="K135" s="761"/>
      <c r="L135" s="761"/>
      <c r="M135" s="761"/>
      <c r="N135" s="761"/>
      <c r="O135" s="761"/>
      <c r="P135" s="761"/>
      <c r="Q135" s="761"/>
      <c r="R135" s="761"/>
      <c r="S135" s="1216"/>
      <c r="T135" s="1215"/>
      <c r="U135" s="761"/>
      <c r="V135" s="761"/>
      <c r="W135" s="761"/>
      <c r="X135" s="761"/>
      <c r="Y135" s="761"/>
      <c r="Z135" s="761"/>
      <c r="AA135" s="761"/>
      <c r="AB135" s="761"/>
      <c r="AC135" s="761"/>
      <c r="AD135" s="761"/>
      <c r="AE135" s="1216"/>
      <c r="AF135" s="1215"/>
      <c r="AG135" s="761"/>
      <c r="AH135" s="761"/>
      <c r="AI135" s="761"/>
      <c r="AJ135" s="761"/>
      <c r="AK135" s="761"/>
      <c r="AL135" s="761"/>
      <c r="AM135" s="761"/>
      <c r="AN135" s="761"/>
      <c r="AO135" s="761"/>
      <c r="AP135" s="761"/>
      <c r="AQ135" s="1216"/>
      <c r="AR135" s="1215"/>
      <c r="AS135" s="761"/>
      <c r="AT135" s="761"/>
      <c r="AU135" s="761"/>
      <c r="AV135" s="761"/>
      <c r="AW135" s="761"/>
      <c r="AX135" s="761"/>
      <c r="AY135" s="761"/>
      <c r="AZ135" s="761"/>
      <c r="BA135" s="761"/>
      <c r="BB135" s="761"/>
      <c r="BC135" s="1216"/>
      <c r="BD135" s="1215"/>
      <c r="BE135" s="761"/>
      <c r="BF135" s="761"/>
      <c r="BG135" s="761"/>
      <c r="BH135" s="761"/>
      <c r="BI135" s="761"/>
      <c r="BJ135" s="761"/>
      <c r="BK135" s="761"/>
      <c r="BL135" s="761"/>
      <c r="BM135" s="761"/>
      <c r="BN135" s="761"/>
      <c r="BO135" s="1216"/>
      <c r="BP135" s="1215"/>
      <c r="BQ135" s="761"/>
      <c r="BR135" s="761"/>
      <c r="BS135" s="761"/>
      <c r="BT135" s="761"/>
      <c r="BU135" s="761"/>
      <c r="BV135" s="761"/>
      <c r="BW135" s="761"/>
      <c r="BX135" s="761"/>
      <c r="BY135" s="761"/>
      <c r="BZ135" s="761"/>
      <c r="CA135" s="1216"/>
      <c r="CB135" s="747"/>
      <c r="CC135" s="1222">
        <f>$G135*H135*Variables!$B$53</f>
        <v>0</v>
      </c>
      <c r="CD135" s="1223">
        <f>$G135*I135*Variables!$B$53</f>
        <v>0</v>
      </c>
      <c r="CE135" s="1223">
        <f>$G135*J135*Variables!$B$53</f>
        <v>0</v>
      </c>
      <c r="CF135" s="1223">
        <f>$G135*K135*Variables!$B$53</f>
        <v>0</v>
      </c>
      <c r="CG135" s="1223">
        <f>$G135*L135*Variables!$B$53</f>
        <v>0</v>
      </c>
      <c r="CH135" s="1223">
        <f>$G135*M135*Variables!$B$53</f>
        <v>0</v>
      </c>
      <c r="CI135" s="1223">
        <f>$G135*N135*Variables!$B$53</f>
        <v>0</v>
      </c>
      <c r="CJ135" s="1223">
        <f>$G135*O135*Variables!$B$53</f>
        <v>0</v>
      </c>
      <c r="CK135" s="1223">
        <f>$G135*P135*Variables!$B$53</f>
        <v>0</v>
      </c>
      <c r="CL135" s="1223">
        <f>$G135*Q135*Variables!$B$53</f>
        <v>0</v>
      </c>
      <c r="CM135" s="1223">
        <f>$G135*R135*Variables!$B$53</f>
        <v>0</v>
      </c>
      <c r="CN135" s="1225">
        <f>$G135*S135*Variables!$B$53</f>
        <v>0</v>
      </c>
      <c r="CO135" s="1222">
        <f>$G135*T135*Variables!$B$53*HLOOKUP($CO$2,Variables!$B$60:$F$61,2,FALSE)</f>
        <v>0</v>
      </c>
      <c r="CP135" s="1223">
        <f>$G135*U135*Variables!$B$53*HLOOKUP($CO$2,Variables!$B$60:$F$61,2,FALSE)</f>
        <v>0</v>
      </c>
      <c r="CQ135" s="1223">
        <f>$G135*V135*Variables!$B$53*HLOOKUP($CO$2,Variables!$B$60:$F$61,2,FALSE)</f>
        <v>0</v>
      </c>
      <c r="CR135" s="1223">
        <f>$G135*W135*Variables!$B$53*HLOOKUP($CO$2,Variables!$B$60:$F$61,2,FALSE)</f>
        <v>0</v>
      </c>
      <c r="CS135" s="1223">
        <f>$G135*X135*Variables!$B$53*HLOOKUP($CO$2,Variables!$B$60:$F$61,2,FALSE)</f>
        <v>0</v>
      </c>
      <c r="CT135" s="1223">
        <f>$G135*Y135*Variables!$B$53*HLOOKUP($CO$2,Variables!$B$60:$F$61,2,FALSE)</f>
        <v>0</v>
      </c>
      <c r="CU135" s="1223">
        <f>$G135*Z135*Variables!$B$53*HLOOKUP($CO$2,Variables!$B$60:$F$61,2,FALSE)</f>
        <v>0</v>
      </c>
      <c r="CV135" s="1223">
        <f>$G135*AA135*Variables!$B$53*HLOOKUP($CO$2,Variables!$B$60:$F$61,2,FALSE)</f>
        <v>0</v>
      </c>
      <c r="CW135" s="1223">
        <f>$G135*AB135*Variables!$B$53*HLOOKUP($CO$2,Variables!$B$60:$F$61,2,FALSE)</f>
        <v>0</v>
      </c>
      <c r="CX135" s="1223">
        <f>$G135*AC135*Variables!$B$53*HLOOKUP($CO$2,Variables!$B$60:$F$61,2,FALSE)</f>
        <v>0</v>
      </c>
      <c r="CY135" s="1223">
        <f>$G135*AD135*Variables!$B$53*HLOOKUP($CO$2,Variables!$B$60:$F$61,2,FALSE)</f>
        <v>0</v>
      </c>
      <c r="CZ135" s="1225">
        <f>$G135*AE135*Variables!$B$53*HLOOKUP($CO$2,Variables!$B$60:$F$61,2,FALSE)</f>
        <v>0</v>
      </c>
      <c r="DA135" s="1222">
        <f>$G135*AF135*Variables!$B$53*HLOOKUP($DA$2,Variables!$B$60:$F$61,2,FALSE)</f>
        <v>0</v>
      </c>
      <c r="DB135" s="1223">
        <f>$G135*AG135*Variables!$B$53*HLOOKUP($DA$2,Variables!$B$60:$F$61,2,FALSE)</f>
        <v>0</v>
      </c>
      <c r="DC135" s="1223">
        <f>$G135*AH135*Variables!$B$53*HLOOKUP($DA$2,Variables!$B$60:$F$61,2,FALSE)</f>
        <v>0</v>
      </c>
      <c r="DD135" s="1223">
        <f>$G135*AI135*Variables!$B$53*HLOOKUP($DA$2,Variables!$B$60:$F$61,2,FALSE)</f>
        <v>0</v>
      </c>
      <c r="DE135" s="1223">
        <f>$G135*AJ135*Variables!$B$53*HLOOKUP($DA$2,Variables!$B$60:$F$61,2,FALSE)</f>
        <v>0</v>
      </c>
      <c r="DF135" s="1223">
        <f>$G135*AK135*Variables!$B$53*HLOOKUP($DA$2,Variables!$B$60:$F$61,2,FALSE)</f>
        <v>0</v>
      </c>
      <c r="DG135" s="1223">
        <f>$G135*AL135*Variables!$B$53*HLOOKUP($DA$2,Variables!$B$60:$F$61,2,FALSE)</f>
        <v>0</v>
      </c>
      <c r="DH135" s="1223">
        <f>$G135*AM135*Variables!$B$53*HLOOKUP($DA$2,Variables!$B$60:$F$61,2,FALSE)</f>
        <v>0</v>
      </c>
      <c r="DI135" s="1223">
        <f>$G135*AN135*Variables!$B$53*HLOOKUP($DA$2,Variables!$B$60:$F$61,2,FALSE)</f>
        <v>0</v>
      </c>
      <c r="DJ135" s="1223">
        <f>$G135*AO135*Variables!$B$53*HLOOKUP($DA$2,Variables!$B$60:$F$61,2,FALSE)</f>
        <v>0</v>
      </c>
      <c r="DK135" s="1223">
        <f>$G135*AP135*Variables!$B$53*HLOOKUP($DA$2,Variables!$B$60:$F$61,2,FALSE)</f>
        <v>0</v>
      </c>
      <c r="DL135" s="1225">
        <f>$G135*AQ135*Variables!$B$53*HLOOKUP($DA$2,Variables!$B$60:$F$61,2,FALSE)</f>
        <v>0</v>
      </c>
      <c r="DM135" s="1222">
        <f>$G135*AR135*Variables!$B$53*HLOOKUP($DM$2,Variables!$B$60:$F$61,2,FALSE)</f>
        <v>0</v>
      </c>
      <c r="DN135" s="1223">
        <f>$G135*AS135*Variables!$B$53*HLOOKUP($DM$2,Variables!$B$60:$F$61,2,FALSE)</f>
        <v>0</v>
      </c>
      <c r="DO135" s="1223">
        <f>$G135*AT135*Variables!$B$53*HLOOKUP($DM$2,Variables!$B$60:$F$61,2,FALSE)</f>
        <v>0</v>
      </c>
      <c r="DP135" s="1223">
        <f>$G135*AU135*Variables!$B$53*HLOOKUP($DM$2,Variables!$B$60:$F$61,2,FALSE)</f>
        <v>0</v>
      </c>
      <c r="DQ135" s="1223">
        <f>$G135*AV135*Variables!$B$53*HLOOKUP($DM$2,Variables!$B$60:$F$61,2,FALSE)</f>
        <v>0</v>
      </c>
      <c r="DR135" s="1223">
        <f>$G135*AW135*Variables!$B$53*HLOOKUP($DM$2,Variables!$B$60:$F$61,2,FALSE)</f>
        <v>0</v>
      </c>
      <c r="DS135" s="1223">
        <f>$G135*AX135*Variables!$B$53*HLOOKUP($DM$2,Variables!$B$60:$F$61,2,FALSE)</f>
        <v>0</v>
      </c>
      <c r="DT135" s="1223">
        <f>$G135*AY135*Variables!$B$53*HLOOKUP($DM$2,Variables!$B$60:$F$61,2,FALSE)</f>
        <v>0</v>
      </c>
      <c r="DU135" s="1223">
        <f>$G135*AZ135*Variables!$B$53*HLOOKUP($DM$2,Variables!$B$60:$F$61,2,FALSE)</f>
        <v>0</v>
      </c>
      <c r="DV135" s="1223">
        <f>$G135*BA135*Variables!$B$53*HLOOKUP($DM$2,Variables!$B$60:$F$61,2,FALSE)</f>
        <v>0</v>
      </c>
      <c r="DW135" s="1223">
        <f>$G135*BB135*Variables!$B$53*HLOOKUP($DM$2,Variables!$B$60:$F$61,2,FALSE)</f>
        <v>0</v>
      </c>
      <c r="DX135" s="1225">
        <f>$G135*BC135*Variables!$B$53*HLOOKUP($DM$2,Variables!$B$60:$F$61,2,FALSE)</f>
        <v>0</v>
      </c>
      <c r="DY135" s="1222">
        <f>$G135*BD135*Variables!$B$53*HLOOKUP($DY$2,Variables!$B$60:$F$61,2,FALSE)</f>
        <v>0</v>
      </c>
      <c r="DZ135" s="1223">
        <f>$G135*BE135*Variables!$B$53*HLOOKUP($DY$2,Variables!$B$60:$F$61,2,FALSE)</f>
        <v>0</v>
      </c>
      <c r="EA135" s="1223">
        <f>$G135*BF135*Variables!$B$53*HLOOKUP($DY$2,Variables!$B$60:$F$61,2,FALSE)</f>
        <v>0</v>
      </c>
      <c r="EB135" s="1223">
        <f>$G135*BG135*Variables!$B$53*HLOOKUP($DY$2,Variables!$B$60:$F$61,2,FALSE)</f>
        <v>0</v>
      </c>
      <c r="EC135" s="1223">
        <f>$G135*BH135*Variables!$B$53*HLOOKUP($DY$2,Variables!$B$60:$F$61,2,FALSE)</f>
        <v>0</v>
      </c>
      <c r="ED135" s="1223">
        <f>$G135*BI135*Variables!$B$53*HLOOKUP($DY$2,Variables!$B$60:$F$61,2,FALSE)</f>
        <v>0</v>
      </c>
      <c r="EE135" s="1223">
        <f>$G135*BJ135*Variables!$B$53*HLOOKUP($DY$2,Variables!$B$60:$F$61,2,FALSE)</f>
        <v>0</v>
      </c>
      <c r="EF135" s="1223">
        <f>$G135*BK135*Variables!$B$53*HLOOKUP($DY$2,Variables!$B$60:$F$61,2,FALSE)</f>
        <v>0</v>
      </c>
      <c r="EG135" s="1223">
        <f>$G135*BL135*Variables!$B$53*HLOOKUP($DY$2,Variables!$B$60:$F$61,2,FALSE)</f>
        <v>0</v>
      </c>
      <c r="EH135" s="1223">
        <f>$G135*BM135*Variables!$B$53*HLOOKUP($DY$2,Variables!$B$60:$F$61,2,FALSE)</f>
        <v>0</v>
      </c>
      <c r="EI135" s="1223">
        <f>$G135*BN135*Variables!$B$53*HLOOKUP($DY$2,Variables!$B$60:$F$61,2,FALSE)</f>
        <v>0</v>
      </c>
      <c r="EJ135" s="1225">
        <f>$G135*BO135*Variables!$B$53*HLOOKUP($DY$2,Variables!$B$60:$F$61,2,FALSE)</f>
        <v>0</v>
      </c>
      <c r="EK135" s="1222">
        <f>$G135*BP135*Variables!$B$53*HLOOKUP($EK$2,Variables!$B$60:$F$61,2,FALSE)</f>
        <v>0</v>
      </c>
      <c r="EL135" s="1223">
        <f>$G135*BQ135*Variables!$B$53*HLOOKUP($EK$2,Variables!$B$60:$F$61,2,FALSE)</f>
        <v>0</v>
      </c>
      <c r="EM135" s="1223">
        <f>$G135*BR135*Variables!$B$53*HLOOKUP($EK$2,Variables!$B$60:$F$61,2,FALSE)</f>
        <v>0</v>
      </c>
      <c r="EN135" s="1223">
        <f>$G135*BS135*Variables!$B$53*HLOOKUP($EK$2,Variables!$B$60:$F$61,2,FALSE)</f>
        <v>0</v>
      </c>
      <c r="EO135" s="1223">
        <f>$G135*BT135*Variables!$B$53*HLOOKUP($EK$2,Variables!$B$60:$F$61,2,FALSE)</f>
        <v>0</v>
      </c>
      <c r="EP135" s="1223">
        <f>$G135*BU135*Variables!$B$53*HLOOKUP($EK$2,Variables!$B$60:$F$61,2,FALSE)</f>
        <v>0</v>
      </c>
      <c r="EQ135" s="1223">
        <f>$G135*BV135*Variables!$B$53*HLOOKUP($EK$2,Variables!$B$60:$F$61,2,FALSE)</f>
        <v>0</v>
      </c>
      <c r="ER135" s="1223">
        <f>$G135*BW135*Variables!$B$53*HLOOKUP($EK$2,Variables!$B$60:$F$61,2,FALSE)</f>
        <v>0</v>
      </c>
      <c r="ES135" s="1223">
        <f>$G135*BX135*Variables!$B$53*HLOOKUP($EK$2,Variables!$B$60:$F$61,2,FALSE)</f>
        <v>0</v>
      </c>
      <c r="ET135" s="1223">
        <f>$G135*BY135*Variables!$B$53*HLOOKUP($EK$2,Variables!$B$60:$F$61,2,FALSE)</f>
        <v>0</v>
      </c>
      <c r="EU135" s="1223">
        <f>$G135*BZ135*Variables!$B$53*HLOOKUP($EK$2,Variables!$B$60:$F$61,2,FALSE)</f>
        <v>0</v>
      </c>
      <c r="EV135" s="1225">
        <f>$G135*CA135*Variables!$B$53*HLOOKUP($EK$2,Variables!$B$60:$F$61,2,FALSE)</f>
        <v>0</v>
      </c>
      <c r="EW135" s="872">
        <f t="shared" si="15"/>
        <v>0</v>
      </c>
      <c r="EX135" s="872"/>
      <c r="EY135" s="872"/>
      <c r="EZ135" s="872"/>
      <c r="FA135" s="1332"/>
      <c r="FC135" s="958" t="str">
        <f t="shared" si="19"/>
        <v/>
      </c>
      <c r="FD135" s="959" t="str">
        <f t="shared" si="20"/>
        <v/>
      </c>
      <c r="FE135" s="959" t="s">
        <v>8407</v>
      </c>
      <c r="FF135" s="959" t="str">
        <f>IF(ISNA(VLOOKUP(FC135,Miscellaneous!E:F,2,0)),"",VLOOKUP(FC135,Miscellaneous!E:F,2,0))</f>
        <v/>
      </c>
      <c r="FG135" s="959" t="str">
        <f t="shared" si="21"/>
        <v/>
      </c>
      <c r="FH135" s="996">
        <f>IF($FG135="Opex",SUMIF('Monthly Summary'!$C$75:$N$75,"",CC135:CN135),SUMIF('Monthly Summary'!$C$74:$N$74,"",CC135:CN135))</f>
        <v>0</v>
      </c>
      <c r="FI135" s="996">
        <f>IF($FG135="Opex",SUMIF('Monthly Summary'!$O$75:$Z$75,"",CO135:CZ135),SUMIF('Monthly Summary'!$O$74:$Z$74,"",CO135:CZ135))</f>
        <v>0</v>
      </c>
      <c r="FJ135" s="996">
        <f>IF($FG135="Opex",SUMIF('Monthly Summary'!$AA$75:$AL$75,"",DA135:DL135),SUMIF('Monthly Summary'!$AA$74:$AL$74,"",DA135:DL135))</f>
        <v>0</v>
      </c>
      <c r="FK135" s="996">
        <f>IF($FG135="Opex",SUMIF('Monthly Summary'!$AM$75:$AX$75,"",DM135:DX135),SUMIF('Monthly Summary'!$AM$74:$AX$74,"",DM135:DX135))</f>
        <v>0</v>
      </c>
      <c r="FL135" s="996">
        <f>IF($FG135="Opex",SUMIF('Monthly Summary'!$AY$75:$BJ$75,"",DY135:EJ135),SUMIF('Monthly Summary'!$AY$74:$BJ$74,"",DY135:EJ135))</f>
        <v>0</v>
      </c>
      <c r="FM135" s="997">
        <f>IF($FG135="Opex",SUMIF('Monthly Summary'!$BK$75:$BV$75,"",EK135:EV135),SUMIF('Monthly Summary'!$BK$74:$BV$74,"",EK135:EV135))</f>
        <v>0</v>
      </c>
      <c r="FN135" s="997">
        <f t="shared" si="22"/>
        <v>0</v>
      </c>
    </row>
    <row r="136" spans="3:170">
      <c r="C136" s="757"/>
      <c r="D136" s="757"/>
      <c r="E136" s="758"/>
      <c r="F136" s="758"/>
      <c r="G136" s="758"/>
      <c r="H136" s="1215"/>
      <c r="I136" s="761"/>
      <c r="J136" s="761"/>
      <c r="K136" s="761"/>
      <c r="L136" s="761"/>
      <c r="M136" s="761"/>
      <c r="N136" s="761"/>
      <c r="O136" s="761"/>
      <c r="P136" s="761"/>
      <c r="Q136" s="761"/>
      <c r="R136" s="761"/>
      <c r="S136" s="1216"/>
      <c r="T136" s="1215"/>
      <c r="U136" s="761"/>
      <c r="V136" s="761"/>
      <c r="W136" s="761"/>
      <c r="X136" s="761"/>
      <c r="Y136" s="761"/>
      <c r="Z136" s="761"/>
      <c r="AA136" s="761"/>
      <c r="AB136" s="761"/>
      <c r="AC136" s="761"/>
      <c r="AD136" s="761"/>
      <c r="AE136" s="1216"/>
      <c r="AF136" s="1215"/>
      <c r="AG136" s="761"/>
      <c r="AH136" s="761"/>
      <c r="AI136" s="761"/>
      <c r="AJ136" s="761"/>
      <c r="AK136" s="761"/>
      <c r="AL136" s="761"/>
      <c r="AM136" s="761"/>
      <c r="AN136" s="761"/>
      <c r="AO136" s="761"/>
      <c r="AP136" s="761"/>
      <c r="AQ136" s="1216"/>
      <c r="AR136" s="1215"/>
      <c r="AS136" s="761"/>
      <c r="AT136" s="761"/>
      <c r="AU136" s="761"/>
      <c r="AV136" s="761"/>
      <c r="AW136" s="761"/>
      <c r="AX136" s="761"/>
      <c r="AY136" s="761"/>
      <c r="AZ136" s="761"/>
      <c r="BA136" s="761"/>
      <c r="BB136" s="761"/>
      <c r="BC136" s="1216"/>
      <c r="BD136" s="1215"/>
      <c r="BE136" s="761"/>
      <c r="BF136" s="761"/>
      <c r="BG136" s="761"/>
      <c r="BH136" s="761"/>
      <c r="BI136" s="761"/>
      <c r="BJ136" s="761"/>
      <c r="BK136" s="761"/>
      <c r="BL136" s="761"/>
      <c r="BM136" s="761"/>
      <c r="BN136" s="761"/>
      <c r="BO136" s="1216"/>
      <c r="BP136" s="1215"/>
      <c r="BQ136" s="761"/>
      <c r="BR136" s="761"/>
      <c r="BS136" s="761"/>
      <c r="BT136" s="761"/>
      <c r="BU136" s="761"/>
      <c r="BV136" s="761"/>
      <c r="BW136" s="761"/>
      <c r="BX136" s="761"/>
      <c r="BY136" s="761"/>
      <c r="BZ136" s="761"/>
      <c r="CA136" s="1216"/>
      <c r="CB136" s="747"/>
      <c r="CC136" s="1222">
        <f>$G136*H136*Variables!$B$53</f>
        <v>0</v>
      </c>
      <c r="CD136" s="1223">
        <f>$G136*I136*Variables!$B$53</f>
        <v>0</v>
      </c>
      <c r="CE136" s="1223">
        <f>$G136*J136*Variables!$B$53</f>
        <v>0</v>
      </c>
      <c r="CF136" s="1223">
        <f>$G136*K136*Variables!$B$53</f>
        <v>0</v>
      </c>
      <c r="CG136" s="1223">
        <f>$G136*L136*Variables!$B$53</f>
        <v>0</v>
      </c>
      <c r="CH136" s="1223">
        <f>$G136*M136*Variables!$B$53</f>
        <v>0</v>
      </c>
      <c r="CI136" s="1223">
        <f>$G136*N136*Variables!$B$53</f>
        <v>0</v>
      </c>
      <c r="CJ136" s="1223">
        <f>$G136*O136*Variables!$B$53</f>
        <v>0</v>
      </c>
      <c r="CK136" s="1223">
        <f>$G136*P136*Variables!$B$53</f>
        <v>0</v>
      </c>
      <c r="CL136" s="1223">
        <f>$G136*Q136*Variables!$B$53</f>
        <v>0</v>
      </c>
      <c r="CM136" s="1223">
        <f>$G136*R136*Variables!$B$53</f>
        <v>0</v>
      </c>
      <c r="CN136" s="1225">
        <f>$G136*S136*Variables!$B$53</f>
        <v>0</v>
      </c>
      <c r="CO136" s="1222">
        <f>$G136*T136*Variables!$B$53*HLOOKUP($CO$2,Variables!$B$60:$F$61,2,FALSE)</f>
        <v>0</v>
      </c>
      <c r="CP136" s="1223">
        <f>$G136*U136*Variables!$B$53*HLOOKUP($CO$2,Variables!$B$60:$F$61,2,FALSE)</f>
        <v>0</v>
      </c>
      <c r="CQ136" s="1223">
        <f>$G136*V136*Variables!$B$53*HLOOKUP($CO$2,Variables!$B$60:$F$61,2,FALSE)</f>
        <v>0</v>
      </c>
      <c r="CR136" s="1223">
        <f>$G136*W136*Variables!$B$53*HLOOKUP($CO$2,Variables!$B$60:$F$61,2,FALSE)</f>
        <v>0</v>
      </c>
      <c r="CS136" s="1223">
        <f>$G136*X136*Variables!$B$53*HLOOKUP($CO$2,Variables!$B$60:$F$61,2,FALSE)</f>
        <v>0</v>
      </c>
      <c r="CT136" s="1223">
        <f>$G136*Y136*Variables!$B$53*HLOOKUP($CO$2,Variables!$B$60:$F$61,2,FALSE)</f>
        <v>0</v>
      </c>
      <c r="CU136" s="1223">
        <f>$G136*Z136*Variables!$B$53*HLOOKUP($CO$2,Variables!$B$60:$F$61,2,FALSE)</f>
        <v>0</v>
      </c>
      <c r="CV136" s="1223">
        <f>$G136*AA136*Variables!$B$53*HLOOKUP($CO$2,Variables!$B$60:$F$61,2,FALSE)</f>
        <v>0</v>
      </c>
      <c r="CW136" s="1223">
        <f>$G136*AB136*Variables!$B$53*HLOOKUP($CO$2,Variables!$B$60:$F$61,2,FALSE)</f>
        <v>0</v>
      </c>
      <c r="CX136" s="1223">
        <f>$G136*AC136*Variables!$B$53*HLOOKUP($CO$2,Variables!$B$60:$F$61,2,FALSE)</f>
        <v>0</v>
      </c>
      <c r="CY136" s="1223">
        <f>$G136*AD136*Variables!$B$53*HLOOKUP($CO$2,Variables!$B$60:$F$61,2,FALSE)</f>
        <v>0</v>
      </c>
      <c r="CZ136" s="1225">
        <f>$G136*AE136*Variables!$B$53*HLOOKUP($CO$2,Variables!$B$60:$F$61,2,FALSE)</f>
        <v>0</v>
      </c>
      <c r="DA136" s="1222">
        <f>$G136*AF136*Variables!$B$53*HLOOKUP($DA$2,Variables!$B$60:$F$61,2,FALSE)</f>
        <v>0</v>
      </c>
      <c r="DB136" s="1223">
        <f>$G136*AG136*Variables!$B$53*HLOOKUP($DA$2,Variables!$B$60:$F$61,2,FALSE)</f>
        <v>0</v>
      </c>
      <c r="DC136" s="1223">
        <f>$G136*AH136*Variables!$B$53*HLOOKUP($DA$2,Variables!$B$60:$F$61,2,FALSE)</f>
        <v>0</v>
      </c>
      <c r="DD136" s="1223">
        <f>$G136*AI136*Variables!$B$53*HLOOKUP($DA$2,Variables!$B$60:$F$61,2,FALSE)</f>
        <v>0</v>
      </c>
      <c r="DE136" s="1223">
        <f>$G136*AJ136*Variables!$B$53*HLOOKUP($DA$2,Variables!$B$60:$F$61,2,FALSE)</f>
        <v>0</v>
      </c>
      <c r="DF136" s="1223">
        <f>$G136*AK136*Variables!$B$53*HLOOKUP($DA$2,Variables!$B$60:$F$61,2,FALSE)</f>
        <v>0</v>
      </c>
      <c r="DG136" s="1223">
        <f>$G136*AL136*Variables!$B$53*HLOOKUP($DA$2,Variables!$B$60:$F$61,2,FALSE)</f>
        <v>0</v>
      </c>
      <c r="DH136" s="1223">
        <f>$G136*AM136*Variables!$B$53*HLOOKUP($DA$2,Variables!$B$60:$F$61,2,FALSE)</f>
        <v>0</v>
      </c>
      <c r="DI136" s="1223">
        <f>$G136*AN136*Variables!$B$53*HLOOKUP($DA$2,Variables!$B$60:$F$61,2,FALSE)</f>
        <v>0</v>
      </c>
      <c r="DJ136" s="1223">
        <f>$G136*AO136*Variables!$B$53*HLOOKUP($DA$2,Variables!$B$60:$F$61,2,FALSE)</f>
        <v>0</v>
      </c>
      <c r="DK136" s="1223">
        <f>$G136*AP136*Variables!$B$53*HLOOKUP($DA$2,Variables!$B$60:$F$61,2,FALSE)</f>
        <v>0</v>
      </c>
      <c r="DL136" s="1225">
        <f>$G136*AQ136*Variables!$B$53*HLOOKUP($DA$2,Variables!$B$60:$F$61,2,FALSE)</f>
        <v>0</v>
      </c>
      <c r="DM136" s="1222">
        <f>$G136*AR136*Variables!$B$53*HLOOKUP($DM$2,Variables!$B$60:$F$61,2,FALSE)</f>
        <v>0</v>
      </c>
      <c r="DN136" s="1223">
        <f>$G136*AS136*Variables!$B$53*HLOOKUP($DM$2,Variables!$B$60:$F$61,2,FALSE)</f>
        <v>0</v>
      </c>
      <c r="DO136" s="1223">
        <f>$G136*AT136*Variables!$B$53*HLOOKUP($DM$2,Variables!$B$60:$F$61,2,FALSE)</f>
        <v>0</v>
      </c>
      <c r="DP136" s="1223">
        <f>$G136*AU136*Variables!$B$53*HLOOKUP($DM$2,Variables!$B$60:$F$61,2,FALSE)</f>
        <v>0</v>
      </c>
      <c r="DQ136" s="1223">
        <f>$G136*AV136*Variables!$B$53*HLOOKUP($DM$2,Variables!$B$60:$F$61,2,FALSE)</f>
        <v>0</v>
      </c>
      <c r="DR136" s="1223">
        <f>$G136*AW136*Variables!$B$53*HLOOKUP($DM$2,Variables!$B$60:$F$61,2,FALSE)</f>
        <v>0</v>
      </c>
      <c r="DS136" s="1223">
        <f>$G136*AX136*Variables!$B$53*HLOOKUP($DM$2,Variables!$B$60:$F$61,2,FALSE)</f>
        <v>0</v>
      </c>
      <c r="DT136" s="1223">
        <f>$G136*AY136*Variables!$B$53*HLOOKUP($DM$2,Variables!$B$60:$F$61,2,FALSE)</f>
        <v>0</v>
      </c>
      <c r="DU136" s="1223">
        <f>$G136*AZ136*Variables!$B$53*HLOOKUP($DM$2,Variables!$B$60:$F$61,2,FALSE)</f>
        <v>0</v>
      </c>
      <c r="DV136" s="1223">
        <f>$G136*BA136*Variables!$B$53*HLOOKUP($DM$2,Variables!$B$60:$F$61,2,FALSE)</f>
        <v>0</v>
      </c>
      <c r="DW136" s="1223">
        <f>$G136*BB136*Variables!$B$53*HLOOKUP($DM$2,Variables!$B$60:$F$61,2,FALSE)</f>
        <v>0</v>
      </c>
      <c r="DX136" s="1225">
        <f>$G136*BC136*Variables!$B$53*HLOOKUP($DM$2,Variables!$B$60:$F$61,2,FALSE)</f>
        <v>0</v>
      </c>
      <c r="DY136" s="1222">
        <f>$G136*BD136*Variables!$B$53*HLOOKUP($DY$2,Variables!$B$60:$F$61,2,FALSE)</f>
        <v>0</v>
      </c>
      <c r="DZ136" s="1223">
        <f>$G136*BE136*Variables!$B$53*HLOOKUP($DY$2,Variables!$B$60:$F$61,2,FALSE)</f>
        <v>0</v>
      </c>
      <c r="EA136" s="1223">
        <f>$G136*BF136*Variables!$B$53*HLOOKUP($DY$2,Variables!$B$60:$F$61,2,FALSE)</f>
        <v>0</v>
      </c>
      <c r="EB136" s="1223">
        <f>$G136*BG136*Variables!$B$53*HLOOKUP($DY$2,Variables!$B$60:$F$61,2,FALSE)</f>
        <v>0</v>
      </c>
      <c r="EC136" s="1223">
        <f>$G136*BH136*Variables!$B$53*HLOOKUP($DY$2,Variables!$B$60:$F$61,2,FALSE)</f>
        <v>0</v>
      </c>
      <c r="ED136" s="1223">
        <f>$G136*BI136*Variables!$B$53*HLOOKUP($DY$2,Variables!$B$60:$F$61,2,FALSE)</f>
        <v>0</v>
      </c>
      <c r="EE136" s="1223">
        <f>$G136*BJ136*Variables!$B$53*HLOOKUP($DY$2,Variables!$B$60:$F$61,2,FALSE)</f>
        <v>0</v>
      </c>
      <c r="EF136" s="1223">
        <f>$G136*BK136*Variables!$B$53*HLOOKUP($DY$2,Variables!$B$60:$F$61,2,FALSE)</f>
        <v>0</v>
      </c>
      <c r="EG136" s="1223">
        <f>$G136*BL136*Variables!$B$53*HLOOKUP($DY$2,Variables!$B$60:$F$61,2,FALSE)</f>
        <v>0</v>
      </c>
      <c r="EH136" s="1223">
        <f>$G136*BM136*Variables!$B$53*HLOOKUP($DY$2,Variables!$B$60:$F$61,2,FALSE)</f>
        <v>0</v>
      </c>
      <c r="EI136" s="1223">
        <f>$G136*BN136*Variables!$B$53*HLOOKUP($DY$2,Variables!$B$60:$F$61,2,FALSE)</f>
        <v>0</v>
      </c>
      <c r="EJ136" s="1225">
        <f>$G136*BO136*Variables!$B$53*HLOOKUP($DY$2,Variables!$B$60:$F$61,2,FALSE)</f>
        <v>0</v>
      </c>
      <c r="EK136" s="1222">
        <f>$G136*BP136*Variables!$B$53*HLOOKUP($EK$2,Variables!$B$60:$F$61,2,FALSE)</f>
        <v>0</v>
      </c>
      <c r="EL136" s="1223">
        <f>$G136*BQ136*Variables!$B$53*HLOOKUP($EK$2,Variables!$B$60:$F$61,2,FALSE)</f>
        <v>0</v>
      </c>
      <c r="EM136" s="1223">
        <f>$G136*BR136*Variables!$B$53*HLOOKUP($EK$2,Variables!$B$60:$F$61,2,FALSE)</f>
        <v>0</v>
      </c>
      <c r="EN136" s="1223">
        <f>$G136*BS136*Variables!$B$53*HLOOKUP($EK$2,Variables!$B$60:$F$61,2,FALSE)</f>
        <v>0</v>
      </c>
      <c r="EO136" s="1223">
        <f>$G136*BT136*Variables!$B$53*HLOOKUP($EK$2,Variables!$B$60:$F$61,2,FALSE)</f>
        <v>0</v>
      </c>
      <c r="EP136" s="1223">
        <f>$G136*BU136*Variables!$B$53*HLOOKUP($EK$2,Variables!$B$60:$F$61,2,FALSE)</f>
        <v>0</v>
      </c>
      <c r="EQ136" s="1223">
        <f>$G136*BV136*Variables!$B$53*HLOOKUP($EK$2,Variables!$B$60:$F$61,2,FALSE)</f>
        <v>0</v>
      </c>
      <c r="ER136" s="1223">
        <f>$G136*BW136*Variables!$B$53*HLOOKUP($EK$2,Variables!$B$60:$F$61,2,FALSE)</f>
        <v>0</v>
      </c>
      <c r="ES136" s="1223">
        <f>$G136*BX136*Variables!$B$53*HLOOKUP($EK$2,Variables!$B$60:$F$61,2,FALSE)</f>
        <v>0</v>
      </c>
      <c r="ET136" s="1223">
        <f>$G136*BY136*Variables!$B$53*HLOOKUP($EK$2,Variables!$B$60:$F$61,2,FALSE)</f>
        <v>0</v>
      </c>
      <c r="EU136" s="1223">
        <f>$G136*BZ136*Variables!$B$53*HLOOKUP($EK$2,Variables!$B$60:$F$61,2,FALSE)</f>
        <v>0</v>
      </c>
      <c r="EV136" s="1225">
        <f>$G136*CA136*Variables!$B$53*HLOOKUP($EK$2,Variables!$B$60:$F$61,2,FALSE)</f>
        <v>0</v>
      </c>
      <c r="EW136" s="872">
        <f t="shared" si="15"/>
        <v>0</v>
      </c>
      <c r="EX136" s="872"/>
      <c r="EY136" s="872"/>
      <c r="EZ136" s="872"/>
      <c r="FA136" s="1332"/>
      <c r="FC136" s="958" t="str">
        <f t="shared" si="19"/>
        <v/>
      </c>
      <c r="FD136" s="959" t="str">
        <f t="shared" si="20"/>
        <v/>
      </c>
      <c r="FE136" s="959" t="s">
        <v>8407</v>
      </c>
      <c r="FF136" s="959" t="str">
        <f>IF(ISNA(VLOOKUP(FC136,Miscellaneous!E:F,2,0)),"",VLOOKUP(FC136,Miscellaneous!E:F,2,0))</f>
        <v/>
      </c>
      <c r="FG136" s="959" t="str">
        <f t="shared" si="21"/>
        <v/>
      </c>
      <c r="FH136" s="996">
        <f>IF($FG136="Opex",SUMIF('Monthly Summary'!$C$75:$N$75,"",CC136:CN136),SUMIF('Monthly Summary'!$C$74:$N$74,"",CC136:CN136))</f>
        <v>0</v>
      </c>
      <c r="FI136" s="996">
        <f>IF($FG136="Opex",SUMIF('Monthly Summary'!$O$75:$Z$75,"",CO136:CZ136),SUMIF('Monthly Summary'!$O$74:$Z$74,"",CO136:CZ136))</f>
        <v>0</v>
      </c>
      <c r="FJ136" s="996">
        <f>IF($FG136="Opex",SUMIF('Monthly Summary'!$AA$75:$AL$75,"",DA136:DL136),SUMIF('Monthly Summary'!$AA$74:$AL$74,"",DA136:DL136))</f>
        <v>0</v>
      </c>
      <c r="FK136" s="996">
        <f>IF($FG136="Opex",SUMIF('Monthly Summary'!$AM$75:$AX$75,"",DM136:DX136),SUMIF('Monthly Summary'!$AM$74:$AX$74,"",DM136:DX136))</f>
        <v>0</v>
      </c>
      <c r="FL136" s="996">
        <f>IF($FG136="Opex",SUMIF('Monthly Summary'!$AY$75:$BJ$75,"",DY136:EJ136),SUMIF('Monthly Summary'!$AY$74:$BJ$74,"",DY136:EJ136))</f>
        <v>0</v>
      </c>
      <c r="FM136" s="997">
        <f>IF($FG136="Opex",SUMIF('Monthly Summary'!$BK$75:$BV$75,"",EK136:EV136),SUMIF('Monthly Summary'!$BK$74:$BV$74,"",EK136:EV136))</f>
        <v>0</v>
      </c>
      <c r="FN136" s="997">
        <f t="shared" si="22"/>
        <v>0</v>
      </c>
    </row>
    <row r="137" spans="3:170">
      <c r="C137" s="757"/>
      <c r="D137" s="757"/>
      <c r="E137" s="758"/>
      <c r="F137" s="758"/>
      <c r="G137" s="758"/>
      <c r="H137" s="1215"/>
      <c r="I137" s="761"/>
      <c r="J137" s="761"/>
      <c r="K137" s="761"/>
      <c r="L137" s="761"/>
      <c r="M137" s="761"/>
      <c r="N137" s="761"/>
      <c r="O137" s="761"/>
      <c r="P137" s="761"/>
      <c r="Q137" s="761"/>
      <c r="R137" s="761"/>
      <c r="S137" s="1216"/>
      <c r="T137" s="1215"/>
      <c r="U137" s="761"/>
      <c r="V137" s="761"/>
      <c r="W137" s="761"/>
      <c r="X137" s="761"/>
      <c r="Y137" s="761"/>
      <c r="Z137" s="761"/>
      <c r="AA137" s="761"/>
      <c r="AB137" s="761"/>
      <c r="AC137" s="761"/>
      <c r="AD137" s="761"/>
      <c r="AE137" s="1216"/>
      <c r="AF137" s="1215"/>
      <c r="AG137" s="761"/>
      <c r="AH137" s="761"/>
      <c r="AI137" s="761"/>
      <c r="AJ137" s="761"/>
      <c r="AK137" s="761"/>
      <c r="AL137" s="761"/>
      <c r="AM137" s="761"/>
      <c r="AN137" s="761"/>
      <c r="AO137" s="761"/>
      <c r="AP137" s="761"/>
      <c r="AQ137" s="1216"/>
      <c r="AR137" s="1215"/>
      <c r="AS137" s="761"/>
      <c r="AT137" s="761"/>
      <c r="AU137" s="761"/>
      <c r="AV137" s="761"/>
      <c r="AW137" s="761"/>
      <c r="AX137" s="761"/>
      <c r="AY137" s="761"/>
      <c r="AZ137" s="761"/>
      <c r="BA137" s="761"/>
      <c r="BB137" s="761"/>
      <c r="BC137" s="1216"/>
      <c r="BD137" s="1215"/>
      <c r="BE137" s="761"/>
      <c r="BF137" s="761"/>
      <c r="BG137" s="761"/>
      <c r="BH137" s="761"/>
      <c r="BI137" s="761"/>
      <c r="BJ137" s="761"/>
      <c r="BK137" s="761"/>
      <c r="BL137" s="761"/>
      <c r="BM137" s="761"/>
      <c r="BN137" s="761"/>
      <c r="BO137" s="1216"/>
      <c r="BP137" s="1215"/>
      <c r="BQ137" s="761"/>
      <c r="BR137" s="761"/>
      <c r="BS137" s="761"/>
      <c r="BT137" s="761"/>
      <c r="BU137" s="761"/>
      <c r="BV137" s="761"/>
      <c r="BW137" s="761"/>
      <c r="BX137" s="761"/>
      <c r="BY137" s="761"/>
      <c r="BZ137" s="761"/>
      <c r="CA137" s="1216"/>
      <c r="CB137" s="747"/>
      <c r="CC137" s="1222">
        <f>$G137*H137*Variables!$B$53</f>
        <v>0</v>
      </c>
      <c r="CD137" s="1223">
        <f>$G137*I137*Variables!$B$53</f>
        <v>0</v>
      </c>
      <c r="CE137" s="1223">
        <f>$G137*J137*Variables!$B$53</f>
        <v>0</v>
      </c>
      <c r="CF137" s="1223">
        <f>$G137*K137*Variables!$B$53</f>
        <v>0</v>
      </c>
      <c r="CG137" s="1223">
        <f>$G137*L137*Variables!$B$53</f>
        <v>0</v>
      </c>
      <c r="CH137" s="1223">
        <f>$G137*M137*Variables!$B$53</f>
        <v>0</v>
      </c>
      <c r="CI137" s="1223">
        <f>$G137*N137*Variables!$B$53</f>
        <v>0</v>
      </c>
      <c r="CJ137" s="1223">
        <f>$G137*O137*Variables!$B$53</f>
        <v>0</v>
      </c>
      <c r="CK137" s="1223">
        <f>$G137*P137*Variables!$B$53</f>
        <v>0</v>
      </c>
      <c r="CL137" s="1223">
        <f>$G137*Q137*Variables!$B$53</f>
        <v>0</v>
      </c>
      <c r="CM137" s="1223">
        <f>$G137*R137*Variables!$B$53</f>
        <v>0</v>
      </c>
      <c r="CN137" s="1225">
        <f>$G137*S137*Variables!$B$53</f>
        <v>0</v>
      </c>
      <c r="CO137" s="1222">
        <f>$G137*T137*Variables!$B$53*HLOOKUP($CO$2,Variables!$B$60:$F$61,2,FALSE)</f>
        <v>0</v>
      </c>
      <c r="CP137" s="1223">
        <f>$G137*U137*Variables!$B$53*HLOOKUP($CO$2,Variables!$B$60:$F$61,2,FALSE)</f>
        <v>0</v>
      </c>
      <c r="CQ137" s="1223">
        <f>$G137*V137*Variables!$B$53*HLOOKUP($CO$2,Variables!$B$60:$F$61,2,FALSE)</f>
        <v>0</v>
      </c>
      <c r="CR137" s="1223">
        <f>$G137*W137*Variables!$B$53*HLOOKUP($CO$2,Variables!$B$60:$F$61,2,FALSE)</f>
        <v>0</v>
      </c>
      <c r="CS137" s="1223">
        <f>$G137*X137*Variables!$B$53*HLOOKUP($CO$2,Variables!$B$60:$F$61,2,FALSE)</f>
        <v>0</v>
      </c>
      <c r="CT137" s="1223">
        <f>$G137*Y137*Variables!$B$53*HLOOKUP($CO$2,Variables!$B$60:$F$61,2,FALSE)</f>
        <v>0</v>
      </c>
      <c r="CU137" s="1223">
        <f>$G137*Z137*Variables!$B$53*HLOOKUP($CO$2,Variables!$B$60:$F$61,2,FALSE)</f>
        <v>0</v>
      </c>
      <c r="CV137" s="1223">
        <f>$G137*AA137*Variables!$B$53*HLOOKUP($CO$2,Variables!$B$60:$F$61,2,FALSE)</f>
        <v>0</v>
      </c>
      <c r="CW137" s="1223">
        <f>$G137*AB137*Variables!$B$53*HLOOKUP($CO$2,Variables!$B$60:$F$61,2,FALSE)</f>
        <v>0</v>
      </c>
      <c r="CX137" s="1223">
        <f>$G137*AC137*Variables!$B$53*HLOOKUP($CO$2,Variables!$B$60:$F$61,2,FALSE)</f>
        <v>0</v>
      </c>
      <c r="CY137" s="1223">
        <f>$G137*AD137*Variables!$B$53*HLOOKUP($CO$2,Variables!$B$60:$F$61,2,FALSE)</f>
        <v>0</v>
      </c>
      <c r="CZ137" s="1225">
        <f>$G137*AE137*Variables!$B$53*HLOOKUP($CO$2,Variables!$B$60:$F$61,2,FALSE)</f>
        <v>0</v>
      </c>
      <c r="DA137" s="1222">
        <f>$G137*AF137*Variables!$B$53*HLOOKUP($DA$2,Variables!$B$60:$F$61,2,FALSE)</f>
        <v>0</v>
      </c>
      <c r="DB137" s="1223">
        <f>$G137*AG137*Variables!$B$53*HLOOKUP($DA$2,Variables!$B$60:$F$61,2,FALSE)</f>
        <v>0</v>
      </c>
      <c r="DC137" s="1223">
        <f>$G137*AH137*Variables!$B$53*HLOOKUP($DA$2,Variables!$B$60:$F$61,2,FALSE)</f>
        <v>0</v>
      </c>
      <c r="DD137" s="1223">
        <f>$G137*AI137*Variables!$B$53*HLOOKUP($DA$2,Variables!$B$60:$F$61,2,FALSE)</f>
        <v>0</v>
      </c>
      <c r="DE137" s="1223">
        <f>$G137*AJ137*Variables!$B$53*HLOOKUP($DA$2,Variables!$B$60:$F$61,2,FALSE)</f>
        <v>0</v>
      </c>
      <c r="DF137" s="1223">
        <f>$G137*AK137*Variables!$B$53*HLOOKUP($DA$2,Variables!$B$60:$F$61,2,FALSE)</f>
        <v>0</v>
      </c>
      <c r="DG137" s="1223">
        <f>$G137*AL137*Variables!$B$53*HLOOKUP($DA$2,Variables!$B$60:$F$61,2,FALSE)</f>
        <v>0</v>
      </c>
      <c r="DH137" s="1223">
        <f>$G137*AM137*Variables!$B$53*HLOOKUP($DA$2,Variables!$B$60:$F$61,2,FALSE)</f>
        <v>0</v>
      </c>
      <c r="DI137" s="1223">
        <f>$G137*AN137*Variables!$B$53*HLOOKUP($DA$2,Variables!$B$60:$F$61,2,FALSE)</f>
        <v>0</v>
      </c>
      <c r="DJ137" s="1223">
        <f>$G137*AO137*Variables!$B$53*HLOOKUP($DA$2,Variables!$B$60:$F$61,2,FALSE)</f>
        <v>0</v>
      </c>
      <c r="DK137" s="1223">
        <f>$G137*AP137*Variables!$B$53*HLOOKUP($DA$2,Variables!$B$60:$F$61,2,FALSE)</f>
        <v>0</v>
      </c>
      <c r="DL137" s="1225">
        <f>$G137*AQ137*Variables!$B$53*HLOOKUP($DA$2,Variables!$B$60:$F$61,2,FALSE)</f>
        <v>0</v>
      </c>
      <c r="DM137" s="1222">
        <f>$G137*AR137*Variables!$B$53*HLOOKUP($DM$2,Variables!$B$60:$F$61,2,FALSE)</f>
        <v>0</v>
      </c>
      <c r="DN137" s="1223">
        <f>$G137*AS137*Variables!$B$53*HLOOKUP($DM$2,Variables!$B$60:$F$61,2,FALSE)</f>
        <v>0</v>
      </c>
      <c r="DO137" s="1223">
        <f>$G137*AT137*Variables!$B$53*HLOOKUP($DM$2,Variables!$B$60:$F$61,2,FALSE)</f>
        <v>0</v>
      </c>
      <c r="DP137" s="1223">
        <f>$G137*AU137*Variables!$B$53*HLOOKUP($DM$2,Variables!$B$60:$F$61,2,FALSE)</f>
        <v>0</v>
      </c>
      <c r="DQ137" s="1223">
        <f>$G137*AV137*Variables!$B$53*HLOOKUP($DM$2,Variables!$B$60:$F$61,2,FALSE)</f>
        <v>0</v>
      </c>
      <c r="DR137" s="1223">
        <f>$G137*AW137*Variables!$B$53*HLOOKUP($DM$2,Variables!$B$60:$F$61,2,FALSE)</f>
        <v>0</v>
      </c>
      <c r="DS137" s="1223">
        <f>$G137*AX137*Variables!$B$53*HLOOKUP($DM$2,Variables!$B$60:$F$61,2,FALSE)</f>
        <v>0</v>
      </c>
      <c r="DT137" s="1223">
        <f>$G137*AY137*Variables!$B$53*HLOOKUP($DM$2,Variables!$B$60:$F$61,2,FALSE)</f>
        <v>0</v>
      </c>
      <c r="DU137" s="1223">
        <f>$G137*AZ137*Variables!$B$53*HLOOKUP($DM$2,Variables!$B$60:$F$61,2,FALSE)</f>
        <v>0</v>
      </c>
      <c r="DV137" s="1223">
        <f>$G137*BA137*Variables!$B$53*HLOOKUP($DM$2,Variables!$B$60:$F$61,2,FALSE)</f>
        <v>0</v>
      </c>
      <c r="DW137" s="1223">
        <f>$G137*BB137*Variables!$B$53*HLOOKUP($DM$2,Variables!$B$60:$F$61,2,FALSE)</f>
        <v>0</v>
      </c>
      <c r="DX137" s="1225">
        <f>$G137*BC137*Variables!$B$53*HLOOKUP($DM$2,Variables!$B$60:$F$61,2,FALSE)</f>
        <v>0</v>
      </c>
      <c r="DY137" s="1222">
        <f>$G137*BD137*Variables!$B$53*HLOOKUP($DY$2,Variables!$B$60:$F$61,2,FALSE)</f>
        <v>0</v>
      </c>
      <c r="DZ137" s="1223">
        <f>$G137*BE137*Variables!$B$53*HLOOKUP($DY$2,Variables!$B$60:$F$61,2,FALSE)</f>
        <v>0</v>
      </c>
      <c r="EA137" s="1223">
        <f>$G137*BF137*Variables!$B$53*HLOOKUP($DY$2,Variables!$B$60:$F$61,2,FALSE)</f>
        <v>0</v>
      </c>
      <c r="EB137" s="1223">
        <f>$G137*BG137*Variables!$B$53*HLOOKUP($DY$2,Variables!$B$60:$F$61,2,FALSE)</f>
        <v>0</v>
      </c>
      <c r="EC137" s="1223">
        <f>$G137*BH137*Variables!$B$53*HLOOKUP($DY$2,Variables!$B$60:$F$61,2,FALSE)</f>
        <v>0</v>
      </c>
      <c r="ED137" s="1223">
        <f>$G137*BI137*Variables!$B$53*HLOOKUP($DY$2,Variables!$B$60:$F$61,2,FALSE)</f>
        <v>0</v>
      </c>
      <c r="EE137" s="1223">
        <f>$G137*BJ137*Variables!$B$53*HLOOKUP($DY$2,Variables!$B$60:$F$61,2,FALSE)</f>
        <v>0</v>
      </c>
      <c r="EF137" s="1223">
        <f>$G137*BK137*Variables!$B$53*HLOOKUP($DY$2,Variables!$B$60:$F$61,2,FALSE)</f>
        <v>0</v>
      </c>
      <c r="EG137" s="1223">
        <f>$G137*BL137*Variables!$B$53*HLOOKUP($DY$2,Variables!$B$60:$F$61,2,FALSE)</f>
        <v>0</v>
      </c>
      <c r="EH137" s="1223">
        <f>$G137*BM137*Variables!$B$53*HLOOKUP($DY$2,Variables!$B$60:$F$61,2,FALSE)</f>
        <v>0</v>
      </c>
      <c r="EI137" s="1223">
        <f>$G137*BN137*Variables!$B$53*HLOOKUP($DY$2,Variables!$B$60:$F$61,2,FALSE)</f>
        <v>0</v>
      </c>
      <c r="EJ137" s="1225">
        <f>$G137*BO137*Variables!$B$53*HLOOKUP($DY$2,Variables!$B$60:$F$61,2,FALSE)</f>
        <v>0</v>
      </c>
      <c r="EK137" s="1222">
        <f>$G137*BP137*Variables!$B$53*HLOOKUP($EK$2,Variables!$B$60:$F$61,2,FALSE)</f>
        <v>0</v>
      </c>
      <c r="EL137" s="1223">
        <f>$G137*BQ137*Variables!$B$53*HLOOKUP($EK$2,Variables!$B$60:$F$61,2,FALSE)</f>
        <v>0</v>
      </c>
      <c r="EM137" s="1223">
        <f>$G137*BR137*Variables!$B$53*HLOOKUP($EK$2,Variables!$B$60:$F$61,2,FALSE)</f>
        <v>0</v>
      </c>
      <c r="EN137" s="1223">
        <f>$G137*BS137*Variables!$B$53*HLOOKUP($EK$2,Variables!$B$60:$F$61,2,FALSE)</f>
        <v>0</v>
      </c>
      <c r="EO137" s="1223">
        <f>$G137*BT137*Variables!$B$53*HLOOKUP($EK$2,Variables!$B$60:$F$61,2,FALSE)</f>
        <v>0</v>
      </c>
      <c r="EP137" s="1223">
        <f>$G137*BU137*Variables!$B$53*HLOOKUP($EK$2,Variables!$B$60:$F$61,2,FALSE)</f>
        <v>0</v>
      </c>
      <c r="EQ137" s="1223">
        <f>$G137*BV137*Variables!$B$53*HLOOKUP($EK$2,Variables!$B$60:$F$61,2,FALSE)</f>
        <v>0</v>
      </c>
      <c r="ER137" s="1223">
        <f>$G137*BW137*Variables!$B$53*HLOOKUP($EK$2,Variables!$B$60:$F$61,2,FALSE)</f>
        <v>0</v>
      </c>
      <c r="ES137" s="1223">
        <f>$G137*BX137*Variables!$B$53*HLOOKUP($EK$2,Variables!$B$60:$F$61,2,FALSE)</f>
        <v>0</v>
      </c>
      <c r="ET137" s="1223">
        <f>$G137*BY137*Variables!$B$53*HLOOKUP($EK$2,Variables!$B$60:$F$61,2,FALSE)</f>
        <v>0</v>
      </c>
      <c r="EU137" s="1223">
        <f>$G137*BZ137*Variables!$B$53*HLOOKUP($EK$2,Variables!$B$60:$F$61,2,FALSE)</f>
        <v>0</v>
      </c>
      <c r="EV137" s="1225">
        <f>$G137*CA137*Variables!$B$53*HLOOKUP($EK$2,Variables!$B$60:$F$61,2,FALSE)</f>
        <v>0</v>
      </c>
      <c r="EW137" s="872">
        <f t="shared" si="15"/>
        <v>0</v>
      </c>
      <c r="EX137" s="872"/>
      <c r="EY137" s="872"/>
      <c r="EZ137" s="872"/>
      <c r="FA137" s="1332"/>
      <c r="FC137" s="958" t="str">
        <f t="shared" si="19"/>
        <v/>
      </c>
      <c r="FD137" s="959" t="str">
        <f t="shared" si="20"/>
        <v/>
      </c>
      <c r="FE137" s="959" t="s">
        <v>8407</v>
      </c>
      <c r="FF137" s="959" t="str">
        <f>IF(ISNA(VLOOKUP(FC137,Miscellaneous!E:F,2,0)),"",VLOOKUP(FC137,Miscellaneous!E:F,2,0))</f>
        <v/>
      </c>
      <c r="FG137" s="959" t="str">
        <f t="shared" si="21"/>
        <v/>
      </c>
      <c r="FH137" s="996">
        <f>IF($FG137="Opex",SUMIF('Monthly Summary'!$C$75:$N$75,"",CC137:CN137),SUMIF('Monthly Summary'!$C$74:$N$74,"",CC137:CN137))</f>
        <v>0</v>
      </c>
      <c r="FI137" s="996">
        <f>IF($FG137="Opex",SUMIF('Monthly Summary'!$O$75:$Z$75,"",CO137:CZ137),SUMIF('Monthly Summary'!$O$74:$Z$74,"",CO137:CZ137))</f>
        <v>0</v>
      </c>
      <c r="FJ137" s="996">
        <f>IF($FG137="Opex",SUMIF('Monthly Summary'!$AA$75:$AL$75,"",DA137:DL137),SUMIF('Monthly Summary'!$AA$74:$AL$74,"",DA137:DL137))</f>
        <v>0</v>
      </c>
      <c r="FK137" s="996">
        <f>IF($FG137="Opex",SUMIF('Monthly Summary'!$AM$75:$AX$75,"",DM137:DX137),SUMIF('Monthly Summary'!$AM$74:$AX$74,"",DM137:DX137))</f>
        <v>0</v>
      </c>
      <c r="FL137" s="996">
        <f>IF($FG137="Opex",SUMIF('Monthly Summary'!$AY$75:$BJ$75,"",DY137:EJ137),SUMIF('Monthly Summary'!$AY$74:$BJ$74,"",DY137:EJ137))</f>
        <v>0</v>
      </c>
      <c r="FM137" s="997">
        <f>IF($FG137="Opex",SUMIF('Monthly Summary'!$BK$75:$BV$75,"",EK137:EV137),SUMIF('Monthly Summary'!$BK$74:$BV$74,"",EK137:EV137))</f>
        <v>0</v>
      </c>
      <c r="FN137" s="997">
        <f t="shared" si="22"/>
        <v>0</v>
      </c>
    </row>
    <row r="138" spans="3:170">
      <c r="C138" s="757"/>
      <c r="D138" s="757"/>
      <c r="E138" s="758"/>
      <c r="F138" s="758"/>
      <c r="G138" s="758"/>
      <c r="H138" s="1215"/>
      <c r="I138" s="761"/>
      <c r="J138" s="761"/>
      <c r="K138" s="761"/>
      <c r="L138" s="761"/>
      <c r="M138" s="761"/>
      <c r="N138" s="761"/>
      <c r="O138" s="761"/>
      <c r="P138" s="761"/>
      <c r="Q138" s="761"/>
      <c r="R138" s="761"/>
      <c r="S138" s="1216"/>
      <c r="T138" s="1215"/>
      <c r="U138" s="761"/>
      <c r="V138" s="761"/>
      <c r="W138" s="761"/>
      <c r="X138" s="761"/>
      <c r="Y138" s="761"/>
      <c r="Z138" s="761"/>
      <c r="AA138" s="761"/>
      <c r="AB138" s="761"/>
      <c r="AC138" s="761"/>
      <c r="AD138" s="761"/>
      <c r="AE138" s="1216"/>
      <c r="AF138" s="1215"/>
      <c r="AG138" s="761"/>
      <c r="AH138" s="761"/>
      <c r="AI138" s="761"/>
      <c r="AJ138" s="761"/>
      <c r="AK138" s="761"/>
      <c r="AL138" s="761"/>
      <c r="AM138" s="761"/>
      <c r="AN138" s="761"/>
      <c r="AO138" s="761"/>
      <c r="AP138" s="761"/>
      <c r="AQ138" s="1216"/>
      <c r="AR138" s="1215"/>
      <c r="AS138" s="761"/>
      <c r="AT138" s="761"/>
      <c r="AU138" s="761"/>
      <c r="AV138" s="761"/>
      <c r="AW138" s="761"/>
      <c r="AX138" s="761"/>
      <c r="AY138" s="761"/>
      <c r="AZ138" s="761"/>
      <c r="BA138" s="761"/>
      <c r="BB138" s="761"/>
      <c r="BC138" s="1216"/>
      <c r="BD138" s="1215"/>
      <c r="BE138" s="761"/>
      <c r="BF138" s="761"/>
      <c r="BG138" s="761"/>
      <c r="BH138" s="761"/>
      <c r="BI138" s="761"/>
      <c r="BJ138" s="761"/>
      <c r="BK138" s="761"/>
      <c r="BL138" s="761"/>
      <c r="BM138" s="761"/>
      <c r="BN138" s="761"/>
      <c r="BO138" s="1216"/>
      <c r="BP138" s="1215"/>
      <c r="BQ138" s="761"/>
      <c r="BR138" s="761"/>
      <c r="BS138" s="761"/>
      <c r="BT138" s="761"/>
      <c r="BU138" s="761"/>
      <c r="BV138" s="761"/>
      <c r="BW138" s="761"/>
      <c r="BX138" s="761"/>
      <c r="BY138" s="761"/>
      <c r="BZ138" s="761"/>
      <c r="CA138" s="1216"/>
      <c r="CB138" s="747"/>
      <c r="CC138" s="1222">
        <f>$G138*H138*Variables!$B$53</f>
        <v>0</v>
      </c>
      <c r="CD138" s="1223">
        <f>$G138*I138*Variables!$B$53</f>
        <v>0</v>
      </c>
      <c r="CE138" s="1223">
        <f>$G138*J138*Variables!$B$53</f>
        <v>0</v>
      </c>
      <c r="CF138" s="1223">
        <f>$G138*K138*Variables!$B$53</f>
        <v>0</v>
      </c>
      <c r="CG138" s="1223">
        <f>$G138*L138*Variables!$B$53</f>
        <v>0</v>
      </c>
      <c r="CH138" s="1223">
        <f>$G138*M138*Variables!$B$53</f>
        <v>0</v>
      </c>
      <c r="CI138" s="1223">
        <f>$G138*N138*Variables!$B$53</f>
        <v>0</v>
      </c>
      <c r="CJ138" s="1223">
        <f>$G138*O138*Variables!$B$53</f>
        <v>0</v>
      </c>
      <c r="CK138" s="1223">
        <f>$G138*P138*Variables!$B$53</f>
        <v>0</v>
      </c>
      <c r="CL138" s="1223">
        <f>$G138*Q138*Variables!$B$53</f>
        <v>0</v>
      </c>
      <c r="CM138" s="1223">
        <f>$G138*R138*Variables!$B$53</f>
        <v>0</v>
      </c>
      <c r="CN138" s="1225">
        <f>$G138*S138*Variables!$B$53</f>
        <v>0</v>
      </c>
      <c r="CO138" s="1222">
        <f>$G138*T138*Variables!$B$53*HLOOKUP($CO$2,Variables!$B$60:$F$61,2,FALSE)</f>
        <v>0</v>
      </c>
      <c r="CP138" s="1223">
        <f>$G138*U138*Variables!$B$53*HLOOKUP($CO$2,Variables!$B$60:$F$61,2,FALSE)</f>
        <v>0</v>
      </c>
      <c r="CQ138" s="1223">
        <f>$G138*V138*Variables!$B$53*HLOOKUP($CO$2,Variables!$B$60:$F$61,2,FALSE)</f>
        <v>0</v>
      </c>
      <c r="CR138" s="1223">
        <f>$G138*W138*Variables!$B$53*HLOOKUP($CO$2,Variables!$B$60:$F$61,2,FALSE)</f>
        <v>0</v>
      </c>
      <c r="CS138" s="1223">
        <f>$G138*X138*Variables!$B$53*HLOOKUP($CO$2,Variables!$B$60:$F$61,2,FALSE)</f>
        <v>0</v>
      </c>
      <c r="CT138" s="1223">
        <f>$G138*Y138*Variables!$B$53*HLOOKUP($CO$2,Variables!$B$60:$F$61,2,FALSE)</f>
        <v>0</v>
      </c>
      <c r="CU138" s="1223">
        <f>$G138*Z138*Variables!$B$53*HLOOKUP($CO$2,Variables!$B$60:$F$61,2,FALSE)</f>
        <v>0</v>
      </c>
      <c r="CV138" s="1223">
        <f>$G138*AA138*Variables!$B$53*HLOOKUP($CO$2,Variables!$B$60:$F$61,2,FALSE)</f>
        <v>0</v>
      </c>
      <c r="CW138" s="1223">
        <f>$G138*AB138*Variables!$B$53*HLOOKUP($CO$2,Variables!$B$60:$F$61,2,FALSE)</f>
        <v>0</v>
      </c>
      <c r="CX138" s="1223">
        <f>$G138*AC138*Variables!$B$53*HLOOKUP($CO$2,Variables!$B$60:$F$61,2,FALSE)</f>
        <v>0</v>
      </c>
      <c r="CY138" s="1223">
        <f>$G138*AD138*Variables!$B$53*HLOOKUP($CO$2,Variables!$B$60:$F$61,2,FALSE)</f>
        <v>0</v>
      </c>
      <c r="CZ138" s="1225">
        <f>$G138*AE138*Variables!$B$53*HLOOKUP($CO$2,Variables!$B$60:$F$61,2,FALSE)</f>
        <v>0</v>
      </c>
      <c r="DA138" s="1222">
        <f>$G138*AF138*Variables!$B$53*HLOOKUP($DA$2,Variables!$B$60:$F$61,2,FALSE)</f>
        <v>0</v>
      </c>
      <c r="DB138" s="1223">
        <f>$G138*AG138*Variables!$B$53*HLOOKUP($DA$2,Variables!$B$60:$F$61,2,FALSE)</f>
        <v>0</v>
      </c>
      <c r="DC138" s="1223">
        <f>$G138*AH138*Variables!$B$53*HLOOKUP($DA$2,Variables!$B$60:$F$61,2,FALSE)</f>
        <v>0</v>
      </c>
      <c r="DD138" s="1223">
        <f>$G138*AI138*Variables!$B$53*HLOOKUP($DA$2,Variables!$B$60:$F$61,2,FALSE)</f>
        <v>0</v>
      </c>
      <c r="DE138" s="1223">
        <f>$G138*AJ138*Variables!$B$53*HLOOKUP($DA$2,Variables!$B$60:$F$61,2,FALSE)</f>
        <v>0</v>
      </c>
      <c r="DF138" s="1223">
        <f>$G138*AK138*Variables!$B$53*HLOOKUP($DA$2,Variables!$B$60:$F$61,2,FALSE)</f>
        <v>0</v>
      </c>
      <c r="DG138" s="1223">
        <f>$G138*AL138*Variables!$B$53*HLOOKUP($DA$2,Variables!$B$60:$F$61,2,FALSE)</f>
        <v>0</v>
      </c>
      <c r="DH138" s="1223">
        <f>$G138*AM138*Variables!$B$53*HLOOKUP($DA$2,Variables!$B$60:$F$61,2,FALSE)</f>
        <v>0</v>
      </c>
      <c r="DI138" s="1223">
        <f>$G138*AN138*Variables!$B$53*HLOOKUP($DA$2,Variables!$B$60:$F$61,2,FALSE)</f>
        <v>0</v>
      </c>
      <c r="DJ138" s="1223">
        <f>$G138*AO138*Variables!$B$53*HLOOKUP($DA$2,Variables!$B$60:$F$61,2,FALSE)</f>
        <v>0</v>
      </c>
      <c r="DK138" s="1223">
        <f>$G138*AP138*Variables!$B$53*HLOOKUP($DA$2,Variables!$B$60:$F$61,2,FALSE)</f>
        <v>0</v>
      </c>
      <c r="DL138" s="1225">
        <f>$G138*AQ138*Variables!$B$53*HLOOKUP($DA$2,Variables!$B$60:$F$61,2,FALSE)</f>
        <v>0</v>
      </c>
      <c r="DM138" s="1222">
        <f>$G138*AR138*Variables!$B$53*HLOOKUP($DM$2,Variables!$B$60:$F$61,2,FALSE)</f>
        <v>0</v>
      </c>
      <c r="DN138" s="1223">
        <f>$G138*AS138*Variables!$B$53*HLOOKUP($DM$2,Variables!$B$60:$F$61,2,FALSE)</f>
        <v>0</v>
      </c>
      <c r="DO138" s="1223">
        <f>$G138*AT138*Variables!$B$53*HLOOKUP($DM$2,Variables!$B$60:$F$61,2,FALSE)</f>
        <v>0</v>
      </c>
      <c r="DP138" s="1223">
        <f>$G138*AU138*Variables!$B$53*HLOOKUP($DM$2,Variables!$B$60:$F$61,2,FALSE)</f>
        <v>0</v>
      </c>
      <c r="DQ138" s="1223">
        <f>$G138*AV138*Variables!$B$53*HLOOKUP($DM$2,Variables!$B$60:$F$61,2,FALSE)</f>
        <v>0</v>
      </c>
      <c r="DR138" s="1223">
        <f>$G138*AW138*Variables!$B$53*HLOOKUP($DM$2,Variables!$B$60:$F$61,2,FALSE)</f>
        <v>0</v>
      </c>
      <c r="DS138" s="1223">
        <f>$G138*AX138*Variables!$B$53*HLOOKUP($DM$2,Variables!$B$60:$F$61,2,FALSE)</f>
        <v>0</v>
      </c>
      <c r="DT138" s="1223">
        <f>$G138*AY138*Variables!$B$53*HLOOKUP($DM$2,Variables!$B$60:$F$61,2,FALSE)</f>
        <v>0</v>
      </c>
      <c r="DU138" s="1223">
        <f>$G138*AZ138*Variables!$B$53*HLOOKUP($DM$2,Variables!$B$60:$F$61,2,FALSE)</f>
        <v>0</v>
      </c>
      <c r="DV138" s="1223">
        <f>$G138*BA138*Variables!$B$53*HLOOKUP($DM$2,Variables!$B$60:$F$61,2,FALSE)</f>
        <v>0</v>
      </c>
      <c r="DW138" s="1223">
        <f>$G138*BB138*Variables!$B$53*HLOOKUP($DM$2,Variables!$B$60:$F$61,2,FALSE)</f>
        <v>0</v>
      </c>
      <c r="DX138" s="1225">
        <f>$G138*BC138*Variables!$B$53*HLOOKUP($DM$2,Variables!$B$60:$F$61,2,FALSE)</f>
        <v>0</v>
      </c>
      <c r="DY138" s="1222">
        <f>$G138*BD138*Variables!$B$53*HLOOKUP($DY$2,Variables!$B$60:$F$61,2,FALSE)</f>
        <v>0</v>
      </c>
      <c r="DZ138" s="1223">
        <f>$G138*BE138*Variables!$B$53*HLOOKUP($DY$2,Variables!$B$60:$F$61,2,FALSE)</f>
        <v>0</v>
      </c>
      <c r="EA138" s="1223">
        <f>$G138*BF138*Variables!$B$53*HLOOKUP($DY$2,Variables!$B$60:$F$61,2,FALSE)</f>
        <v>0</v>
      </c>
      <c r="EB138" s="1223">
        <f>$G138*BG138*Variables!$B$53*HLOOKUP($DY$2,Variables!$B$60:$F$61,2,FALSE)</f>
        <v>0</v>
      </c>
      <c r="EC138" s="1223">
        <f>$G138*BH138*Variables!$B$53*HLOOKUP($DY$2,Variables!$B$60:$F$61,2,FALSE)</f>
        <v>0</v>
      </c>
      <c r="ED138" s="1223">
        <f>$G138*BI138*Variables!$B$53*HLOOKUP($DY$2,Variables!$B$60:$F$61,2,FALSE)</f>
        <v>0</v>
      </c>
      <c r="EE138" s="1223">
        <f>$G138*BJ138*Variables!$B$53*HLOOKUP($DY$2,Variables!$B$60:$F$61,2,FALSE)</f>
        <v>0</v>
      </c>
      <c r="EF138" s="1223">
        <f>$G138*BK138*Variables!$B$53*HLOOKUP($DY$2,Variables!$B$60:$F$61,2,FALSE)</f>
        <v>0</v>
      </c>
      <c r="EG138" s="1223">
        <f>$G138*BL138*Variables!$B$53*HLOOKUP($DY$2,Variables!$B$60:$F$61,2,FALSE)</f>
        <v>0</v>
      </c>
      <c r="EH138" s="1223">
        <f>$G138*BM138*Variables!$B$53*HLOOKUP($DY$2,Variables!$B$60:$F$61,2,FALSE)</f>
        <v>0</v>
      </c>
      <c r="EI138" s="1223">
        <f>$G138*BN138*Variables!$B$53*HLOOKUP($DY$2,Variables!$B$60:$F$61,2,FALSE)</f>
        <v>0</v>
      </c>
      <c r="EJ138" s="1225">
        <f>$G138*BO138*Variables!$B$53*HLOOKUP($DY$2,Variables!$B$60:$F$61,2,FALSE)</f>
        <v>0</v>
      </c>
      <c r="EK138" s="1222">
        <f>$G138*BP138*Variables!$B$53*HLOOKUP($EK$2,Variables!$B$60:$F$61,2,FALSE)</f>
        <v>0</v>
      </c>
      <c r="EL138" s="1223">
        <f>$G138*BQ138*Variables!$B$53*HLOOKUP($EK$2,Variables!$B$60:$F$61,2,FALSE)</f>
        <v>0</v>
      </c>
      <c r="EM138" s="1223">
        <f>$G138*BR138*Variables!$B$53*HLOOKUP($EK$2,Variables!$B$60:$F$61,2,FALSE)</f>
        <v>0</v>
      </c>
      <c r="EN138" s="1223">
        <f>$G138*BS138*Variables!$B$53*HLOOKUP($EK$2,Variables!$B$60:$F$61,2,FALSE)</f>
        <v>0</v>
      </c>
      <c r="EO138" s="1223">
        <f>$G138*BT138*Variables!$B$53*HLOOKUP($EK$2,Variables!$B$60:$F$61,2,FALSE)</f>
        <v>0</v>
      </c>
      <c r="EP138" s="1223">
        <f>$G138*BU138*Variables!$B$53*HLOOKUP($EK$2,Variables!$B$60:$F$61,2,FALSE)</f>
        <v>0</v>
      </c>
      <c r="EQ138" s="1223">
        <f>$G138*BV138*Variables!$B$53*HLOOKUP($EK$2,Variables!$B$60:$F$61,2,FALSE)</f>
        <v>0</v>
      </c>
      <c r="ER138" s="1223">
        <f>$G138*BW138*Variables!$B$53*HLOOKUP($EK$2,Variables!$B$60:$F$61,2,FALSE)</f>
        <v>0</v>
      </c>
      <c r="ES138" s="1223">
        <f>$G138*BX138*Variables!$B$53*HLOOKUP($EK$2,Variables!$B$60:$F$61,2,FALSE)</f>
        <v>0</v>
      </c>
      <c r="ET138" s="1223">
        <f>$G138*BY138*Variables!$B$53*HLOOKUP($EK$2,Variables!$B$60:$F$61,2,FALSE)</f>
        <v>0</v>
      </c>
      <c r="EU138" s="1223">
        <f>$G138*BZ138*Variables!$B$53*HLOOKUP($EK$2,Variables!$B$60:$F$61,2,FALSE)</f>
        <v>0</v>
      </c>
      <c r="EV138" s="1225">
        <f>$G138*CA138*Variables!$B$53*HLOOKUP($EK$2,Variables!$B$60:$F$61,2,FALSE)</f>
        <v>0</v>
      </c>
      <c r="EW138" s="872">
        <f t="shared" si="15"/>
        <v>0</v>
      </c>
      <c r="EX138" s="872"/>
      <c r="EY138" s="872"/>
      <c r="EZ138" s="872"/>
      <c r="FA138" s="1332"/>
      <c r="FC138" s="958" t="str">
        <f t="shared" si="19"/>
        <v/>
      </c>
      <c r="FD138" s="959" t="str">
        <f t="shared" si="20"/>
        <v/>
      </c>
      <c r="FE138" s="959" t="s">
        <v>8407</v>
      </c>
      <c r="FF138" s="959" t="str">
        <f>IF(ISNA(VLOOKUP(FC138,Miscellaneous!E:F,2,0)),"",VLOOKUP(FC138,Miscellaneous!E:F,2,0))</f>
        <v/>
      </c>
      <c r="FG138" s="959" t="str">
        <f t="shared" si="21"/>
        <v/>
      </c>
      <c r="FH138" s="996">
        <f>IF($FG138="Opex",SUMIF('Monthly Summary'!$C$75:$N$75,"",CC138:CN138),SUMIF('Monthly Summary'!$C$74:$N$74,"",CC138:CN138))</f>
        <v>0</v>
      </c>
      <c r="FI138" s="996">
        <f>IF($FG138="Opex",SUMIF('Monthly Summary'!$O$75:$Z$75,"",CO138:CZ138),SUMIF('Monthly Summary'!$O$74:$Z$74,"",CO138:CZ138))</f>
        <v>0</v>
      </c>
      <c r="FJ138" s="996">
        <f>IF($FG138="Opex",SUMIF('Monthly Summary'!$AA$75:$AL$75,"",DA138:DL138),SUMIF('Monthly Summary'!$AA$74:$AL$74,"",DA138:DL138))</f>
        <v>0</v>
      </c>
      <c r="FK138" s="996">
        <f>IF($FG138="Opex",SUMIF('Monthly Summary'!$AM$75:$AX$75,"",DM138:DX138),SUMIF('Monthly Summary'!$AM$74:$AX$74,"",DM138:DX138))</f>
        <v>0</v>
      </c>
      <c r="FL138" s="996">
        <f>IF($FG138="Opex",SUMIF('Monthly Summary'!$AY$75:$BJ$75,"",DY138:EJ138),SUMIF('Monthly Summary'!$AY$74:$BJ$74,"",DY138:EJ138))</f>
        <v>0</v>
      </c>
      <c r="FM138" s="997">
        <f>IF($FG138="Opex",SUMIF('Monthly Summary'!$BK$75:$BV$75,"",EK138:EV138),SUMIF('Monthly Summary'!$BK$74:$BV$74,"",EK138:EV138))</f>
        <v>0</v>
      </c>
      <c r="FN138" s="997">
        <f t="shared" si="22"/>
        <v>0</v>
      </c>
    </row>
    <row r="139" spans="3:170">
      <c r="C139" s="757"/>
      <c r="D139" s="757"/>
      <c r="E139" s="758"/>
      <c r="F139" s="758"/>
      <c r="G139" s="758"/>
      <c r="H139" s="1215"/>
      <c r="I139" s="761"/>
      <c r="J139" s="761"/>
      <c r="K139" s="761"/>
      <c r="L139" s="761"/>
      <c r="M139" s="761"/>
      <c r="N139" s="761"/>
      <c r="O139" s="761"/>
      <c r="P139" s="761"/>
      <c r="Q139" s="761"/>
      <c r="R139" s="761"/>
      <c r="S139" s="1216"/>
      <c r="T139" s="1215"/>
      <c r="U139" s="761"/>
      <c r="V139" s="761"/>
      <c r="W139" s="761"/>
      <c r="X139" s="761"/>
      <c r="Y139" s="761"/>
      <c r="Z139" s="761"/>
      <c r="AA139" s="761"/>
      <c r="AB139" s="761"/>
      <c r="AC139" s="761"/>
      <c r="AD139" s="761"/>
      <c r="AE139" s="1216"/>
      <c r="AF139" s="1215"/>
      <c r="AG139" s="761"/>
      <c r="AH139" s="761"/>
      <c r="AI139" s="761"/>
      <c r="AJ139" s="761"/>
      <c r="AK139" s="761"/>
      <c r="AL139" s="761"/>
      <c r="AM139" s="761"/>
      <c r="AN139" s="761"/>
      <c r="AO139" s="761"/>
      <c r="AP139" s="761"/>
      <c r="AQ139" s="1216"/>
      <c r="AR139" s="1215"/>
      <c r="AS139" s="761"/>
      <c r="AT139" s="761"/>
      <c r="AU139" s="761"/>
      <c r="AV139" s="761"/>
      <c r="AW139" s="761"/>
      <c r="AX139" s="761"/>
      <c r="AY139" s="761"/>
      <c r="AZ139" s="761"/>
      <c r="BA139" s="761"/>
      <c r="BB139" s="761"/>
      <c r="BC139" s="1216"/>
      <c r="BD139" s="1215"/>
      <c r="BE139" s="761"/>
      <c r="BF139" s="761"/>
      <c r="BG139" s="761"/>
      <c r="BH139" s="761"/>
      <c r="BI139" s="761"/>
      <c r="BJ139" s="761"/>
      <c r="BK139" s="761"/>
      <c r="BL139" s="761"/>
      <c r="BM139" s="761"/>
      <c r="BN139" s="761"/>
      <c r="BO139" s="1216"/>
      <c r="BP139" s="1215"/>
      <c r="BQ139" s="761"/>
      <c r="BR139" s="761"/>
      <c r="BS139" s="761"/>
      <c r="BT139" s="761"/>
      <c r="BU139" s="761"/>
      <c r="BV139" s="761"/>
      <c r="BW139" s="761"/>
      <c r="BX139" s="761"/>
      <c r="BY139" s="761"/>
      <c r="BZ139" s="761"/>
      <c r="CA139" s="1216"/>
      <c r="CB139" s="747"/>
      <c r="CC139" s="1222">
        <f>$G139*H139*Variables!$B$53</f>
        <v>0</v>
      </c>
      <c r="CD139" s="1223">
        <f>$G139*I139*Variables!$B$53</f>
        <v>0</v>
      </c>
      <c r="CE139" s="1223">
        <f>$G139*J139*Variables!$B$53</f>
        <v>0</v>
      </c>
      <c r="CF139" s="1223">
        <f>$G139*K139*Variables!$B$53</f>
        <v>0</v>
      </c>
      <c r="CG139" s="1223">
        <f>$G139*L139*Variables!$B$53</f>
        <v>0</v>
      </c>
      <c r="CH139" s="1223">
        <f>$G139*M139*Variables!$B$53</f>
        <v>0</v>
      </c>
      <c r="CI139" s="1223">
        <f>$G139*N139*Variables!$B$53</f>
        <v>0</v>
      </c>
      <c r="CJ139" s="1223">
        <f>$G139*O139*Variables!$B$53</f>
        <v>0</v>
      </c>
      <c r="CK139" s="1223">
        <f>$G139*P139*Variables!$B$53</f>
        <v>0</v>
      </c>
      <c r="CL139" s="1223">
        <f>$G139*Q139*Variables!$B$53</f>
        <v>0</v>
      </c>
      <c r="CM139" s="1223">
        <f>$G139*R139*Variables!$B$53</f>
        <v>0</v>
      </c>
      <c r="CN139" s="1225">
        <f>$G139*S139*Variables!$B$53</f>
        <v>0</v>
      </c>
      <c r="CO139" s="1222">
        <f>$G139*T139*Variables!$B$53*HLOOKUP($CO$2,Variables!$B$60:$F$61,2,FALSE)</f>
        <v>0</v>
      </c>
      <c r="CP139" s="1223">
        <f>$G139*U139*Variables!$B$53*HLOOKUP($CO$2,Variables!$B$60:$F$61,2,FALSE)</f>
        <v>0</v>
      </c>
      <c r="CQ139" s="1223">
        <f>$G139*V139*Variables!$B$53*HLOOKUP($CO$2,Variables!$B$60:$F$61,2,FALSE)</f>
        <v>0</v>
      </c>
      <c r="CR139" s="1223">
        <f>$G139*W139*Variables!$B$53*HLOOKUP($CO$2,Variables!$B$60:$F$61,2,FALSE)</f>
        <v>0</v>
      </c>
      <c r="CS139" s="1223">
        <f>$G139*X139*Variables!$B$53*HLOOKUP($CO$2,Variables!$B$60:$F$61,2,FALSE)</f>
        <v>0</v>
      </c>
      <c r="CT139" s="1223">
        <f>$G139*Y139*Variables!$B$53*HLOOKUP($CO$2,Variables!$B$60:$F$61,2,FALSE)</f>
        <v>0</v>
      </c>
      <c r="CU139" s="1223">
        <f>$G139*Z139*Variables!$B$53*HLOOKUP($CO$2,Variables!$B$60:$F$61,2,FALSE)</f>
        <v>0</v>
      </c>
      <c r="CV139" s="1223">
        <f>$G139*AA139*Variables!$B$53*HLOOKUP($CO$2,Variables!$B$60:$F$61,2,FALSE)</f>
        <v>0</v>
      </c>
      <c r="CW139" s="1223">
        <f>$G139*AB139*Variables!$B$53*HLOOKUP($CO$2,Variables!$B$60:$F$61,2,FALSE)</f>
        <v>0</v>
      </c>
      <c r="CX139" s="1223">
        <f>$G139*AC139*Variables!$B$53*HLOOKUP($CO$2,Variables!$B$60:$F$61,2,FALSE)</f>
        <v>0</v>
      </c>
      <c r="CY139" s="1223">
        <f>$G139*AD139*Variables!$B$53*HLOOKUP($CO$2,Variables!$B$60:$F$61,2,FALSE)</f>
        <v>0</v>
      </c>
      <c r="CZ139" s="1225">
        <f>$G139*AE139*Variables!$B$53*HLOOKUP($CO$2,Variables!$B$60:$F$61,2,FALSE)</f>
        <v>0</v>
      </c>
      <c r="DA139" s="1222">
        <f>$G139*AF139*Variables!$B$53*HLOOKUP($DA$2,Variables!$B$60:$F$61,2,FALSE)</f>
        <v>0</v>
      </c>
      <c r="DB139" s="1223">
        <f>$G139*AG139*Variables!$B$53*HLOOKUP($DA$2,Variables!$B$60:$F$61,2,FALSE)</f>
        <v>0</v>
      </c>
      <c r="DC139" s="1223">
        <f>$G139*AH139*Variables!$B$53*HLOOKUP($DA$2,Variables!$B$60:$F$61,2,FALSE)</f>
        <v>0</v>
      </c>
      <c r="DD139" s="1223">
        <f>$G139*AI139*Variables!$B$53*HLOOKUP($DA$2,Variables!$B$60:$F$61,2,FALSE)</f>
        <v>0</v>
      </c>
      <c r="DE139" s="1223">
        <f>$G139*AJ139*Variables!$B$53*HLOOKUP($DA$2,Variables!$B$60:$F$61,2,FALSE)</f>
        <v>0</v>
      </c>
      <c r="DF139" s="1223">
        <f>$G139*AK139*Variables!$B$53*HLOOKUP($DA$2,Variables!$B$60:$F$61,2,FALSE)</f>
        <v>0</v>
      </c>
      <c r="DG139" s="1223">
        <f>$G139*AL139*Variables!$B$53*HLOOKUP($DA$2,Variables!$B$60:$F$61,2,FALSE)</f>
        <v>0</v>
      </c>
      <c r="DH139" s="1223">
        <f>$G139*AM139*Variables!$B$53*HLOOKUP($DA$2,Variables!$B$60:$F$61,2,FALSE)</f>
        <v>0</v>
      </c>
      <c r="DI139" s="1223">
        <f>$G139*AN139*Variables!$B$53*HLOOKUP($DA$2,Variables!$B$60:$F$61,2,FALSE)</f>
        <v>0</v>
      </c>
      <c r="DJ139" s="1223">
        <f>$G139*AO139*Variables!$B$53*HLOOKUP($DA$2,Variables!$B$60:$F$61,2,FALSE)</f>
        <v>0</v>
      </c>
      <c r="DK139" s="1223">
        <f>$G139*AP139*Variables!$B$53*HLOOKUP($DA$2,Variables!$B$60:$F$61,2,FALSE)</f>
        <v>0</v>
      </c>
      <c r="DL139" s="1225">
        <f>$G139*AQ139*Variables!$B$53*HLOOKUP($DA$2,Variables!$B$60:$F$61,2,FALSE)</f>
        <v>0</v>
      </c>
      <c r="DM139" s="1222">
        <f>$G139*AR139*Variables!$B$53*HLOOKUP($DM$2,Variables!$B$60:$F$61,2,FALSE)</f>
        <v>0</v>
      </c>
      <c r="DN139" s="1223">
        <f>$G139*AS139*Variables!$B$53*HLOOKUP($DM$2,Variables!$B$60:$F$61,2,FALSE)</f>
        <v>0</v>
      </c>
      <c r="DO139" s="1223">
        <f>$G139*AT139*Variables!$B$53*HLOOKUP($DM$2,Variables!$B$60:$F$61,2,FALSE)</f>
        <v>0</v>
      </c>
      <c r="DP139" s="1223">
        <f>$G139*AU139*Variables!$B$53*HLOOKUP($DM$2,Variables!$B$60:$F$61,2,FALSE)</f>
        <v>0</v>
      </c>
      <c r="DQ139" s="1223">
        <f>$G139*AV139*Variables!$B$53*HLOOKUP($DM$2,Variables!$B$60:$F$61,2,FALSE)</f>
        <v>0</v>
      </c>
      <c r="DR139" s="1223">
        <f>$G139*AW139*Variables!$B$53*HLOOKUP($DM$2,Variables!$B$60:$F$61,2,FALSE)</f>
        <v>0</v>
      </c>
      <c r="DS139" s="1223">
        <f>$G139*AX139*Variables!$B$53*HLOOKUP($DM$2,Variables!$B$60:$F$61,2,FALSE)</f>
        <v>0</v>
      </c>
      <c r="DT139" s="1223">
        <f>$G139*AY139*Variables!$B$53*HLOOKUP($DM$2,Variables!$B$60:$F$61,2,FALSE)</f>
        <v>0</v>
      </c>
      <c r="DU139" s="1223">
        <f>$G139*AZ139*Variables!$B$53*HLOOKUP($DM$2,Variables!$B$60:$F$61,2,FALSE)</f>
        <v>0</v>
      </c>
      <c r="DV139" s="1223">
        <f>$G139*BA139*Variables!$B$53*HLOOKUP($DM$2,Variables!$B$60:$F$61,2,FALSE)</f>
        <v>0</v>
      </c>
      <c r="DW139" s="1223">
        <f>$G139*BB139*Variables!$B$53*HLOOKUP($DM$2,Variables!$B$60:$F$61,2,FALSE)</f>
        <v>0</v>
      </c>
      <c r="DX139" s="1225">
        <f>$G139*BC139*Variables!$B$53*HLOOKUP($DM$2,Variables!$B$60:$F$61,2,FALSE)</f>
        <v>0</v>
      </c>
      <c r="DY139" s="1222">
        <f>$G139*BD139*Variables!$B$53*HLOOKUP($DY$2,Variables!$B$60:$F$61,2,FALSE)</f>
        <v>0</v>
      </c>
      <c r="DZ139" s="1223">
        <f>$G139*BE139*Variables!$B$53*HLOOKUP($DY$2,Variables!$B$60:$F$61,2,FALSE)</f>
        <v>0</v>
      </c>
      <c r="EA139" s="1223">
        <f>$G139*BF139*Variables!$B$53*HLOOKUP($DY$2,Variables!$B$60:$F$61,2,FALSE)</f>
        <v>0</v>
      </c>
      <c r="EB139" s="1223">
        <f>$G139*BG139*Variables!$B$53*HLOOKUP($DY$2,Variables!$B$60:$F$61,2,FALSE)</f>
        <v>0</v>
      </c>
      <c r="EC139" s="1223">
        <f>$G139*BH139*Variables!$B$53*HLOOKUP($DY$2,Variables!$B$60:$F$61,2,FALSE)</f>
        <v>0</v>
      </c>
      <c r="ED139" s="1223">
        <f>$G139*BI139*Variables!$B$53*HLOOKUP($DY$2,Variables!$B$60:$F$61,2,FALSE)</f>
        <v>0</v>
      </c>
      <c r="EE139" s="1223">
        <f>$G139*BJ139*Variables!$B$53*HLOOKUP($DY$2,Variables!$B$60:$F$61,2,FALSE)</f>
        <v>0</v>
      </c>
      <c r="EF139" s="1223">
        <f>$G139*BK139*Variables!$B$53*HLOOKUP($DY$2,Variables!$B$60:$F$61,2,FALSE)</f>
        <v>0</v>
      </c>
      <c r="EG139" s="1223">
        <f>$G139*BL139*Variables!$B$53*HLOOKUP($DY$2,Variables!$B$60:$F$61,2,FALSE)</f>
        <v>0</v>
      </c>
      <c r="EH139" s="1223">
        <f>$G139*BM139*Variables!$B$53*HLOOKUP($DY$2,Variables!$B$60:$F$61,2,FALSE)</f>
        <v>0</v>
      </c>
      <c r="EI139" s="1223">
        <f>$G139*BN139*Variables!$B$53*HLOOKUP($DY$2,Variables!$B$60:$F$61,2,FALSE)</f>
        <v>0</v>
      </c>
      <c r="EJ139" s="1225">
        <f>$G139*BO139*Variables!$B$53*HLOOKUP($DY$2,Variables!$B$60:$F$61,2,FALSE)</f>
        <v>0</v>
      </c>
      <c r="EK139" s="1222">
        <f>$G139*BP139*Variables!$B$53*HLOOKUP($EK$2,Variables!$B$60:$F$61,2,FALSE)</f>
        <v>0</v>
      </c>
      <c r="EL139" s="1223">
        <f>$G139*BQ139*Variables!$B$53*HLOOKUP($EK$2,Variables!$B$60:$F$61,2,FALSE)</f>
        <v>0</v>
      </c>
      <c r="EM139" s="1223">
        <f>$G139*BR139*Variables!$B$53*HLOOKUP($EK$2,Variables!$B$60:$F$61,2,FALSE)</f>
        <v>0</v>
      </c>
      <c r="EN139" s="1223">
        <f>$G139*BS139*Variables!$B$53*HLOOKUP($EK$2,Variables!$B$60:$F$61,2,FALSE)</f>
        <v>0</v>
      </c>
      <c r="EO139" s="1223">
        <f>$G139*BT139*Variables!$B$53*HLOOKUP($EK$2,Variables!$B$60:$F$61,2,FALSE)</f>
        <v>0</v>
      </c>
      <c r="EP139" s="1223">
        <f>$G139*BU139*Variables!$B$53*HLOOKUP($EK$2,Variables!$B$60:$F$61,2,FALSE)</f>
        <v>0</v>
      </c>
      <c r="EQ139" s="1223">
        <f>$G139*BV139*Variables!$B$53*HLOOKUP($EK$2,Variables!$B$60:$F$61,2,FALSE)</f>
        <v>0</v>
      </c>
      <c r="ER139" s="1223">
        <f>$G139*BW139*Variables!$B$53*HLOOKUP($EK$2,Variables!$B$60:$F$61,2,FALSE)</f>
        <v>0</v>
      </c>
      <c r="ES139" s="1223">
        <f>$G139*BX139*Variables!$B$53*HLOOKUP($EK$2,Variables!$B$60:$F$61,2,FALSE)</f>
        <v>0</v>
      </c>
      <c r="ET139" s="1223">
        <f>$G139*BY139*Variables!$B$53*HLOOKUP($EK$2,Variables!$B$60:$F$61,2,FALSE)</f>
        <v>0</v>
      </c>
      <c r="EU139" s="1223">
        <f>$G139*BZ139*Variables!$B$53*HLOOKUP($EK$2,Variables!$B$60:$F$61,2,FALSE)</f>
        <v>0</v>
      </c>
      <c r="EV139" s="1225">
        <f>$G139*CA139*Variables!$B$53*HLOOKUP($EK$2,Variables!$B$60:$F$61,2,FALSE)</f>
        <v>0</v>
      </c>
      <c r="EW139" s="872">
        <f t="shared" ref="EW139:EW152" si="23">SUM(CC139:EV139)</f>
        <v>0</v>
      </c>
      <c r="EX139" s="872"/>
      <c r="EY139" s="872"/>
      <c r="EZ139" s="872"/>
      <c r="FA139" s="1332"/>
      <c r="FC139" s="958" t="str">
        <f t="shared" si="19"/>
        <v/>
      </c>
      <c r="FD139" s="959" t="str">
        <f t="shared" si="20"/>
        <v/>
      </c>
      <c r="FE139" s="959" t="s">
        <v>8407</v>
      </c>
      <c r="FF139" s="959" t="str">
        <f>IF(ISNA(VLOOKUP(FC139,Miscellaneous!E:F,2,0)),"",VLOOKUP(FC139,Miscellaneous!E:F,2,0))</f>
        <v/>
      </c>
      <c r="FG139" s="959" t="str">
        <f t="shared" si="21"/>
        <v/>
      </c>
      <c r="FH139" s="996">
        <f>IF($FG139="Opex",SUMIF('Monthly Summary'!$C$75:$N$75,"",CC139:CN139),SUMIF('Monthly Summary'!$C$74:$N$74,"",CC139:CN139))</f>
        <v>0</v>
      </c>
      <c r="FI139" s="996">
        <f>IF($FG139="Opex",SUMIF('Monthly Summary'!$O$75:$Z$75,"",CO139:CZ139),SUMIF('Monthly Summary'!$O$74:$Z$74,"",CO139:CZ139))</f>
        <v>0</v>
      </c>
      <c r="FJ139" s="996">
        <f>IF($FG139="Opex",SUMIF('Monthly Summary'!$AA$75:$AL$75,"",DA139:DL139),SUMIF('Monthly Summary'!$AA$74:$AL$74,"",DA139:DL139))</f>
        <v>0</v>
      </c>
      <c r="FK139" s="996">
        <f>IF($FG139="Opex",SUMIF('Monthly Summary'!$AM$75:$AX$75,"",DM139:DX139),SUMIF('Monthly Summary'!$AM$74:$AX$74,"",DM139:DX139))</f>
        <v>0</v>
      </c>
      <c r="FL139" s="996">
        <f>IF($FG139="Opex",SUMIF('Monthly Summary'!$AY$75:$BJ$75,"",DY139:EJ139),SUMIF('Monthly Summary'!$AY$74:$BJ$74,"",DY139:EJ139))</f>
        <v>0</v>
      </c>
      <c r="FM139" s="997">
        <f>IF($FG139="Opex",SUMIF('Monthly Summary'!$BK$75:$BV$75,"",EK139:EV139),SUMIF('Monthly Summary'!$BK$74:$BV$74,"",EK139:EV139))</f>
        <v>0</v>
      </c>
      <c r="FN139" s="997">
        <f t="shared" si="22"/>
        <v>0</v>
      </c>
    </row>
    <row r="140" spans="3:170">
      <c r="C140" s="757"/>
      <c r="D140" s="757"/>
      <c r="E140" s="758"/>
      <c r="F140" s="758"/>
      <c r="G140" s="758"/>
      <c r="H140" s="1215"/>
      <c r="I140" s="761"/>
      <c r="J140" s="761"/>
      <c r="K140" s="761"/>
      <c r="L140" s="761"/>
      <c r="M140" s="761"/>
      <c r="N140" s="761"/>
      <c r="O140" s="761"/>
      <c r="P140" s="761"/>
      <c r="Q140" s="761"/>
      <c r="R140" s="761"/>
      <c r="S140" s="1216"/>
      <c r="T140" s="1215"/>
      <c r="U140" s="761"/>
      <c r="V140" s="761"/>
      <c r="W140" s="761"/>
      <c r="X140" s="761"/>
      <c r="Y140" s="761"/>
      <c r="Z140" s="761"/>
      <c r="AA140" s="761"/>
      <c r="AB140" s="761"/>
      <c r="AC140" s="761"/>
      <c r="AD140" s="761"/>
      <c r="AE140" s="1216"/>
      <c r="AF140" s="1215"/>
      <c r="AG140" s="761"/>
      <c r="AH140" s="761"/>
      <c r="AI140" s="761"/>
      <c r="AJ140" s="761"/>
      <c r="AK140" s="761"/>
      <c r="AL140" s="761"/>
      <c r="AM140" s="761"/>
      <c r="AN140" s="761"/>
      <c r="AO140" s="761"/>
      <c r="AP140" s="761"/>
      <c r="AQ140" s="1216"/>
      <c r="AR140" s="1215"/>
      <c r="AS140" s="761"/>
      <c r="AT140" s="761"/>
      <c r="AU140" s="761"/>
      <c r="AV140" s="761"/>
      <c r="AW140" s="761"/>
      <c r="AX140" s="761"/>
      <c r="AY140" s="761"/>
      <c r="AZ140" s="761"/>
      <c r="BA140" s="761"/>
      <c r="BB140" s="761"/>
      <c r="BC140" s="1216"/>
      <c r="BD140" s="1215"/>
      <c r="BE140" s="761"/>
      <c r="BF140" s="761"/>
      <c r="BG140" s="761"/>
      <c r="BH140" s="761"/>
      <c r="BI140" s="761"/>
      <c r="BJ140" s="761"/>
      <c r="BK140" s="761"/>
      <c r="BL140" s="761"/>
      <c r="BM140" s="761"/>
      <c r="BN140" s="761"/>
      <c r="BO140" s="1216"/>
      <c r="BP140" s="1215"/>
      <c r="BQ140" s="761"/>
      <c r="BR140" s="761"/>
      <c r="BS140" s="761"/>
      <c r="BT140" s="761"/>
      <c r="BU140" s="761"/>
      <c r="BV140" s="761"/>
      <c r="BW140" s="761"/>
      <c r="BX140" s="761"/>
      <c r="BY140" s="761"/>
      <c r="BZ140" s="761"/>
      <c r="CA140" s="1216"/>
      <c r="CB140" s="747"/>
      <c r="CC140" s="1222">
        <f>$G140*H140*Variables!$B$53</f>
        <v>0</v>
      </c>
      <c r="CD140" s="1223">
        <f>$G140*I140*Variables!$B$53</f>
        <v>0</v>
      </c>
      <c r="CE140" s="1223">
        <f>$G140*J140*Variables!$B$53</f>
        <v>0</v>
      </c>
      <c r="CF140" s="1223">
        <f>$G140*K140*Variables!$B$53</f>
        <v>0</v>
      </c>
      <c r="CG140" s="1223">
        <f>$G140*L140*Variables!$B$53</f>
        <v>0</v>
      </c>
      <c r="CH140" s="1223">
        <f>$G140*M140*Variables!$B$53</f>
        <v>0</v>
      </c>
      <c r="CI140" s="1223">
        <f>$G140*N140*Variables!$B$53</f>
        <v>0</v>
      </c>
      <c r="CJ140" s="1223">
        <f>$G140*O140*Variables!$B$53</f>
        <v>0</v>
      </c>
      <c r="CK140" s="1223">
        <f>$G140*P140*Variables!$B$53</f>
        <v>0</v>
      </c>
      <c r="CL140" s="1223">
        <f>$G140*Q140*Variables!$B$53</f>
        <v>0</v>
      </c>
      <c r="CM140" s="1223">
        <f>$G140*R140*Variables!$B$53</f>
        <v>0</v>
      </c>
      <c r="CN140" s="1225">
        <f>$G140*S140*Variables!$B$53</f>
        <v>0</v>
      </c>
      <c r="CO140" s="1222">
        <f>$G140*T140*Variables!$B$53*HLOOKUP($CO$2,Variables!$B$60:$F$61,2,FALSE)</f>
        <v>0</v>
      </c>
      <c r="CP140" s="1223">
        <f>$G140*U140*Variables!$B$53*HLOOKUP($CO$2,Variables!$B$60:$F$61,2,FALSE)</f>
        <v>0</v>
      </c>
      <c r="CQ140" s="1223">
        <f>$G140*V140*Variables!$B$53*HLOOKUP($CO$2,Variables!$B$60:$F$61,2,FALSE)</f>
        <v>0</v>
      </c>
      <c r="CR140" s="1223">
        <f>$G140*W140*Variables!$B$53*HLOOKUP($CO$2,Variables!$B$60:$F$61,2,FALSE)</f>
        <v>0</v>
      </c>
      <c r="CS140" s="1223">
        <f>$G140*X140*Variables!$B$53*HLOOKUP($CO$2,Variables!$B$60:$F$61,2,FALSE)</f>
        <v>0</v>
      </c>
      <c r="CT140" s="1223">
        <f>$G140*Y140*Variables!$B$53*HLOOKUP($CO$2,Variables!$B$60:$F$61,2,FALSE)</f>
        <v>0</v>
      </c>
      <c r="CU140" s="1223">
        <f>$G140*Z140*Variables!$B$53*HLOOKUP($CO$2,Variables!$B$60:$F$61,2,FALSE)</f>
        <v>0</v>
      </c>
      <c r="CV140" s="1223">
        <f>$G140*AA140*Variables!$B$53*HLOOKUP($CO$2,Variables!$B$60:$F$61,2,FALSE)</f>
        <v>0</v>
      </c>
      <c r="CW140" s="1223">
        <f>$G140*AB140*Variables!$B$53*HLOOKUP($CO$2,Variables!$B$60:$F$61,2,FALSE)</f>
        <v>0</v>
      </c>
      <c r="CX140" s="1223">
        <f>$G140*AC140*Variables!$B$53*HLOOKUP($CO$2,Variables!$B$60:$F$61,2,FALSE)</f>
        <v>0</v>
      </c>
      <c r="CY140" s="1223">
        <f>$G140*AD140*Variables!$B$53*HLOOKUP($CO$2,Variables!$B$60:$F$61,2,FALSE)</f>
        <v>0</v>
      </c>
      <c r="CZ140" s="1225">
        <f>$G140*AE140*Variables!$B$53*HLOOKUP($CO$2,Variables!$B$60:$F$61,2,FALSE)</f>
        <v>0</v>
      </c>
      <c r="DA140" s="1222">
        <f>$G140*AF140*Variables!$B$53*HLOOKUP($DA$2,Variables!$B$60:$F$61,2,FALSE)</f>
        <v>0</v>
      </c>
      <c r="DB140" s="1223">
        <f>$G140*AG140*Variables!$B$53*HLOOKUP($DA$2,Variables!$B$60:$F$61,2,FALSE)</f>
        <v>0</v>
      </c>
      <c r="DC140" s="1223">
        <f>$G140*AH140*Variables!$B$53*HLOOKUP($DA$2,Variables!$B$60:$F$61,2,FALSE)</f>
        <v>0</v>
      </c>
      <c r="DD140" s="1223">
        <f>$G140*AI140*Variables!$B$53*HLOOKUP($DA$2,Variables!$B$60:$F$61,2,FALSE)</f>
        <v>0</v>
      </c>
      <c r="DE140" s="1223">
        <f>$G140*AJ140*Variables!$B$53*HLOOKUP($DA$2,Variables!$B$60:$F$61,2,FALSE)</f>
        <v>0</v>
      </c>
      <c r="DF140" s="1223">
        <f>$G140*AK140*Variables!$B$53*HLOOKUP($DA$2,Variables!$B$60:$F$61,2,FALSE)</f>
        <v>0</v>
      </c>
      <c r="DG140" s="1223">
        <f>$G140*AL140*Variables!$B$53*HLOOKUP($DA$2,Variables!$B$60:$F$61,2,FALSE)</f>
        <v>0</v>
      </c>
      <c r="DH140" s="1223">
        <f>$G140*AM140*Variables!$B$53*HLOOKUP($DA$2,Variables!$B$60:$F$61,2,FALSE)</f>
        <v>0</v>
      </c>
      <c r="DI140" s="1223">
        <f>$G140*AN140*Variables!$B$53*HLOOKUP($DA$2,Variables!$B$60:$F$61,2,FALSE)</f>
        <v>0</v>
      </c>
      <c r="DJ140" s="1223">
        <f>$G140*AO140*Variables!$B$53*HLOOKUP($DA$2,Variables!$B$60:$F$61,2,FALSE)</f>
        <v>0</v>
      </c>
      <c r="DK140" s="1223">
        <f>$G140*AP140*Variables!$B$53*HLOOKUP($DA$2,Variables!$B$60:$F$61,2,FALSE)</f>
        <v>0</v>
      </c>
      <c r="DL140" s="1225">
        <f>$G140*AQ140*Variables!$B$53*HLOOKUP($DA$2,Variables!$B$60:$F$61,2,FALSE)</f>
        <v>0</v>
      </c>
      <c r="DM140" s="1222">
        <f>$G140*AR140*Variables!$B$53*HLOOKUP($DM$2,Variables!$B$60:$F$61,2,FALSE)</f>
        <v>0</v>
      </c>
      <c r="DN140" s="1223">
        <f>$G140*AS140*Variables!$B$53*HLOOKUP($DM$2,Variables!$B$60:$F$61,2,FALSE)</f>
        <v>0</v>
      </c>
      <c r="DO140" s="1223">
        <f>$G140*AT140*Variables!$B$53*HLOOKUP($DM$2,Variables!$B$60:$F$61,2,FALSE)</f>
        <v>0</v>
      </c>
      <c r="DP140" s="1223">
        <f>$G140*AU140*Variables!$B$53*HLOOKUP($DM$2,Variables!$B$60:$F$61,2,FALSE)</f>
        <v>0</v>
      </c>
      <c r="DQ140" s="1223">
        <f>$G140*AV140*Variables!$B$53*HLOOKUP($DM$2,Variables!$B$60:$F$61,2,FALSE)</f>
        <v>0</v>
      </c>
      <c r="DR140" s="1223">
        <f>$G140*AW140*Variables!$B$53*HLOOKUP($DM$2,Variables!$B$60:$F$61,2,FALSE)</f>
        <v>0</v>
      </c>
      <c r="DS140" s="1223">
        <f>$G140*AX140*Variables!$B$53*HLOOKUP($DM$2,Variables!$B$60:$F$61,2,FALSE)</f>
        <v>0</v>
      </c>
      <c r="DT140" s="1223">
        <f>$G140*AY140*Variables!$B$53*HLOOKUP($DM$2,Variables!$B$60:$F$61,2,FALSE)</f>
        <v>0</v>
      </c>
      <c r="DU140" s="1223">
        <f>$G140*AZ140*Variables!$B$53*HLOOKUP($DM$2,Variables!$B$60:$F$61,2,FALSE)</f>
        <v>0</v>
      </c>
      <c r="DV140" s="1223">
        <f>$G140*BA140*Variables!$B$53*HLOOKUP($DM$2,Variables!$B$60:$F$61,2,FALSE)</f>
        <v>0</v>
      </c>
      <c r="DW140" s="1223">
        <f>$G140*BB140*Variables!$B$53*HLOOKUP($DM$2,Variables!$B$60:$F$61,2,FALSE)</f>
        <v>0</v>
      </c>
      <c r="DX140" s="1225">
        <f>$G140*BC140*Variables!$B$53*HLOOKUP($DM$2,Variables!$B$60:$F$61,2,FALSE)</f>
        <v>0</v>
      </c>
      <c r="DY140" s="1222">
        <f>$G140*BD140*Variables!$B$53*HLOOKUP($DY$2,Variables!$B$60:$F$61,2,FALSE)</f>
        <v>0</v>
      </c>
      <c r="DZ140" s="1223">
        <f>$G140*BE140*Variables!$B$53*HLOOKUP($DY$2,Variables!$B$60:$F$61,2,FALSE)</f>
        <v>0</v>
      </c>
      <c r="EA140" s="1223">
        <f>$G140*BF140*Variables!$B$53*HLOOKUP($DY$2,Variables!$B$60:$F$61,2,FALSE)</f>
        <v>0</v>
      </c>
      <c r="EB140" s="1223">
        <f>$G140*BG140*Variables!$B$53*HLOOKUP($DY$2,Variables!$B$60:$F$61,2,FALSE)</f>
        <v>0</v>
      </c>
      <c r="EC140" s="1223">
        <f>$G140*BH140*Variables!$B$53*HLOOKUP($DY$2,Variables!$B$60:$F$61,2,FALSE)</f>
        <v>0</v>
      </c>
      <c r="ED140" s="1223">
        <f>$G140*BI140*Variables!$B$53*HLOOKUP($DY$2,Variables!$B$60:$F$61,2,FALSE)</f>
        <v>0</v>
      </c>
      <c r="EE140" s="1223">
        <f>$G140*BJ140*Variables!$B$53*HLOOKUP($DY$2,Variables!$B$60:$F$61,2,FALSE)</f>
        <v>0</v>
      </c>
      <c r="EF140" s="1223">
        <f>$G140*BK140*Variables!$B$53*HLOOKUP($DY$2,Variables!$B$60:$F$61,2,FALSE)</f>
        <v>0</v>
      </c>
      <c r="EG140" s="1223">
        <f>$G140*BL140*Variables!$B$53*HLOOKUP($DY$2,Variables!$B$60:$F$61,2,FALSE)</f>
        <v>0</v>
      </c>
      <c r="EH140" s="1223">
        <f>$G140*BM140*Variables!$B$53*HLOOKUP($DY$2,Variables!$B$60:$F$61,2,FALSE)</f>
        <v>0</v>
      </c>
      <c r="EI140" s="1223">
        <f>$G140*BN140*Variables!$B$53*HLOOKUP($DY$2,Variables!$B$60:$F$61,2,FALSE)</f>
        <v>0</v>
      </c>
      <c r="EJ140" s="1225">
        <f>$G140*BO140*Variables!$B$53*HLOOKUP($DY$2,Variables!$B$60:$F$61,2,FALSE)</f>
        <v>0</v>
      </c>
      <c r="EK140" s="1222">
        <f>$G140*BP140*Variables!$B$53*HLOOKUP($EK$2,Variables!$B$60:$F$61,2,FALSE)</f>
        <v>0</v>
      </c>
      <c r="EL140" s="1223">
        <f>$G140*BQ140*Variables!$B$53*HLOOKUP($EK$2,Variables!$B$60:$F$61,2,FALSE)</f>
        <v>0</v>
      </c>
      <c r="EM140" s="1223">
        <f>$G140*BR140*Variables!$B$53*HLOOKUP($EK$2,Variables!$B$60:$F$61,2,FALSE)</f>
        <v>0</v>
      </c>
      <c r="EN140" s="1223">
        <f>$G140*BS140*Variables!$B$53*HLOOKUP($EK$2,Variables!$B$60:$F$61,2,FALSE)</f>
        <v>0</v>
      </c>
      <c r="EO140" s="1223">
        <f>$G140*BT140*Variables!$B$53*HLOOKUP($EK$2,Variables!$B$60:$F$61,2,FALSE)</f>
        <v>0</v>
      </c>
      <c r="EP140" s="1223">
        <f>$G140*BU140*Variables!$B$53*HLOOKUP($EK$2,Variables!$B$60:$F$61,2,FALSE)</f>
        <v>0</v>
      </c>
      <c r="EQ140" s="1223">
        <f>$G140*BV140*Variables!$B$53*HLOOKUP($EK$2,Variables!$B$60:$F$61,2,FALSE)</f>
        <v>0</v>
      </c>
      <c r="ER140" s="1223">
        <f>$G140*BW140*Variables!$B$53*HLOOKUP($EK$2,Variables!$B$60:$F$61,2,FALSE)</f>
        <v>0</v>
      </c>
      <c r="ES140" s="1223">
        <f>$G140*BX140*Variables!$B$53*HLOOKUP($EK$2,Variables!$B$60:$F$61,2,FALSE)</f>
        <v>0</v>
      </c>
      <c r="ET140" s="1223">
        <f>$G140*BY140*Variables!$B$53*HLOOKUP($EK$2,Variables!$B$60:$F$61,2,FALSE)</f>
        <v>0</v>
      </c>
      <c r="EU140" s="1223">
        <f>$G140*BZ140*Variables!$B$53*HLOOKUP($EK$2,Variables!$B$60:$F$61,2,FALSE)</f>
        <v>0</v>
      </c>
      <c r="EV140" s="1225">
        <f>$G140*CA140*Variables!$B$53*HLOOKUP($EK$2,Variables!$B$60:$F$61,2,FALSE)</f>
        <v>0</v>
      </c>
      <c r="EW140" s="872">
        <f t="shared" si="23"/>
        <v>0</v>
      </c>
      <c r="EX140" s="872"/>
      <c r="EY140" s="872"/>
      <c r="EZ140" s="872"/>
      <c r="FA140" s="1332"/>
      <c r="FC140" s="958" t="str">
        <f t="shared" si="19"/>
        <v/>
      </c>
      <c r="FD140" s="959" t="str">
        <f t="shared" si="20"/>
        <v/>
      </c>
      <c r="FE140" s="959" t="s">
        <v>8407</v>
      </c>
      <c r="FF140" s="959" t="str">
        <f>IF(ISNA(VLOOKUP(FC140,Miscellaneous!E:F,2,0)),"",VLOOKUP(FC140,Miscellaneous!E:F,2,0))</f>
        <v/>
      </c>
      <c r="FG140" s="959" t="str">
        <f t="shared" si="21"/>
        <v/>
      </c>
      <c r="FH140" s="996">
        <f>IF($FG140="Opex",SUMIF('Monthly Summary'!$C$75:$N$75,"",CC140:CN140),SUMIF('Monthly Summary'!$C$74:$N$74,"",CC140:CN140))</f>
        <v>0</v>
      </c>
      <c r="FI140" s="996">
        <f>IF($FG140="Opex",SUMIF('Monthly Summary'!$O$75:$Z$75,"",CO140:CZ140),SUMIF('Monthly Summary'!$O$74:$Z$74,"",CO140:CZ140))</f>
        <v>0</v>
      </c>
      <c r="FJ140" s="996">
        <f>IF($FG140="Opex",SUMIF('Monthly Summary'!$AA$75:$AL$75,"",DA140:DL140),SUMIF('Monthly Summary'!$AA$74:$AL$74,"",DA140:DL140))</f>
        <v>0</v>
      </c>
      <c r="FK140" s="996">
        <f>IF($FG140="Opex",SUMIF('Monthly Summary'!$AM$75:$AX$75,"",DM140:DX140),SUMIF('Monthly Summary'!$AM$74:$AX$74,"",DM140:DX140))</f>
        <v>0</v>
      </c>
      <c r="FL140" s="996">
        <f>IF($FG140="Opex",SUMIF('Monthly Summary'!$AY$75:$BJ$75,"",DY140:EJ140),SUMIF('Monthly Summary'!$AY$74:$BJ$74,"",DY140:EJ140))</f>
        <v>0</v>
      </c>
      <c r="FM140" s="997">
        <f>IF($FG140="Opex",SUMIF('Monthly Summary'!$BK$75:$BV$75,"",EK140:EV140),SUMIF('Monthly Summary'!$BK$74:$BV$74,"",EK140:EV140))</f>
        <v>0</v>
      </c>
      <c r="FN140" s="997">
        <f t="shared" si="22"/>
        <v>0</v>
      </c>
    </row>
    <row r="141" spans="3:170">
      <c r="C141" s="757"/>
      <c r="D141" s="757"/>
      <c r="E141" s="758"/>
      <c r="F141" s="758"/>
      <c r="G141" s="758"/>
      <c r="H141" s="1215"/>
      <c r="I141" s="761"/>
      <c r="J141" s="761"/>
      <c r="K141" s="761"/>
      <c r="L141" s="761"/>
      <c r="M141" s="761"/>
      <c r="N141" s="761"/>
      <c r="O141" s="761"/>
      <c r="P141" s="761"/>
      <c r="Q141" s="761"/>
      <c r="R141" s="761"/>
      <c r="S141" s="1216"/>
      <c r="T141" s="1215"/>
      <c r="U141" s="761"/>
      <c r="V141" s="761"/>
      <c r="W141" s="761"/>
      <c r="X141" s="761"/>
      <c r="Y141" s="761"/>
      <c r="Z141" s="761"/>
      <c r="AA141" s="761"/>
      <c r="AB141" s="761"/>
      <c r="AC141" s="761"/>
      <c r="AD141" s="761"/>
      <c r="AE141" s="1216"/>
      <c r="AF141" s="1215"/>
      <c r="AG141" s="761"/>
      <c r="AH141" s="761"/>
      <c r="AI141" s="761"/>
      <c r="AJ141" s="761"/>
      <c r="AK141" s="761"/>
      <c r="AL141" s="761"/>
      <c r="AM141" s="761"/>
      <c r="AN141" s="761"/>
      <c r="AO141" s="761"/>
      <c r="AP141" s="761"/>
      <c r="AQ141" s="1216"/>
      <c r="AR141" s="1215"/>
      <c r="AS141" s="761"/>
      <c r="AT141" s="761"/>
      <c r="AU141" s="761"/>
      <c r="AV141" s="761"/>
      <c r="AW141" s="761"/>
      <c r="AX141" s="761"/>
      <c r="AY141" s="761"/>
      <c r="AZ141" s="761"/>
      <c r="BA141" s="761"/>
      <c r="BB141" s="761"/>
      <c r="BC141" s="1216"/>
      <c r="BD141" s="1215"/>
      <c r="BE141" s="761"/>
      <c r="BF141" s="761"/>
      <c r="BG141" s="761"/>
      <c r="BH141" s="761"/>
      <c r="BI141" s="761"/>
      <c r="BJ141" s="761"/>
      <c r="BK141" s="761"/>
      <c r="BL141" s="761"/>
      <c r="BM141" s="761"/>
      <c r="BN141" s="761"/>
      <c r="BO141" s="1216"/>
      <c r="BP141" s="1215"/>
      <c r="BQ141" s="761"/>
      <c r="BR141" s="761"/>
      <c r="BS141" s="761"/>
      <c r="BT141" s="761"/>
      <c r="BU141" s="761"/>
      <c r="BV141" s="761"/>
      <c r="BW141" s="761"/>
      <c r="BX141" s="761"/>
      <c r="BY141" s="761"/>
      <c r="BZ141" s="761"/>
      <c r="CA141" s="1216"/>
      <c r="CB141" s="747"/>
      <c r="CC141" s="1222">
        <f>$G141*H141*Variables!$B$53</f>
        <v>0</v>
      </c>
      <c r="CD141" s="1223">
        <f>$G141*I141*Variables!$B$53</f>
        <v>0</v>
      </c>
      <c r="CE141" s="1223">
        <f>$G141*J141*Variables!$B$53</f>
        <v>0</v>
      </c>
      <c r="CF141" s="1223">
        <f>$G141*K141*Variables!$B$53</f>
        <v>0</v>
      </c>
      <c r="CG141" s="1223">
        <f>$G141*L141*Variables!$B$53</f>
        <v>0</v>
      </c>
      <c r="CH141" s="1223">
        <f>$G141*M141*Variables!$B$53</f>
        <v>0</v>
      </c>
      <c r="CI141" s="1223">
        <f>$G141*N141*Variables!$B$53</f>
        <v>0</v>
      </c>
      <c r="CJ141" s="1223">
        <f>$G141*O141*Variables!$B$53</f>
        <v>0</v>
      </c>
      <c r="CK141" s="1223">
        <f>$G141*P141*Variables!$B$53</f>
        <v>0</v>
      </c>
      <c r="CL141" s="1223">
        <f>$G141*Q141*Variables!$B$53</f>
        <v>0</v>
      </c>
      <c r="CM141" s="1223">
        <f>$G141*R141*Variables!$B$53</f>
        <v>0</v>
      </c>
      <c r="CN141" s="1225">
        <f>$G141*S141*Variables!$B$53</f>
        <v>0</v>
      </c>
      <c r="CO141" s="1222">
        <f>$G141*T141*Variables!$B$53*HLOOKUP($CO$2,Variables!$B$60:$F$61,2,FALSE)</f>
        <v>0</v>
      </c>
      <c r="CP141" s="1223">
        <f>$G141*U141*Variables!$B$53*HLOOKUP($CO$2,Variables!$B$60:$F$61,2,FALSE)</f>
        <v>0</v>
      </c>
      <c r="CQ141" s="1223">
        <f>$G141*V141*Variables!$B$53*HLOOKUP($CO$2,Variables!$B$60:$F$61,2,FALSE)</f>
        <v>0</v>
      </c>
      <c r="CR141" s="1223">
        <f>$G141*W141*Variables!$B$53*HLOOKUP($CO$2,Variables!$B$60:$F$61,2,FALSE)</f>
        <v>0</v>
      </c>
      <c r="CS141" s="1223">
        <f>$G141*X141*Variables!$B$53*HLOOKUP($CO$2,Variables!$B$60:$F$61,2,FALSE)</f>
        <v>0</v>
      </c>
      <c r="CT141" s="1223">
        <f>$G141*Y141*Variables!$B$53*HLOOKUP($CO$2,Variables!$B$60:$F$61,2,FALSE)</f>
        <v>0</v>
      </c>
      <c r="CU141" s="1223">
        <f>$G141*Z141*Variables!$B$53*HLOOKUP($CO$2,Variables!$B$60:$F$61,2,FALSE)</f>
        <v>0</v>
      </c>
      <c r="CV141" s="1223">
        <f>$G141*AA141*Variables!$B$53*HLOOKUP($CO$2,Variables!$B$60:$F$61,2,FALSE)</f>
        <v>0</v>
      </c>
      <c r="CW141" s="1223">
        <f>$G141*AB141*Variables!$B$53*HLOOKUP($CO$2,Variables!$B$60:$F$61,2,FALSE)</f>
        <v>0</v>
      </c>
      <c r="CX141" s="1223">
        <f>$G141*AC141*Variables!$B$53*HLOOKUP($CO$2,Variables!$B$60:$F$61,2,FALSE)</f>
        <v>0</v>
      </c>
      <c r="CY141" s="1223">
        <f>$G141*AD141*Variables!$B$53*HLOOKUP($CO$2,Variables!$B$60:$F$61,2,FALSE)</f>
        <v>0</v>
      </c>
      <c r="CZ141" s="1225">
        <f>$G141*AE141*Variables!$B$53*HLOOKUP($CO$2,Variables!$B$60:$F$61,2,FALSE)</f>
        <v>0</v>
      </c>
      <c r="DA141" s="1222">
        <f>$G141*AF141*Variables!$B$53*HLOOKUP($DA$2,Variables!$B$60:$F$61,2,FALSE)</f>
        <v>0</v>
      </c>
      <c r="DB141" s="1223">
        <f>$G141*AG141*Variables!$B$53*HLOOKUP($DA$2,Variables!$B$60:$F$61,2,FALSE)</f>
        <v>0</v>
      </c>
      <c r="DC141" s="1223">
        <f>$G141*AH141*Variables!$B$53*HLOOKUP($DA$2,Variables!$B$60:$F$61,2,FALSE)</f>
        <v>0</v>
      </c>
      <c r="DD141" s="1223">
        <f>$G141*AI141*Variables!$B$53*HLOOKUP($DA$2,Variables!$B$60:$F$61,2,FALSE)</f>
        <v>0</v>
      </c>
      <c r="DE141" s="1223">
        <f>$G141*AJ141*Variables!$B$53*HLOOKUP($DA$2,Variables!$B$60:$F$61,2,FALSE)</f>
        <v>0</v>
      </c>
      <c r="DF141" s="1223">
        <f>$G141*AK141*Variables!$B$53*HLOOKUP($DA$2,Variables!$B$60:$F$61,2,FALSE)</f>
        <v>0</v>
      </c>
      <c r="DG141" s="1223">
        <f>$G141*AL141*Variables!$B$53*HLOOKUP($DA$2,Variables!$B$60:$F$61,2,FALSE)</f>
        <v>0</v>
      </c>
      <c r="DH141" s="1223">
        <f>$G141*AM141*Variables!$B$53*HLOOKUP($DA$2,Variables!$B$60:$F$61,2,FALSE)</f>
        <v>0</v>
      </c>
      <c r="DI141" s="1223">
        <f>$G141*AN141*Variables!$B$53*HLOOKUP($DA$2,Variables!$B$60:$F$61,2,FALSE)</f>
        <v>0</v>
      </c>
      <c r="DJ141" s="1223">
        <f>$G141*AO141*Variables!$B$53*HLOOKUP($DA$2,Variables!$B$60:$F$61,2,FALSE)</f>
        <v>0</v>
      </c>
      <c r="DK141" s="1223">
        <f>$G141*AP141*Variables!$B$53*HLOOKUP($DA$2,Variables!$B$60:$F$61,2,FALSE)</f>
        <v>0</v>
      </c>
      <c r="DL141" s="1225">
        <f>$G141*AQ141*Variables!$B$53*HLOOKUP($DA$2,Variables!$B$60:$F$61,2,FALSE)</f>
        <v>0</v>
      </c>
      <c r="DM141" s="1222">
        <f>$G141*AR141*Variables!$B$53*HLOOKUP($DM$2,Variables!$B$60:$F$61,2,FALSE)</f>
        <v>0</v>
      </c>
      <c r="DN141" s="1223">
        <f>$G141*AS141*Variables!$B$53*HLOOKUP($DM$2,Variables!$B$60:$F$61,2,FALSE)</f>
        <v>0</v>
      </c>
      <c r="DO141" s="1223">
        <f>$G141*AT141*Variables!$B$53*HLOOKUP($DM$2,Variables!$B$60:$F$61,2,FALSE)</f>
        <v>0</v>
      </c>
      <c r="DP141" s="1223">
        <f>$G141*AU141*Variables!$B$53*HLOOKUP($DM$2,Variables!$B$60:$F$61,2,FALSE)</f>
        <v>0</v>
      </c>
      <c r="DQ141" s="1223">
        <f>$G141*AV141*Variables!$B$53*HLOOKUP($DM$2,Variables!$B$60:$F$61,2,FALSE)</f>
        <v>0</v>
      </c>
      <c r="DR141" s="1223">
        <f>$G141*AW141*Variables!$B$53*HLOOKUP($DM$2,Variables!$B$60:$F$61,2,FALSE)</f>
        <v>0</v>
      </c>
      <c r="DS141" s="1223">
        <f>$G141*AX141*Variables!$B$53*HLOOKUP($DM$2,Variables!$B$60:$F$61,2,FALSE)</f>
        <v>0</v>
      </c>
      <c r="DT141" s="1223">
        <f>$G141*AY141*Variables!$B$53*HLOOKUP($DM$2,Variables!$B$60:$F$61,2,FALSE)</f>
        <v>0</v>
      </c>
      <c r="DU141" s="1223">
        <f>$G141*AZ141*Variables!$B$53*HLOOKUP($DM$2,Variables!$B$60:$F$61,2,FALSE)</f>
        <v>0</v>
      </c>
      <c r="DV141" s="1223">
        <f>$G141*BA141*Variables!$B$53*HLOOKUP($DM$2,Variables!$B$60:$F$61,2,FALSE)</f>
        <v>0</v>
      </c>
      <c r="DW141" s="1223">
        <f>$G141*BB141*Variables!$B$53*HLOOKUP($DM$2,Variables!$B$60:$F$61,2,FALSE)</f>
        <v>0</v>
      </c>
      <c r="DX141" s="1225">
        <f>$G141*BC141*Variables!$B$53*HLOOKUP($DM$2,Variables!$B$60:$F$61,2,FALSE)</f>
        <v>0</v>
      </c>
      <c r="DY141" s="1222">
        <f>$G141*BD141*Variables!$B$53*HLOOKUP($DY$2,Variables!$B$60:$F$61,2,FALSE)</f>
        <v>0</v>
      </c>
      <c r="DZ141" s="1223">
        <f>$G141*BE141*Variables!$B$53*HLOOKUP($DY$2,Variables!$B$60:$F$61,2,FALSE)</f>
        <v>0</v>
      </c>
      <c r="EA141" s="1223">
        <f>$G141*BF141*Variables!$B$53*HLOOKUP($DY$2,Variables!$B$60:$F$61,2,FALSE)</f>
        <v>0</v>
      </c>
      <c r="EB141" s="1223">
        <f>$G141*BG141*Variables!$B$53*HLOOKUP($DY$2,Variables!$B$60:$F$61,2,FALSE)</f>
        <v>0</v>
      </c>
      <c r="EC141" s="1223">
        <f>$G141*BH141*Variables!$B$53*HLOOKUP($DY$2,Variables!$B$60:$F$61,2,FALSE)</f>
        <v>0</v>
      </c>
      <c r="ED141" s="1223">
        <f>$G141*BI141*Variables!$B$53*HLOOKUP($DY$2,Variables!$B$60:$F$61,2,FALSE)</f>
        <v>0</v>
      </c>
      <c r="EE141" s="1223">
        <f>$G141*BJ141*Variables!$B$53*HLOOKUP($DY$2,Variables!$B$60:$F$61,2,FALSE)</f>
        <v>0</v>
      </c>
      <c r="EF141" s="1223">
        <f>$G141*BK141*Variables!$B$53*HLOOKUP($DY$2,Variables!$B$60:$F$61,2,FALSE)</f>
        <v>0</v>
      </c>
      <c r="EG141" s="1223">
        <f>$G141*BL141*Variables!$B$53*HLOOKUP($DY$2,Variables!$B$60:$F$61,2,FALSE)</f>
        <v>0</v>
      </c>
      <c r="EH141" s="1223">
        <f>$G141*BM141*Variables!$B$53*HLOOKUP($DY$2,Variables!$B$60:$F$61,2,FALSE)</f>
        <v>0</v>
      </c>
      <c r="EI141" s="1223">
        <f>$G141*BN141*Variables!$B$53*HLOOKUP($DY$2,Variables!$B$60:$F$61,2,FALSE)</f>
        <v>0</v>
      </c>
      <c r="EJ141" s="1225">
        <f>$G141*BO141*Variables!$B$53*HLOOKUP($DY$2,Variables!$B$60:$F$61,2,FALSE)</f>
        <v>0</v>
      </c>
      <c r="EK141" s="1222">
        <f>$G141*BP141*Variables!$B$53*HLOOKUP($EK$2,Variables!$B$60:$F$61,2,FALSE)</f>
        <v>0</v>
      </c>
      <c r="EL141" s="1223">
        <f>$G141*BQ141*Variables!$B$53*HLOOKUP($EK$2,Variables!$B$60:$F$61,2,FALSE)</f>
        <v>0</v>
      </c>
      <c r="EM141" s="1223">
        <f>$G141*BR141*Variables!$B$53*HLOOKUP($EK$2,Variables!$B$60:$F$61,2,FALSE)</f>
        <v>0</v>
      </c>
      <c r="EN141" s="1223">
        <f>$G141*BS141*Variables!$B$53*HLOOKUP($EK$2,Variables!$B$60:$F$61,2,FALSE)</f>
        <v>0</v>
      </c>
      <c r="EO141" s="1223">
        <f>$G141*BT141*Variables!$B$53*HLOOKUP($EK$2,Variables!$B$60:$F$61,2,FALSE)</f>
        <v>0</v>
      </c>
      <c r="EP141" s="1223">
        <f>$G141*BU141*Variables!$B$53*HLOOKUP($EK$2,Variables!$B$60:$F$61,2,FALSE)</f>
        <v>0</v>
      </c>
      <c r="EQ141" s="1223">
        <f>$G141*BV141*Variables!$B$53*HLOOKUP($EK$2,Variables!$B$60:$F$61,2,FALSE)</f>
        <v>0</v>
      </c>
      <c r="ER141" s="1223">
        <f>$G141*BW141*Variables!$B$53*HLOOKUP($EK$2,Variables!$B$60:$F$61,2,FALSE)</f>
        <v>0</v>
      </c>
      <c r="ES141" s="1223">
        <f>$G141*BX141*Variables!$B$53*HLOOKUP($EK$2,Variables!$B$60:$F$61,2,FALSE)</f>
        <v>0</v>
      </c>
      <c r="ET141" s="1223">
        <f>$G141*BY141*Variables!$B$53*HLOOKUP($EK$2,Variables!$B$60:$F$61,2,FALSE)</f>
        <v>0</v>
      </c>
      <c r="EU141" s="1223">
        <f>$G141*BZ141*Variables!$B$53*HLOOKUP($EK$2,Variables!$B$60:$F$61,2,FALSE)</f>
        <v>0</v>
      </c>
      <c r="EV141" s="1225">
        <f>$G141*CA141*Variables!$B$53*HLOOKUP($EK$2,Variables!$B$60:$F$61,2,FALSE)</f>
        <v>0</v>
      </c>
      <c r="EW141" s="872">
        <f t="shared" si="23"/>
        <v>0</v>
      </c>
      <c r="EX141" s="872"/>
      <c r="EY141" s="872"/>
      <c r="EZ141" s="872"/>
      <c r="FA141" s="1332"/>
      <c r="FC141" s="958" t="str">
        <f t="shared" si="19"/>
        <v/>
      </c>
      <c r="FD141" s="959" t="str">
        <f t="shared" si="20"/>
        <v/>
      </c>
      <c r="FE141" s="959" t="s">
        <v>8407</v>
      </c>
      <c r="FF141" s="959" t="str">
        <f>IF(ISNA(VLOOKUP(FC141,Miscellaneous!E:F,2,0)),"",VLOOKUP(FC141,Miscellaneous!E:F,2,0))</f>
        <v/>
      </c>
      <c r="FG141" s="959" t="str">
        <f t="shared" si="21"/>
        <v/>
      </c>
      <c r="FH141" s="996">
        <f>IF($FG141="Opex",SUMIF('Monthly Summary'!$C$75:$N$75,"",CC141:CN141),SUMIF('Monthly Summary'!$C$74:$N$74,"",CC141:CN141))</f>
        <v>0</v>
      </c>
      <c r="FI141" s="996">
        <f>IF($FG141="Opex",SUMIF('Monthly Summary'!$O$75:$Z$75,"",CO141:CZ141),SUMIF('Monthly Summary'!$O$74:$Z$74,"",CO141:CZ141))</f>
        <v>0</v>
      </c>
      <c r="FJ141" s="996">
        <f>IF($FG141="Opex",SUMIF('Monthly Summary'!$AA$75:$AL$75,"",DA141:DL141),SUMIF('Monthly Summary'!$AA$74:$AL$74,"",DA141:DL141))</f>
        <v>0</v>
      </c>
      <c r="FK141" s="996">
        <f>IF($FG141="Opex",SUMIF('Monthly Summary'!$AM$75:$AX$75,"",DM141:DX141),SUMIF('Monthly Summary'!$AM$74:$AX$74,"",DM141:DX141))</f>
        <v>0</v>
      </c>
      <c r="FL141" s="996">
        <f>IF($FG141="Opex",SUMIF('Monthly Summary'!$AY$75:$BJ$75,"",DY141:EJ141),SUMIF('Monthly Summary'!$AY$74:$BJ$74,"",DY141:EJ141))</f>
        <v>0</v>
      </c>
      <c r="FM141" s="997">
        <f>IF($FG141="Opex",SUMIF('Monthly Summary'!$BK$75:$BV$75,"",EK141:EV141),SUMIF('Monthly Summary'!$BK$74:$BV$74,"",EK141:EV141))</f>
        <v>0</v>
      </c>
      <c r="FN141" s="997">
        <f t="shared" si="22"/>
        <v>0</v>
      </c>
    </row>
    <row r="142" spans="3:170">
      <c r="C142" s="757"/>
      <c r="D142" s="757"/>
      <c r="E142" s="758"/>
      <c r="F142" s="758"/>
      <c r="G142" s="758"/>
      <c r="H142" s="1215"/>
      <c r="I142" s="761"/>
      <c r="J142" s="761"/>
      <c r="K142" s="761"/>
      <c r="L142" s="761"/>
      <c r="M142" s="761"/>
      <c r="N142" s="761"/>
      <c r="O142" s="761"/>
      <c r="P142" s="761"/>
      <c r="Q142" s="761"/>
      <c r="R142" s="761"/>
      <c r="S142" s="1216"/>
      <c r="T142" s="1215"/>
      <c r="U142" s="761"/>
      <c r="V142" s="761"/>
      <c r="W142" s="761"/>
      <c r="X142" s="761"/>
      <c r="Y142" s="761"/>
      <c r="Z142" s="761"/>
      <c r="AA142" s="761"/>
      <c r="AB142" s="761"/>
      <c r="AC142" s="761"/>
      <c r="AD142" s="761"/>
      <c r="AE142" s="1216"/>
      <c r="AF142" s="1215"/>
      <c r="AG142" s="761"/>
      <c r="AH142" s="761"/>
      <c r="AI142" s="761"/>
      <c r="AJ142" s="761"/>
      <c r="AK142" s="761"/>
      <c r="AL142" s="761"/>
      <c r="AM142" s="761"/>
      <c r="AN142" s="761"/>
      <c r="AO142" s="761"/>
      <c r="AP142" s="761"/>
      <c r="AQ142" s="1216"/>
      <c r="AR142" s="1215"/>
      <c r="AS142" s="761"/>
      <c r="AT142" s="761"/>
      <c r="AU142" s="761"/>
      <c r="AV142" s="761"/>
      <c r="AW142" s="761"/>
      <c r="AX142" s="761"/>
      <c r="AY142" s="761"/>
      <c r="AZ142" s="761"/>
      <c r="BA142" s="761"/>
      <c r="BB142" s="761"/>
      <c r="BC142" s="1216"/>
      <c r="BD142" s="1215"/>
      <c r="BE142" s="761"/>
      <c r="BF142" s="761"/>
      <c r="BG142" s="761"/>
      <c r="BH142" s="761"/>
      <c r="BI142" s="761"/>
      <c r="BJ142" s="761"/>
      <c r="BK142" s="761"/>
      <c r="BL142" s="761"/>
      <c r="BM142" s="761"/>
      <c r="BN142" s="761"/>
      <c r="BO142" s="1216"/>
      <c r="BP142" s="1215"/>
      <c r="BQ142" s="761"/>
      <c r="BR142" s="761"/>
      <c r="BS142" s="761"/>
      <c r="BT142" s="761"/>
      <c r="BU142" s="761"/>
      <c r="BV142" s="761"/>
      <c r="BW142" s="761"/>
      <c r="BX142" s="761"/>
      <c r="BY142" s="761"/>
      <c r="BZ142" s="761"/>
      <c r="CA142" s="1216"/>
      <c r="CB142" s="747"/>
      <c r="CC142" s="1222">
        <f>$G142*H142*Variables!$B$53</f>
        <v>0</v>
      </c>
      <c r="CD142" s="1223">
        <f>$G142*I142*Variables!$B$53</f>
        <v>0</v>
      </c>
      <c r="CE142" s="1223">
        <f>$G142*J142*Variables!$B$53</f>
        <v>0</v>
      </c>
      <c r="CF142" s="1223">
        <f>$G142*K142*Variables!$B$53</f>
        <v>0</v>
      </c>
      <c r="CG142" s="1223">
        <f>$G142*L142*Variables!$B$53</f>
        <v>0</v>
      </c>
      <c r="CH142" s="1223">
        <f>$G142*M142*Variables!$B$53</f>
        <v>0</v>
      </c>
      <c r="CI142" s="1223">
        <f>$G142*N142*Variables!$B$53</f>
        <v>0</v>
      </c>
      <c r="CJ142" s="1223">
        <f>$G142*O142*Variables!$B$53</f>
        <v>0</v>
      </c>
      <c r="CK142" s="1223">
        <f>$G142*P142*Variables!$B$53</f>
        <v>0</v>
      </c>
      <c r="CL142" s="1223">
        <f>$G142*Q142*Variables!$B$53</f>
        <v>0</v>
      </c>
      <c r="CM142" s="1223">
        <f>$G142*R142*Variables!$B$53</f>
        <v>0</v>
      </c>
      <c r="CN142" s="1225">
        <f>$G142*S142*Variables!$B$53</f>
        <v>0</v>
      </c>
      <c r="CO142" s="1222">
        <f>$G142*T142*Variables!$B$53*HLOOKUP($CO$2,Variables!$B$60:$F$61,2,FALSE)</f>
        <v>0</v>
      </c>
      <c r="CP142" s="1223">
        <f>$G142*U142*Variables!$B$53*HLOOKUP($CO$2,Variables!$B$60:$F$61,2,FALSE)</f>
        <v>0</v>
      </c>
      <c r="CQ142" s="1223">
        <f>$G142*V142*Variables!$B$53*HLOOKUP($CO$2,Variables!$B$60:$F$61,2,FALSE)</f>
        <v>0</v>
      </c>
      <c r="CR142" s="1223">
        <f>$G142*W142*Variables!$B$53*HLOOKUP($CO$2,Variables!$B$60:$F$61,2,FALSE)</f>
        <v>0</v>
      </c>
      <c r="CS142" s="1223">
        <f>$G142*X142*Variables!$B$53*HLOOKUP($CO$2,Variables!$B$60:$F$61,2,FALSE)</f>
        <v>0</v>
      </c>
      <c r="CT142" s="1223">
        <f>$G142*Y142*Variables!$B$53*HLOOKUP($CO$2,Variables!$B$60:$F$61,2,FALSE)</f>
        <v>0</v>
      </c>
      <c r="CU142" s="1223">
        <f>$G142*Z142*Variables!$B$53*HLOOKUP($CO$2,Variables!$B$60:$F$61,2,FALSE)</f>
        <v>0</v>
      </c>
      <c r="CV142" s="1223">
        <f>$G142*AA142*Variables!$B$53*HLOOKUP($CO$2,Variables!$B$60:$F$61,2,FALSE)</f>
        <v>0</v>
      </c>
      <c r="CW142" s="1223">
        <f>$G142*AB142*Variables!$B$53*HLOOKUP($CO$2,Variables!$B$60:$F$61,2,FALSE)</f>
        <v>0</v>
      </c>
      <c r="CX142" s="1223">
        <f>$G142*AC142*Variables!$B$53*HLOOKUP($CO$2,Variables!$B$60:$F$61,2,FALSE)</f>
        <v>0</v>
      </c>
      <c r="CY142" s="1223">
        <f>$G142*AD142*Variables!$B$53*HLOOKUP($CO$2,Variables!$B$60:$F$61,2,FALSE)</f>
        <v>0</v>
      </c>
      <c r="CZ142" s="1225">
        <f>$G142*AE142*Variables!$B$53*HLOOKUP($CO$2,Variables!$B$60:$F$61,2,FALSE)</f>
        <v>0</v>
      </c>
      <c r="DA142" s="1222">
        <f>$G142*AF142*Variables!$B$53*HLOOKUP($DA$2,Variables!$B$60:$F$61,2,FALSE)</f>
        <v>0</v>
      </c>
      <c r="DB142" s="1223">
        <f>$G142*AG142*Variables!$B$53*HLOOKUP($DA$2,Variables!$B$60:$F$61,2,FALSE)</f>
        <v>0</v>
      </c>
      <c r="DC142" s="1223">
        <f>$G142*AH142*Variables!$B$53*HLOOKUP($DA$2,Variables!$B$60:$F$61,2,FALSE)</f>
        <v>0</v>
      </c>
      <c r="DD142" s="1223">
        <f>$G142*AI142*Variables!$B$53*HLOOKUP($DA$2,Variables!$B$60:$F$61,2,FALSE)</f>
        <v>0</v>
      </c>
      <c r="DE142" s="1223">
        <f>$G142*AJ142*Variables!$B$53*HLOOKUP($DA$2,Variables!$B$60:$F$61,2,FALSE)</f>
        <v>0</v>
      </c>
      <c r="DF142" s="1223">
        <f>$G142*AK142*Variables!$B$53*HLOOKUP($DA$2,Variables!$B$60:$F$61,2,FALSE)</f>
        <v>0</v>
      </c>
      <c r="DG142" s="1223">
        <f>$G142*AL142*Variables!$B$53*HLOOKUP($DA$2,Variables!$B$60:$F$61,2,FALSE)</f>
        <v>0</v>
      </c>
      <c r="DH142" s="1223">
        <f>$G142*AM142*Variables!$B$53*HLOOKUP($DA$2,Variables!$B$60:$F$61,2,FALSE)</f>
        <v>0</v>
      </c>
      <c r="DI142" s="1223">
        <f>$G142*AN142*Variables!$B$53*HLOOKUP($DA$2,Variables!$B$60:$F$61,2,FALSE)</f>
        <v>0</v>
      </c>
      <c r="DJ142" s="1223">
        <f>$G142*AO142*Variables!$B$53*HLOOKUP($DA$2,Variables!$B$60:$F$61,2,FALSE)</f>
        <v>0</v>
      </c>
      <c r="DK142" s="1223">
        <f>$G142*AP142*Variables!$B$53*HLOOKUP($DA$2,Variables!$B$60:$F$61,2,FALSE)</f>
        <v>0</v>
      </c>
      <c r="DL142" s="1225">
        <f>$G142*AQ142*Variables!$B$53*HLOOKUP($DA$2,Variables!$B$60:$F$61,2,FALSE)</f>
        <v>0</v>
      </c>
      <c r="DM142" s="1222">
        <f>$G142*AR142*Variables!$B$53*HLOOKUP($DM$2,Variables!$B$60:$F$61,2,FALSE)</f>
        <v>0</v>
      </c>
      <c r="DN142" s="1223">
        <f>$G142*AS142*Variables!$B$53*HLOOKUP($DM$2,Variables!$B$60:$F$61,2,FALSE)</f>
        <v>0</v>
      </c>
      <c r="DO142" s="1223">
        <f>$G142*AT142*Variables!$B$53*HLOOKUP($DM$2,Variables!$B$60:$F$61,2,FALSE)</f>
        <v>0</v>
      </c>
      <c r="DP142" s="1223">
        <f>$G142*AU142*Variables!$B$53*HLOOKUP($DM$2,Variables!$B$60:$F$61,2,FALSE)</f>
        <v>0</v>
      </c>
      <c r="DQ142" s="1223">
        <f>$G142*AV142*Variables!$B$53*HLOOKUP($DM$2,Variables!$B$60:$F$61,2,FALSE)</f>
        <v>0</v>
      </c>
      <c r="DR142" s="1223">
        <f>$G142*AW142*Variables!$B$53*HLOOKUP($DM$2,Variables!$B$60:$F$61,2,FALSE)</f>
        <v>0</v>
      </c>
      <c r="DS142" s="1223">
        <f>$G142*AX142*Variables!$B$53*HLOOKUP($DM$2,Variables!$B$60:$F$61,2,FALSE)</f>
        <v>0</v>
      </c>
      <c r="DT142" s="1223">
        <f>$G142*AY142*Variables!$B$53*HLOOKUP($DM$2,Variables!$B$60:$F$61,2,FALSE)</f>
        <v>0</v>
      </c>
      <c r="DU142" s="1223">
        <f>$G142*AZ142*Variables!$B$53*HLOOKUP($DM$2,Variables!$B$60:$F$61,2,FALSE)</f>
        <v>0</v>
      </c>
      <c r="DV142" s="1223">
        <f>$G142*BA142*Variables!$B$53*HLOOKUP($DM$2,Variables!$B$60:$F$61,2,FALSE)</f>
        <v>0</v>
      </c>
      <c r="DW142" s="1223">
        <f>$G142*BB142*Variables!$B$53*HLOOKUP($DM$2,Variables!$B$60:$F$61,2,FALSE)</f>
        <v>0</v>
      </c>
      <c r="DX142" s="1225">
        <f>$G142*BC142*Variables!$B$53*HLOOKUP($DM$2,Variables!$B$60:$F$61,2,FALSE)</f>
        <v>0</v>
      </c>
      <c r="DY142" s="1222">
        <f>$G142*BD142*Variables!$B$53*HLOOKUP($DY$2,Variables!$B$60:$F$61,2,FALSE)</f>
        <v>0</v>
      </c>
      <c r="DZ142" s="1223">
        <f>$G142*BE142*Variables!$B$53*HLOOKUP($DY$2,Variables!$B$60:$F$61,2,FALSE)</f>
        <v>0</v>
      </c>
      <c r="EA142" s="1223">
        <f>$G142*BF142*Variables!$B$53*HLOOKUP($DY$2,Variables!$B$60:$F$61,2,FALSE)</f>
        <v>0</v>
      </c>
      <c r="EB142" s="1223">
        <f>$G142*BG142*Variables!$B$53*HLOOKUP($DY$2,Variables!$B$60:$F$61,2,FALSE)</f>
        <v>0</v>
      </c>
      <c r="EC142" s="1223">
        <f>$G142*BH142*Variables!$B$53*HLOOKUP($DY$2,Variables!$B$60:$F$61,2,FALSE)</f>
        <v>0</v>
      </c>
      <c r="ED142" s="1223">
        <f>$G142*BI142*Variables!$B$53*HLOOKUP($DY$2,Variables!$B$60:$F$61,2,FALSE)</f>
        <v>0</v>
      </c>
      <c r="EE142" s="1223">
        <f>$G142*BJ142*Variables!$B$53*HLOOKUP($DY$2,Variables!$B$60:$F$61,2,FALSE)</f>
        <v>0</v>
      </c>
      <c r="EF142" s="1223">
        <f>$G142*BK142*Variables!$B$53*HLOOKUP($DY$2,Variables!$B$60:$F$61,2,FALSE)</f>
        <v>0</v>
      </c>
      <c r="EG142" s="1223">
        <f>$G142*BL142*Variables!$B$53*HLOOKUP($DY$2,Variables!$B$60:$F$61,2,FALSE)</f>
        <v>0</v>
      </c>
      <c r="EH142" s="1223">
        <f>$G142*BM142*Variables!$B$53*HLOOKUP($DY$2,Variables!$B$60:$F$61,2,FALSE)</f>
        <v>0</v>
      </c>
      <c r="EI142" s="1223">
        <f>$G142*BN142*Variables!$B$53*HLOOKUP($DY$2,Variables!$B$60:$F$61,2,FALSE)</f>
        <v>0</v>
      </c>
      <c r="EJ142" s="1225">
        <f>$G142*BO142*Variables!$B$53*HLOOKUP($DY$2,Variables!$B$60:$F$61,2,FALSE)</f>
        <v>0</v>
      </c>
      <c r="EK142" s="1222">
        <f>$G142*BP142*Variables!$B$53*HLOOKUP($EK$2,Variables!$B$60:$F$61,2,FALSE)</f>
        <v>0</v>
      </c>
      <c r="EL142" s="1223">
        <f>$G142*BQ142*Variables!$B$53*HLOOKUP($EK$2,Variables!$B$60:$F$61,2,FALSE)</f>
        <v>0</v>
      </c>
      <c r="EM142" s="1223">
        <f>$G142*BR142*Variables!$B$53*HLOOKUP($EK$2,Variables!$B$60:$F$61,2,FALSE)</f>
        <v>0</v>
      </c>
      <c r="EN142" s="1223">
        <f>$G142*BS142*Variables!$B$53*HLOOKUP($EK$2,Variables!$B$60:$F$61,2,FALSE)</f>
        <v>0</v>
      </c>
      <c r="EO142" s="1223">
        <f>$G142*BT142*Variables!$B$53*HLOOKUP($EK$2,Variables!$B$60:$F$61,2,FALSE)</f>
        <v>0</v>
      </c>
      <c r="EP142" s="1223">
        <f>$G142*BU142*Variables!$B$53*HLOOKUP($EK$2,Variables!$B$60:$F$61,2,FALSE)</f>
        <v>0</v>
      </c>
      <c r="EQ142" s="1223">
        <f>$G142*BV142*Variables!$B$53*HLOOKUP($EK$2,Variables!$B$60:$F$61,2,FALSE)</f>
        <v>0</v>
      </c>
      <c r="ER142" s="1223">
        <f>$G142*BW142*Variables!$B$53*HLOOKUP($EK$2,Variables!$B$60:$F$61,2,FALSE)</f>
        <v>0</v>
      </c>
      <c r="ES142" s="1223">
        <f>$G142*BX142*Variables!$B$53*HLOOKUP($EK$2,Variables!$B$60:$F$61,2,FALSE)</f>
        <v>0</v>
      </c>
      <c r="ET142" s="1223">
        <f>$G142*BY142*Variables!$B$53*HLOOKUP($EK$2,Variables!$B$60:$F$61,2,FALSE)</f>
        <v>0</v>
      </c>
      <c r="EU142" s="1223">
        <f>$G142*BZ142*Variables!$B$53*HLOOKUP($EK$2,Variables!$B$60:$F$61,2,FALSE)</f>
        <v>0</v>
      </c>
      <c r="EV142" s="1225">
        <f>$G142*CA142*Variables!$B$53*HLOOKUP($EK$2,Variables!$B$60:$F$61,2,FALSE)</f>
        <v>0</v>
      </c>
      <c r="EW142" s="872">
        <f t="shared" si="23"/>
        <v>0</v>
      </c>
      <c r="EX142" s="872"/>
      <c r="EY142" s="872"/>
      <c r="EZ142" s="872"/>
      <c r="FA142" s="1332"/>
      <c r="FC142" s="958" t="str">
        <f t="shared" si="19"/>
        <v/>
      </c>
      <c r="FD142" s="959" t="str">
        <f t="shared" si="20"/>
        <v/>
      </c>
      <c r="FE142" s="959" t="s">
        <v>8407</v>
      </c>
      <c r="FF142" s="959" t="str">
        <f>IF(ISNA(VLOOKUP(FC142,Miscellaneous!E:F,2,0)),"",VLOOKUP(FC142,Miscellaneous!E:F,2,0))</f>
        <v/>
      </c>
      <c r="FG142" s="959" t="str">
        <f t="shared" si="21"/>
        <v/>
      </c>
      <c r="FH142" s="996">
        <f>IF($FG142="Opex",SUMIF('Monthly Summary'!$C$75:$N$75,"",CC142:CN142),SUMIF('Monthly Summary'!$C$74:$N$74,"",CC142:CN142))</f>
        <v>0</v>
      </c>
      <c r="FI142" s="996">
        <f>IF($FG142="Opex",SUMIF('Monthly Summary'!$O$75:$Z$75,"",CO142:CZ142),SUMIF('Monthly Summary'!$O$74:$Z$74,"",CO142:CZ142))</f>
        <v>0</v>
      </c>
      <c r="FJ142" s="996">
        <f>IF($FG142="Opex",SUMIF('Monthly Summary'!$AA$75:$AL$75,"",DA142:DL142),SUMIF('Monthly Summary'!$AA$74:$AL$74,"",DA142:DL142))</f>
        <v>0</v>
      </c>
      <c r="FK142" s="996">
        <f>IF($FG142="Opex",SUMIF('Monthly Summary'!$AM$75:$AX$75,"",DM142:DX142),SUMIF('Monthly Summary'!$AM$74:$AX$74,"",DM142:DX142))</f>
        <v>0</v>
      </c>
      <c r="FL142" s="996">
        <f>IF($FG142="Opex",SUMIF('Monthly Summary'!$AY$75:$BJ$75,"",DY142:EJ142),SUMIF('Monthly Summary'!$AY$74:$BJ$74,"",DY142:EJ142))</f>
        <v>0</v>
      </c>
      <c r="FM142" s="997">
        <f>IF($FG142="Opex",SUMIF('Monthly Summary'!$BK$75:$BV$75,"",EK142:EV142),SUMIF('Monthly Summary'!$BK$74:$BV$74,"",EK142:EV142))</f>
        <v>0</v>
      </c>
      <c r="FN142" s="997">
        <f t="shared" si="22"/>
        <v>0</v>
      </c>
    </row>
    <row r="143" spans="3:170">
      <c r="C143" s="757"/>
      <c r="D143" s="757"/>
      <c r="E143" s="758"/>
      <c r="F143" s="758"/>
      <c r="G143" s="758"/>
      <c r="H143" s="1215"/>
      <c r="I143" s="761"/>
      <c r="J143" s="761"/>
      <c r="K143" s="761"/>
      <c r="L143" s="761"/>
      <c r="M143" s="761"/>
      <c r="N143" s="761"/>
      <c r="O143" s="761"/>
      <c r="P143" s="761"/>
      <c r="Q143" s="761"/>
      <c r="R143" s="761"/>
      <c r="S143" s="1216"/>
      <c r="T143" s="1215"/>
      <c r="U143" s="761"/>
      <c r="V143" s="761"/>
      <c r="W143" s="761"/>
      <c r="X143" s="761"/>
      <c r="Y143" s="761"/>
      <c r="Z143" s="761"/>
      <c r="AA143" s="761"/>
      <c r="AB143" s="761"/>
      <c r="AC143" s="761"/>
      <c r="AD143" s="761"/>
      <c r="AE143" s="1216"/>
      <c r="AF143" s="1215"/>
      <c r="AG143" s="761"/>
      <c r="AH143" s="761"/>
      <c r="AI143" s="761"/>
      <c r="AJ143" s="761"/>
      <c r="AK143" s="761"/>
      <c r="AL143" s="761"/>
      <c r="AM143" s="761"/>
      <c r="AN143" s="761"/>
      <c r="AO143" s="761"/>
      <c r="AP143" s="761"/>
      <c r="AQ143" s="1216"/>
      <c r="AR143" s="1215"/>
      <c r="AS143" s="761"/>
      <c r="AT143" s="761"/>
      <c r="AU143" s="761"/>
      <c r="AV143" s="761"/>
      <c r="AW143" s="761"/>
      <c r="AX143" s="761"/>
      <c r="AY143" s="761"/>
      <c r="AZ143" s="761"/>
      <c r="BA143" s="761"/>
      <c r="BB143" s="761"/>
      <c r="BC143" s="1216"/>
      <c r="BD143" s="1215"/>
      <c r="BE143" s="761"/>
      <c r="BF143" s="761"/>
      <c r="BG143" s="761"/>
      <c r="BH143" s="761"/>
      <c r="BI143" s="761"/>
      <c r="BJ143" s="761"/>
      <c r="BK143" s="761"/>
      <c r="BL143" s="761"/>
      <c r="BM143" s="761"/>
      <c r="BN143" s="761"/>
      <c r="BO143" s="1216"/>
      <c r="BP143" s="1215"/>
      <c r="BQ143" s="761"/>
      <c r="BR143" s="761"/>
      <c r="BS143" s="761"/>
      <c r="BT143" s="761"/>
      <c r="BU143" s="761"/>
      <c r="BV143" s="761"/>
      <c r="BW143" s="761"/>
      <c r="BX143" s="761"/>
      <c r="BY143" s="761"/>
      <c r="BZ143" s="761"/>
      <c r="CA143" s="1216"/>
      <c r="CB143" s="747"/>
      <c r="CC143" s="1222">
        <f>$G143*H143*Variables!$B$53</f>
        <v>0</v>
      </c>
      <c r="CD143" s="1223">
        <f>$G143*I143*Variables!$B$53</f>
        <v>0</v>
      </c>
      <c r="CE143" s="1223">
        <f>$G143*J143*Variables!$B$53</f>
        <v>0</v>
      </c>
      <c r="CF143" s="1223">
        <f>$G143*K143*Variables!$B$53</f>
        <v>0</v>
      </c>
      <c r="CG143" s="1223">
        <f>$G143*L143*Variables!$B$53</f>
        <v>0</v>
      </c>
      <c r="CH143" s="1223">
        <f>$G143*M143*Variables!$B$53</f>
        <v>0</v>
      </c>
      <c r="CI143" s="1223">
        <f>$G143*N143*Variables!$B$53</f>
        <v>0</v>
      </c>
      <c r="CJ143" s="1223">
        <f>$G143*O143*Variables!$B$53</f>
        <v>0</v>
      </c>
      <c r="CK143" s="1223">
        <f>$G143*P143*Variables!$B$53</f>
        <v>0</v>
      </c>
      <c r="CL143" s="1223">
        <f>$G143*Q143*Variables!$B$53</f>
        <v>0</v>
      </c>
      <c r="CM143" s="1223">
        <f>$G143*R143*Variables!$B$53</f>
        <v>0</v>
      </c>
      <c r="CN143" s="1225">
        <f>$G143*S143*Variables!$B$53</f>
        <v>0</v>
      </c>
      <c r="CO143" s="1222">
        <f>$G143*T143*Variables!$B$53*HLOOKUP($CO$2,Variables!$B$60:$F$61,2,FALSE)</f>
        <v>0</v>
      </c>
      <c r="CP143" s="1223">
        <f>$G143*U143*Variables!$B$53*HLOOKUP($CO$2,Variables!$B$60:$F$61,2,FALSE)</f>
        <v>0</v>
      </c>
      <c r="CQ143" s="1223">
        <f>$G143*V143*Variables!$B$53*HLOOKUP($CO$2,Variables!$B$60:$F$61,2,FALSE)</f>
        <v>0</v>
      </c>
      <c r="CR143" s="1223">
        <f>$G143*W143*Variables!$B$53*HLOOKUP($CO$2,Variables!$B$60:$F$61,2,FALSE)</f>
        <v>0</v>
      </c>
      <c r="CS143" s="1223">
        <f>$G143*X143*Variables!$B$53*HLOOKUP($CO$2,Variables!$B$60:$F$61,2,FALSE)</f>
        <v>0</v>
      </c>
      <c r="CT143" s="1223">
        <f>$G143*Y143*Variables!$B$53*HLOOKUP($CO$2,Variables!$B$60:$F$61,2,FALSE)</f>
        <v>0</v>
      </c>
      <c r="CU143" s="1223">
        <f>$G143*Z143*Variables!$B$53*HLOOKUP($CO$2,Variables!$B$60:$F$61,2,FALSE)</f>
        <v>0</v>
      </c>
      <c r="CV143" s="1223">
        <f>$G143*AA143*Variables!$B$53*HLOOKUP($CO$2,Variables!$B$60:$F$61,2,FALSE)</f>
        <v>0</v>
      </c>
      <c r="CW143" s="1223">
        <f>$G143*AB143*Variables!$B$53*HLOOKUP($CO$2,Variables!$B$60:$F$61,2,FALSE)</f>
        <v>0</v>
      </c>
      <c r="CX143" s="1223">
        <f>$G143*AC143*Variables!$B$53*HLOOKUP($CO$2,Variables!$B$60:$F$61,2,FALSE)</f>
        <v>0</v>
      </c>
      <c r="CY143" s="1223">
        <f>$G143*AD143*Variables!$B$53*HLOOKUP($CO$2,Variables!$B$60:$F$61,2,FALSE)</f>
        <v>0</v>
      </c>
      <c r="CZ143" s="1225">
        <f>$G143*AE143*Variables!$B$53*HLOOKUP($CO$2,Variables!$B$60:$F$61,2,FALSE)</f>
        <v>0</v>
      </c>
      <c r="DA143" s="1222">
        <f>$G143*AF143*Variables!$B$53*HLOOKUP($DA$2,Variables!$B$60:$F$61,2,FALSE)</f>
        <v>0</v>
      </c>
      <c r="DB143" s="1223">
        <f>$G143*AG143*Variables!$B$53*HLOOKUP($DA$2,Variables!$B$60:$F$61,2,FALSE)</f>
        <v>0</v>
      </c>
      <c r="DC143" s="1223">
        <f>$G143*AH143*Variables!$B$53*HLOOKUP($DA$2,Variables!$B$60:$F$61,2,FALSE)</f>
        <v>0</v>
      </c>
      <c r="DD143" s="1223">
        <f>$G143*AI143*Variables!$B$53*HLOOKUP($DA$2,Variables!$B$60:$F$61,2,FALSE)</f>
        <v>0</v>
      </c>
      <c r="DE143" s="1223">
        <f>$G143*AJ143*Variables!$B$53*HLOOKUP($DA$2,Variables!$B$60:$F$61,2,FALSE)</f>
        <v>0</v>
      </c>
      <c r="DF143" s="1223">
        <f>$G143*AK143*Variables!$B$53*HLOOKUP($DA$2,Variables!$B$60:$F$61,2,FALSE)</f>
        <v>0</v>
      </c>
      <c r="DG143" s="1223">
        <f>$G143*AL143*Variables!$B$53*HLOOKUP($DA$2,Variables!$B$60:$F$61,2,FALSE)</f>
        <v>0</v>
      </c>
      <c r="DH143" s="1223">
        <f>$G143*AM143*Variables!$B$53*HLOOKUP($DA$2,Variables!$B$60:$F$61,2,FALSE)</f>
        <v>0</v>
      </c>
      <c r="DI143" s="1223">
        <f>$G143*AN143*Variables!$B$53*HLOOKUP($DA$2,Variables!$B$60:$F$61,2,FALSE)</f>
        <v>0</v>
      </c>
      <c r="DJ143" s="1223">
        <f>$G143*AO143*Variables!$B$53*HLOOKUP($DA$2,Variables!$B$60:$F$61,2,FALSE)</f>
        <v>0</v>
      </c>
      <c r="DK143" s="1223">
        <f>$G143*AP143*Variables!$B$53*HLOOKUP($DA$2,Variables!$B$60:$F$61,2,FALSE)</f>
        <v>0</v>
      </c>
      <c r="DL143" s="1225">
        <f>$G143*AQ143*Variables!$B$53*HLOOKUP($DA$2,Variables!$B$60:$F$61,2,FALSE)</f>
        <v>0</v>
      </c>
      <c r="DM143" s="1222">
        <f>$G143*AR143*Variables!$B$53*HLOOKUP($DM$2,Variables!$B$60:$F$61,2,FALSE)</f>
        <v>0</v>
      </c>
      <c r="DN143" s="1223">
        <f>$G143*AS143*Variables!$B$53*HLOOKUP($DM$2,Variables!$B$60:$F$61,2,FALSE)</f>
        <v>0</v>
      </c>
      <c r="DO143" s="1223">
        <f>$G143*AT143*Variables!$B$53*HLOOKUP($DM$2,Variables!$B$60:$F$61,2,FALSE)</f>
        <v>0</v>
      </c>
      <c r="DP143" s="1223">
        <f>$G143*AU143*Variables!$B$53*HLOOKUP($DM$2,Variables!$B$60:$F$61,2,FALSE)</f>
        <v>0</v>
      </c>
      <c r="DQ143" s="1223">
        <f>$G143*AV143*Variables!$B$53*HLOOKUP($DM$2,Variables!$B$60:$F$61,2,FALSE)</f>
        <v>0</v>
      </c>
      <c r="DR143" s="1223">
        <f>$G143*AW143*Variables!$B$53*HLOOKUP($DM$2,Variables!$B$60:$F$61,2,FALSE)</f>
        <v>0</v>
      </c>
      <c r="DS143" s="1223">
        <f>$G143*AX143*Variables!$B$53*HLOOKUP($DM$2,Variables!$B$60:$F$61,2,FALSE)</f>
        <v>0</v>
      </c>
      <c r="DT143" s="1223">
        <f>$G143*AY143*Variables!$B$53*HLOOKUP($DM$2,Variables!$B$60:$F$61,2,FALSE)</f>
        <v>0</v>
      </c>
      <c r="DU143" s="1223">
        <f>$G143*AZ143*Variables!$B$53*HLOOKUP($DM$2,Variables!$B$60:$F$61,2,FALSE)</f>
        <v>0</v>
      </c>
      <c r="DV143" s="1223">
        <f>$G143*BA143*Variables!$B$53*HLOOKUP($DM$2,Variables!$B$60:$F$61,2,FALSE)</f>
        <v>0</v>
      </c>
      <c r="DW143" s="1223">
        <f>$G143*BB143*Variables!$B$53*HLOOKUP($DM$2,Variables!$B$60:$F$61,2,FALSE)</f>
        <v>0</v>
      </c>
      <c r="DX143" s="1225">
        <f>$G143*BC143*Variables!$B$53*HLOOKUP($DM$2,Variables!$B$60:$F$61,2,FALSE)</f>
        <v>0</v>
      </c>
      <c r="DY143" s="1222">
        <f>$G143*BD143*Variables!$B$53*HLOOKUP($DY$2,Variables!$B$60:$F$61,2,FALSE)</f>
        <v>0</v>
      </c>
      <c r="DZ143" s="1223">
        <f>$G143*BE143*Variables!$B$53*HLOOKUP($DY$2,Variables!$B$60:$F$61,2,FALSE)</f>
        <v>0</v>
      </c>
      <c r="EA143" s="1223">
        <f>$G143*BF143*Variables!$B$53*HLOOKUP($DY$2,Variables!$B$60:$F$61,2,FALSE)</f>
        <v>0</v>
      </c>
      <c r="EB143" s="1223">
        <f>$G143*BG143*Variables!$B$53*HLOOKUP($DY$2,Variables!$B$60:$F$61,2,FALSE)</f>
        <v>0</v>
      </c>
      <c r="EC143" s="1223">
        <f>$G143*BH143*Variables!$B$53*HLOOKUP($DY$2,Variables!$B$60:$F$61,2,FALSE)</f>
        <v>0</v>
      </c>
      <c r="ED143" s="1223">
        <f>$G143*BI143*Variables!$B$53*HLOOKUP($DY$2,Variables!$B$60:$F$61,2,FALSE)</f>
        <v>0</v>
      </c>
      <c r="EE143" s="1223">
        <f>$G143*BJ143*Variables!$B$53*HLOOKUP($DY$2,Variables!$B$60:$F$61,2,FALSE)</f>
        <v>0</v>
      </c>
      <c r="EF143" s="1223">
        <f>$G143*BK143*Variables!$B$53*HLOOKUP($DY$2,Variables!$B$60:$F$61,2,FALSE)</f>
        <v>0</v>
      </c>
      <c r="EG143" s="1223">
        <f>$G143*BL143*Variables!$B$53*HLOOKUP($DY$2,Variables!$B$60:$F$61,2,FALSE)</f>
        <v>0</v>
      </c>
      <c r="EH143" s="1223">
        <f>$G143*BM143*Variables!$B$53*HLOOKUP($DY$2,Variables!$B$60:$F$61,2,FALSE)</f>
        <v>0</v>
      </c>
      <c r="EI143" s="1223">
        <f>$G143*BN143*Variables!$B$53*HLOOKUP($DY$2,Variables!$B$60:$F$61,2,FALSE)</f>
        <v>0</v>
      </c>
      <c r="EJ143" s="1225">
        <f>$G143*BO143*Variables!$B$53*HLOOKUP($DY$2,Variables!$B$60:$F$61,2,FALSE)</f>
        <v>0</v>
      </c>
      <c r="EK143" s="1222">
        <f>$G143*BP143*Variables!$B$53*HLOOKUP($EK$2,Variables!$B$60:$F$61,2,FALSE)</f>
        <v>0</v>
      </c>
      <c r="EL143" s="1223">
        <f>$G143*BQ143*Variables!$B$53*HLOOKUP($EK$2,Variables!$B$60:$F$61,2,FALSE)</f>
        <v>0</v>
      </c>
      <c r="EM143" s="1223">
        <f>$G143*BR143*Variables!$B$53*HLOOKUP($EK$2,Variables!$B$60:$F$61,2,FALSE)</f>
        <v>0</v>
      </c>
      <c r="EN143" s="1223">
        <f>$G143*BS143*Variables!$B$53*HLOOKUP($EK$2,Variables!$B$60:$F$61,2,FALSE)</f>
        <v>0</v>
      </c>
      <c r="EO143" s="1223">
        <f>$G143*BT143*Variables!$B$53*HLOOKUP($EK$2,Variables!$B$60:$F$61,2,FALSE)</f>
        <v>0</v>
      </c>
      <c r="EP143" s="1223">
        <f>$G143*BU143*Variables!$B$53*HLOOKUP($EK$2,Variables!$B$60:$F$61,2,FALSE)</f>
        <v>0</v>
      </c>
      <c r="EQ143" s="1223">
        <f>$G143*BV143*Variables!$B$53*HLOOKUP($EK$2,Variables!$B$60:$F$61,2,FALSE)</f>
        <v>0</v>
      </c>
      <c r="ER143" s="1223">
        <f>$G143*BW143*Variables!$B$53*HLOOKUP($EK$2,Variables!$B$60:$F$61,2,FALSE)</f>
        <v>0</v>
      </c>
      <c r="ES143" s="1223">
        <f>$G143*BX143*Variables!$B$53*HLOOKUP($EK$2,Variables!$B$60:$F$61,2,FALSE)</f>
        <v>0</v>
      </c>
      <c r="ET143" s="1223">
        <f>$G143*BY143*Variables!$B$53*HLOOKUP($EK$2,Variables!$B$60:$F$61,2,FALSE)</f>
        <v>0</v>
      </c>
      <c r="EU143" s="1223">
        <f>$G143*BZ143*Variables!$B$53*HLOOKUP($EK$2,Variables!$B$60:$F$61,2,FALSE)</f>
        <v>0</v>
      </c>
      <c r="EV143" s="1225">
        <f>$G143*CA143*Variables!$B$53*HLOOKUP($EK$2,Variables!$B$60:$F$61,2,FALSE)</f>
        <v>0</v>
      </c>
      <c r="EW143" s="872">
        <f t="shared" si="23"/>
        <v>0</v>
      </c>
      <c r="EX143" s="872"/>
      <c r="EY143" s="872"/>
      <c r="EZ143" s="872"/>
      <c r="FA143" s="1332"/>
      <c r="FC143" s="958" t="str">
        <f t="shared" si="19"/>
        <v/>
      </c>
      <c r="FD143" s="959" t="str">
        <f t="shared" si="20"/>
        <v/>
      </c>
      <c r="FE143" s="959" t="s">
        <v>8407</v>
      </c>
      <c r="FF143" s="959" t="str">
        <f>IF(ISNA(VLOOKUP(FC143,Miscellaneous!E:F,2,0)),"",VLOOKUP(FC143,Miscellaneous!E:F,2,0))</f>
        <v/>
      </c>
      <c r="FG143" s="959" t="str">
        <f t="shared" si="21"/>
        <v/>
      </c>
      <c r="FH143" s="996">
        <f>IF($FG143="Opex",SUMIF('Monthly Summary'!$C$75:$N$75,"",CC143:CN143),SUMIF('Monthly Summary'!$C$74:$N$74,"",CC143:CN143))</f>
        <v>0</v>
      </c>
      <c r="FI143" s="996">
        <f>IF($FG143="Opex",SUMIF('Monthly Summary'!$O$75:$Z$75,"",CO143:CZ143),SUMIF('Monthly Summary'!$O$74:$Z$74,"",CO143:CZ143))</f>
        <v>0</v>
      </c>
      <c r="FJ143" s="996">
        <f>IF($FG143="Opex",SUMIF('Monthly Summary'!$AA$75:$AL$75,"",DA143:DL143),SUMIF('Monthly Summary'!$AA$74:$AL$74,"",DA143:DL143))</f>
        <v>0</v>
      </c>
      <c r="FK143" s="996">
        <f>IF($FG143="Opex",SUMIF('Monthly Summary'!$AM$75:$AX$75,"",DM143:DX143),SUMIF('Monthly Summary'!$AM$74:$AX$74,"",DM143:DX143))</f>
        <v>0</v>
      </c>
      <c r="FL143" s="996">
        <f>IF($FG143="Opex",SUMIF('Monthly Summary'!$AY$75:$BJ$75,"",DY143:EJ143),SUMIF('Monthly Summary'!$AY$74:$BJ$74,"",DY143:EJ143))</f>
        <v>0</v>
      </c>
      <c r="FM143" s="997">
        <f>IF($FG143="Opex",SUMIF('Monthly Summary'!$BK$75:$BV$75,"",EK143:EV143),SUMIF('Monthly Summary'!$BK$74:$BV$74,"",EK143:EV143))</f>
        <v>0</v>
      </c>
      <c r="FN143" s="997">
        <f t="shared" si="22"/>
        <v>0</v>
      </c>
    </row>
    <row r="144" spans="3:170">
      <c r="C144" s="757"/>
      <c r="D144" s="757"/>
      <c r="E144" s="758"/>
      <c r="F144" s="758"/>
      <c r="G144" s="758"/>
      <c r="H144" s="1215"/>
      <c r="I144" s="761"/>
      <c r="J144" s="761"/>
      <c r="K144" s="761"/>
      <c r="L144" s="761"/>
      <c r="M144" s="761"/>
      <c r="N144" s="761"/>
      <c r="O144" s="761"/>
      <c r="P144" s="761"/>
      <c r="Q144" s="761"/>
      <c r="R144" s="761"/>
      <c r="S144" s="1216"/>
      <c r="T144" s="1215"/>
      <c r="U144" s="761"/>
      <c r="V144" s="761"/>
      <c r="W144" s="761"/>
      <c r="X144" s="761"/>
      <c r="Y144" s="761"/>
      <c r="Z144" s="761"/>
      <c r="AA144" s="761"/>
      <c r="AB144" s="761"/>
      <c r="AC144" s="761"/>
      <c r="AD144" s="761"/>
      <c r="AE144" s="1216"/>
      <c r="AF144" s="1215"/>
      <c r="AG144" s="761"/>
      <c r="AH144" s="761"/>
      <c r="AI144" s="761"/>
      <c r="AJ144" s="761"/>
      <c r="AK144" s="761"/>
      <c r="AL144" s="761"/>
      <c r="AM144" s="761"/>
      <c r="AN144" s="761"/>
      <c r="AO144" s="761"/>
      <c r="AP144" s="761"/>
      <c r="AQ144" s="1216"/>
      <c r="AR144" s="1215"/>
      <c r="AS144" s="761"/>
      <c r="AT144" s="761"/>
      <c r="AU144" s="761"/>
      <c r="AV144" s="761"/>
      <c r="AW144" s="761"/>
      <c r="AX144" s="761"/>
      <c r="AY144" s="761"/>
      <c r="AZ144" s="761"/>
      <c r="BA144" s="761"/>
      <c r="BB144" s="761"/>
      <c r="BC144" s="1216"/>
      <c r="BD144" s="1215"/>
      <c r="BE144" s="761"/>
      <c r="BF144" s="761"/>
      <c r="BG144" s="761"/>
      <c r="BH144" s="761"/>
      <c r="BI144" s="761"/>
      <c r="BJ144" s="761"/>
      <c r="BK144" s="761"/>
      <c r="BL144" s="761"/>
      <c r="BM144" s="761"/>
      <c r="BN144" s="761"/>
      <c r="BO144" s="1216"/>
      <c r="BP144" s="1215"/>
      <c r="BQ144" s="761"/>
      <c r="BR144" s="761"/>
      <c r="BS144" s="761"/>
      <c r="BT144" s="761"/>
      <c r="BU144" s="761"/>
      <c r="BV144" s="761"/>
      <c r="BW144" s="761"/>
      <c r="BX144" s="761"/>
      <c r="BY144" s="761"/>
      <c r="BZ144" s="761"/>
      <c r="CA144" s="1216"/>
      <c r="CB144" s="747"/>
      <c r="CC144" s="1222">
        <f>$G144*H144*Variables!$B$53</f>
        <v>0</v>
      </c>
      <c r="CD144" s="1223">
        <f>$G144*I144*Variables!$B$53</f>
        <v>0</v>
      </c>
      <c r="CE144" s="1223">
        <f>$G144*J144*Variables!$B$53</f>
        <v>0</v>
      </c>
      <c r="CF144" s="1223">
        <f>$G144*K144*Variables!$B$53</f>
        <v>0</v>
      </c>
      <c r="CG144" s="1223">
        <f>$G144*L144*Variables!$B$53</f>
        <v>0</v>
      </c>
      <c r="CH144" s="1223">
        <f>$G144*M144*Variables!$B$53</f>
        <v>0</v>
      </c>
      <c r="CI144" s="1223">
        <f>$G144*N144*Variables!$B$53</f>
        <v>0</v>
      </c>
      <c r="CJ144" s="1223">
        <f>$G144*O144*Variables!$B$53</f>
        <v>0</v>
      </c>
      <c r="CK144" s="1223">
        <f>$G144*P144*Variables!$B$53</f>
        <v>0</v>
      </c>
      <c r="CL144" s="1223">
        <f>$G144*Q144*Variables!$B$53</f>
        <v>0</v>
      </c>
      <c r="CM144" s="1223">
        <f>$G144*R144*Variables!$B$53</f>
        <v>0</v>
      </c>
      <c r="CN144" s="1225">
        <f>$G144*S144*Variables!$B$53</f>
        <v>0</v>
      </c>
      <c r="CO144" s="1222">
        <f>$G144*T144*Variables!$B$53*HLOOKUP($CO$2,Variables!$B$60:$F$61,2,FALSE)</f>
        <v>0</v>
      </c>
      <c r="CP144" s="1223">
        <f>$G144*U144*Variables!$B$53*HLOOKUP($CO$2,Variables!$B$60:$F$61,2,FALSE)</f>
        <v>0</v>
      </c>
      <c r="CQ144" s="1223">
        <f>$G144*V144*Variables!$B$53*HLOOKUP($CO$2,Variables!$B$60:$F$61,2,FALSE)</f>
        <v>0</v>
      </c>
      <c r="CR144" s="1223">
        <f>$G144*W144*Variables!$B$53*HLOOKUP($CO$2,Variables!$B$60:$F$61,2,FALSE)</f>
        <v>0</v>
      </c>
      <c r="CS144" s="1223">
        <f>$G144*X144*Variables!$B$53*HLOOKUP($CO$2,Variables!$B$60:$F$61,2,FALSE)</f>
        <v>0</v>
      </c>
      <c r="CT144" s="1223">
        <f>$G144*Y144*Variables!$B$53*HLOOKUP($CO$2,Variables!$B$60:$F$61,2,FALSE)</f>
        <v>0</v>
      </c>
      <c r="CU144" s="1223">
        <f>$G144*Z144*Variables!$B$53*HLOOKUP($CO$2,Variables!$B$60:$F$61,2,FALSE)</f>
        <v>0</v>
      </c>
      <c r="CV144" s="1223">
        <f>$G144*AA144*Variables!$B$53*HLOOKUP($CO$2,Variables!$B$60:$F$61,2,FALSE)</f>
        <v>0</v>
      </c>
      <c r="CW144" s="1223">
        <f>$G144*AB144*Variables!$B$53*HLOOKUP($CO$2,Variables!$B$60:$F$61,2,FALSE)</f>
        <v>0</v>
      </c>
      <c r="CX144" s="1223">
        <f>$G144*AC144*Variables!$B$53*HLOOKUP($CO$2,Variables!$B$60:$F$61,2,FALSE)</f>
        <v>0</v>
      </c>
      <c r="CY144" s="1223">
        <f>$G144*AD144*Variables!$B$53*HLOOKUP($CO$2,Variables!$B$60:$F$61,2,FALSE)</f>
        <v>0</v>
      </c>
      <c r="CZ144" s="1225">
        <f>$G144*AE144*Variables!$B$53*HLOOKUP($CO$2,Variables!$B$60:$F$61,2,FALSE)</f>
        <v>0</v>
      </c>
      <c r="DA144" s="1222">
        <f>$G144*AF144*Variables!$B$53*HLOOKUP($DA$2,Variables!$B$60:$F$61,2,FALSE)</f>
        <v>0</v>
      </c>
      <c r="DB144" s="1223">
        <f>$G144*AG144*Variables!$B$53*HLOOKUP($DA$2,Variables!$B$60:$F$61,2,FALSE)</f>
        <v>0</v>
      </c>
      <c r="DC144" s="1223">
        <f>$G144*AH144*Variables!$B$53*HLOOKUP($DA$2,Variables!$B$60:$F$61,2,FALSE)</f>
        <v>0</v>
      </c>
      <c r="DD144" s="1223">
        <f>$G144*AI144*Variables!$B$53*HLOOKUP($DA$2,Variables!$B$60:$F$61,2,FALSE)</f>
        <v>0</v>
      </c>
      <c r="DE144" s="1223">
        <f>$G144*AJ144*Variables!$B$53*HLOOKUP($DA$2,Variables!$B$60:$F$61,2,FALSE)</f>
        <v>0</v>
      </c>
      <c r="DF144" s="1223">
        <f>$G144*AK144*Variables!$B$53*HLOOKUP($DA$2,Variables!$B$60:$F$61,2,FALSE)</f>
        <v>0</v>
      </c>
      <c r="DG144" s="1223">
        <f>$G144*AL144*Variables!$B$53*HLOOKUP($DA$2,Variables!$B$60:$F$61,2,FALSE)</f>
        <v>0</v>
      </c>
      <c r="DH144" s="1223">
        <f>$G144*AM144*Variables!$B$53*HLOOKUP($DA$2,Variables!$B$60:$F$61,2,FALSE)</f>
        <v>0</v>
      </c>
      <c r="DI144" s="1223">
        <f>$G144*AN144*Variables!$B$53*HLOOKUP($DA$2,Variables!$B$60:$F$61,2,FALSE)</f>
        <v>0</v>
      </c>
      <c r="DJ144" s="1223">
        <f>$G144*AO144*Variables!$B$53*HLOOKUP($DA$2,Variables!$B$60:$F$61,2,FALSE)</f>
        <v>0</v>
      </c>
      <c r="DK144" s="1223">
        <f>$G144*AP144*Variables!$B$53*HLOOKUP($DA$2,Variables!$B$60:$F$61,2,FALSE)</f>
        <v>0</v>
      </c>
      <c r="DL144" s="1225">
        <f>$G144*AQ144*Variables!$B$53*HLOOKUP($DA$2,Variables!$B$60:$F$61,2,FALSE)</f>
        <v>0</v>
      </c>
      <c r="DM144" s="1222">
        <f>$G144*AR144*Variables!$B$53*HLOOKUP($DM$2,Variables!$B$60:$F$61,2,FALSE)</f>
        <v>0</v>
      </c>
      <c r="DN144" s="1223">
        <f>$G144*AS144*Variables!$B$53*HLOOKUP($DM$2,Variables!$B$60:$F$61,2,FALSE)</f>
        <v>0</v>
      </c>
      <c r="DO144" s="1223">
        <f>$G144*AT144*Variables!$B$53*HLOOKUP($DM$2,Variables!$B$60:$F$61,2,FALSE)</f>
        <v>0</v>
      </c>
      <c r="DP144" s="1223">
        <f>$G144*AU144*Variables!$B$53*HLOOKUP($DM$2,Variables!$B$60:$F$61,2,FALSE)</f>
        <v>0</v>
      </c>
      <c r="DQ144" s="1223">
        <f>$G144*AV144*Variables!$B$53*HLOOKUP($DM$2,Variables!$B$60:$F$61,2,FALSE)</f>
        <v>0</v>
      </c>
      <c r="DR144" s="1223">
        <f>$G144*AW144*Variables!$B$53*HLOOKUP($DM$2,Variables!$B$60:$F$61,2,FALSE)</f>
        <v>0</v>
      </c>
      <c r="DS144" s="1223">
        <f>$G144*AX144*Variables!$B$53*HLOOKUP($DM$2,Variables!$B$60:$F$61,2,FALSE)</f>
        <v>0</v>
      </c>
      <c r="DT144" s="1223">
        <f>$G144*AY144*Variables!$B$53*HLOOKUP($DM$2,Variables!$B$60:$F$61,2,FALSE)</f>
        <v>0</v>
      </c>
      <c r="DU144" s="1223">
        <f>$G144*AZ144*Variables!$B$53*HLOOKUP($DM$2,Variables!$B$60:$F$61,2,FALSE)</f>
        <v>0</v>
      </c>
      <c r="DV144" s="1223">
        <f>$G144*BA144*Variables!$B$53*HLOOKUP($DM$2,Variables!$B$60:$F$61,2,FALSE)</f>
        <v>0</v>
      </c>
      <c r="DW144" s="1223">
        <f>$G144*BB144*Variables!$B$53*HLOOKUP($DM$2,Variables!$B$60:$F$61,2,FALSE)</f>
        <v>0</v>
      </c>
      <c r="DX144" s="1225">
        <f>$G144*BC144*Variables!$B$53*HLOOKUP($DM$2,Variables!$B$60:$F$61,2,FALSE)</f>
        <v>0</v>
      </c>
      <c r="DY144" s="1222">
        <f>$G144*BD144*Variables!$B$53*HLOOKUP($DY$2,Variables!$B$60:$F$61,2,FALSE)</f>
        <v>0</v>
      </c>
      <c r="DZ144" s="1223">
        <f>$G144*BE144*Variables!$B$53*HLOOKUP($DY$2,Variables!$B$60:$F$61,2,FALSE)</f>
        <v>0</v>
      </c>
      <c r="EA144" s="1223">
        <f>$G144*BF144*Variables!$B$53*HLOOKUP($DY$2,Variables!$B$60:$F$61,2,FALSE)</f>
        <v>0</v>
      </c>
      <c r="EB144" s="1223">
        <f>$G144*BG144*Variables!$B$53*HLOOKUP($DY$2,Variables!$B$60:$F$61,2,FALSE)</f>
        <v>0</v>
      </c>
      <c r="EC144" s="1223">
        <f>$G144*BH144*Variables!$B$53*HLOOKUP($DY$2,Variables!$B$60:$F$61,2,FALSE)</f>
        <v>0</v>
      </c>
      <c r="ED144" s="1223">
        <f>$G144*BI144*Variables!$B$53*HLOOKUP($DY$2,Variables!$B$60:$F$61,2,FALSE)</f>
        <v>0</v>
      </c>
      <c r="EE144" s="1223">
        <f>$G144*BJ144*Variables!$B$53*HLOOKUP($DY$2,Variables!$B$60:$F$61,2,FALSE)</f>
        <v>0</v>
      </c>
      <c r="EF144" s="1223">
        <f>$G144*BK144*Variables!$B$53*HLOOKUP($DY$2,Variables!$B$60:$F$61,2,FALSE)</f>
        <v>0</v>
      </c>
      <c r="EG144" s="1223">
        <f>$G144*BL144*Variables!$B$53*HLOOKUP($DY$2,Variables!$B$60:$F$61,2,FALSE)</f>
        <v>0</v>
      </c>
      <c r="EH144" s="1223">
        <f>$G144*BM144*Variables!$B$53*HLOOKUP($DY$2,Variables!$B$60:$F$61,2,FALSE)</f>
        <v>0</v>
      </c>
      <c r="EI144" s="1223">
        <f>$G144*BN144*Variables!$B$53*HLOOKUP($DY$2,Variables!$B$60:$F$61,2,FALSE)</f>
        <v>0</v>
      </c>
      <c r="EJ144" s="1225">
        <f>$G144*BO144*Variables!$B$53*HLOOKUP($DY$2,Variables!$B$60:$F$61,2,FALSE)</f>
        <v>0</v>
      </c>
      <c r="EK144" s="1222">
        <f>$G144*BP144*Variables!$B$53*HLOOKUP($EK$2,Variables!$B$60:$F$61,2,FALSE)</f>
        <v>0</v>
      </c>
      <c r="EL144" s="1223">
        <f>$G144*BQ144*Variables!$B$53*HLOOKUP($EK$2,Variables!$B$60:$F$61,2,FALSE)</f>
        <v>0</v>
      </c>
      <c r="EM144" s="1223">
        <f>$G144*BR144*Variables!$B$53*HLOOKUP($EK$2,Variables!$B$60:$F$61,2,FALSE)</f>
        <v>0</v>
      </c>
      <c r="EN144" s="1223">
        <f>$G144*BS144*Variables!$B$53*HLOOKUP($EK$2,Variables!$B$60:$F$61,2,FALSE)</f>
        <v>0</v>
      </c>
      <c r="EO144" s="1223">
        <f>$G144*BT144*Variables!$B$53*HLOOKUP($EK$2,Variables!$B$60:$F$61,2,FALSE)</f>
        <v>0</v>
      </c>
      <c r="EP144" s="1223">
        <f>$G144*BU144*Variables!$B$53*HLOOKUP($EK$2,Variables!$B$60:$F$61,2,FALSE)</f>
        <v>0</v>
      </c>
      <c r="EQ144" s="1223">
        <f>$G144*BV144*Variables!$B$53*HLOOKUP($EK$2,Variables!$B$60:$F$61,2,FALSE)</f>
        <v>0</v>
      </c>
      <c r="ER144" s="1223">
        <f>$G144*BW144*Variables!$B$53*HLOOKUP($EK$2,Variables!$B$60:$F$61,2,FALSE)</f>
        <v>0</v>
      </c>
      <c r="ES144" s="1223">
        <f>$G144*BX144*Variables!$B$53*HLOOKUP($EK$2,Variables!$B$60:$F$61,2,FALSE)</f>
        <v>0</v>
      </c>
      <c r="ET144" s="1223">
        <f>$G144*BY144*Variables!$B$53*HLOOKUP($EK$2,Variables!$B$60:$F$61,2,FALSE)</f>
        <v>0</v>
      </c>
      <c r="EU144" s="1223">
        <f>$G144*BZ144*Variables!$B$53*HLOOKUP($EK$2,Variables!$B$60:$F$61,2,FALSE)</f>
        <v>0</v>
      </c>
      <c r="EV144" s="1225">
        <f>$G144*CA144*Variables!$B$53*HLOOKUP($EK$2,Variables!$B$60:$F$61,2,FALSE)</f>
        <v>0</v>
      </c>
      <c r="EW144" s="872">
        <f t="shared" si="23"/>
        <v>0</v>
      </c>
      <c r="EX144" s="872"/>
      <c r="EY144" s="872"/>
      <c r="EZ144" s="872"/>
      <c r="FA144" s="1332"/>
      <c r="FC144" s="958" t="str">
        <f t="shared" si="19"/>
        <v/>
      </c>
      <c r="FD144" s="959" t="str">
        <f t="shared" si="20"/>
        <v/>
      </c>
      <c r="FE144" s="959" t="s">
        <v>8407</v>
      </c>
      <c r="FF144" s="959" t="str">
        <f>IF(ISNA(VLOOKUP(FC144,Miscellaneous!E:F,2,0)),"",VLOOKUP(FC144,Miscellaneous!E:F,2,0))</f>
        <v/>
      </c>
      <c r="FG144" s="959" t="str">
        <f t="shared" si="21"/>
        <v/>
      </c>
      <c r="FH144" s="996">
        <f>IF($FG144="Opex",SUMIF('Monthly Summary'!$C$75:$N$75,"",CC144:CN144),SUMIF('Monthly Summary'!$C$74:$N$74,"",CC144:CN144))</f>
        <v>0</v>
      </c>
      <c r="FI144" s="996">
        <f>IF($FG144="Opex",SUMIF('Monthly Summary'!$O$75:$Z$75,"",CO144:CZ144),SUMIF('Monthly Summary'!$O$74:$Z$74,"",CO144:CZ144))</f>
        <v>0</v>
      </c>
      <c r="FJ144" s="996">
        <f>IF($FG144="Opex",SUMIF('Monthly Summary'!$AA$75:$AL$75,"",DA144:DL144),SUMIF('Monthly Summary'!$AA$74:$AL$74,"",DA144:DL144))</f>
        <v>0</v>
      </c>
      <c r="FK144" s="996">
        <f>IF($FG144="Opex",SUMIF('Monthly Summary'!$AM$75:$AX$75,"",DM144:DX144),SUMIF('Monthly Summary'!$AM$74:$AX$74,"",DM144:DX144))</f>
        <v>0</v>
      </c>
      <c r="FL144" s="996">
        <f>IF($FG144="Opex",SUMIF('Monthly Summary'!$AY$75:$BJ$75,"",DY144:EJ144),SUMIF('Monthly Summary'!$AY$74:$BJ$74,"",DY144:EJ144))</f>
        <v>0</v>
      </c>
      <c r="FM144" s="997">
        <f>IF($FG144="Opex",SUMIF('Monthly Summary'!$BK$75:$BV$75,"",EK144:EV144),SUMIF('Monthly Summary'!$BK$74:$BV$74,"",EK144:EV144))</f>
        <v>0</v>
      </c>
      <c r="FN144" s="997">
        <f t="shared" si="22"/>
        <v>0</v>
      </c>
    </row>
    <row r="145" spans="3:170">
      <c r="C145" s="757"/>
      <c r="D145" s="757"/>
      <c r="E145" s="758"/>
      <c r="F145" s="758"/>
      <c r="G145" s="758"/>
      <c r="H145" s="1215"/>
      <c r="I145" s="761"/>
      <c r="J145" s="761"/>
      <c r="K145" s="761"/>
      <c r="L145" s="761"/>
      <c r="M145" s="761"/>
      <c r="N145" s="761"/>
      <c r="O145" s="761"/>
      <c r="P145" s="761"/>
      <c r="Q145" s="761"/>
      <c r="R145" s="761"/>
      <c r="S145" s="1216"/>
      <c r="T145" s="1215"/>
      <c r="U145" s="761"/>
      <c r="V145" s="761"/>
      <c r="W145" s="761"/>
      <c r="X145" s="761"/>
      <c r="Y145" s="761"/>
      <c r="Z145" s="761"/>
      <c r="AA145" s="761"/>
      <c r="AB145" s="761"/>
      <c r="AC145" s="761"/>
      <c r="AD145" s="761"/>
      <c r="AE145" s="1216"/>
      <c r="AF145" s="1215"/>
      <c r="AG145" s="761"/>
      <c r="AH145" s="761"/>
      <c r="AI145" s="761"/>
      <c r="AJ145" s="761"/>
      <c r="AK145" s="761"/>
      <c r="AL145" s="761"/>
      <c r="AM145" s="761"/>
      <c r="AN145" s="761"/>
      <c r="AO145" s="761"/>
      <c r="AP145" s="761"/>
      <c r="AQ145" s="1216"/>
      <c r="AR145" s="1215"/>
      <c r="AS145" s="761"/>
      <c r="AT145" s="761"/>
      <c r="AU145" s="761"/>
      <c r="AV145" s="761"/>
      <c r="AW145" s="761"/>
      <c r="AX145" s="761"/>
      <c r="AY145" s="761"/>
      <c r="AZ145" s="761"/>
      <c r="BA145" s="761"/>
      <c r="BB145" s="761"/>
      <c r="BC145" s="1216"/>
      <c r="BD145" s="1215"/>
      <c r="BE145" s="761"/>
      <c r="BF145" s="761"/>
      <c r="BG145" s="761"/>
      <c r="BH145" s="761"/>
      <c r="BI145" s="761"/>
      <c r="BJ145" s="761"/>
      <c r="BK145" s="761"/>
      <c r="BL145" s="761"/>
      <c r="BM145" s="761"/>
      <c r="BN145" s="761"/>
      <c r="BO145" s="1216"/>
      <c r="BP145" s="1215"/>
      <c r="BQ145" s="761"/>
      <c r="BR145" s="761"/>
      <c r="BS145" s="761"/>
      <c r="BT145" s="761"/>
      <c r="BU145" s="761"/>
      <c r="BV145" s="761"/>
      <c r="BW145" s="761"/>
      <c r="BX145" s="761"/>
      <c r="BY145" s="761"/>
      <c r="BZ145" s="761"/>
      <c r="CA145" s="1216"/>
      <c r="CB145" s="747"/>
      <c r="CC145" s="1222">
        <f>$G145*H145*Variables!$B$53</f>
        <v>0</v>
      </c>
      <c r="CD145" s="1223">
        <f>$G145*I145*Variables!$B$53</f>
        <v>0</v>
      </c>
      <c r="CE145" s="1223">
        <f>$G145*J145*Variables!$B$53</f>
        <v>0</v>
      </c>
      <c r="CF145" s="1223">
        <f>$G145*K145*Variables!$B$53</f>
        <v>0</v>
      </c>
      <c r="CG145" s="1223">
        <f>$G145*L145*Variables!$B$53</f>
        <v>0</v>
      </c>
      <c r="CH145" s="1223">
        <f>$G145*M145*Variables!$B$53</f>
        <v>0</v>
      </c>
      <c r="CI145" s="1223">
        <f>$G145*N145*Variables!$B$53</f>
        <v>0</v>
      </c>
      <c r="CJ145" s="1223">
        <f>$G145*O145*Variables!$B$53</f>
        <v>0</v>
      </c>
      <c r="CK145" s="1223">
        <f>$G145*P145*Variables!$B$53</f>
        <v>0</v>
      </c>
      <c r="CL145" s="1223">
        <f>$G145*Q145*Variables!$B$53</f>
        <v>0</v>
      </c>
      <c r="CM145" s="1223">
        <f>$G145*R145*Variables!$B$53</f>
        <v>0</v>
      </c>
      <c r="CN145" s="1225">
        <f>$G145*S145*Variables!$B$53</f>
        <v>0</v>
      </c>
      <c r="CO145" s="1222">
        <f>$G145*T145*Variables!$B$53*HLOOKUP($CO$2,Variables!$B$60:$F$61,2,FALSE)</f>
        <v>0</v>
      </c>
      <c r="CP145" s="1223">
        <f>$G145*U145*Variables!$B$53*HLOOKUP($CO$2,Variables!$B$60:$F$61,2,FALSE)</f>
        <v>0</v>
      </c>
      <c r="CQ145" s="1223">
        <f>$G145*V145*Variables!$B$53*HLOOKUP($CO$2,Variables!$B$60:$F$61,2,FALSE)</f>
        <v>0</v>
      </c>
      <c r="CR145" s="1223">
        <f>$G145*W145*Variables!$B$53*HLOOKUP($CO$2,Variables!$B$60:$F$61,2,FALSE)</f>
        <v>0</v>
      </c>
      <c r="CS145" s="1223">
        <f>$G145*X145*Variables!$B$53*HLOOKUP($CO$2,Variables!$B$60:$F$61,2,FALSE)</f>
        <v>0</v>
      </c>
      <c r="CT145" s="1223">
        <f>$G145*Y145*Variables!$B$53*HLOOKUP($CO$2,Variables!$B$60:$F$61,2,FALSE)</f>
        <v>0</v>
      </c>
      <c r="CU145" s="1223">
        <f>$G145*Z145*Variables!$B$53*HLOOKUP($CO$2,Variables!$B$60:$F$61,2,FALSE)</f>
        <v>0</v>
      </c>
      <c r="CV145" s="1223">
        <f>$G145*AA145*Variables!$B$53*HLOOKUP($CO$2,Variables!$B$60:$F$61,2,FALSE)</f>
        <v>0</v>
      </c>
      <c r="CW145" s="1223">
        <f>$G145*AB145*Variables!$B$53*HLOOKUP($CO$2,Variables!$B$60:$F$61,2,FALSE)</f>
        <v>0</v>
      </c>
      <c r="CX145" s="1223">
        <f>$G145*AC145*Variables!$B$53*HLOOKUP($CO$2,Variables!$B$60:$F$61,2,FALSE)</f>
        <v>0</v>
      </c>
      <c r="CY145" s="1223">
        <f>$G145*AD145*Variables!$B$53*HLOOKUP($CO$2,Variables!$B$60:$F$61,2,FALSE)</f>
        <v>0</v>
      </c>
      <c r="CZ145" s="1225">
        <f>$G145*AE145*Variables!$B$53*HLOOKUP($CO$2,Variables!$B$60:$F$61,2,FALSE)</f>
        <v>0</v>
      </c>
      <c r="DA145" s="1222">
        <f>$G145*AF145*Variables!$B$53*HLOOKUP($DA$2,Variables!$B$60:$F$61,2,FALSE)</f>
        <v>0</v>
      </c>
      <c r="DB145" s="1223">
        <f>$G145*AG145*Variables!$B$53*HLOOKUP($DA$2,Variables!$B$60:$F$61,2,FALSE)</f>
        <v>0</v>
      </c>
      <c r="DC145" s="1223">
        <f>$G145*AH145*Variables!$B$53*HLOOKUP($DA$2,Variables!$B$60:$F$61,2,FALSE)</f>
        <v>0</v>
      </c>
      <c r="DD145" s="1223">
        <f>$G145*AI145*Variables!$B$53*HLOOKUP($DA$2,Variables!$B$60:$F$61,2,FALSE)</f>
        <v>0</v>
      </c>
      <c r="DE145" s="1223">
        <f>$G145*AJ145*Variables!$B$53*HLOOKUP($DA$2,Variables!$B$60:$F$61,2,FALSE)</f>
        <v>0</v>
      </c>
      <c r="DF145" s="1223">
        <f>$G145*AK145*Variables!$B$53*HLOOKUP($DA$2,Variables!$B$60:$F$61,2,FALSE)</f>
        <v>0</v>
      </c>
      <c r="DG145" s="1223">
        <f>$G145*AL145*Variables!$B$53*HLOOKUP($DA$2,Variables!$B$60:$F$61,2,FALSE)</f>
        <v>0</v>
      </c>
      <c r="DH145" s="1223">
        <f>$G145*AM145*Variables!$B$53*HLOOKUP($DA$2,Variables!$B$60:$F$61,2,FALSE)</f>
        <v>0</v>
      </c>
      <c r="DI145" s="1223">
        <f>$G145*AN145*Variables!$B$53*HLOOKUP($DA$2,Variables!$B$60:$F$61,2,FALSE)</f>
        <v>0</v>
      </c>
      <c r="DJ145" s="1223">
        <f>$G145*AO145*Variables!$B$53*HLOOKUP($DA$2,Variables!$B$60:$F$61,2,FALSE)</f>
        <v>0</v>
      </c>
      <c r="DK145" s="1223">
        <f>$G145*AP145*Variables!$B$53*HLOOKUP($DA$2,Variables!$B$60:$F$61,2,FALSE)</f>
        <v>0</v>
      </c>
      <c r="DL145" s="1225">
        <f>$G145*AQ145*Variables!$B$53*HLOOKUP($DA$2,Variables!$B$60:$F$61,2,FALSE)</f>
        <v>0</v>
      </c>
      <c r="DM145" s="1222">
        <f>$G145*AR145*Variables!$B$53*HLOOKUP($DM$2,Variables!$B$60:$F$61,2,FALSE)</f>
        <v>0</v>
      </c>
      <c r="DN145" s="1223">
        <f>$G145*AS145*Variables!$B$53*HLOOKUP($DM$2,Variables!$B$60:$F$61,2,FALSE)</f>
        <v>0</v>
      </c>
      <c r="DO145" s="1223">
        <f>$G145*AT145*Variables!$B$53*HLOOKUP($DM$2,Variables!$B$60:$F$61,2,FALSE)</f>
        <v>0</v>
      </c>
      <c r="DP145" s="1223">
        <f>$G145*AU145*Variables!$B$53*HLOOKUP($DM$2,Variables!$B$60:$F$61,2,FALSE)</f>
        <v>0</v>
      </c>
      <c r="DQ145" s="1223">
        <f>$G145*AV145*Variables!$B$53*HLOOKUP($DM$2,Variables!$B$60:$F$61,2,FALSE)</f>
        <v>0</v>
      </c>
      <c r="DR145" s="1223">
        <f>$G145*AW145*Variables!$B$53*HLOOKUP($DM$2,Variables!$B$60:$F$61,2,FALSE)</f>
        <v>0</v>
      </c>
      <c r="DS145" s="1223">
        <f>$G145*AX145*Variables!$B$53*HLOOKUP($DM$2,Variables!$B$60:$F$61,2,FALSE)</f>
        <v>0</v>
      </c>
      <c r="DT145" s="1223">
        <f>$G145*AY145*Variables!$B$53*HLOOKUP($DM$2,Variables!$B$60:$F$61,2,FALSE)</f>
        <v>0</v>
      </c>
      <c r="DU145" s="1223">
        <f>$G145*AZ145*Variables!$B$53*HLOOKUP($DM$2,Variables!$B$60:$F$61,2,FALSE)</f>
        <v>0</v>
      </c>
      <c r="DV145" s="1223">
        <f>$G145*BA145*Variables!$B$53*HLOOKUP($DM$2,Variables!$B$60:$F$61,2,FALSE)</f>
        <v>0</v>
      </c>
      <c r="DW145" s="1223">
        <f>$G145*BB145*Variables!$B$53*HLOOKUP($DM$2,Variables!$B$60:$F$61,2,FALSE)</f>
        <v>0</v>
      </c>
      <c r="DX145" s="1225">
        <f>$G145*BC145*Variables!$B$53*HLOOKUP($DM$2,Variables!$B$60:$F$61,2,FALSE)</f>
        <v>0</v>
      </c>
      <c r="DY145" s="1222">
        <f>$G145*BD145*Variables!$B$53*HLOOKUP($DY$2,Variables!$B$60:$F$61,2,FALSE)</f>
        <v>0</v>
      </c>
      <c r="DZ145" s="1223">
        <f>$G145*BE145*Variables!$B$53*HLOOKUP($DY$2,Variables!$B$60:$F$61,2,FALSE)</f>
        <v>0</v>
      </c>
      <c r="EA145" s="1223">
        <f>$G145*BF145*Variables!$B$53*HLOOKUP($DY$2,Variables!$B$60:$F$61,2,FALSE)</f>
        <v>0</v>
      </c>
      <c r="EB145" s="1223">
        <f>$G145*BG145*Variables!$B$53*HLOOKUP($DY$2,Variables!$B$60:$F$61,2,FALSE)</f>
        <v>0</v>
      </c>
      <c r="EC145" s="1223">
        <f>$G145*BH145*Variables!$B$53*HLOOKUP($DY$2,Variables!$B$60:$F$61,2,FALSE)</f>
        <v>0</v>
      </c>
      <c r="ED145" s="1223">
        <f>$G145*BI145*Variables!$B$53*HLOOKUP($DY$2,Variables!$B$60:$F$61,2,FALSE)</f>
        <v>0</v>
      </c>
      <c r="EE145" s="1223">
        <f>$G145*BJ145*Variables!$B$53*HLOOKUP($DY$2,Variables!$B$60:$F$61,2,FALSE)</f>
        <v>0</v>
      </c>
      <c r="EF145" s="1223">
        <f>$G145*BK145*Variables!$B$53*HLOOKUP($DY$2,Variables!$B$60:$F$61,2,FALSE)</f>
        <v>0</v>
      </c>
      <c r="EG145" s="1223">
        <f>$G145*BL145*Variables!$B$53*HLOOKUP($DY$2,Variables!$B$60:$F$61,2,FALSE)</f>
        <v>0</v>
      </c>
      <c r="EH145" s="1223">
        <f>$G145*BM145*Variables!$B$53*HLOOKUP($DY$2,Variables!$B$60:$F$61,2,FALSE)</f>
        <v>0</v>
      </c>
      <c r="EI145" s="1223">
        <f>$G145*BN145*Variables!$B$53*HLOOKUP($DY$2,Variables!$B$60:$F$61,2,FALSE)</f>
        <v>0</v>
      </c>
      <c r="EJ145" s="1225">
        <f>$G145*BO145*Variables!$B$53*HLOOKUP($DY$2,Variables!$B$60:$F$61,2,FALSE)</f>
        <v>0</v>
      </c>
      <c r="EK145" s="1222">
        <f>$G145*BP145*Variables!$B$53*HLOOKUP($EK$2,Variables!$B$60:$F$61,2,FALSE)</f>
        <v>0</v>
      </c>
      <c r="EL145" s="1223">
        <f>$G145*BQ145*Variables!$B$53*HLOOKUP($EK$2,Variables!$B$60:$F$61,2,FALSE)</f>
        <v>0</v>
      </c>
      <c r="EM145" s="1223">
        <f>$G145*BR145*Variables!$B$53*HLOOKUP($EK$2,Variables!$B$60:$F$61,2,FALSE)</f>
        <v>0</v>
      </c>
      <c r="EN145" s="1223">
        <f>$G145*BS145*Variables!$B$53*HLOOKUP($EK$2,Variables!$B$60:$F$61,2,FALSE)</f>
        <v>0</v>
      </c>
      <c r="EO145" s="1223">
        <f>$G145*BT145*Variables!$B$53*HLOOKUP($EK$2,Variables!$B$60:$F$61,2,FALSE)</f>
        <v>0</v>
      </c>
      <c r="EP145" s="1223">
        <f>$G145*BU145*Variables!$B$53*HLOOKUP($EK$2,Variables!$B$60:$F$61,2,FALSE)</f>
        <v>0</v>
      </c>
      <c r="EQ145" s="1223">
        <f>$G145*BV145*Variables!$B$53*HLOOKUP($EK$2,Variables!$B$60:$F$61,2,FALSE)</f>
        <v>0</v>
      </c>
      <c r="ER145" s="1223">
        <f>$G145*BW145*Variables!$B$53*HLOOKUP($EK$2,Variables!$B$60:$F$61,2,FALSE)</f>
        <v>0</v>
      </c>
      <c r="ES145" s="1223">
        <f>$G145*BX145*Variables!$B$53*HLOOKUP($EK$2,Variables!$B$60:$F$61,2,FALSE)</f>
        <v>0</v>
      </c>
      <c r="ET145" s="1223">
        <f>$G145*BY145*Variables!$B$53*HLOOKUP($EK$2,Variables!$B$60:$F$61,2,FALSE)</f>
        <v>0</v>
      </c>
      <c r="EU145" s="1223">
        <f>$G145*BZ145*Variables!$B$53*HLOOKUP($EK$2,Variables!$B$60:$F$61,2,FALSE)</f>
        <v>0</v>
      </c>
      <c r="EV145" s="1225">
        <f>$G145*CA145*Variables!$B$53*HLOOKUP($EK$2,Variables!$B$60:$F$61,2,FALSE)</f>
        <v>0</v>
      </c>
      <c r="EW145" s="872">
        <f t="shared" si="23"/>
        <v>0</v>
      </c>
      <c r="EX145" s="872"/>
      <c r="EY145" s="872"/>
      <c r="EZ145" s="872"/>
      <c r="FA145" s="1332"/>
      <c r="FC145" s="958" t="str">
        <f t="shared" si="19"/>
        <v/>
      </c>
      <c r="FD145" s="959" t="str">
        <f t="shared" si="20"/>
        <v/>
      </c>
      <c r="FE145" s="959" t="s">
        <v>8407</v>
      </c>
      <c r="FF145" s="959" t="str">
        <f>IF(ISNA(VLOOKUP(FC145,Miscellaneous!E:F,2,0)),"",VLOOKUP(FC145,Miscellaneous!E:F,2,0))</f>
        <v/>
      </c>
      <c r="FG145" s="959" t="str">
        <f t="shared" si="21"/>
        <v/>
      </c>
      <c r="FH145" s="996">
        <f>IF($FG145="Opex",SUMIF('Monthly Summary'!$C$75:$N$75,"",CC145:CN145),SUMIF('Monthly Summary'!$C$74:$N$74,"",CC145:CN145))</f>
        <v>0</v>
      </c>
      <c r="FI145" s="996">
        <f>IF($FG145="Opex",SUMIF('Monthly Summary'!$O$75:$Z$75,"",CO145:CZ145),SUMIF('Monthly Summary'!$O$74:$Z$74,"",CO145:CZ145))</f>
        <v>0</v>
      </c>
      <c r="FJ145" s="996">
        <f>IF($FG145="Opex",SUMIF('Monthly Summary'!$AA$75:$AL$75,"",DA145:DL145),SUMIF('Monthly Summary'!$AA$74:$AL$74,"",DA145:DL145))</f>
        <v>0</v>
      </c>
      <c r="FK145" s="996">
        <f>IF($FG145="Opex",SUMIF('Monthly Summary'!$AM$75:$AX$75,"",DM145:DX145),SUMIF('Monthly Summary'!$AM$74:$AX$74,"",DM145:DX145))</f>
        <v>0</v>
      </c>
      <c r="FL145" s="996">
        <f>IF($FG145="Opex",SUMIF('Monthly Summary'!$AY$75:$BJ$75,"",DY145:EJ145),SUMIF('Monthly Summary'!$AY$74:$BJ$74,"",DY145:EJ145))</f>
        <v>0</v>
      </c>
      <c r="FM145" s="997">
        <f>IF($FG145="Opex",SUMIF('Monthly Summary'!$BK$75:$BV$75,"",EK145:EV145),SUMIF('Monthly Summary'!$BK$74:$BV$74,"",EK145:EV145))</f>
        <v>0</v>
      </c>
      <c r="FN145" s="997">
        <f t="shared" si="22"/>
        <v>0</v>
      </c>
    </row>
    <row r="146" spans="3:170">
      <c r="C146" s="757"/>
      <c r="D146" s="757"/>
      <c r="E146" s="758"/>
      <c r="F146" s="758"/>
      <c r="G146" s="758"/>
      <c r="H146" s="1215"/>
      <c r="I146" s="761"/>
      <c r="J146" s="761"/>
      <c r="K146" s="761"/>
      <c r="L146" s="761"/>
      <c r="M146" s="761"/>
      <c r="N146" s="761"/>
      <c r="O146" s="761"/>
      <c r="P146" s="761"/>
      <c r="Q146" s="761"/>
      <c r="R146" s="761"/>
      <c r="S146" s="1216"/>
      <c r="T146" s="1215"/>
      <c r="U146" s="761"/>
      <c r="V146" s="761"/>
      <c r="W146" s="761"/>
      <c r="X146" s="761"/>
      <c r="Y146" s="761"/>
      <c r="Z146" s="761"/>
      <c r="AA146" s="761"/>
      <c r="AB146" s="761"/>
      <c r="AC146" s="761"/>
      <c r="AD146" s="761"/>
      <c r="AE146" s="1216"/>
      <c r="AF146" s="1215"/>
      <c r="AG146" s="761"/>
      <c r="AH146" s="761"/>
      <c r="AI146" s="761"/>
      <c r="AJ146" s="761"/>
      <c r="AK146" s="761"/>
      <c r="AL146" s="761"/>
      <c r="AM146" s="761"/>
      <c r="AN146" s="761"/>
      <c r="AO146" s="761"/>
      <c r="AP146" s="761"/>
      <c r="AQ146" s="1216"/>
      <c r="AR146" s="1215"/>
      <c r="AS146" s="761"/>
      <c r="AT146" s="761"/>
      <c r="AU146" s="761"/>
      <c r="AV146" s="761"/>
      <c r="AW146" s="761"/>
      <c r="AX146" s="761"/>
      <c r="AY146" s="761"/>
      <c r="AZ146" s="761"/>
      <c r="BA146" s="761"/>
      <c r="BB146" s="761"/>
      <c r="BC146" s="1216"/>
      <c r="BD146" s="1215"/>
      <c r="BE146" s="761"/>
      <c r="BF146" s="761"/>
      <c r="BG146" s="761"/>
      <c r="BH146" s="761"/>
      <c r="BI146" s="761"/>
      <c r="BJ146" s="761"/>
      <c r="BK146" s="761"/>
      <c r="BL146" s="761"/>
      <c r="BM146" s="761"/>
      <c r="BN146" s="761"/>
      <c r="BO146" s="1216"/>
      <c r="BP146" s="1215"/>
      <c r="BQ146" s="761"/>
      <c r="BR146" s="761"/>
      <c r="BS146" s="761"/>
      <c r="BT146" s="761"/>
      <c r="BU146" s="761"/>
      <c r="BV146" s="761"/>
      <c r="BW146" s="761"/>
      <c r="BX146" s="761"/>
      <c r="BY146" s="761"/>
      <c r="BZ146" s="761"/>
      <c r="CA146" s="1216"/>
      <c r="CB146" s="747"/>
      <c r="CC146" s="1222">
        <f>$G146*H146*Variables!$B$53</f>
        <v>0</v>
      </c>
      <c r="CD146" s="1223">
        <f>$G146*I146*Variables!$B$53</f>
        <v>0</v>
      </c>
      <c r="CE146" s="1223">
        <f>$G146*J146*Variables!$B$53</f>
        <v>0</v>
      </c>
      <c r="CF146" s="1223">
        <f>$G146*K146*Variables!$B$53</f>
        <v>0</v>
      </c>
      <c r="CG146" s="1223">
        <f>$G146*L146*Variables!$B$53</f>
        <v>0</v>
      </c>
      <c r="CH146" s="1223">
        <f>$G146*M146*Variables!$B$53</f>
        <v>0</v>
      </c>
      <c r="CI146" s="1223">
        <f>$G146*N146*Variables!$B$53</f>
        <v>0</v>
      </c>
      <c r="CJ146" s="1223">
        <f>$G146*O146*Variables!$B$53</f>
        <v>0</v>
      </c>
      <c r="CK146" s="1223">
        <f>$G146*P146*Variables!$B$53</f>
        <v>0</v>
      </c>
      <c r="CL146" s="1223">
        <f>$G146*Q146*Variables!$B$53</f>
        <v>0</v>
      </c>
      <c r="CM146" s="1223">
        <f>$G146*R146*Variables!$B$53</f>
        <v>0</v>
      </c>
      <c r="CN146" s="1225">
        <f>$G146*S146*Variables!$B$53</f>
        <v>0</v>
      </c>
      <c r="CO146" s="1222">
        <f>$G146*T146*Variables!$B$53*HLOOKUP($CO$2,Variables!$B$60:$F$61,2,FALSE)</f>
        <v>0</v>
      </c>
      <c r="CP146" s="1223">
        <f>$G146*U146*Variables!$B$53*HLOOKUP($CO$2,Variables!$B$60:$F$61,2,FALSE)</f>
        <v>0</v>
      </c>
      <c r="CQ146" s="1223">
        <f>$G146*V146*Variables!$B$53*HLOOKUP($CO$2,Variables!$B$60:$F$61,2,FALSE)</f>
        <v>0</v>
      </c>
      <c r="CR146" s="1223">
        <f>$G146*W146*Variables!$B$53*HLOOKUP($CO$2,Variables!$B$60:$F$61,2,FALSE)</f>
        <v>0</v>
      </c>
      <c r="CS146" s="1223">
        <f>$G146*X146*Variables!$B$53*HLOOKUP($CO$2,Variables!$B$60:$F$61,2,FALSE)</f>
        <v>0</v>
      </c>
      <c r="CT146" s="1223">
        <f>$G146*Y146*Variables!$B$53*HLOOKUP($CO$2,Variables!$B$60:$F$61,2,FALSE)</f>
        <v>0</v>
      </c>
      <c r="CU146" s="1223">
        <f>$G146*Z146*Variables!$B$53*HLOOKUP($CO$2,Variables!$B$60:$F$61,2,FALSE)</f>
        <v>0</v>
      </c>
      <c r="CV146" s="1223">
        <f>$G146*AA146*Variables!$B$53*HLOOKUP($CO$2,Variables!$B$60:$F$61,2,FALSE)</f>
        <v>0</v>
      </c>
      <c r="CW146" s="1223">
        <f>$G146*AB146*Variables!$B$53*HLOOKUP($CO$2,Variables!$B$60:$F$61,2,FALSE)</f>
        <v>0</v>
      </c>
      <c r="CX146" s="1223">
        <f>$G146*AC146*Variables!$B$53*HLOOKUP($CO$2,Variables!$B$60:$F$61,2,FALSE)</f>
        <v>0</v>
      </c>
      <c r="CY146" s="1223">
        <f>$G146*AD146*Variables!$B$53*HLOOKUP($CO$2,Variables!$B$60:$F$61,2,FALSE)</f>
        <v>0</v>
      </c>
      <c r="CZ146" s="1225">
        <f>$G146*AE146*Variables!$B$53*HLOOKUP($CO$2,Variables!$B$60:$F$61,2,FALSE)</f>
        <v>0</v>
      </c>
      <c r="DA146" s="1222">
        <f>$G146*AF146*Variables!$B$53*HLOOKUP($DA$2,Variables!$B$60:$F$61,2,FALSE)</f>
        <v>0</v>
      </c>
      <c r="DB146" s="1223">
        <f>$G146*AG146*Variables!$B$53*HLOOKUP($DA$2,Variables!$B$60:$F$61,2,FALSE)</f>
        <v>0</v>
      </c>
      <c r="DC146" s="1223">
        <f>$G146*AH146*Variables!$B$53*HLOOKUP($DA$2,Variables!$B$60:$F$61,2,FALSE)</f>
        <v>0</v>
      </c>
      <c r="DD146" s="1223">
        <f>$G146*AI146*Variables!$B$53*HLOOKUP($DA$2,Variables!$B$60:$F$61,2,FALSE)</f>
        <v>0</v>
      </c>
      <c r="DE146" s="1223">
        <f>$G146*AJ146*Variables!$B$53*HLOOKUP($DA$2,Variables!$B$60:$F$61,2,FALSE)</f>
        <v>0</v>
      </c>
      <c r="DF146" s="1223">
        <f>$G146*AK146*Variables!$B$53*HLOOKUP($DA$2,Variables!$B$60:$F$61,2,FALSE)</f>
        <v>0</v>
      </c>
      <c r="DG146" s="1223">
        <f>$G146*AL146*Variables!$B$53*HLOOKUP($DA$2,Variables!$B$60:$F$61,2,FALSE)</f>
        <v>0</v>
      </c>
      <c r="DH146" s="1223">
        <f>$G146*AM146*Variables!$B$53*HLOOKUP($DA$2,Variables!$B$60:$F$61,2,FALSE)</f>
        <v>0</v>
      </c>
      <c r="DI146" s="1223">
        <f>$G146*AN146*Variables!$B$53*HLOOKUP($DA$2,Variables!$B$60:$F$61,2,FALSE)</f>
        <v>0</v>
      </c>
      <c r="DJ146" s="1223">
        <f>$G146*AO146*Variables!$B$53*HLOOKUP($DA$2,Variables!$B$60:$F$61,2,FALSE)</f>
        <v>0</v>
      </c>
      <c r="DK146" s="1223">
        <f>$G146*AP146*Variables!$B$53*HLOOKUP($DA$2,Variables!$B$60:$F$61,2,FALSE)</f>
        <v>0</v>
      </c>
      <c r="DL146" s="1225">
        <f>$G146*AQ146*Variables!$B$53*HLOOKUP($DA$2,Variables!$B$60:$F$61,2,FALSE)</f>
        <v>0</v>
      </c>
      <c r="DM146" s="1222">
        <f>$G146*AR146*Variables!$B$53*HLOOKUP($DM$2,Variables!$B$60:$F$61,2,FALSE)</f>
        <v>0</v>
      </c>
      <c r="DN146" s="1223">
        <f>$G146*AS146*Variables!$B$53*HLOOKUP($DM$2,Variables!$B$60:$F$61,2,FALSE)</f>
        <v>0</v>
      </c>
      <c r="DO146" s="1223">
        <f>$G146*AT146*Variables!$B$53*HLOOKUP($DM$2,Variables!$B$60:$F$61,2,FALSE)</f>
        <v>0</v>
      </c>
      <c r="DP146" s="1223">
        <f>$G146*AU146*Variables!$B$53*HLOOKUP($DM$2,Variables!$B$60:$F$61,2,FALSE)</f>
        <v>0</v>
      </c>
      <c r="DQ146" s="1223">
        <f>$G146*AV146*Variables!$B$53*HLOOKUP($DM$2,Variables!$B$60:$F$61,2,FALSE)</f>
        <v>0</v>
      </c>
      <c r="DR146" s="1223">
        <f>$G146*AW146*Variables!$B$53*HLOOKUP($DM$2,Variables!$B$60:$F$61,2,FALSE)</f>
        <v>0</v>
      </c>
      <c r="DS146" s="1223">
        <f>$G146*AX146*Variables!$B$53*HLOOKUP($DM$2,Variables!$B$60:$F$61,2,FALSE)</f>
        <v>0</v>
      </c>
      <c r="DT146" s="1223">
        <f>$G146*AY146*Variables!$B$53*HLOOKUP($DM$2,Variables!$B$60:$F$61,2,FALSE)</f>
        <v>0</v>
      </c>
      <c r="DU146" s="1223">
        <f>$G146*AZ146*Variables!$B$53*HLOOKUP($DM$2,Variables!$B$60:$F$61,2,FALSE)</f>
        <v>0</v>
      </c>
      <c r="DV146" s="1223">
        <f>$G146*BA146*Variables!$B$53*HLOOKUP($DM$2,Variables!$B$60:$F$61,2,FALSE)</f>
        <v>0</v>
      </c>
      <c r="DW146" s="1223">
        <f>$G146*BB146*Variables!$B$53*HLOOKUP($DM$2,Variables!$B$60:$F$61,2,FALSE)</f>
        <v>0</v>
      </c>
      <c r="DX146" s="1225">
        <f>$G146*BC146*Variables!$B$53*HLOOKUP($DM$2,Variables!$B$60:$F$61,2,FALSE)</f>
        <v>0</v>
      </c>
      <c r="DY146" s="1222">
        <f>$G146*BD146*Variables!$B$53*HLOOKUP($DY$2,Variables!$B$60:$F$61,2,FALSE)</f>
        <v>0</v>
      </c>
      <c r="DZ146" s="1223">
        <f>$G146*BE146*Variables!$B$53*HLOOKUP($DY$2,Variables!$B$60:$F$61,2,FALSE)</f>
        <v>0</v>
      </c>
      <c r="EA146" s="1223">
        <f>$G146*BF146*Variables!$B$53*HLOOKUP($DY$2,Variables!$B$60:$F$61,2,FALSE)</f>
        <v>0</v>
      </c>
      <c r="EB146" s="1223">
        <f>$G146*BG146*Variables!$B$53*HLOOKUP($DY$2,Variables!$B$60:$F$61,2,FALSE)</f>
        <v>0</v>
      </c>
      <c r="EC146" s="1223">
        <f>$G146*BH146*Variables!$B$53*HLOOKUP($DY$2,Variables!$B$60:$F$61,2,FALSE)</f>
        <v>0</v>
      </c>
      <c r="ED146" s="1223">
        <f>$G146*BI146*Variables!$B$53*HLOOKUP($DY$2,Variables!$B$60:$F$61,2,FALSE)</f>
        <v>0</v>
      </c>
      <c r="EE146" s="1223">
        <f>$G146*BJ146*Variables!$B$53*HLOOKUP($DY$2,Variables!$B$60:$F$61,2,FALSE)</f>
        <v>0</v>
      </c>
      <c r="EF146" s="1223">
        <f>$G146*BK146*Variables!$B$53*HLOOKUP($DY$2,Variables!$B$60:$F$61,2,FALSE)</f>
        <v>0</v>
      </c>
      <c r="EG146" s="1223">
        <f>$G146*BL146*Variables!$B$53*HLOOKUP($DY$2,Variables!$B$60:$F$61,2,FALSE)</f>
        <v>0</v>
      </c>
      <c r="EH146" s="1223">
        <f>$G146*BM146*Variables!$B$53*HLOOKUP($DY$2,Variables!$B$60:$F$61,2,FALSE)</f>
        <v>0</v>
      </c>
      <c r="EI146" s="1223">
        <f>$G146*BN146*Variables!$B$53*HLOOKUP($DY$2,Variables!$B$60:$F$61,2,FALSE)</f>
        <v>0</v>
      </c>
      <c r="EJ146" s="1225">
        <f>$G146*BO146*Variables!$B$53*HLOOKUP($DY$2,Variables!$B$60:$F$61,2,FALSE)</f>
        <v>0</v>
      </c>
      <c r="EK146" s="1222">
        <f>$G146*BP146*Variables!$B$53*HLOOKUP($EK$2,Variables!$B$60:$F$61,2,FALSE)</f>
        <v>0</v>
      </c>
      <c r="EL146" s="1223">
        <f>$G146*BQ146*Variables!$B$53*HLOOKUP($EK$2,Variables!$B$60:$F$61,2,FALSE)</f>
        <v>0</v>
      </c>
      <c r="EM146" s="1223">
        <f>$G146*BR146*Variables!$B$53*HLOOKUP($EK$2,Variables!$B$60:$F$61,2,FALSE)</f>
        <v>0</v>
      </c>
      <c r="EN146" s="1223">
        <f>$G146*BS146*Variables!$B$53*HLOOKUP($EK$2,Variables!$B$60:$F$61,2,FALSE)</f>
        <v>0</v>
      </c>
      <c r="EO146" s="1223">
        <f>$G146*BT146*Variables!$B$53*HLOOKUP($EK$2,Variables!$B$60:$F$61,2,FALSE)</f>
        <v>0</v>
      </c>
      <c r="EP146" s="1223">
        <f>$G146*BU146*Variables!$B$53*HLOOKUP($EK$2,Variables!$B$60:$F$61,2,FALSE)</f>
        <v>0</v>
      </c>
      <c r="EQ146" s="1223">
        <f>$G146*BV146*Variables!$B$53*HLOOKUP($EK$2,Variables!$B$60:$F$61,2,FALSE)</f>
        <v>0</v>
      </c>
      <c r="ER146" s="1223">
        <f>$G146*BW146*Variables!$B$53*HLOOKUP($EK$2,Variables!$B$60:$F$61,2,FALSE)</f>
        <v>0</v>
      </c>
      <c r="ES146" s="1223">
        <f>$G146*BX146*Variables!$B$53*HLOOKUP($EK$2,Variables!$B$60:$F$61,2,FALSE)</f>
        <v>0</v>
      </c>
      <c r="ET146" s="1223">
        <f>$G146*BY146*Variables!$B$53*HLOOKUP($EK$2,Variables!$B$60:$F$61,2,FALSE)</f>
        <v>0</v>
      </c>
      <c r="EU146" s="1223">
        <f>$G146*BZ146*Variables!$B$53*HLOOKUP($EK$2,Variables!$B$60:$F$61,2,FALSE)</f>
        <v>0</v>
      </c>
      <c r="EV146" s="1225">
        <f>$G146*CA146*Variables!$B$53*HLOOKUP($EK$2,Variables!$B$60:$F$61,2,FALSE)</f>
        <v>0</v>
      </c>
      <c r="EW146" s="872">
        <f t="shared" si="23"/>
        <v>0</v>
      </c>
      <c r="EX146" s="872"/>
      <c r="EY146" s="872"/>
      <c r="EZ146" s="872"/>
      <c r="FA146" s="1332"/>
      <c r="FC146" s="958" t="str">
        <f t="shared" si="19"/>
        <v/>
      </c>
      <c r="FD146" s="959" t="str">
        <f t="shared" si="20"/>
        <v/>
      </c>
      <c r="FE146" s="959" t="s">
        <v>8407</v>
      </c>
      <c r="FF146" s="959" t="str">
        <f>IF(ISNA(VLOOKUP(FC146,Miscellaneous!E:F,2,0)),"",VLOOKUP(FC146,Miscellaneous!E:F,2,0))</f>
        <v/>
      </c>
      <c r="FG146" s="959" t="str">
        <f t="shared" si="21"/>
        <v/>
      </c>
      <c r="FH146" s="996">
        <f>IF($FG146="Opex",SUMIF('Monthly Summary'!$C$75:$N$75,"",CC146:CN146),SUMIF('Monthly Summary'!$C$74:$N$74,"",CC146:CN146))</f>
        <v>0</v>
      </c>
      <c r="FI146" s="996">
        <f>IF($FG146="Opex",SUMIF('Monthly Summary'!$O$75:$Z$75,"",CO146:CZ146),SUMIF('Monthly Summary'!$O$74:$Z$74,"",CO146:CZ146))</f>
        <v>0</v>
      </c>
      <c r="FJ146" s="996">
        <f>IF($FG146="Opex",SUMIF('Monthly Summary'!$AA$75:$AL$75,"",DA146:DL146),SUMIF('Monthly Summary'!$AA$74:$AL$74,"",DA146:DL146))</f>
        <v>0</v>
      </c>
      <c r="FK146" s="996">
        <f>IF($FG146="Opex",SUMIF('Monthly Summary'!$AM$75:$AX$75,"",DM146:DX146),SUMIF('Monthly Summary'!$AM$74:$AX$74,"",DM146:DX146))</f>
        <v>0</v>
      </c>
      <c r="FL146" s="996">
        <f>IF($FG146="Opex",SUMIF('Monthly Summary'!$AY$75:$BJ$75,"",DY146:EJ146),SUMIF('Monthly Summary'!$AY$74:$BJ$74,"",DY146:EJ146))</f>
        <v>0</v>
      </c>
      <c r="FM146" s="997">
        <f>IF($FG146="Opex",SUMIF('Monthly Summary'!$BK$75:$BV$75,"",EK146:EV146),SUMIF('Monthly Summary'!$BK$74:$BV$74,"",EK146:EV146))</f>
        <v>0</v>
      </c>
      <c r="FN146" s="997">
        <f t="shared" si="22"/>
        <v>0</v>
      </c>
    </row>
    <row r="147" spans="3:170">
      <c r="C147" s="757"/>
      <c r="D147" s="757"/>
      <c r="E147" s="758"/>
      <c r="F147" s="758"/>
      <c r="G147" s="758"/>
      <c r="H147" s="1215"/>
      <c r="I147" s="761"/>
      <c r="J147" s="761"/>
      <c r="K147" s="761"/>
      <c r="L147" s="761"/>
      <c r="M147" s="761"/>
      <c r="N147" s="761"/>
      <c r="O147" s="761"/>
      <c r="P147" s="761"/>
      <c r="Q147" s="761"/>
      <c r="R147" s="761"/>
      <c r="S147" s="1216"/>
      <c r="T147" s="1215"/>
      <c r="U147" s="761"/>
      <c r="V147" s="761"/>
      <c r="W147" s="761"/>
      <c r="X147" s="761"/>
      <c r="Y147" s="761"/>
      <c r="Z147" s="761"/>
      <c r="AA147" s="761"/>
      <c r="AB147" s="761"/>
      <c r="AC147" s="761"/>
      <c r="AD147" s="761"/>
      <c r="AE147" s="1216"/>
      <c r="AF147" s="1215"/>
      <c r="AG147" s="761"/>
      <c r="AH147" s="761"/>
      <c r="AI147" s="761"/>
      <c r="AJ147" s="761"/>
      <c r="AK147" s="761"/>
      <c r="AL147" s="761"/>
      <c r="AM147" s="761"/>
      <c r="AN147" s="761"/>
      <c r="AO147" s="761"/>
      <c r="AP147" s="761"/>
      <c r="AQ147" s="1216"/>
      <c r="AR147" s="1215"/>
      <c r="AS147" s="761"/>
      <c r="AT147" s="761"/>
      <c r="AU147" s="761"/>
      <c r="AV147" s="761"/>
      <c r="AW147" s="761"/>
      <c r="AX147" s="761"/>
      <c r="AY147" s="761"/>
      <c r="AZ147" s="761"/>
      <c r="BA147" s="761"/>
      <c r="BB147" s="761"/>
      <c r="BC147" s="1216"/>
      <c r="BD147" s="1215"/>
      <c r="BE147" s="761"/>
      <c r="BF147" s="761"/>
      <c r="BG147" s="761"/>
      <c r="BH147" s="761"/>
      <c r="BI147" s="761"/>
      <c r="BJ147" s="761"/>
      <c r="BK147" s="761"/>
      <c r="BL147" s="761"/>
      <c r="BM147" s="761"/>
      <c r="BN147" s="761"/>
      <c r="BO147" s="1216"/>
      <c r="BP147" s="1215"/>
      <c r="BQ147" s="761"/>
      <c r="BR147" s="761"/>
      <c r="BS147" s="761"/>
      <c r="BT147" s="761"/>
      <c r="BU147" s="761"/>
      <c r="BV147" s="761"/>
      <c r="BW147" s="761"/>
      <c r="BX147" s="761"/>
      <c r="BY147" s="761"/>
      <c r="BZ147" s="761"/>
      <c r="CA147" s="1216"/>
      <c r="CB147" s="747"/>
      <c r="CC147" s="1222">
        <f>$G147*H147*Variables!$B$53</f>
        <v>0</v>
      </c>
      <c r="CD147" s="1223">
        <f>$G147*I147*Variables!$B$53</f>
        <v>0</v>
      </c>
      <c r="CE147" s="1223">
        <f>$G147*J147*Variables!$B$53</f>
        <v>0</v>
      </c>
      <c r="CF147" s="1223">
        <f>$G147*K147*Variables!$B$53</f>
        <v>0</v>
      </c>
      <c r="CG147" s="1223">
        <f>$G147*L147*Variables!$B$53</f>
        <v>0</v>
      </c>
      <c r="CH147" s="1223">
        <f>$G147*M147*Variables!$B$53</f>
        <v>0</v>
      </c>
      <c r="CI147" s="1223">
        <f>$G147*N147*Variables!$B$53</f>
        <v>0</v>
      </c>
      <c r="CJ147" s="1223">
        <f>$G147*O147*Variables!$B$53</f>
        <v>0</v>
      </c>
      <c r="CK147" s="1223">
        <f>$G147*P147*Variables!$B$53</f>
        <v>0</v>
      </c>
      <c r="CL147" s="1223">
        <f>$G147*Q147*Variables!$B$53</f>
        <v>0</v>
      </c>
      <c r="CM147" s="1223">
        <f>$G147*R147*Variables!$B$53</f>
        <v>0</v>
      </c>
      <c r="CN147" s="1225">
        <f>$G147*S147*Variables!$B$53</f>
        <v>0</v>
      </c>
      <c r="CO147" s="1222">
        <f>$G147*T147*Variables!$B$53*HLOOKUP($CO$2,Variables!$B$60:$F$61,2,FALSE)</f>
        <v>0</v>
      </c>
      <c r="CP147" s="1223">
        <f>$G147*U147*Variables!$B$53*HLOOKUP($CO$2,Variables!$B$60:$F$61,2,FALSE)</f>
        <v>0</v>
      </c>
      <c r="CQ147" s="1223">
        <f>$G147*V147*Variables!$B$53*HLOOKUP($CO$2,Variables!$B$60:$F$61,2,FALSE)</f>
        <v>0</v>
      </c>
      <c r="CR147" s="1223">
        <f>$G147*W147*Variables!$B$53*HLOOKUP($CO$2,Variables!$B$60:$F$61,2,FALSE)</f>
        <v>0</v>
      </c>
      <c r="CS147" s="1223">
        <f>$G147*X147*Variables!$B$53*HLOOKUP($CO$2,Variables!$B$60:$F$61,2,FALSE)</f>
        <v>0</v>
      </c>
      <c r="CT147" s="1223">
        <f>$G147*Y147*Variables!$B$53*HLOOKUP($CO$2,Variables!$B$60:$F$61,2,FALSE)</f>
        <v>0</v>
      </c>
      <c r="CU147" s="1223">
        <f>$G147*Z147*Variables!$B$53*HLOOKUP($CO$2,Variables!$B$60:$F$61,2,FALSE)</f>
        <v>0</v>
      </c>
      <c r="CV147" s="1223">
        <f>$G147*AA147*Variables!$B$53*HLOOKUP($CO$2,Variables!$B$60:$F$61,2,FALSE)</f>
        <v>0</v>
      </c>
      <c r="CW147" s="1223">
        <f>$G147*AB147*Variables!$B$53*HLOOKUP($CO$2,Variables!$B$60:$F$61,2,FALSE)</f>
        <v>0</v>
      </c>
      <c r="CX147" s="1223">
        <f>$G147*AC147*Variables!$B$53*HLOOKUP($CO$2,Variables!$B$60:$F$61,2,FALSE)</f>
        <v>0</v>
      </c>
      <c r="CY147" s="1223">
        <f>$G147*AD147*Variables!$B$53*HLOOKUP($CO$2,Variables!$B$60:$F$61,2,FALSE)</f>
        <v>0</v>
      </c>
      <c r="CZ147" s="1225">
        <f>$G147*AE147*Variables!$B$53*HLOOKUP($CO$2,Variables!$B$60:$F$61,2,FALSE)</f>
        <v>0</v>
      </c>
      <c r="DA147" s="1222">
        <f>$G147*AF147*Variables!$B$53*HLOOKUP($DA$2,Variables!$B$60:$F$61,2,FALSE)</f>
        <v>0</v>
      </c>
      <c r="DB147" s="1223">
        <f>$G147*AG147*Variables!$B$53*HLOOKUP($DA$2,Variables!$B$60:$F$61,2,FALSE)</f>
        <v>0</v>
      </c>
      <c r="DC147" s="1223">
        <f>$G147*AH147*Variables!$B$53*HLOOKUP($DA$2,Variables!$B$60:$F$61,2,FALSE)</f>
        <v>0</v>
      </c>
      <c r="DD147" s="1223">
        <f>$G147*AI147*Variables!$B$53*HLOOKUP($DA$2,Variables!$B$60:$F$61,2,FALSE)</f>
        <v>0</v>
      </c>
      <c r="DE147" s="1223">
        <f>$G147*AJ147*Variables!$B$53*HLOOKUP($DA$2,Variables!$B$60:$F$61,2,FALSE)</f>
        <v>0</v>
      </c>
      <c r="DF147" s="1223">
        <f>$G147*AK147*Variables!$B$53*HLOOKUP($DA$2,Variables!$B$60:$F$61,2,FALSE)</f>
        <v>0</v>
      </c>
      <c r="DG147" s="1223">
        <f>$G147*AL147*Variables!$B$53*HLOOKUP($DA$2,Variables!$B$60:$F$61,2,FALSE)</f>
        <v>0</v>
      </c>
      <c r="DH147" s="1223">
        <f>$G147*AM147*Variables!$B$53*HLOOKUP($DA$2,Variables!$B$60:$F$61,2,FALSE)</f>
        <v>0</v>
      </c>
      <c r="DI147" s="1223">
        <f>$G147*AN147*Variables!$B$53*HLOOKUP($DA$2,Variables!$B$60:$F$61,2,FALSE)</f>
        <v>0</v>
      </c>
      <c r="DJ147" s="1223">
        <f>$G147*AO147*Variables!$B$53*HLOOKUP($DA$2,Variables!$B$60:$F$61,2,FALSE)</f>
        <v>0</v>
      </c>
      <c r="DK147" s="1223">
        <f>$G147*AP147*Variables!$B$53*HLOOKUP($DA$2,Variables!$B$60:$F$61,2,FALSE)</f>
        <v>0</v>
      </c>
      <c r="DL147" s="1225">
        <f>$G147*AQ147*Variables!$B$53*HLOOKUP($DA$2,Variables!$B$60:$F$61,2,FALSE)</f>
        <v>0</v>
      </c>
      <c r="DM147" s="1222">
        <f>$G147*AR147*Variables!$B$53*HLOOKUP($DM$2,Variables!$B$60:$F$61,2,FALSE)</f>
        <v>0</v>
      </c>
      <c r="DN147" s="1223">
        <f>$G147*AS147*Variables!$B$53*HLOOKUP($DM$2,Variables!$B$60:$F$61,2,FALSE)</f>
        <v>0</v>
      </c>
      <c r="DO147" s="1223">
        <f>$G147*AT147*Variables!$B$53*HLOOKUP($DM$2,Variables!$B$60:$F$61,2,FALSE)</f>
        <v>0</v>
      </c>
      <c r="DP147" s="1223">
        <f>$G147*AU147*Variables!$B$53*HLOOKUP($DM$2,Variables!$B$60:$F$61,2,FALSE)</f>
        <v>0</v>
      </c>
      <c r="DQ147" s="1223">
        <f>$G147*AV147*Variables!$B$53*HLOOKUP($DM$2,Variables!$B$60:$F$61,2,FALSE)</f>
        <v>0</v>
      </c>
      <c r="DR147" s="1223">
        <f>$G147*AW147*Variables!$B$53*HLOOKUP($DM$2,Variables!$B$60:$F$61,2,FALSE)</f>
        <v>0</v>
      </c>
      <c r="DS147" s="1223">
        <f>$G147*AX147*Variables!$B$53*HLOOKUP($DM$2,Variables!$B$60:$F$61,2,FALSE)</f>
        <v>0</v>
      </c>
      <c r="DT147" s="1223">
        <f>$G147*AY147*Variables!$B$53*HLOOKUP($DM$2,Variables!$B$60:$F$61,2,FALSE)</f>
        <v>0</v>
      </c>
      <c r="DU147" s="1223">
        <f>$G147*AZ147*Variables!$B$53*HLOOKUP($DM$2,Variables!$B$60:$F$61,2,FALSE)</f>
        <v>0</v>
      </c>
      <c r="DV147" s="1223">
        <f>$G147*BA147*Variables!$B$53*HLOOKUP($DM$2,Variables!$B$60:$F$61,2,FALSE)</f>
        <v>0</v>
      </c>
      <c r="DW147" s="1223">
        <f>$G147*BB147*Variables!$B$53*HLOOKUP($DM$2,Variables!$B$60:$F$61,2,FALSE)</f>
        <v>0</v>
      </c>
      <c r="DX147" s="1225">
        <f>$G147*BC147*Variables!$B$53*HLOOKUP($DM$2,Variables!$B$60:$F$61,2,FALSE)</f>
        <v>0</v>
      </c>
      <c r="DY147" s="1222">
        <f>$G147*BD147*Variables!$B$53*HLOOKUP($DY$2,Variables!$B$60:$F$61,2,FALSE)</f>
        <v>0</v>
      </c>
      <c r="DZ147" s="1223">
        <f>$G147*BE147*Variables!$B$53*HLOOKUP($DY$2,Variables!$B$60:$F$61,2,FALSE)</f>
        <v>0</v>
      </c>
      <c r="EA147" s="1223">
        <f>$G147*BF147*Variables!$B$53*HLOOKUP($DY$2,Variables!$B$60:$F$61,2,FALSE)</f>
        <v>0</v>
      </c>
      <c r="EB147" s="1223">
        <f>$G147*BG147*Variables!$B$53*HLOOKUP($DY$2,Variables!$B$60:$F$61,2,FALSE)</f>
        <v>0</v>
      </c>
      <c r="EC147" s="1223">
        <f>$G147*BH147*Variables!$B$53*HLOOKUP($DY$2,Variables!$B$60:$F$61,2,FALSE)</f>
        <v>0</v>
      </c>
      <c r="ED147" s="1223">
        <f>$G147*BI147*Variables!$B$53*HLOOKUP($DY$2,Variables!$B$60:$F$61,2,FALSE)</f>
        <v>0</v>
      </c>
      <c r="EE147" s="1223">
        <f>$G147*BJ147*Variables!$B$53*HLOOKUP($DY$2,Variables!$B$60:$F$61,2,FALSE)</f>
        <v>0</v>
      </c>
      <c r="EF147" s="1223">
        <f>$G147*BK147*Variables!$B$53*HLOOKUP($DY$2,Variables!$B$60:$F$61,2,FALSE)</f>
        <v>0</v>
      </c>
      <c r="EG147" s="1223">
        <f>$G147*BL147*Variables!$B$53*HLOOKUP($DY$2,Variables!$B$60:$F$61,2,FALSE)</f>
        <v>0</v>
      </c>
      <c r="EH147" s="1223">
        <f>$G147*BM147*Variables!$B$53*HLOOKUP($DY$2,Variables!$B$60:$F$61,2,FALSE)</f>
        <v>0</v>
      </c>
      <c r="EI147" s="1223">
        <f>$G147*BN147*Variables!$B$53*HLOOKUP($DY$2,Variables!$B$60:$F$61,2,FALSE)</f>
        <v>0</v>
      </c>
      <c r="EJ147" s="1225">
        <f>$G147*BO147*Variables!$B$53*HLOOKUP($DY$2,Variables!$B$60:$F$61,2,FALSE)</f>
        <v>0</v>
      </c>
      <c r="EK147" s="1222">
        <f>$G147*BP147*Variables!$B$53*HLOOKUP($EK$2,Variables!$B$60:$F$61,2,FALSE)</f>
        <v>0</v>
      </c>
      <c r="EL147" s="1223">
        <f>$G147*BQ147*Variables!$B$53*HLOOKUP($EK$2,Variables!$B$60:$F$61,2,FALSE)</f>
        <v>0</v>
      </c>
      <c r="EM147" s="1223">
        <f>$G147*BR147*Variables!$B$53*HLOOKUP($EK$2,Variables!$B$60:$F$61,2,FALSE)</f>
        <v>0</v>
      </c>
      <c r="EN147" s="1223">
        <f>$G147*BS147*Variables!$B$53*HLOOKUP($EK$2,Variables!$B$60:$F$61,2,FALSE)</f>
        <v>0</v>
      </c>
      <c r="EO147" s="1223">
        <f>$G147*BT147*Variables!$B$53*HLOOKUP($EK$2,Variables!$B$60:$F$61,2,FALSE)</f>
        <v>0</v>
      </c>
      <c r="EP147" s="1223">
        <f>$G147*BU147*Variables!$B$53*HLOOKUP($EK$2,Variables!$B$60:$F$61,2,FALSE)</f>
        <v>0</v>
      </c>
      <c r="EQ147" s="1223">
        <f>$G147*BV147*Variables!$B$53*HLOOKUP($EK$2,Variables!$B$60:$F$61,2,FALSE)</f>
        <v>0</v>
      </c>
      <c r="ER147" s="1223">
        <f>$G147*BW147*Variables!$B$53*HLOOKUP($EK$2,Variables!$B$60:$F$61,2,FALSE)</f>
        <v>0</v>
      </c>
      <c r="ES147" s="1223">
        <f>$G147*BX147*Variables!$B$53*HLOOKUP($EK$2,Variables!$B$60:$F$61,2,FALSE)</f>
        <v>0</v>
      </c>
      <c r="ET147" s="1223">
        <f>$G147*BY147*Variables!$B$53*HLOOKUP($EK$2,Variables!$B$60:$F$61,2,FALSE)</f>
        <v>0</v>
      </c>
      <c r="EU147" s="1223">
        <f>$G147*BZ147*Variables!$B$53*HLOOKUP($EK$2,Variables!$B$60:$F$61,2,FALSE)</f>
        <v>0</v>
      </c>
      <c r="EV147" s="1225">
        <f>$G147*CA147*Variables!$B$53*HLOOKUP($EK$2,Variables!$B$60:$F$61,2,FALSE)</f>
        <v>0</v>
      </c>
      <c r="EW147" s="872">
        <f t="shared" si="23"/>
        <v>0</v>
      </c>
      <c r="EX147" s="872"/>
      <c r="EY147" s="872"/>
      <c r="EZ147" s="872"/>
      <c r="FA147" s="1332"/>
      <c r="FC147" s="958" t="str">
        <f t="shared" si="19"/>
        <v/>
      </c>
      <c r="FD147" s="959" t="str">
        <f t="shared" si="20"/>
        <v/>
      </c>
      <c r="FE147" s="959" t="s">
        <v>8407</v>
      </c>
      <c r="FF147" s="959" t="str">
        <f>IF(ISNA(VLOOKUP(FC147,Miscellaneous!E:F,2,0)),"",VLOOKUP(FC147,Miscellaneous!E:F,2,0))</f>
        <v/>
      </c>
      <c r="FG147" s="959" t="str">
        <f t="shared" si="21"/>
        <v/>
      </c>
      <c r="FH147" s="996">
        <f>IF($FG147="Opex",SUMIF('Monthly Summary'!$C$75:$N$75,"",CC147:CN147),SUMIF('Monthly Summary'!$C$74:$N$74,"",CC147:CN147))</f>
        <v>0</v>
      </c>
      <c r="FI147" s="996">
        <f>IF($FG147="Opex",SUMIF('Monthly Summary'!$O$75:$Z$75,"",CO147:CZ147),SUMIF('Monthly Summary'!$O$74:$Z$74,"",CO147:CZ147))</f>
        <v>0</v>
      </c>
      <c r="FJ147" s="996">
        <f>IF($FG147="Opex",SUMIF('Monthly Summary'!$AA$75:$AL$75,"",DA147:DL147),SUMIF('Monthly Summary'!$AA$74:$AL$74,"",DA147:DL147))</f>
        <v>0</v>
      </c>
      <c r="FK147" s="996">
        <f>IF($FG147="Opex",SUMIF('Monthly Summary'!$AM$75:$AX$75,"",DM147:DX147),SUMIF('Monthly Summary'!$AM$74:$AX$74,"",DM147:DX147))</f>
        <v>0</v>
      </c>
      <c r="FL147" s="996">
        <f>IF($FG147="Opex",SUMIF('Monthly Summary'!$AY$75:$BJ$75,"",DY147:EJ147),SUMIF('Monthly Summary'!$AY$74:$BJ$74,"",DY147:EJ147))</f>
        <v>0</v>
      </c>
      <c r="FM147" s="997">
        <f>IF($FG147="Opex",SUMIF('Monthly Summary'!$BK$75:$BV$75,"",EK147:EV147),SUMIF('Monthly Summary'!$BK$74:$BV$74,"",EK147:EV147))</f>
        <v>0</v>
      </c>
      <c r="FN147" s="997">
        <f t="shared" si="22"/>
        <v>0</v>
      </c>
    </row>
    <row r="148" spans="3:170">
      <c r="C148" s="757"/>
      <c r="D148" s="757"/>
      <c r="E148" s="758"/>
      <c r="F148" s="758"/>
      <c r="G148" s="758"/>
      <c r="H148" s="1215"/>
      <c r="I148" s="761"/>
      <c r="J148" s="761"/>
      <c r="K148" s="761"/>
      <c r="L148" s="761"/>
      <c r="M148" s="761"/>
      <c r="N148" s="761"/>
      <c r="O148" s="761"/>
      <c r="P148" s="761"/>
      <c r="Q148" s="761"/>
      <c r="R148" s="761"/>
      <c r="S148" s="1216"/>
      <c r="T148" s="1215"/>
      <c r="U148" s="761"/>
      <c r="V148" s="761"/>
      <c r="W148" s="761"/>
      <c r="X148" s="761"/>
      <c r="Y148" s="761"/>
      <c r="Z148" s="761"/>
      <c r="AA148" s="761"/>
      <c r="AB148" s="761"/>
      <c r="AC148" s="761"/>
      <c r="AD148" s="761"/>
      <c r="AE148" s="1216"/>
      <c r="AF148" s="1215"/>
      <c r="AG148" s="761"/>
      <c r="AH148" s="761"/>
      <c r="AI148" s="761"/>
      <c r="AJ148" s="761"/>
      <c r="AK148" s="761"/>
      <c r="AL148" s="761"/>
      <c r="AM148" s="761"/>
      <c r="AN148" s="761"/>
      <c r="AO148" s="761"/>
      <c r="AP148" s="761"/>
      <c r="AQ148" s="1216"/>
      <c r="AR148" s="1215"/>
      <c r="AS148" s="761"/>
      <c r="AT148" s="761"/>
      <c r="AU148" s="761"/>
      <c r="AV148" s="761"/>
      <c r="AW148" s="761"/>
      <c r="AX148" s="761"/>
      <c r="AY148" s="761"/>
      <c r="AZ148" s="761"/>
      <c r="BA148" s="761"/>
      <c r="BB148" s="761"/>
      <c r="BC148" s="1216"/>
      <c r="BD148" s="1215"/>
      <c r="BE148" s="761"/>
      <c r="BF148" s="761"/>
      <c r="BG148" s="761"/>
      <c r="BH148" s="761"/>
      <c r="BI148" s="761"/>
      <c r="BJ148" s="761"/>
      <c r="BK148" s="761"/>
      <c r="BL148" s="761"/>
      <c r="BM148" s="761"/>
      <c r="BN148" s="761"/>
      <c r="BO148" s="1216"/>
      <c r="BP148" s="1215"/>
      <c r="BQ148" s="761"/>
      <c r="BR148" s="761"/>
      <c r="BS148" s="761"/>
      <c r="BT148" s="761"/>
      <c r="BU148" s="761"/>
      <c r="BV148" s="761"/>
      <c r="BW148" s="761"/>
      <c r="BX148" s="761"/>
      <c r="BY148" s="761"/>
      <c r="BZ148" s="761"/>
      <c r="CA148" s="1216"/>
      <c r="CB148" s="747"/>
      <c r="CC148" s="1222">
        <f>$G148*H148*Variables!$B$53</f>
        <v>0</v>
      </c>
      <c r="CD148" s="1223">
        <f>$G148*I148*Variables!$B$53</f>
        <v>0</v>
      </c>
      <c r="CE148" s="1223">
        <f>$G148*J148*Variables!$B$53</f>
        <v>0</v>
      </c>
      <c r="CF148" s="1223">
        <f>$G148*K148*Variables!$B$53</f>
        <v>0</v>
      </c>
      <c r="CG148" s="1223">
        <f>$G148*L148*Variables!$B$53</f>
        <v>0</v>
      </c>
      <c r="CH148" s="1223">
        <f>$G148*M148*Variables!$B$53</f>
        <v>0</v>
      </c>
      <c r="CI148" s="1223">
        <f>$G148*N148*Variables!$B$53</f>
        <v>0</v>
      </c>
      <c r="CJ148" s="1223">
        <f>$G148*O148*Variables!$B$53</f>
        <v>0</v>
      </c>
      <c r="CK148" s="1223">
        <f>$G148*P148*Variables!$B$53</f>
        <v>0</v>
      </c>
      <c r="CL148" s="1223">
        <f>$G148*Q148*Variables!$B$53</f>
        <v>0</v>
      </c>
      <c r="CM148" s="1223">
        <f>$G148*R148*Variables!$B$53</f>
        <v>0</v>
      </c>
      <c r="CN148" s="1225">
        <f>$G148*S148*Variables!$B$53</f>
        <v>0</v>
      </c>
      <c r="CO148" s="1222">
        <f>$G148*T148*Variables!$B$53*HLOOKUP($CO$2,Variables!$B$60:$F$61,2,FALSE)</f>
        <v>0</v>
      </c>
      <c r="CP148" s="1223">
        <f>$G148*U148*Variables!$B$53*HLOOKUP($CO$2,Variables!$B$60:$F$61,2,FALSE)</f>
        <v>0</v>
      </c>
      <c r="CQ148" s="1223">
        <f>$G148*V148*Variables!$B$53*HLOOKUP($CO$2,Variables!$B$60:$F$61,2,FALSE)</f>
        <v>0</v>
      </c>
      <c r="CR148" s="1223">
        <f>$G148*W148*Variables!$B$53*HLOOKUP($CO$2,Variables!$B$60:$F$61,2,FALSE)</f>
        <v>0</v>
      </c>
      <c r="CS148" s="1223">
        <f>$G148*X148*Variables!$B$53*HLOOKUP($CO$2,Variables!$B$60:$F$61,2,FALSE)</f>
        <v>0</v>
      </c>
      <c r="CT148" s="1223">
        <f>$G148*Y148*Variables!$B$53*HLOOKUP($CO$2,Variables!$B$60:$F$61,2,FALSE)</f>
        <v>0</v>
      </c>
      <c r="CU148" s="1223">
        <f>$G148*Z148*Variables!$B$53*HLOOKUP($CO$2,Variables!$B$60:$F$61,2,FALSE)</f>
        <v>0</v>
      </c>
      <c r="CV148" s="1223">
        <f>$G148*AA148*Variables!$B$53*HLOOKUP($CO$2,Variables!$B$60:$F$61,2,FALSE)</f>
        <v>0</v>
      </c>
      <c r="CW148" s="1223">
        <f>$G148*AB148*Variables!$B$53*HLOOKUP($CO$2,Variables!$B$60:$F$61,2,FALSE)</f>
        <v>0</v>
      </c>
      <c r="CX148" s="1223">
        <f>$G148*AC148*Variables!$B$53*HLOOKUP($CO$2,Variables!$B$60:$F$61,2,FALSE)</f>
        <v>0</v>
      </c>
      <c r="CY148" s="1223">
        <f>$G148*AD148*Variables!$B$53*HLOOKUP($CO$2,Variables!$B$60:$F$61,2,FALSE)</f>
        <v>0</v>
      </c>
      <c r="CZ148" s="1225">
        <f>$G148*AE148*Variables!$B$53*HLOOKUP($CO$2,Variables!$B$60:$F$61,2,FALSE)</f>
        <v>0</v>
      </c>
      <c r="DA148" s="1222">
        <f>$G148*AF148*Variables!$B$53*HLOOKUP($DA$2,Variables!$B$60:$F$61,2,FALSE)</f>
        <v>0</v>
      </c>
      <c r="DB148" s="1223">
        <f>$G148*AG148*Variables!$B$53*HLOOKUP($DA$2,Variables!$B$60:$F$61,2,FALSE)</f>
        <v>0</v>
      </c>
      <c r="DC148" s="1223">
        <f>$G148*AH148*Variables!$B$53*HLOOKUP($DA$2,Variables!$B$60:$F$61,2,FALSE)</f>
        <v>0</v>
      </c>
      <c r="DD148" s="1223">
        <f>$G148*AI148*Variables!$B$53*HLOOKUP($DA$2,Variables!$B$60:$F$61,2,FALSE)</f>
        <v>0</v>
      </c>
      <c r="DE148" s="1223">
        <f>$G148*AJ148*Variables!$B$53*HLOOKUP($DA$2,Variables!$B$60:$F$61,2,FALSE)</f>
        <v>0</v>
      </c>
      <c r="DF148" s="1223">
        <f>$G148*AK148*Variables!$B$53*HLOOKUP($DA$2,Variables!$B$60:$F$61,2,FALSE)</f>
        <v>0</v>
      </c>
      <c r="DG148" s="1223">
        <f>$G148*AL148*Variables!$B$53*HLOOKUP($DA$2,Variables!$B$60:$F$61,2,FALSE)</f>
        <v>0</v>
      </c>
      <c r="DH148" s="1223">
        <f>$G148*AM148*Variables!$B$53*HLOOKUP($DA$2,Variables!$B$60:$F$61,2,FALSE)</f>
        <v>0</v>
      </c>
      <c r="DI148" s="1223">
        <f>$G148*AN148*Variables!$B$53*HLOOKUP($DA$2,Variables!$B$60:$F$61,2,FALSE)</f>
        <v>0</v>
      </c>
      <c r="DJ148" s="1223">
        <f>$G148*AO148*Variables!$B$53*HLOOKUP($DA$2,Variables!$B$60:$F$61,2,FALSE)</f>
        <v>0</v>
      </c>
      <c r="DK148" s="1223">
        <f>$G148*AP148*Variables!$B$53*HLOOKUP($DA$2,Variables!$B$60:$F$61,2,FALSE)</f>
        <v>0</v>
      </c>
      <c r="DL148" s="1225">
        <f>$G148*AQ148*Variables!$B$53*HLOOKUP($DA$2,Variables!$B$60:$F$61,2,FALSE)</f>
        <v>0</v>
      </c>
      <c r="DM148" s="1222">
        <f>$G148*AR148*Variables!$B$53*HLOOKUP($DM$2,Variables!$B$60:$F$61,2,FALSE)</f>
        <v>0</v>
      </c>
      <c r="DN148" s="1223">
        <f>$G148*AS148*Variables!$B$53*HLOOKUP($DM$2,Variables!$B$60:$F$61,2,FALSE)</f>
        <v>0</v>
      </c>
      <c r="DO148" s="1223">
        <f>$G148*AT148*Variables!$B$53*HLOOKUP($DM$2,Variables!$B$60:$F$61,2,FALSE)</f>
        <v>0</v>
      </c>
      <c r="DP148" s="1223">
        <f>$G148*AU148*Variables!$B$53*HLOOKUP($DM$2,Variables!$B$60:$F$61,2,FALSE)</f>
        <v>0</v>
      </c>
      <c r="DQ148" s="1223">
        <f>$G148*AV148*Variables!$B$53*HLOOKUP($DM$2,Variables!$B$60:$F$61,2,FALSE)</f>
        <v>0</v>
      </c>
      <c r="DR148" s="1223">
        <f>$G148*AW148*Variables!$B$53*HLOOKUP($DM$2,Variables!$B$60:$F$61,2,FALSE)</f>
        <v>0</v>
      </c>
      <c r="DS148" s="1223">
        <f>$G148*AX148*Variables!$B$53*HLOOKUP($DM$2,Variables!$B$60:$F$61,2,FALSE)</f>
        <v>0</v>
      </c>
      <c r="DT148" s="1223">
        <f>$G148*AY148*Variables!$B$53*HLOOKUP($DM$2,Variables!$B$60:$F$61,2,FALSE)</f>
        <v>0</v>
      </c>
      <c r="DU148" s="1223">
        <f>$G148*AZ148*Variables!$B$53*HLOOKUP($DM$2,Variables!$B$60:$F$61,2,FALSE)</f>
        <v>0</v>
      </c>
      <c r="DV148" s="1223">
        <f>$G148*BA148*Variables!$B$53*HLOOKUP($DM$2,Variables!$B$60:$F$61,2,FALSE)</f>
        <v>0</v>
      </c>
      <c r="DW148" s="1223">
        <f>$G148*BB148*Variables!$B$53*HLOOKUP($DM$2,Variables!$B$60:$F$61,2,FALSE)</f>
        <v>0</v>
      </c>
      <c r="DX148" s="1225">
        <f>$G148*BC148*Variables!$B$53*HLOOKUP($DM$2,Variables!$B$60:$F$61,2,FALSE)</f>
        <v>0</v>
      </c>
      <c r="DY148" s="1222">
        <f>$G148*BD148*Variables!$B$53*HLOOKUP($DY$2,Variables!$B$60:$F$61,2,FALSE)</f>
        <v>0</v>
      </c>
      <c r="DZ148" s="1223">
        <f>$G148*BE148*Variables!$B$53*HLOOKUP($DY$2,Variables!$B$60:$F$61,2,FALSE)</f>
        <v>0</v>
      </c>
      <c r="EA148" s="1223">
        <f>$G148*BF148*Variables!$B$53*HLOOKUP($DY$2,Variables!$B$60:$F$61,2,FALSE)</f>
        <v>0</v>
      </c>
      <c r="EB148" s="1223">
        <f>$G148*BG148*Variables!$B$53*HLOOKUP($DY$2,Variables!$B$60:$F$61,2,FALSE)</f>
        <v>0</v>
      </c>
      <c r="EC148" s="1223">
        <f>$G148*BH148*Variables!$B$53*HLOOKUP($DY$2,Variables!$B$60:$F$61,2,FALSE)</f>
        <v>0</v>
      </c>
      <c r="ED148" s="1223">
        <f>$G148*BI148*Variables!$B$53*HLOOKUP($DY$2,Variables!$B$60:$F$61,2,FALSE)</f>
        <v>0</v>
      </c>
      <c r="EE148" s="1223">
        <f>$G148*BJ148*Variables!$B$53*HLOOKUP($DY$2,Variables!$B$60:$F$61,2,FALSE)</f>
        <v>0</v>
      </c>
      <c r="EF148" s="1223">
        <f>$G148*BK148*Variables!$B$53*HLOOKUP($DY$2,Variables!$B$60:$F$61,2,FALSE)</f>
        <v>0</v>
      </c>
      <c r="EG148" s="1223">
        <f>$G148*BL148*Variables!$B$53*HLOOKUP($DY$2,Variables!$B$60:$F$61,2,FALSE)</f>
        <v>0</v>
      </c>
      <c r="EH148" s="1223">
        <f>$G148*BM148*Variables!$B$53*HLOOKUP($DY$2,Variables!$B$60:$F$61,2,FALSE)</f>
        <v>0</v>
      </c>
      <c r="EI148" s="1223">
        <f>$G148*BN148*Variables!$B$53*HLOOKUP($DY$2,Variables!$B$60:$F$61,2,FALSE)</f>
        <v>0</v>
      </c>
      <c r="EJ148" s="1225">
        <f>$G148*BO148*Variables!$B$53*HLOOKUP($DY$2,Variables!$B$60:$F$61,2,FALSE)</f>
        <v>0</v>
      </c>
      <c r="EK148" s="1222">
        <f>$G148*BP148*Variables!$B$53*HLOOKUP($EK$2,Variables!$B$60:$F$61,2,FALSE)</f>
        <v>0</v>
      </c>
      <c r="EL148" s="1223">
        <f>$G148*BQ148*Variables!$B$53*HLOOKUP($EK$2,Variables!$B$60:$F$61,2,FALSE)</f>
        <v>0</v>
      </c>
      <c r="EM148" s="1223">
        <f>$G148*BR148*Variables!$B$53*HLOOKUP($EK$2,Variables!$B$60:$F$61,2,FALSE)</f>
        <v>0</v>
      </c>
      <c r="EN148" s="1223">
        <f>$G148*BS148*Variables!$B$53*HLOOKUP($EK$2,Variables!$B$60:$F$61,2,FALSE)</f>
        <v>0</v>
      </c>
      <c r="EO148" s="1223">
        <f>$G148*BT148*Variables!$B$53*HLOOKUP($EK$2,Variables!$B$60:$F$61,2,FALSE)</f>
        <v>0</v>
      </c>
      <c r="EP148" s="1223">
        <f>$G148*BU148*Variables!$B$53*HLOOKUP($EK$2,Variables!$B$60:$F$61,2,FALSE)</f>
        <v>0</v>
      </c>
      <c r="EQ148" s="1223">
        <f>$G148*BV148*Variables!$B$53*HLOOKUP($EK$2,Variables!$B$60:$F$61,2,FALSE)</f>
        <v>0</v>
      </c>
      <c r="ER148" s="1223">
        <f>$G148*BW148*Variables!$B$53*HLOOKUP($EK$2,Variables!$B$60:$F$61,2,FALSE)</f>
        <v>0</v>
      </c>
      <c r="ES148" s="1223">
        <f>$G148*BX148*Variables!$B$53*HLOOKUP($EK$2,Variables!$B$60:$F$61,2,FALSE)</f>
        <v>0</v>
      </c>
      <c r="ET148" s="1223">
        <f>$G148*BY148*Variables!$B$53*HLOOKUP($EK$2,Variables!$B$60:$F$61,2,FALSE)</f>
        <v>0</v>
      </c>
      <c r="EU148" s="1223">
        <f>$G148*BZ148*Variables!$B$53*HLOOKUP($EK$2,Variables!$B$60:$F$61,2,FALSE)</f>
        <v>0</v>
      </c>
      <c r="EV148" s="1225">
        <f>$G148*CA148*Variables!$B$53*HLOOKUP($EK$2,Variables!$B$60:$F$61,2,FALSE)</f>
        <v>0</v>
      </c>
      <c r="EW148" s="872">
        <f t="shared" si="23"/>
        <v>0</v>
      </c>
      <c r="EX148" s="872"/>
      <c r="EY148" s="872"/>
      <c r="EZ148" s="872"/>
      <c r="FA148" s="1332"/>
      <c r="FC148" s="958" t="str">
        <f t="shared" si="19"/>
        <v/>
      </c>
      <c r="FD148" s="959" t="str">
        <f t="shared" si="20"/>
        <v/>
      </c>
      <c r="FE148" s="959" t="s">
        <v>8407</v>
      </c>
      <c r="FF148" s="959" t="str">
        <f>IF(ISNA(VLOOKUP(FC148,Miscellaneous!E:F,2,0)),"",VLOOKUP(FC148,Miscellaneous!E:F,2,0))</f>
        <v/>
      </c>
      <c r="FG148" s="959" t="str">
        <f t="shared" si="21"/>
        <v/>
      </c>
      <c r="FH148" s="996">
        <f>IF($FG148="Opex",SUMIF('Monthly Summary'!$C$75:$N$75,"",CC148:CN148),SUMIF('Monthly Summary'!$C$74:$N$74,"",CC148:CN148))</f>
        <v>0</v>
      </c>
      <c r="FI148" s="996">
        <f>IF($FG148="Opex",SUMIF('Monthly Summary'!$O$75:$Z$75,"",CO148:CZ148),SUMIF('Monthly Summary'!$O$74:$Z$74,"",CO148:CZ148))</f>
        <v>0</v>
      </c>
      <c r="FJ148" s="996">
        <f>IF($FG148="Opex",SUMIF('Monthly Summary'!$AA$75:$AL$75,"",DA148:DL148),SUMIF('Monthly Summary'!$AA$74:$AL$74,"",DA148:DL148))</f>
        <v>0</v>
      </c>
      <c r="FK148" s="996">
        <f>IF($FG148="Opex",SUMIF('Monthly Summary'!$AM$75:$AX$75,"",DM148:DX148),SUMIF('Monthly Summary'!$AM$74:$AX$74,"",DM148:DX148))</f>
        <v>0</v>
      </c>
      <c r="FL148" s="996">
        <f>IF($FG148="Opex",SUMIF('Monthly Summary'!$AY$75:$BJ$75,"",DY148:EJ148),SUMIF('Monthly Summary'!$AY$74:$BJ$74,"",DY148:EJ148))</f>
        <v>0</v>
      </c>
      <c r="FM148" s="997">
        <f>IF($FG148="Opex",SUMIF('Monthly Summary'!$BK$75:$BV$75,"",EK148:EV148),SUMIF('Monthly Summary'!$BK$74:$BV$74,"",EK148:EV148))</f>
        <v>0</v>
      </c>
      <c r="FN148" s="997">
        <f t="shared" si="22"/>
        <v>0</v>
      </c>
    </row>
    <row r="149" spans="3:170">
      <c r="C149" s="757"/>
      <c r="D149" s="757"/>
      <c r="E149" s="758"/>
      <c r="F149" s="758"/>
      <c r="G149" s="758"/>
      <c r="H149" s="1215"/>
      <c r="I149" s="761"/>
      <c r="J149" s="761"/>
      <c r="K149" s="761"/>
      <c r="L149" s="761"/>
      <c r="M149" s="761"/>
      <c r="N149" s="761"/>
      <c r="O149" s="761"/>
      <c r="P149" s="761"/>
      <c r="Q149" s="761"/>
      <c r="R149" s="761"/>
      <c r="S149" s="1216"/>
      <c r="T149" s="1215"/>
      <c r="U149" s="761"/>
      <c r="V149" s="761"/>
      <c r="W149" s="761"/>
      <c r="X149" s="761"/>
      <c r="Y149" s="761"/>
      <c r="Z149" s="761"/>
      <c r="AA149" s="761"/>
      <c r="AB149" s="761"/>
      <c r="AC149" s="761"/>
      <c r="AD149" s="761"/>
      <c r="AE149" s="1216"/>
      <c r="AF149" s="1215"/>
      <c r="AG149" s="761"/>
      <c r="AH149" s="761"/>
      <c r="AI149" s="761"/>
      <c r="AJ149" s="761"/>
      <c r="AK149" s="761"/>
      <c r="AL149" s="761"/>
      <c r="AM149" s="761"/>
      <c r="AN149" s="761"/>
      <c r="AO149" s="761"/>
      <c r="AP149" s="761"/>
      <c r="AQ149" s="1216"/>
      <c r="AR149" s="1215"/>
      <c r="AS149" s="761"/>
      <c r="AT149" s="761"/>
      <c r="AU149" s="761"/>
      <c r="AV149" s="761"/>
      <c r="AW149" s="761"/>
      <c r="AX149" s="761"/>
      <c r="AY149" s="761"/>
      <c r="AZ149" s="761"/>
      <c r="BA149" s="761"/>
      <c r="BB149" s="761"/>
      <c r="BC149" s="1216"/>
      <c r="BD149" s="1215"/>
      <c r="BE149" s="761"/>
      <c r="BF149" s="761"/>
      <c r="BG149" s="761"/>
      <c r="BH149" s="761"/>
      <c r="BI149" s="761"/>
      <c r="BJ149" s="761"/>
      <c r="BK149" s="761"/>
      <c r="BL149" s="761"/>
      <c r="BM149" s="761"/>
      <c r="BN149" s="761"/>
      <c r="BO149" s="1216"/>
      <c r="BP149" s="1215"/>
      <c r="BQ149" s="761"/>
      <c r="BR149" s="761"/>
      <c r="BS149" s="761"/>
      <c r="BT149" s="761"/>
      <c r="BU149" s="761"/>
      <c r="BV149" s="761"/>
      <c r="BW149" s="761"/>
      <c r="BX149" s="761"/>
      <c r="BY149" s="761"/>
      <c r="BZ149" s="761"/>
      <c r="CA149" s="1216"/>
      <c r="CB149" s="747"/>
      <c r="CC149" s="1222">
        <f>$G149*H149*Variables!$B$53</f>
        <v>0</v>
      </c>
      <c r="CD149" s="1223">
        <f>$G149*I149*Variables!$B$53</f>
        <v>0</v>
      </c>
      <c r="CE149" s="1223">
        <f>$G149*J149*Variables!$B$53</f>
        <v>0</v>
      </c>
      <c r="CF149" s="1223">
        <f>$G149*K149*Variables!$B$53</f>
        <v>0</v>
      </c>
      <c r="CG149" s="1223">
        <f>$G149*L149*Variables!$B$53</f>
        <v>0</v>
      </c>
      <c r="CH149" s="1223">
        <f>$G149*M149*Variables!$B$53</f>
        <v>0</v>
      </c>
      <c r="CI149" s="1223">
        <f>$G149*N149*Variables!$B$53</f>
        <v>0</v>
      </c>
      <c r="CJ149" s="1223">
        <f>$G149*O149*Variables!$B$53</f>
        <v>0</v>
      </c>
      <c r="CK149" s="1223">
        <f>$G149*P149*Variables!$B$53</f>
        <v>0</v>
      </c>
      <c r="CL149" s="1223">
        <f>$G149*Q149*Variables!$B$53</f>
        <v>0</v>
      </c>
      <c r="CM149" s="1223">
        <f>$G149*R149*Variables!$B$53</f>
        <v>0</v>
      </c>
      <c r="CN149" s="1225">
        <f>$G149*S149*Variables!$B$53</f>
        <v>0</v>
      </c>
      <c r="CO149" s="1222">
        <f>$G149*T149*Variables!$B$53*HLOOKUP($CO$2,Variables!$B$60:$F$61,2,FALSE)</f>
        <v>0</v>
      </c>
      <c r="CP149" s="1223">
        <f>$G149*U149*Variables!$B$53*HLOOKUP($CO$2,Variables!$B$60:$F$61,2,FALSE)</f>
        <v>0</v>
      </c>
      <c r="CQ149" s="1223">
        <f>$G149*V149*Variables!$B$53*HLOOKUP($CO$2,Variables!$B$60:$F$61,2,FALSE)</f>
        <v>0</v>
      </c>
      <c r="CR149" s="1223">
        <f>$G149*W149*Variables!$B$53*HLOOKUP($CO$2,Variables!$B$60:$F$61,2,FALSE)</f>
        <v>0</v>
      </c>
      <c r="CS149" s="1223">
        <f>$G149*X149*Variables!$B$53*HLOOKUP($CO$2,Variables!$B$60:$F$61,2,FALSE)</f>
        <v>0</v>
      </c>
      <c r="CT149" s="1223">
        <f>$G149*Y149*Variables!$B$53*HLOOKUP($CO$2,Variables!$B$60:$F$61,2,FALSE)</f>
        <v>0</v>
      </c>
      <c r="CU149" s="1223">
        <f>$G149*Z149*Variables!$B$53*HLOOKUP($CO$2,Variables!$B$60:$F$61,2,FALSE)</f>
        <v>0</v>
      </c>
      <c r="CV149" s="1223">
        <f>$G149*AA149*Variables!$B$53*HLOOKUP($CO$2,Variables!$B$60:$F$61,2,FALSE)</f>
        <v>0</v>
      </c>
      <c r="CW149" s="1223">
        <f>$G149*AB149*Variables!$B$53*HLOOKUP($CO$2,Variables!$B$60:$F$61,2,FALSE)</f>
        <v>0</v>
      </c>
      <c r="CX149" s="1223">
        <f>$G149*AC149*Variables!$B$53*HLOOKUP($CO$2,Variables!$B$60:$F$61,2,FALSE)</f>
        <v>0</v>
      </c>
      <c r="CY149" s="1223">
        <f>$G149*AD149*Variables!$B$53*HLOOKUP($CO$2,Variables!$B$60:$F$61,2,FALSE)</f>
        <v>0</v>
      </c>
      <c r="CZ149" s="1225">
        <f>$G149*AE149*Variables!$B$53*HLOOKUP($CO$2,Variables!$B$60:$F$61,2,FALSE)</f>
        <v>0</v>
      </c>
      <c r="DA149" s="1222">
        <f>$G149*AF149*Variables!$B$53*HLOOKUP($DA$2,Variables!$B$60:$F$61,2,FALSE)</f>
        <v>0</v>
      </c>
      <c r="DB149" s="1223">
        <f>$G149*AG149*Variables!$B$53*HLOOKUP($DA$2,Variables!$B$60:$F$61,2,FALSE)</f>
        <v>0</v>
      </c>
      <c r="DC149" s="1223">
        <f>$G149*AH149*Variables!$B$53*HLOOKUP($DA$2,Variables!$B$60:$F$61,2,FALSE)</f>
        <v>0</v>
      </c>
      <c r="DD149" s="1223">
        <f>$G149*AI149*Variables!$B$53*HLOOKUP($DA$2,Variables!$B$60:$F$61,2,FALSE)</f>
        <v>0</v>
      </c>
      <c r="DE149" s="1223">
        <f>$G149*AJ149*Variables!$B$53*HLOOKUP($DA$2,Variables!$B$60:$F$61,2,FALSE)</f>
        <v>0</v>
      </c>
      <c r="DF149" s="1223">
        <f>$G149*AK149*Variables!$B$53*HLOOKUP($DA$2,Variables!$B$60:$F$61,2,FALSE)</f>
        <v>0</v>
      </c>
      <c r="DG149" s="1223">
        <f>$G149*AL149*Variables!$B$53*HLOOKUP($DA$2,Variables!$B$60:$F$61,2,FALSE)</f>
        <v>0</v>
      </c>
      <c r="DH149" s="1223">
        <f>$G149*AM149*Variables!$B$53*HLOOKUP($DA$2,Variables!$B$60:$F$61,2,FALSE)</f>
        <v>0</v>
      </c>
      <c r="DI149" s="1223">
        <f>$G149*AN149*Variables!$B$53*HLOOKUP($DA$2,Variables!$B$60:$F$61,2,FALSE)</f>
        <v>0</v>
      </c>
      <c r="DJ149" s="1223">
        <f>$G149*AO149*Variables!$B$53*HLOOKUP($DA$2,Variables!$B$60:$F$61,2,FALSE)</f>
        <v>0</v>
      </c>
      <c r="DK149" s="1223">
        <f>$G149*AP149*Variables!$B$53*HLOOKUP($DA$2,Variables!$B$60:$F$61,2,FALSE)</f>
        <v>0</v>
      </c>
      <c r="DL149" s="1225">
        <f>$G149*AQ149*Variables!$B$53*HLOOKUP($DA$2,Variables!$B$60:$F$61,2,FALSE)</f>
        <v>0</v>
      </c>
      <c r="DM149" s="1222">
        <f>$G149*AR149*Variables!$B$53*HLOOKUP($DM$2,Variables!$B$60:$F$61,2,FALSE)</f>
        <v>0</v>
      </c>
      <c r="DN149" s="1223">
        <f>$G149*AS149*Variables!$B$53*HLOOKUP($DM$2,Variables!$B$60:$F$61,2,FALSE)</f>
        <v>0</v>
      </c>
      <c r="DO149" s="1223">
        <f>$G149*AT149*Variables!$B$53*HLOOKUP($DM$2,Variables!$B$60:$F$61,2,FALSE)</f>
        <v>0</v>
      </c>
      <c r="DP149" s="1223">
        <f>$G149*AU149*Variables!$B$53*HLOOKUP($DM$2,Variables!$B$60:$F$61,2,FALSE)</f>
        <v>0</v>
      </c>
      <c r="DQ149" s="1223">
        <f>$G149*AV149*Variables!$B$53*HLOOKUP($DM$2,Variables!$B$60:$F$61,2,FALSE)</f>
        <v>0</v>
      </c>
      <c r="DR149" s="1223">
        <f>$G149*AW149*Variables!$B$53*HLOOKUP($DM$2,Variables!$B$60:$F$61,2,FALSE)</f>
        <v>0</v>
      </c>
      <c r="DS149" s="1223">
        <f>$G149*AX149*Variables!$B$53*HLOOKUP($DM$2,Variables!$B$60:$F$61,2,FALSE)</f>
        <v>0</v>
      </c>
      <c r="DT149" s="1223">
        <f>$G149*AY149*Variables!$B$53*HLOOKUP($DM$2,Variables!$B$60:$F$61,2,FALSE)</f>
        <v>0</v>
      </c>
      <c r="DU149" s="1223">
        <f>$G149*AZ149*Variables!$B$53*HLOOKUP($DM$2,Variables!$B$60:$F$61,2,FALSE)</f>
        <v>0</v>
      </c>
      <c r="DV149" s="1223">
        <f>$G149*BA149*Variables!$B$53*HLOOKUP($DM$2,Variables!$B$60:$F$61,2,FALSE)</f>
        <v>0</v>
      </c>
      <c r="DW149" s="1223">
        <f>$G149*BB149*Variables!$B$53*HLOOKUP($DM$2,Variables!$B$60:$F$61,2,FALSE)</f>
        <v>0</v>
      </c>
      <c r="DX149" s="1225">
        <f>$G149*BC149*Variables!$B$53*HLOOKUP($DM$2,Variables!$B$60:$F$61,2,FALSE)</f>
        <v>0</v>
      </c>
      <c r="DY149" s="1222">
        <f>$G149*BD149*Variables!$B$53*HLOOKUP($DY$2,Variables!$B$60:$F$61,2,FALSE)</f>
        <v>0</v>
      </c>
      <c r="DZ149" s="1223">
        <f>$G149*BE149*Variables!$B$53*HLOOKUP($DY$2,Variables!$B$60:$F$61,2,FALSE)</f>
        <v>0</v>
      </c>
      <c r="EA149" s="1223">
        <f>$G149*BF149*Variables!$B$53*HLOOKUP($DY$2,Variables!$B$60:$F$61,2,FALSE)</f>
        <v>0</v>
      </c>
      <c r="EB149" s="1223">
        <f>$G149*BG149*Variables!$B$53*HLOOKUP($DY$2,Variables!$B$60:$F$61,2,FALSE)</f>
        <v>0</v>
      </c>
      <c r="EC149" s="1223">
        <f>$G149*BH149*Variables!$B$53*HLOOKUP($DY$2,Variables!$B$60:$F$61,2,FALSE)</f>
        <v>0</v>
      </c>
      <c r="ED149" s="1223">
        <f>$G149*BI149*Variables!$B$53*HLOOKUP($DY$2,Variables!$B$60:$F$61,2,FALSE)</f>
        <v>0</v>
      </c>
      <c r="EE149" s="1223">
        <f>$G149*BJ149*Variables!$B$53*HLOOKUP($DY$2,Variables!$B$60:$F$61,2,FALSE)</f>
        <v>0</v>
      </c>
      <c r="EF149" s="1223">
        <f>$G149*BK149*Variables!$B$53*HLOOKUP($DY$2,Variables!$B$60:$F$61,2,FALSE)</f>
        <v>0</v>
      </c>
      <c r="EG149" s="1223">
        <f>$G149*BL149*Variables!$B$53*HLOOKUP($DY$2,Variables!$B$60:$F$61,2,FALSE)</f>
        <v>0</v>
      </c>
      <c r="EH149" s="1223">
        <f>$G149*BM149*Variables!$B$53*HLOOKUP($DY$2,Variables!$B$60:$F$61,2,FALSE)</f>
        <v>0</v>
      </c>
      <c r="EI149" s="1223">
        <f>$G149*BN149*Variables!$B$53*HLOOKUP($DY$2,Variables!$B$60:$F$61,2,FALSE)</f>
        <v>0</v>
      </c>
      <c r="EJ149" s="1225">
        <f>$G149*BO149*Variables!$B$53*HLOOKUP($DY$2,Variables!$B$60:$F$61,2,FALSE)</f>
        <v>0</v>
      </c>
      <c r="EK149" s="1222">
        <f>$G149*BP149*Variables!$B$53*HLOOKUP($EK$2,Variables!$B$60:$F$61,2,FALSE)</f>
        <v>0</v>
      </c>
      <c r="EL149" s="1223">
        <f>$G149*BQ149*Variables!$B$53*HLOOKUP($EK$2,Variables!$B$60:$F$61,2,FALSE)</f>
        <v>0</v>
      </c>
      <c r="EM149" s="1223">
        <f>$G149*BR149*Variables!$B$53*HLOOKUP($EK$2,Variables!$B$60:$F$61,2,FALSE)</f>
        <v>0</v>
      </c>
      <c r="EN149" s="1223">
        <f>$G149*BS149*Variables!$B$53*HLOOKUP($EK$2,Variables!$B$60:$F$61,2,FALSE)</f>
        <v>0</v>
      </c>
      <c r="EO149" s="1223">
        <f>$G149*BT149*Variables!$B$53*HLOOKUP($EK$2,Variables!$B$60:$F$61,2,FALSE)</f>
        <v>0</v>
      </c>
      <c r="EP149" s="1223">
        <f>$G149*BU149*Variables!$B$53*HLOOKUP($EK$2,Variables!$B$60:$F$61,2,FALSE)</f>
        <v>0</v>
      </c>
      <c r="EQ149" s="1223">
        <f>$G149*BV149*Variables!$B$53*HLOOKUP($EK$2,Variables!$B$60:$F$61,2,FALSE)</f>
        <v>0</v>
      </c>
      <c r="ER149" s="1223">
        <f>$G149*BW149*Variables!$B$53*HLOOKUP($EK$2,Variables!$B$60:$F$61,2,FALSE)</f>
        <v>0</v>
      </c>
      <c r="ES149" s="1223">
        <f>$G149*BX149*Variables!$B$53*HLOOKUP($EK$2,Variables!$B$60:$F$61,2,FALSE)</f>
        <v>0</v>
      </c>
      <c r="ET149" s="1223">
        <f>$G149*BY149*Variables!$B$53*HLOOKUP($EK$2,Variables!$B$60:$F$61,2,FALSE)</f>
        <v>0</v>
      </c>
      <c r="EU149" s="1223">
        <f>$G149*BZ149*Variables!$B$53*HLOOKUP($EK$2,Variables!$B$60:$F$61,2,FALSE)</f>
        <v>0</v>
      </c>
      <c r="EV149" s="1225">
        <f>$G149*CA149*Variables!$B$53*HLOOKUP($EK$2,Variables!$B$60:$F$61,2,FALSE)</f>
        <v>0</v>
      </c>
      <c r="EW149" s="872">
        <f t="shared" si="23"/>
        <v>0</v>
      </c>
      <c r="EX149" s="872"/>
      <c r="EY149" s="872"/>
      <c r="EZ149" s="872"/>
      <c r="FA149" s="1332"/>
      <c r="FC149" s="958" t="str">
        <f t="shared" si="19"/>
        <v/>
      </c>
      <c r="FD149" s="959" t="str">
        <f t="shared" si="20"/>
        <v/>
      </c>
      <c r="FE149" s="959" t="s">
        <v>8407</v>
      </c>
      <c r="FF149" s="959" t="str">
        <f>IF(ISNA(VLOOKUP(FC149,Miscellaneous!E:F,2,0)),"",VLOOKUP(FC149,Miscellaneous!E:F,2,0))</f>
        <v/>
      </c>
      <c r="FG149" s="959" t="str">
        <f t="shared" si="21"/>
        <v/>
      </c>
      <c r="FH149" s="996">
        <f>IF($FG149="Opex",SUMIF('Monthly Summary'!$C$75:$N$75,"",CC149:CN149),SUMIF('Monthly Summary'!$C$74:$N$74,"",CC149:CN149))</f>
        <v>0</v>
      </c>
      <c r="FI149" s="996">
        <f>IF($FG149="Opex",SUMIF('Monthly Summary'!$O$75:$Z$75,"",CO149:CZ149),SUMIF('Monthly Summary'!$O$74:$Z$74,"",CO149:CZ149))</f>
        <v>0</v>
      </c>
      <c r="FJ149" s="996">
        <f>IF($FG149="Opex",SUMIF('Monthly Summary'!$AA$75:$AL$75,"",DA149:DL149),SUMIF('Monthly Summary'!$AA$74:$AL$74,"",DA149:DL149))</f>
        <v>0</v>
      </c>
      <c r="FK149" s="996">
        <f>IF($FG149="Opex",SUMIF('Monthly Summary'!$AM$75:$AX$75,"",DM149:DX149),SUMIF('Monthly Summary'!$AM$74:$AX$74,"",DM149:DX149))</f>
        <v>0</v>
      </c>
      <c r="FL149" s="996">
        <f>IF($FG149="Opex",SUMIF('Monthly Summary'!$AY$75:$BJ$75,"",DY149:EJ149),SUMIF('Monthly Summary'!$AY$74:$BJ$74,"",DY149:EJ149))</f>
        <v>0</v>
      </c>
      <c r="FM149" s="997">
        <f>IF($FG149="Opex",SUMIF('Monthly Summary'!$BK$75:$BV$75,"",EK149:EV149),SUMIF('Monthly Summary'!$BK$74:$BV$74,"",EK149:EV149))</f>
        <v>0</v>
      </c>
      <c r="FN149" s="997">
        <f t="shared" si="22"/>
        <v>0</v>
      </c>
    </row>
    <row r="150" spans="3:170">
      <c r="C150" s="757"/>
      <c r="D150" s="757"/>
      <c r="E150" s="758"/>
      <c r="F150" s="758"/>
      <c r="G150" s="758"/>
      <c r="H150" s="1215"/>
      <c r="I150" s="761"/>
      <c r="J150" s="761"/>
      <c r="K150" s="761"/>
      <c r="L150" s="761"/>
      <c r="M150" s="761"/>
      <c r="N150" s="761"/>
      <c r="O150" s="761"/>
      <c r="P150" s="761"/>
      <c r="Q150" s="761"/>
      <c r="R150" s="761"/>
      <c r="S150" s="1216"/>
      <c r="T150" s="1215"/>
      <c r="U150" s="761"/>
      <c r="V150" s="761"/>
      <c r="W150" s="761"/>
      <c r="X150" s="761"/>
      <c r="Y150" s="761"/>
      <c r="Z150" s="761"/>
      <c r="AA150" s="761"/>
      <c r="AB150" s="761"/>
      <c r="AC150" s="761"/>
      <c r="AD150" s="761"/>
      <c r="AE150" s="1216"/>
      <c r="AF150" s="1215"/>
      <c r="AG150" s="761"/>
      <c r="AH150" s="761"/>
      <c r="AI150" s="761"/>
      <c r="AJ150" s="761"/>
      <c r="AK150" s="761"/>
      <c r="AL150" s="761"/>
      <c r="AM150" s="761"/>
      <c r="AN150" s="761"/>
      <c r="AO150" s="761"/>
      <c r="AP150" s="761"/>
      <c r="AQ150" s="1216"/>
      <c r="AR150" s="1215"/>
      <c r="AS150" s="761"/>
      <c r="AT150" s="761"/>
      <c r="AU150" s="761"/>
      <c r="AV150" s="761"/>
      <c r="AW150" s="761"/>
      <c r="AX150" s="761"/>
      <c r="AY150" s="761"/>
      <c r="AZ150" s="761"/>
      <c r="BA150" s="761"/>
      <c r="BB150" s="761"/>
      <c r="BC150" s="1216"/>
      <c r="BD150" s="1215"/>
      <c r="BE150" s="761"/>
      <c r="BF150" s="761"/>
      <c r="BG150" s="761"/>
      <c r="BH150" s="761"/>
      <c r="BI150" s="761"/>
      <c r="BJ150" s="761"/>
      <c r="BK150" s="761"/>
      <c r="BL150" s="761"/>
      <c r="BM150" s="761"/>
      <c r="BN150" s="761"/>
      <c r="BO150" s="1216"/>
      <c r="BP150" s="1215"/>
      <c r="BQ150" s="761"/>
      <c r="BR150" s="761"/>
      <c r="BS150" s="761"/>
      <c r="BT150" s="761"/>
      <c r="BU150" s="761"/>
      <c r="BV150" s="761"/>
      <c r="BW150" s="761"/>
      <c r="BX150" s="761"/>
      <c r="BY150" s="761"/>
      <c r="BZ150" s="761"/>
      <c r="CA150" s="1216"/>
      <c r="CB150" s="747"/>
      <c r="CC150" s="1222">
        <f>$G150*H150*Variables!$B$53</f>
        <v>0</v>
      </c>
      <c r="CD150" s="1223">
        <f>$G150*I150*Variables!$B$53</f>
        <v>0</v>
      </c>
      <c r="CE150" s="1223">
        <f>$G150*J150*Variables!$B$53</f>
        <v>0</v>
      </c>
      <c r="CF150" s="1223">
        <f>$G150*K150*Variables!$B$53</f>
        <v>0</v>
      </c>
      <c r="CG150" s="1223">
        <f>$G150*L150*Variables!$B$53</f>
        <v>0</v>
      </c>
      <c r="CH150" s="1223">
        <f>$G150*M150*Variables!$B$53</f>
        <v>0</v>
      </c>
      <c r="CI150" s="1223">
        <f>$G150*N150*Variables!$B$53</f>
        <v>0</v>
      </c>
      <c r="CJ150" s="1223">
        <f>$G150*O150*Variables!$B$53</f>
        <v>0</v>
      </c>
      <c r="CK150" s="1223">
        <f>$G150*P150*Variables!$B$53</f>
        <v>0</v>
      </c>
      <c r="CL150" s="1223">
        <f>$G150*Q150*Variables!$B$53</f>
        <v>0</v>
      </c>
      <c r="CM150" s="1223">
        <f>$G150*R150*Variables!$B$53</f>
        <v>0</v>
      </c>
      <c r="CN150" s="1225">
        <f>$G150*S150*Variables!$B$53</f>
        <v>0</v>
      </c>
      <c r="CO150" s="1222">
        <f>$G150*T150*Variables!$B$53*HLOOKUP($CO$2,Variables!$B$60:$F$61,2,FALSE)</f>
        <v>0</v>
      </c>
      <c r="CP150" s="1223">
        <f>$G150*U150*Variables!$B$53*HLOOKUP($CO$2,Variables!$B$60:$F$61,2,FALSE)</f>
        <v>0</v>
      </c>
      <c r="CQ150" s="1223">
        <f>$G150*V150*Variables!$B$53*HLOOKUP($CO$2,Variables!$B$60:$F$61,2,FALSE)</f>
        <v>0</v>
      </c>
      <c r="CR150" s="1223">
        <f>$G150*W150*Variables!$B$53*HLOOKUP($CO$2,Variables!$B$60:$F$61,2,FALSE)</f>
        <v>0</v>
      </c>
      <c r="CS150" s="1223">
        <f>$G150*X150*Variables!$B$53*HLOOKUP($CO$2,Variables!$B$60:$F$61,2,FALSE)</f>
        <v>0</v>
      </c>
      <c r="CT150" s="1223">
        <f>$G150*Y150*Variables!$B$53*HLOOKUP($CO$2,Variables!$B$60:$F$61,2,FALSE)</f>
        <v>0</v>
      </c>
      <c r="CU150" s="1223">
        <f>$G150*Z150*Variables!$B$53*HLOOKUP($CO$2,Variables!$B$60:$F$61,2,FALSE)</f>
        <v>0</v>
      </c>
      <c r="CV150" s="1223">
        <f>$G150*AA150*Variables!$B$53*HLOOKUP($CO$2,Variables!$B$60:$F$61,2,FALSE)</f>
        <v>0</v>
      </c>
      <c r="CW150" s="1223">
        <f>$G150*AB150*Variables!$B$53*HLOOKUP($CO$2,Variables!$B$60:$F$61,2,FALSE)</f>
        <v>0</v>
      </c>
      <c r="CX150" s="1223">
        <f>$G150*AC150*Variables!$B$53*HLOOKUP($CO$2,Variables!$B$60:$F$61,2,FALSE)</f>
        <v>0</v>
      </c>
      <c r="CY150" s="1223">
        <f>$G150*AD150*Variables!$B$53*HLOOKUP($CO$2,Variables!$B$60:$F$61,2,FALSE)</f>
        <v>0</v>
      </c>
      <c r="CZ150" s="1225">
        <f>$G150*AE150*Variables!$B$53*HLOOKUP($CO$2,Variables!$B$60:$F$61,2,FALSE)</f>
        <v>0</v>
      </c>
      <c r="DA150" s="1222">
        <f>$G150*AF150*Variables!$B$53*HLOOKUP($DA$2,Variables!$B$60:$F$61,2,FALSE)</f>
        <v>0</v>
      </c>
      <c r="DB150" s="1223">
        <f>$G150*AG150*Variables!$B$53*HLOOKUP($DA$2,Variables!$B$60:$F$61,2,FALSE)</f>
        <v>0</v>
      </c>
      <c r="DC150" s="1223">
        <f>$G150*AH150*Variables!$B$53*HLOOKUP($DA$2,Variables!$B$60:$F$61,2,FALSE)</f>
        <v>0</v>
      </c>
      <c r="DD150" s="1223">
        <f>$G150*AI150*Variables!$B$53*HLOOKUP($DA$2,Variables!$B$60:$F$61,2,FALSE)</f>
        <v>0</v>
      </c>
      <c r="DE150" s="1223">
        <f>$G150*AJ150*Variables!$B$53*HLOOKUP($DA$2,Variables!$B$60:$F$61,2,FALSE)</f>
        <v>0</v>
      </c>
      <c r="DF150" s="1223">
        <f>$G150*AK150*Variables!$B$53*HLOOKUP($DA$2,Variables!$B$60:$F$61,2,FALSE)</f>
        <v>0</v>
      </c>
      <c r="DG150" s="1223">
        <f>$G150*AL150*Variables!$B$53*HLOOKUP($DA$2,Variables!$B$60:$F$61,2,FALSE)</f>
        <v>0</v>
      </c>
      <c r="DH150" s="1223">
        <f>$G150*AM150*Variables!$B$53*HLOOKUP($DA$2,Variables!$B$60:$F$61,2,FALSE)</f>
        <v>0</v>
      </c>
      <c r="DI150" s="1223">
        <f>$G150*AN150*Variables!$B$53*HLOOKUP($DA$2,Variables!$B$60:$F$61,2,FALSE)</f>
        <v>0</v>
      </c>
      <c r="DJ150" s="1223">
        <f>$G150*AO150*Variables!$B$53*HLOOKUP($DA$2,Variables!$B$60:$F$61,2,FALSE)</f>
        <v>0</v>
      </c>
      <c r="DK150" s="1223">
        <f>$G150*AP150*Variables!$B$53*HLOOKUP($DA$2,Variables!$B$60:$F$61,2,FALSE)</f>
        <v>0</v>
      </c>
      <c r="DL150" s="1225">
        <f>$G150*AQ150*Variables!$B$53*HLOOKUP($DA$2,Variables!$B$60:$F$61,2,FALSE)</f>
        <v>0</v>
      </c>
      <c r="DM150" s="1222">
        <f>$G150*AR150*Variables!$B$53*HLOOKUP($DM$2,Variables!$B$60:$F$61,2,FALSE)</f>
        <v>0</v>
      </c>
      <c r="DN150" s="1223">
        <f>$G150*AS150*Variables!$B$53*HLOOKUP($DM$2,Variables!$B$60:$F$61,2,FALSE)</f>
        <v>0</v>
      </c>
      <c r="DO150" s="1223">
        <f>$G150*AT150*Variables!$B$53*HLOOKUP($DM$2,Variables!$B$60:$F$61,2,FALSE)</f>
        <v>0</v>
      </c>
      <c r="DP150" s="1223">
        <f>$G150*AU150*Variables!$B$53*HLOOKUP($DM$2,Variables!$B$60:$F$61,2,FALSE)</f>
        <v>0</v>
      </c>
      <c r="DQ150" s="1223">
        <f>$G150*AV150*Variables!$B$53*HLOOKUP($DM$2,Variables!$B$60:$F$61,2,FALSE)</f>
        <v>0</v>
      </c>
      <c r="DR150" s="1223">
        <f>$G150*AW150*Variables!$B$53*HLOOKUP($DM$2,Variables!$B$60:$F$61,2,FALSE)</f>
        <v>0</v>
      </c>
      <c r="DS150" s="1223">
        <f>$G150*AX150*Variables!$B$53*HLOOKUP($DM$2,Variables!$B$60:$F$61,2,FALSE)</f>
        <v>0</v>
      </c>
      <c r="DT150" s="1223">
        <f>$G150*AY150*Variables!$B$53*HLOOKUP($DM$2,Variables!$B$60:$F$61,2,FALSE)</f>
        <v>0</v>
      </c>
      <c r="DU150" s="1223">
        <f>$G150*AZ150*Variables!$B$53*HLOOKUP($DM$2,Variables!$B$60:$F$61,2,FALSE)</f>
        <v>0</v>
      </c>
      <c r="DV150" s="1223">
        <f>$G150*BA150*Variables!$B$53*HLOOKUP($DM$2,Variables!$B$60:$F$61,2,FALSE)</f>
        <v>0</v>
      </c>
      <c r="DW150" s="1223">
        <f>$G150*BB150*Variables!$B$53*HLOOKUP($DM$2,Variables!$B$60:$F$61,2,FALSE)</f>
        <v>0</v>
      </c>
      <c r="DX150" s="1225">
        <f>$G150*BC150*Variables!$B$53*HLOOKUP($DM$2,Variables!$B$60:$F$61,2,FALSE)</f>
        <v>0</v>
      </c>
      <c r="DY150" s="1222">
        <f>$G150*BD150*Variables!$B$53*HLOOKUP($DY$2,Variables!$B$60:$F$61,2,FALSE)</f>
        <v>0</v>
      </c>
      <c r="DZ150" s="1223">
        <f>$G150*BE150*Variables!$B$53*HLOOKUP($DY$2,Variables!$B$60:$F$61,2,FALSE)</f>
        <v>0</v>
      </c>
      <c r="EA150" s="1223">
        <f>$G150*BF150*Variables!$B$53*HLOOKUP($DY$2,Variables!$B$60:$F$61,2,FALSE)</f>
        <v>0</v>
      </c>
      <c r="EB150" s="1223">
        <f>$G150*BG150*Variables!$B$53*HLOOKUP($DY$2,Variables!$B$60:$F$61,2,FALSE)</f>
        <v>0</v>
      </c>
      <c r="EC150" s="1223">
        <f>$G150*BH150*Variables!$B$53*HLOOKUP($DY$2,Variables!$B$60:$F$61,2,FALSE)</f>
        <v>0</v>
      </c>
      <c r="ED150" s="1223">
        <f>$G150*BI150*Variables!$B$53*HLOOKUP($DY$2,Variables!$B$60:$F$61,2,FALSE)</f>
        <v>0</v>
      </c>
      <c r="EE150" s="1223">
        <f>$G150*BJ150*Variables!$B$53*HLOOKUP($DY$2,Variables!$B$60:$F$61,2,FALSE)</f>
        <v>0</v>
      </c>
      <c r="EF150" s="1223">
        <f>$G150*BK150*Variables!$B$53*HLOOKUP($DY$2,Variables!$B$60:$F$61,2,FALSE)</f>
        <v>0</v>
      </c>
      <c r="EG150" s="1223">
        <f>$G150*BL150*Variables!$B$53*HLOOKUP($DY$2,Variables!$B$60:$F$61,2,FALSE)</f>
        <v>0</v>
      </c>
      <c r="EH150" s="1223">
        <f>$G150*BM150*Variables!$B$53*HLOOKUP($DY$2,Variables!$B$60:$F$61,2,FALSE)</f>
        <v>0</v>
      </c>
      <c r="EI150" s="1223">
        <f>$G150*BN150*Variables!$B$53*HLOOKUP($DY$2,Variables!$B$60:$F$61,2,FALSE)</f>
        <v>0</v>
      </c>
      <c r="EJ150" s="1225">
        <f>$G150*BO150*Variables!$B$53*HLOOKUP($DY$2,Variables!$B$60:$F$61,2,FALSE)</f>
        <v>0</v>
      </c>
      <c r="EK150" s="1222">
        <f>$G150*BP150*Variables!$B$53*HLOOKUP($EK$2,Variables!$B$60:$F$61,2,FALSE)</f>
        <v>0</v>
      </c>
      <c r="EL150" s="1223">
        <f>$G150*BQ150*Variables!$B$53*HLOOKUP($EK$2,Variables!$B$60:$F$61,2,FALSE)</f>
        <v>0</v>
      </c>
      <c r="EM150" s="1223">
        <f>$G150*BR150*Variables!$B$53*HLOOKUP($EK$2,Variables!$B$60:$F$61,2,FALSE)</f>
        <v>0</v>
      </c>
      <c r="EN150" s="1223">
        <f>$G150*BS150*Variables!$B$53*HLOOKUP($EK$2,Variables!$B$60:$F$61,2,FALSE)</f>
        <v>0</v>
      </c>
      <c r="EO150" s="1223">
        <f>$G150*BT150*Variables!$B$53*HLOOKUP($EK$2,Variables!$B$60:$F$61,2,FALSE)</f>
        <v>0</v>
      </c>
      <c r="EP150" s="1223">
        <f>$G150*BU150*Variables!$B$53*HLOOKUP($EK$2,Variables!$B$60:$F$61,2,FALSE)</f>
        <v>0</v>
      </c>
      <c r="EQ150" s="1223">
        <f>$G150*BV150*Variables!$B$53*HLOOKUP($EK$2,Variables!$B$60:$F$61,2,FALSE)</f>
        <v>0</v>
      </c>
      <c r="ER150" s="1223">
        <f>$G150*BW150*Variables!$B$53*HLOOKUP($EK$2,Variables!$B$60:$F$61,2,FALSE)</f>
        <v>0</v>
      </c>
      <c r="ES150" s="1223">
        <f>$G150*BX150*Variables!$B$53*HLOOKUP($EK$2,Variables!$B$60:$F$61,2,FALSE)</f>
        <v>0</v>
      </c>
      <c r="ET150" s="1223">
        <f>$G150*BY150*Variables!$B$53*HLOOKUP($EK$2,Variables!$B$60:$F$61,2,FALSE)</f>
        <v>0</v>
      </c>
      <c r="EU150" s="1223">
        <f>$G150*BZ150*Variables!$B$53*HLOOKUP($EK$2,Variables!$B$60:$F$61,2,FALSE)</f>
        <v>0</v>
      </c>
      <c r="EV150" s="1225">
        <f>$G150*CA150*Variables!$B$53*HLOOKUP($EK$2,Variables!$B$60:$F$61,2,FALSE)</f>
        <v>0</v>
      </c>
      <c r="EW150" s="872">
        <f t="shared" si="23"/>
        <v>0</v>
      </c>
      <c r="EX150" s="872"/>
      <c r="EY150" s="872"/>
      <c r="EZ150" s="872"/>
      <c r="FA150" s="1332"/>
      <c r="FC150" s="958" t="str">
        <f t="shared" si="19"/>
        <v/>
      </c>
      <c r="FD150" s="959" t="str">
        <f t="shared" si="20"/>
        <v/>
      </c>
      <c r="FE150" s="959" t="s">
        <v>8407</v>
      </c>
      <c r="FF150" s="959" t="str">
        <f>IF(ISNA(VLOOKUP(FC150,Miscellaneous!E:F,2,0)),"",VLOOKUP(FC150,Miscellaneous!E:F,2,0))</f>
        <v/>
      </c>
      <c r="FG150" s="959" t="str">
        <f t="shared" si="21"/>
        <v/>
      </c>
      <c r="FH150" s="996">
        <f>IF($FG150="Opex",SUMIF('Monthly Summary'!$C$75:$N$75,"",CC150:CN150),SUMIF('Monthly Summary'!$C$74:$N$74,"",CC150:CN150))</f>
        <v>0</v>
      </c>
      <c r="FI150" s="996">
        <f>IF($FG150="Opex",SUMIF('Monthly Summary'!$O$75:$Z$75,"",CO150:CZ150),SUMIF('Monthly Summary'!$O$74:$Z$74,"",CO150:CZ150))</f>
        <v>0</v>
      </c>
      <c r="FJ150" s="996">
        <f>IF($FG150="Opex",SUMIF('Monthly Summary'!$AA$75:$AL$75,"",DA150:DL150),SUMIF('Monthly Summary'!$AA$74:$AL$74,"",DA150:DL150))</f>
        <v>0</v>
      </c>
      <c r="FK150" s="996">
        <f>IF($FG150="Opex",SUMIF('Monthly Summary'!$AM$75:$AX$75,"",DM150:DX150),SUMIF('Monthly Summary'!$AM$74:$AX$74,"",DM150:DX150))</f>
        <v>0</v>
      </c>
      <c r="FL150" s="996">
        <f>IF($FG150="Opex",SUMIF('Monthly Summary'!$AY$75:$BJ$75,"",DY150:EJ150),SUMIF('Monthly Summary'!$AY$74:$BJ$74,"",DY150:EJ150))</f>
        <v>0</v>
      </c>
      <c r="FM150" s="997">
        <f>IF($FG150="Opex",SUMIF('Monthly Summary'!$BK$75:$BV$75,"",EK150:EV150),SUMIF('Monthly Summary'!$BK$74:$BV$74,"",EK150:EV150))</f>
        <v>0</v>
      </c>
      <c r="FN150" s="997">
        <f t="shared" si="22"/>
        <v>0</v>
      </c>
    </row>
    <row r="151" spans="3:170">
      <c r="C151" s="757"/>
      <c r="D151" s="757"/>
      <c r="E151" s="758"/>
      <c r="F151" s="758"/>
      <c r="G151" s="758"/>
      <c r="H151" s="1215"/>
      <c r="I151" s="761"/>
      <c r="J151" s="761"/>
      <c r="K151" s="761"/>
      <c r="L151" s="761"/>
      <c r="M151" s="761"/>
      <c r="N151" s="761"/>
      <c r="O151" s="761"/>
      <c r="P151" s="761"/>
      <c r="Q151" s="761"/>
      <c r="R151" s="761"/>
      <c r="S151" s="1216"/>
      <c r="T151" s="1215"/>
      <c r="U151" s="761"/>
      <c r="V151" s="761"/>
      <c r="W151" s="761"/>
      <c r="X151" s="761"/>
      <c r="Y151" s="761"/>
      <c r="Z151" s="761"/>
      <c r="AA151" s="761"/>
      <c r="AB151" s="761"/>
      <c r="AC151" s="761"/>
      <c r="AD151" s="761"/>
      <c r="AE151" s="1216"/>
      <c r="AF151" s="1215"/>
      <c r="AG151" s="761"/>
      <c r="AH151" s="761"/>
      <c r="AI151" s="761"/>
      <c r="AJ151" s="761"/>
      <c r="AK151" s="761"/>
      <c r="AL151" s="761"/>
      <c r="AM151" s="761"/>
      <c r="AN151" s="761"/>
      <c r="AO151" s="761"/>
      <c r="AP151" s="761"/>
      <c r="AQ151" s="1216"/>
      <c r="AR151" s="1215"/>
      <c r="AS151" s="761"/>
      <c r="AT151" s="761"/>
      <c r="AU151" s="761"/>
      <c r="AV151" s="761"/>
      <c r="AW151" s="761"/>
      <c r="AX151" s="761"/>
      <c r="AY151" s="761"/>
      <c r="AZ151" s="761"/>
      <c r="BA151" s="761"/>
      <c r="BB151" s="761"/>
      <c r="BC151" s="1216"/>
      <c r="BD151" s="1215"/>
      <c r="BE151" s="761"/>
      <c r="BF151" s="761"/>
      <c r="BG151" s="761"/>
      <c r="BH151" s="761"/>
      <c r="BI151" s="761"/>
      <c r="BJ151" s="761"/>
      <c r="BK151" s="761"/>
      <c r="BL151" s="761"/>
      <c r="BM151" s="761"/>
      <c r="BN151" s="761"/>
      <c r="BO151" s="1216"/>
      <c r="BP151" s="1215"/>
      <c r="BQ151" s="761"/>
      <c r="BR151" s="761"/>
      <c r="BS151" s="761"/>
      <c r="BT151" s="761"/>
      <c r="BU151" s="761"/>
      <c r="BV151" s="761"/>
      <c r="BW151" s="761"/>
      <c r="BX151" s="761"/>
      <c r="BY151" s="761"/>
      <c r="BZ151" s="761"/>
      <c r="CA151" s="1216"/>
      <c r="CB151" s="747"/>
      <c r="CC151" s="1222">
        <f>$G151*H151*Variables!$B$53</f>
        <v>0</v>
      </c>
      <c r="CD151" s="1223">
        <f>$G151*I151*Variables!$B$53</f>
        <v>0</v>
      </c>
      <c r="CE151" s="1223">
        <f>$G151*J151*Variables!$B$53</f>
        <v>0</v>
      </c>
      <c r="CF151" s="1223">
        <f>$G151*K151*Variables!$B$53</f>
        <v>0</v>
      </c>
      <c r="CG151" s="1223">
        <f>$G151*L151*Variables!$B$53</f>
        <v>0</v>
      </c>
      <c r="CH151" s="1223">
        <f>$G151*M151*Variables!$B$53</f>
        <v>0</v>
      </c>
      <c r="CI151" s="1223">
        <f>$G151*N151*Variables!$B$53</f>
        <v>0</v>
      </c>
      <c r="CJ151" s="1223">
        <f>$G151*O151*Variables!$B$53</f>
        <v>0</v>
      </c>
      <c r="CK151" s="1223">
        <f>$G151*P151*Variables!$B$53</f>
        <v>0</v>
      </c>
      <c r="CL151" s="1223">
        <f>$G151*Q151*Variables!$B$53</f>
        <v>0</v>
      </c>
      <c r="CM151" s="1223">
        <f>$G151*R151*Variables!$B$53</f>
        <v>0</v>
      </c>
      <c r="CN151" s="1225">
        <f>$G151*S151*Variables!$B$53</f>
        <v>0</v>
      </c>
      <c r="CO151" s="1222">
        <f>$G151*T151*Variables!$B$53*HLOOKUP($CO$2,Variables!$B$60:$F$61,2,FALSE)</f>
        <v>0</v>
      </c>
      <c r="CP151" s="1223">
        <f>$G151*U151*Variables!$B$53*HLOOKUP($CO$2,Variables!$B$60:$F$61,2,FALSE)</f>
        <v>0</v>
      </c>
      <c r="CQ151" s="1223">
        <f>$G151*V151*Variables!$B$53*HLOOKUP($CO$2,Variables!$B$60:$F$61,2,FALSE)</f>
        <v>0</v>
      </c>
      <c r="CR151" s="1223">
        <f>$G151*W151*Variables!$B$53*HLOOKUP($CO$2,Variables!$B$60:$F$61,2,FALSE)</f>
        <v>0</v>
      </c>
      <c r="CS151" s="1223">
        <f>$G151*X151*Variables!$B$53*HLOOKUP($CO$2,Variables!$B$60:$F$61,2,FALSE)</f>
        <v>0</v>
      </c>
      <c r="CT151" s="1223">
        <f>$G151*Y151*Variables!$B$53*HLOOKUP($CO$2,Variables!$B$60:$F$61,2,FALSE)</f>
        <v>0</v>
      </c>
      <c r="CU151" s="1223">
        <f>$G151*Z151*Variables!$B$53*HLOOKUP($CO$2,Variables!$B$60:$F$61,2,FALSE)</f>
        <v>0</v>
      </c>
      <c r="CV151" s="1223">
        <f>$G151*AA151*Variables!$B$53*HLOOKUP($CO$2,Variables!$B$60:$F$61,2,FALSE)</f>
        <v>0</v>
      </c>
      <c r="CW151" s="1223">
        <f>$G151*AB151*Variables!$B$53*HLOOKUP($CO$2,Variables!$B$60:$F$61,2,FALSE)</f>
        <v>0</v>
      </c>
      <c r="CX151" s="1223">
        <f>$G151*AC151*Variables!$B$53*HLOOKUP($CO$2,Variables!$B$60:$F$61,2,FALSE)</f>
        <v>0</v>
      </c>
      <c r="CY151" s="1223">
        <f>$G151*AD151*Variables!$B$53*HLOOKUP($CO$2,Variables!$B$60:$F$61,2,FALSE)</f>
        <v>0</v>
      </c>
      <c r="CZ151" s="1225">
        <f>$G151*AE151*Variables!$B$53*HLOOKUP($CO$2,Variables!$B$60:$F$61,2,FALSE)</f>
        <v>0</v>
      </c>
      <c r="DA151" s="1222">
        <f>$G151*AF151*Variables!$B$53*HLOOKUP($DA$2,Variables!$B$60:$F$61,2,FALSE)</f>
        <v>0</v>
      </c>
      <c r="DB151" s="1223">
        <f>$G151*AG151*Variables!$B$53*HLOOKUP($DA$2,Variables!$B$60:$F$61,2,FALSE)</f>
        <v>0</v>
      </c>
      <c r="DC151" s="1223">
        <f>$G151*AH151*Variables!$B$53*HLOOKUP($DA$2,Variables!$B$60:$F$61,2,FALSE)</f>
        <v>0</v>
      </c>
      <c r="DD151" s="1223">
        <f>$G151*AI151*Variables!$B$53*HLOOKUP($DA$2,Variables!$B$60:$F$61,2,FALSE)</f>
        <v>0</v>
      </c>
      <c r="DE151" s="1223">
        <f>$G151*AJ151*Variables!$B$53*HLOOKUP($DA$2,Variables!$B$60:$F$61,2,FALSE)</f>
        <v>0</v>
      </c>
      <c r="DF151" s="1223">
        <f>$G151*AK151*Variables!$B$53*HLOOKUP($DA$2,Variables!$B$60:$F$61,2,FALSE)</f>
        <v>0</v>
      </c>
      <c r="DG151" s="1223">
        <f>$G151*AL151*Variables!$B$53*HLOOKUP($DA$2,Variables!$B$60:$F$61,2,FALSE)</f>
        <v>0</v>
      </c>
      <c r="DH151" s="1223">
        <f>$G151*AM151*Variables!$B$53*HLOOKUP($DA$2,Variables!$B$60:$F$61,2,FALSE)</f>
        <v>0</v>
      </c>
      <c r="DI151" s="1223">
        <f>$G151*AN151*Variables!$B$53*HLOOKUP($DA$2,Variables!$B$60:$F$61,2,FALSE)</f>
        <v>0</v>
      </c>
      <c r="DJ151" s="1223">
        <f>$G151*AO151*Variables!$B$53*HLOOKUP($DA$2,Variables!$B$60:$F$61,2,FALSE)</f>
        <v>0</v>
      </c>
      <c r="DK151" s="1223">
        <f>$G151*AP151*Variables!$B$53*HLOOKUP($DA$2,Variables!$B$60:$F$61,2,FALSE)</f>
        <v>0</v>
      </c>
      <c r="DL151" s="1225">
        <f>$G151*AQ151*Variables!$B$53*HLOOKUP($DA$2,Variables!$B$60:$F$61,2,FALSE)</f>
        <v>0</v>
      </c>
      <c r="DM151" s="1222">
        <f>$G151*AR151*Variables!$B$53*HLOOKUP($DM$2,Variables!$B$60:$F$61,2,FALSE)</f>
        <v>0</v>
      </c>
      <c r="DN151" s="1223">
        <f>$G151*AS151*Variables!$B$53*HLOOKUP($DM$2,Variables!$B$60:$F$61,2,FALSE)</f>
        <v>0</v>
      </c>
      <c r="DO151" s="1223">
        <f>$G151*AT151*Variables!$B$53*HLOOKUP($DM$2,Variables!$B$60:$F$61,2,FALSE)</f>
        <v>0</v>
      </c>
      <c r="DP151" s="1223">
        <f>$G151*AU151*Variables!$B$53*HLOOKUP($DM$2,Variables!$B$60:$F$61,2,FALSE)</f>
        <v>0</v>
      </c>
      <c r="DQ151" s="1223">
        <f>$G151*AV151*Variables!$B$53*HLOOKUP($DM$2,Variables!$B$60:$F$61,2,FALSE)</f>
        <v>0</v>
      </c>
      <c r="DR151" s="1223">
        <f>$G151*AW151*Variables!$B$53*HLOOKUP($DM$2,Variables!$B$60:$F$61,2,FALSE)</f>
        <v>0</v>
      </c>
      <c r="DS151" s="1223">
        <f>$G151*AX151*Variables!$B$53*HLOOKUP($DM$2,Variables!$B$60:$F$61,2,FALSE)</f>
        <v>0</v>
      </c>
      <c r="DT151" s="1223">
        <f>$G151*AY151*Variables!$B$53*HLOOKUP($DM$2,Variables!$B$60:$F$61,2,FALSE)</f>
        <v>0</v>
      </c>
      <c r="DU151" s="1223">
        <f>$G151*AZ151*Variables!$B$53*HLOOKUP($DM$2,Variables!$B$60:$F$61,2,FALSE)</f>
        <v>0</v>
      </c>
      <c r="DV151" s="1223">
        <f>$G151*BA151*Variables!$B$53*HLOOKUP($DM$2,Variables!$B$60:$F$61,2,FALSE)</f>
        <v>0</v>
      </c>
      <c r="DW151" s="1223">
        <f>$G151*BB151*Variables!$B$53*HLOOKUP($DM$2,Variables!$B$60:$F$61,2,FALSE)</f>
        <v>0</v>
      </c>
      <c r="DX151" s="1225">
        <f>$G151*BC151*Variables!$B$53*HLOOKUP($DM$2,Variables!$B$60:$F$61,2,FALSE)</f>
        <v>0</v>
      </c>
      <c r="DY151" s="1222">
        <f>$G151*BD151*Variables!$B$53*HLOOKUP($DY$2,Variables!$B$60:$F$61,2,FALSE)</f>
        <v>0</v>
      </c>
      <c r="DZ151" s="1223">
        <f>$G151*BE151*Variables!$B$53*HLOOKUP($DY$2,Variables!$B$60:$F$61,2,FALSE)</f>
        <v>0</v>
      </c>
      <c r="EA151" s="1223">
        <f>$G151*BF151*Variables!$B$53*HLOOKUP($DY$2,Variables!$B$60:$F$61,2,FALSE)</f>
        <v>0</v>
      </c>
      <c r="EB151" s="1223">
        <f>$G151*BG151*Variables!$B$53*HLOOKUP($DY$2,Variables!$B$60:$F$61,2,FALSE)</f>
        <v>0</v>
      </c>
      <c r="EC151" s="1223">
        <f>$G151*BH151*Variables!$B$53*HLOOKUP($DY$2,Variables!$B$60:$F$61,2,FALSE)</f>
        <v>0</v>
      </c>
      <c r="ED151" s="1223">
        <f>$G151*BI151*Variables!$B$53*HLOOKUP($DY$2,Variables!$B$60:$F$61,2,FALSE)</f>
        <v>0</v>
      </c>
      <c r="EE151" s="1223">
        <f>$G151*BJ151*Variables!$B$53*HLOOKUP($DY$2,Variables!$B$60:$F$61,2,FALSE)</f>
        <v>0</v>
      </c>
      <c r="EF151" s="1223">
        <f>$G151*BK151*Variables!$B$53*HLOOKUP($DY$2,Variables!$B$60:$F$61,2,FALSE)</f>
        <v>0</v>
      </c>
      <c r="EG151" s="1223">
        <f>$G151*BL151*Variables!$B$53*HLOOKUP($DY$2,Variables!$B$60:$F$61,2,FALSE)</f>
        <v>0</v>
      </c>
      <c r="EH151" s="1223">
        <f>$G151*BM151*Variables!$B$53*HLOOKUP($DY$2,Variables!$B$60:$F$61,2,FALSE)</f>
        <v>0</v>
      </c>
      <c r="EI151" s="1223">
        <f>$G151*BN151*Variables!$B$53*HLOOKUP($DY$2,Variables!$B$60:$F$61,2,FALSE)</f>
        <v>0</v>
      </c>
      <c r="EJ151" s="1225">
        <f>$G151*BO151*Variables!$B$53*HLOOKUP($DY$2,Variables!$B$60:$F$61,2,FALSE)</f>
        <v>0</v>
      </c>
      <c r="EK151" s="1222">
        <f>$G151*BP151*Variables!$B$53*HLOOKUP($EK$2,Variables!$B$60:$F$61,2,FALSE)</f>
        <v>0</v>
      </c>
      <c r="EL151" s="1223">
        <f>$G151*BQ151*Variables!$B$53*HLOOKUP($EK$2,Variables!$B$60:$F$61,2,FALSE)</f>
        <v>0</v>
      </c>
      <c r="EM151" s="1223">
        <f>$G151*BR151*Variables!$B$53*HLOOKUP($EK$2,Variables!$B$60:$F$61,2,FALSE)</f>
        <v>0</v>
      </c>
      <c r="EN151" s="1223">
        <f>$G151*BS151*Variables!$B$53*HLOOKUP($EK$2,Variables!$B$60:$F$61,2,FALSE)</f>
        <v>0</v>
      </c>
      <c r="EO151" s="1223">
        <f>$G151*BT151*Variables!$B$53*HLOOKUP($EK$2,Variables!$B$60:$F$61,2,FALSE)</f>
        <v>0</v>
      </c>
      <c r="EP151" s="1223">
        <f>$G151*BU151*Variables!$B$53*HLOOKUP($EK$2,Variables!$B$60:$F$61,2,FALSE)</f>
        <v>0</v>
      </c>
      <c r="EQ151" s="1223">
        <f>$G151*BV151*Variables!$B$53*HLOOKUP($EK$2,Variables!$B$60:$F$61,2,FALSE)</f>
        <v>0</v>
      </c>
      <c r="ER151" s="1223">
        <f>$G151*BW151*Variables!$B$53*HLOOKUP($EK$2,Variables!$B$60:$F$61,2,FALSE)</f>
        <v>0</v>
      </c>
      <c r="ES151" s="1223">
        <f>$G151*BX151*Variables!$B$53*HLOOKUP($EK$2,Variables!$B$60:$F$61,2,FALSE)</f>
        <v>0</v>
      </c>
      <c r="ET151" s="1223">
        <f>$G151*BY151*Variables!$B$53*HLOOKUP($EK$2,Variables!$B$60:$F$61,2,FALSE)</f>
        <v>0</v>
      </c>
      <c r="EU151" s="1223">
        <f>$G151*BZ151*Variables!$B$53*HLOOKUP($EK$2,Variables!$B$60:$F$61,2,FALSE)</f>
        <v>0</v>
      </c>
      <c r="EV151" s="1225">
        <f>$G151*CA151*Variables!$B$53*HLOOKUP($EK$2,Variables!$B$60:$F$61,2,FALSE)</f>
        <v>0</v>
      </c>
      <c r="EW151" s="872">
        <f t="shared" si="23"/>
        <v>0</v>
      </c>
      <c r="EX151" s="872"/>
      <c r="EY151" s="872"/>
      <c r="EZ151" s="872"/>
      <c r="FA151" s="1332"/>
      <c r="FC151" s="958" t="str">
        <f t="shared" si="19"/>
        <v/>
      </c>
      <c r="FD151" s="959" t="str">
        <f t="shared" si="20"/>
        <v/>
      </c>
      <c r="FE151" s="959" t="s">
        <v>8407</v>
      </c>
      <c r="FF151" s="959" t="str">
        <f>IF(ISNA(VLOOKUP(FC151,Miscellaneous!E:F,2,0)),"",VLOOKUP(FC151,Miscellaneous!E:F,2,0))</f>
        <v/>
      </c>
      <c r="FG151" s="959" t="str">
        <f t="shared" si="21"/>
        <v/>
      </c>
      <c r="FH151" s="996">
        <f>IF($FG151="Opex",SUMIF('Monthly Summary'!$C$75:$N$75,"",CC151:CN151),SUMIF('Monthly Summary'!$C$74:$N$74,"",CC151:CN151))</f>
        <v>0</v>
      </c>
      <c r="FI151" s="996">
        <f>IF($FG151="Opex",SUMIF('Monthly Summary'!$O$75:$Z$75,"",CO151:CZ151),SUMIF('Monthly Summary'!$O$74:$Z$74,"",CO151:CZ151))</f>
        <v>0</v>
      </c>
      <c r="FJ151" s="996">
        <f>IF($FG151="Opex",SUMIF('Monthly Summary'!$AA$75:$AL$75,"",DA151:DL151),SUMIF('Monthly Summary'!$AA$74:$AL$74,"",DA151:DL151))</f>
        <v>0</v>
      </c>
      <c r="FK151" s="996">
        <f>IF($FG151="Opex",SUMIF('Monthly Summary'!$AM$75:$AX$75,"",DM151:DX151),SUMIF('Monthly Summary'!$AM$74:$AX$74,"",DM151:DX151))</f>
        <v>0</v>
      </c>
      <c r="FL151" s="996">
        <f>IF($FG151="Opex",SUMIF('Monthly Summary'!$AY$75:$BJ$75,"",DY151:EJ151),SUMIF('Monthly Summary'!$AY$74:$BJ$74,"",DY151:EJ151))</f>
        <v>0</v>
      </c>
      <c r="FM151" s="997">
        <f>IF($FG151="Opex",SUMIF('Monthly Summary'!$BK$75:$BV$75,"",EK151:EV151),SUMIF('Monthly Summary'!$BK$74:$BV$74,"",EK151:EV151))</f>
        <v>0</v>
      </c>
      <c r="FN151" s="997">
        <f t="shared" si="22"/>
        <v>0</v>
      </c>
    </row>
    <row r="152" spans="3:170">
      <c r="C152" s="757"/>
      <c r="D152" s="757"/>
      <c r="E152" s="758"/>
      <c r="F152" s="758"/>
      <c r="G152" s="758"/>
      <c r="H152" s="1215"/>
      <c r="I152" s="761"/>
      <c r="J152" s="761"/>
      <c r="K152" s="761"/>
      <c r="L152" s="761"/>
      <c r="M152" s="761"/>
      <c r="N152" s="761"/>
      <c r="O152" s="761"/>
      <c r="P152" s="761"/>
      <c r="Q152" s="761"/>
      <c r="R152" s="761"/>
      <c r="S152" s="1216"/>
      <c r="T152" s="1215"/>
      <c r="U152" s="761"/>
      <c r="V152" s="761"/>
      <c r="W152" s="761"/>
      <c r="X152" s="761"/>
      <c r="Y152" s="761"/>
      <c r="Z152" s="761"/>
      <c r="AA152" s="761"/>
      <c r="AB152" s="761"/>
      <c r="AC152" s="761"/>
      <c r="AD152" s="761"/>
      <c r="AE152" s="1216"/>
      <c r="AF152" s="1215"/>
      <c r="AG152" s="761"/>
      <c r="AH152" s="761"/>
      <c r="AI152" s="761"/>
      <c r="AJ152" s="761"/>
      <c r="AK152" s="761"/>
      <c r="AL152" s="761"/>
      <c r="AM152" s="761"/>
      <c r="AN152" s="761"/>
      <c r="AO152" s="761"/>
      <c r="AP152" s="761"/>
      <c r="AQ152" s="1216"/>
      <c r="AR152" s="1215"/>
      <c r="AS152" s="761"/>
      <c r="AT152" s="761"/>
      <c r="AU152" s="761"/>
      <c r="AV152" s="761"/>
      <c r="AW152" s="761"/>
      <c r="AX152" s="761"/>
      <c r="AY152" s="761"/>
      <c r="AZ152" s="761"/>
      <c r="BA152" s="761"/>
      <c r="BB152" s="761"/>
      <c r="BC152" s="1216"/>
      <c r="BD152" s="1215"/>
      <c r="BE152" s="761"/>
      <c r="BF152" s="761"/>
      <c r="BG152" s="761"/>
      <c r="BH152" s="761"/>
      <c r="BI152" s="761"/>
      <c r="BJ152" s="761"/>
      <c r="BK152" s="761"/>
      <c r="BL152" s="761"/>
      <c r="BM152" s="761"/>
      <c r="BN152" s="761"/>
      <c r="BO152" s="1216"/>
      <c r="BP152" s="1215"/>
      <c r="BQ152" s="761"/>
      <c r="BR152" s="761"/>
      <c r="BS152" s="761"/>
      <c r="BT152" s="761"/>
      <c r="BU152" s="761"/>
      <c r="BV152" s="761"/>
      <c r="BW152" s="761"/>
      <c r="BX152" s="761"/>
      <c r="BY152" s="761"/>
      <c r="BZ152" s="761"/>
      <c r="CA152" s="1216"/>
      <c r="CB152" s="747"/>
      <c r="CC152" s="1222">
        <f>$G152*H152*Variables!$B$53</f>
        <v>0</v>
      </c>
      <c r="CD152" s="1223">
        <f>$G152*I152*Variables!$B$53</f>
        <v>0</v>
      </c>
      <c r="CE152" s="1223">
        <f>$G152*J152*Variables!$B$53</f>
        <v>0</v>
      </c>
      <c r="CF152" s="1223">
        <f>$G152*K152*Variables!$B$53</f>
        <v>0</v>
      </c>
      <c r="CG152" s="1223">
        <f>$G152*L152*Variables!$B$53</f>
        <v>0</v>
      </c>
      <c r="CH152" s="1223">
        <f>$G152*M152*Variables!$B$53</f>
        <v>0</v>
      </c>
      <c r="CI152" s="1223">
        <f>$G152*N152*Variables!$B$53</f>
        <v>0</v>
      </c>
      <c r="CJ152" s="1223">
        <f>$G152*O152*Variables!$B$53</f>
        <v>0</v>
      </c>
      <c r="CK152" s="1223">
        <f>$G152*P152*Variables!$B$53</f>
        <v>0</v>
      </c>
      <c r="CL152" s="1223">
        <f>$G152*Q152*Variables!$B$53</f>
        <v>0</v>
      </c>
      <c r="CM152" s="1223">
        <f>$G152*R152*Variables!$B$53</f>
        <v>0</v>
      </c>
      <c r="CN152" s="1225">
        <f>$G152*S152*Variables!$B$53</f>
        <v>0</v>
      </c>
      <c r="CO152" s="1222">
        <f>$G152*T152*Variables!$B$53*HLOOKUP($CO$2,Variables!$B$60:$F$61,2,FALSE)</f>
        <v>0</v>
      </c>
      <c r="CP152" s="1223">
        <f>$G152*U152*Variables!$B$53*HLOOKUP($CO$2,Variables!$B$60:$F$61,2,FALSE)</f>
        <v>0</v>
      </c>
      <c r="CQ152" s="1223">
        <f>$G152*V152*Variables!$B$53*HLOOKUP($CO$2,Variables!$B$60:$F$61,2,FALSE)</f>
        <v>0</v>
      </c>
      <c r="CR152" s="1223">
        <f>$G152*W152*Variables!$B$53*HLOOKUP($CO$2,Variables!$B$60:$F$61,2,FALSE)</f>
        <v>0</v>
      </c>
      <c r="CS152" s="1223">
        <f>$G152*X152*Variables!$B$53*HLOOKUP($CO$2,Variables!$B$60:$F$61,2,FALSE)</f>
        <v>0</v>
      </c>
      <c r="CT152" s="1223">
        <f>$G152*Y152*Variables!$B$53*HLOOKUP($CO$2,Variables!$B$60:$F$61,2,FALSE)</f>
        <v>0</v>
      </c>
      <c r="CU152" s="1223">
        <f>$G152*Z152*Variables!$B$53*HLOOKUP($CO$2,Variables!$B$60:$F$61,2,FALSE)</f>
        <v>0</v>
      </c>
      <c r="CV152" s="1223">
        <f>$G152*AA152*Variables!$B$53*HLOOKUP($CO$2,Variables!$B$60:$F$61,2,FALSE)</f>
        <v>0</v>
      </c>
      <c r="CW152" s="1223">
        <f>$G152*AB152*Variables!$B$53*HLOOKUP($CO$2,Variables!$B$60:$F$61,2,FALSE)</f>
        <v>0</v>
      </c>
      <c r="CX152" s="1223">
        <f>$G152*AC152*Variables!$B$53*HLOOKUP($CO$2,Variables!$B$60:$F$61,2,FALSE)</f>
        <v>0</v>
      </c>
      <c r="CY152" s="1223">
        <f>$G152*AD152*Variables!$B$53*HLOOKUP($CO$2,Variables!$B$60:$F$61,2,FALSE)</f>
        <v>0</v>
      </c>
      <c r="CZ152" s="1225">
        <f>$G152*AE152*Variables!$B$53*HLOOKUP($CO$2,Variables!$B$60:$F$61,2,FALSE)</f>
        <v>0</v>
      </c>
      <c r="DA152" s="1222">
        <f>$G152*AF152*Variables!$B$53*HLOOKUP($DA$2,Variables!$B$60:$F$61,2,FALSE)</f>
        <v>0</v>
      </c>
      <c r="DB152" s="1223">
        <f>$G152*AG152*Variables!$B$53*HLOOKUP($DA$2,Variables!$B$60:$F$61,2,FALSE)</f>
        <v>0</v>
      </c>
      <c r="DC152" s="1223">
        <f>$G152*AH152*Variables!$B$53*HLOOKUP($DA$2,Variables!$B$60:$F$61,2,FALSE)</f>
        <v>0</v>
      </c>
      <c r="DD152" s="1223">
        <f>$G152*AI152*Variables!$B$53*HLOOKUP($DA$2,Variables!$B$60:$F$61,2,FALSE)</f>
        <v>0</v>
      </c>
      <c r="DE152" s="1223">
        <f>$G152*AJ152*Variables!$B$53*HLOOKUP($DA$2,Variables!$B$60:$F$61,2,FALSE)</f>
        <v>0</v>
      </c>
      <c r="DF152" s="1223">
        <f>$G152*AK152*Variables!$B$53*HLOOKUP($DA$2,Variables!$B$60:$F$61,2,FALSE)</f>
        <v>0</v>
      </c>
      <c r="DG152" s="1223">
        <f>$G152*AL152*Variables!$B$53*HLOOKUP($DA$2,Variables!$B$60:$F$61,2,FALSE)</f>
        <v>0</v>
      </c>
      <c r="DH152" s="1223">
        <f>$G152*AM152*Variables!$B$53*HLOOKUP($DA$2,Variables!$B$60:$F$61,2,FALSE)</f>
        <v>0</v>
      </c>
      <c r="DI152" s="1223">
        <f>$G152*AN152*Variables!$B$53*HLOOKUP($DA$2,Variables!$B$60:$F$61,2,FALSE)</f>
        <v>0</v>
      </c>
      <c r="DJ152" s="1223">
        <f>$G152*AO152*Variables!$B$53*HLOOKUP($DA$2,Variables!$B$60:$F$61,2,FALSE)</f>
        <v>0</v>
      </c>
      <c r="DK152" s="1223">
        <f>$G152*AP152*Variables!$B$53*HLOOKUP($DA$2,Variables!$B$60:$F$61,2,FALSE)</f>
        <v>0</v>
      </c>
      <c r="DL152" s="1225">
        <f>$G152*AQ152*Variables!$B$53*HLOOKUP($DA$2,Variables!$B$60:$F$61,2,FALSE)</f>
        <v>0</v>
      </c>
      <c r="DM152" s="1222">
        <f>$G152*AR152*Variables!$B$53*HLOOKUP($DM$2,Variables!$B$60:$F$61,2,FALSE)</f>
        <v>0</v>
      </c>
      <c r="DN152" s="1223">
        <f>$G152*AS152*Variables!$B$53*HLOOKUP($DM$2,Variables!$B$60:$F$61,2,FALSE)</f>
        <v>0</v>
      </c>
      <c r="DO152" s="1223">
        <f>$G152*AT152*Variables!$B$53*HLOOKUP($DM$2,Variables!$B$60:$F$61,2,FALSE)</f>
        <v>0</v>
      </c>
      <c r="DP152" s="1223">
        <f>$G152*AU152*Variables!$B$53*HLOOKUP($DM$2,Variables!$B$60:$F$61,2,FALSE)</f>
        <v>0</v>
      </c>
      <c r="DQ152" s="1223">
        <f>$G152*AV152*Variables!$B$53*HLOOKUP($DM$2,Variables!$B$60:$F$61,2,FALSE)</f>
        <v>0</v>
      </c>
      <c r="DR152" s="1223">
        <f>$G152*AW152*Variables!$B$53*HLOOKUP($DM$2,Variables!$B$60:$F$61,2,FALSE)</f>
        <v>0</v>
      </c>
      <c r="DS152" s="1223">
        <f>$G152*AX152*Variables!$B$53*HLOOKUP($DM$2,Variables!$B$60:$F$61,2,FALSE)</f>
        <v>0</v>
      </c>
      <c r="DT152" s="1223">
        <f>$G152*AY152*Variables!$B$53*HLOOKUP($DM$2,Variables!$B$60:$F$61,2,FALSE)</f>
        <v>0</v>
      </c>
      <c r="DU152" s="1223">
        <f>$G152*AZ152*Variables!$B$53*HLOOKUP($DM$2,Variables!$B$60:$F$61,2,FALSE)</f>
        <v>0</v>
      </c>
      <c r="DV152" s="1223">
        <f>$G152*BA152*Variables!$B$53*HLOOKUP($DM$2,Variables!$B$60:$F$61,2,FALSE)</f>
        <v>0</v>
      </c>
      <c r="DW152" s="1223">
        <f>$G152*BB152*Variables!$B$53*HLOOKUP($DM$2,Variables!$B$60:$F$61,2,FALSE)</f>
        <v>0</v>
      </c>
      <c r="DX152" s="1225">
        <f>$G152*BC152*Variables!$B$53*HLOOKUP($DM$2,Variables!$B$60:$F$61,2,FALSE)</f>
        <v>0</v>
      </c>
      <c r="DY152" s="1222">
        <f>$G152*BD152*Variables!$B$53*HLOOKUP($DY$2,Variables!$B$60:$F$61,2,FALSE)</f>
        <v>0</v>
      </c>
      <c r="DZ152" s="1223">
        <f>$G152*BE152*Variables!$B$53*HLOOKUP($DY$2,Variables!$B$60:$F$61,2,FALSE)</f>
        <v>0</v>
      </c>
      <c r="EA152" s="1223">
        <f>$G152*BF152*Variables!$B$53*HLOOKUP($DY$2,Variables!$B$60:$F$61,2,FALSE)</f>
        <v>0</v>
      </c>
      <c r="EB152" s="1223">
        <f>$G152*BG152*Variables!$B$53*HLOOKUP($DY$2,Variables!$B$60:$F$61,2,FALSE)</f>
        <v>0</v>
      </c>
      <c r="EC152" s="1223">
        <f>$G152*BH152*Variables!$B$53*HLOOKUP($DY$2,Variables!$B$60:$F$61,2,FALSE)</f>
        <v>0</v>
      </c>
      <c r="ED152" s="1223">
        <f>$G152*BI152*Variables!$B$53*HLOOKUP($DY$2,Variables!$B$60:$F$61,2,FALSE)</f>
        <v>0</v>
      </c>
      <c r="EE152" s="1223">
        <f>$G152*BJ152*Variables!$B$53*HLOOKUP($DY$2,Variables!$B$60:$F$61,2,FALSE)</f>
        <v>0</v>
      </c>
      <c r="EF152" s="1223">
        <f>$G152*BK152*Variables!$B$53*HLOOKUP($DY$2,Variables!$B$60:$F$61,2,FALSE)</f>
        <v>0</v>
      </c>
      <c r="EG152" s="1223">
        <f>$G152*BL152*Variables!$B$53*HLOOKUP($DY$2,Variables!$B$60:$F$61,2,FALSE)</f>
        <v>0</v>
      </c>
      <c r="EH152" s="1223">
        <f>$G152*BM152*Variables!$B$53*HLOOKUP($DY$2,Variables!$B$60:$F$61,2,FALSE)</f>
        <v>0</v>
      </c>
      <c r="EI152" s="1223">
        <f>$G152*BN152*Variables!$B$53*HLOOKUP($DY$2,Variables!$B$60:$F$61,2,FALSE)</f>
        <v>0</v>
      </c>
      <c r="EJ152" s="1225">
        <f>$G152*BO152*Variables!$B$53*HLOOKUP($DY$2,Variables!$B$60:$F$61,2,FALSE)</f>
        <v>0</v>
      </c>
      <c r="EK152" s="1222">
        <f>$G152*BP152*Variables!$B$53*HLOOKUP($EK$2,Variables!$B$60:$F$61,2,FALSE)</f>
        <v>0</v>
      </c>
      <c r="EL152" s="1223">
        <f>$G152*BQ152*Variables!$B$53*HLOOKUP($EK$2,Variables!$B$60:$F$61,2,FALSE)</f>
        <v>0</v>
      </c>
      <c r="EM152" s="1223">
        <f>$G152*BR152*Variables!$B$53*HLOOKUP($EK$2,Variables!$B$60:$F$61,2,FALSE)</f>
        <v>0</v>
      </c>
      <c r="EN152" s="1223">
        <f>$G152*BS152*Variables!$B$53*HLOOKUP($EK$2,Variables!$B$60:$F$61,2,FALSE)</f>
        <v>0</v>
      </c>
      <c r="EO152" s="1223">
        <f>$G152*BT152*Variables!$B$53*HLOOKUP($EK$2,Variables!$B$60:$F$61,2,FALSE)</f>
        <v>0</v>
      </c>
      <c r="EP152" s="1223">
        <f>$G152*BU152*Variables!$B$53*HLOOKUP($EK$2,Variables!$B$60:$F$61,2,FALSE)</f>
        <v>0</v>
      </c>
      <c r="EQ152" s="1223">
        <f>$G152*BV152*Variables!$B$53*HLOOKUP($EK$2,Variables!$B$60:$F$61,2,FALSE)</f>
        <v>0</v>
      </c>
      <c r="ER152" s="1223">
        <f>$G152*BW152*Variables!$B$53*HLOOKUP($EK$2,Variables!$B$60:$F$61,2,FALSE)</f>
        <v>0</v>
      </c>
      <c r="ES152" s="1223">
        <f>$G152*BX152*Variables!$B$53*HLOOKUP($EK$2,Variables!$B$60:$F$61,2,FALSE)</f>
        <v>0</v>
      </c>
      <c r="ET152" s="1223">
        <f>$G152*BY152*Variables!$B$53*HLOOKUP($EK$2,Variables!$B$60:$F$61,2,FALSE)</f>
        <v>0</v>
      </c>
      <c r="EU152" s="1223">
        <f>$G152*BZ152*Variables!$B$53*HLOOKUP($EK$2,Variables!$B$60:$F$61,2,FALSE)</f>
        <v>0</v>
      </c>
      <c r="EV152" s="1225">
        <f>$G152*CA152*Variables!$B$53*HLOOKUP($EK$2,Variables!$B$60:$F$61,2,FALSE)</f>
        <v>0</v>
      </c>
      <c r="EW152" s="872">
        <f t="shared" si="23"/>
        <v>0</v>
      </c>
      <c r="EX152" s="872"/>
      <c r="EY152" s="872"/>
      <c r="EZ152" s="872"/>
      <c r="FA152" s="1332"/>
      <c r="FC152" s="958" t="str">
        <f t="shared" si="19"/>
        <v/>
      </c>
      <c r="FD152" s="959" t="str">
        <f t="shared" si="20"/>
        <v/>
      </c>
      <c r="FE152" s="959" t="s">
        <v>8407</v>
      </c>
      <c r="FF152" s="959" t="str">
        <f>IF(ISNA(VLOOKUP(FC152,Miscellaneous!E:F,2,0)),"",VLOOKUP(FC152,Miscellaneous!E:F,2,0))</f>
        <v/>
      </c>
      <c r="FG152" s="959" t="str">
        <f t="shared" si="21"/>
        <v/>
      </c>
      <c r="FH152" s="996">
        <f>IF($FG152="Opex",SUMIF('Monthly Summary'!$C$75:$N$75,"",CC152:CN152),SUMIF('Monthly Summary'!$C$74:$N$74,"",CC152:CN152))</f>
        <v>0</v>
      </c>
      <c r="FI152" s="996">
        <f>IF($FG152="Opex",SUMIF('Monthly Summary'!$O$75:$Z$75,"",CO152:CZ152),SUMIF('Monthly Summary'!$O$74:$Z$74,"",CO152:CZ152))</f>
        <v>0</v>
      </c>
      <c r="FJ152" s="996">
        <f>IF($FG152="Opex",SUMIF('Monthly Summary'!$AA$75:$AL$75,"",DA152:DL152),SUMIF('Monthly Summary'!$AA$74:$AL$74,"",DA152:DL152))</f>
        <v>0</v>
      </c>
      <c r="FK152" s="996">
        <f>IF($FG152="Opex",SUMIF('Monthly Summary'!$AM$75:$AX$75,"",DM152:DX152),SUMIF('Monthly Summary'!$AM$74:$AX$74,"",DM152:DX152))</f>
        <v>0</v>
      </c>
      <c r="FL152" s="996">
        <f>IF($FG152="Opex",SUMIF('Monthly Summary'!$AY$75:$BJ$75,"",DY152:EJ152),SUMIF('Monthly Summary'!$AY$74:$BJ$74,"",DY152:EJ152))</f>
        <v>0</v>
      </c>
      <c r="FM152" s="997">
        <f>IF($FG152="Opex",SUMIF('Monthly Summary'!$BK$75:$BV$75,"",EK152:EV152),SUMIF('Monthly Summary'!$BK$74:$BV$74,"",EK152:EV152))</f>
        <v>0</v>
      </c>
      <c r="FN152" s="997">
        <f t="shared" si="22"/>
        <v>0</v>
      </c>
    </row>
    <row r="153" spans="3:170">
      <c r="C153" s="757"/>
      <c r="D153" s="757"/>
      <c r="E153" s="758"/>
      <c r="F153" s="758"/>
      <c r="G153" s="758"/>
      <c r="H153" s="1215"/>
      <c r="I153" s="761"/>
      <c r="J153" s="761"/>
      <c r="K153" s="761"/>
      <c r="L153" s="761"/>
      <c r="M153" s="761"/>
      <c r="N153" s="761"/>
      <c r="O153" s="761"/>
      <c r="P153" s="761"/>
      <c r="Q153" s="761"/>
      <c r="R153" s="761"/>
      <c r="S153" s="1216"/>
      <c r="T153" s="1215"/>
      <c r="U153" s="761"/>
      <c r="V153" s="761"/>
      <c r="W153" s="761"/>
      <c r="X153" s="761"/>
      <c r="Y153" s="761"/>
      <c r="Z153" s="761"/>
      <c r="AA153" s="761"/>
      <c r="AB153" s="761"/>
      <c r="AC153" s="761"/>
      <c r="AD153" s="761"/>
      <c r="AE153" s="1216"/>
      <c r="AF153" s="1215"/>
      <c r="AG153" s="761"/>
      <c r="AH153" s="761"/>
      <c r="AI153" s="761"/>
      <c r="AJ153" s="761"/>
      <c r="AK153" s="761"/>
      <c r="AL153" s="761"/>
      <c r="AM153" s="761"/>
      <c r="AN153" s="761"/>
      <c r="AO153" s="761"/>
      <c r="AP153" s="761"/>
      <c r="AQ153" s="1216"/>
      <c r="AR153" s="1215"/>
      <c r="AS153" s="761"/>
      <c r="AT153" s="761"/>
      <c r="AU153" s="761"/>
      <c r="AV153" s="761"/>
      <c r="AW153" s="761"/>
      <c r="AX153" s="761"/>
      <c r="AY153" s="761"/>
      <c r="AZ153" s="761"/>
      <c r="BA153" s="761"/>
      <c r="BB153" s="761"/>
      <c r="BC153" s="1216"/>
      <c r="BD153" s="1215"/>
      <c r="BE153" s="761"/>
      <c r="BF153" s="761"/>
      <c r="BG153" s="761"/>
      <c r="BH153" s="761"/>
      <c r="BI153" s="761"/>
      <c r="BJ153" s="761"/>
      <c r="BK153" s="761"/>
      <c r="BL153" s="761"/>
      <c r="BM153" s="761"/>
      <c r="BN153" s="761"/>
      <c r="BO153" s="1216"/>
      <c r="BP153" s="1215"/>
      <c r="BQ153" s="761"/>
      <c r="BR153" s="761"/>
      <c r="BS153" s="761"/>
      <c r="BT153" s="761"/>
      <c r="BU153" s="761"/>
      <c r="BV153" s="761"/>
      <c r="BW153" s="761"/>
      <c r="BX153" s="761"/>
      <c r="BY153" s="761"/>
      <c r="BZ153" s="761"/>
      <c r="CA153" s="1216"/>
      <c r="CB153" s="747"/>
      <c r="CC153" s="1222">
        <f>$G153*H153*Variables!$B$53</f>
        <v>0</v>
      </c>
      <c r="CD153" s="1223">
        <f>$G153*I153*Variables!$B$53</f>
        <v>0</v>
      </c>
      <c r="CE153" s="1223">
        <f>$G153*J153*Variables!$B$53</f>
        <v>0</v>
      </c>
      <c r="CF153" s="1223">
        <f>$G153*K153*Variables!$B$53</f>
        <v>0</v>
      </c>
      <c r="CG153" s="1223">
        <f>$G153*L153*Variables!$B$53</f>
        <v>0</v>
      </c>
      <c r="CH153" s="1223">
        <f>$G153*M153*Variables!$B$53</f>
        <v>0</v>
      </c>
      <c r="CI153" s="1223">
        <f>$G153*N153*Variables!$B$53</f>
        <v>0</v>
      </c>
      <c r="CJ153" s="1223">
        <f>$G153*O153*Variables!$B$53</f>
        <v>0</v>
      </c>
      <c r="CK153" s="1223">
        <f>$G153*P153*Variables!$B$53</f>
        <v>0</v>
      </c>
      <c r="CL153" s="1223">
        <f>$G153*Q153*Variables!$B$53</f>
        <v>0</v>
      </c>
      <c r="CM153" s="1223">
        <f>$G153*R153*Variables!$B$53</f>
        <v>0</v>
      </c>
      <c r="CN153" s="1225">
        <f>$G153*S153*Variables!$B$53</f>
        <v>0</v>
      </c>
      <c r="CO153" s="1222">
        <f>$G153*T153*Variables!$B$53*HLOOKUP($CO$2,Variables!$B$60:$F$61,2,FALSE)</f>
        <v>0</v>
      </c>
      <c r="CP153" s="1223">
        <f>$G153*U153*Variables!$B$53*HLOOKUP($CO$2,Variables!$B$60:$F$61,2,FALSE)</f>
        <v>0</v>
      </c>
      <c r="CQ153" s="1223">
        <f>$G153*V153*Variables!$B$53*HLOOKUP($CO$2,Variables!$B$60:$F$61,2,FALSE)</f>
        <v>0</v>
      </c>
      <c r="CR153" s="1223">
        <f>$G153*W153*Variables!$B$53*HLOOKUP($CO$2,Variables!$B$60:$F$61,2,FALSE)</f>
        <v>0</v>
      </c>
      <c r="CS153" s="1223">
        <f>$G153*X153*Variables!$B$53*HLOOKUP($CO$2,Variables!$B$60:$F$61,2,FALSE)</f>
        <v>0</v>
      </c>
      <c r="CT153" s="1223">
        <f>$G153*Y153*Variables!$B$53*HLOOKUP($CO$2,Variables!$B$60:$F$61,2,FALSE)</f>
        <v>0</v>
      </c>
      <c r="CU153" s="1223">
        <f>$G153*Z153*Variables!$B$53*HLOOKUP($CO$2,Variables!$B$60:$F$61,2,FALSE)</f>
        <v>0</v>
      </c>
      <c r="CV153" s="1223">
        <f>$G153*AA153*Variables!$B$53*HLOOKUP($CO$2,Variables!$B$60:$F$61,2,FALSE)</f>
        <v>0</v>
      </c>
      <c r="CW153" s="1223">
        <f>$G153*AB153*Variables!$B$53*HLOOKUP($CO$2,Variables!$B$60:$F$61,2,FALSE)</f>
        <v>0</v>
      </c>
      <c r="CX153" s="1223">
        <f>$G153*AC153*Variables!$B$53*HLOOKUP($CO$2,Variables!$B$60:$F$61,2,FALSE)</f>
        <v>0</v>
      </c>
      <c r="CY153" s="1223">
        <f>$G153*AD153*Variables!$B$53*HLOOKUP($CO$2,Variables!$B$60:$F$61,2,FALSE)</f>
        <v>0</v>
      </c>
      <c r="CZ153" s="1225">
        <f>$G153*AE153*Variables!$B$53*HLOOKUP($CO$2,Variables!$B$60:$F$61,2,FALSE)</f>
        <v>0</v>
      </c>
      <c r="DA153" s="1222">
        <f>$G153*AF153*Variables!$B$53*HLOOKUP($DA$2,Variables!$B$60:$F$61,2,FALSE)</f>
        <v>0</v>
      </c>
      <c r="DB153" s="1223">
        <f>$G153*AG153*Variables!$B$53*HLOOKUP($DA$2,Variables!$B$60:$F$61,2,FALSE)</f>
        <v>0</v>
      </c>
      <c r="DC153" s="1223">
        <f>$G153*AH153*Variables!$B$53*HLOOKUP($DA$2,Variables!$B$60:$F$61,2,FALSE)</f>
        <v>0</v>
      </c>
      <c r="DD153" s="1223">
        <f>$G153*AI153*Variables!$B$53*HLOOKUP($DA$2,Variables!$B$60:$F$61,2,FALSE)</f>
        <v>0</v>
      </c>
      <c r="DE153" s="1223">
        <f>$G153*AJ153*Variables!$B$53*HLOOKUP($DA$2,Variables!$B$60:$F$61,2,FALSE)</f>
        <v>0</v>
      </c>
      <c r="DF153" s="1223">
        <f>$G153*AK153*Variables!$B$53*HLOOKUP($DA$2,Variables!$B$60:$F$61,2,FALSE)</f>
        <v>0</v>
      </c>
      <c r="DG153" s="1223">
        <f>$G153*AL153*Variables!$B$53*HLOOKUP($DA$2,Variables!$B$60:$F$61,2,FALSE)</f>
        <v>0</v>
      </c>
      <c r="DH153" s="1223">
        <f>$G153*AM153*Variables!$B$53*HLOOKUP($DA$2,Variables!$B$60:$F$61,2,FALSE)</f>
        <v>0</v>
      </c>
      <c r="DI153" s="1223">
        <f>$G153*AN153*Variables!$B$53*HLOOKUP($DA$2,Variables!$B$60:$F$61,2,FALSE)</f>
        <v>0</v>
      </c>
      <c r="DJ153" s="1223">
        <f>$G153*AO153*Variables!$B$53*HLOOKUP($DA$2,Variables!$B$60:$F$61,2,FALSE)</f>
        <v>0</v>
      </c>
      <c r="DK153" s="1223">
        <f>$G153*AP153*Variables!$B$53*HLOOKUP($DA$2,Variables!$B$60:$F$61,2,FALSE)</f>
        <v>0</v>
      </c>
      <c r="DL153" s="1225">
        <f>$G153*AQ153*Variables!$B$53*HLOOKUP($DA$2,Variables!$B$60:$F$61,2,FALSE)</f>
        <v>0</v>
      </c>
      <c r="DM153" s="1222">
        <f>$G153*AR153*Variables!$B$53*HLOOKUP($DM$2,Variables!$B$60:$F$61,2,FALSE)</f>
        <v>0</v>
      </c>
      <c r="DN153" s="1223">
        <f>$G153*AS153*Variables!$B$53*HLOOKUP($DM$2,Variables!$B$60:$F$61,2,FALSE)</f>
        <v>0</v>
      </c>
      <c r="DO153" s="1223">
        <f>$G153*AT153*Variables!$B$53*HLOOKUP($DM$2,Variables!$B$60:$F$61,2,FALSE)</f>
        <v>0</v>
      </c>
      <c r="DP153" s="1223">
        <f>$G153*AU153*Variables!$B$53*HLOOKUP($DM$2,Variables!$B$60:$F$61,2,FALSE)</f>
        <v>0</v>
      </c>
      <c r="DQ153" s="1223">
        <f>$G153*AV153*Variables!$B$53*HLOOKUP($DM$2,Variables!$B$60:$F$61,2,FALSE)</f>
        <v>0</v>
      </c>
      <c r="DR153" s="1223">
        <f>$G153*AW153*Variables!$B$53*HLOOKUP($DM$2,Variables!$B$60:$F$61,2,FALSE)</f>
        <v>0</v>
      </c>
      <c r="DS153" s="1223">
        <f>$G153*AX153*Variables!$B$53*HLOOKUP($DM$2,Variables!$B$60:$F$61,2,FALSE)</f>
        <v>0</v>
      </c>
      <c r="DT153" s="1223">
        <f>$G153*AY153*Variables!$B$53*HLOOKUP($DM$2,Variables!$B$60:$F$61,2,FALSE)</f>
        <v>0</v>
      </c>
      <c r="DU153" s="1223">
        <f>$G153*AZ153*Variables!$B$53*HLOOKUP($DM$2,Variables!$B$60:$F$61,2,FALSE)</f>
        <v>0</v>
      </c>
      <c r="DV153" s="1223">
        <f>$G153*BA153*Variables!$B$53*HLOOKUP($DM$2,Variables!$B$60:$F$61,2,FALSE)</f>
        <v>0</v>
      </c>
      <c r="DW153" s="1223">
        <f>$G153*BB153*Variables!$B$53*HLOOKUP($DM$2,Variables!$B$60:$F$61,2,FALSE)</f>
        <v>0</v>
      </c>
      <c r="DX153" s="1225">
        <f>$G153*BC153*Variables!$B$53*HLOOKUP($DM$2,Variables!$B$60:$F$61,2,FALSE)</f>
        <v>0</v>
      </c>
      <c r="DY153" s="1222">
        <f>$G153*BD153*Variables!$B$53*HLOOKUP($DY$2,Variables!$B$60:$F$61,2,FALSE)</f>
        <v>0</v>
      </c>
      <c r="DZ153" s="1223">
        <f>$G153*BE153*Variables!$B$53*HLOOKUP($DY$2,Variables!$B$60:$F$61,2,FALSE)</f>
        <v>0</v>
      </c>
      <c r="EA153" s="1223">
        <f>$G153*BF153*Variables!$B$53*HLOOKUP($DY$2,Variables!$B$60:$F$61,2,FALSE)</f>
        <v>0</v>
      </c>
      <c r="EB153" s="1223">
        <f>$G153*BG153*Variables!$B$53*HLOOKUP($DY$2,Variables!$B$60:$F$61,2,FALSE)</f>
        <v>0</v>
      </c>
      <c r="EC153" s="1223">
        <f>$G153*BH153*Variables!$B$53*HLOOKUP($DY$2,Variables!$B$60:$F$61,2,FALSE)</f>
        <v>0</v>
      </c>
      <c r="ED153" s="1223">
        <f>$G153*BI153*Variables!$B$53*HLOOKUP($DY$2,Variables!$B$60:$F$61,2,FALSE)</f>
        <v>0</v>
      </c>
      <c r="EE153" s="1223">
        <f>$G153*BJ153*Variables!$B$53*HLOOKUP($DY$2,Variables!$B$60:$F$61,2,FALSE)</f>
        <v>0</v>
      </c>
      <c r="EF153" s="1223">
        <f>$G153*BK153*Variables!$B$53*HLOOKUP($DY$2,Variables!$B$60:$F$61,2,FALSE)</f>
        <v>0</v>
      </c>
      <c r="EG153" s="1223">
        <f>$G153*BL153*Variables!$B$53*HLOOKUP($DY$2,Variables!$B$60:$F$61,2,FALSE)</f>
        <v>0</v>
      </c>
      <c r="EH153" s="1223">
        <f>$G153*BM153*Variables!$B$53*HLOOKUP($DY$2,Variables!$B$60:$F$61,2,FALSE)</f>
        <v>0</v>
      </c>
      <c r="EI153" s="1223">
        <f>$G153*BN153*Variables!$B$53*HLOOKUP($DY$2,Variables!$B$60:$F$61,2,FALSE)</f>
        <v>0</v>
      </c>
      <c r="EJ153" s="1225">
        <f>$G153*BO153*Variables!$B$53*HLOOKUP($DY$2,Variables!$B$60:$F$61,2,FALSE)</f>
        <v>0</v>
      </c>
      <c r="EK153" s="1222">
        <f>$G153*BP153*Variables!$B$53*HLOOKUP($EK$2,Variables!$B$60:$F$61,2,FALSE)</f>
        <v>0</v>
      </c>
      <c r="EL153" s="1223">
        <f>$G153*BQ153*Variables!$B$53*HLOOKUP($EK$2,Variables!$B$60:$F$61,2,FALSE)</f>
        <v>0</v>
      </c>
      <c r="EM153" s="1223">
        <f>$G153*BR153*Variables!$B$53*HLOOKUP($EK$2,Variables!$B$60:$F$61,2,FALSE)</f>
        <v>0</v>
      </c>
      <c r="EN153" s="1223">
        <f>$G153*BS153*Variables!$B$53*HLOOKUP($EK$2,Variables!$B$60:$F$61,2,FALSE)</f>
        <v>0</v>
      </c>
      <c r="EO153" s="1223">
        <f>$G153*BT153*Variables!$B$53*HLOOKUP($EK$2,Variables!$B$60:$F$61,2,FALSE)</f>
        <v>0</v>
      </c>
      <c r="EP153" s="1223">
        <f>$G153*BU153*Variables!$B$53*HLOOKUP($EK$2,Variables!$B$60:$F$61,2,FALSE)</f>
        <v>0</v>
      </c>
      <c r="EQ153" s="1223">
        <f>$G153*BV153*Variables!$B$53*HLOOKUP($EK$2,Variables!$B$60:$F$61,2,FALSE)</f>
        <v>0</v>
      </c>
      <c r="ER153" s="1223">
        <f>$G153*BW153*Variables!$B$53*HLOOKUP($EK$2,Variables!$B$60:$F$61,2,FALSE)</f>
        <v>0</v>
      </c>
      <c r="ES153" s="1223">
        <f>$G153*BX153*Variables!$B$53*HLOOKUP($EK$2,Variables!$B$60:$F$61,2,FALSE)</f>
        <v>0</v>
      </c>
      <c r="ET153" s="1223">
        <f>$G153*BY153*Variables!$B$53*HLOOKUP($EK$2,Variables!$B$60:$F$61,2,FALSE)</f>
        <v>0</v>
      </c>
      <c r="EU153" s="1223">
        <f>$G153*BZ153*Variables!$B$53*HLOOKUP($EK$2,Variables!$B$60:$F$61,2,FALSE)</f>
        <v>0</v>
      </c>
      <c r="EV153" s="1225">
        <f>$G153*CA153*Variables!$B$53*HLOOKUP($EK$2,Variables!$B$60:$F$61,2,FALSE)</f>
        <v>0</v>
      </c>
      <c r="EW153" s="872">
        <f>SUM(CC153:EV153)</f>
        <v>0</v>
      </c>
      <c r="EX153" s="872"/>
      <c r="EY153" s="872"/>
      <c r="EZ153" s="872"/>
      <c r="FA153" s="1332"/>
      <c r="FC153" s="958" t="str">
        <f t="shared" si="19"/>
        <v/>
      </c>
      <c r="FD153" s="959" t="str">
        <f t="shared" si="20"/>
        <v/>
      </c>
      <c r="FE153" s="959" t="s">
        <v>8407</v>
      </c>
      <c r="FF153" s="959" t="str">
        <f>IF(ISNA(VLOOKUP(FC153,Miscellaneous!E:F,2,0)),"",VLOOKUP(FC153,Miscellaneous!E:F,2,0))</f>
        <v/>
      </c>
      <c r="FG153" s="959" t="str">
        <f t="shared" si="21"/>
        <v/>
      </c>
      <c r="FH153" s="996">
        <f>IF($FG153="Opex",SUMIF('Monthly Summary'!$C$75:$N$75,"",CC153:CN153),SUMIF('Monthly Summary'!$C$74:$N$74,"",CC153:CN153))</f>
        <v>0</v>
      </c>
      <c r="FI153" s="996">
        <f>IF($FG153="Opex",SUMIF('Monthly Summary'!$O$75:$Z$75,"",CO153:CZ153),SUMIF('Monthly Summary'!$O$74:$Z$74,"",CO153:CZ153))</f>
        <v>0</v>
      </c>
      <c r="FJ153" s="996">
        <f>IF($FG153="Opex",SUMIF('Monthly Summary'!$AA$75:$AL$75,"",DA153:DL153),SUMIF('Monthly Summary'!$AA$74:$AL$74,"",DA153:DL153))</f>
        <v>0</v>
      </c>
      <c r="FK153" s="996">
        <f>IF($FG153="Opex",SUMIF('Monthly Summary'!$AM$75:$AX$75,"",DM153:DX153),SUMIF('Monthly Summary'!$AM$74:$AX$74,"",DM153:DX153))</f>
        <v>0</v>
      </c>
      <c r="FL153" s="996">
        <f>IF($FG153="Opex",SUMIF('Monthly Summary'!$AY$75:$BJ$75,"",DY153:EJ153),SUMIF('Monthly Summary'!$AY$74:$BJ$74,"",DY153:EJ153))</f>
        <v>0</v>
      </c>
      <c r="FM153" s="997">
        <f>IF($FG153="Opex",SUMIF('Monthly Summary'!$BK$75:$BV$75,"",EK153:EV153),SUMIF('Monthly Summary'!$BK$74:$BV$74,"",EK153:EV153))</f>
        <v>0</v>
      </c>
      <c r="FN153" s="997">
        <f t="shared" si="22"/>
        <v>0</v>
      </c>
    </row>
    <row r="154" spans="3:170">
      <c r="C154" s="757"/>
      <c r="D154" s="757"/>
      <c r="E154" s="758"/>
      <c r="F154" s="758"/>
      <c r="G154" s="758"/>
      <c r="H154" s="1215"/>
      <c r="I154" s="761"/>
      <c r="J154" s="761"/>
      <c r="K154" s="761"/>
      <c r="L154" s="761"/>
      <c r="M154" s="761"/>
      <c r="N154" s="761"/>
      <c r="O154" s="761"/>
      <c r="P154" s="761"/>
      <c r="Q154" s="761"/>
      <c r="R154" s="761"/>
      <c r="S154" s="1216"/>
      <c r="T154" s="1215"/>
      <c r="U154" s="761"/>
      <c r="V154" s="761"/>
      <c r="W154" s="761"/>
      <c r="X154" s="761"/>
      <c r="Y154" s="761"/>
      <c r="Z154" s="761"/>
      <c r="AA154" s="761"/>
      <c r="AB154" s="761"/>
      <c r="AC154" s="761"/>
      <c r="AD154" s="761"/>
      <c r="AE154" s="1216"/>
      <c r="AF154" s="1215"/>
      <c r="AG154" s="761"/>
      <c r="AH154" s="761"/>
      <c r="AI154" s="761"/>
      <c r="AJ154" s="761"/>
      <c r="AK154" s="761"/>
      <c r="AL154" s="761"/>
      <c r="AM154" s="761"/>
      <c r="AN154" s="761"/>
      <c r="AO154" s="761"/>
      <c r="AP154" s="761"/>
      <c r="AQ154" s="1216"/>
      <c r="AR154" s="1215"/>
      <c r="AS154" s="761"/>
      <c r="AT154" s="761"/>
      <c r="AU154" s="761"/>
      <c r="AV154" s="761"/>
      <c r="AW154" s="761"/>
      <c r="AX154" s="761"/>
      <c r="AY154" s="761"/>
      <c r="AZ154" s="761"/>
      <c r="BA154" s="761"/>
      <c r="BB154" s="761"/>
      <c r="BC154" s="1216"/>
      <c r="BD154" s="1215"/>
      <c r="BE154" s="761"/>
      <c r="BF154" s="761"/>
      <c r="BG154" s="761"/>
      <c r="BH154" s="761"/>
      <c r="BI154" s="761"/>
      <c r="BJ154" s="761"/>
      <c r="BK154" s="761"/>
      <c r="BL154" s="761"/>
      <c r="BM154" s="761"/>
      <c r="BN154" s="761"/>
      <c r="BO154" s="1216"/>
      <c r="BP154" s="1215"/>
      <c r="BQ154" s="761"/>
      <c r="BR154" s="761"/>
      <c r="BS154" s="761"/>
      <c r="BT154" s="761"/>
      <c r="BU154" s="761"/>
      <c r="BV154" s="761"/>
      <c r="BW154" s="761"/>
      <c r="BX154" s="761"/>
      <c r="BY154" s="761"/>
      <c r="BZ154" s="761"/>
      <c r="CA154" s="1216"/>
      <c r="CB154" s="747"/>
      <c r="CC154" s="1222">
        <f>$G154*H154*Variables!$B$53</f>
        <v>0</v>
      </c>
      <c r="CD154" s="1223">
        <f>$G154*I154*Variables!$B$53</f>
        <v>0</v>
      </c>
      <c r="CE154" s="1223">
        <f>$G154*J154*Variables!$B$53</f>
        <v>0</v>
      </c>
      <c r="CF154" s="1223">
        <f>$G154*K154*Variables!$B$53</f>
        <v>0</v>
      </c>
      <c r="CG154" s="1223">
        <f>$G154*L154*Variables!$B$53</f>
        <v>0</v>
      </c>
      <c r="CH154" s="1223">
        <f>$G154*M154*Variables!$B$53</f>
        <v>0</v>
      </c>
      <c r="CI154" s="1223">
        <f>$G154*N154*Variables!$B$53</f>
        <v>0</v>
      </c>
      <c r="CJ154" s="1223">
        <f>$G154*O154*Variables!$B$53</f>
        <v>0</v>
      </c>
      <c r="CK154" s="1223">
        <f>$G154*P154*Variables!$B$53</f>
        <v>0</v>
      </c>
      <c r="CL154" s="1223">
        <f>$G154*Q154*Variables!$B$53</f>
        <v>0</v>
      </c>
      <c r="CM154" s="1223">
        <f>$G154*R154*Variables!$B$53</f>
        <v>0</v>
      </c>
      <c r="CN154" s="1225">
        <f>$G154*S154*Variables!$B$53</f>
        <v>0</v>
      </c>
      <c r="CO154" s="1222">
        <f>$G154*T154*Variables!$B$53*HLOOKUP($CO$2,Variables!$B$60:$F$61,2,FALSE)</f>
        <v>0</v>
      </c>
      <c r="CP154" s="1223">
        <f>$G154*U154*Variables!$B$53*HLOOKUP($CO$2,Variables!$B$60:$F$61,2,FALSE)</f>
        <v>0</v>
      </c>
      <c r="CQ154" s="1223">
        <f>$G154*V154*Variables!$B$53*HLOOKUP($CO$2,Variables!$B$60:$F$61,2,FALSE)</f>
        <v>0</v>
      </c>
      <c r="CR154" s="1223">
        <f>$G154*W154*Variables!$B$53*HLOOKUP($CO$2,Variables!$B$60:$F$61,2,FALSE)</f>
        <v>0</v>
      </c>
      <c r="CS154" s="1223">
        <f>$G154*X154*Variables!$B$53*HLOOKUP($CO$2,Variables!$B$60:$F$61,2,FALSE)</f>
        <v>0</v>
      </c>
      <c r="CT154" s="1223">
        <f>$G154*Y154*Variables!$B$53*HLOOKUP($CO$2,Variables!$B$60:$F$61,2,FALSE)</f>
        <v>0</v>
      </c>
      <c r="CU154" s="1223">
        <f>$G154*Z154*Variables!$B$53*HLOOKUP($CO$2,Variables!$B$60:$F$61,2,FALSE)</f>
        <v>0</v>
      </c>
      <c r="CV154" s="1223">
        <f>$G154*AA154*Variables!$B$53*HLOOKUP($CO$2,Variables!$B$60:$F$61,2,FALSE)</f>
        <v>0</v>
      </c>
      <c r="CW154" s="1223">
        <f>$G154*AB154*Variables!$B$53*HLOOKUP($CO$2,Variables!$B$60:$F$61,2,FALSE)</f>
        <v>0</v>
      </c>
      <c r="CX154" s="1223">
        <f>$G154*AC154*Variables!$B$53*HLOOKUP($CO$2,Variables!$B$60:$F$61,2,FALSE)</f>
        <v>0</v>
      </c>
      <c r="CY154" s="1223">
        <f>$G154*AD154*Variables!$B$53*HLOOKUP($CO$2,Variables!$B$60:$F$61,2,FALSE)</f>
        <v>0</v>
      </c>
      <c r="CZ154" s="1225">
        <f>$G154*AE154*Variables!$B$53*HLOOKUP($CO$2,Variables!$B$60:$F$61,2,FALSE)</f>
        <v>0</v>
      </c>
      <c r="DA154" s="1222">
        <f>$G154*AF154*Variables!$B$53*HLOOKUP($DA$2,Variables!$B$60:$F$61,2,FALSE)</f>
        <v>0</v>
      </c>
      <c r="DB154" s="1223">
        <f>$G154*AG154*Variables!$B$53*HLOOKUP($DA$2,Variables!$B$60:$F$61,2,FALSE)</f>
        <v>0</v>
      </c>
      <c r="DC154" s="1223">
        <f>$G154*AH154*Variables!$B$53*HLOOKUP($DA$2,Variables!$B$60:$F$61,2,FALSE)</f>
        <v>0</v>
      </c>
      <c r="DD154" s="1223">
        <f>$G154*AI154*Variables!$B$53*HLOOKUP($DA$2,Variables!$B$60:$F$61,2,FALSE)</f>
        <v>0</v>
      </c>
      <c r="DE154" s="1223">
        <f>$G154*AJ154*Variables!$B$53*HLOOKUP($DA$2,Variables!$B$60:$F$61,2,FALSE)</f>
        <v>0</v>
      </c>
      <c r="DF154" s="1223">
        <f>$G154*AK154*Variables!$B$53*HLOOKUP($DA$2,Variables!$B$60:$F$61,2,FALSE)</f>
        <v>0</v>
      </c>
      <c r="DG154" s="1223">
        <f>$G154*AL154*Variables!$B$53*HLOOKUP($DA$2,Variables!$B$60:$F$61,2,FALSE)</f>
        <v>0</v>
      </c>
      <c r="DH154" s="1223">
        <f>$G154*AM154*Variables!$B$53*HLOOKUP($DA$2,Variables!$B$60:$F$61,2,FALSE)</f>
        <v>0</v>
      </c>
      <c r="DI154" s="1223">
        <f>$G154*AN154*Variables!$B$53*HLOOKUP($DA$2,Variables!$B$60:$F$61,2,FALSE)</f>
        <v>0</v>
      </c>
      <c r="DJ154" s="1223">
        <f>$G154*AO154*Variables!$B$53*HLOOKUP($DA$2,Variables!$B$60:$F$61,2,FALSE)</f>
        <v>0</v>
      </c>
      <c r="DK154" s="1223">
        <f>$G154*AP154*Variables!$B$53*HLOOKUP($DA$2,Variables!$B$60:$F$61,2,FALSE)</f>
        <v>0</v>
      </c>
      <c r="DL154" s="1225">
        <f>$G154*AQ154*Variables!$B$53*HLOOKUP($DA$2,Variables!$B$60:$F$61,2,FALSE)</f>
        <v>0</v>
      </c>
      <c r="DM154" s="1222">
        <f>$G154*AR154*Variables!$B$53*HLOOKUP($DM$2,Variables!$B$60:$F$61,2,FALSE)</f>
        <v>0</v>
      </c>
      <c r="DN154" s="1223">
        <f>$G154*AS154*Variables!$B$53*HLOOKUP($DM$2,Variables!$B$60:$F$61,2,FALSE)</f>
        <v>0</v>
      </c>
      <c r="DO154" s="1223">
        <f>$G154*AT154*Variables!$B$53*HLOOKUP($DM$2,Variables!$B$60:$F$61,2,FALSE)</f>
        <v>0</v>
      </c>
      <c r="DP154" s="1223">
        <f>$G154*AU154*Variables!$B$53*HLOOKUP($DM$2,Variables!$B$60:$F$61,2,FALSE)</f>
        <v>0</v>
      </c>
      <c r="DQ154" s="1223">
        <f>$G154*AV154*Variables!$B$53*HLOOKUP($DM$2,Variables!$B$60:$F$61,2,FALSE)</f>
        <v>0</v>
      </c>
      <c r="DR154" s="1223">
        <f>$G154*AW154*Variables!$B$53*HLOOKUP($DM$2,Variables!$B$60:$F$61,2,FALSE)</f>
        <v>0</v>
      </c>
      <c r="DS154" s="1223">
        <f>$G154*AX154*Variables!$B$53*HLOOKUP($DM$2,Variables!$B$60:$F$61,2,FALSE)</f>
        <v>0</v>
      </c>
      <c r="DT154" s="1223">
        <f>$G154*AY154*Variables!$B$53*HLOOKUP($DM$2,Variables!$B$60:$F$61,2,FALSE)</f>
        <v>0</v>
      </c>
      <c r="DU154" s="1223">
        <f>$G154*AZ154*Variables!$B$53*HLOOKUP($DM$2,Variables!$B$60:$F$61,2,FALSE)</f>
        <v>0</v>
      </c>
      <c r="DV154" s="1223">
        <f>$G154*BA154*Variables!$B$53*HLOOKUP($DM$2,Variables!$B$60:$F$61,2,FALSE)</f>
        <v>0</v>
      </c>
      <c r="DW154" s="1223">
        <f>$G154*BB154*Variables!$B$53*HLOOKUP($DM$2,Variables!$B$60:$F$61,2,FALSE)</f>
        <v>0</v>
      </c>
      <c r="DX154" s="1225">
        <f>$G154*BC154*Variables!$B$53*HLOOKUP($DM$2,Variables!$B$60:$F$61,2,FALSE)</f>
        <v>0</v>
      </c>
      <c r="DY154" s="1222">
        <f>$G154*BD154*Variables!$B$53*HLOOKUP($DY$2,Variables!$B$60:$F$61,2,FALSE)</f>
        <v>0</v>
      </c>
      <c r="DZ154" s="1223">
        <f>$G154*BE154*Variables!$B$53*HLOOKUP($DY$2,Variables!$B$60:$F$61,2,FALSE)</f>
        <v>0</v>
      </c>
      <c r="EA154" s="1223">
        <f>$G154*BF154*Variables!$B$53*HLOOKUP($DY$2,Variables!$B$60:$F$61,2,FALSE)</f>
        <v>0</v>
      </c>
      <c r="EB154" s="1223">
        <f>$G154*BG154*Variables!$B$53*HLOOKUP($DY$2,Variables!$B$60:$F$61,2,FALSE)</f>
        <v>0</v>
      </c>
      <c r="EC154" s="1223">
        <f>$G154*BH154*Variables!$B$53*HLOOKUP($DY$2,Variables!$B$60:$F$61,2,FALSE)</f>
        <v>0</v>
      </c>
      <c r="ED154" s="1223">
        <f>$G154*BI154*Variables!$B$53*HLOOKUP($DY$2,Variables!$B$60:$F$61,2,FALSE)</f>
        <v>0</v>
      </c>
      <c r="EE154" s="1223">
        <f>$G154*BJ154*Variables!$B$53*HLOOKUP($DY$2,Variables!$B$60:$F$61,2,FALSE)</f>
        <v>0</v>
      </c>
      <c r="EF154" s="1223">
        <f>$G154*BK154*Variables!$B$53*HLOOKUP($DY$2,Variables!$B$60:$F$61,2,FALSE)</f>
        <v>0</v>
      </c>
      <c r="EG154" s="1223">
        <f>$G154*BL154*Variables!$B$53*HLOOKUP($DY$2,Variables!$B$60:$F$61,2,FALSE)</f>
        <v>0</v>
      </c>
      <c r="EH154" s="1223">
        <f>$G154*BM154*Variables!$B$53*HLOOKUP($DY$2,Variables!$B$60:$F$61,2,FALSE)</f>
        <v>0</v>
      </c>
      <c r="EI154" s="1223">
        <f>$G154*BN154*Variables!$B$53*HLOOKUP($DY$2,Variables!$B$60:$F$61,2,FALSE)</f>
        <v>0</v>
      </c>
      <c r="EJ154" s="1225">
        <f>$G154*BO154*Variables!$B$53*HLOOKUP($DY$2,Variables!$B$60:$F$61,2,FALSE)</f>
        <v>0</v>
      </c>
      <c r="EK154" s="1222">
        <f>$G154*BP154*Variables!$B$53*HLOOKUP($EK$2,Variables!$B$60:$F$61,2,FALSE)</f>
        <v>0</v>
      </c>
      <c r="EL154" s="1223">
        <f>$G154*BQ154*Variables!$B$53*HLOOKUP($EK$2,Variables!$B$60:$F$61,2,FALSE)</f>
        <v>0</v>
      </c>
      <c r="EM154" s="1223">
        <f>$G154*BR154*Variables!$B$53*HLOOKUP($EK$2,Variables!$B$60:$F$61,2,FALSE)</f>
        <v>0</v>
      </c>
      <c r="EN154" s="1223">
        <f>$G154*BS154*Variables!$B$53*HLOOKUP($EK$2,Variables!$B$60:$F$61,2,FALSE)</f>
        <v>0</v>
      </c>
      <c r="EO154" s="1223">
        <f>$G154*BT154*Variables!$B$53*HLOOKUP($EK$2,Variables!$B$60:$F$61,2,FALSE)</f>
        <v>0</v>
      </c>
      <c r="EP154" s="1223">
        <f>$G154*BU154*Variables!$B$53*HLOOKUP($EK$2,Variables!$B$60:$F$61,2,FALSE)</f>
        <v>0</v>
      </c>
      <c r="EQ154" s="1223">
        <f>$G154*BV154*Variables!$B$53*HLOOKUP($EK$2,Variables!$B$60:$F$61,2,FALSE)</f>
        <v>0</v>
      </c>
      <c r="ER154" s="1223">
        <f>$G154*BW154*Variables!$B$53*HLOOKUP($EK$2,Variables!$B$60:$F$61,2,FALSE)</f>
        <v>0</v>
      </c>
      <c r="ES154" s="1223">
        <f>$G154*BX154*Variables!$B$53*HLOOKUP($EK$2,Variables!$B$60:$F$61,2,FALSE)</f>
        <v>0</v>
      </c>
      <c r="ET154" s="1223">
        <f>$G154*BY154*Variables!$B$53*HLOOKUP($EK$2,Variables!$B$60:$F$61,2,FALSE)</f>
        <v>0</v>
      </c>
      <c r="EU154" s="1223">
        <f>$G154*BZ154*Variables!$B$53*HLOOKUP($EK$2,Variables!$B$60:$F$61,2,FALSE)</f>
        <v>0</v>
      </c>
      <c r="EV154" s="1225">
        <f>$G154*CA154*Variables!$B$53*HLOOKUP($EK$2,Variables!$B$60:$F$61,2,FALSE)</f>
        <v>0</v>
      </c>
      <c r="EW154" s="872">
        <f t="shared" ref="EW154:EW217" si="24">SUM(CC154:EV154)</f>
        <v>0</v>
      </c>
      <c r="EX154" s="872"/>
      <c r="EY154" s="872"/>
      <c r="EZ154" s="872"/>
      <c r="FA154" s="1332"/>
      <c r="FC154" s="958" t="str">
        <f t="shared" ref="FC154:FC217" si="25">IF(ISBLANK(A154),"",A154)</f>
        <v/>
      </c>
      <c r="FD154" s="959" t="str">
        <f t="shared" ref="FD154:FD217" si="26">IF(ISBLANK(B154),"",B154)</f>
        <v/>
      </c>
      <c r="FE154" s="959" t="s">
        <v>8407</v>
      </c>
      <c r="FF154" s="959" t="str">
        <f>IF(ISNA(VLOOKUP(FC154,Miscellaneous!E:F,2,0)),"",VLOOKUP(FC154,Miscellaneous!E:F,2,0))</f>
        <v/>
      </c>
      <c r="FG154" s="959" t="str">
        <f t="shared" ref="FG154:FG217" si="27">IF(ISBLANK(F154),"",F154)</f>
        <v/>
      </c>
      <c r="FH154" s="996">
        <f>IF($FG154="Opex",SUMIF('Monthly Summary'!$C$75:$N$75,"",CC154:CN154),SUMIF('Monthly Summary'!$C$74:$N$74,"",CC154:CN154))</f>
        <v>0</v>
      </c>
      <c r="FI154" s="996">
        <f>IF($FG154="Opex",SUMIF('Monthly Summary'!$O$75:$Z$75,"",CO154:CZ154),SUMIF('Monthly Summary'!$O$74:$Z$74,"",CO154:CZ154))</f>
        <v>0</v>
      </c>
      <c r="FJ154" s="996">
        <f>IF($FG154="Opex",SUMIF('Monthly Summary'!$AA$75:$AL$75,"",DA154:DL154),SUMIF('Monthly Summary'!$AA$74:$AL$74,"",DA154:DL154))</f>
        <v>0</v>
      </c>
      <c r="FK154" s="996">
        <f>IF($FG154="Opex",SUMIF('Monthly Summary'!$AM$75:$AX$75,"",DM154:DX154),SUMIF('Monthly Summary'!$AM$74:$AX$74,"",DM154:DX154))</f>
        <v>0</v>
      </c>
      <c r="FL154" s="996">
        <f>IF($FG154="Opex",SUMIF('Monthly Summary'!$AY$75:$BJ$75,"",DY154:EJ154),SUMIF('Monthly Summary'!$AY$74:$BJ$74,"",DY154:EJ154))</f>
        <v>0</v>
      </c>
      <c r="FM154" s="997">
        <f>IF($FG154="Opex",SUMIF('Monthly Summary'!$BK$75:$BV$75,"",EK154:EV154),SUMIF('Monthly Summary'!$BK$74:$BV$74,"",EK154:EV154))</f>
        <v>0</v>
      </c>
      <c r="FN154" s="997">
        <f t="shared" ref="FN154:FN217" si="28">SUM(FH154:FM154)</f>
        <v>0</v>
      </c>
    </row>
    <row r="155" spans="3:170">
      <c r="C155" s="757"/>
      <c r="D155" s="757"/>
      <c r="E155" s="758"/>
      <c r="F155" s="758"/>
      <c r="G155" s="758"/>
      <c r="H155" s="1215"/>
      <c r="I155" s="761"/>
      <c r="J155" s="761"/>
      <c r="K155" s="761"/>
      <c r="L155" s="761"/>
      <c r="M155" s="761"/>
      <c r="N155" s="761"/>
      <c r="O155" s="761"/>
      <c r="P155" s="761"/>
      <c r="Q155" s="761"/>
      <c r="R155" s="761"/>
      <c r="S155" s="1216"/>
      <c r="T155" s="1215"/>
      <c r="U155" s="761"/>
      <c r="V155" s="761"/>
      <c r="W155" s="761"/>
      <c r="X155" s="761"/>
      <c r="Y155" s="761"/>
      <c r="Z155" s="761"/>
      <c r="AA155" s="761"/>
      <c r="AB155" s="761"/>
      <c r="AC155" s="761"/>
      <c r="AD155" s="761"/>
      <c r="AE155" s="1216"/>
      <c r="AF155" s="1215"/>
      <c r="AG155" s="761"/>
      <c r="AH155" s="761"/>
      <c r="AI155" s="761"/>
      <c r="AJ155" s="761"/>
      <c r="AK155" s="761"/>
      <c r="AL155" s="761"/>
      <c r="AM155" s="761"/>
      <c r="AN155" s="761"/>
      <c r="AO155" s="761"/>
      <c r="AP155" s="761"/>
      <c r="AQ155" s="1216"/>
      <c r="AR155" s="1215"/>
      <c r="AS155" s="761"/>
      <c r="AT155" s="761"/>
      <c r="AU155" s="761"/>
      <c r="AV155" s="761"/>
      <c r="AW155" s="761"/>
      <c r="AX155" s="761"/>
      <c r="AY155" s="761"/>
      <c r="AZ155" s="761"/>
      <c r="BA155" s="761"/>
      <c r="BB155" s="761"/>
      <c r="BC155" s="1216"/>
      <c r="BD155" s="1215"/>
      <c r="BE155" s="761"/>
      <c r="BF155" s="761"/>
      <c r="BG155" s="761"/>
      <c r="BH155" s="761"/>
      <c r="BI155" s="761"/>
      <c r="BJ155" s="761"/>
      <c r="BK155" s="761"/>
      <c r="BL155" s="761"/>
      <c r="BM155" s="761"/>
      <c r="BN155" s="761"/>
      <c r="BO155" s="1216"/>
      <c r="BP155" s="1215"/>
      <c r="BQ155" s="761"/>
      <c r="BR155" s="761"/>
      <c r="BS155" s="761"/>
      <c r="BT155" s="761"/>
      <c r="BU155" s="761"/>
      <c r="BV155" s="761"/>
      <c r="BW155" s="761"/>
      <c r="BX155" s="761"/>
      <c r="BY155" s="761"/>
      <c r="BZ155" s="761"/>
      <c r="CA155" s="1216"/>
      <c r="CB155" s="747"/>
      <c r="CC155" s="1222">
        <f>$G155*H155*Variables!$B$53</f>
        <v>0</v>
      </c>
      <c r="CD155" s="1223">
        <f>$G155*I155*Variables!$B$53</f>
        <v>0</v>
      </c>
      <c r="CE155" s="1223">
        <f>$G155*J155*Variables!$B$53</f>
        <v>0</v>
      </c>
      <c r="CF155" s="1223">
        <f>$G155*K155*Variables!$B$53</f>
        <v>0</v>
      </c>
      <c r="CG155" s="1223">
        <f>$G155*L155*Variables!$B$53</f>
        <v>0</v>
      </c>
      <c r="CH155" s="1223">
        <f>$G155*M155*Variables!$B$53</f>
        <v>0</v>
      </c>
      <c r="CI155" s="1223">
        <f>$G155*N155*Variables!$B$53</f>
        <v>0</v>
      </c>
      <c r="CJ155" s="1223">
        <f>$G155*O155*Variables!$B$53</f>
        <v>0</v>
      </c>
      <c r="CK155" s="1223">
        <f>$G155*P155*Variables!$B$53</f>
        <v>0</v>
      </c>
      <c r="CL155" s="1223">
        <f>$G155*Q155*Variables!$B$53</f>
        <v>0</v>
      </c>
      <c r="CM155" s="1223">
        <f>$G155*R155*Variables!$B$53</f>
        <v>0</v>
      </c>
      <c r="CN155" s="1225">
        <f>$G155*S155*Variables!$B$53</f>
        <v>0</v>
      </c>
      <c r="CO155" s="1222">
        <f>$G155*T155*Variables!$B$53*HLOOKUP($CO$2,Variables!$B$60:$F$61,2,FALSE)</f>
        <v>0</v>
      </c>
      <c r="CP155" s="1223">
        <f>$G155*U155*Variables!$B$53*HLOOKUP($CO$2,Variables!$B$60:$F$61,2,FALSE)</f>
        <v>0</v>
      </c>
      <c r="CQ155" s="1223">
        <f>$G155*V155*Variables!$B$53*HLOOKUP($CO$2,Variables!$B$60:$F$61,2,FALSE)</f>
        <v>0</v>
      </c>
      <c r="CR155" s="1223">
        <f>$G155*W155*Variables!$B$53*HLOOKUP($CO$2,Variables!$B$60:$F$61,2,FALSE)</f>
        <v>0</v>
      </c>
      <c r="CS155" s="1223">
        <f>$G155*X155*Variables!$B$53*HLOOKUP($CO$2,Variables!$B$60:$F$61,2,FALSE)</f>
        <v>0</v>
      </c>
      <c r="CT155" s="1223">
        <f>$G155*Y155*Variables!$B$53*HLOOKUP($CO$2,Variables!$B$60:$F$61,2,FALSE)</f>
        <v>0</v>
      </c>
      <c r="CU155" s="1223">
        <f>$G155*Z155*Variables!$B$53*HLOOKUP($CO$2,Variables!$B$60:$F$61,2,FALSE)</f>
        <v>0</v>
      </c>
      <c r="CV155" s="1223">
        <f>$G155*AA155*Variables!$B$53*HLOOKUP($CO$2,Variables!$B$60:$F$61,2,FALSE)</f>
        <v>0</v>
      </c>
      <c r="CW155" s="1223">
        <f>$G155*AB155*Variables!$B$53*HLOOKUP($CO$2,Variables!$B$60:$F$61,2,FALSE)</f>
        <v>0</v>
      </c>
      <c r="CX155" s="1223">
        <f>$G155*AC155*Variables!$B$53*HLOOKUP($CO$2,Variables!$B$60:$F$61,2,FALSE)</f>
        <v>0</v>
      </c>
      <c r="CY155" s="1223">
        <f>$G155*AD155*Variables!$B$53*HLOOKUP($CO$2,Variables!$B$60:$F$61,2,FALSE)</f>
        <v>0</v>
      </c>
      <c r="CZ155" s="1225">
        <f>$G155*AE155*Variables!$B$53*HLOOKUP($CO$2,Variables!$B$60:$F$61,2,FALSE)</f>
        <v>0</v>
      </c>
      <c r="DA155" s="1222">
        <f>$G155*AF155*Variables!$B$53*HLOOKUP($DA$2,Variables!$B$60:$F$61,2,FALSE)</f>
        <v>0</v>
      </c>
      <c r="DB155" s="1223">
        <f>$G155*AG155*Variables!$B$53*HLOOKUP($DA$2,Variables!$B$60:$F$61,2,FALSE)</f>
        <v>0</v>
      </c>
      <c r="DC155" s="1223">
        <f>$G155*AH155*Variables!$B$53*HLOOKUP($DA$2,Variables!$B$60:$F$61,2,FALSE)</f>
        <v>0</v>
      </c>
      <c r="DD155" s="1223">
        <f>$G155*AI155*Variables!$B$53*HLOOKUP($DA$2,Variables!$B$60:$F$61,2,FALSE)</f>
        <v>0</v>
      </c>
      <c r="DE155" s="1223">
        <f>$G155*AJ155*Variables!$B$53*HLOOKUP($DA$2,Variables!$B$60:$F$61,2,FALSE)</f>
        <v>0</v>
      </c>
      <c r="DF155" s="1223">
        <f>$G155*AK155*Variables!$B$53*HLOOKUP($DA$2,Variables!$B$60:$F$61,2,FALSE)</f>
        <v>0</v>
      </c>
      <c r="DG155" s="1223">
        <f>$G155*AL155*Variables!$B$53*HLOOKUP($DA$2,Variables!$B$60:$F$61,2,FALSE)</f>
        <v>0</v>
      </c>
      <c r="DH155" s="1223">
        <f>$G155*AM155*Variables!$B$53*HLOOKUP($DA$2,Variables!$B$60:$F$61,2,FALSE)</f>
        <v>0</v>
      </c>
      <c r="DI155" s="1223">
        <f>$G155*AN155*Variables!$B$53*HLOOKUP($DA$2,Variables!$B$60:$F$61,2,FALSE)</f>
        <v>0</v>
      </c>
      <c r="DJ155" s="1223">
        <f>$G155*AO155*Variables!$B$53*HLOOKUP($DA$2,Variables!$B$60:$F$61,2,FALSE)</f>
        <v>0</v>
      </c>
      <c r="DK155" s="1223">
        <f>$G155*AP155*Variables!$B$53*HLOOKUP($DA$2,Variables!$B$60:$F$61,2,FALSE)</f>
        <v>0</v>
      </c>
      <c r="DL155" s="1225">
        <f>$G155*AQ155*Variables!$B$53*HLOOKUP($DA$2,Variables!$B$60:$F$61,2,FALSE)</f>
        <v>0</v>
      </c>
      <c r="DM155" s="1222">
        <f>$G155*AR155*Variables!$B$53*HLOOKUP($DM$2,Variables!$B$60:$F$61,2,FALSE)</f>
        <v>0</v>
      </c>
      <c r="DN155" s="1223">
        <f>$G155*AS155*Variables!$B$53*HLOOKUP($DM$2,Variables!$B$60:$F$61,2,FALSE)</f>
        <v>0</v>
      </c>
      <c r="DO155" s="1223">
        <f>$G155*AT155*Variables!$B$53*HLOOKUP($DM$2,Variables!$B$60:$F$61,2,FALSE)</f>
        <v>0</v>
      </c>
      <c r="DP155" s="1223">
        <f>$G155*AU155*Variables!$B$53*HLOOKUP($DM$2,Variables!$B$60:$F$61,2,FALSE)</f>
        <v>0</v>
      </c>
      <c r="DQ155" s="1223">
        <f>$G155*AV155*Variables!$B$53*HLOOKUP($DM$2,Variables!$B$60:$F$61,2,FALSE)</f>
        <v>0</v>
      </c>
      <c r="DR155" s="1223">
        <f>$G155*AW155*Variables!$B$53*HLOOKUP($DM$2,Variables!$B$60:$F$61,2,FALSE)</f>
        <v>0</v>
      </c>
      <c r="DS155" s="1223">
        <f>$G155*AX155*Variables!$B$53*HLOOKUP($DM$2,Variables!$B$60:$F$61,2,FALSE)</f>
        <v>0</v>
      </c>
      <c r="DT155" s="1223">
        <f>$G155*AY155*Variables!$B$53*HLOOKUP($DM$2,Variables!$B$60:$F$61,2,FALSE)</f>
        <v>0</v>
      </c>
      <c r="DU155" s="1223">
        <f>$G155*AZ155*Variables!$B$53*HLOOKUP($DM$2,Variables!$B$60:$F$61,2,FALSE)</f>
        <v>0</v>
      </c>
      <c r="DV155" s="1223">
        <f>$G155*BA155*Variables!$B$53*HLOOKUP($DM$2,Variables!$B$60:$F$61,2,FALSE)</f>
        <v>0</v>
      </c>
      <c r="DW155" s="1223">
        <f>$G155*BB155*Variables!$B$53*HLOOKUP($DM$2,Variables!$B$60:$F$61,2,FALSE)</f>
        <v>0</v>
      </c>
      <c r="DX155" s="1225">
        <f>$G155*BC155*Variables!$B$53*HLOOKUP($DM$2,Variables!$B$60:$F$61,2,FALSE)</f>
        <v>0</v>
      </c>
      <c r="DY155" s="1222">
        <f>$G155*BD155*Variables!$B$53*HLOOKUP($DY$2,Variables!$B$60:$F$61,2,FALSE)</f>
        <v>0</v>
      </c>
      <c r="DZ155" s="1223">
        <f>$G155*BE155*Variables!$B$53*HLOOKUP($DY$2,Variables!$B$60:$F$61,2,FALSE)</f>
        <v>0</v>
      </c>
      <c r="EA155" s="1223">
        <f>$G155*BF155*Variables!$B$53*HLOOKUP($DY$2,Variables!$B$60:$F$61,2,FALSE)</f>
        <v>0</v>
      </c>
      <c r="EB155" s="1223">
        <f>$G155*BG155*Variables!$B$53*HLOOKUP($DY$2,Variables!$B$60:$F$61,2,FALSE)</f>
        <v>0</v>
      </c>
      <c r="EC155" s="1223">
        <f>$G155*BH155*Variables!$B$53*HLOOKUP($DY$2,Variables!$B$60:$F$61,2,FALSE)</f>
        <v>0</v>
      </c>
      <c r="ED155" s="1223">
        <f>$G155*BI155*Variables!$B$53*HLOOKUP($DY$2,Variables!$B$60:$F$61,2,FALSE)</f>
        <v>0</v>
      </c>
      <c r="EE155" s="1223">
        <f>$G155*BJ155*Variables!$B$53*HLOOKUP($DY$2,Variables!$B$60:$F$61,2,FALSE)</f>
        <v>0</v>
      </c>
      <c r="EF155" s="1223">
        <f>$G155*BK155*Variables!$B$53*HLOOKUP($DY$2,Variables!$B$60:$F$61,2,FALSE)</f>
        <v>0</v>
      </c>
      <c r="EG155" s="1223">
        <f>$G155*BL155*Variables!$B$53*HLOOKUP($DY$2,Variables!$B$60:$F$61,2,FALSE)</f>
        <v>0</v>
      </c>
      <c r="EH155" s="1223">
        <f>$G155*BM155*Variables!$B$53*HLOOKUP($DY$2,Variables!$B$60:$F$61,2,FALSE)</f>
        <v>0</v>
      </c>
      <c r="EI155" s="1223">
        <f>$G155*BN155*Variables!$B$53*HLOOKUP($DY$2,Variables!$B$60:$F$61,2,FALSE)</f>
        <v>0</v>
      </c>
      <c r="EJ155" s="1225">
        <f>$G155*BO155*Variables!$B$53*HLOOKUP($DY$2,Variables!$B$60:$F$61,2,FALSE)</f>
        <v>0</v>
      </c>
      <c r="EK155" s="1222">
        <f>$G155*BP155*Variables!$B$53*HLOOKUP($EK$2,Variables!$B$60:$F$61,2,FALSE)</f>
        <v>0</v>
      </c>
      <c r="EL155" s="1223">
        <f>$G155*BQ155*Variables!$B$53*HLOOKUP($EK$2,Variables!$B$60:$F$61,2,FALSE)</f>
        <v>0</v>
      </c>
      <c r="EM155" s="1223">
        <f>$G155*BR155*Variables!$B$53*HLOOKUP($EK$2,Variables!$B$60:$F$61,2,FALSE)</f>
        <v>0</v>
      </c>
      <c r="EN155" s="1223">
        <f>$G155*BS155*Variables!$B$53*HLOOKUP($EK$2,Variables!$B$60:$F$61,2,FALSE)</f>
        <v>0</v>
      </c>
      <c r="EO155" s="1223">
        <f>$G155*BT155*Variables!$B$53*HLOOKUP($EK$2,Variables!$B$60:$F$61,2,FALSE)</f>
        <v>0</v>
      </c>
      <c r="EP155" s="1223">
        <f>$G155*BU155*Variables!$B$53*HLOOKUP($EK$2,Variables!$B$60:$F$61,2,FALSE)</f>
        <v>0</v>
      </c>
      <c r="EQ155" s="1223">
        <f>$G155*BV155*Variables!$B$53*HLOOKUP($EK$2,Variables!$B$60:$F$61,2,FALSE)</f>
        <v>0</v>
      </c>
      <c r="ER155" s="1223">
        <f>$G155*BW155*Variables!$B$53*HLOOKUP($EK$2,Variables!$B$60:$F$61,2,FALSE)</f>
        <v>0</v>
      </c>
      <c r="ES155" s="1223">
        <f>$G155*BX155*Variables!$B$53*HLOOKUP($EK$2,Variables!$B$60:$F$61,2,FALSE)</f>
        <v>0</v>
      </c>
      <c r="ET155" s="1223">
        <f>$G155*BY155*Variables!$B$53*HLOOKUP($EK$2,Variables!$B$60:$F$61,2,FALSE)</f>
        <v>0</v>
      </c>
      <c r="EU155" s="1223">
        <f>$G155*BZ155*Variables!$B$53*HLOOKUP($EK$2,Variables!$B$60:$F$61,2,FALSE)</f>
        <v>0</v>
      </c>
      <c r="EV155" s="1225">
        <f>$G155*CA155*Variables!$B$53*HLOOKUP($EK$2,Variables!$B$60:$F$61,2,FALSE)</f>
        <v>0</v>
      </c>
      <c r="EW155" s="872">
        <f t="shared" si="24"/>
        <v>0</v>
      </c>
      <c r="EX155" s="872"/>
      <c r="EY155" s="872"/>
      <c r="EZ155" s="872"/>
      <c r="FA155" s="1332"/>
      <c r="FC155" s="958" t="str">
        <f t="shared" si="25"/>
        <v/>
      </c>
      <c r="FD155" s="959" t="str">
        <f t="shared" si="26"/>
        <v/>
      </c>
      <c r="FE155" s="959" t="s">
        <v>8407</v>
      </c>
      <c r="FF155" s="959" t="str">
        <f>IF(ISNA(VLOOKUP(FC155,Miscellaneous!E:F,2,0)),"",VLOOKUP(FC155,Miscellaneous!E:F,2,0))</f>
        <v/>
      </c>
      <c r="FG155" s="959" t="str">
        <f t="shared" si="27"/>
        <v/>
      </c>
      <c r="FH155" s="996">
        <f>IF($FG155="Opex",SUMIF('Monthly Summary'!$C$75:$N$75,"",CC155:CN155),SUMIF('Monthly Summary'!$C$74:$N$74,"",CC155:CN155))</f>
        <v>0</v>
      </c>
      <c r="FI155" s="996">
        <f>IF($FG155="Opex",SUMIF('Monthly Summary'!$O$75:$Z$75,"",CO155:CZ155),SUMIF('Monthly Summary'!$O$74:$Z$74,"",CO155:CZ155))</f>
        <v>0</v>
      </c>
      <c r="FJ155" s="996">
        <f>IF($FG155="Opex",SUMIF('Monthly Summary'!$AA$75:$AL$75,"",DA155:DL155),SUMIF('Monthly Summary'!$AA$74:$AL$74,"",DA155:DL155))</f>
        <v>0</v>
      </c>
      <c r="FK155" s="996">
        <f>IF($FG155="Opex",SUMIF('Monthly Summary'!$AM$75:$AX$75,"",DM155:DX155),SUMIF('Monthly Summary'!$AM$74:$AX$74,"",DM155:DX155))</f>
        <v>0</v>
      </c>
      <c r="FL155" s="996">
        <f>IF($FG155="Opex",SUMIF('Monthly Summary'!$AY$75:$BJ$75,"",DY155:EJ155),SUMIF('Monthly Summary'!$AY$74:$BJ$74,"",DY155:EJ155))</f>
        <v>0</v>
      </c>
      <c r="FM155" s="997">
        <f>IF($FG155="Opex",SUMIF('Monthly Summary'!$BK$75:$BV$75,"",EK155:EV155),SUMIF('Monthly Summary'!$BK$74:$BV$74,"",EK155:EV155))</f>
        <v>0</v>
      </c>
      <c r="FN155" s="997">
        <f t="shared" si="28"/>
        <v>0</v>
      </c>
    </row>
    <row r="156" spans="3:170">
      <c r="C156" s="757"/>
      <c r="D156" s="757"/>
      <c r="E156" s="758"/>
      <c r="F156" s="758"/>
      <c r="G156" s="758"/>
      <c r="H156" s="1215"/>
      <c r="I156" s="761"/>
      <c r="J156" s="761"/>
      <c r="K156" s="761"/>
      <c r="L156" s="761"/>
      <c r="M156" s="761"/>
      <c r="N156" s="761"/>
      <c r="O156" s="761"/>
      <c r="P156" s="761"/>
      <c r="Q156" s="761"/>
      <c r="R156" s="761"/>
      <c r="S156" s="1216"/>
      <c r="T156" s="1215"/>
      <c r="U156" s="761"/>
      <c r="V156" s="761"/>
      <c r="W156" s="761"/>
      <c r="X156" s="761"/>
      <c r="Y156" s="761"/>
      <c r="Z156" s="761"/>
      <c r="AA156" s="761"/>
      <c r="AB156" s="761"/>
      <c r="AC156" s="761"/>
      <c r="AD156" s="761"/>
      <c r="AE156" s="1216"/>
      <c r="AF156" s="1215"/>
      <c r="AG156" s="761"/>
      <c r="AH156" s="761"/>
      <c r="AI156" s="761"/>
      <c r="AJ156" s="761"/>
      <c r="AK156" s="761"/>
      <c r="AL156" s="761"/>
      <c r="AM156" s="761"/>
      <c r="AN156" s="761"/>
      <c r="AO156" s="761"/>
      <c r="AP156" s="761"/>
      <c r="AQ156" s="1216"/>
      <c r="AR156" s="1215"/>
      <c r="AS156" s="761"/>
      <c r="AT156" s="761"/>
      <c r="AU156" s="761"/>
      <c r="AV156" s="761"/>
      <c r="AW156" s="761"/>
      <c r="AX156" s="761"/>
      <c r="AY156" s="761"/>
      <c r="AZ156" s="761"/>
      <c r="BA156" s="761"/>
      <c r="BB156" s="761"/>
      <c r="BC156" s="1216"/>
      <c r="BD156" s="1215"/>
      <c r="BE156" s="761"/>
      <c r="BF156" s="761"/>
      <c r="BG156" s="761"/>
      <c r="BH156" s="761"/>
      <c r="BI156" s="761"/>
      <c r="BJ156" s="761"/>
      <c r="BK156" s="761"/>
      <c r="BL156" s="761"/>
      <c r="BM156" s="761"/>
      <c r="BN156" s="761"/>
      <c r="BO156" s="1216"/>
      <c r="BP156" s="1215"/>
      <c r="BQ156" s="761"/>
      <c r="BR156" s="761"/>
      <c r="BS156" s="761"/>
      <c r="BT156" s="761"/>
      <c r="BU156" s="761"/>
      <c r="BV156" s="761"/>
      <c r="BW156" s="761"/>
      <c r="BX156" s="761"/>
      <c r="BY156" s="761"/>
      <c r="BZ156" s="761"/>
      <c r="CA156" s="1216"/>
      <c r="CB156" s="747"/>
      <c r="CC156" s="1222">
        <f>$G156*H156*Variables!$B$53</f>
        <v>0</v>
      </c>
      <c r="CD156" s="1223">
        <f>$G156*I156*Variables!$B$53</f>
        <v>0</v>
      </c>
      <c r="CE156" s="1223">
        <f>$G156*J156*Variables!$B$53</f>
        <v>0</v>
      </c>
      <c r="CF156" s="1223">
        <f>$G156*K156*Variables!$B$53</f>
        <v>0</v>
      </c>
      <c r="CG156" s="1223">
        <f>$G156*L156*Variables!$B$53</f>
        <v>0</v>
      </c>
      <c r="CH156" s="1223">
        <f>$G156*M156*Variables!$B$53</f>
        <v>0</v>
      </c>
      <c r="CI156" s="1223">
        <f>$G156*N156*Variables!$B$53</f>
        <v>0</v>
      </c>
      <c r="CJ156" s="1223">
        <f>$G156*O156*Variables!$B$53</f>
        <v>0</v>
      </c>
      <c r="CK156" s="1223">
        <f>$G156*P156*Variables!$B$53</f>
        <v>0</v>
      </c>
      <c r="CL156" s="1223">
        <f>$G156*Q156*Variables!$B$53</f>
        <v>0</v>
      </c>
      <c r="CM156" s="1223">
        <f>$G156*R156*Variables!$B$53</f>
        <v>0</v>
      </c>
      <c r="CN156" s="1225">
        <f>$G156*S156*Variables!$B$53</f>
        <v>0</v>
      </c>
      <c r="CO156" s="1222">
        <f>$G156*T156*Variables!$B$53*HLOOKUP($CO$2,Variables!$B$60:$F$61,2,FALSE)</f>
        <v>0</v>
      </c>
      <c r="CP156" s="1223">
        <f>$G156*U156*Variables!$B$53*HLOOKUP($CO$2,Variables!$B$60:$F$61,2,FALSE)</f>
        <v>0</v>
      </c>
      <c r="CQ156" s="1223">
        <f>$G156*V156*Variables!$B$53*HLOOKUP($CO$2,Variables!$B$60:$F$61,2,FALSE)</f>
        <v>0</v>
      </c>
      <c r="CR156" s="1223">
        <f>$G156*W156*Variables!$B$53*HLOOKUP($CO$2,Variables!$B$60:$F$61,2,FALSE)</f>
        <v>0</v>
      </c>
      <c r="CS156" s="1223">
        <f>$G156*X156*Variables!$B$53*HLOOKUP($CO$2,Variables!$B$60:$F$61,2,FALSE)</f>
        <v>0</v>
      </c>
      <c r="CT156" s="1223">
        <f>$G156*Y156*Variables!$B$53*HLOOKUP($CO$2,Variables!$B$60:$F$61,2,FALSE)</f>
        <v>0</v>
      </c>
      <c r="CU156" s="1223">
        <f>$G156*Z156*Variables!$B$53*HLOOKUP($CO$2,Variables!$B$60:$F$61,2,FALSE)</f>
        <v>0</v>
      </c>
      <c r="CV156" s="1223">
        <f>$G156*AA156*Variables!$B$53*HLOOKUP($CO$2,Variables!$B$60:$F$61,2,FALSE)</f>
        <v>0</v>
      </c>
      <c r="CW156" s="1223">
        <f>$G156*AB156*Variables!$B$53*HLOOKUP($CO$2,Variables!$B$60:$F$61,2,FALSE)</f>
        <v>0</v>
      </c>
      <c r="CX156" s="1223">
        <f>$G156*AC156*Variables!$B$53*HLOOKUP($CO$2,Variables!$B$60:$F$61,2,FALSE)</f>
        <v>0</v>
      </c>
      <c r="CY156" s="1223">
        <f>$G156*AD156*Variables!$B$53*HLOOKUP($CO$2,Variables!$B$60:$F$61,2,FALSE)</f>
        <v>0</v>
      </c>
      <c r="CZ156" s="1225">
        <f>$G156*AE156*Variables!$B$53*HLOOKUP($CO$2,Variables!$B$60:$F$61,2,FALSE)</f>
        <v>0</v>
      </c>
      <c r="DA156" s="1222">
        <f>$G156*AF156*Variables!$B$53*HLOOKUP($DA$2,Variables!$B$60:$F$61,2,FALSE)</f>
        <v>0</v>
      </c>
      <c r="DB156" s="1223">
        <f>$G156*AG156*Variables!$B$53*HLOOKUP($DA$2,Variables!$B$60:$F$61,2,FALSE)</f>
        <v>0</v>
      </c>
      <c r="DC156" s="1223">
        <f>$G156*AH156*Variables!$B$53*HLOOKUP($DA$2,Variables!$B$60:$F$61,2,FALSE)</f>
        <v>0</v>
      </c>
      <c r="DD156" s="1223">
        <f>$G156*AI156*Variables!$B$53*HLOOKUP($DA$2,Variables!$B$60:$F$61,2,FALSE)</f>
        <v>0</v>
      </c>
      <c r="DE156" s="1223">
        <f>$G156*AJ156*Variables!$B$53*HLOOKUP($DA$2,Variables!$B$60:$F$61,2,FALSE)</f>
        <v>0</v>
      </c>
      <c r="DF156" s="1223">
        <f>$G156*AK156*Variables!$B$53*HLOOKUP($DA$2,Variables!$B$60:$F$61,2,FALSE)</f>
        <v>0</v>
      </c>
      <c r="DG156" s="1223">
        <f>$G156*AL156*Variables!$B$53*HLOOKUP($DA$2,Variables!$B$60:$F$61,2,FALSE)</f>
        <v>0</v>
      </c>
      <c r="DH156" s="1223">
        <f>$G156*AM156*Variables!$B$53*HLOOKUP($DA$2,Variables!$B$60:$F$61,2,FALSE)</f>
        <v>0</v>
      </c>
      <c r="DI156" s="1223">
        <f>$G156*AN156*Variables!$B$53*HLOOKUP($DA$2,Variables!$B$60:$F$61,2,FALSE)</f>
        <v>0</v>
      </c>
      <c r="DJ156" s="1223">
        <f>$G156*AO156*Variables!$B$53*HLOOKUP($DA$2,Variables!$B$60:$F$61,2,FALSE)</f>
        <v>0</v>
      </c>
      <c r="DK156" s="1223">
        <f>$G156*AP156*Variables!$B$53*HLOOKUP($DA$2,Variables!$B$60:$F$61,2,FALSE)</f>
        <v>0</v>
      </c>
      <c r="DL156" s="1225">
        <f>$G156*AQ156*Variables!$B$53*HLOOKUP($DA$2,Variables!$B$60:$F$61,2,FALSE)</f>
        <v>0</v>
      </c>
      <c r="DM156" s="1222">
        <f>$G156*AR156*Variables!$B$53*HLOOKUP($DM$2,Variables!$B$60:$F$61,2,FALSE)</f>
        <v>0</v>
      </c>
      <c r="DN156" s="1223">
        <f>$G156*AS156*Variables!$B$53*HLOOKUP($DM$2,Variables!$B$60:$F$61,2,FALSE)</f>
        <v>0</v>
      </c>
      <c r="DO156" s="1223">
        <f>$G156*AT156*Variables!$B$53*HLOOKUP($DM$2,Variables!$B$60:$F$61,2,FALSE)</f>
        <v>0</v>
      </c>
      <c r="DP156" s="1223">
        <f>$G156*AU156*Variables!$B$53*HLOOKUP($DM$2,Variables!$B$60:$F$61,2,FALSE)</f>
        <v>0</v>
      </c>
      <c r="DQ156" s="1223">
        <f>$G156*AV156*Variables!$B$53*HLOOKUP($DM$2,Variables!$B$60:$F$61,2,FALSE)</f>
        <v>0</v>
      </c>
      <c r="DR156" s="1223">
        <f>$G156*AW156*Variables!$B$53*HLOOKUP($DM$2,Variables!$B$60:$F$61,2,FALSE)</f>
        <v>0</v>
      </c>
      <c r="DS156" s="1223">
        <f>$G156*AX156*Variables!$B$53*HLOOKUP($DM$2,Variables!$B$60:$F$61,2,FALSE)</f>
        <v>0</v>
      </c>
      <c r="DT156" s="1223">
        <f>$G156*AY156*Variables!$B$53*HLOOKUP($DM$2,Variables!$B$60:$F$61,2,FALSE)</f>
        <v>0</v>
      </c>
      <c r="DU156" s="1223">
        <f>$G156*AZ156*Variables!$B$53*HLOOKUP($DM$2,Variables!$B$60:$F$61,2,FALSE)</f>
        <v>0</v>
      </c>
      <c r="DV156" s="1223">
        <f>$G156*BA156*Variables!$B$53*HLOOKUP($DM$2,Variables!$B$60:$F$61,2,FALSE)</f>
        <v>0</v>
      </c>
      <c r="DW156" s="1223">
        <f>$G156*BB156*Variables!$B$53*HLOOKUP($DM$2,Variables!$B$60:$F$61,2,FALSE)</f>
        <v>0</v>
      </c>
      <c r="DX156" s="1225">
        <f>$G156*BC156*Variables!$B$53*HLOOKUP($DM$2,Variables!$B$60:$F$61,2,FALSE)</f>
        <v>0</v>
      </c>
      <c r="DY156" s="1222">
        <f>$G156*BD156*Variables!$B$53*HLOOKUP($DY$2,Variables!$B$60:$F$61,2,FALSE)</f>
        <v>0</v>
      </c>
      <c r="DZ156" s="1223">
        <f>$G156*BE156*Variables!$B$53*HLOOKUP($DY$2,Variables!$B$60:$F$61,2,FALSE)</f>
        <v>0</v>
      </c>
      <c r="EA156" s="1223">
        <f>$G156*BF156*Variables!$B$53*HLOOKUP($DY$2,Variables!$B$60:$F$61,2,FALSE)</f>
        <v>0</v>
      </c>
      <c r="EB156" s="1223">
        <f>$G156*BG156*Variables!$B$53*HLOOKUP($DY$2,Variables!$B$60:$F$61,2,FALSE)</f>
        <v>0</v>
      </c>
      <c r="EC156" s="1223">
        <f>$G156*BH156*Variables!$B$53*HLOOKUP($DY$2,Variables!$B$60:$F$61,2,FALSE)</f>
        <v>0</v>
      </c>
      <c r="ED156" s="1223">
        <f>$G156*BI156*Variables!$B$53*HLOOKUP($DY$2,Variables!$B$60:$F$61,2,FALSE)</f>
        <v>0</v>
      </c>
      <c r="EE156" s="1223">
        <f>$G156*BJ156*Variables!$B$53*HLOOKUP($DY$2,Variables!$B$60:$F$61,2,FALSE)</f>
        <v>0</v>
      </c>
      <c r="EF156" s="1223">
        <f>$G156*BK156*Variables!$B$53*HLOOKUP($DY$2,Variables!$B$60:$F$61,2,FALSE)</f>
        <v>0</v>
      </c>
      <c r="EG156" s="1223">
        <f>$G156*BL156*Variables!$B$53*HLOOKUP($DY$2,Variables!$B$60:$F$61,2,FALSE)</f>
        <v>0</v>
      </c>
      <c r="EH156" s="1223">
        <f>$G156*BM156*Variables!$B$53*HLOOKUP($DY$2,Variables!$B$60:$F$61,2,FALSE)</f>
        <v>0</v>
      </c>
      <c r="EI156" s="1223">
        <f>$G156*BN156*Variables!$B$53*HLOOKUP($DY$2,Variables!$B$60:$F$61,2,FALSE)</f>
        <v>0</v>
      </c>
      <c r="EJ156" s="1225">
        <f>$G156*BO156*Variables!$B$53*HLOOKUP($DY$2,Variables!$B$60:$F$61,2,FALSE)</f>
        <v>0</v>
      </c>
      <c r="EK156" s="1222">
        <f>$G156*BP156*Variables!$B$53*HLOOKUP($EK$2,Variables!$B$60:$F$61,2,FALSE)</f>
        <v>0</v>
      </c>
      <c r="EL156" s="1223">
        <f>$G156*BQ156*Variables!$B$53*HLOOKUP($EK$2,Variables!$B$60:$F$61,2,FALSE)</f>
        <v>0</v>
      </c>
      <c r="EM156" s="1223">
        <f>$G156*BR156*Variables!$B$53*HLOOKUP($EK$2,Variables!$B$60:$F$61,2,FALSE)</f>
        <v>0</v>
      </c>
      <c r="EN156" s="1223">
        <f>$G156*BS156*Variables!$B$53*HLOOKUP($EK$2,Variables!$B$60:$F$61,2,FALSE)</f>
        <v>0</v>
      </c>
      <c r="EO156" s="1223">
        <f>$G156*BT156*Variables!$B$53*HLOOKUP($EK$2,Variables!$B$60:$F$61,2,FALSE)</f>
        <v>0</v>
      </c>
      <c r="EP156" s="1223">
        <f>$G156*BU156*Variables!$B$53*HLOOKUP($EK$2,Variables!$B$60:$F$61,2,FALSE)</f>
        <v>0</v>
      </c>
      <c r="EQ156" s="1223">
        <f>$G156*BV156*Variables!$B$53*HLOOKUP($EK$2,Variables!$B$60:$F$61,2,FALSE)</f>
        <v>0</v>
      </c>
      <c r="ER156" s="1223">
        <f>$G156*BW156*Variables!$B$53*HLOOKUP($EK$2,Variables!$B$60:$F$61,2,FALSE)</f>
        <v>0</v>
      </c>
      <c r="ES156" s="1223">
        <f>$G156*BX156*Variables!$B$53*HLOOKUP($EK$2,Variables!$B$60:$F$61,2,FALSE)</f>
        <v>0</v>
      </c>
      <c r="ET156" s="1223">
        <f>$G156*BY156*Variables!$B$53*HLOOKUP($EK$2,Variables!$B$60:$F$61,2,FALSE)</f>
        <v>0</v>
      </c>
      <c r="EU156" s="1223">
        <f>$G156*BZ156*Variables!$B$53*HLOOKUP($EK$2,Variables!$B$60:$F$61,2,FALSE)</f>
        <v>0</v>
      </c>
      <c r="EV156" s="1225">
        <f>$G156*CA156*Variables!$B$53*HLOOKUP($EK$2,Variables!$B$60:$F$61,2,FALSE)</f>
        <v>0</v>
      </c>
      <c r="EW156" s="872">
        <f t="shared" si="24"/>
        <v>0</v>
      </c>
      <c r="EX156" s="872"/>
      <c r="EY156" s="872"/>
      <c r="EZ156" s="872"/>
      <c r="FA156" s="1332"/>
      <c r="FC156" s="958" t="str">
        <f t="shared" si="25"/>
        <v/>
      </c>
      <c r="FD156" s="959" t="str">
        <f t="shared" si="26"/>
        <v/>
      </c>
      <c r="FE156" s="959" t="s">
        <v>8407</v>
      </c>
      <c r="FF156" s="959" t="str">
        <f>IF(ISNA(VLOOKUP(FC156,Miscellaneous!E:F,2,0)),"",VLOOKUP(FC156,Miscellaneous!E:F,2,0))</f>
        <v/>
      </c>
      <c r="FG156" s="959" t="str">
        <f t="shared" si="27"/>
        <v/>
      </c>
      <c r="FH156" s="996">
        <f>IF($FG156="Opex",SUMIF('Monthly Summary'!$C$75:$N$75,"",CC156:CN156),SUMIF('Monthly Summary'!$C$74:$N$74,"",CC156:CN156))</f>
        <v>0</v>
      </c>
      <c r="FI156" s="996">
        <f>IF($FG156="Opex",SUMIF('Monthly Summary'!$O$75:$Z$75,"",CO156:CZ156),SUMIF('Monthly Summary'!$O$74:$Z$74,"",CO156:CZ156))</f>
        <v>0</v>
      </c>
      <c r="FJ156" s="996">
        <f>IF($FG156="Opex",SUMIF('Monthly Summary'!$AA$75:$AL$75,"",DA156:DL156),SUMIF('Monthly Summary'!$AA$74:$AL$74,"",DA156:DL156))</f>
        <v>0</v>
      </c>
      <c r="FK156" s="996">
        <f>IF($FG156="Opex",SUMIF('Monthly Summary'!$AM$75:$AX$75,"",DM156:DX156),SUMIF('Monthly Summary'!$AM$74:$AX$74,"",DM156:DX156))</f>
        <v>0</v>
      </c>
      <c r="FL156" s="996">
        <f>IF($FG156="Opex",SUMIF('Monthly Summary'!$AY$75:$BJ$75,"",DY156:EJ156),SUMIF('Monthly Summary'!$AY$74:$BJ$74,"",DY156:EJ156))</f>
        <v>0</v>
      </c>
      <c r="FM156" s="997">
        <f>IF($FG156="Opex",SUMIF('Monthly Summary'!$BK$75:$BV$75,"",EK156:EV156),SUMIF('Monthly Summary'!$BK$74:$BV$74,"",EK156:EV156))</f>
        <v>0</v>
      </c>
      <c r="FN156" s="997">
        <f t="shared" si="28"/>
        <v>0</v>
      </c>
    </row>
    <row r="157" spans="3:170">
      <c r="C157" s="757"/>
      <c r="D157" s="757"/>
      <c r="E157" s="758"/>
      <c r="F157" s="758"/>
      <c r="G157" s="758"/>
      <c r="H157" s="1215"/>
      <c r="I157" s="761"/>
      <c r="J157" s="761"/>
      <c r="K157" s="761"/>
      <c r="L157" s="761"/>
      <c r="M157" s="761"/>
      <c r="N157" s="761"/>
      <c r="O157" s="761"/>
      <c r="P157" s="761"/>
      <c r="Q157" s="761"/>
      <c r="R157" s="761"/>
      <c r="S157" s="1216"/>
      <c r="T157" s="1215"/>
      <c r="U157" s="761"/>
      <c r="V157" s="761"/>
      <c r="W157" s="761"/>
      <c r="X157" s="761"/>
      <c r="Y157" s="761"/>
      <c r="Z157" s="761"/>
      <c r="AA157" s="761"/>
      <c r="AB157" s="761"/>
      <c r="AC157" s="761"/>
      <c r="AD157" s="761"/>
      <c r="AE157" s="1216"/>
      <c r="AF157" s="1215"/>
      <c r="AG157" s="761"/>
      <c r="AH157" s="761"/>
      <c r="AI157" s="761"/>
      <c r="AJ157" s="761"/>
      <c r="AK157" s="761"/>
      <c r="AL157" s="761"/>
      <c r="AM157" s="761"/>
      <c r="AN157" s="761"/>
      <c r="AO157" s="761"/>
      <c r="AP157" s="761"/>
      <c r="AQ157" s="1216"/>
      <c r="AR157" s="1215"/>
      <c r="AS157" s="761"/>
      <c r="AT157" s="761"/>
      <c r="AU157" s="761"/>
      <c r="AV157" s="761"/>
      <c r="AW157" s="761"/>
      <c r="AX157" s="761"/>
      <c r="AY157" s="761"/>
      <c r="AZ157" s="761"/>
      <c r="BA157" s="761"/>
      <c r="BB157" s="761"/>
      <c r="BC157" s="1216"/>
      <c r="BD157" s="1215"/>
      <c r="BE157" s="761"/>
      <c r="BF157" s="761"/>
      <c r="BG157" s="761"/>
      <c r="BH157" s="761"/>
      <c r="BI157" s="761"/>
      <c r="BJ157" s="761"/>
      <c r="BK157" s="761"/>
      <c r="BL157" s="761"/>
      <c r="BM157" s="761"/>
      <c r="BN157" s="761"/>
      <c r="BO157" s="1216"/>
      <c r="BP157" s="1215"/>
      <c r="BQ157" s="761"/>
      <c r="BR157" s="761"/>
      <c r="BS157" s="761"/>
      <c r="BT157" s="761"/>
      <c r="BU157" s="761"/>
      <c r="BV157" s="761"/>
      <c r="BW157" s="761"/>
      <c r="BX157" s="761"/>
      <c r="BY157" s="761"/>
      <c r="BZ157" s="761"/>
      <c r="CA157" s="1216"/>
      <c r="CB157" s="747"/>
      <c r="CC157" s="1222">
        <f>$G157*H157*Variables!$B$53</f>
        <v>0</v>
      </c>
      <c r="CD157" s="1223">
        <f>$G157*I157*Variables!$B$53</f>
        <v>0</v>
      </c>
      <c r="CE157" s="1223">
        <f>$G157*J157*Variables!$B$53</f>
        <v>0</v>
      </c>
      <c r="CF157" s="1223">
        <f>$G157*K157*Variables!$B$53</f>
        <v>0</v>
      </c>
      <c r="CG157" s="1223">
        <f>$G157*L157*Variables!$B$53</f>
        <v>0</v>
      </c>
      <c r="CH157" s="1223">
        <f>$G157*M157*Variables!$B$53</f>
        <v>0</v>
      </c>
      <c r="CI157" s="1223">
        <f>$G157*N157*Variables!$B$53</f>
        <v>0</v>
      </c>
      <c r="CJ157" s="1223">
        <f>$G157*O157*Variables!$B$53</f>
        <v>0</v>
      </c>
      <c r="CK157" s="1223">
        <f>$G157*P157*Variables!$B$53</f>
        <v>0</v>
      </c>
      <c r="CL157" s="1223">
        <f>$G157*Q157*Variables!$B$53</f>
        <v>0</v>
      </c>
      <c r="CM157" s="1223">
        <f>$G157*R157*Variables!$B$53</f>
        <v>0</v>
      </c>
      <c r="CN157" s="1225">
        <f>$G157*S157*Variables!$B$53</f>
        <v>0</v>
      </c>
      <c r="CO157" s="1222">
        <f>$G157*T157*Variables!$B$53*HLOOKUP($CO$2,Variables!$B$60:$F$61,2,FALSE)</f>
        <v>0</v>
      </c>
      <c r="CP157" s="1223">
        <f>$G157*U157*Variables!$B$53*HLOOKUP($CO$2,Variables!$B$60:$F$61,2,FALSE)</f>
        <v>0</v>
      </c>
      <c r="CQ157" s="1223">
        <f>$G157*V157*Variables!$B$53*HLOOKUP($CO$2,Variables!$B$60:$F$61,2,FALSE)</f>
        <v>0</v>
      </c>
      <c r="CR157" s="1223">
        <f>$G157*W157*Variables!$B$53*HLOOKUP($CO$2,Variables!$B$60:$F$61,2,FALSE)</f>
        <v>0</v>
      </c>
      <c r="CS157" s="1223">
        <f>$G157*X157*Variables!$B$53*HLOOKUP($CO$2,Variables!$B$60:$F$61,2,FALSE)</f>
        <v>0</v>
      </c>
      <c r="CT157" s="1223">
        <f>$G157*Y157*Variables!$B$53*HLOOKUP($CO$2,Variables!$B$60:$F$61,2,FALSE)</f>
        <v>0</v>
      </c>
      <c r="CU157" s="1223">
        <f>$G157*Z157*Variables!$B$53*HLOOKUP($CO$2,Variables!$B$60:$F$61,2,FALSE)</f>
        <v>0</v>
      </c>
      <c r="CV157" s="1223">
        <f>$G157*AA157*Variables!$B$53*HLOOKUP($CO$2,Variables!$B$60:$F$61,2,FALSE)</f>
        <v>0</v>
      </c>
      <c r="CW157" s="1223">
        <f>$G157*AB157*Variables!$B$53*HLOOKUP($CO$2,Variables!$B$60:$F$61,2,FALSE)</f>
        <v>0</v>
      </c>
      <c r="CX157" s="1223">
        <f>$G157*AC157*Variables!$B$53*HLOOKUP($CO$2,Variables!$B$60:$F$61,2,FALSE)</f>
        <v>0</v>
      </c>
      <c r="CY157" s="1223">
        <f>$G157*AD157*Variables!$B$53*HLOOKUP($CO$2,Variables!$B$60:$F$61,2,FALSE)</f>
        <v>0</v>
      </c>
      <c r="CZ157" s="1225">
        <f>$G157*AE157*Variables!$B$53*HLOOKUP($CO$2,Variables!$B$60:$F$61,2,FALSE)</f>
        <v>0</v>
      </c>
      <c r="DA157" s="1222">
        <f>$G157*AF157*Variables!$B$53*HLOOKUP($DA$2,Variables!$B$60:$F$61,2,FALSE)</f>
        <v>0</v>
      </c>
      <c r="DB157" s="1223">
        <f>$G157*AG157*Variables!$B$53*HLOOKUP($DA$2,Variables!$B$60:$F$61,2,FALSE)</f>
        <v>0</v>
      </c>
      <c r="DC157" s="1223">
        <f>$G157*AH157*Variables!$B$53*HLOOKUP($DA$2,Variables!$B$60:$F$61,2,FALSE)</f>
        <v>0</v>
      </c>
      <c r="DD157" s="1223">
        <f>$G157*AI157*Variables!$B$53*HLOOKUP($DA$2,Variables!$B$60:$F$61,2,FALSE)</f>
        <v>0</v>
      </c>
      <c r="DE157" s="1223">
        <f>$G157*AJ157*Variables!$B$53*HLOOKUP($DA$2,Variables!$B$60:$F$61,2,FALSE)</f>
        <v>0</v>
      </c>
      <c r="DF157" s="1223">
        <f>$G157*AK157*Variables!$B$53*HLOOKUP($DA$2,Variables!$B$60:$F$61,2,FALSE)</f>
        <v>0</v>
      </c>
      <c r="DG157" s="1223">
        <f>$G157*AL157*Variables!$B$53*HLOOKUP($DA$2,Variables!$B$60:$F$61,2,FALSE)</f>
        <v>0</v>
      </c>
      <c r="DH157" s="1223">
        <f>$G157*AM157*Variables!$B$53*HLOOKUP($DA$2,Variables!$B$60:$F$61,2,FALSE)</f>
        <v>0</v>
      </c>
      <c r="DI157" s="1223">
        <f>$G157*AN157*Variables!$B$53*HLOOKUP($DA$2,Variables!$B$60:$F$61,2,FALSE)</f>
        <v>0</v>
      </c>
      <c r="DJ157" s="1223">
        <f>$G157*AO157*Variables!$B$53*HLOOKUP($DA$2,Variables!$B$60:$F$61,2,FALSE)</f>
        <v>0</v>
      </c>
      <c r="DK157" s="1223">
        <f>$G157*AP157*Variables!$B$53*HLOOKUP($DA$2,Variables!$B$60:$F$61,2,FALSE)</f>
        <v>0</v>
      </c>
      <c r="DL157" s="1225">
        <f>$G157*AQ157*Variables!$B$53*HLOOKUP($DA$2,Variables!$B$60:$F$61,2,FALSE)</f>
        <v>0</v>
      </c>
      <c r="DM157" s="1222">
        <f>$G157*AR157*Variables!$B$53*HLOOKUP($DM$2,Variables!$B$60:$F$61,2,FALSE)</f>
        <v>0</v>
      </c>
      <c r="DN157" s="1223">
        <f>$G157*AS157*Variables!$B$53*HLOOKUP($DM$2,Variables!$B$60:$F$61,2,FALSE)</f>
        <v>0</v>
      </c>
      <c r="DO157" s="1223">
        <f>$G157*AT157*Variables!$B$53*HLOOKUP($DM$2,Variables!$B$60:$F$61,2,FALSE)</f>
        <v>0</v>
      </c>
      <c r="DP157" s="1223">
        <f>$G157*AU157*Variables!$B$53*HLOOKUP($DM$2,Variables!$B$60:$F$61,2,FALSE)</f>
        <v>0</v>
      </c>
      <c r="DQ157" s="1223">
        <f>$G157*AV157*Variables!$B$53*HLOOKUP($DM$2,Variables!$B$60:$F$61,2,FALSE)</f>
        <v>0</v>
      </c>
      <c r="DR157" s="1223">
        <f>$G157*AW157*Variables!$B$53*HLOOKUP($DM$2,Variables!$B$60:$F$61,2,FALSE)</f>
        <v>0</v>
      </c>
      <c r="DS157" s="1223">
        <f>$G157*AX157*Variables!$B$53*HLOOKUP($DM$2,Variables!$B$60:$F$61,2,FALSE)</f>
        <v>0</v>
      </c>
      <c r="DT157" s="1223">
        <f>$G157*AY157*Variables!$B$53*HLOOKUP($DM$2,Variables!$B$60:$F$61,2,FALSE)</f>
        <v>0</v>
      </c>
      <c r="DU157" s="1223">
        <f>$G157*AZ157*Variables!$B$53*HLOOKUP($DM$2,Variables!$B$60:$F$61,2,FALSE)</f>
        <v>0</v>
      </c>
      <c r="DV157" s="1223">
        <f>$G157*BA157*Variables!$B$53*HLOOKUP($DM$2,Variables!$B$60:$F$61,2,FALSE)</f>
        <v>0</v>
      </c>
      <c r="DW157" s="1223">
        <f>$G157*BB157*Variables!$B$53*HLOOKUP($DM$2,Variables!$B$60:$F$61,2,FALSE)</f>
        <v>0</v>
      </c>
      <c r="DX157" s="1225">
        <f>$G157*BC157*Variables!$B$53*HLOOKUP($DM$2,Variables!$B$60:$F$61,2,FALSE)</f>
        <v>0</v>
      </c>
      <c r="DY157" s="1222">
        <f>$G157*BD157*Variables!$B$53*HLOOKUP($DY$2,Variables!$B$60:$F$61,2,FALSE)</f>
        <v>0</v>
      </c>
      <c r="DZ157" s="1223">
        <f>$G157*BE157*Variables!$B$53*HLOOKUP($DY$2,Variables!$B$60:$F$61,2,FALSE)</f>
        <v>0</v>
      </c>
      <c r="EA157" s="1223">
        <f>$G157*BF157*Variables!$B$53*HLOOKUP($DY$2,Variables!$B$60:$F$61,2,FALSE)</f>
        <v>0</v>
      </c>
      <c r="EB157" s="1223">
        <f>$G157*BG157*Variables!$B$53*HLOOKUP($DY$2,Variables!$B$60:$F$61,2,FALSE)</f>
        <v>0</v>
      </c>
      <c r="EC157" s="1223">
        <f>$G157*BH157*Variables!$B$53*HLOOKUP($DY$2,Variables!$B$60:$F$61,2,FALSE)</f>
        <v>0</v>
      </c>
      <c r="ED157" s="1223">
        <f>$G157*BI157*Variables!$B$53*HLOOKUP($DY$2,Variables!$B$60:$F$61,2,FALSE)</f>
        <v>0</v>
      </c>
      <c r="EE157" s="1223">
        <f>$G157*BJ157*Variables!$B$53*HLOOKUP($DY$2,Variables!$B$60:$F$61,2,FALSE)</f>
        <v>0</v>
      </c>
      <c r="EF157" s="1223">
        <f>$G157*BK157*Variables!$B$53*HLOOKUP($DY$2,Variables!$B$60:$F$61,2,FALSE)</f>
        <v>0</v>
      </c>
      <c r="EG157" s="1223">
        <f>$G157*BL157*Variables!$B$53*HLOOKUP($DY$2,Variables!$B$60:$F$61,2,FALSE)</f>
        <v>0</v>
      </c>
      <c r="EH157" s="1223">
        <f>$G157*BM157*Variables!$B$53*HLOOKUP($DY$2,Variables!$B$60:$F$61,2,FALSE)</f>
        <v>0</v>
      </c>
      <c r="EI157" s="1223">
        <f>$G157*BN157*Variables!$B$53*HLOOKUP($DY$2,Variables!$B$60:$F$61,2,FALSE)</f>
        <v>0</v>
      </c>
      <c r="EJ157" s="1225">
        <f>$G157*BO157*Variables!$B$53*HLOOKUP($DY$2,Variables!$B$60:$F$61,2,FALSE)</f>
        <v>0</v>
      </c>
      <c r="EK157" s="1222">
        <f>$G157*BP157*Variables!$B$53*HLOOKUP($EK$2,Variables!$B$60:$F$61,2,FALSE)</f>
        <v>0</v>
      </c>
      <c r="EL157" s="1223">
        <f>$G157*BQ157*Variables!$B$53*HLOOKUP($EK$2,Variables!$B$60:$F$61,2,FALSE)</f>
        <v>0</v>
      </c>
      <c r="EM157" s="1223">
        <f>$G157*BR157*Variables!$B$53*HLOOKUP($EK$2,Variables!$B$60:$F$61,2,FALSE)</f>
        <v>0</v>
      </c>
      <c r="EN157" s="1223">
        <f>$G157*BS157*Variables!$B$53*HLOOKUP($EK$2,Variables!$B$60:$F$61,2,FALSE)</f>
        <v>0</v>
      </c>
      <c r="EO157" s="1223">
        <f>$G157*BT157*Variables!$B$53*HLOOKUP($EK$2,Variables!$B$60:$F$61,2,FALSE)</f>
        <v>0</v>
      </c>
      <c r="EP157" s="1223">
        <f>$G157*BU157*Variables!$B$53*HLOOKUP($EK$2,Variables!$B$60:$F$61,2,FALSE)</f>
        <v>0</v>
      </c>
      <c r="EQ157" s="1223">
        <f>$G157*BV157*Variables!$B$53*HLOOKUP($EK$2,Variables!$B$60:$F$61,2,FALSE)</f>
        <v>0</v>
      </c>
      <c r="ER157" s="1223">
        <f>$G157*BW157*Variables!$B$53*HLOOKUP($EK$2,Variables!$B$60:$F$61,2,FALSE)</f>
        <v>0</v>
      </c>
      <c r="ES157" s="1223">
        <f>$G157*BX157*Variables!$B$53*HLOOKUP($EK$2,Variables!$B$60:$F$61,2,FALSE)</f>
        <v>0</v>
      </c>
      <c r="ET157" s="1223">
        <f>$G157*BY157*Variables!$B$53*HLOOKUP($EK$2,Variables!$B$60:$F$61,2,FALSE)</f>
        <v>0</v>
      </c>
      <c r="EU157" s="1223">
        <f>$G157*BZ157*Variables!$B$53*HLOOKUP($EK$2,Variables!$B$60:$F$61,2,FALSE)</f>
        <v>0</v>
      </c>
      <c r="EV157" s="1225">
        <f>$G157*CA157*Variables!$B$53*HLOOKUP($EK$2,Variables!$B$60:$F$61,2,FALSE)</f>
        <v>0</v>
      </c>
      <c r="EW157" s="872">
        <f t="shared" si="24"/>
        <v>0</v>
      </c>
      <c r="EX157" s="872"/>
      <c r="EY157" s="872"/>
      <c r="EZ157" s="872"/>
      <c r="FA157" s="1332"/>
      <c r="FC157" s="958" t="str">
        <f t="shared" si="25"/>
        <v/>
      </c>
      <c r="FD157" s="959" t="str">
        <f t="shared" si="26"/>
        <v/>
      </c>
      <c r="FE157" s="959" t="s">
        <v>8407</v>
      </c>
      <c r="FF157" s="959" t="str">
        <f>IF(ISNA(VLOOKUP(FC157,Miscellaneous!E:F,2,0)),"",VLOOKUP(FC157,Miscellaneous!E:F,2,0))</f>
        <v/>
      </c>
      <c r="FG157" s="959" t="str">
        <f t="shared" si="27"/>
        <v/>
      </c>
      <c r="FH157" s="996">
        <f>IF($FG157="Opex",SUMIF('Monthly Summary'!$C$75:$N$75,"",CC157:CN157),SUMIF('Monthly Summary'!$C$74:$N$74,"",CC157:CN157))</f>
        <v>0</v>
      </c>
      <c r="FI157" s="996">
        <f>IF($FG157="Opex",SUMIF('Monthly Summary'!$O$75:$Z$75,"",CO157:CZ157),SUMIF('Monthly Summary'!$O$74:$Z$74,"",CO157:CZ157))</f>
        <v>0</v>
      </c>
      <c r="FJ157" s="996">
        <f>IF($FG157="Opex",SUMIF('Monthly Summary'!$AA$75:$AL$75,"",DA157:DL157),SUMIF('Monthly Summary'!$AA$74:$AL$74,"",DA157:DL157))</f>
        <v>0</v>
      </c>
      <c r="FK157" s="996">
        <f>IF($FG157="Opex",SUMIF('Monthly Summary'!$AM$75:$AX$75,"",DM157:DX157),SUMIF('Monthly Summary'!$AM$74:$AX$74,"",DM157:DX157))</f>
        <v>0</v>
      </c>
      <c r="FL157" s="996">
        <f>IF($FG157="Opex",SUMIF('Monthly Summary'!$AY$75:$BJ$75,"",DY157:EJ157),SUMIF('Monthly Summary'!$AY$74:$BJ$74,"",DY157:EJ157))</f>
        <v>0</v>
      </c>
      <c r="FM157" s="997">
        <f>IF($FG157="Opex",SUMIF('Monthly Summary'!$BK$75:$BV$75,"",EK157:EV157),SUMIF('Monthly Summary'!$BK$74:$BV$74,"",EK157:EV157))</f>
        <v>0</v>
      </c>
      <c r="FN157" s="997">
        <f t="shared" si="28"/>
        <v>0</v>
      </c>
    </row>
    <row r="158" spans="3:170">
      <c r="C158" s="757"/>
      <c r="D158" s="757"/>
      <c r="E158" s="758"/>
      <c r="F158" s="758"/>
      <c r="G158" s="758"/>
      <c r="H158" s="1215"/>
      <c r="I158" s="761"/>
      <c r="J158" s="761"/>
      <c r="K158" s="761"/>
      <c r="L158" s="761"/>
      <c r="M158" s="761"/>
      <c r="N158" s="761"/>
      <c r="O158" s="761"/>
      <c r="P158" s="761"/>
      <c r="Q158" s="761"/>
      <c r="R158" s="761"/>
      <c r="S158" s="1216"/>
      <c r="T158" s="1215"/>
      <c r="U158" s="761"/>
      <c r="V158" s="761"/>
      <c r="W158" s="761"/>
      <c r="X158" s="761"/>
      <c r="Y158" s="761"/>
      <c r="Z158" s="761"/>
      <c r="AA158" s="761"/>
      <c r="AB158" s="761"/>
      <c r="AC158" s="761"/>
      <c r="AD158" s="761"/>
      <c r="AE158" s="1216"/>
      <c r="AF158" s="1215"/>
      <c r="AG158" s="761"/>
      <c r="AH158" s="761"/>
      <c r="AI158" s="761"/>
      <c r="AJ158" s="761"/>
      <c r="AK158" s="761"/>
      <c r="AL158" s="761"/>
      <c r="AM158" s="761"/>
      <c r="AN158" s="761"/>
      <c r="AO158" s="761"/>
      <c r="AP158" s="761"/>
      <c r="AQ158" s="1216"/>
      <c r="AR158" s="1215"/>
      <c r="AS158" s="761"/>
      <c r="AT158" s="761"/>
      <c r="AU158" s="761"/>
      <c r="AV158" s="761"/>
      <c r="AW158" s="761"/>
      <c r="AX158" s="761"/>
      <c r="AY158" s="761"/>
      <c r="AZ158" s="761"/>
      <c r="BA158" s="761"/>
      <c r="BB158" s="761"/>
      <c r="BC158" s="1216"/>
      <c r="BD158" s="1215"/>
      <c r="BE158" s="761"/>
      <c r="BF158" s="761"/>
      <c r="BG158" s="761"/>
      <c r="BH158" s="761"/>
      <c r="BI158" s="761"/>
      <c r="BJ158" s="761"/>
      <c r="BK158" s="761"/>
      <c r="BL158" s="761"/>
      <c r="BM158" s="761"/>
      <c r="BN158" s="761"/>
      <c r="BO158" s="1216"/>
      <c r="BP158" s="1215"/>
      <c r="BQ158" s="761"/>
      <c r="BR158" s="761"/>
      <c r="BS158" s="761"/>
      <c r="BT158" s="761"/>
      <c r="BU158" s="761"/>
      <c r="BV158" s="761"/>
      <c r="BW158" s="761"/>
      <c r="BX158" s="761"/>
      <c r="BY158" s="761"/>
      <c r="BZ158" s="761"/>
      <c r="CA158" s="1216"/>
      <c r="CB158" s="747"/>
      <c r="CC158" s="1222">
        <f>$G158*H158*Variables!$B$53</f>
        <v>0</v>
      </c>
      <c r="CD158" s="1223">
        <f>$G158*I158*Variables!$B$53</f>
        <v>0</v>
      </c>
      <c r="CE158" s="1223">
        <f>$G158*J158*Variables!$B$53</f>
        <v>0</v>
      </c>
      <c r="CF158" s="1223">
        <f>$G158*K158*Variables!$B$53</f>
        <v>0</v>
      </c>
      <c r="CG158" s="1223">
        <f>$G158*L158*Variables!$B$53</f>
        <v>0</v>
      </c>
      <c r="CH158" s="1223">
        <f>$G158*M158*Variables!$B$53</f>
        <v>0</v>
      </c>
      <c r="CI158" s="1223">
        <f>$G158*N158*Variables!$B$53</f>
        <v>0</v>
      </c>
      <c r="CJ158" s="1223">
        <f>$G158*O158*Variables!$B$53</f>
        <v>0</v>
      </c>
      <c r="CK158" s="1223">
        <f>$G158*P158*Variables!$B$53</f>
        <v>0</v>
      </c>
      <c r="CL158" s="1223">
        <f>$G158*Q158*Variables!$B$53</f>
        <v>0</v>
      </c>
      <c r="CM158" s="1223">
        <f>$G158*R158*Variables!$B$53</f>
        <v>0</v>
      </c>
      <c r="CN158" s="1225">
        <f>$G158*S158*Variables!$B$53</f>
        <v>0</v>
      </c>
      <c r="CO158" s="1222">
        <f>$G158*T158*Variables!$B$53*HLOOKUP($CO$2,Variables!$B$60:$F$61,2,FALSE)</f>
        <v>0</v>
      </c>
      <c r="CP158" s="1223">
        <f>$G158*U158*Variables!$B$53*HLOOKUP($CO$2,Variables!$B$60:$F$61,2,FALSE)</f>
        <v>0</v>
      </c>
      <c r="CQ158" s="1223">
        <f>$G158*V158*Variables!$B$53*HLOOKUP($CO$2,Variables!$B$60:$F$61,2,FALSE)</f>
        <v>0</v>
      </c>
      <c r="CR158" s="1223">
        <f>$G158*W158*Variables!$B$53*HLOOKUP($CO$2,Variables!$B$60:$F$61,2,FALSE)</f>
        <v>0</v>
      </c>
      <c r="CS158" s="1223">
        <f>$G158*X158*Variables!$B$53*HLOOKUP($CO$2,Variables!$B$60:$F$61,2,FALSE)</f>
        <v>0</v>
      </c>
      <c r="CT158" s="1223">
        <f>$G158*Y158*Variables!$B$53*HLOOKUP($CO$2,Variables!$B$60:$F$61,2,FALSE)</f>
        <v>0</v>
      </c>
      <c r="CU158" s="1223">
        <f>$G158*Z158*Variables!$B$53*HLOOKUP($CO$2,Variables!$B$60:$F$61,2,FALSE)</f>
        <v>0</v>
      </c>
      <c r="CV158" s="1223">
        <f>$G158*AA158*Variables!$B$53*HLOOKUP($CO$2,Variables!$B$60:$F$61,2,FALSE)</f>
        <v>0</v>
      </c>
      <c r="CW158" s="1223">
        <f>$G158*AB158*Variables!$B$53*HLOOKUP($CO$2,Variables!$B$60:$F$61,2,FALSE)</f>
        <v>0</v>
      </c>
      <c r="CX158" s="1223">
        <f>$G158*AC158*Variables!$B$53*HLOOKUP($CO$2,Variables!$B$60:$F$61,2,FALSE)</f>
        <v>0</v>
      </c>
      <c r="CY158" s="1223">
        <f>$G158*AD158*Variables!$B$53*HLOOKUP($CO$2,Variables!$B$60:$F$61,2,FALSE)</f>
        <v>0</v>
      </c>
      <c r="CZ158" s="1225">
        <f>$G158*AE158*Variables!$B$53*HLOOKUP($CO$2,Variables!$B$60:$F$61,2,FALSE)</f>
        <v>0</v>
      </c>
      <c r="DA158" s="1222">
        <f>$G158*AF158*Variables!$B$53*HLOOKUP($DA$2,Variables!$B$60:$F$61,2,FALSE)</f>
        <v>0</v>
      </c>
      <c r="DB158" s="1223">
        <f>$G158*AG158*Variables!$B$53*HLOOKUP($DA$2,Variables!$B$60:$F$61,2,FALSE)</f>
        <v>0</v>
      </c>
      <c r="DC158" s="1223">
        <f>$G158*AH158*Variables!$B$53*HLOOKUP($DA$2,Variables!$B$60:$F$61,2,FALSE)</f>
        <v>0</v>
      </c>
      <c r="DD158" s="1223">
        <f>$G158*AI158*Variables!$B$53*HLOOKUP($DA$2,Variables!$B$60:$F$61,2,FALSE)</f>
        <v>0</v>
      </c>
      <c r="DE158" s="1223">
        <f>$G158*AJ158*Variables!$B$53*HLOOKUP($DA$2,Variables!$B$60:$F$61,2,FALSE)</f>
        <v>0</v>
      </c>
      <c r="DF158" s="1223">
        <f>$G158*AK158*Variables!$B$53*HLOOKUP($DA$2,Variables!$B$60:$F$61,2,FALSE)</f>
        <v>0</v>
      </c>
      <c r="DG158" s="1223">
        <f>$G158*AL158*Variables!$B$53*HLOOKUP($DA$2,Variables!$B$60:$F$61,2,FALSE)</f>
        <v>0</v>
      </c>
      <c r="DH158" s="1223">
        <f>$G158*AM158*Variables!$B$53*HLOOKUP($DA$2,Variables!$B$60:$F$61,2,FALSE)</f>
        <v>0</v>
      </c>
      <c r="DI158" s="1223">
        <f>$G158*AN158*Variables!$B$53*HLOOKUP($DA$2,Variables!$B$60:$F$61,2,FALSE)</f>
        <v>0</v>
      </c>
      <c r="DJ158" s="1223">
        <f>$G158*AO158*Variables!$B$53*HLOOKUP($DA$2,Variables!$B$60:$F$61,2,FALSE)</f>
        <v>0</v>
      </c>
      <c r="DK158" s="1223">
        <f>$G158*AP158*Variables!$B$53*HLOOKUP($DA$2,Variables!$B$60:$F$61,2,FALSE)</f>
        <v>0</v>
      </c>
      <c r="DL158" s="1225">
        <f>$G158*AQ158*Variables!$B$53*HLOOKUP($DA$2,Variables!$B$60:$F$61,2,FALSE)</f>
        <v>0</v>
      </c>
      <c r="DM158" s="1222">
        <f>$G158*AR158*Variables!$B$53*HLOOKUP($DM$2,Variables!$B$60:$F$61,2,FALSE)</f>
        <v>0</v>
      </c>
      <c r="DN158" s="1223">
        <f>$G158*AS158*Variables!$B$53*HLOOKUP($DM$2,Variables!$B$60:$F$61,2,FALSE)</f>
        <v>0</v>
      </c>
      <c r="DO158" s="1223">
        <f>$G158*AT158*Variables!$B$53*HLOOKUP($DM$2,Variables!$B$60:$F$61,2,FALSE)</f>
        <v>0</v>
      </c>
      <c r="DP158" s="1223">
        <f>$G158*AU158*Variables!$B$53*HLOOKUP($DM$2,Variables!$B$60:$F$61,2,FALSE)</f>
        <v>0</v>
      </c>
      <c r="DQ158" s="1223">
        <f>$G158*AV158*Variables!$B$53*HLOOKUP($DM$2,Variables!$B$60:$F$61,2,FALSE)</f>
        <v>0</v>
      </c>
      <c r="DR158" s="1223">
        <f>$G158*AW158*Variables!$B$53*HLOOKUP($DM$2,Variables!$B$60:$F$61,2,FALSE)</f>
        <v>0</v>
      </c>
      <c r="DS158" s="1223">
        <f>$G158*AX158*Variables!$B$53*HLOOKUP($DM$2,Variables!$B$60:$F$61,2,FALSE)</f>
        <v>0</v>
      </c>
      <c r="DT158" s="1223">
        <f>$G158*AY158*Variables!$B$53*HLOOKUP($DM$2,Variables!$B$60:$F$61,2,FALSE)</f>
        <v>0</v>
      </c>
      <c r="DU158" s="1223">
        <f>$G158*AZ158*Variables!$B$53*HLOOKUP($DM$2,Variables!$B$60:$F$61,2,FALSE)</f>
        <v>0</v>
      </c>
      <c r="DV158" s="1223">
        <f>$G158*BA158*Variables!$B$53*HLOOKUP($DM$2,Variables!$B$60:$F$61,2,FALSE)</f>
        <v>0</v>
      </c>
      <c r="DW158" s="1223">
        <f>$G158*BB158*Variables!$B$53*HLOOKUP($DM$2,Variables!$B$60:$F$61,2,FALSE)</f>
        <v>0</v>
      </c>
      <c r="DX158" s="1225">
        <f>$G158*BC158*Variables!$B$53*HLOOKUP($DM$2,Variables!$B$60:$F$61,2,FALSE)</f>
        <v>0</v>
      </c>
      <c r="DY158" s="1222">
        <f>$G158*BD158*Variables!$B$53*HLOOKUP($DY$2,Variables!$B$60:$F$61,2,FALSE)</f>
        <v>0</v>
      </c>
      <c r="DZ158" s="1223">
        <f>$G158*BE158*Variables!$B$53*HLOOKUP($DY$2,Variables!$B$60:$F$61,2,FALSE)</f>
        <v>0</v>
      </c>
      <c r="EA158" s="1223">
        <f>$G158*BF158*Variables!$B$53*HLOOKUP($DY$2,Variables!$B$60:$F$61,2,FALSE)</f>
        <v>0</v>
      </c>
      <c r="EB158" s="1223">
        <f>$G158*BG158*Variables!$B$53*HLOOKUP($DY$2,Variables!$B$60:$F$61,2,FALSE)</f>
        <v>0</v>
      </c>
      <c r="EC158" s="1223">
        <f>$G158*BH158*Variables!$B$53*HLOOKUP($DY$2,Variables!$B$60:$F$61,2,FALSE)</f>
        <v>0</v>
      </c>
      <c r="ED158" s="1223">
        <f>$G158*BI158*Variables!$B$53*HLOOKUP($DY$2,Variables!$B$60:$F$61,2,FALSE)</f>
        <v>0</v>
      </c>
      <c r="EE158" s="1223">
        <f>$G158*BJ158*Variables!$B$53*HLOOKUP($DY$2,Variables!$B$60:$F$61,2,FALSE)</f>
        <v>0</v>
      </c>
      <c r="EF158" s="1223">
        <f>$G158*BK158*Variables!$B$53*HLOOKUP($DY$2,Variables!$B$60:$F$61,2,FALSE)</f>
        <v>0</v>
      </c>
      <c r="EG158" s="1223">
        <f>$G158*BL158*Variables!$B$53*HLOOKUP($DY$2,Variables!$B$60:$F$61,2,FALSE)</f>
        <v>0</v>
      </c>
      <c r="EH158" s="1223">
        <f>$G158*BM158*Variables!$B$53*HLOOKUP($DY$2,Variables!$B$60:$F$61,2,FALSE)</f>
        <v>0</v>
      </c>
      <c r="EI158" s="1223">
        <f>$G158*BN158*Variables!$B$53*HLOOKUP($DY$2,Variables!$B$60:$F$61,2,FALSE)</f>
        <v>0</v>
      </c>
      <c r="EJ158" s="1225">
        <f>$G158*BO158*Variables!$B$53*HLOOKUP($DY$2,Variables!$B$60:$F$61,2,FALSE)</f>
        <v>0</v>
      </c>
      <c r="EK158" s="1222">
        <f>$G158*BP158*Variables!$B$53*HLOOKUP($EK$2,Variables!$B$60:$F$61,2,FALSE)</f>
        <v>0</v>
      </c>
      <c r="EL158" s="1223">
        <f>$G158*BQ158*Variables!$B$53*HLOOKUP($EK$2,Variables!$B$60:$F$61,2,FALSE)</f>
        <v>0</v>
      </c>
      <c r="EM158" s="1223">
        <f>$G158*BR158*Variables!$B$53*HLOOKUP($EK$2,Variables!$B$60:$F$61,2,FALSE)</f>
        <v>0</v>
      </c>
      <c r="EN158" s="1223">
        <f>$G158*BS158*Variables!$B$53*HLOOKUP($EK$2,Variables!$B$60:$F$61,2,FALSE)</f>
        <v>0</v>
      </c>
      <c r="EO158" s="1223">
        <f>$G158*BT158*Variables!$B$53*HLOOKUP($EK$2,Variables!$B$60:$F$61,2,FALSE)</f>
        <v>0</v>
      </c>
      <c r="EP158" s="1223">
        <f>$G158*BU158*Variables!$B$53*HLOOKUP($EK$2,Variables!$B$60:$F$61,2,FALSE)</f>
        <v>0</v>
      </c>
      <c r="EQ158" s="1223">
        <f>$G158*BV158*Variables!$B$53*HLOOKUP($EK$2,Variables!$B$60:$F$61,2,FALSE)</f>
        <v>0</v>
      </c>
      <c r="ER158" s="1223">
        <f>$G158*BW158*Variables!$B$53*HLOOKUP($EK$2,Variables!$B$60:$F$61,2,FALSE)</f>
        <v>0</v>
      </c>
      <c r="ES158" s="1223">
        <f>$G158*BX158*Variables!$B$53*HLOOKUP($EK$2,Variables!$B$60:$F$61,2,FALSE)</f>
        <v>0</v>
      </c>
      <c r="ET158" s="1223">
        <f>$G158*BY158*Variables!$B$53*HLOOKUP($EK$2,Variables!$B$60:$F$61,2,FALSE)</f>
        <v>0</v>
      </c>
      <c r="EU158" s="1223">
        <f>$G158*BZ158*Variables!$B$53*HLOOKUP($EK$2,Variables!$B$60:$F$61,2,FALSE)</f>
        <v>0</v>
      </c>
      <c r="EV158" s="1225">
        <f>$G158*CA158*Variables!$B$53*HLOOKUP($EK$2,Variables!$B$60:$F$61,2,FALSE)</f>
        <v>0</v>
      </c>
      <c r="EW158" s="872">
        <f t="shared" si="24"/>
        <v>0</v>
      </c>
      <c r="EX158" s="872"/>
      <c r="EY158" s="872"/>
      <c r="EZ158" s="872"/>
      <c r="FA158" s="1332"/>
      <c r="FC158" s="958" t="str">
        <f t="shared" si="25"/>
        <v/>
      </c>
      <c r="FD158" s="959" t="str">
        <f t="shared" si="26"/>
        <v/>
      </c>
      <c r="FE158" s="959" t="s">
        <v>8407</v>
      </c>
      <c r="FF158" s="959" t="str">
        <f>IF(ISNA(VLOOKUP(FC158,Miscellaneous!E:F,2,0)),"",VLOOKUP(FC158,Miscellaneous!E:F,2,0))</f>
        <v/>
      </c>
      <c r="FG158" s="959" t="str">
        <f t="shared" si="27"/>
        <v/>
      </c>
      <c r="FH158" s="996">
        <f>IF($FG158="Opex",SUMIF('Monthly Summary'!$C$75:$N$75,"",CC158:CN158),SUMIF('Monthly Summary'!$C$74:$N$74,"",CC158:CN158))</f>
        <v>0</v>
      </c>
      <c r="FI158" s="996">
        <f>IF($FG158="Opex",SUMIF('Monthly Summary'!$O$75:$Z$75,"",CO158:CZ158),SUMIF('Monthly Summary'!$O$74:$Z$74,"",CO158:CZ158))</f>
        <v>0</v>
      </c>
      <c r="FJ158" s="996">
        <f>IF($FG158="Opex",SUMIF('Monthly Summary'!$AA$75:$AL$75,"",DA158:DL158),SUMIF('Monthly Summary'!$AA$74:$AL$74,"",DA158:DL158))</f>
        <v>0</v>
      </c>
      <c r="FK158" s="996">
        <f>IF($FG158="Opex",SUMIF('Monthly Summary'!$AM$75:$AX$75,"",DM158:DX158),SUMIF('Monthly Summary'!$AM$74:$AX$74,"",DM158:DX158))</f>
        <v>0</v>
      </c>
      <c r="FL158" s="996">
        <f>IF($FG158="Opex",SUMIF('Monthly Summary'!$AY$75:$BJ$75,"",DY158:EJ158),SUMIF('Monthly Summary'!$AY$74:$BJ$74,"",DY158:EJ158))</f>
        <v>0</v>
      </c>
      <c r="FM158" s="997">
        <f>IF($FG158="Opex",SUMIF('Monthly Summary'!$BK$75:$BV$75,"",EK158:EV158),SUMIF('Monthly Summary'!$BK$74:$BV$74,"",EK158:EV158))</f>
        <v>0</v>
      </c>
      <c r="FN158" s="997">
        <f t="shared" si="28"/>
        <v>0</v>
      </c>
    </row>
    <row r="159" spans="3:170">
      <c r="C159" s="757"/>
      <c r="D159" s="757"/>
      <c r="E159" s="758"/>
      <c r="F159" s="758"/>
      <c r="G159" s="758"/>
      <c r="H159" s="1215"/>
      <c r="I159" s="761"/>
      <c r="J159" s="761"/>
      <c r="K159" s="761"/>
      <c r="L159" s="761"/>
      <c r="M159" s="761"/>
      <c r="N159" s="761"/>
      <c r="O159" s="761"/>
      <c r="P159" s="761"/>
      <c r="Q159" s="761"/>
      <c r="R159" s="761"/>
      <c r="S159" s="1216"/>
      <c r="T159" s="1215"/>
      <c r="U159" s="761"/>
      <c r="V159" s="761"/>
      <c r="W159" s="761"/>
      <c r="X159" s="761"/>
      <c r="Y159" s="761"/>
      <c r="Z159" s="761"/>
      <c r="AA159" s="761"/>
      <c r="AB159" s="761"/>
      <c r="AC159" s="761"/>
      <c r="AD159" s="761"/>
      <c r="AE159" s="1216"/>
      <c r="AF159" s="1215"/>
      <c r="AG159" s="761"/>
      <c r="AH159" s="761"/>
      <c r="AI159" s="761"/>
      <c r="AJ159" s="761"/>
      <c r="AK159" s="761"/>
      <c r="AL159" s="761"/>
      <c r="AM159" s="761"/>
      <c r="AN159" s="761"/>
      <c r="AO159" s="761"/>
      <c r="AP159" s="761"/>
      <c r="AQ159" s="1216"/>
      <c r="AR159" s="1215"/>
      <c r="AS159" s="761"/>
      <c r="AT159" s="761"/>
      <c r="AU159" s="761"/>
      <c r="AV159" s="761"/>
      <c r="AW159" s="761"/>
      <c r="AX159" s="761"/>
      <c r="AY159" s="761"/>
      <c r="AZ159" s="761"/>
      <c r="BA159" s="761"/>
      <c r="BB159" s="761"/>
      <c r="BC159" s="1216"/>
      <c r="BD159" s="1215"/>
      <c r="BE159" s="761"/>
      <c r="BF159" s="761"/>
      <c r="BG159" s="761"/>
      <c r="BH159" s="761"/>
      <c r="BI159" s="761"/>
      <c r="BJ159" s="761"/>
      <c r="BK159" s="761"/>
      <c r="BL159" s="761"/>
      <c r="BM159" s="761"/>
      <c r="BN159" s="761"/>
      <c r="BO159" s="1216"/>
      <c r="BP159" s="1215"/>
      <c r="BQ159" s="761"/>
      <c r="BR159" s="761"/>
      <c r="BS159" s="761"/>
      <c r="BT159" s="761"/>
      <c r="BU159" s="761"/>
      <c r="BV159" s="761"/>
      <c r="BW159" s="761"/>
      <c r="BX159" s="761"/>
      <c r="BY159" s="761"/>
      <c r="BZ159" s="761"/>
      <c r="CA159" s="1216"/>
      <c r="CB159" s="747"/>
      <c r="CC159" s="1222">
        <f>$G159*H159*Variables!$B$53</f>
        <v>0</v>
      </c>
      <c r="CD159" s="1223">
        <f>$G159*I159*Variables!$B$53</f>
        <v>0</v>
      </c>
      <c r="CE159" s="1223">
        <f>$G159*J159*Variables!$B$53</f>
        <v>0</v>
      </c>
      <c r="CF159" s="1223">
        <f>$G159*K159*Variables!$B$53</f>
        <v>0</v>
      </c>
      <c r="CG159" s="1223">
        <f>$G159*L159*Variables!$B$53</f>
        <v>0</v>
      </c>
      <c r="CH159" s="1223">
        <f>$G159*M159*Variables!$B$53</f>
        <v>0</v>
      </c>
      <c r="CI159" s="1223">
        <f>$G159*N159*Variables!$B$53</f>
        <v>0</v>
      </c>
      <c r="CJ159" s="1223">
        <f>$G159*O159*Variables!$B$53</f>
        <v>0</v>
      </c>
      <c r="CK159" s="1223">
        <f>$G159*P159*Variables!$B$53</f>
        <v>0</v>
      </c>
      <c r="CL159" s="1223">
        <f>$G159*Q159*Variables!$B$53</f>
        <v>0</v>
      </c>
      <c r="CM159" s="1223">
        <f>$G159*R159*Variables!$B$53</f>
        <v>0</v>
      </c>
      <c r="CN159" s="1225">
        <f>$G159*S159*Variables!$B$53</f>
        <v>0</v>
      </c>
      <c r="CO159" s="1222">
        <f>$G159*T159*Variables!$B$53*HLOOKUP($CO$2,Variables!$B$60:$F$61,2,FALSE)</f>
        <v>0</v>
      </c>
      <c r="CP159" s="1223">
        <f>$G159*U159*Variables!$B$53*HLOOKUP($CO$2,Variables!$B$60:$F$61,2,FALSE)</f>
        <v>0</v>
      </c>
      <c r="CQ159" s="1223">
        <f>$G159*V159*Variables!$B$53*HLOOKUP($CO$2,Variables!$B$60:$F$61,2,FALSE)</f>
        <v>0</v>
      </c>
      <c r="CR159" s="1223">
        <f>$G159*W159*Variables!$B$53*HLOOKUP($CO$2,Variables!$B$60:$F$61,2,FALSE)</f>
        <v>0</v>
      </c>
      <c r="CS159" s="1223">
        <f>$G159*X159*Variables!$B$53*HLOOKUP($CO$2,Variables!$B$60:$F$61,2,FALSE)</f>
        <v>0</v>
      </c>
      <c r="CT159" s="1223">
        <f>$G159*Y159*Variables!$B$53*HLOOKUP($CO$2,Variables!$B$60:$F$61,2,FALSE)</f>
        <v>0</v>
      </c>
      <c r="CU159" s="1223">
        <f>$G159*Z159*Variables!$B$53*HLOOKUP($CO$2,Variables!$B$60:$F$61,2,FALSE)</f>
        <v>0</v>
      </c>
      <c r="CV159" s="1223">
        <f>$G159*AA159*Variables!$B$53*HLOOKUP($CO$2,Variables!$B$60:$F$61,2,FALSE)</f>
        <v>0</v>
      </c>
      <c r="CW159" s="1223">
        <f>$G159*AB159*Variables!$B$53*HLOOKUP($CO$2,Variables!$B$60:$F$61,2,FALSE)</f>
        <v>0</v>
      </c>
      <c r="CX159" s="1223">
        <f>$G159*AC159*Variables!$B$53*HLOOKUP($CO$2,Variables!$B$60:$F$61,2,FALSE)</f>
        <v>0</v>
      </c>
      <c r="CY159" s="1223">
        <f>$G159*AD159*Variables!$B$53*HLOOKUP($CO$2,Variables!$B$60:$F$61,2,FALSE)</f>
        <v>0</v>
      </c>
      <c r="CZ159" s="1225">
        <f>$G159*AE159*Variables!$B$53*HLOOKUP($CO$2,Variables!$B$60:$F$61,2,FALSE)</f>
        <v>0</v>
      </c>
      <c r="DA159" s="1222">
        <f>$G159*AF159*Variables!$B$53*HLOOKUP($DA$2,Variables!$B$60:$F$61,2,FALSE)</f>
        <v>0</v>
      </c>
      <c r="DB159" s="1223">
        <f>$G159*AG159*Variables!$B$53*HLOOKUP($DA$2,Variables!$B$60:$F$61,2,FALSE)</f>
        <v>0</v>
      </c>
      <c r="DC159" s="1223">
        <f>$G159*AH159*Variables!$B$53*HLOOKUP($DA$2,Variables!$B$60:$F$61,2,FALSE)</f>
        <v>0</v>
      </c>
      <c r="DD159" s="1223">
        <f>$G159*AI159*Variables!$B$53*HLOOKUP($DA$2,Variables!$B$60:$F$61,2,FALSE)</f>
        <v>0</v>
      </c>
      <c r="DE159" s="1223">
        <f>$G159*AJ159*Variables!$B$53*HLOOKUP($DA$2,Variables!$B$60:$F$61,2,FALSE)</f>
        <v>0</v>
      </c>
      <c r="DF159" s="1223">
        <f>$G159*AK159*Variables!$B$53*HLOOKUP($DA$2,Variables!$B$60:$F$61,2,FALSE)</f>
        <v>0</v>
      </c>
      <c r="DG159" s="1223">
        <f>$G159*AL159*Variables!$B$53*HLOOKUP($DA$2,Variables!$B$60:$F$61,2,FALSE)</f>
        <v>0</v>
      </c>
      <c r="DH159" s="1223">
        <f>$G159*AM159*Variables!$B$53*HLOOKUP($DA$2,Variables!$B$60:$F$61,2,FALSE)</f>
        <v>0</v>
      </c>
      <c r="DI159" s="1223">
        <f>$G159*AN159*Variables!$B$53*HLOOKUP($DA$2,Variables!$B$60:$F$61,2,FALSE)</f>
        <v>0</v>
      </c>
      <c r="DJ159" s="1223">
        <f>$G159*AO159*Variables!$B$53*HLOOKUP($DA$2,Variables!$B$60:$F$61,2,FALSE)</f>
        <v>0</v>
      </c>
      <c r="DK159" s="1223">
        <f>$G159*AP159*Variables!$B$53*HLOOKUP($DA$2,Variables!$B$60:$F$61,2,FALSE)</f>
        <v>0</v>
      </c>
      <c r="DL159" s="1225">
        <f>$G159*AQ159*Variables!$B$53*HLOOKUP($DA$2,Variables!$B$60:$F$61,2,FALSE)</f>
        <v>0</v>
      </c>
      <c r="DM159" s="1222">
        <f>$G159*AR159*Variables!$B$53*HLOOKUP($DM$2,Variables!$B$60:$F$61,2,FALSE)</f>
        <v>0</v>
      </c>
      <c r="DN159" s="1223">
        <f>$G159*AS159*Variables!$B$53*HLOOKUP($DM$2,Variables!$B$60:$F$61,2,FALSE)</f>
        <v>0</v>
      </c>
      <c r="DO159" s="1223">
        <f>$G159*AT159*Variables!$B$53*HLOOKUP($DM$2,Variables!$B$60:$F$61,2,FALSE)</f>
        <v>0</v>
      </c>
      <c r="DP159" s="1223">
        <f>$G159*AU159*Variables!$B$53*HLOOKUP($DM$2,Variables!$B$60:$F$61,2,FALSE)</f>
        <v>0</v>
      </c>
      <c r="DQ159" s="1223">
        <f>$G159*AV159*Variables!$B$53*HLOOKUP($DM$2,Variables!$B$60:$F$61,2,FALSE)</f>
        <v>0</v>
      </c>
      <c r="DR159" s="1223">
        <f>$G159*AW159*Variables!$B$53*HLOOKUP($DM$2,Variables!$B$60:$F$61,2,FALSE)</f>
        <v>0</v>
      </c>
      <c r="DS159" s="1223">
        <f>$G159*AX159*Variables!$B$53*HLOOKUP($DM$2,Variables!$B$60:$F$61,2,FALSE)</f>
        <v>0</v>
      </c>
      <c r="DT159" s="1223">
        <f>$G159*AY159*Variables!$B$53*HLOOKUP($DM$2,Variables!$B$60:$F$61,2,FALSE)</f>
        <v>0</v>
      </c>
      <c r="DU159" s="1223">
        <f>$G159*AZ159*Variables!$B$53*HLOOKUP($DM$2,Variables!$B$60:$F$61,2,FALSE)</f>
        <v>0</v>
      </c>
      <c r="DV159" s="1223">
        <f>$G159*BA159*Variables!$B$53*HLOOKUP($DM$2,Variables!$B$60:$F$61,2,FALSE)</f>
        <v>0</v>
      </c>
      <c r="DW159" s="1223">
        <f>$G159*BB159*Variables!$B$53*HLOOKUP($DM$2,Variables!$B$60:$F$61,2,FALSE)</f>
        <v>0</v>
      </c>
      <c r="DX159" s="1225">
        <f>$G159*BC159*Variables!$B$53*HLOOKUP($DM$2,Variables!$B$60:$F$61,2,FALSE)</f>
        <v>0</v>
      </c>
      <c r="DY159" s="1222">
        <f>$G159*BD159*Variables!$B$53*HLOOKUP($DY$2,Variables!$B$60:$F$61,2,FALSE)</f>
        <v>0</v>
      </c>
      <c r="DZ159" s="1223">
        <f>$G159*BE159*Variables!$B$53*HLOOKUP($DY$2,Variables!$B$60:$F$61,2,FALSE)</f>
        <v>0</v>
      </c>
      <c r="EA159" s="1223">
        <f>$G159*BF159*Variables!$B$53*HLOOKUP($DY$2,Variables!$B$60:$F$61,2,FALSE)</f>
        <v>0</v>
      </c>
      <c r="EB159" s="1223">
        <f>$G159*BG159*Variables!$B$53*HLOOKUP($DY$2,Variables!$B$60:$F$61,2,FALSE)</f>
        <v>0</v>
      </c>
      <c r="EC159" s="1223">
        <f>$G159*BH159*Variables!$B$53*HLOOKUP($DY$2,Variables!$B$60:$F$61,2,FALSE)</f>
        <v>0</v>
      </c>
      <c r="ED159" s="1223">
        <f>$G159*BI159*Variables!$B$53*HLOOKUP($DY$2,Variables!$B$60:$F$61,2,FALSE)</f>
        <v>0</v>
      </c>
      <c r="EE159" s="1223">
        <f>$G159*BJ159*Variables!$B$53*HLOOKUP($DY$2,Variables!$B$60:$F$61,2,FALSE)</f>
        <v>0</v>
      </c>
      <c r="EF159" s="1223">
        <f>$G159*BK159*Variables!$B$53*HLOOKUP($DY$2,Variables!$B$60:$F$61,2,FALSE)</f>
        <v>0</v>
      </c>
      <c r="EG159" s="1223">
        <f>$G159*BL159*Variables!$B$53*HLOOKUP($DY$2,Variables!$B$60:$F$61,2,FALSE)</f>
        <v>0</v>
      </c>
      <c r="EH159" s="1223">
        <f>$G159*BM159*Variables!$B$53*HLOOKUP($DY$2,Variables!$B$60:$F$61,2,FALSE)</f>
        <v>0</v>
      </c>
      <c r="EI159" s="1223">
        <f>$G159*BN159*Variables!$B$53*HLOOKUP($DY$2,Variables!$B$60:$F$61,2,FALSE)</f>
        <v>0</v>
      </c>
      <c r="EJ159" s="1225">
        <f>$G159*BO159*Variables!$B$53*HLOOKUP($DY$2,Variables!$B$60:$F$61,2,FALSE)</f>
        <v>0</v>
      </c>
      <c r="EK159" s="1222">
        <f>$G159*BP159*Variables!$B$53*HLOOKUP($EK$2,Variables!$B$60:$F$61,2,FALSE)</f>
        <v>0</v>
      </c>
      <c r="EL159" s="1223">
        <f>$G159*BQ159*Variables!$B$53*HLOOKUP($EK$2,Variables!$B$60:$F$61,2,FALSE)</f>
        <v>0</v>
      </c>
      <c r="EM159" s="1223">
        <f>$G159*BR159*Variables!$B$53*HLOOKUP($EK$2,Variables!$B$60:$F$61,2,FALSE)</f>
        <v>0</v>
      </c>
      <c r="EN159" s="1223">
        <f>$G159*BS159*Variables!$B$53*HLOOKUP($EK$2,Variables!$B$60:$F$61,2,FALSE)</f>
        <v>0</v>
      </c>
      <c r="EO159" s="1223">
        <f>$G159*BT159*Variables!$B$53*HLOOKUP($EK$2,Variables!$B$60:$F$61,2,FALSE)</f>
        <v>0</v>
      </c>
      <c r="EP159" s="1223">
        <f>$G159*BU159*Variables!$B$53*HLOOKUP($EK$2,Variables!$B$60:$F$61,2,FALSE)</f>
        <v>0</v>
      </c>
      <c r="EQ159" s="1223">
        <f>$G159*BV159*Variables!$B$53*HLOOKUP($EK$2,Variables!$B$60:$F$61,2,FALSE)</f>
        <v>0</v>
      </c>
      <c r="ER159" s="1223">
        <f>$G159*BW159*Variables!$B$53*HLOOKUP($EK$2,Variables!$B$60:$F$61,2,FALSE)</f>
        <v>0</v>
      </c>
      <c r="ES159" s="1223">
        <f>$G159*BX159*Variables!$B$53*HLOOKUP($EK$2,Variables!$B$60:$F$61,2,FALSE)</f>
        <v>0</v>
      </c>
      <c r="ET159" s="1223">
        <f>$G159*BY159*Variables!$B$53*HLOOKUP($EK$2,Variables!$B$60:$F$61,2,FALSE)</f>
        <v>0</v>
      </c>
      <c r="EU159" s="1223">
        <f>$G159*BZ159*Variables!$B$53*HLOOKUP($EK$2,Variables!$B$60:$F$61,2,FALSE)</f>
        <v>0</v>
      </c>
      <c r="EV159" s="1225">
        <f>$G159*CA159*Variables!$B$53*HLOOKUP($EK$2,Variables!$B$60:$F$61,2,FALSE)</f>
        <v>0</v>
      </c>
      <c r="EW159" s="872">
        <f t="shared" si="24"/>
        <v>0</v>
      </c>
      <c r="EX159" s="872"/>
      <c r="EY159" s="872"/>
      <c r="EZ159" s="872"/>
      <c r="FA159" s="1332"/>
      <c r="FC159" s="958" t="str">
        <f t="shared" si="25"/>
        <v/>
      </c>
      <c r="FD159" s="959" t="str">
        <f t="shared" si="26"/>
        <v/>
      </c>
      <c r="FE159" s="959" t="s">
        <v>8407</v>
      </c>
      <c r="FF159" s="959" t="str">
        <f>IF(ISNA(VLOOKUP(FC159,Miscellaneous!E:F,2,0)),"",VLOOKUP(FC159,Miscellaneous!E:F,2,0))</f>
        <v/>
      </c>
      <c r="FG159" s="959" t="str">
        <f t="shared" si="27"/>
        <v/>
      </c>
      <c r="FH159" s="996">
        <f>IF($FG159="Opex",SUMIF('Monthly Summary'!$C$75:$N$75,"",CC159:CN159),SUMIF('Monthly Summary'!$C$74:$N$74,"",CC159:CN159))</f>
        <v>0</v>
      </c>
      <c r="FI159" s="996">
        <f>IF($FG159="Opex",SUMIF('Monthly Summary'!$O$75:$Z$75,"",CO159:CZ159),SUMIF('Monthly Summary'!$O$74:$Z$74,"",CO159:CZ159))</f>
        <v>0</v>
      </c>
      <c r="FJ159" s="996">
        <f>IF($FG159="Opex",SUMIF('Monthly Summary'!$AA$75:$AL$75,"",DA159:DL159),SUMIF('Monthly Summary'!$AA$74:$AL$74,"",DA159:DL159))</f>
        <v>0</v>
      </c>
      <c r="FK159" s="996">
        <f>IF($FG159="Opex",SUMIF('Monthly Summary'!$AM$75:$AX$75,"",DM159:DX159),SUMIF('Monthly Summary'!$AM$74:$AX$74,"",DM159:DX159))</f>
        <v>0</v>
      </c>
      <c r="FL159" s="996">
        <f>IF($FG159="Opex",SUMIF('Monthly Summary'!$AY$75:$BJ$75,"",DY159:EJ159),SUMIF('Monthly Summary'!$AY$74:$BJ$74,"",DY159:EJ159))</f>
        <v>0</v>
      </c>
      <c r="FM159" s="997">
        <f>IF($FG159="Opex",SUMIF('Monthly Summary'!$BK$75:$BV$75,"",EK159:EV159),SUMIF('Monthly Summary'!$BK$74:$BV$74,"",EK159:EV159))</f>
        <v>0</v>
      </c>
      <c r="FN159" s="997">
        <f t="shared" si="28"/>
        <v>0</v>
      </c>
    </row>
    <row r="160" spans="3:170">
      <c r="C160" s="757"/>
      <c r="D160" s="757"/>
      <c r="E160" s="758"/>
      <c r="F160" s="758"/>
      <c r="G160" s="758"/>
      <c r="H160" s="1215"/>
      <c r="I160" s="761"/>
      <c r="J160" s="761"/>
      <c r="K160" s="761"/>
      <c r="L160" s="761"/>
      <c r="M160" s="761"/>
      <c r="N160" s="761"/>
      <c r="O160" s="761"/>
      <c r="P160" s="761"/>
      <c r="Q160" s="761"/>
      <c r="R160" s="761"/>
      <c r="S160" s="1216"/>
      <c r="T160" s="1215"/>
      <c r="U160" s="761"/>
      <c r="V160" s="761"/>
      <c r="W160" s="761"/>
      <c r="X160" s="761"/>
      <c r="Y160" s="761"/>
      <c r="Z160" s="761"/>
      <c r="AA160" s="761"/>
      <c r="AB160" s="761"/>
      <c r="AC160" s="761"/>
      <c r="AD160" s="761"/>
      <c r="AE160" s="1216"/>
      <c r="AF160" s="1215"/>
      <c r="AG160" s="761"/>
      <c r="AH160" s="761"/>
      <c r="AI160" s="761"/>
      <c r="AJ160" s="761"/>
      <c r="AK160" s="761"/>
      <c r="AL160" s="761"/>
      <c r="AM160" s="761"/>
      <c r="AN160" s="761"/>
      <c r="AO160" s="761"/>
      <c r="AP160" s="761"/>
      <c r="AQ160" s="1216"/>
      <c r="AR160" s="1215"/>
      <c r="AS160" s="761"/>
      <c r="AT160" s="761"/>
      <c r="AU160" s="761"/>
      <c r="AV160" s="761"/>
      <c r="AW160" s="761"/>
      <c r="AX160" s="761"/>
      <c r="AY160" s="761"/>
      <c r="AZ160" s="761"/>
      <c r="BA160" s="761"/>
      <c r="BB160" s="761"/>
      <c r="BC160" s="1216"/>
      <c r="BD160" s="1215"/>
      <c r="BE160" s="761"/>
      <c r="BF160" s="761"/>
      <c r="BG160" s="761"/>
      <c r="BH160" s="761"/>
      <c r="BI160" s="761"/>
      <c r="BJ160" s="761"/>
      <c r="BK160" s="761"/>
      <c r="BL160" s="761"/>
      <c r="BM160" s="761"/>
      <c r="BN160" s="761"/>
      <c r="BO160" s="1216"/>
      <c r="BP160" s="1215"/>
      <c r="BQ160" s="761"/>
      <c r="BR160" s="761"/>
      <c r="BS160" s="761"/>
      <c r="BT160" s="761"/>
      <c r="BU160" s="761"/>
      <c r="BV160" s="761"/>
      <c r="BW160" s="761"/>
      <c r="BX160" s="761"/>
      <c r="BY160" s="761"/>
      <c r="BZ160" s="761"/>
      <c r="CA160" s="1216"/>
      <c r="CB160" s="747"/>
      <c r="CC160" s="1222">
        <f>$G160*H160*Variables!$B$53</f>
        <v>0</v>
      </c>
      <c r="CD160" s="1223">
        <f>$G160*I160*Variables!$B$53</f>
        <v>0</v>
      </c>
      <c r="CE160" s="1223">
        <f>$G160*J160*Variables!$B$53</f>
        <v>0</v>
      </c>
      <c r="CF160" s="1223">
        <f>$G160*K160*Variables!$B$53</f>
        <v>0</v>
      </c>
      <c r="CG160" s="1223">
        <f>$G160*L160*Variables!$B$53</f>
        <v>0</v>
      </c>
      <c r="CH160" s="1223">
        <f>$G160*M160*Variables!$B$53</f>
        <v>0</v>
      </c>
      <c r="CI160" s="1223">
        <f>$G160*N160*Variables!$B$53</f>
        <v>0</v>
      </c>
      <c r="CJ160" s="1223">
        <f>$G160*O160*Variables!$B$53</f>
        <v>0</v>
      </c>
      <c r="CK160" s="1223">
        <f>$G160*P160*Variables!$B$53</f>
        <v>0</v>
      </c>
      <c r="CL160" s="1223">
        <f>$G160*Q160*Variables!$B$53</f>
        <v>0</v>
      </c>
      <c r="CM160" s="1223">
        <f>$G160*R160*Variables!$B$53</f>
        <v>0</v>
      </c>
      <c r="CN160" s="1225">
        <f>$G160*S160*Variables!$B$53</f>
        <v>0</v>
      </c>
      <c r="CO160" s="1222">
        <f>$G160*T160*Variables!$B$53*HLOOKUP($CO$2,Variables!$B$60:$F$61,2,FALSE)</f>
        <v>0</v>
      </c>
      <c r="CP160" s="1223">
        <f>$G160*U160*Variables!$B$53*HLOOKUP($CO$2,Variables!$B$60:$F$61,2,FALSE)</f>
        <v>0</v>
      </c>
      <c r="CQ160" s="1223">
        <f>$G160*V160*Variables!$B$53*HLOOKUP($CO$2,Variables!$B$60:$F$61,2,FALSE)</f>
        <v>0</v>
      </c>
      <c r="CR160" s="1223">
        <f>$G160*W160*Variables!$B$53*HLOOKUP($CO$2,Variables!$B$60:$F$61,2,FALSE)</f>
        <v>0</v>
      </c>
      <c r="CS160" s="1223">
        <f>$G160*X160*Variables!$B$53*HLOOKUP($CO$2,Variables!$B$60:$F$61,2,FALSE)</f>
        <v>0</v>
      </c>
      <c r="CT160" s="1223">
        <f>$G160*Y160*Variables!$B$53*HLOOKUP($CO$2,Variables!$B$60:$F$61,2,FALSE)</f>
        <v>0</v>
      </c>
      <c r="CU160" s="1223">
        <f>$G160*Z160*Variables!$B$53*HLOOKUP($CO$2,Variables!$B$60:$F$61,2,FALSE)</f>
        <v>0</v>
      </c>
      <c r="CV160" s="1223">
        <f>$G160*AA160*Variables!$B$53*HLOOKUP($CO$2,Variables!$B$60:$F$61,2,FALSE)</f>
        <v>0</v>
      </c>
      <c r="CW160" s="1223">
        <f>$G160*AB160*Variables!$B$53*HLOOKUP($CO$2,Variables!$B$60:$F$61,2,FALSE)</f>
        <v>0</v>
      </c>
      <c r="CX160" s="1223">
        <f>$G160*AC160*Variables!$B$53*HLOOKUP($CO$2,Variables!$B$60:$F$61,2,FALSE)</f>
        <v>0</v>
      </c>
      <c r="CY160" s="1223">
        <f>$G160*AD160*Variables!$B$53*HLOOKUP($CO$2,Variables!$B$60:$F$61,2,FALSE)</f>
        <v>0</v>
      </c>
      <c r="CZ160" s="1225">
        <f>$G160*AE160*Variables!$B$53*HLOOKUP($CO$2,Variables!$B$60:$F$61,2,FALSE)</f>
        <v>0</v>
      </c>
      <c r="DA160" s="1222">
        <f>$G160*AF160*Variables!$B$53*HLOOKUP($DA$2,Variables!$B$60:$F$61,2,FALSE)</f>
        <v>0</v>
      </c>
      <c r="DB160" s="1223">
        <f>$G160*AG160*Variables!$B$53*HLOOKUP($DA$2,Variables!$B$60:$F$61,2,FALSE)</f>
        <v>0</v>
      </c>
      <c r="DC160" s="1223">
        <f>$G160*AH160*Variables!$B$53*HLOOKUP($DA$2,Variables!$B$60:$F$61,2,FALSE)</f>
        <v>0</v>
      </c>
      <c r="DD160" s="1223">
        <f>$G160*AI160*Variables!$B$53*HLOOKUP($DA$2,Variables!$B$60:$F$61,2,FALSE)</f>
        <v>0</v>
      </c>
      <c r="DE160" s="1223">
        <f>$G160*AJ160*Variables!$B$53*HLOOKUP($DA$2,Variables!$B$60:$F$61,2,FALSE)</f>
        <v>0</v>
      </c>
      <c r="DF160" s="1223">
        <f>$G160*AK160*Variables!$B$53*HLOOKUP($DA$2,Variables!$B$60:$F$61,2,FALSE)</f>
        <v>0</v>
      </c>
      <c r="DG160" s="1223">
        <f>$G160*AL160*Variables!$B$53*HLOOKUP($DA$2,Variables!$B$60:$F$61,2,FALSE)</f>
        <v>0</v>
      </c>
      <c r="DH160" s="1223">
        <f>$G160*AM160*Variables!$B$53*HLOOKUP($DA$2,Variables!$B$60:$F$61,2,FALSE)</f>
        <v>0</v>
      </c>
      <c r="DI160" s="1223">
        <f>$G160*AN160*Variables!$B$53*HLOOKUP($DA$2,Variables!$B$60:$F$61,2,FALSE)</f>
        <v>0</v>
      </c>
      <c r="DJ160" s="1223">
        <f>$G160*AO160*Variables!$B$53*HLOOKUP($DA$2,Variables!$B$60:$F$61,2,FALSE)</f>
        <v>0</v>
      </c>
      <c r="DK160" s="1223">
        <f>$G160*AP160*Variables!$B$53*HLOOKUP($DA$2,Variables!$B$60:$F$61,2,FALSE)</f>
        <v>0</v>
      </c>
      <c r="DL160" s="1225">
        <f>$G160*AQ160*Variables!$B$53*HLOOKUP($DA$2,Variables!$B$60:$F$61,2,FALSE)</f>
        <v>0</v>
      </c>
      <c r="DM160" s="1222">
        <f>$G160*AR160*Variables!$B$53*HLOOKUP($DM$2,Variables!$B$60:$F$61,2,FALSE)</f>
        <v>0</v>
      </c>
      <c r="DN160" s="1223">
        <f>$G160*AS160*Variables!$B$53*HLOOKUP($DM$2,Variables!$B$60:$F$61,2,FALSE)</f>
        <v>0</v>
      </c>
      <c r="DO160" s="1223">
        <f>$G160*AT160*Variables!$B$53*HLOOKUP($DM$2,Variables!$B$60:$F$61,2,FALSE)</f>
        <v>0</v>
      </c>
      <c r="DP160" s="1223">
        <f>$G160*AU160*Variables!$B$53*HLOOKUP($DM$2,Variables!$B$60:$F$61,2,FALSE)</f>
        <v>0</v>
      </c>
      <c r="DQ160" s="1223">
        <f>$G160*AV160*Variables!$B$53*HLOOKUP($DM$2,Variables!$B$60:$F$61,2,FALSE)</f>
        <v>0</v>
      </c>
      <c r="DR160" s="1223">
        <f>$G160*AW160*Variables!$B$53*HLOOKUP($DM$2,Variables!$B$60:$F$61,2,FALSE)</f>
        <v>0</v>
      </c>
      <c r="DS160" s="1223">
        <f>$G160*AX160*Variables!$B$53*HLOOKUP($DM$2,Variables!$B$60:$F$61,2,FALSE)</f>
        <v>0</v>
      </c>
      <c r="DT160" s="1223">
        <f>$G160*AY160*Variables!$B$53*HLOOKUP($DM$2,Variables!$B$60:$F$61,2,FALSE)</f>
        <v>0</v>
      </c>
      <c r="DU160" s="1223">
        <f>$G160*AZ160*Variables!$B$53*HLOOKUP($DM$2,Variables!$B$60:$F$61,2,FALSE)</f>
        <v>0</v>
      </c>
      <c r="DV160" s="1223">
        <f>$G160*BA160*Variables!$B$53*HLOOKUP($DM$2,Variables!$B$60:$F$61,2,FALSE)</f>
        <v>0</v>
      </c>
      <c r="DW160" s="1223">
        <f>$G160*BB160*Variables!$B$53*HLOOKUP($DM$2,Variables!$B$60:$F$61,2,FALSE)</f>
        <v>0</v>
      </c>
      <c r="DX160" s="1225">
        <f>$G160*BC160*Variables!$B$53*HLOOKUP($DM$2,Variables!$B$60:$F$61,2,FALSE)</f>
        <v>0</v>
      </c>
      <c r="DY160" s="1222">
        <f>$G160*BD160*Variables!$B$53*HLOOKUP($DY$2,Variables!$B$60:$F$61,2,FALSE)</f>
        <v>0</v>
      </c>
      <c r="DZ160" s="1223">
        <f>$G160*BE160*Variables!$B$53*HLOOKUP($DY$2,Variables!$B$60:$F$61,2,FALSE)</f>
        <v>0</v>
      </c>
      <c r="EA160" s="1223">
        <f>$G160*BF160*Variables!$B$53*HLOOKUP($DY$2,Variables!$B$60:$F$61,2,FALSE)</f>
        <v>0</v>
      </c>
      <c r="EB160" s="1223">
        <f>$G160*BG160*Variables!$B$53*HLOOKUP($DY$2,Variables!$B$60:$F$61,2,FALSE)</f>
        <v>0</v>
      </c>
      <c r="EC160" s="1223">
        <f>$G160*BH160*Variables!$B$53*HLOOKUP($DY$2,Variables!$B$60:$F$61,2,FALSE)</f>
        <v>0</v>
      </c>
      <c r="ED160" s="1223">
        <f>$G160*BI160*Variables!$B$53*HLOOKUP($DY$2,Variables!$B$60:$F$61,2,FALSE)</f>
        <v>0</v>
      </c>
      <c r="EE160" s="1223">
        <f>$G160*BJ160*Variables!$B$53*HLOOKUP($DY$2,Variables!$B$60:$F$61,2,FALSE)</f>
        <v>0</v>
      </c>
      <c r="EF160" s="1223">
        <f>$G160*BK160*Variables!$B$53*HLOOKUP($DY$2,Variables!$B$60:$F$61,2,FALSE)</f>
        <v>0</v>
      </c>
      <c r="EG160" s="1223">
        <f>$G160*BL160*Variables!$B$53*HLOOKUP($DY$2,Variables!$B$60:$F$61,2,FALSE)</f>
        <v>0</v>
      </c>
      <c r="EH160" s="1223">
        <f>$G160*BM160*Variables!$B$53*HLOOKUP($DY$2,Variables!$B$60:$F$61,2,FALSE)</f>
        <v>0</v>
      </c>
      <c r="EI160" s="1223">
        <f>$G160*BN160*Variables!$B$53*HLOOKUP($DY$2,Variables!$B$60:$F$61,2,FALSE)</f>
        <v>0</v>
      </c>
      <c r="EJ160" s="1225">
        <f>$G160*BO160*Variables!$B$53*HLOOKUP($DY$2,Variables!$B$60:$F$61,2,FALSE)</f>
        <v>0</v>
      </c>
      <c r="EK160" s="1222">
        <f>$G160*BP160*Variables!$B$53*HLOOKUP($EK$2,Variables!$B$60:$F$61,2,FALSE)</f>
        <v>0</v>
      </c>
      <c r="EL160" s="1223">
        <f>$G160*BQ160*Variables!$B$53*HLOOKUP($EK$2,Variables!$B$60:$F$61,2,FALSE)</f>
        <v>0</v>
      </c>
      <c r="EM160" s="1223">
        <f>$G160*BR160*Variables!$B$53*HLOOKUP($EK$2,Variables!$B$60:$F$61,2,FALSE)</f>
        <v>0</v>
      </c>
      <c r="EN160" s="1223">
        <f>$G160*BS160*Variables!$B$53*HLOOKUP($EK$2,Variables!$B$60:$F$61,2,FALSE)</f>
        <v>0</v>
      </c>
      <c r="EO160" s="1223">
        <f>$G160*BT160*Variables!$B$53*HLOOKUP($EK$2,Variables!$B$60:$F$61,2,FALSE)</f>
        <v>0</v>
      </c>
      <c r="EP160" s="1223">
        <f>$G160*BU160*Variables!$B$53*HLOOKUP($EK$2,Variables!$B$60:$F$61,2,FALSE)</f>
        <v>0</v>
      </c>
      <c r="EQ160" s="1223">
        <f>$G160*BV160*Variables!$B$53*HLOOKUP($EK$2,Variables!$B$60:$F$61,2,FALSE)</f>
        <v>0</v>
      </c>
      <c r="ER160" s="1223">
        <f>$G160*BW160*Variables!$B$53*HLOOKUP($EK$2,Variables!$B$60:$F$61,2,FALSE)</f>
        <v>0</v>
      </c>
      <c r="ES160" s="1223">
        <f>$G160*BX160*Variables!$B$53*HLOOKUP($EK$2,Variables!$B$60:$F$61,2,FALSE)</f>
        <v>0</v>
      </c>
      <c r="ET160" s="1223">
        <f>$G160*BY160*Variables!$B$53*HLOOKUP($EK$2,Variables!$B$60:$F$61,2,FALSE)</f>
        <v>0</v>
      </c>
      <c r="EU160" s="1223">
        <f>$G160*BZ160*Variables!$B$53*HLOOKUP($EK$2,Variables!$B$60:$F$61,2,FALSE)</f>
        <v>0</v>
      </c>
      <c r="EV160" s="1225">
        <f>$G160*CA160*Variables!$B$53*HLOOKUP($EK$2,Variables!$B$60:$F$61,2,FALSE)</f>
        <v>0</v>
      </c>
      <c r="EW160" s="872">
        <f t="shared" si="24"/>
        <v>0</v>
      </c>
      <c r="EX160" s="872"/>
      <c r="EY160" s="872"/>
      <c r="EZ160" s="872"/>
      <c r="FA160" s="1332"/>
      <c r="FC160" s="958" t="str">
        <f t="shared" si="25"/>
        <v/>
      </c>
      <c r="FD160" s="959" t="str">
        <f t="shared" si="26"/>
        <v/>
      </c>
      <c r="FE160" s="959" t="s">
        <v>8407</v>
      </c>
      <c r="FF160" s="959" t="str">
        <f>IF(ISNA(VLOOKUP(FC160,Miscellaneous!E:F,2,0)),"",VLOOKUP(FC160,Miscellaneous!E:F,2,0))</f>
        <v/>
      </c>
      <c r="FG160" s="959" t="str">
        <f t="shared" si="27"/>
        <v/>
      </c>
      <c r="FH160" s="996">
        <f>IF($FG160="Opex",SUMIF('Monthly Summary'!$C$75:$N$75,"",CC160:CN160),SUMIF('Monthly Summary'!$C$74:$N$74,"",CC160:CN160))</f>
        <v>0</v>
      </c>
      <c r="FI160" s="996">
        <f>IF($FG160="Opex",SUMIF('Monthly Summary'!$O$75:$Z$75,"",CO160:CZ160),SUMIF('Monthly Summary'!$O$74:$Z$74,"",CO160:CZ160))</f>
        <v>0</v>
      </c>
      <c r="FJ160" s="996">
        <f>IF($FG160="Opex",SUMIF('Monthly Summary'!$AA$75:$AL$75,"",DA160:DL160),SUMIF('Monthly Summary'!$AA$74:$AL$74,"",DA160:DL160))</f>
        <v>0</v>
      </c>
      <c r="FK160" s="996">
        <f>IF($FG160="Opex",SUMIF('Monthly Summary'!$AM$75:$AX$75,"",DM160:DX160),SUMIF('Monthly Summary'!$AM$74:$AX$74,"",DM160:DX160))</f>
        <v>0</v>
      </c>
      <c r="FL160" s="996">
        <f>IF($FG160="Opex",SUMIF('Monthly Summary'!$AY$75:$BJ$75,"",DY160:EJ160),SUMIF('Monthly Summary'!$AY$74:$BJ$74,"",DY160:EJ160))</f>
        <v>0</v>
      </c>
      <c r="FM160" s="997">
        <f>IF($FG160="Opex",SUMIF('Monthly Summary'!$BK$75:$BV$75,"",EK160:EV160),SUMIF('Monthly Summary'!$BK$74:$BV$74,"",EK160:EV160))</f>
        <v>0</v>
      </c>
      <c r="FN160" s="997">
        <f t="shared" si="28"/>
        <v>0</v>
      </c>
    </row>
    <row r="161" spans="3:170">
      <c r="C161" s="757"/>
      <c r="D161" s="757"/>
      <c r="E161" s="758"/>
      <c r="F161" s="758"/>
      <c r="G161" s="758"/>
      <c r="H161" s="1215"/>
      <c r="I161" s="761"/>
      <c r="J161" s="761"/>
      <c r="K161" s="761"/>
      <c r="L161" s="761"/>
      <c r="M161" s="761"/>
      <c r="N161" s="761"/>
      <c r="O161" s="761"/>
      <c r="P161" s="761"/>
      <c r="Q161" s="761"/>
      <c r="R161" s="761"/>
      <c r="S161" s="1216"/>
      <c r="T161" s="1215"/>
      <c r="U161" s="761"/>
      <c r="V161" s="761"/>
      <c r="W161" s="761"/>
      <c r="X161" s="761"/>
      <c r="Y161" s="761"/>
      <c r="Z161" s="761"/>
      <c r="AA161" s="761"/>
      <c r="AB161" s="761"/>
      <c r="AC161" s="761"/>
      <c r="AD161" s="761"/>
      <c r="AE161" s="1216"/>
      <c r="AF161" s="1215"/>
      <c r="AG161" s="761"/>
      <c r="AH161" s="761"/>
      <c r="AI161" s="761"/>
      <c r="AJ161" s="761"/>
      <c r="AK161" s="761"/>
      <c r="AL161" s="761"/>
      <c r="AM161" s="761"/>
      <c r="AN161" s="761"/>
      <c r="AO161" s="761"/>
      <c r="AP161" s="761"/>
      <c r="AQ161" s="1216"/>
      <c r="AR161" s="1215"/>
      <c r="AS161" s="761"/>
      <c r="AT161" s="761"/>
      <c r="AU161" s="761"/>
      <c r="AV161" s="761"/>
      <c r="AW161" s="761"/>
      <c r="AX161" s="761"/>
      <c r="AY161" s="761"/>
      <c r="AZ161" s="761"/>
      <c r="BA161" s="761"/>
      <c r="BB161" s="761"/>
      <c r="BC161" s="1216"/>
      <c r="BD161" s="1215"/>
      <c r="BE161" s="761"/>
      <c r="BF161" s="761"/>
      <c r="BG161" s="761"/>
      <c r="BH161" s="761"/>
      <c r="BI161" s="761"/>
      <c r="BJ161" s="761"/>
      <c r="BK161" s="761"/>
      <c r="BL161" s="761"/>
      <c r="BM161" s="761"/>
      <c r="BN161" s="761"/>
      <c r="BO161" s="1216"/>
      <c r="BP161" s="1215"/>
      <c r="BQ161" s="761"/>
      <c r="BR161" s="761"/>
      <c r="BS161" s="761"/>
      <c r="BT161" s="761"/>
      <c r="BU161" s="761"/>
      <c r="BV161" s="761"/>
      <c r="BW161" s="761"/>
      <c r="BX161" s="761"/>
      <c r="BY161" s="761"/>
      <c r="BZ161" s="761"/>
      <c r="CA161" s="1216"/>
      <c r="CB161" s="747"/>
      <c r="CC161" s="1222">
        <f>$G161*H161*Variables!$B$53</f>
        <v>0</v>
      </c>
      <c r="CD161" s="1223">
        <f>$G161*I161*Variables!$B$53</f>
        <v>0</v>
      </c>
      <c r="CE161" s="1223">
        <f>$G161*J161*Variables!$B$53</f>
        <v>0</v>
      </c>
      <c r="CF161" s="1223">
        <f>$G161*K161*Variables!$B$53</f>
        <v>0</v>
      </c>
      <c r="CG161" s="1223">
        <f>$G161*L161*Variables!$B$53</f>
        <v>0</v>
      </c>
      <c r="CH161" s="1223">
        <f>$G161*M161*Variables!$B$53</f>
        <v>0</v>
      </c>
      <c r="CI161" s="1223">
        <f>$G161*N161*Variables!$B$53</f>
        <v>0</v>
      </c>
      <c r="CJ161" s="1223">
        <f>$G161*O161*Variables!$B$53</f>
        <v>0</v>
      </c>
      <c r="CK161" s="1223">
        <f>$G161*P161*Variables!$B$53</f>
        <v>0</v>
      </c>
      <c r="CL161" s="1223">
        <f>$G161*Q161*Variables!$B$53</f>
        <v>0</v>
      </c>
      <c r="CM161" s="1223">
        <f>$G161*R161*Variables!$B$53</f>
        <v>0</v>
      </c>
      <c r="CN161" s="1225">
        <f>$G161*S161*Variables!$B$53</f>
        <v>0</v>
      </c>
      <c r="CO161" s="1222">
        <f>$G161*T161*Variables!$B$53*HLOOKUP($CO$2,Variables!$B$60:$F$61,2,FALSE)</f>
        <v>0</v>
      </c>
      <c r="CP161" s="1223">
        <f>$G161*U161*Variables!$B$53*HLOOKUP($CO$2,Variables!$B$60:$F$61,2,FALSE)</f>
        <v>0</v>
      </c>
      <c r="CQ161" s="1223">
        <f>$G161*V161*Variables!$B$53*HLOOKUP($CO$2,Variables!$B$60:$F$61,2,FALSE)</f>
        <v>0</v>
      </c>
      <c r="CR161" s="1223">
        <f>$G161*W161*Variables!$B$53*HLOOKUP($CO$2,Variables!$B$60:$F$61,2,FALSE)</f>
        <v>0</v>
      </c>
      <c r="CS161" s="1223">
        <f>$G161*X161*Variables!$B$53*HLOOKUP($CO$2,Variables!$B$60:$F$61,2,FALSE)</f>
        <v>0</v>
      </c>
      <c r="CT161" s="1223">
        <f>$G161*Y161*Variables!$B$53*HLOOKUP($CO$2,Variables!$B$60:$F$61,2,FALSE)</f>
        <v>0</v>
      </c>
      <c r="CU161" s="1223">
        <f>$G161*Z161*Variables!$B$53*HLOOKUP($CO$2,Variables!$B$60:$F$61,2,FALSE)</f>
        <v>0</v>
      </c>
      <c r="CV161" s="1223">
        <f>$G161*AA161*Variables!$B$53*HLOOKUP($CO$2,Variables!$B$60:$F$61,2,FALSE)</f>
        <v>0</v>
      </c>
      <c r="CW161" s="1223">
        <f>$G161*AB161*Variables!$B$53*HLOOKUP($CO$2,Variables!$B$60:$F$61,2,FALSE)</f>
        <v>0</v>
      </c>
      <c r="CX161" s="1223">
        <f>$G161*AC161*Variables!$B$53*HLOOKUP($CO$2,Variables!$B$60:$F$61,2,FALSE)</f>
        <v>0</v>
      </c>
      <c r="CY161" s="1223">
        <f>$G161*AD161*Variables!$B$53*HLOOKUP($CO$2,Variables!$B$60:$F$61,2,FALSE)</f>
        <v>0</v>
      </c>
      <c r="CZ161" s="1225">
        <f>$G161*AE161*Variables!$B$53*HLOOKUP($CO$2,Variables!$B$60:$F$61,2,FALSE)</f>
        <v>0</v>
      </c>
      <c r="DA161" s="1222">
        <f>$G161*AF161*Variables!$B$53*HLOOKUP($DA$2,Variables!$B$60:$F$61,2,FALSE)</f>
        <v>0</v>
      </c>
      <c r="DB161" s="1223">
        <f>$G161*AG161*Variables!$B$53*HLOOKUP($DA$2,Variables!$B$60:$F$61,2,FALSE)</f>
        <v>0</v>
      </c>
      <c r="DC161" s="1223">
        <f>$G161*AH161*Variables!$B$53*HLOOKUP($DA$2,Variables!$B$60:$F$61,2,FALSE)</f>
        <v>0</v>
      </c>
      <c r="DD161" s="1223">
        <f>$G161*AI161*Variables!$B$53*HLOOKUP($DA$2,Variables!$B$60:$F$61,2,FALSE)</f>
        <v>0</v>
      </c>
      <c r="DE161" s="1223">
        <f>$G161*AJ161*Variables!$B$53*HLOOKUP($DA$2,Variables!$B$60:$F$61,2,FALSE)</f>
        <v>0</v>
      </c>
      <c r="DF161" s="1223">
        <f>$G161*AK161*Variables!$B$53*HLOOKUP($DA$2,Variables!$B$60:$F$61,2,FALSE)</f>
        <v>0</v>
      </c>
      <c r="DG161" s="1223">
        <f>$G161*AL161*Variables!$B$53*HLOOKUP($DA$2,Variables!$B$60:$F$61,2,FALSE)</f>
        <v>0</v>
      </c>
      <c r="DH161" s="1223">
        <f>$G161*AM161*Variables!$B$53*HLOOKUP($DA$2,Variables!$B$60:$F$61,2,FALSE)</f>
        <v>0</v>
      </c>
      <c r="DI161" s="1223">
        <f>$G161*AN161*Variables!$B$53*HLOOKUP($DA$2,Variables!$B$60:$F$61,2,FALSE)</f>
        <v>0</v>
      </c>
      <c r="DJ161" s="1223">
        <f>$G161*AO161*Variables!$B$53*HLOOKUP($DA$2,Variables!$B$60:$F$61,2,FALSE)</f>
        <v>0</v>
      </c>
      <c r="DK161" s="1223">
        <f>$G161*AP161*Variables!$B$53*HLOOKUP($DA$2,Variables!$B$60:$F$61,2,FALSE)</f>
        <v>0</v>
      </c>
      <c r="DL161" s="1225">
        <f>$G161*AQ161*Variables!$B$53*HLOOKUP($DA$2,Variables!$B$60:$F$61,2,FALSE)</f>
        <v>0</v>
      </c>
      <c r="DM161" s="1222">
        <f>$G161*AR161*Variables!$B$53*HLOOKUP($DM$2,Variables!$B$60:$F$61,2,FALSE)</f>
        <v>0</v>
      </c>
      <c r="DN161" s="1223">
        <f>$G161*AS161*Variables!$B$53*HLOOKUP($DM$2,Variables!$B$60:$F$61,2,FALSE)</f>
        <v>0</v>
      </c>
      <c r="DO161" s="1223">
        <f>$G161*AT161*Variables!$B$53*HLOOKUP($DM$2,Variables!$B$60:$F$61,2,FALSE)</f>
        <v>0</v>
      </c>
      <c r="DP161" s="1223">
        <f>$G161*AU161*Variables!$B$53*HLOOKUP($DM$2,Variables!$B$60:$F$61,2,FALSE)</f>
        <v>0</v>
      </c>
      <c r="DQ161" s="1223">
        <f>$G161*AV161*Variables!$B$53*HLOOKUP($DM$2,Variables!$B$60:$F$61,2,FALSE)</f>
        <v>0</v>
      </c>
      <c r="DR161" s="1223">
        <f>$G161*AW161*Variables!$B$53*HLOOKUP($DM$2,Variables!$B$60:$F$61,2,FALSE)</f>
        <v>0</v>
      </c>
      <c r="DS161" s="1223">
        <f>$G161*AX161*Variables!$B$53*HLOOKUP($DM$2,Variables!$B$60:$F$61,2,FALSE)</f>
        <v>0</v>
      </c>
      <c r="DT161" s="1223">
        <f>$G161*AY161*Variables!$B$53*HLOOKUP($DM$2,Variables!$B$60:$F$61,2,FALSE)</f>
        <v>0</v>
      </c>
      <c r="DU161" s="1223">
        <f>$G161*AZ161*Variables!$B$53*HLOOKUP($DM$2,Variables!$B$60:$F$61,2,FALSE)</f>
        <v>0</v>
      </c>
      <c r="DV161" s="1223">
        <f>$G161*BA161*Variables!$B$53*HLOOKUP($DM$2,Variables!$B$60:$F$61,2,FALSE)</f>
        <v>0</v>
      </c>
      <c r="DW161" s="1223">
        <f>$G161*BB161*Variables!$B$53*HLOOKUP($DM$2,Variables!$B$60:$F$61,2,FALSE)</f>
        <v>0</v>
      </c>
      <c r="DX161" s="1225">
        <f>$G161*BC161*Variables!$B$53*HLOOKUP($DM$2,Variables!$B$60:$F$61,2,FALSE)</f>
        <v>0</v>
      </c>
      <c r="DY161" s="1222">
        <f>$G161*BD161*Variables!$B$53*HLOOKUP($DY$2,Variables!$B$60:$F$61,2,FALSE)</f>
        <v>0</v>
      </c>
      <c r="DZ161" s="1223">
        <f>$G161*BE161*Variables!$B$53*HLOOKUP($DY$2,Variables!$B$60:$F$61,2,FALSE)</f>
        <v>0</v>
      </c>
      <c r="EA161" s="1223">
        <f>$G161*BF161*Variables!$B$53*HLOOKUP($DY$2,Variables!$B$60:$F$61,2,FALSE)</f>
        <v>0</v>
      </c>
      <c r="EB161" s="1223">
        <f>$G161*BG161*Variables!$B$53*HLOOKUP($DY$2,Variables!$B$60:$F$61,2,FALSE)</f>
        <v>0</v>
      </c>
      <c r="EC161" s="1223">
        <f>$G161*BH161*Variables!$B$53*HLOOKUP($DY$2,Variables!$B$60:$F$61,2,FALSE)</f>
        <v>0</v>
      </c>
      <c r="ED161" s="1223">
        <f>$G161*BI161*Variables!$B$53*HLOOKUP($DY$2,Variables!$B$60:$F$61,2,FALSE)</f>
        <v>0</v>
      </c>
      <c r="EE161" s="1223">
        <f>$G161*BJ161*Variables!$B$53*HLOOKUP($DY$2,Variables!$B$60:$F$61,2,FALSE)</f>
        <v>0</v>
      </c>
      <c r="EF161" s="1223">
        <f>$G161*BK161*Variables!$B$53*HLOOKUP($DY$2,Variables!$B$60:$F$61,2,FALSE)</f>
        <v>0</v>
      </c>
      <c r="EG161" s="1223">
        <f>$G161*BL161*Variables!$B$53*HLOOKUP($DY$2,Variables!$B$60:$F$61,2,FALSE)</f>
        <v>0</v>
      </c>
      <c r="EH161" s="1223">
        <f>$G161*BM161*Variables!$B$53*HLOOKUP($DY$2,Variables!$B$60:$F$61,2,FALSE)</f>
        <v>0</v>
      </c>
      <c r="EI161" s="1223">
        <f>$G161*BN161*Variables!$B$53*HLOOKUP($DY$2,Variables!$B$60:$F$61,2,FALSE)</f>
        <v>0</v>
      </c>
      <c r="EJ161" s="1225">
        <f>$G161*BO161*Variables!$B$53*HLOOKUP($DY$2,Variables!$B$60:$F$61,2,FALSE)</f>
        <v>0</v>
      </c>
      <c r="EK161" s="1222">
        <f>$G161*BP161*Variables!$B$53*HLOOKUP($EK$2,Variables!$B$60:$F$61,2,FALSE)</f>
        <v>0</v>
      </c>
      <c r="EL161" s="1223">
        <f>$G161*BQ161*Variables!$B$53*HLOOKUP($EK$2,Variables!$B$60:$F$61,2,FALSE)</f>
        <v>0</v>
      </c>
      <c r="EM161" s="1223">
        <f>$G161*BR161*Variables!$B$53*HLOOKUP($EK$2,Variables!$B$60:$F$61,2,FALSE)</f>
        <v>0</v>
      </c>
      <c r="EN161" s="1223">
        <f>$G161*BS161*Variables!$B$53*HLOOKUP($EK$2,Variables!$B$60:$F$61,2,FALSE)</f>
        <v>0</v>
      </c>
      <c r="EO161" s="1223">
        <f>$G161*BT161*Variables!$B$53*HLOOKUP($EK$2,Variables!$B$60:$F$61,2,FALSE)</f>
        <v>0</v>
      </c>
      <c r="EP161" s="1223">
        <f>$G161*BU161*Variables!$B$53*HLOOKUP($EK$2,Variables!$B$60:$F$61,2,FALSE)</f>
        <v>0</v>
      </c>
      <c r="EQ161" s="1223">
        <f>$G161*BV161*Variables!$B$53*HLOOKUP($EK$2,Variables!$B$60:$F$61,2,FALSE)</f>
        <v>0</v>
      </c>
      <c r="ER161" s="1223">
        <f>$G161*BW161*Variables!$B$53*HLOOKUP($EK$2,Variables!$B$60:$F$61,2,FALSE)</f>
        <v>0</v>
      </c>
      <c r="ES161" s="1223">
        <f>$G161*BX161*Variables!$B$53*HLOOKUP($EK$2,Variables!$B$60:$F$61,2,FALSE)</f>
        <v>0</v>
      </c>
      <c r="ET161" s="1223">
        <f>$G161*BY161*Variables!$B$53*HLOOKUP($EK$2,Variables!$B$60:$F$61,2,FALSE)</f>
        <v>0</v>
      </c>
      <c r="EU161" s="1223">
        <f>$G161*BZ161*Variables!$B$53*HLOOKUP($EK$2,Variables!$B$60:$F$61,2,FALSE)</f>
        <v>0</v>
      </c>
      <c r="EV161" s="1225">
        <f>$G161*CA161*Variables!$B$53*HLOOKUP($EK$2,Variables!$B$60:$F$61,2,FALSE)</f>
        <v>0</v>
      </c>
      <c r="EW161" s="872">
        <f t="shared" si="24"/>
        <v>0</v>
      </c>
      <c r="EX161" s="872"/>
      <c r="EY161" s="872"/>
      <c r="EZ161" s="872"/>
      <c r="FA161" s="1332"/>
      <c r="FC161" s="958" t="str">
        <f t="shared" si="25"/>
        <v/>
      </c>
      <c r="FD161" s="959" t="str">
        <f t="shared" si="26"/>
        <v/>
      </c>
      <c r="FE161" s="959" t="s">
        <v>8407</v>
      </c>
      <c r="FF161" s="959" t="str">
        <f>IF(ISNA(VLOOKUP(FC161,Miscellaneous!E:F,2,0)),"",VLOOKUP(FC161,Miscellaneous!E:F,2,0))</f>
        <v/>
      </c>
      <c r="FG161" s="959" t="str">
        <f t="shared" si="27"/>
        <v/>
      </c>
      <c r="FH161" s="996">
        <f>IF($FG161="Opex",SUMIF('Monthly Summary'!$C$75:$N$75,"",CC161:CN161),SUMIF('Monthly Summary'!$C$74:$N$74,"",CC161:CN161))</f>
        <v>0</v>
      </c>
      <c r="FI161" s="996">
        <f>IF($FG161="Opex",SUMIF('Monthly Summary'!$O$75:$Z$75,"",CO161:CZ161),SUMIF('Monthly Summary'!$O$74:$Z$74,"",CO161:CZ161))</f>
        <v>0</v>
      </c>
      <c r="FJ161" s="996">
        <f>IF($FG161="Opex",SUMIF('Monthly Summary'!$AA$75:$AL$75,"",DA161:DL161),SUMIF('Monthly Summary'!$AA$74:$AL$74,"",DA161:DL161))</f>
        <v>0</v>
      </c>
      <c r="FK161" s="996">
        <f>IF($FG161="Opex",SUMIF('Monthly Summary'!$AM$75:$AX$75,"",DM161:DX161),SUMIF('Monthly Summary'!$AM$74:$AX$74,"",DM161:DX161))</f>
        <v>0</v>
      </c>
      <c r="FL161" s="996">
        <f>IF($FG161="Opex",SUMIF('Monthly Summary'!$AY$75:$BJ$75,"",DY161:EJ161),SUMIF('Monthly Summary'!$AY$74:$BJ$74,"",DY161:EJ161))</f>
        <v>0</v>
      </c>
      <c r="FM161" s="997">
        <f>IF($FG161="Opex",SUMIF('Monthly Summary'!$BK$75:$BV$75,"",EK161:EV161),SUMIF('Monthly Summary'!$BK$74:$BV$74,"",EK161:EV161))</f>
        <v>0</v>
      </c>
      <c r="FN161" s="997">
        <f t="shared" si="28"/>
        <v>0</v>
      </c>
    </row>
    <row r="162" spans="3:170">
      <c r="C162" s="757"/>
      <c r="D162" s="757"/>
      <c r="E162" s="758"/>
      <c r="F162" s="758"/>
      <c r="G162" s="758"/>
      <c r="H162" s="1215"/>
      <c r="I162" s="761"/>
      <c r="J162" s="761"/>
      <c r="K162" s="761"/>
      <c r="L162" s="761"/>
      <c r="M162" s="761"/>
      <c r="N162" s="761"/>
      <c r="O162" s="761"/>
      <c r="P162" s="761"/>
      <c r="Q162" s="761"/>
      <c r="R162" s="761"/>
      <c r="S162" s="1216"/>
      <c r="T162" s="1215"/>
      <c r="U162" s="761"/>
      <c r="V162" s="761"/>
      <c r="W162" s="761"/>
      <c r="X162" s="761"/>
      <c r="Y162" s="761"/>
      <c r="Z162" s="761"/>
      <c r="AA162" s="761"/>
      <c r="AB162" s="761"/>
      <c r="AC162" s="761"/>
      <c r="AD162" s="761"/>
      <c r="AE162" s="1216"/>
      <c r="AF162" s="1215"/>
      <c r="AG162" s="761"/>
      <c r="AH162" s="761"/>
      <c r="AI162" s="761"/>
      <c r="AJ162" s="761"/>
      <c r="AK162" s="761"/>
      <c r="AL162" s="761"/>
      <c r="AM162" s="761"/>
      <c r="AN162" s="761"/>
      <c r="AO162" s="761"/>
      <c r="AP162" s="761"/>
      <c r="AQ162" s="1216"/>
      <c r="AR162" s="1215"/>
      <c r="AS162" s="761"/>
      <c r="AT162" s="761"/>
      <c r="AU162" s="761"/>
      <c r="AV162" s="761"/>
      <c r="AW162" s="761"/>
      <c r="AX162" s="761"/>
      <c r="AY162" s="761"/>
      <c r="AZ162" s="761"/>
      <c r="BA162" s="761"/>
      <c r="BB162" s="761"/>
      <c r="BC162" s="1216"/>
      <c r="BD162" s="1215"/>
      <c r="BE162" s="761"/>
      <c r="BF162" s="761"/>
      <c r="BG162" s="761"/>
      <c r="BH162" s="761"/>
      <c r="BI162" s="761"/>
      <c r="BJ162" s="761"/>
      <c r="BK162" s="761"/>
      <c r="BL162" s="761"/>
      <c r="BM162" s="761"/>
      <c r="BN162" s="761"/>
      <c r="BO162" s="1216"/>
      <c r="BP162" s="1215"/>
      <c r="BQ162" s="761"/>
      <c r="BR162" s="761"/>
      <c r="BS162" s="761"/>
      <c r="BT162" s="761"/>
      <c r="BU162" s="761"/>
      <c r="BV162" s="761"/>
      <c r="BW162" s="761"/>
      <c r="BX162" s="761"/>
      <c r="BY162" s="761"/>
      <c r="BZ162" s="761"/>
      <c r="CA162" s="1216"/>
      <c r="CB162" s="747"/>
      <c r="CC162" s="1222">
        <f>$G162*H162*Variables!$B$53</f>
        <v>0</v>
      </c>
      <c r="CD162" s="1223">
        <f>$G162*I162*Variables!$B$53</f>
        <v>0</v>
      </c>
      <c r="CE162" s="1223">
        <f>$G162*J162*Variables!$B$53</f>
        <v>0</v>
      </c>
      <c r="CF162" s="1223">
        <f>$G162*K162*Variables!$B$53</f>
        <v>0</v>
      </c>
      <c r="CG162" s="1223">
        <f>$G162*L162*Variables!$B$53</f>
        <v>0</v>
      </c>
      <c r="CH162" s="1223">
        <f>$G162*M162*Variables!$B$53</f>
        <v>0</v>
      </c>
      <c r="CI162" s="1223">
        <f>$G162*N162*Variables!$B$53</f>
        <v>0</v>
      </c>
      <c r="CJ162" s="1223">
        <f>$G162*O162*Variables!$B$53</f>
        <v>0</v>
      </c>
      <c r="CK162" s="1223">
        <f>$G162*P162*Variables!$B$53</f>
        <v>0</v>
      </c>
      <c r="CL162" s="1223">
        <f>$G162*Q162*Variables!$B$53</f>
        <v>0</v>
      </c>
      <c r="CM162" s="1223">
        <f>$G162*R162*Variables!$B$53</f>
        <v>0</v>
      </c>
      <c r="CN162" s="1225">
        <f>$G162*S162*Variables!$B$53</f>
        <v>0</v>
      </c>
      <c r="CO162" s="1222">
        <f>$G162*T162*Variables!$B$53*HLOOKUP($CO$2,Variables!$B$60:$F$61,2,FALSE)</f>
        <v>0</v>
      </c>
      <c r="CP162" s="1223">
        <f>$G162*U162*Variables!$B$53*HLOOKUP($CO$2,Variables!$B$60:$F$61,2,FALSE)</f>
        <v>0</v>
      </c>
      <c r="CQ162" s="1223">
        <f>$G162*V162*Variables!$B$53*HLOOKUP($CO$2,Variables!$B$60:$F$61,2,FALSE)</f>
        <v>0</v>
      </c>
      <c r="CR162" s="1223">
        <f>$G162*W162*Variables!$B$53*HLOOKUP($CO$2,Variables!$B$60:$F$61,2,FALSE)</f>
        <v>0</v>
      </c>
      <c r="CS162" s="1223">
        <f>$G162*X162*Variables!$B$53*HLOOKUP($CO$2,Variables!$B$60:$F$61,2,FALSE)</f>
        <v>0</v>
      </c>
      <c r="CT162" s="1223">
        <f>$G162*Y162*Variables!$B$53*HLOOKUP($CO$2,Variables!$B$60:$F$61,2,FALSE)</f>
        <v>0</v>
      </c>
      <c r="CU162" s="1223">
        <f>$G162*Z162*Variables!$B$53*HLOOKUP($CO$2,Variables!$B$60:$F$61,2,FALSE)</f>
        <v>0</v>
      </c>
      <c r="CV162" s="1223">
        <f>$G162*AA162*Variables!$B$53*HLOOKUP($CO$2,Variables!$B$60:$F$61,2,FALSE)</f>
        <v>0</v>
      </c>
      <c r="CW162" s="1223">
        <f>$G162*AB162*Variables!$B$53*HLOOKUP($CO$2,Variables!$B$60:$F$61,2,FALSE)</f>
        <v>0</v>
      </c>
      <c r="CX162" s="1223">
        <f>$G162*AC162*Variables!$B$53*HLOOKUP($CO$2,Variables!$B$60:$F$61,2,FALSE)</f>
        <v>0</v>
      </c>
      <c r="CY162" s="1223">
        <f>$G162*AD162*Variables!$B$53*HLOOKUP($CO$2,Variables!$B$60:$F$61,2,FALSE)</f>
        <v>0</v>
      </c>
      <c r="CZ162" s="1225">
        <f>$G162*AE162*Variables!$B$53*HLOOKUP($CO$2,Variables!$B$60:$F$61,2,FALSE)</f>
        <v>0</v>
      </c>
      <c r="DA162" s="1222">
        <f>$G162*AF162*Variables!$B$53*HLOOKUP($DA$2,Variables!$B$60:$F$61,2,FALSE)</f>
        <v>0</v>
      </c>
      <c r="DB162" s="1223">
        <f>$G162*AG162*Variables!$B$53*HLOOKUP($DA$2,Variables!$B$60:$F$61,2,FALSE)</f>
        <v>0</v>
      </c>
      <c r="DC162" s="1223">
        <f>$G162*AH162*Variables!$B$53*HLOOKUP($DA$2,Variables!$B$60:$F$61,2,FALSE)</f>
        <v>0</v>
      </c>
      <c r="DD162" s="1223">
        <f>$G162*AI162*Variables!$B$53*HLOOKUP($DA$2,Variables!$B$60:$F$61,2,FALSE)</f>
        <v>0</v>
      </c>
      <c r="DE162" s="1223">
        <f>$G162*AJ162*Variables!$B$53*HLOOKUP($DA$2,Variables!$B$60:$F$61,2,FALSE)</f>
        <v>0</v>
      </c>
      <c r="DF162" s="1223">
        <f>$G162*AK162*Variables!$B$53*HLOOKUP($DA$2,Variables!$B$60:$F$61,2,FALSE)</f>
        <v>0</v>
      </c>
      <c r="DG162" s="1223">
        <f>$G162*AL162*Variables!$B$53*HLOOKUP($DA$2,Variables!$B$60:$F$61,2,FALSE)</f>
        <v>0</v>
      </c>
      <c r="DH162" s="1223">
        <f>$G162*AM162*Variables!$B$53*HLOOKUP($DA$2,Variables!$B$60:$F$61,2,FALSE)</f>
        <v>0</v>
      </c>
      <c r="DI162" s="1223">
        <f>$G162*AN162*Variables!$B$53*HLOOKUP($DA$2,Variables!$B$60:$F$61,2,FALSE)</f>
        <v>0</v>
      </c>
      <c r="DJ162" s="1223">
        <f>$G162*AO162*Variables!$B$53*HLOOKUP($DA$2,Variables!$B$60:$F$61,2,FALSE)</f>
        <v>0</v>
      </c>
      <c r="DK162" s="1223">
        <f>$G162*AP162*Variables!$B$53*HLOOKUP($DA$2,Variables!$B$60:$F$61,2,FALSE)</f>
        <v>0</v>
      </c>
      <c r="DL162" s="1225">
        <f>$G162*AQ162*Variables!$B$53*HLOOKUP($DA$2,Variables!$B$60:$F$61,2,FALSE)</f>
        <v>0</v>
      </c>
      <c r="DM162" s="1222">
        <f>$G162*AR162*Variables!$B$53*HLOOKUP($DM$2,Variables!$B$60:$F$61,2,FALSE)</f>
        <v>0</v>
      </c>
      <c r="DN162" s="1223">
        <f>$G162*AS162*Variables!$B$53*HLOOKUP($DM$2,Variables!$B$60:$F$61,2,FALSE)</f>
        <v>0</v>
      </c>
      <c r="DO162" s="1223">
        <f>$G162*AT162*Variables!$B$53*HLOOKUP($DM$2,Variables!$B$60:$F$61,2,FALSE)</f>
        <v>0</v>
      </c>
      <c r="DP162" s="1223">
        <f>$G162*AU162*Variables!$B$53*HLOOKUP($DM$2,Variables!$B$60:$F$61,2,FALSE)</f>
        <v>0</v>
      </c>
      <c r="DQ162" s="1223">
        <f>$G162*AV162*Variables!$B$53*HLOOKUP($DM$2,Variables!$B$60:$F$61,2,FALSE)</f>
        <v>0</v>
      </c>
      <c r="DR162" s="1223">
        <f>$G162*AW162*Variables!$B$53*HLOOKUP($DM$2,Variables!$B$60:$F$61,2,FALSE)</f>
        <v>0</v>
      </c>
      <c r="DS162" s="1223">
        <f>$G162*AX162*Variables!$B$53*HLOOKUP($DM$2,Variables!$B$60:$F$61,2,FALSE)</f>
        <v>0</v>
      </c>
      <c r="DT162" s="1223">
        <f>$G162*AY162*Variables!$B$53*HLOOKUP($DM$2,Variables!$B$60:$F$61,2,FALSE)</f>
        <v>0</v>
      </c>
      <c r="DU162" s="1223">
        <f>$G162*AZ162*Variables!$B$53*HLOOKUP($DM$2,Variables!$B$60:$F$61,2,FALSE)</f>
        <v>0</v>
      </c>
      <c r="DV162" s="1223">
        <f>$G162*BA162*Variables!$B$53*HLOOKUP($DM$2,Variables!$B$60:$F$61,2,FALSE)</f>
        <v>0</v>
      </c>
      <c r="DW162" s="1223">
        <f>$G162*BB162*Variables!$B$53*HLOOKUP($DM$2,Variables!$B$60:$F$61,2,FALSE)</f>
        <v>0</v>
      </c>
      <c r="DX162" s="1225">
        <f>$G162*BC162*Variables!$B$53*HLOOKUP($DM$2,Variables!$B$60:$F$61,2,FALSE)</f>
        <v>0</v>
      </c>
      <c r="DY162" s="1222">
        <f>$G162*BD162*Variables!$B$53*HLOOKUP($DY$2,Variables!$B$60:$F$61,2,FALSE)</f>
        <v>0</v>
      </c>
      <c r="DZ162" s="1223">
        <f>$G162*BE162*Variables!$B$53*HLOOKUP($DY$2,Variables!$B$60:$F$61,2,FALSE)</f>
        <v>0</v>
      </c>
      <c r="EA162" s="1223">
        <f>$G162*BF162*Variables!$B$53*HLOOKUP($DY$2,Variables!$B$60:$F$61,2,FALSE)</f>
        <v>0</v>
      </c>
      <c r="EB162" s="1223">
        <f>$G162*BG162*Variables!$B$53*HLOOKUP($DY$2,Variables!$B$60:$F$61,2,FALSE)</f>
        <v>0</v>
      </c>
      <c r="EC162" s="1223">
        <f>$G162*BH162*Variables!$B$53*HLOOKUP($DY$2,Variables!$B$60:$F$61,2,FALSE)</f>
        <v>0</v>
      </c>
      <c r="ED162" s="1223">
        <f>$G162*BI162*Variables!$B$53*HLOOKUP($DY$2,Variables!$B$60:$F$61,2,FALSE)</f>
        <v>0</v>
      </c>
      <c r="EE162" s="1223">
        <f>$G162*BJ162*Variables!$B$53*HLOOKUP($DY$2,Variables!$B$60:$F$61,2,FALSE)</f>
        <v>0</v>
      </c>
      <c r="EF162" s="1223">
        <f>$G162*BK162*Variables!$B$53*HLOOKUP($DY$2,Variables!$B$60:$F$61,2,FALSE)</f>
        <v>0</v>
      </c>
      <c r="EG162" s="1223">
        <f>$G162*BL162*Variables!$B$53*HLOOKUP($DY$2,Variables!$B$60:$F$61,2,FALSE)</f>
        <v>0</v>
      </c>
      <c r="EH162" s="1223">
        <f>$G162*BM162*Variables!$B$53*HLOOKUP($DY$2,Variables!$B$60:$F$61,2,FALSE)</f>
        <v>0</v>
      </c>
      <c r="EI162" s="1223">
        <f>$G162*BN162*Variables!$B$53*HLOOKUP($DY$2,Variables!$B$60:$F$61,2,FALSE)</f>
        <v>0</v>
      </c>
      <c r="EJ162" s="1225">
        <f>$G162*BO162*Variables!$B$53*HLOOKUP($DY$2,Variables!$B$60:$F$61,2,FALSE)</f>
        <v>0</v>
      </c>
      <c r="EK162" s="1222">
        <f>$G162*BP162*Variables!$B$53*HLOOKUP($EK$2,Variables!$B$60:$F$61,2,FALSE)</f>
        <v>0</v>
      </c>
      <c r="EL162" s="1223">
        <f>$G162*BQ162*Variables!$B$53*HLOOKUP($EK$2,Variables!$B$60:$F$61,2,FALSE)</f>
        <v>0</v>
      </c>
      <c r="EM162" s="1223">
        <f>$G162*BR162*Variables!$B$53*HLOOKUP($EK$2,Variables!$B$60:$F$61,2,FALSE)</f>
        <v>0</v>
      </c>
      <c r="EN162" s="1223">
        <f>$G162*BS162*Variables!$B$53*HLOOKUP($EK$2,Variables!$B$60:$F$61,2,FALSE)</f>
        <v>0</v>
      </c>
      <c r="EO162" s="1223">
        <f>$G162*BT162*Variables!$B$53*HLOOKUP($EK$2,Variables!$B$60:$F$61,2,FALSE)</f>
        <v>0</v>
      </c>
      <c r="EP162" s="1223">
        <f>$G162*BU162*Variables!$B$53*HLOOKUP($EK$2,Variables!$B$60:$F$61,2,FALSE)</f>
        <v>0</v>
      </c>
      <c r="EQ162" s="1223">
        <f>$G162*BV162*Variables!$B$53*HLOOKUP($EK$2,Variables!$B$60:$F$61,2,FALSE)</f>
        <v>0</v>
      </c>
      <c r="ER162" s="1223">
        <f>$G162*BW162*Variables!$B$53*HLOOKUP($EK$2,Variables!$B$60:$F$61,2,FALSE)</f>
        <v>0</v>
      </c>
      <c r="ES162" s="1223">
        <f>$G162*BX162*Variables!$B$53*HLOOKUP($EK$2,Variables!$B$60:$F$61,2,FALSE)</f>
        <v>0</v>
      </c>
      <c r="ET162" s="1223">
        <f>$G162*BY162*Variables!$B$53*HLOOKUP($EK$2,Variables!$B$60:$F$61,2,FALSE)</f>
        <v>0</v>
      </c>
      <c r="EU162" s="1223">
        <f>$G162*BZ162*Variables!$B$53*HLOOKUP($EK$2,Variables!$B$60:$F$61,2,FALSE)</f>
        <v>0</v>
      </c>
      <c r="EV162" s="1225">
        <f>$G162*CA162*Variables!$B$53*HLOOKUP($EK$2,Variables!$B$60:$F$61,2,FALSE)</f>
        <v>0</v>
      </c>
      <c r="EW162" s="872">
        <f t="shared" si="24"/>
        <v>0</v>
      </c>
      <c r="EX162" s="872"/>
      <c r="EY162" s="872"/>
      <c r="EZ162" s="872"/>
      <c r="FA162" s="1332"/>
      <c r="FC162" s="958" t="str">
        <f t="shared" si="25"/>
        <v/>
      </c>
      <c r="FD162" s="959" t="str">
        <f t="shared" si="26"/>
        <v/>
      </c>
      <c r="FE162" s="959" t="s">
        <v>8407</v>
      </c>
      <c r="FF162" s="959" t="str">
        <f>IF(ISNA(VLOOKUP(FC162,Miscellaneous!E:F,2,0)),"",VLOOKUP(FC162,Miscellaneous!E:F,2,0))</f>
        <v/>
      </c>
      <c r="FG162" s="959" t="str">
        <f t="shared" si="27"/>
        <v/>
      </c>
      <c r="FH162" s="996">
        <f>IF($FG162="Opex",SUMIF('Monthly Summary'!$C$75:$N$75,"",CC162:CN162),SUMIF('Monthly Summary'!$C$74:$N$74,"",CC162:CN162))</f>
        <v>0</v>
      </c>
      <c r="FI162" s="996">
        <f>IF($FG162="Opex",SUMIF('Monthly Summary'!$O$75:$Z$75,"",CO162:CZ162),SUMIF('Monthly Summary'!$O$74:$Z$74,"",CO162:CZ162))</f>
        <v>0</v>
      </c>
      <c r="FJ162" s="996">
        <f>IF($FG162="Opex",SUMIF('Monthly Summary'!$AA$75:$AL$75,"",DA162:DL162),SUMIF('Monthly Summary'!$AA$74:$AL$74,"",DA162:DL162))</f>
        <v>0</v>
      </c>
      <c r="FK162" s="996">
        <f>IF($FG162="Opex",SUMIF('Monthly Summary'!$AM$75:$AX$75,"",DM162:DX162),SUMIF('Monthly Summary'!$AM$74:$AX$74,"",DM162:DX162))</f>
        <v>0</v>
      </c>
      <c r="FL162" s="996">
        <f>IF($FG162="Opex",SUMIF('Monthly Summary'!$AY$75:$BJ$75,"",DY162:EJ162),SUMIF('Monthly Summary'!$AY$74:$BJ$74,"",DY162:EJ162))</f>
        <v>0</v>
      </c>
      <c r="FM162" s="997">
        <f>IF($FG162="Opex",SUMIF('Monthly Summary'!$BK$75:$BV$75,"",EK162:EV162),SUMIF('Monthly Summary'!$BK$74:$BV$74,"",EK162:EV162))</f>
        <v>0</v>
      </c>
      <c r="FN162" s="997">
        <f t="shared" si="28"/>
        <v>0</v>
      </c>
    </row>
    <row r="163" spans="3:170">
      <c r="C163" s="757"/>
      <c r="D163" s="757"/>
      <c r="E163" s="758"/>
      <c r="F163" s="758"/>
      <c r="G163" s="758"/>
      <c r="H163" s="1215"/>
      <c r="I163" s="761"/>
      <c r="J163" s="761"/>
      <c r="K163" s="761"/>
      <c r="L163" s="761"/>
      <c r="M163" s="761"/>
      <c r="N163" s="761"/>
      <c r="O163" s="761"/>
      <c r="P163" s="761"/>
      <c r="Q163" s="761"/>
      <c r="R163" s="761"/>
      <c r="S163" s="1216"/>
      <c r="T163" s="1215"/>
      <c r="U163" s="761"/>
      <c r="V163" s="761"/>
      <c r="W163" s="761"/>
      <c r="X163" s="761"/>
      <c r="Y163" s="761"/>
      <c r="Z163" s="761"/>
      <c r="AA163" s="761"/>
      <c r="AB163" s="761"/>
      <c r="AC163" s="761"/>
      <c r="AD163" s="761"/>
      <c r="AE163" s="1216"/>
      <c r="AF163" s="1215"/>
      <c r="AG163" s="761"/>
      <c r="AH163" s="761"/>
      <c r="AI163" s="761"/>
      <c r="AJ163" s="761"/>
      <c r="AK163" s="761"/>
      <c r="AL163" s="761"/>
      <c r="AM163" s="761"/>
      <c r="AN163" s="761"/>
      <c r="AO163" s="761"/>
      <c r="AP163" s="761"/>
      <c r="AQ163" s="1216"/>
      <c r="AR163" s="1215"/>
      <c r="AS163" s="761"/>
      <c r="AT163" s="761"/>
      <c r="AU163" s="761"/>
      <c r="AV163" s="761"/>
      <c r="AW163" s="761"/>
      <c r="AX163" s="761"/>
      <c r="AY163" s="761"/>
      <c r="AZ163" s="761"/>
      <c r="BA163" s="761"/>
      <c r="BB163" s="761"/>
      <c r="BC163" s="1216"/>
      <c r="BD163" s="1215"/>
      <c r="BE163" s="761"/>
      <c r="BF163" s="761"/>
      <c r="BG163" s="761"/>
      <c r="BH163" s="761"/>
      <c r="BI163" s="761"/>
      <c r="BJ163" s="761"/>
      <c r="BK163" s="761"/>
      <c r="BL163" s="761"/>
      <c r="BM163" s="761"/>
      <c r="BN163" s="761"/>
      <c r="BO163" s="1216"/>
      <c r="BP163" s="1215"/>
      <c r="BQ163" s="761"/>
      <c r="BR163" s="761"/>
      <c r="BS163" s="761"/>
      <c r="BT163" s="761"/>
      <c r="BU163" s="761"/>
      <c r="BV163" s="761"/>
      <c r="BW163" s="761"/>
      <c r="BX163" s="761"/>
      <c r="BY163" s="761"/>
      <c r="BZ163" s="761"/>
      <c r="CA163" s="1216"/>
      <c r="CB163" s="747"/>
      <c r="CC163" s="1222">
        <f>$G163*H163*Variables!$B$53</f>
        <v>0</v>
      </c>
      <c r="CD163" s="1223">
        <f>$G163*I163*Variables!$B$53</f>
        <v>0</v>
      </c>
      <c r="CE163" s="1223">
        <f>$G163*J163*Variables!$B$53</f>
        <v>0</v>
      </c>
      <c r="CF163" s="1223">
        <f>$G163*K163*Variables!$B$53</f>
        <v>0</v>
      </c>
      <c r="CG163" s="1223">
        <f>$G163*L163*Variables!$B$53</f>
        <v>0</v>
      </c>
      <c r="CH163" s="1223">
        <f>$G163*M163*Variables!$B$53</f>
        <v>0</v>
      </c>
      <c r="CI163" s="1223">
        <f>$G163*N163*Variables!$B$53</f>
        <v>0</v>
      </c>
      <c r="CJ163" s="1223">
        <f>$G163*O163*Variables!$B$53</f>
        <v>0</v>
      </c>
      <c r="CK163" s="1223">
        <f>$G163*P163*Variables!$B$53</f>
        <v>0</v>
      </c>
      <c r="CL163" s="1223">
        <f>$G163*Q163*Variables!$B$53</f>
        <v>0</v>
      </c>
      <c r="CM163" s="1223">
        <f>$G163*R163*Variables!$B$53</f>
        <v>0</v>
      </c>
      <c r="CN163" s="1225">
        <f>$G163*S163*Variables!$B$53</f>
        <v>0</v>
      </c>
      <c r="CO163" s="1222">
        <f>$G163*T163*Variables!$B$53*HLOOKUP($CO$2,Variables!$B$60:$F$61,2,FALSE)</f>
        <v>0</v>
      </c>
      <c r="CP163" s="1223">
        <f>$G163*U163*Variables!$B$53*HLOOKUP($CO$2,Variables!$B$60:$F$61,2,FALSE)</f>
        <v>0</v>
      </c>
      <c r="CQ163" s="1223">
        <f>$G163*V163*Variables!$B$53*HLOOKUP($CO$2,Variables!$B$60:$F$61,2,FALSE)</f>
        <v>0</v>
      </c>
      <c r="CR163" s="1223">
        <f>$G163*W163*Variables!$B$53*HLOOKUP($CO$2,Variables!$B$60:$F$61,2,FALSE)</f>
        <v>0</v>
      </c>
      <c r="CS163" s="1223">
        <f>$G163*X163*Variables!$B$53*HLOOKUP($CO$2,Variables!$B$60:$F$61,2,FALSE)</f>
        <v>0</v>
      </c>
      <c r="CT163" s="1223">
        <f>$G163*Y163*Variables!$B$53*HLOOKUP($CO$2,Variables!$B$60:$F$61,2,FALSE)</f>
        <v>0</v>
      </c>
      <c r="CU163" s="1223">
        <f>$G163*Z163*Variables!$B$53*HLOOKUP($CO$2,Variables!$B$60:$F$61,2,FALSE)</f>
        <v>0</v>
      </c>
      <c r="CV163" s="1223">
        <f>$G163*AA163*Variables!$B$53*HLOOKUP($CO$2,Variables!$B$60:$F$61,2,FALSE)</f>
        <v>0</v>
      </c>
      <c r="CW163" s="1223">
        <f>$G163*AB163*Variables!$B$53*HLOOKUP($CO$2,Variables!$B$60:$F$61,2,FALSE)</f>
        <v>0</v>
      </c>
      <c r="CX163" s="1223">
        <f>$G163*AC163*Variables!$B$53*HLOOKUP($CO$2,Variables!$B$60:$F$61,2,FALSE)</f>
        <v>0</v>
      </c>
      <c r="CY163" s="1223">
        <f>$G163*AD163*Variables!$B$53*HLOOKUP($CO$2,Variables!$B$60:$F$61,2,FALSE)</f>
        <v>0</v>
      </c>
      <c r="CZ163" s="1225">
        <f>$G163*AE163*Variables!$B$53*HLOOKUP($CO$2,Variables!$B$60:$F$61,2,FALSE)</f>
        <v>0</v>
      </c>
      <c r="DA163" s="1222">
        <f>$G163*AF163*Variables!$B$53*HLOOKUP($DA$2,Variables!$B$60:$F$61,2,FALSE)</f>
        <v>0</v>
      </c>
      <c r="DB163" s="1223">
        <f>$G163*AG163*Variables!$B$53*HLOOKUP($DA$2,Variables!$B$60:$F$61,2,FALSE)</f>
        <v>0</v>
      </c>
      <c r="DC163" s="1223">
        <f>$G163*AH163*Variables!$B$53*HLOOKUP($DA$2,Variables!$B$60:$F$61,2,FALSE)</f>
        <v>0</v>
      </c>
      <c r="DD163" s="1223">
        <f>$G163*AI163*Variables!$B$53*HLOOKUP($DA$2,Variables!$B$60:$F$61,2,FALSE)</f>
        <v>0</v>
      </c>
      <c r="DE163" s="1223">
        <f>$G163*AJ163*Variables!$B$53*HLOOKUP($DA$2,Variables!$B$60:$F$61,2,FALSE)</f>
        <v>0</v>
      </c>
      <c r="DF163" s="1223">
        <f>$G163*AK163*Variables!$B$53*HLOOKUP($DA$2,Variables!$B$60:$F$61,2,FALSE)</f>
        <v>0</v>
      </c>
      <c r="DG163" s="1223">
        <f>$G163*AL163*Variables!$B$53*HLOOKUP($DA$2,Variables!$B$60:$F$61,2,FALSE)</f>
        <v>0</v>
      </c>
      <c r="DH163" s="1223">
        <f>$G163*AM163*Variables!$B$53*HLOOKUP($DA$2,Variables!$B$60:$F$61,2,FALSE)</f>
        <v>0</v>
      </c>
      <c r="DI163" s="1223">
        <f>$G163*AN163*Variables!$B$53*HLOOKUP($DA$2,Variables!$B$60:$F$61,2,FALSE)</f>
        <v>0</v>
      </c>
      <c r="DJ163" s="1223">
        <f>$G163*AO163*Variables!$B$53*HLOOKUP($DA$2,Variables!$B$60:$F$61,2,FALSE)</f>
        <v>0</v>
      </c>
      <c r="DK163" s="1223">
        <f>$G163*AP163*Variables!$B$53*HLOOKUP($DA$2,Variables!$B$60:$F$61,2,FALSE)</f>
        <v>0</v>
      </c>
      <c r="DL163" s="1225">
        <f>$G163*AQ163*Variables!$B$53*HLOOKUP($DA$2,Variables!$B$60:$F$61,2,FALSE)</f>
        <v>0</v>
      </c>
      <c r="DM163" s="1222">
        <f>$G163*AR163*Variables!$B$53*HLOOKUP($DM$2,Variables!$B$60:$F$61,2,FALSE)</f>
        <v>0</v>
      </c>
      <c r="DN163" s="1223">
        <f>$G163*AS163*Variables!$B$53*HLOOKUP($DM$2,Variables!$B$60:$F$61,2,FALSE)</f>
        <v>0</v>
      </c>
      <c r="DO163" s="1223">
        <f>$G163*AT163*Variables!$B$53*HLOOKUP($DM$2,Variables!$B$60:$F$61,2,FALSE)</f>
        <v>0</v>
      </c>
      <c r="DP163" s="1223">
        <f>$G163*AU163*Variables!$B$53*HLOOKUP($DM$2,Variables!$B$60:$F$61,2,FALSE)</f>
        <v>0</v>
      </c>
      <c r="DQ163" s="1223">
        <f>$G163*AV163*Variables!$B$53*HLOOKUP($DM$2,Variables!$B$60:$F$61,2,FALSE)</f>
        <v>0</v>
      </c>
      <c r="DR163" s="1223">
        <f>$G163*AW163*Variables!$B$53*HLOOKUP($DM$2,Variables!$B$60:$F$61,2,FALSE)</f>
        <v>0</v>
      </c>
      <c r="DS163" s="1223">
        <f>$G163*AX163*Variables!$B$53*HLOOKUP($DM$2,Variables!$B$60:$F$61,2,FALSE)</f>
        <v>0</v>
      </c>
      <c r="DT163" s="1223">
        <f>$G163*AY163*Variables!$B$53*HLOOKUP($DM$2,Variables!$B$60:$F$61,2,FALSE)</f>
        <v>0</v>
      </c>
      <c r="DU163" s="1223">
        <f>$G163*AZ163*Variables!$B$53*HLOOKUP($DM$2,Variables!$B$60:$F$61,2,FALSE)</f>
        <v>0</v>
      </c>
      <c r="DV163" s="1223">
        <f>$G163*BA163*Variables!$B$53*HLOOKUP($DM$2,Variables!$B$60:$F$61,2,FALSE)</f>
        <v>0</v>
      </c>
      <c r="DW163" s="1223">
        <f>$G163*BB163*Variables!$B$53*HLOOKUP($DM$2,Variables!$B$60:$F$61,2,FALSE)</f>
        <v>0</v>
      </c>
      <c r="DX163" s="1225">
        <f>$G163*BC163*Variables!$B$53*HLOOKUP($DM$2,Variables!$B$60:$F$61,2,FALSE)</f>
        <v>0</v>
      </c>
      <c r="DY163" s="1222">
        <f>$G163*BD163*Variables!$B$53*HLOOKUP($DY$2,Variables!$B$60:$F$61,2,FALSE)</f>
        <v>0</v>
      </c>
      <c r="DZ163" s="1223">
        <f>$G163*BE163*Variables!$B$53*HLOOKUP($DY$2,Variables!$B$60:$F$61,2,FALSE)</f>
        <v>0</v>
      </c>
      <c r="EA163" s="1223">
        <f>$G163*BF163*Variables!$B$53*HLOOKUP($DY$2,Variables!$B$60:$F$61,2,FALSE)</f>
        <v>0</v>
      </c>
      <c r="EB163" s="1223">
        <f>$G163*BG163*Variables!$B$53*HLOOKUP($DY$2,Variables!$B$60:$F$61,2,FALSE)</f>
        <v>0</v>
      </c>
      <c r="EC163" s="1223">
        <f>$G163*BH163*Variables!$B$53*HLOOKUP($DY$2,Variables!$B$60:$F$61,2,FALSE)</f>
        <v>0</v>
      </c>
      <c r="ED163" s="1223">
        <f>$G163*BI163*Variables!$B$53*HLOOKUP($DY$2,Variables!$B$60:$F$61,2,FALSE)</f>
        <v>0</v>
      </c>
      <c r="EE163" s="1223">
        <f>$G163*BJ163*Variables!$B$53*HLOOKUP($DY$2,Variables!$B$60:$F$61,2,FALSE)</f>
        <v>0</v>
      </c>
      <c r="EF163" s="1223">
        <f>$G163*BK163*Variables!$B$53*HLOOKUP($DY$2,Variables!$B$60:$F$61,2,FALSE)</f>
        <v>0</v>
      </c>
      <c r="EG163" s="1223">
        <f>$G163*BL163*Variables!$B$53*HLOOKUP($DY$2,Variables!$B$60:$F$61,2,FALSE)</f>
        <v>0</v>
      </c>
      <c r="EH163" s="1223">
        <f>$G163*BM163*Variables!$B$53*HLOOKUP($DY$2,Variables!$B$60:$F$61,2,FALSE)</f>
        <v>0</v>
      </c>
      <c r="EI163" s="1223">
        <f>$G163*BN163*Variables!$B$53*HLOOKUP($DY$2,Variables!$B$60:$F$61,2,FALSE)</f>
        <v>0</v>
      </c>
      <c r="EJ163" s="1225">
        <f>$G163*BO163*Variables!$B$53*HLOOKUP($DY$2,Variables!$B$60:$F$61,2,FALSE)</f>
        <v>0</v>
      </c>
      <c r="EK163" s="1222">
        <f>$G163*BP163*Variables!$B$53*HLOOKUP($EK$2,Variables!$B$60:$F$61,2,FALSE)</f>
        <v>0</v>
      </c>
      <c r="EL163" s="1223">
        <f>$G163*BQ163*Variables!$B$53*HLOOKUP($EK$2,Variables!$B$60:$F$61,2,FALSE)</f>
        <v>0</v>
      </c>
      <c r="EM163" s="1223">
        <f>$G163*BR163*Variables!$B$53*HLOOKUP($EK$2,Variables!$B$60:$F$61,2,FALSE)</f>
        <v>0</v>
      </c>
      <c r="EN163" s="1223">
        <f>$G163*BS163*Variables!$B$53*HLOOKUP($EK$2,Variables!$B$60:$F$61,2,FALSE)</f>
        <v>0</v>
      </c>
      <c r="EO163" s="1223">
        <f>$G163*BT163*Variables!$B$53*HLOOKUP($EK$2,Variables!$B$60:$F$61,2,FALSE)</f>
        <v>0</v>
      </c>
      <c r="EP163" s="1223">
        <f>$G163*BU163*Variables!$B$53*HLOOKUP($EK$2,Variables!$B$60:$F$61,2,FALSE)</f>
        <v>0</v>
      </c>
      <c r="EQ163" s="1223">
        <f>$G163*BV163*Variables!$B$53*HLOOKUP($EK$2,Variables!$B$60:$F$61,2,FALSE)</f>
        <v>0</v>
      </c>
      <c r="ER163" s="1223">
        <f>$G163*BW163*Variables!$B$53*HLOOKUP($EK$2,Variables!$B$60:$F$61,2,FALSE)</f>
        <v>0</v>
      </c>
      <c r="ES163" s="1223">
        <f>$G163*BX163*Variables!$B$53*HLOOKUP($EK$2,Variables!$B$60:$F$61,2,FALSE)</f>
        <v>0</v>
      </c>
      <c r="ET163" s="1223">
        <f>$G163*BY163*Variables!$B$53*HLOOKUP($EK$2,Variables!$B$60:$F$61,2,FALSE)</f>
        <v>0</v>
      </c>
      <c r="EU163" s="1223">
        <f>$G163*BZ163*Variables!$B$53*HLOOKUP($EK$2,Variables!$B$60:$F$61,2,FALSE)</f>
        <v>0</v>
      </c>
      <c r="EV163" s="1225">
        <f>$G163*CA163*Variables!$B$53*HLOOKUP($EK$2,Variables!$B$60:$F$61,2,FALSE)</f>
        <v>0</v>
      </c>
      <c r="EW163" s="872">
        <f t="shared" si="24"/>
        <v>0</v>
      </c>
      <c r="EX163" s="872"/>
      <c r="EY163" s="872"/>
      <c r="EZ163" s="872"/>
      <c r="FA163" s="1332"/>
      <c r="FC163" s="958" t="str">
        <f t="shared" si="25"/>
        <v/>
      </c>
      <c r="FD163" s="959" t="str">
        <f t="shared" si="26"/>
        <v/>
      </c>
      <c r="FE163" s="959" t="s">
        <v>8407</v>
      </c>
      <c r="FF163" s="959" t="str">
        <f>IF(ISNA(VLOOKUP(FC163,Miscellaneous!E:F,2,0)),"",VLOOKUP(FC163,Miscellaneous!E:F,2,0))</f>
        <v/>
      </c>
      <c r="FG163" s="959" t="str">
        <f t="shared" si="27"/>
        <v/>
      </c>
      <c r="FH163" s="996">
        <f>IF($FG163="Opex",SUMIF('Monthly Summary'!$C$75:$N$75,"",CC163:CN163),SUMIF('Monthly Summary'!$C$74:$N$74,"",CC163:CN163))</f>
        <v>0</v>
      </c>
      <c r="FI163" s="996">
        <f>IF($FG163="Opex",SUMIF('Monthly Summary'!$O$75:$Z$75,"",CO163:CZ163),SUMIF('Monthly Summary'!$O$74:$Z$74,"",CO163:CZ163))</f>
        <v>0</v>
      </c>
      <c r="FJ163" s="996">
        <f>IF($FG163="Opex",SUMIF('Monthly Summary'!$AA$75:$AL$75,"",DA163:DL163),SUMIF('Monthly Summary'!$AA$74:$AL$74,"",DA163:DL163))</f>
        <v>0</v>
      </c>
      <c r="FK163" s="996">
        <f>IF($FG163="Opex",SUMIF('Monthly Summary'!$AM$75:$AX$75,"",DM163:DX163),SUMIF('Monthly Summary'!$AM$74:$AX$74,"",DM163:DX163))</f>
        <v>0</v>
      </c>
      <c r="FL163" s="996">
        <f>IF($FG163="Opex",SUMIF('Monthly Summary'!$AY$75:$BJ$75,"",DY163:EJ163),SUMIF('Monthly Summary'!$AY$74:$BJ$74,"",DY163:EJ163))</f>
        <v>0</v>
      </c>
      <c r="FM163" s="997">
        <f>IF($FG163="Opex",SUMIF('Monthly Summary'!$BK$75:$BV$75,"",EK163:EV163),SUMIF('Monthly Summary'!$BK$74:$BV$74,"",EK163:EV163))</f>
        <v>0</v>
      </c>
      <c r="FN163" s="997">
        <f t="shared" si="28"/>
        <v>0</v>
      </c>
    </row>
    <row r="164" spans="3:170">
      <c r="C164" s="757"/>
      <c r="D164" s="757"/>
      <c r="E164" s="758"/>
      <c r="F164" s="758"/>
      <c r="G164" s="758"/>
      <c r="H164" s="1215"/>
      <c r="I164" s="761"/>
      <c r="J164" s="761"/>
      <c r="K164" s="761"/>
      <c r="L164" s="761"/>
      <c r="M164" s="761"/>
      <c r="N164" s="761"/>
      <c r="O164" s="761"/>
      <c r="P164" s="761"/>
      <c r="Q164" s="761"/>
      <c r="R164" s="761"/>
      <c r="S164" s="1216"/>
      <c r="T164" s="1215"/>
      <c r="U164" s="761"/>
      <c r="V164" s="761"/>
      <c r="W164" s="761"/>
      <c r="X164" s="761"/>
      <c r="Y164" s="761"/>
      <c r="Z164" s="761"/>
      <c r="AA164" s="761"/>
      <c r="AB164" s="761"/>
      <c r="AC164" s="761"/>
      <c r="AD164" s="761"/>
      <c r="AE164" s="1216"/>
      <c r="AF164" s="1215"/>
      <c r="AG164" s="761"/>
      <c r="AH164" s="761"/>
      <c r="AI164" s="761"/>
      <c r="AJ164" s="761"/>
      <c r="AK164" s="761"/>
      <c r="AL164" s="761"/>
      <c r="AM164" s="761"/>
      <c r="AN164" s="761"/>
      <c r="AO164" s="761"/>
      <c r="AP164" s="761"/>
      <c r="AQ164" s="1216"/>
      <c r="AR164" s="1215"/>
      <c r="AS164" s="761"/>
      <c r="AT164" s="761"/>
      <c r="AU164" s="761"/>
      <c r="AV164" s="761"/>
      <c r="AW164" s="761"/>
      <c r="AX164" s="761"/>
      <c r="AY164" s="761"/>
      <c r="AZ164" s="761"/>
      <c r="BA164" s="761"/>
      <c r="BB164" s="761"/>
      <c r="BC164" s="1216"/>
      <c r="BD164" s="1215"/>
      <c r="BE164" s="761"/>
      <c r="BF164" s="761"/>
      <c r="BG164" s="761"/>
      <c r="BH164" s="761"/>
      <c r="BI164" s="761"/>
      <c r="BJ164" s="761"/>
      <c r="BK164" s="761"/>
      <c r="BL164" s="761"/>
      <c r="BM164" s="761"/>
      <c r="BN164" s="761"/>
      <c r="BO164" s="1216"/>
      <c r="BP164" s="1215"/>
      <c r="BQ164" s="761"/>
      <c r="BR164" s="761"/>
      <c r="BS164" s="761"/>
      <c r="BT164" s="761"/>
      <c r="BU164" s="761"/>
      <c r="BV164" s="761"/>
      <c r="BW164" s="761"/>
      <c r="BX164" s="761"/>
      <c r="BY164" s="761"/>
      <c r="BZ164" s="761"/>
      <c r="CA164" s="1216"/>
      <c r="CB164" s="747"/>
      <c r="CC164" s="1222">
        <f>$G164*H164*Variables!$B$53</f>
        <v>0</v>
      </c>
      <c r="CD164" s="1223">
        <f>$G164*I164*Variables!$B$53</f>
        <v>0</v>
      </c>
      <c r="CE164" s="1223">
        <f>$G164*J164*Variables!$B$53</f>
        <v>0</v>
      </c>
      <c r="CF164" s="1223">
        <f>$G164*K164*Variables!$B$53</f>
        <v>0</v>
      </c>
      <c r="CG164" s="1223">
        <f>$G164*L164*Variables!$B$53</f>
        <v>0</v>
      </c>
      <c r="CH164" s="1223">
        <f>$G164*M164*Variables!$B$53</f>
        <v>0</v>
      </c>
      <c r="CI164" s="1223">
        <f>$G164*N164*Variables!$B$53</f>
        <v>0</v>
      </c>
      <c r="CJ164" s="1223">
        <f>$G164*O164*Variables!$B$53</f>
        <v>0</v>
      </c>
      <c r="CK164" s="1223">
        <f>$G164*P164*Variables!$B$53</f>
        <v>0</v>
      </c>
      <c r="CL164" s="1223">
        <f>$G164*Q164*Variables!$B$53</f>
        <v>0</v>
      </c>
      <c r="CM164" s="1223">
        <f>$G164*R164*Variables!$B$53</f>
        <v>0</v>
      </c>
      <c r="CN164" s="1225">
        <f>$G164*S164*Variables!$B$53</f>
        <v>0</v>
      </c>
      <c r="CO164" s="1222">
        <f>$G164*T164*Variables!$B$53*HLOOKUP($CO$2,Variables!$B$60:$F$61,2,FALSE)</f>
        <v>0</v>
      </c>
      <c r="CP164" s="1223">
        <f>$G164*U164*Variables!$B$53*HLOOKUP($CO$2,Variables!$B$60:$F$61,2,FALSE)</f>
        <v>0</v>
      </c>
      <c r="CQ164" s="1223">
        <f>$G164*V164*Variables!$B$53*HLOOKUP($CO$2,Variables!$B$60:$F$61,2,FALSE)</f>
        <v>0</v>
      </c>
      <c r="CR164" s="1223">
        <f>$G164*W164*Variables!$B$53*HLOOKUP($CO$2,Variables!$B$60:$F$61,2,FALSE)</f>
        <v>0</v>
      </c>
      <c r="CS164" s="1223">
        <f>$G164*X164*Variables!$B$53*HLOOKUP($CO$2,Variables!$B$60:$F$61,2,FALSE)</f>
        <v>0</v>
      </c>
      <c r="CT164" s="1223">
        <f>$G164*Y164*Variables!$B$53*HLOOKUP($CO$2,Variables!$B$60:$F$61,2,FALSE)</f>
        <v>0</v>
      </c>
      <c r="CU164" s="1223">
        <f>$G164*Z164*Variables!$B$53*HLOOKUP($CO$2,Variables!$B$60:$F$61,2,FALSE)</f>
        <v>0</v>
      </c>
      <c r="CV164" s="1223">
        <f>$G164*AA164*Variables!$B$53*HLOOKUP($CO$2,Variables!$B$60:$F$61,2,FALSE)</f>
        <v>0</v>
      </c>
      <c r="CW164" s="1223">
        <f>$G164*AB164*Variables!$B$53*HLOOKUP($CO$2,Variables!$B$60:$F$61,2,FALSE)</f>
        <v>0</v>
      </c>
      <c r="CX164" s="1223">
        <f>$G164*AC164*Variables!$B$53*HLOOKUP($CO$2,Variables!$B$60:$F$61,2,FALSE)</f>
        <v>0</v>
      </c>
      <c r="CY164" s="1223">
        <f>$G164*AD164*Variables!$B$53*HLOOKUP($CO$2,Variables!$B$60:$F$61,2,FALSE)</f>
        <v>0</v>
      </c>
      <c r="CZ164" s="1225">
        <f>$G164*AE164*Variables!$B$53*HLOOKUP($CO$2,Variables!$B$60:$F$61,2,FALSE)</f>
        <v>0</v>
      </c>
      <c r="DA164" s="1222">
        <f>$G164*AF164*Variables!$B$53*HLOOKUP($DA$2,Variables!$B$60:$F$61,2,FALSE)</f>
        <v>0</v>
      </c>
      <c r="DB164" s="1223">
        <f>$G164*AG164*Variables!$B$53*HLOOKUP($DA$2,Variables!$B$60:$F$61,2,FALSE)</f>
        <v>0</v>
      </c>
      <c r="DC164" s="1223">
        <f>$G164*AH164*Variables!$B$53*HLOOKUP($DA$2,Variables!$B$60:$F$61,2,FALSE)</f>
        <v>0</v>
      </c>
      <c r="DD164" s="1223">
        <f>$G164*AI164*Variables!$B$53*HLOOKUP($DA$2,Variables!$B$60:$F$61,2,FALSE)</f>
        <v>0</v>
      </c>
      <c r="DE164" s="1223">
        <f>$G164*AJ164*Variables!$B$53*HLOOKUP($DA$2,Variables!$B$60:$F$61,2,FALSE)</f>
        <v>0</v>
      </c>
      <c r="DF164" s="1223">
        <f>$G164*AK164*Variables!$B$53*HLOOKUP($DA$2,Variables!$B$60:$F$61,2,FALSE)</f>
        <v>0</v>
      </c>
      <c r="DG164" s="1223">
        <f>$G164*AL164*Variables!$B$53*HLOOKUP($DA$2,Variables!$B$60:$F$61,2,FALSE)</f>
        <v>0</v>
      </c>
      <c r="DH164" s="1223">
        <f>$G164*AM164*Variables!$B$53*HLOOKUP($DA$2,Variables!$B$60:$F$61,2,FALSE)</f>
        <v>0</v>
      </c>
      <c r="DI164" s="1223">
        <f>$G164*AN164*Variables!$B$53*HLOOKUP($DA$2,Variables!$B$60:$F$61,2,FALSE)</f>
        <v>0</v>
      </c>
      <c r="DJ164" s="1223">
        <f>$G164*AO164*Variables!$B$53*HLOOKUP($DA$2,Variables!$B$60:$F$61,2,FALSE)</f>
        <v>0</v>
      </c>
      <c r="DK164" s="1223">
        <f>$G164*AP164*Variables!$B$53*HLOOKUP($DA$2,Variables!$B$60:$F$61,2,FALSE)</f>
        <v>0</v>
      </c>
      <c r="DL164" s="1225">
        <f>$G164*AQ164*Variables!$B$53*HLOOKUP($DA$2,Variables!$B$60:$F$61,2,FALSE)</f>
        <v>0</v>
      </c>
      <c r="DM164" s="1222">
        <f>$G164*AR164*Variables!$B$53*HLOOKUP($DM$2,Variables!$B$60:$F$61,2,FALSE)</f>
        <v>0</v>
      </c>
      <c r="DN164" s="1223">
        <f>$G164*AS164*Variables!$B$53*HLOOKUP($DM$2,Variables!$B$60:$F$61,2,FALSE)</f>
        <v>0</v>
      </c>
      <c r="DO164" s="1223">
        <f>$G164*AT164*Variables!$B$53*HLOOKUP($DM$2,Variables!$B$60:$F$61,2,FALSE)</f>
        <v>0</v>
      </c>
      <c r="DP164" s="1223">
        <f>$G164*AU164*Variables!$B$53*HLOOKUP($DM$2,Variables!$B$60:$F$61,2,FALSE)</f>
        <v>0</v>
      </c>
      <c r="DQ164" s="1223">
        <f>$G164*AV164*Variables!$B$53*HLOOKUP($DM$2,Variables!$B$60:$F$61,2,FALSE)</f>
        <v>0</v>
      </c>
      <c r="DR164" s="1223">
        <f>$G164*AW164*Variables!$B$53*HLOOKUP($DM$2,Variables!$B$60:$F$61,2,FALSE)</f>
        <v>0</v>
      </c>
      <c r="DS164" s="1223">
        <f>$G164*AX164*Variables!$B$53*HLOOKUP($DM$2,Variables!$B$60:$F$61,2,FALSE)</f>
        <v>0</v>
      </c>
      <c r="DT164" s="1223">
        <f>$G164*AY164*Variables!$B$53*HLOOKUP($DM$2,Variables!$B$60:$F$61,2,FALSE)</f>
        <v>0</v>
      </c>
      <c r="DU164" s="1223">
        <f>$G164*AZ164*Variables!$B$53*HLOOKUP($DM$2,Variables!$B$60:$F$61,2,FALSE)</f>
        <v>0</v>
      </c>
      <c r="DV164" s="1223">
        <f>$G164*BA164*Variables!$B$53*HLOOKUP($DM$2,Variables!$B$60:$F$61,2,FALSE)</f>
        <v>0</v>
      </c>
      <c r="DW164" s="1223">
        <f>$G164*BB164*Variables!$B$53*HLOOKUP($DM$2,Variables!$B$60:$F$61,2,FALSE)</f>
        <v>0</v>
      </c>
      <c r="DX164" s="1225">
        <f>$G164*BC164*Variables!$B$53*HLOOKUP($DM$2,Variables!$B$60:$F$61,2,FALSE)</f>
        <v>0</v>
      </c>
      <c r="DY164" s="1222">
        <f>$G164*BD164*Variables!$B$53*HLOOKUP($DY$2,Variables!$B$60:$F$61,2,FALSE)</f>
        <v>0</v>
      </c>
      <c r="DZ164" s="1223">
        <f>$G164*BE164*Variables!$B$53*HLOOKUP($DY$2,Variables!$B$60:$F$61,2,FALSE)</f>
        <v>0</v>
      </c>
      <c r="EA164" s="1223">
        <f>$G164*BF164*Variables!$B$53*HLOOKUP($DY$2,Variables!$B$60:$F$61,2,FALSE)</f>
        <v>0</v>
      </c>
      <c r="EB164" s="1223">
        <f>$G164*BG164*Variables!$B$53*HLOOKUP($DY$2,Variables!$B$60:$F$61,2,FALSE)</f>
        <v>0</v>
      </c>
      <c r="EC164" s="1223">
        <f>$G164*BH164*Variables!$B$53*HLOOKUP($DY$2,Variables!$B$60:$F$61,2,FALSE)</f>
        <v>0</v>
      </c>
      <c r="ED164" s="1223">
        <f>$G164*BI164*Variables!$B$53*HLOOKUP($DY$2,Variables!$B$60:$F$61,2,FALSE)</f>
        <v>0</v>
      </c>
      <c r="EE164" s="1223">
        <f>$G164*BJ164*Variables!$B$53*HLOOKUP($DY$2,Variables!$B$60:$F$61,2,FALSE)</f>
        <v>0</v>
      </c>
      <c r="EF164" s="1223">
        <f>$G164*BK164*Variables!$B$53*HLOOKUP($DY$2,Variables!$B$60:$F$61,2,FALSE)</f>
        <v>0</v>
      </c>
      <c r="EG164" s="1223">
        <f>$G164*BL164*Variables!$B$53*HLOOKUP($DY$2,Variables!$B$60:$F$61,2,FALSE)</f>
        <v>0</v>
      </c>
      <c r="EH164" s="1223">
        <f>$G164*BM164*Variables!$B$53*HLOOKUP($DY$2,Variables!$B$60:$F$61,2,FALSE)</f>
        <v>0</v>
      </c>
      <c r="EI164" s="1223">
        <f>$G164*BN164*Variables!$B$53*HLOOKUP($DY$2,Variables!$B$60:$F$61,2,FALSE)</f>
        <v>0</v>
      </c>
      <c r="EJ164" s="1225">
        <f>$G164*BO164*Variables!$B$53*HLOOKUP($DY$2,Variables!$B$60:$F$61,2,FALSE)</f>
        <v>0</v>
      </c>
      <c r="EK164" s="1222">
        <f>$G164*BP164*Variables!$B$53*HLOOKUP($EK$2,Variables!$B$60:$F$61,2,FALSE)</f>
        <v>0</v>
      </c>
      <c r="EL164" s="1223">
        <f>$G164*BQ164*Variables!$B$53*HLOOKUP($EK$2,Variables!$B$60:$F$61,2,FALSE)</f>
        <v>0</v>
      </c>
      <c r="EM164" s="1223">
        <f>$G164*BR164*Variables!$B$53*HLOOKUP($EK$2,Variables!$B$60:$F$61,2,FALSE)</f>
        <v>0</v>
      </c>
      <c r="EN164" s="1223">
        <f>$G164*BS164*Variables!$B$53*HLOOKUP($EK$2,Variables!$B$60:$F$61,2,FALSE)</f>
        <v>0</v>
      </c>
      <c r="EO164" s="1223">
        <f>$G164*BT164*Variables!$B$53*HLOOKUP($EK$2,Variables!$B$60:$F$61,2,FALSE)</f>
        <v>0</v>
      </c>
      <c r="EP164" s="1223">
        <f>$G164*BU164*Variables!$B$53*HLOOKUP($EK$2,Variables!$B$60:$F$61,2,FALSE)</f>
        <v>0</v>
      </c>
      <c r="EQ164" s="1223">
        <f>$G164*BV164*Variables!$B$53*HLOOKUP($EK$2,Variables!$B$60:$F$61,2,FALSE)</f>
        <v>0</v>
      </c>
      <c r="ER164" s="1223">
        <f>$G164*BW164*Variables!$B$53*HLOOKUP($EK$2,Variables!$B$60:$F$61,2,FALSE)</f>
        <v>0</v>
      </c>
      <c r="ES164" s="1223">
        <f>$G164*BX164*Variables!$B$53*HLOOKUP($EK$2,Variables!$B$60:$F$61,2,FALSE)</f>
        <v>0</v>
      </c>
      <c r="ET164" s="1223">
        <f>$G164*BY164*Variables!$B$53*HLOOKUP($EK$2,Variables!$B$60:$F$61,2,FALSE)</f>
        <v>0</v>
      </c>
      <c r="EU164" s="1223">
        <f>$G164*BZ164*Variables!$B$53*HLOOKUP($EK$2,Variables!$B$60:$F$61,2,FALSE)</f>
        <v>0</v>
      </c>
      <c r="EV164" s="1225">
        <f>$G164*CA164*Variables!$B$53*HLOOKUP($EK$2,Variables!$B$60:$F$61,2,FALSE)</f>
        <v>0</v>
      </c>
      <c r="EW164" s="872">
        <f t="shared" si="24"/>
        <v>0</v>
      </c>
      <c r="EX164" s="872"/>
      <c r="EY164" s="872"/>
      <c r="EZ164" s="872"/>
      <c r="FA164" s="1332"/>
      <c r="FC164" s="958" t="str">
        <f t="shared" si="25"/>
        <v/>
      </c>
      <c r="FD164" s="959" t="str">
        <f t="shared" si="26"/>
        <v/>
      </c>
      <c r="FE164" s="959" t="s">
        <v>8407</v>
      </c>
      <c r="FF164" s="959" t="str">
        <f>IF(ISNA(VLOOKUP(FC164,Miscellaneous!E:F,2,0)),"",VLOOKUP(FC164,Miscellaneous!E:F,2,0))</f>
        <v/>
      </c>
      <c r="FG164" s="959" t="str">
        <f t="shared" si="27"/>
        <v/>
      </c>
      <c r="FH164" s="996">
        <f>IF($FG164="Opex",SUMIF('Monthly Summary'!$C$75:$N$75,"",CC164:CN164),SUMIF('Monthly Summary'!$C$74:$N$74,"",CC164:CN164))</f>
        <v>0</v>
      </c>
      <c r="FI164" s="996">
        <f>IF($FG164="Opex",SUMIF('Monthly Summary'!$O$75:$Z$75,"",CO164:CZ164),SUMIF('Monthly Summary'!$O$74:$Z$74,"",CO164:CZ164))</f>
        <v>0</v>
      </c>
      <c r="FJ164" s="996">
        <f>IF($FG164="Opex",SUMIF('Monthly Summary'!$AA$75:$AL$75,"",DA164:DL164),SUMIF('Monthly Summary'!$AA$74:$AL$74,"",DA164:DL164))</f>
        <v>0</v>
      </c>
      <c r="FK164" s="996">
        <f>IF($FG164="Opex",SUMIF('Monthly Summary'!$AM$75:$AX$75,"",DM164:DX164),SUMIF('Monthly Summary'!$AM$74:$AX$74,"",DM164:DX164))</f>
        <v>0</v>
      </c>
      <c r="FL164" s="996">
        <f>IF($FG164="Opex",SUMIF('Monthly Summary'!$AY$75:$BJ$75,"",DY164:EJ164),SUMIF('Monthly Summary'!$AY$74:$BJ$74,"",DY164:EJ164))</f>
        <v>0</v>
      </c>
      <c r="FM164" s="997">
        <f>IF($FG164="Opex",SUMIF('Monthly Summary'!$BK$75:$BV$75,"",EK164:EV164),SUMIF('Monthly Summary'!$BK$74:$BV$74,"",EK164:EV164))</f>
        <v>0</v>
      </c>
      <c r="FN164" s="997">
        <f t="shared" si="28"/>
        <v>0</v>
      </c>
    </row>
    <row r="165" spans="3:170">
      <c r="C165" s="757"/>
      <c r="D165" s="757"/>
      <c r="E165" s="758"/>
      <c r="F165" s="758"/>
      <c r="G165" s="758"/>
      <c r="H165" s="1215"/>
      <c r="I165" s="761"/>
      <c r="J165" s="761"/>
      <c r="K165" s="761"/>
      <c r="L165" s="761"/>
      <c r="M165" s="761"/>
      <c r="N165" s="761"/>
      <c r="O165" s="761"/>
      <c r="P165" s="761"/>
      <c r="Q165" s="761"/>
      <c r="R165" s="761"/>
      <c r="S165" s="1216"/>
      <c r="T165" s="1215"/>
      <c r="U165" s="761"/>
      <c r="V165" s="761"/>
      <c r="W165" s="761"/>
      <c r="X165" s="761"/>
      <c r="Y165" s="761"/>
      <c r="Z165" s="761"/>
      <c r="AA165" s="761"/>
      <c r="AB165" s="761"/>
      <c r="AC165" s="761"/>
      <c r="AD165" s="761"/>
      <c r="AE165" s="1216"/>
      <c r="AF165" s="1215"/>
      <c r="AG165" s="761"/>
      <c r="AH165" s="761"/>
      <c r="AI165" s="761"/>
      <c r="AJ165" s="761"/>
      <c r="AK165" s="761"/>
      <c r="AL165" s="761"/>
      <c r="AM165" s="761"/>
      <c r="AN165" s="761"/>
      <c r="AO165" s="761"/>
      <c r="AP165" s="761"/>
      <c r="AQ165" s="1216"/>
      <c r="AR165" s="1215"/>
      <c r="AS165" s="761"/>
      <c r="AT165" s="761"/>
      <c r="AU165" s="761"/>
      <c r="AV165" s="761"/>
      <c r="AW165" s="761"/>
      <c r="AX165" s="761"/>
      <c r="AY165" s="761"/>
      <c r="AZ165" s="761"/>
      <c r="BA165" s="761"/>
      <c r="BB165" s="761"/>
      <c r="BC165" s="1216"/>
      <c r="BD165" s="1215"/>
      <c r="BE165" s="761"/>
      <c r="BF165" s="761"/>
      <c r="BG165" s="761"/>
      <c r="BH165" s="761"/>
      <c r="BI165" s="761"/>
      <c r="BJ165" s="761"/>
      <c r="BK165" s="761"/>
      <c r="BL165" s="761"/>
      <c r="BM165" s="761"/>
      <c r="BN165" s="761"/>
      <c r="BO165" s="1216"/>
      <c r="BP165" s="1215"/>
      <c r="BQ165" s="761"/>
      <c r="BR165" s="761"/>
      <c r="BS165" s="761"/>
      <c r="BT165" s="761"/>
      <c r="BU165" s="761"/>
      <c r="BV165" s="761"/>
      <c r="BW165" s="761"/>
      <c r="BX165" s="761"/>
      <c r="BY165" s="761"/>
      <c r="BZ165" s="761"/>
      <c r="CA165" s="1216"/>
      <c r="CB165" s="747"/>
      <c r="CC165" s="1222">
        <f>$G165*H165*Variables!$B$53</f>
        <v>0</v>
      </c>
      <c r="CD165" s="1223">
        <f>$G165*I165*Variables!$B$53</f>
        <v>0</v>
      </c>
      <c r="CE165" s="1223">
        <f>$G165*J165*Variables!$B$53</f>
        <v>0</v>
      </c>
      <c r="CF165" s="1223">
        <f>$G165*K165*Variables!$B$53</f>
        <v>0</v>
      </c>
      <c r="CG165" s="1223">
        <f>$G165*L165*Variables!$B$53</f>
        <v>0</v>
      </c>
      <c r="CH165" s="1223">
        <f>$G165*M165*Variables!$B$53</f>
        <v>0</v>
      </c>
      <c r="CI165" s="1223">
        <f>$G165*N165*Variables!$B$53</f>
        <v>0</v>
      </c>
      <c r="CJ165" s="1223">
        <f>$G165*O165*Variables!$B$53</f>
        <v>0</v>
      </c>
      <c r="CK165" s="1223">
        <f>$G165*P165*Variables!$B$53</f>
        <v>0</v>
      </c>
      <c r="CL165" s="1223">
        <f>$G165*Q165*Variables!$B$53</f>
        <v>0</v>
      </c>
      <c r="CM165" s="1223">
        <f>$G165*R165*Variables!$B$53</f>
        <v>0</v>
      </c>
      <c r="CN165" s="1225">
        <f>$G165*S165*Variables!$B$53</f>
        <v>0</v>
      </c>
      <c r="CO165" s="1222">
        <f>$G165*T165*Variables!$B$53*HLOOKUP($CO$2,Variables!$B$60:$F$61,2,FALSE)</f>
        <v>0</v>
      </c>
      <c r="CP165" s="1223">
        <f>$G165*U165*Variables!$B$53*HLOOKUP($CO$2,Variables!$B$60:$F$61,2,FALSE)</f>
        <v>0</v>
      </c>
      <c r="CQ165" s="1223">
        <f>$G165*V165*Variables!$B$53*HLOOKUP($CO$2,Variables!$B$60:$F$61,2,FALSE)</f>
        <v>0</v>
      </c>
      <c r="CR165" s="1223">
        <f>$G165*W165*Variables!$B$53*HLOOKUP($CO$2,Variables!$B$60:$F$61,2,FALSE)</f>
        <v>0</v>
      </c>
      <c r="CS165" s="1223">
        <f>$G165*X165*Variables!$B$53*HLOOKUP($CO$2,Variables!$B$60:$F$61,2,FALSE)</f>
        <v>0</v>
      </c>
      <c r="CT165" s="1223">
        <f>$G165*Y165*Variables!$B$53*HLOOKUP($CO$2,Variables!$B$60:$F$61,2,FALSE)</f>
        <v>0</v>
      </c>
      <c r="CU165" s="1223">
        <f>$G165*Z165*Variables!$B$53*HLOOKUP($CO$2,Variables!$B$60:$F$61,2,FALSE)</f>
        <v>0</v>
      </c>
      <c r="CV165" s="1223">
        <f>$G165*AA165*Variables!$B$53*HLOOKUP($CO$2,Variables!$B$60:$F$61,2,FALSE)</f>
        <v>0</v>
      </c>
      <c r="CW165" s="1223">
        <f>$G165*AB165*Variables!$B$53*HLOOKUP($CO$2,Variables!$B$60:$F$61,2,FALSE)</f>
        <v>0</v>
      </c>
      <c r="CX165" s="1223">
        <f>$G165*AC165*Variables!$B$53*HLOOKUP($CO$2,Variables!$B$60:$F$61,2,FALSE)</f>
        <v>0</v>
      </c>
      <c r="CY165" s="1223">
        <f>$G165*AD165*Variables!$B$53*HLOOKUP($CO$2,Variables!$B$60:$F$61,2,FALSE)</f>
        <v>0</v>
      </c>
      <c r="CZ165" s="1225">
        <f>$G165*AE165*Variables!$B$53*HLOOKUP($CO$2,Variables!$B$60:$F$61,2,FALSE)</f>
        <v>0</v>
      </c>
      <c r="DA165" s="1222">
        <f>$G165*AF165*Variables!$B$53*HLOOKUP($DA$2,Variables!$B$60:$F$61,2,FALSE)</f>
        <v>0</v>
      </c>
      <c r="DB165" s="1223">
        <f>$G165*AG165*Variables!$B$53*HLOOKUP($DA$2,Variables!$B$60:$F$61,2,FALSE)</f>
        <v>0</v>
      </c>
      <c r="DC165" s="1223">
        <f>$G165*AH165*Variables!$B$53*HLOOKUP($DA$2,Variables!$B$60:$F$61,2,FALSE)</f>
        <v>0</v>
      </c>
      <c r="DD165" s="1223">
        <f>$G165*AI165*Variables!$B$53*HLOOKUP($DA$2,Variables!$B$60:$F$61,2,FALSE)</f>
        <v>0</v>
      </c>
      <c r="DE165" s="1223">
        <f>$G165*AJ165*Variables!$B$53*HLOOKUP($DA$2,Variables!$B$60:$F$61,2,FALSE)</f>
        <v>0</v>
      </c>
      <c r="DF165" s="1223">
        <f>$G165*AK165*Variables!$B$53*HLOOKUP($DA$2,Variables!$B$60:$F$61,2,FALSE)</f>
        <v>0</v>
      </c>
      <c r="DG165" s="1223">
        <f>$G165*AL165*Variables!$B$53*HLOOKUP($DA$2,Variables!$B$60:$F$61,2,FALSE)</f>
        <v>0</v>
      </c>
      <c r="DH165" s="1223">
        <f>$G165*AM165*Variables!$B$53*HLOOKUP($DA$2,Variables!$B$60:$F$61,2,FALSE)</f>
        <v>0</v>
      </c>
      <c r="DI165" s="1223">
        <f>$G165*AN165*Variables!$B$53*HLOOKUP($DA$2,Variables!$B$60:$F$61,2,FALSE)</f>
        <v>0</v>
      </c>
      <c r="DJ165" s="1223">
        <f>$G165*AO165*Variables!$B$53*HLOOKUP($DA$2,Variables!$B$60:$F$61,2,FALSE)</f>
        <v>0</v>
      </c>
      <c r="DK165" s="1223">
        <f>$G165*AP165*Variables!$B$53*HLOOKUP($DA$2,Variables!$B$60:$F$61,2,FALSE)</f>
        <v>0</v>
      </c>
      <c r="DL165" s="1225">
        <f>$G165*AQ165*Variables!$B$53*HLOOKUP($DA$2,Variables!$B$60:$F$61,2,FALSE)</f>
        <v>0</v>
      </c>
      <c r="DM165" s="1222">
        <f>$G165*AR165*Variables!$B$53*HLOOKUP($DM$2,Variables!$B$60:$F$61,2,FALSE)</f>
        <v>0</v>
      </c>
      <c r="DN165" s="1223">
        <f>$G165*AS165*Variables!$B$53*HLOOKUP($DM$2,Variables!$B$60:$F$61,2,FALSE)</f>
        <v>0</v>
      </c>
      <c r="DO165" s="1223">
        <f>$G165*AT165*Variables!$B$53*HLOOKUP($DM$2,Variables!$B$60:$F$61,2,FALSE)</f>
        <v>0</v>
      </c>
      <c r="DP165" s="1223">
        <f>$G165*AU165*Variables!$B$53*HLOOKUP($DM$2,Variables!$B$60:$F$61,2,FALSE)</f>
        <v>0</v>
      </c>
      <c r="DQ165" s="1223">
        <f>$G165*AV165*Variables!$B$53*HLOOKUP($DM$2,Variables!$B$60:$F$61,2,FALSE)</f>
        <v>0</v>
      </c>
      <c r="DR165" s="1223">
        <f>$G165*AW165*Variables!$B$53*HLOOKUP($DM$2,Variables!$B$60:$F$61,2,FALSE)</f>
        <v>0</v>
      </c>
      <c r="DS165" s="1223">
        <f>$G165*AX165*Variables!$B$53*HLOOKUP($DM$2,Variables!$B$60:$F$61,2,FALSE)</f>
        <v>0</v>
      </c>
      <c r="DT165" s="1223">
        <f>$G165*AY165*Variables!$B$53*HLOOKUP($DM$2,Variables!$B$60:$F$61,2,FALSE)</f>
        <v>0</v>
      </c>
      <c r="DU165" s="1223">
        <f>$G165*AZ165*Variables!$B$53*HLOOKUP($DM$2,Variables!$B$60:$F$61,2,FALSE)</f>
        <v>0</v>
      </c>
      <c r="DV165" s="1223">
        <f>$G165*BA165*Variables!$B$53*HLOOKUP($DM$2,Variables!$B$60:$F$61,2,FALSE)</f>
        <v>0</v>
      </c>
      <c r="DW165" s="1223">
        <f>$G165*BB165*Variables!$B$53*HLOOKUP($DM$2,Variables!$B$60:$F$61,2,FALSE)</f>
        <v>0</v>
      </c>
      <c r="DX165" s="1225">
        <f>$G165*BC165*Variables!$B$53*HLOOKUP($DM$2,Variables!$B$60:$F$61,2,FALSE)</f>
        <v>0</v>
      </c>
      <c r="DY165" s="1222">
        <f>$G165*BD165*Variables!$B$53*HLOOKUP($DY$2,Variables!$B$60:$F$61,2,FALSE)</f>
        <v>0</v>
      </c>
      <c r="DZ165" s="1223">
        <f>$G165*BE165*Variables!$B$53*HLOOKUP($DY$2,Variables!$B$60:$F$61,2,FALSE)</f>
        <v>0</v>
      </c>
      <c r="EA165" s="1223">
        <f>$G165*BF165*Variables!$B$53*HLOOKUP($DY$2,Variables!$B$60:$F$61,2,FALSE)</f>
        <v>0</v>
      </c>
      <c r="EB165" s="1223">
        <f>$G165*BG165*Variables!$B$53*HLOOKUP($DY$2,Variables!$B$60:$F$61,2,FALSE)</f>
        <v>0</v>
      </c>
      <c r="EC165" s="1223">
        <f>$G165*BH165*Variables!$B$53*HLOOKUP($DY$2,Variables!$B$60:$F$61,2,FALSE)</f>
        <v>0</v>
      </c>
      <c r="ED165" s="1223">
        <f>$G165*BI165*Variables!$B$53*HLOOKUP($DY$2,Variables!$B$60:$F$61,2,FALSE)</f>
        <v>0</v>
      </c>
      <c r="EE165" s="1223">
        <f>$G165*BJ165*Variables!$B$53*HLOOKUP($DY$2,Variables!$B$60:$F$61,2,FALSE)</f>
        <v>0</v>
      </c>
      <c r="EF165" s="1223">
        <f>$G165*BK165*Variables!$B$53*HLOOKUP($DY$2,Variables!$B$60:$F$61,2,FALSE)</f>
        <v>0</v>
      </c>
      <c r="EG165" s="1223">
        <f>$G165*BL165*Variables!$B$53*HLOOKUP($DY$2,Variables!$B$60:$F$61,2,FALSE)</f>
        <v>0</v>
      </c>
      <c r="EH165" s="1223">
        <f>$G165*BM165*Variables!$B$53*HLOOKUP($DY$2,Variables!$B$60:$F$61,2,FALSE)</f>
        <v>0</v>
      </c>
      <c r="EI165" s="1223">
        <f>$G165*BN165*Variables!$B$53*HLOOKUP($DY$2,Variables!$B$60:$F$61,2,FALSE)</f>
        <v>0</v>
      </c>
      <c r="EJ165" s="1225">
        <f>$G165*BO165*Variables!$B$53*HLOOKUP($DY$2,Variables!$B$60:$F$61,2,FALSE)</f>
        <v>0</v>
      </c>
      <c r="EK165" s="1222">
        <f>$G165*BP165*Variables!$B$53*HLOOKUP($EK$2,Variables!$B$60:$F$61,2,FALSE)</f>
        <v>0</v>
      </c>
      <c r="EL165" s="1223">
        <f>$G165*BQ165*Variables!$B$53*HLOOKUP($EK$2,Variables!$B$60:$F$61,2,FALSE)</f>
        <v>0</v>
      </c>
      <c r="EM165" s="1223">
        <f>$G165*BR165*Variables!$B$53*HLOOKUP($EK$2,Variables!$B$60:$F$61,2,FALSE)</f>
        <v>0</v>
      </c>
      <c r="EN165" s="1223">
        <f>$G165*BS165*Variables!$B$53*HLOOKUP($EK$2,Variables!$B$60:$F$61,2,FALSE)</f>
        <v>0</v>
      </c>
      <c r="EO165" s="1223">
        <f>$G165*BT165*Variables!$B$53*HLOOKUP($EK$2,Variables!$B$60:$F$61,2,FALSE)</f>
        <v>0</v>
      </c>
      <c r="EP165" s="1223">
        <f>$G165*BU165*Variables!$B$53*HLOOKUP($EK$2,Variables!$B$60:$F$61,2,FALSE)</f>
        <v>0</v>
      </c>
      <c r="EQ165" s="1223">
        <f>$G165*BV165*Variables!$B$53*HLOOKUP($EK$2,Variables!$B$60:$F$61,2,FALSE)</f>
        <v>0</v>
      </c>
      <c r="ER165" s="1223">
        <f>$G165*BW165*Variables!$B$53*HLOOKUP($EK$2,Variables!$B$60:$F$61,2,FALSE)</f>
        <v>0</v>
      </c>
      <c r="ES165" s="1223">
        <f>$G165*BX165*Variables!$B$53*HLOOKUP($EK$2,Variables!$B$60:$F$61,2,FALSE)</f>
        <v>0</v>
      </c>
      <c r="ET165" s="1223">
        <f>$G165*BY165*Variables!$B$53*HLOOKUP($EK$2,Variables!$B$60:$F$61,2,FALSE)</f>
        <v>0</v>
      </c>
      <c r="EU165" s="1223">
        <f>$G165*BZ165*Variables!$B$53*HLOOKUP($EK$2,Variables!$B$60:$F$61,2,FALSE)</f>
        <v>0</v>
      </c>
      <c r="EV165" s="1225">
        <f>$G165*CA165*Variables!$B$53*HLOOKUP($EK$2,Variables!$B$60:$F$61,2,FALSE)</f>
        <v>0</v>
      </c>
      <c r="EW165" s="872">
        <f t="shared" si="24"/>
        <v>0</v>
      </c>
      <c r="EX165" s="872"/>
      <c r="EY165" s="872"/>
      <c r="EZ165" s="872"/>
      <c r="FA165" s="1332"/>
      <c r="FC165" s="958" t="str">
        <f t="shared" si="25"/>
        <v/>
      </c>
      <c r="FD165" s="959" t="str">
        <f t="shared" si="26"/>
        <v/>
      </c>
      <c r="FE165" s="959" t="s">
        <v>8407</v>
      </c>
      <c r="FF165" s="959" t="str">
        <f>IF(ISNA(VLOOKUP(FC165,Miscellaneous!E:F,2,0)),"",VLOOKUP(FC165,Miscellaneous!E:F,2,0))</f>
        <v/>
      </c>
      <c r="FG165" s="959" t="str">
        <f t="shared" si="27"/>
        <v/>
      </c>
      <c r="FH165" s="996">
        <f>IF($FG165="Opex",SUMIF('Monthly Summary'!$C$75:$N$75,"",CC165:CN165),SUMIF('Monthly Summary'!$C$74:$N$74,"",CC165:CN165))</f>
        <v>0</v>
      </c>
      <c r="FI165" s="996">
        <f>IF($FG165="Opex",SUMIF('Monthly Summary'!$O$75:$Z$75,"",CO165:CZ165),SUMIF('Monthly Summary'!$O$74:$Z$74,"",CO165:CZ165))</f>
        <v>0</v>
      </c>
      <c r="FJ165" s="996">
        <f>IF($FG165="Opex",SUMIF('Monthly Summary'!$AA$75:$AL$75,"",DA165:DL165),SUMIF('Monthly Summary'!$AA$74:$AL$74,"",DA165:DL165))</f>
        <v>0</v>
      </c>
      <c r="FK165" s="996">
        <f>IF($FG165="Opex",SUMIF('Monthly Summary'!$AM$75:$AX$75,"",DM165:DX165),SUMIF('Monthly Summary'!$AM$74:$AX$74,"",DM165:DX165))</f>
        <v>0</v>
      </c>
      <c r="FL165" s="996">
        <f>IF($FG165="Opex",SUMIF('Monthly Summary'!$AY$75:$BJ$75,"",DY165:EJ165),SUMIF('Monthly Summary'!$AY$74:$BJ$74,"",DY165:EJ165))</f>
        <v>0</v>
      </c>
      <c r="FM165" s="997">
        <f>IF($FG165="Opex",SUMIF('Monthly Summary'!$BK$75:$BV$75,"",EK165:EV165),SUMIF('Monthly Summary'!$BK$74:$BV$74,"",EK165:EV165))</f>
        <v>0</v>
      </c>
      <c r="FN165" s="997">
        <f t="shared" si="28"/>
        <v>0</v>
      </c>
    </row>
    <row r="166" spans="3:170">
      <c r="C166" s="757"/>
      <c r="D166" s="757"/>
      <c r="E166" s="758"/>
      <c r="F166" s="758"/>
      <c r="G166" s="758"/>
      <c r="H166" s="1215"/>
      <c r="I166" s="761"/>
      <c r="J166" s="761"/>
      <c r="K166" s="761"/>
      <c r="L166" s="761"/>
      <c r="M166" s="761"/>
      <c r="N166" s="761"/>
      <c r="O166" s="761"/>
      <c r="P166" s="761"/>
      <c r="Q166" s="761"/>
      <c r="R166" s="761"/>
      <c r="S166" s="1216"/>
      <c r="T166" s="1215"/>
      <c r="U166" s="761"/>
      <c r="V166" s="761"/>
      <c r="W166" s="761"/>
      <c r="X166" s="761"/>
      <c r="Y166" s="761"/>
      <c r="Z166" s="761"/>
      <c r="AA166" s="761"/>
      <c r="AB166" s="761"/>
      <c r="AC166" s="761"/>
      <c r="AD166" s="761"/>
      <c r="AE166" s="1216"/>
      <c r="AF166" s="1215"/>
      <c r="AG166" s="761"/>
      <c r="AH166" s="761"/>
      <c r="AI166" s="761"/>
      <c r="AJ166" s="761"/>
      <c r="AK166" s="761"/>
      <c r="AL166" s="761"/>
      <c r="AM166" s="761"/>
      <c r="AN166" s="761"/>
      <c r="AO166" s="761"/>
      <c r="AP166" s="761"/>
      <c r="AQ166" s="1216"/>
      <c r="AR166" s="1215"/>
      <c r="AS166" s="761"/>
      <c r="AT166" s="761"/>
      <c r="AU166" s="761"/>
      <c r="AV166" s="761"/>
      <c r="AW166" s="761"/>
      <c r="AX166" s="761"/>
      <c r="AY166" s="761"/>
      <c r="AZ166" s="761"/>
      <c r="BA166" s="761"/>
      <c r="BB166" s="761"/>
      <c r="BC166" s="1216"/>
      <c r="BD166" s="1215"/>
      <c r="BE166" s="761"/>
      <c r="BF166" s="761"/>
      <c r="BG166" s="761"/>
      <c r="BH166" s="761"/>
      <c r="BI166" s="761"/>
      <c r="BJ166" s="761"/>
      <c r="BK166" s="761"/>
      <c r="BL166" s="761"/>
      <c r="BM166" s="761"/>
      <c r="BN166" s="761"/>
      <c r="BO166" s="1216"/>
      <c r="BP166" s="1215"/>
      <c r="BQ166" s="761"/>
      <c r="BR166" s="761"/>
      <c r="BS166" s="761"/>
      <c r="BT166" s="761"/>
      <c r="BU166" s="761"/>
      <c r="BV166" s="761"/>
      <c r="BW166" s="761"/>
      <c r="BX166" s="761"/>
      <c r="BY166" s="761"/>
      <c r="BZ166" s="761"/>
      <c r="CA166" s="1216"/>
      <c r="CB166" s="747"/>
      <c r="CC166" s="1222">
        <f>$G166*H166*Variables!$B$53</f>
        <v>0</v>
      </c>
      <c r="CD166" s="1223">
        <f>$G166*I166*Variables!$B$53</f>
        <v>0</v>
      </c>
      <c r="CE166" s="1223">
        <f>$G166*J166*Variables!$B$53</f>
        <v>0</v>
      </c>
      <c r="CF166" s="1223">
        <f>$G166*K166*Variables!$B$53</f>
        <v>0</v>
      </c>
      <c r="CG166" s="1223">
        <f>$G166*L166*Variables!$B$53</f>
        <v>0</v>
      </c>
      <c r="CH166" s="1223">
        <f>$G166*M166*Variables!$B$53</f>
        <v>0</v>
      </c>
      <c r="CI166" s="1223">
        <f>$G166*N166*Variables!$B$53</f>
        <v>0</v>
      </c>
      <c r="CJ166" s="1223">
        <f>$G166*O166*Variables!$B$53</f>
        <v>0</v>
      </c>
      <c r="CK166" s="1223">
        <f>$G166*P166*Variables!$B$53</f>
        <v>0</v>
      </c>
      <c r="CL166" s="1223">
        <f>$G166*Q166*Variables!$B$53</f>
        <v>0</v>
      </c>
      <c r="CM166" s="1223">
        <f>$G166*R166*Variables!$B$53</f>
        <v>0</v>
      </c>
      <c r="CN166" s="1225">
        <f>$G166*S166*Variables!$B$53</f>
        <v>0</v>
      </c>
      <c r="CO166" s="1222">
        <f>$G166*T166*Variables!$B$53*HLOOKUP($CO$2,Variables!$B$60:$F$61,2,FALSE)</f>
        <v>0</v>
      </c>
      <c r="CP166" s="1223">
        <f>$G166*U166*Variables!$B$53*HLOOKUP($CO$2,Variables!$B$60:$F$61,2,FALSE)</f>
        <v>0</v>
      </c>
      <c r="CQ166" s="1223">
        <f>$G166*V166*Variables!$B$53*HLOOKUP($CO$2,Variables!$B$60:$F$61,2,FALSE)</f>
        <v>0</v>
      </c>
      <c r="CR166" s="1223">
        <f>$G166*W166*Variables!$B$53*HLOOKUP($CO$2,Variables!$B$60:$F$61,2,FALSE)</f>
        <v>0</v>
      </c>
      <c r="CS166" s="1223">
        <f>$G166*X166*Variables!$B$53*HLOOKUP($CO$2,Variables!$B$60:$F$61,2,FALSE)</f>
        <v>0</v>
      </c>
      <c r="CT166" s="1223">
        <f>$G166*Y166*Variables!$B$53*HLOOKUP($CO$2,Variables!$B$60:$F$61,2,FALSE)</f>
        <v>0</v>
      </c>
      <c r="CU166" s="1223">
        <f>$G166*Z166*Variables!$B$53*HLOOKUP($CO$2,Variables!$B$60:$F$61,2,FALSE)</f>
        <v>0</v>
      </c>
      <c r="CV166" s="1223">
        <f>$G166*AA166*Variables!$B$53*HLOOKUP($CO$2,Variables!$B$60:$F$61,2,FALSE)</f>
        <v>0</v>
      </c>
      <c r="CW166" s="1223">
        <f>$G166*AB166*Variables!$B$53*HLOOKUP($CO$2,Variables!$B$60:$F$61,2,FALSE)</f>
        <v>0</v>
      </c>
      <c r="CX166" s="1223">
        <f>$G166*AC166*Variables!$B$53*HLOOKUP($CO$2,Variables!$B$60:$F$61,2,FALSE)</f>
        <v>0</v>
      </c>
      <c r="CY166" s="1223">
        <f>$G166*AD166*Variables!$B$53*HLOOKUP($CO$2,Variables!$B$60:$F$61,2,FALSE)</f>
        <v>0</v>
      </c>
      <c r="CZ166" s="1225">
        <f>$G166*AE166*Variables!$B$53*HLOOKUP($CO$2,Variables!$B$60:$F$61,2,FALSE)</f>
        <v>0</v>
      </c>
      <c r="DA166" s="1222">
        <f>$G166*AF166*Variables!$B$53*HLOOKUP($DA$2,Variables!$B$60:$F$61,2,FALSE)</f>
        <v>0</v>
      </c>
      <c r="DB166" s="1223">
        <f>$G166*AG166*Variables!$B$53*HLOOKUP($DA$2,Variables!$B$60:$F$61,2,FALSE)</f>
        <v>0</v>
      </c>
      <c r="DC166" s="1223">
        <f>$G166*AH166*Variables!$B$53*HLOOKUP($DA$2,Variables!$B$60:$F$61,2,FALSE)</f>
        <v>0</v>
      </c>
      <c r="DD166" s="1223">
        <f>$G166*AI166*Variables!$B$53*HLOOKUP($DA$2,Variables!$B$60:$F$61,2,FALSE)</f>
        <v>0</v>
      </c>
      <c r="DE166" s="1223">
        <f>$G166*AJ166*Variables!$B$53*HLOOKUP($DA$2,Variables!$B$60:$F$61,2,FALSE)</f>
        <v>0</v>
      </c>
      <c r="DF166" s="1223">
        <f>$G166*AK166*Variables!$B$53*HLOOKUP($DA$2,Variables!$B$60:$F$61,2,FALSE)</f>
        <v>0</v>
      </c>
      <c r="DG166" s="1223">
        <f>$G166*AL166*Variables!$B$53*HLOOKUP($DA$2,Variables!$B$60:$F$61,2,FALSE)</f>
        <v>0</v>
      </c>
      <c r="DH166" s="1223">
        <f>$G166*AM166*Variables!$B$53*HLOOKUP($DA$2,Variables!$B$60:$F$61,2,FALSE)</f>
        <v>0</v>
      </c>
      <c r="DI166" s="1223">
        <f>$G166*AN166*Variables!$B$53*HLOOKUP($DA$2,Variables!$B$60:$F$61,2,FALSE)</f>
        <v>0</v>
      </c>
      <c r="DJ166" s="1223">
        <f>$G166*AO166*Variables!$B$53*HLOOKUP($DA$2,Variables!$B$60:$F$61,2,FALSE)</f>
        <v>0</v>
      </c>
      <c r="DK166" s="1223">
        <f>$G166*AP166*Variables!$B$53*HLOOKUP($DA$2,Variables!$B$60:$F$61,2,FALSE)</f>
        <v>0</v>
      </c>
      <c r="DL166" s="1225">
        <f>$G166*AQ166*Variables!$B$53*HLOOKUP($DA$2,Variables!$B$60:$F$61,2,FALSE)</f>
        <v>0</v>
      </c>
      <c r="DM166" s="1222">
        <f>$G166*AR166*Variables!$B$53*HLOOKUP($DM$2,Variables!$B$60:$F$61,2,FALSE)</f>
        <v>0</v>
      </c>
      <c r="DN166" s="1223">
        <f>$G166*AS166*Variables!$B$53*HLOOKUP($DM$2,Variables!$B$60:$F$61,2,FALSE)</f>
        <v>0</v>
      </c>
      <c r="DO166" s="1223">
        <f>$G166*AT166*Variables!$B$53*HLOOKUP($DM$2,Variables!$B$60:$F$61,2,FALSE)</f>
        <v>0</v>
      </c>
      <c r="DP166" s="1223">
        <f>$G166*AU166*Variables!$B$53*HLOOKUP($DM$2,Variables!$B$60:$F$61,2,FALSE)</f>
        <v>0</v>
      </c>
      <c r="DQ166" s="1223">
        <f>$G166*AV166*Variables!$B$53*HLOOKUP($DM$2,Variables!$B$60:$F$61,2,FALSE)</f>
        <v>0</v>
      </c>
      <c r="DR166" s="1223">
        <f>$G166*AW166*Variables!$B$53*HLOOKUP($DM$2,Variables!$B$60:$F$61,2,FALSE)</f>
        <v>0</v>
      </c>
      <c r="DS166" s="1223">
        <f>$G166*AX166*Variables!$B$53*HLOOKUP($DM$2,Variables!$B$60:$F$61,2,FALSE)</f>
        <v>0</v>
      </c>
      <c r="DT166" s="1223">
        <f>$G166*AY166*Variables!$B$53*HLOOKUP($DM$2,Variables!$B$60:$F$61,2,FALSE)</f>
        <v>0</v>
      </c>
      <c r="DU166" s="1223">
        <f>$G166*AZ166*Variables!$B$53*HLOOKUP($DM$2,Variables!$B$60:$F$61,2,FALSE)</f>
        <v>0</v>
      </c>
      <c r="DV166" s="1223">
        <f>$G166*BA166*Variables!$B$53*HLOOKUP($DM$2,Variables!$B$60:$F$61,2,FALSE)</f>
        <v>0</v>
      </c>
      <c r="DW166" s="1223">
        <f>$G166*BB166*Variables!$B$53*HLOOKUP($DM$2,Variables!$B$60:$F$61,2,FALSE)</f>
        <v>0</v>
      </c>
      <c r="DX166" s="1225">
        <f>$G166*BC166*Variables!$B$53*HLOOKUP($DM$2,Variables!$B$60:$F$61,2,FALSE)</f>
        <v>0</v>
      </c>
      <c r="DY166" s="1222">
        <f>$G166*BD166*Variables!$B$53*HLOOKUP($DY$2,Variables!$B$60:$F$61,2,FALSE)</f>
        <v>0</v>
      </c>
      <c r="DZ166" s="1223">
        <f>$G166*BE166*Variables!$B$53*HLOOKUP($DY$2,Variables!$B$60:$F$61,2,FALSE)</f>
        <v>0</v>
      </c>
      <c r="EA166" s="1223">
        <f>$G166*BF166*Variables!$B$53*HLOOKUP($DY$2,Variables!$B$60:$F$61,2,FALSE)</f>
        <v>0</v>
      </c>
      <c r="EB166" s="1223">
        <f>$G166*BG166*Variables!$B$53*HLOOKUP($DY$2,Variables!$B$60:$F$61,2,FALSE)</f>
        <v>0</v>
      </c>
      <c r="EC166" s="1223">
        <f>$G166*BH166*Variables!$B$53*HLOOKUP($DY$2,Variables!$B$60:$F$61,2,FALSE)</f>
        <v>0</v>
      </c>
      <c r="ED166" s="1223">
        <f>$G166*BI166*Variables!$B$53*HLOOKUP($DY$2,Variables!$B$60:$F$61,2,FALSE)</f>
        <v>0</v>
      </c>
      <c r="EE166" s="1223">
        <f>$G166*BJ166*Variables!$B$53*HLOOKUP($DY$2,Variables!$B$60:$F$61,2,FALSE)</f>
        <v>0</v>
      </c>
      <c r="EF166" s="1223">
        <f>$G166*BK166*Variables!$B$53*HLOOKUP($DY$2,Variables!$B$60:$F$61,2,FALSE)</f>
        <v>0</v>
      </c>
      <c r="EG166" s="1223">
        <f>$G166*BL166*Variables!$B$53*HLOOKUP($DY$2,Variables!$B$60:$F$61,2,FALSE)</f>
        <v>0</v>
      </c>
      <c r="EH166" s="1223">
        <f>$G166*BM166*Variables!$B$53*HLOOKUP($DY$2,Variables!$B$60:$F$61,2,FALSE)</f>
        <v>0</v>
      </c>
      <c r="EI166" s="1223">
        <f>$G166*BN166*Variables!$B$53*HLOOKUP($DY$2,Variables!$B$60:$F$61,2,FALSE)</f>
        <v>0</v>
      </c>
      <c r="EJ166" s="1225">
        <f>$G166*BO166*Variables!$B$53*HLOOKUP($DY$2,Variables!$B$60:$F$61,2,FALSE)</f>
        <v>0</v>
      </c>
      <c r="EK166" s="1222">
        <f>$G166*BP166*Variables!$B$53*HLOOKUP($EK$2,Variables!$B$60:$F$61,2,FALSE)</f>
        <v>0</v>
      </c>
      <c r="EL166" s="1223">
        <f>$G166*BQ166*Variables!$B$53*HLOOKUP($EK$2,Variables!$B$60:$F$61,2,FALSE)</f>
        <v>0</v>
      </c>
      <c r="EM166" s="1223">
        <f>$G166*BR166*Variables!$B$53*HLOOKUP($EK$2,Variables!$B$60:$F$61,2,FALSE)</f>
        <v>0</v>
      </c>
      <c r="EN166" s="1223">
        <f>$G166*BS166*Variables!$B$53*HLOOKUP($EK$2,Variables!$B$60:$F$61,2,FALSE)</f>
        <v>0</v>
      </c>
      <c r="EO166" s="1223">
        <f>$G166*BT166*Variables!$B$53*HLOOKUP($EK$2,Variables!$B$60:$F$61,2,FALSE)</f>
        <v>0</v>
      </c>
      <c r="EP166" s="1223">
        <f>$G166*BU166*Variables!$B$53*HLOOKUP($EK$2,Variables!$B$60:$F$61,2,FALSE)</f>
        <v>0</v>
      </c>
      <c r="EQ166" s="1223">
        <f>$G166*BV166*Variables!$B$53*HLOOKUP($EK$2,Variables!$B$60:$F$61,2,FALSE)</f>
        <v>0</v>
      </c>
      <c r="ER166" s="1223">
        <f>$G166*BW166*Variables!$B$53*HLOOKUP($EK$2,Variables!$B$60:$F$61,2,FALSE)</f>
        <v>0</v>
      </c>
      <c r="ES166" s="1223">
        <f>$G166*BX166*Variables!$B$53*HLOOKUP($EK$2,Variables!$B$60:$F$61,2,FALSE)</f>
        <v>0</v>
      </c>
      <c r="ET166" s="1223">
        <f>$G166*BY166*Variables!$B$53*HLOOKUP($EK$2,Variables!$B$60:$F$61,2,FALSE)</f>
        <v>0</v>
      </c>
      <c r="EU166" s="1223">
        <f>$G166*BZ166*Variables!$B$53*HLOOKUP($EK$2,Variables!$B$60:$F$61,2,FALSE)</f>
        <v>0</v>
      </c>
      <c r="EV166" s="1225">
        <f>$G166*CA166*Variables!$B$53*HLOOKUP($EK$2,Variables!$B$60:$F$61,2,FALSE)</f>
        <v>0</v>
      </c>
      <c r="EW166" s="872">
        <f t="shared" si="24"/>
        <v>0</v>
      </c>
      <c r="EX166" s="872"/>
      <c r="EY166" s="872"/>
      <c r="EZ166" s="872"/>
      <c r="FA166" s="1332"/>
      <c r="FC166" s="958" t="str">
        <f t="shared" si="25"/>
        <v/>
      </c>
      <c r="FD166" s="959" t="str">
        <f t="shared" si="26"/>
        <v/>
      </c>
      <c r="FE166" s="959" t="s">
        <v>8407</v>
      </c>
      <c r="FF166" s="959" t="str">
        <f>IF(ISNA(VLOOKUP(FC166,Miscellaneous!E:F,2,0)),"",VLOOKUP(FC166,Miscellaneous!E:F,2,0))</f>
        <v/>
      </c>
      <c r="FG166" s="959" t="str">
        <f t="shared" si="27"/>
        <v/>
      </c>
      <c r="FH166" s="996">
        <f>IF($FG166="Opex",SUMIF('Monthly Summary'!$C$75:$N$75,"",CC166:CN166),SUMIF('Monthly Summary'!$C$74:$N$74,"",CC166:CN166))</f>
        <v>0</v>
      </c>
      <c r="FI166" s="996">
        <f>IF($FG166="Opex",SUMIF('Monthly Summary'!$O$75:$Z$75,"",CO166:CZ166),SUMIF('Monthly Summary'!$O$74:$Z$74,"",CO166:CZ166))</f>
        <v>0</v>
      </c>
      <c r="FJ166" s="996">
        <f>IF($FG166="Opex",SUMIF('Monthly Summary'!$AA$75:$AL$75,"",DA166:DL166),SUMIF('Monthly Summary'!$AA$74:$AL$74,"",DA166:DL166))</f>
        <v>0</v>
      </c>
      <c r="FK166" s="996">
        <f>IF($FG166="Opex",SUMIF('Monthly Summary'!$AM$75:$AX$75,"",DM166:DX166),SUMIF('Monthly Summary'!$AM$74:$AX$74,"",DM166:DX166))</f>
        <v>0</v>
      </c>
      <c r="FL166" s="996">
        <f>IF($FG166="Opex",SUMIF('Monthly Summary'!$AY$75:$BJ$75,"",DY166:EJ166),SUMIF('Monthly Summary'!$AY$74:$BJ$74,"",DY166:EJ166))</f>
        <v>0</v>
      </c>
      <c r="FM166" s="997">
        <f>IF($FG166="Opex",SUMIF('Monthly Summary'!$BK$75:$BV$75,"",EK166:EV166),SUMIF('Monthly Summary'!$BK$74:$BV$74,"",EK166:EV166))</f>
        <v>0</v>
      </c>
      <c r="FN166" s="997">
        <f t="shared" si="28"/>
        <v>0</v>
      </c>
    </row>
    <row r="167" spans="3:170">
      <c r="C167" s="757"/>
      <c r="D167" s="757"/>
      <c r="E167" s="758"/>
      <c r="F167" s="758"/>
      <c r="G167" s="758"/>
      <c r="H167" s="1215"/>
      <c r="I167" s="761"/>
      <c r="J167" s="761"/>
      <c r="K167" s="761"/>
      <c r="L167" s="761"/>
      <c r="M167" s="761"/>
      <c r="N167" s="761"/>
      <c r="O167" s="761"/>
      <c r="P167" s="761"/>
      <c r="Q167" s="761"/>
      <c r="R167" s="761"/>
      <c r="S167" s="1216"/>
      <c r="T167" s="1215"/>
      <c r="U167" s="761"/>
      <c r="V167" s="761"/>
      <c r="W167" s="761"/>
      <c r="X167" s="761"/>
      <c r="Y167" s="761"/>
      <c r="Z167" s="761"/>
      <c r="AA167" s="761"/>
      <c r="AB167" s="761"/>
      <c r="AC167" s="761"/>
      <c r="AD167" s="761"/>
      <c r="AE167" s="1216"/>
      <c r="AF167" s="1215"/>
      <c r="AG167" s="761"/>
      <c r="AH167" s="761"/>
      <c r="AI167" s="761"/>
      <c r="AJ167" s="761"/>
      <c r="AK167" s="761"/>
      <c r="AL167" s="761"/>
      <c r="AM167" s="761"/>
      <c r="AN167" s="761"/>
      <c r="AO167" s="761"/>
      <c r="AP167" s="761"/>
      <c r="AQ167" s="1216"/>
      <c r="AR167" s="1215"/>
      <c r="AS167" s="761"/>
      <c r="AT167" s="761"/>
      <c r="AU167" s="761"/>
      <c r="AV167" s="761"/>
      <c r="AW167" s="761"/>
      <c r="AX167" s="761"/>
      <c r="AY167" s="761"/>
      <c r="AZ167" s="761"/>
      <c r="BA167" s="761"/>
      <c r="BB167" s="761"/>
      <c r="BC167" s="1216"/>
      <c r="BD167" s="1215"/>
      <c r="BE167" s="761"/>
      <c r="BF167" s="761"/>
      <c r="BG167" s="761"/>
      <c r="BH167" s="761"/>
      <c r="BI167" s="761"/>
      <c r="BJ167" s="761"/>
      <c r="BK167" s="761"/>
      <c r="BL167" s="761"/>
      <c r="BM167" s="761"/>
      <c r="BN167" s="761"/>
      <c r="BO167" s="1216"/>
      <c r="BP167" s="1215"/>
      <c r="BQ167" s="761"/>
      <c r="BR167" s="761"/>
      <c r="BS167" s="761"/>
      <c r="BT167" s="761"/>
      <c r="BU167" s="761"/>
      <c r="BV167" s="761"/>
      <c r="BW167" s="761"/>
      <c r="BX167" s="761"/>
      <c r="BY167" s="761"/>
      <c r="BZ167" s="761"/>
      <c r="CA167" s="1216"/>
      <c r="CB167" s="747"/>
      <c r="CC167" s="1222">
        <f>$G167*H167*Variables!$B$53</f>
        <v>0</v>
      </c>
      <c r="CD167" s="1223">
        <f>$G167*I167*Variables!$B$53</f>
        <v>0</v>
      </c>
      <c r="CE167" s="1223">
        <f>$G167*J167*Variables!$B$53</f>
        <v>0</v>
      </c>
      <c r="CF167" s="1223">
        <f>$G167*K167*Variables!$B$53</f>
        <v>0</v>
      </c>
      <c r="CG167" s="1223">
        <f>$G167*L167*Variables!$B$53</f>
        <v>0</v>
      </c>
      <c r="CH167" s="1223">
        <f>$G167*M167*Variables!$B$53</f>
        <v>0</v>
      </c>
      <c r="CI167" s="1223">
        <f>$G167*N167*Variables!$B$53</f>
        <v>0</v>
      </c>
      <c r="CJ167" s="1223">
        <f>$G167*O167*Variables!$B$53</f>
        <v>0</v>
      </c>
      <c r="CK167" s="1223">
        <f>$G167*P167*Variables!$B$53</f>
        <v>0</v>
      </c>
      <c r="CL167" s="1223">
        <f>$G167*Q167*Variables!$B$53</f>
        <v>0</v>
      </c>
      <c r="CM167" s="1223">
        <f>$G167*R167*Variables!$B$53</f>
        <v>0</v>
      </c>
      <c r="CN167" s="1225">
        <f>$G167*S167*Variables!$B$53</f>
        <v>0</v>
      </c>
      <c r="CO167" s="1222">
        <f>$G167*T167*Variables!$B$53*HLOOKUP($CO$2,Variables!$B$60:$F$61,2,FALSE)</f>
        <v>0</v>
      </c>
      <c r="CP167" s="1223">
        <f>$G167*U167*Variables!$B$53*HLOOKUP($CO$2,Variables!$B$60:$F$61,2,FALSE)</f>
        <v>0</v>
      </c>
      <c r="CQ167" s="1223">
        <f>$G167*V167*Variables!$B$53*HLOOKUP($CO$2,Variables!$B$60:$F$61,2,FALSE)</f>
        <v>0</v>
      </c>
      <c r="CR167" s="1223">
        <f>$G167*W167*Variables!$B$53*HLOOKUP($CO$2,Variables!$B$60:$F$61,2,FALSE)</f>
        <v>0</v>
      </c>
      <c r="CS167" s="1223">
        <f>$G167*X167*Variables!$B$53*HLOOKUP($CO$2,Variables!$B$60:$F$61,2,FALSE)</f>
        <v>0</v>
      </c>
      <c r="CT167" s="1223">
        <f>$G167*Y167*Variables!$B$53*HLOOKUP($CO$2,Variables!$B$60:$F$61,2,FALSE)</f>
        <v>0</v>
      </c>
      <c r="CU167" s="1223">
        <f>$G167*Z167*Variables!$B$53*HLOOKUP($CO$2,Variables!$B$60:$F$61,2,FALSE)</f>
        <v>0</v>
      </c>
      <c r="CV167" s="1223">
        <f>$G167*AA167*Variables!$B$53*HLOOKUP($CO$2,Variables!$B$60:$F$61,2,FALSE)</f>
        <v>0</v>
      </c>
      <c r="CW167" s="1223">
        <f>$G167*AB167*Variables!$B$53*HLOOKUP($CO$2,Variables!$B$60:$F$61,2,FALSE)</f>
        <v>0</v>
      </c>
      <c r="CX167" s="1223">
        <f>$G167*AC167*Variables!$B$53*HLOOKUP($CO$2,Variables!$B$60:$F$61,2,FALSE)</f>
        <v>0</v>
      </c>
      <c r="CY167" s="1223">
        <f>$G167*AD167*Variables!$B$53*HLOOKUP($CO$2,Variables!$B$60:$F$61,2,FALSE)</f>
        <v>0</v>
      </c>
      <c r="CZ167" s="1225">
        <f>$G167*AE167*Variables!$B$53*HLOOKUP($CO$2,Variables!$B$60:$F$61,2,FALSE)</f>
        <v>0</v>
      </c>
      <c r="DA167" s="1222">
        <f>$G167*AF167*Variables!$B$53*HLOOKUP($DA$2,Variables!$B$60:$F$61,2,FALSE)</f>
        <v>0</v>
      </c>
      <c r="DB167" s="1223">
        <f>$G167*AG167*Variables!$B$53*HLOOKUP($DA$2,Variables!$B$60:$F$61,2,FALSE)</f>
        <v>0</v>
      </c>
      <c r="DC167" s="1223">
        <f>$G167*AH167*Variables!$B$53*HLOOKUP($DA$2,Variables!$B$60:$F$61,2,FALSE)</f>
        <v>0</v>
      </c>
      <c r="DD167" s="1223">
        <f>$G167*AI167*Variables!$B$53*HLOOKUP($DA$2,Variables!$B$60:$F$61,2,FALSE)</f>
        <v>0</v>
      </c>
      <c r="DE167" s="1223">
        <f>$G167*AJ167*Variables!$B$53*HLOOKUP($DA$2,Variables!$B$60:$F$61,2,FALSE)</f>
        <v>0</v>
      </c>
      <c r="DF167" s="1223">
        <f>$G167*AK167*Variables!$B$53*HLOOKUP($DA$2,Variables!$B$60:$F$61,2,FALSE)</f>
        <v>0</v>
      </c>
      <c r="DG167" s="1223">
        <f>$G167*AL167*Variables!$B$53*HLOOKUP($DA$2,Variables!$B$60:$F$61,2,FALSE)</f>
        <v>0</v>
      </c>
      <c r="DH167" s="1223">
        <f>$G167*AM167*Variables!$B$53*HLOOKUP($DA$2,Variables!$B$60:$F$61,2,FALSE)</f>
        <v>0</v>
      </c>
      <c r="DI167" s="1223">
        <f>$G167*AN167*Variables!$B$53*HLOOKUP($DA$2,Variables!$B$60:$F$61,2,FALSE)</f>
        <v>0</v>
      </c>
      <c r="DJ167" s="1223">
        <f>$G167*AO167*Variables!$B$53*HLOOKUP($DA$2,Variables!$B$60:$F$61,2,FALSE)</f>
        <v>0</v>
      </c>
      <c r="DK167" s="1223">
        <f>$G167*AP167*Variables!$B$53*HLOOKUP($DA$2,Variables!$B$60:$F$61,2,FALSE)</f>
        <v>0</v>
      </c>
      <c r="DL167" s="1225">
        <f>$G167*AQ167*Variables!$B$53*HLOOKUP($DA$2,Variables!$B$60:$F$61,2,FALSE)</f>
        <v>0</v>
      </c>
      <c r="DM167" s="1222">
        <f>$G167*AR167*Variables!$B$53*HLOOKUP($DM$2,Variables!$B$60:$F$61,2,FALSE)</f>
        <v>0</v>
      </c>
      <c r="DN167" s="1223">
        <f>$G167*AS167*Variables!$B$53*HLOOKUP($DM$2,Variables!$B$60:$F$61,2,FALSE)</f>
        <v>0</v>
      </c>
      <c r="DO167" s="1223">
        <f>$G167*AT167*Variables!$B$53*HLOOKUP($DM$2,Variables!$B$60:$F$61,2,FALSE)</f>
        <v>0</v>
      </c>
      <c r="DP167" s="1223">
        <f>$G167*AU167*Variables!$B$53*HLOOKUP($DM$2,Variables!$B$60:$F$61,2,FALSE)</f>
        <v>0</v>
      </c>
      <c r="DQ167" s="1223">
        <f>$G167*AV167*Variables!$B$53*HLOOKUP($DM$2,Variables!$B$60:$F$61,2,FALSE)</f>
        <v>0</v>
      </c>
      <c r="DR167" s="1223">
        <f>$G167*AW167*Variables!$B$53*HLOOKUP($DM$2,Variables!$B$60:$F$61,2,FALSE)</f>
        <v>0</v>
      </c>
      <c r="DS167" s="1223">
        <f>$G167*AX167*Variables!$B$53*HLOOKUP($DM$2,Variables!$B$60:$F$61,2,FALSE)</f>
        <v>0</v>
      </c>
      <c r="DT167" s="1223">
        <f>$G167*AY167*Variables!$B$53*HLOOKUP($DM$2,Variables!$B$60:$F$61,2,FALSE)</f>
        <v>0</v>
      </c>
      <c r="DU167" s="1223">
        <f>$G167*AZ167*Variables!$B$53*HLOOKUP($DM$2,Variables!$B$60:$F$61,2,FALSE)</f>
        <v>0</v>
      </c>
      <c r="DV167" s="1223">
        <f>$G167*BA167*Variables!$B$53*HLOOKUP($DM$2,Variables!$B$60:$F$61,2,FALSE)</f>
        <v>0</v>
      </c>
      <c r="DW167" s="1223">
        <f>$G167*BB167*Variables!$B$53*HLOOKUP($DM$2,Variables!$B$60:$F$61,2,FALSE)</f>
        <v>0</v>
      </c>
      <c r="DX167" s="1225">
        <f>$G167*BC167*Variables!$B$53*HLOOKUP($DM$2,Variables!$B$60:$F$61,2,FALSE)</f>
        <v>0</v>
      </c>
      <c r="DY167" s="1222">
        <f>$G167*BD167*Variables!$B$53*HLOOKUP($DY$2,Variables!$B$60:$F$61,2,FALSE)</f>
        <v>0</v>
      </c>
      <c r="DZ167" s="1223">
        <f>$G167*BE167*Variables!$B$53*HLOOKUP($DY$2,Variables!$B$60:$F$61,2,FALSE)</f>
        <v>0</v>
      </c>
      <c r="EA167" s="1223">
        <f>$G167*BF167*Variables!$B$53*HLOOKUP($DY$2,Variables!$B$60:$F$61,2,FALSE)</f>
        <v>0</v>
      </c>
      <c r="EB167" s="1223">
        <f>$G167*BG167*Variables!$B$53*HLOOKUP($DY$2,Variables!$B$60:$F$61,2,FALSE)</f>
        <v>0</v>
      </c>
      <c r="EC167" s="1223">
        <f>$G167*BH167*Variables!$B$53*HLOOKUP($DY$2,Variables!$B$60:$F$61,2,FALSE)</f>
        <v>0</v>
      </c>
      <c r="ED167" s="1223">
        <f>$G167*BI167*Variables!$B$53*HLOOKUP($DY$2,Variables!$B$60:$F$61,2,FALSE)</f>
        <v>0</v>
      </c>
      <c r="EE167" s="1223">
        <f>$G167*BJ167*Variables!$B$53*HLOOKUP($DY$2,Variables!$B$60:$F$61,2,FALSE)</f>
        <v>0</v>
      </c>
      <c r="EF167" s="1223">
        <f>$G167*BK167*Variables!$B$53*HLOOKUP($DY$2,Variables!$B$60:$F$61,2,FALSE)</f>
        <v>0</v>
      </c>
      <c r="EG167" s="1223">
        <f>$G167*BL167*Variables!$B$53*HLOOKUP($DY$2,Variables!$B$60:$F$61,2,FALSE)</f>
        <v>0</v>
      </c>
      <c r="EH167" s="1223">
        <f>$G167*BM167*Variables!$B$53*HLOOKUP($DY$2,Variables!$B$60:$F$61,2,FALSE)</f>
        <v>0</v>
      </c>
      <c r="EI167" s="1223">
        <f>$G167*BN167*Variables!$B$53*HLOOKUP($DY$2,Variables!$B$60:$F$61,2,FALSE)</f>
        <v>0</v>
      </c>
      <c r="EJ167" s="1225">
        <f>$G167*BO167*Variables!$B$53*HLOOKUP($DY$2,Variables!$B$60:$F$61,2,FALSE)</f>
        <v>0</v>
      </c>
      <c r="EK167" s="1222">
        <f>$G167*BP167*Variables!$B$53*HLOOKUP($EK$2,Variables!$B$60:$F$61,2,FALSE)</f>
        <v>0</v>
      </c>
      <c r="EL167" s="1223">
        <f>$G167*BQ167*Variables!$B$53*HLOOKUP($EK$2,Variables!$B$60:$F$61,2,FALSE)</f>
        <v>0</v>
      </c>
      <c r="EM167" s="1223">
        <f>$G167*BR167*Variables!$B$53*HLOOKUP($EK$2,Variables!$B$60:$F$61,2,FALSE)</f>
        <v>0</v>
      </c>
      <c r="EN167" s="1223">
        <f>$G167*BS167*Variables!$B$53*HLOOKUP($EK$2,Variables!$B$60:$F$61,2,FALSE)</f>
        <v>0</v>
      </c>
      <c r="EO167" s="1223">
        <f>$G167*BT167*Variables!$B$53*HLOOKUP($EK$2,Variables!$B$60:$F$61,2,FALSE)</f>
        <v>0</v>
      </c>
      <c r="EP167" s="1223">
        <f>$G167*BU167*Variables!$B$53*HLOOKUP($EK$2,Variables!$B$60:$F$61,2,FALSE)</f>
        <v>0</v>
      </c>
      <c r="EQ167" s="1223">
        <f>$G167*BV167*Variables!$B$53*HLOOKUP($EK$2,Variables!$B$60:$F$61,2,FALSE)</f>
        <v>0</v>
      </c>
      <c r="ER167" s="1223">
        <f>$G167*BW167*Variables!$B$53*HLOOKUP($EK$2,Variables!$B$60:$F$61,2,FALSE)</f>
        <v>0</v>
      </c>
      <c r="ES167" s="1223">
        <f>$G167*BX167*Variables!$B$53*HLOOKUP($EK$2,Variables!$B$60:$F$61,2,FALSE)</f>
        <v>0</v>
      </c>
      <c r="ET167" s="1223">
        <f>$G167*BY167*Variables!$B$53*HLOOKUP($EK$2,Variables!$B$60:$F$61,2,FALSE)</f>
        <v>0</v>
      </c>
      <c r="EU167" s="1223">
        <f>$G167*BZ167*Variables!$B$53*HLOOKUP($EK$2,Variables!$B$60:$F$61,2,FALSE)</f>
        <v>0</v>
      </c>
      <c r="EV167" s="1225">
        <f>$G167*CA167*Variables!$B$53*HLOOKUP($EK$2,Variables!$B$60:$F$61,2,FALSE)</f>
        <v>0</v>
      </c>
      <c r="EW167" s="872">
        <f t="shared" si="24"/>
        <v>0</v>
      </c>
      <c r="EX167" s="872"/>
      <c r="EY167" s="872"/>
      <c r="EZ167" s="872"/>
      <c r="FA167" s="1332"/>
      <c r="FC167" s="958" t="str">
        <f t="shared" si="25"/>
        <v/>
      </c>
      <c r="FD167" s="959" t="str">
        <f t="shared" si="26"/>
        <v/>
      </c>
      <c r="FE167" s="959" t="s">
        <v>8407</v>
      </c>
      <c r="FF167" s="959" t="str">
        <f>IF(ISNA(VLOOKUP(FC167,Miscellaneous!E:F,2,0)),"",VLOOKUP(FC167,Miscellaneous!E:F,2,0))</f>
        <v/>
      </c>
      <c r="FG167" s="959" t="str">
        <f t="shared" si="27"/>
        <v/>
      </c>
      <c r="FH167" s="996">
        <f>IF($FG167="Opex",SUMIF('Monthly Summary'!$C$75:$N$75,"",CC167:CN167),SUMIF('Monthly Summary'!$C$74:$N$74,"",CC167:CN167))</f>
        <v>0</v>
      </c>
      <c r="FI167" s="996">
        <f>IF($FG167="Opex",SUMIF('Monthly Summary'!$O$75:$Z$75,"",CO167:CZ167),SUMIF('Monthly Summary'!$O$74:$Z$74,"",CO167:CZ167))</f>
        <v>0</v>
      </c>
      <c r="FJ167" s="996">
        <f>IF($FG167="Opex",SUMIF('Monthly Summary'!$AA$75:$AL$75,"",DA167:DL167),SUMIF('Monthly Summary'!$AA$74:$AL$74,"",DA167:DL167))</f>
        <v>0</v>
      </c>
      <c r="FK167" s="996">
        <f>IF($FG167="Opex",SUMIF('Monthly Summary'!$AM$75:$AX$75,"",DM167:DX167),SUMIF('Monthly Summary'!$AM$74:$AX$74,"",DM167:DX167))</f>
        <v>0</v>
      </c>
      <c r="FL167" s="996">
        <f>IF($FG167="Opex",SUMIF('Monthly Summary'!$AY$75:$BJ$75,"",DY167:EJ167),SUMIF('Monthly Summary'!$AY$74:$BJ$74,"",DY167:EJ167))</f>
        <v>0</v>
      </c>
      <c r="FM167" s="997">
        <f>IF($FG167="Opex",SUMIF('Monthly Summary'!$BK$75:$BV$75,"",EK167:EV167),SUMIF('Monthly Summary'!$BK$74:$BV$74,"",EK167:EV167))</f>
        <v>0</v>
      </c>
      <c r="FN167" s="997">
        <f t="shared" si="28"/>
        <v>0</v>
      </c>
    </row>
    <row r="168" spans="3:170">
      <c r="C168" s="757"/>
      <c r="D168" s="757"/>
      <c r="E168" s="758"/>
      <c r="F168" s="758"/>
      <c r="G168" s="758"/>
      <c r="H168" s="1215"/>
      <c r="I168" s="761"/>
      <c r="J168" s="761"/>
      <c r="K168" s="761"/>
      <c r="L168" s="761"/>
      <c r="M168" s="761"/>
      <c r="N168" s="761"/>
      <c r="O168" s="761"/>
      <c r="P168" s="761"/>
      <c r="Q168" s="761"/>
      <c r="R168" s="761"/>
      <c r="S168" s="1216"/>
      <c r="T168" s="1215"/>
      <c r="U168" s="761"/>
      <c r="V168" s="761"/>
      <c r="W168" s="761"/>
      <c r="X168" s="761"/>
      <c r="Y168" s="761"/>
      <c r="Z168" s="761"/>
      <c r="AA168" s="761"/>
      <c r="AB168" s="761"/>
      <c r="AC168" s="761"/>
      <c r="AD168" s="761"/>
      <c r="AE168" s="1216"/>
      <c r="AF168" s="1215"/>
      <c r="AG168" s="761"/>
      <c r="AH168" s="761"/>
      <c r="AI168" s="761"/>
      <c r="AJ168" s="761"/>
      <c r="AK168" s="761"/>
      <c r="AL168" s="761"/>
      <c r="AM168" s="761"/>
      <c r="AN168" s="761"/>
      <c r="AO168" s="761"/>
      <c r="AP168" s="761"/>
      <c r="AQ168" s="1216"/>
      <c r="AR168" s="1215"/>
      <c r="AS168" s="761"/>
      <c r="AT168" s="761"/>
      <c r="AU168" s="761"/>
      <c r="AV168" s="761"/>
      <c r="AW168" s="761"/>
      <c r="AX168" s="761"/>
      <c r="AY168" s="761"/>
      <c r="AZ168" s="761"/>
      <c r="BA168" s="761"/>
      <c r="BB168" s="761"/>
      <c r="BC168" s="1216"/>
      <c r="BD168" s="1215"/>
      <c r="BE168" s="761"/>
      <c r="BF168" s="761"/>
      <c r="BG168" s="761"/>
      <c r="BH168" s="761"/>
      <c r="BI168" s="761"/>
      <c r="BJ168" s="761"/>
      <c r="BK168" s="761"/>
      <c r="BL168" s="761"/>
      <c r="BM168" s="761"/>
      <c r="BN168" s="761"/>
      <c r="BO168" s="1216"/>
      <c r="BP168" s="1215"/>
      <c r="BQ168" s="761"/>
      <c r="BR168" s="761"/>
      <c r="BS168" s="761"/>
      <c r="BT168" s="761"/>
      <c r="BU168" s="761"/>
      <c r="BV168" s="761"/>
      <c r="BW168" s="761"/>
      <c r="BX168" s="761"/>
      <c r="BY168" s="761"/>
      <c r="BZ168" s="761"/>
      <c r="CA168" s="1216"/>
      <c r="CB168" s="747"/>
      <c r="CC168" s="1222">
        <f>$G168*H168*Variables!$B$53</f>
        <v>0</v>
      </c>
      <c r="CD168" s="1223">
        <f>$G168*I168*Variables!$B$53</f>
        <v>0</v>
      </c>
      <c r="CE168" s="1223">
        <f>$G168*J168*Variables!$B$53</f>
        <v>0</v>
      </c>
      <c r="CF168" s="1223">
        <f>$G168*K168*Variables!$B$53</f>
        <v>0</v>
      </c>
      <c r="CG168" s="1223">
        <f>$G168*L168*Variables!$B$53</f>
        <v>0</v>
      </c>
      <c r="CH168" s="1223">
        <f>$G168*M168*Variables!$B$53</f>
        <v>0</v>
      </c>
      <c r="CI168" s="1223">
        <f>$G168*N168*Variables!$B$53</f>
        <v>0</v>
      </c>
      <c r="CJ168" s="1223">
        <f>$G168*O168*Variables!$B$53</f>
        <v>0</v>
      </c>
      <c r="CK168" s="1223">
        <f>$G168*P168*Variables!$B$53</f>
        <v>0</v>
      </c>
      <c r="CL168" s="1223">
        <f>$G168*Q168*Variables!$B$53</f>
        <v>0</v>
      </c>
      <c r="CM168" s="1223">
        <f>$G168*R168*Variables!$B$53</f>
        <v>0</v>
      </c>
      <c r="CN168" s="1225">
        <f>$G168*S168*Variables!$B$53</f>
        <v>0</v>
      </c>
      <c r="CO168" s="1222">
        <f>$G168*T168*Variables!$B$53*HLOOKUP($CO$2,Variables!$B$60:$F$61,2,FALSE)</f>
        <v>0</v>
      </c>
      <c r="CP168" s="1223">
        <f>$G168*U168*Variables!$B$53*HLOOKUP($CO$2,Variables!$B$60:$F$61,2,FALSE)</f>
        <v>0</v>
      </c>
      <c r="CQ168" s="1223">
        <f>$G168*V168*Variables!$B$53*HLOOKUP($CO$2,Variables!$B$60:$F$61,2,FALSE)</f>
        <v>0</v>
      </c>
      <c r="CR168" s="1223">
        <f>$G168*W168*Variables!$B$53*HLOOKUP($CO$2,Variables!$B$60:$F$61,2,FALSE)</f>
        <v>0</v>
      </c>
      <c r="CS168" s="1223">
        <f>$G168*X168*Variables!$B$53*HLOOKUP($CO$2,Variables!$B$60:$F$61,2,FALSE)</f>
        <v>0</v>
      </c>
      <c r="CT168" s="1223">
        <f>$G168*Y168*Variables!$B$53*HLOOKUP($CO$2,Variables!$B$60:$F$61,2,FALSE)</f>
        <v>0</v>
      </c>
      <c r="CU168" s="1223">
        <f>$G168*Z168*Variables!$B$53*HLOOKUP($CO$2,Variables!$B$60:$F$61,2,FALSE)</f>
        <v>0</v>
      </c>
      <c r="CV168" s="1223">
        <f>$G168*AA168*Variables!$B$53*HLOOKUP($CO$2,Variables!$B$60:$F$61,2,FALSE)</f>
        <v>0</v>
      </c>
      <c r="CW168" s="1223">
        <f>$G168*AB168*Variables!$B$53*HLOOKUP($CO$2,Variables!$B$60:$F$61,2,FALSE)</f>
        <v>0</v>
      </c>
      <c r="CX168" s="1223">
        <f>$G168*AC168*Variables!$B$53*HLOOKUP($CO$2,Variables!$B$60:$F$61,2,FALSE)</f>
        <v>0</v>
      </c>
      <c r="CY168" s="1223">
        <f>$G168*AD168*Variables!$B$53*HLOOKUP($CO$2,Variables!$B$60:$F$61,2,FALSE)</f>
        <v>0</v>
      </c>
      <c r="CZ168" s="1225">
        <f>$G168*AE168*Variables!$B$53*HLOOKUP($CO$2,Variables!$B$60:$F$61,2,FALSE)</f>
        <v>0</v>
      </c>
      <c r="DA168" s="1222">
        <f>$G168*AF168*Variables!$B$53*HLOOKUP($DA$2,Variables!$B$60:$F$61,2,FALSE)</f>
        <v>0</v>
      </c>
      <c r="DB168" s="1223">
        <f>$G168*AG168*Variables!$B$53*HLOOKUP($DA$2,Variables!$B$60:$F$61,2,FALSE)</f>
        <v>0</v>
      </c>
      <c r="DC168" s="1223">
        <f>$G168*AH168*Variables!$B$53*HLOOKUP($DA$2,Variables!$B$60:$F$61,2,FALSE)</f>
        <v>0</v>
      </c>
      <c r="DD168" s="1223">
        <f>$G168*AI168*Variables!$B$53*HLOOKUP($DA$2,Variables!$B$60:$F$61,2,FALSE)</f>
        <v>0</v>
      </c>
      <c r="DE168" s="1223">
        <f>$G168*AJ168*Variables!$B$53*HLOOKUP($DA$2,Variables!$B$60:$F$61,2,FALSE)</f>
        <v>0</v>
      </c>
      <c r="DF168" s="1223">
        <f>$G168*AK168*Variables!$B$53*HLOOKUP($DA$2,Variables!$B$60:$F$61,2,FALSE)</f>
        <v>0</v>
      </c>
      <c r="DG168" s="1223">
        <f>$G168*AL168*Variables!$B$53*HLOOKUP($DA$2,Variables!$B$60:$F$61,2,FALSE)</f>
        <v>0</v>
      </c>
      <c r="DH168" s="1223">
        <f>$G168*AM168*Variables!$B$53*HLOOKUP($DA$2,Variables!$B$60:$F$61,2,FALSE)</f>
        <v>0</v>
      </c>
      <c r="DI168" s="1223">
        <f>$G168*AN168*Variables!$B$53*HLOOKUP($DA$2,Variables!$B$60:$F$61,2,FALSE)</f>
        <v>0</v>
      </c>
      <c r="DJ168" s="1223">
        <f>$G168*AO168*Variables!$B$53*HLOOKUP($DA$2,Variables!$B$60:$F$61,2,FALSE)</f>
        <v>0</v>
      </c>
      <c r="DK168" s="1223">
        <f>$G168*AP168*Variables!$B$53*HLOOKUP($DA$2,Variables!$B$60:$F$61,2,FALSE)</f>
        <v>0</v>
      </c>
      <c r="DL168" s="1225">
        <f>$G168*AQ168*Variables!$B$53*HLOOKUP($DA$2,Variables!$B$60:$F$61,2,FALSE)</f>
        <v>0</v>
      </c>
      <c r="DM168" s="1222">
        <f>$G168*AR168*Variables!$B$53*HLOOKUP($DM$2,Variables!$B$60:$F$61,2,FALSE)</f>
        <v>0</v>
      </c>
      <c r="DN168" s="1223">
        <f>$G168*AS168*Variables!$B$53*HLOOKUP($DM$2,Variables!$B$60:$F$61,2,FALSE)</f>
        <v>0</v>
      </c>
      <c r="DO168" s="1223">
        <f>$G168*AT168*Variables!$B$53*HLOOKUP($DM$2,Variables!$B$60:$F$61,2,FALSE)</f>
        <v>0</v>
      </c>
      <c r="DP168" s="1223">
        <f>$G168*AU168*Variables!$B$53*HLOOKUP($DM$2,Variables!$B$60:$F$61,2,FALSE)</f>
        <v>0</v>
      </c>
      <c r="DQ168" s="1223">
        <f>$G168*AV168*Variables!$B$53*HLOOKUP($DM$2,Variables!$B$60:$F$61,2,FALSE)</f>
        <v>0</v>
      </c>
      <c r="DR168" s="1223">
        <f>$G168*AW168*Variables!$B$53*HLOOKUP($DM$2,Variables!$B$60:$F$61,2,FALSE)</f>
        <v>0</v>
      </c>
      <c r="DS168" s="1223">
        <f>$G168*AX168*Variables!$B$53*HLOOKUP($DM$2,Variables!$B$60:$F$61,2,FALSE)</f>
        <v>0</v>
      </c>
      <c r="DT168" s="1223">
        <f>$G168*AY168*Variables!$B$53*HLOOKUP($DM$2,Variables!$B$60:$F$61,2,FALSE)</f>
        <v>0</v>
      </c>
      <c r="DU168" s="1223">
        <f>$G168*AZ168*Variables!$B$53*HLOOKUP($DM$2,Variables!$B$60:$F$61,2,FALSE)</f>
        <v>0</v>
      </c>
      <c r="DV168" s="1223">
        <f>$G168*BA168*Variables!$B$53*HLOOKUP($DM$2,Variables!$B$60:$F$61,2,FALSE)</f>
        <v>0</v>
      </c>
      <c r="DW168" s="1223">
        <f>$G168*BB168*Variables!$B$53*HLOOKUP($DM$2,Variables!$B$60:$F$61,2,FALSE)</f>
        <v>0</v>
      </c>
      <c r="DX168" s="1225">
        <f>$G168*BC168*Variables!$B$53*HLOOKUP($DM$2,Variables!$B$60:$F$61,2,FALSE)</f>
        <v>0</v>
      </c>
      <c r="DY168" s="1222">
        <f>$G168*BD168*Variables!$B$53*HLOOKUP($DY$2,Variables!$B$60:$F$61,2,FALSE)</f>
        <v>0</v>
      </c>
      <c r="DZ168" s="1223">
        <f>$G168*BE168*Variables!$B$53*HLOOKUP($DY$2,Variables!$B$60:$F$61,2,FALSE)</f>
        <v>0</v>
      </c>
      <c r="EA168" s="1223">
        <f>$G168*BF168*Variables!$B$53*HLOOKUP($DY$2,Variables!$B$60:$F$61,2,FALSE)</f>
        <v>0</v>
      </c>
      <c r="EB168" s="1223">
        <f>$G168*BG168*Variables!$B$53*HLOOKUP($DY$2,Variables!$B$60:$F$61,2,FALSE)</f>
        <v>0</v>
      </c>
      <c r="EC168" s="1223">
        <f>$G168*BH168*Variables!$B$53*HLOOKUP($DY$2,Variables!$B$60:$F$61,2,FALSE)</f>
        <v>0</v>
      </c>
      <c r="ED168" s="1223">
        <f>$G168*BI168*Variables!$B$53*HLOOKUP($DY$2,Variables!$B$60:$F$61,2,FALSE)</f>
        <v>0</v>
      </c>
      <c r="EE168" s="1223">
        <f>$G168*BJ168*Variables!$B$53*HLOOKUP($DY$2,Variables!$B$60:$F$61,2,FALSE)</f>
        <v>0</v>
      </c>
      <c r="EF168" s="1223">
        <f>$G168*BK168*Variables!$B$53*HLOOKUP($DY$2,Variables!$B$60:$F$61,2,FALSE)</f>
        <v>0</v>
      </c>
      <c r="EG168" s="1223">
        <f>$G168*BL168*Variables!$B$53*HLOOKUP($DY$2,Variables!$B$60:$F$61,2,FALSE)</f>
        <v>0</v>
      </c>
      <c r="EH168" s="1223">
        <f>$G168*BM168*Variables!$B$53*HLOOKUP($DY$2,Variables!$B$60:$F$61,2,FALSE)</f>
        <v>0</v>
      </c>
      <c r="EI168" s="1223">
        <f>$G168*BN168*Variables!$B$53*HLOOKUP($DY$2,Variables!$B$60:$F$61,2,FALSE)</f>
        <v>0</v>
      </c>
      <c r="EJ168" s="1225">
        <f>$G168*BO168*Variables!$B$53*HLOOKUP($DY$2,Variables!$B$60:$F$61,2,FALSE)</f>
        <v>0</v>
      </c>
      <c r="EK168" s="1222">
        <f>$G168*BP168*Variables!$B$53*HLOOKUP($EK$2,Variables!$B$60:$F$61,2,FALSE)</f>
        <v>0</v>
      </c>
      <c r="EL168" s="1223">
        <f>$G168*BQ168*Variables!$B$53*HLOOKUP($EK$2,Variables!$B$60:$F$61,2,FALSE)</f>
        <v>0</v>
      </c>
      <c r="EM168" s="1223">
        <f>$G168*BR168*Variables!$B$53*HLOOKUP($EK$2,Variables!$B$60:$F$61,2,FALSE)</f>
        <v>0</v>
      </c>
      <c r="EN168" s="1223">
        <f>$G168*BS168*Variables!$B$53*HLOOKUP($EK$2,Variables!$B$60:$F$61,2,FALSE)</f>
        <v>0</v>
      </c>
      <c r="EO168" s="1223">
        <f>$G168*BT168*Variables!$B$53*HLOOKUP($EK$2,Variables!$B$60:$F$61,2,FALSE)</f>
        <v>0</v>
      </c>
      <c r="EP168" s="1223">
        <f>$G168*BU168*Variables!$B$53*HLOOKUP($EK$2,Variables!$B$60:$F$61,2,FALSE)</f>
        <v>0</v>
      </c>
      <c r="EQ168" s="1223">
        <f>$G168*BV168*Variables!$B$53*HLOOKUP($EK$2,Variables!$B$60:$F$61,2,FALSE)</f>
        <v>0</v>
      </c>
      <c r="ER168" s="1223">
        <f>$G168*BW168*Variables!$B$53*HLOOKUP($EK$2,Variables!$B$60:$F$61,2,FALSE)</f>
        <v>0</v>
      </c>
      <c r="ES168" s="1223">
        <f>$G168*BX168*Variables!$B$53*HLOOKUP($EK$2,Variables!$B$60:$F$61,2,FALSE)</f>
        <v>0</v>
      </c>
      <c r="ET168" s="1223">
        <f>$G168*BY168*Variables!$B$53*HLOOKUP($EK$2,Variables!$B$60:$F$61,2,FALSE)</f>
        <v>0</v>
      </c>
      <c r="EU168" s="1223">
        <f>$G168*BZ168*Variables!$B$53*HLOOKUP($EK$2,Variables!$B$60:$F$61,2,FALSE)</f>
        <v>0</v>
      </c>
      <c r="EV168" s="1225">
        <f>$G168*CA168*Variables!$B$53*HLOOKUP($EK$2,Variables!$B$60:$F$61,2,FALSE)</f>
        <v>0</v>
      </c>
      <c r="EW168" s="872">
        <f t="shared" si="24"/>
        <v>0</v>
      </c>
      <c r="EX168" s="872"/>
      <c r="EY168" s="872"/>
      <c r="EZ168" s="872"/>
      <c r="FA168" s="1332"/>
      <c r="FC168" s="958" t="str">
        <f t="shared" si="25"/>
        <v/>
      </c>
      <c r="FD168" s="959" t="str">
        <f t="shared" si="26"/>
        <v/>
      </c>
      <c r="FE168" s="959" t="s">
        <v>8407</v>
      </c>
      <c r="FF168" s="959" t="str">
        <f>IF(ISNA(VLOOKUP(FC168,Miscellaneous!E:F,2,0)),"",VLOOKUP(FC168,Miscellaneous!E:F,2,0))</f>
        <v/>
      </c>
      <c r="FG168" s="959" t="str">
        <f t="shared" si="27"/>
        <v/>
      </c>
      <c r="FH168" s="996">
        <f>IF($FG168="Opex",SUMIF('Monthly Summary'!$C$75:$N$75,"",CC168:CN168),SUMIF('Monthly Summary'!$C$74:$N$74,"",CC168:CN168))</f>
        <v>0</v>
      </c>
      <c r="FI168" s="996">
        <f>IF($FG168="Opex",SUMIF('Monthly Summary'!$O$75:$Z$75,"",CO168:CZ168),SUMIF('Monthly Summary'!$O$74:$Z$74,"",CO168:CZ168))</f>
        <v>0</v>
      </c>
      <c r="FJ168" s="996">
        <f>IF($FG168="Opex",SUMIF('Monthly Summary'!$AA$75:$AL$75,"",DA168:DL168),SUMIF('Monthly Summary'!$AA$74:$AL$74,"",DA168:DL168))</f>
        <v>0</v>
      </c>
      <c r="FK168" s="996">
        <f>IF($FG168="Opex",SUMIF('Monthly Summary'!$AM$75:$AX$75,"",DM168:DX168),SUMIF('Monthly Summary'!$AM$74:$AX$74,"",DM168:DX168))</f>
        <v>0</v>
      </c>
      <c r="FL168" s="996">
        <f>IF($FG168="Opex",SUMIF('Monthly Summary'!$AY$75:$BJ$75,"",DY168:EJ168),SUMIF('Monthly Summary'!$AY$74:$BJ$74,"",DY168:EJ168))</f>
        <v>0</v>
      </c>
      <c r="FM168" s="997">
        <f>IF($FG168="Opex",SUMIF('Monthly Summary'!$BK$75:$BV$75,"",EK168:EV168),SUMIF('Monthly Summary'!$BK$74:$BV$74,"",EK168:EV168))</f>
        <v>0</v>
      </c>
      <c r="FN168" s="997">
        <f t="shared" si="28"/>
        <v>0</v>
      </c>
    </row>
    <row r="169" spans="3:170">
      <c r="C169" s="757"/>
      <c r="D169" s="757"/>
      <c r="E169" s="758"/>
      <c r="F169" s="758"/>
      <c r="G169" s="758"/>
      <c r="H169" s="1215"/>
      <c r="I169" s="761"/>
      <c r="J169" s="761"/>
      <c r="K169" s="761"/>
      <c r="L169" s="761"/>
      <c r="M169" s="761"/>
      <c r="N169" s="761"/>
      <c r="O169" s="761"/>
      <c r="P169" s="761"/>
      <c r="Q169" s="761"/>
      <c r="R169" s="761"/>
      <c r="S169" s="1216"/>
      <c r="T169" s="1215"/>
      <c r="U169" s="761"/>
      <c r="V169" s="761"/>
      <c r="W169" s="761"/>
      <c r="X169" s="761"/>
      <c r="Y169" s="761"/>
      <c r="Z169" s="761"/>
      <c r="AA169" s="761"/>
      <c r="AB169" s="761"/>
      <c r="AC169" s="761"/>
      <c r="AD169" s="761"/>
      <c r="AE169" s="1216"/>
      <c r="AF169" s="1215"/>
      <c r="AG169" s="761"/>
      <c r="AH169" s="761"/>
      <c r="AI169" s="761"/>
      <c r="AJ169" s="761"/>
      <c r="AK169" s="761"/>
      <c r="AL169" s="761"/>
      <c r="AM169" s="761"/>
      <c r="AN169" s="761"/>
      <c r="AO169" s="761"/>
      <c r="AP169" s="761"/>
      <c r="AQ169" s="1216"/>
      <c r="AR169" s="1215"/>
      <c r="AS169" s="761"/>
      <c r="AT169" s="761"/>
      <c r="AU169" s="761"/>
      <c r="AV169" s="761"/>
      <c r="AW169" s="761"/>
      <c r="AX169" s="761"/>
      <c r="AY169" s="761"/>
      <c r="AZ169" s="761"/>
      <c r="BA169" s="761"/>
      <c r="BB169" s="761"/>
      <c r="BC169" s="1216"/>
      <c r="BD169" s="1215"/>
      <c r="BE169" s="761"/>
      <c r="BF169" s="761"/>
      <c r="BG169" s="761"/>
      <c r="BH169" s="761"/>
      <c r="BI169" s="761"/>
      <c r="BJ169" s="761"/>
      <c r="BK169" s="761"/>
      <c r="BL169" s="761"/>
      <c r="BM169" s="761"/>
      <c r="BN169" s="761"/>
      <c r="BO169" s="1216"/>
      <c r="BP169" s="1215"/>
      <c r="BQ169" s="761"/>
      <c r="BR169" s="761"/>
      <c r="BS169" s="761"/>
      <c r="BT169" s="761"/>
      <c r="BU169" s="761"/>
      <c r="BV169" s="761"/>
      <c r="BW169" s="761"/>
      <c r="BX169" s="761"/>
      <c r="BY169" s="761"/>
      <c r="BZ169" s="761"/>
      <c r="CA169" s="1216"/>
      <c r="CB169" s="747"/>
      <c r="CC169" s="1222">
        <f>$G169*H169*Variables!$B$53</f>
        <v>0</v>
      </c>
      <c r="CD169" s="1223">
        <f>$G169*I169*Variables!$B$53</f>
        <v>0</v>
      </c>
      <c r="CE169" s="1223">
        <f>$G169*J169*Variables!$B$53</f>
        <v>0</v>
      </c>
      <c r="CF169" s="1223">
        <f>$G169*K169*Variables!$B$53</f>
        <v>0</v>
      </c>
      <c r="CG169" s="1223">
        <f>$G169*L169*Variables!$B$53</f>
        <v>0</v>
      </c>
      <c r="CH169" s="1223">
        <f>$G169*M169*Variables!$B$53</f>
        <v>0</v>
      </c>
      <c r="CI169" s="1223">
        <f>$G169*N169*Variables!$B$53</f>
        <v>0</v>
      </c>
      <c r="CJ169" s="1223">
        <f>$G169*O169*Variables!$B$53</f>
        <v>0</v>
      </c>
      <c r="CK169" s="1223">
        <f>$G169*P169*Variables!$B$53</f>
        <v>0</v>
      </c>
      <c r="CL169" s="1223">
        <f>$G169*Q169*Variables!$B$53</f>
        <v>0</v>
      </c>
      <c r="CM169" s="1223">
        <f>$G169*R169*Variables!$B$53</f>
        <v>0</v>
      </c>
      <c r="CN169" s="1225">
        <f>$G169*S169*Variables!$B$53</f>
        <v>0</v>
      </c>
      <c r="CO169" s="1222">
        <f>$G169*T169*Variables!$B$53*HLOOKUP($CO$2,Variables!$B$60:$F$61,2,FALSE)</f>
        <v>0</v>
      </c>
      <c r="CP169" s="1223">
        <f>$G169*U169*Variables!$B$53*HLOOKUP($CO$2,Variables!$B$60:$F$61,2,FALSE)</f>
        <v>0</v>
      </c>
      <c r="CQ169" s="1223">
        <f>$G169*V169*Variables!$B$53*HLOOKUP($CO$2,Variables!$B$60:$F$61,2,FALSE)</f>
        <v>0</v>
      </c>
      <c r="CR169" s="1223">
        <f>$G169*W169*Variables!$B$53*HLOOKUP($CO$2,Variables!$B$60:$F$61,2,FALSE)</f>
        <v>0</v>
      </c>
      <c r="CS169" s="1223">
        <f>$G169*X169*Variables!$B$53*HLOOKUP($CO$2,Variables!$B$60:$F$61,2,FALSE)</f>
        <v>0</v>
      </c>
      <c r="CT169" s="1223">
        <f>$G169*Y169*Variables!$B$53*HLOOKUP($CO$2,Variables!$B$60:$F$61,2,FALSE)</f>
        <v>0</v>
      </c>
      <c r="CU169" s="1223">
        <f>$G169*Z169*Variables!$B$53*HLOOKUP($CO$2,Variables!$B$60:$F$61,2,FALSE)</f>
        <v>0</v>
      </c>
      <c r="CV169" s="1223">
        <f>$G169*AA169*Variables!$B$53*HLOOKUP($CO$2,Variables!$B$60:$F$61,2,FALSE)</f>
        <v>0</v>
      </c>
      <c r="CW169" s="1223">
        <f>$G169*AB169*Variables!$B$53*HLOOKUP($CO$2,Variables!$B$60:$F$61,2,FALSE)</f>
        <v>0</v>
      </c>
      <c r="CX169" s="1223">
        <f>$G169*AC169*Variables!$B$53*HLOOKUP($CO$2,Variables!$B$60:$F$61,2,FALSE)</f>
        <v>0</v>
      </c>
      <c r="CY169" s="1223">
        <f>$G169*AD169*Variables!$B$53*HLOOKUP($CO$2,Variables!$B$60:$F$61,2,FALSE)</f>
        <v>0</v>
      </c>
      <c r="CZ169" s="1225">
        <f>$G169*AE169*Variables!$B$53*HLOOKUP($CO$2,Variables!$B$60:$F$61,2,FALSE)</f>
        <v>0</v>
      </c>
      <c r="DA169" s="1222">
        <f>$G169*AF169*Variables!$B$53*HLOOKUP($DA$2,Variables!$B$60:$F$61,2,FALSE)</f>
        <v>0</v>
      </c>
      <c r="DB169" s="1223">
        <f>$G169*AG169*Variables!$B$53*HLOOKUP($DA$2,Variables!$B$60:$F$61,2,FALSE)</f>
        <v>0</v>
      </c>
      <c r="DC169" s="1223">
        <f>$G169*AH169*Variables!$B$53*HLOOKUP($DA$2,Variables!$B$60:$F$61,2,FALSE)</f>
        <v>0</v>
      </c>
      <c r="DD169" s="1223">
        <f>$G169*AI169*Variables!$B$53*HLOOKUP($DA$2,Variables!$B$60:$F$61,2,FALSE)</f>
        <v>0</v>
      </c>
      <c r="DE169" s="1223">
        <f>$G169*AJ169*Variables!$B$53*HLOOKUP($DA$2,Variables!$B$60:$F$61,2,FALSE)</f>
        <v>0</v>
      </c>
      <c r="DF169" s="1223">
        <f>$G169*AK169*Variables!$B$53*HLOOKUP($DA$2,Variables!$B$60:$F$61,2,FALSE)</f>
        <v>0</v>
      </c>
      <c r="DG169" s="1223">
        <f>$G169*AL169*Variables!$B$53*HLOOKUP($DA$2,Variables!$B$60:$F$61,2,FALSE)</f>
        <v>0</v>
      </c>
      <c r="DH169" s="1223">
        <f>$G169*AM169*Variables!$B$53*HLOOKUP($DA$2,Variables!$B$60:$F$61,2,FALSE)</f>
        <v>0</v>
      </c>
      <c r="DI169" s="1223">
        <f>$G169*AN169*Variables!$B$53*HLOOKUP($DA$2,Variables!$B$60:$F$61,2,FALSE)</f>
        <v>0</v>
      </c>
      <c r="DJ169" s="1223">
        <f>$G169*AO169*Variables!$B$53*HLOOKUP($DA$2,Variables!$B$60:$F$61,2,FALSE)</f>
        <v>0</v>
      </c>
      <c r="DK169" s="1223">
        <f>$G169*AP169*Variables!$B$53*HLOOKUP($DA$2,Variables!$B$60:$F$61,2,FALSE)</f>
        <v>0</v>
      </c>
      <c r="DL169" s="1225">
        <f>$G169*AQ169*Variables!$B$53*HLOOKUP($DA$2,Variables!$B$60:$F$61,2,FALSE)</f>
        <v>0</v>
      </c>
      <c r="DM169" s="1222">
        <f>$G169*AR169*Variables!$B$53*HLOOKUP($DM$2,Variables!$B$60:$F$61,2,FALSE)</f>
        <v>0</v>
      </c>
      <c r="DN169" s="1223">
        <f>$G169*AS169*Variables!$B$53*HLOOKUP($DM$2,Variables!$B$60:$F$61,2,FALSE)</f>
        <v>0</v>
      </c>
      <c r="DO169" s="1223">
        <f>$G169*AT169*Variables!$B$53*HLOOKUP($DM$2,Variables!$B$60:$F$61,2,FALSE)</f>
        <v>0</v>
      </c>
      <c r="DP169" s="1223">
        <f>$G169*AU169*Variables!$B$53*HLOOKUP($DM$2,Variables!$B$60:$F$61,2,FALSE)</f>
        <v>0</v>
      </c>
      <c r="DQ169" s="1223">
        <f>$G169*AV169*Variables!$B$53*HLOOKUP($DM$2,Variables!$B$60:$F$61,2,FALSE)</f>
        <v>0</v>
      </c>
      <c r="DR169" s="1223">
        <f>$G169*AW169*Variables!$B$53*HLOOKUP($DM$2,Variables!$B$60:$F$61,2,FALSE)</f>
        <v>0</v>
      </c>
      <c r="DS169" s="1223">
        <f>$G169*AX169*Variables!$B$53*HLOOKUP($DM$2,Variables!$B$60:$F$61,2,FALSE)</f>
        <v>0</v>
      </c>
      <c r="DT169" s="1223">
        <f>$G169*AY169*Variables!$B$53*HLOOKUP($DM$2,Variables!$B$60:$F$61,2,FALSE)</f>
        <v>0</v>
      </c>
      <c r="DU169" s="1223">
        <f>$G169*AZ169*Variables!$B$53*HLOOKUP($DM$2,Variables!$B$60:$F$61,2,FALSE)</f>
        <v>0</v>
      </c>
      <c r="DV169" s="1223">
        <f>$G169*BA169*Variables!$B$53*HLOOKUP($DM$2,Variables!$B$60:$F$61,2,FALSE)</f>
        <v>0</v>
      </c>
      <c r="DW169" s="1223">
        <f>$G169*BB169*Variables!$B$53*HLOOKUP($DM$2,Variables!$B$60:$F$61,2,FALSE)</f>
        <v>0</v>
      </c>
      <c r="DX169" s="1225">
        <f>$G169*BC169*Variables!$B$53*HLOOKUP($DM$2,Variables!$B$60:$F$61,2,FALSE)</f>
        <v>0</v>
      </c>
      <c r="DY169" s="1222">
        <f>$G169*BD169*Variables!$B$53*HLOOKUP($DY$2,Variables!$B$60:$F$61,2,FALSE)</f>
        <v>0</v>
      </c>
      <c r="DZ169" s="1223">
        <f>$G169*BE169*Variables!$B$53*HLOOKUP($DY$2,Variables!$B$60:$F$61,2,FALSE)</f>
        <v>0</v>
      </c>
      <c r="EA169" s="1223">
        <f>$G169*BF169*Variables!$B$53*HLOOKUP($DY$2,Variables!$B$60:$F$61,2,FALSE)</f>
        <v>0</v>
      </c>
      <c r="EB169" s="1223">
        <f>$G169*BG169*Variables!$B$53*HLOOKUP($DY$2,Variables!$B$60:$F$61,2,FALSE)</f>
        <v>0</v>
      </c>
      <c r="EC169" s="1223">
        <f>$G169*BH169*Variables!$B$53*HLOOKUP($DY$2,Variables!$B$60:$F$61,2,FALSE)</f>
        <v>0</v>
      </c>
      <c r="ED169" s="1223">
        <f>$G169*BI169*Variables!$B$53*HLOOKUP($DY$2,Variables!$B$60:$F$61,2,FALSE)</f>
        <v>0</v>
      </c>
      <c r="EE169" s="1223">
        <f>$G169*BJ169*Variables!$B$53*HLOOKUP($DY$2,Variables!$B$60:$F$61,2,FALSE)</f>
        <v>0</v>
      </c>
      <c r="EF169" s="1223">
        <f>$G169*BK169*Variables!$B$53*HLOOKUP($DY$2,Variables!$B$60:$F$61,2,FALSE)</f>
        <v>0</v>
      </c>
      <c r="EG169" s="1223">
        <f>$G169*BL169*Variables!$B$53*HLOOKUP($DY$2,Variables!$B$60:$F$61,2,FALSE)</f>
        <v>0</v>
      </c>
      <c r="EH169" s="1223">
        <f>$G169*BM169*Variables!$B$53*HLOOKUP($DY$2,Variables!$B$60:$F$61,2,FALSE)</f>
        <v>0</v>
      </c>
      <c r="EI169" s="1223">
        <f>$G169*BN169*Variables!$B$53*HLOOKUP($DY$2,Variables!$B$60:$F$61,2,FALSE)</f>
        <v>0</v>
      </c>
      <c r="EJ169" s="1225">
        <f>$G169*BO169*Variables!$B$53*HLOOKUP($DY$2,Variables!$B$60:$F$61,2,FALSE)</f>
        <v>0</v>
      </c>
      <c r="EK169" s="1222">
        <f>$G169*BP169*Variables!$B$53*HLOOKUP($EK$2,Variables!$B$60:$F$61,2,FALSE)</f>
        <v>0</v>
      </c>
      <c r="EL169" s="1223">
        <f>$G169*BQ169*Variables!$B$53*HLOOKUP($EK$2,Variables!$B$60:$F$61,2,FALSE)</f>
        <v>0</v>
      </c>
      <c r="EM169" s="1223">
        <f>$G169*BR169*Variables!$B$53*HLOOKUP($EK$2,Variables!$B$60:$F$61,2,FALSE)</f>
        <v>0</v>
      </c>
      <c r="EN169" s="1223">
        <f>$G169*BS169*Variables!$B$53*HLOOKUP($EK$2,Variables!$B$60:$F$61,2,FALSE)</f>
        <v>0</v>
      </c>
      <c r="EO169" s="1223">
        <f>$G169*BT169*Variables!$B$53*HLOOKUP($EK$2,Variables!$B$60:$F$61,2,FALSE)</f>
        <v>0</v>
      </c>
      <c r="EP169" s="1223">
        <f>$G169*BU169*Variables!$B$53*HLOOKUP($EK$2,Variables!$B$60:$F$61,2,FALSE)</f>
        <v>0</v>
      </c>
      <c r="EQ169" s="1223">
        <f>$G169*BV169*Variables!$B$53*HLOOKUP($EK$2,Variables!$B$60:$F$61,2,FALSE)</f>
        <v>0</v>
      </c>
      <c r="ER169" s="1223">
        <f>$G169*BW169*Variables!$B$53*HLOOKUP($EK$2,Variables!$B$60:$F$61,2,FALSE)</f>
        <v>0</v>
      </c>
      <c r="ES169" s="1223">
        <f>$G169*BX169*Variables!$B$53*HLOOKUP($EK$2,Variables!$B$60:$F$61,2,FALSE)</f>
        <v>0</v>
      </c>
      <c r="ET169" s="1223">
        <f>$G169*BY169*Variables!$B$53*HLOOKUP($EK$2,Variables!$B$60:$F$61,2,FALSE)</f>
        <v>0</v>
      </c>
      <c r="EU169" s="1223">
        <f>$G169*BZ169*Variables!$B$53*HLOOKUP($EK$2,Variables!$B$60:$F$61,2,FALSE)</f>
        <v>0</v>
      </c>
      <c r="EV169" s="1225">
        <f>$G169*CA169*Variables!$B$53*HLOOKUP($EK$2,Variables!$B$60:$F$61,2,FALSE)</f>
        <v>0</v>
      </c>
      <c r="EW169" s="872">
        <f t="shared" si="24"/>
        <v>0</v>
      </c>
      <c r="EX169" s="872"/>
      <c r="EY169" s="872"/>
      <c r="EZ169" s="872"/>
      <c r="FA169" s="1332"/>
      <c r="FC169" s="958" t="str">
        <f t="shared" si="25"/>
        <v/>
      </c>
      <c r="FD169" s="959" t="str">
        <f t="shared" si="26"/>
        <v/>
      </c>
      <c r="FE169" s="959" t="s">
        <v>8407</v>
      </c>
      <c r="FF169" s="959" t="str">
        <f>IF(ISNA(VLOOKUP(FC169,Miscellaneous!E:F,2,0)),"",VLOOKUP(FC169,Miscellaneous!E:F,2,0))</f>
        <v/>
      </c>
      <c r="FG169" s="959" t="str">
        <f t="shared" si="27"/>
        <v/>
      </c>
      <c r="FH169" s="996">
        <f>IF($FG169="Opex",SUMIF('Monthly Summary'!$C$75:$N$75,"",CC169:CN169),SUMIF('Monthly Summary'!$C$74:$N$74,"",CC169:CN169))</f>
        <v>0</v>
      </c>
      <c r="FI169" s="996">
        <f>IF($FG169="Opex",SUMIF('Monthly Summary'!$O$75:$Z$75,"",CO169:CZ169),SUMIF('Monthly Summary'!$O$74:$Z$74,"",CO169:CZ169))</f>
        <v>0</v>
      </c>
      <c r="FJ169" s="996">
        <f>IF($FG169="Opex",SUMIF('Monthly Summary'!$AA$75:$AL$75,"",DA169:DL169),SUMIF('Monthly Summary'!$AA$74:$AL$74,"",DA169:DL169))</f>
        <v>0</v>
      </c>
      <c r="FK169" s="996">
        <f>IF($FG169="Opex",SUMIF('Monthly Summary'!$AM$75:$AX$75,"",DM169:DX169),SUMIF('Monthly Summary'!$AM$74:$AX$74,"",DM169:DX169))</f>
        <v>0</v>
      </c>
      <c r="FL169" s="996">
        <f>IF($FG169="Opex",SUMIF('Monthly Summary'!$AY$75:$BJ$75,"",DY169:EJ169),SUMIF('Monthly Summary'!$AY$74:$BJ$74,"",DY169:EJ169))</f>
        <v>0</v>
      </c>
      <c r="FM169" s="997">
        <f>IF($FG169="Opex",SUMIF('Monthly Summary'!$BK$75:$BV$75,"",EK169:EV169),SUMIF('Monthly Summary'!$BK$74:$BV$74,"",EK169:EV169))</f>
        <v>0</v>
      </c>
      <c r="FN169" s="997">
        <f t="shared" si="28"/>
        <v>0</v>
      </c>
    </row>
    <row r="170" spans="3:170">
      <c r="C170" s="757"/>
      <c r="D170" s="757"/>
      <c r="E170" s="758"/>
      <c r="F170" s="758"/>
      <c r="G170" s="758"/>
      <c r="H170" s="1215"/>
      <c r="I170" s="761"/>
      <c r="J170" s="761"/>
      <c r="K170" s="761"/>
      <c r="L170" s="761"/>
      <c r="M170" s="761"/>
      <c r="N170" s="761"/>
      <c r="O170" s="761"/>
      <c r="P170" s="761"/>
      <c r="Q170" s="761"/>
      <c r="R170" s="761"/>
      <c r="S170" s="1216"/>
      <c r="T170" s="1215"/>
      <c r="U170" s="761"/>
      <c r="V170" s="761"/>
      <c r="W170" s="761"/>
      <c r="X170" s="761"/>
      <c r="Y170" s="761"/>
      <c r="Z170" s="761"/>
      <c r="AA170" s="761"/>
      <c r="AB170" s="761"/>
      <c r="AC170" s="761"/>
      <c r="AD170" s="761"/>
      <c r="AE170" s="1216"/>
      <c r="AF170" s="1215"/>
      <c r="AG170" s="761"/>
      <c r="AH170" s="761"/>
      <c r="AI170" s="761"/>
      <c r="AJ170" s="761"/>
      <c r="AK170" s="761"/>
      <c r="AL170" s="761"/>
      <c r="AM170" s="761"/>
      <c r="AN170" s="761"/>
      <c r="AO170" s="761"/>
      <c r="AP170" s="761"/>
      <c r="AQ170" s="1216"/>
      <c r="AR170" s="1215"/>
      <c r="AS170" s="761"/>
      <c r="AT170" s="761"/>
      <c r="AU170" s="761"/>
      <c r="AV170" s="761"/>
      <c r="AW170" s="761"/>
      <c r="AX170" s="761"/>
      <c r="AY170" s="761"/>
      <c r="AZ170" s="761"/>
      <c r="BA170" s="761"/>
      <c r="BB170" s="761"/>
      <c r="BC170" s="1216"/>
      <c r="BD170" s="1215"/>
      <c r="BE170" s="761"/>
      <c r="BF170" s="761"/>
      <c r="BG170" s="761"/>
      <c r="BH170" s="761"/>
      <c r="BI170" s="761"/>
      <c r="BJ170" s="761"/>
      <c r="BK170" s="761"/>
      <c r="BL170" s="761"/>
      <c r="BM170" s="761"/>
      <c r="BN170" s="761"/>
      <c r="BO170" s="1216"/>
      <c r="BP170" s="1215"/>
      <c r="BQ170" s="761"/>
      <c r="BR170" s="761"/>
      <c r="BS170" s="761"/>
      <c r="BT170" s="761"/>
      <c r="BU170" s="761"/>
      <c r="BV170" s="761"/>
      <c r="BW170" s="761"/>
      <c r="BX170" s="761"/>
      <c r="BY170" s="761"/>
      <c r="BZ170" s="761"/>
      <c r="CA170" s="1216"/>
      <c r="CB170" s="747"/>
      <c r="CC170" s="1222">
        <f>$G170*H170*Variables!$B$53</f>
        <v>0</v>
      </c>
      <c r="CD170" s="1223">
        <f>$G170*I170*Variables!$B$53</f>
        <v>0</v>
      </c>
      <c r="CE170" s="1223">
        <f>$G170*J170*Variables!$B$53</f>
        <v>0</v>
      </c>
      <c r="CF170" s="1223">
        <f>$G170*K170*Variables!$B$53</f>
        <v>0</v>
      </c>
      <c r="CG170" s="1223">
        <f>$G170*L170*Variables!$B$53</f>
        <v>0</v>
      </c>
      <c r="CH170" s="1223">
        <f>$G170*M170*Variables!$B$53</f>
        <v>0</v>
      </c>
      <c r="CI170" s="1223">
        <f>$G170*N170*Variables!$B$53</f>
        <v>0</v>
      </c>
      <c r="CJ170" s="1223">
        <f>$G170*O170*Variables!$B$53</f>
        <v>0</v>
      </c>
      <c r="CK170" s="1223">
        <f>$G170*P170*Variables!$B$53</f>
        <v>0</v>
      </c>
      <c r="CL170" s="1223">
        <f>$G170*Q170*Variables!$B$53</f>
        <v>0</v>
      </c>
      <c r="CM170" s="1223">
        <f>$G170*R170*Variables!$B$53</f>
        <v>0</v>
      </c>
      <c r="CN170" s="1225">
        <f>$G170*S170*Variables!$B$53</f>
        <v>0</v>
      </c>
      <c r="CO170" s="1222">
        <f>$G170*T170*Variables!$B$53*HLOOKUP($CO$2,Variables!$B$60:$F$61,2,FALSE)</f>
        <v>0</v>
      </c>
      <c r="CP170" s="1223">
        <f>$G170*U170*Variables!$B$53*HLOOKUP($CO$2,Variables!$B$60:$F$61,2,FALSE)</f>
        <v>0</v>
      </c>
      <c r="CQ170" s="1223">
        <f>$G170*V170*Variables!$B$53*HLOOKUP($CO$2,Variables!$B$60:$F$61,2,FALSE)</f>
        <v>0</v>
      </c>
      <c r="CR170" s="1223">
        <f>$G170*W170*Variables!$B$53*HLOOKUP($CO$2,Variables!$B$60:$F$61,2,FALSE)</f>
        <v>0</v>
      </c>
      <c r="CS170" s="1223">
        <f>$G170*X170*Variables!$B$53*HLOOKUP($CO$2,Variables!$B$60:$F$61,2,FALSE)</f>
        <v>0</v>
      </c>
      <c r="CT170" s="1223">
        <f>$G170*Y170*Variables!$B$53*HLOOKUP($CO$2,Variables!$B$60:$F$61,2,FALSE)</f>
        <v>0</v>
      </c>
      <c r="CU170" s="1223">
        <f>$G170*Z170*Variables!$B$53*HLOOKUP($CO$2,Variables!$B$60:$F$61,2,FALSE)</f>
        <v>0</v>
      </c>
      <c r="CV170" s="1223">
        <f>$G170*AA170*Variables!$B$53*HLOOKUP($CO$2,Variables!$B$60:$F$61,2,FALSE)</f>
        <v>0</v>
      </c>
      <c r="CW170" s="1223">
        <f>$G170*AB170*Variables!$B$53*HLOOKUP($CO$2,Variables!$B$60:$F$61,2,FALSE)</f>
        <v>0</v>
      </c>
      <c r="CX170" s="1223">
        <f>$G170*AC170*Variables!$B$53*HLOOKUP($CO$2,Variables!$B$60:$F$61,2,FALSE)</f>
        <v>0</v>
      </c>
      <c r="CY170" s="1223">
        <f>$G170*AD170*Variables!$B$53*HLOOKUP($CO$2,Variables!$B$60:$F$61,2,FALSE)</f>
        <v>0</v>
      </c>
      <c r="CZ170" s="1225">
        <f>$G170*AE170*Variables!$B$53*HLOOKUP($CO$2,Variables!$B$60:$F$61,2,FALSE)</f>
        <v>0</v>
      </c>
      <c r="DA170" s="1222">
        <f>$G170*AF170*Variables!$B$53*HLOOKUP($DA$2,Variables!$B$60:$F$61,2,FALSE)</f>
        <v>0</v>
      </c>
      <c r="DB170" s="1223">
        <f>$G170*AG170*Variables!$B$53*HLOOKUP($DA$2,Variables!$B$60:$F$61,2,FALSE)</f>
        <v>0</v>
      </c>
      <c r="DC170" s="1223">
        <f>$G170*AH170*Variables!$B$53*HLOOKUP($DA$2,Variables!$B$60:$F$61,2,FALSE)</f>
        <v>0</v>
      </c>
      <c r="DD170" s="1223">
        <f>$G170*AI170*Variables!$B$53*HLOOKUP($DA$2,Variables!$B$60:$F$61,2,FALSE)</f>
        <v>0</v>
      </c>
      <c r="DE170" s="1223">
        <f>$G170*AJ170*Variables!$B$53*HLOOKUP($DA$2,Variables!$B$60:$F$61,2,FALSE)</f>
        <v>0</v>
      </c>
      <c r="DF170" s="1223">
        <f>$G170*AK170*Variables!$B$53*HLOOKUP($DA$2,Variables!$B$60:$F$61,2,FALSE)</f>
        <v>0</v>
      </c>
      <c r="DG170" s="1223">
        <f>$G170*AL170*Variables!$B$53*HLOOKUP($DA$2,Variables!$B$60:$F$61,2,FALSE)</f>
        <v>0</v>
      </c>
      <c r="DH170" s="1223">
        <f>$G170*AM170*Variables!$B$53*HLOOKUP($DA$2,Variables!$B$60:$F$61,2,FALSE)</f>
        <v>0</v>
      </c>
      <c r="DI170" s="1223">
        <f>$G170*AN170*Variables!$B$53*HLOOKUP($DA$2,Variables!$B$60:$F$61,2,FALSE)</f>
        <v>0</v>
      </c>
      <c r="DJ170" s="1223">
        <f>$G170*AO170*Variables!$B$53*HLOOKUP($DA$2,Variables!$B$60:$F$61,2,FALSE)</f>
        <v>0</v>
      </c>
      <c r="DK170" s="1223">
        <f>$G170*AP170*Variables!$B$53*HLOOKUP($DA$2,Variables!$B$60:$F$61,2,FALSE)</f>
        <v>0</v>
      </c>
      <c r="DL170" s="1225">
        <f>$G170*AQ170*Variables!$B$53*HLOOKUP($DA$2,Variables!$B$60:$F$61,2,FALSE)</f>
        <v>0</v>
      </c>
      <c r="DM170" s="1222">
        <f>$G170*AR170*Variables!$B$53*HLOOKUP($DM$2,Variables!$B$60:$F$61,2,FALSE)</f>
        <v>0</v>
      </c>
      <c r="DN170" s="1223">
        <f>$G170*AS170*Variables!$B$53*HLOOKUP($DM$2,Variables!$B$60:$F$61,2,FALSE)</f>
        <v>0</v>
      </c>
      <c r="DO170" s="1223">
        <f>$G170*AT170*Variables!$B$53*HLOOKUP($DM$2,Variables!$B$60:$F$61,2,FALSE)</f>
        <v>0</v>
      </c>
      <c r="DP170" s="1223">
        <f>$G170*AU170*Variables!$B$53*HLOOKUP($DM$2,Variables!$B$60:$F$61,2,FALSE)</f>
        <v>0</v>
      </c>
      <c r="DQ170" s="1223">
        <f>$G170*AV170*Variables!$B$53*HLOOKUP($DM$2,Variables!$B$60:$F$61,2,FALSE)</f>
        <v>0</v>
      </c>
      <c r="DR170" s="1223">
        <f>$G170*AW170*Variables!$B$53*HLOOKUP($DM$2,Variables!$B$60:$F$61,2,FALSE)</f>
        <v>0</v>
      </c>
      <c r="DS170" s="1223">
        <f>$G170*AX170*Variables!$B$53*HLOOKUP($DM$2,Variables!$B$60:$F$61,2,FALSE)</f>
        <v>0</v>
      </c>
      <c r="DT170" s="1223">
        <f>$G170*AY170*Variables!$B$53*HLOOKUP($DM$2,Variables!$B$60:$F$61,2,FALSE)</f>
        <v>0</v>
      </c>
      <c r="DU170" s="1223">
        <f>$G170*AZ170*Variables!$B$53*HLOOKUP($DM$2,Variables!$B$60:$F$61,2,FALSE)</f>
        <v>0</v>
      </c>
      <c r="DV170" s="1223">
        <f>$G170*BA170*Variables!$B$53*HLOOKUP($DM$2,Variables!$B$60:$F$61,2,FALSE)</f>
        <v>0</v>
      </c>
      <c r="DW170" s="1223">
        <f>$G170*BB170*Variables!$B$53*HLOOKUP($DM$2,Variables!$B$60:$F$61,2,FALSE)</f>
        <v>0</v>
      </c>
      <c r="DX170" s="1225">
        <f>$G170*BC170*Variables!$B$53*HLOOKUP($DM$2,Variables!$B$60:$F$61,2,FALSE)</f>
        <v>0</v>
      </c>
      <c r="DY170" s="1222">
        <f>$G170*BD170*Variables!$B$53*HLOOKUP($DY$2,Variables!$B$60:$F$61,2,FALSE)</f>
        <v>0</v>
      </c>
      <c r="DZ170" s="1223">
        <f>$G170*BE170*Variables!$B$53*HLOOKUP($DY$2,Variables!$B$60:$F$61,2,FALSE)</f>
        <v>0</v>
      </c>
      <c r="EA170" s="1223">
        <f>$G170*BF170*Variables!$B$53*HLOOKUP($DY$2,Variables!$B$60:$F$61,2,FALSE)</f>
        <v>0</v>
      </c>
      <c r="EB170" s="1223">
        <f>$G170*BG170*Variables!$B$53*HLOOKUP($DY$2,Variables!$B$60:$F$61,2,FALSE)</f>
        <v>0</v>
      </c>
      <c r="EC170" s="1223">
        <f>$G170*BH170*Variables!$B$53*HLOOKUP($DY$2,Variables!$B$60:$F$61,2,FALSE)</f>
        <v>0</v>
      </c>
      <c r="ED170" s="1223">
        <f>$G170*BI170*Variables!$B$53*HLOOKUP($DY$2,Variables!$B$60:$F$61,2,FALSE)</f>
        <v>0</v>
      </c>
      <c r="EE170" s="1223">
        <f>$G170*BJ170*Variables!$B$53*HLOOKUP($DY$2,Variables!$B$60:$F$61,2,FALSE)</f>
        <v>0</v>
      </c>
      <c r="EF170" s="1223">
        <f>$G170*BK170*Variables!$B$53*HLOOKUP($DY$2,Variables!$B$60:$F$61,2,FALSE)</f>
        <v>0</v>
      </c>
      <c r="EG170" s="1223">
        <f>$G170*BL170*Variables!$B$53*HLOOKUP($DY$2,Variables!$B$60:$F$61,2,FALSE)</f>
        <v>0</v>
      </c>
      <c r="EH170" s="1223">
        <f>$G170*BM170*Variables!$B$53*HLOOKUP($DY$2,Variables!$B$60:$F$61,2,FALSE)</f>
        <v>0</v>
      </c>
      <c r="EI170" s="1223">
        <f>$G170*BN170*Variables!$B$53*HLOOKUP($DY$2,Variables!$B$60:$F$61,2,FALSE)</f>
        <v>0</v>
      </c>
      <c r="EJ170" s="1225">
        <f>$G170*BO170*Variables!$B$53*HLOOKUP($DY$2,Variables!$B$60:$F$61,2,FALSE)</f>
        <v>0</v>
      </c>
      <c r="EK170" s="1222">
        <f>$G170*BP170*Variables!$B$53*HLOOKUP($EK$2,Variables!$B$60:$F$61,2,FALSE)</f>
        <v>0</v>
      </c>
      <c r="EL170" s="1223">
        <f>$G170*BQ170*Variables!$B$53*HLOOKUP($EK$2,Variables!$B$60:$F$61,2,FALSE)</f>
        <v>0</v>
      </c>
      <c r="EM170" s="1223">
        <f>$G170*BR170*Variables!$B$53*HLOOKUP($EK$2,Variables!$B$60:$F$61,2,FALSE)</f>
        <v>0</v>
      </c>
      <c r="EN170" s="1223">
        <f>$G170*BS170*Variables!$B$53*HLOOKUP($EK$2,Variables!$B$60:$F$61,2,FALSE)</f>
        <v>0</v>
      </c>
      <c r="EO170" s="1223">
        <f>$G170*BT170*Variables!$B$53*HLOOKUP($EK$2,Variables!$B$60:$F$61,2,FALSE)</f>
        <v>0</v>
      </c>
      <c r="EP170" s="1223">
        <f>$G170*BU170*Variables!$B$53*HLOOKUP($EK$2,Variables!$B$60:$F$61,2,FALSE)</f>
        <v>0</v>
      </c>
      <c r="EQ170" s="1223">
        <f>$G170*BV170*Variables!$B$53*HLOOKUP($EK$2,Variables!$B$60:$F$61,2,FALSE)</f>
        <v>0</v>
      </c>
      <c r="ER170" s="1223">
        <f>$G170*BW170*Variables!$B$53*HLOOKUP($EK$2,Variables!$B$60:$F$61,2,FALSE)</f>
        <v>0</v>
      </c>
      <c r="ES170" s="1223">
        <f>$G170*BX170*Variables!$B$53*HLOOKUP($EK$2,Variables!$B$60:$F$61,2,FALSE)</f>
        <v>0</v>
      </c>
      <c r="ET170" s="1223">
        <f>$G170*BY170*Variables!$B$53*HLOOKUP($EK$2,Variables!$B$60:$F$61,2,FALSE)</f>
        <v>0</v>
      </c>
      <c r="EU170" s="1223">
        <f>$G170*BZ170*Variables!$B$53*HLOOKUP($EK$2,Variables!$B$60:$F$61,2,FALSE)</f>
        <v>0</v>
      </c>
      <c r="EV170" s="1225">
        <f>$G170*CA170*Variables!$B$53*HLOOKUP($EK$2,Variables!$B$60:$F$61,2,FALSE)</f>
        <v>0</v>
      </c>
      <c r="EW170" s="872">
        <f t="shared" si="24"/>
        <v>0</v>
      </c>
      <c r="EX170" s="872"/>
      <c r="EY170" s="872"/>
      <c r="EZ170" s="872"/>
      <c r="FA170" s="1332"/>
      <c r="FC170" s="958" t="str">
        <f t="shared" si="25"/>
        <v/>
      </c>
      <c r="FD170" s="959" t="str">
        <f t="shared" si="26"/>
        <v/>
      </c>
      <c r="FE170" s="959" t="s">
        <v>8407</v>
      </c>
      <c r="FF170" s="959" t="str">
        <f>IF(ISNA(VLOOKUP(FC170,Miscellaneous!E:F,2,0)),"",VLOOKUP(FC170,Miscellaneous!E:F,2,0))</f>
        <v/>
      </c>
      <c r="FG170" s="959" t="str">
        <f t="shared" si="27"/>
        <v/>
      </c>
      <c r="FH170" s="996">
        <f>IF($FG170="Opex",SUMIF('Monthly Summary'!$C$75:$N$75,"",CC170:CN170),SUMIF('Monthly Summary'!$C$74:$N$74,"",CC170:CN170))</f>
        <v>0</v>
      </c>
      <c r="FI170" s="996">
        <f>IF($FG170="Opex",SUMIF('Monthly Summary'!$O$75:$Z$75,"",CO170:CZ170),SUMIF('Monthly Summary'!$O$74:$Z$74,"",CO170:CZ170))</f>
        <v>0</v>
      </c>
      <c r="FJ170" s="996">
        <f>IF($FG170="Opex",SUMIF('Monthly Summary'!$AA$75:$AL$75,"",DA170:DL170),SUMIF('Monthly Summary'!$AA$74:$AL$74,"",DA170:DL170))</f>
        <v>0</v>
      </c>
      <c r="FK170" s="996">
        <f>IF($FG170="Opex",SUMIF('Monthly Summary'!$AM$75:$AX$75,"",DM170:DX170),SUMIF('Monthly Summary'!$AM$74:$AX$74,"",DM170:DX170))</f>
        <v>0</v>
      </c>
      <c r="FL170" s="996">
        <f>IF($FG170="Opex",SUMIF('Monthly Summary'!$AY$75:$BJ$75,"",DY170:EJ170),SUMIF('Monthly Summary'!$AY$74:$BJ$74,"",DY170:EJ170))</f>
        <v>0</v>
      </c>
      <c r="FM170" s="997">
        <f>IF($FG170="Opex",SUMIF('Monthly Summary'!$BK$75:$BV$75,"",EK170:EV170),SUMIF('Monthly Summary'!$BK$74:$BV$74,"",EK170:EV170))</f>
        <v>0</v>
      </c>
      <c r="FN170" s="997">
        <f t="shared" si="28"/>
        <v>0</v>
      </c>
    </row>
    <row r="171" spans="3:170">
      <c r="C171" s="757"/>
      <c r="D171" s="757"/>
      <c r="E171" s="758"/>
      <c r="F171" s="758"/>
      <c r="G171" s="758"/>
      <c r="H171" s="1215"/>
      <c r="I171" s="761"/>
      <c r="J171" s="761"/>
      <c r="K171" s="761"/>
      <c r="L171" s="761"/>
      <c r="M171" s="761"/>
      <c r="N171" s="761"/>
      <c r="O171" s="761"/>
      <c r="P171" s="761"/>
      <c r="Q171" s="761"/>
      <c r="R171" s="761"/>
      <c r="S171" s="1216"/>
      <c r="T171" s="1215"/>
      <c r="U171" s="761"/>
      <c r="V171" s="761"/>
      <c r="W171" s="761"/>
      <c r="X171" s="761"/>
      <c r="Y171" s="761"/>
      <c r="Z171" s="761"/>
      <c r="AA171" s="761"/>
      <c r="AB171" s="761"/>
      <c r="AC171" s="761"/>
      <c r="AD171" s="761"/>
      <c r="AE171" s="1216"/>
      <c r="AF171" s="1215"/>
      <c r="AG171" s="761"/>
      <c r="AH171" s="761"/>
      <c r="AI171" s="761"/>
      <c r="AJ171" s="761"/>
      <c r="AK171" s="761"/>
      <c r="AL171" s="761"/>
      <c r="AM171" s="761"/>
      <c r="AN171" s="761"/>
      <c r="AO171" s="761"/>
      <c r="AP171" s="761"/>
      <c r="AQ171" s="1216"/>
      <c r="AR171" s="1215"/>
      <c r="AS171" s="761"/>
      <c r="AT171" s="761"/>
      <c r="AU171" s="761"/>
      <c r="AV171" s="761"/>
      <c r="AW171" s="761"/>
      <c r="AX171" s="761"/>
      <c r="AY171" s="761"/>
      <c r="AZ171" s="761"/>
      <c r="BA171" s="761"/>
      <c r="BB171" s="761"/>
      <c r="BC171" s="1216"/>
      <c r="BD171" s="1215"/>
      <c r="BE171" s="761"/>
      <c r="BF171" s="761"/>
      <c r="BG171" s="761"/>
      <c r="BH171" s="761"/>
      <c r="BI171" s="761"/>
      <c r="BJ171" s="761"/>
      <c r="BK171" s="761"/>
      <c r="BL171" s="761"/>
      <c r="BM171" s="761"/>
      <c r="BN171" s="761"/>
      <c r="BO171" s="1216"/>
      <c r="BP171" s="1215"/>
      <c r="BQ171" s="761"/>
      <c r="BR171" s="761"/>
      <c r="BS171" s="761"/>
      <c r="BT171" s="761"/>
      <c r="BU171" s="761"/>
      <c r="BV171" s="761"/>
      <c r="BW171" s="761"/>
      <c r="BX171" s="761"/>
      <c r="BY171" s="761"/>
      <c r="BZ171" s="761"/>
      <c r="CA171" s="1216"/>
      <c r="CB171" s="747"/>
      <c r="CC171" s="1222">
        <f>$G171*H171*Variables!$B$53</f>
        <v>0</v>
      </c>
      <c r="CD171" s="1223">
        <f>$G171*I171*Variables!$B$53</f>
        <v>0</v>
      </c>
      <c r="CE171" s="1223">
        <f>$G171*J171*Variables!$B$53</f>
        <v>0</v>
      </c>
      <c r="CF171" s="1223">
        <f>$G171*K171*Variables!$B$53</f>
        <v>0</v>
      </c>
      <c r="CG171" s="1223">
        <f>$G171*L171*Variables!$B$53</f>
        <v>0</v>
      </c>
      <c r="CH171" s="1223">
        <f>$G171*M171*Variables!$B$53</f>
        <v>0</v>
      </c>
      <c r="CI171" s="1223">
        <f>$G171*N171*Variables!$B$53</f>
        <v>0</v>
      </c>
      <c r="CJ171" s="1223">
        <f>$G171*O171*Variables!$B$53</f>
        <v>0</v>
      </c>
      <c r="CK171" s="1223">
        <f>$G171*P171*Variables!$B$53</f>
        <v>0</v>
      </c>
      <c r="CL171" s="1223">
        <f>$G171*Q171*Variables!$B$53</f>
        <v>0</v>
      </c>
      <c r="CM171" s="1223">
        <f>$G171*R171*Variables!$B$53</f>
        <v>0</v>
      </c>
      <c r="CN171" s="1225">
        <f>$G171*S171*Variables!$B$53</f>
        <v>0</v>
      </c>
      <c r="CO171" s="1222">
        <f>$G171*T171*Variables!$B$53*HLOOKUP($CO$2,Variables!$B$60:$F$61,2,FALSE)</f>
        <v>0</v>
      </c>
      <c r="CP171" s="1223">
        <f>$G171*U171*Variables!$B$53*HLOOKUP($CO$2,Variables!$B$60:$F$61,2,FALSE)</f>
        <v>0</v>
      </c>
      <c r="CQ171" s="1223">
        <f>$G171*V171*Variables!$B$53*HLOOKUP($CO$2,Variables!$B$60:$F$61,2,FALSE)</f>
        <v>0</v>
      </c>
      <c r="CR171" s="1223">
        <f>$G171*W171*Variables!$B$53*HLOOKUP($CO$2,Variables!$B$60:$F$61,2,FALSE)</f>
        <v>0</v>
      </c>
      <c r="CS171" s="1223">
        <f>$G171*X171*Variables!$B$53*HLOOKUP($CO$2,Variables!$B$60:$F$61,2,FALSE)</f>
        <v>0</v>
      </c>
      <c r="CT171" s="1223">
        <f>$G171*Y171*Variables!$B$53*HLOOKUP($CO$2,Variables!$B$60:$F$61,2,FALSE)</f>
        <v>0</v>
      </c>
      <c r="CU171" s="1223">
        <f>$G171*Z171*Variables!$B$53*HLOOKUP($CO$2,Variables!$B$60:$F$61,2,FALSE)</f>
        <v>0</v>
      </c>
      <c r="CV171" s="1223">
        <f>$G171*AA171*Variables!$B$53*HLOOKUP($CO$2,Variables!$B$60:$F$61,2,FALSE)</f>
        <v>0</v>
      </c>
      <c r="CW171" s="1223">
        <f>$G171*AB171*Variables!$B$53*HLOOKUP($CO$2,Variables!$B$60:$F$61,2,FALSE)</f>
        <v>0</v>
      </c>
      <c r="CX171" s="1223">
        <f>$G171*AC171*Variables!$B$53*HLOOKUP($CO$2,Variables!$B$60:$F$61,2,FALSE)</f>
        <v>0</v>
      </c>
      <c r="CY171" s="1223">
        <f>$G171*AD171*Variables!$B$53*HLOOKUP($CO$2,Variables!$B$60:$F$61,2,FALSE)</f>
        <v>0</v>
      </c>
      <c r="CZ171" s="1225">
        <f>$G171*AE171*Variables!$B$53*HLOOKUP($CO$2,Variables!$B$60:$F$61,2,FALSE)</f>
        <v>0</v>
      </c>
      <c r="DA171" s="1222">
        <f>$G171*AF171*Variables!$B$53*HLOOKUP($DA$2,Variables!$B$60:$F$61,2,FALSE)</f>
        <v>0</v>
      </c>
      <c r="DB171" s="1223">
        <f>$G171*AG171*Variables!$B$53*HLOOKUP($DA$2,Variables!$B$60:$F$61,2,FALSE)</f>
        <v>0</v>
      </c>
      <c r="DC171" s="1223">
        <f>$G171*AH171*Variables!$B$53*HLOOKUP($DA$2,Variables!$B$60:$F$61,2,FALSE)</f>
        <v>0</v>
      </c>
      <c r="DD171" s="1223">
        <f>$G171*AI171*Variables!$B$53*HLOOKUP($DA$2,Variables!$B$60:$F$61,2,FALSE)</f>
        <v>0</v>
      </c>
      <c r="DE171" s="1223">
        <f>$G171*AJ171*Variables!$B$53*HLOOKUP($DA$2,Variables!$B$60:$F$61,2,FALSE)</f>
        <v>0</v>
      </c>
      <c r="DF171" s="1223">
        <f>$G171*AK171*Variables!$B$53*HLOOKUP($DA$2,Variables!$B$60:$F$61,2,FALSE)</f>
        <v>0</v>
      </c>
      <c r="DG171" s="1223">
        <f>$G171*AL171*Variables!$B$53*HLOOKUP($DA$2,Variables!$B$60:$F$61,2,FALSE)</f>
        <v>0</v>
      </c>
      <c r="DH171" s="1223">
        <f>$G171*AM171*Variables!$B$53*HLOOKUP($DA$2,Variables!$B$60:$F$61,2,FALSE)</f>
        <v>0</v>
      </c>
      <c r="DI171" s="1223">
        <f>$G171*AN171*Variables!$B$53*HLOOKUP($DA$2,Variables!$B$60:$F$61,2,FALSE)</f>
        <v>0</v>
      </c>
      <c r="DJ171" s="1223">
        <f>$G171*AO171*Variables!$B$53*HLOOKUP($DA$2,Variables!$B$60:$F$61,2,FALSE)</f>
        <v>0</v>
      </c>
      <c r="DK171" s="1223">
        <f>$G171*AP171*Variables!$B$53*HLOOKUP($DA$2,Variables!$B$60:$F$61,2,FALSE)</f>
        <v>0</v>
      </c>
      <c r="DL171" s="1225">
        <f>$G171*AQ171*Variables!$B$53*HLOOKUP($DA$2,Variables!$B$60:$F$61,2,FALSE)</f>
        <v>0</v>
      </c>
      <c r="DM171" s="1222">
        <f>$G171*AR171*Variables!$B$53*HLOOKUP($DM$2,Variables!$B$60:$F$61,2,FALSE)</f>
        <v>0</v>
      </c>
      <c r="DN171" s="1223">
        <f>$G171*AS171*Variables!$B$53*HLOOKUP($DM$2,Variables!$B$60:$F$61,2,FALSE)</f>
        <v>0</v>
      </c>
      <c r="DO171" s="1223">
        <f>$G171*AT171*Variables!$B$53*HLOOKUP($DM$2,Variables!$B$60:$F$61,2,FALSE)</f>
        <v>0</v>
      </c>
      <c r="DP171" s="1223">
        <f>$G171*AU171*Variables!$B$53*HLOOKUP($DM$2,Variables!$B$60:$F$61,2,FALSE)</f>
        <v>0</v>
      </c>
      <c r="DQ171" s="1223">
        <f>$G171*AV171*Variables!$B$53*HLOOKUP($DM$2,Variables!$B$60:$F$61,2,FALSE)</f>
        <v>0</v>
      </c>
      <c r="DR171" s="1223">
        <f>$G171*AW171*Variables!$B$53*HLOOKUP($DM$2,Variables!$B$60:$F$61,2,FALSE)</f>
        <v>0</v>
      </c>
      <c r="DS171" s="1223">
        <f>$G171*AX171*Variables!$B$53*HLOOKUP($DM$2,Variables!$B$60:$F$61,2,FALSE)</f>
        <v>0</v>
      </c>
      <c r="DT171" s="1223">
        <f>$G171*AY171*Variables!$B$53*HLOOKUP($DM$2,Variables!$B$60:$F$61,2,FALSE)</f>
        <v>0</v>
      </c>
      <c r="DU171" s="1223">
        <f>$G171*AZ171*Variables!$B$53*HLOOKUP($DM$2,Variables!$B$60:$F$61,2,FALSE)</f>
        <v>0</v>
      </c>
      <c r="DV171" s="1223">
        <f>$G171*BA171*Variables!$B$53*HLOOKUP($DM$2,Variables!$B$60:$F$61,2,FALSE)</f>
        <v>0</v>
      </c>
      <c r="DW171" s="1223">
        <f>$G171*BB171*Variables!$B$53*HLOOKUP($DM$2,Variables!$B$60:$F$61,2,FALSE)</f>
        <v>0</v>
      </c>
      <c r="DX171" s="1225">
        <f>$G171*BC171*Variables!$B$53*HLOOKUP($DM$2,Variables!$B$60:$F$61,2,FALSE)</f>
        <v>0</v>
      </c>
      <c r="DY171" s="1222">
        <f>$G171*BD171*Variables!$B$53*HLOOKUP($DY$2,Variables!$B$60:$F$61,2,FALSE)</f>
        <v>0</v>
      </c>
      <c r="DZ171" s="1223">
        <f>$G171*BE171*Variables!$B$53*HLOOKUP($DY$2,Variables!$B$60:$F$61,2,FALSE)</f>
        <v>0</v>
      </c>
      <c r="EA171" s="1223">
        <f>$G171*BF171*Variables!$B$53*HLOOKUP($DY$2,Variables!$B$60:$F$61,2,FALSE)</f>
        <v>0</v>
      </c>
      <c r="EB171" s="1223">
        <f>$G171*BG171*Variables!$B$53*HLOOKUP($DY$2,Variables!$B$60:$F$61,2,FALSE)</f>
        <v>0</v>
      </c>
      <c r="EC171" s="1223">
        <f>$G171*BH171*Variables!$B$53*HLOOKUP($DY$2,Variables!$B$60:$F$61,2,FALSE)</f>
        <v>0</v>
      </c>
      <c r="ED171" s="1223">
        <f>$G171*BI171*Variables!$B$53*HLOOKUP($DY$2,Variables!$B$60:$F$61,2,FALSE)</f>
        <v>0</v>
      </c>
      <c r="EE171" s="1223">
        <f>$G171*BJ171*Variables!$B$53*HLOOKUP($DY$2,Variables!$B$60:$F$61,2,FALSE)</f>
        <v>0</v>
      </c>
      <c r="EF171" s="1223">
        <f>$G171*BK171*Variables!$B$53*HLOOKUP($DY$2,Variables!$B$60:$F$61,2,FALSE)</f>
        <v>0</v>
      </c>
      <c r="EG171" s="1223">
        <f>$G171*BL171*Variables!$B$53*HLOOKUP($DY$2,Variables!$B$60:$F$61,2,FALSE)</f>
        <v>0</v>
      </c>
      <c r="EH171" s="1223">
        <f>$G171*BM171*Variables!$B$53*HLOOKUP($DY$2,Variables!$B$60:$F$61,2,FALSE)</f>
        <v>0</v>
      </c>
      <c r="EI171" s="1223">
        <f>$G171*BN171*Variables!$B$53*HLOOKUP($DY$2,Variables!$B$60:$F$61,2,FALSE)</f>
        <v>0</v>
      </c>
      <c r="EJ171" s="1225">
        <f>$G171*BO171*Variables!$B$53*HLOOKUP($DY$2,Variables!$B$60:$F$61,2,FALSE)</f>
        <v>0</v>
      </c>
      <c r="EK171" s="1222">
        <f>$G171*BP171*Variables!$B$53*HLOOKUP($EK$2,Variables!$B$60:$F$61,2,FALSE)</f>
        <v>0</v>
      </c>
      <c r="EL171" s="1223">
        <f>$G171*BQ171*Variables!$B$53*HLOOKUP($EK$2,Variables!$B$60:$F$61,2,FALSE)</f>
        <v>0</v>
      </c>
      <c r="EM171" s="1223">
        <f>$G171*BR171*Variables!$B$53*HLOOKUP($EK$2,Variables!$B$60:$F$61,2,FALSE)</f>
        <v>0</v>
      </c>
      <c r="EN171" s="1223">
        <f>$G171*BS171*Variables!$B$53*HLOOKUP($EK$2,Variables!$B$60:$F$61,2,FALSE)</f>
        <v>0</v>
      </c>
      <c r="EO171" s="1223">
        <f>$G171*BT171*Variables!$B$53*HLOOKUP($EK$2,Variables!$B$60:$F$61,2,FALSE)</f>
        <v>0</v>
      </c>
      <c r="EP171" s="1223">
        <f>$G171*BU171*Variables!$B$53*HLOOKUP($EK$2,Variables!$B$60:$F$61,2,FALSE)</f>
        <v>0</v>
      </c>
      <c r="EQ171" s="1223">
        <f>$G171*BV171*Variables!$B$53*HLOOKUP($EK$2,Variables!$B$60:$F$61,2,FALSE)</f>
        <v>0</v>
      </c>
      <c r="ER171" s="1223">
        <f>$G171*BW171*Variables!$B$53*HLOOKUP($EK$2,Variables!$B$60:$F$61,2,FALSE)</f>
        <v>0</v>
      </c>
      <c r="ES171" s="1223">
        <f>$G171*BX171*Variables!$B$53*HLOOKUP($EK$2,Variables!$B$60:$F$61,2,FALSE)</f>
        <v>0</v>
      </c>
      <c r="ET171" s="1223">
        <f>$G171*BY171*Variables!$B$53*HLOOKUP($EK$2,Variables!$B$60:$F$61,2,FALSE)</f>
        <v>0</v>
      </c>
      <c r="EU171" s="1223">
        <f>$G171*BZ171*Variables!$B$53*HLOOKUP($EK$2,Variables!$B$60:$F$61,2,FALSE)</f>
        <v>0</v>
      </c>
      <c r="EV171" s="1225">
        <f>$G171*CA171*Variables!$B$53*HLOOKUP($EK$2,Variables!$B$60:$F$61,2,FALSE)</f>
        <v>0</v>
      </c>
      <c r="EW171" s="872">
        <f t="shared" si="24"/>
        <v>0</v>
      </c>
      <c r="EX171" s="872"/>
      <c r="EY171" s="872"/>
      <c r="EZ171" s="872"/>
      <c r="FA171" s="1332"/>
      <c r="FC171" s="958" t="str">
        <f t="shared" si="25"/>
        <v/>
      </c>
      <c r="FD171" s="959" t="str">
        <f t="shared" si="26"/>
        <v/>
      </c>
      <c r="FE171" s="959" t="s">
        <v>8407</v>
      </c>
      <c r="FF171" s="959" t="str">
        <f>IF(ISNA(VLOOKUP(FC171,Miscellaneous!E:F,2,0)),"",VLOOKUP(FC171,Miscellaneous!E:F,2,0))</f>
        <v/>
      </c>
      <c r="FG171" s="959" t="str">
        <f t="shared" si="27"/>
        <v/>
      </c>
      <c r="FH171" s="996">
        <f>IF($FG171="Opex",SUMIF('Monthly Summary'!$C$75:$N$75,"",CC171:CN171),SUMIF('Monthly Summary'!$C$74:$N$74,"",CC171:CN171))</f>
        <v>0</v>
      </c>
      <c r="FI171" s="996">
        <f>IF($FG171="Opex",SUMIF('Monthly Summary'!$O$75:$Z$75,"",CO171:CZ171),SUMIF('Monthly Summary'!$O$74:$Z$74,"",CO171:CZ171))</f>
        <v>0</v>
      </c>
      <c r="FJ171" s="996">
        <f>IF($FG171="Opex",SUMIF('Monthly Summary'!$AA$75:$AL$75,"",DA171:DL171),SUMIF('Monthly Summary'!$AA$74:$AL$74,"",DA171:DL171))</f>
        <v>0</v>
      </c>
      <c r="FK171" s="996">
        <f>IF($FG171="Opex",SUMIF('Monthly Summary'!$AM$75:$AX$75,"",DM171:DX171),SUMIF('Monthly Summary'!$AM$74:$AX$74,"",DM171:DX171))</f>
        <v>0</v>
      </c>
      <c r="FL171" s="996">
        <f>IF($FG171="Opex",SUMIF('Monthly Summary'!$AY$75:$BJ$75,"",DY171:EJ171),SUMIF('Monthly Summary'!$AY$74:$BJ$74,"",DY171:EJ171))</f>
        <v>0</v>
      </c>
      <c r="FM171" s="997">
        <f>IF($FG171="Opex",SUMIF('Monthly Summary'!$BK$75:$BV$75,"",EK171:EV171),SUMIF('Monthly Summary'!$BK$74:$BV$74,"",EK171:EV171))</f>
        <v>0</v>
      </c>
      <c r="FN171" s="997">
        <f t="shared" si="28"/>
        <v>0</v>
      </c>
    </row>
    <row r="172" spans="3:170">
      <c r="C172" s="757"/>
      <c r="D172" s="757"/>
      <c r="E172" s="758"/>
      <c r="F172" s="758"/>
      <c r="G172" s="758"/>
      <c r="H172" s="1215"/>
      <c r="I172" s="761"/>
      <c r="J172" s="761"/>
      <c r="K172" s="761"/>
      <c r="L172" s="761"/>
      <c r="M172" s="761"/>
      <c r="N172" s="761"/>
      <c r="O172" s="761"/>
      <c r="P172" s="761"/>
      <c r="Q172" s="761"/>
      <c r="R172" s="761"/>
      <c r="S172" s="1216"/>
      <c r="T172" s="1215"/>
      <c r="U172" s="761"/>
      <c r="V172" s="761"/>
      <c r="W172" s="761"/>
      <c r="X172" s="761"/>
      <c r="Y172" s="761"/>
      <c r="Z172" s="761"/>
      <c r="AA172" s="761"/>
      <c r="AB172" s="761"/>
      <c r="AC172" s="761"/>
      <c r="AD172" s="761"/>
      <c r="AE172" s="1216"/>
      <c r="AF172" s="1215"/>
      <c r="AG172" s="761"/>
      <c r="AH172" s="761"/>
      <c r="AI172" s="761"/>
      <c r="AJ172" s="761"/>
      <c r="AK172" s="761"/>
      <c r="AL172" s="761"/>
      <c r="AM172" s="761"/>
      <c r="AN172" s="761"/>
      <c r="AO172" s="761"/>
      <c r="AP172" s="761"/>
      <c r="AQ172" s="1216"/>
      <c r="AR172" s="1215"/>
      <c r="AS172" s="761"/>
      <c r="AT172" s="761"/>
      <c r="AU172" s="761"/>
      <c r="AV172" s="761"/>
      <c r="AW172" s="761"/>
      <c r="AX172" s="761"/>
      <c r="AY172" s="761"/>
      <c r="AZ172" s="761"/>
      <c r="BA172" s="761"/>
      <c r="BB172" s="761"/>
      <c r="BC172" s="1216"/>
      <c r="BD172" s="1215"/>
      <c r="BE172" s="761"/>
      <c r="BF172" s="761"/>
      <c r="BG172" s="761"/>
      <c r="BH172" s="761"/>
      <c r="BI172" s="761"/>
      <c r="BJ172" s="761"/>
      <c r="BK172" s="761"/>
      <c r="BL172" s="761"/>
      <c r="BM172" s="761"/>
      <c r="BN172" s="761"/>
      <c r="BO172" s="1216"/>
      <c r="BP172" s="1215"/>
      <c r="BQ172" s="761"/>
      <c r="BR172" s="761"/>
      <c r="BS172" s="761"/>
      <c r="BT172" s="761"/>
      <c r="BU172" s="761"/>
      <c r="BV172" s="761"/>
      <c r="BW172" s="761"/>
      <c r="BX172" s="761"/>
      <c r="BY172" s="761"/>
      <c r="BZ172" s="761"/>
      <c r="CA172" s="1216"/>
      <c r="CB172" s="747"/>
      <c r="CC172" s="1222">
        <f>$G172*H172*Variables!$B$53</f>
        <v>0</v>
      </c>
      <c r="CD172" s="1223">
        <f>$G172*I172*Variables!$B$53</f>
        <v>0</v>
      </c>
      <c r="CE172" s="1223">
        <f>$G172*J172*Variables!$B$53</f>
        <v>0</v>
      </c>
      <c r="CF172" s="1223">
        <f>$G172*K172*Variables!$B$53</f>
        <v>0</v>
      </c>
      <c r="CG172" s="1223">
        <f>$G172*L172*Variables!$B$53</f>
        <v>0</v>
      </c>
      <c r="CH172" s="1223">
        <f>$G172*M172*Variables!$B$53</f>
        <v>0</v>
      </c>
      <c r="CI172" s="1223">
        <f>$G172*N172*Variables!$B$53</f>
        <v>0</v>
      </c>
      <c r="CJ172" s="1223">
        <f>$G172*O172*Variables!$B$53</f>
        <v>0</v>
      </c>
      <c r="CK172" s="1223">
        <f>$G172*P172*Variables!$B$53</f>
        <v>0</v>
      </c>
      <c r="CL172" s="1223">
        <f>$G172*Q172*Variables!$B$53</f>
        <v>0</v>
      </c>
      <c r="CM172" s="1223">
        <f>$G172*R172*Variables!$B$53</f>
        <v>0</v>
      </c>
      <c r="CN172" s="1225">
        <f>$G172*S172*Variables!$B$53</f>
        <v>0</v>
      </c>
      <c r="CO172" s="1222">
        <f>$G172*T172*Variables!$B$53*HLOOKUP($CO$2,Variables!$B$60:$F$61,2,FALSE)</f>
        <v>0</v>
      </c>
      <c r="CP172" s="1223">
        <f>$G172*U172*Variables!$B$53*HLOOKUP($CO$2,Variables!$B$60:$F$61,2,FALSE)</f>
        <v>0</v>
      </c>
      <c r="CQ172" s="1223">
        <f>$G172*V172*Variables!$B$53*HLOOKUP($CO$2,Variables!$B$60:$F$61,2,FALSE)</f>
        <v>0</v>
      </c>
      <c r="CR172" s="1223">
        <f>$G172*W172*Variables!$B$53*HLOOKUP($CO$2,Variables!$B$60:$F$61,2,FALSE)</f>
        <v>0</v>
      </c>
      <c r="CS172" s="1223">
        <f>$G172*X172*Variables!$B$53*HLOOKUP($CO$2,Variables!$B$60:$F$61,2,FALSE)</f>
        <v>0</v>
      </c>
      <c r="CT172" s="1223">
        <f>$G172*Y172*Variables!$B$53*HLOOKUP($CO$2,Variables!$B$60:$F$61,2,FALSE)</f>
        <v>0</v>
      </c>
      <c r="CU172" s="1223">
        <f>$G172*Z172*Variables!$B$53*HLOOKUP($CO$2,Variables!$B$60:$F$61,2,FALSE)</f>
        <v>0</v>
      </c>
      <c r="CV172" s="1223">
        <f>$G172*AA172*Variables!$B$53*HLOOKUP($CO$2,Variables!$B$60:$F$61,2,FALSE)</f>
        <v>0</v>
      </c>
      <c r="CW172" s="1223">
        <f>$G172*AB172*Variables!$B$53*HLOOKUP($CO$2,Variables!$B$60:$F$61,2,FALSE)</f>
        <v>0</v>
      </c>
      <c r="CX172" s="1223">
        <f>$G172*AC172*Variables!$B$53*HLOOKUP($CO$2,Variables!$B$60:$F$61,2,FALSE)</f>
        <v>0</v>
      </c>
      <c r="CY172" s="1223">
        <f>$G172*AD172*Variables!$B$53*HLOOKUP($CO$2,Variables!$B$60:$F$61,2,FALSE)</f>
        <v>0</v>
      </c>
      <c r="CZ172" s="1225">
        <f>$G172*AE172*Variables!$B$53*HLOOKUP($CO$2,Variables!$B$60:$F$61,2,FALSE)</f>
        <v>0</v>
      </c>
      <c r="DA172" s="1222">
        <f>$G172*AF172*Variables!$B$53*HLOOKUP($DA$2,Variables!$B$60:$F$61,2,FALSE)</f>
        <v>0</v>
      </c>
      <c r="DB172" s="1223">
        <f>$G172*AG172*Variables!$B$53*HLOOKUP($DA$2,Variables!$B$60:$F$61,2,FALSE)</f>
        <v>0</v>
      </c>
      <c r="DC172" s="1223">
        <f>$G172*AH172*Variables!$B$53*HLOOKUP($DA$2,Variables!$B$60:$F$61,2,FALSE)</f>
        <v>0</v>
      </c>
      <c r="DD172" s="1223">
        <f>$G172*AI172*Variables!$B$53*HLOOKUP($DA$2,Variables!$B$60:$F$61,2,FALSE)</f>
        <v>0</v>
      </c>
      <c r="DE172" s="1223">
        <f>$G172*AJ172*Variables!$B$53*HLOOKUP($DA$2,Variables!$B$60:$F$61,2,FALSE)</f>
        <v>0</v>
      </c>
      <c r="DF172" s="1223">
        <f>$G172*AK172*Variables!$B$53*HLOOKUP($DA$2,Variables!$B$60:$F$61,2,FALSE)</f>
        <v>0</v>
      </c>
      <c r="DG172" s="1223">
        <f>$G172*AL172*Variables!$B$53*HLOOKUP($DA$2,Variables!$B$60:$F$61,2,FALSE)</f>
        <v>0</v>
      </c>
      <c r="DH172" s="1223">
        <f>$G172*AM172*Variables!$B$53*HLOOKUP($DA$2,Variables!$B$60:$F$61,2,FALSE)</f>
        <v>0</v>
      </c>
      <c r="DI172" s="1223">
        <f>$G172*AN172*Variables!$B$53*HLOOKUP($DA$2,Variables!$B$60:$F$61,2,FALSE)</f>
        <v>0</v>
      </c>
      <c r="DJ172" s="1223">
        <f>$G172*AO172*Variables!$B$53*HLOOKUP($DA$2,Variables!$B$60:$F$61,2,FALSE)</f>
        <v>0</v>
      </c>
      <c r="DK172" s="1223">
        <f>$G172*AP172*Variables!$B$53*HLOOKUP($DA$2,Variables!$B$60:$F$61,2,FALSE)</f>
        <v>0</v>
      </c>
      <c r="DL172" s="1225">
        <f>$G172*AQ172*Variables!$B$53*HLOOKUP($DA$2,Variables!$B$60:$F$61,2,FALSE)</f>
        <v>0</v>
      </c>
      <c r="DM172" s="1222">
        <f>$G172*AR172*Variables!$B$53*HLOOKUP($DM$2,Variables!$B$60:$F$61,2,FALSE)</f>
        <v>0</v>
      </c>
      <c r="DN172" s="1223">
        <f>$G172*AS172*Variables!$B$53*HLOOKUP($DM$2,Variables!$B$60:$F$61,2,FALSE)</f>
        <v>0</v>
      </c>
      <c r="DO172" s="1223">
        <f>$G172*AT172*Variables!$B$53*HLOOKUP($DM$2,Variables!$B$60:$F$61,2,FALSE)</f>
        <v>0</v>
      </c>
      <c r="DP172" s="1223">
        <f>$G172*AU172*Variables!$B$53*HLOOKUP($DM$2,Variables!$B$60:$F$61,2,FALSE)</f>
        <v>0</v>
      </c>
      <c r="DQ172" s="1223">
        <f>$G172*AV172*Variables!$B$53*HLOOKUP($DM$2,Variables!$B$60:$F$61,2,FALSE)</f>
        <v>0</v>
      </c>
      <c r="DR172" s="1223">
        <f>$G172*AW172*Variables!$B$53*HLOOKUP($DM$2,Variables!$B$60:$F$61,2,FALSE)</f>
        <v>0</v>
      </c>
      <c r="DS172" s="1223">
        <f>$G172*AX172*Variables!$B$53*HLOOKUP($DM$2,Variables!$B$60:$F$61,2,FALSE)</f>
        <v>0</v>
      </c>
      <c r="DT172" s="1223">
        <f>$G172*AY172*Variables!$B$53*HLOOKUP($DM$2,Variables!$B$60:$F$61,2,FALSE)</f>
        <v>0</v>
      </c>
      <c r="DU172" s="1223">
        <f>$G172*AZ172*Variables!$B$53*HLOOKUP($DM$2,Variables!$B$60:$F$61,2,FALSE)</f>
        <v>0</v>
      </c>
      <c r="DV172" s="1223">
        <f>$G172*BA172*Variables!$B$53*HLOOKUP($DM$2,Variables!$B$60:$F$61,2,FALSE)</f>
        <v>0</v>
      </c>
      <c r="DW172" s="1223">
        <f>$G172*BB172*Variables!$B$53*HLOOKUP($DM$2,Variables!$B$60:$F$61,2,FALSE)</f>
        <v>0</v>
      </c>
      <c r="DX172" s="1225">
        <f>$G172*BC172*Variables!$B$53*HLOOKUP($DM$2,Variables!$B$60:$F$61,2,FALSE)</f>
        <v>0</v>
      </c>
      <c r="DY172" s="1222">
        <f>$G172*BD172*Variables!$B$53*HLOOKUP($DY$2,Variables!$B$60:$F$61,2,FALSE)</f>
        <v>0</v>
      </c>
      <c r="DZ172" s="1223">
        <f>$G172*BE172*Variables!$B$53*HLOOKUP($DY$2,Variables!$B$60:$F$61,2,FALSE)</f>
        <v>0</v>
      </c>
      <c r="EA172" s="1223">
        <f>$G172*BF172*Variables!$B$53*HLOOKUP($DY$2,Variables!$B$60:$F$61,2,FALSE)</f>
        <v>0</v>
      </c>
      <c r="EB172" s="1223">
        <f>$G172*BG172*Variables!$B$53*HLOOKUP($DY$2,Variables!$B$60:$F$61,2,FALSE)</f>
        <v>0</v>
      </c>
      <c r="EC172" s="1223">
        <f>$G172*BH172*Variables!$B$53*HLOOKUP($DY$2,Variables!$B$60:$F$61,2,FALSE)</f>
        <v>0</v>
      </c>
      <c r="ED172" s="1223">
        <f>$G172*BI172*Variables!$B$53*HLOOKUP($DY$2,Variables!$B$60:$F$61,2,FALSE)</f>
        <v>0</v>
      </c>
      <c r="EE172" s="1223">
        <f>$G172*BJ172*Variables!$B$53*HLOOKUP($DY$2,Variables!$B$60:$F$61,2,FALSE)</f>
        <v>0</v>
      </c>
      <c r="EF172" s="1223">
        <f>$G172*BK172*Variables!$B$53*HLOOKUP($DY$2,Variables!$B$60:$F$61,2,FALSE)</f>
        <v>0</v>
      </c>
      <c r="EG172" s="1223">
        <f>$G172*BL172*Variables!$B$53*HLOOKUP($DY$2,Variables!$B$60:$F$61,2,FALSE)</f>
        <v>0</v>
      </c>
      <c r="EH172" s="1223">
        <f>$G172*BM172*Variables!$B$53*HLOOKUP($DY$2,Variables!$B$60:$F$61,2,FALSE)</f>
        <v>0</v>
      </c>
      <c r="EI172" s="1223">
        <f>$G172*BN172*Variables!$B$53*HLOOKUP($DY$2,Variables!$B$60:$F$61,2,FALSE)</f>
        <v>0</v>
      </c>
      <c r="EJ172" s="1225">
        <f>$G172*BO172*Variables!$B$53*HLOOKUP($DY$2,Variables!$B$60:$F$61,2,FALSE)</f>
        <v>0</v>
      </c>
      <c r="EK172" s="1222">
        <f>$G172*BP172*Variables!$B$53*HLOOKUP($EK$2,Variables!$B$60:$F$61,2,FALSE)</f>
        <v>0</v>
      </c>
      <c r="EL172" s="1223">
        <f>$G172*BQ172*Variables!$B$53*HLOOKUP($EK$2,Variables!$B$60:$F$61,2,FALSE)</f>
        <v>0</v>
      </c>
      <c r="EM172" s="1223">
        <f>$G172*BR172*Variables!$B$53*HLOOKUP($EK$2,Variables!$B$60:$F$61,2,FALSE)</f>
        <v>0</v>
      </c>
      <c r="EN172" s="1223">
        <f>$G172*BS172*Variables!$B$53*HLOOKUP($EK$2,Variables!$B$60:$F$61,2,FALSE)</f>
        <v>0</v>
      </c>
      <c r="EO172" s="1223">
        <f>$G172*BT172*Variables!$B$53*HLOOKUP($EK$2,Variables!$B$60:$F$61,2,FALSE)</f>
        <v>0</v>
      </c>
      <c r="EP172" s="1223">
        <f>$G172*BU172*Variables!$B$53*HLOOKUP($EK$2,Variables!$B$60:$F$61,2,FALSE)</f>
        <v>0</v>
      </c>
      <c r="EQ172" s="1223">
        <f>$G172*BV172*Variables!$B$53*HLOOKUP($EK$2,Variables!$B$60:$F$61,2,FALSE)</f>
        <v>0</v>
      </c>
      <c r="ER172" s="1223">
        <f>$G172*BW172*Variables!$B$53*HLOOKUP($EK$2,Variables!$B$60:$F$61,2,FALSE)</f>
        <v>0</v>
      </c>
      <c r="ES172" s="1223">
        <f>$G172*BX172*Variables!$B$53*HLOOKUP($EK$2,Variables!$B$60:$F$61,2,FALSE)</f>
        <v>0</v>
      </c>
      <c r="ET172" s="1223">
        <f>$G172*BY172*Variables!$B$53*HLOOKUP($EK$2,Variables!$B$60:$F$61,2,FALSE)</f>
        <v>0</v>
      </c>
      <c r="EU172" s="1223">
        <f>$G172*BZ172*Variables!$B$53*HLOOKUP($EK$2,Variables!$B$60:$F$61,2,FALSE)</f>
        <v>0</v>
      </c>
      <c r="EV172" s="1225">
        <f>$G172*CA172*Variables!$B$53*HLOOKUP($EK$2,Variables!$B$60:$F$61,2,FALSE)</f>
        <v>0</v>
      </c>
      <c r="EW172" s="872">
        <f t="shared" si="24"/>
        <v>0</v>
      </c>
      <c r="EX172" s="872"/>
      <c r="EY172" s="872"/>
      <c r="EZ172" s="872"/>
      <c r="FA172" s="1332"/>
      <c r="FC172" s="958" t="str">
        <f t="shared" si="25"/>
        <v/>
      </c>
      <c r="FD172" s="959" t="str">
        <f t="shared" si="26"/>
        <v/>
      </c>
      <c r="FE172" s="959" t="s">
        <v>8407</v>
      </c>
      <c r="FF172" s="959" t="str">
        <f>IF(ISNA(VLOOKUP(FC172,Miscellaneous!E:F,2,0)),"",VLOOKUP(FC172,Miscellaneous!E:F,2,0))</f>
        <v/>
      </c>
      <c r="FG172" s="959" t="str">
        <f t="shared" si="27"/>
        <v/>
      </c>
      <c r="FH172" s="996">
        <f>IF($FG172="Opex",SUMIF('Monthly Summary'!$C$75:$N$75,"",CC172:CN172),SUMIF('Monthly Summary'!$C$74:$N$74,"",CC172:CN172))</f>
        <v>0</v>
      </c>
      <c r="FI172" s="996">
        <f>IF($FG172="Opex",SUMIF('Monthly Summary'!$O$75:$Z$75,"",CO172:CZ172),SUMIF('Monthly Summary'!$O$74:$Z$74,"",CO172:CZ172))</f>
        <v>0</v>
      </c>
      <c r="FJ172" s="996">
        <f>IF($FG172="Opex",SUMIF('Monthly Summary'!$AA$75:$AL$75,"",DA172:DL172),SUMIF('Monthly Summary'!$AA$74:$AL$74,"",DA172:DL172))</f>
        <v>0</v>
      </c>
      <c r="FK172" s="996">
        <f>IF($FG172="Opex",SUMIF('Monthly Summary'!$AM$75:$AX$75,"",DM172:DX172),SUMIF('Monthly Summary'!$AM$74:$AX$74,"",DM172:DX172))</f>
        <v>0</v>
      </c>
      <c r="FL172" s="996">
        <f>IF($FG172="Opex",SUMIF('Monthly Summary'!$AY$75:$BJ$75,"",DY172:EJ172),SUMIF('Monthly Summary'!$AY$74:$BJ$74,"",DY172:EJ172))</f>
        <v>0</v>
      </c>
      <c r="FM172" s="997">
        <f>IF($FG172="Opex",SUMIF('Monthly Summary'!$BK$75:$BV$75,"",EK172:EV172),SUMIF('Monthly Summary'!$BK$74:$BV$74,"",EK172:EV172))</f>
        <v>0</v>
      </c>
      <c r="FN172" s="997">
        <f t="shared" si="28"/>
        <v>0</v>
      </c>
    </row>
    <row r="173" spans="3:170">
      <c r="C173" s="757"/>
      <c r="D173" s="757"/>
      <c r="E173" s="758"/>
      <c r="F173" s="758"/>
      <c r="G173" s="758"/>
      <c r="H173" s="1215"/>
      <c r="I173" s="761"/>
      <c r="J173" s="761"/>
      <c r="K173" s="761"/>
      <c r="L173" s="761"/>
      <c r="M173" s="761"/>
      <c r="N173" s="761"/>
      <c r="O173" s="761"/>
      <c r="P173" s="761"/>
      <c r="Q173" s="761"/>
      <c r="R173" s="761"/>
      <c r="S173" s="1216"/>
      <c r="T173" s="1215"/>
      <c r="U173" s="761"/>
      <c r="V173" s="761"/>
      <c r="W173" s="761"/>
      <c r="X173" s="761"/>
      <c r="Y173" s="761"/>
      <c r="Z173" s="761"/>
      <c r="AA173" s="761"/>
      <c r="AB173" s="761"/>
      <c r="AC173" s="761"/>
      <c r="AD173" s="761"/>
      <c r="AE173" s="1216"/>
      <c r="AF173" s="1215"/>
      <c r="AG173" s="761"/>
      <c r="AH173" s="761"/>
      <c r="AI173" s="761"/>
      <c r="AJ173" s="761"/>
      <c r="AK173" s="761"/>
      <c r="AL173" s="761"/>
      <c r="AM173" s="761"/>
      <c r="AN173" s="761"/>
      <c r="AO173" s="761"/>
      <c r="AP173" s="761"/>
      <c r="AQ173" s="1216"/>
      <c r="AR173" s="1215"/>
      <c r="AS173" s="761"/>
      <c r="AT173" s="761"/>
      <c r="AU173" s="761"/>
      <c r="AV173" s="761"/>
      <c r="AW173" s="761"/>
      <c r="AX173" s="761"/>
      <c r="AY173" s="761"/>
      <c r="AZ173" s="761"/>
      <c r="BA173" s="761"/>
      <c r="BB173" s="761"/>
      <c r="BC173" s="1216"/>
      <c r="BD173" s="1215"/>
      <c r="BE173" s="761"/>
      <c r="BF173" s="761"/>
      <c r="BG173" s="761"/>
      <c r="BH173" s="761"/>
      <c r="BI173" s="761"/>
      <c r="BJ173" s="761"/>
      <c r="BK173" s="761"/>
      <c r="BL173" s="761"/>
      <c r="BM173" s="761"/>
      <c r="BN173" s="761"/>
      <c r="BO173" s="1216"/>
      <c r="BP173" s="1215"/>
      <c r="BQ173" s="761"/>
      <c r="BR173" s="761"/>
      <c r="BS173" s="761"/>
      <c r="BT173" s="761"/>
      <c r="BU173" s="761"/>
      <c r="BV173" s="761"/>
      <c r="BW173" s="761"/>
      <c r="BX173" s="761"/>
      <c r="BY173" s="761"/>
      <c r="BZ173" s="761"/>
      <c r="CA173" s="1216"/>
      <c r="CB173" s="747"/>
      <c r="CC173" s="1222">
        <f>$G173*H173*Variables!$B$53</f>
        <v>0</v>
      </c>
      <c r="CD173" s="1223">
        <f>$G173*I173*Variables!$B$53</f>
        <v>0</v>
      </c>
      <c r="CE173" s="1223">
        <f>$G173*J173*Variables!$B$53</f>
        <v>0</v>
      </c>
      <c r="CF173" s="1223">
        <f>$G173*K173*Variables!$B$53</f>
        <v>0</v>
      </c>
      <c r="CG173" s="1223">
        <f>$G173*L173*Variables!$B$53</f>
        <v>0</v>
      </c>
      <c r="CH173" s="1223">
        <f>$G173*M173*Variables!$B$53</f>
        <v>0</v>
      </c>
      <c r="CI173" s="1223">
        <f>$G173*N173*Variables!$B$53</f>
        <v>0</v>
      </c>
      <c r="CJ173" s="1223">
        <f>$G173*O173*Variables!$B$53</f>
        <v>0</v>
      </c>
      <c r="CK173" s="1223">
        <f>$G173*P173*Variables!$B$53</f>
        <v>0</v>
      </c>
      <c r="CL173" s="1223">
        <f>$G173*Q173*Variables!$B$53</f>
        <v>0</v>
      </c>
      <c r="CM173" s="1223">
        <f>$G173*R173*Variables!$B$53</f>
        <v>0</v>
      </c>
      <c r="CN173" s="1225">
        <f>$G173*S173*Variables!$B$53</f>
        <v>0</v>
      </c>
      <c r="CO173" s="1222">
        <f>$G173*T173*Variables!$B$53*HLOOKUP($CO$2,Variables!$B$60:$F$61,2,FALSE)</f>
        <v>0</v>
      </c>
      <c r="CP173" s="1223">
        <f>$G173*U173*Variables!$B$53*HLOOKUP($CO$2,Variables!$B$60:$F$61,2,FALSE)</f>
        <v>0</v>
      </c>
      <c r="CQ173" s="1223">
        <f>$G173*V173*Variables!$B$53*HLOOKUP($CO$2,Variables!$B$60:$F$61,2,FALSE)</f>
        <v>0</v>
      </c>
      <c r="CR173" s="1223">
        <f>$G173*W173*Variables!$B$53*HLOOKUP($CO$2,Variables!$B$60:$F$61,2,FALSE)</f>
        <v>0</v>
      </c>
      <c r="CS173" s="1223">
        <f>$G173*X173*Variables!$B$53*HLOOKUP($CO$2,Variables!$B$60:$F$61,2,FALSE)</f>
        <v>0</v>
      </c>
      <c r="CT173" s="1223">
        <f>$G173*Y173*Variables!$B$53*HLOOKUP($CO$2,Variables!$B$60:$F$61,2,FALSE)</f>
        <v>0</v>
      </c>
      <c r="CU173" s="1223">
        <f>$G173*Z173*Variables!$B$53*HLOOKUP($CO$2,Variables!$B$60:$F$61,2,FALSE)</f>
        <v>0</v>
      </c>
      <c r="CV173" s="1223">
        <f>$G173*AA173*Variables!$B$53*HLOOKUP($CO$2,Variables!$B$60:$F$61,2,FALSE)</f>
        <v>0</v>
      </c>
      <c r="CW173" s="1223">
        <f>$G173*AB173*Variables!$B$53*HLOOKUP($CO$2,Variables!$B$60:$F$61,2,FALSE)</f>
        <v>0</v>
      </c>
      <c r="CX173" s="1223">
        <f>$G173*AC173*Variables!$B$53*HLOOKUP($CO$2,Variables!$B$60:$F$61,2,FALSE)</f>
        <v>0</v>
      </c>
      <c r="CY173" s="1223">
        <f>$G173*AD173*Variables!$B$53*HLOOKUP($CO$2,Variables!$B$60:$F$61,2,FALSE)</f>
        <v>0</v>
      </c>
      <c r="CZ173" s="1225">
        <f>$G173*AE173*Variables!$B$53*HLOOKUP($CO$2,Variables!$B$60:$F$61,2,FALSE)</f>
        <v>0</v>
      </c>
      <c r="DA173" s="1222">
        <f>$G173*AF173*Variables!$B$53*HLOOKUP($DA$2,Variables!$B$60:$F$61,2,FALSE)</f>
        <v>0</v>
      </c>
      <c r="DB173" s="1223">
        <f>$G173*AG173*Variables!$B$53*HLOOKUP($DA$2,Variables!$B$60:$F$61,2,FALSE)</f>
        <v>0</v>
      </c>
      <c r="DC173" s="1223">
        <f>$G173*AH173*Variables!$B$53*HLOOKUP($DA$2,Variables!$B$60:$F$61,2,FALSE)</f>
        <v>0</v>
      </c>
      <c r="DD173" s="1223">
        <f>$G173*AI173*Variables!$B$53*HLOOKUP($DA$2,Variables!$B$60:$F$61,2,FALSE)</f>
        <v>0</v>
      </c>
      <c r="DE173" s="1223">
        <f>$G173*AJ173*Variables!$B$53*HLOOKUP($DA$2,Variables!$B$60:$F$61,2,FALSE)</f>
        <v>0</v>
      </c>
      <c r="DF173" s="1223">
        <f>$G173*AK173*Variables!$B$53*HLOOKUP($DA$2,Variables!$B$60:$F$61,2,FALSE)</f>
        <v>0</v>
      </c>
      <c r="DG173" s="1223">
        <f>$G173*AL173*Variables!$B$53*HLOOKUP($DA$2,Variables!$B$60:$F$61,2,FALSE)</f>
        <v>0</v>
      </c>
      <c r="DH173" s="1223">
        <f>$G173*AM173*Variables!$B$53*HLOOKUP($DA$2,Variables!$B$60:$F$61,2,FALSE)</f>
        <v>0</v>
      </c>
      <c r="DI173" s="1223">
        <f>$G173*AN173*Variables!$B$53*HLOOKUP($DA$2,Variables!$B$60:$F$61,2,FALSE)</f>
        <v>0</v>
      </c>
      <c r="DJ173" s="1223">
        <f>$G173*AO173*Variables!$B$53*HLOOKUP($DA$2,Variables!$B$60:$F$61,2,FALSE)</f>
        <v>0</v>
      </c>
      <c r="DK173" s="1223">
        <f>$G173*AP173*Variables!$B$53*HLOOKUP($DA$2,Variables!$B$60:$F$61,2,FALSE)</f>
        <v>0</v>
      </c>
      <c r="DL173" s="1225">
        <f>$G173*AQ173*Variables!$B$53*HLOOKUP($DA$2,Variables!$B$60:$F$61,2,FALSE)</f>
        <v>0</v>
      </c>
      <c r="DM173" s="1222">
        <f>$G173*AR173*Variables!$B$53*HLOOKUP($DM$2,Variables!$B$60:$F$61,2,FALSE)</f>
        <v>0</v>
      </c>
      <c r="DN173" s="1223">
        <f>$G173*AS173*Variables!$B$53*HLOOKUP($DM$2,Variables!$B$60:$F$61,2,FALSE)</f>
        <v>0</v>
      </c>
      <c r="DO173" s="1223">
        <f>$G173*AT173*Variables!$B$53*HLOOKUP($DM$2,Variables!$B$60:$F$61,2,FALSE)</f>
        <v>0</v>
      </c>
      <c r="DP173" s="1223">
        <f>$G173*AU173*Variables!$B$53*HLOOKUP($DM$2,Variables!$B$60:$F$61,2,FALSE)</f>
        <v>0</v>
      </c>
      <c r="DQ173" s="1223">
        <f>$G173*AV173*Variables!$B$53*HLOOKUP($DM$2,Variables!$B$60:$F$61,2,FALSE)</f>
        <v>0</v>
      </c>
      <c r="DR173" s="1223">
        <f>$G173*AW173*Variables!$B$53*HLOOKUP($DM$2,Variables!$B$60:$F$61,2,FALSE)</f>
        <v>0</v>
      </c>
      <c r="DS173" s="1223">
        <f>$G173*AX173*Variables!$B$53*HLOOKUP($DM$2,Variables!$B$60:$F$61,2,FALSE)</f>
        <v>0</v>
      </c>
      <c r="DT173" s="1223">
        <f>$G173*AY173*Variables!$B$53*HLOOKUP($DM$2,Variables!$B$60:$F$61,2,FALSE)</f>
        <v>0</v>
      </c>
      <c r="DU173" s="1223">
        <f>$G173*AZ173*Variables!$B$53*HLOOKUP($DM$2,Variables!$B$60:$F$61,2,FALSE)</f>
        <v>0</v>
      </c>
      <c r="DV173" s="1223">
        <f>$G173*BA173*Variables!$B$53*HLOOKUP($DM$2,Variables!$B$60:$F$61,2,FALSE)</f>
        <v>0</v>
      </c>
      <c r="DW173" s="1223">
        <f>$G173*BB173*Variables!$B$53*HLOOKUP($DM$2,Variables!$B$60:$F$61,2,FALSE)</f>
        <v>0</v>
      </c>
      <c r="DX173" s="1225">
        <f>$G173*BC173*Variables!$B$53*HLOOKUP($DM$2,Variables!$B$60:$F$61,2,FALSE)</f>
        <v>0</v>
      </c>
      <c r="DY173" s="1222">
        <f>$G173*BD173*Variables!$B$53*HLOOKUP($DY$2,Variables!$B$60:$F$61,2,FALSE)</f>
        <v>0</v>
      </c>
      <c r="DZ173" s="1223">
        <f>$G173*BE173*Variables!$B$53*HLOOKUP($DY$2,Variables!$B$60:$F$61,2,FALSE)</f>
        <v>0</v>
      </c>
      <c r="EA173" s="1223">
        <f>$G173*BF173*Variables!$B$53*HLOOKUP($DY$2,Variables!$B$60:$F$61,2,FALSE)</f>
        <v>0</v>
      </c>
      <c r="EB173" s="1223">
        <f>$G173*BG173*Variables!$B$53*HLOOKUP($DY$2,Variables!$B$60:$F$61,2,FALSE)</f>
        <v>0</v>
      </c>
      <c r="EC173" s="1223">
        <f>$G173*BH173*Variables!$B$53*HLOOKUP($DY$2,Variables!$B$60:$F$61,2,FALSE)</f>
        <v>0</v>
      </c>
      <c r="ED173" s="1223">
        <f>$G173*BI173*Variables!$B$53*HLOOKUP($DY$2,Variables!$B$60:$F$61,2,FALSE)</f>
        <v>0</v>
      </c>
      <c r="EE173" s="1223">
        <f>$G173*BJ173*Variables!$B$53*HLOOKUP($DY$2,Variables!$B$60:$F$61,2,FALSE)</f>
        <v>0</v>
      </c>
      <c r="EF173" s="1223">
        <f>$G173*BK173*Variables!$B$53*HLOOKUP($DY$2,Variables!$B$60:$F$61,2,FALSE)</f>
        <v>0</v>
      </c>
      <c r="EG173" s="1223">
        <f>$G173*BL173*Variables!$B$53*HLOOKUP($DY$2,Variables!$B$60:$F$61,2,FALSE)</f>
        <v>0</v>
      </c>
      <c r="EH173" s="1223">
        <f>$G173*BM173*Variables!$B$53*HLOOKUP($DY$2,Variables!$B$60:$F$61,2,FALSE)</f>
        <v>0</v>
      </c>
      <c r="EI173" s="1223">
        <f>$G173*BN173*Variables!$B$53*HLOOKUP($DY$2,Variables!$B$60:$F$61,2,FALSE)</f>
        <v>0</v>
      </c>
      <c r="EJ173" s="1225">
        <f>$G173*BO173*Variables!$B$53*HLOOKUP($DY$2,Variables!$B$60:$F$61,2,FALSE)</f>
        <v>0</v>
      </c>
      <c r="EK173" s="1222">
        <f>$G173*BP173*Variables!$B$53*HLOOKUP($EK$2,Variables!$B$60:$F$61,2,FALSE)</f>
        <v>0</v>
      </c>
      <c r="EL173" s="1223">
        <f>$G173*BQ173*Variables!$B$53*HLOOKUP($EK$2,Variables!$B$60:$F$61,2,FALSE)</f>
        <v>0</v>
      </c>
      <c r="EM173" s="1223">
        <f>$G173*BR173*Variables!$B$53*HLOOKUP($EK$2,Variables!$B$60:$F$61,2,FALSE)</f>
        <v>0</v>
      </c>
      <c r="EN173" s="1223">
        <f>$G173*BS173*Variables!$B$53*HLOOKUP($EK$2,Variables!$B$60:$F$61,2,FALSE)</f>
        <v>0</v>
      </c>
      <c r="EO173" s="1223">
        <f>$G173*BT173*Variables!$B$53*HLOOKUP($EK$2,Variables!$B$60:$F$61,2,FALSE)</f>
        <v>0</v>
      </c>
      <c r="EP173" s="1223">
        <f>$G173*BU173*Variables!$B$53*HLOOKUP($EK$2,Variables!$B$60:$F$61,2,FALSE)</f>
        <v>0</v>
      </c>
      <c r="EQ173" s="1223">
        <f>$G173*BV173*Variables!$B$53*HLOOKUP($EK$2,Variables!$B$60:$F$61,2,FALSE)</f>
        <v>0</v>
      </c>
      <c r="ER173" s="1223">
        <f>$G173*BW173*Variables!$B$53*HLOOKUP($EK$2,Variables!$B$60:$F$61,2,FALSE)</f>
        <v>0</v>
      </c>
      <c r="ES173" s="1223">
        <f>$G173*BX173*Variables!$B$53*HLOOKUP($EK$2,Variables!$B$60:$F$61,2,FALSE)</f>
        <v>0</v>
      </c>
      <c r="ET173" s="1223">
        <f>$G173*BY173*Variables!$B$53*HLOOKUP($EK$2,Variables!$B$60:$F$61,2,FALSE)</f>
        <v>0</v>
      </c>
      <c r="EU173" s="1223">
        <f>$G173*BZ173*Variables!$B$53*HLOOKUP($EK$2,Variables!$B$60:$F$61,2,FALSE)</f>
        <v>0</v>
      </c>
      <c r="EV173" s="1225">
        <f>$G173*CA173*Variables!$B$53*HLOOKUP($EK$2,Variables!$B$60:$F$61,2,FALSE)</f>
        <v>0</v>
      </c>
      <c r="EW173" s="872">
        <f t="shared" si="24"/>
        <v>0</v>
      </c>
      <c r="EX173" s="872"/>
      <c r="EY173" s="872"/>
      <c r="EZ173" s="872"/>
      <c r="FA173" s="1332"/>
      <c r="FC173" s="958" t="str">
        <f t="shared" si="25"/>
        <v/>
      </c>
      <c r="FD173" s="959" t="str">
        <f t="shared" si="26"/>
        <v/>
      </c>
      <c r="FE173" s="959" t="s">
        <v>8407</v>
      </c>
      <c r="FF173" s="959" t="str">
        <f>IF(ISNA(VLOOKUP(FC173,Miscellaneous!E:F,2,0)),"",VLOOKUP(FC173,Miscellaneous!E:F,2,0))</f>
        <v/>
      </c>
      <c r="FG173" s="959" t="str">
        <f t="shared" si="27"/>
        <v/>
      </c>
      <c r="FH173" s="996">
        <f>IF($FG173="Opex",SUMIF('Monthly Summary'!$C$75:$N$75,"",CC173:CN173),SUMIF('Monthly Summary'!$C$74:$N$74,"",CC173:CN173))</f>
        <v>0</v>
      </c>
      <c r="FI173" s="996">
        <f>IF($FG173="Opex",SUMIF('Monthly Summary'!$O$75:$Z$75,"",CO173:CZ173),SUMIF('Monthly Summary'!$O$74:$Z$74,"",CO173:CZ173))</f>
        <v>0</v>
      </c>
      <c r="FJ173" s="996">
        <f>IF($FG173="Opex",SUMIF('Monthly Summary'!$AA$75:$AL$75,"",DA173:DL173),SUMIF('Monthly Summary'!$AA$74:$AL$74,"",DA173:DL173))</f>
        <v>0</v>
      </c>
      <c r="FK173" s="996">
        <f>IF($FG173="Opex",SUMIF('Monthly Summary'!$AM$75:$AX$75,"",DM173:DX173),SUMIF('Monthly Summary'!$AM$74:$AX$74,"",DM173:DX173))</f>
        <v>0</v>
      </c>
      <c r="FL173" s="996">
        <f>IF($FG173="Opex",SUMIF('Monthly Summary'!$AY$75:$BJ$75,"",DY173:EJ173),SUMIF('Monthly Summary'!$AY$74:$BJ$74,"",DY173:EJ173))</f>
        <v>0</v>
      </c>
      <c r="FM173" s="997">
        <f>IF($FG173="Opex",SUMIF('Monthly Summary'!$BK$75:$BV$75,"",EK173:EV173),SUMIF('Monthly Summary'!$BK$74:$BV$74,"",EK173:EV173))</f>
        <v>0</v>
      </c>
      <c r="FN173" s="997">
        <f t="shared" si="28"/>
        <v>0</v>
      </c>
    </row>
    <row r="174" spans="3:170">
      <c r="C174" s="757"/>
      <c r="D174" s="757"/>
      <c r="E174" s="758"/>
      <c r="F174" s="758"/>
      <c r="G174" s="758"/>
      <c r="H174" s="1215"/>
      <c r="I174" s="761"/>
      <c r="J174" s="761"/>
      <c r="K174" s="761"/>
      <c r="L174" s="761"/>
      <c r="M174" s="761"/>
      <c r="N174" s="761"/>
      <c r="O174" s="761"/>
      <c r="P174" s="761"/>
      <c r="Q174" s="761"/>
      <c r="R174" s="761"/>
      <c r="S174" s="1216"/>
      <c r="T174" s="1215"/>
      <c r="U174" s="761"/>
      <c r="V174" s="761"/>
      <c r="W174" s="761"/>
      <c r="X174" s="761"/>
      <c r="Y174" s="761"/>
      <c r="Z174" s="761"/>
      <c r="AA174" s="761"/>
      <c r="AB174" s="761"/>
      <c r="AC174" s="761"/>
      <c r="AD174" s="761"/>
      <c r="AE174" s="1216"/>
      <c r="AF174" s="1215"/>
      <c r="AG174" s="761"/>
      <c r="AH174" s="761"/>
      <c r="AI174" s="761"/>
      <c r="AJ174" s="761"/>
      <c r="AK174" s="761"/>
      <c r="AL174" s="761"/>
      <c r="AM174" s="761"/>
      <c r="AN174" s="761"/>
      <c r="AO174" s="761"/>
      <c r="AP174" s="761"/>
      <c r="AQ174" s="1216"/>
      <c r="AR174" s="1215"/>
      <c r="AS174" s="761"/>
      <c r="AT174" s="761"/>
      <c r="AU174" s="761"/>
      <c r="AV174" s="761"/>
      <c r="AW174" s="761"/>
      <c r="AX174" s="761"/>
      <c r="AY174" s="761"/>
      <c r="AZ174" s="761"/>
      <c r="BA174" s="761"/>
      <c r="BB174" s="761"/>
      <c r="BC174" s="1216"/>
      <c r="BD174" s="1215"/>
      <c r="BE174" s="761"/>
      <c r="BF174" s="761"/>
      <c r="BG174" s="761"/>
      <c r="BH174" s="761"/>
      <c r="BI174" s="761"/>
      <c r="BJ174" s="761"/>
      <c r="BK174" s="761"/>
      <c r="BL174" s="761"/>
      <c r="BM174" s="761"/>
      <c r="BN174" s="761"/>
      <c r="BO174" s="1216"/>
      <c r="BP174" s="1215"/>
      <c r="BQ174" s="761"/>
      <c r="BR174" s="761"/>
      <c r="BS174" s="761"/>
      <c r="BT174" s="761"/>
      <c r="BU174" s="761"/>
      <c r="BV174" s="761"/>
      <c r="BW174" s="761"/>
      <c r="BX174" s="761"/>
      <c r="BY174" s="761"/>
      <c r="BZ174" s="761"/>
      <c r="CA174" s="1216"/>
      <c r="CB174" s="747"/>
      <c r="CC174" s="1222">
        <f>$G174*H174*Variables!$B$53</f>
        <v>0</v>
      </c>
      <c r="CD174" s="1223">
        <f>$G174*I174*Variables!$B$53</f>
        <v>0</v>
      </c>
      <c r="CE174" s="1223">
        <f>$G174*J174*Variables!$B$53</f>
        <v>0</v>
      </c>
      <c r="CF174" s="1223">
        <f>$G174*K174*Variables!$B$53</f>
        <v>0</v>
      </c>
      <c r="CG174" s="1223">
        <f>$G174*L174*Variables!$B$53</f>
        <v>0</v>
      </c>
      <c r="CH174" s="1223">
        <f>$G174*M174*Variables!$B$53</f>
        <v>0</v>
      </c>
      <c r="CI174" s="1223">
        <f>$G174*N174*Variables!$B$53</f>
        <v>0</v>
      </c>
      <c r="CJ174" s="1223">
        <f>$G174*O174*Variables!$B$53</f>
        <v>0</v>
      </c>
      <c r="CK174" s="1223">
        <f>$G174*P174*Variables!$B$53</f>
        <v>0</v>
      </c>
      <c r="CL174" s="1223">
        <f>$G174*Q174*Variables!$B$53</f>
        <v>0</v>
      </c>
      <c r="CM174" s="1223">
        <f>$G174*R174*Variables!$B$53</f>
        <v>0</v>
      </c>
      <c r="CN174" s="1225">
        <f>$G174*S174*Variables!$B$53</f>
        <v>0</v>
      </c>
      <c r="CO174" s="1222">
        <f>$G174*T174*Variables!$B$53*HLOOKUP($CO$2,Variables!$B$60:$F$61,2,FALSE)</f>
        <v>0</v>
      </c>
      <c r="CP174" s="1223">
        <f>$G174*U174*Variables!$B$53*HLOOKUP($CO$2,Variables!$B$60:$F$61,2,FALSE)</f>
        <v>0</v>
      </c>
      <c r="CQ174" s="1223">
        <f>$G174*V174*Variables!$B$53*HLOOKUP($CO$2,Variables!$B$60:$F$61,2,FALSE)</f>
        <v>0</v>
      </c>
      <c r="CR174" s="1223">
        <f>$G174*W174*Variables!$B$53*HLOOKUP($CO$2,Variables!$B$60:$F$61,2,FALSE)</f>
        <v>0</v>
      </c>
      <c r="CS174" s="1223">
        <f>$G174*X174*Variables!$B$53*HLOOKUP($CO$2,Variables!$B$60:$F$61,2,FALSE)</f>
        <v>0</v>
      </c>
      <c r="CT174" s="1223">
        <f>$G174*Y174*Variables!$B$53*HLOOKUP($CO$2,Variables!$B$60:$F$61,2,FALSE)</f>
        <v>0</v>
      </c>
      <c r="CU174" s="1223">
        <f>$G174*Z174*Variables!$B$53*HLOOKUP($CO$2,Variables!$B$60:$F$61,2,FALSE)</f>
        <v>0</v>
      </c>
      <c r="CV174" s="1223">
        <f>$G174*AA174*Variables!$B$53*HLOOKUP($CO$2,Variables!$B$60:$F$61,2,FALSE)</f>
        <v>0</v>
      </c>
      <c r="CW174" s="1223">
        <f>$G174*AB174*Variables!$B$53*HLOOKUP($CO$2,Variables!$B$60:$F$61,2,FALSE)</f>
        <v>0</v>
      </c>
      <c r="CX174" s="1223">
        <f>$G174*AC174*Variables!$B$53*HLOOKUP($CO$2,Variables!$B$60:$F$61,2,FALSE)</f>
        <v>0</v>
      </c>
      <c r="CY174" s="1223">
        <f>$G174*AD174*Variables!$B$53*HLOOKUP($CO$2,Variables!$B$60:$F$61,2,FALSE)</f>
        <v>0</v>
      </c>
      <c r="CZ174" s="1225">
        <f>$G174*AE174*Variables!$B$53*HLOOKUP($CO$2,Variables!$B$60:$F$61,2,FALSE)</f>
        <v>0</v>
      </c>
      <c r="DA174" s="1222">
        <f>$G174*AF174*Variables!$B$53*HLOOKUP($DA$2,Variables!$B$60:$F$61,2,FALSE)</f>
        <v>0</v>
      </c>
      <c r="DB174" s="1223">
        <f>$G174*AG174*Variables!$B$53*HLOOKUP($DA$2,Variables!$B$60:$F$61,2,FALSE)</f>
        <v>0</v>
      </c>
      <c r="DC174" s="1223">
        <f>$G174*AH174*Variables!$B$53*HLOOKUP($DA$2,Variables!$B$60:$F$61,2,FALSE)</f>
        <v>0</v>
      </c>
      <c r="DD174" s="1223">
        <f>$G174*AI174*Variables!$B$53*HLOOKUP($DA$2,Variables!$B$60:$F$61,2,FALSE)</f>
        <v>0</v>
      </c>
      <c r="DE174" s="1223">
        <f>$G174*AJ174*Variables!$B$53*HLOOKUP($DA$2,Variables!$B$60:$F$61,2,FALSE)</f>
        <v>0</v>
      </c>
      <c r="DF174" s="1223">
        <f>$G174*AK174*Variables!$B$53*HLOOKUP($DA$2,Variables!$B$60:$F$61,2,FALSE)</f>
        <v>0</v>
      </c>
      <c r="DG174" s="1223">
        <f>$G174*AL174*Variables!$B$53*HLOOKUP($DA$2,Variables!$B$60:$F$61,2,FALSE)</f>
        <v>0</v>
      </c>
      <c r="DH174" s="1223">
        <f>$G174*AM174*Variables!$B$53*HLOOKUP($DA$2,Variables!$B$60:$F$61,2,FALSE)</f>
        <v>0</v>
      </c>
      <c r="DI174" s="1223">
        <f>$G174*AN174*Variables!$B$53*HLOOKUP($DA$2,Variables!$B$60:$F$61,2,FALSE)</f>
        <v>0</v>
      </c>
      <c r="DJ174" s="1223">
        <f>$G174*AO174*Variables!$B$53*HLOOKUP($DA$2,Variables!$B$60:$F$61,2,FALSE)</f>
        <v>0</v>
      </c>
      <c r="DK174" s="1223">
        <f>$G174*AP174*Variables!$B$53*HLOOKUP($DA$2,Variables!$B$60:$F$61,2,FALSE)</f>
        <v>0</v>
      </c>
      <c r="DL174" s="1225">
        <f>$G174*AQ174*Variables!$B$53*HLOOKUP($DA$2,Variables!$B$60:$F$61,2,FALSE)</f>
        <v>0</v>
      </c>
      <c r="DM174" s="1222">
        <f>$G174*AR174*Variables!$B$53*HLOOKUP($DM$2,Variables!$B$60:$F$61,2,FALSE)</f>
        <v>0</v>
      </c>
      <c r="DN174" s="1223">
        <f>$G174*AS174*Variables!$B$53*HLOOKUP($DM$2,Variables!$B$60:$F$61,2,FALSE)</f>
        <v>0</v>
      </c>
      <c r="DO174" s="1223">
        <f>$G174*AT174*Variables!$B$53*HLOOKUP($DM$2,Variables!$B$60:$F$61,2,FALSE)</f>
        <v>0</v>
      </c>
      <c r="DP174" s="1223">
        <f>$G174*AU174*Variables!$B$53*HLOOKUP($DM$2,Variables!$B$60:$F$61,2,FALSE)</f>
        <v>0</v>
      </c>
      <c r="DQ174" s="1223">
        <f>$G174*AV174*Variables!$B$53*HLOOKUP($DM$2,Variables!$B$60:$F$61,2,FALSE)</f>
        <v>0</v>
      </c>
      <c r="DR174" s="1223">
        <f>$G174*AW174*Variables!$B$53*HLOOKUP($DM$2,Variables!$B$60:$F$61,2,FALSE)</f>
        <v>0</v>
      </c>
      <c r="DS174" s="1223">
        <f>$G174*AX174*Variables!$B$53*HLOOKUP($DM$2,Variables!$B$60:$F$61,2,FALSE)</f>
        <v>0</v>
      </c>
      <c r="DT174" s="1223">
        <f>$G174*AY174*Variables!$B$53*HLOOKUP($DM$2,Variables!$B$60:$F$61,2,FALSE)</f>
        <v>0</v>
      </c>
      <c r="DU174" s="1223">
        <f>$G174*AZ174*Variables!$B$53*HLOOKUP($DM$2,Variables!$B$60:$F$61,2,FALSE)</f>
        <v>0</v>
      </c>
      <c r="DV174" s="1223">
        <f>$G174*BA174*Variables!$B$53*HLOOKUP($DM$2,Variables!$B$60:$F$61,2,FALSE)</f>
        <v>0</v>
      </c>
      <c r="DW174" s="1223">
        <f>$G174*BB174*Variables!$B$53*HLOOKUP($DM$2,Variables!$B$60:$F$61,2,FALSE)</f>
        <v>0</v>
      </c>
      <c r="DX174" s="1225">
        <f>$G174*BC174*Variables!$B$53*HLOOKUP($DM$2,Variables!$B$60:$F$61,2,FALSE)</f>
        <v>0</v>
      </c>
      <c r="DY174" s="1222">
        <f>$G174*BD174*Variables!$B$53*HLOOKUP($DY$2,Variables!$B$60:$F$61,2,FALSE)</f>
        <v>0</v>
      </c>
      <c r="DZ174" s="1223">
        <f>$G174*BE174*Variables!$B$53*HLOOKUP($DY$2,Variables!$B$60:$F$61,2,FALSE)</f>
        <v>0</v>
      </c>
      <c r="EA174" s="1223">
        <f>$G174*BF174*Variables!$B$53*HLOOKUP($DY$2,Variables!$B$60:$F$61,2,FALSE)</f>
        <v>0</v>
      </c>
      <c r="EB174" s="1223">
        <f>$G174*BG174*Variables!$B$53*HLOOKUP($DY$2,Variables!$B$60:$F$61,2,FALSE)</f>
        <v>0</v>
      </c>
      <c r="EC174" s="1223">
        <f>$G174*BH174*Variables!$B$53*HLOOKUP($DY$2,Variables!$B$60:$F$61,2,FALSE)</f>
        <v>0</v>
      </c>
      <c r="ED174" s="1223">
        <f>$G174*BI174*Variables!$B$53*HLOOKUP($DY$2,Variables!$B$60:$F$61,2,FALSE)</f>
        <v>0</v>
      </c>
      <c r="EE174" s="1223">
        <f>$G174*BJ174*Variables!$B$53*HLOOKUP($DY$2,Variables!$B$60:$F$61,2,FALSE)</f>
        <v>0</v>
      </c>
      <c r="EF174" s="1223">
        <f>$G174*BK174*Variables!$B$53*HLOOKUP($DY$2,Variables!$B$60:$F$61,2,FALSE)</f>
        <v>0</v>
      </c>
      <c r="EG174" s="1223">
        <f>$G174*BL174*Variables!$B$53*HLOOKUP($DY$2,Variables!$B$60:$F$61,2,FALSE)</f>
        <v>0</v>
      </c>
      <c r="EH174" s="1223">
        <f>$G174*BM174*Variables!$B$53*HLOOKUP($DY$2,Variables!$B$60:$F$61,2,FALSE)</f>
        <v>0</v>
      </c>
      <c r="EI174" s="1223">
        <f>$G174*BN174*Variables!$B$53*HLOOKUP($DY$2,Variables!$B$60:$F$61,2,FALSE)</f>
        <v>0</v>
      </c>
      <c r="EJ174" s="1225">
        <f>$G174*BO174*Variables!$B$53*HLOOKUP($DY$2,Variables!$B$60:$F$61,2,FALSE)</f>
        <v>0</v>
      </c>
      <c r="EK174" s="1222">
        <f>$G174*BP174*Variables!$B$53*HLOOKUP($EK$2,Variables!$B$60:$F$61,2,FALSE)</f>
        <v>0</v>
      </c>
      <c r="EL174" s="1223">
        <f>$G174*BQ174*Variables!$B$53*HLOOKUP($EK$2,Variables!$B$60:$F$61,2,FALSE)</f>
        <v>0</v>
      </c>
      <c r="EM174" s="1223">
        <f>$G174*BR174*Variables!$B$53*HLOOKUP($EK$2,Variables!$B$60:$F$61,2,FALSE)</f>
        <v>0</v>
      </c>
      <c r="EN174" s="1223">
        <f>$G174*BS174*Variables!$B$53*HLOOKUP($EK$2,Variables!$B$60:$F$61,2,FALSE)</f>
        <v>0</v>
      </c>
      <c r="EO174" s="1223">
        <f>$G174*BT174*Variables!$B$53*HLOOKUP($EK$2,Variables!$B$60:$F$61,2,FALSE)</f>
        <v>0</v>
      </c>
      <c r="EP174" s="1223">
        <f>$G174*BU174*Variables!$B$53*HLOOKUP($EK$2,Variables!$B$60:$F$61,2,FALSE)</f>
        <v>0</v>
      </c>
      <c r="EQ174" s="1223">
        <f>$G174*BV174*Variables!$B$53*HLOOKUP($EK$2,Variables!$B$60:$F$61,2,FALSE)</f>
        <v>0</v>
      </c>
      <c r="ER174" s="1223">
        <f>$G174*BW174*Variables!$B$53*HLOOKUP($EK$2,Variables!$B$60:$F$61,2,FALSE)</f>
        <v>0</v>
      </c>
      <c r="ES174" s="1223">
        <f>$G174*BX174*Variables!$B$53*HLOOKUP($EK$2,Variables!$B$60:$F$61,2,FALSE)</f>
        <v>0</v>
      </c>
      <c r="ET174" s="1223">
        <f>$G174*BY174*Variables!$B$53*HLOOKUP($EK$2,Variables!$B$60:$F$61,2,FALSE)</f>
        <v>0</v>
      </c>
      <c r="EU174" s="1223">
        <f>$G174*BZ174*Variables!$B$53*HLOOKUP($EK$2,Variables!$B$60:$F$61,2,FALSE)</f>
        <v>0</v>
      </c>
      <c r="EV174" s="1225">
        <f>$G174*CA174*Variables!$B$53*HLOOKUP($EK$2,Variables!$B$60:$F$61,2,FALSE)</f>
        <v>0</v>
      </c>
      <c r="EW174" s="872">
        <f t="shared" si="24"/>
        <v>0</v>
      </c>
      <c r="EX174" s="872"/>
      <c r="EY174" s="872"/>
      <c r="EZ174" s="872"/>
      <c r="FA174" s="1332"/>
      <c r="FC174" s="958" t="str">
        <f t="shared" si="25"/>
        <v/>
      </c>
      <c r="FD174" s="959" t="str">
        <f t="shared" si="26"/>
        <v/>
      </c>
      <c r="FE174" s="959" t="s">
        <v>8407</v>
      </c>
      <c r="FF174" s="959" t="str">
        <f>IF(ISNA(VLOOKUP(FC174,Miscellaneous!E:F,2,0)),"",VLOOKUP(FC174,Miscellaneous!E:F,2,0))</f>
        <v/>
      </c>
      <c r="FG174" s="959" t="str">
        <f t="shared" si="27"/>
        <v/>
      </c>
      <c r="FH174" s="996">
        <f>IF($FG174="Opex",SUMIF('Monthly Summary'!$C$75:$N$75,"",CC174:CN174),SUMIF('Monthly Summary'!$C$74:$N$74,"",CC174:CN174))</f>
        <v>0</v>
      </c>
      <c r="FI174" s="996">
        <f>IF($FG174="Opex",SUMIF('Monthly Summary'!$O$75:$Z$75,"",CO174:CZ174),SUMIF('Monthly Summary'!$O$74:$Z$74,"",CO174:CZ174))</f>
        <v>0</v>
      </c>
      <c r="FJ174" s="996">
        <f>IF($FG174="Opex",SUMIF('Monthly Summary'!$AA$75:$AL$75,"",DA174:DL174),SUMIF('Monthly Summary'!$AA$74:$AL$74,"",DA174:DL174))</f>
        <v>0</v>
      </c>
      <c r="FK174" s="996">
        <f>IF($FG174="Opex",SUMIF('Monthly Summary'!$AM$75:$AX$75,"",DM174:DX174),SUMIF('Monthly Summary'!$AM$74:$AX$74,"",DM174:DX174))</f>
        <v>0</v>
      </c>
      <c r="FL174" s="996">
        <f>IF($FG174="Opex",SUMIF('Monthly Summary'!$AY$75:$BJ$75,"",DY174:EJ174),SUMIF('Monthly Summary'!$AY$74:$BJ$74,"",DY174:EJ174))</f>
        <v>0</v>
      </c>
      <c r="FM174" s="997">
        <f>IF($FG174="Opex",SUMIF('Monthly Summary'!$BK$75:$BV$75,"",EK174:EV174),SUMIF('Monthly Summary'!$BK$74:$BV$74,"",EK174:EV174))</f>
        <v>0</v>
      </c>
      <c r="FN174" s="997">
        <f t="shared" si="28"/>
        <v>0</v>
      </c>
    </row>
    <row r="175" spans="3:170">
      <c r="C175" s="757"/>
      <c r="D175" s="757"/>
      <c r="E175" s="758"/>
      <c r="F175" s="758"/>
      <c r="G175" s="758"/>
      <c r="H175" s="1215"/>
      <c r="I175" s="761"/>
      <c r="J175" s="761"/>
      <c r="K175" s="761"/>
      <c r="L175" s="761"/>
      <c r="M175" s="761"/>
      <c r="N175" s="761"/>
      <c r="O175" s="761"/>
      <c r="P175" s="761"/>
      <c r="Q175" s="761"/>
      <c r="R175" s="761"/>
      <c r="S175" s="1216"/>
      <c r="T175" s="1215"/>
      <c r="U175" s="761"/>
      <c r="V175" s="761"/>
      <c r="W175" s="761"/>
      <c r="X175" s="761"/>
      <c r="Y175" s="761"/>
      <c r="Z175" s="761"/>
      <c r="AA175" s="761"/>
      <c r="AB175" s="761"/>
      <c r="AC175" s="761"/>
      <c r="AD175" s="761"/>
      <c r="AE175" s="1216"/>
      <c r="AF175" s="1215"/>
      <c r="AG175" s="761"/>
      <c r="AH175" s="761"/>
      <c r="AI175" s="761"/>
      <c r="AJ175" s="761"/>
      <c r="AK175" s="761"/>
      <c r="AL175" s="761"/>
      <c r="AM175" s="761"/>
      <c r="AN175" s="761"/>
      <c r="AO175" s="761"/>
      <c r="AP175" s="761"/>
      <c r="AQ175" s="1216"/>
      <c r="AR175" s="1215"/>
      <c r="AS175" s="761"/>
      <c r="AT175" s="761"/>
      <c r="AU175" s="761"/>
      <c r="AV175" s="761"/>
      <c r="AW175" s="761"/>
      <c r="AX175" s="761"/>
      <c r="AY175" s="761"/>
      <c r="AZ175" s="761"/>
      <c r="BA175" s="761"/>
      <c r="BB175" s="761"/>
      <c r="BC175" s="1216"/>
      <c r="BD175" s="1215"/>
      <c r="BE175" s="761"/>
      <c r="BF175" s="761"/>
      <c r="BG175" s="761"/>
      <c r="BH175" s="761"/>
      <c r="BI175" s="761"/>
      <c r="BJ175" s="761"/>
      <c r="BK175" s="761"/>
      <c r="BL175" s="761"/>
      <c r="BM175" s="761"/>
      <c r="BN175" s="761"/>
      <c r="BO175" s="1216"/>
      <c r="BP175" s="1215"/>
      <c r="BQ175" s="761"/>
      <c r="BR175" s="761"/>
      <c r="BS175" s="761"/>
      <c r="BT175" s="761"/>
      <c r="BU175" s="761"/>
      <c r="BV175" s="761"/>
      <c r="BW175" s="761"/>
      <c r="BX175" s="761"/>
      <c r="BY175" s="761"/>
      <c r="BZ175" s="761"/>
      <c r="CA175" s="1216"/>
      <c r="CB175" s="747"/>
      <c r="CC175" s="1222">
        <f>$G175*H175*Variables!$B$53</f>
        <v>0</v>
      </c>
      <c r="CD175" s="1223">
        <f>$G175*I175*Variables!$B$53</f>
        <v>0</v>
      </c>
      <c r="CE175" s="1223">
        <f>$G175*J175*Variables!$B$53</f>
        <v>0</v>
      </c>
      <c r="CF175" s="1223">
        <f>$G175*K175*Variables!$B$53</f>
        <v>0</v>
      </c>
      <c r="CG175" s="1223">
        <f>$G175*L175*Variables!$B$53</f>
        <v>0</v>
      </c>
      <c r="CH175" s="1223">
        <f>$G175*M175*Variables!$B$53</f>
        <v>0</v>
      </c>
      <c r="CI175" s="1223">
        <f>$G175*N175*Variables!$B$53</f>
        <v>0</v>
      </c>
      <c r="CJ175" s="1223">
        <f>$G175*O175*Variables!$B$53</f>
        <v>0</v>
      </c>
      <c r="CK175" s="1223">
        <f>$G175*P175*Variables!$B$53</f>
        <v>0</v>
      </c>
      <c r="CL175" s="1223">
        <f>$G175*Q175*Variables!$B$53</f>
        <v>0</v>
      </c>
      <c r="CM175" s="1223">
        <f>$G175*R175*Variables!$B$53</f>
        <v>0</v>
      </c>
      <c r="CN175" s="1225">
        <f>$G175*S175*Variables!$B$53</f>
        <v>0</v>
      </c>
      <c r="CO175" s="1222">
        <f>$G175*T175*Variables!$B$53*HLOOKUP($CO$2,Variables!$B$60:$F$61,2,FALSE)</f>
        <v>0</v>
      </c>
      <c r="CP175" s="1223">
        <f>$G175*U175*Variables!$B$53*HLOOKUP($CO$2,Variables!$B$60:$F$61,2,FALSE)</f>
        <v>0</v>
      </c>
      <c r="CQ175" s="1223">
        <f>$G175*V175*Variables!$B$53*HLOOKUP($CO$2,Variables!$B$60:$F$61,2,FALSE)</f>
        <v>0</v>
      </c>
      <c r="CR175" s="1223">
        <f>$G175*W175*Variables!$B$53*HLOOKUP($CO$2,Variables!$B$60:$F$61,2,FALSE)</f>
        <v>0</v>
      </c>
      <c r="CS175" s="1223">
        <f>$G175*X175*Variables!$B$53*HLOOKUP($CO$2,Variables!$B$60:$F$61,2,FALSE)</f>
        <v>0</v>
      </c>
      <c r="CT175" s="1223">
        <f>$G175*Y175*Variables!$B$53*HLOOKUP($CO$2,Variables!$B$60:$F$61,2,FALSE)</f>
        <v>0</v>
      </c>
      <c r="CU175" s="1223">
        <f>$G175*Z175*Variables!$B$53*HLOOKUP($CO$2,Variables!$B$60:$F$61,2,FALSE)</f>
        <v>0</v>
      </c>
      <c r="CV175" s="1223">
        <f>$G175*AA175*Variables!$B$53*HLOOKUP($CO$2,Variables!$B$60:$F$61,2,FALSE)</f>
        <v>0</v>
      </c>
      <c r="CW175" s="1223">
        <f>$G175*AB175*Variables!$B$53*HLOOKUP($CO$2,Variables!$B$60:$F$61,2,FALSE)</f>
        <v>0</v>
      </c>
      <c r="CX175" s="1223">
        <f>$G175*AC175*Variables!$B$53*HLOOKUP($CO$2,Variables!$B$60:$F$61,2,FALSE)</f>
        <v>0</v>
      </c>
      <c r="CY175" s="1223">
        <f>$G175*AD175*Variables!$B$53*HLOOKUP($CO$2,Variables!$B$60:$F$61,2,FALSE)</f>
        <v>0</v>
      </c>
      <c r="CZ175" s="1225">
        <f>$G175*AE175*Variables!$B$53*HLOOKUP($CO$2,Variables!$B$60:$F$61,2,FALSE)</f>
        <v>0</v>
      </c>
      <c r="DA175" s="1222">
        <f>$G175*AF175*Variables!$B$53*HLOOKUP($DA$2,Variables!$B$60:$F$61,2,FALSE)</f>
        <v>0</v>
      </c>
      <c r="DB175" s="1223">
        <f>$G175*AG175*Variables!$B$53*HLOOKUP($DA$2,Variables!$B$60:$F$61,2,FALSE)</f>
        <v>0</v>
      </c>
      <c r="DC175" s="1223">
        <f>$G175*AH175*Variables!$B$53*HLOOKUP($DA$2,Variables!$B$60:$F$61,2,FALSE)</f>
        <v>0</v>
      </c>
      <c r="DD175" s="1223">
        <f>$G175*AI175*Variables!$B$53*HLOOKUP($DA$2,Variables!$B$60:$F$61,2,FALSE)</f>
        <v>0</v>
      </c>
      <c r="DE175" s="1223">
        <f>$G175*AJ175*Variables!$B$53*HLOOKUP($DA$2,Variables!$B$60:$F$61,2,FALSE)</f>
        <v>0</v>
      </c>
      <c r="DF175" s="1223">
        <f>$G175*AK175*Variables!$B$53*HLOOKUP($DA$2,Variables!$B$60:$F$61,2,FALSE)</f>
        <v>0</v>
      </c>
      <c r="DG175" s="1223">
        <f>$G175*AL175*Variables!$B$53*HLOOKUP($DA$2,Variables!$B$60:$F$61,2,FALSE)</f>
        <v>0</v>
      </c>
      <c r="DH175" s="1223">
        <f>$G175*AM175*Variables!$B$53*HLOOKUP($DA$2,Variables!$B$60:$F$61,2,FALSE)</f>
        <v>0</v>
      </c>
      <c r="DI175" s="1223">
        <f>$G175*AN175*Variables!$B$53*HLOOKUP($DA$2,Variables!$B$60:$F$61,2,FALSE)</f>
        <v>0</v>
      </c>
      <c r="DJ175" s="1223">
        <f>$G175*AO175*Variables!$B$53*HLOOKUP($DA$2,Variables!$B$60:$F$61,2,FALSE)</f>
        <v>0</v>
      </c>
      <c r="DK175" s="1223">
        <f>$G175*AP175*Variables!$B$53*HLOOKUP($DA$2,Variables!$B$60:$F$61,2,FALSE)</f>
        <v>0</v>
      </c>
      <c r="DL175" s="1225">
        <f>$G175*AQ175*Variables!$B$53*HLOOKUP($DA$2,Variables!$B$60:$F$61,2,FALSE)</f>
        <v>0</v>
      </c>
      <c r="DM175" s="1222">
        <f>$G175*AR175*Variables!$B$53*HLOOKUP($DM$2,Variables!$B$60:$F$61,2,FALSE)</f>
        <v>0</v>
      </c>
      <c r="DN175" s="1223">
        <f>$G175*AS175*Variables!$B$53*HLOOKUP($DM$2,Variables!$B$60:$F$61,2,FALSE)</f>
        <v>0</v>
      </c>
      <c r="DO175" s="1223">
        <f>$G175*AT175*Variables!$B$53*HLOOKUP($DM$2,Variables!$B$60:$F$61,2,FALSE)</f>
        <v>0</v>
      </c>
      <c r="DP175" s="1223">
        <f>$G175*AU175*Variables!$B$53*HLOOKUP($DM$2,Variables!$B$60:$F$61,2,FALSE)</f>
        <v>0</v>
      </c>
      <c r="DQ175" s="1223">
        <f>$G175*AV175*Variables!$B$53*HLOOKUP($DM$2,Variables!$B$60:$F$61,2,FALSE)</f>
        <v>0</v>
      </c>
      <c r="DR175" s="1223">
        <f>$G175*AW175*Variables!$B$53*HLOOKUP($DM$2,Variables!$B$60:$F$61,2,FALSE)</f>
        <v>0</v>
      </c>
      <c r="DS175" s="1223">
        <f>$G175*AX175*Variables!$B$53*HLOOKUP($DM$2,Variables!$B$60:$F$61,2,FALSE)</f>
        <v>0</v>
      </c>
      <c r="DT175" s="1223">
        <f>$G175*AY175*Variables!$B$53*HLOOKUP($DM$2,Variables!$B$60:$F$61,2,FALSE)</f>
        <v>0</v>
      </c>
      <c r="DU175" s="1223">
        <f>$G175*AZ175*Variables!$B$53*HLOOKUP($DM$2,Variables!$B$60:$F$61,2,FALSE)</f>
        <v>0</v>
      </c>
      <c r="DV175" s="1223">
        <f>$G175*BA175*Variables!$B$53*HLOOKUP($DM$2,Variables!$B$60:$F$61,2,FALSE)</f>
        <v>0</v>
      </c>
      <c r="DW175" s="1223">
        <f>$G175*BB175*Variables!$B$53*HLOOKUP($DM$2,Variables!$B$60:$F$61,2,FALSE)</f>
        <v>0</v>
      </c>
      <c r="DX175" s="1225">
        <f>$G175*BC175*Variables!$B$53*HLOOKUP($DM$2,Variables!$B$60:$F$61,2,FALSE)</f>
        <v>0</v>
      </c>
      <c r="DY175" s="1222">
        <f>$G175*BD175*Variables!$B$53*HLOOKUP($DY$2,Variables!$B$60:$F$61,2,FALSE)</f>
        <v>0</v>
      </c>
      <c r="DZ175" s="1223">
        <f>$G175*BE175*Variables!$B$53*HLOOKUP($DY$2,Variables!$B$60:$F$61,2,FALSE)</f>
        <v>0</v>
      </c>
      <c r="EA175" s="1223">
        <f>$G175*BF175*Variables!$B$53*HLOOKUP($DY$2,Variables!$B$60:$F$61,2,FALSE)</f>
        <v>0</v>
      </c>
      <c r="EB175" s="1223">
        <f>$G175*BG175*Variables!$B$53*HLOOKUP($DY$2,Variables!$B$60:$F$61,2,FALSE)</f>
        <v>0</v>
      </c>
      <c r="EC175" s="1223">
        <f>$G175*BH175*Variables!$B$53*HLOOKUP($DY$2,Variables!$B$60:$F$61,2,FALSE)</f>
        <v>0</v>
      </c>
      <c r="ED175" s="1223">
        <f>$G175*BI175*Variables!$B$53*HLOOKUP($DY$2,Variables!$B$60:$F$61,2,FALSE)</f>
        <v>0</v>
      </c>
      <c r="EE175" s="1223">
        <f>$G175*BJ175*Variables!$B$53*HLOOKUP($DY$2,Variables!$B$60:$F$61,2,FALSE)</f>
        <v>0</v>
      </c>
      <c r="EF175" s="1223">
        <f>$G175*BK175*Variables!$B$53*HLOOKUP($DY$2,Variables!$B$60:$F$61,2,FALSE)</f>
        <v>0</v>
      </c>
      <c r="EG175" s="1223">
        <f>$G175*BL175*Variables!$B$53*HLOOKUP($DY$2,Variables!$B$60:$F$61,2,FALSE)</f>
        <v>0</v>
      </c>
      <c r="EH175" s="1223">
        <f>$G175*BM175*Variables!$B$53*HLOOKUP($DY$2,Variables!$B$60:$F$61,2,FALSE)</f>
        <v>0</v>
      </c>
      <c r="EI175" s="1223">
        <f>$G175*BN175*Variables!$B$53*HLOOKUP($DY$2,Variables!$B$60:$F$61,2,FALSE)</f>
        <v>0</v>
      </c>
      <c r="EJ175" s="1225">
        <f>$G175*BO175*Variables!$B$53*HLOOKUP($DY$2,Variables!$B$60:$F$61,2,FALSE)</f>
        <v>0</v>
      </c>
      <c r="EK175" s="1222">
        <f>$G175*BP175*Variables!$B$53*HLOOKUP($EK$2,Variables!$B$60:$F$61,2,FALSE)</f>
        <v>0</v>
      </c>
      <c r="EL175" s="1223">
        <f>$G175*BQ175*Variables!$B$53*HLOOKUP($EK$2,Variables!$B$60:$F$61,2,FALSE)</f>
        <v>0</v>
      </c>
      <c r="EM175" s="1223">
        <f>$G175*BR175*Variables!$B$53*HLOOKUP($EK$2,Variables!$B$60:$F$61,2,FALSE)</f>
        <v>0</v>
      </c>
      <c r="EN175" s="1223">
        <f>$G175*BS175*Variables!$B$53*HLOOKUP($EK$2,Variables!$B$60:$F$61,2,FALSE)</f>
        <v>0</v>
      </c>
      <c r="EO175" s="1223">
        <f>$G175*BT175*Variables!$B$53*HLOOKUP($EK$2,Variables!$B$60:$F$61,2,FALSE)</f>
        <v>0</v>
      </c>
      <c r="EP175" s="1223">
        <f>$G175*BU175*Variables!$B$53*HLOOKUP($EK$2,Variables!$B$60:$F$61,2,FALSE)</f>
        <v>0</v>
      </c>
      <c r="EQ175" s="1223">
        <f>$G175*BV175*Variables!$B$53*HLOOKUP($EK$2,Variables!$B$60:$F$61,2,FALSE)</f>
        <v>0</v>
      </c>
      <c r="ER175" s="1223">
        <f>$G175*BW175*Variables!$B$53*HLOOKUP($EK$2,Variables!$B$60:$F$61,2,FALSE)</f>
        <v>0</v>
      </c>
      <c r="ES175" s="1223">
        <f>$G175*BX175*Variables!$B$53*HLOOKUP($EK$2,Variables!$B$60:$F$61,2,FALSE)</f>
        <v>0</v>
      </c>
      <c r="ET175" s="1223">
        <f>$G175*BY175*Variables!$B$53*HLOOKUP($EK$2,Variables!$B$60:$F$61,2,FALSE)</f>
        <v>0</v>
      </c>
      <c r="EU175" s="1223">
        <f>$G175*BZ175*Variables!$B$53*HLOOKUP($EK$2,Variables!$B$60:$F$61,2,FALSE)</f>
        <v>0</v>
      </c>
      <c r="EV175" s="1225">
        <f>$G175*CA175*Variables!$B$53*HLOOKUP($EK$2,Variables!$B$60:$F$61,2,FALSE)</f>
        <v>0</v>
      </c>
      <c r="EW175" s="872">
        <f t="shared" si="24"/>
        <v>0</v>
      </c>
      <c r="EX175" s="872"/>
      <c r="EY175" s="872"/>
      <c r="EZ175" s="872"/>
      <c r="FA175" s="1332"/>
      <c r="FC175" s="958" t="str">
        <f t="shared" si="25"/>
        <v/>
      </c>
      <c r="FD175" s="959" t="str">
        <f t="shared" si="26"/>
        <v/>
      </c>
      <c r="FE175" s="959" t="s">
        <v>8407</v>
      </c>
      <c r="FF175" s="959" t="str">
        <f>IF(ISNA(VLOOKUP(FC175,Miscellaneous!E:F,2,0)),"",VLOOKUP(FC175,Miscellaneous!E:F,2,0))</f>
        <v/>
      </c>
      <c r="FG175" s="959" t="str">
        <f t="shared" si="27"/>
        <v/>
      </c>
      <c r="FH175" s="996">
        <f>IF($FG175="Opex",SUMIF('Monthly Summary'!$C$75:$N$75,"",CC175:CN175),SUMIF('Monthly Summary'!$C$74:$N$74,"",CC175:CN175))</f>
        <v>0</v>
      </c>
      <c r="FI175" s="996">
        <f>IF($FG175="Opex",SUMIF('Monthly Summary'!$O$75:$Z$75,"",CO175:CZ175),SUMIF('Monthly Summary'!$O$74:$Z$74,"",CO175:CZ175))</f>
        <v>0</v>
      </c>
      <c r="FJ175" s="996">
        <f>IF($FG175="Opex",SUMIF('Monthly Summary'!$AA$75:$AL$75,"",DA175:DL175),SUMIF('Monthly Summary'!$AA$74:$AL$74,"",DA175:DL175))</f>
        <v>0</v>
      </c>
      <c r="FK175" s="996">
        <f>IF($FG175="Opex",SUMIF('Monthly Summary'!$AM$75:$AX$75,"",DM175:DX175),SUMIF('Monthly Summary'!$AM$74:$AX$74,"",DM175:DX175))</f>
        <v>0</v>
      </c>
      <c r="FL175" s="996">
        <f>IF($FG175="Opex",SUMIF('Monthly Summary'!$AY$75:$BJ$75,"",DY175:EJ175),SUMIF('Monthly Summary'!$AY$74:$BJ$74,"",DY175:EJ175))</f>
        <v>0</v>
      </c>
      <c r="FM175" s="997">
        <f>IF($FG175="Opex",SUMIF('Monthly Summary'!$BK$75:$BV$75,"",EK175:EV175),SUMIF('Monthly Summary'!$BK$74:$BV$74,"",EK175:EV175))</f>
        <v>0</v>
      </c>
      <c r="FN175" s="997">
        <f t="shared" si="28"/>
        <v>0</v>
      </c>
    </row>
    <row r="176" spans="3:170">
      <c r="C176" s="757"/>
      <c r="D176" s="757"/>
      <c r="E176" s="758"/>
      <c r="F176" s="758"/>
      <c r="G176" s="758"/>
      <c r="H176" s="1215"/>
      <c r="I176" s="761"/>
      <c r="J176" s="761"/>
      <c r="K176" s="761"/>
      <c r="L176" s="761"/>
      <c r="M176" s="761"/>
      <c r="N176" s="761"/>
      <c r="O176" s="761"/>
      <c r="P176" s="761"/>
      <c r="Q176" s="761"/>
      <c r="R176" s="761"/>
      <c r="S176" s="1216"/>
      <c r="T176" s="1215"/>
      <c r="U176" s="761"/>
      <c r="V176" s="761"/>
      <c r="W176" s="761"/>
      <c r="X176" s="761"/>
      <c r="Y176" s="761"/>
      <c r="Z176" s="761"/>
      <c r="AA176" s="761"/>
      <c r="AB176" s="761"/>
      <c r="AC176" s="761"/>
      <c r="AD176" s="761"/>
      <c r="AE176" s="1216"/>
      <c r="AF176" s="1215"/>
      <c r="AG176" s="761"/>
      <c r="AH176" s="761"/>
      <c r="AI176" s="761"/>
      <c r="AJ176" s="761"/>
      <c r="AK176" s="761"/>
      <c r="AL176" s="761"/>
      <c r="AM176" s="761"/>
      <c r="AN176" s="761"/>
      <c r="AO176" s="761"/>
      <c r="AP176" s="761"/>
      <c r="AQ176" s="1216"/>
      <c r="AR176" s="1215"/>
      <c r="AS176" s="761"/>
      <c r="AT176" s="761"/>
      <c r="AU176" s="761"/>
      <c r="AV176" s="761"/>
      <c r="AW176" s="761"/>
      <c r="AX176" s="761"/>
      <c r="AY176" s="761"/>
      <c r="AZ176" s="761"/>
      <c r="BA176" s="761"/>
      <c r="BB176" s="761"/>
      <c r="BC176" s="1216"/>
      <c r="BD176" s="1215"/>
      <c r="BE176" s="761"/>
      <c r="BF176" s="761"/>
      <c r="BG176" s="761"/>
      <c r="BH176" s="761"/>
      <c r="BI176" s="761"/>
      <c r="BJ176" s="761"/>
      <c r="BK176" s="761"/>
      <c r="BL176" s="761"/>
      <c r="BM176" s="761"/>
      <c r="BN176" s="761"/>
      <c r="BO176" s="1216"/>
      <c r="BP176" s="1215"/>
      <c r="BQ176" s="761"/>
      <c r="BR176" s="761"/>
      <c r="BS176" s="761"/>
      <c r="BT176" s="761"/>
      <c r="BU176" s="761"/>
      <c r="BV176" s="761"/>
      <c r="BW176" s="761"/>
      <c r="BX176" s="761"/>
      <c r="BY176" s="761"/>
      <c r="BZ176" s="761"/>
      <c r="CA176" s="1216"/>
      <c r="CB176" s="747"/>
      <c r="CC176" s="1222">
        <f>$G176*H176*Variables!$B$53</f>
        <v>0</v>
      </c>
      <c r="CD176" s="1223">
        <f>$G176*I176*Variables!$B$53</f>
        <v>0</v>
      </c>
      <c r="CE176" s="1223">
        <f>$G176*J176*Variables!$B$53</f>
        <v>0</v>
      </c>
      <c r="CF176" s="1223">
        <f>$G176*K176*Variables!$B$53</f>
        <v>0</v>
      </c>
      <c r="CG176" s="1223">
        <f>$G176*L176*Variables!$B$53</f>
        <v>0</v>
      </c>
      <c r="CH176" s="1223">
        <f>$G176*M176*Variables!$B$53</f>
        <v>0</v>
      </c>
      <c r="CI176" s="1223">
        <f>$G176*N176*Variables!$B$53</f>
        <v>0</v>
      </c>
      <c r="CJ176" s="1223">
        <f>$G176*O176*Variables!$B$53</f>
        <v>0</v>
      </c>
      <c r="CK176" s="1223">
        <f>$G176*P176*Variables!$B$53</f>
        <v>0</v>
      </c>
      <c r="CL176" s="1223">
        <f>$G176*Q176*Variables!$B$53</f>
        <v>0</v>
      </c>
      <c r="CM176" s="1223">
        <f>$G176*R176*Variables!$B$53</f>
        <v>0</v>
      </c>
      <c r="CN176" s="1225">
        <f>$G176*S176*Variables!$B$53</f>
        <v>0</v>
      </c>
      <c r="CO176" s="1222">
        <f>$G176*T176*Variables!$B$53*HLOOKUP($CO$2,Variables!$B$60:$F$61,2,FALSE)</f>
        <v>0</v>
      </c>
      <c r="CP176" s="1223">
        <f>$G176*U176*Variables!$B$53*HLOOKUP($CO$2,Variables!$B$60:$F$61,2,FALSE)</f>
        <v>0</v>
      </c>
      <c r="CQ176" s="1223">
        <f>$G176*V176*Variables!$B$53*HLOOKUP($CO$2,Variables!$B$60:$F$61,2,FALSE)</f>
        <v>0</v>
      </c>
      <c r="CR176" s="1223">
        <f>$G176*W176*Variables!$B$53*HLOOKUP($CO$2,Variables!$B$60:$F$61,2,FALSE)</f>
        <v>0</v>
      </c>
      <c r="CS176" s="1223">
        <f>$G176*X176*Variables!$B$53*HLOOKUP($CO$2,Variables!$B$60:$F$61,2,FALSE)</f>
        <v>0</v>
      </c>
      <c r="CT176" s="1223">
        <f>$G176*Y176*Variables!$B$53*HLOOKUP($CO$2,Variables!$B$60:$F$61,2,FALSE)</f>
        <v>0</v>
      </c>
      <c r="CU176" s="1223">
        <f>$G176*Z176*Variables!$B$53*HLOOKUP($CO$2,Variables!$B$60:$F$61,2,FALSE)</f>
        <v>0</v>
      </c>
      <c r="CV176" s="1223">
        <f>$G176*AA176*Variables!$B$53*HLOOKUP($CO$2,Variables!$B$60:$F$61,2,FALSE)</f>
        <v>0</v>
      </c>
      <c r="CW176" s="1223">
        <f>$G176*AB176*Variables!$B$53*HLOOKUP($CO$2,Variables!$B$60:$F$61,2,FALSE)</f>
        <v>0</v>
      </c>
      <c r="CX176" s="1223">
        <f>$G176*AC176*Variables!$B$53*HLOOKUP($CO$2,Variables!$B$60:$F$61,2,FALSE)</f>
        <v>0</v>
      </c>
      <c r="CY176" s="1223">
        <f>$G176*AD176*Variables!$B$53*HLOOKUP($CO$2,Variables!$B$60:$F$61,2,FALSE)</f>
        <v>0</v>
      </c>
      <c r="CZ176" s="1225">
        <f>$G176*AE176*Variables!$B$53*HLOOKUP($CO$2,Variables!$B$60:$F$61,2,FALSE)</f>
        <v>0</v>
      </c>
      <c r="DA176" s="1222">
        <f>$G176*AF176*Variables!$B$53*HLOOKUP($DA$2,Variables!$B$60:$F$61,2,FALSE)</f>
        <v>0</v>
      </c>
      <c r="DB176" s="1223">
        <f>$G176*AG176*Variables!$B$53*HLOOKUP($DA$2,Variables!$B$60:$F$61,2,FALSE)</f>
        <v>0</v>
      </c>
      <c r="DC176" s="1223">
        <f>$G176*AH176*Variables!$B$53*HLOOKUP($DA$2,Variables!$B$60:$F$61,2,FALSE)</f>
        <v>0</v>
      </c>
      <c r="DD176" s="1223">
        <f>$G176*AI176*Variables!$B$53*HLOOKUP($DA$2,Variables!$B$60:$F$61,2,FALSE)</f>
        <v>0</v>
      </c>
      <c r="DE176" s="1223">
        <f>$G176*AJ176*Variables!$B$53*HLOOKUP($DA$2,Variables!$B$60:$F$61,2,FALSE)</f>
        <v>0</v>
      </c>
      <c r="DF176" s="1223">
        <f>$G176*AK176*Variables!$B$53*HLOOKUP($DA$2,Variables!$B$60:$F$61,2,FALSE)</f>
        <v>0</v>
      </c>
      <c r="DG176" s="1223">
        <f>$G176*AL176*Variables!$B$53*HLOOKUP($DA$2,Variables!$B$60:$F$61,2,FALSE)</f>
        <v>0</v>
      </c>
      <c r="DH176" s="1223">
        <f>$G176*AM176*Variables!$B$53*HLOOKUP($DA$2,Variables!$B$60:$F$61,2,FALSE)</f>
        <v>0</v>
      </c>
      <c r="DI176" s="1223">
        <f>$G176*AN176*Variables!$B$53*HLOOKUP($DA$2,Variables!$B$60:$F$61,2,FALSE)</f>
        <v>0</v>
      </c>
      <c r="DJ176" s="1223">
        <f>$G176*AO176*Variables!$B$53*HLOOKUP($DA$2,Variables!$B$60:$F$61,2,FALSE)</f>
        <v>0</v>
      </c>
      <c r="DK176" s="1223">
        <f>$G176*AP176*Variables!$B$53*HLOOKUP($DA$2,Variables!$B$60:$F$61,2,FALSE)</f>
        <v>0</v>
      </c>
      <c r="DL176" s="1225">
        <f>$G176*AQ176*Variables!$B$53*HLOOKUP($DA$2,Variables!$B$60:$F$61,2,FALSE)</f>
        <v>0</v>
      </c>
      <c r="DM176" s="1222">
        <f>$G176*AR176*Variables!$B$53*HLOOKUP($DM$2,Variables!$B$60:$F$61,2,FALSE)</f>
        <v>0</v>
      </c>
      <c r="DN176" s="1223">
        <f>$G176*AS176*Variables!$B$53*HLOOKUP($DM$2,Variables!$B$60:$F$61,2,FALSE)</f>
        <v>0</v>
      </c>
      <c r="DO176" s="1223">
        <f>$G176*AT176*Variables!$B$53*HLOOKUP($DM$2,Variables!$B$60:$F$61,2,FALSE)</f>
        <v>0</v>
      </c>
      <c r="DP176" s="1223">
        <f>$G176*AU176*Variables!$B$53*HLOOKUP($DM$2,Variables!$B$60:$F$61,2,FALSE)</f>
        <v>0</v>
      </c>
      <c r="DQ176" s="1223">
        <f>$G176*AV176*Variables!$B$53*HLOOKUP($DM$2,Variables!$B$60:$F$61,2,FALSE)</f>
        <v>0</v>
      </c>
      <c r="DR176" s="1223">
        <f>$G176*AW176*Variables!$B$53*HLOOKUP($DM$2,Variables!$B$60:$F$61,2,FALSE)</f>
        <v>0</v>
      </c>
      <c r="DS176" s="1223">
        <f>$G176*AX176*Variables!$B$53*HLOOKUP($DM$2,Variables!$B$60:$F$61,2,FALSE)</f>
        <v>0</v>
      </c>
      <c r="DT176" s="1223">
        <f>$G176*AY176*Variables!$B$53*HLOOKUP($DM$2,Variables!$B$60:$F$61,2,FALSE)</f>
        <v>0</v>
      </c>
      <c r="DU176" s="1223">
        <f>$G176*AZ176*Variables!$B$53*HLOOKUP($DM$2,Variables!$B$60:$F$61,2,FALSE)</f>
        <v>0</v>
      </c>
      <c r="DV176" s="1223">
        <f>$G176*BA176*Variables!$B$53*HLOOKUP($DM$2,Variables!$B$60:$F$61,2,FALSE)</f>
        <v>0</v>
      </c>
      <c r="DW176" s="1223">
        <f>$G176*BB176*Variables!$B$53*HLOOKUP($DM$2,Variables!$B$60:$F$61,2,FALSE)</f>
        <v>0</v>
      </c>
      <c r="DX176" s="1225">
        <f>$G176*BC176*Variables!$B$53*HLOOKUP($DM$2,Variables!$B$60:$F$61,2,FALSE)</f>
        <v>0</v>
      </c>
      <c r="DY176" s="1222">
        <f>$G176*BD176*Variables!$B$53*HLOOKUP($DY$2,Variables!$B$60:$F$61,2,FALSE)</f>
        <v>0</v>
      </c>
      <c r="DZ176" s="1223">
        <f>$G176*BE176*Variables!$B$53*HLOOKUP($DY$2,Variables!$B$60:$F$61,2,FALSE)</f>
        <v>0</v>
      </c>
      <c r="EA176" s="1223">
        <f>$G176*BF176*Variables!$B$53*HLOOKUP($DY$2,Variables!$B$60:$F$61,2,FALSE)</f>
        <v>0</v>
      </c>
      <c r="EB176" s="1223">
        <f>$G176*BG176*Variables!$B$53*HLOOKUP($DY$2,Variables!$B$60:$F$61,2,FALSE)</f>
        <v>0</v>
      </c>
      <c r="EC176" s="1223">
        <f>$G176*BH176*Variables!$B$53*HLOOKUP($DY$2,Variables!$B$60:$F$61,2,FALSE)</f>
        <v>0</v>
      </c>
      <c r="ED176" s="1223">
        <f>$G176*BI176*Variables!$B$53*HLOOKUP($DY$2,Variables!$B$60:$F$61,2,FALSE)</f>
        <v>0</v>
      </c>
      <c r="EE176" s="1223">
        <f>$G176*BJ176*Variables!$B$53*HLOOKUP($DY$2,Variables!$B$60:$F$61,2,FALSE)</f>
        <v>0</v>
      </c>
      <c r="EF176" s="1223">
        <f>$G176*BK176*Variables!$B$53*HLOOKUP($DY$2,Variables!$B$60:$F$61,2,FALSE)</f>
        <v>0</v>
      </c>
      <c r="EG176" s="1223">
        <f>$G176*BL176*Variables!$B$53*HLOOKUP($DY$2,Variables!$B$60:$F$61,2,FALSE)</f>
        <v>0</v>
      </c>
      <c r="EH176" s="1223">
        <f>$G176*BM176*Variables!$B$53*HLOOKUP($DY$2,Variables!$B$60:$F$61,2,FALSE)</f>
        <v>0</v>
      </c>
      <c r="EI176" s="1223">
        <f>$G176*BN176*Variables!$B$53*HLOOKUP($DY$2,Variables!$B$60:$F$61,2,FALSE)</f>
        <v>0</v>
      </c>
      <c r="EJ176" s="1225">
        <f>$G176*BO176*Variables!$B$53*HLOOKUP($DY$2,Variables!$B$60:$F$61,2,FALSE)</f>
        <v>0</v>
      </c>
      <c r="EK176" s="1222">
        <f>$G176*BP176*Variables!$B$53*HLOOKUP($EK$2,Variables!$B$60:$F$61,2,FALSE)</f>
        <v>0</v>
      </c>
      <c r="EL176" s="1223">
        <f>$G176*BQ176*Variables!$B$53*HLOOKUP($EK$2,Variables!$B$60:$F$61,2,FALSE)</f>
        <v>0</v>
      </c>
      <c r="EM176" s="1223">
        <f>$G176*BR176*Variables!$B$53*HLOOKUP($EK$2,Variables!$B$60:$F$61,2,FALSE)</f>
        <v>0</v>
      </c>
      <c r="EN176" s="1223">
        <f>$G176*BS176*Variables!$B$53*HLOOKUP($EK$2,Variables!$B$60:$F$61,2,FALSE)</f>
        <v>0</v>
      </c>
      <c r="EO176" s="1223">
        <f>$G176*BT176*Variables!$B$53*HLOOKUP($EK$2,Variables!$B$60:$F$61,2,FALSE)</f>
        <v>0</v>
      </c>
      <c r="EP176" s="1223">
        <f>$G176*BU176*Variables!$B$53*HLOOKUP($EK$2,Variables!$B$60:$F$61,2,FALSE)</f>
        <v>0</v>
      </c>
      <c r="EQ176" s="1223">
        <f>$G176*BV176*Variables!$B$53*HLOOKUP($EK$2,Variables!$B$60:$F$61,2,FALSE)</f>
        <v>0</v>
      </c>
      <c r="ER176" s="1223">
        <f>$G176*BW176*Variables!$B$53*HLOOKUP($EK$2,Variables!$B$60:$F$61,2,FALSE)</f>
        <v>0</v>
      </c>
      <c r="ES176" s="1223">
        <f>$G176*BX176*Variables!$B$53*HLOOKUP($EK$2,Variables!$B$60:$F$61,2,FALSE)</f>
        <v>0</v>
      </c>
      <c r="ET176" s="1223">
        <f>$G176*BY176*Variables!$B$53*HLOOKUP($EK$2,Variables!$B$60:$F$61,2,FALSE)</f>
        <v>0</v>
      </c>
      <c r="EU176" s="1223">
        <f>$G176*BZ176*Variables!$B$53*HLOOKUP($EK$2,Variables!$B$60:$F$61,2,FALSE)</f>
        <v>0</v>
      </c>
      <c r="EV176" s="1225">
        <f>$G176*CA176*Variables!$B$53*HLOOKUP($EK$2,Variables!$B$60:$F$61,2,FALSE)</f>
        <v>0</v>
      </c>
      <c r="EW176" s="872">
        <f t="shared" si="24"/>
        <v>0</v>
      </c>
      <c r="EX176" s="872"/>
      <c r="EY176" s="872"/>
      <c r="EZ176" s="872"/>
      <c r="FA176" s="1332"/>
      <c r="FC176" s="958" t="str">
        <f t="shared" si="25"/>
        <v/>
      </c>
      <c r="FD176" s="959" t="str">
        <f t="shared" si="26"/>
        <v/>
      </c>
      <c r="FE176" s="959" t="s">
        <v>8407</v>
      </c>
      <c r="FF176" s="959" t="str">
        <f>IF(ISNA(VLOOKUP(FC176,Miscellaneous!E:F,2,0)),"",VLOOKUP(FC176,Miscellaneous!E:F,2,0))</f>
        <v/>
      </c>
      <c r="FG176" s="959" t="str">
        <f t="shared" si="27"/>
        <v/>
      </c>
      <c r="FH176" s="996">
        <f>IF($FG176="Opex",SUMIF('Monthly Summary'!$C$75:$N$75,"",CC176:CN176),SUMIF('Monthly Summary'!$C$74:$N$74,"",CC176:CN176))</f>
        <v>0</v>
      </c>
      <c r="FI176" s="996">
        <f>IF($FG176="Opex",SUMIF('Monthly Summary'!$O$75:$Z$75,"",CO176:CZ176),SUMIF('Monthly Summary'!$O$74:$Z$74,"",CO176:CZ176))</f>
        <v>0</v>
      </c>
      <c r="FJ176" s="996">
        <f>IF($FG176="Opex",SUMIF('Monthly Summary'!$AA$75:$AL$75,"",DA176:DL176),SUMIF('Monthly Summary'!$AA$74:$AL$74,"",DA176:DL176))</f>
        <v>0</v>
      </c>
      <c r="FK176" s="996">
        <f>IF($FG176="Opex",SUMIF('Monthly Summary'!$AM$75:$AX$75,"",DM176:DX176),SUMIF('Monthly Summary'!$AM$74:$AX$74,"",DM176:DX176))</f>
        <v>0</v>
      </c>
      <c r="FL176" s="996">
        <f>IF($FG176="Opex",SUMIF('Monthly Summary'!$AY$75:$BJ$75,"",DY176:EJ176),SUMIF('Monthly Summary'!$AY$74:$BJ$74,"",DY176:EJ176))</f>
        <v>0</v>
      </c>
      <c r="FM176" s="997">
        <f>IF($FG176="Opex",SUMIF('Monthly Summary'!$BK$75:$BV$75,"",EK176:EV176),SUMIF('Monthly Summary'!$BK$74:$BV$74,"",EK176:EV176))</f>
        <v>0</v>
      </c>
      <c r="FN176" s="997">
        <f t="shared" si="28"/>
        <v>0</v>
      </c>
    </row>
    <row r="177" spans="3:170">
      <c r="C177" s="757"/>
      <c r="D177" s="757"/>
      <c r="E177" s="758"/>
      <c r="F177" s="758"/>
      <c r="G177" s="758"/>
      <c r="H177" s="1215"/>
      <c r="I177" s="761"/>
      <c r="J177" s="761"/>
      <c r="K177" s="761"/>
      <c r="L177" s="761"/>
      <c r="M177" s="761"/>
      <c r="N177" s="761"/>
      <c r="O177" s="761"/>
      <c r="P177" s="761"/>
      <c r="Q177" s="761"/>
      <c r="R177" s="761"/>
      <c r="S177" s="1216"/>
      <c r="T177" s="1215"/>
      <c r="U177" s="761"/>
      <c r="V177" s="761"/>
      <c r="W177" s="761"/>
      <c r="X177" s="761"/>
      <c r="Y177" s="761"/>
      <c r="Z177" s="761"/>
      <c r="AA177" s="761"/>
      <c r="AB177" s="761"/>
      <c r="AC177" s="761"/>
      <c r="AD177" s="761"/>
      <c r="AE177" s="1216"/>
      <c r="AF177" s="1215"/>
      <c r="AG177" s="761"/>
      <c r="AH177" s="761"/>
      <c r="AI177" s="761"/>
      <c r="AJ177" s="761"/>
      <c r="AK177" s="761"/>
      <c r="AL177" s="761"/>
      <c r="AM177" s="761"/>
      <c r="AN177" s="761"/>
      <c r="AO177" s="761"/>
      <c r="AP177" s="761"/>
      <c r="AQ177" s="1216"/>
      <c r="AR177" s="1215"/>
      <c r="AS177" s="761"/>
      <c r="AT177" s="761"/>
      <c r="AU177" s="761"/>
      <c r="AV177" s="761"/>
      <c r="AW177" s="761"/>
      <c r="AX177" s="761"/>
      <c r="AY177" s="761"/>
      <c r="AZ177" s="761"/>
      <c r="BA177" s="761"/>
      <c r="BB177" s="761"/>
      <c r="BC177" s="1216"/>
      <c r="BD177" s="1215"/>
      <c r="BE177" s="761"/>
      <c r="BF177" s="761"/>
      <c r="BG177" s="761"/>
      <c r="BH177" s="761"/>
      <c r="BI177" s="761"/>
      <c r="BJ177" s="761"/>
      <c r="BK177" s="761"/>
      <c r="BL177" s="761"/>
      <c r="BM177" s="761"/>
      <c r="BN177" s="761"/>
      <c r="BO177" s="1216"/>
      <c r="BP177" s="1215"/>
      <c r="BQ177" s="761"/>
      <c r="BR177" s="761"/>
      <c r="BS177" s="761"/>
      <c r="BT177" s="761"/>
      <c r="BU177" s="761"/>
      <c r="BV177" s="761"/>
      <c r="BW177" s="761"/>
      <c r="BX177" s="761"/>
      <c r="BY177" s="761"/>
      <c r="BZ177" s="761"/>
      <c r="CA177" s="1216"/>
      <c r="CB177" s="747"/>
      <c r="CC177" s="1222">
        <f>$G177*H177*Variables!$B$53</f>
        <v>0</v>
      </c>
      <c r="CD177" s="1223">
        <f>$G177*I177*Variables!$B$53</f>
        <v>0</v>
      </c>
      <c r="CE177" s="1223">
        <f>$G177*J177*Variables!$B$53</f>
        <v>0</v>
      </c>
      <c r="CF177" s="1223">
        <f>$G177*K177*Variables!$B$53</f>
        <v>0</v>
      </c>
      <c r="CG177" s="1223">
        <f>$G177*L177*Variables!$B$53</f>
        <v>0</v>
      </c>
      <c r="CH177" s="1223">
        <f>$G177*M177*Variables!$B$53</f>
        <v>0</v>
      </c>
      <c r="CI177" s="1223">
        <f>$G177*N177*Variables!$B$53</f>
        <v>0</v>
      </c>
      <c r="CJ177" s="1223">
        <f>$G177*O177*Variables!$B$53</f>
        <v>0</v>
      </c>
      <c r="CK177" s="1223">
        <f>$G177*P177*Variables!$B$53</f>
        <v>0</v>
      </c>
      <c r="CL177" s="1223">
        <f>$G177*Q177*Variables!$B$53</f>
        <v>0</v>
      </c>
      <c r="CM177" s="1223">
        <f>$G177*R177*Variables!$B$53</f>
        <v>0</v>
      </c>
      <c r="CN177" s="1225">
        <f>$G177*S177*Variables!$B$53</f>
        <v>0</v>
      </c>
      <c r="CO177" s="1222">
        <f>$G177*T177*Variables!$B$53*HLOOKUP($CO$2,Variables!$B$60:$F$61,2,FALSE)</f>
        <v>0</v>
      </c>
      <c r="CP177" s="1223">
        <f>$G177*U177*Variables!$B$53*HLOOKUP($CO$2,Variables!$B$60:$F$61,2,FALSE)</f>
        <v>0</v>
      </c>
      <c r="CQ177" s="1223">
        <f>$G177*V177*Variables!$B$53*HLOOKUP($CO$2,Variables!$B$60:$F$61,2,FALSE)</f>
        <v>0</v>
      </c>
      <c r="CR177" s="1223">
        <f>$G177*W177*Variables!$B$53*HLOOKUP($CO$2,Variables!$B$60:$F$61,2,FALSE)</f>
        <v>0</v>
      </c>
      <c r="CS177" s="1223">
        <f>$G177*X177*Variables!$B$53*HLOOKUP($CO$2,Variables!$B$60:$F$61,2,FALSE)</f>
        <v>0</v>
      </c>
      <c r="CT177" s="1223">
        <f>$G177*Y177*Variables!$B$53*HLOOKUP($CO$2,Variables!$B$60:$F$61,2,FALSE)</f>
        <v>0</v>
      </c>
      <c r="CU177" s="1223">
        <f>$G177*Z177*Variables!$B$53*HLOOKUP($CO$2,Variables!$B$60:$F$61,2,FALSE)</f>
        <v>0</v>
      </c>
      <c r="CV177" s="1223">
        <f>$G177*AA177*Variables!$B$53*HLOOKUP($CO$2,Variables!$B$60:$F$61,2,FALSE)</f>
        <v>0</v>
      </c>
      <c r="CW177" s="1223">
        <f>$G177*AB177*Variables!$B$53*HLOOKUP($CO$2,Variables!$B$60:$F$61,2,FALSE)</f>
        <v>0</v>
      </c>
      <c r="CX177" s="1223">
        <f>$G177*AC177*Variables!$B$53*HLOOKUP($CO$2,Variables!$B$60:$F$61,2,FALSE)</f>
        <v>0</v>
      </c>
      <c r="CY177" s="1223">
        <f>$G177*AD177*Variables!$B$53*HLOOKUP($CO$2,Variables!$B$60:$F$61,2,FALSE)</f>
        <v>0</v>
      </c>
      <c r="CZ177" s="1225">
        <f>$G177*AE177*Variables!$B$53*HLOOKUP($CO$2,Variables!$B$60:$F$61,2,FALSE)</f>
        <v>0</v>
      </c>
      <c r="DA177" s="1222">
        <f>$G177*AF177*Variables!$B$53*HLOOKUP($DA$2,Variables!$B$60:$F$61,2,FALSE)</f>
        <v>0</v>
      </c>
      <c r="DB177" s="1223">
        <f>$G177*AG177*Variables!$B$53*HLOOKUP($DA$2,Variables!$B$60:$F$61,2,FALSE)</f>
        <v>0</v>
      </c>
      <c r="DC177" s="1223">
        <f>$G177*AH177*Variables!$B$53*HLOOKUP($DA$2,Variables!$B$60:$F$61,2,FALSE)</f>
        <v>0</v>
      </c>
      <c r="DD177" s="1223">
        <f>$G177*AI177*Variables!$B$53*HLOOKUP($DA$2,Variables!$B$60:$F$61,2,FALSE)</f>
        <v>0</v>
      </c>
      <c r="DE177" s="1223">
        <f>$G177*AJ177*Variables!$B$53*HLOOKUP($DA$2,Variables!$B$60:$F$61,2,FALSE)</f>
        <v>0</v>
      </c>
      <c r="DF177" s="1223">
        <f>$G177*AK177*Variables!$B$53*HLOOKUP($DA$2,Variables!$B$60:$F$61,2,FALSE)</f>
        <v>0</v>
      </c>
      <c r="DG177" s="1223">
        <f>$G177*AL177*Variables!$B$53*HLOOKUP($DA$2,Variables!$B$60:$F$61,2,FALSE)</f>
        <v>0</v>
      </c>
      <c r="DH177" s="1223">
        <f>$G177*AM177*Variables!$B$53*HLOOKUP($DA$2,Variables!$B$60:$F$61,2,FALSE)</f>
        <v>0</v>
      </c>
      <c r="DI177" s="1223">
        <f>$G177*AN177*Variables!$B$53*HLOOKUP($DA$2,Variables!$B$60:$F$61,2,FALSE)</f>
        <v>0</v>
      </c>
      <c r="DJ177" s="1223">
        <f>$G177*AO177*Variables!$B$53*HLOOKUP($DA$2,Variables!$B$60:$F$61,2,FALSE)</f>
        <v>0</v>
      </c>
      <c r="DK177" s="1223">
        <f>$G177*AP177*Variables!$B$53*HLOOKUP($DA$2,Variables!$B$60:$F$61,2,FALSE)</f>
        <v>0</v>
      </c>
      <c r="DL177" s="1225">
        <f>$G177*AQ177*Variables!$B$53*HLOOKUP($DA$2,Variables!$B$60:$F$61,2,FALSE)</f>
        <v>0</v>
      </c>
      <c r="DM177" s="1222">
        <f>$G177*AR177*Variables!$B$53*HLOOKUP($DM$2,Variables!$B$60:$F$61,2,FALSE)</f>
        <v>0</v>
      </c>
      <c r="DN177" s="1223">
        <f>$G177*AS177*Variables!$B$53*HLOOKUP($DM$2,Variables!$B$60:$F$61,2,FALSE)</f>
        <v>0</v>
      </c>
      <c r="DO177" s="1223">
        <f>$G177*AT177*Variables!$B$53*HLOOKUP($DM$2,Variables!$B$60:$F$61,2,FALSE)</f>
        <v>0</v>
      </c>
      <c r="DP177" s="1223">
        <f>$G177*AU177*Variables!$B$53*HLOOKUP($DM$2,Variables!$B$60:$F$61,2,FALSE)</f>
        <v>0</v>
      </c>
      <c r="DQ177" s="1223">
        <f>$G177*AV177*Variables!$B$53*HLOOKUP($DM$2,Variables!$B$60:$F$61,2,FALSE)</f>
        <v>0</v>
      </c>
      <c r="DR177" s="1223">
        <f>$G177*AW177*Variables!$B$53*HLOOKUP($DM$2,Variables!$B$60:$F$61,2,FALSE)</f>
        <v>0</v>
      </c>
      <c r="DS177" s="1223">
        <f>$G177*AX177*Variables!$B$53*HLOOKUP($DM$2,Variables!$B$60:$F$61,2,FALSE)</f>
        <v>0</v>
      </c>
      <c r="DT177" s="1223">
        <f>$G177*AY177*Variables!$B$53*HLOOKUP($DM$2,Variables!$B$60:$F$61,2,FALSE)</f>
        <v>0</v>
      </c>
      <c r="DU177" s="1223">
        <f>$G177*AZ177*Variables!$B$53*HLOOKUP($DM$2,Variables!$B$60:$F$61,2,FALSE)</f>
        <v>0</v>
      </c>
      <c r="DV177" s="1223">
        <f>$G177*BA177*Variables!$B$53*HLOOKUP($DM$2,Variables!$B$60:$F$61,2,FALSE)</f>
        <v>0</v>
      </c>
      <c r="DW177" s="1223">
        <f>$G177*BB177*Variables!$B$53*HLOOKUP($DM$2,Variables!$B$60:$F$61,2,FALSE)</f>
        <v>0</v>
      </c>
      <c r="DX177" s="1225">
        <f>$G177*BC177*Variables!$B$53*HLOOKUP($DM$2,Variables!$B$60:$F$61,2,FALSE)</f>
        <v>0</v>
      </c>
      <c r="DY177" s="1222">
        <f>$G177*BD177*Variables!$B$53*HLOOKUP($DY$2,Variables!$B$60:$F$61,2,FALSE)</f>
        <v>0</v>
      </c>
      <c r="DZ177" s="1223">
        <f>$G177*BE177*Variables!$B$53*HLOOKUP($DY$2,Variables!$B$60:$F$61,2,FALSE)</f>
        <v>0</v>
      </c>
      <c r="EA177" s="1223">
        <f>$G177*BF177*Variables!$B$53*HLOOKUP($DY$2,Variables!$B$60:$F$61,2,FALSE)</f>
        <v>0</v>
      </c>
      <c r="EB177" s="1223">
        <f>$G177*BG177*Variables!$B$53*HLOOKUP($DY$2,Variables!$B$60:$F$61,2,FALSE)</f>
        <v>0</v>
      </c>
      <c r="EC177" s="1223">
        <f>$G177*BH177*Variables!$B$53*HLOOKUP($DY$2,Variables!$B$60:$F$61,2,FALSE)</f>
        <v>0</v>
      </c>
      <c r="ED177" s="1223">
        <f>$G177*BI177*Variables!$B$53*HLOOKUP($DY$2,Variables!$B$60:$F$61,2,FALSE)</f>
        <v>0</v>
      </c>
      <c r="EE177" s="1223">
        <f>$G177*BJ177*Variables!$B$53*HLOOKUP($DY$2,Variables!$B$60:$F$61,2,FALSE)</f>
        <v>0</v>
      </c>
      <c r="EF177" s="1223">
        <f>$G177*BK177*Variables!$B$53*HLOOKUP($DY$2,Variables!$B$60:$F$61,2,FALSE)</f>
        <v>0</v>
      </c>
      <c r="EG177" s="1223">
        <f>$G177*BL177*Variables!$B$53*HLOOKUP($DY$2,Variables!$B$60:$F$61,2,FALSE)</f>
        <v>0</v>
      </c>
      <c r="EH177" s="1223">
        <f>$G177*BM177*Variables!$B$53*HLOOKUP($DY$2,Variables!$B$60:$F$61,2,FALSE)</f>
        <v>0</v>
      </c>
      <c r="EI177" s="1223">
        <f>$G177*BN177*Variables!$B$53*HLOOKUP($DY$2,Variables!$B$60:$F$61,2,FALSE)</f>
        <v>0</v>
      </c>
      <c r="EJ177" s="1225">
        <f>$G177*BO177*Variables!$B$53*HLOOKUP($DY$2,Variables!$B$60:$F$61,2,FALSE)</f>
        <v>0</v>
      </c>
      <c r="EK177" s="1222">
        <f>$G177*BP177*Variables!$B$53*HLOOKUP($EK$2,Variables!$B$60:$F$61,2,FALSE)</f>
        <v>0</v>
      </c>
      <c r="EL177" s="1223">
        <f>$G177*BQ177*Variables!$B$53*HLOOKUP($EK$2,Variables!$B$60:$F$61,2,FALSE)</f>
        <v>0</v>
      </c>
      <c r="EM177" s="1223">
        <f>$G177*BR177*Variables!$B$53*HLOOKUP($EK$2,Variables!$B$60:$F$61,2,FALSE)</f>
        <v>0</v>
      </c>
      <c r="EN177" s="1223">
        <f>$G177*BS177*Variables!$B$53*HLOOKUP($EK$2,Variables!$B$60:$F$61,2,FALSE)</f>
        <v>0</v>
      </c>
      <c r="EO177" s="1223">
        <f>$G177*BT177*Variables!$B$53*HLOOKUP($EK$2,Variables!$B$60:$F$61,2,FALSE)</f>
        <v>0</v>
      </c>
      <c r="EP177" s="1223">
        <f>$G177*BU177*Variables!$B$53*HLOOKUP($EK$2,Variables!$B$60:$F$61,2,FALSE)</f>
        <v>0</v>
      </c>
      <c r="EQ177" s="1223">
        <f>$G177*BV177*Variables!$B$53*HLOOKUP($EK$2,Variables!$B$60:$F$61,2,FALSE)</f>
        <v>0</v>
      </c>
      <c r="ER177" s="1223">
        <f>$G177*BW177*Variables!$B$53*HLOOKUP($EK$2,Variables!$B$60:$F$61,2,FALSE)</f>
        <v>0</v>
      </c>
      <c r="ES177" s="1223">
        <f>$G177*BX177*Variables!$B$53*HLOOKUP($EK$2,Variables!$B$60:$F$61,2,FALSE)</f>
        <v>0</v>
      </c>
      <c r="ET177" s="1223">
        <f>$G177*BY177*Variables!$B$53*HLOOKUP($EK$2,Variables!$B$60:$F$61,2,FALSE)</f>
        <v>0</v>
      </c>
      <c r="EU177" s="1223">
        <f>$G177*BZ177*Variables!$B$53*HLOOKUP($EK$2,Variables!$B$60:$F$61,2,FALSE)</f>
        <v>0</v>
      </c>
      <c r="EV177" s="1225">
        <f>$G177*CA177*Variables!$B$53*HLOOKUP($EK$2,Variables!$B$60:$F$61,2,FALSE)</f>
        <v>0</v>
      </c>
      <c r="EW177" s="872">
        <f t="shared" si="24"/>
        <v>0</v>
      </c>
      <c r="EX177" s="872"/>
      <c r="EY177" s="872"/>
      <c r="EZ177" s="872"/>
      <c r="FA177" s="1332"/>
      <c r="FC177" s="958" t="str">
        <f t="shared" si="25"/>
        <v/>
      </c>
      <c r="FD177" s="959" t="str">
        <f t="shared" si="26"/>
        <v/>
      </c>
      <c r="FE177" s="959" t="s">
        <v>8407</v>
      </c>
      <c r="FF177" s="959" t="str">
        <f>IF(ISNA(VLOOKUP(FC177,Miscellaneous!E:F,2,0)),"",VLOOKUP(FC177,Miscellaneous!E:F,2,0))</f>
        <v/>
      </c>
      <c r="FG177" s="959" t="str">
        <f t="shared" si="27"/>
        <v/>
      </c>
      <c r="FH177" s="996">
        <f>IF($FG177="Opex",SUMIF('Monthly Summary'!$C$75:$N$75,"",CC177:CN177),SUMIF('Monthly Summary'!$C$74:$N$74,"",CC177:CN177))</f>
        <v>0</v>
      </c>
      <c r="FI177" s="996">
        <f>IF($FG177="Opex",SUMIF('Monthly Summary'!$O$75:$Z$75,"",CO177:CZ177),SUMIF('Monthly Summary'!$O$74:$Z$74,"",CO177:CZ177))</f>
        <v>0</v>
      </c>
      <c r="FJ177" s="996">
        <f>IF($FG177="Opex",SUMIF('Monthly Summary'!$AA$75:$AL$75,"",DA177:DL177),SUMIF('Monthly Summary'!$AA$74:$AL$74,"",DA177:DL177))</f>
        <v>0</v>
      </c>
      <c r="FK177" s="996">
        <f>IF($FG177="Opex",SUMIF('Monthly Summary'!$AM$75:$AX$75,"",DM177:DX177),SUMIF('Monthly Summary'!$AM$74:$AX$74,"",DM177:DX177))</f>
        <v>0</v>
      </c>
      <c r="FL177" s="996">
        <f>IF($FG177="Opex",SUMIF('Monthly Summary'!$AY$75:$BJ$75,"",DY177:EJ177),SUMIF('Monthly Summary'!$AY$74:$BJ$74,"",DY177:EJ177))</f>
        <v>0</v>
      </c>
      <c r="FM177" s="997">
        <f>IF($FG177="Opex",SUMIF('Monthly Summary'!$BK$75:$BV$75,"",EK177:EV177),SUMIF('Monthly Summary'!$BK$74:$BV$74,"",EK177:EV177))</f>
        <v>0</v>
      </c>
      <c r="FN177" s="997">
        <f t="shared" si="28"/>
        <v>0</v>
      </c>
    </row>
    <row r="178" spans="3:170">
      <c r="C178" s="757"/>
      <c r="D178" s="757"/>
      <c r="E178" s="758"/>
      <c r="F178" s="758"/>
      <c r="G178" s="758"/>
      <c r="H178" s="1215"/>
      <c r="I178" s="761"/>
      <c r="J178" s="761"/>
      <c r="K178" s="761"/>
      <c r="L178" s="761"/>
      <c r="M178" s="761"/>
      <c r="N178" s="761"/>
      <c r="O178" s="761"/>
      <c r="P178" s="761"/>
      <c r="Q178" s="761"/>
      <c r="R178" s="761"/>
      <c r="S178" s="1216"/>
      <c r="T178" s="1215"/>
      <c r="U178" s="761"/>
      <c r="V178" s="761"/>
      <c r="W178" s="761"/>
      <c r="X178" s="761"/>
      <c r="Y178" s="761"/>
      <c r="Z178" s="761"/>
      <c r="AA178" s="761"/>
      <c r="AB178" s="761"/>
      <c r="AC178" s="761"/>
      <c r="AD178" s="761"/>
      <c r="AE178" s="1216"/>
      <c r="AF178" s="1215"/>
      <c r="AG178" s="761"/>
      <c r="AH178" s="761"/>
      <c r="AI178" s="761"/>
      <c r="AJ178" s="761"/>
      <c r="AK178" s="761"/>
      <c r="AL178" s="761"/>
      <c r="AM178" s="761"/>
      <c r="AN178" s="761"/>
      <c r="AO178" s="761"/>
      <c r="AP178" s="761"/>
      <c r="AQ178" s="1216"/>
      <c r="AR178" s="1215"/>
      <c r="AS178" s="761"/>
      <c r="AT178" s="761"/>
      <c r="AU178" s="761"/>
      <c r="AV178" s="761"/>
      <c r="AW178" s="761"/>
      <c r="AX178" s="761"/>
      <c r="AY178" s="761"/>
      <c r="AZ178" s="761"/>
      <c r="BA178" s="761"/>
      <c r="BB178" s="761"/>
      <c r="BC178" s="1216"/>
      <c r="BD178" s="1215"/>
      <c r="BE178" s="761"/>
      <c r="BF178" s="761"/>
      <c r="BG178" s="761"/>
      <c r="BH178" s="761"/>
      <c r="BI178" s="761"/>
      <c r="BJ178" s="761"/>
      <c r="BK178" s="761"/>
      <c r="BL178" s="761"/>
      <c r="BM178" s="761"/>
      <c r="BN178" s="761"/>
      <c r="BO178" s="1216"/>
      <c r="BP178" s="1215"/>
      <c r="BQ178" s="761"/>
      <c r="BR178" s="761"/>
      <c r="BS178" s="761"/>
      <c r="BT178" s="761"/>
      <c r="BU178" s="761"/>
      <c r="BV178" s="761"/>
      <c r="BW178" s="761"/>
      <c r="BX178" s="761"/>
      <c r="BY178" s="761"/>
      <c r="BZ178" s="761"/>
      <c r="CA178" s="1216"/>
      <c r="CB178" s="747"/>
      <c r="CC178" s="1222">
        <f>$G178*H178*Variables!$B$53</f>
        <v>0</v>
      </c>
      <c r="CD178" s="1223">
        <f>$G178*I178*Variables!$B$53</f>
        <v>0</v>
      </c>
      <c r="CE178" s="1223">
        <f>$G178*J178*Variables!$B$53</f>
        <v>0</v>
      </c>
      <c r="CF178" s="1223">
        <f>$G178*K178*Variables!$B$53</f>
        <v>0</v>
      </c>
      <c r="CG178" s="1223">
        <f>$G178*L178*Variables!$B$53</f>
        <v>0</v>
      </c>
      <c r="CH178" s="1223">
        <f>$G178*M178*Variables!$B$53</f>
        <v>0</v>
      </c>
      <c r="CI178" s="1223">
        <f>$G178*N178*Variables!$B$53</f>
        <v>0</v>
      </c>
      <c r="CJ178" s="1223">
        <f>$G178*O178*Variables!$B$53</f>
        <v>0</v>
      </c>
      <c r="CK178" s="1223">
        <f>$G178*P178*Variables!$B$53</f>
        <v>0</v>
      </c>
      <c r="CL178" s="1223">
        <f>$G178*Q178*Variables!$B$53</f>
        <v>0</v>
      </c>
      <c r="CM178" s="1223">
        <f>$G178*R178*Variables!$B$53</f>
        <v>0</v>
      </c>
      <c r="CN178" s="1225">
        <f>$G178*S178*Variables!$B$53</f>
        <v>0</v>
      </c>
      <c r="CO178" s="1222">
        <f>$G178*T178*Variables!$B$53*HLOOKUP($CO$2,Variables!$B$60:$F$61,2,FALSE)</f>
        <v>0</v>
      </c>
      <c r="CP178" s="1223">
        <f>$G178*U178*Variables!$B$53*HLOOKUP($CO$2,Variables!$B$60:$F$61,2,FALSE)</f>
        <v>0</v>
      </c>
      <c r="CQ178" s="1223">
        <f>$G178*V178*Variables!$B$53*HLOOKUP($CO$2,Variables!$B$60:$F$61,2,FALSE)</f>
        <v>0</v>
      </c>
      <c r="CR178" s="1223">
        <f>$G178*W178*Variables!$B$53*HLOOKUP($CO$2,Variables!$B$60:$F$61,2,FALSE)</f>
        <v>0</v>
      </c>
      <c r="CS178" s="1223">
        <f>$G178*X178*Variables!$B$53*HLOOKUP($CO$2,Variables!$B$60:$F$61,2,FALSE)</f>
        <v>0</v>
      </c>
      <c r="CT178" s="1223">
        <f>$G178*Y178*Variables!$B$53*HLOOKUP($CO$2,Variables!$B$60:$F$61,2,FALSE)</f>
        <v>0</v>
      </c>
      <c r="CU178" s="1223">
        <f>$G178*Z178*Variables!$B$53*HLOOKUP($CO$2,Variables!$B$60:$F$61,2,FALSE)</f>
        <v>0</v>
      </c>
      <c r="CV178" s="1223">
        <f>$G178*AA178*Variables!$B$53*HLOOKUP($CO$2,Variables!$B$60:$F$61,2,FALSE)</f>
        <v>0</v>
      </c>
      <c r="CW178" s="1223">
        <f>$G178*AB178*Variables!$B$53*HLOOKUP($CO$2,Variables!$B$60:$F$61,2,FALSE)</f>
        <v>0</v>
      </c>
      <c r="CX178" s="1223">
        <f>$G178*AC178*Variables!$B$53*HLOOKUP($CO$2,Variables!$B$60:$F$61,2,FALSE)</f>
        <v>0</v>
      </c>
      <c r="CY178" s="1223">
        <f>$G178*AD178*Variables!$B$53*HLOOKUP($CO$2,Variables!$B$60:$F$61,2,FALSE)</f>
        <v>0</v>
      </c>
      <c r="CZ178" s="1225">
        <f>$G178*AE178*Variables!$B$53*HLOOKUP($CO$2,Variables!$B$60:$F$61,2,FALSE)</f>
        <v>0</v>
      </c>
      <c r="DA178" s="1222">
        <f>$G178*AF178*Variables!$B$53*HLOOKUP($DA$2,Variables!$B$60:$F$61,2,FALSE)</f>
        <v>0</v>
      </c>
      <c r="DB178" s="1223">
        <f>$G178*AG178*Variables!$B$53*HLOOKUP($DA$2,Variables!$B$60:$F$61,2,FALSE)</f>
        <v>0</v>
      </c>
      <c r="DC178" s="1223">
        <f>$G178*AH178*Variables!$B$53*HLOOKUP($DA$2,Variables!$B$60:$F$61,2,FALSE)</f>
        <v>0</v>
      </c>
      <c r="DD178" s="1223">
        <f>$G178*AI178*Variables!$B$53*HLOOKUP($DA$2,Variables!$B$60:$F$61,2,FALSE)</f>
        <v>0</v>
      </c>
      <c r="DE178" s="1223">
        <f>$G178*AJ178*Variables!$B$53*HLOOKUP($DA$2,Variables!$B$60:$F$61,2,FALSE)</f>
        <v>0</v>
      </c>
      <c r="DF178" s="1223">
        <f>$G178*AK178*Variables!$B$53*HLOOKUP($DA$2,Variables!$B$60:$F$61,2,FALSE)</f>
        <v>0</v>
      </c>
      <c r="DG178" s="1223">
        <f>$G178*AL178*Variables!$B$53*HLOOKUP($DA$2,Variables!$B$60:$F$61,2,FALSE)</f>
        <v>0</v>
      </c>
      <c r="DH178" s="1223">
        <f>$G178*AM178*Variables!$B$53*HLOOKUP($DA$2,Variables!$B$60:$F$61,2,FALSE)</f>
        <v>0</v>
      </c>
      <c r="DI178" s="1223">
        <f>$G178*AN178*Variables!$B$53*HLOOKUP($DA$2,Variables!$B$60:$F$61,2,FALSE)</f>
        <v>0</v>
      </c>
      <c r="DJ178" s="1223">
        <f>$G178*AO178*Variables!$B$53*HLOOKUP($DA$2,Variables!$B$60:$F$61,2,FALSE)</f>
        <v>0</v>
      </c>
      <c r="DK178" s="1223">
        <f>$G178*AP178*Variables!$B$53*HLOOKUP($DA$2,Variables!$B$60:$F$61,2,FALSE)</f>
        <v>0</v>
      </c>
      <c r="DL178" s="1225">
        <f>$G178*AQ178*Variables!$B$53*HLOOKUP($DA$2,Variables!$B$60:$F$61,2,FALSE)</f>
        <v>0</v>
      </c>
      <c r="DM178" s="1222">
        <f>$G178*AR178*Variables!$B$53*HLOOKUP($DM$2,Variables!$B$60:$F$61,2,FALSE)</f>
        <v>0</v>
      </c>
      <c r="DN178" s="1223">
        <f>$G178*AS178*Variables!$B$53*HLOOKUP($DM$2,Variables!$B$60:$F$61,2,FALSE)</f>
        <v>0</v>
      </c>
      <c r="DO178" s="1223">
        <f>$G178*AT178*Variables!$B$53*HLOOKUP($DM$2,Variables!$B$60:$F$61,2,FALSE)</f>
        <v>0</v>
      </c>
      <c r="DP178" s="1223">
        <f>$G178*AU178*Variables!$B$53*HLOOKUP($DM$2,Variables!$B$60:$F$61,2,FALSE)</f>
        <v>0</v>
      </c>
      <c r="DQ178" s="1223">
        <f>$G178*AV178*Variables!$B$53*HLOOKUP($DM$2,Variables!$B$60:$F$61,2,FALSE)</f>
        <v>0</v>
      </c>
      <c r="DR178" s="1223">
        <f>$G178*AW178*Variables!$B$53*HLOOKUP($DM$2,Variables!$B$60:$F$61,2,FALSE)</f>
        <v>0</v>
      </c>
      <c r="DS178" s="1223">
        <f>$G178*AX178*Variables!$B$53*HLOOKUP($DM$2,Variables!$B$60:$F$61,2,FALSE)</f>
        <v>0</v>
      </c>
      <c r="DT178" s="1223">
        <f>$G178*AY178*Variables!$B$53*HLOOKUP($DM$2,Variables!$B$60:$F$61,2,FALSE)</f>
        <v>0</v>
      </c>
      <c r="DU178" s="1223">
        <f>$G178*AZ178*Variables!$B$53*HLOOKUP($DM$2,Variables!$B$60:$F$61,2,FALSE)</f>
        <v>0</v>
      </c>
      <c r="DV178" s="1223">
        <f>$G178*BA178*Variables!$B$53*HLOOKUP($DM$2,Variables!$B$60:$F$61,2,FALSE)</f>
        <v>0</v>
      </c>
      <c r="DW178" s="1223">
        <f>$G178*BB178*Variables!$B$53*HLOOKUP($DM$2,Variables!$B$60:$F$61,2,FALSE)</f>
        <v>0</v>
      </c>
      <c r="DX178" s="1225">
        <f>$G178*BC178*Variables!$B$53*HLOOKUP($DM$2,Variables!$B$60:$F$61,2,FALSE)</f>
        <v>0</v>
      </c>
      <c r="DY178" s="1222">
        <f>$G178*BD178*Variables!$B$53*HLOOKUP($DY$2,Variables!$B$60:$F$61,2,FALSE)</f>
        <v>0</v>
      </c>
      <c r="DZ178" s="1223">
        <f>$G178*BE178*Variables!$B$53*HLOOKUP($DY$2,Variables!$B$60:$F$61,2,FALSE)</f>
        <v>0</v>
      </c>
      <c r="EA178" s="1223">
        <f>$G178*BF178*Variables!$B$53*HLOOKUP($DY$2,Variables!$B$60:$F$61,2,FALSE)</f>
        <v>0</v>
      </c>
      <c r="EB178" s="1223">
        <f>$G178*BG178*Variables!$B$53*HLOOKUP($DY$2,Variables!$B$60:$F$61,2,FALSE)</f>
        <v>0</v>
      </c>
      <c r="EC178" s="1223">
        <f>$G178*BH178*Variables!$B$53*HLOOKUP($DY$2,Variables!$B$60:$F$61,2,FALSE)</f>
        <v>0</v>
      </c>
      <c r="ED178" s="1223">
        <f>$G178*BI178*Variables!$B$53*HLOOKUP($DY$2,Variables!$B$60:$F$61,2,FALSE)</f>
        <v>0</v>
      </c>
      <c r="EE178" s="1223">
        <f>$G178*BJ178*Variables!$B$53*HLOOKUP($DY$2,Variables!$B$60:$F$61,2,FALSE)</f>
        <v>0</v>
      </c>
      <c r="EF178" s="1223">
        <f>$G178*BK178*Variables!$B$53*HLOOKUP($DY$2,Variables!$B$60:$F$61,2,FALSE)</f>
        <v>0</v>
      </c>
      <c r="EG178" s="1223">
        <f>$G178*BL178*Variables!$B$53*HLOOKUP($DY$2,Variables!$B$60:$F$61,2,FALSE)</f>
        <v>0</v>
      </c>
      <c r="EH178" s="1223">
        <f>$G178*BM178*Variables!$B$53*HLOOKUP($DY$2,Variables!$B$60:$F$61,2,FALSE)</f>
        <v>0</v>
      </c>
      <c r="EI178" s="1223">
        <f>$G178*BN178*Variables!$B$53*HLOOKUP($DY$2,Variables!$B$60:$F$61,2,FALSE)</f>
        <v>0</v>
      </c>
      <c r="EJ178" s="1225">
        <f>$G178*BO178*Variables!$B$53*HLOOKUP($DY$2,Variables!$B$60:$F$61,2,FALSE)</f>
        <v>0</v>
      </c>
      <c r="EK178" s="1222">
        <f>$G178*BP178*Variables!$B$53*HLOOKUP($EK$2,Variables!$B$60:$F$61,2,FALSE)</f>
        <v>0</v>
      </c>
      <c r="EL178" s="1223">
        <f>$G178*BQ178*Variables!$B$53*HLOOKUP($EK$2,Variables!$B$60:$F$61,2,FALSE)</f>
        <v>0</v>
      </c>
      <c r="EM178" s="1223">
        <f>$G178*BR178*Variables!$B$53*HLOOKUP($EK$2,Variables!$B$60:$F$61,2,FALSE)</f>
        <v>0</v>
      </c>
      <c r="EN178" s="1223">
        <f>$G178*BS178*Variables!$B$53*HLOOKUP($EK$2,Variables!$B$60:$F$61,2,FALSE)</f>
        <v>0</v>
      </c>
      <c r="EO178" s="1223">
        <f>$G178*BT178*Variables!$B$53*HLOOKUP($EK$2,Variables!$B$60:$F$61,2,FALSE)</f>
        <v>0</v>
      </c>
      <c r="EP178" s="1223">
        <f>$G178*BU178*Variables!$B$53*HLOOKUP($EK$2,Variables!$B$60:$F$61,2,FALSE)</f>
        <v>0</v>
      </c>
      <c r="EQ178" s="1223">
        <f>$G178*BV178*Variables!$B$53*HLOOKUP($EK$2,Variables!$B$60:$F$61,2,FALSE)</f>
        <v>0</v>
      </c>
      <c r="ER178" s="1223">
        <f>$G178*BW178*Variables!$B$53*HLOOKUP($EK$2,Variables!$B$60:$F$61,2,FALSE)</f>
        <v>0</v>
      </c>
      <c r="ES178" s="1223">
        <f>$G178*BX178*Variables!$B$53*HLOOKUP($EK$2,Variables!$B$60:$F$61,2,FALSE)</f>
        <v>0</v>
      </c>
      <c r="ET178" s="1223">
        <f>$G178*BY178*Variables!$B$53*HLOOKUP($EK$2,Variables!$B$60:$F$61,2,FALSE)</f>
        <v>0</v>
      </c>
      <c r="EU178" s="1223">
        <f>$G178*BZ178*Variables!$B$53*HLOOKUP($EK$2,Variables!$B$60:$F$61,2,FALSE)</f>
        <v>0</v>
      </c>
      <c r="EV178" s="1225">
        <f>$G178*CA178*Variables!$B$53*HLOOKUP($EK$2,Variables!$B$60:$F$61,2,FALSE)</f>
        <v>0</v>
      </c>
      <c r="EW178" s="872">
        <f t="shared" si="24"/>
        <v>0</v>
      </c>
      <c r="EX178" s="872"/>
      <c r="EY178" s="872"/>
      <c r="EZ178" s="872"/>
      <c r="FA178" s="1332"/>
      <c r="FC178" s="958" t="str">
        <f t="shared" si="25"/>
        <v/>
      </c>
      <c r="FD178" s="959" t="str">
        <f t="shared" si="26"/>
        <v/>
      </c>
      <c r="FE178" s="959" t="s">
        <v>8407</v>
      </c>
      <c r="FF178" s="959" t="str">
        <f>IF(ISNA(VLOOKUP(FC178,Miscellaneous!E:F,2,0)),"",VLOOKUP(FC178,Miscellaneous!E:F,2,0))</f>
        <v/>
      </c>
      <c r="FG178" s="959" t="str">
        <f t="shared" si="27"/>
        <v/>
      </c>
      <c r="FH178" s="996">
        <f>IF($FG178="Opex",SUMIF('Monthly Summary'!$C$75:$N$75,"",CC178:CN178),SUMIF('Monthly Summary'!$C$74:$N$74,"",CC178:CN178))</f>
        <v>0</v>
      </c>
      <c r="FI178" s="996">
        <f>IF($FG178="Opex",SUMIF('Monthly Summary'!$O$75:$Z$75,"",CO178:CZ178),SUMIF('Monthly Summary'!$O$74:$Z$74,"",CO178:CZ178))</f>
        <v>0</v>
      </c>
      <c r="FJ178" s="996">
        <f>IF($FG178="Opex",SUMIF('Monthly Summary'!$AA$75:$AL$75,"",DA178:DL178),SUMIF('Monthly Summary'!$AA$74:$AL$74,"",DA178:DL178))</f>
        <v>0</v>
      </c>
      <c r="FK178" s="996">
        <f>IF($FG178="Opex",SUMIF('Monthly Summary'!$AM$75:$AX$75,"",DM178:DX178),SUMIF('Monthly Summary'!$AM$74:$AX$74,"",DM178:DX178))</f>
        <v>0</v>
      </c>
      <c r="FL178" s="996">
        <f>IF($FG178="Opex",SUMIF('Monthly Summary'!$AY$75:$BJ$75,"",DY178:EJ178),SUMIF('Monthly Summary'!$AY$74:$BJ$74,"",DY178:EJ178))</f>
        <v>0</v>
      </c>
      <c r="FM178" s="997">
        <f>IF($FG178="Opex",SUMIF('Monthly Summary'!$BK$75:$BV$75,"",EK178:EV178),SUMIF('Monthly Summary'!$BK$74:$BV$74,"",EK178:EV178))</f>
        <v>0</v>
      </c>
      <c r="FN178" s="997">
        <f t="shared" si="28"/>
        <v>0</v>
      </c>
    </row>
    <row r="179" spans="3:170">
      <c r="C179" s="757"/>
      <c r="D179" s="757"/>
      <c r="E179" s="758"/>
      <c r="F179" s="758"/>
      <c r="G179" s="758"/>
      <c r="H179" s="1215"/>
      <c r="I179" s="761"/>
      <c r="J179" s="761"/>
      <c r="K179" s="761"/>
      <c r="L179" s="761"/>
      <c r="M179" s="761"/>
      <c r="N179" s="761"/>
      <c r="O179" s="761"/>
      <c r="P179" s="761"/>
      <c r="Q179" s="761"/>
      <c r="R179" s="761"/>
      <c r="S179" s="1216"/>
      <c r="T179" s="1215"/>
      <c r="U179" s="761"/>
      <c r="V179" s="761"/>
      <c r="W179" s="761"/>
      <c r="X179" s="761"/>
      <c r="Y179" s="761"/>
      <c r="Z179" s="761"/>
      <c r="AA179" s="761"/>
      <c r="AB179" s="761"/>
      <c r="AC179" s="761"/>
      <c r="AD179" s="761"/>
      <c r="AE179" s="1216"/>
      <c r="AF179" s="1215"/>
      <c r="AG179" s="761"/>
      <c r="AH179" s="761"/>
      <c r="AI179" s="761"/>
      <c r="AJ179" s="761"/>
      <c r="AK179" s="761"/>
      <c r="AL179" s="761"/>
      <c r="AM179" s="761"/>
      <c r="AN179" s="761"/>
      <c r="AO179" s="761"/>
      <c r="AP179" s="761"/>
      <c r="AQ179" s="1216"/>
      <c r="AR179" s="1215"/>
      <c r="AS179" s="761"/>
      <c r="AT179" s="761"/>
      <c r="AU179" s="761"/>
      <c r="AV179" s="761"/>
      <c r="AW179" s="761"/>
      <c r="AX179" s="761"/>
      <c r="AY179" s="761"/>
      <c r="AZ179" s="761"/>
      <c r="BA179" s="761"/>
      <c r="BB179" s="761"/>
      <c r="BC179" s="1216"/>
      <c r="BD179" s="1215"/>
      <c r="BE179" s="761"/>
      <c r="BF179" s="761"/>
      <c r="BG179" s="761"/>
      <c r="BH179" s="761"/>
      <c r="BI179" s="761"/>
      <c r="BJ179" s="761"/>
      <c r="BK179" s="761"/>
      <c r="BL179" s="761"/>
      <c r="BM179" s="761"/>
      <c r="BN179" s="761"/>
      <c r="BO179" s="1216"/>
      <c r="BP179" s="1215"/>
      <c r="BQ179" s="761"/>
      <c r="BR179" s="761"/>
      <c r="BS179" s="761"/>
      <c r="BT179" s="761"/>
      <c r="BU179" s="761"/>
      <c r="BV179" s="761"/>
      <c r="BW179" s="761"/>
      <c r="BX179" s="761"/>
      <c r="BY179" s="761"/>
      <c r="BZ179" s="761"/>
      <c r="CA179" s="1216"/>
      <c r="CB179" s="747"/>
      <c r="CC179" s="1222">
        <f>$G179*H179*Variables!$B$53</f>
        <v>0</v>
      </c>
      <c r="CD179" s="1223">
        <f>$G179*I179*Variables!$B$53</f>
        <v>0</v>
      </c>
      <c r="CE179" s="1223">
        <f>$G179*J179*Variables!$B$53</f>
        <v>0</v>
      </c>
      <c r="CF179" s="1223">
        <f>$G179*K179*Variables!$B$53</f>
        <v>0</v>
      </c>
      <c r="CG179" s="1223">
        <f>$G179*L179*Variables!$B$53</f>
        <v>0</v>
      </c>
      <c r="CH179" s="1223">
        <f>$G179*M179*Variables!$B$53</f>
        <v>0</v>
      </c>
      <c r="CI179" s="1223">
        <f>$G179*N179*Variables!$B$53</f>
        <v>0</v>
      </c>
      <c r="CJ179" s="1223">
        <f>$G179*O179*Variables!$B$53</f>
        <v>0</v>
      </c>
      <c r="CK179" s="1223">
        <f>$G179*P179*Variables!$B$53</f>
        <v>0</v>
      </c>
      <c r="CL179" s="1223">
        <f>$G179*Q179*Variables!$B$53</f>
        <v>0</v>
      </c>
      <c r="CM179" s="1223">
        <f>$G179*R179*Variables!$B$53</f>
        <v>0</v>
      </c>
      <c r="CN179" s="1225">
        <f>$G179*S179*Variables!$B$53</f>
        <v>0</v>
      </c>
      <c r="CO179" s="1222">
        <f>$G179*T179*Variables!$B$53*HLOOKUP($CO$2,Variables!$B$60:$F$61,2,FALSE)</f>
        <v>0</v>
      </c>
      <c r="CP179" s="1223">
        <f>$G179*U179*Variables!$B$53*HLOOKUP($CO$2,Variables!$B$60:$F$61,2,FALSE)</f>
        <v>0</v>
      </c>
      <c r="CQ179" s="1223">
        <f>$G179*V179*Variables!$B$53*HLOOKUP($CO$2,Variables!$B$60:$F$61,2,FALSE)</f>
        <v>0</v>
      </c>
      <c r="CR179" s="1223">
        <f>$G179*W179*Variables!$B$53*HLOOKUP($CO$2,Variables!$B$60:$F$61,2,FALSE)</f>
        <v>0</v>
      </c>
      <c r="CS179" s="1223">
        <f>$G179*X179*Variables!$B$53*HLOOKUP($CO$2,Variables!$B$60:$F$61,2,FALSE)</f>
        <v>0</v>
      </c>
      <c r="CT179" s="1223">
        <f>$G179*Y179*Variables!$B$53*HLOOKUP($CO$2,Variables!$B$60:$F$61,2,FALSE)</f>
        <v>0</v>
      </c>
      <c r="CU179" s="1223">
        <f>$G179*Z179*Variables!$B$53*HLOOKUP($CO$2,Variables!$B$60:$F$61,2,FALSE)</f>
        <v>0</v>
      </c>
      <c r="CV179" s="1223">
        <f>$G179*AA179*Variables!$B$53*HLOOKUP($CO$2,Variables!$B$60:$F$61,2,FALSE)</f>
        <v>0</v>
      </c>
      <c r="CW179" s="1223">
        <f>$G179*AB179*Variables!$B$53*HLOOKUP($CO$2,Variables!$B$60:$F$61,2,FALSE)</f>
        <v>0</v>
      </c>
      <c r="CX179" s="1223">
        <f>$G179*AC179*Variables!$B$53*HLOOKUP($CO$2,Variables!$B$60:$F$61,2,FALSE)</f>
        <v>0</v>
      </c>
      <c r="CY179" s="1223">
        <f>$G179*AD179*Variables!$B$53*HLOOKUP($CO$2,Variables!$B$60:$F$61,2,FALSE)</f>
        <v>0</v>
      </c>
      <c r="CZ179" s="1225">
        <f>$G179*AE179*Variables!$B$53*HLOOKUP($CO$2,Variables!$B$60:$F$61,2,FALSE)</f>
        <v>0</v>
      </c>
      <c r="DA179" s="1222">
        <f>$G179*AF179*Variables!$B$53*HLOOKUP($DA$2,Variables!$B$60:$F$61,2,FALSE)</f>
        <v>0</v>
      </c>
      <c r="DB179" s="1223">
        <f>$G179*AG179*Variables!$B$53*HLOOKUP($DA$2,Variables!$B$60:$F$61,2,FALSE)</f>
        <v>0</v>
      </c>
      <c r="DC179" s="1223">
        <f>$G179*AH179*Variables!$B$53*HLOOKUP($DA$2,Variables!$B$60:$F$61,2,FALSE)</f>
        <v>0</v>
      </c>
      <c r="DD179" s="1223">
        <f>$G179*AI179*Variables!$B$53*HLOOKUP($DA$2,Variables!$B$60:$F$61,2,FALSE)</f>
        <v>0</v>
      </c>
      <c r="DE179" s="1223">
        <f>$G179*AJ179*Variables!$B$53*HLOOKUP($DA$2,Variables!$B$60:$F$61,2,FALSE)</f>
        <v>0</v>
      </c>
      <c r="DF179" s="1223">
        <f>$G179*AK179*Variables!$B$53*HLOOKUP($DA$2,Variables!$B$60:$F$61,2,FALSE)</f>
        <v>0</v>
      </c>
      <c r="DG179" s="1223">
        <f>$G179*AL179*Variables!$B$53*HLOOKUP($DA$2,Variables!$B$60:$F$61,2,FALSE)</f>
        <v>0</v>
      </c>
      <c r="DH179" s="1223">
        <f>$G179*AM179*Variables!$B$53*HLOOKUP($DA$2,Variables!$B$60:$F$61,2,FALSE)</f>
        <v>0</v>
      </c>
      <c r="DI179" s="1223">
        <f>$G179*AN179*Variables!$B$53*HLOOKUP($DA$2,Variables!$B$60:$F$61,2,FALSE)</f>
        <v>0</v>
      </c>
      <c r="DJ179" s="1223">
        <f>$G179*AO179*Variables!$B$53*HLOOKUP($DA$2,Variables!$B$60:$F$61,2,FALSE)</f>
        <v>0</v>
      </c>
      <c r="DK179" s="1223">
        <f>$G179*AP179*Variables!$B$53*HLOOKUP($DA$2,Variables!$B$60:$F$61,2,FALSE)</f>
        <v>0</v>
      </c>
      <c r="DL179" s="1225">
        <f>$G179*AQ179*Variables!$B$53*HLOOKUP($DA$2,Variables!$B$60:$F$61,2,FALSE)</f>
        <v>0</v>
      </c>
      <c r="DM179" s="1222">
        <f>$G179*AR179*Variables!$B$53*HLOOKUP($DM$2,Variables!$B$60:$F$61,2,FALSE)</f>
        <v>0</v>
      </c>
      <c r="DN179" s="1223">
        <f>$G179*AS179*Variables!$B$53*HLOOKUP($DM$2,Variables!$B$60:$F$61,2,FALSE)</f>
        <v>0</v>
      </c>
      <c r="DO179" s="1223">
        <f>$G179*AT179*Variables!$B$53*HLOOKUP($DM$2,Variables!$B$60:$F$61,2,FALSE)</f>
        <v>0</v>
      </c>
      <c r="DP179" s="1223">
        <f>$G179*AU179*Variables!$B$53*HLOOKUP($DM$2,Variables!$B$60:$F$61,2,FALSE)</f>
        <v>0</v>
      </c>
      <c r="DQ179" s="1223">
        <f>$G179*AV179*Variables!$B$53*HLOOKUP($DM$2,Variables!$B$60:$F$61,2,FALSE)</f>
        <v>0</v>
      </c>
      <c r="DR179" s="1223">
        <f>$G179*AW179*Variables!$B$53*HLOOKUP($DM$2,Variables!$B$60:$F$61,2,FALSE)</f>
        <v>0</v>
      </c>
      <c r="DS179" s="1223">
        <f>$G179*AX179*Variables!$B$53*HLOOKUP($DM$2,Variables!$B$60:$F$61,2,FALSE)</f>
        <v>0</v>
      </c>
      <c r="DT179" s="1223">
        <f>$G179*AY179*Variables!$B$53*HLOOKUP($DM$2,Variables!$B$60:$F$61,2,FALSE)</f>
        <v>0</v>
      </c>
      <c r="DU179" s="1223">
        <f>$G179*AZ179*Variables!$B$53*HLOOKUP($DM$2,Variables!$B$60:$F$61,2,FALSE)</f>
        <v>0</v>
      </c>
      <c r="DV179" s="1223">
        <f>$G179*BA179*Variables!$B$53*HLOOKUP($DM$2,Variables!$B$60:$F$61,2,FALSE)</f>
        <v>0</v>
      </c>
      <c r="DW179" s="1223">
        <f>$G179*BB179*Variables!$B$53*HLOOKUP($DM$2,Variables!$B$60:$F$61,2,FALSE)</f>
        <v>0</v>
      </c>
      <c r="DX179" s="1225">
        <f>$G179*BC179*Variables!$B$53*HLOOKUP($DM$2,Variables!$B$60:$F$61,2,FALSE)</f>
        <v>0</v>
      </c>
      <c r="DY179" s="1222">
        <f>$G179*BD179*Variables!$B$53*HLOOKUP($DY$2,Variables!$B$60:$F$61,2,FALSE)</f>
        <v>0</v>
      </c>
      <c r="DZ179" s="1223">
        <f>$G179*BE179*Variables!$B$53*HLOOKUP($DY$2,Variables!$B$60:$F$61,2,FALSE)</f>
        <v>0</v>
      </c>
      <c r="EA179" s="1223">
        <f>$G179*BF179*Variables!$B$53*HLOOKUP($DY$2,Variables!$B$60:$F$61,2,FALSE)</f>
        <v>0</v>
      </c>
      <c r="EB179" s="1223">
        <f>$G179*BG179*Variables!$B$53*HLOOKUP($DY$2,Variables!$B$60:$F$61,2,FALSE)</f>
        <v>0</v>
      </c>
      <c r="EC179" s="1223">
        <f>$G179*BH179*Variables!$B$53*HLOOKUP($DY$2,Variables!$B$60:$F$61,2,FALSE)</f>
        <v>0</v>
      </c>
      <c r="ED179" s="1223">
        <f>$G179*BI179*Variables!$B$53*HLOOKUP($DY$2,Variables!$B$60:$F$61,2,FALSE)</f>
        <v>0</v>
      </c>
      <c r="EE179" s="1223">
        <f>$G179*BJ179*Variables!$B$53*HLOOKUP($DY$2,Variables!$B$60:$F$61,2,FALSE)</f>
        <v>0</v>
      </c>
      <c r="EF179" s="1223">
        <f>$G179*BK179*Variables!$B$53*HLOOKUP($DY$2,Variables!$B$60:$F$61,2,FALSE)</f>
        <v>0</v>
      </c>
      <c r="EG179" s="1223">
        <f>$G179*BL179*Variables!$B$53*HLOOKUP($DY$2,Variables!$B$60:$F$61,2,FALSE)</f>
        <v>0</v>
      </c>
      <c r="EH179" s="1223">
        <f>$G179*BM179*Variables!$B$53*HLOOKUP($DY$2,Variables!$B$60:$F$61,2,FALSE)</f>
        <v>0</v>
      </c>
      <c r="EI179" s="1223">
        <f>$G179*BN179*Variables!$B$53*HLOOKUP($DY$2,Variables!$B$60:$F$61,2,FALSE)</f>
        <v>0</v>
      </c>
      <c r="EJ179" s="1225">
        <f>$G179*BO179*Variables!$B$53*HLOOKUP($DY$2,Variables!$B$60:$F$61,2,FALSE)</f>
        <v>0</v>
      </c>
      <c r="EK179" s="1222">
        <f>$G179*BP179*Variables!$B$53*HLOOKUP($EK$2,Variables!$B$60:$F$61,2,FALSE)</f>
        <v>0</v>
      </c>
      <c r="EL179" s="1223">
        <f>$G179*BQ179*Variables!$B$53*HLOOKUP($EK$2,Variables!$B$60:$F$61,2,FALSE)</f>
        <v>0</v>
      </c>
      <c r="EM179" s="1223">
        <f>$G179*BR179*Variables!$B$53*HLOOKUP($EK$2,Variables!$B$60:$F$61,2,FALSE)</f>
        <v>0</v>
      </c>
      <c r="EN179" s="1223">
        <f>$G179*BS179*Variables!$B$53*HLOOKUP($EK$2,Variables!$B$60:$F$61,2,FALSE)</f>
        <v>0</v>
      </c>
      <c r="EO179" s="1223">
        <f>$G179*BT179*Variables!$B$53*HLOOKUP($EK$2,Variables!$B$60:$F$61,2,FALSE)</f>
        <v>0</v>
      </c>
      <c r="EP179" s="1223">
        <f>$G179*BU179*Variables!$B$53*HLOOKUP($EK$2,Variables!$B$60:$F$61,2,FALSE)</f>
        <v>0</v>
      </c>
      <c r="EQ179" s="1223">
        <f>$G179*BV179*Variables!$B$53*HLOOKUP($EK$2,Variables!$B$60:$F$61,2,FALSE)</f>
        <v>0</v>
      </c>
      <c r="ER179" s="1223">
        <f>$G179*BW179*Variables!$B$53*HLOOKUP($EK$2,Variables!$B$60:$F$61,2,FALSE)</f>
        <v>0</v>
      </c>
      <c r="ES179" s="1223">
        <f>$G179*BX179*Variables!$B$53*HLOOKUP($EK$2,Variables!$B$60:$F$61,2,FALSE)</f>
        <v>0</v>
      </c>
      <c r="ET179" s="1223">
        <f>$G179*BY179*Variables!$B$53*HLOOKUP($EK$2,Variables!$B$60:$F$61,2,FALSE)</f>
        <v>0</v>
      </c>
      <c r="EU179" s="1223">
        <f>$G179*BZ179*Variables!$B$53*HLOOKUP($EK$2,Variables!$B$60:$F$61,2,FALSE)</f>
        <v>0</v>
      </c>
      <c r="EV179" s="1225">
        <f>$G179*CA179*Variables!$B$53*HLOOKUP($EK$2,Variables!$B$60:$F$61,2,FALSE)</f>
        <v>0</v>
      </c>
      <c r="EW179" s="872">
        <f t="shared" si="24"/>
        <v>0</v>
      </c>
      <c r="EX179" s="872"/>
      <c r="EY179" s="872"/>
      <c r="EZ179" s="872"/>
      <c r="FA179" s="1332"/>
      <c r="FC179" s="958" t="str">
        <f t="shared" si="25"/>
        <v/>
      </c>
      <c r="FD179" s="959" t="str">
        <f t="shared" si="26"/>
        <v/>
      </c>
      <c r="FE179" s="959" t="s">
        <v>8407</v>
      </c>
      <c r="FF179" s="959" t="str">
        <f>IF(ISNA(VLOOKUP(FC179,Miscellaneous!E:F,2,0)),"",VLOOKUP(FC179,Miscellaneous!E:F,2,0))</f>
        <v/>
      </c>
      <c r="FG179" s="959" t="str">
        <f t="shared" si="27"/>
        <v/>
      </c>
      <c r="FH179" s="996">
        <f>IF($FG179="Opex",SUMIF('Monthly Summary'!$C$75:$N$75,"",CC179:CN179),SUMIF('Monthly Summary'!$C$74:$N$74,"",CC179:CN179))</f>
        <v>0</v>
      </c>
      <c r="FI179" s="996">
        <f>IF($FG179="Opex",SUMIF('Monthly Summary'!$O$75:$Z$75,"",CO179:CZ179),SUMIF('Monthly Summary'!$O$74:$Z$74,"",CO179:CZ179))</f>
        <v>0</v>
      </c>
      <c r="FJ179" s="996">
        <f>IF($FG179="Opex",SUMIF('Monthly Summary'!$AA$75:$AL$75,"",DA179:DL179),SUMIF('Monthly Summary'!$AA$74:$AL$74,"",DA179:DL179))</f>
        <v>0</v>
      </c>
      <c r="FK179" s="996">
        <f>IF($FG179="Opex",SUMIF('Monthly Summary'!$AM$75:$AX$75,"",DM179:DX179),SUMIF('Monthly Summary'!$AM$74:$AX$74,"",DM179:DX179))</f>
        <v>0</v>
      </c>
      <c r="FL179" s="996">
        <f>IF($FG179="Opex",SUMIF('Monthly Summary'!$AY$75:$BJ$75,"",DY179:EJ179),SUMIF('Monthly Summary'!$AY$74:$BJ$74,"",DY179:EJ179))</f>
        <v>0</v>
      </c>
      <c r="FM179" s="997">
        <f>IF($FG179="Opex",SUMIF('Monthly Summary'!$BK$75:$BV$75,"",EK179:EV179),SUMIF('Monthly Summary'!$BK$74:$BV$74,"",EK179:EV179))</f>
        <v>0</v>
      </c>
      <c r="FN179" s="997">
        <f t="shared" si="28"/>
        <v>0</v>
      </c>
    </row>
    <row r="180" spans="3:170">
      <c r="C180" s="757"/>
      <c r="D180" s="757"/>
      <c r="E180" s="758"/>
      <c r="F180" s="758"/>
      <c r="G180" s="758"/>
      <c r="H180" s="1215"/>
      <c r="I180" s="761"/>
      <c r="J180" s="761"/>
      <c r="K180" s="761"/>
      <c r="L180" s="761"/>
      <c r="M180" s="761"/>
      <c r="N180" s="761"/>
      <c r="O180" s="761"/>
      <c r="P180" s="761"/>
      <c r="Q180" s="761"/>
      <c r="R180" s="761"/>
      <c r="S180" s="1216"/>
      <c r="T180" s="1215"/>
      <c r="U180" s="761"/>
      <c r="V180" s="761"/>
      <c r="W180" s="761"/>
      <c r="X180" s="761"/>
      <c r="Y180" s="761"/>
      <c r="Z180" s="761"/>
      <c r="AA180" s="761"/>
      <c r="AB180" s="761"/>
      <c r="AC180" s="761"/>
      <c r="AD180" s="761"/>
      <c r="AE180" s="1216"/>
      <c r="AF180" s="1215"/>
      <c r="AG180" s="761"/>
      <c r="AH180" s="761"/>
      <c r="AI180" s="761"/>
      <c r="AJ180" s="761"/>
      <c r="AK180" s="761"/>
      <c r="AL180" s="761"/>
      <c r="AM180" s="761"/>
      <c r="AN180" s="761"/>
      <c r="AO180" s="761"/>
      <c r="AP180" s="761"/>
      <c r="AQ180" s="1216"/>
      <c r="AR180" s="1215"/>
      <c r="AS180" s="761"/>
      <c r="AT180" s="761"/>
      <c r="AU180" s="761"/>
      <c r="AV180" s="761"/>
      <c r="AW180" s="761"/>
      <c r="AX180" s="761"/>
      <c r="AY180" s="761"/>
      <c r="AZ180" s="761"/>
      <c r="BA180" s="761"/>
      <c r="BB180" s="761"/>
      <c r="BC180" s="1216"/>
      <c r="BD180" s="1215"/>
      <c r="BE180" s="761"/>
      <c r="BF180" s="761"/>
      <c r="BG180" s="761"/>
      <c r="BH180" s="761"/>
      <c r="BI180" s="761"/>
      <c r="BJ180" s="761"/>
      <c r="BK180" s="761"/>
      <c r="BL180" s="761"/>
      <c r="BM180" s="761"/>
      <c r="BN180" s="761"/>
      <c r="BO180" s="1216"/>
      <c r="BP180" s="1215"/>
      <c r="BQ180" s="761"/>
      <c r="BR180" s="761"/>
      <c r="BS180" s="761"/>
      <c r="BT180" s="761"/>
      <c r="BU180" s="761"/>
      <c r="BV180" s="761"/>
      <c r="BW180" s="761"/>
      <c r="BX180" s="761"/>
      <c r="BY180" s="761"/>
      <c r="BZ180" s="761"/>
      <c r="CA180" s="1216"/>
      <c r="CB180" s="747"/>
      <c r="CC180" s="1222">
        <f>$G180*H180*Variables!$B$53</f>
        <v>0</v>
      </c>
      <c r="CD180" s="1223">
        <f>$G180*I180*Variables!$B$53</f>
        <v>0</v>
      </c>
      <c r="CE180" s="1223">
        <f>$G180*J180*Variables!$B$53</f>
        <v>0</v>
      </c>
      <c r="CF180" s="1223">
        <f>$G180*K180*Variables!$B$53</f>
        <v>0</v>
      </c>
      <c r="CG180" s="1223">
        <f>$G180*L180*Variables!$B$53</f>
        <v>0</v>
      </c>
      <c r="CH180" s="1223">
        <f>$G180*M180*Variables!$B$53</f>
        <v>0</v>
      </c>
      <c r="CI180" s="1223">
        <f>$G180*N180*Variables!$B$53</f>
        <v>0</v>
      </c>
      <c r="CJ180" s="1223">
        <f>$G180*O180*Variables!$B$53</f>
        <v>0</v>
      </c>
      <c r="CK180" s="1223">
        <f>$G180*P180*Variables!$B$53</f>
        <v>0</v>
      </c>
      <c r="CL180" s="1223">
        <f>$G180*Q180*Variables!$B$53</f>
        <v>0</v>
      </c>
      <c r="CM180" s="1223">
        <f>$G180*R180*Variables!$B$53</f>
        <v>0</v>
      </c>
      <c r="CN180" s="1225">
        <f>$G180*S180*Variables!$B$53</f>
        <v>0</v>
      </c>
      <c r="CO180" s="1222">
        <f>$G180*T180*Variables!$B$53*HLOOKUP($CO$2,Variables!$B$60:$F$61,2,FALSE)</f>
        <v>0</v>
      </c>
      <c r="CP180" s="1223">
        <f>$G180*U180*Variables!$B$53*HLOOKUP($CO$2,Variables!$B$60:$F$61,2,FALSE)</f>
        <v>0</v>
      </c>
      <c r="CQ180" s="1223">
        <f>$G180*V180*Variables!$B$53*HLOOKUP($CO$2,Variables!$B$60:$F$61,2,FALSE)</f>
        <v>0</v>
      </c>
      <c r="CR180" s="1223">
        <f>$G180*W180*Variables!$B$53*HLOOKUP($CO$2,Variables!$B$60:$F$61,2,FALSE)</f>
        <v>0</v>
      </c>
      <c r="CS180" s="1223">
        <f>$G180*X180*Variables!$B$53*HLOOKUP($CO$2,Variables!$B$60:$F$61,2,FALSE)</f>
        <v>0</v>
      </c>
      <c r="CT180" s="1223">
        <f>$G180*Y180*Variables!$B$53*HLOOKUP($CO$2,Variables!$B$60:$F$61,2,FALSE)</f>
        <v>0</v>
      </c>
      <c r="CU180" s="1223">
        <f>$G180*Z180*Variables!$B$53*HLOOKUP($CO$2,Variables!$B$60:$F$61,2,FALSE)</f>
        <v>0</v>
      </c>
      <c r="CV180" s="1223">
        <f>$G180*AA180*Variables!$B$53*HLOOKUP($CO$2,Variables!$B$60:$F$61,2,FALSE)</f>
        <v>0</v>
      </c>
      <c r="CW180" s="1223">
        <f>$G180*AB180*Variables!$B$53*HLOOKUP($CO$2,Variables!$B$60:$F$61,2,FALSE)</f>
        <v>0</v>
      </c>
      <c r="CX180" s="1223">
        <f>$G180*AC180*Variables!$B$53*HLOOKUP($CO$2,Variables!$B$60:$F$61,2,FALSE)</f>
        <v>0</v>
      </c>
      <c r="CY180" s="1223">
        <f>$G180*AD180*Variables!$B$53*HLOOKUP($CO$2,Variables!$B$60:$F$61,2,FALSE)</f>
        <v>0</v>
      </c>
      <c r="CZ180" s="1225">
        <f>$G180*AE180*Variables!$B$53*HLOOKUP($CO$2,Variables!$B$60:$F$61,2,FALSE)</f>
        <v>0</v>
      </c>
      <c r="DA180" s="1222">
        <f>$G180*AF180*Variables!$B$53*HLOOKUP($DA$2,Variables!$B$60:$F$61,2,FALSE)</f>
        <v>0</v>
      </c>
      <c r="DB180" s="1223">
        <f>$G180*AG180*Variables!$B$53*HLOOKUP($DA$2,Variables!$B$60:$F$61,2,FALSE)</f>
        <v>0</v>
      </c>
      <c r="DC180" s="1223">
        <f>$G180*AH180*Variables!$B$53*HLOOKUP($DA$2,Variables!$B$60:$F$61,2,FALSE)</f>
        <v>0</v>
      </c>
      <c r="DD180" s="1223">
        <f>$G180*AI180*Variables!$B$53*HLOOKUP($DA$2,Variables!$B$60:$F$61,2,FALSE)</f>
        <v>0</v>
      </c>
      <c r="DE180" s="1223">
        <f>$G180*AJ180*Variables!$B$53*HLOOKUP($DA$2,Variables!$B$60:$F$61,2,FALSE)</f>
        <v>0</v>
      </c>
      <c r="DF180" s="1223">
        <f>$G180*AK180*Variables!$B$53*HLOOKUP($DA$2,Variables!$B$60:$F$61,2,FALSE)</f>
        <v>0</v>
      </c>
      <c r="DG180" s="1223">
        <f>$G180*AL180*Variables!$B$53*HLOOKUP($DA$2,Variables!$B$60:$F$61,2,FALSE)</f>
        <v>0</v>
      </c>
      <c r="DH180" s="1223">
        <f>$G180*AM180*Variables!$B$53*HLOOKUP($DA$2,Variables!$B$60:$F$61,2,FALSE)</f>
        <v>0</v>
      </c>
      <c r="DI180" s="1223">
        <f>$G180*AN180*Variables!$B$53*HLOOKUP($DA$2,Variables!$B$60:$F$61,2,FALSE)</f>
        <v>0</v>
      </c>
      <c r="DJ180" s="1223">
        <f>$G180*AO180*Variables!$B$53*HLOOKUP($DA$2,Variables!$B$60:$F$61,2,FALSE)</f>
        <v>0</v>
      </c>
      <c r="DK180" s="1223">
        <f>$G180*AP180*Variables!$B$53*HLOOKUP($DA$2,Variables!$B$60:$F$61,2,FALSE)</f>
        <v>0</v>
      </c>
      <c r="DL180" s="1225">
        <f>$G180*AQ180*Variables!$B$53*HLOOKUP($DA$2,Variables!$B$60:$F$61,2,FALSE)</f>
        <v>0</v>
      </c>
      <c r="DM180" s="1222">
        <f>$G180*AR180*Variables!$B$53*HLOOKUP($DM$2,Variables!$B$60:$F$61,2,FALSE)</f>
        <v>0</v>
      </c>
      <c r="DN180" s="1223">
        <f>$G180*AS180*Variables!$B$53*HLOOKUP($DM$2,Variables!$B$60:$F$61,2,FALSE)</f>
        <v>0</v>
      </c>
      <c r="DO180" s="1223">
        <f>$G180*AT180*Variables!$B$53*HLOOKUP($DM$2,Variables!$B$60:$F$61,2,FALSE)</f>
        <v>0</v>
      </c>
      <c r="DP180" s="1223">
        <f>$G180*AU180*Variables!$B$53*HLOOKUP($DM$2,Variables!$B$60:$F$61,2,FALSE)</f>
        <v>0</v>
      </c>
      <c r="DQ180" s="1223">
        <f>$G180*AV180*Variables!$B$53*HLOOKUP($DM$2,Variables!$B$60:$F$61,2,FALSE)</f>
        <v>0</v>
      </c>
      <c r="DR180" s="1223">
        <f>$G180*AW180*Variables!$B$53*HLOOKUP($DM$2,Variables!$B$60:$F$61,2,FALSE)</f>
        <v>0</v>
      </c>
      <c r="DS180" s="1223">
        <f>$G180*AX180*Variables!$B$53*HLOOKUP($DM$2,Variables!$B$60:$F$61,2,FALSE)</f>
        <v>0</v>
      </c>
      <c r="DT180" s="1223">
        <f>$G180*AY180*Variables!$B$53*HLOOKUP($DM$2,Variables!$B$60:$F$61,2,FALSE)</f>
        <v>0</v>
      </c>
      <c r="DU180" s="1223">
        <f>$G180*AZ180*Variables!$B$53*HLOOKUP($DM$2,Variables!$B$60:$F$61,2,FALSE)</f>
        <v>0</v>
      </c>
      <c r="DV180" s="1223">
        <f>$G180*BA180*Variables!$B$53*HLOOKUP($DM$2,Variables!$B$60:$F$61,2,FALSE)</f>
        <v>0</v>
      </c>
      <c r="DW180" s="1223">
        <f>$G180*BB180*Variables!$B$53*HLOOKUP($DM$2,Variables!$B$60:$F$61,2,FALSE)</f>
        <v>0</v>
      </c>
      <c r="DX180" s="1225">
        <f>$G180*BC180*Variables!$B$53*HLOOKUP($DM$2,Variables!$B$60:$F$61,2,FALSE)</f>
        <v>0</v>
      </c>
      <c r="DY180" s="1222">
        <f>$G180*BD180*Variables!$B$53*HLOOKUP($DY$2,Variables!$B$60:$F$61,2,FALSE)</f>
        <v>0</v>
      </c>
      <c r="DZ180" s="1223">
        <f>$G180*BE180*Variables!$B$53*HLOOKUP($DY$2,Variables!$B$60:$F$61,2,FALSE)</f>
        <v>0</v>
      </c>
      <c r="EA180" s="1223">
        <f>$G180*BF180*Variables!$B$53*HLOOKUP($DY$2,Variables!$B$60:$F$61,2,FALSE)</f>
        <v>0</v>
      </c>
      <c r="EB180" s="1223">
        <f>$G180*BG180*Variables!$B$53*HLOOKUP($DY$2,Variables!$B$60:$F$61,2,FALSE)</f>
        <v>0</v>
      </c>
      <c r="EC180" s="1223">
        <f>$G180*BH180*Variables!$B$53*HLOOKUP($DY$2,Variables!$B$60:$F$61,2,FALSE)</f>
        <v>0</v>
      </c>
      <c r="ED180" s="1223">
        <f>$G180*BI180*Variables!$B$53*HLOOKUP($DY$2,Variables!$B$60:$F$61,2,FALSE)</f>
        <v>0</v>
      </c>
      <c r="EE180" s="1223">
        <f>$G180*BJ180*Variables!$B$53*HLOOKUP($DY$2,Variables!$B$60:$F$61,2,FALSE)</f>
        <v>0</v>
      </c>
      <c r="EF180" s="1223">
        <f>$G180*BK180*Variables!$B$53*HLOOKUP($DY$2,Variables!$B$60:$F$61,2,FALSE)</f>
        <v>0</v>
      </c>
      <c r="EG180" s="1223">
        <f>$G180*BL180*Variables!$B$53*HLOOKUP($DY$2,Variables!$B$60:$F$61,2,FALSE)</f>
        <v>0</v>
      </c>
      <c r="EH180" s="1223">
        <f>$G180*BM180*Variables!$B$53*HLOOKUP($DY$2,Variables!$B$60:$F$61,2,FALSE)</f>
        <v>0</v>
      </c>
      <c r="EI180" s="1223">
        <f>$G180*BN180*Variables!$B$53*HLOOKUP($DY$2,Variables!$B$60:$F$61,2,FALSE)</f>
        <v>0</v>
      </c>
      <c r="EJ180" s="1225">
        <f>$G180*BO180*Variables!$B$53*HLOOKUP($DY$2,Variables!$B$60:$F$61,2,FALSE)</f>
        <v>0</v>
      </c>
      <c r="EK180" s="1222">
        <f>$G180*BP180*Variables!$B$53*HLOOKUP($EK$2,Variables!$B$60:$F$61,2,FALSE)</f>
        <v>0</v>
      </c>
      <c r="EL180" s="1223">
        <f>$G180*BQ180*Variables!$B$53*HLOOKUP($EK$2,Variables!$B$60:$F$61,2,FALSE)</f>
        <v>0</v>
      </c>
      <c r="EM180" s="1223">
        <f>$G180*BR180*Variables!$B$53*HLOOKUP($EK$2,Variables!$B$60:$F$61,2,FALSE)</f>
        <v>0</v>
      </c>
      <c r="EN180" s="1223">
        <f>$G180*BS180*Variables!$B$53*HLOOKUP($EK$2,Variables!$B$60:$F$61,2,FALSE)</f>
        <v>0</v>
      </c>
      <c r="EO180" s="1223">
        <f>$G180*BT180*Variables!$B$53*HLOOKUP($EK$2,Variables!$B$60:$F$61,2,FALSE)</f>
        <v>0</v>
      </c>
      <c r="EP180" s="1223">
        <f>$G180*BU180*Variables!$B$53*HLOOKUP($EK$2,Variables!$B$60:$F$61,2,FALSE)</f>
        <v>0</v>
      </c>
      <c r="EQ180" s="1223">
        <f>$G180*BV180*Variables!$B$53*HLOOKUP($EK$2,Variables!$B$60:$F$61,2,FALSE)</f>
        <v>0</v>
      </c>
      <c r="ER180" s="1223">
        <f>$G180*BW180*Variables!$B$53*HLOOKUP($EK$2,Variables!$B$60:$F$61,2,FALSE)</f>
        <v>0</v>
      </c>
      <c r="ES180" s="1223">
        <f>$G180*BX180*Variables!$B$53*HLOOKUP($EK$2,Variables!$B$60:$F$61,2,FALSE)</f>
        <v>0</v>
      </c>
      <c r="ET180" s="1223">
        <f>$G180*BY180*Variables!$B$53*HLOOKUP($EK$2,Variables!$B$60:$F$61,2,FALSE)</f>
        <v>0</v>
      </c>
      <c r="EU180" s="1223">
        <f>$G180*BZ180*Variables!$B$53*HLOOKUP($EK$2,Variables!$B$60:$F$61,2,FALSE)</f>
        <v>0</v>
      </c>
      <c r="EV180" s="1225">
        <f>$G180*CA180*Variables!$B$53*HLOOKUP($EK$2,Variables!$B$60:$F$61,2,FALSE)</f>
        <v>0</v>
      </c>
      <c r="EW180" s="872">
        <f t="shared" si="24"/>
        <v>0</v>
      </c>
      <c r="EX180" s="872"/>
      <c r="EY180" s="872"/>
      <c r="EZ180" s="872"/>
      <c r="FA180" s="1332"/>
      <c r="FC180" s="958" t="str">
        <f t="shared" si="25"/>
        <v/>
      </c>
      <c r="FD180" s="959" t="str">
        <f t="shared" si="26"/>
        <v/>
      </c>
      <c r="FE180" s="959" t="s">
        <v>8407</v>
      </c>
      <c r="FF180" s="959" t="str">
        <f>IF(ISNA(VLOOKUP(FC180,Miscellaneous!E:F,2,0)),"",VLOOKUP(FC180,Miscellaneous!E:F,2,0))</f>
        <v/>
      </c>
      <c r="FG180" s="959" t="str">
        <f t="shared" si="27"/>
        <v/>
      </c>
      <c r="FH180" s="996">
        <f>IF($FG180="Opex",SUMIF('Monthly Summary'!$C$75:$N$75,"",CC180:CN180),SUMIF('Monthly Summary'!$C$74:$N$74,"",CC180:CN180))</f>
        <v>0</v>
      </c>
      <c r="FI180" s="996">
        <f>IF($FG180="Opex",SUMIF('Monthly Summary'!$O$75:$Z$75,"",CO180:CZ180),SUMIF('Monthly Summary'!$O$74:$Z$74,"",CO180:CZ180))</f>
        <v>0</v>
      </c>
      <c r="FJ180" s="996">
        <f>IF($FG180="Opex",SUMIF('Monthly Summary'!$AA$75:$AL$75,"",DA180:DL180),SUMIF('Monthly Summary'!$AA$74:$AL$74,"",DA180:DL180))</f>
        <v>0</v>
      </c>
      <c r="FK180" s="996">
        <f>IF($FG180="Opex",SUMIF('Monthly Summary'!$AM$75:$AX$75,"",DM180:DX180),SUMIF('Monthly Summary'!$AM$74:$AX$74,"",DM180:DX180))</f>
        <v>0</v>
      </c>
      <c r="FL180" s="996">
        <f>IF($FG180="Opex",SUMIF('Monthly Summary'!$AY$75:$BJ$75,"",DY180:EJ180),SUMIF('Monthly Summary'!$AY$74:$BJ$74,"",DY180:EJ180))</f>
        <v>0</v>
      </c>
      <c r="FM180" s="997">
        <f>IF($FG180="Opex",SUMIF('Monthly Summary'!$BK$75:$BV$75,"",EK180:EV180),SUMIF('Monthly Summary'!$BK$74:$BV$74,"",EK180:EV180))</f>
        <v>0</v>
      </c>
      <c r="FN180" s="997">
        <f t="shared" si="28"/>
        <v>0</v>
      </c>
    </row>
    <row r="181" spans="3:170">
      <c r="C181" s="757"/>
      <c r="D181" s="757"/>
      <c r="E181" s="758"/>
      <c r="F181" s="758"/>
      <c r="G181" s="758"/>
      <c r="H181" s="1215"/>
      <c r="I181" s="761"/>
      <c r="J181" s="761"/>
      <c r="K181" s="761"/>
      <c r="L181" s="761"/>
      <c r="M181" s="761"/>
      <c r="N181" s="761"/>
      <c r="O181" s="761"/>
      <c r="P181" s="761"/>
      <c r="Q181" s="761"/>
      <c r="R181" s="761"/>
      <c r="S181" s="1216"/>
      <c r="T181" s="1215"/>
      <c r="U181" s="761"/>
      <c r="V181" s="761"/>
      <c r="W181" s="761"/>
      <c r="X181" s="761"/>
      <c r="Y181" s="761"/>
      <c r="Z181" s="761"/>
      <c r="AA181" s="761"/>
      <c r="AB181" s="761"/>
      <c r="AC181" s="761"/>
      <c r="AD181" s="761"/>
      <c r="AE181" s="1216"/>
      <c r="AF181" s="1215"/>
      <c r="AG181" s="761"/>
      <c r="AH181" s="761"/>
      <c r="AI181" s="761"/>
      <c r="AJ181" s="761"/>
      <c r="AK181" s="761"/>
      <c r="AL181" s="761"/>
      <c r="AM181" s="761"/>
      <c r="AN181" s="761"/>
      <c r="AO181" s="761"/>
      <c r="AP181" s="761"/>
      <c r="AQ181" s="1216"/>
      <c r="AR181" s="1215"/>
      <c r="AS181" s="761"/>
      <c r="AT181" s="761"/>
      <c r="AU181" s="761"/>
      <c r="AV181" s="761"/>
      <c r="AW181" s="761"/>
      <c r="AX181" s="761"/>
      <c r="AY181" s="761"/>
      <c r="AZ181" s="761"/>
      <c r="BA181" s="761"/>
      <c r="BB181" s="761"/>
      <c r="BC181" s="1216"/>
      <c r="BD181" s="1215"/>
      <c r="BE181" s="761"/>
      <c r="BF181" s="761"/>
      <c r="BG181" s="761"/>
      <c r="BH181" s="761"/>
      <c r="BI181" s="761"/>
      <c r="BJ181" s="761"/>
      <c r="BK181" s="761"/>
      <c r="BL181" s="761"/>
      <c r="BM181" s="761"/>
      <c r="BN181" s="761"/>
      <c r="BO181" s="1216"/>
      <c r="BP181" s="1215"/>
      <c r="BQ181" s="761"/>
      <c r="BR181" s="761"/>
      <c r="BS181" s="761"/>
      <c r="BT181" s="761"/>
      <c r="BU181" s="761"/>
      <c r="BV181" s="761"/>
      <c r="BW181" s="761"/>
      <c r="BX181" s="761"/>
      <c r="BY181" s="761"/>
      <c r="BZ181" s="761"/>
      <c r="CA181" s="1216"/>
      <c r="CB181" s="747"/>
      <c r="CC181" s="1222">
        <f>$G181*H181*Variables!$B$53</f>
        <v>0</v>
      </c>
      <c r="CD181" s="1223">
        <f>$G181*I181*Variables!$B$53</f>
        <v>0</v>
      </c>
      <c r="CE181" s="1223">
        <f>$G181*J181*Variables!$B$53</f>
        <v>0</v>
      </c>
      <c r="CF181" s="1223">
        <f>$G181*K181*Variables!$B$53</f>
        <v>0</v>
      </c>
      <c r="CG181" s="1223">
        <f>$G181*L181*Variables!$B$53</f>
        <v>0</v>
      </c>
      <c r="CH181" s="1223">
        <f>$G181*M181*Variables!$B$53</f>
        <v>0</v>
      </c>
      <c r="CI181" s="1223">
        <f>$G181*N181*Variables!$B$53</f>
        <v>0</v>
      </c>
      <c r="CJ181" s="1223">
        <f>$G181*O181*Variables!$B$53</f>
        <v>0</v>
      </c>
      <c r="CK181" s="1223">
        <f>$G181*P181*Variables!$B$53</f>
        <v>0</v>
      </c>
      <c r="CL181" s="1223">
        <f>$G181*Q181*Variables!$B$53</f>
        <v>0</v>
      </c>
      <c r="CM181" s="1223">
        <f>$G181*R181*Variables!$B$53</f>
        <v>0</v>
      </c>
      <c r="CN181" s="1225">
        <f>$G181*S181*Variables!$B$53</f>
        <v>0</v>
      </c>
      <c r="CO181" s="1222">
        <f>$G181*T181*Variables!$B$53*HLOOKUP($CO$2,Variables!$B$60:$F$61,2,FALSE)</f>
        <v>0</v>
      </c>
      <c r="CP181" s="1223">
        <f>$G181*U181*Variables!$B$53*HLOOKUP($CO$2,Variables!$B$60:$F$61,2,FALSE)</f>
        <v>0</v>
      </c>
      <c r="CQ181" s="1223">
        <f>$G181*V181*Variables!$B$53*HLOOKUP($CO$2,Variables!$B$60:$F$61,2,FALSE)</f>
        <v>0</v>
      </c>
      <c r="CR181" s="1223">
        <f>$G181*W181*Variables!$B$53*HLOOKUP($CO$2,Variables!$B$60:$F$61,2,FALSE)</f>
        <v>0</v>
      </c>
      <c r="CS181" s="1223">
        <f>$G181*X181*Variables!$B$53*HLOOKUP($CO$2,Variables!$B$60:$F$61,2,FALSE)</f>
        <v>0</v>
      </c>
      <c r="CT181" s="1223">
        <f>$G181*Y181*Variables!$B$53*HLOOKUP($CO$2,Variables!$B$60:$F$61,2,FALSE)</f>
        <v>0</v>
      </c>
      <c r="CU181" s="1223">
        <f>$G181*Z181*Variables!$B$53*HLOOKUP($CO$2,Variables!$B$60:$F$61,2,FALSE)</f>
        <v>0</v>
      </c>
      <c r="CV181" s="1223">
        <f>$G181*AA181*Variables!$B$53*HLOOKUP($CO$2,Variables!$B$60:$F$61,2,FALSE)</f>
        <v>0</v>
      </c>
      <c r="CW181" s="1223">
        <f>$G181*AB181*Variables!$B$53*HLOOKUP($CO$2,Variables!$B$60:$F$61,2,FALSE)</f>
        <v>0</v>
      </c>
      <c r="CX181" s="1223">
        <f>$G181*AC181*Variables!$B$53*HLOOKUP($CO$2,Variables!$B$60:$F$61,2,FALSE)</f>
        <v>0</v>
      </c>
      <c r="CY181" s="1223">
        <f>$G181*AD181*Variables!$B$53*HLOOKUP($CO$2,Variables!$B$60:$F$61,2,FALSE)</f>
        <v>0</v>
      </c>
      <c r="CZ181" s="1225">
        <f>$G181*AE181*Variables!$B$53*HLOOKUP($CO$2,Variables!$B$60:$F$61,2,FALSE)</f>
        <v>0</v>
      </c>
      <c r="DA181" s="1222">
        <f>$G181*AF181*Variables!$B$53*HLOOKUP($DA$2,Variables!$B$60:$F$61,2,FALSE)</f>
        <v>0</v>
      </c>
      <c r="DB181" s="1223">
        <f>$G181*AG181*Variables!$B$53*HLOOKUP($DA$2,Variables!$B$60:$F$61,2,FALSE)</f>
        <v>0</v>
      </c>
      <c r="DC181" s="1223">
        <f>$G181*AH181*Variables!$B$53*HLOOKUP($DA$2,Variables!$B$60:$F$61,2,FALSE)</f>
        <v>0</v>
      </c>
      <c r="DD181" s="1223">
        <f>$G181*AI181*Variables!$B$53*HLOOKUP($DA$2,Variables!$B$60:$F$61,2,FALSE)</f>
        <v>0</v>
      </c>
      <c r="DE181" s="1223">
        <f>$G181*AJ181*Variables!$B$53*HLOOKUP($DA$2,Variables!$B$60:$F$61,2,FALSE)</f>
        <v>0</v>
      </c>
      <c r="DF181" s="1223">
        <f>$G181*AK181*Variables!$B$53*HLOOKUP($DA$2,Variables!$B$60:$F$61,2,FALSE)</f>
        <v>0</v>
      </c>
      <c r="DG181" s="1223">
        <f>$G181*AL181*Variables!$B$53*HLOOKUP($DA$2,Variables!$B$60:$F$61,2,FALSE)</f>
        <v>0</v>
      </c>
      <c r="DH181" s="1223">
        <f>$G181*AM181*Variables!$B$53*HLOOKUP($DA$2,Variables!$B$60:$F$61,2,FALSE)</f>
        <v>0</v>
      </c>
      <c r="DI181" s="1223">
        <f>$G181*AN181*Variables!$B$53*HLOOKUP($DA$2,Variables!$B$60:$F$61,2,FALSE)</f>
        <v>0</v>
      </c>
      <c r="DJ181" s="1223">
        <f>$G181*AO181*Variables!$B$53*HLOOKUP($DA$2,Variables!$B$60:$F$61,2,FALSE)</f>
        <v>0</v>
      </c>
      <c r="DK181" s="1223">
        <f>$G181*AP181*Variables!$B$53*HLOOKUP($DA$2,Variables!$B$60:$F$61,2,FALSE)</f>
        <v>0</v>
      </c>
      <c r="DL181" s="1225">
        <f>$G181*AQ181*Variables!$B$53*HLOOKUP($DA$2,Variables!$B$60:$F$61,2,FALSE)</f>
        <v>0</v>
      </c>
      <c r="DM181" s="1222">
        <f>$G181*AR181*Variables!$B$53*HLOOKUP($DM$2,Variables!$B$60:$F$61,2,FALSE)</f>
        <v>0</v>
      </c>
      <c r="DN181" s="1223">
        <f>$G181*AS181*Variables!$B$53*HLOOKUP($DM$2,Variables!$B$60:$F$61,2,FALSE)</f>
        <v>0</v>
      </c>
      <c r="DO181" s="1223">
        <f>$G181*AT181*Variables!$B$53*HLOOKUP($DM$2,Variables!$B$60:$F$61,2,FALSE)</f>
        <v>0</v>
      </c>
      <c r="DP181" s="1223">
        <f>$G181*AU181*Variables!$B$53*HLOOKUP($DM$2,Variables!$B$60:$F$61,2,FALSE)</f>
        <v>0</v>
      </c>
      <c r="DQ181" s="1223">
        <f>$G181*AV181*Variables!$B$53*HLOOKUP($DM$2,Variables!$B$60:$F$61,2,FALSE)</f>
        <v>0</v>
      </c>
      <c r="DR181" s="1223">
        <f>$G181*AW181*Variables!$B$53*HLOOKUP($DM$2,Variables!$B$60:$F$61,2,FALSE)</f>
        <v>0</v>
      </c>
      <c r="DS181" s="1223">
        <f>$G181*AX181*Variables!$B$53*HLOOKUP($DM$2,Variables!$B$60:$F$61,2,FALSE)</f>
        <v>0</v>
      </c>
      <c r="DT181" s="1223">
        <f>$G181*AY181*Variables!$B$53*HLOOKUP($DM$2,Variables!$B$60:$F$61,2,FALSE)</f>
        <v>0</v>
      </c>
      <c r="DU181" s="1223">
        <f>$G181*AZ181*Variables!$B$53*HLOOKUP($DM$2,Variables!$B$60:$F$61,2,FALSE)</f>
        <v>0</v>
      </c>
      <c r="DV181" s="1223">
        <f>$G181*BA181*Variables!$B$53*HLOOKUP($DM$2,Variables!$B$60:$F$61,2,FALSE)</f>
        <v>0</v>
      </c>
      <c r="DW181" s="1223">
        <f>$G181*BB181*Variables!$B$53*HLOOKUP($DM$2,Variables!$B$60:$F$61,2,FALSE)</f>
        <v>0</v>
      </c>
      <c r="DX181" s="1225">
        <f>$G181*BC181*Variables!$B$53*HLOOKUP($DM$2,Variables!$B$60:$F$61,2,FALSE)</f>
        <v>0</v>
      </c>
      <c r="DY181" s="1222">
        <f>$G181*BD181*Variables!$B$53*HLOOKUP($DY$2,Variables!$B$60:$F$61,2,FALSE)</f>
        <v>0</v>
      </c>
      <c r="DZ181" s="1223">
        <f>$G181*BE181*Variables!$B$53*HLOOKUP($DY$2,Variables!$B$60:$F$61,2,FALSE)</f>
        <v>0</v>
      </c>
      <c r="EA181" s="1223">
        <f>$G181*BF181*Variables!$B$53*HLOOKUP($DY$2,Variables!$B$60:$F$61,2,FALSE)</f>
        <v>0</v>
      </c>
      <c r="EB181" s="1223">
        <f>$G181*BG181*Variables!$B$53*HLOOKUP($DY$2,Variables!$B$60:$F$61,2,FALSE)</f>
        <v>0</v>
      </c>
      <c r="EC181" s="1223">
        <f>$G181*BH181*Variables!$B$53*HLOOKUP($DY$2,Variables!$B$60:$F$61,2,FALSE)</f>
        <v>0</v>
      </c>
      <c r="ED181" s="1223">
        <f>$G181*BI181*Variables!$B$53*HLOOKUP($DY$2,Variables!$B$60:$F$61,2,FALSE)</f>
        <v>0</v>
      </c>
      <c r="EE181" s="1223">
        <f>$G181*BJ181*Variables!$B$53*HLOOKUP($DY$2,Variables!$B$60:$F$61,2,FALSE)</f>
        <v>0</v>
      </c>
      <c r="EF181" s="1223">
        <f>$G181*BK181*Variables!$B$53*HLOOKUP($DY$2,Variables!$B$60:$F$61,2,FALSE)</f>
        <v>0</v>
      </c>
      <c r="EG181" s="1223">
        <f>$G181*BL181*Variables!$B$53*HLOOKUP($DY$2,Variables!$B$60:$F$61,2,FALSE)</f>
        <v>0</v>
      </c>
      <c r="EH181" s="1223">
        <f>$G181*BM181*Variables!$B$53*HLOOKUP($DY$2,Variables!$B$60:$F$61,2,FALSE)</f>
        <v>0</v>
      </c>
      <c r="EI181" s="1223">
        <f>$G181*BN181*Variables!$B$53*HLOOKUP($DY$2,Variables!$B$60:$F$61,2,FALSE)</f>
        <v>0</v>
      </c>
      <c r="EJ181" s="1225">
        <f>$G181*BO181*Variables!$B$53*HLOOKUP($DY$2,Variables!$B$60:$F$61,2,FALSE)</f>
        <v>0</v>
      </c>
      <c r="EK181" s="1222">
        <f>$G181*BP181*Variables!$B$53*HLOOKUP($EK$2,Variables!$B$60:$F$61,2,FALSE)</f>
        <v>0</v>
      </c>
      <c r="EL181" s="1223">
        <f>$G181*BQ181*Variables!$B$53*HLOOKUP($EK$2,Variables!$B$60:$F$61,2,FALSE)</f>
        <v>0</v>
      </c>
      <c r="EM181" s="1223">
        <f>$G181*BR181*Variables!$B$53*HLOOKUP($EK$2,Variables!$B$60:$F$61,2,FALSE)</f>
        <v>0</v>
      </c>
      <c r="EN181" s="1223">
        <f>$G181*BS181*Variables!$B$53*HLOOKUP($EK$2,Variables!$B$60:$F$61,2,FALSE)</f>
        <v>0</v>
      </c>
      <c r="EO181" s="1223">
        <f>$G181*BT181*Variables!$B$53*HLOOKUP($EK$2,Variables!$B$60:$F$61,2,FALSE)</f>
        <v>0</v>
      </c>
      <c r="EP181" s="1223">
        <f>$G181*BU181*Variables!$B$53*HLOOKUP($EK$2,Variables!$B$60:$F$61,2,FALSE)</f>
        <v>0</v>
      </c>
      <c r="EQ181" s="1223">
        <f>$G181*BV181*Variables!$B$53*HLOOKUP($EK$2,Variables!$B$60:$F$61,2,FALSE)</f>
        <v>0</v>
      </c>
      <c r="ER181" s="1223">
        <f>$G181*BW181*Variables!$B$53*HLOOKUP($EK$2,Variables!$B$60:$F$61,2,FALSE)</f>
        <v>0</v>
      </c>
      <c r="ES181" s="1223">
        <f>$G181*BX181*Variables!$B$53*HLOOKUP($EK$2,Variables!$B$60:$F$61,2,FALSE)</f>
        <v>0</v>
      </c>
      <c r="ET181" s="1223">
        <f>$G181*BY181*Variables!$B$53*HLOOKUP($EK$2,Variables!$B$60:$F$61,2,FALSE)</f>
        <v>0</v>
      </c>
      <c r="EU181" s="1223">
        <f>$G181*BZ181*Variables!$B$53*HLOOKUP($EK$2,Variables!$B$60:$F$61,2,FALSE)</f>
        <v>0</v>
      </c>
      <c r="EV181" s="1225">
        <f>$G181*CA181*Variables!$B$53*HLOOKUP($EK$2,Variables!$B$60:$F$61,2,FALSE)</f>
        <v>0</v>
      </c>
      <c r="EW181" s="872">
        <f t="shared" si="24"/>
        <v>0</v>
      </c>
      <c r="EX181" s="872"/>
      <c r="EY181" s="872"/>
      <c r="EZ181" s="872"/>
      <c r="FA181" s="1332"/>
      <c r="FC181" s="958" t="str">
        <f t="shared" si="25"/>
        <v/>
      </c>
      <c r="FD181" s="959" t="str">
        <f t="shared" si="26"/>
        <v/>
      </c>
      <c r="FE181" s="959" t="s">
        <v>8407</v>
      </c>
      <c r="FF181" s="959" t="str">
        <f>IF(ISNA(VLOOKUP(FC181,Miscellaneous!E:F,2,0)),"",VLOOKUP(FC181,Miscellaneous!E:F,2,0))</f>
        <v/>
      </c>
      <c r="FG181" s="959" t="str">
        <f t="shared" si="27"/>
        <v/>
      </c>
      <c r="FH181" s="996">
        <f>IF($FG181="Opex",SUMIF('Monthly Summary'!$C$75:$N$75,"",CC181:CN181),SUMIF('Monthly Summary'!$C$74:$N$74,"",CC181:CN181))</f>
        <v>0</v>
      </c>
      <c r="FI181" s="996">
        <f>IF($FG181="Opex",SUMIF('Monthly Summary'!$O$75:$Z$75,"",CO181:CZ181),SUMIF('Monthly Summary'!$O$74:$Z$74,"",CO181:CZ181))</f>
        <v>0</v>
      </c>
      <c r="FJ181" s="996">
        <f>IF($FG181="Opex",SUMIF('Monthly Summary'!$AA$75:$AL$75,"",DA181:DL181),SUMIF('Monthly Summary'!$AA$74:$AL$74,"",DA181:DL181))</f>
        <v>0</v>
      </c>
      <c r="FK181" s="996">
        <f>IF($FG181="Opex",SUMIF('Monthly Summary'!$AM$75:$AX$75,"",DM181:DX181),SUMIF('Monthly Summary'!$AM$74:$AX$74,"",DM181:DX181))</f>
        <v>0</v>
      </c>
      <c r="FL181" s="996">
        <f>IF($FG181="Opex",SUMIF('Monthly Summary'!$AY$75:$BJ$75,"",DY181:EJ181),SUMIF('Monthly Summary'!$AY$74:$BJ$74,"",DY181:EJ181))</f>
        <v>0</v>
      </c>
      <c r="FM181" s="997">
        <f>IF($FG181="Opex",SUMIF('Monthly Summary'!$BK$75:$BV$75,"",EK181:EV181),SUMIF('Monthly Summary'!$BK$74:$BV$74,"",EK181:EV181))</f>
        <v>0</v>
      </c>
      <c r="FN181" s="997">
        <f t="shared" si="28"/>
        <v>0</v>
      </c>
    </row>
    <row r="182" spans="3:170">
      <c r="C182" s="757"/>
      <c r="D182" s="757"/>
      <c r="E182" s="758"/>
      <c r="F182" s="758"/>
      <c r="G182" s="758"/>
      <c r="H182" s="1215"/>
      <c r="I182" s="761"/>
      <c r="J182" s="761"/>
      <c r="K182" s="761"/>
      <c r="L182" s="761"/>
      <c r="M182" s="761"/>
      <c r="N182" s="761"/>
      <c r="O182" s="761"/>
      <c r="P182" s="761"/>
      <c r="Q182" s="761"/>
      <c r="R182" s="761"/>
      <c r="S182" s="1216"/>
      <c r="T182" s="1215"/>
      <c r="U182" s="761"/>
      <c r="V182" s="761"/>
      <c r="W182" s="761"/>
      <c r="X182" s="761"/>
      <c r="Y182" s="761"/>
      <c r="Z182" s="761"/>
      <c r="AA182" s="761"/>
      <c r="AB182" s="761"/>
      <c r="AC182" s="761"/>
      <c r="AD182" s="761"/>
      <c r="AE182" s="1216"/>
      <c r="AF182" s="1215"/>
      <c r="AG182" s="761"/>
      <c r="AH182" s="761"/>
      <c r="AI182" s="761"/>
      <c r="AJ182" s="761"/>
      <c r="AK182" s="761"/>
      <c r="AL182" s="761"/>
      <c r="AM182" s="761"/>
      <c r="AN182" s="761"/>
      <c r="AO182" s="761"/>
      <c r="AP182" s="761"/>
      <c r="AQ182" s="1216"/>
      <c r="AR182" s="1215"/>
      <c r="AS182" s="761"/>
      <c r="AT182" s="761"/>
      <c r="AU182" s="761"/>
      <c r="AV182" s="761"/>
      <c r="AW182" s="761"/>
      <c r="AX182" s="761"/>
      <c r="AY182" s="761"/>
      <c r="AZ182" s="761"/>
      <c r="BA182" s="761"/>
      <c r="BB182" s="761"/>
      <c r="BC182" s="1216"/>
      <c r="BD182" s="1215"/>
      <c r="BE182" s="761"/>
      <c r="BF182" s="761"/>
      <c r="BG182" s="761"/>
      <c r="BH182" s="761"/>
      <c r="BI182" s="761"/>
      <c r="BJ182" s="761"/>
      <c r="BK182" s="761"/>
      <c r="BL182" s="761"/>
      <c r="BM182" s="761"/>
      <c r="BN182" s="761"/>
      <c r="BO182" s="1216"/>
      <c r="BP182" s="1215"/>
      <c r="BQ182" s="761"/>
      <c r="BR182" s="761"/>
      <c r="BS182" s="761"/>
      <c r="BT182" s="761"/>
      <c r="BU182" s="761"/>
      <c r="BV182" s="761"/>
      <c r="BW182" s="761"/>
      <c r="BX182" s="761"/>
      <c r="BY182" s="761"/>
      <c r="BZ182" s="761"/>
      <c r="CA182" s="1216"/>
      <c r="CB182" s="747"/>
      <c r="CC182" s="1222">
        <f>$G182*H182*Variables!$B$53</f>
        <v>0</v>
      </c>
      <c r="CD182" s="1223">
        <f>$G182*I182*Variables!$B$53</f>
        <v>0</v>
      </c>
      <c r="CE182" s="1223">
        <f>$G182*J182*Variables!$B$53</f>
        <v>0</v>
      </c>
      <c r="CF182" s="1223">
        <f>$G182*K182*Variables!$B$53</f>
        <v>0</v>
      </c>
      <c r="CG182" s="1223">
        <f>$G182*L182*Variables!$B$53</f>
        <v>0</v>
      </c>
      <c r="CH182" s="1223">
        <f>$G182*M182*Variables!$B$53</f>
        <v>0</v>
      </c>
      <c r="CI182" s="1223">
        <f>$G182*N182*Variables!$B$53</f>
        <v>0</v>
      </c>
      <c r="CJ182" s="1223">
        <f>$G182*O182*Variables!$B$53</f>
        <v>0</v>
      </c>
      <c r="CK182" s="1223">
        <f>$G182*P182*Variables!$B$53</f>
        <v>0</v>
      </c>
      <c r="CL182" s="1223">
        <f>$G182*Q182*Variables!$B$53</f>
        <v>0</v>
      </c>
      <c r="CM182" s="1223">
        <f>$G182*R182*Variables!$B$53</f>
        <v>0</v>
      </c>
      <c r="CN182" s="1225">
        <f>$G182*S182*Variables!$B$53</f>
        <v>0</v>
      </c>
      <c r="CO182" s="1222">
        <f>$G182*T182*Variables!$B$53*HLOOKUP($CO$2,Variables!$B$60:$F$61,2,FALSE)</f>
        <v>0</v>
      </c>
      <c r="CP182" s="1223">
        <f>$G182*U182*Variables!$B$53*HLOOKUP($CO$2,Variables!$B$60:$F$61,2,FALSE)</f>
        <v>0</v>
      </c>
      <c r="CQ182" s="1223">
        <f>$G182*V182*Variables!$B$53*HLOOKUP($CO$2,Variables!$B$60:$F$61,2,FALSE)</f>
        <v>0</v>
      </c>
      <c r="CR182" s="1223">
        <f>$G182*W182*Variables!$B$53*HLOOKUP($CO$2,Variables!$B$60:$F$61,2,FALSE)</f>
        <v>0</v>
      </c>
      <c r="CS182" s="1223">
        <f>$G182*X182*Variables!$B$53*HLOOKUP($CO$2,Variables!$B$60:$F$61,2,FALSE)</f>
        <v>0</v>
      </c>
      <c r="CT182" s="1223">
        <f>$G182*Y182*Variables!$B$53*HLOOKUP($CO$2,Variables!$B$60:$F$61,2,FALSE)</f>
        <v>0</v>
      </c>
      <c r="CU182" s="1223">
        <f>$G182*Z182*Variables!$B$53*HLOOKUP($CO$2,Variables!$B$60:$F$61,2,FALSE)</f>
        <v>0</v>
      </c>
      <c r="CV182" s="1223">
        <f>$G182*AA182*Variables!$B$53*HLOOKUP($CO$2,Variables!$B$60:$F$61,2,FALSE)</f>
        <v>0</v>
      </c>
      <c r="CW182" s="1223">
        <f>$G182*AB182*Variables!$B$53*HLOOKUP($CO$2,Variables!$B$60:$F$61,2,FALSE)</f>
        <v>0</v>
      </c>
      <c r="CX182" s="1223">
        <f>$G182*AC182*Variables!$B$53*HLOOKUP($CO$2,Variables!$B$60:$F$61,2,FALSE)</f>
        <v>0</v>
      </c>
      <c r="CY182" s="1223">
        <f>$G182*AD182*Variables!$B$53*HLOOKUP($CO$2,Variables!$B$60:$F$61,2,FALSE)</f>
        <v>0</v>
      </c>
      <c r="CZ182" s="1225">
        <f>$G182*AE182*Variables!$B$53*HLOOKUP($CO$2,Variables!$B$60:$F$61,2,FALSE)</f>
        <v>0</v>
      </c>
      <c r="DA182" s="1222">
        <f>$G182*AF182*Variables!$B$53*HLOOKUP($DA$2,Variables!$B$60:$F$61,2,FALSE)</f>
        <v>0</v>
      </c>
      <c r="DB182" s="1223">
        <f>$G182*AG182*Variables!$B$53*HLOOKUP($DA$2,Variables!$B$60:$F$61,2,FALSE)</f>
        <v>0</v>
      </c>
      <c r="DC182" s="1223">
        <f>$G182*AH182*Variables!$B$53*HLOOKUP($DA$2,Variables!$B$60:$F$61,2,FALSE)</f>
        <v>0</v>
      </c>
      <c r="DD182" s="1223">
        <f>$G182*AI182*Variables!$B$53*HLOOKUP($DA$2,Variables!$B$60:$F$61,2,FALSE)</f>
        <v>0</v>
      </c>
      <c r="DE182" s="1223">
        <f>$G182*AJ182*Variables!$B$53*HLOOKUP($DA$2,Variables!$B$60:$F$61,2,FALSE)</f>
        <v>0</v>
      </c>
      <c r="DF182" s="1223">
        <f>$G182*AK182*Variables!$B$53*HLOOKUP($DA$2,Variables!$B$60:$F$61,2,FALSE)</f>
        <v>0</v>
      </c>
      <c r="DG182" s="1223">
        <f>$G182*AL182*Variables!$B$53*HLOOKUP($DA$2,Variables!$B$60:$F$61,2,FALSE)</f>
        <v>0</v>
      </c>
      <c r="DH182" s="1223">
        <f>$G182*AM182*Variables!$B$53*HLOOKUP($DA$2,Variables!$B$60:$F$61,2,FALSE)</f>
        <v>0</v>
      </c>
      <c r="DI182" s="1223">
        <f>$G182*AN182*Variables!$B$53*HLOOKUP($DA$2,Variables!$B$60:$F$61,2,FALSE)</f>
        <v>0</v>
      </c>
      <c r="DJ182" s="1223">
        <f>$G182*AO182*Variables!$B$53*HLOOKUP($DA$2,Variables!$B$60:$F$61,2,FALSE)</f>
        <v>0</v>
      </c>
      <c r="DK182" s="1223">
        <f>$G182*AP182*Variables!$B$53*HLOOKUP($DA$2,Variables!$B$60:$F$61,2,FALSE)</f>
        <v>0</v>
      </c>
      <c r="DL182" s="1225">
        <f>$G182*AQ182*Variables!$B$53*HLOOKUP($DA$2,Variables!$B$60:$F$61,2,FALSE)</f>
        <v>0</v>
      </c>
      <c r="DM182" s="1222">
        <f>$G182*AR182*Variables!$B$53*HLOOKUP($DM$2,Variables!$B$60:$F$61,2,FALSE)</f>
        <v>0</v>
      </c>
      <c r="DN182" s="1223">
        <f>$G182*AS182*Variables!$B$53*HLOOKUP($DM$2,Variables!$B$60:$F$61,2,FALSE)</f>
        <v>0</v>
      </c>
      <c r="DO182" s="1223">
        <f>$G182*AT182*Variables!$B$53*HLOOKUP($DM$2,Variables!$B$60:$F$61,2,FALSE)</f>
        <v>0</v>
      </c>
      <c r="DP182" s="1223">
        <f>$G182*AU182*Variables!$B$53*HLOOKUP($DM$2,Variables!$B$60:$F$61,2,FALSE)</f>
        <v>0</v>
      </c>
      <c r="DQ182" s="1223">
        <f>$G182*AV182*Variables!$B$53*HLOOKUP($DM$2,Variables!$B$60:$F$61,2,FALSE)</f>
        <v>0</v>
      </c>
      <c r="DR182" s="1223">
        <f>$G182*AW182*Variables!$B$53*HLOOKUP($DM$2,Variables!$B$60:$F$61,2,FALSE)</f>
        <v>0</v>
      </c>
      <c r="DS182" s="1223">
        <f>$G182*AX182*Variables!$B$53*HLOOKUP($DM$2,Variables!$B$60:$F$61,2,FALSE)</f>
        <v>0</v>
      </c>
      <c r="DT182" s="1223">
        <f>$G182*AY182*Variables!$B$53*HLOOKUP($DM$2,Variables!$B$60:$F$61,2,FALSE)</f>
        <v>0</v>
      </c>
      <c r="DU182" s="1223">
        <f>$G182*AZ182*Variables!$B$53*HLOOKUP($DM$2,Variables!$B$60:$F$61,2,FALSE)</f>
        <v>0</v>
      </c>
      <c r="DV182" s="1223">
        <f>$G182*BA182*Variables!$B$53*HLOOKUP($DM$2,Variables!$B$60:$F$61,2,FALSE)</f>
        <v>0</v>
      </c>
      <c r="DW182" s="1223">
        <f>$G182*BB182*Variables!$B$53*HLOOKUP($DM$2,Variables!$B$60:$F$61,2,FALSE)</f>
        <v>0</v>
      </c>
      <c r="DX182" s="1225">
        <f>$G182*BC182*Variables!$B$53*HLOOKUP($DM$2,Variables!$B$60:$F$61,2,FALSE)</f>
        <v>0</v>
      </c>
      <c r="DY182" s="1222">
        <f>$G182*BD182*Variables!$B$53*HLOOKUP($DY$2,Variables!$B$60:$F$61,2,FALSE)</f>
        <v>0</v>
      </c>
      <c r="DZ182" s="1223">
        <f>$G182*BE182*Variables!$B$53*HLOOKUP($DY$2,Variables!$B$60:$F$61,2,FALSE)</f>
        <v>0</v>
      </c>
      <c r="EA182" s="1223">
        <f>$G182*BF182*Variables!$B$53*HLOOKUP($DY$2,Variables!$B$60:$F$61,2,FALSE)</f>
        <v>0</v>
      </c>
      <c r="EB182" s="1223">
        <f>$G182*BG182*Variables!$B$53*HLOOKUP($DY$2,Variables!$B$60:$F$61,2,FALSE)</f>
        <v>0</v>
      </c>
      <c r="EC182" s="1223">
        <f>$G182*BH182*Variables!$B$53*HLOOKUP($DY$2,Variables!$B$60:$F$61,2,FALSE)</f>
        <v>0</v>
      </c>
      <c r="ED182" s="1223">
        <f>$G182*BI182*Variables!$B$53*HLOOKUP($DY$2,Variables!$B$60:$F$61,2,FALSE)</f>
        <v>0</v>
      </c>
      <c r="EE182" s="1223">
        <f>$G182*BJ182*Variables!$B$53*HLOOKUP($DY$2,Variables!$B$60:$F$61,2,FALSE)</f>
        <v>0</v>
      </c>
      <c r="EF182" s="1223">
        <f>$G182*BK182*Variables!$B$53*HLOOKUP($DY$2,Variables!$B$60:$F$61,2,FALSE)</f>
        <v>0</v>
      </c>
      <c r="EG182" s="1223">
        <f>$G182*BL182*Variables!$B$53*HLOOKUP($DY$2,Variables!$B$60:$F$61,2,FALSE)</f>
        <v>0</v>
      </c>
      <c r="EH182" s="1223">
        <f>$G182*BM182*Variables!$B$53*HLOOKUP($DY$2,Variables!$B$60:$F$61,2,FALSE)</f>
        <v>0</v>
      </c>
      <c r="EI182" s="1223">
        <f>$G182*BN182*Variables!$B$53*HLOOKUP($DY$2,Variables!$B$60:$F$61,2,FALSE)</f>
        <v>0</v>
      </c>
      <c r="EJ182" s="1225">
        <f>$G182*BO182*Variables!$B$53*HLOOKUP($DY$2,Variables!$B$60:$F$61,2,FALSE)</f>
        <v>0</v>
      </c>
      <c r="EK182" s="1222">
        <f>$G182*BP182*Variables!$B$53*HLOOKUP($EK$2,Variables!$B$60:$F$61,2,FALSE)</f>
        <v>0</v>
      </c>
      <c r="EL182" s="1223">
        <f>$G182*BQ182*Variables!$B$53*HLOOKUP($EK$2,Variables!$B$60:$F$61,2,FALSE)</f>
        <v>0</v>
      </c>
      <c r="EM182" s="1223">
        <f>$G182*BR182*Variables!$B$53*HLOOKUP($EK$2,Variables!$B$60:$F$61,2,FALSE)</f>
        <v>0</v>
      </c>
      <c r="EN182" s="1223">
        <f>$G182*BS182*Variables!$B$53*HLOOKUP($EK$2,Variables!$B$60:$F$61,2,FALSE)</f>
        <v>0</v>
      </c>
      <c r="EO182" s="1223">
        <f>$G182*BT182*Variables!$B$53*HLOOKUP($EK$2,Variables!$B$60:$F$61,2,FALSE)</f>
        <v>0</v>
      </c>
      <c r="EP182" s="1223">
        <f>$G182*BU182*Variables!$B$53*HLOOKUP($EK$2,Variables!$B$60:$F$61,2,FALSE)</f>
        <v>0</v>
      </c>
      <c r="EQ182" s="1223">
        <f>$G182*BV182*Variables!$B$53*HLOOKUP($EK$2,Variables!$B$60:$F$61,2,FALSE)</f>
        <v>0</v>
      </c>
      <c r="ER182" s="1223">
        <f>$G182*BW182*Variables!$B$53*HLOOKUP($EK$2,Variables!$B$60:$F$61,2,FALSE)</f>
        <v>0</v>
      </c>
      <c r="ES182" s="1223">
        <f>$G182*BX182*Variables!$B$53*HLOOKUP($EK$2,Variables!$B$60:$F$61,2,FALSE)</f>
        <v>0</v>
      </c>
      <c r="ET182" s="1223">
        <f>$G182*BY182*Variables!$B$53*HLOOKUP($EK$2,Variables!$B$60:$F$61,2,FALSE)</f>
        <v>0</v>
      </c>
      <c r="EU182" s="1223">
        <f>$G182*BZ182*Variables!$B$53*HLOOKUP($EK$2,Variables!$B$60:$F$61,2,FALSE)</f>
        <v>0</v>
      </c>
      <c r="EV182" s="1225">
        <f>$G182*CA182*Variables!$B$53*HLOOKUP($EK$2,Variables!$B$60:$F$61,2,FALSE)</f>
        <v>0</v>
      </c>
      <c r="EW182" s="872">
        <f t="shared" si="24"/>
        <v>0</v>
      </c>
      <c r="EX182" s="872"/>
      <c r="EY182" s="872"/>
      <c r="EZ182" s="872"/>
      <c r="FA182" s="1332"/>
      <c r="FC182" s="958" t="str">
        <f t="shared" si="25"/>
        <v/>
      </c>
      <c r="FD182" s="959" t="str">
        <f t="shared" si="26"/>
        <v/>
      </c>
      <c r="FE182" s="959" t="s">
        <v>8407</v>
      </c>
      <c r="FF182" s="959" t="str">
        <f>IF(ISNA(VLOOKUP(FC182,Miscellaneous!E:F,2,0)),"",VLOOKUP(FC182,Miscellaneous!E:F,2,0))</f>
        <v/>
      </c>
      <c r="FG182" s="959" t="str">
        <f t="shared" si="27"/>
        <v/>
      </c>
      <c r="FH182" s="996">
        <f>IF($FG182="Opex",SUMIF('Monthly Summary'!$C$75:$N$75,"",CC182:CN182),SUMIF('Monthly Summary'!$C$74:$N$74,"",CC182:CN182))</f>
        <v>0</v>
      </c>
      <c r="FI182" s="996">
        <f>IF($FG182="Opex",SUMIF('Monthly Summary'!$O$75:$Z$75,"",CO182:CZ182),SUMIF('Monthly Summary'!$O$74:$Z$74,"",CO182:CZ182))</f>
        <v>0</v>
      </c>
      <c r="FJ182" s="996">
        <f>IF($FG182="Opex",SUMIF('Monthly Summary'!$AA$75:$AL$75,"",DA182:DL182),SUMIF('Monthly Summary'!$AA$74:$AL$74,"",DA182:DL182))</f>
        <v>0</v>
      </c>
      <c r="FK182" s="996">
        <f>IF($FG182="Opex",SUMIF('Monthly Summary'!$AM$75:$AX$75,"",DM182:DX182),SUMIF('Monthly Summary'!$AM$74:$AX$74,"",DM182:DX182))</f>
        <v>0</v>
      </c>
      <c r="FL182" s="996">
        <f>IF($FG182="Opex",SUMIF('Monthly Summary'!$AY$75:$BJ$75,"",DY182:EJ182),SUMIF('Monthly Summary'!$AY$74:$BJ$74,"",DY182:EJ182))</f>
        <v>0</v>
      </c>
      <c r="FM182" s="997">
        <f>IF($FG182="Opex",SUMIF('Monthly Summary'!$BK$75:$BV$75,"",EK182:EV182),SUMIF('Monthly Summary'!$BK$74:$BV$74,"",EK182:EV182))</f>
        <v>0</v>
      </c>
      <c r="FN182" s="997">
        <f t="shared" si="28"/>
        <v>0</v>
      </c>
    </row>
    <row r="183" spans="3:170">
      <c r="C183" s="757"/>
      <c r="D183" s="757"/>
      <c r="E183" s="758"/>
      <c r="F183" s="758"/>
      <c r="G183" s="758"/>
      <c r="H183" s="1215"/>
      <c r="I183" s="761"/>
      <c r="J183" s="761"/>
      <c r="K183" s="761"/>
      <c r="L183" s="761"/>
      <c r="M183" s="761"/>
      <c r="N183" s="761"/>
      <c r="O183" s="761"/>
      <c r="P183" s="761"/>
      <c r="Q183" s="761"/>
      <c r="R183" s="761"/>
      <c r="S183" s="1216"/>
      <c r="T183" s="1215"/>
      <c r="U183" s="761"/>
      <c r="V183" s="761"/>
      <c r="W183" s="761"/>
      <c r="X183" s="761"/>
      <c r="Y183" s="761"/>
      <c r="Z183" s="761"/>
      <c r="AA183" s="761"/>
      <c r="AB183" s="761"/>
      <c r="AC183" s="761"/>
      <c r="AD183" s="761"/>
      <c r="AE183" s="1216"/>
      <c r="AF183" s="1215"/>
      <c r="AG183" s="761"/>
      <c r="AH183" s="761"/>
      <c r="AI183" s="761"/>
      <c r="AJ183" s="761"/>
      <c r="AK183" s="761"/>
      <c r="AL183" s="761"/>
      <c r="AM183" s="761"/>
      <c r="AN183" s="761"/>
      <c r="AO183" s="761"/>
      <c r="AP183" s="761"/>
      <c r="AQ183" s="1216"/>
      <c r="AR183" s="1215"/>
      <c r="AS183" s="761"/>
      <c r="AT183" s="761"/>
      <c r="AU183" s="761"/>
      <c r="AV183" s="761"/>
      <c r="AW183" s="761"/>
      <c r="AX183" s="761"/>
      <c r="AY183" s="761"/>
      <c r="AZ183" s="761"/>
      <c r="BA183" s="761"/>
      <c r="BB183" s="761"/>
      <c r="BC183" s="1216"/>
      <c r="BD183" s="1215"/>
      <c r="BE183" s="761"/>
      <c r="BF183" s="761"/>
      <c r="BG183" s="761"/>
      <c r="BH183" s="761"/>
      <c r="BI183" s="761"/>
      <c r="BJ183" s="761"/>
      <c r="BK183" s="761"/>
      <c r="BL183" s="761"/>
      <c r="BM183" s="761"/>
      <c r="BN183" s="761"/>
      <c r="BO183" s="1216"/>
      <c r="BP183" s="1215"/>
      <c r="BQ183" s="761"/>
      <c r="BR183" s="761"/>
      <c r="BS183" s="761"/>
      <c r="BT183" s="761"/>
      <c r="BU183" s="761"/>
      <c r="BV183" s="761"/>
      <c r="BW183" s="761"/>
      <c r="BX183" s="761"/>
      <c r="BY183" s="761"/>
      <c r="BZ183" s="761"/>
      <c r="CA183" s="1216"/>
      <c r="CB183" s="747"/>
      <c r="CC183" s="1222">
        <f>$G183*H183*Variables!$B$53</f>
        <v>0</v>
      </c>
      <c r="CD183" s="1223">
        <f>$G183*I183*Variables!$B$53</f>
        <v>0</v>
      </c>
      <c r="CE183" s="1223">
        <f>$G183*J183*Variables!$B$53</f>
        <v>0</v>
      </c>
      <c r="CF183" s="1223">
        <f>$G183*K183*Variables!$B$53</f>
        <v>0</v>
      </c>
      <c r="CG183" s="1223">
        <f>$G183*L183*Variables!$B$53</f>
        <v>0</v>
      </c>
      <c r="CH183" s="1223">
        <f>$G183*M183*Variables!$B$53</f>
        <v>0</v>
      </c>
      <c r="CI183" s="1223">
        <f>$G183*N183*Variables!$B$53</f>
        <v>0</v>
      </c>
      <c r="CJ183" s="1223">
        <f>$G183*O183*Variables!$B$53</f>
        <v>0</v>
      </c>
      <c r="CK183" s="1223">
        <f>$G183*P183*Variables!$B$53</f>
        <v>0</v>
      </c>
      <c r="CL183" s="1223">
        <f>$G183*Q183*Variables!$B$53</f>
        <v>0</v>
      </c>
      <c r="CM183" s="1223">
        <f>$G183*R183*Variables!$B$53</f>
        <v>0</v>
      </c>
      <c r="CN183" s="1225">
        <f>$G183*S183*Variables!$B$53</f>
        <v>0</v>
      </c>
      <c r="CO183" s="1222">
        <f>$G183*T183*Variables!$B$53*HLOOKUP($CO$2,Variables!$B$60:$F$61,2,FALSE)</f>
        <v>0</v>
      </c>
      <c r="CP183" s="1223">
        <f>$G183*U183*Variables!$B$53*HLOOKUP($CO$2,Variables!$B$60:$F$61,2,FALSE)</f>
        <v>0</v>
      </c>
      <c r="CQ183" s="1223">
        <f>$G183*V183*Variables!$B$53*HLOOKUP($CO$2,Variables!$B$60:$F$61,2,FALSE)</f>
        <v>0</v>
      </c>
      <c r="CR183" s="1223">
        <f>$G183*W183*Variables!$B$53*HLOOKUP($CO$2,Variables!$B$60:$F$61,2,FALSE)</f>
        <v>0</v>
      </c>
      <c r="CS183" s="1223">
        <f>$G183*X183*Variables!$B$53*HLOOKUP($CO$2,Variables!$B$60:$F$61,2,FALSE)</f>
        <v>0</v>
      </c>
      <c r="CT183" s="1223">
        <f>$G183*Y183*Variables!$B$53*HLOOKUP($CO$2,Variables!$B$60:$F$61,2,FALSE)</f>
        <v>0</v>
      </c>
      <c r="CU183" s="1223">
        <f>$G183*Z183*Variables!$B$53*HLOOKUP($CO$2,Variables!$B$60:$F$61,2,FALSE)</f>
        <v>0</v>
      </c>
      <c r="CV183" s="1223">
        <f>$G183*AA183*Variables!$B$53*HLOOKUP($CO$2,Variables!$B$60:$F$61,2,FALSE)</f>
        <v>0</v>
      </c>
      <c r="CW183" s="1223">
        <f>$G183*AB183*Variables!$B$53*HLOOKUP($CO$2,Variables!$B$60:$F$61,2,FALSE)</f>
        <v>0</v>
      </c>
      <c r="CX183" s="1223">
        <f>$G183*AC183*Variables!$B$53*HLOOKUP($CO$2,Variables!$B$60:$F$61,2,FALSE)</f>
        <v>0</v>
      </c>
      <c r="CY183" s="1223">
        <f>$G183*AD183*Variables!$B$53*HLOOKUP($CO$2,Variables!$B$60:$F$61,2,FALSE)</f>
        <v>0</v>
      </c>
      <c r="CZ183" s="1225">
        <f>$G183*AE183*Variables!$B$53*HLOOKUP($CO$2,Variables!$B$60:$F$61,2,FALSE)</f>
        <v>0</v>
      </c>
      <c r="DA183" s="1222">
        <f>$G183*AF183*Variables!$B$53*HLOOKUP($DA$2,Variables!$B$60:$F$61,2,FALSE)</f>
        <v>0</v>
      </c>
      <c r="DB183" s="1223">
        <f>$G183*AG183*Variables!$B$53*HLOOKUP($DA$2,Variables!$B$60:$F$61,2,FALSE)</f>
        <v>0</v>
      </c>
      <c r="DC183" s="1223">
        <f>$G183*AH183*Variables!$B$53*HLOOKUP($DA$2,Variables!$B$60:$F$61,2,FALSE)</f>
        <v>0</v>
      </c>
      <c r="DD183" s="1223">
        <f>$G183*AI183*Variables!$B$53*HLOOKUP($DA$2,Variables!$B$60:$F$61,2,FALSE)</f>
        <v>0</v>
      </c>
      <c r="DE183" s="1223">
        <f>$G183*AJ183*Variables!$B$53*HLOOKUP($DA$2,Variables!$B$60:$F$61,2,FALSE)</f>
        <v>0</v>
      </c>
      <c r="DF183" s="1223">
        <f>$G183*AK183*Variables!$B$53*HLOOKUP($DA$2,Variables!$B$60:$F$61,2,FALSE)</f>
        <v>0</v>
      </c>
      <c r="DG183" s="1223">
        <f>$G183*AL183*Variables!$B$53*HLOOKUP($DA$2,Variables!$B$60:$F$61,2,FALSE)</f>
        <v>0</v>
      </c>
      <c r="DH183" s="1223">
        <f>$G183*AM183*Variables!$B$53*HLOOKUP($DA$2,Variables!$B$60:$F$61,2,FALSE)</f>
        <v>0</v>
      </c>
      <c r="DI183" s="1223">
        <f>$G183*AN183*Variables!$B$53*HLOOKUP($DA$2,Variables!$B$60:$F$61,2,FALSE)</f>
        <v>0</v>
      </c>
      <c r="DJ183" s="1223">
        <f>$G183*AO183*Variables!$B$53*HLOOKUP($DA$2,Variables!$B$60:$F$61,2,FALSE)</f>
        <v>0</v>
      </c>
      <c r="DK183" s="1223">
        <f>$G183*AP183*Variables!$B$53*HLOOKUP($DA$2,Variables!$B$60:$F$61,2,FALSE)</f>
        <v>0</v>
      </c>
      <c r="DL183" s="1225">
        <f>$G183*AQ183*Variables!$B$53*HLOOKUP($DA$2,Variables!$B$60:$F$61,2,FALSE)</f>
        <v>0</v>
      </c>
      <c r="DM183" s="1222">
        <f>$G183*AR183*Variables!$B$53*HLOOKUP($DM$2,Variables!$B$60:$F$61,2,FALSE)</f>
        <v>0</v>
      </c>
      <c r="DN183" s="1223">
        <f>$G183*AS183*Variables!$B$53*HLOOKUP($DM$2,Variables!$B$60:$F$61,2,FALSE)</f>
        <v>0</v>
      </c>
      <c r="DO183" s="1223">
        <f>$G183*AT183*Variables!$B$53*HLOOKUP($DM$2,Variables!$B$60:$F$61,2,FALSE)</f>
        <v>0</v>
      </c>
      <c r="DP183" s="1223">
        <f>$G183*AU183*Variables!$B$53*HLOOKUP($DM$2,Variables!$B$60:$F$61,2,FALSE)</f>
        <v>0</v>
      </c>
      <c r="DQ183" s="1223">
        <f>$G183*AV183*Variables!$B$53*HLOOKUP($DM$2,Variables!$B$60:$F$61,2,FALSE)</f>
        <v>0</v>
      </c>
      <c r="DR183" s="1223">
        <f>$G183*AW183*Variables!$B$53*HLOOKUP($DM$2,Variables!$B$60:$F$61,2,FALSE)</f>
        <v>0</v>
      </c>
      <c r="DS183" s="1223">
        <f>$G183*AX183*Variables!$B$53*HLOOKUP($DM$2,Variables!$B$60:$F$61,2,FALSE)</f>
        <v>0</v>
      </c>
      <c r="DT183" s="1223">
        <f>$G183*AY183*Variables!$B$53*HLOOKUP($DM$2,Variables!$B$60:$F$61,2,FALSE)</f>
        <v>0</v>
      </c>
      <c r="DU183" s="1223">
        <f>$G183*AZ183*Variables!$B$53*HLOOKUP($DM$2,Variables!$B$60:$F$61,2,FALSE)</f>
        <v>0</v>
      </c>
      <c r="DV183" s="1223">
        <f>$G183*BA183*Variables!$B$53*HLOOKUP($DM$2,Variables!$B$60:$F$61,2,FALSE)</f>
        <v>0</v>
      </c>
      <c r="DW183" s="1223">
        <f>$G183*BB183*Variables!$B$53*HLOOKUP($DM$2,Variables!$B$60:$F$61,2,FALSE)</f>
        <v>0</v>
      </c>
      <c r="DX183" s="1225">
        <f>$G183*BC183*Variables!$B$53*HLOOKUP($DM$2,Variables!$B$60:$F$61,2,FALSE)</f>
        <v>0</v>
      </c>
      <c r="DY183" s="1222">
        <f>$G183*BD183*Variables!$B$53*HLOOKUP($DY$2,Variables!$B$60:$F$61,2,FALSE)</f>
        <v>0</v>
      </c>
      <c r="DZ183" s="1223">
        <f>$G183*BE183*Variables!$B$53*HLOOKUP($DY$2,Variables!$B$60:$F$61,2,FALSE)</f>
        <v>0</v>
      </c>
      <c r="EA183" s="1223">
        <f>$G183*BF183*Variables!$B$53*HLOOKUP($DY$2,Variables!$B$60:$F$61,2,FALSE)</f>
        <v>0</v>
      </c>
      <c r="EB183" s="1223">
        <f>$G183*BG183*Variables!$B$53*HLOOKUP($DY$2,Variables!$B$60:$F$61,2,FALSE)</f>
        <v>0</v>
      </c>
      <c r="EC183" s="1223">
        <f>$G183*BH183*Variables!$B$53*HLOOKUP($DY$2,Variables!$B$60:$F$61,2,FALSE)</f>
        <v>0</v>
      </c>
      <c r="ED183" s="1223">
        <f>$G183*BI183*Variables!$B$53*HLOOKUP($DY$2,Variables!$B$60:$F$61,2,FALSE)</f>
        <v>0</v>
      </c>
      <c r="EE183" s="1223">
        <f>$G183*BJ183*Variables!$B$53*HLOOKUP($DY$2,Variables!$B$60:$F$61,2,FALSE)</f>
        <v>0</v>
      </c>
      <c r="EF183" s="1223">
        <f>$G183*BK183*Variables!$B$53*HLOOKUP($DY$2,Variables!$B$60:$F$61,2,FALSE)</f>
        <v>0</v>
      </c>
      <c r="EG183" s="1223">
        <f>$G183*BL183*Variables!$B$53*HLOOKUP($DY$2,Variables!$B$60:$F$61,2,FALSE)</f>
        <v>0</v>
      </c>
      <c r="EH183" s="1223">
        <f>$G183*BM183*Variables!$B$53*HLOOKUP($DY$2,Variables!$B$60:$F$61,2,FALSE)</f>
        <v>0</v>
      </c>
      <c r="EI183" s="1223">
        <f>$G183*BN183*Variables!$B$53*HLOOKUP($DY$2,Variables!$B$60:$F$61,2,FALSE)</f>
        <v>0</v>
      </c>
      <c r="EJ183" s="1225">
        <f>$G183*BO183*Variables!$B$53*HLOOKUP($DY$2,Variables!$B$60:$F$61,2,FALSE)</f>
        <v>0</v>
      </c>
      <c r="EK183" s="1222">
        <f>$G183*BP183*Variables!$B$53*HLOOKUP($EK$2,Variables!$B$60:$F$61,2,FALSE)</f>
        <v>0</v>
      </c>
      <c r="EL183" s="1223">
        <f>$G183*BQ183*Variables!$B$53*HLOOKUP($EK$2,Variables!$B$60:$F$61,2,FALSE)</f>
        <v>0</v>
      </c>
      <c r="EM183" s="1223">
        <f>$G183*BR183*Variables!$B$53*HLOOKUP($EK$2,Variables!$B$60:$F$61,2,FALSE)</f>
        <v>0</v>
      </c>
      <c r="EN183" s="1223">
        <f>$G183*BS183*Variables!$B$53*HLOOKUP($EK$2,Variables!$B$60:$F$61,2,FALSE)</f>
        <v>0</v>
      </c>
      <c r="EO183" s="1223">
        <f>$G183*BT183*Variables!$B$53*HLOOKUP($EK$2,Variables!$B$60:$F$61,2,FALSE)</f>
        <v>0</v>
      </c>
      <c r="EP183" s="1223">
        <f>$G183*BU183*Variables!$B$53*HLOOKUP($EK$2,Variables!$B$60:$F$61,2,FALSE)</f>
        <v>0</v>
      </c>
      <c r="EQ183" s="1223">
        <f>$G183*BV183*Variables!$B$53*HLOOKUP($EK$2,Variables!$B$60:$F$61,2,FALSE)</f>
        <v>0</v>
      </c>
      <c r="ER183" s="1223">
        <f>$G183*BW183*Variables!$B$53*HLOOKUP($EK$2,Variables!$B$60:$F$61,2,FALSE)</f>
        <v>0</v>
      </c>
      <c r="ES183" s="1223">
        <f>$G183*BX183*Variables!$B$53*HLOOKUP($EK$2,Variables!$B$60:$F$61,2,FALSE)</f>
        <v>0</v>
      </c>
      <c r="ET183" s="1223">
        <f>$G183*BY183*Variables!$B$53*HLOOKUP($EK$2,Variables!$B$60:$F$61,2,FALSE)</f>
        <v>0</v>
      </c>
      <c r="EU183" s="1223">
        <f>$G183*BZ183*Variables!$B$53*HLOOKUP($EK$2,Variables!$B$60:$F$61,2,FALSE)</f>
        <v>0</v>
      </c>
      <c r="EV183" s="1225">
        <f>$G183*CA183*Variables!$B$53*HLOOKUP($EK$2,Variables!$B$60:$F$61,2,FALSE)</f>
        <v>0</v>
      </c>
      <c r="EW183" s="872">
        <f t="shared" si="24"/>
        <v>0</v>
      </c>
      <c r="EX183" s="872"/>
      <c r="EY183" s="872"/>
      <c r="EZ183" s="872"/>
      <c r="FA183" s="1332"/>
      <c r="FC183" s="958" t="str">
        <f t="shared" si="25"/>
        <v/>
      </c>
      <c r="FD183" s="959" t="str">
        <f t="shared" si="26"/>
        <v/>
      </c>
      <c r="FE183" s="959" t="s">
        <v>8407</v>
      </c>
      <c r="FF183" s="959" t="str">
        <f>IF(ISNA(VLOOKUP(FC183,Miscellaneous!E:F,2,0)),"",VLOOKUP(FC183,Miscellaneous!E:F,2,0))</f>
        <v/>
      </c>
      <c r="FG183" s="959" t="str">
        <f t="shared" si="27"/>
        <v/>
      </c>
      <c r="FH183" s="996">
        <f>IF($FG183="Opex",SUMIF('Monthly Summary'!$C$75:$N$75,"",CC183:CN183),SUMIF('Monthly Summary'!$C$74:$N$74,"",CC183:CN183))</f>
        <v>0</v>
      </c>
      <c r="FI183" s="996">
        <f>IF($FG183="Opex",SUMIF('Monthly Summary'!$O$75:$Z$75,"",CO183:CZ183),SUMIF('Monthly Summary'!$O$74:$Z$74,"",CO183:CZ183))</f>
        <v>0</v>
      </c>
      <c r="FJ183" s="996">
        <f>IF($FG183="Opex",SUMIF('Monthly Summary'!$AA$75:$AL$75,"",DA183:DL183),SUMIF('Monthly Summary'!$AA$74:$AL$74,"",DA183:DL183))</f>
        <v>0</v>
      </c>
      <c r="FK183" s="996">
        <f>IF($FG183="Opex",SUMIF('Monthly Summary'!$AM$75:$AX$75,"",DM183:DX183),SUMIF('Monthly Summary'!$AM$74:$AX$74,"",DM183:DX183))</f>
        <v>0</v>
      </c>
      <c r="FL183" s="996">
        <f>IF($FG183="Opex",SUMIF('Monthly Summary'!$AY$75:$BJ$75,"",DY183:EJ183),SUMIF('Monthly Summary'!$AY$74:$BJ$74,"",DY183:EJ183))</f>
        <v>0</v>
      </c>
      <c r="FM183" s="997">
        <f>IF($FG183="Opex",SUMIF('Monthly Summary'!$BK$75:$BV$75,"",EK183:EV183),SUMIF('Monthly Summary'!$BK$74:$BV$74,"",EK183:EV183))</f>
        <v>0</v>
      </c>
      <c r="FN183" s="997">
        <f t="shared" si="28"/>
        <v>0</v>
      </c>
    </row>
    <row r="184" spans="3:170">
      <c r="C184" s="757"/>
      <c r="D184" s="757"/>
      <c r="E184" s="758"/>
      <c r="F184" s="758"/>
      <c r="G184" s="758"/>
      <c r="H184" s="1215"/>
      <c r="I184" s="761"/>
      <c r="J184" s="761"/>
      <c r="K184" s="761"/>
      <c r="L184" s="761"/>
      <c r="M184" s="761"/>
      <c r="N184" s="761"/>
      <c r="O184" s="761"/>
      <c r="P184" s="761"/>
      <c r="Q184" s="761"/>
      <c r="R184" s="761"/>
      <c r="S184" s="1216"/>
      <c r="T184" s="1215"/>
      <c r="U184" s="761"/>
      <c r="V184" s="761"/>
      <c r="W184" s="761"/>
      <c r="X184" s="761"/>
      <c r="Y184" s="761"/>
      <c r="Z184" s="761"/>
      <c r="AA184" s="761"/>
      <c r="AB184" s="761"/>
      <c r="AC184" s="761"/>
      <c r="AD184" s="761"/>
      <c r="AE184" s="1216"/>
      <c r="AF184" s="1215"/>
      <c r="AG184" s="761"/>
      <c r="AH184" s="761"/>
      <c r="AI184" s="761"/>
      <c r="AJ184" s="761"/>
      <c r="AK184" s="761"/>
      <c r="AL184" s="761"/>
      <c r="AM184" s="761"/>
      <c r="AN184" s="761"/>
      <c r="AO184" s="761"/>
      <c r="AP184" s="761"/>
      <c r="AQ184" s="1216"/>
      <c r="AR184" s="1215"/>
      <c r="AS184" s="761"/>
      <c r="AT184" s="761"/>
      <c r="AU184" s="761"/>
      <c r="AV184" s="761"/>
      <c r="AW184" s="761"/>
      <c r="AX184" s="761"/>
      <c r="AY184" s="761"/>
      <c r="AZ184" s="761"/>
      <c r="BA184" s="761"/>
      <c r="BB184" s="761"/>
      <c r="BC184" s="1216"/>
      <c r="BD184" s="1215"/>
      <c r="BE184" s="761"/>
      <c r="BF184" s="761"/>
      <c r="BG184" s="761"/>
      <c r="BH184" s="761"/>
      <c r="BI184" s="761"/>
      <c r="BJ184" s="761"/>
      <c r="BK184" s="761"/>
      <c r="BL184" s="761"/>
      <c r="BM184" s="761"/>
      <c r="BN184" s="761"/>
      <c r="BO184" s="1216"/>
      <c r="BP184" s="1215"/>
      <c r="BQ184" s="761"/>
      <c r="BR184" s="761"/>
      <c r="BS184" s="761"/>
      <c r="BT184" s="761"/>
      <c r="BU184" s="761"/>
      <c r="BV184" s="761"/>
      <c r="BW184" s="761"/>
      <c r="BX184" s="761"/>
      <c r="BY184" s="761"/>
      <c r="BZ184" s="761"/>
      <c r="CA184" s="1216"/>
      <c r="CB184" s="747"/>
      <c r="CC184" s="1222">
        <f>$G184*H184*Variables!$B$53</f>
        <v>0</v>
      </c>
      <c r="CD184" s="1223">
        <f>$G184*I184*Variables!$B$53</f>
        <v>0</v>
      </c>
      <c r="CE184" s="1223">
        <f>$G184*J184*Variables!$B$53</f>
        <v>0</v>
      </c>
      <c r="CF184" s="1223">
        <f>$G184*K184*Variables!$B$53</f>
        <v>0</v>
      </c>
      <c r="CG184" s="1223">
        <f>$G184*L184*Variables!$B$53</f>
        <v>0</v>
      </c>
      <c r="CH184" s="1223">
        <f>$G184*M184*Variables!$B$53</f>
        <v>0</v>
      </c>
      <c r="CI184" s="1223">
        <f>$G184*N184*Variables!$B$53</f>
        <v>0</v>
      </c>
      <c r="CJ184" s="1223">
        <f>$G184*O184*Variables!$B$53</f>
        <v>0</v>
      </c>
      <c r="CK184" s="1223">
        <f>$G184*P184*Variables!$B$53</f>
        <v>0</v>
      </c>
      <c r="CL184" s="1223">
        <f>$G184*Q184*Variables!$B$53</f>
        <v>0</v>
      </c>
      <c r="CM184" s="1223">
        <f>$G184*R184*Variables!$B$53</f>
        <v>0</v>
      </c>
      <c r="CN184" s="1225">
        <f>$G184*S184*Variables!$B$53</f>
        <v>0</v>
      </c>
      <c r="CO184" s="1222">
        <f>$G184*T184*Variables!$B$53*HLOOKUP($CO$2,Variables!$B$60:$F$61,2,FALSE)</f>
        <v>0</v>
      </c>
      <c r="CP184" s="1223">
        <f>$G184*U184*Variables!$B$53*HLOOKUP($CO$2,Variables!$B$60:$F$61,2,FALSE)</f>
        <v>0</v>
      </c>
      <c r="CQ184" s="1223">
        <f>$G184*V184*Variables!$B$53*HLOOKUP($CO$2,Variables!$B$60:$F$61,2,FALSE)</f>
        <v>0</v>
      </c>
      <c r="CR184" s="1223">
        <f>$G184*W184*Variables!$B$53*HLOOKUP($CO$2,Variables!$B$60:$F$61,2,FALSE)</f>
        <v>0</v>
      </c>
      <c r="CS184" s="1223">
        <f>$G184*X184*Variables!$B$53*HLOOKUP($CO$2,Variables!$B$60:$F$61,2,FALSE)</f>
        <v>0</v>
      </c>
      <c r="CT184" s="1223">
        <f>$G184*Y184*Variables!$B$53*HLOOKUP($CO$2,Variables!$B$60:$F$61,2,FALSE)</f>
        <v>0</v>
      </c>
      <c r="CU184" s="1223">
        <f>$G184*Z184*Variables!$B$53*HLOOKUP($CO$2,Variables!$B$60:$F$61,2,FALSE)</f>
        <v>0</v>
      </c>
      <c r="CV184" s="1223">
        <f>$G184*AA184*Variables!$B$53*HLOOKUP($CO$2,Variables!$B$60:$F$61,2,FALSE)</f>
        <v>0</v>
      </c>
      <c r="CW184" s="1223">
        <f>$G184*AB184*Variables!$B$53*HLOOKUP($CO$2,Variables!$B$60:$F$61,2,FALSE)</f>
        <v>0</v>
      </c>
      <c r="CX184" s="1223">
        <f>$G184*AC184*Variables!$B$53*HLOOKUP($CO$2,Variables!$B$60:$F$61,2,FALSE)</f>
        <v>0</v>
      </c>
      <c r="CY184" s="1223">
        <f>$G184*AD184*Variables!$B$53*HLOOKUP($CO$2,Variables!$B$60:$F$61,2,FALSE)</f>
        <v>0</v>
      </c>
      <c r="CZ184" s="1225">
        <f>$G184*AE184*Variables!$B$53*HLOOKUP($CO$2,Variables!$B$60:$F$61,2,FALSE)</f>
        <v>0</v>
      </c>
      <c r="DA184" s="1222">
        <f>$G184*AF184*Variables!$B$53*HLOOKUP($DA$2,Variables!$B$60:$F$61,2,FALSE)</f>
        <v>0</v>
      </c>
      <c r="DB184" s="1223">
        <f>$G184*AG184*Variables!$B$53*HLOOKUP($DA$2,Variables!$B$60:$F$61,2,FALSE)</f>
        <v>0</v>
      </c>
      <c r="DC184" s="1223">
        <f>$G184*AH184*Variables!$B$53*HLOOKUP($DA$2,Variables!$B$60:$F$61,2,FALSE)</f>
        <v>0</v>
      </c>
      <c r="DD184" s="1223">
        <f>$G184*AI184*Variables!$B$53*HLOOKUP($DA$2,Variables!$B$60:$F$61,2,FALSE)</f>
        <v>0</v>
      </c>
      <c r="DE184" s="1223">
        <f>$G184*AJ184*Variables!$B$53*HLOOKUP($DA$2,Variables!$B$60:$F$61,2,FALSE)</f>
        <v>0</v>
      </c>
      <c r="DF184" s="1223">
        <f>$G184*AK184*Variables!$B$53*HLOOKUP($DA$2,Variables!$B$60:$F$61,2,FALSE)</f>
        <v>0</v>
      </c>
      <c r="DG184" s="1223">
        <f>$G184*AL184*Variables!$B$53*HLOOKUP($DA$2,Variables!$B$60:$F$61,2,FALSE)</f>
        <v>0</v>
      </c>
      <c r="DH184" s="1223">
        <f>$G184*AM184*Variables!$B$53*HLOOKUP($DA$2,Variables!$B$60:$F$61,2,FALSE)</f>
        <v>0</v>
      </c>
      <c r="DI184" s="1223">
        <f>$G184*AN184*Variables!$B$53*HLOOKUP($DA$2,Variables!$B$60:$F$61,2,FALSE)</f>
        <v>0</v>
      </c>
      <c r="DJ184" s="1223">
        <f>$G184*AO184*Variables!$B$53*HLOOKUP($DA$2,Variables!$B$60:$F$61,2,FALSE)</f>
        <v>0</v>
      </c>
      <c r="DK184" s="1223">
        <f>$G184*AP184*Variables!$B$53*HLOOKUP($DA$2,Variables!$B$60:$F$61,2,FALSE)</f>
        <v>0</v>
      </c>
      <c r="DL184" s="1225">
        <f>$G184*AQ184*Variables!$B$53*HLOOKUP($DA$2,Variables!$B$60:$F$61,2,FALSE)</f>
        <v>0</v>
      </c>
      <c r="DM184" s="1222">
        <f>$G184*AR184*Variables!$B$53*HLOOKUP($DM$2,Variables!$B$60:$F$61,2,FALSE)</f>
        <v>0</v>
      </c>
      <c r="DN184" s="1223">
        <f>$G184*AS184*Variables!$B$53*HLOOKUP($DM$2,Variables!$B$60:$F$61,2,FALSE)</f>
        <v>0</v>
      </c>
      <c r="DO184" s="1223">
        <f>$G184*AT184*Variables!$B$53*HLOOKUP($DM$2,Variables!$B$60:$F$61,2,FALSE)</f>
        <v>0</v>
      </c>
      <c r="DP184" s="1223">
        <f>$G184*AU184*Variables!$B$53*HLOOKUP($DM$2,Variables!$B$60:$F$61,2,FALSE)</f>
        <v>0</v>
      </c>
      <c r="DQ184" s="1223">
        <f>$G184*AV184*Variables!$B$53*HLOOKUP($DM$2,Variables!$B$60:$F$61,2,FALSE)</f>
        <v>0</v>
      </c>
      <c r="DR184" s="1223">
        <f>$G184*AW184*Variables!$B$53*HLOOKUP($DM$2,Variables!$B$60:$F$61,2,FALSE)</f>
        <v>0</v>
      </c>
      <c r="DS184" s="1223">
        <f>$G184*AX184*Variables!$B$53*HLOOKUP($DM$2,Variables!$B$60:$F$61,2,FALSE)</f>
        <v>0</v>
      </c>
      <c r="DT184" s="1223">
        <f>$G184*AY184*Variables!$B$53*HLOOKUP($DM$2,Variables!$B$60:$F$61,2,FALSE)</f>
        <v>0</v>
      </c>
      <c r="DU184" s="1223">
        <f>$G184*AZ184*Variables!$B$53*HLOOKUP($DM$2,Variables!$B$60:$F$61,2,FALSE)</f>
        <v>0</v>
      </c>
      <c r="DV184" s="1223">
        <f>$G184*BA184*Variables!$B$53*HLOOKUP($DM$2,Variables!$B$60:$F$61,2,FALSE)</f>
        <v>0</v>
      </c>
      <c r="DW184" s="1223">
        <f>$G184*BB184*Variables!$B$53*HLOOKUP($DM$2,Variables!$B$60:$F$61,2,FALSE)</f>
        <v>0</v>
      </c>
      <c r="DX184" s="1225">
        <f>$G184*BC184*Variables!$B$53*HLOOKUP($DM$2,Variables!$B$60:$F$61,2,FALSE)</f>
        <v>0</v>
      </c>
      <c r="DY184" s="1222">
        <f>$G184*BD184*Variables!$B$53*HLOOKUP($DY$2,Variables!$B$60:$F$61,2,FALSE)</f>
        <v>0</v>
      </c>
      <c r="DZ184" s="1223">
        <f>$G184*BE184*Variables!$B$53*HLOOKUP($DY$2,Variables!$B$60:$F$61,2,FALSE)</f>
        <v>0</v>
      </c>
      <c r="EA184" s="1223">
        <f>$G184*BF184*Variables!$B$53*HLOOKUP($DY$2,Variables!$B$60:$F$61,2,FALSE)</f>
        <v>0</v>
      </c>
      <c r="EB184" s="1223">
        <f>$G184*BG184*Variables!$B$53*HLOOKUP($DY$2,Variables!$B$60:$F$61,2,FALSE)</f>
        <v>0</v>
      </c>
      <c r="EC184" s="1223">
        <f>$G184*BH184*Variables!$B$53*HLOOKUP($DY$2,Variables!$B$60:$F$61,2,FALSE)</f>
        <v>0</v>
      </c>
      <c r="ED184" s="1223">
        <f>$G184*BI184*Variables!$B$53*HLOOKUP($DY$2,Variables!$B$60:$F$61,2,FALSE)</f>
        <v>0</v>
      </c>
      <c r="EE184" s="1223">
        <f>$G184*BJ184*Variables!$B$53*HLOOKUP($DY$2,Variables!$B$60:$F$61,2,FALSE)</f>
        <v>0</v>
      </c>
      <c r="EF184" s="1223">
        <f>$G184*BK184*Variables!$B$53*HLOOKUP($DY$2,Variables!$B$60:$F$61,2,FALSE)</f>
        <v>0</v>
      </c>
      <c r="EG184" s="1223">
        <f>$G184*BL184*Variables!$B$53*HLOOKUP($DY$2,Variables!$B$60:$F$61,2,FALSE)</f>
        <v>0</v>
      </c>
      <c r="EH184" s="1223">
        <f>$G184*BM184*Variables!$B$53*HLOOKUP($DY$2,Variables!$B$60:$F$61,2,FALSE)</f>
        <v>0</v>
      </c>
      <c r="EI184" s="1223">
        <f>$G184*BN184*Variables!$B$53*HLOOKUP($DY$2,Variables!$B$60:$F$61,2,FALSE)</f>
        <v>0</v>
      </c>
      <c r="EJ184" s="1225">
        <f>$G184*BO184*Variables!$B$53*HLOOKUP($DY$2,Variables!$B$60:$F$61,2,FALSE)</f>
        <v>0</v>
      </c>
      <c r="EK184" s="1222">
        <f>$G184*BP184*Variables!$B$53*HLOOKUP($EK$2,Variables!$B$60:$F$61,2,FALSE)</f>
        <v>0</v>
      </c>
      <c r="EL184" s="1223">
        <f>$G184*BQ184*Variables!$B$53*HLOOKUP($EK$2,Variables!$B$60:$F$61,2,FALSE)</f>
        <v>0</v>
      </c>
      <c r="EM184" s="1223">
        <f>$G184*BR184*Variables!$B$53*HLOOKUP($EK$2,Variables!$B$60:$F$61,2,FALSE)</f>
        <v>0</v>
      </c>
      <c r="EN184" s="1223">
        <f>$G184*BS184*Variables!$B$53*HLOOKUP($EK$2,Variables!$B$60:$F$61,2,FALSE)</f>
        <v>0</v>
      </c>
      <c r="EO184" s="1223">
        <f>$G184*BT184*Variables!$B$53*HLOOKUP($EK$2,Variables!$B$60:$F$61,2,FALSE)</f>
        <v>0</v>
      </c>
      <c r="EP184" s="1223">
        <f>$G184*BU184*Variables!$B$53*HLOOKUP($EK$2,Variables!$B$60:$F$61,2,FALSE)</f>
        <v>0</v>
      </c>
      <c r="EQ184" s="1223">
        <f>$G184*BV184*Variables!$B$53*HLOOKUP($EK$2,Variables!$B$60:$F$61,2,FALSE)</f>
        <v>0</v>
      </c>
      <c r="ER184" s="1223">
        <f>$G184*BW184*Variables!$B$53*HLOOKUP($EK$2,Variables!$B$60:$F$61,2,FALSE)</f>
        <v>0</v>
      </c>
      <c r="ES184" s="1223">
        <f>$G184*BX184*Variables!$B$53*HLOOKUP($EK$2,Variables!$B$60:$F$61,2,FALSE)</f>
        <v>0</v>
      </c>
      <c r="ET184" s="1223">
        <f>$G184*BY184*Variables!$B$53*HLOOKUP($EK$2,Variables!$B$60:$F$61,2,FALSE)</f>
        <v>0</v>
      </c>
      <c r="EU184" s="1223">
        <f>$G184*BZ184*Variables!$B$53*HLOOKUP($EK$2,Variables!$B$60:$F$61,2,FALSE)</f>
        <v>0</v>
      </c>
      <c r="EV184" s="1225">
        <f>$G184*CA184*Variables!$B$53*HLOOKUP($EK$2,Variables!$B$60:$F$61,2,FALSE)</f>
        <v>0</v>
      </c>
      <c r="EW184" s="872">
        <f t="shared" si="24"/>
        <v>0</v>
      </c>
      <c r="EX184" s="872"/>
      <c r="EY184" s="872"/>
      <c r="EZ184" s="872"/>
      <c r="FA184" s="1332"/>
      <c r="FC184" s="958" t="str">
        <f t="shared" si="25"/>
        <v/>
      </c>
      <c r="FD184" s="959" t="str">
        <f t="shared" si="26"/>
        <v/>
      </c>
      <c r="FE184" s="959" t="s">
        <v>8407</v>
      </c>
      <c r="FF184" s="959" t="str">
        <f>IF(ISNA(VLOOKUP(FC184,Miscellaneous!E:F,2,0)),"",VLOOKUP(FC184,Miscellaneous!E:F,2,0))</f>
        <v/>
      </c>
      <c r="FG184" s="959" t="str">
        <f t="shared" si="27"/>
        <v/>
      </c>
      <c r="FH184" s="996">
        <f>IF($FG184="Opex",SUMIF('Monthly Summary'!$C$75:$N$75,"",CC184:CN184),SUMIF('Monthly Summary'!$C$74:$N$74,"",CC184:CN184))</f>
        <v>0</v>
      </c>
      <c r="FI184" s="996">
        <f>IF($FG184="Opex",SUMIF('Monthly Summary'!$O$75:$Z$75,"",CO184:CZ184),SUMIF('Monthly Summary'!$O$74:$Z$74,"",CO184:CZ184))</f>
        <v>0</v>
      </c>
      <c r="FJ184" s="996">
        <f>IF($FG184="Opex",SUMIF('Monthly Summary'!$AA$75:$AL$75,"",DA184:DL184),SUMIF('Monthly Summary'!$AA$74:$AL$74,"",DA184:DL184))</f>
        <v>0</v>
      </c>
      <c r="FK184" s="996">
        <f>IF($FG184="Opex",SUMIF('Monthly Summary'!$AM$75:$AX$75,"",DM184:DX184),SUMIF('Monthly Summary'!$AM$74:$AX$74,"",DM184:DX184))</f>
        <v>0</v>
      </c>
      <c r="FL184" s="996">
        <f>IF($FG184="Opex",SUMIF('Monthly Summary'!$AY$75:$BJ$75,"",DY184:EJ184),SUMIF('Monthly Summary'!$AY$74:$BJ$74,"",DY184:EJ184))</f>
        <v>0</v>
      </c>
      <c r="FM184" s="997">
        <f>IF($FG184="Opex",SUMIF('Monthly Summary'!$BK$75:$BV$75,"",EK184:EV184),SUMIF('Monthly Summary'!$BK$74:$BV$74,"",EK184:EV184))</f>
        <v>0</v>
      </c>
      <c r="FN184" s="997">
        <f t="shared" si="28"/>
        <v>0</v>
      </c>
    </row>
    <row r="185" spans="3:170">
      <c r="C185" s="757"/>
      <c r="D185" s="757"/>
      <c r="E185" s="758"/>
      <c r="F185" s="758"/>
      <c r="G185" s="758"/>
      <c r="H185" s="1215"/>
      <c r="I185" s="761"/>
      <c r="J185" s="761"/>
      <c r="K185" s="761"/>
      <c r="L185" s="761"/>
      <c r="M185" s="761"/>
      <c r="N185" s="761"/>
      <c r="O185" s="761"/>
      <c r="P185" s="761"/>
      <c r="Q185" s="761"/>
      <c r="R185" s="761"/>
      <c r="S185" s="1216"/>
      <c r="T185" s="1215"/>
      <c r="U185" s="761"/>
      <c r="V185" s="761"/>
      <c r="W185" s="761"/>
      <c r="X185" s="761"/>
      <c r="Y185" s="761"/>
      <c r="Z185" s="761"/>
      <c r="AA185" s="761"/>
      <c r="AB185" s="761"/>
      <c r="AC185" s="761"/>
      <c r="AD185" s="761"/>
      <c r="AE185" s="1216"/>
      <c r="AF185" s="1215"/>
      <c r="AG185" s="761"/>
      <c r="AH185" s="761"/>
      <c r="AI185" s="761"/>
      <c r="AJ185" s="761"/>
      <c r="AK185" s="761"/>
      <c r="AL185" s="761"/>
      <c r="AM185" s="761"/>
      <c r="AN185" s="761"/>
      <c r="AO185" s="761"/>
      <c r="AP185" s="761"/>
      <c r="AQ185" s="1216"/>
      <c r="AR185" s="1215"/>
      <c r="AS185" s="761"/>
      <c r="AT185" s="761"/>
      <c r="AU185" s="761"/>
      <c r="AV185" s="761"/>
      <c r="AW185" s="761"/>
      <c r="AX185" s="761"/>
      <c r="AY185" s="761"/>
      <c r="AZ185" s="761"/>
      <c r="BA185" s="761"/>
      <c r="BB185" s="761"/>
      <c r="BC185" s="1216"/>
      <c r="BD185" s="1215"/>
      <c r="BE185" s="761"/>
      <c r="BF185" s="761"/>
      <c r="BG185" s="761"/>
      <c r="BH185" s="761"/>
      <c r="BI185" s="761"/>
      <c r="BJ185" s="761"/>
      <c r="BK185" s="761"/>
      <c r="BL185" s="761"/>
      <c r="BM185" s="761"/>
      <c r="BN185" s="761"/>
      <c r="BO185" s="1216"/>
      <c r="BP185" s="1215"/>
      <c r="BQ185" s="761"/>
      <c r="BR185" s="761"/>
      <c r="BS185" s="761"/>
      <c r="BT185" s="761"/>
      <c r="BU185" s="761"/>
      <c r="BV185" s="761"/>
      <c r="BW185" s="761"/>
      <c r="BX185" s="761"/>
      <c r="BY185" s="761"/>
      <c r="BZ185" s="761"/>
      <c r="CA185" s="1216"/>
      <c r="CB185" s="747"/>
      <c r="CC185" s="1222">
        <f>$G185*H185*Variables!$B$53</f>
        <v>0</v>
      </c>
      <c r="CD185" s="1223">
        <f>$G185*I185*Variables!$B$53</f>
        <v>0</v>
      </c>
      <c r="CE185" s="1223">
        <f>$G185*J185*Variables!$B$53</f>
        <v>0</v>
      </c>
      <c r="CF185" s="1223">
        <f>$G185*K185*Variables!$B$53</f>
        <v>0</v>
      </c>
      <c r="CG185" s="1223">
        <f>$G185*L185*Variables!$B$53</f>
        <v>0</v>
      </c>
      <c r="CH185" s="1223">
        <f>$G185*M185*Variables!$B$53</f>
        <v>0</v>
      </c>
      <c r="CI185" s="1223">
        <f>$G185*N185*Variables!$B$53</f>
        <v>0</v>
      </c>
      <c r="CJ185" s="1223">
        <f>$G185*O185*Variables!$B$53</f>
        <v>0</v>
      </c>
      <c r="CK185" s="1223">
        <f>$G185*P185*Variables!$B$53</f>
        <v>0</v>
      </c>
      <c r="CL185" s="1223">
        <f>$G185*Q185*Variables!$B$53</f>
        <v>0</v>
      </c>
      <c r="CM185" s="1223">
        <f>$G185*R185*Variables!$B$53</f>
        <v>0</v>
      </c>
      <c r="CN185" s="1225">
        <f>$G185*S185*Variables!$B$53</f>
        <v>0</v>
      </c>
      <c r="CO185" s="1222">
        <f>$G185*T185*Variables!$B$53*HLOOKUP($CO$2,Variables!$B$60:$F$61,2,FALSE)</f>
        <v>0</v>
      </c>
      <c r="CP185" s="1223">
        <f>$G185*U185*Variables!$B$53*HLOOKUP($CO$2,Variables!$B$60:$F$61,2,FALSE)</f>
        <v>0</v>
      </c>
      <c r="CQ185" s="1223">
        <f>$G185*V185*Variables!$B$53*HLOOKUP($CO$2,Variables!$B$60:$F$61,2,FALSE)</f>
        <v>0</v>
      </c>
      <c r="CR185" s="1223">
        <f>$G185*W185*Variables!$B$53*HLOOKUP($CO$2,Variables!$B$60:$F$61,2,FALSE)</f>
        <v>0</v>
      </c>
      <c r="CS185" s="1223">
        <f>$G185*X185*Variables!$B$53*HLOOKUP($CO$2,Variables!$B$60:$F$61,2,FALSE)</f>
        <v>0</v>
      </c>
      <c r="CT185" s="1223">
        <f>$G185*Y185*Variables!$B$53*HLOOKUP($CO$2,Variables!$B$60:$F$61,2,FALSE)</f>
        <v>0</v>
      </c>
      <c r="CU185" s="1223">
        <f>$G185*Z185*Variables!$B$53*HLOOKUP($CO$2,Variables!$B$60:$F$61,2,FALSE)</f>
        <v>0</v>
      </c>
      <c r="CV185" s="1223">
        <f>$G185*AA185*Variables!$B$53*HLOOKUP($CO$2,Variables!$B$60:$F$61,2,FALSE)</f>
        <v>0</v>
      </c>
      <c r="CW185" s="1223">
        <f>$G185*AB185*Variables!$B$53*HLOOKUP($CO$2,Variables!$B$60:$F$61,2,FALSE)</f>
        <v>0</v>
      </c>
      <c r="CX185" s="1223">
        <f>$G185*AC185*Variables!$B$53*HLOOKUP($CO$2,Variables!$B$60:$F$61,2,FALSE)</f>
        <v>0</v>
      </c>
      <c r="CY185" s="1223">
        <f>$G185*AD185*Variables!$B$53*HLOOKUP($CO$2,Variables!$B$60:$F$61,2,FALSE)</f>
        <v>0</v>
      </c>
      <c r="CZ185" s="1225">
        <f>$G185*AE185*Variables!$B$53*HLOOKUP($CO$2,Variables!$B$60:$F$61,2,FALSE)</f>
        <v>0</v>
      </c>
      <c r="DA185" s="1222">
        <f>$G185*AF185*Variables!$B$53*HLOOKUP($DA$2,Variables!$B$60:$F$61,2,FALSE)</f>
        <v>0</v>
      </c>
      <c r="DB185" s="1223">
        <f>$G185*AG185*Variables!$B$53*HLOOKUP($DA$2,Variables!$B$60:$F$61,2,FALSE)</f>
        <v>0</v>
      </c>
      <c r="DC185" s="1223">
        <f>$G185*AH185*Variables!$B$53*HLOOKUP($DA$2,Variables!$B$60:$F$61,2,FALSE)</f>
        <v>0</v>
      </c>
      <c r="DD185" s="1223">
        <f>$G185*AI185*Variables!$B$53*HLOOKUP($DA$2,Variables!$B$60:$F$61,2,FALSE)</f>
        <v>0</v>
      </c>
      <c r="DE185" s="1223">
        <f>$G185*AJ185*Variables!$B$53*HLOOKUP($DA$2,Variables!$B$60:$F$61,2,FALSE)</f>
        <v>0</v>
      </c>
      <c r="DF185" s="1223">
        <f>$G185*AK185*Variables!$B$53*HLOOKUP($DA$2,Variables!$B$60:$F$61,2,FALSE)</f>
        <v>0</v>
      </c>
      <c r="DG185" s="1223">
        <f>$G185*AL185*Variables!$B$53*HLOOKUP($DA$2,Variables!$B$60:$F$61,2,FALSE)</f>
        <v>0</v>
      </c>
      <c r="DH185" s="1223">
        <f>$G185*AM185*Variables!$B$53*HLOOKUP($DA$2,Variables!$B$60:$F$61,2,FALSE)</f>
        <v>0</v>
      </c>
      <c r="DI185" s="1223">
        <f>$G185*AN185*Variables!$B$53*HLOOKUP($DA$2,Variables!$B$60:$F$61,2,FALSE)</f>
        <v>0</v>
      </c>
      <c r="DJ185" s="1223">
        <f>$G185*AO185*Variables!$B$53*HLOOKUP($DA$2,Variables!$B$60:$F$61,2,FALSE)</f>
        <v>0</v>
      </c>
      <c r="DK185" s="1223">
        <f>$G185*AP185*Variables!$B$53*HLOOKUP($DA$2,Variables!$B$60:$F$61,2,FALSE)</f>
        <v>0</v>
      </c>
      <c r="DL185" s="1225">
        <f>$G185*AQ185*Variables!$B$53*HLOOKUP($DA$2,Variables!$B$60:$F$61,2,FALSE)</f>
        <v>0</v>
      </c>
      <c r="DM185" s="1222">
        <f>$G185*AR185*Variables!$B$53*HLOOKUP($DM$2,Variables!$B$60:$F$61,2,FALSE)</f>
        <v>0</v>
      </c>
      <c r="DN185" s="1223">
        <f>$G185*AS185*Variables!$B$53*HLOOKUP($DM$2,Variables!$B$60:$F$61,2,FALSE)</f>
        <v>0</v>
      </c>
      <c r="DO185" s="1223">
        <f>$G185*AT185*Variables!$B$53*HLOOKUP($DM$2,Variables!$B$60:$F$61,2,FALSE)</f>
        <v>0</v>
      </c>
      <c r="DP185" s="1223">
        <f>$G185*AU185*Variables!$B$53*HLOOKUP($DM$2,Variables!$B$60:$F$61,2,FALSE)</f>
        <v>0</v>
      </c>
      <c r="DQ185" s="1223">
        <f>$G185*AV185*Variables!$B$53*HLOOKUP($DM$2,Variables!$B$60:$F$61,2,FALSE)</f>
        <v>0</v>
      </c>
      <c r="DR185" s="1223">
        <f>$G185*AW185*Variables!$B$53*HLOOKUP($DM$2,Variables!$B$60:$F$61,2,FALSE)</f>
        <v>0</v>
      </c>
      <c r="DS185" s="1223">
        <f>$G185*AX185*Variables!$B$53*HLOOKUP($DM$2,Variables!$B$60:$F$61,2,FALSE)</f>
        <v>0</v>
      </c>
      <c r="DT185" s="1223">
        <f>$G185*AY185*Variables!$B$53*HLOOKUP($DM$2,Variables!$B$60:$F$61,2,FALSE)</f>
        <v>0</v>
      </c>
      <c r="DU185" s="1223">
        <f>$G185*AZ185*Variables!$B$53*HLOOKUP($DM$2,Variables!$B$60:$F$61,2,FALSE)</f>
        <v>0</v>
      </c>
      <c r="DV185" s="1223">
        <f>$G185*BA185*Variables!$B$53*HLOOKUP($DM$2,Variables!$B$60:$F$61,2,FALSE)</f>
        <v>0</v>
      </c>
      <c r="DW185" s="1223">
        <f>$G185*BB185*Variables!$B$53*HLOOKUP($DM$2,Variables!$B$60:$F$61,2,FALSE)</f>
        <v>0</v>
      </c>
      <c r="DX185" s="1225">
        <f>$G185*BC185*Variables!$B$53*HLOOKUP($DM$2,Variables!$B$60:$F$61,2,FALSE)</f>
        <v>0</v>
      </c>
      <c r="DY185" s="1222">
        <f>$G185*BD185*Variables!$B$53*HLOOKUP($DY$2,Variables!$B$60:$F$61,2,FALSE)</f>
        <v>0</v>
      </c>
      <c r="DZ185" s="1223">
        <f>$G185*BE185*Variables!$B$53*HLOOKUP($DY$2,Variables!$B$60:$F$61,2,FALSE)</f>
        <v>0</v>
      </c>
      <c r="EA185" s="1223">
        <f>$G185*BF185*Variables!$B$53*HLOOKUP($DY$2,Variables!$B$60:$F$61,2,FALSE)</f>
        <v>0</v>
      </c>
      <c r="EB185" s="1223">
        <f>$G185*BG185*Variables!$B$53*HLOOKUP($DY$2,Variables!$B$60:$F$61,2,FALSE)</f>
        <v>0</v>
      </c>
      <c r="EC185" s="1223">
        <f>$G185*BH185*Variables!$B$53*HLOOKUP($DY$2,Variables!$B$60:$F$61,2,FALSE)</f>
        <v>0</v>
      </c>
      <c r="ED185" s="1223">
        <f>$G185*BI185*Variables!$B$53*HLOOKUP($DY$2,Variables!$B$60:$F$61,2,FALSE)</f>
        <v>0</v>
      </c>
      <c r="EE185" s="1223">
        <f>$G185*BJ185*Variables!$B$53*HLOOKUP($DY$2,Variables!$B$60:$F$61,2,FALSE)</f>
        <v>0</v>
      </c>
      <c r="EF185" s="1223">
        <f>$G185*BK185*Variables!$B$53*HLOOKUP($DY$2,Variables!$B$60:$F$61,2,FALSE)</f>
        <v>0</v>
      </c>
      <c r="EG185" s="1223">
        <f>$G185*BL185*Variables!$B$53*HLOOKUP($DY$2,Variables!$B$60:$F$61,2,FALSE)</f>
        <v>0</v>
      </c>
      <c r="EH185" s="1223">
        <f>$G185*BM185*Variables!$B$53*HLOOKUP($DY$2,Variables!$B$60:$F$61,2,FALSE)</f>
        <v>0</v>
      </c>
      <c r="EI185" s="1223">
        <f>$G185*BN185*Variables!$B$53*HLOOKUP($DY$2,Variables!$B$60:$F$61,2,FALSE)</f>
        <v>0</v>
      </c>
      <c r="EJ185" s="1225">
        <f>$G185*BO185*Variables!$B$53*HLOOKUP($DY$2,Variables!$B$60:$F$61,2,FALSE)</f>
        <v>0</v>
      </c>
      <c r="EK185" s="1222">
        <f>$G185*BP185*Variables!$B$53*HLOOKUP($EK$2,Variables!$B$60:$F$61,2,FALSE)</f>
        <v>0</v>
      </c>
      <c r="EL185" s="1223">
        <f>$G185*BQ185*Variables!$B$53*HLOOKUP($EK$2,Variables!$B$60:$F$61,2,FALSE)</f>
        <v>0</v>
      </c>
      <c r="EM185" s="1223">
        <f>$G185*BR185*Variables!$B$53*HLOOKUP($EK$2,Variables!$B$60:$F$61,2,FALSE)</f>
        <v>0</v>
      </c>
      <c r="EN185" s="1223">
        <f>$G185*BS185*Variables!$B$53*HLOOKUP($EK$2,Variables!$B$60:$F$61,2,FALSE)</f>
        <v>0</v>
      </c>
      <c r="EO185" s="1223">
        <f>$G185*BT185*Variables!$B$53*HLOOKUP($EK$2,Variables!$B$60:$F$61,2,FALSE)</f>
        <v>0</v>
      </c>
      <c r="EP185" s="1223">
        <f>$G185*BU185*Variables!$B$53*HLOOKUP($EK$2,Variables!$B$60:$F$61,2,FALSE)</f>
        <v>0</v>
      </c>
      <c r="EQ185" s="1223">
        <f>$G185*BV185*Variables!$B$53*HLOOKUP($EK$2,Variables!$B$60:$F$61,2,FALSE)</f>
        <v>0</v>
      </c>
      <c r="ER185" s="1223">
        <f>$G185*BW185*Variables!$B$53*HLOOKUP($EK$2,Variables!$B$60:$F$61,2,FALSE)</f>
        <v>0</v>
      </c>
      <c r="ES185" s="1223">
        <f>$G185*BX185*Variables!$B$53*HLOOKUP($EK$2,Variables!$B$60:$F$61,2,FALSE)</f>
        <v>0</v>
      </c>
      <c r="ET185" s="1223">
        <f>$G185*BY185*Variables!$B$53*HLOOKUP($EK$2,Variables!$B$60:$F$61,2,FALSE)</f>
        <v>0</v>
      </c>
      <c r="EU185" s="1223">
        <f>$G185*BZ185*Variables!$B$53*HLOOKUP($EK$2,Variables!$B$60:$F$61,2,FALSE)</f>
        <v>0</v>
      </c>
      <c r="EV185" s="1225">
        <f>$G185*CA185*Variables!$B$53*HLOOKUP($EK$2,Variables!$B$60:$F$61,2,FALSE)</f>
        <v>0</v>
      </c>
      <c r="EW185" s="872">
        <f t="shared" si="24"/>
        <v>0</v>
      </c>
      <c r="EX185" s="872"/>
      <c r="EY185" s="872"/>
      <c r="EZ185" s="872"/>
      <c r="FA185" s="1332"/>
      <c r="FC185" s="958" t="str">
        <f t="shared" si="25"/>
        <v/>
      </c>
      <c r="FD185" s="959" t="str">
        <f t="shared" si="26"/>
        <v/>
      </c>
      <c r="FE185" s="959" t="s">
        <v>8407</v>
      </c>
      <c r="FF185" s="959" t="str">
        <f>IF(ISNA(VLOOKUP(FC185,Miscellaneous!E:F,2,0)),"",VLOOKUP(FC185,Miscellaneous!E:F,2,0))</f>
        <v/>
      </c>
      <c r="FG185" s="959" t="str">
        <f t="shared" si="27"/>
        <v/>
      </c>
      <c r="FH185" s="996">
        <f>IF($FG185="Opex",SUMIF('Monthly Summary'!$C$75:$N$75,"",CC185:CN185),SUMIF('Monthly Summary'!$C$74:$N$74,"",CC185:CN185))</f>
        <v>0</v>
      </c>
      <c r="FI185" s="996">
        <f>IF($FG185="Opex",SUMIF('Monthly Summary'!$O$75:$Z$75,"",CO185:CZ185),SUMIF('Monthly Summary'!$O$74:$Z$74,"",CO185:CZ185))</f>
        <v>0</v>
      </c>
      <c r="FJ185" s="996">
        <f>IF($FG185="Opex",SUMIF('Monthly Summary'!$AA$75:$AL$75,"",DA185:DL185),SUMIF('Monthly Summary'!$AA$74:$AL$74,"",DA185:DL185))</f>
        <v>0</v>
      </c>
      <c r="FK185" s="996">
        <f>IF($FG185="Opex",SUMIF('Monthly Summary'!$AM$75:$AX$75,"",DM185:DX185),SUMIF('Monthly Summary'!$AM$74:$AX$74,"",DM185:DX185))</f>
        <v>0</v>
      </c>
      <c r="FL185" s="996">
        <f>IF($FG185="Opex",SUMIF('Monthly Summary'!$AY$75:$BJ$75,"",DY185:EJ185),SUMIF('Monthly Summary'!$AY$74:$BJ$74,"",DY185:EJ185))</f>
        <v>0</v>
      </c>
      <c r="FM185" s="997">
        <f>IF($FG185="Opex",SUMIF('Monthly Summary'!$BK$75:$BV$75,"",EK185:EV185),SUMIF('Monthly Summary'!$BK$74:$BV$74,"",EK185:EV185))</f>
        <v>0</v>
      </c>
      <c r="FN185" s="997">
        <f t="shared" si="28"/>
        <v>0</v>
      </c>
    </row>
    <row r="186" spans="3:170">
      <c r="C186" s="757"/>
      <c r="D186" s="757"/>
      <c r="E186" s="758"/>
      <c r="F186" s="758"/>
      <c r="G186" s="758"/>
      <c r="H186" s="1215"/>
      <c r="I186" s="761"/>
      <c r="J186" s="761"/>
      <c r="K186" s="761"/>
      <c r="L186" s="761"/>
      <c r="M186" s="761"/>
      <c r="N186" s="761"/>
      <c r="O186" s="761"/>
      <c r="P186" s="761"/>
      <c r="Q186" s="761"/>
      <c r="R186" s="761"/>
      <c r="S186" s="1216"/>
      <c r="T186" s="1215"/>
      <c r="U186" s="761"/>
      <c r="V186" s="761"/>
      <c r="W186" s="761"/>
      <c r="X186" s="761"/>
      <c r="Y186" s="761"/>
      <c r="Z186" s="761"/>
      <c r="AA186" s="761"/>
      <c r="AB186" s="761"/>
      <c r="AC186" s="761"/>
      <c r="AD186" s="761"/>
      <c r="AE186" s="1216"/>
      <c r="AF186" s="1215"/>
      <c r="AG186" s="761"/>
      <c r="AH186" s="761"/>
      <c r="AI186" s="761"/>
      <c r="AJ186" s="761"/>
      <c r="AK186" s="761"/>
      <c r="AL186" s="761"/>
      <c r="AM186" s="761"/>
      <c r="AN186" s="761"/>
      <c r="AO186" s="761"/>
      <c r="AP186" s="761"/>
      <c r="AQ186" s="1216"/>
      <c r="AR186" s="1215"/>
      <c r="AS186" s="761"/>
      <c r="AT186" s="761"/>
      <c r="AU186" s="761"/>
      <c r="AV186" s="761"/>
      <c r="AW186" s="761"/>
      <c r="AX186" s="761"/>
      <c r="AY186" s="761"/>
      <c r="AZ186" s="761"/>
      <c r="BA186" s="761"/>
      <c r="BB186" s="761"/>
      <c r="BC186" s="1216"/>
      <c r="BD186" s="1215"/>
      <c r="BE186" s="761"/>
      <c r="BF186" s="761"/>
      <c r="BG186" s="761"/>
      <c r="BH186" s="761"/>
      <c r="BI186" s="761"/>
      <c r="BJ186" s="761"/>
      <c r="BK186" s="761"/>
      <c r="BL186" s="761"/>
      <c r="BM186" s="761"/>
      <c r="BN186" s="761"/>
      <c r="BO186" s="1216"/>
      <c r="BP186" s="1215"/>
      <c r="BQ186" s="761"/>
      <c r="BR186" s="761"/>
      <c r="BS186" s="761"/>
      <c r="BT186" s="761"/>
      <c r="BU186" s="761"/>
      <c r="BV186" s="761"/>
      <c r="BW186" s="761"/>
      <c r="BX186" s="761"/>
      <c r="BY186" s="761"/>
      <c r="BZ186" s="761"/>
      <c r="CA186" s="1216"/>
      <c r="CB186" s="747"/>
      <c r="CC186" s="1222">
        <f>$G186*H186*Variables!$B$53</f>
        <v>0</v>
      </c>
      <c r="CD186" s="1223">
        <f>$G186*I186*Variables!$B$53</f>
        <v>0</v>
      </c>
      <c r="CE186" s="1223">
        <f>$G186*J186*Variables!$B$53</f>
        <v>0</v>
      </c>
      <c r="CF186" s="1223">
        <f>$G186*K186*Variables!$B$53</f>
        <v>0</v>
      </c>
      <c r="CG186" s="1223">
        <f>$G186*L186*Variables!$B$53</f>
        <v>0</v>
      </c>
      <c r="CH186" s="1223">
        <f>$G186*M186*Variables!$B$53</f>
        <v>0</v>
      </c>
      <c r="CI186" s="1223">
        <f>$G186*N186*Variables!$B$53</f>
        <v>0</v>
      </c>
      <c r="CJ186" s="1223">
        <f>$G186*O186*Variables!$B$53</f>
        <v>0</v>
      </c>
      <c r="CK186" s="1223">
        <f>$G186*P186*Variables!$B$53</f>
        <v>0</v>
      </c>
      <c r="CL186" s="1223">
        <f>$G186*Q186*Variables!$B$53</f>
        <v>0</v>
      </c>
      <c r="CM186" s="1223">
        <f>$G186*R186*Variables!$B$53</f>
        <v>0</v>
      </c>
      <c r="CN186" s="1225">
        <f>$G186*S186*Variables!$B$53</f>
        <v>0</v>
      </c>
      <c r="CO186" s="1222">
        <f>$G186*T186*Variables!$B$53*HLOOKUP($CO$2,Variables!$B$60:$F$61,2,FALSE)</f>
        <v>0</v>
      </c>
      <c r="CP186" s="1223">
        <f>$G186*U186*Variables!$B$53*HLOOKUP($CO$2,Variables!$B$60:$F$61,2,FALSE)</f>
        <v>0</v>
      </c>
      <c r="CQ186" s="1223">
        <f>$G186*V186*Variables!$B$53*HLOOKUP($CO$2,Variables!$B$60:$F$61,2,FALSE)</f>
        <v>0</v>
      </c>
      <c r="CR186" s="1223">
        <f>$G186*W186*Variables!$B$53*HLOOKUP($CO$2,Variables!$B$60:$F$61,2,FALSE)</f>
        <v>0</v>
      </c>
      <c r="CS186" s="1223">
        <f>$G186*X186*Variables!$B$53*HLOOKUP($CO$2,Variables!$B$60:$F$61,2,FALSE)</f>
        <v>0</v>
      </c>
      <c r="CT186" s="1223">
        <f>$G186*Y186*Variables!$B$53*HLOOKUP($CO$2,Variables!$B$60:$F$61,2,FALSE)</f>
        <v>0</v>
      </c>
      <c r="CU186" s="1223">
        <f>$G186*Z186*Variables!$B$53*HLOOKUP($CO$2,Variables!$B$60:$F$61,2,FALSE)</f>
        <v>0</v>
      </c>
      <c r="CV186" s="1223">
        <f>$G186*AA186*Variables!$B$53*HLOOKUP($CO$2,Variables!$B$60:$F$61,2,FALSE)</f>
        <v>0</v>
      </c>
      <c r="CW186" s="1223">
        <f>$G186*AB186*Variables!$B$53*HLOOKUP($CO$2,Variables!$B$60:$F$61,2,FALSE)</f>
        <v>0</v>
      </c>
      <c r="CX186" s="1223">
        <f>$G186*AC186*Variables!$B$53*HLOOKUP($CO$2,Variables!$B$60:$F$61,2,FALSE)</f>
        <v>0</v>
      </c>
      <c r="CY186" s="1223">
        <f>$G186*AD186*Variables!$B$53*HLOOKUP($CO$2,Variables!$B$60:$F$61,2,FALSE)</f>
        <v>0</v>
      </c>
      <c r="CZ186" s="1225">
        <f>$G186*AE186*Variables!$B$53*HLOOKUP($CO$2,Variables!$B$60:$F$61,2,FALSE)</f>
        <v>0</v>
      </c>
      <c r="DA186" s="1222">
        <f>$G186*AF186*Variables!$B$53*HLOOKUP($DA$2,Variables!$B$60:$F$61,2,FALSE)</f>
        <v>0</v>
      </c>
      <c r="DB186" s="1223">
        <f>$G186*AG186*Variables!$B$53*HLOOKUP($DA$2,Variables!$B$60:$F$61,2,FALSE)</f>
        <v>0</v>
      </c>
      <c r="DC186" s="1223">
        <f>$G186*AH186*Variables!$B$53*HLOOKUP($DA$2,Variables!$B$60:$F$61,2,FALSE)</f>
        <v>0</v>
      </c>
      <c r="DD186" s="1223">
        <f>$G186*AI186*Variables!$B$53*HLOOKUP($DA$2,Variables!$B$60:$F$61,2,FALSE)</f>
        <v>0</v>
      </c>
      <c r="DE186" s="1223">
        <f>$G186*AJ186*Variables!$B$53*HLOOKUP($DA$2,Variables!$B$60:$F$61,2,FALSE)</f>
        <v>0</v>
      </c>
      <c r="DF186" s="1223">
        <f>$G186*AK186*Variables!$B$53*HLOOKUP($DA$2,Variables!$B$60:$F$61,2,FALSE)</f>
        <v>0</v>
      </c>
      <c r="DG186" s="1223">
        <f>$G186*AL186*Variables!$B$53*HLOOKUP($DA$2,Variables!$B$60:$F$61,2,FALSE)</f>
        <v>0</v>
      </c>
      <c r="DH186" s="1223">
        <f>$G186*AM186*Variables!$B$53*HLOOKUP($DA$2,Variables!$B$60:$F$61,2,FALSE)</f>
        <v>0</v>
      </c>
      <c r="DI186" s="1223">
        <f>$G186*AN186*Variables!$B$53*HLOOKUP($DA$2,Variables!$B$60:$F$61,2,FALSE)</f>
        <v>0</v>
      </c>
      <c r="DJ186" s="1223">
        <f>$G186*AO186*Variables!$B$53*HLOOKUP($DA$2,Variables!$B$60:$F$61,2,FALSE)</f>
        <v>0</v>
      </c>
      <c r="DK186" s="1223">
        <f>$G186*AP186*Variables!$B$53*HLOOKUP($DA$2,Variables!$B$60:$F$61,2,FALSE)</f>
        <v>0</v>
      </c>
      <c r="DL186" s="1225">
        <f>$G186*AQ186*Variables!$B$53*HLOOKUP($DA$2,Variables!$B$60:$F$61,2,FALSE)</f>
        <v>0</v>
      </c>
      <c r="DM186" s="1222">
        <f>$G186*AR186*Variables!$B$53*HLOOKUP($DM$2,Variables!$B$60:$F$61,2,FALSE)</f>
        <v>0</v>
      </c>
      <c r="DN186" s="1223">
        <f>$G186*AS186*Variables!$B$53*HLOOKUP($DM$2,Variables!$B$60:$F$61,2,FALSE)</f>
        <v>0</v>
      </c>
      <c r="DO186" s="1223">
        <f>$G186*AT186*Variables!$B$53*HLOOKUP($DM$2,Variables!$B$60:$F$61,2,FALSE)</f>
        <v>0</v>
      </c>
      <c r="DP186" s="1223">
        <f>$G186*AU186*Variables!$B$53*HLOOKUP($DM$2,Variables!$B$60:$F$61,2,FALSE)</f>
        <v>0</v>
      </c>
      <c r="DQ186" s="1223">
        <f>$G186*AV186*Variables!$B$53*HLOOKUP($DM$2,Variables!$B$60:$F$61,2,FALSE)</f>
        <v>0</v>
      </c>
      <c r="DR186" s="1223">
        <f>$G186*AW186*Variables!$B$53*HLOOKUP($DM$2,Variables!$B$60:$F$61,2,FALSE)</f>
        <v>0</v>
      </c>
      <c r="DS186" s="1223">
        <f>$G186*AX186*Variables!$B$53*HLOOKUP($DM$2,Variables!$B$60:$F$61,2,FALSE)</f>
        <v>0</v>
      </c>
      <c r="DT186" s="1223">
        <f>$G186*AY186*Variables!$B$53*HLOOKUP($DM$2,Variables!$B$60:$F$61,2,FALSE)</f>
        <v>0</v>
      </c>
      <c r="DU186" s="1223">
        <f>$G186*AZ186*Variables!$B$53*HLOOKUP($DM$2,Variables!$B$60:$F$61,2,FALSE)</f>
        <v>0</v>
      </c>
      <c r="DV186" s="1223">
        <f>$G186*BA186*Variables!$B$53*HLOOKUP($DM$2,Variables!$B$60:$F$61,2,FALSE)</f>
        <v>0</v>
      </c>
      <c r="DW186" s="1223">
        <f>$G186*BB186*Variables!$B$53*HLOOKUP($DM$2,Variables!$B$60:$F$61,2,FALSE)</f>
        <v>0</v>
      </c>
      <c r="DX186" s="1225">
        <f>$G186*BC186*Variables!$B$53*HLOOKUP($DM$2,Variables!$B$60:$F$61,2,FALSE)</f>
        <v>0</v>
      </c>
      <c r="DY186" s="1222">
        <f>$G186*BD186*Variables!$B$53*HLOOKUP($DY$2,Variables!$B$60:$F$61,2,FALSE)</f>
        <v>0</v>
      </c>
      <c r="DZ186" s="1223">
        <f>$G186*BE186*Variables!$B$53*HLOOKUP($DY$2,Variables!$B$60:$F$61,2,FALSE)</f>
        <v>0</v>
      </c>
      <c r="EA186" s="1223">
        <f>$G186*BF186*Variables!$B$53*HLOOKUP($DY$2,Variables!$B$60:$F$61,2,FALSE)</f>
        <v>0</v>
      </c>
      <c r="EB186" s="1223">
        <f>$G186*BG186*Variables!$B$53*HLOOKUP($DY$2,Variables!$B$60:$F$61,2,FALSE)</f>
        <v>0</v>
      </c>
      <c r="EC186" s="1223">
        <f>$G186*BH186*Variables!$B$53*HLOOKUP($DY$2,Variables!$B$60:$F$61,2,FALSE)</f>
        <v>0</v>
      </c>
      <c r="ED186" s="1223">
        <f>$G186*BI186*Variables!$B$53*HLOOKUP($DY$2,Variables!$B$60:$F$61,2,FALSE)</f>
        <v>0</v>
      </c>
      <c r="EE186" s="1223">
        <f>$G186*BJ186*Variables!$B$53*HLOOKUP($DY$2,Variables!$B$60:$F$61,2,FALSE)</f>
        <v>0</v>
      </c>
      <c r="EF186" s="1223">
        <f>$G186*BK186*Variables!$B$53*HLOOKUP($DY$2,Variables!$B$60:$F$61,2,FALSE)</f>
        <v>0</v>
      </c>
      <c r="EG186" s="1223">
        <f>$G186*BL186*Variables!$B$53*HLOOKUP($DY$2,Variables!$B$60:$F$61,2,FALSE)</f>
        <v>0</v>
      </c>
      <c r="EH186" s="1223">
        <f>$G186*BM186*Variables!$B$53*HLOOKUP($DY$2,Variables!$B$60:$F$61,2,FALSE)</f>
        <v>0</v>
      </c>
      <c r="EI186" s="1223">
        <f>$G186*BN186*Variables!$B$53*HLOOKUP($DY$2,Variables!$B$60:$F$61,2,FALSE)</f>
        <v>0</v>
      </c>
      <c r="EJ186" s="1225">
        <f>$G186*BO186*Variables!$B$53*HLOOKUP($DY$2,Variables!$B$60:$F$61,2,FALSE)</f>
        <v>0</v>
      </c>
      <c r="EK186" s="1222">
        <f>$G186*BP186*Variables!$B$53*HLOOKUP($EK$2,Variables!$B$60:$F$61,2,FALSE)</f>
        <v>0</v>
      </c>
      <c r="EL186" s="1223">
        <f>$G186*BQ186*Variables!$B$53*HLOOKUP($EK$2,Variables!$B$60:$F$61,2,FALSE)</f>
        <v>0</v>
      </c>
      <c r="EM186" s="1223">
        <f>$G186*BR186*Variables!$B$53*HLOOKUP($EK$2,Variables!$B$60:$F$61,2,FALSE)</f>
        <v>0</v>
      </c>
      <c r="EN186" s="1223">
        <f>$G186*BS186*Variables!$B$53*HLOOKUP($EK$2,Variables!$B$60:$F$61,2,FALSE)</f>
        <v>0</v>
      </c>
      <c r="EO186" s="1223">
        <f>$G186*BT186*Variables!$B$53*HLOOKUP($EK$2,Variables!$B$60:$F$61,2,FALSE)</f>
        <v>0</v>
      </c>
      <c r="EP186" s="1223">
        <f>$G186*BU186*Variables!$B$53*HLOOKUP($EK$2,Variables!$B$60:$F$61,2,FALSE)</f>
        <v>0</v>
      </c>
      <c r="EQ186" s="1223">
        <f>$G186*BV186*Variables!$B$53*HLOOKUP($EK$2,Variables!$B$60:$F$61,2,FALSE)</f>
        <v>0</v>
      </c>
      <c r="ER186" s="1223">
        <f>$G186*BW186*Variables!$B$53*HLOOKUP($EK$2,Variables!$B$60:$F$61,2,FALSE)</f>
        <v>0</v>
      </c>
      <c r="ES186" s="1223">
        <f>$G186*BX186*Variables!$B$53*HLOOKUP($EK$2,Variables!$B$60:$F$61,2,FALSE)</f>
        <v>0</v>
      </c>
      <c r="ET186" s="1223">
        <f>$G186*BY186*Variables!$B$53*HLOOKUP($EK$2,Variables!$B$60:$F$61,2,FALSE)</f>
        <v>0</v>
      </c>
      <c r="EU186" s="1223">
        <f>$G186*BZ186*Variables!$B$53*HLOOKUP($EK$2,Variables!$B$60:$F$61,2,FALSE)</f>
        <v>0</v>
      </c>
      <c r="EV186" s="1225">
        <f>$G186*CA186*Variables!$B$53*HLOOKUP($EK$2,Variables!$B$60:$F$61,2,FALSE)</f>
        <v>0</v>
      </c>
      <c r="EW186" s="872">
        <f t="shared" si="24"/>
        <v>0</v>
      </c>
      <c r="EX186" s="872"/>
      <c r="EY186" s="872"/>
      <c r="EZ186" s="872"/>
      <c r="FA186" s="1332"/>
      <c r="FC186" s="958" t="str">
        <f t="shared" si="25"/>
        <v/>
      </c>
      <c r="FD186" s="959" t="str">
        <f t="shared" si="26"/>
        <v/>
      </c>
      <c r="FE186" s="959" t="s">
        <v>8407</v>
      </c>
      <c r="FF186" s="959" t="str">
        <f>IF(ISNA(VLOOKUP(FC186,Miscellaneous!E:F,2,0)),"",VLOOKUP(FC186,Miscellaneous!E:F,2,0))</f>
        <v/>
      </c>
      <c r="FG186" s="959" t="str">
        <f t="shared" si="27"/>
        <v/>
      </c>
      <c r="FH186" s="996">
        <f>IF($FG186="Opex",SUMIF('Monthly Summary'!$C$75:$N$75,"",CC186:CN186),SUMIF('Monthly Summary'!$C$74:$N$74,"",CC186:CN186))</f>
        <v>0</v>
      </c>
      <c r="FI186" s="996">
        <f>IF($FG186="Opex",SUMIF('Monthly Summary'!$O$75:$Z$75,"",CO186:CZ186),SUMIF('Monthly Summary'!$O$74:$Z$74,"",CO186:CZ186))</f>
        <v>0</v>
      </c>
      <c r="FJ186" s="996">
        <f>IF($FG186="Opex",SUMIF('Monthly Summary'!$AA$75:$AL$75,"",DA186:DL186),SUMIF('Monthly Summary'!$AA$74:$AL$74,"",DA186:DL186))</f>
        <v>0</v>
      </c>
      <c r="FK186" s="996">
        <f>IF($FG186="Opex",SUMIF('Monthly Summary'!$AM$75:$AX$75,"",DM186:DX186),SUMIF('Monthly Summary'!$AM$74:$AX$74,"",DM186:DX186))</f>
        <v>0</v>
      </c>
      <c r="FL186" s="996">
        <f>IF($FG186="Opex",SUMIF('Monthly Summary'!$AY$75:$BJ$75,"",DY186:EJ186),SUMIF('Monthly Summary'!$AY$74:$BJ$74,"",DY186:EJ186))</f>
        <v>0</v>
      </c>
      <c r="FM186" s="997">
        <f>IF($FG186="Opex",SUMIF('Monthly Summary'!$BK$75:$BV$75,"",EK186:EV186),SUMIF('Monthly Summary'!$BK$74:$BV$74,"",EK186:EV186))</f>
        <v>0</v>
      </c>
      <c r="FN186" s="997">
        <f t="shared" si="28"/>
        <v>0</v>
      </c>
    </row>
    <row r="187" spans="3:170">
      <c r="C187" s="757"/>
      <c r="D187" s="757"/>
      <c r="E187" s="758"/>
      <c r="F187" s="758"/>
      <c r="G187" s="758"/>
      <c r="H187" s="1215"/>
      <c r="I187" s="761"/>
      <c r="J187" s="761"/>
      <c r="K187" s="761"/>
      <c r="L187" s="761"/>
      <c r="M187" s="761"/>
      <c r="N187" s="761"/>
      <c r="O187" s="761"/>
      <c r="P187" s="761"/>
      <c r="Q187" s="761"/>
      <c r="R187" s="761"/>
      <c r="S187" s="1216"/>
      <c r="T187" s="1215"/>
      <c r="U187" s="761"/>
      <c r="V187" s="761"/>
      <c r="W187" s="761"/>
      <c r="X187" s="761"/>
      <c r="Y187" s="761"/>
      <c r="Z187" s="761"/>
      <c r="AA187" s="761"/>
      <c r="AB187" s="761"/>
      <c r="AC187" s="761"/>
      <c r="AD187" s="761"/>
      <c r="AE187" s="1216"/>
      <c r="AF187" s="1215"/>
      <c r="AG187" s="761"/>
      <c r="AH187" s="761"/>
      <c r="AI187" s="761"/>
      <c r="AJ187" s="761"/>
      <c r="AK187" s="761"/>
      <c r="AL187" s="761"/>
      <c r="AM187" s="761"/>
      <c r="AN187" s="761"/>
      <c r="AO187" s="761"/>
      <c r="AP187" s="761"/>
      <c r="AQ187" s="1216"/>
      <c r="AR187" s="1215"/>
      <c r="AS187" s="761"/>
      <c r="AT187" s="761"/>
      <c r="AU187" s="761"/>
      <c r="AV187" s="761"/>
      <c r="AW187" s="761"/>
      <c r="AX187" s="761"/>
      <c r="AY187" s="761"/>
      <c r="AZ187" s="761"/>
      <c r="BA187" s="761"/>
      <c r="BB187" s="761"/>
      <c r="BC187" s="1216"/>
      <c r="BD187" s="1215"/>
      <c r="BE187" s="761"/>
      <c r="BF187" s="761"/>
      <c r="BG187" s="761"/>
      <c r="BH187" s="761"/>
      <c r="BI187" s="761"/>
      <c r="BJ187" s="761"/>
      <c r="BK187" s="761"/>
      <c r="BL187" s="761"/>
      <c r="BM187" s="761"/>
      <c r="BN187" s="761"/>
      <c r="BO187" s="1216"/>
      <c r="BP187" s="1215"/>
      <c r="BQ187" s="761"/>
      <c r="BR187" s="761"/>
      <c r="BS187" s="761"/>
      <c r="BT187" s="761"/>
      <c r="BU187" s="761"/>
      <c r="BV187" s="761"/>
      <c r="BW187" s="761"/>
      <c r="BX187" s="761"/>
      <c r="BY187" s="761"/>
      <c r="BZ187" s="761"/>
      <c r="CA187" s="1216"/>
      <c r="CB187" s="747"/>
      <c r="CC187" s="1222">
        <f>$G187*H187*Variables!$B$53</f>
        <v>0</v>
      </c>
      <c r="CD187" s="1223">
        <f>$G187*I187*Variables!$B$53</f>
        <v>0</v>
      </c>
      <c r="CE187" s="1223">
        <f>$G187*J187*Variables!$B$53</f>
        <v>0</v>
      </c>
      <c r="CF187" s="1223">
        <f>$G187*K187*Variables!$B$53</f>
        <v>0</v>
      </c>
      <c r="CG187" s="1223">
        <f>$G187*L187*Variables!$B$53</f>
        <v>0</v>
      </c>
      <c r="CH187" s="1223">
        <f>$G187*M187*Variables!$B$53</f>
        <v>0</v>
      </c>
      <c r="CI187" s="1223">
        <f>$G187*N187*Variables!$B$53</f>
        <v>0</v>
      </c>
      <c r="CJ187" s="1223">
        <f>$G187*O187*Variables!$B$53</f>
        <v>0</v>
      </c>
      <c r="CK187" s="1223">
        <f>$G187*P187*Variables!$B$53</f>
        <v>0</v>
      </c>
      <c r="CL187" s="1223">
        <f>$G187*Q187*Variables!$B$53</f>
        <v>0</v>
      </c>
      <c r="CM187" s="1223">
        <f>$G187*R187*Variables!$B$53</f>
        <v>0</v>
      </c>
      <c r="CN187" s="1225">
        <f>$G187*S187*Variables!$B$53</f>
        <v>0</v>
      </c>
      <c r="CO187" s="1222">
        <f>$G187*T187*Variables!$B$53*HLOOKUP($CO$2,Variables!$B$60:$F$61,2,FALSE)</f>
        <v>0</v>
      </c>
      <c r="CP187" s="1223">
        <f>$G187*U187*Variables!$B$53*HLOOKUP($CO$2,Variables!$B$60:$F$61,2,FALSE)</f>
        <v>0</v>
      </c>
      <c r="CQ187" s="1223">
        <f>$G187*V187*Variables!$B$53*HLOOKUP($CO$2,Variables!$B$60:$F$61,2,FALSE)</f>
        <v>0</v>
      </c>
      <c r="CR187" s="1223">
        <f>$G187*W187*Variables!$B$53*HLOOKUP($CO$2,Variables!$B$60:$F$61,2,FALSE)</f>
        <v>0</v>
      </c>
      <c r="CS187" s="1223">
        <f>$G187*X187*Variables!$B$53*HLOOKUP($CO$2,Variables!$B$60:$F$61,2,FALSE)</f>
        <v>0</v>
      </c>
      <c r="CT187" s="1223">
        <f>$G187*Y187*Variables!$B$53*HLOOKUP($CO$2,Variables!$B$60:$F$61,2,FALSE)</f>
        <v>0</v>
      </c>
      <c r="CU187" s="1223">
        <f>$G187*Z187*Variables!$B$53*HLOOKUP($CO$2,Variables!$B$60:$F$61,2,FALSE)</f>
        <v>0</v>
      </c>
      <c r="CV187" s="1223">
        <f>$G187*AA187*Variables!$B$53*HLOOKUP($CO$2,Variables!$B$60:$F$61,2,FALSE)</f>
        <v>0</v>
      </c>
      <c r="CW187" s="1223">
        <f>$G187*AB187*Variables!$B$53*HLOOKUP($CO$2,Variables!$B$60:$F$61,2,FALSE)</f>
        <v>0</v>
      </c>
      <c r="CX187" s="1223">
        <f>$G187*AC187*Variables!$B$53*HLOOKUP($CO$2,Variables!$B$60:$F$61,2,FALSE)</f>
        <v>0</v>
      </c>
      <c r="CY187" s="1223">
        <f>$G187*AD187*Variables!$B$53*HLOOKUP($CO$2,Variables!$B$60:$F$61,2,FALSE)</f>
        <v>0</v>
      </c>
      <c r="CZ187" s="1225">
        <f>$G187*AE187*Variables!$B$53*HLOOKUP($CO$2,Variables!$B$60:$F$61,2,FALSE)</f>
        <v>0</v>
      </c>
      <c r="DA187" s="1222">
        <f>$G187*AF187*Variables!$B$53*HLOOKUP($DA$2,Variables!$B$60:$F$61,2,FALSE)</f>
        <v>0</v>
      </c>
      <c r="DB187" s="1223">
        <f>$G187*AG187*Variables!$B$53*HLOOKUP($DA$2,Variables!$B$60:$F$61,2,FALSE)</f>
        <v>0</v>
      </c>
      <c r="DC187" s="1223">
        <f>$G187*AH187*Variables!$B$53*HLOOKUP($DA$2,Variables!$B$60:$F$61,2,FALSE)</f>
        <v>0</v>
      </c>
      <c r="DD187" s="1223">
        <f>$G187*AI187*Variables!$B$53*HLOOKUP($DA$2,Variables!$B$60:$F$61,2,FALSE)</f>
        <v>0</v>
      </c>
      <c r="DE187" s="1223">
        <f>$G187*AJ187*Variables!$B$53*HLOOKUP($DA$2,Variables!$B$60:$F$61,2,FALSE)</f>
        <v>0</v>
      </c>
      <c r="DF187" s="1223">
        <f>$G187*AK187*Variables!$B$53*HLOOKUP($DA$2,Variables!$B$60:$F$61,2,FALSE)</f>
        <v>0</v>
      </c>
      <c r="DG187" s="1223">
        <f>$G187*AL187*Variables!$B$53*HLOOKUP($DA$2,Variables!$B$60:$F$61,2,FALSE)</f>
        <v>0</v>
      </c>
      <c r="DH187" s="1223">
        <f>$G187*AM187*Variables!$B$53*HLOOKUP($DA$2,Variables!$B$60:$F$61,2,FALSE)</f>
        <v>0</v>
      </c>
      <c r="DI187" s="1223">
        <f>$G187*AN187*Variables!$B$53*HLOOKUP($DA$2,Variables!$B$60:$F$61,2,FALSE)</f>
        <v>0</v>
      </c>
      <c r="DJ187" s="1223">
        <f>$G187*AO187*Variables!$B$53*HLOOKUP($DA$2,Variables!$B$60:$F$61,2,FALSE)</f>
        <v>0</v>
      </c>
      <c r="DK187" s="1223">
        <f>$G187*AP187*Variables!$B$53*HLOOKUP($DA$2,Variables!$B$60:$F$61,2,FALSE)</f>
        <v>0</v>
      </c>
      <c r="DL187" s="1225">
        <f>$G187*AQ187*Variables!$B$53*HLOOKUP($DA$2,Variables!$B$60:$F$61,2,FALSE)</f>
        <v>0</v>
      </c>
      <c r="DM187" s="1222">
        <f>$G187*AR187*Variables!$B$53*HLOOKUP($DM$2,Variables!$B$60:$F$61,2,FALSE)</f>
        <v>0</v>
      </c>
      <c r="DN187" s="1223">
        <f>$G187*AS187*Variables!$B$53*HLOOKUP($DM$2,Variables!$B$60:$F$61,2,FALSE)</f>
        <v>0</v>
      </c>
      <c r="DO187" s="1223">
        <f>$G187*AT187*Variables!$B$53*HLOOKUP($DM$2,Variables!$B$60:$F$61,2,FALSE)</f>
        <v>0</v>
      </c>
      <c r="DP187" s="1223">
        <f>$G187*AU187*Variables!$B$53*HLOOKUP($DM$2,Variables!$B$60:$F$61,2,FALSE)</f>
        <v>0</v>
      </c>
      <c r="DQ187" s="1223">
        <f>$G187*AV187*Variables!$B$53*HLOOKUP($DM$2,Variables!$B$60:$F$61,2,FALSE)</f>
        <v>0</v>
      </c>
      <c r="DR187" s="1223">
        <f>$G187*AW187*Variables!$B$53*HLOOKUP($DM$2,Variables!$B$60:$F$61,2,FALSE)</f>
        <v>0</v>
      </c>
      <c r="DS187" s="1223">
        <f>$G187*AX187*Variables!$B$53*HLOOKUP($DM$2,Variables!$B$60:$F$61,2,FALSE)</f>
        <v>0</v>
      </c>
      <c r="DT187" s="1223">
        <f>$G187*AY187*Variables!$B$53*HLOOKUP($DM$2,Variables!$B$60:$F$61,2,FALSE)</f>
        <v>0</v>
      </c>
      <c r="DU187" s="1223">
        <f>$G187*AZ187*Variables!$B$53*HLOOKUP($DM$2,Variables!$B$60:$F$61,2,FALSE)</f>
        <v>0</v>
      </c>
      <c r="DV187" s="1223">
        <f>$G187*BA187*Variables!$B$53*HLOOKUP($DM$2,Variables!$B$60:$F$61,2,FALSE)</f>
        <v>0</v>
      </c>
      <c r="DW187" s="1223">
        <f>$G187*BB187*Variables!$B$53*HLOOKUP($DM$2,Variables!$B$60:$F$61,2,FALSE)</f>
        <v>0</v>
      </c>
      <c r="DX187" s="1225">
        <f>$G187*BC187*Variables!$B$53*HLOOKUP($DM$2,Variables!$B$60:$F$61,2,FALSE)</f>
        <v>0</v>
      </c>
      <c r="DY187" s="1222">
        <f>$G187*BD187*Variables!$B$53*HLOOKUP($DY$2,Variables!$B$60:$F$61,2,FALSE)</f>
        <v>0</v>
      </c>
      <c r="DZ187" s="1223">
        <f>$G187*BE187*Variables!$B$53*HLOOKUP($DY$2,Variables!$B$60:$F$61,2,FALSE)</f>
        <v>0</v>
      </c>
      <c r="EA187" s="1223">
        <f>$G187*BF187*Variables!$B$53*HLOOKUP($DY$2,Variables!$B$60:$F$61,2,FALSE)</f>
        <v>0</v>
      </c>
      <c r="EB187" s="1223">
        <f>$G187*BG187*Variables!$B$53*HLOOKUP($DY$2,Variables!$B$60:$F$61,2,FALSE)</f>
        <v>0</v>
      </c>
      <c r="EC187" s="1223">
        <f>$G187*BH187*Variables!$B$53*HLOOKUP($DY$2,Variables!$B$60:$F$61,2,FALSE)</f>
        <v>0</v>
      </c>
      <c r="ED187" s="1223">
        <f>$G187*BI187*Variables!$B$53*HLOOKUP($DY$2,Variables!$B$60:$F$61,2,FALSE)</f>
        <v>0</v>
      </c>
      <c r="EE187" s="1223">
        <f>$G187*BJ187*Variables!$B$53*HLOOKUP($DY$2,Variables!$B$60:$F$61,2,FALSE)</f>
        <v>0</v>
      </c>
      <c r="EF187" s="1223">
        <f>$G187*BK187*Variables!$B$53*HLOOKUP($DY$2,Variables!$B$60:$F$61,2,FALSE)</f>
        <v>0</v>
      </c>
      <c r="EG187" s="1223">
        <f>$G187*BL187*Variables!$B$53*HLOOKUP($DY$2,Variables!$B$60:$F$61,2,FALSE)</f>
        <v>0</v>
      </c>
      <c r="EH187" s="1223">
        <f>$G187*BM187*Variables!$B$53*HLOOKUP($DY$2,Variables!$B$60:$F$61,2,FALSE)</f>
        <v>0</v>
      </c>
      <c r="EI187" s="1223">
        <f>$G187*BN187*Variables!$B$53*HLOOKUP($DY$2,Variables!$B$60:$F$61,2,FALSE)</f>
        <v>0</v>
      </c>
      <c r="EJ187" s="1225">
        <f>$G187*BO187*Variables!$B$53*HLOOKUP($DY$2,Variables!$B$60:$F$61,2,FALSE)</f>
        <v>0</v>
      </c>
      <c r="EK187" s="1222">
        <f>$G187*BP187*Variables!$B$53*HLOOKUP($EK$2,Variables!$B$60:$F$61,2,FALSE)</f>
        <v>0</v>
      </c>
      <c r="EL187" s="1223">
        <f>$G187*BQ187*Variables!$B$53*HLOOKUP($EK$2,Variables!$B$60:$F$61,2,FALSE)</f>
        <v>0</v>
      </c>
      <c r="EM187" s="1223">
        <f>$G187*BR187*Variables!$B$53*HLOOKUP($EK$2,Variables!$B$60:$F$61,2,FALSE)</f>
        <v>0</v>
      </c>
      <c r="EN187" s="1223">
        <f>$G187*BS187*Variables!$B$53*HLOOKUP($EK$2,Variables!$B$60:$F$61,2,FALSE)</f>
        <v>0</v>
      </c>
      <c r="EO187" s="1223">
        <f>$G187*BT187*Variables!$B$53*HLOOKUP($EK$2,Variables!$B$60:$F$61,2,FALSE)</f>
        <v>0</v>
      </c>
      <c r="EP187" s="1223">
        <f>$G187*BU187*Variables!$B$53*HLOOKUP($EK$2,Variables!$B$60:$F$61,2,FALSE)</f>
        <v>0</v>
      </c>
      <c r="EQ187" s="1223">
        <f>$G187*BV187*Variables!$B$53*HLOOKUP($EK$2,Variables!$B$60:$F$61,2,FALSE)</f>
        <v>0</v>
      </c>
      <c r="ER187" s="1223">
        <f>$G187*BW187*Variables!$B$53*HLOOKUP($EK$2,Variables!$B$60:$F$61,2,FALSE)</f>
        <v>0</v>
      </c>
      <c r="ES187" s="1223">
        <f>$G187*BX187*Variables!$B$53*HLOOKUP($EK$2,Variables!$B$60:$F$61,2,FALSE)</f>
        <v>0</v>
      </c>
      <c r="ET187" s="1223">
        <f>$G187*BY187*Variables!$B$53*HLOOKUP($EK$2,Variables!$B$60:$F$61,2,FALSE)</f>
        <v>0</v>
      </c>
      <c r="EU187" s="1223">
        <f>$G187*BZ187*Variables!$B$53*HLOOKUP($EK$2,Variables!$B$60:$F$61,2,FALSE)</f>
        <v>0</v>
      </c>
      <c r="EV187" s="1225">
        <f>$G187*CA187*Variables!$B$53*HLOOKUP($EK$2,Variables!$B$60:$F$61,2,FALSE)</f>
        <v>0</v>
      </c>
      <c r="EW187" s="872">
        <f t="shared" si="24"/>
        <v>0</v>
      </c>
      <c r="EX187" s="872"/>
      <c r="EY187" s="872"/>
      <c r="EZ187" s="872"/>
      <c r="FA187" s="1332"/>
      <c r="FC187" s="958" t="str">
        <f t="shared" si="25"/>
        <v/>
      </c>
      <c r="FD187" s="959" t="str">
        <f t="shared" si="26"/>
        <v/>
      </c>
      <c r="FE187" s="959" t="s">
        <v>8407</v>
      </c>
      <c r="FF187" s="959" t="str">
        <f>IF(ISNA(VLOOKUP(FC187,Miscellaneous!E:F,2,0)),"",VLOOKUP(FC187,Miscellaneous!E:F,2,0))</f>
        <v/>
      </c>
      <c r="FG187" s="959" t="str">
        <f t="shared" si="27"/>
        <v/>
      </c>
      <c r="FH187" s="996">
        <f>IF($FG187="Opex",SUMIF('Monthly Summary'!$C$75:$N$75,"",CC187:CN187),SUMIF('Monthly Summary'!$C$74:$N$74,"",CC187:CN187))</f>
        <v>0</v>
      </c>
      <c r="FI187" s="996">
        <f>IF($FG187="Opex",SUMIF('Monthly Summary'!$O$75:$Z$75,"",CO187:CZ187),SUMIF('Monthly Summary'!$O$74:$Z$74,"",CO187:CZ187))</f>
        <v>0</v>
      </c>
      <c r="FJ187" s="996">
        <f>IF($FG187="Opex",SUMIF('Monthly Summary'!$AA$75:$AL$75,"",DA187:DL187),SUMIF('Monthly Summary'!$AA$74:$AL$74,"",DA187:DL187))</f>
        <v>0</v>
      </c>
      <c r="FK187" s="996">
        <f>IF($FG187="Opex",SUMIF('Monthly Summary'!$AM$75:$AX$75,"",DM187:DX187),SUMIF('Monthly Summary'!$AM$74:$AX$74,"",DM187:DX187))</f>
        <v>0</v>
      </c>
      <c r="FL187" s="996">
        <f>IF($FG187="Opex",SUMIF('Monthly Summary'!$AY$75:$BJ$75,"",DY187:EJ187),SUMIF('Monthly Summary'!$AY$74:$BJ$74,"",DY187:EJ187))</f>
        <v>0</v>
      </c>
      <c r="FM187" s="997">
        <f>IF($FG187="Opex",SUMIF('Monthly Summary'!$BK$75:$BV$75,"",EK187:EV187),SUMIF('Monthly Summary'!$BK$74:$BV$74,"",EK187:EV187))</f>
        <v>0</v>
      </c>
      <c r="FN187" s="997">
        <f t="shared" si="28"/>
        <v>0</v>
      </c>
    </row>
    <row r="188" spans="3:170">
      <c r="C188" s="757"/>
      <c r="D188" s="757"/>
      <c r="E188" s="758"/>
      <c r="F188" s="758"/>
      <c r="G188" s="758"/>
      <c r="H188" s="1215"/>
      <c r="I188" s="761"/>
      <c r="J188" s="761"/>
      <c r="K188" s="761"/>
      <c r="L188" s="761"/>
      <c r="M188" s="761"/>
      <c r="N188" s="761"/>
      <c r="O188" s="761"/>
      <c r="P188" s="761"/>
      <c r="Q188" s="761"/>
      <c r="R188" s="761"/>
      <c r="S188" s="1216"/>
      <c r="T188" s="1215"/>
      <c r="U188" s="761"/>
      <c r="V188" s="761"/>
      <c r="W188" s="761"/>
      <c r="X188" s="761"/>
      <c r="Y188" s="761"/>
      <c r="Z188" s="761"/>
      <c r="AA188" s="761"/>
      <c r="AB188" s="761"/>
      <c r="AC188" s="761"/>
      <c r="AD188" s="761"/>
      <c r="AE188" s="1216"/>
      <c r="AF188" s="1215"/>
      <c r="AG188" s="761"/>
      <c r="AH188" s="761"/>
      <c r="AI188" s="761"/>
      <c r="AJ188" s="761"/>
      <c r="AK188" s="761"/>
      <c r="AL188" s="761"/>
      <c r="AM188" s="761"/>
      <c r="AN188" s="761"/>
      <c r="AO188" s="761"/>
      <c r="AP188" s="761"/>
      <c r="AQ188" s="1216"/>
      <c r="AR188" s="1215"/>
      <c r="AS188" s="761"/>
      <c r="AT188" s="761"/>
      <c r="AU188" s="761"/>
      <c r="AV188" s="761"/>
      <c r="AW188" s="761"/>
      <c r="AX188" s="761"/>
      <c r="AY188" s="761"/>
      <c r="AZ188" s="761"/>
      <c r="BA188" s="761"/>
      <c r="BB188" s="761"/>
      <c r="BC188" s="1216"/>
      <c r="BD188" s="1215"/>
      <c r="BE188" s="761"/>
      <c r="BF188" s="761"/>
      <c r="BG188" s="761"/>
      <c r="BH188" s="761"/>
      <c r="BI188" s="761"/>
      <c r="BJ188" s="761"/>
      <c r="BK188" s="761"/>
      <c r="BL188" s="761"/>
      <c r="BM188" s="761"/>
      <c r="BN188" s="761"/>
      <c r="BO188" s="1216"/>
      <c r="BP188" s="1215"/>
      <c r="BQ188" s="761"/>
      <c r="BR188" s="761"/>
      <c r="BS188" s="761"/>
      <c r="BT188" s="761"/>
      <c r="BU188" s="761"/>
      <c r="BV188" s="761"/>
      <c r="BW188" s="761"/>
      <c r="BX188" s="761"/>
      <c r="BY188" s="761"/>
      <c r="BZ188" s="761"/>
      <c r="CA188" s="1216"/>
      <c r="CB188" s="747"/>
      <c r="CC188" s="1222">
        <f>$G188*H188*Variables!$B$53</f>
        <v>0</v>
      </c>
      <c r="CD188" s="1223">
        <f>$G188*I188*Variables!$B$53</f>
        <v>0</v>
      </c>
      <c r="CE188" s="1223">
        <f>$G188*J188*Variables!$B$53</f>
        <v>0</v>
      </c>
      <c r="CF188" s="1223">
        <f>$G188*K188*Variables!$B$53</f>
        <v>0</v>
      </c>
      <c r="CG188" s="1223">
        <f>$G188*L188*Variables!$B$53</f>
        <v>0</v>
      </c>
      <c r="CH188" s="1223">
        <f>$G188*M188*Variables!$B$53</f>
        <v>0</v>
      </c>
      <c r="CI188" s="1223">
        <f>$G188*N188*Variables!$B$53</f>
        <v>0</v>
      </c>
      <c r="CJ188" s="1223">
        <f>$G188*O188*Variables!$B$53</f>
        <v>0</v>
      </c>
      <c r="CK188" s="1223">
        <f>$G188*P188*Variables!$B$53</f>
        <v>0</v>
      </c>
      <c r="CL188" s="1223">
        <f>$G188*Q188*Variables!$B$53</f>
        <v>0</v>
      </c>
      <c r="CM188" s="1223">
        <f>$G188*R188*Variables!$B$53</f>
        <v>0</v>
      </c>
      <c r="CN188" s="1225">
        <f>$G188*S188*Variables!$B$53</f>
        <v>0</v>
      </c>
      <c r="CO188" s="1222">
        <f>$G188*T188*Variables!$B$53*HLOOKUP($CO$2,Variables!$B$60:$F$61,2,FALSE)</f>
        <v>0</v>
      </c>
      <c r="CP188" s="1223">
        <f>$G188*U188*Variables!$B$53*HLOOKUP($CO$2,Variables!$B$60:$F$61,2,FALSE)</f>
        <v>0</v>
      </c>
      <c r="CQ188" s="1223">
        <f>$G188*V188*Variables!$B$53*HLOOKUP($CO$2,Variables!$B$60:$F$61,2,FALSE)</f>
        <v>0</v>
      </c>
      <c r="CR188" s="1223">
        <f>$G188*W188*Variables!$B$53*HLOOKUP($CO$2,Variables!$B$60:$F$61,2,FALSE)</f>
        <v>0</v>
      </c>
      <c r="CS188" s="1223">
        <f>$G188*X188*Variables!$B$53*HLOOKUP($CO$2,Variables!$B$60:$F$61,2,FALSE)</f>
        <v>0</v>
      </c>
      <c r="CT188" s="1223">
        <f>$G188*Y188*Variables!$B$53*HLOOKUP($CO$2,Variables!$B$60:$F$61,2,FALSE)</f>
        <v>0</v>
      </c>
      <c r="CU188" s="1223">
        <f>$G188*Z188*Variables!$B$53*HLOOKUP($CO$2,Variables!$B$60:$F$61,2,FALSE)</f>
        <v>0</v>
      </c>
      <c r="CV188" s="1223">
        <f>$G188*AA188*Variables!$B$53*HLOOKUP($CO$2,Variables!$B$60:$F$61,2,FALSE)</f>
        <v>0</v>
      </c>
      <c r="CW188" s="1223">
        <f>$G188*AB188*Variables!$B$53*HLOOKUP($CO$2,Variables!$B$60:$F$61,2,FALSE)</f>
        <v>0</v>
      </c>
      <c r="CX188" s="1223">
        <f>$G188*AC188*Variables!$B$53*HLOOKUP($CO$2,Variables!$B$60:$F$61,2,FALSE)</f>
        <v>0</v>
      </c>
      <c r="CY188" s="1223">
        <f>$G188*AD188*Variables!$B$53*HLOOKUP($CO$2,Variables!$B$60:$F$61,2,FALSE)</f>
        <v>0</v>
      </c>
      <c r="CZ188" s="1225">
        <f>$G188*AE188*Variables!$B$53*HLOOKUP($CO$2,Variables!$B$60:$F$61,2,FALSE)</f>
        <v>0</v>
      </c>
      <c r="DA188" s="1222">
        <f>$G188*AF188*Variables!$B$53*HLOOKUP($DA$2,Variables!$B$60:$F$61,2,FALSE)</f>
        <v>0</v>
      </c>
      <c r="DB188" s="1223">
        <f>$G188*AG188*Variables!$B$53*HLOOKUP($DA$2,Variables!$B$60:$F$61,2,FALSE)</f>
        <v>0</v>
      </c>
      <c r="DC188" s="1223">
        <f>$G188*AH188*Variables!$B$53*HLOOKUP($DA$2,Variables!$B$60:$F$61,2,FALSE)</f>
        <v>0</v>
      </c>
      <c r="DD188" s="1223">
        <f>$G188*AI188*Variables!$B$53*HLOOKUP($DA$2,Variables!$B$60:$F$61,2,FALSE)</f>
        <v>0</v>
      </c>
      <c r="DE188" s="1223">
        <f>$G188*AJ188*Variables!$B$53*HLOOKUP($DA$2,Variables!$B$60:$F$61,2,FALSE)</f>
        <v>0</v>
      </c>
      <c r="DF188" s="1223">
        <f>$G188*AK188*Variables!$B$53*HLOOKUP($DA$2,Variables!$B$60:$F$61,2,FALSE)</f>
        <v>0</v>
      </c>
      <c r="DG188" s="1223">
        <f>$G188*AL188*Variables!$B$53*HLOOKUP($DA$2,Variables!$B$60:$F$61,2,FALSE)</f>
        <v>0</v>
      </c>
      <c r="DH188" s="1223">
        <f>$G188*AM188*Variables!$B$53*HLOOKUP($DA$2,Variables!$B$60:$F$61,2,FALSE)</f>
        <v>0</v>
      </c>
      <c r="DI188" s="1223">
        <f>$G188*AN188*Variables!$B$53*HLOOKUP($DA$2,Variables!$B$60:$F$61,2,FALSE)</f>
        <v>0</v>
      </c>
      <c r="DJ188" s="1223">
        <f>$G188*AO188*Variables!$B$53*HLOOKUP($DA$2,Variables!$B$60:$F$61,2,FALSE)</f>
        <v>0</v>
      </c>
      <c r="DK188" s="1223">
        <f>$G188*AP188*Variables!$B$53*HLOOKUP($DA$2,Variables!$B$60:$F$61,2,FALSE)</f>
        <v>0</v>
      </c>
      <c r="DL188" s="1225">
        <f>$G188*AQ188*Variables!$B$53*HLOOKUP($DA$2,Variables!$B$60:$F$61,2,FALSE)</f>
        <v>0</v>
      </c>
      <c r="DM188" s="1222">
        <f>$G188*AR188*Variables!$B$53*HLOOKUP($DM$2,Variables!$B$60:$F$61,2,FALSE)</f>
        <v>0</v>
      </c>
      <c r="DN188" s="1223">
        <f>$G188*AS188*Variables!$B$53*HLOOKUP($DM$2,Variables!$B$60:$F$61,2,FALSE)</f>
        <v>0</v>
      </c>
      <c r="DO188" s="1223">
        <f>$G188*AT188*Variables!$B$53*HLOOKUP($DM$2,Variables!$B$60:$F$61,2,FALSE)</f>
        <v>0</v>
      </c>
      <c r="DP188" s="1223">
        <f>$G188*AU188*Variables!$B$53*HLOOKUP($DM$2,Variables!$B$60:$F$61,2,FALSE)</f>
        <v>0</v>
      </c>
      <c r="DQ188" s="1223">
        <f>$G188*AV188*Variables!$B$53*HLOOKUP($DM$2,Variables!$B$60:$F$61,2,FALSE)</f>
        <v>0</v>
      </c>
      <c r="DR188" s="1223">
        <f>$G188*AW188*Variables!$B$53*HLOOKUP($DM$2,Variables!$B$60:$F$61,2,FALSE)</f>
        <v>0</v>
      </c>
      <c r="DS188" s="1223">
        <f>$G188*AX188*Variables!$B$53*HLOOKUP($DM$2,Variables!$B$60:$F$61,2,FALSE)</f>
        <v>0</v>
      </c>
      <c r="DT188" s="1223">
        <f>$G188*AY188*Variables!$B$53*HLOOKUP($DM$2,Variables!$B$60:$F$61,2,FALSE)</f>
        <v>0</v>
      </c>
      <c r="DU188" s="1223">
        <f>$G188*AZ188*Variables!$B$53*HLOOKUP($DM$2,Variables!$B$60:$F$61,2,FALSE)</f>
        <v>0</v>
      </c>
      <c r="DV188" s="1223">
        <f>$G188*BA188*Variables!$B$53*HLOOKUP($DM$2,Variables!$B$60:$F$61,2,FALSE)</f>
        <v>0</v>
      </c>
      <c r="DW188" s="1223">
        <f>$G188*BB188*Variables!$B$53*HLOOKUP($DM$2,Variables!$B$60:$F$61,2,FALSE)</f>
        <v>0</v>
      </c>
      <c r="DX188" s="1225">
        <f>$G188*BC188*Variables!$B$53*HLOOKUP($DM$2,Variables!$B$60:$F$61,2,FALSE)</f>
        <v>0</v>
      </c>
      <c r="DY188" s="1222">
        <f>$G188*BD188*Variables!$B$53*HLOOKUP($DY$2,Variables!$B$60:$F$61,2,FALSE)</f>
        <v>0</v>
      </c>
      <c r="DZ188" s="1223">
        <f>$G188*BE188*Variables!$B$53*HLOOKUP($DY$2,Variables!$B$60:$F$61,2,FALSE)</f>
        <v>0</v>
      </c>
      <c r="EA188" s="1223">
        <f>$G188*BF188*Variables!$B$53*HLOOKUP($DY$2,Variables!$B$60:$F$61,2,FALSE)</f>
        <v>0</v>
      </c>
      <c r="EB188" s="1223">
        <f>$G188*BG188*Variables!$B$53*HLOOKUP($DY$2,Variables!$B$60:$F$61,2,FALSE)</f>
        <v>0</v>
      </c>
      <c r="EC188" s="1223">
        <f>$G188*BH188*Variables!$B$53*HLOOKUP($DY$2,Variables!$B$60:$F$61,2,FALSE)</f>
        <v>0</v>
      </c>
      <c r="ED188" s="1223">
        <f>$G188*BI188*Variables!$B$53*HLOOKUP($DY$2,Variables!$B$60:$F$61,2,FALSE)</f>
        <v>0</v>
      </c>
      <c r="EE188" s="1223">
        <f>$G188*BJ188*Variables!$B$53*HLOOKUP($DY$2,Variables!$B$60:$F$61,2,FALSE)</f>
        <v>0</v>
      </c>
      <c r="EF188" s="1223">
        <f>$G188*BK188*Variables!$B$53*HLOOKUP($DY$2,Variables!$B$60:$F$61,2,FALSE)</f>
        <v>0</v>
      </c>
      <c r="EG188" s="1223">
        <f>$G188*BL188*Variables!$B$53*HLOOKUP($DY$2,Variables!$B$60:$F$61,2,FALSE)</f>
        <v>0</v>
      </c>
      <c r="EH188" s="1223">
        <f>$G188*BM188*Variables!$B$53*HLOOKUP($DY$2,Variables!$B$60:$F$61,2,FALSE)</f>
        <v>0</v>
      </c>
      <c r="EI188" s="1223">
        <f>$G188*BN188*Variables!$B$53*HLOOKUP($DY$2,Variables!$B$60:$F$61,2,FALSE)</f>
        <v>0</v>
      </c>
      <c r="EJ188" s="1225">
        <f>$G188*BO188*Variables!$B$53*HLOOKUP($DY$2,Variables!$B$60:$F$61,2,FALSE)</f>
        <v>0</v>
      </c>
      <c r="EK188" s="1222">
        <f>$G188*BP188*Variables!$B$53*HLOOKUP($EK$2,Variables!$B$60:$F$61,2,FALSE)</f>
        <v>0</v>
      </c>
      <c r="EL188" s="1223">
        <f>$G188*BQ188*Variables!$B$53*HLOOKUP($EK$2,Variables!$B$60:$F$61,2,FALSE)</f>
        <v>0</v>
      </c>
      <c r="EM188" s="1223">
        <f>$G188*BR188*Variables!$B$53*HLOOKUP($EK$2,Variables!$B$60:$F$61,2,FALSE)</f>
        <v>0</v>
      </c>
      <c r="EN188" s="1223">
        <f>$G188*BS188*Variables!$B$53*HLOOKUP($EK$2,Variables!$B$60:$F$61,2,FALSE)</f>
        <v>0</v>
      </c>
      <c r="EO188" s="1223">
        <f>$G188*BT188*Variables!$B$53*HLOOKUP($EK$2,Variables!$B$60:$F$61,2,FALSE)</f>
        <v>0</v>
      </c>
      <c r="EP188" s="1223">
        <f>$G188*BU188*Variables!$B$53*HLOOKUP($EK$2,Variables!$B$60:$F$61,2,FALSE)</f>
        <v>0</v>
      </c>
      <c r="EQ188" s="1223">
        <f>$G188*BV188*Variables!$B$53*HLOOKUP($EK$2,Variables!$B$60:$F$61,2,FALSE)</f>
        <v>0</v>
      </c>
      <c r="ER188" s="1223">
        <f>$G188*BW188*Variables!$B$53*HLOOKUP($EK$2,Variables!$B$60:$F$61,2,FALSE)</f>
        <v>0</v>
      </c>
      <c r="ES188" s="1223">
        <f>$G188*BX188*Variables!$B$53*HLOOKUP($EK$2,Variables!$B$60:$F$61,2,FALSE)</f>
        <v>0</v>
      </c>
      <c r="ET188" s="1223">
        <f>$G188*BY188*Variables!$B$53*HLOOKUP($EK$2,Variables!$B$60:$F$61,2,FALSE)</f>
        <v>0</v>
      </c>
      <c r="EU188" s="1223">
        <f>$G188*BZ188*Variables!$B$53*HLOOKUP($EK$2,Variables!$B$60:$F$61,2,FALSE)</f>
        <v>0</v>
      </c>
      <c r="EV188" s="1225">
        <f>$G188*CA188*Variables!$B$53*HLOOKUP($EK$2,Variables!$B$60:$F$61,2,FALSE)</f>
        <v>0</v>
      </c>
      <c r="EW188" s="872">
        <f t="shared" si="24"/>
        <v>0</v>
      </c>
      <c r="EX188" s="872"/>
      <c r="EY188" s="872"/>
      <c r="EZ188" s="872"/>
      <c r="FA188" s="1332"/>
      <c r="FC188" s="958" t="str">
        <f t="shared" si="25"/>
        <v/>
      </c>
      <c r="FD188" s="959" t="str">
        <f t="shared" si="26"/>
        <v/>
      </c>
      <c r="FE188" s="959" t="s">
        <v>8407</v>
      </c>
      <c r="FF188" s="959" t="str">
        <f>IF(ISNA(VLOOKUP(FC188,Miscellaneous!E:F,2,0)),"",VLOOKUP(FC188,Miscellaneous!E:F,2,0))</f>
        <v/>
      </c>
      <c r="FG188" s="959" t="str">
        <f t="shared" si="27"/>
        <v/>
      </c>
      <c r="FH188" s="996">
        <f>IF($FG188="Opex",SUMIF('Monthly Summary'!$C$75:$N$75,"",CC188:CN188),SUMIF('Monthly Summary'!$C$74:$N$74,"",CC188:CN188))</f>
        <v>0</v>
      </c>
      <c r="FI188" s="996">
        <f>IF($FG188="Opex",SUMIF('Monthly Summary'!$O$75:$Z$75,"",CO188:CZ188),SUMIF('Monthly Summary'!$O$74:$Z$74,"",CO188:CZ188))</f>
        <v>0</v>
      </c>
      <c r="FJ188" s="996">
        <f>IF($FG188="Opex",SUMIF('Monthly Summary'!$AA$75:$AL$75,"",DA188:DL188),SUMIF('Monthly Summary'!$AA$74:$AL$74,"",DA188:DL188))</f>
        <v>0</v>
      </c>
      <c r="FK188" s="996">
        <f>IF($FG188="Opex",SUMIF('Monthly Summary'!$AM$75:$AX$75,"",DM188:DX188),SUMIF('Monthly Summary'!$AM$74:$AX$74,"",DM188:DX188))</f>
        <v>0</v>
      </c>
      <c r="FL188" s="996">
        <f>IF($FG188="Opex",SUMIF('Monthly Summary'!$AY$75:$BJ$75,"",DY188:EJ188),SUMIF('Monthly Summary'!$AY$74:$BJ$74,"",DY188:EJ188))</f>
        <v>0</v>
      </c>
      <c r="FM188" s="997">
        <f>IF($FG188="Opex",SUMIF('Monthly Summary'!$BK$75:$BV$75,"",EK188:EV188),SUMIF('Monthly Summary'!$BK$74:$BV$74,"",EK188:EV188))</f>
        <v>0</v>
      </c>
      <c r="FN188" s="997">
        <f t="shared" si="28"/>
        <v>0</v>
      </c>
    </row>
    <row r="189" spans="3:170">
      <c r="C189" s="757"/>
      <c r="D189" s="757"/>
      <c r="E189" s="758"/>
      <c r="F189" s="758"/>
      <c r="G189" s="758"/>
      <c r="H189" s="1215"/>
      <c r="I189" s="761"/>
      <c r="J189" s="761"/>
      <c r="K189" s="761"/>
      <c r="L189" s="761"/>
      <c r="M189" s="761"/>
      <c r="N189" s="761"/>
      <c r="O189" s="761"/>
      <c r="P189" s="761"/>
      <c r="Q189" s="761"/>
      <c r="R189" s="761"/>
      <c r="S189" s="1216"/>
      <c r="T189" s="1215"/>
      <c r="U189" s="761"/>
      <c r="V189" s="761"/>
      <c r="W189" s="761"/>
      <c r="X189" s="761"/>
      <c r="Y189" s="761"/>
      <c r="Z189" s="761"/>
      <c r="AA189" s="761"/>
      <c r="AB189" s="761"/>
      <c r="AC189" s="761"/>
      <c r="AD189" s="761"/>
      <c r="AE189" s="1216"/>
      <c r="AF189" s="1215"/>
      <c r="AG189" s="761"/>
      <c r="AH189" s="761"/>
      <c r="AI189" s="761"/>
      <c r="AJ189" s="761"/>
      <c r="AK189" s="761"/>
      <c r="AL189" s="761"/>
      <c r="AM189" s="761"/>
      <c r="AN189" s="761"/>
      <c r="AO189" s="761"/>
      <c r="AP189" s="761"/>
      <c r="AQ189" s="1216"/>
      <c r="AR189" s="1215"/>
      <c r="AS189" s="761"/>
      <c r="AT189" s="761"/>
      <c r="AU189" s="761"/>
      <c r="AV189" s="761"/>
      <c r="AW189" s="761"/>
      <c r="AX189" s="761"/>
      <c r="AY189" s="761"/>
      <c r="AZ189" s="761"/>
      <c r="BA189" s="761"/>
      <c r="BB189" s="761"/>
      <c r="BC189" s="1216"/>
      <c r="BD189" s="1215"/>
      <c r="BE189" s="761"/>
      <c r="BF189" s="761"/>
      <c r="BG189" s="761"/>
      <c r="BH189" s="761"/>
      <c r="BI189" s="761"/>
      <c r="BJ189" s="761"/>
      <c r="BK189" s="761"/>
      <c r="BL189" s="761"/>
      <c r="BM189" s="761"/>
      <c r="BN189" s="761"/>
      <c r="BO189" s="1216"/>
      <c r="BP189" s="1215"/>
      <c r="BQ189" s="761"/>
      <c r="BR189" s="761"/>
      <c r="BS189" s="761"/>
      <c r="BT189" s="761"/>
      <c r="BU189" s="761"/>
      <c r="BV189" s="761"/>
      <c r="BW189" s="761"/>
      <c r="BX189" s="761"/>
      <c r="BY189" s="761"/>
      <c r="BZ189" s="761"/>
      <c r="CA189" s="1216"/>
      <c r="CB189" s="747"/>
      <c r="CC189" s="1222">
        <f>$G189*H189*Variables!$B$53</f>
        <v>0</v>
      </c>
      <c r="CD189" s="1223">
        <f>$G189*I189*Variables!$B$53</f>
        <v>0</v>
      </c>
      <c r="CE189" s="1223">
        <f>$G189*J189*Variables!$B$53</f>
        <v>0</v>
      </c>
      <c r="CF189" s="1223">
        <f>$G189*K189*Variables!$B$53</f>
        <v>0</v>
      </c>
      <c r="CG189" s="1223">
        <f>$G189*L189*Variables!$B$53</f>
        <v>0</v>
      </c>
      <c r="CH189" s="1223">
        <f>$G189*M189*Variables!$B$53</f>
        <v>0</v>
      </c>
      <c r="CI189" s="1223">
        <f>$G189*N189*Variables!$B$53</f>
        <v>0</v>
      </c>
      <c r="CJ189" s="1223">
        <f>$G189*O189*Variables!$B$53</f>
        <v>0</v>
      </c>
      <c r="CK189" s="1223">
        <f>$G189*P189*Variables!$B$53</f>
        <v>0</v>
      </c>
      <c r="CL189" s="1223">
        <f>$G189*Q189*Variables!$B$53</f>
        <v>0</v>
      </c>
      <c r="CM189" s="1223">
        <f>$G189*R189*Variables!$B$53</f>
        <v>0</v>
      </c>
      <c r="CN189" s="1225">
        <f>$G189*S189*Variables!$B$53</f>
        <v>0</v>
      </c>
      <c r="CO189" s="1222">
        <f>$G189*T189*Variables!$B$53*HLOOKUP($CO$2,Variables!$B$60:$F$61,2,FALSE)</f>
        <v>0</v>
      </c>
      <c r="CP189" s="1223">
        <f>$G189*U189*Variables!$B$53*HLOOKUP($CO$2,Variables!$B$60:$F$61,2,FALSE)</f>
        <v>0</v>
      </c>
      <c r="CQ189" s="1223">
        <f>$G189*V189*Variables!$B$53*HLOOKUP($CO$2,Variables!$B$60:$F$61,2,FALSE)</f>
        <v>0</v>
      </c>
      <c r="CR189" s="1223">
        <f>$G189*W189*Variables!$B$53*HLOOKUP($CO$2,Variables!$B$60:$F$61,2,FALSE)</f>
        <v>0</v>
      </c>
      <c r="CS189" s="1223">
        <f>$G189*X189*Variables!$B$53*HLOOKUP($CO$2,Variables!$B$60:$F$61,2,FALSE)</f>
        <v>0</v>
      </c>
      <c r="CT189" s="1223">
        <f>$G189*Y189*Variables!$B$53*HLOOKUP($CO$2,Variables!$B$60:$F$61,2,FALSE)</f>
        <v>0</v>
      </c>
      <c r="CU189" s="1223">
        <f>$G189*Z189*Variables!$B$53*HLOOKUP($CO$2,Variables!$B$60:$F$61,2,FALSE)</f>
        <v>0</v>
      </c>
      <c r="CV189" s="1223">
        <f>$G189*AA189*Variables!$B$53*HLOOKUP($CO$2,Variables!$B$60:$F$61,2,FALSE)</f>
        <v>0</v>
      </c>
      <c r="CW189" s="1223">
        <f>$G189*AB189*Variables!$B$53*HLOOKUP($CO$2,Variables!$B$60:$F$61,2,FALSE)</f>
        <v>0</v>
      </c>
      <c r="CX189" s="1223">
        <f>$G189*AC189*Variables!$B$53*HLOOKUP($CO$2,Variables!$B$60:$F$61,2,FALSE)</f>
        <v>0</v>
      </c>
      <c r="CY189" s="1223">
        <f>$G189*AD189*Variables!$B$53*HLOOKUP($CO$2,Variables!$B$60:$F$61,2,FALSE)</f>
        <v>0</v>
      </c>
      <c r="CZ189" s="1225">
        <f>$G189*AE189*Variables!$B$53*HLOOKUP($CO$2,Variables!$B$60:$F$61,2,FALSE)</f>
        <v>0</v>
      </c>
      <c r="DA189" s="1222">
        <f>$G189*AF189*Variables!$B$53*HLOOKUP($DA$2,Variables!$B$60:$F$61,2,FALSE)</f>
        <v>0</v>
      </c>
      <c r="DB189" s="1223">
        <f>$G189*AG189*Variables!$B$53*HLOOKUP($DA$2,Variables!$B$60:$F$61,2,FALSE)</f>
        <v>0</v>
      </c>
      <c r="DC189" s="1223">
        <f>$G189*AH189*Variables!$B$53*HLOOKUP($DA$2,Variables!$B$60:$F$61,2,FALSE)</f>
        <v>0</v>
      </c>
      <c r="DD189" s="1223">
        <f>$G189*AI189*Variables!$B$53*HLOOKUP($DA$2,Variables!$B$60:$F$61,2,FALSE)</f>
        <v>0</v>
      </c>
      <c r="DE189" s="1223">
        <f>$G189*AJ189*Variables!$B$53*HLOOKUP($DA$2,Variables!$B$60:$F$61,2,FALSE)</f>
        <v>0</v>
      </c>
      <c r="DF189" s="1223">
        <f>$G189*AK189*Variables!$B$53*HLOOKUP($DA$2,Variables!$B$60:$F$61,2,FALSE)</f>
        <v>0</v>
      </c>
      <c r="DG189" s="1223">
        <f>$G189*AL189*Variables!$B$53*HLOOKUP($DA$2,Variables!$B$60:$F$61,2,FALSE)</f>
        <v>0</v>
      </c>
      <c r="DH189" s="1223">
        <f>$G189*AM189*Variables!$B$53*HLOOKUP($DA$2,Variables!$B$60:$F$61,2,FALSE)</f>
        <v>0</v>
      </c>
      <c r="DI189" s="1223">
        <f>$G189*AN189*Variables!$B$53*HLOOKUP($DA$2,Variables!$B$60:$F$61,2,FALSE)</f>
        <v>0</v>
      </c>
      <c r="DJ189" s="1223">
        <f>$G189*AO189*Variables!$B$53*HLOOKUP($DA$2,Variables!$B$60:$F$61,2,FALSE)</f>
        <v>0</v>
      </c>
      <c r="DK189" s="1223">
        <f>$G189*AP189*Variables!$B$53*HLOOKUP($DA$2,Variables!$B$60:$F$61,2,FALSE)</f>
        <v>0</v>
      </c>
      <c r="DL189" s="1225">
        <f>$G189*AQ189*Variables!$B$53*HLOOKUP($DA$2,Variables!$B$60:$F$61,2,FALSE)</f>
        <v>0</v>
      </c>
      <c r="DM189" s="1222">
        <f>$G189*AR189*Variables!$B$53*HLOOKUP($DM$2,Variables!$B$60:$F$61,2,FALSE)</f>
        <v>0</v>
      </c>
      <c r="DN189" s="1223">
        <f>$G189*AS189*Variables!$B$53*HLOOKUP($DM$2,Variables!$B$60:$F$61,2,FALSE)</f>
        <v>0</v>
      </c>
      <c r="DO189" s="1223">
        <f>$G189*AT189*Variables!$B$53*HLOOKUP($DM$2,Variables!$B$60:$F$61,2,FALSE)</f>
        <v>0</v>
      </c>
      <c r="DP189" s="1223">
        <f>$G189*AU189*Variables!$B$53*HLOOKUP($DM$2,Variables!$B$60:$F$61,2,FALSE)</f>
        <v>0</v>
      </c>
      <c r="DQ189" s="1223">
        <f>$G189*AV189*Variables!$B$53*HLOOKUP($DM$2,Variables!$B$60:$F$61,2,FALSE)</f>
        <v>0</v>
      </c>
      <c r="DR189" s="1223">
        <f>$G189*AW189*Variables!$B$53*HLOOKUP($DM$2,Variables!$B$60:$F$61,2,FALSE)</f>
        <v>0</v>
      </c>
      <c r="DS189" s="1223">
        <f>$G189*AX189*Variables!$B$53*HLOOKUP($DM$2,Variables!$B$60:$F$61,2,FALSE)</f>
        <v>0</v>
      </c>
      <c r="DT189" s="1223">
        <f>$G189*AY189*Variables!$B$53*HLOOKUP($DM$2,Variables!$B$60:$F$61,2,FALSE)</f>
        <v>0</v>
      </c>
      <c r="DU189" s="1223">
        <f>$G189*AZ189*Variables!$B$53*HLOOKUP($DM$2,Variables!$B$60:$F$61,2,FALSE)</f>
        <v>0</v>
      </c>
      <c r="DV189" s="1223">
        <f>$G189*BA189*Variables!$B$53*HLOOKUP($DM$2,Variables!$B$60:$F$61,2,FALSE)</f>
        <v>0</v>
      </c>
      <c r="DW189" s="1223">
        <f>$G189*BB189*Variables!$B$53*HLOOKUP($DM$2,Variables!$B$60:$F$61,2,FALSE)</f>
        <v>0</v>
      </c>
      <c r="DX189" s="1225">
        <f>$G189*BC189*Variables!$B$53*HLOOKUP($DM$2,Variables!$B$60:$F$61,2,FALSE)</f>
        <v>0</v>
      </c>
      <c r="DY189" s="1222">
        <f>$G189*BD189*Variables!$B$53*HLOOKUP($DY$2,Variables!$B$60:$F$61,2,FALSE)</f>
        <v>0</v>
      </c>
      <c r="DZ189" s="1223">
        <f>$G189*BE189*Variables!$B$53*HLOOKUP($DY$2,Variables!$B$60:$F$61,2,FALSE)</f>
        <v>0</v>
      </c>
      <c r="EA189" s="1223">
        <f>$G189*BF189*Variables!$B$53*HLOOKUP($DY$2,Variables!$B$60:$F$61,2,FALSE)</f>
        <v>0</v>
      </c>
      <c r="EB189" s="1223">
        <f>$G189*BG189*Variables!$B$53*HLOOKUP($DY$2,Variables!$B$60:$F$61,2,FALSE)</f>
        <v>0</v>
      </c>
      <c r="EC189" s="1223">
        <f>$G189*BH189*Variables!$B$53*HLOOKUP($DY$2,Variables!$B$60:$F$61,2,FALSE)</f>
        <v>0</v>
      </c>
      <c r="ED189" s="1223">
        <f>$G189*BI189*Variables!$B$53*HLOOKUP($DY$2,Variables!$B$60:$F$61,2,FALSE)</f>
        <v>0</v>
      </c>
      <c r="EE189" s="1223">
        <f>$G189*BJ189*Variables!$B$53*HLOOKUP($DY$2,Variables!$B$60:$F$61,2,FALSE)</f>
        <v>0</v>
      </c>
      <c r="EF189" s="1223">
        <f>$G189*BK189*Variables!$B$53*HLOOKUP($DY$2,Variables!$B$60:$F$61,2,FALSE)</f>
        <v>0</v>
      </c>
      <c r="EG189" s="1223">
        <f>$G189*BL189*Variables!$B$53*HLOOKUP($DY$2,Variables!$B$60:$F$61,2,FALSE)</f>
        <v>0</v>
      </c>
      <c r="EH189" s="1223">
        <f>$G189*BM189*Variables!$B$53*HLOOKUP($DY$2,Variables!$B$60:$F$61,2,FALSE)</f>
        <v>0</v>
      </c>
      <c r="EI189" s="1223">
        <f>$G189*BN189*Variables!$B$53*HLOOKUP($DY$2,Variables!$B$60:$F$61,2,FALSE)</f>
        <v>0</v>
      </c>
      <c r="EJ189" s="1225">
        <f>$G189*BO189*Variables!$B$53*HLOOKUP($DY$2,Variables!$B$60:$F$61,2,FALSE)</f>
        <v>0</v>
      </c>
      <c r="EK189" s="1222">
        <f>$G189*BP189*Variables!$B$53*HLOOKUP($EK$2,Variables!$B$60:$F$61,2,FALSE)</f>
        <v>0</v>
      </c>
      <c r="EL189" s="1223">
        <f>$G189*BQ189*Variables!$B$53*HLOOKUP($EK$2,Variables!$B$60:$F$61,2,FALSE)</f>
        <v>0</v>
      </c>
      <c r="EM189" s="1223">
        <f>$G189*BR189*Variables!$B$53*HLOOKUP($EK$2,Variables!$B$60:$F$61,2,FALSE)</f>
        <v>0</v>
      </c>
      <c r="EN189" s="1223">
        <f>$G189*BS189*Variables!$B$53*HLOOKUP($EK$2,Variables!$B$60:$F$61,2,FALSE)</f>
        <v>0</v>
      </c>
      <c r="EO189" s="1223">
        <f>$G189*BT189*Variables!$B$53*HLOOKUP($EK$2,Variables!$B$60:$F$61,2,FALSE)</f>
        <v>0</v>
      </c>
      <c r="EP189" s="1223">
        <f>$G189*BU189*Variables!$B$53*HLOOKUP($EK$2,Variables!$B$60:$F$61,2,FALSE)</f>
        <v>0</v>
      </c>
      <c r="EQ189" s="1223">
        <f>$G189*BV189*Variables!$B$53*HLOOKUP($EK$2,Variables!$B$60:$F$61,2,FALSE)</f>
        <v>0</v>
      </c>
      <c r="ER189" s="1223">
        <f>$G189*BW189*Variables!$B$53*HLOOKUP($EK$2,Variables!$B$60:$F$61,2,FALSE)</f>
        <v>0</v>
      </c>
      <c r="ES189" s="1223">
        <f>$G189*BX189*Variables!$B$53*HLOOKUP($EK$2,Variables!$B$60:$F$61,2,FALSE)</f>
        <v>0</v>
      </c>
      <c r="ET189" s="1223">
        <f>$G189*BY189*Variables!$B$53*HLOOKUP($EK$2,Variables!$B$60:$F$61,2,FALSE)</f>
        <v>0</v>
      </c>
      <c r="EU189" s="1223">
        <f>$G189*BZ189*Variables!$B$53*HLOOKUP($EK$2,Variables!$B$60:$F$61,2,FALSE)</f>
        <v>0</v>
      </c>
      <c r="EV189" s="1225">
        <f>$G189*CA189*Variables!$B$53*HLOOKUP($EK$2,Variables!$B$60:$F$61,2,FALSE)</f>
        <v>0</v>
      </c>
      <c r="EW189" s="872">
        <f t="shared" si="24"/>
        <v>0</v>
      </c>
      <c r="EX189" s="872"/>
      <c r="EY189" s="872"/>
      <c r="EZ189" s="872"/>
      <c r="FA189" s="1332"/>
      <c r="FC189" s="958" t="str">
        <f t="shared" si="25"/>
        <v/>
      </c>
      <c r="FD189" s="959" t="str">
        <f t="shared" si="26"/>
        <v/>
      </c>
      <c r="FE189" s="959" t="s">
        <v>8407</v>
      </c>
      <c r="FF189" s="959" t="str">
        <f>IF(ISNA(VLOOKUP(FC189,Miscellaneous!E:F,2,0)),"",VLOOKUP(FC189,Miscellaneous!E:F,2,0))</f>
        <v/>
      </c>
      <c r="FG189" s="959" t="str">
        <f t="shared" si="27"/>
        <v/>
      </c>
      <c r="FH189" s="996">
        <f>IF($FG189="Opex",SUMIF('Monthly Summary'!$C$75:$N$75,"",CC189:CN189),SUMIF('Monthly Summary'!$C$74:$N$74,"",CC189:CN189))</f>
        <v>0</v>
      </c>
      <c r="FI189" s="996">
        <f>IF($FG189="Opex",SUMIF('Monthly Summary'!$O$75:$Z$75,"",CO189:CZ189),SUMIF('Monthly Summary'!$O$74:$Z$74,"",CO189:CZ189))</f>
        <v>0</v>
      </c>
      <c r="FJ189" s="996">
        <f>IF($FG189="Opex",SUMIF('Monthly Summary'!$AA$75:$AL$75,"",DA189:DL189),SUMIF('Monthly Summary'!$AA$74:$AL$74,"",DA189:DL189))</f>
        <v>0</v>
      </c>
      <c r="FK189" s="996">
        <f>IF($FG189="Opex",SUMIF('Monthly Summary'!$AM$75:$AX$75,"",DM189:DX189),SUMIF('Monthly Summary'!$AM$74:$AX$74,"",DM189:DX189))</f>
        <v>0</v>
      </c>
      <c r="FL189" s="996">
        <f>IF($FG189="Opex",SUMIF('Monthly Summary'!$AY$75:$BJ$75,"",DY189:EJ189),SUMIF('Monthly Summary'!$AY$74:$BJ$74,"",DY189:EJ189))</f>
        <v>0</v>
      </c>
      <c r="FM189" s="997">
        <f>IF($FG189="Opex",SUMIF('Monthly Summary'!$BK$75:$BV$75,"",EK189:EV189),SUMIF('Monthly Summary'!$BK$74:$BV$74,"",EK189:EV189))</f>
        <v>0</v>
      </c>
      <c r="FN189" s="997">
        <f t="shared" si="28"/>
        <v>0</v>
      </c>
    </row>
    <row r="190" spans="3:170">
      <c r="C190" s="757"/>
      <c r="D190" s="757"/>
      <c r="E190" s="758"/>
      <c r="F190" s="758"/>
      <c r="G190" s="758"/>
      <c r="H190" s="1215"/>
      <c r="I190" s="761"/>
      <c r="J190" s="761"/>
      <c r="K190" s="761"/>
      <c r="L190" s="761"/>
      <c r="M190" s="761"/>
      <c r="N190" s="761"/>
      <c r="O190" s="761"/>
      <c r="P190" s="761"/>
      <c r="Q190" s="761"/>
      <c r="R190" s="761"/>
      <c r="S190" s="1216"/>
      <c r="T190" s="1215"/>
      <c r="U190" s="761"/>
      <c r="V190" s="761"/>
      <c r="W190" s="761"/>
      <c r="X190" s="761"/>
      <c r="Y190" s="761"/>
      <c r="Z190" s="761"/>
      <c r="AA190" s="761"/>
      <c r="AB190" s="761"/>
      <c r="AC190" s="761"/>
      <c r="AD190" s="761"/>
      <c r="AE190" s="1216"/>
      <c r="AF190" s="1215"/>
      <c r="AG190" s="761"/>
      <c r="AH190" s="761"/>
      <c r="AI190" s="761"/>
      <c r="AJ190" s="761"/>
      <c r="AK190" s="761"/>
      <c r="AL190" s="761"/>
      <c r="AM190" s="761"/>
      <c r="AN190" s="761"/>
      <c r="AO190" s="761"/>
      <c r="AP190" s="761"/>
      <c r="AQ190" s="1216"/>
      <c r="AR190" s="1215"/>
      <c r="AS190" s="761"/>
      <c r="AT190" s="761"/>
      <c r="AU190" s="761"/>
      <c r="AV190" s="761"/>
      <c r="AW190" s="761"/>
      <c r="AX190" s="761"/>
      <c r="AY190" s="761"/>
      <c r="AZ190" s="761"/>
      <c r="BA190" s="761"/>
      <c r="BB190" s="761"/>
      <c r="BC190" s="1216"/>
      <c r="BD190" s="1215"/>
      <c r="BE190" s="761"/>
      <c r="BF190" s="761"/>
      <c r="BG190" s="761"/>
      <c r="BH190" s="761"/>
      <c r="BI190" s="761"/>
      <c r="BJ190" s="761"/>
      <c r="BK190" s="761"/>
      <c r="BL190" s="761"/>
      <c r="BM190" s="761"/>
      <c r="BN190" s="761"/>
      <c r="BO190" s="1216"/>
      <c r="BP190" s="1215"/>
      <c r="BQ190" s="761"/>
      <c r="BR190" s="761"/>
      <c r="BS190" s="761"/>
      <c r="BT190" s="761"/>
      <c r="BU190" s="761"/>
      <c r="BV190" s="761"/>
      <c r="BW190" s="761"/>
      <c r="BX190" s="761"/>
      <c r="BY190" s="761"/>
      <c r="BZ190" s="761"/>
      <c r="CA190" s="1216"/>
      <c r="CB190" s="747"/>
      <c r="CC190" s="1222">
        <f>$G190*H190*Variables!$B$53</f>
        <v>0</v>
      </c>
      <c r="CD190" s="1223">
        <f>$G190*I190*Variables!$B$53</f>
        <v>0</v>
      </c>
      <c r="CE190" s="1223">
        <f>$G190*J190*Variables!$B$53</f>
        <v>0</v>
      </c>
      <c r="CF190" s="1223">
        <f>$G190*K190*Variables!$B$53</f>
        <v>0</v>
      </c>
      <c r="CG190" s="1223">
        <f>$G190*L190*Variables!$B$53</f>
        <v>0</v>
      </c>
      <c r="CH190" s="1223">
        <f>$G190*M190*Variables!$B$53</f>
        <v>0</v>
      </c>
      <c r="CI190" s="1223">
        <f>$G190*N190*Variables!$B$53</f>
        <v>0</v>
      </c>
      <c r="CJ190" s="1223">
        <f>$G190*O190*Variables!$B$53</f>
        <v>0</v>
      </c>
      <c r="CK190" s="1223">
        <f>$G190*P190*Variables!$B$53</f>
        <v>0</v>
      </c>
      <c r="CL190" s="1223">
        <f>$G190*Q190*Variables!$B$53</f>
        <v>0</v>
      </c>
      <c r="CM190" s="1223">
        <f>$G190*R190*Variables!$B$53</f>
        <v>0</v>
      </c>
      <c r="CN190" s="1225">
        <f>$G190*S190*Variables!$B$53</f>
        <v>0</v>
      </c>
      <c r="CO190" s="1222">
        <f>$G190*T190*Variables!$B$53*HLOOKUP($CO$2,Variables!$B$60:$F$61,2,FALSE)</f>
        <v>0</v>
      </c>
      <c r="CP190" s="1223">
        <f>$G190*U190*Variables!$B$53*HLOOKUP($CO$2,Variables!$B$60:$F$61,2,FALSE)</f>
        <v>0</v>
      </c>
      <c r="CQ190" s="1223">
        <f>$G190*V190*Variables!$B$53*HLOOKUP($CO$2,Variables!$B$60:$F$61,2,FALSE)</f>
        <v>0</v>
      </c>
      <c r="CR190" s="1223">
        <f>$G190*W190*Variables!$B$53*HLOOKUP($CO$2,Variables!$B$60:$F$61,2,FALSE)</f>
        <v>0</v>
      </c>
      <c r="CS190" s="1223">
        <f>$G190*X190*Variables!$B$53*HLOOKUP($CO$2,Variables!$B$60:$F$61,2,FALSE)</f>
        <v>0</v>
      </c>
      <c r="CT190" s="1223">
        <f>$G190*Y190*Variables!$B$53*HLOOKUP($CO$2,Variables!$B$60:$F$61,2,FALSE)</f>
        <v>0</v>
      </c>
      <c r="CU190" s="1223">
        <f>$G190*Z190*Variables!$B$53*HLOOKUP($CO$2,Variables!$B$60:$F$61,2,FALSE)</f>
        <v>0</v>
      </c>
      <c r="CV190" s="1223">
        <f>$G190*AA190*Variables!$B$53*HLOOKUP($CO$2,Variables!$B$60:$F$61,2,FALSE)</f>
        <v>0</v>
      </c>
      <c r="CW190" s="1223">
        <f>$G190*AB190*Variables!$B$53*HLOOKUP($CO$2,Variables!$B$60:$F$61,2,FALSE)</f>
        <v>0</v>
      </c>
      <c r="CX190" s="1223">
        <f>$G190*AC190*Variables!$B$53*HLOOKUP($CO$2,Variables!$B$60:$F$61,2,FALSE)</f>
        <v>0</v>
      </c>
      <c r="CY190" s="1223">
        <f>$G190*AD190*Variables!$B$53*HLOOKUP($CO$2,Variables!$B$60:$F$61,2,FALSE)</f>
        <v>0</v>
      </c>
      <c r="CZ190" s="1225">
        <f>$G190*AE190*Variables!$B$53*HLOOKUP($CO$2,Variables!$B$60:$F$61,2,FALSE)</f>
        <v>0</v>
      </c>
      <c r="DA190" s="1222">
        <f>$G190*AF190*Variables!$B$53*HLOOKUP($DA$2,Variables!$B$60:$F$61,2,FALSE)</f>
        <v>0</v>
      </c>
      <c r="DB190" s="1223">
        <f>$G190*AG190*Variables!$B$53*HLOOKUP($DA$2,Variables!$B$60:$F$61,2,FALSE)</f>
        <v>0</v>
      </c>
      <c r="DC190" s="1223">
        <f>$G190*AH190*Variables!$B$53*HLOOKUP($DA$2,Variables!$B$60:$F$61,2,FALSE)</f>
        <v>0</v>
      </c>
      <c r="DD190" s="1223">
        <f>$G190*AI190*Variables!$B$53*HLOOKUP($DA$2,Variables!$B$60:$F$61,2,FALSE)</f>
        <v>0</v>
      </c>
      <c r="DE190" s="1223">
        <f>$G190*AJ190*Variables!$B$53*HLOOKUP($DA$2,Variables!$B$60:$F$61,2,FALSE)</f>
        <v>0</v>
      </c>
      <c r="DF190" s="1223">
        <f>$G190*AK190*Variables!$B$53*HLOOKUP($DA$2,Variables!$B$60:$F$61,2,FALSE)</f>
        <v>0</v>
      </c>
      <c r="DG190" s="1223">
        <f>$G190*AL190*Variables!$B$53*HLOOKUP($DA$2,Variables!$B$60:$F$61,2,FALSE)</f>
        <v>0</v>
      </c>
      <c r="DH190" s="1223">
        <f>$G190*AM190*Variables!$B$53*HLOOKUP($DA$2,Variables!$B$60:$F$61,2,FALSE)</f>
        <v>0</v>
      </c>
      <c r="DI190" s="1223">
        <f>$G190*AN190*Variables!$B$53*HLOOKUP($DA$2,Variables!$B$60:$F$61,2,FALSE)</f>
        <v>0</v>
      </c>
      <c r="DJ190" s="1223">
        <f>$G190*AO190*Variables!$B$53*HLOOKUP($DA$2,Variables!$B$60:$F$61,2,FALSE)</f>
        <v>0</v>
      </c>
      <c r="DK190" s="1223">
        <f>$G190*AP190*Variables!$B$53*HLOOKUP($DA$2,Variables!$B$60:$F$61,2,FALSE)</f>
        <v>0</v>
      </c>
      <c r="DL190" s="1225">
        <f>$G190*AQ190*Variables!$B$53*HLOOKUP($DA$2,Variables!$B$60:$F$61,2,FALSE)</f>
        <v>0</v>
      </c>
      <c r="DM190" s="1222">
        <f>$G190*AR190*Variables!$B$53*HLOOKUP($DM$2,Variables!$B$60:$F$61,2,FALSE)</f>
        <v>0</v>
      </c>
      <c r="DN190" s="1223">
        <f>$G190*AS190*Variables!$B$53*HLOOKUP($DM$2,Variables!$B$60:$F$61,2,FALSE)</f>
        <v>0</v>
      </c>
      <c r="DO190" s="1223">
        <f>$G190*AT190*Variables!$B$53*HLOOKUP($DM$2,Variables!$B$60:$F$61,2,FALSE)</f>
        <v>0</v>
      </c>
      <c r="DP190" s="1223">
        <f>$G190*AU190*Variables!$B$53*HLOOKUP($DM$2,Variables!$B$60:$F$61,2,FALSE)</f>
        <v>0</v>
      </c>
      <c r="DQ190" s="1223">
        <f>$G190*AV190*Variables!$B$53*HLOOKUP($DM$2,Variables!$B$60:$F$61,2,FALSE)</f>
        <v>0</v>
      </c>
      <c r="DR190" s="1223">
        <f>$G190*AW190*Variables!$B$53*HLOOKUP($DM$2,Variables!$B$60:$F$61,2,FALSE)</f>
        <v>0</v>
      </c>
      <c r="DS190" s="1223">
        <f>$G190*AX190*Variables!$B$53*HLOOKUP($DM$2,Variables!$B$60:$F$61,2,FALSE)</f>
        <v>0</v>
      </c>
      <c r="DT190" s="1223">
        <f>$G190*AY190*Variables!$B$53*HLOOKUP($DM$2,Variables!$B$60:$F$61,2,FALSE)</f>
        <v>0</v>
      </c>
      <c r="DU190" s="1223">
        <f>$G190*AZ190*Variables!$B$53*HLOOKUP($DM$2,Variables!$B$60:$F$61,2,FALSE)</f>
        <v>0</v>
      </c>
      <c r="DV190" s="1223">
        <f>$G190*BA190*Variables!$B$53*HLOOKUP($DM$2,Variables!$B$60:$F$61,2,FALSE)</f>
        <v>0</v>
      </c>
      <c r="DW190" s="1223">
        <f>$G190*BB190*Variables!$B$53*HLOOKUP($DM$2,Variables!$B$60:$F$61,2,FALSE)</f>
        <v>0</v>
      </c>
      <c r="DX190" s="1225">
        <f>$G190*BC190*Variables!$B$53*HLOOKUP($DM$2,Variables!$B$60:$F$61,2,FALSE)</f>
        <v>0</v>
      </c>
      <c r="DY190" s="1222">
        <f>$G190*BD190*Variables!$B$53*HLOOKUP($DY$2,Variables!$B$60:$F$61,2,FALSE)</f>
        <v>0</v>
      </c>
      <c r="DZ190" s="1223">
        <f>$G190*BE190*Variables!$B$53*HLOOKUP($DY$2,Variables!$B$60:$F$61,2,FALSE)</f>
        <v>0</v>
      </c>
      <c r="EA190" s="1223">
        <f>$G190*BF190*Variables!$B$53*HLOOKUP($DY$2,Variables!$B$60:$F$61,2,FALSE)</f>
        <v>0</v>
      </c>
      <c r="EB190" s="1223">
        <f>$G190*BG190*Variables!$B$53*HLOOKUP($DY$2,Variables!$B$60:$F$61,2,FALSE)</f>
        <v>0</v>
      </c>
      <c r="EC190" s="1223">
        <f>$G190*BH190*Variables!$B$53*HLOOKUP($DY$2,Variables!$B$60:$F$61,2,FALSE)</f>
        <v>0</v>
      </c>
      <c r="ED190" s="1223">
        <f>$G190*BI190*Variables!$B$53*HLOOKUP($DY$2,Variables!$B$60:$F$61,2,FALSE)</f>
        <v>0</v>
      </c>
      <c r="EE190" s="1223">
        <f>$G190*BJ190*Variables!$B$53*HLOOKUP($DY$2,Variables!$B$60:$F$61,2,FALSE)</f>
        <v>0</v>
      </c>
      <c r="EF190" s="1223">
        <f>$G190*BK190*Variables!$B$53*HLOOKUP($DY$2,Variables!$B$60:$F$61,2,FALSE)</f>
        <v>0</v>
      </c>
      <c r="EG190" s="1223">
        <f>$G190*BL190*Variables!$B$53*HLOOKUP($DY$2,Variables!$B$60:$F$61,2,FALSE)</f>
        <v>0</v>
      </c>
      <c r="EH190" s="1223">
        <f>$G190*BM190*Variables!$B$53*HLOOKUP($DY$2,Variables!$B$60:$F$61,2,FALSE)</f>
        <v>0</v>
      </c>
      <c r="EI190" s="1223">
        <f>$G190*BN190*Variables!$B$53*HLOOKUP($DY$2,Variables!$B$60:$F$61,2,FALSE)</f>
        <v>0</v>
      </c>
      <c r="EJ190" s="1225">
        <f>$G190*BO190*Variables!$B$53*HLOOKUP($DY$2,Variables!$B$60:$F$61,2,FALSE)</f>
        <v>0</v>
      </c>
      <c r="EK190" s="1222">
        <f>$G190*BP190*Variables!$B$53*HLOOKUP($EK$2,Variables!$B$60:$F$61,2,FALSE)</f>
        <v>0</v>
      </c>
      <c r="EL190" s="1223">
        <f>$G190*BQ190*Variables!$B$53*HLOOKUP($EK$2,Variables!$B$60:$F$61,2,FALSE)</f>
        <v>0</v>
      </c>
      <c r="EM190" s="1223">
        <f>$G190*BR190*Variables!$B$53*HLOOKUP($EK$2,Variables!$B$60:$F$61,2,FALSE)</f>
        <v>0</v>
      </c>
      <c r="EN190" s="1223">
        <f>$G190*BS190*Variables!$B$53*HLOOKUP($EK$2,Variables!$B$60:$F$61,2,FALSE)</f>
        <v>0</v>
      </c>
      <c r="EO190" s="1223">
        <f>$G190*BT190*Variables!$B$53*HLOOKUP($EK$2,Variables!$B$60:$F$61,2,FALSE)</f>
        <v>0</v>
      </c>
      <c r="EP190" s="1223">
        <f>$G190*BU190*Variables!$B$53*HLOOKUP($EK$2,Variables!$B$60:$F$61,2,FALSE)</f>
        <v>0</v>
      </c>
      <c r="EQ190" s="1223">
        <f>$G190*BV190*Variables!$B$53*HLOOKUP($EK$2,Variables!$B$60:$F$61,2,FALSE)</f>
        <v>0</v>
      </c>
      <c r="ER190" s="1223">
        <f>$G190*BW190*Variables!$B$53*HLOOKUP($EK$2,Variables!$B$60:$F$61,2,FALSE)</f>
        <v>0</v>
      </c>
      <c r="ES190" s="1223">
        <f>$G190*BX190*Variables!$B$53*HLOOKUP($EK$2,Variables!$B$60:$F$61,2,FALSE)</f>
        <v>0</v>
      </c>
      <c r="ET190" s="1223">
        <f>$G190*BY190*Variables!$B$53*HLOOKUP($EK$2,Variables!$B$60:$F$61,2,FALSE)</f>
        <v>0</v>
      </c>
      <c r="EU190" s="1223">
        <f>$G190*BZ190*Variables!$B$53*HLOOKUP($EK$2,Variables!$B$60:$F$61,2,FALSE)</f>
        <v>0</v>
      </c>
      <c r="EV190" s="1225">
        <f>$G190*CA190*Variables!$B$53*HLOOKUP($EK$2,Variables!$B$60:$F$61,2,FALSE)</f>
        <v>0</v>
      </c>
      <c r="EW190" s="872">
        <f t="shared" si="24"/>
        <v>0</v>
      </c>
      <c r="EX190" s="872"/>
      <c r="EY190" s="872"/>
      <c r="EZ190" s="872"/>
      <c r="FA190" s="1332"/>
      <c r="FC190" s="958" t="str">
        <f t="shared" si="25"/>
        <v/>
      </c>
      <c r="FD190" s="959" t="str">
        <f t="shared" si="26"/>
        <v/>
      </c>
      <c r="FE190" s="959" t="s">
        <v>8407</v>
      </c>
      <c r="FF190" s="959" t="str">
        <f>IF(ISNA(VLOOKUP(FC190,Miscellaneous!E:F,2,0)),"",VLOOKUP(FC190,Miscellaneous!E:F,2,0))</f>
        <v/>
      </c>
      <c r="FG190" s="959" t="str">
        <f t="shared" si="27"/>
        <v/>
      </c>
      <c r="FH190" s="996">
        <f>IF($FG190="Opex",SUMIF('Monthly Summary'!$C$75:$N$75,"",CC190:CN190),SUMIF('Monthly Summary'!$C$74:$N$74,"",CC190:CN190))</f>
        <v>0</v>
      </c>
      <c r="FI190" s="996">
        <f>IF($FG190="Opex",SUMIF('Monthly Summary'!$O$75:$Z$75,"",CO190:CZ190),SUMIF('Monthly Summary'!$O$74:$Z$74,"",CO190:CZ190))</f>
        <v>0</v>
      </c>
      <c r="FJ190" s="996">
        <f>IF($FG190="Opex",SUMIF('Monthly Summary'!$AA$75:$AL$75,"",DA190:DL190),SUMIF('Monthly Summary'!$AA$74:$AL$74,"",DA190:DL190))</f>
        <v>0</v>
      </c>
      <c r="FK190" s="996">
        <f>IF($FG190="Opex",SUMIF('Monthly Summary'!$AM$75:$AX$75,"",DM190:DX190),SUMIF('Monthly Summary'!$AM$74:$AX$74,"",DM190:DX190))</f>
        <v>0</v>
      </c>
      <c r="FL190" s="996">
        <f>IF($FG190="Opex",SUMIF('Monthly Summary'!$AY$75:$BJ$75,"",DY190:EJ190),SUMIF('Monthly Summary'!$AY$74:$BJ$74,"",DY190:EJ190))</f>
        <v>0</v>
      </c>
      <c r="FM190" s="997">
        <f>IF($FG190="Opex",SUMIF('Monthly Summary'!$BK$75:$BV$75,"",EK190:EV190),SUMIF('Monthly Summary'!$BK$74:$BV$74,"",EK190:EV190))</f>
        <v>0</v>
      </c>
      <c r="FN190" s="997">
        <f t="shared" si="28"/>
        <v>0</v>
      </c>
    </row>
    <row r="191" spans="3:170">
      <c r="C191" s="757"/>
      <c r="D191" s="757"/>
      <c r="E191" s="758"/>
      <c r="F191" s="758"/>
      <c r="G191" s="758"/>
      <c r="H191" s="1215"/>
      <c r="I191" s="761"/>
      <c r="J191" s="761"/>
      <c r="K191" s="761"/>
      <c r="L191" s="761"/>
      <c r="M191" s="761"/>
      <c r="N191" s="761"/>
      <c r="O191" s="761"/>
      <c r="P191" s="761"/>
      <c r="Q191" s="761"/>
      <c r="R191" s="761"/>
      <c r="S191" s="1216"/>
      <c r="T191" s="1215"/>
      <c r="U191" s="761"/>
      <c r="V191" s="761"/>
      <c r="W191" s="761"/>
      <c r="X191" s="761"/>
      <c r="Y191" s="761"/>
      <c r="Z191" s="761"/>
      <c r="AA191" s="761"/>
      <c r="AB191" s="761"/>
      <c r="AC191" s="761"/>
      <c r="AD191" s="761"/>
      <c r="AE191" s="1216"/>
      <c r="AF191" s="1215"/>
      <c r="AG191" s="761"/>
      <c r="AH191" s="761"/>
      <c r="AI191" s="761"/>
      <c r="AJ191" s="761"/>
      <c r="AK191" s="761"/>
      <c r="AL191" s="761"/>
      <c r="AM191" s="761"/>
      <c r="AN191" s="761"/>
      <c r="AO191" s="761"/>
      <c r="AP191" s="761"/>
      <c r="AQ191" s="1216"/>
      <c r="AR191" s="1215"/>
      <c r="AS191" s="761"/>
      <c r="AT191" s="761"/>
      <c r="AU191" s="761"/>
      <c r="AV191" s="761"/>
      <c r="AW191" s="761"/>
      <c r="AX191" s="761"/>
      <c r="AY191" s="761"/>
      <c r="AZ191" s="761"/>
      <c r="BA191" s="761"/>
      <c r="BB191" s="761"/>
      <c r="BC191" s="1216"/>
      <c r="BD191" s="1215"/>
      <c r="BE191" s="761"/>
      <c r="BF191" s="761"/>
      <c r="BG191" s="761"/>
      <c r="BH191" s="761"/>
      <c r="BI191" s="761"/>
      <c r="BJ191" s="761"/>
      <c r="BK191" s="761"/>
      <c r="BL191" s="761"/>
      <c r="BM191" s="761"/>
      <c r="BN191" s="761"/>
      <c r="BO191" s="1216"/>
      <c r="BP191" s="1215"/>
      <c r="BQ191" s="761"/>
      <c r="BR191" s="761"/>
      <c r="BS191" s="761"/>
      <c r="BT191" s="761"/>
      <c r="BU191" s="761"/>
      <c r="BV191" s="761"/>
      <c r="BW191" s="761"/>
      <c r="BX191" s="761"/>
      <c r="BY191" s="761"/>
      <c r="BZ191" s="761"/>
      <c r="CA191" s="1216"/>
      <c r="CB191" s="747"/>
      <c r="CC191" s="1222">
        <f>$G191*H191*Variables!$B$53</f>
        <v>0</v>
      </c>
      <c r="CD191" s="1223">
        <f>$G191*I191*Variables!$B$53</f>
        <v>0</v>
      </c>
      <c r="CE191" s="1223">
        <f>$G191*J191*Variables!$B$53</f>
        <v>0</v>
      </c>
      <c r="CF191" s="1223">
        <f>$G191*K191*Variables!$B$53</f>
        <v>0</v>
      </c>
      <c r="CG191" s="1223">
        <f>$G191*L191*Variables!$B$53</f>
        <v>0</v>
      </c>
      <c r="CH191" s="1223">
        <f>$G191*M191*Variables!$B$53</f>
        <v>0</v>
      </c>
      <c r="CI191" s="1223">
        <f>$G191*N191*Variables!$B$53</f>
        <v>0</v>
      </c>
      <c r="CJ191" s="1223">
        <f>$G191*O191*Variables!$B$53</f>
        <v>0</v>
      </c>
      <c r="CK191" s="1223">
        <f>$G191*P191*Variables!$B$53</f>
        <v>0</v>
      </c>
      <c r="CL191" s="1223">
        <f>$G191*Q191*Variables!$B$53</f>
        <v>0</v>
      </c>
      <c r="CM191" s="1223">
        <f>$G191*R191*Variables!$B$53</f>
        <v>0</v>
      </c>
      <c r="CN191" s="1225">
        <f>$G191*S191*Variables!$B$53</f>
        <v>0</v>
      </c>
      <c r="CO191" s="1222">
        <f>$G191*T191*Variables!$B$53*HLOOKUP($CO$2,Variables!$B$60:$F$61,2,FALSE)</f>
        <v>0</v>
      </c>
      <c r="CP191" s="1223">
        <f>$G191*U191*Variables!$B$53*HLOOKUP($CO$2,Variables!$B$60:$F$61,2,FALSE)</f>
        <v>0</v>
      </c>
      <c r="CQ191" s="1223">
        <f>$G191*V191*Variables!$B$53*HLOOKUP($CO$2,Variables!$B$60:$F$61,2,FALSE)</f>
        <v>0</v>
      </c>
      <c r="CR191" s="1223">
        <f>$G191*W191*Variables!$B$53*HLOOKUP($CO$2,Variables!$B$60:$F$61,2,FALSE)</f>
        <v>0</v>
      </c>
      <c r="CS191" s="1223">
        <f>$G191*X191*Variables!$B$53*HLOOKUP($CO$2,Variables!$B$60:$F$61,2,FALSE)</f>
        <v>0</v>
      </c>
      <c r="CT191" s="1223">
        <f>$G191*Y191*Variables!$B$53*HLOOKUP($CO$2,Variables!$B$60:$F$61,2,FALSE)</f>
        <v>0</v>
      </c>
      <c r="CU191" s="1223">
        <f>$G191*Z191*Variables!$B$53*HLOOKUP($CO$2,Variables!$B$60:$F$61,2,FALSE)</f>
        <v>0</v>
      </c>
      <c r="CV191" s="1223">
        <f>$G191*AA191*Variables!$B$53*HLOOKUP($CO$2,Variables!$B$60:$F$61,2,FALSE)</f>
        <v>0</v>
      </c>
      <c r="CW191" s="1223">
        <f>$G191*AB191*Variables!$B$53*HLOOKUP($CO$2,Variables!$B$60:$F$61,2,FALSE)</f>
        <v>0</v>
      </c>
      <c r="CX191" s="1223">
        <f>$G191*AC191*Variables!$B$53*HLOOKUP($CO$2,Variables!$B$60:$F$61,2,FALSE)</f>
        <v>0</v>
      </c>
      <c r="CY191" s="1223">
        <f>$G191*AD191*Variables!$B$53*HLOOKUP($CO$2,Variables!$B$60:$F$61,2,FALSE)</f>
        <v>0</v>
      </c>
      <c r="CZ191" s="1225">
        <f>$G191*AE191*Variables!$B$53*HLOOKUP($CO$2,Variables!$B$60:$F$61,2,FALSE)</f>
        <v>0</v>
      </c>
      <c r="DA191" s="1222">
        <f>$G191*AF191*Variables!$B$53*HLOOKUP($DA$2,Variables!$B$60:$F$61,2,FALSE)</f>
        <v>0</v>
      </c>
      <c r="DB191" s="1223">
        <f>$G191*AG191*Variables!$B$53*HLOOKUP($DA$2,Variables!$B$60:$F$61,2,FALSE)</f>
        <v>0</v>
      </c>
      <c r="DC191" s="1223">
        <f>$G191*AH191*Variables!$B$53*HLOOKUP($DA$2,Variables!$B$60:$F$61,2,FALSE)</f>
        <v>0</v>
      </c>
      <c r="DD191" s="1223">
        <f>$G191*AI191*Variables!$B$53*HLOOKUP($DA$2,Variables!$B$60:$F$61,2,FALSE)</f>
        <v>0</v>
      </c>
      <c r="DE191" s="1223">
        <f>$G191*AJ191*Variables!$B$53*HLOOKUP($DA$2,Variables!$B$60:$F$61,2,FALSE)</f>
        <v>0</v>
      </c>
      <c r="DF191" s="1223">
        <f>$G191*AK191*Variables!$B$53*HLOOKUP($DA$2,Variables!$B$60:$F$61,2,FALSE)</f>
        <v>0</v>
      </c>
      <c r="DG191" s="1223">
        <f>$G191*AL191*Variables!$B$53*HLOOKUP($DA$2,Variables!$B$60:$F$61,2,FALSE)</f>
        <v>0</v>
      </c>
      <c r="DH191" s="1223">
        <f>$G191*AM191*Variables!$B$53*HLOOKUP($DA$2,Variables!$B$60:$F$61,2,FALSE)</f>
        <v>0</v>
      </c>
      <c r="DI191" s="1223">
        <f>$G191*AN191*Variables!$B$53*HLOOKUP($DA$2,Variables!$B$60:$F$61,2,FALSE)</f>
        <v>0</v>
      </c>
      <c r="DJ191" s="1223">
        <f>$G191*AO191*Variables!$B$53*HLOOKUP($DA$2,Variables!$B$60:$F$61,2,FALSE)</f>
        <v>0</v>
      </c>
      <c r="DK191" s="1223">
        <f>$G191*AP191*Variables!$B$53*HLOOKUP($DA$2,Variables!$B$60:$F$61,2,FALSE)</f>
        <v>0</v>
      </c>
      <c r="DL191" s="1225">
        <f>$G191*AQ191*Variables!$B$53*HLOOKUP($DA$2,Variables!$B$60:$F$61,2,FALSE)</f>
        <v>0</v>
      </c>
      <c r="DM191" s="1222">
        <f>$G191*AR191*Variables!$B$53*HLOOKUP($DM$2,Variables!$B$60:$F$61,2,FALSE)</f>
        <v>0</v>
      </c>
      <c r="DN191" s="1223">
        <f>$G191*AS191*Variables!$B$53*HLOOKUP($DM$2,Variables!$B$60:$F$61,2,FALSE)</f>
        <v>0</v>
      </c>
      <c r="DO191" s="1223">
        <f>$G191*AT191*Variables!$B$53*HLOOKUP($DM$2,Variables!$B$60:$F$61,2,FALSE)</f>
        <v>0</v>
      </c>
      <c r="DP191" s="1223">
        <f>$G191*AU191*Variables!$B$53*HLOOKUP($DM$2,Variables!$B$60:$F$61,2,FALSE)</f>
        <v>0</v>
      </c>
      <c r="DQ191" s="1223">
        <f>$G191*AV191*Variables!$B$53*HLOOKUP($DM$2,Variables!$B$60:$F$61,2,FALSE)</f>
        <v>0</v>
      </c>
      <c r="DR191" s="1223">
        <f>$G191*AW191*Variables!$B$53*HLOOKUP($DM$2,Variables!$B$60:$F$61,2,FALSE)</f>
        <v>0</v>
      </c>
      <c r="DS191" s="1223">
        <f>$G191*AX191*Variables!$B$53*HLOOKUP($DM$2,Variables!$B$60:$F$61,2,FALSE)</f>
        <v>0</v>
      </c>
      <c r="DT191" s="1223">
        <f>$G191*AY191*Variables!$B$53*HLOOKUP($DM$2,Variables!$B$60:$F$61,2,FALSE)</f>
        <v>0</v>
      </c>
      <c r="DU191" s="1223">
        <f>$G191*AZ191*Variables!$B$53*HLOOKUP($DM$2,Variables!$B$60:$F$61,2,FALSE)</f>
        <v>0</v>
      </c>
      <c r="DV191" s="1223">
        <f>$G191*BA191*Variables!$B$53*HLOOKUP($DM$2,Variables!$B$60:$F$61,2,FALSE)</f>
        <v>0</v>
      </c>
      <c r="DW191" s="1223">
        <f>$G191*BB191*Variables!$B$53*HLOOKUP($DM$2,Variables!$B$60:$F$61,2,FALSE)</f>
        <v>0</v>
      </c>
      <c r="DX191" s="1225">
        <f>$G191*BC191*Variables!$B$53*HLOOKUP($DM$2,Variables!$B$60:$F$61,2,FALSE)</f>
        <v>0</v>
      </c>
      <c r="DY191" s="1222">
        <f>$G191*BD191*Variables!$B$53*HLOOKUP($DY$2,Variables!$B$60:$F$61,2,FALSE)</f>
        <v>0</v>
      </c>
      <c r="DZ191" s="1223">
        <f>$G191*BE191*Variables!$B$53*HLOOKUP($DY$2,Variables!$B$60:$F$61,2,FALSE)</f>
        <v>0</v>
      </c>
      <c r="EA191" s="1223">
        <f>$G191*BF191*Variables!$B$53*HLOOKUP($DY$2,Variables!$B$60:$F$61,2,FALSE)</f>
        <v>0</v>
      </c>
      <c r="EB191" s="1223">
        <f>$G191*BG191*Variables!$B$53*HLOOKUP($DY$2,Variables!$B$60:$F$61,2,FALSE)</f>
        <v>0</v>
      </c>
      <c r="EC191" s="1223">
        <f>$G191*BH191*Variables!$B$53*HLOOKUP($DY$2,Variables!$B$60:$F$61,2,FALSE)</f>
        <v>0</v>
      </c>
      <c r="ED191" s="1223">
        <f>$G191*BI191*Variables!$B$53*HLOOKUP($DY$2,Variables!$B$60:$F$61,2,FALSE)</f>
        <v>0</v>
      </c>
      <c r="EE191" s="1223">
        <f>$G191*BJ191*Variables!$B$53*HLOOKUP($DY$2,Variables!$B$60:$F$61,2,FALSE)</f>
        <v>0</v>
      </c>
      <c r="EF191" s="1223">
        <f>$G191*BK191*Variables!$B$53*HLOOKUP($DY$2,Variables!$B$60:$F$61,2,FALSE)</f>
        <v>0</v>
      </c>
      <c r="EG191" s="1223">
        <f>$G191*BL191*Variables!$B$53*HLOOKUP($DY$2,Variables!$B$60:$F$61,2,FALSE)</f>
        <v>0</v>
      </c>
      <c r="EH191" s="1223">
        <f>$G191*BM191*Variables!$B$53*HLOOKUP($DY$2,Variables!$B$60:$F$61,2,FALSE)</f>
        <v>0</v>
      </c>
      <c r="EI191" s="1223">
        <f>$G191*BN191*Variables!$B$53*HLOOKUP($DY$2,Variables!$B$60:$F$61,2,FALSE)</f>
        <v>0</v>
      </c>
      <c r="EJ191" s="1225">
        <f>$G191*BO191*Variables!$B$53*HLOOKUP($DY$2,Variables!$B$60:$F$61,2,FALSE)</f>
        <v>0</v>
      </c>
      <c r="EK191" s="1222">
        <f>$G191*BP191*Variables!$B$53*HLOOKUP($EK$2,Variables!$B$60:$F$61,2,FALSE)</f>
        <v>0</v>
      </c>
      <c r="EL191" s="1223">
        <f>$G191*BQ191*Variables!$B$53*HLOOKUP($EK$2,Variables!$B$60:$F$61,2,FALSE)</f>
        <v>0</v>
      </c>
      <c r="EM191" s="1223">
        <f>$G191*BR191*Variables!$B$53*HLOOKUP($EK$2,Variables!$B$60:$F$61,2,FALSE)</f>
        <v>0</v>
      </c>
      <c r="EN191" s="1223">
        <f>$G191*BS191*Variables!$B$53*HLOOKUP($EK$2,Variables!$B$60:$F$61,2,FALSE)</f>
        <v>0</v>
      </c>
      <c r="EO191" s="1223">
        <f>$G191*BT191*Variables!$B$53*HLOOKUP($EK$2,Variables!$B$60:$F$61,2,FALSE)</f>
        <v>0</v>
      </c>
      <c r="EP191" s="1223">
        <f>$G191*BU191*Variables!$B$53*HLOOKUP($EK$2,Variables!$B$60:$F$61,2,FALSE)</f>
        <v>0</v>
      </c>
      <c r="EQ191" s="1223">
        <f>$G191*BV191*Variables!$B$53*HLOOKUP($EK$2,Variables!$B$60:$F$61,2,FALSE)</f>
        <v>0</v>
      </c>
      <c r="ER191" s="1223">
        <f>$G191*BW191*Variables!$B$53*HLOOKUP($EK$2,Variables!$B$60:$F$61,2,FALSE)</f>
        <v>0</v>
      </c>
      <c r="ES191" s="1223">
        <f>$G191*BX191*Variables!$B$53*HLOOKUP($EK$2,Variables!$B$60:$F$61,2,FALSE)</f>
        <v>0</v>
      </c>
      <c r="ET191" s="1223">
        <f>$G191*BY191*Variables!$B$53*HLOOKUP($EK$2,Variables!$B$60:$F$61,2,FALSE)</f>
        <v>0</v>
      </c>
      <c r="EU191" s="1223">
        <f>$G191*BZ191*Variables!$B$53*HLOOKUP($EK$2,Variables!$B$60:$F$61,2,FALSE)</f>
        <v>0</v>
      </c>
      <c r="EV191" s="1225">
        <f>$G191*CA191*Variables!$B$53*HLOOKUP($EK$2,Variables!$B$60:$F$61,2,FALSE)</f>
        <v>0</v>
      </c>
      <c r="EW191" s="872">
        <f t="shared" si="24"/>
        <v>0</v>
      </c>
      <c r="EX191" s="872"/>
      <c r="EY191" s="872"/>
      <c r="EZ191" s="872"/>
      <c r="FA191" s="1332"/>
      <c r="FC191" s="958" t="str">
        <f t="shared" si="25"/>
        <v/>
      </c>
      <c r="FD191" s="959" t="str">
        <f t="shared" si="26"/>
        <v/>
      </c>
      <c r="FE191" s="959" t="s">
        <v>8407</v>
      </c>
      <c r="FF191" s="959" t="str">
        <f>IF(ISNA(VLOOKUP(FC191,Miscellaneous!E:F,2,0)),"",VLOOKUP(FC191,Miscellaneous!E:F,2,0))</f>
        <v/>
      </c>
      <c r="FG191" s="959" t="str">
        <f t="shared" si="27"/>
        <v/>
      </c>
      <c r="FH191" s="996">
        <f>IF($FG191="Opex",SUMIF('Monthly Summary'!$C$75:$N$75,"",CC191:CN191),SUMIF('Monthly Summary'!$C$74:$N$74,"",CC191:CN191))</f>
        <v>0</v>
      </c>
      <c r="FI191" s="996">
        <f>IF($FG191="Opex",SUMIF('Monthly Summary'!$O$75:$Z$75,"",CO191:CZ191),SUMIF('Monthly Summary'!$O$74:$Z$74,"",CO191:CZ191))</f>
        <v>0</v>
      </c>
      <c r="FJ191" s="996">
        <f>IF($FG191="Opex",SUMIF('Monthly Summary'!$AA$75:$AL$75,"",DA191:DL191),SUMIF('Monthly Summary'!$AA$74:$AL$74,"",DA191:DL191))</f>
        <v>0</v>
      </c>
      <c r="FK191" s="996">
        <f>IF($FG191="Opex",SUMIF('Monthly Summary'!$AM$75:$AX$75,"",DM191:DX191),SUMIF('Monthly Summary'!$AM$74:$AX$74,"",DM191:DX191))</f>
        <v>0</v>
      </c>
      <c r="FL191" s="996">
        <f>IF($FG191="Opex",SUMIF('Monthly Summary'!$AY$75:$BJ$75,"",DY191:EJ191),SUMIF('Monthly Summary'!$AY$74:$BJ$74,"",DY191:EJ191))</f>
        <v>0</v>
      </c>
      <c r="FM191" s="997">
        <f>IF($FG191="Opex",SUMIF('Monthly Summary'!$BK$75:$BV$75,"",EK191:EV191),SUMIF('Monthly Summary'!$BK$74:$BV$74,"",EK191:EV191))</f>
        <v>0</v>
      </c>
      <c r="FN191" s="997">
        <f t="shared" si="28"/>
        <v>0</v>
      </c>
    </row>
    <row r="192" spans="3:170">
      <c r="C192" s="757"/>
      <c r="D192" s="757"/>
      <c r="E192" s="758"/>
      <c r="F192" s="758"/>
      <c r="G192" s="758"/>
      <c r="H192" s="1215"/>
      <c r="I192" s="761"/>
      <c r="J192" s="761"/>
      <c r="K192" s="761"/>
      <c r="L192" s="761"/>
      <c r="M192" s="761"/>
      <c r="N192" s="761"/>
      <c r="O192" s="761"/>
      <c r="P192" s="761"/>
      <c r="Q192" s="761"/>
      <c r="R192" s="761"/>
      <c r="S192" s="1216"/>
      <c r="T192" s="1215"/>
      <c r="U192" s="761"/>
      <c r="V192" s="761"/>
      <c r="W192" s="761"/>
      <c r="X192" s="761"/>
      <c r="Y192" s="761"/>
      <c r="Z192" s="761"/>
      <c r="AA192" s="761"/>
      <c r="AB192" s="761"/>
      <c r="AC192" s="761"/>
      <c r="AD192" s="761"/>
      <c r="AE192" s="1216"/>
      <c r="AF192" s="1215"/>
      <c r="AG192" s="761"/>
      <c r="AH192" s="761"/>
      <c r="AI192" s="761"/>
      <c r="AJ192" s="761"/>
      <c r="AK192" s="761"/>
      <c r="AL192" s="761"/>
      <c r="AM192" s="761"/>
      <c r="AN192" s="761"/>
      <c r="AO192" s="761"/>
      <c r="AP192" s="761"/>
      <c r="AQ192" s="1216"/>
      <c r="AR192" s="1215"/>
      <c r="AS192" s="761"/>
      <c r="AT192" s="761"/>
      <c r="AU192" s="761"/>
      <c r="AV192" s="761"/>
      <c r="AW192" s="761"/>
      <c r="AX192" s="761"/>
      <c r="AY192" s="761"/>
      <c r="AZ192" s="761"/>
      <c r="BA192" s="761"/>
      <c r="BB192" s="761"/>
      <c r="BC192" s="1216"/>
      <c r="BD192" s="1215"/>
      <c r="BE192" s="761"/>
      <c r="BF192" s="761"/>
      <c r="BG192" s="761"/>
      <c r="BH192" s="761"/>
      <c r="BI192" s="761"/>
      <c r="BJ192" s="761"/>
      <c r="BK192" s="761"/>
      <c r="BL192" s="761"/>
      <c r="BM192" s="761"/>
      <c r="BN192" s="761"/>
      <c r="BO192" s="1216"/>
      <c r="BP192" s="1215"/>
      <c r="BQ192" s="761"/>
      <c r="BR192" s="761"/>
      <c r="BS192" s="761"/>
      <c r="BT192" s="761"/>
      <c r="BU192" s="761"/>
      <c r="BV192" s="761"/>
      <c r="BW192" s="761"/>
      <c r="BX192" s="761"/>
      <c r="BY192" s="761"/>
      <c r="BZ192" s="761"/>
      <c r="CA192" s="1216"/>
      <c r="CB192" s="747"/>
      <c r="CC192" s="1222">
        <f>$G192*H192*Variables!$B$53</f>
        <v>0</v>
      </c>
      <c r="CD192" s="1223">
        <f>$G192*I192*Variables!$B$53</f>
        <v>0</v>
      </c>
      <c r="CE192" s="1223">
        <f>$G192*J192*Variables!$B$53</f>
        <v>0</v>
      </c>
      <c r="CF192" s="1223">
        <f>$G192*K192*Variables!$B$53</f>
        <v>0</v>
      </c>
      <c r="CG192" s="1223">
        <f>$G192*L192*Variables!$B$53</f>
        <v>0</v>
      </c>
      <c r="CH192" s="1223">
        <f>$G192*M192*Variables!$B$53</f>
        <v>0</v>
      </c>
      <c r="CI192" s="1223">
        <f>$G192*N192*Variables!$B$53</f>
        <v>0</v>
      </c>
      <c r="CJ192" s="1223">
        <f>$G192*O192*Variables!$B$53</f>
        <v>0</v>
      </c>
      <c r="CK192" s="1223">
        <f>$G192*P192*Variables!$B$53</f>
        <v>0</v>
      </c>
      <c r="CL192" s="1223">
        <f>$G192*Q192*Variables!$B$53</f>
        <v>0</v>
      </c>
      <c r="CM192" s="1223">
        <f>$G192*R192*Variables!$B$53</f>
        <v>0</v>
      </c>
      <c r="CN192" s="1225">
        <f>$G192*S192*Variables!$B$53</f>
        <v>0</v>
      </c>
      <c r="CO192" s="1222">
        <f>$G192*T192*Variables!$B$53*HLOOKUP($CO$2,Variables!$B$60:$F$61,2,FALSE)</f>
        <v>0</v>
      </c>
      <c r="CP192" s="1223">
        <f>$G192*U192*Variables!$B$53*HLOOKUP($CO$2,Variables!$B$60:$F$61,2,FALSE)</f>
        <v>0</v>
      </c>
      <c r="CQ192" s="1223">
        <f>$G192*V192*Variables!$B$53*HLOOKUP($CO$2,Variables!$B$60:$F$61,2,FALSE)</f>
        <v>0</v>
      </c>
      <c r="CR192" s="1223">
        <f>$G192*W192*Variables!$B$53*HLOOKUP($CO$2,Variables!$B$60:$F$61,2,FALSE)</f>
        <v>0</v>
      </c>
      <c r="CS192" s="1223">
        <f>$G192*X192*Variables!$B$53*HLOOKUP($CO$2,Variables!$B$60:$F$61,2,FALSE)</f>
        <v>0</v>
      </c>
      <c r="CT192" s="1223">
        <f>$G192*Y192*Variables!$B$53*HLOOKUP($CO$2,Variables!$B$60:$F$61,2,FALSE)</f>
        <v>0</v>
      </c>
      <c r="CU192" s="1223">
        <f>$G192*Z192*Variables!$B$53*HLOOKUP($CO$2,Variables!$B$60:$F$61,2,FALSE)</f>
        <v>0</v>
      </c>
      <c r="CV192" s="1223">
        <f>$G192*AA192*Variables!$B$53*HLOOKUP($CO$2,Variables!$B$60:$F$61,2,FALSE)</f>
        <v>0</v>
      </c>
      <c r="CW192" s="1223">
        <f>$G192*AB192*Variables!$B$53*HLOOKUP($CO$2,Variables!$B$60:$F$61,2,FALSE)</f>
        <v>0</v>
      </c>
      <c r="CX192" s="1223">
        <f>$G192*AC192*Variables!$B$53*HLOOKUP($CO$2,Variables!$B$60:$F$61,2,FALSE)</f>
        <v>0</v>
      </c>
      <c r="CY192" s="1223">
        <f>$G192*AD192*Variables!$B$53*HLOOKUP($CO$2,Variables!$B$60:$F$61,2,FALSE)</f>
        <v>0</v>
      </c>
      <c r="CZ192" s="1225">
        <f>$G192*AE192*Variables!$B$53*HLOOKUP($CO$2,Variables!$B$60:$F$61,2,FALSE)</f>
        <v>0</v>
      </c>
      <c r="DA192" s="1222">
        <f>$G192*AF192*Variables!$B$53*HLOOKUP($DA$2,Variables!$B$60:$F$61,2,FALSE)</f>
        <v>0</v>
      </c>
      <c r="DB192" s="1223">
        <f>$G192*AG192*Variables!$B$53*HLOOKUP($DA$2,Variables!$B$60:$F$61,2,FALSE)</f>
        <v>0</v>
      </c>
      <c r="DC192" s="1223">
        <f>$G192*AH192*Variables!$B$53*HLOOKUP($DA$2,Variables!$B$60:$F$61,2,FALSE)</f>
        <v>0</v>
      </c>
      <c r="DD192" s="1223">
        <f>$G192*AI192*Variables!$B$53*HLOOKUP($DA$2,Variables!$B$60:$F$61,2,FALSE)</f>
        <v>0</v>
      </c>
      <c r="DE192" s="1223">
        <f>$G192*AJ192*Variables!$B$53*HLOOKUP($DA$2,Variables!$B$60:$F$61,2,FALSE)</f>
        <v>0</v>
      </c>
      <c r="DF192" s="1223">
        <f>$G192*AK192*Variables!$B$53*HLOOKUP($DA$2,Variables!$B$60:$F$61,2,FALSE)</f>
        <v>0</v>
      </c>
      <c r="DG192" s="1223">
        <f>$G192*AL192*Variables!$B$53*HLOOKUP($DA$2,Variables!$B$60:$F$61,2,FALSE)</f>
        <v>0</v>
      </c>
      <c r="DH192" s="1223">
        <f>$G192*AM192*Variables!$B$53*HLOOKUP($DA$2,Variables!$B$60:$F$61,2,FALSE)</f>
        <v>0</v>
      </c>
      <c r="DI192" s="1223">
        <f>$G192*AN192*Variables!$B$53*HLOOKUP($DA$2,Variables!$B$60:$F$61,2,FALSE)</f>
        <v>0</v>
      </c>
      <c r="DJ192" s="1223">
        <f>$G192*AO192*Variables!$B$53*HLOOKUP($DA$2,Variables!$B$60:$F$61,2,FALSE)</f>
        <v>0</v>
      </c>
      <c r="DK192" s="1223">
        <f>$G192*AP192*Variables!$B$53*HLOOKUP($DA$2,Variables!$B$60:$F$61,2,FALSE)</f>
        <v>0</v>
      </c>
      <c r="DL192" s="1225">
        <f>$G192*AQ192*Variables!$B$53*HLOOKUP($DA$2,Variables!$B$60:$F$61,2,FALSE)</f>
        <v>0</v>
      </c>
      <c r="DM192" s="1222">
        <f>$G192*AR192*Variables!$B$53*HLOOKUP($DM$2,Variables!$B$60:$F$61,2,FALSE)</f>
        <v>0</v>
      </c>
      <c r="DN192" s="1223">
        <f>$G192*AS192*Variables!$B$53*HLOOKUP($DM$2,Variables!$B$60:$F$61,2,FALSE)</f>
        <v>0</v>
      </c>
      <c r="DO192" s="1223">
        <f>$G192*AT192*Variables!$B$53*HLOOKUP($DM$2,Variables!$B$60:$F$61,2,FALSE)</f>
        <v>0</v>
      </c>
      <c r="DP192" s="1223">
        <f>$G192*AU192*Variables!$B$53*HLOOKUP($DM$2,Variables!$B$60:$F$61,2,FALSE)</f>
        <v>0</v>
      </c>
      <c r="DQ192" s="1223">
        <f>$G192*AV192*Variables!$B$53*HLOOKUP($DM$2,Variables!$B$60:$F$61,2,FALSE)</f>
        <v>0</v>
      </c>
      <c r="DR192" s="1223">
        <f>$G192*AW192*Variables!$B$53*HLOOKUP($DM$2,Variables!$B$60:$F$61,2,FALSE)</f>
        <v>0</v>
      </c>
      <c r="DS192" s="1223">
        <f>$G192*AX192*Variables!$B$53*HLOOKUP($DM$2,Variables!$B$60:$F$61,2,FALSE)</f>
        <v>0</v>
      </c>
      <c r="DT192" s="1223">
        <f>$G192*AY192*Variables!$B$53*HLOOKUP($DM$2,Variables!$B$60:$F$61,2,FALSE)</f>
        <v>0</v>
      </c>
      <c r="DU192" s="1223">
        <f>$G192*AZ192*Variables!$B$53*HLOOKUP($DM$2,Variables!$B$60:$F$61,2,FALSE)</f>
        <v>0</v>
      </c>
      <c r="DV192" s="1223">
        <f>$G192*BA192*Variables!$B$53*HLOOKUP($DM$2,Variables!$B$60:$F$61,2,FALSE)</f>
        <v>0</v>
      </c>
      <c r="DW192" s="1223">
        <f>$G192*BB192*Variables!$B$53*HLOOKUP($DM$2,Variables!$B$60:$F$61,2,FALSE)</f>
        <v>0</v>
      </c>
      <c r="DX192" s="1225">
        <f>$G192*BC192*Variables!$B$53*HLOOKUP($DM$2,Variables!$B$60:$F$61,2,FALSE)</f>
        <v>0</v>
      </c>
      <c r="DY192" s="1222">
        <f>$G192*BD192*Variables!$B$53*HLOOKUP($DY$2,Variables!$B$60:$F$61,2,FALSE)</f>
        <v>0</v>
      </c>
      <c r="DZ192" s="1223">
        <f>$G192*BE192*Variables!$B$53*HLOOKUP($DY$2,Variables!$B$60:$F$61,2,FALSE)</f>
        <v>0</v>
      </c>
      <c r="EA192" s="1223">
        <f>$G192*BF192*Variables!$B$53*HLOOKUP($DY$2,Variables!$B$60:$F$61,2,FALSE)</f>
        <v>0</v>
      </c>
      <c r="EB192" s="1223">
        <f>$G192*BG192*Variables!$B$53*HLOOKUP($DY$2,Variables!$B$60:$F$61,2,FALSE)</f>
        <v>0</v>
      </c>
      <c r="EC192" s="1223">
        <f>$G192*BH192*Variables!$B$53*HLOOKUP($DY$2,Variables!$B$60:$F$61,2,FALSE)</f>
        <v>0</v>
      </c>
      <c r="ED192" s="1223">
        <f>$G192*BI192*Variables!$B$53*HLOOKUP($DY$2,Variables!$B$60:$F$61,2,FALSE)</f>
        <v>0</v>
      </c>
      <c r="EE192" s="1223">
        <f>$G192*BJ192*Variables!$B$53*HLOOKUP($DY$2,Variables!$B$60:$F$61,2,FALSE)</f>
        <v>0</v>
      </c>
      <c r="EF192" s="1223">
        <f>$G192*BK192*Variables!$B$53*HLOOKUP($DY$2,Variables!$B$60:$F$61,2,FALSE)</f>
        <v>0</v>
      </c>
      <c r="EG192" s="1223">
        <f>$G192*BL192*Variables!$B$53*HLOOKUP($DY$2,Variables!$B$60:$F$61,2,FALSE)</f>
        <v>0</v>
      </c>
      <c r="EH192" s="1223">
        <f>$G192*BM192*Variables!$B$53*HLOOKUP($DY$2,Variables!$B$60:$F$61,2,FALSE)</f>
        <v>0</v>
      </c>
      <c r="EI192" s="1223">
        <f>$G192*BN192*Variables!$B$53*HLOOKUP($DY$2,Variables!$B$60:$F$61,2,FALSE)</f>
        <v>0</v>
      </c>
      <c r="EJ192" s="1225">
        <f>$G192*BO192*Variables!$B$53*HLOOKUP($DY$2,Variables!$B$60:$F$61,2,FALSE)</f>
        <v>0</v>
      </c>
      <c r="EK192" s="1222">
        <f>$G192*BP192*Variables!$B$53*HLOOKUP($EK$2,Variables!$B$60:$F$61,2,FALSE)</f>
        <v>0</v>
      </c>
      <c r="EL192" s="1223">
        <f>$G192*BQ192*Variables!$B$53*HLOOKUP($EK$2,Variables!$B$60:$F$61,2,FALSE)</f>
        <v>0</v>
      </c>
      <c r="EM192" s="1223">
        <f>$G192*BR192*Variables!$B$53*HLOOKUP($EK$2,Variables!$B$60:$F$61,2,FALSE)</f>
        <v>0</v>
      </c>
      <c r="EN192" s="1223">
        <f>$G192*BS192*Variables!$B$53*HLOOKUP($EK$2,Variables!$B$60:$F$61,2,FALSE)</f>
        <v>0</v>
      </c>
      <c r="EO192" s="1223">
        <f>$G192*BT192*Variables!$B$53*HLOOKUP($EK$2,Variables!$B$60:$F$61,2,FALSE)</f>
        <v>0</v>
      </c>
      <c r="EP192" s="1223">
        <f>$G192*BU192*Variables!$B$53*HLOOKUP($EK$2,Variables!$B$60:$F$61,2,FALSE)</f>
        <v>0</v>
      </c>
      <c r="EQ192" s="1223">
        <f>$G192*BV192*Variables!$B$53*HLOOKUP($EK$2,Variables!$B$60:$F$61,2,FALSE)</f>
        <v>0</v>
      </c>
      <c r="ER192" s="1223">
        <f>$G192*BW192*Variables!$B$53*HLOOKUP($EK$2,Variables!$B$60:$F$61,2,FALSE)</f>
        <v>0</v>
      </c>
      <c r="ES192" s="1223">
        <f>$G192*BX192*Variables!$B$53*HLOOKUP($EK$2,Variables!$B$60:$F$61,2,FALSE)</f>
        <v>0</v>
      </c>
      <c r="ET192" s="1223">
        <f>$G192*BY192*Variables!$B$53*HLOOKUP($EK$2,Variables!$B$60:$F$61,2,FALSE)</f>
        <v>0</v>
      </c>
      <c r="EU192" s="1223">
        <f>$G192*BZ192*Variables!$B$53*HLOOKUP($EK$2,Variables!$B$60:$F$61,2,FALSE)</f>
        <v>0</v>
      </c>
      <c r="EV192" s="1225">
        <f>$G192*CA192*Variables!$B$53*HLOOKUP($EK$2,Variables!$B$60:$F$61,2,FALSE)</f>
        <v>0</v>
      </c>
      <c r="EW192" s="872">
        <f t="shared" si="24"/>
        <v>0</v>
      </c>
      <c r="EX192" s="872"/>
      <c r="EY192" s="872"/>
      <c r="EZ192" s="872"/>
      <c r="FA192" s="1332"/>
      <c r="FC192" s="958" t="str">
        <f t="shared" si="25"/>
        <v/>
      </c>
      <c r="FD192" s="959" t="str">
        <f t="shared" si="26"/>
        <v/>
      </c>
      <c r="FE192" s="959" t="s">
        <v>8407</v>
      </c>
      <c r="FF192" s="959" t="str">
        <f>IF(ISNA(VLOOKUP(FC192,Miscellaneous!E:F,2,0)),"",VLOOKUP(FC192,Miscellaneous!E:F,2,0))</f>
        <v/>
      </c>
      <c r="FG192" s="959" t="str">
        <f t="shared" si="27"/>
        <v/>
      </c>
      <c r="FH192" s="996">
        <f>IF($FG192="Opex",SUMIF('Monthly Summary'!$C$75:$N$75,"",CC192:CN192),SUMIF('Monthly Summary'!$C$74:$N$74,"",CC192:CN192))</f>
        <v>0</v>
      </c>
      <c r="FI192" s="996">
        <f>IF($FG192="Opex",SUMIF('Monthly Summary'!$O$75:$Z$75,"",CO192:CZ192),SUMIF('Monthly Summary'!$O$74:$Z$74,"",CO192:CZ192))</f>
        <v>0</v>
      </c>
      <c r="FJ192" s="996">
        <f>IF($FG192="Opex",SUMIF('Monthly Summary'!$AA$75:$AL$75,"",DA192:DL192),SUMIF('Monthly Summary'!$AA$74:$AL$74,"",DA192:DL192))</f>
        <v>0</v>
      </c>
      <c r="FK192" s="996">
        <f>IF($FG192="Opex",SUMIF('Monthly Summary'!$AM$75:$AX$75,"",DM192:DX192),SUMIF('Monthly Summary'!$AM$74:$AX$74,"",DM192:DX192))</f>
        <v>0</v>
      </c>
      <c r="FL192" s="996">
        <f>IF($FG192="Opex",SUMIF('Monthly Summary'!$AY$75:$BJ$75,"",DY192:EJ192),SUMIF('Monthly Summary'!$AY$74:$BJ$74,"",DY192:EJ192))</f>
        <v>0</v>
      </c>
      <c r="FM192" s="997">
        <f>IF($FG192="Opex",SUMIF('Monthly Summary'!$BK$75:$BV$75,"",EK192:EV192),SUMIF('Monthly Summary'!$BK$74:$BV$74,"",EK192:EV192))</f>
        <v>0</v>
      </c>
      <c r="FN192" s="997">
        <f t="shared" si="28"/>
        <v>0</v>
      </c>
    </row>
    <row r="193" spans="3:170">
      <c r="C193" s="757"/>
      <c r="D193" s="757"/>
      <c r="E193" s="758"/>
      <c r="F193" s="758"/>
      <c r="G193" s="758"/>
      <c r="H193" s="1215"/>
      <c r="I193" s="761"/>
      <c r="J193" s="761"/>
      <c r="K193" s="761"/>
      <c r="L193" s="761"/>
      <c r="M193" s="761"/>
      <c r="N193" s="761"/>
      <c r="O193" s="761"/>
      <c r="P193" s="761"/>
      <c r="Q193" s="761"/>
      <c r="R193" s="761"/>
      <c r="S193" s="1216"/>
      <c r="T193" s="1215"/>
      <c r="U193" s="761"/>
      <c r="V193" s="761"/>
      <c r="W193" s="761"/>
      <c r="X193" s="761"/>
      <c r="Y193" s="761"/>
      <c r="Z193" s="761"/>
      <c r="AA193" s="761"/>
      <c r="AB193" s="761"/>
      <c r="AC193" s="761"/>
      <c r="AD193" s="761"/>
      <c r="AE193" s="1216"/>
      <c r="AF193" s="1215"/>
      <c r="AG193" s="761"/>
      <c r="AH193" s="761"/>
      <c r="AI193" s="761"/>
      <c r="AJ193" s="761"/>
      <c r="AK193" s="761"/>
      <c r="AL193" s="761"/>
      <c r="AM193" s="761"/>
      <c r="AN193" s="761"/>
      <c r="AO193" s="761"/>
      <c r="AP193" s="761"/>
      <c r="AQ193" s="1216"/>
      <c r="AR193" s="1215"/>
      <c r="AS193" s="761"/>
      <c r="AT193" s="761"/>
      <c r="AU193" s="761"/>
      <c r="AV193" s="761"/>
      <c r="AW193" s="761"/>
      <c r="AX193" s="761"/>
      <c r="AY193" s="761"/>
      <c r="AZ193" s="761"/>
      <c r="BA193" s="761"/>
      <c r="BB193" s="761"/>
      <c r="BC193" s="1216"/>
      <c r="BD193" s="1215"/>
      <c r="BE193" s="761"/>
      <c r="BF193" s="761"/>
      <c r="BG193" s="761"/>
      <c r="BH193" s="761"/>
      <c r="BI193" s="761"/>
      <c r="BJ193" s="761"/>
      <c r="BK193" s="761"/>
      <c r="BL193" s="761"/>
      <c r="BM193" s="761"/>
      <c r="BN193" s="761"/>
      <c r="BO193" s="1216"/>
      <c r="BP193" s="1215"/>
      <c r="BQ193" s="761"/>
      <c r="BR193" s="761"/>
      <c r="BS193" s="761"/>
      <c r="BT193" s="761"/>
      <c r="BU193" s="761"/>
      <c r="BV193" s="761"/>
      <c r="BW193" s="761"/>
      <c r="BX193" s="761"/>
      <c r="BY193" s="761"/>
      <c r="BZ193" s="761"/>
      <c r="CA193" s="1216"/>
      <c r="CB193" s="747"/>
      <c r="CC193" s="1222">
        <f>$G193*H193*Variables!$B$53</f>
        <v>0</v>
      </c>
      <c r="CD193" s="1223">
        <f>$G193*I193*Variables!$B$53</f>
        <v>0</v>
      </c>
      <c r="CE193" s="1223">
        <f>$G193*J193*Variables!$B$53</f>
        <v>0</v>
      </c>
      <c r="CF193" s="1223">
        <f>$G193*K193*Variables!$B$53</f>
        <v>0</v>
      </c>
      <c r="CG193" s="1223">
        <f>$G193*L193*Variables!$B$53</f>
        <v>0</v>
      </c>
      <c r="CH193" s="1223">
        <f>$G193*M193*Variables!$B$53</f>
        <v>0</v>
      </c>
      <c r="CI193" s="1223">
        <f>$G193*N193*Variables!$B$53</f>
        <v>0</v>
      </c>
      <c r="CJ193" s="1223">
        <f>$G193*O193*Variables!$B$53</f>
        <v>0</v>
      </c>
      <c r="CK193" s="1223">
        <f>$G193*P193*Variables!$B$53</f>
        <v>0</v>
      </c>
      <c r="CL193" s="1223">
        <f>$G193*Q193*Variables!$B$53</f>
        <v>0</v>
      </c>
      <c r="CM193" s="1223">
        <f>$G193*R193*Variables!$B$53</f>
        <v>0</v>
      </c>
      <c r="CN193" s="1225">
        <f>$G193*S193*Variables!$B$53</f>
        <v>0</v>
      </c>
      <c r="CO193" s="1222">
        <f>$G193*T193*Variables!$B$53*HLOOKUP($CO$2,Variables!$B$60:$F$61,2,FALSE)</f>
        <v>0</v>
      </c>
      <c r="CP193" s="1223">
        <f>$G193*U193*Variables!$B$53*HLOOKUP($CO$2,Variables!$B$60:$F$61,2,FALSE)</f>
        <v>0</v>
      </c>
      <c r="CQ193" s="1223">
        <f>$G193*V193*Variables!$B$53*HLOOKUP($CO$2,Variables!$B$60:$F$61,2,FALSE)</f>
        <v>0</v>
      </c>
      <c r="CR193" s="1223">
        <f>$G193*W193*Variables!$B$53*HLOOKUP($CO$2,Variables!$B$60:$F$61,2,FALSE)</f>
        <v>0</v>
      </c>
      <c r="CS193" s="1223">
        <f>$G193*X193*Variables!$B$53*HLOOKUP($CO$2,Variables!$B$60:$F$61,2,FALSE)</f>
        <v>0</v>
      </c>
      <c r="CT193" s="1223">
        <f>$G193*Y193*Variables!$B$53*HLOOKUP($CO$2,Variables!$B$60:$F$61,2,FALSE)</f>
        <v>0</v>
      </c>
      <c r="CU193" s="1223">
        <f>$G193*Z193*Variables!$B$53*HLOOKUP($CO$2,Variables!$B$60:$F$61,2,FALSE)</f>
        <v>0</v>
      </c>
      <c r="CV193" s="1223">
        <f>$G193*AA193*Variables!$B$53*HLOOKUP($CO$2,Variables!$B$60:$F$61,2,FALSE)</f>
        <v>0</v>
      </c>
      <c r="CW193" s="1223">
        <f>$G193*AB193*Variables!$B$53*HLOOKUP($CO$2,Variables!$B$60:$F$61,2,FALSE)</f>
        <v>0</v>
      </c>
      <c r="CX193" s="1223">
        <f>$G193*AC193*Variables!$B$53*HLOOKUP($CO$2,Variables!$B$60:$F$61,2,FALSE)</f>
        <v>0</v>
      </c>
      <c r="CY193" s="1223">
        <f>$G193*AD193*Variables!$B$53*HLOOKUP($CO$2,Variables!$B$60:$F$61,2,FALSE)</f>
        <v>0</v>
      </c>
      <c r="CZ193" s="1225">
        <f>$G193*AE193*Variables!$B$53*HLOOKUP($CO$2,Variables!$B$60:$F$61,2,FALSE)</f>
        <v>0</v>
      </c>
      <c r="DA193" s="1222">
        <f>$G193*AF193*Variables!$B$53*HLOOKUP($DA$2,Variables!$B$60:$F$61,2,FALSE)</f>
        <v>0</v>
      </c>
      <c r="DB193" s="1223">
        <f>$G193*AG193*Variables!$B$53*HLOOKUP($DA$2,Variables!$B$60:$F$61,2,FALSE)</f>
        <v>0</v>
      </c>
      <c r="DC193" s="1223">
        <f>$G193*AH193*Variables!$B$53*HLOOKUP($DA$2,Variables!$B$60:$F$61,2,FALSE)</f>
        <v>0</v>
      </c>
      <c r="DD193" s="1223">
        <f>$G193*AI193*Variables!$B$53*HLOOKUP($DA$2,Variables!$B$60:$F$61,2,FALSE)</f>
        <v>0</v>
      </c>
      <c r="DE193" s="1223">
        <f>$G193*AJ193*Variables!$B$53*HLOOKUP($DA$2,Variables!$B$60:$F$61,2,FALSE)</f>
        <v>0</v>
      </c>
      <c r="DF193" s="1223">
        <f>$G193*AK193*Variables!$B$53*HLOOKUP($DA$2,Variables!$B$60:$F$61,2,FALSE)</f>
        <v>0</v>
      </c>
      <c r="DG193" s="1223">
        <f>$G193*AL193*Variables!$B$53*HLOOKUP($DA$2,Variables!$B$60:$F$61,2,FALSE)</f>
        <v>0</v>
      </c>
      <c r="DH193" s="1223">
        <f>$G193*AM193*Variables!$B$53*HLOOKUP($DA$2,Variables!$B$60:$F$61,2,FALSE)</f>
        <v>0</v>
      </c>
      <c r="DI193" s="1223">
        <f>$G193*AN193*Variables!$B$53*HLOOKUP($DA$2,Variables!$B$60:$F$61,2,FALSE)</f>
        <v>0</v>
      </c>
      <c r="DJ193" s="1223">
        <f>$G193*AO193*Variables!$B$53*HLOOKUP($DA$2,Variables!$B$60:$F$61,2,FALSE)</f>
        <v>0</v>
      </c>
      <c r="DK193" s="1223">
        <f>$G193*AP193*Variables!$B$53*HLOOKUP($DA$2,Variables!$B$60:$F$61,2,FALSE)</f>
        <v>0</v>
      </c>
      <c r="DL193" s="1225">
        <f>$G193*AQ193*Variables!$B$53*HLOOKUP($DA$2,Variables!$B$60:$F$61,2,FALSE)</f>
        <v>0</v>
      </c>
      <c r="DM193" s="1222">
        <f>$G193*AR193*Variables!$B$53*HLOOKUP($DM$2,Variables!$B$60:$F$61,2,FALSE)</f>
        <v>0</v>
      </c>
      <c r="DN193" s="1223">
        <f>$G193*AS193*Variables!$B$53*HLOOKUP($DM$2,Variables!$B$60:$F$61,2,FALSE)</f>
        <v>0</v>
      </c>
      <c r="DO193" s="1223">
        <f>$G193*AT193*Variables!$B$53*HLOOKUP($DM$2,Variables!$B$60:$F$61,2,FALSE)</f>
        <v>0</v>
      </c>
      <c r="DP193" s="1223">
        <f>$G193*AU193*Variables!$B$53*HLOOKUP($DM$2,Variables!$B$60:$F$61,2,FALSE)</f>
        <v>0</v>
      </c>
      <c r="DQ193" s="1223">
        <f>$G193*AV193*Variables!$B$53*HLOOKUP($DM$2,Variables!$B$60:$F$61,2,FALSE)</f>
        <v>0</v>
      </c>
      <c r="DR193" s="1223">
        <f>$G193*AW193*Variables!$B$53*HLOOKUP($DM$2,Variables!$B$60:$F$61,2,FALSE)</f>
        <v>0</v>
      </c>
      <c r="DS193" s="1223">
        <f>$G193*AX193*Variables!$B$53*HLOOKUP($DM$2,Variables!$B$60:$F$61,2,FALSE)</f>
        <v>0</v>
      </c>
      <c r="DT193" s="1223">
        <f>$G193*AY193*Variables!$B$53*HLOOKUP($DM$2,Variables!$B$60:$F$61,2,FALSE)</f>
        <v>0</v>
      </c>
      <c r="DU193" s="1223">
        <f>$G193*AZ193*Variables!$B$53*HLOOKUP($DM$2,Variables!$B$60:$F$61,2,FALSE)</f>
        <v>0</v>
      </c>
      <c r="DV193" s="1223">
        <f>$G193*BA193*Variables!$B$53*HLOOKUP($DM$2,Variables!$B$60:$F$61,2,FALSE)</f>
        <v>0</v>
      </c>
      <c r="DW193" s="1223">
        <f>$G193*BB193*Variables!$B$53*HLOOKUP($DM$2,Variables!$B$60:$F$61,2,FALSE)</f>
        <v>0</v>
      </c>
      <c r="DX193" s="1225">
        <f>$G193*BC193*Variables!$B$53*HLOOKUP($DM$2,Variables!$B$60:$F$61,2,FALSE)</f>
        <v>0</v>
      </c>
      <c r="DY193" s="1222">
        <f>$G193*BD193*Variables!$B$53*HLOOKUP($DY$2,Variables!$B$60:$F$61,2,FALSE)</f>
        <v>0</v>
      </c>
      <c r="DZ193" s="1223">
        <f>$G193*BE193*Variables!$B$53*HLOOKUP($DY$2,Variables!$B$60:$F$61,2,FALSE)</f>
        <v>0</v>
      </c>
      <c r="EA193" s="1223">
        <f>$G193*BF193*Variables!$B$53*HLOOKUP($DY$2,Variables!$B$60:$F$61,2,FALSE)</f>
        <v>0</v>
      </c>
      <c r="EB193" s="1223">
        <f>$G193*BG193*Variables!$B$53*HLOOKUP($DY$2,Variables!$B$60:$F$61,2,FALSE)</f>
        <v>0</v>
      </c>
      <c r="EC193" s="1223">
        <f>$G193*BH193*Variables!$B$53*HLOOKUP($DY$2,Variables!$B$60:$F$61,2,FALSE)</f>
        <v>0</v>
      </c>
      <c r="ED193" s="1223">
        <f>$G193*BI193*Variables!$B$53*HLOOKUP($DY$2,Variables!$B$60:$F$61,2,FALSE)</f>
        <v>0</v>
      </c>
      <c r="EE193" s="1223">
        <f>$G193*BJ193*Variables!$B$53*HLOOKUP($DY$2,Variables!$B$60:$F$61,2,FALSE)</f>
        <v>0</v>
      </c>
      <c r="EF193" s="1223">
        <f>$G193*BK193*Variables!$B$53*HLOOKUP($DY$2,Variables!$B$60:$F$61,2,FALSE)</f>
        <v>0</v>
      </c>
      <c r="EG193" s="1223">
        <f>$G193*BL193*Variables!$B$53*HLOOKUP($DY$2,Variables!$B$60:$F$61,2,FALSE)</f>
        <v>0</v>
      </c>
      <c r="EH193" s="1223">
        <f>$G193*BM193*Variables!$B$53*HLOOKUP($DY$2,Variables!$B$60:$F$61,2,FALSE)</f>
        <v>0</v>
      </c>
      <c r="EI193" s="1223">
        <f>$G193*BN193*Variables!$B$53*HLOOKUP($DY$2,Variables!$B$60:$F$61,2,FALSE)</f>
        <v>0</v>
      </c>
      <c r="EJ193" s="1225">
        <f>$G193*BO193*Variables!$B$53*HLOOKUP($DY$2,Variables!$B$60:$F$61,2,FALSE)</f>
        <v>0</v>
      </c>
      <c r="EK193" s="1222">
        <f>$G193*BP193*Variables!$B$53*HLOOKUP($EK$2,Variables!$B$60:$F$61,2,FALSE)</f>
        <v>0</v>
      </c>
      <c r="EL193" s="1223">
        <f>$G193*BQ193*Variables!$B$53*HLOOKUP($EK$2,Variables!$B$60:$F$61,2,FALSE)</f>
        <v>0</v>
      </c>
      <c r="EM193" s="1223">
        <f>$G193*BR193*Variables!$B$53*HLOOKUP($EK$2,Variables!$B$60:$F$61,2,FALSE)</f>
        <v>0</v>
      </c>
      <c r="EN193" s="1223">
        <f>$G193*BS193*Variables!$B$53*HLOOKUP($EK$2,Variables!$B$60:$F$61,2,FALSE)</f>
        <v>0</v>
      </c>
      <c r="EO193" s="1223">
        <f>$G193*BT193*Variables!$B$53*HLOOKUP($EK$2,Variables!$B$60:$F$61,2,FALSE)</f>
        <v>0</v>
      </c>
      <c r="EP193" s="1223">
        <f>$G193*BU193*Variables!$B$53*HLOOKUP($EK$2,Variables!$B$60:$F$61,2,FALSE)</f>
        <v>0</v>
      </c>
      <c r="EQ193" s="1223">
        <f>$G193*BV193*Variables!$B$53*HLOOKUP($EK$2,Variables!$B$60:$F$61,2,FALSE)</f>
        <v>0</v>
      </c>
      <c r="ER193" s="1223">
        <f>$G193*BW193*Variables!$B$53*HLOOKUP($EK$2,Variables!$B$60:$F$61,2,FALSE)</f>
        <v>0</v>
      </c>
      <c r="ES193" s="1223">
        <f>$G193*BX193*Variables!$B$53*HLOOKUP($EK$2,Variables!$B$60:$F$61,2,FALSE)</f>
        <v>0</v>
      </c>
      <c r="ET193" s="1223">
        <f>$G193*BY193*Variables!$B$53*HLOOKUP($EK$2,Variables!$B$60:$F$61,2,FALSE)</f>
        <v>0</v>
      </c>
      <c r="EU193" s="1223">
        <f>$G193*BZ193*Variables!$B$53*HLOOKUP($EK$2,Variables!$B$60:$F$61,2,FALSE)</f>
        <v>0</v>
      </c>
      <c r="EV193" s="1225">
        <f>$G193*CA193*Variables!$B$53*HLOOKUP($EK$2,Variables!$B$60:$F$61,2,FALSE)</f>
        <v>0</v>
      </c>
      <c r="EW193" s="872">
        <f t="shared" si="24"/>
        <v>0</v>
      </c>
      <c r="EX193" s="872"/>
      <c r="EY193" s="872"/>
      <c r="EZ193" s="872"/>
      <c r="FA193" s="1332"/>
      <c r="FC193" s="958" t="str">
        <f t="shared" si="25"/>
        <v/>
      </c>
      <c r="FD193" s="959" t="str">
        <f t="shared" si="26"/>
        <v/>
      </c>
      <c r="FE193" s="959" t="s">
        <v>8407</v>
      </c>
      <c r="FF193" s="959" t="str">
        <f>IF(ISNA(VLOOKUP(FC193,Miscellaneous!E:F,2,0)),"",VLOOKUP(FC193,Miscellaneous!E:F,2,0))</f>
        <v/>
      </c>
      <c r="FG193" s="959" t="str">
        <f t="shared" si="27"/>
        <v/>
      </c>
      <c r="FH193" s="996">
        <f>IF($FG193="Opex",SUMIF('Monthly Summary'!$C$75:$N$75,"",CC193:CN193),SUMIF('Monthly Summary'!$C$74:$N$74,"",CC193:CN193))</f>
        <v>0</v>
      </c>
      <c r="FI193" s="996">
        <f>IF($FG193="Opex",SUMIF('Monthly Summary'!$O$75:$Z$75,"",CO193:CZ193),SUMIF('Monthly Summary'!$O$74:$Z$74,"",CO193:CZ193))</f>
        <v>0</v>
      </c>
      <c r="FJ193" s="996">
        <f>IF($FG193="Opex",SUMIF('Monthly Summary'!$AA$75:$AL$75,"",DA193:DL193),SUMIF('Monthly Summary'!$AA$74:$AL$74,"",DA193:DL193))</f>
        <v>0</v>
      </c>
      <c r="FK193" s="996">
        <f>IF($FG193="Opex",SUMIF('Monthly Summary'!$AM$75:$AX$75,"",DM193:DX193),SUMIF('Monthly Summary'!$AM$74:$AX$74,"",DM193:DX193))</f>
        <v>0</v>
      </c>
      <c r="FL193" s="996">
        <f>IF($FG193="Opex",SUMIF('Monthly Summary'!$AY$75:$BJ$75,"",DY193:EJ193),SUMIF('Monthly Summary'!$AY$74:$BJ$74,"",DY193:EJ193))</f>
        <v>0</v>
      </c>
      <c r="FM193" s="997">
        <f>IF($FG193="Opex",SUMIF('Monthly Summary'!$BK$75:$BV$75,"",EK193:EV193),SUMIF('Monthly Summary'!$BK$74:$BV$74,"",EK193:EV193))</f>
        <v>0</v>
      </c>
      <c r="FN193" s="997">
        <f t="shared" si="28"/>
        <v>0</v>
      </c>
    </row>
    <row r="194" spans="3:170">
      <c r="C194" s="757"/>
      <c r="D194" s="757"/>
      <c r="E194" s="758"/>
      <c r="F194" s="758"/>
      <c r="G194" s="758"/>
      <c r="H194" s="1215"/>
      <c r="I194" s="761"/>
      <c r="J194" s="761"/>
      <c r="K194" s="761"/>
      <c r="L194" s="761"/>
      <c r="M194" s="761"/>
      <c r="N194" s="761"/>
      <c r="O194" s="761"/>
      <c r="P194" s="761"/>
      <c r="Q194" s="761"/>
      <c r="R194" s="761"/>
      <c r="S194" s="1216"/>
      <c r="T194" s="1215"/>
      <c r="U194" s="761"/>
      <c r="V194" s="761"/>
      <c r="W194" s="761"/>
      <c r="X194" s="761"/>
      <c r="Y194" s="761"/>
      <c r="Z194" s="761"/>
      <c r="AA194" s="761"/>
      <c r="AB194" s="761"/>
      <c r="AC194" s="761"/>
      <c r="AD194" s="761"/>
      <c r="AE194" s="1216"/>
      <c r="AF194" s="1215"/>
      <c r="AG194" s="761"/>
      <c r="AH194" s="761"/>
      <c r="AI194" s="761"/>
      <c r="AJ194" s="761"/>
      <c r="AK194" s="761"/>
      <c r="AL194" s="761"/>
      <c r="AM194" s="761"/>
      <c r="AN194" s="761"/>
      <c r="AO194" s="761"/>
      <c r="AP194" s="761"/>
      <c r="AQ194" s="1216"/>
      <c r="AR194" s="1215"/>
      <c r="AS194" s="761"/>
      <c r="AT194" s="761"/>
      <c r="AU194" s="761"/>
      <c r="AV194" s="761"/>
      <c r="AW194" s="761"/>
      <c r="AX194" s="761"/>
      <c r="AY194" s="761"/>
      <c r="AZ194" s="761"/>
      <c r="BA194" s="761"/>
      <c r="BB194" s="761"/>
      <c r="BC194" s="1216"/>
      <c r="BD194" s="1215"/>
      <c r="BE194" s="761"/>
      <c r="BF194" s="761"/>
      <c r="BG194" s="761"/>
      <c r="BH194" s="761"/>
      <c r="BI194" s="761"/>
      <c r="BJ194" s="761"/>
      <c r="BK194" s="761"/>
      <c r="BL194" s="761"/>
      <c r="BM194" s="761"/>
      <c r="BN194" s="761"/>
      <c r="BO194" s="1216"/>
      <c r="BP194" s="1215"/>
      <c r="BQ194" s="761"/>
      <c r="BR194" s="761"/>
      <c r="BS194" s="761"/>
      <c r="BT194" s="761"/>
      <c r="BU194" s="761"/>
      <c r="BV194" s="761"/>
      <c r="BW194" s="761"/>
      <c r="BX194" s="761"/>
      <c r="BY194" s="761"/>
      <c r="BZ194" s="761"/>
      <c r="CA194" s="1216"/>
      <c r="CB194" s="747"/>
      <c r="CC194" s="1222">
        <f>$G194*H194*Variables!$B$53</f>
        <v>0</v>
      </c>
      <c r="CD194" s="1223">
        <f>$G194*I194*Variables!$B$53</f>
        <v>0</v>
      </c>
      <c r="CE194" s="1223">
        <f>$G194*J194*Variables!$B$53</f>
        <v>0</v>
      </c>
      <c r="CF194" s="1223">
        <f>$G194*K194*Variables!$B$53</f>
        <v>0</v>
      </c>
      <c r="CG194" s="1223">
        <f>$G194*L194*Variables!$B$53</f>
        <v>0</v>
      </c>
      <c r="CH194" s="1223">
        <f>$G194*M194*Variables!$B$53</f>
        <v>0</v>
      </c>
      <c r="CI194" s="1223">
        <f>$G194*N194*Variables!$B$53</f>
        <v>0</v>
      </c>
      <c r="CJ194" s="1223">
        <f>$G194*O194*Variables!$B$53</f>
        <v>0</v>
      </c>
      <c r="CK194" s="1223">
        <f>$G194*P194*Variables!$B$53</f>
        <v>0</v>
      </c>
      <c r="CL194" s="1223">
        <f>$G194*Q194*Variables!$B$53</f>
        <v>0</v>
      </c>
      <c r="CM194" s="1223">
        <f>$G194*R194*Variables!$B$53</f>
        <v>0</v>
      </c>
      <c r="CN194" s="1225">
        <f>$G194*S194*Variables!$B$53</f>
        <v>0</v>
      </c>
      <c r="CO194" s="1222">
        <f>$G194*T194*Variables!$B$53*HLOOKUP($CO$2,Variables!$B$60:$F$61,2,FALSE)</f>
        <v>0</v>
      </c>
      <c r="CP194" s="1223">
        <f>$G194*U194*Variables!$B$53*HLOOKUP($CO$2,Variables!$B$60:$F$61,2,FALSE)</f>
        <v>0</v>
      </c>
      <c r="CQ194" s="1223">
        <f>$G194*V194*Variables!$B$53*HLOOKUP($CO$2,Variables!$B$60:$F$61,2,FALSE)</f>
        <v>0</v>
      </c>
      <c r="CR194" s="1223">
        <f>$G194*W194*Variables!$B$53*HLOOKUP($CO$2,Variables!$B$60:$F$61,2,FALSE)</f>
        <v>0</v>
      </c>
      <c r="CS194" s="1223">
        <f>$G194*X194*Variables!$B$53*HLOOKUP($CO$2,Variables!$B$60:$F$61,2,FALSE)</f>
        <v>0</v>
      </c>
      <c r="CT194" s="1223">
        <f>$G194*Y194*Variables!$B$53*HLOOKUP($CO$2,Variables!$B$60:$F$61,2,FALSE)</f>
        <v>0</v>
      </c>
      <c r="CU194" s="1223">
        <f>$G194*Z194*Variables!$B$53*HLOOKUP($CO$2,Variables!$B$60:$F$61,2,FALSE)</f>
        <v>0</v>
      </c>
      <c r="CV194" s="1223">
        <f>$G194*AA194*Variables!$B$53*HLOOKUP($CO$2,Variables!$B$60:$F$61,2,FALSE)</f>
        <v>0</v>
      </c>
      <c r="CW194" s="1223">
        <f>$G194*AB194*Variables!$B$53*HLOOKUP($CO$2,Variables!$B$60:$F$61,2,FALSE)</f>
        <v>0</v>
      </c>
      <c r="CX194" s="1223">
        <f>$G194*AC194*Variables!$B$53*HLOOKUP($CO$2,Variables!$B$60:$F$61,2,FALSE)</f>
        <v>0</v>
      </c>
      <c r="CY194" s="1223">
        <f>$G194*AD194*Variables!$B$53*HLOOKUP($CO$2,Variables!$B$60:$F$61,2,FALSE)</f>
        <v>0</v>
      </c>
      <c r="CZ194" s="1225">
        <f>$G194*AE194*Variables!$B$53*HLOOKUP($CO$2,Variables!$B$60:$F$61,2,FALSE)</f>
        <v>0</v>
      </c>
      <c r="DA194" s="1222">
        <f>$G194*AF194*Variables!$B$53*HLOOKUP($DA$2,Variables!$B$60:$F$61,2,FALSE)</f>
        <v>0</v>
      </c>
      <c r="DB194" s="1223">
        <f>$G194*AG194*Variables!$B$53*HLOOKUP($DA$2,Variables!$B$60:$F$61,2,FALSE)</f>
        <v>0</v>
      </c>
      <c r="DC194" s="1223">
        <f>$G194*AH194*Variables!$B$53*HLOOKUP($DA$2,Variables!$B$60:$F$61,2,FALSE)</f>
        <v>0</v>
      </c>
      <c r="DD194" s="1223">
        <f>$G194*AI194*Variables!$B$53*HLOOKUP($DA$2,Variables!$B$60:$F$61,2,FALSE)</f>
        <v>0</v>
      </c>
      <c r="DE194" s="1223">
        <f>$G194*AJ194*Variables!$B$53*HLOOKUP($DA$2,Variables!$B$60:$F$61,2,FALSE)</f>
        <v>0</v>
      </c>
      <c r="DF194" s="1223">
        <f>$G194*AK194*Variables!$B$53*HLOOKUP($DA$2,Variables!$B$60:$F$61,2,FALSE)</f>
        <v>0</v>
      </c>
      <c r="DG194" s="1223">
        <f>$G194*AL194*Variables!$B$53*HLOOKUP($DA$2,Variables!$B$60:$F$61,2,FALSE)</f>
        <v>0</v>
      </c>
      <c r="DH194" s="1223">
        <f>$G194*AM194*Variables!$B$53*HLOOKUP($DA$2,Variables!$B$60:$F$61,2,FALSE)</f>
        <v>0</v>
      </c>
      <c r="DI194" s="1223">
        <f>$G194*AN194*Variables!$B$53*HLOOKUP($DA$2,Variables!$B$60:$F$61,2,FALSE)</f>
        <v>0</v>
      </c>
      <c r="DJ194" s="1223">
        <f>$G194*AO194*Variables!$B$53*HLOOKUP($DA$2,Variables!$B$60:$F$61,2,FALSE)</f>
        <v>0</v>
      </c>
      <c r="DK194" s="1223">
        <f>$G194*AP194*Variables!$B$53*HLOOKUP($DA$2,Variables!$B$60:$F$61,2,FALSE)</f>
        <v>0</v>
      </c>
      <c r="DL194" s="1225">
        <f>$G194*AQ194*Variables!$B$53*HLOOKUP($DA$2,Variables!$B$60:$F$61,2,FALSE)</f>
        <v>0</v>
      </c>
      <c r="DM194" s="1222">
        <f>$G194*AR194*Variables!$B$53*HLOOKUP($DM$2,Variables!$B$60:$F$61,2,FALSE)</f>
        <v>0</v>
      </c>
      <c r="DN194" s="1223">
        <f>$G194*AS194*Variables!$B$53*HLOOKUP($DM$2,Variables!$B$60:$F$61,2,FALSE)</f>
        <v>0</v>
      </c>
      <c r="DO194" s="1223">
        <f>$G194*AT194*Variables!$B$53*HLOOKUP($DM$2,Variables!$B$60:$F$61,2,FALSE)</f>
        <v>0</v>
      </c>
      <c r="DP194" s="1223">
        <f>$G194*AU194*Variables!$B$53*HLOOKUP($DM$2,Variables!$B$60:$F$61,2,FALSE)</f>
        <v>0</v>
      </c>
      <c r="DQ194" s="1223">
        <f>$G194*AV194*Variables!$B$53*HLOOKUP($DM$2,Variables!$B$60:$F$61,2,FALSE)</f>
        <v>0</v>
      </c>
      <c r="DR194" s="1223">
        <f>$G194*AW194*Variables!$B$53*HLOOKUP($DM$2,Variables!$B$60:$F$61,2,FALSE)</f>
        <v>0</v>
      </c>
      <c r="DS194" s="1223">
        <f>$G194*AX194*Variables!$B$53*HLOOKUP($DM$2,Variables!$B$60:$F$61,2,FALSE)</f>
        <v>0</v>
      </c>
      <c r="DT194" s="1223">
        <f>$G194*AY194*Variables!$B$53*HLOOKUP($DM$2,Variables!$B$60:$F$61,2,FALSE)</f>
        <v>0</v>
      </c>
      <c r="DU194" s="1223">
        <f>$G194*AZ194*Variables!$B$53*HLOOKUP($DM$2,Variables!$B$60:$F$61,2,FALSE)</f>
        <v>0</v>
      </c>
      <c r="DV194" s="1223">
        <f>$G194*BA194*Variables!$B$53*HLOOKUP($DM$2,Variables!$B$60:$F$61,2,FALSE)</f>
        <v>0</v>
      </c>
      <c r="DW194" s="1223">
        <f>$G194*BB194*Variables!$B$53*HLOOKUP($DM$2,Variables!$B$60:$F$61,2,FALSE)</f>
        <v>0</v>
      </c>
      <c r="DX194" s="1225">
        <f>$G194*BC194*Variables!$B$53*HLOOKUP($DM$2,Variables!$B$60:$F$61,2,FALSE)</f>
        <v>0</v>
      </c>
      <c r="DY194" s="1222">
        <f>$G194*BD194*Variables!$B$53*HLOOKUP($DY$2,Variables!$B$60:$F$61,2,FALSE)</f>
        <v>0</v>
      </c>
      <c r="DZ194" s="1223">
        <f>$G194*BE194*Variables!$B$53*HLOOKUP($DY$2,Variables!$B$60:$F$61,2,FALSE)</f>
        <v>0</v>
      </c>
      <c r="EA194" s="1223">
        <f>$G194*BF194*Variables!$B$53*HLOOKUP($DY$2,Variables!$B$60:$F$61,2,FALSE)</f>
        <v>0</v>
      </c>
      <c r="EB194" s="1223">
        <f>$G194*BG194*Variables!$B$53*HLOOKUP($DY$2,Variables!$B$60:$F$61,2,FALSE)</f>
        <v>0</v>
      </c>
      <c r="EC194" s="1223">
        <f>$G194*BH194*Variables!$B$53*HLOOKUP($DY$2,Variables!$B$60:$F$61,2,FALSE)</f>
        <v>0</v>
      </c>
      <c r="ED194" s="1223">
        <f>$G194*BI194*Variables!$B$53*HLOOKUP($DY$2,Variables!$B$60:$F$61,2,FALSE)</f>
        <v>0</v>
      </c>
      <c r="EE194" s="1223">
        <f>$G194*BJ194*Variables!$B$53*HLOOKUP($DY$2,Variables!$B$60:$F$61,2,FALSE)</f>
        <v>0</v>
      </c>
      <c r="EF194" s="1223">
        <f>$G194*BK194*Variables!$B$53*HLOOKUP($DY$2,Variables!$B$60:$F$61,2,FALSE)</f>
        <v>0</v>
      </c>
      <c r="EG194" s="1223">
        <f>$G194*BL194*Variables!$B$53*HLOOKUP($DY$2,Variables!$B$60:$F$61,2,FALSE)</f>
        <v>0</v>
      </c>
      <c r="EH194" s="1223">
        <f>$G194*BM194*Variables!$B$53*HLOOKUP($DY$2,Variables!$B$60:$F$61,2,FALSE)</f>
        <v>0</v>
      </c>
      <c r="EI194" s="1223">
        <f>$G194*BN194*Variables!$B$53*HLOOKUP($DY$2,Variables!$B$60:$F$61,2,FALSE)</f>
        <v>0</v>
      </c>
      <c r="EJ194" s="1225">
        <f>$G194*BO194*Variables!$B$53*HLOOKUP($DY$2,Variables!$B$60:$F$61,2,FALSE)</f>
        <v>0</v>
      </c>
      <c r="EK194" s="1222">
        <f>$G194*BP194*Variables!$B$53*HLOOKUP($EK$2,Variables!$B$60:$F$61,2,FALSE)</f>
        <v>0</v>
      </c>
      <c r="EL194" s="1223">
        <f>$G194*BQ194*Variables!$B$53*HLOOKUP($EK$2,Variables!$B$60:$F$61,2,FALSE)</f>
        <v>0</v>
      </c>
      <c r="EM194" s="1223">
        <f>$G194*BR194*Variables!$B$53*HLOOKUP($EK$2,Variables!$B$60:$F$61,2,FALSE)</f>
        <v>0</v>
      </c>
      <c r="EN194" s="1223">
        <f>$G194*BS194*Variables!$B$53*HLOOKUP($EK$2,Variables!$B$60:$F$61,2,FALSE)</f>
        <v>0</v>
      </c>
      <c r="EO194" s="1223">
        <f>$G194*BT194*Variables!$B$53*HLOOKUP($EK$2,Variables!$B$60:$F$61,2,FALSE)</f>
        <v>0</v>
      </c>
      <c r="EP194" s="1223">
        <f>$G194*BU194*Variables!$B$53*HLOOKUP($EK$2,Variables!$B$60:$F$61,2,FALSE)</f>
        <v>0</v>
      </c>
      <c r="EQ194" s="1223">
        <f>$G194*BV194*Variables!$B$53*HLOOKUP($EK$2,Variables!$B$60:$F$61,2,FALSE)</f>
        <v>0</v>
      </c>
      <c r="ER194" s="1223">
        <f>$G194*BW194*Variables!$B$53*HLOOKUP($EK$2,Variables!$B$60:$F$61,2,FALSE)</f>
        <v>0</v>
      </c>
      <c r="ES194" s="1223">
        <f>$G194*BX194*Variables!$B$53*HLOOKUP($EK$2,Variables!$B$60:$F$61,2,FALSE)</f>
        <v>0</v>
      </c>
      <c r="ET194" s="1223">
        <f>$G194*BY194*Variables!$B$53*HLOOKUP($EK$2,Variables!$B$60:$F$61,2,FALSE)</f>
        <v>0</v>
      </c>
      <c r="EU194" s="1223">
        <f>$G194*BZ194*Variables!$B$53*HLOOKUP($EK$2,Variables!$B$60:$F$61,2,FALSE)</f>
        <v>0</v>
      </c>
      <c r="EV194" s="1225">
        <f>$G194*CA194*Variables!$B$53*HLOOKUP($EK$2,Variables!$B$60:$F$61,2,FALSE)</f>
        <v>0</v>
      </c>
      <c r="EW194" s="872">
        <f t="shared" si="24"/>
        <v>0</v>
      </c>
      <c r="EX194" s="872"/>
      <c r="EY194" s="872"/>
      <c r="EZ194" s="872"/>
      <c r="FA194" s="1332"/>
      <c r="FC194" s="958" t="str">
        <f t="shared" si="25"/>
        <v/>
      </c>
      <c r="FD194" s="959" t="str">
        <f t="shared" si="26"/>
        <v/>
      </c>
      <c r="FE194" s="959" t="s">
        <v>8407</v>
      </c>
      <c r="FF194" s="959" t="str">
        <f>IF(ISNA(VLOOKUP(FC194,Miscellaneous!E:F,2,0)),"",VLOOKUP(FC194,Miscellaneous!E:F,2,0))</f>
        <v/>
      </c>
      <c r="FG194" s="959" t="str">
        <f t="shared" si="27"/>
        <v/>
      </c>
      <c r="FH194" s="996">
        <f>IF($FG194="Opex",SUMIF('Monthly Summary'!$C$75:$N$75,"",CC194:CN194),SUMIF('Monthly Summary'!$C$74:$N$74,"",CC194:CN194))</f>
        <v>0</v>
      </c>
      <c r="FI194" s="996">
        <f>IF($FG194="Opex",SUMIF('Monthly Summary'!$O$75:$Z$75,"",CO194:CZ194),SUMIF('Monthly Summary'!$O$74:$Z$74,"",CO194:CZ194))</f>
        <v>0</v>
      </c>
      <c r="FJ194" s="996">
        <f>IF($FG194="Opex",SUMIF('Monthly Summary'!$AA$75:$AL$75,"",DA194:DL194),SUMIF('Monthly Summary'!$AA$74:$AL$74,"",DA194:DL194))</f>
        <v>0</v>
      </c>
      <c r="FK194" s="996">
        <f>IF($FG194="Opex",SUMIF('Monthly Summary'!$AM$75:$AX$75,"",DM194:DX194),SUMIF('Monthly Summary'!$AM$74:$AX$74,"",DM194:DX194))</f>
        <v>0</v>
      </c>
      <c r="FL194" s="996">
        <f>IF($FG194="Opex",SUMIF('Monthly Summary'!$AY$75:$BJ$75,"",DY194:EJ194),SUMIF('Monthly Summary'!$AY$74:$BJ$74,"",DY194:EJ194))</f>
        <v>0</v>
      </c>
      <c r="FM194" s="997">
        <f>IF($FG194="Opex",SUMIF('Monthly Summary'!$BK$75:$BV$75,"",EK194:EV194),SUMIF('Monthly Summary'!$BK$74:$BV$74,"",EK194:EV194))</f>
        <v>0</v>
      </c>
      <c r="FN194" s="997">
        <f t="shared" si="28"/>
        <v>0</v>
      </c>
    </row>
    <row r="195" spans="3:170">
      <c r="C195" s="757"/>
      <c r="D195" s="757"/>
      <c r="E195" s="758"/>
      <c r="F195" s="758"/>
      <c r="G195" s="758"/>
      <c r="H195" s="1215"/>
      <c r="I195" s="761"/>
      <c r="J195" s="761"/>
      <c r="K195" s="761"/>
      <c r="L195" s="761"/>
      <c r="M195" s="761"/>
      <c r="N195" s="761"/>
      <c r="O195" s="761"/>
      <c r="P195" s="761"/>
      <c r="Q195" s="761"/>
      <c r="R195" s="761"/>
      <c r="S195" s="1216"/>
      <c r="T195" s="1215"/>
      <c r="U195" s="761"/>
      <c r="V195" s="761"/>
      <c r="W195" s="761"/>
      <c r="X195" s="761"/>
      <c r="Y195" s="761"/>
      <c r="Z195" s="761"/>
      <c r="AA195" s="761"/>
      <c r="AB195" s="761"/>
      <c r="AC195" s="761"/>
      <c r="AD195" s="761"/>
      <c r="AE195" s="1216"/>
      <c r="AF195" s="1215"/>
      <c r="AG195" s="761"/>
      <c r="AH195" s="761"/>
      <c r="AI195" s="761"/>
      <c r="AJ195" s="761"/>
      <c r="AK195" s="761"/>
      <c r="AL195" s="761"/>
      <c r="AM195" s="761"/>
      <c r="AN195" s="761"/>
      <c r="AO195" s="761"/>
      <c r="AP195" s="761"/>
      <c r="AQ195" s="1216"/>
      <c r="AR195" s="1215"/>
      <c r="AS195" s="761"/>
      <c r="AT195" s="761"/>
      <c r="AU195" s="761"/>
      <c r="AV195" s="761"/>
      <c r="AW195" s="761"/>
      <c r="AX195" s="761"/>
      <c r="AY195" s="761"/>
      <c r="AZ195" s="761"/>
      <c r="BA195" s="761"/>
      <c r="BB195" s="761"/>
      <c r="BC195" s="1216"/>
      <c r="BD195" s="1215"/>
      <c r="BE195" s="761"/>
      <c r="BF195" s="761"/>
      <c r="BG195" s="761"/>
      <c r="BH195" s="761"/>
      <c r="BI195" s="761"/>
      <c r="BJ195" s="761"/>
      <c r="BK195" s="761"/>
      <c r="BL195" s="761"/>
      <c r="BM195" s="761"/>
      <c r="BN195" s="761"/>
      <c r="BO195" s="1216"/>
      <c r="BP195" s="1215"/>
      <c r="BQ195" s="761"/>
      <c r="BR195" s="761"/>
      <c r="BS195" s="761"/>
      <c r="BT195" s="761"/>
      <c r="BU195" s="761"/>
      <c r="BV195" s="761"/>
      <c r="BW195" s="761"/>
      <c r="BX195" s="761"/>
      <c r="BY195" s="761"/>
      <c r="BZ195" s="761"/>
      <c r="CA195" s="1216"/>
      <c r="CB195" s="747"/>
      <c r="CC195" s="1222">
        <f>$G195*H195*Variables!$B$53</f>
        <v>0</v>
      </c>
      <c r="CD195" s="1223">
        <f>$G195*I195*Variables!$B$53</f>
        <v>0</v>
      </c>
      <c r="CE195" s="1223">
        <f>$G195*J195*Variables!$B$53</f>
        <v>0</v>
      </c>
      <c r="CF195" s="1223">
        <f>$G195*K195*Variables!$B$53</f>
        <v>0</v>
      </c>
      <c r="CG195" s="1223">
        <f>$G195*L195*Variables!$B$53</f>
        <v>0</v>
      </c>
      <c r="CH195" s="1223">
        <f>$G195*M195*Variables!$B$53</f>
        <v>0</v>
      </c>
      <c r="CI195" s="1223">
        <f>$G195*N195*Variables!$B$53</f>
        <v>0</v>
      </c>
      <c r="CJ195" s="1223">
        <f>$G195*O195*Variables!$B$53</f>
        <v>0</v>
      </c>
      <c r="CK195" s="1223">
        <f>$G195*P195*Variables!$B$53</f>
        <v>0</v>
      </c>
      <c r="CL195" s="1223">
        <f>$G195*Q195*Variables!$B$53</f>
        <v>0</v>
      </c>
      <c r="CM195" s="1223">
        <f>$G195*R195*Variables!$B$53</f>
        <v>0</v>
      </c>
      <c r="CN195" s="1225">
        <f>$G195*S195*Variables!$B$53</f>
        <v>0</v>
      </c>
      <c r="CO195" s="1222">
        <f>$G195*T195*Variables!$B$53*HLOOKUP($CO$2,Variables!$B$60:$F$61,2,FALSE)</f>
        <v>0</v>
      </c>
      <c r="CP195" s="1223">
        <f>$G195*U195*Variables!$B$53*HLOOKUP($CO$2,Variables!$B$60:$F$61,2,FALSE)</f>
        <v>0</v>
      </c>
      <c r="CQ195" s="1223">
        <f>$G195*V195*Variables!$B$53*HLOOKUP($CO$2,Variables!$B$60:$F$61,2,FALSE)</f>
        <v>0</v>
      </c>
      <c r="CR195" s="1223">
        <f>$G195*W195*Variables!$B$53*HLOOKUP($CO$2,Variables!$B$60:$F$61,2,FALSE)</f>
        <v>0</v>
      </c>
      <c r="CS195" s="1223">
        <f>$G195*X195*Variables!$B$53*HLOOKUP($CO$2,Variables!$B$60:$F$61,2,FALSE)</f>
        <v>0</v>
      </c>
      <c r="CT195" s="1223">
        <f>$G195*Y195*Variables!$B$53*HLOOKUP($CO$2,Variables!$B$60:$F$61,2,FALSE)</f>
        <v>0</v>
      </c>
      <c r="CU195" s="1223">
        <f>$G195*Z195*Variables!$B$53*HLOOKUP($CO$2,Variables!$B$60:$F$61,2,FALSE)</f>
        <v>0</v>
      </c>
      <c r="CV195" s="1223">
        <f>$G195*AA195*Variables!$B$53*HLOOKUP($CO$2,Variables!$B$60:$F$61,2,FALSE)</f>
        <v>0</v>
      </c>
      <c r="CW195" s="1223">
        <f>$G195*AB195*Variables!$B$53*HLOOKUP($CO$2,Variables!$B$60:$F$61,2,FALSE)</f>
        <v>0</v>
      </c>
      <c r="CX195" s="1223">
        <f>$G195*AC195*Variables!$B$53*HLOOKUP($CO$2,Variables!$B$60:$F$61,2,FALSE)</f>
        <v>0</v>
      </c>
      <c r="CY195" s="1223">
        <f>$G195*AD195*Variables!$B$53*HLOOKUP($CO$2,Variables!$B$60:$F$61,2,FALSE)</f>
        <v>0</v>
      </c>
      <c r="CZ195" s="1225">
        <f>$G195*AE195*Variables!$B$53*HLOOKUP($CO$2,Variables!$B$60:$F$61,2,FALSE)</f>
        <v>0</v>
      </c>
      <c r="DA195" s="1222">
        <f>$G195*AF195*Variables!$B$53*HLOOKUP($DA$2,Variables!$B$60:$F$61,2,FALSE)</f>
        <v>0</v>
      </c>
      <c r="DB195" s="1223">
        <f>$G195*AG195*Variables!$B$53*HLOOKUP($DA$2,Variables!$B$60:$F$61,2,FALSE)</f>
        <v>0</v>
      </c>
      <c r="DC195" s="1223">
        <f>$G195*AH195*Variables!$B$53*HLOOKUP($DA$2,Variables!$B$60:$F$61,2,FALSE)</f>
        <v>0</v>
      </c>
      <c r="DD195" s="1223">
        <f>$G195*AI195*Variables!$B$53*HLOOKUP($DA$2,Variables!$B$60:$F$61,2,FALSE)</f>
        <v>0</v>
      </c>
      <c r="DE195" s="1223">
        <f>$G195*AJ195*Variables!$B$53*HLOOKUP($DA$2,Variables!$B$60:$F$61,2,FALSE)</f>
        <v>0</v>
      </c>
      <c r="DF195" s="1223">
        <f>$G195*AK195*Variables!$B$53*HLOOKUP($DA$2,Variables!$B$60:$F$61,2,FALSE)</f>
        <v>0</v>
      </c>
      <c r="DG195" s="1223">
        <f>$G195*AL195*Variables!$B$53*HLOOKUP($DA$2,Variables!$B$60:$F$61,2,FALSE)</f>
        <v>0</v>
      </c>
      <c r="DH195" s="1223">
        <f>$G195*AM195*Variables!$B$53*HLOOKUP($DA$2,Variables!$B$60:$F$61,2,FALSE)</f>
        <v>0</v>
      </c>
      <c r="DI195" s="1223">
        <f>$G195*AN195*Variables!$B$53*HLOOKUP($DA$2,Variables!$B$60:$F$61,2,FALSE)</f>
        <v>0</v>
      </c>
      <c r="DJ195" s="1223">
        <f>$G195*AO195*Variables!$B$53*HLOOKUP($DA$2,Variables!$B$60:$F$61,2,FALSE)</f>
        <v>0</v>
      </c>
      <c r="DK195" s="1223">
        <f>$G195*AP195*Variables!$B$53*HLOOKUP($DA$2,Variables!$B$60:$F$61,2,FALSE)</f>
        <v>0</v>
      </c>
      <c r="DL195" s="1225">
        <f>$G195*AQ195*Variables!$B$53*HLOOKUP($DA$2,Variables!$B$60:$F$61,2,FALSE)</f>
        <v>0</v>
      </c>
      <c r="DM195" s="1222">
        <f>$G195*AR195*Variables!$B$53*HLOOKUP($DM$2,Variables!$B$60:$F$61,2,FALSE)</f>
        <v>0</v>
      </c>
      <c r="DN195" s="1223">
        <f>$G195*AS195*Variables!$B$53*HLOOKUP($DM$2,Variables!$B$60:$F$61,2,FALSE)</f>
        <v>0</v>
      </c>
      <c r="DO195" s="1223">
        <f>$G195*AT195*Variables!$B$53*HLOOKUP($DM$2,Variables!$B$60:$F$61,2,FALSE)</f>
        <v>0</v>
      </c>
      <c r="DP195" s="1223">
        <f>$G195*AU195*Variables!$B$53*HLOOKUP($DM$2,Variables!$B$60:$F$61,2,FALSE)</f>
        <v>0</v>
      </c>
      <c r="DQ195" s="1223">
        <f>$G195*AV195*Variables!$B$53*HLOOKUP($DM$2,Variables!$B$60:$F$61,2,FALSE)</f>
        <v>0</v>
      </c>
      <c r="DR195" s="1223">
        <f>$G195*AW195*Variables!$B$53*HLOOKUP($DM$2,Variables!$B$60:$F$61,2,FALSE)</f>
        <v>0</v>
      </c>
      <c r="DS195" s="1223">
        <f>$G195*AX195*Variables!$B$53*HLOOKUP($DM$2,Variables!$B$60:$F$61,2,FALSE)</f>
        <v>0</v>
      </c>
      <c r="DT195" s="1223">
        <f>$G195*AY195*Variables!$B$53*HLOOKUP($DM$2,Variables!$B$60:$F$61,2,FALSE)</f>
        <v>0</v>
      </c>
      <c r="DU195" s="1223">
        <f>$G195*AZ195*Variables!$B$53*HLOOKUP($DM$2,Variables!$B$60:$F$61,2,FALSE)</f>
        <v>0</v>
      </c>
      <c r="DV195" s="1223">
        <f>$G195*BA195*Variables!$B$53*HLOOKUP($DM$2,Variables!$B$60:$F$61,2,FALSE)</f>
        <v>0</v>
      </c>
      <c r="DW195" s="1223">
        <f>$G195*BB195*Variables!$B$53*HLOOKUP($DM$2,Variables!$B$60:$F$61,2,FALSE)</f>
        <v>0</v>
      </c>
      <c r="DX195" s="1225">
        <f>$G195*BC195*Variables!$B$53*HLOOKUP($DM$2,Variables!$B$60:$F$61,2,FALSE)</f>
        <v>0</v>
      </c>
      <c r="DY195" s="1222">
        <f>$G195*BD195*Variables!$B$53*HLOOKUP($DY$2,Variables!$B$60:$F$61,2,FALSE)</f>
        <v>0</v>
      </c>
      <c r="DZ195" s="1223">
        <f>$G195*BE195*Variables!$B$53*HLOOKUP($DY$2,Variables!$B$60:$F$61,2,FALSE)</f>
        <v>0</v>
      </c>
      <c r="EA195" s="1223">
        <f>$G195*BF195*Variables!$B$53*HLOOKUP($DY$2,Variables!$B$60:$F$61,2,FALSE)</f>
        <v>0</v>
      </c>
      <c r="EB195" s="1223">
        <f>$G195*BG195*Variables!$B$53*HLOOKUP($DY$2,Variables!$B$60:$F$61,2,FALSE)</f>
        <v>0</v>
      </c>
      <c r="EC195" s="1223">
        <f>$G195*BH195*Variables!$B$53*HLOOKUP($DY$2,Variables!$B$60:$F$61,2,FALSE)</f>
        <v>0</v>
      </c>
      <c r="ED195" s="1223">
        <f>$G195*BI195*Variables!$B$53*HLOOKUP($DY$2,Variables!$B$60:$F$61,2,FALSE)</f>
        <v>0</v>
      </c>
      <c r="EE195" s="1223">
        <f>$G195*BJ195*Variables!$B$53*HLOOKUP($DY$2,Variables!$B$60:$F$61,2,FALSE)</f>
        <v>0</v>
      </c>
      <c r="EF195" s="1223">
        <f>$G195*BK195*Variables!$B$53*HLOOKUP($DY$2,Variables!$B$60:$F$61,2,FALSE)</f>
        <v>0</v>
      </c>
      <c r="EG195" s="1223">
        <f>$G195*BL195*Variables!$B$53*HLOOKUP($DY$2,Variables!$B$60:$F$61,2,FALSE)</f>
        <v>0</v>
      </c>
      <c r="EH195" s="1223">
        <f>$G195*BM195*Variables!$B$53*HLOOKUP($DY$2,Variables!$B$60:$F$61,2,FALSE)</f>
        <v>0</v>
      </c>
      <c r="EI195" s="1223">
        <f>$G195*BN195*Variables!$B$53*HLOOKUP($DY$2,Variables!$B$60:$F$61,2,FALSE)</f>
        <v>0</v>
      </c>
      <c r="EJ195" s="1225">
        <f>$G195*BO195*Variables!$B$53*HLOOKUP($DY$2,Variables!$B$60:$F$61,2,FALSE)</f>
        <v>0</v>
      </c>
      <c r="EK195" s="1222">
        <f>$G195*BP195*Variables!$B$53*HLOOKUP($EK$2,Variables!$B$60:$F$61,2,FALSE)</f>
        <v>0</v>
      </c>
      <c r="EL195" s="1223">
        <f>$G195*BQ195*Variables!$B$53*HLOOKUP($EK$2,Variables!$B$60:$F$61,2,FALSE)</f>
        <v>0</v>
      </c>
      <c r="EM195" s="1223">
        <f>$G195*BR195*Variables!$B$53*HLOOKUP($EK$2,Variables!$B$60:$F$61,2,FALSE)</f>
        <v>0</v>
      </c>
      <c r="EN195" s="1223">
        <f>$G195*BS195*Variables!$B$53*HLOOKUP($EK$2,Variables!$B$60:$F$61,2,FALSE)</f>
        <v>0</v>
      </c>
      <c r="EO195" s="1223">
        <f>$G195*BT195*Variables!$B$53*HLOOKUP($EK$2,Variables!$B$60:$F$61,2,FALSE)</f>
        <v>0</v>
      </c>
      <c r="EP195" s="1223">
        <f>$G195*BU195*Variables!$B$53*HLOOKUP($EK$2,Variables!$B$60:$F$61,2,FALSE)</f>
        <v>0</v>
      </c>
      <c r="EQ195" s="1223">
        <f>$G195*BV195*Variables!$B$53*HLOOKUP($EK$2,Variables!$B$60:$F$61,2,FALSE)</f>
        <v>0</v>
      </c>
      <c r="ER195" s="1223">
        <f>$G195*BW195*Variables!$B$53*HLOOKUP($EK$2,Variables!$B$60:$F$61,2,FALSE)</f>
        <v>0</v>
      </c>
      <c r="ES195" s="1223">
        <f>$G195*BX195*Variables!$B$53*HLOOKUP($EK$2,Variables!$B$60:$F$61,2,FALSE)</f>
        <v>0</v>
      </c>
      <c r="ET195" s="1223">
        <f>$G195*BY195*Variables!$B$53*HLOOKUP($EK$2,Variables!$B$60:$F$61,2,FALSE)</f>
        <v>0</v>
      </c>
      <c r="EU195" s="1223">
        <f>$G195*BZ195*Variables!$B$53*HLOOKUP($EK$2,Variables!$B$60:$F$61,2,FALSE)</f>
        <v>0</v>
      </c>
      <c r="EV195" s="1225">
        <f>$G195*CA195*Variables!$B$53*HLOOKUP($EK$2,Variables!$B$60:$F$61,2,FALSE)</f>
        <v>0</v>
      </c>
      <c r="EW195" s="872">
        <f t="shared" si="24"/>
        <v>0</v>
      </c>
      <c r="EX195" s="872"/>
      <c r="EY195" s="872"/>
      <c r="EZ195" s="872"/>
      <c r="FA195" s="1332"/>
      <c r="FC195" s="958" t="str">
        <f t="shared" si="25"/>
        <v/>
      </c>
      <c r="FD195" s="959" t="str">
        <f t="shared" si="26"/>
        <v/>
      </c>
      <c r="FE195" s="959" t="s">
        <v>8407</v>
      </c>
      <c r="FF195" s="959" t="str">
        <f>IF(ISNA(VLOOKUP(FC195,Miscellaneous!E:F,2,0)),"",VLOOKUP(FC195,Miscellaneous!E:F,2,0))</f>
        <v/>
      </c>
      <c r="FG195" s="959" t="str">
        <f t="shared" si="27"/>
        <v/>
      </c>
      <c r="FH195" s="996">
        <f>IF($FG195="Opex",SUMIF('Monthly Summary'!$C$75:$N$75,"",CC195:CN195),SUMIF('Monthly Summary'!$C$74:$N$74,"",CC195:CN195))</f>
        <v>0</v>
      </c>
      <c r="FI195" s="996">
        <f>IF($FG195="Opex",SUMIF('Monthly Summary'!$O$75:$Z$75,"",CO195:CZ195),SUMIF('Monthly Summary'!$O$74:$Z$74,"",CO195:CZ195))</f>
        <v>0</v>
      </c>
      <c r="FJ195" s="996">
        <f>IF($FG195="Opex",SUMIF('Monthly Summary'!$AA$75:$AL$75,"",DA195:DL195),SUMIF('Monthly Summary'!$AA$74:$AL$74,"",DA195:DL195))</f>
        <v>0</v>
      </c>
      <c r="FK195" s="996">
        <f>IF($FG195="Opex",SUMIF('Monthly Summary'!$AM$75:$AX$75,"",DM195:DX195),SUMIF('Monthly Summary'!$AM$74:$AX$74,"",DM195:DX195))</f>
        <v>0</v>
      </c>
      <c r="FL195" s="996">
        <f>IF($FG195="Opex",SUMIF('Monthly Summary'!$AY$75:$BJ$75,"",DY195:EJ195),SUMIF('Monthly Summary'!$AY$74:$BJ$74,"",DY195:EJ195))</f>
        <v>0</v>
      </c>
      <c r="FM195" s="997">
        <f>IF($FG195="Opex",SUMIF('Monthly Summary'!$BK$75:$BV$75,"",EK195:EV195),SUMIF('Monthly Summary'!$BK$74:$BV$74,"",EK195:EV195))</f>
        <v>0</v>
      </c>
      <c r="FN195" s="997">
        <f t="shared" si="28"/>
        <v>0</v>
      </c>
    </row>
    <row r="196" spans="3:170">
      <c r="C196" s="757"/>
      <c r="D196" s="757"/>
      <c r="E196" s="758"/>
      <c r="F196" s="758"/>
      <c r="G196" s="758"/>
      <c r="H196" s="1215"/>
      <c r="I196" s="761"/>
      <c r="J196" s="761"/>
      <c r="K196" s="761"/>
      <c r="L196" s="761"/>
      <c r="M196" s="761"/>
      <c r="N196" s="761"/>
      <c r="O196" s="761"/>
      <c r="P196" s="761"/>
      <c r="Q196" s="761"/>
      <c r="R196" s="761"/>
      <c r="S196" s="1216"/>
      <c r="T196" s="1215"/>
      <c r="U196" s="761"/>
      <c r="V196" s="761"/>
      <c r="W196" s="761"/>
      <c r="X196" s="761"/>
      <c r="Y196" s="761"/>
      <c r="Z196" s="761"/>
      <c r="AA196" s="761"/>
      <c r="AB196" s="761"/>
      <c r="AC196" s="761"/>
      <c r="AD196" s="761"/>
      <c r="AE196" s="1216"/>
      <c r="AF196" s="1215"/>
      <c r="AG196" s="761"/>
      <c r="AH196" s="761"/>
      <c r="AI196" s="761"/>
      <c r="AJ196" s="761"/>
      <c r="AK196" s="761"/>
      <c r="AL196" s="761"/>
      <c r="AM196" s="761"/>
      <c r="AN196" s="761"/>
      <c r="AO196" s="761"/>
      <c r="AP196" s="761"/>
      <c r="AQ196" s="1216"/>
      <c r="AR196" s="1215"/>
      <c r="AS196" s="761"/>
      <c r="AT196" s="761"/>
      <c r="AU196" s="761"/>
      <c r="AV196" s="761"/>
      <c r="AW196" s="761"/>
      <c r="AX196" s="761"/>
      <c r="AY196" s="761"/>
      <c r="AZ196" s="761"/>
      <c r="BA196" s="761"/>
      <c r="BB196" s="761"/>
      <c r="BC196" s="1216"/>
      <c r="BD196" s="1215"/>
      <c r="BE196" s="761"/>
      <c r="BF196" s="761"/>
      <c r="BG196" s="761"/>
      <c r="BH196" s="761"/>
      <c r="BI196" s="761"/>
      <c r="BJ196" s="761"/>
      <c r="BK196" s="761"/>
      <c r="BL196" s="761"/>
      <c r="BM196" s="761"/>
      <c r="BN196" s="761"/>
      <c r="BO196" s="1216"/>
      <c r="BP196" s="1215"/>
      <c r="BQ196" s="761"/>
      <c r="BR196" s="761"/>
      <c r="BS196" s="761"/>
      <c r="BT196" s="761"/>
      <c r="BU196" s="761"/>
      <c r="BV196" s="761"/>
      <c r="BW196" s="761"/>
      <c r="BX196" s="761"/>
      <c r="BY196" s="761"/>
      <c r="BZ196" s="761"/>
      <c r="CA196" s="1216"/>
      <c r="CB196" s="747"/>
      <c r="CC196" s="1222">
        <f>$G196*H196*Variables!$B$53</f>
        <v>0</v>
      </c>
      <c r="CD196" s="1223">
        <f>$G196*I196*Variables!$B$53</f>
        <v>0</v>
      </c>
      <c r="CE196" s="1223">
        <f>$G196*J196*Variables!$B$53</f>
        <v>0</v>
      </c>
      <c r="CF196" s="1223">
        <f>$G196*K196*Variables!$B$53</f>
        <v>0</v>
      </c>
      <c r="CG196" s="1223">
        <f>$G196*L196*Variables!$B$53</f>
        <v>0</v>
      </c>
      <c r="CH196" s="1223">
        <f>$G196*M196*Variables!$B$53</f>
        <v>0</v>
      </c>
      <c r="CI196" s="1223">
        <f>$G196*N196*Variables!$B$53</f>
        <v>0</v>
      </c>
      <c r="CJ196" s="1223">
        <f>$G196*O196*Variables!$B$53</f>
        <v>0</v>
      </c>
      <c r="CK196" s="1223">
        <f>$G196*P196*Variables!$B$53</f>
        <v>0</v>
      </c>
      <c r="CL196" s="1223">
        <f>$G196*Q196*Variables!$B$53</f>
        <v>0</v>
      </c>
      <c r="CM196" s="1223">
        <f>$G196*R196*Variables!$B$53</f>
        <v>0</v>
      </c>
      <c r="CN196" s="1225">
        <f>$G196*S196*Variables!$B$53</f>
        <v>0</v>
      </c>
      <c r="CO196" s="1222">
        <f>$G196*T196*Variables!$B$53*HLOOKUP($CO$2,Variables!$B$60:$F$61,2,FALSE)</f>
        <v>0</v>
      </c>
      <c r="CP196" s="1223">
        <f>$G196*U196*Variables!$B$53*HLOOKUP($CO$2,Variables!$B$60:$F$61,2,FALSE)</f>
        <v>0</v>
      </c>
      <c r="CQ196" s="1223">
        <f>$G196*V196*Variables!$B$53*HLOOKUP($CO$2,Variables!$B$60:$F$61,2,FALSE)</f>
        <v>0</v>
      </c>
      <c r="CR196" s="1223">
        <f>$G196*W196*Variables!$B$53*HLOOKUP($CO$2,Variables!$B$60:$F$61,2,FALSE)</f>
        <v>0</v>
      </c>
      <c r="CS196" s="1223">
        <f>$G196*X196*Variables!$B$53*HLOOKUP($CO$2,Variables!$B$60:$F$61,2,FALSE)</f>
        <v>0</v>
      </c>
      <c r="CT196" s="1223">
        <f>$G196*Y196*Variables!$B$53*HLOOKUP($CO$2,Variables!$B$60:$F$61,2,FALSE)</f>
        <v>0</v>
      </c>
      <c r="CU196" s="1223">
        <f>$G196*Z196*Variables!$B$53*HLOOKUP($CO$2,Variables!$B$60:$F$61,2,FALSE)</f>
        <v>0</v>
      </c>
      <c r="CV196" s="1223">
        <f>$G196*AA196*Variables!$B$53*HLOOKUP($CO$2,Variables!$B$60:$F$61,2,FALSE)</f>
        <v>0</v>
      </c>
      <c r="CW196" s="1223">
        <f>$G196*AB196*Variables!$B$53*HLOOKUP($CO$2,Variables!$B$60:$F$61,2,FALSE)</f>
        <v>0</v>
      </c>
      <c r="CX196" s="1223">
        <f>$G196*AC196*Variables!$B$53*HLOOKUP($CO$2,Variables!$B$60:$F$61,2,FALSE)</f>
        <v>0</v>
      </c>
      <c r="CY196" s="1223">
        <f>$G196*AD196*Variables!$B$53*HLOOKUP($CO$2,Variables!$B$60:$F$61,2,FALSE)</f>
        <v>0</v>
      </c>
      <c r="CZ196" s="1225">
        <f>$G196*AE196*Variables!$B$53*HLOOKUP($CO$2,Variables!$B$60:$F$61,2,FALSE)</f>
        <v>0</v>
      </c>
      <c r="DA196" s="1222">
        <f>$G196*AF196*Variables!$B$53*HLOOKUP($DA$2,Variables!$B$60:$F$61,2,FALSE)</f>
        <v>0</v>
      </c>
      <c r="DB196" s="1223">
        <f>$G196*AG196*Variables!$B$53*HLOOKUP($DA$2,Variables!$B$60:$F$61,2,FALSE)</f>
        <v>0</v>
      </c>
      <c r="DC196" s="1223">
        <f>$G196*AH196*Variables!$B$53*HLOOKUP($DA$2,Variables!$B$60:$F$61,2,FALSE)</f>
        <v>0</v>
      </c>
      <c r="DD196" s="1223">
        <f>$G196*AI196*Variables!$B$53*HLOOKUP($DA$2,Variables!$B$60:$F$61,2,FALSE)</f>
        <v>0</v>
      </c>
      <c r="DE196" s="1223">
        <f>$G196*AJ196*Variables!$B$53*HLOOKUP($DA$2,Variables!$B$60:$F$61,2,FALSE)</f>
        <v>0</v>
      </c>
      <c r="DF196" s="1223">
        <f>$G196*AK196*Variables!$B$53*HLOOKUP($DA$2,Variables!$B$60:$F$61,2,FALSE)</f>
        <v>0</v>
      </c>
      <c r="DG196" s="1223">
        <f>$G196*AL196*Variables!$B$53*HLOOKUP($DA$2,Variables!$B$60:$F$61,2,FALSE)</f>
        <v>0</v>
      </c>
      <c r="DH196" s="1223">
        <f>$G196*AM196*Variables!$B$53*HLOOKUP($DA$2,Variables!$B$60:$F$61,2,FALSE)</f>
        <v>0</v>
      </c>
      <c r="DI196" s="1223">
        <f>$G196*AN196*Variables!$B$53*HLOOKUP($DA$2,Variables!$B$60:$F$61,2,FALSE)</f>
        <v>0</v>
      </c>
      <c r="DJ196" s="1223">
        <f>$G196*AO196*Variables!$B$53*HLOOKUP($DA$2,Variables!$B$60:$F$61,2,FALSE)</f>
        <v>0</v>
      </c>
      <c r="DK196" s="1223">
        <f>$G196*AP196*Variables!$B$53*HLOOKUP($DA$2,Variables!$B$60:$F$61,2,FALSE)</f>
        <v>0</v>
      </c>
      <c r="DL196" s="1225">
        <f>$G196*AQ196*Variables!$B$53*HLOOKUP($DA$2,Variables!$B$60:$F$61,2,FALSE)</f>
        <v>0</v>
      </c>
      <c r="DM196" s="1222">
        <f>$G196*AR196*Variables!$B$53*HLOOKUP($DM$2,Variables!$B$60:$F$61,2,FALSE)</f>
        <v>0</v>
      </c>
      <c r="DN196" s="1223">
        <f>$G196*AS196*Variables!$B$53*HLOOKUP($DM$2,Variables!$B$60:$F$61,2,FALSE)</f>
        <v>0</v>
      </c>
      <c r="DO196" s="1223">
        <f>$G196*AT196*Variables!$B$53*HLOOKUP($DM$2,Variables!$B$60:$F$61,2,FALSE)</f>
        <v>0</v>
      </c>
      <c r="DP196" s="1223">
        <f>$G196*AU196*Variables!$B$53*HLOOKUP($DM$2,Variables!$B$60:$F$61,2,FALSE)</f>
        <v>0</v>
      </c>
      <c r="DQ196" s="1223">
        <f>$G196*AV196*Variables!$B$53*HLOOKUP($DM$2,Variables!$B$60:$F$61,2,FALSE)</f>
        <v>0</v>
      </c>
      <c r="DR196" s="1223">
        <f>$G196*AW196*Variables!$B$53*HLOOKUP($DM$2,Variables!$B$60:$F$61,2,FALSE)</f>
        <v>0</v>
      </c>
      <c r="DS196" s="1223">
        <f>$G196*AX196*Variables!$B$53*HLOOKUP($DM$2,Variables!$B$60:$F$61,2,FALSE)</f>
        <v>0</v>
      </c>
      <c r="DT196" s="1223">
        <f>$G196*AY196*Variables!$B$53*HLOOKUP($DM$2,Variables!$B$60:$F$61,2,FALSE)</f>
        <v>0</v>
      </c>
      <c r="DU196" s="1223">
        <f>$G196*AZ196*Variables!$B$53*HLOOKUP($DM$2,Variables!$B$60:$F$61,2,FALSE)</f>
        <v>0</v>
      </c>
      <c r="DV196" s="1223">
        <f>$G196*BA196*Variables!$B$53*HLOOKUP($DM$2,Variables!$B$60:$F$61,2,FALSE)</f>
        <v>0</v>
      </c>
      <c r="DW196" s="1223">
        <f>$G196*BB196*Variables!$B$53*HLOOKUP($DM$2,Variables!$B$60:$F$61,2,FALSE)</f>
        <v>0</v>
      </c>
      <c r="DX196" s="1225">
        <f>$G196*BC196*Variables!$B$53*HLOOKUP($DM$2,Variables!$B$60:$F$61,2,FALSE)</f>
        <v>0</v>
      </c>
      <c r="DY196" s="1222">
        <f>$G196*BD196*Variables!$B$53*HLOOKUP($DY$2,Variables!$B$60:$F$61,2,FALSE)</f>
        <v>0</v>
      </c>
      <c r="DZ196" s="1223">
        <f>$G196*BE196*Variables!$B$53*HLOOKUP($DY$2,Variables!$B$60:$F$61,2,FALSE)</f>
        <v>0</v>
      </c>
      <c r="EA196" s="1223">
        <f>$G196*BF196*Variables!$B$53*HLOOKUP($DY$2,Variables!$B$60:$F$61,2,FALSE)</f>
        <v>0</v>
      </c>
      <c r="EB196" s="1223">
        <f>$G196*BG196*Variables!$B$53*HLOOKUP($DY$2,Variables!$B$60:$F$61,2,FALSE)</f>
        <v>0</v>
      </c>
      <c r="EC196" s="1223">
        <f>$G196*BH196*Variables!$B$53*HLOOKUP($DY$2,Variables!$B$60:$F$61,2,FALSE)</f>
        <v>0</v>
      </c>
      <c r="ED196" s="1223">
        <f>$G196*BI196*Variables!$B$53*HLOOKUP($DY$2,Variables!$B$60:$F$61,2,FALSE)</f>
        <v>0</v>
      </c>
      <c r="EE196" s="1223">
        <f>$G196*BJ196*Variables!$B$53*HLOOKUP($DY$2,Variables!$B$60:$F$61,2,FALSE)</f>
        <v>0</v>
      </c>
      <c r="EF196" s="1223">
        <f>$G196*BK196*Variables!$B$53*HLOOKUP($DY$2,Variables!$B$60:$F$61,2,FALSE)</f>
        <v>0</v>
      </c>
      <c r="EG196" s="1223">
        <f>$G196*BL196*Variables!$B$53*HLOOKUP($DY$2,Variables!$B$60:$F$61,2,FALSE)</f>
        <v>0</v>
      </c>
      <c r="EH196" s="1223">
        <f>$G196*BM196*Variables!$B$53*HLOOKUP($DY$2,Variables!$B$60:$F$61,2,FALSE)</f>
        <v>0</v>
      </c>
      <c r="EI196" s="1223">
        <f>$G196*BN196*Variables!$B$53*HLOOKUP($DY$2,Variables!$B$60:$F$61,2,FALSE)</f>
        <v>0</v>
      </c>
      <c r="EJ196" s="1225">
        <f>$G196*BO196*Variables!$B$53*HLOOKUP($DY$2,Variables!$B$60:$F$61,2,FALSE)</f>
        <v>0</v>
      </c>
      <c r="EK196" s="1222">
        <f>$G196*BP196*Variables!$B$53*HLOOKUP($EK$2,Variables!$B$60:$F$61,2,FALSE)</f>
        <v>0</v>
      </c>
      <c r="EL196" s="1223">
        <f>$G196*BQ196*Variables!$B$53*HLOOKUP($EK$2,Variables!$B$60:$F$61,2,FALSE)</f>
        <v>0</v>
      </c>
      <c r="EM196" s="1223">
        <f>$G196*BR196*Variables!$B$53*HLOOKUP($EK$2,Variables!$B$60:$F$61,2,FALSE)</f>
        <v>0</v>
      </c>
      <c r="EN196" s="1223">
        <f>$G196*BS196*Variables!$B$53*HLOOKUP($EK$2,Variables!$B$60:$F$61,2,FALSE)</f>
        <v>0</v>
      </c>
      <c r="EO196" s="1223">
        <f>$G196*BT196*Variables!$B$53*HLOOKUP($EK$2,Variables!$B$60:$F$61,2,FALSE)</f>
        <v>0</v>
      </c>
      <c r="EP196" s="1223">
        <f>$G196*BU196*Variables!$B$53*HLOOKUP($EK$2,Variables!$B$60:$F$61,2,FALSE)</f>
        <v>0</v>
      </c>
      <c r="EQ196" s="1223">
        <f>$G196*BV196*Variables!$B$53*HLOOKUP($EK$2,Variables!$B$60:$F$61,2,FALSE)</f>
        <v>0</v>
      </c>
      <c r="ER196" s="1223">
        <f>$G196*BW196*Variables!$B$53*HLOOKUP($EK$2,Variables!$B$60:$F$61,2,FALSE)</f>
        <v>0</v>
      </c>
      <c r="ES196" s="1223">
        <f>$G196*BX196*Variables!$B$53*HLOOKUP($EK$2,Variables!$B$60:$F$61,2,FALSE)</f>
        <v>0</v>
      </c>
      <c r="ET196" s="1223">
        <f>$G196*BY196*Variables!$B$53*HLOOKUP($EK$2,Variables!$B$60:$F$61,2,FALSE)</f>
        <v>0</v>
      </c>
      <c r="EU196" s="1223">
        <f>$G196*BZ196*Variables!$B$53*HLOOKUP($EK$2,Variables!$B$60:$F$61,2,FALSE)</f>
        <v>0</v>
      </c>
      <c r="EV196" s="1225">
        <f>$G196*CA196*Variables!$B$53*HLOOKUP($EK$2,Variables!$B$60:$F$61,2,FALSE)</f>
        <v>0</v>
      </c>
      <c r="EW196" s="872">
        <f t="shared" si="24"/>
        <v>0</v>
      </c>
      <c r="EX196" s="872"/>
      <c r="EY196" s="872"/>
      <c r="EZ196" s="872"/>
      <c r="FA196" s="1332"/>
      <c r="FC196" s="958" t="str">
        <f t="shared" si="25"/>
        <v/>
      </c>
      <c r="FD196" s="959" t="str">
        <f t="shared" si="26"/>
        <v/>
      </c>
      <c r="FE196" s="959" t="s">
        <v>8407</v>
      </c>
      <c r="FF196" s="959" t="str">
        <f>IF(ISNA(VLOOKUP(FC196,Miscellaneous!E:F,2,0)),"",VLOOKUP(FC196,Miscellaneous!E:F,2,0))</f>
        <v/>
      </c>
      <c r="FG196" s="959" t="str">
        <f t="shared" si="27"/>
        <v/>
      </c>
      <c r="FH196" s="996">
        <f>IF($FG196="Opex",SUMIF('Monthly Summary'!$C$75:$N$75,"",CC196:CN196),SUMIF('Monthly Summary'!$C$74:$N$74,"",CC196:CN196))</f>
        <v>0</v>
      </c>
      <c r="FI196" s="996">
        <f>IF($FG196="Opex",SUMIF('Monthly Summary'!$O$75:$Z$75,"",CO196:CZ196),SUMIF('Monthly Summary'!$O$74:$Z$74,"",CO196:CZ196))</f>
        <v>0</v>
      </c>
      <c r="FJ196" s="996">
        <f>IF($FG196="Opex",SUMIF('Monthly Summary'!$AA$75:$AL$75,"",DA196:DL196),SUMIF('Monthly Summary'!$AA$74:$AL$74,"",DA196:DL196))</f>
        <v>0</v>
      </c>
      <c r="FK196" s="996">
        <f>IF($FG196="Opex",SUMIF('Monthly Summary'!$AM$75:$AX$75,"",DM196:DX196),SUMIF('Monthly Summary'!$AM$74:$AX$74,"",DM196:DX196))</f>
        <v>0</v>
      </c>
      <c r="FL196" s="996">
        <f>IF($FG196="Opex",SUMIF('Monthly Summary'!$AY$75:$BJ$75,"",DY196:EJ196),SUMIF('Monthly Summary'!$AY$74:$BJ$74,"",DY196:EJ196))</f>
        <v>0</v>
      </c>
      <c r="FM196" s="997">
        <f>IF($FG196="Opex",SUMIF('Monthly Summary'!$BK$75:$BV$75,"",EK196:EV196),SUMIF('Monthly Summary'!$BK$74:$BV$74,"",EK196:EV196))</f>
        <v>0</v>
      </c>
      <c r="FN196" s="997">
        <f t="shared" si="28"/>
        <v>0</v>
      </c>
    </row>
    <row r="197" spans="3:170">
      <c r="C197" s="757"/>
      <c r="D197" s="757"/>
      <c r="E197" s="758"/>
      <c r="F197" s="758"/>
      <c r="G197" s="758"/>
      <c r="H197" s="1215"/>
      <c r="I197" s="761"/>
      <c r="J197" s="761"/>
      <c r="K197" s="761"/>
      <c r="L197" s="761"/>
      <c r="M197" s="761"/>
      <c r="N197" s="761"/>
      <c r="O197" s="761"/>
      <c r="P197" s="761"/>
      <c r="Q197" s="761"/>
      <c r="R197" s="761"/>
      <c r="S197" s="1216"/>
      <c r="T197" s="1215"/>
      <c r="U197" s="761"/>
      <c r="V197" s="761"/>
      <c r="W197" s="761"/>
      <c r="X197" s="761"/>
      <c r="Y197" s="761"/>
      <c r="Z197" s="761"/>
      <c r="AA197" s="761"/>
      <c r="AB197" s="761"/>
      <c r="AC197" s="761"/>
      <c r="AD197" s="761"/>
      <c r="AE197" s="1216"/>
      <c r="AF197" s="1215"/>
      <c r="AG197" s="761"/>
      <c r="AH197" s="761"/>
      <c r="AI197" s="761"/>
      <c r="AJ197" s="761"/>
      <c r="AK197" s="761"/>
      <c r="AL197" s="761"/>
      <c r="AM197" s="761"/>
      <c r="AN197" s="761"/>
      <c r="AO197" s="761"/>
      <c r="AP197" s="761"/>
      <c r="AQ197" s="1216"/>
      <c r="AR197" s="1215"/>
      <c r="AS197" s="761"/>
      <c r="AT197" s="761"/>
      <c r="AU197" s="761"/>
      <c r="AV197" s="761"/>
      <c r="AW197" s="761"/>
      <c r="AX197" s="761"/>
      <c r="AY197" s="761"/>
      <c r="AZ197" s="761"/>
      <c r="BA197" s="761"/>
      <c r="BB197" s="761"/>
      <c r="BC197" s="1216"/>
      <c r="BD197" s="1215"/>
      <c r="BE197" s="761"/>
      <c r="BF197" s="761"/>
      <c r="BG197" s="761"/>
      <c r="BH197" s="761"/>
      <c r="BI197" s="761"/>
      <c r="BJ197" s="761"/>
      <c r="BK197" s="761"/>
      <c r="BL197" s="761"/>
      <c r="BM197" s="761"/>
      <c r="BN197" s="761"/>
      <c r="BO197" s="1216"/>
      <c r="BP197" s="1215"/>
      <c r="BQ197" s="761"/>
      <c r="BR197" s="761"/>
      <c r="BS197" s="761"/>
      <c r="BT197" s="761"/>
      <c r="BU197" s="761"/>
      <c r="BV197" s="761"/>
      <c r="BW197" s="761"/>
      <c r="BX197" s="761"/>
      <c r="BY197" s="761"/>
      <c r="BZ197" s="761"/>
      <c r="CA197" s="1216"/>
      <c r="CB197" s="747"/>
      <c r="CC197" s="1222">
        <f>$G197*H197*Variables!$B$53</f>
        <v>0</v>
      </c>
      <c r="CD197" s="1223">
        <f>$G197*I197*Variables!$B$53</f>
        <v>0</v>
      </c>
      <c r="CE197" s="1223">
        <f>$G197*J197*Variables!$B$53</f>
        <v>0</v>
      </c>
      <c r="CF197" s="1223">
        <f>$G197*K197*Variables!$B$53</f>
        <v>0</v>
      </c>
      <c r="CG197" s="1223">
        <f>$G197*L197*Variables!$B$53</f>
        <v>0</v>
      </c>
      <c r="CH197" s="1223">
        <f>$G197*M197*Variables!$B$53</f>
        <v>0</v>
      </c>
      <c r="CI197" s="1223">
        <f>$G197*N197*Variables!$B$53</f>
        <v>0</v>
      </c>
      <c r="CJ197" s="1223">
        <f>$G197*O197*Variables!$B$53</f>
        <v>0</v>
      </c>
      <c r="CK197" s="1223">
        <f>$G197*P197*Variables!$B$53</f>
        <v>0</v>
      </c>
      <c r="CL197" s="1223">
        <f>$G197*Q197*Variables!$B$53</f>
        <v>0</v>
      </c>
      <c r="CM197" s="1223">
        <f>$G197*R197*Variables!$B$53</f>
        <v>0</v>
      </c>
      <c r="CN197" s="1225">
        <f>$G197*S197*Variables!$B$53</f>
        <v>0</v>
      </c>
      <c r="CO197" s="1222">
        <f>$G197*T197*Variables!$B$53*HLOOKUP($CO$2,Variables!$B$60:$F$61,2,FALSE)</f>
        <v>0</v>
      </c>
      <c r="CP197" s="1223">
        <f>$G197*U197*Variables!$B$53*HLOOKUP($CO$2,Variables!$B$60:$F$61,2,FALSE)</f>
        <v>0</v>
      </c>
      <c r="CQ197" s="1223">
        <f>$G197*V197*Variables!$B$53*HLOOKUP($CO$2,Variables!$B$60:$F$61,2,FALSE)</f>
        <v>0</v>
      </c>
      <c r="CR197" s="1223">
        <f>$G197*W197*Variables!$B$53*HLOOKUP($CO$2,Variables!$B$60:$F$61,2,FALSE)</f>
        <v>0</v>
      </c>
      <c r="CS197" s="1223">
        <f>$G197*X197*Variables!$B$53*HLOOKUP($CO$2,Variables!$B$60:$F$61,2,FALSE)</f>
        <v>0</v>
      </c>
      <c r="CT197" s="1223">
        <f>$G197*Y197*Variables!$B$53*HLOOKUP($CO$2,Variables!$B$60:$F$61,2,FALSE)</f>
        <v>0</v>
      </c>
      <c r="CU197" s="1223">
        <f>$G197*Z197*Variables!$B$53*HLOOKUP($CO$2,Variables!$B$60:$F$61,2,FALSE)</f>
        <v>0</v>
      </c>
      <c r="CV197" s="1223">
        <f>$G197*AA197*Variables!$B$53*HLOOKUP($CO$2,Variables!$B$60:$F$61,2,FALSE)</f>
        <v>0</v>
      </c>
      <c r="CW197" s="1223">
        <f>$G197*AB197*Variables!$B$53*HLOOKUP($CO$2,Variables!$B$60:$F$61,2,FALSE)</f>
        <v>0</v>
      </c>
      <c r="CX197" s="1223">
        <f>$G197*AC197*Variables!$B$53*HLOOKUP($CO$2,Variables!$B$60:$F$61,2,FALSE)</f>
        <v>0</v>
      </c>
      <c r="CY197" s="1223">
        <f>$G197*AD197*Variables!$B$53*HLOOKUP($CO$2,Variables!$B$60:$F$61,2,FALSE)</f>
        <v>0</v>
      </c>
      <c r="CZ197" s="1225">
        <f>$G197*AE197*Variables!$B$53*HLOOKUP($CO$2,Variables!$B$60:$F$61,2,FALSE)</f>
        <v>0</v>
      </c>
      <c r="DA197" s="1222">
        <f>$G197*AF197*Variables!$B$53*HLOOKUP($DA$2,Variables!$B$60:$F$61,2,FALSE)</f>
        <v>0</v>
      </c>
      <c r="DB197" s="1223">
        <f>$G197*AG197*Variables!$B$53*HLOOKUP($DA$2,Variables!$B$60:$F$61,2,FALSE)</f>
        <v>0</v>
      </c>
      <c r="DC197" s="1223">
        <f>$G197*AH197*Variables!$B$53*HLOOKUP($DA$2,Variables!$B$60:$F$61,2,FALSE)</f>
        <v>0</v>
      </c>
      <c r="DD197" s="1223">
        <f>$G197*AI197*Variables!$B$53*HLOOKUP($DA$2,Variables!$B$60:$F$61,2,FALSE)</f>
        <v>0</v>
      </c>
      <c r="DE197" s="1223">
        <f>$G197*AJ197*Variables!$B$53*HLOOKUP($DA$2,Variables!$B$60:$F$61,2,FALSE)</f>
        <v>0</v>
      </c>
      <c r="DF197" s="1223">
        <f>$G197*AK197*Variables!$B$53*HLOOKUP($DA$2,Variables!$B$60:$F$61,2,FALSE)</f>
        <v>0</v>
      </c>
      <c r="DG197" s="1223">
        <f>$G197*AL197*Variables!$B$53*HLOOKUP($DA$2,Variables!$B$60:$F$61,2,FALSE)</f>
        <v>0</v>
      </c>
      <c r="DH197" s="1223">
        <f>$G197*AM197*Variables!$B$53*HLOOKUP($DA$2,Variables!$B$60:$F$61,2,FALSE)</f>
        <v>0</v>
      </c>
      <c r="DI197" s="1223">
        <f>$G197*AN197*Variables!$B$53*HLOOKUP($DA$2,Variables!$B$60:$F$61,2,FALSE)</f>
        <v>0</v>
      </c>
      <c r="DJ197" s="1223">
        <f>$G197*AO197*Variables!$B$53*HLOOKUP($DA$2,Variables!$B$60:$F$61,2,FALSE)</f>
        <v>0</v>
      </c>
      <c r="DK197" s="1223">
        <f>$G197*AP197*Variables!$B$53*HLOOKUP($DA$2,Variables!$B$60:$F$61,2,FALSE)</f>
        <v>0</v>
      </c>
      <c r="DL197" s="1225">
        <f>$G197*AQ197*Variables!$B$53*HLOOKUP($DA$2,Variables!$B$60:$F$61,2,FALSE)</f>
        <v>0</v>
      </c>
      <c r="DM197" s="1222">
        <f>$G197*AR197*Variables!$B$53*HLOOKUP($DM$2,Variables!$B$60:$F$61,2,FALSE)</f>
        <v>0</v>
      </c>
      <c r="DN197" s="1223">
        <f>$G197*AS197*Variables!$B$53*HLOOKUP($DM$2,Variables!$B$60:$F$61,2,FALSE)</f>
        <v>0</v>
      </c>
      <c r="DO197" s="1223">
        <f>$G197*AT197*Variables!$B$53*HLOOKUP($DM$2,Variables!$B$60:$F$61,2,FALSE)</f>
        <v>0</v>
      </c>
      <c r="DP197" s="1223">
        <f>$G197*AU197*Variables!$B$53*HLOOKUP($DM$2,Variables!$B$60:$F$61,2,FALSE)</f>
        <v>0</v>
      </c>
      <c r="DQ197" s="1223">
        <f>$G197*AV197*Variables!$B$53*HLOOKUP($DM$2,Variables!$B$60:$F$61,2,FALSE)</f>
        <v>0</v>
      </c>
      <c r="DR197" s="1223">
        <f>$G197*AW197*Variables!$B$53*HLOOKUP($DM$2,Variables!$B$60:$F$61,2,FALSE)</f>
        <v>0</v>
      </c>
      <c r="DS197" s="1223">
        <f>$G197*AX197*Variables!$B$53*HLOOKUP($DM$2,Variables!$B$60:$F$61,2,FALSE)</f>
        <v>0</v>
      </c>
      <c r="DT197" s="1223">
        <f>$G197*AY197*Variables!$B$53*HLOOKUP($DM$2,Variables!$B$60:$F$61,2,FALSE)</f>
        <v>0</v>
      </c>
      <c r="DU197" s="1223">
        <f>$G197*AZ197*Variables!$B$53*HLOOKUP($DM$2,Variables!$B$60:$F$61,2,FALSE)</f>
        <v>0</v>
      </c>
      <c r="DV197" s="1223">
        <f>$G197*BA197*Variables!$B$53*HLOOKUP($DM$2,Variables!$B$60:$F$61,2,FALSE)</f>
        <v>0</v>
      </c>
      <c r="DW197" s="1223">
        <f>$G197*BB197*Variables!$B$53*HLOOKUP($DM$2,Variables!$B$60:$F$61,2,FALSE)</f>
        <v>0</v>
      </c>
      <c r="DX197" s="1225">
        <f>$G197*BC197*Variables!$B$53*HLOOKUP($DM$2,Variables!$B$60:$F$61,2,FALSE)</f>
        <v>0</v>
      </c>
      <c r="DY197" s="1222">
        <f>$G197*BD197*Variables!$B$53*HLOOKUP($DY$2,Variables!$B$60:$F$61,2,FALSE)</f>
        <v>0</v>
      </c>
      <c r="DZ197" s="1223">
        <f>$G197*BE197*Variables!$B$53*HLOOKUP($DY$2,Variables!$B$60:$F$61,2,FALSE)</f>
        <v>0</v>
      </c>
      <c r="EA197" s="1223">
        <f>$G197*BF197*Variables!$B$53*HLOOKUP($DY$2,Variables!$B$60:$F$61,2,FALSE)</f>
        <v>0</v>
      </c>
      <c r="EB197" s="1223">
        <f>$G197*BG197*Variables!$B$53*HLOOKUP($DY$2,Variables!$B$60:$F$61,2,FALSE)</f>
        <v>0</v>
      </c>
      <c r="EC197" s="1223">
        <f>$G197*BH197*Variables!$B$53*HLOOKUP($DY$2,Variables!$B$60:$F$61,2,FALSE)</f>
        <v>0</v>
      </c>
      <c r="ED197" s="1223">
        <f>$G197*BI197*Variables!$B$53*HLOOKUP($DY$2,Variables!$B$60:$F$61,2,FALSE)</f>
        <v>0</v>
      </c>
      <c r="EE197" s="1223">
        <f>$G197*BJ197*Variables!$B$53*HLOOKUP($DY$2,Variables!$B$60:$F$61,2,FALSE)</f>
        <v>0</v>
      </c>
      <c r="EF197" s="1223">
        <f>$G197*BK197*Variables!$B$53*HLOOKUP($DY$2,Variables!$B$60:$F$61,2,FALSE)</f>
        <v>0</v>
      </c>
      <c r="EG197" s="1223">
        <f>$G197*BL197*Variables!$B$53*HLOOKUP($DY$2,Variables!$B$60:$F$61,2,FALSE)</f>
        <v>0</v>
      </c>
      <c r="EH197" s="1223">
        <f>$G197*BM197*Variables!$B$53*HLOOKUP($DY$2,Variables!$B$60:$F$61,2,FALSE)</f>
        <v>0</v>
      </c>
      <c r="EI197" s="1223">
        <f>$G197*BN197*Variables!$B$53*HLOOKUP($DY$2,Variables!$B$60:$F$61,2,FALSE)</f>
        <v>0</v>
      </c>
      <c r="EJ197" s="1225">
        <f>$G197*BO197*Variables!$B$53*HLOOKUP($DY$2,Variables!$B$60:$F$61,2,FALSE)</f>
        <v>0</v>
      </c>
      <c r="EK197" s="1222">
        <f>$G197*BP197*Variables!$B$53*HLOOKUP($EK$2,Variables!$B$60:$F$61,2,FALSE)</f>
        <v>0</v>
      </c>
      <c r="EL197" s="1223">
        <f>$G197*BQ197*Variables!$B$53*HLOOKUP($EK$2,Variables!$B$60:$F$61,2,FALSE)</f>
        <v>0</v>
      </c>
      <c r="EM197" s="1223">
        <f>$G197*BR197*Variables!$B$53*HLOOKUP($EK$2,Variables!$B$60:$F$61,2,FALSE)</f>
        <v>0</v>
      </c>
      <c r="EN197" s="1223">
        <f>$G197*BS197*Variables!$B$53*HLOOKUP($EK$2,Variables!$B$60:$F$61,2,FALSE)</f>
        <v>0</v>
      </c>
      <c r="EO197" s="1223">
        <f>$G197*BT197*Variables!$B$53*HLOOKUP($EK$2,Variables!$B$60:$F$61,2,FALSE)</f>
        <v>0</v>
      </c>
      <c r="EP197" s="1223">
        <f>$G197*BU197*Variables!$B$53*HLOOKUP($EK$2,Variables!$B$60:$F$61,2,FALSE)</f>
        <v>0</v>
      </c>
      <c r="EQ197" s="1223">
        <f>$G197*BV197*Variables!$B$53*HLOOKUP($EK$2,Variables!$B$60:$F$61,2,FALSE)</f>
        <v>0</v>
      </c>
      <c r="ER197" s="1223">
        <f>$G197*BW197*Variables!$B$53*HLOOKUP($EK$2,Variables!$B$60:$F$61,2,FALSE)</f>
        <v>0</v>
      </c>
      <c r="ES197" s="1223">
        <f>$G197*BX197*Variables!$B$53*HLOOKUP($EK$2,Variables!$B$60:$F$61,2,FALSE)</f>
        <v>0</v>
      </c>
      <c r="ET197" s="1223">
        <f>$G197*BY197*Variables!$B$53*HLOOKUP($EK$2,Variables!$B$60:$F$61,2,FALSE)</f>
        <v>0</v>
      </c>
      <c r="EU197" s="1223">
        <f>$G197*BZ197*Variables!$B$53*HLOOKUP($EK$2,Variables!$B$60:$F$61,2,FALSE)</f>
        <v>0</v>
      </c>
      <c r="EV197" s="1225">
        <f>$G197*CA197*Variables!$B$53*HLOOKUP($EK$2,Variables!$B$60:$F$61,2,FALSE)</f>
        <v>0</v>
      </c>
      <c r="EW197" s="872">
        <f t="shared" si="24"/>
        <v>0</v>
      </c>
      <c r="EX197" s="872"/>
      <c r="EY197" s="872"/>
      <c r="EZ197" s="872"/>
      <c r="FA197" s="1332"/>
      <c r="FC197" s="958" t="str">
        <f t="shared" si="25"/>
        <v/>
      </c>
      <c r="FD197" s="959" t="str">
        <f t="shared" si="26"/>
        <v/>
      </c>
      <c r="FE197" s="959" t="s">
        <v>8407</v>
      </c>
      <c r="FF197" s="959" t="str">
        <f>IF(ISNA(VLOOKUP(FC197,Miscellaneous!E:F,2,0)),"",VLOOKUP(FC197,Miscellaneous!E:F,2,0))</f>
        <v/>
      </c>
      <c r="FG197" s="959" t="str">
        <f t="shared" si="27"/>
        <v/>
      </c>
      <c r="FH197" s="996">
        <f>IF($FG197="Opex",SUMIF('Monthly Summary'!$C$75:$N$75,"",CC197:CN197),SUMIF('Monthly Summary'!$C$74:$N$74,"",CC197:CN197))</f>
        <v>0</v>
      </c>
      <c r="FI197" s="996">
        <f>IF($FG197="Opex",SUMIF('Monthly Summary'!$O$75:$Z$75,"",CO197:CZ197),SUMIF('Monthly Summary'!$O$74:$Z$74,"",CO197:CZ197))</f>
        <v>0</v>
      </c>
      <c r="FJ197" s="996">
        <f>IF($FG197="Opex",SUMIF('Monthly Summary'!$AA$75:$AL$75,"",DA197:DL197),SUMIF('Monthly Summary'!$AA$74:$AL$74,"",DA197:DL197))</f>
        <v>0</v>
      </c>
      <c r="FK197" s="996">
        <f>IF($FG197="Opex",SUMIF('Monthly Summary'!$AM$75:$AX$75,"",DM197:DX197),SUMIF('Monthly Summary'!$AM$74:$AX$74,"",DM197:DX197))</f>
        <v>0</v>
      </c>
      <c r="FL197" s="996">
        <f>IF($FG197="Opex",SUMIF('Monthly Summary'!$AY$75:$BJ$75,"",DY197:EJ197),SUMIF('Monthly Summary'!$AY$74:$BJ$74,"",DY197:EJ197))</f>
        <v>0</v>
      </c>
      <c r="FM197" s="997">
        <f>IF($FG197="Opex",SUMIF('Monthly Summary'!$BK$75:$BV$75,"",EK197:EV197),SUMIF('Monthly Summary'!$BK$74:$BV$74,"",EK197:EV197))</f>
        <v>0</v>
      </c>
      <c r="FN197" s="997">
        <f t="shared" si="28"/>
        <v>0</v>
      </c>
    </row>
    <row r="198" spans="3:170">
      <c r="C198" s="757"/>
      <c r="D198" s="757"/>
      <c r="E198" s="758"/>
      <c r="F198" s="758"/>
      <c r="G198" s="758"/>
      <c r="H198" s="1215"/>
      <c r="I198" s="761"/>
      <c r="J198" s="761"/>
      <c r="K198" s="761"/>
      <c r="L198" s="761"/>
      <c r="M198" s="761"/>
      <c r="N198" s="761"/>
      <c r="O198" s="761"/>
      <c r="P198" s="761"/>
      <c r="Q198" s="761"/>
      <c r="R198" s="761"/>
      <c r="S198" s="1216"/>
      <c r="T198" s="1215"/>
      <c r="U198" s="761"/>
      <c r="V198" s="761"/>
      <c r="W198" s="761"/>
      <c r="X198" s="761"/>
      <c r="Y198" s="761"/>
      <c r="Z198" s="761"/>
      <c r="AA198" s="761"/>
      <c r="AB198" s="761"/>
      <c r="AC198" s="761"/>
      <c r="AD198" s="761"/>
      <c r="AE198" s="1216"/>
      <c r="AF198" s="1215"/>
      <c r="AG198" s="761"/>
      <c r="AH198" s="761"/>
      <c r="AI198" s="761"/>
      <c r="AJ198" s="761"/>
      <c r="AK198" s="761"/>
      <c r="AL198" s="761"/>
      <c r="AM198" s="761"/>
      <c r="AN198" s="761"/>
      <c r="AO198" s="761"/>
      <c r="AP198" s="761"/>
      <c r="AQ198" s="1216"/>
      <c r="AR198" s="1215"/>
      <c r="AS198" s="761"/>
      <c r="AT198" s="761"/>
      <c r="AU198" s="761"/>
      <c r="AV198" s="761"/>
      <c r="AW198" s="761"/>
      <c r="AX198" s="761"/>
      <c r="AY198" s="761"/>
      <c r="AZ198" s="761"/>
      <c r="BA198" s="761"/>
      <c r="BB198" s="761"/>
      <c r="BC198" s="1216"/>
      <c r="BD198" s="1215"/>
      <c r="BE198" s="761"/>
      <c r="BF198" s="761"/>
      <c r="BG198" s="761"/>
      <c r="BH198" s="761"/>
      <c r="BI198" s="761"/>
      <c r="BJ198" s="761"/>
      <c r="BK198" s="761"/>
      <c r="BL198" s="761"/>
      <c r="BM198" s="761"/>
      <c r="BN198" s="761"/>
      <c r="BO198" s="1216"/>
      <c r="BP198" s="1215"/>
      <c r="BQ198" s="761"/>
      <c r="BR198" s="761"/>
      <c r="BS198" s="761"/>
      <c r="BT198" s="761"/>
      <c r="BU198" s="761"/>
      <c r="BV198" s="761"/>
      <c r="BW198" s="761"/>
      <c r="BX198" s="761"/>
      <c r="BY198" s="761"/>
      <c r="BZ198" s="761"/>
      <c r="CA198" s="1216"/>
      <c r="CB198" s="747"/>
      <c r="CC198" s="1222">
        <f>$G198*H198*Variables!$B$53</f>
        <v>0</v>
      </c>
      <c r="CD198" s="1223">
        <f>$G198*I198*Variables!$B$53</f>
        <v>0</v>
      </c>
      <c r="CE198" s="1223">
        <f>$G198*J198*Variables!$B$53</f>
        <v>0</v>
      </c>
      <c r="CF198" s="1223">
        <f>$G198*K198*Variables!$B$53</f>
        <v>0</v>
      </c>
      <c r="CG198" s="1223">
        <f>$G198*L198*Variables!$B$53</f>
        <v>0</v>
      </c>
      <c r="CH198" s="1223">
        <f>$G198*M198*Variables!$B$53</f>
        <v>0</v>
      </c>
      <c r="CI198" s="1223">
        <f>$G198*N198*Variables!$B$53</f>
        <v>0</v>
      </c>
      <c r="CJ198" s="1223">
        <f>$G198*O198*Variables!$B$53</f>
        <v>0</v>
      </c>
      <c r="CK198" s="1223">
        <f>$G198*P198*Variables!$B$53</f>
        <v>0</v>
      </c>
      <c r="CL198" s="1223">
        <f>$G198*Q198*Variables!$B$53</f>
        <v>0</v>
      </c>
      <c r="CM198" s="1223">
        <f>$G198*R198*Variables!$B$53</f>
        <v>0</v>
      </c>
      <c r="CN198" s="1225">
        <f>$G198*S198*Variables!$B$53</f>
        <v>0</v>
      </c>
      <c r="CO198" s="1222">
        <f>$G198*T198*Variables!$B$53*HLOOKUP($CO$2,Variables!$B$60:$F$61,2,FALSE)</f>
        <v>0</v>
      </c>
      <c r="CP198" s="1223">
        <f>$G198*U198*Variables!$B$53*HLOOKUP($CO$2,Variables!$B$60:$F$61,2,FALSE)</f>
        <v>0</v>
      </c>
      <c r="CQ198" s="1223">
        <f>$G198*V198*Variables!$B$53*HLOOKUP($CO$2,Variables!$B$60:$F$61,2,FALSE)</f>
        <v>0</v>
      </c>
      <c r="CR198" s="1223">
        <f>$G198*W198*Variables!$B$53*HLOOKUP($CO$2,Variables!$B$60:$F$61,2,FALSE)</f>
        <v>0</v>
      </c>
      <c r="CS198" s="1223">
        <f>$G198*X198*Variables!$B$53*HLOOKUP($CO$2,Variables!$B$60:$F$61,2,FALSE)</f>
        <v>0</v>
      </c>
      <c r="CT198" s="1223">
        <f>$G198*Y198*Variables!$B$53*HLOOKUP($CO$2,Variables!$B$60:$F$61,2,FALSE)</f>
        <v>0</v>
      </c>
      <c r="CU198" s="1223">
        <f>$G198*Z198*Variables!$B$53*HLOOKUP($CO$2,Variables!$B$60:$F$61,2,FALSE)</f>
        <v>0</v>
      </c>
      <c r="CV198" s="1223">
        <f>$G198*AA198*Variables!$B$53*HLOOKUP($CO$2,Variables!$B$60:$F$61,2,FALSE)</f>
        <v>0</v>
      </c>
      <c r="CW198" s="1223">
        <f>$G198*AB198*Variables!$B$53*HLOOKUP($CO$2,Variables!$B$60:$F$61,2,FALSE)</f>
        <v>0</v>
      </c>
      <c r="CX198" s="1223">
        <f>$G198*AC198*Variables!$B$53*HLOOKUP($CO$2,Variables!$B$60:$F$61,2,FALSE)</f>
        <v>0</v>
      </c>
      <c r="CY198" s="1223">
        <f>$G198*AD198*Variables!$B$53*HLOOKUP($CO$2,Variables!$B$60:$F$61,2,FALSE)</f>
        <v>0</v>
      </c>
      <c r="CZ198" s="1225">
        <f>$G198*AE198*Variables!$B$53*HLOOKUP($CO$2,Variables!$B$60:$F$61,2,FALSE)</f>
        <v>0</v>
      </c>
      <c r="DA198" s="1222">
        <f>$G198*AF198*Variables!$B$53*HLOOKUP($DA$2,Variables!$B$60:$F$61,2,FALSE)</f>
        <v>0</v>
      </c>
      <c r="DB198" s="1223">
        <f>$G198*AG198*Variables!$B$53*HLOOKUP($DA$2,Variables!$B$60:$F$61,2,FALSE)</f>
        <v>0</v>
      </c>
      <c r="DC198" s="1223">
        <f>$G198*AH198*Variables!$B$53*HLOOKUP($DA$2,Variables!$B$60:$F$61,2,FALSE)</f>
        <v>0</v>
      </c>
      <c r="DD198" s="1223">
        <f>$G198*AI198*Variables!$B$53*HLOOKUP($DA$2,Variables!$B$60:$F$61,2,FALSE)</f>
        <v>0</v>
      </c>
      <c r="DE198" s="1223">
        <f>$G198*AJ198*Variables!$B$53*HLOOKUP($DA$2,Variables!$B$60:$F$61,2,FALSE)</f>
        <v>0</v>
      </c>
      <c r="DF198" s="1223">
        <f>$G198*AK198*Variables!$B$53*HLOOKUP($DA$2,Variables!$B$60:$F$61,2,FALSE)</f>
        <v>0</v>
      </c>
      <c r="DG198" s="1223">
        <f>$G198*AL198*Variables!$B$53*HLOOKUP($DA$2,Variables!$B$60:$F$61,2,FALSE)</f>
        <v>0</v>
      </c>
      <c r="DH198" s="1223">
        <f>$G198*AM198*Variables!$B$53*HLOOKUP($DA$2,Variables!$B$60:$F$61,2,FALSE)</f>
        <v>0</v>
      </c>
      <c r="DI198" s="1223">
        <f>$G198*AN198*Variables!$B$53*HLOOKUP($DA$2,Variables!$B$60:$F$61,2,FALSE)</f>
        <v>0</v>
      </c>
      <c r="DJ198" s="1223">
        <f>$G198*AO198*Variables!$B$53*HLOOKUP($DA$2,Variables!$B$60:$F$61,2,FALSE)</f>
        <v>0</v>
      </c>
      <c r="DK198" s="1223">
        <f>$G198*AP198*Variables!$B$53*HLOOKUP($DA$2,Variables!$B$60:$F$61,2,FALSE)</f>
        <v>0</v>
      </c>
      <c r="DL198" s="1225">
        <f>$G198*AQ198*Variables!$B$53*HLOOKUP($DA$2,Variables!$B$60:$F$61,2,FALSE)</f>
        <v>0</v>
      </c>
      <c r="DM198" s="1222">
        <f>$G198*AR198*Variables!$B$53*HLOOKUP($DM$2,Variables!$B$60:$F$61,2,FALSE)</f>
        <v>0</v>
      </c>
      <c r="DN198" s="1223">
        <f>$G198*AS198*Variables!$B$53*HLOOKUP($DM$2,Variables!$B$60:$F$61,2,FALSE)</f>
        <v>0</v>
      </c>
      <c r="DO198" s="1223">
        <f>$G198*AT198*Variables!$B$53*HLOOKUP($DM$2,Variables!$B$60:$F$61,2,FALSE)</f>
        <v>0</v>
      </c>
      <c r="DP198" s="1223">
        <f>$G198*AU198*Variables!$B$53*HLOOKUP($DM$2,Variables!$B$60:$F$61,2,FALSE)</f>
        <v>0</v>
      </c>
      <c r="DQ198" s="1223">
        <f>$G198*AV198*Variables!$B$53*HLOOKUP($DM$2,Variables!$B$60:$F$61,2,FALSE)</f>
        <v>0</v>
      </c>
      <c r="DR198" s="1223">
        <f>$G198*AW198*Variables!$B$53*HLOOKUP($DM$2,Variables!$B$60:$F$61,2,FALSE)</f>
        <v>0</v>
      </c>
      <c r="DS198" s="1223">
        <f>$G198*AX198*Variables!$B$53*HLOOKUP($DM$2,Variables!$B$60:$F$61,2,FALSE)</f>
        <v>0</v>
      </c>
      <c r="DT198" s="1223">
        <f>$G198*AY198*Variables!$B$53*HLOOKUP($DM$2,Variables!$B$60:$F$61,2,FALSE)</f>
        <v>0</v>
      </c>
      <c r="DU198" s="1223">
        <f>$G198*AZ198*Variables!$B$53*HLOOKUP($DM$2,Variables!$B$60:$F$61,2,FALSE)</f>
        <v>0</v>
      </c>
      <c r="DV198" s="1223">
        <f>$G198*BA198*Variables!$B$53*HLOOKUP($DM$2,Variables!$B$60:$F$61,2,FALSE)</f>
        <v>0</v>
      </c>
      <c r="DW198" s="1223">
        <f>$G198*BB198*Variables!$B$53*HLOOKUP($DM$2,Variables!$B$60:$F$61,2,FALSE)</f>
        <v>0</v>
      </c>
      <c r="DX198" s="1225">
        <f>$G198*BC198*Variables!$B$53*HLOOKUP($DM$2,Variables!$B$60:$F$61,2,FALSE)</f>
        <v>0</v>
      </c>
      <c r="DY198" s="1222">
        <f>$G198*BD198*Variables!$B$53*HLOOKUP($DY$2,Variables!$B$60:$F$61,2,FALSE)</f>
        <v>0</v>
      </c>
      <c r="DZ198" s="1223">
        <f>$G198*BE198*Variables!$B$53*HLOOKUP($DY$2,Variables!$B$60:$F$61,2,FALSE)</f>
        <v>0</v>
      </c>
      <c r="EA198" s="1223">
        <f>$G198*BF198*Variables!$B$53*HLOOKUP($DY$2,Variables!$B$60:$F$61,2,FALSE)</f>
        <v>0</v>
      </c>
      <c r="EB198" s="1223">
        <f>$G198*BG198*Variables!$B$53*HLOOKUP($DY$2,Variables!$B$60:$F$61,2,FALSE)</f>
        <v>0</v>
      </c>
      <c r="EC198" s="1223">
        <f>$G198*BH198*Variables!$B$53*HLOOKUP($DY$2,Variables!$B$60:$F$61,2,FALSE)</f>
        <v>0</v>
      </c>
      <c r="ED198" s="1223">
        <f>$G198*BI198*Variables!$B$53*HLOOKUP($DY$2,Variables!$B$60:$F$61,2,FALSE)</f>
        <v>0</v>
      </c>
      <c r="EE198" s="1223">
        <f>$G198*BJ198*Variables!$B$53*HLOOKUP($DY$2,Variables!$B$60:$F$61,2,FALSE)</f>
        <v>0</v>
      </c>
      <c r="EF198" s="1223">
        <f>$G198*BK198*Variables!$B$53*HLOOKUP($DY$2,Variables!$B$60:$F$61,2,FALSE)</f>
        <v>0</v>
      </c>
      <c r="EG198" s="1223">
        <f>$G198*BL198*Variables!$B$53*HLOOKUP($DY$2,Variables!$B$60:$F$61,2,FALSE)</f>
        <v>0</v>
      </c>
      <c r="EH198" s="1223">
        <f>$G198*BM198*Variables!$B$53*HLOOKUP($DY$2,Variables!$B$60:$F$61,2,FALSE)</f>
        <v>0</v>
      </c>
      <c r="EI198" s="1223">
        <f>$G198*BN198*Variables!$B$53*HLOOKUP($DY$2,Variables!$B$60:$F$61,2,FALSE)</f>
        <v>0</v>
      </c>
      <c r="EJ198" s="1225">
        <f>$G198*BO198*Variables!$B$53*HLOOKUP($DY$2,Variables!$B$60:$F$61,2,FALSE)</f>
        <v>0</v>
      </c>
      <c r="EK198" s="1222">
        <f>$G198*BP198*Variables!$B$53*HLOOKUP($EK$2,Variables!$B$60:$F$61,2,FALSE)</f>
        <v>0</v>
      </c>
      <c r="EL198" s="1223">
        <f>$G198*BQ198*Variables!$B$53*HLOOKUP($EK$2,Variables!$B$60:$F$61,2,FALSE)</f>
        <v>0</v>
      </c>
      <c r="EM198" s="1223">
        <f>$G198*BR198*Variables!$B$53*HLOOKUP($EK$2,Variables!$B$60:$F$61,2,FALSE)</f>
        <v>0</v>
      </c>
      <c r="EN198" s="1223">
        <f>$G198*BS198*Variables!$B$53*HLOOKUP($EK$2,Variables!$B$60:$F$61,2,FALSE)</f>
        <v>0</v>
      </c>
      <c r="EO198" s="1223">
        <f>$G198*BT198*Variables!$B$53*HLOOKUP($EK$2,Variables!$B$60:$F$61,2,FALSE)</f>
        <v>0</v>
      </c>
      <c r="EP198" s="1223">
        <f>$G198*BU198*Variables!$B$53*HLOOKUP($EK$2,Variables!$B$60:$F$61,2,FALSE)</f>
        <v>0</v>
      </c>
      <c r="EQ198" s="1223">
        <f>$G198*BV198*Variables!$B$53*HLOOKUP($EK$2,Variables!$B$60:$F$61,2,FALSE)</f>
        <v>0</v>
      </c>
      <c r="ER198" s="1223">
        <f>$G198*BW198*Variables!$B$53*HLOOKUP($EK$2,Variables!$B$60:$F$61,2,FALSE)</f>
        <v>0</v>
      </c>
      <c r="ES198" s="1223">
        <f>$G198*BX198*Variables!$B$53*HLOOKUP($EK$2,Variables!$B$60:$F$61,2,FALSE)</f>
        <v>0</v>
      </c>
      <c r="ET198" s="1223">
        <f>$G198*BY198*Variables!$B$53*HLOOKUP($EK$2,Variables!$B$60:$F$61,2,FALSE)</f>
        <v>0</v>
      </c>
      <c r="EU198" s="1223">
        <f>$G198*BZ198*Variables!$B$53*HLOOKUP($EK$2,Variables!$B$60:$F$61,2,FALSE)</f>
        <v>0</v>
      </c>
      <c r="EV198" s="1225">
        <f>$G198*CA198*Variables!$B$53*HLOOKUP($EK$2,Variables!$B$60:$F$61,2,FALSE)</f>
        <v>0</v>
      </c>
      <c r="EW198" s="872">
        <f t="shared" si="24"/>
        <v>0</v>
      </c>
      <c r="EX198" s="872"/>
      <c r="EY198" s="872"/>
      <c r="EZ198" s="872"/>
      <c r="FA198" s="1332"/>
      <c r="FC198" s="958" t="str">
        <f t="shared" si="25"/>
        <v/>
      </c>
      <c r="FD198" s="959" t="str">
        <f t="shared" si="26"/>
        <v/>
      </c>
      <c r="FE198" s="959" t="s">
        <v>8407</v>
      </c>
      <c r="FF198" s="959" t="str">
        <f>IF(ISNA(VLOOKUP(FC198,Miscellaneous!E:F,2,0)),"",VLOOKUP(FC198,Miscellaneous!E:F,2,0))</f>
        <v/>
      </c>
      <c r="FG198" s="959" t="str">
        <f t="shared" si="27"/>
        <v/>
      </c>
      <c r="FH198" s="996">
        <f>IF($FG198="Opex",SUMIF('Monthly Summary'!$C$75:$N$75,"",CC198:CN198),SUMIF('Monthly Summary'!$C$74:$N$74,"",CC198:CN198))</f>
        <v>0</v>
      </c>
      <c r="FI198" s="996">
        <f>IF($FG198="Opex",SUMIF('Monthly Summary'!$O$75:$Z$75,"",CO198:CZ198),SUMIF('Monthly Summary'!$O$74:$Z$74,"",CO198:CZ198))</f>
        <v>0</v>
      </c>
      <c r="FJ198" s="996">
        <f>IF($FG198="Opex",SUMIF('Monthly Summary'!$AA$75:$AL$75,"",DA198:DL198),SUMIF('Monthly Summary'!$AA$74:$AL$74,"",DA198:DL198))</f>
        <v>0</v>
      </c>
      <c r="FK198" s="996">
        <f>IF($FG198="Opex",SUMIF('Monthly Summary'!$AM$75:$AX$75,"",DM198:DX198),SUMIF('Monthly Summary'!$AM$74:$AX$74,"",DM198:DX198))</f>
        <v>0</v>
      </c>
      <c r="FL198" s="996">
        <f>IF($FG198="Opex",SUMIF('Monthly Summary'!$AY$75:$BJ$75,"",DY198:EJ198),SUMIF('Monthly Summary'!$AY$74:$BJ$74,"",DY198:EJ198))</f>
        <v>0</v>
      </c>
      <c r="FM198" s="997">
        <f>IF($FG198="Opex",SUMIF('Monthly Summary'!$BK$75:$BV$75,"",EK198:EV198),SUMIF('Monthly Summary'!$BK$74:$BV$74,"",EK198:EV198))</f>
        <v>0</v>
      </c>
      <c r="FN198" s="997">
        <f t="shared" si="28"/>
        <v>0</v>
      </c>
    </row>
    <row r="199" spans="3:170">
      <c r="C199" s="757"/>
      <c r="D199" s="757"/>
      <c r="E199" s="758"/>
      <c r="F199" s="758"/>
      <c r="G199" s="758"/>
      <c r="H199" s="1215"/>
      <c r="I199" s="761"/>
      <c r="J199" s="761"/>
      <c r="K199" s="761"/>
      <c r="L199" s="761"/>
      <c r="M199" s="761"/>
      <c r="N199" s="761"/>
      <c r="O199" s="761"/>
      <c r="P199" s="761"/>
      <c r="Q199" s="761"/>
      <c r="R199" s="761"/>
      <c r="S199" s="1216"/>
      <c r="T199" s="1215"/>
      <c r="U199" s="761"/>
      <c r="V199" s="761"/>
      <c r="W199" s="761"/>
      <c r="X199" s="761"/>
      <c r="Y199" s="761"/>
      <c r="Z199" s="761"/>
      <c r="AA199" s="761"/>
      <c r="AB199" s="761"/>
      <c r="AC199" s="761"/>
      <c r="AD199" s="761"/>
      <c r="AE199" s="1216"/>
      <c r="AF199" s="1215"/>
      <c r="AG199" s="761"/>
      <c r="AH199" s="761"/>
      <c r="AI199" s="761"/>
      <c r="AJ199" s="761"/>
      <c r="AK199" s="761"/>
      <c r="AL199" s="761"/>
      <c r="AM199" s="761"/>
      <c r="AN199" s="761"/>
      <c r="AO199" s="761"/>
      <c r="AP199" s="761"/>
      <c r="AQ199" s="1216"/>
      <c r="AR199" s="1215"/>
      <c r="AS199" s="761"/>
      <c r="AT199" s="761"/>
      <c r="AU199" s="761"/>
      <c r="AV199" s="761"/>
      <c r="AW199" s="761"/>
      <c r="AX199" s="761"/>
      <c r="AY199" s="761"/>
      <c r="AZ199" s="761"/>
      <c r="BA199" s="761"/>
      <c r="BB199" s="761"/>
      <c r="BC199" s="1216"/>
      <c r="BD199" s="1215"/>
      <c r="BE199" s="761"/>
      <c r="BF199" s="761"/>
      <c r="BG199" s="761"/>
      <c r="BH199" s="761"/>
      <c r="BI199" s="761"/>
      <c r="BJ199" s="761"/>
      <c r="BK199" s="761"/>
      <c r="BL199" s="761"/>
      <c r="BM199" s="761"/>
      <c r="BN199" s="761"/>
      <c r="BO199" s="1216"/>
      <c r="BP199" s="1215"/>
      <c r="BQ199" s="761"/>
      <c r="BR199" s="761"/>
      <c r="BS199" s="761"/>
      <c r="BT199" s="761"/>
      <c r="BU199" s="761"/>
      <c r="BV199" s="761"/>
      <c r="BW199" s="761"/>
      <c r="BX199" s="761"/>
      <c r="BY199" s="761"/>
      <c r="BZ199" s="761"/>
      <c r="CA199" s="1216"/>
      <c r="CB199" s="747"/>
      <c r="CC199" s="1222">
        <f>$G199*H199*Variables!$B$53</f>
        <v>0</v>
      </c>
      <c r="CD199" s="1223">
        <f>$G199*I199*Variables!$B$53</f>
        <v>0</v>
      </c>
      <c r="CE199" s="1223">
        <f>$G199*J199*Variables!$B$53</f>
        <v>0</v>
      </c>
      <c r="CF199" s="1223">
        <f>$G199*K199*Variables!$B$53</f>
        <v>0</v>
      </c>
      <c r="CG199" s="1223">
        <f>$G199*L199*Variables!$B$53</f>
        <v>0</v>
      </c>
      <c r="CH199" s="1223">
        <f>$G199*M199*Variables!$B$53</f>
        <v>0</v>
      </c>
      <c r="CI199" s="1223">
        <f>$G199*N199*Variables!$B$53</f>
        <v>0</v>
      </c>
      <c r="CJ199" s="1223">
        <f>$G199*O199*Variables!$B$53</f>
        <v>0</v>
      </c>
      <c r="CK199" s="1223">
        <f>$G199*P199*Variables!$B$53</f>
        <v>0</v>
      </c>
      <c r="CL199" s="1223">
        <f>$G199*Q199*Variables!$B$53</f>
        <v>0</v>
      </c>
      <c r="CM199" s="1223">
        <f>$G199*R199*Variables!$B$53</f>
        <v>0</v>
      </c>
      <c r="CN199" s="1225">
        <f>$G199*S199*Variables!$B$53</f>
        <v>0</v>
      </c>
      <c r="CO199" s="1222">
        <f>$G199*T199*Variables!$B$53*HLOOKUP($CO$2,Variables!$B$60:$F$61,2,FALSE)</f>
        <v>0</v>
      </c>
      <c r="CP199" s="1223">
        <f>$G199*U199*Variables!$B$53*HLOOKUP($CO$2,Variables!$B$60:$F$61,2,FALSE)</f>
        <v>0</v>
      </c>
      <c r="CQ199" s="1223">
        <f>$G199*V199*Variables!$B$53*HLOOKUP($CO$2,Variables!$B$60:$F$61,2,FALSE)</f>
        <v>0</v>
      </c>
      <c r="CR199" s="1223">
        <f>$G199*W199*Variables!$B$53*HLOOKUP($CO$2,Variables!$B$60:$F$61,2,FALSE)</f>
        <v>0</v>
      </c>
      <c r="CS199" s="1223">
        <f>$G199*X199*Variables!$B$53*HLOOKUP($CO$2,Variables!$B$60:$F$61,2,FALSE)</f>
        <v>0</v>
      </c>
      <c r="CT199" s="1223">
        <f>$G199*Y199*Variables!$B$53*HLOOKUP($CO$2,Variables!$B$60:$F$61,2,FALSE)</f>
        <v>0</v>
      </c>
      <c r="CU199" s="1223">
        <f>$G199*Z199*Variables!$B$53*HLOOKUP($CO$2,Variables!$B$60:$F$61,2,FALSE)</f>
        <v>0</v>
      </c>
      <c r="CV199" s="1223">
        <f>$G199*AA199*Variables!$B$53*HLOOKUP($CO$2,Variables!$B$60:$F$61,2,FALSE)</f>
        <v>0</v>
      </c>
      <c r="CW199" s="1223">
        <f>$G199*AB199*Variables!$B$53*HLOOKUP($CO$2,Variables!$B$60:$F$61,2,FALSE)</f>
        <v>0</v>
      </c>
      <c r="CX199" s="1223">
        <f>$G199*AC199*Variables!$B$53*HLOOKUP($CO$2,Variables!$B$60:$F$61,2,FALSE)</f>
        <v>0</v>
      </c>
      <c r="CY199" s="1223">
        <f>$G199*AD199*Variables!$B$53*HLOOKUP($CO$2,Variables!$B$60:$F$61,2,FALSE)</f>
        <v>0</v>
      </c>
      <c r="CZ199" s="1225">
        <f>$G199*AE199*Variables!$B$53*HLOOKUP($CO$2,Variables!$B$60:$F$61,2,FALSE)</f>
        <v>0</v>
      </c>
      <c r="DA199" s="1222">
        <f>$G199*AF199*Variables!$B$53*HLOOKUP($DA$2,Variables!$B$60:$F$61,2,FALSE)</f>
        <v>0</v>
      </c>
      <c r="DB199" s="1223">
        <f>$G199*AG199*Variables!$B$53*HLOOKUP($DA$2,Variables!$B$60:$F$61,2,FALSE)</f>
        <v>0</v>
      </c>
      <c r="DC199" s="1223">
        <f>$G199*AH199*Variables!$B$53*HLOOKUP($DA$2,Variables!$B$60:$F$61,2,FALSE)</f>
        <v>0</v>
      </c>
      <c r="DD199" s="1223">
        <f>$G199*AI199*Variables!$B$53*HLOOKUP($DA$2,Variables!$B$60:$F$61,2,FALSE)</f>
        <v>0</v>
      </c>
      <c r="DE199" s="1223">
        <f>$G199*AJ199*Variables!$B$53*HLOOKUP($DA$2,Variables!$B$60:$F$61,2,FALSE)</f>
        <v>0</v>
      </c>
      <c r="DF199" s="1223">
        <f>$G199*AK199*Variables!$B$53*HLOOKUP($DA$2,Variables!$B$60:$F$61,2,FALSE)</f>
        <v>0</v>
      </c>
      <c r="DG199" s="1223">
        <f>$G199*AL199*Variables!$B$53*HLOOKUP($DA$2,Variables!$B$60:$F$61,2,FALSE)</f>
        <v>0</v>
      </c>
      <c r="DH199" s="1223">
        <f>$G199*AM199*Variables!$B$53*HLOOKUP($DA$2,Variables!$B$60:$F$61,2,FALSE)</f>
        <v>0</v>
      </c>
      <c r="DI199" s="1223">
        <f>$G199*AN199*Variables!$B$53*HLOOKUP($DA$2,Variables!$B$60:$F$61,2,FALSE)</f>
        <v>0</v>
      </c>
      <c r="DJ199" s="1223">
        <f>$G199*AO199*Variables!$B$53*HLOOKUP($DA$2,Variables!$B$60:$F$61,2,FALSE)</f>
        <v>0</v>
      </c>
      <c r="DK199" s="1223">
        <f>$G199*AP199*Variables!$B$53*HLOOKUP($DA$2,Variables!$B$60:$F$61,2,FALSE)</f>
        <v>0</v>
      </c>
      <c r="DL199" s="1225">
        <f>$G199*AQ199*Variables!$B$53*HLOOKUP($DA$2,Variables!$B$60:$F$61,2,FALSE)</f>
        <v>0</v>
      </c>
      <c r="DM199" s="1222">
        <f>$G199*AR199*Variables!$B$53*HLOOKUP($DM$2,Variables!$B$60:$F$61,2,FALSE)</f>
        <v>0</v>
      </c>
      <c r="DN199" s="1223">
        <f>$G199*AS199*Variables!$B$53*HLOOKUP($DM$2,Variables!$B$60:$F$61,2,FALSE)</f>
        <v>0</v>
      </c>
      <c r="DO199" s="1223">
        <f>$G199*AT199*Variables!$B$53*HLOOKUP($DM$2,Variables!$B$60:$F$61,2,FALSE)</f>
        <v>0</v>
      </c>
      <c r="DP199" s="1223">
        <f>$G199*AU199*Variables!$B$53*HLOOKUP($DM$2,Variables!$B$60:$F$61,2,FALSE)</f>
        <v>0</v>
      </c>
      <c r="DQ199" s="1223">
        <f>$G199*AV199*Variables!$B$53*HLOOKUP($DM$2,Variables!$B$60:$F$61,2,FALSE)</f>
        <v>0</v>
      </c>
      <c r="DR199" s="1223">
        <f>$G199*AW199*Variables!$B$53*HLOOKUP($DM$2,Variables!$B$60:$F$61,2,FALSE)</f>
        <v>0</v>
      </c>
      <c r="DS199" s="1223">
        <f>$G199*AX199*Variables!$B$53*HLOOKUP($DM$2,Variables!$B$60:$F$61,2,FALSE)</f>
        <v>0</v>
      </c>
      <c r="DT199" s="1223">
        <f>$G199*AY199*Variables!$B$53*HLOOKUP($DM$2,Variables!$B$60:$F$61,2,FALSE)</f>
        <v>0</v>
      </c>
      <c r="DU199" s="1223">
        <f>$G199*AZ199*Variables!$B$53*HLOOKUP($DM$2,Variables!$B$60:$F$61,2,FALSE)</f>
        <v>0</v>
      </c>
      <c r="DV199" s="1223">
        <f>$G199*BA199*Variables!$B$53*HLOOKUP($DM$2,Variables!$B$60:$F$61,2,FALSE)</f>
        <v>0</v>
      </c>
      <c r="DW199" s="1223">
        <f>$G199*BB199*Variables!$B$53*HLOOKUP($DM$2,Variables!$B$60:$F$61,2,FALSE)</f>
        <v>0</v>
      </c>
      <c r="DX199" s="1225">
        <f>$G199*BC199*Variables!$B$53*HLOOKUP($DM$2,Variables!$B$60:$F$61,2,FALSE)</f>
        <v>0</v>
      </c>
      <c r="DY199" s="1222">
        <f>$G199*BD199*Variables!$B$53*HLOOKUP($DY$2,Variables!$B$60:$F$61,2,FALSE)</f>
        <v>0</v>
      </c>
      <c r="DZ199" s="1223">
        <f>$G199*BE199*Variables!$B$53*HLOOKUP($DY$2,Variables!$B$60:$F$61,2,FALSE)</f>
        <v>0</v>
      </c>
      <c r="EA199" s="1223">
        <f>$G199*BF199*Variables!$B$53*HLOOKUP($DY$2,Variables!$B$60:$F$61,2,FALSE)</f>
        <v>0</v>
      </c>
      <c r="EB199" s="1223">
        <f>$G199*BG199*Variables!$B$53*HLOOKUP($DY$2,Variables!$B$60:$F$61,2,FALSE)</f>
        <v>0</v>
      </c>
      <c r="EC199" s="1223">
        <f>$G199*BH199*Variables!$B$53*HLOOKUP($DY$2,Variables!$B$60:$F$61,2,FALSE)</f>
        <v>0</v>
      </c>
      <c r="ED199" s="1223">
        <f>$G199*BI199*Variables!$B$53*HLOOKUP($DY$2,Variables!$B$60:$F$61,2,FALSE)</f>
        <v>0</v>
      </c>
      <c r="EE199" s="1223">
        <f>$G199*BJ199*Variables!$B$53*HLOOKUP($DY$2,Variables!$B$60:$F$61,2,FALSE)</f>
        <v>0</v>
      </c>
      <c r="EF199" s="1223">
        <f>$G199*BK199*Variables!$B$53*HLOOKUP($DY$2,Variables!$B$60:$F$61,2,FALSE)</f>
        <v>0</v>
      </c>
      <c r="EG199" s="1223">
        <f>$G199*BL199*Variables!$B$53*HLOOKUP($DY$2,Variables!$B$60:$F$61,2,FALSE)</f>
        <v>0</v>
      </c>
      <c r="EH199" s="1223">
        <f>$G199*BM199*Variables!$B$53*HLOOKUP($DY$2,Variables!$B$60:$F$61,2,FALSE)</f>
        <v>0</v>
      </c>
      <c r="EI199" s="1223">
        <f>$G199*BN199*Variables!$B$53*HLOOKUP($DY$2,Variables!$B$60:$F$61,2,FALSE)</f>
        <v>0</v>
      </c>
      <c r="EJ199" s="1225">
        <f>$G199*BO199*Variables!$B$53*HLOOKUP($DY$2,Variables!$B$60:$F$61,2,FALSE)</f>
        <v>0</v>
      </c>
      <c r="EK199" s="1222">
        <f>$G199*BP199*Variables!$B$53*HLOOKUP($EK$2,Variables!$B$60:$F$61,2,FALSE)</f>
        <v>0</v>
      </c>
      <c r="EL199" s="1223">
        <f>$G199*BQ199*Variables!$B$53*HLOOKUP($EK$2,Variables!$B$60:$F$61,2,FALSE)</f>
        <v>0</v>
      </c>
      <c r="EM199" s="1223">
        <f>$G199*BR199*Variables!$B$53*HLOOKUP($EK$2,Variables!$B$60:$F$61,2,FALSE)</f>
        <v>0</v>
      </c>
      <c r="EN199" s="1223">
        <f>$G199*BS199*Variables!$B$53*HLOOKUP($EK$2,Variables!$B$60:$F$61,2,FALSE)</f>
        <v>0</v>
      </c>
      <c r="EO199" s="1223">
        <f>$G199*BT199*Variables!$B$53*HLOOKUP($EK$2,Variables!$B$60:$F$61,2,FALSE)</f>
        <v>0</v>
      </c>
      <c r="EP199" s="1223">
        <f>$G199*BU199*Variables!$B$53*HLOOKUP($EK$2,Variables!$B$60:$F$61,2,FALSE)</f>
        <v>0</v>
      </c>
      <c r="EQ199" s="1223">
        <f>$G199*BV199*Variables!$B$53*HLOOKUP($EK$2,Variables!$B$60:$F$61,2,FALSE)</f>
        <v>0</v>
      </c>
      <c r="ER199" s="1223">
        <f>$G199*BW199*Variables!$B$53*HLOOKUP($EK$2,Variables!$B$60:$F$61,2,FALSE)</f>
        <v>0</v>
      </c>
      <c r="ES199" s="1223">
        <f>$G199*BX199*Variables!$B$53*HLOOKUP($EK$2,Variables!$B$60:$F$61,2,FALSE)</f>
        <v>0</v>
      </c>
      <c r="ET199" s="1223">
        <f>$G199*BY199*Variables!$B$53*HLOOKUP($EK$2,Variables!$B$60:$F$61,2,FALSE)</f>
        <v>0</v>
      </c>
      <c r="EU199" s="1223">
        <f>$G199*BZ199*Variables!$B$53*HLOOKUP($EK$2,Variables!$B$60:$F$61,2,FALSE)</f>
        <v>0</v>
      </c>
      <c r="EV199" s="1225">
        <f>$G199*CA199*Variables!$B$53*HLOOKUP($EK$2,Variables!$B$60:$F$61,2,FALSE)</f>
        <v>0</v>
      </c>
      <c r="EW199" s="872">
        <f t="shared" si="24"/>
        <v>0</v>
      </c>
      <c r="EX199" s="872"/>
      <c r="EY199" s="872"/>
      <c r="EZ199" s="872"/>
      <c r="FA199" s="1332"/>
      <c r="FC199" s="958" t="str">
        <f t="shared" si="25"/>
        <v/>
      </c>
      <c r="FD199" s="959" t="str">
        <f t="shared" si="26"/>
        <v/>
      </c>
      <c r="FE199" s="959" t="s">
        <v>8407</v>
      </c>
      <c r="FF199" s="959" t="str">
        <f>IF(ISNA(VLOOKUP(FC199,Miscellaneous!E:F,2,0)),"",VLOOKUP(FC199,Miscellaneous!E:F,2,0))</f>
        <v/>
      </c>
      <c r="FG199" s="959" t="str">
        <f t="shared" si="27"/>
        <v/>
      </c>
      <c r="FH199" s="996">
        <f>IF($FG199="Opex",SUMIF('Monthly Summary'!$C$75:$N$75,"",CC199:CN199),SUMIF('Monthly Summary'!$C$74:$N$74,"",CC199:CN199))</f>
        <v>0</v>
      </c>
      <c r="FI199" s="996">
        <f>IF($FG199="Opex",SUMIF('Monthly Summary'!$O$75:$Z$75,"",CO199:CZ199),SUMIF('Monthly Summary'!$O$74:$Z$74,"",CO199:CZ199))</f>
        <v>0</v>
      </c>
      <c r="FJ199" s="996">
        <f>IF($FG199="Opex",SUMIF('Monthly Summary'!$AA$75:$AL$75,"",DA199:DL199),SUMIF('Monthly Summary'!$AA$74:$AL$74,"",DA199:DL199))</f>
        <v>0</v>
      </c>
      <c r="FK199" s="996">
        <f>IF($FG199="Opex",SUMIF('Monthly Summary'!$AM$75:$AX$75,"",DM199:DX199),SUMIF('Monthly Summary'!$AM$74:$AX$74,"",DM199:DX199))</f>
        <v>0</v>
      </c>
      <c r="FL199" s="996">
        <f>IF($FG199="Opex",SUMIF('Monthly Summary'!$AY$75:$BJ$75,"",DY199:EJ199),SUMIF('Monthly Summary'!$AY$74:$BJ$74,"",DY199:EJ199))</f>
        <v>0</v>
      </c>
      <c r="FM199" s="997">
        <f>IF($FG199="Opex",SUMIF('Monthly Summary'!$BK$75:$BV$75,"",EK199:EV199),SUMIF('Monthly Summary'!$BK$74:$BV$74,"",EK199:EV199))</f>
        <v>0</v>
      </c>
      <c r="FN199" s="997">
        <f t="shared" si="28"/>
        <v>0</v>
      </c>
    </row>
    <row r="200" spans="3:170">
      <c r="C200" s="757"/>
      <c r="D200" s="757"/>
      <c r="E200" s="758"/>
      <c r="F200" s="758"/>
      <c r="G200" s="758"/>
      <c r="H200" s="1215"/>
      <c r="I200" s="761"/>
      <c r="J200" s="761"/>
      <c r="K200" s="761"/>
      <c r="L200" s="761"/>
      <c r="M200" s="761"/>
      <c r="N200" s="761"/>
      <c r="O200" s="761"/>
      <c r="P200" s="761"/>
      <c r="Q200" s="761"/>
      <c r="R200" s="761"/>
      <c r="S200" s="1216"/>
      <c r="T200" s="1215"/>
      <c r="U200" s="761"/>
      <c r="V200" s="761"/>
      <c r="W200" s="761"/>
      <c r="X200" s="761"/>
      <c r="Y200" s="761"/>
      <c r="Z200" s="761"/>
      <c r="AA200" s="761"/>
      <c r="AB200" s="761"/>
      <c r="AC200" s="761"/>
      <c r="AD200" s="761"/>
      <c r="AE200" s="1216"/>
      <c r="AF200" s="1215"/>
      <c r="AG200" s="761"/>
      <c r="AH200" s="761"/>
      <c r="AI200" s="761"/>
      <c r="AJ200" s="761"/>
      <c r="AK200" s="761"/>
      <c r="AL200" s="761"/>
      <c r="AM200" s="761"/>
      <c r="AN200" s="761"/>
      <c r="AO200" s="761"/>
      <c r="AP200" s="761"/>
      <c r="AQ200" s="1216"/>
      <c r="AR200" s="1215"/>
      <c r="AS200" s="761"/>
      <c r="AT200" s="761"/>
      <c r="AU200" s="761"/>
      <c r="AV200" s="761"/>
      <c r="AW200" s="761"/>
      <c r="AX200" s="761"/>
      <c r="AY200" s="761"/>
      <c r="AZ200" s="761"/>
      <c r="BA200" s="761"/>
      <c r="BB200" s="761"/>
      <c r="BC200" s="1216"/>
      <c r="BD200" s="1215"/>
      <c r="BE200" s="761"/>
      <c r="BF200" s="761"/>
      <c r="BG200" s="761"/>
      <c r="BH200" s="761"/>
      <c r="BI200" s="761"/>
      <c r="BJ200" s="761"/>
      <c r="BK200" s="761"/>
      <c r="BL200" s="761"/>
      <c r="BM200" s="761"/>
      <c r="BN200" s="761"/>
      <c r="BO200" s="1216"/>
      <c r="BP200" s="1215"/>
      <c r="BQ200" s="761"/>
      <c r="BR200" s="761"/>
      <c r="BS200" s="761"/>
      <c r="BT200" s="761"/>
      <c r="BU200" s="761"/>
      <c r="BV200" s="761"/>
      <c r="BW200" s="761"/>
      <c r="BX200" s="761"/>
      <c r="BY200" s="761"/>
      <c r="BZ200" s="761"/>
      <c r="CA200" s="1216"/>
      <c r="CB200" s="747"/>
      <c r="CC200" s="1222">
        <f>$G200*H200*Variables!$B$53</f>
        <v>0</v>
      </c>
      <c r="CD200" s="1223">
        <f>$G200*I200*Variables!$B$53</f>
        <v>0</v>
      </c>
      <c r="CE200" s="1223">
        <f>$G200*J200*Variables!$B$53</f>
        <v>0</v>
      </c>
      <c r="CF200" s="1223">
        <f>$G200*K200*Variables!$B$53</f>
        <v>0</v>
      </c>
      <c r="CG200" s="1223">
        <f>$G200*L200*Variables!$B$53</f>
        <v>0</v>
      </c>
      <c r="CH200" s="1223">
        <f>$G200*M200*Variables!$B$53</f>
        <v>0</v>
      </c>
      <c r="CI200" s="1223">
        <f>$G200*N200*Variables!$B$53</f>
        <v>0</v>
      </c>
      <c r="CJ200" s="1223">
        <f>$G200*O200*Variables!$B$53</f>
        <v>0</v>
      </c>
      <c r="CK200" s="1223">
        <f>$G200*P200*Variables!$B$53</f>
        <v>0</v>
      </c>
      <c r="CL200" s="1223">
        <f>$G200*Q200*Variables!$B$53</f>
        <v>0</v>
      </c>
      <c r="CM200" s="1223">
        <f>$G200*R200*Variables!$B$53</f>
        <v>0</v>
      </c>
      <c r="CN200" s="1225">
        <f>$G200*S200*Variables!$B$53</f>
        <v>0</v>
      </c>
      <c r="CO200" s="1222">
        <f>$G200*T200*Variables!$B$53*HLOOKUP($CO$2,Variables!$B$60:$F$61,2,FALSE)</f>
        <v>0</v>
      </c>
      <c r="CP200" s="1223">
        <f>$G200*U200*Variables!$B$53*HLOOKUP($CO$2,Variables!$B$60:$F$61,2,FALSE)</f>
        <v>0</v>
      </c>
      <c r="CQ200" s="1223">
        <f>$G200*V200*Variables!$B$53*HLOOKUP($CO$2,Variables!$B$60:$F$61,2,FALSE)</f>
        <v>0</v>
      </c>
      <c r="CR200" s="1223">
        <f>$G200*W200*Variables!$B$53*HLOOKUP($CO$2,Variables!$B$60:$F$61,2,FALSE)</f>
        <v>0</v>
      </c>
      <c r="CS200" s="1223">
        <f>$G200*X200*Variables!$B$53*HLOOKUP($CO$2,Variables!$B$60:$F$61,2,FALSE)</f>
        <v>0</v>
      </c>
      <c r="CT200" s="1223">
        <f>$G200*Y200*Variables!$B$53*HLOOKUP($CO$2,Variables!$B$60:$F$61,2,FALSE)</f>
        <v>0</v>
      </c>
      <c r="CU200" s="1223">
        <f>$G200*Z200*Variables!$B$53*HLOOKUP($CO$2,Variables!$B$60:$F$61,2,FALSE)</f>
        <v>0</v>
      </c>
      <c r="CV200" s="1223">
        <f>$G200*AA200*Variables!$B$53*HLOOKUP($CO$2,Variables!$B$60:$F$61,2,FALSE)</f>
        <v>0</v>
      </c>
      <c r="CW200" s="1223">
        <f>$G200*AB200*Variables!$B$53*HLOOKUP($CO$2,Variables!$B$60:$F$61,2,FALSE)</f>
        <v>0</v>
      </c>
      <c r="CX200" s="1223">
        <f>$G200*AC200*Variables!$B$53*HLOOKUP($CO$2,Variables!$B$60:$F$61,2,FALSE)</f>
        <v>0</v>
      </c>
      <c r="CY200" s="1223">
        <f>$G200*AD200*Variables!$B$53*HLOOKUP($CO$2,Variables!$B$60:$F$61,2,FALSE)</f>
        <v>0</v>
      </c>
      <c r="CZ200" s="1225">
        <f>$G200*AE200*Variables!$B$53*HLOOKUP($CO$2,Variables!$B$60:$F$61,2,FALSE)</f>
        <v>0</v>
      </c>
      <c r="DA200" s="1222">
        <f>$G200*AF200*Variables!$B$53*HLOOKUP($DA$2,Variables!$B$60:$F$61,2,FALSE)</f>
        <v>0</v>
      </c>
      <c r="DB200" s="1223">
        <f>$G200*AG200*Variables!$B$53*HLOOKUP($DA$2,Variables!$B$60:$F$61,2,FALSE)</f>
        <v>0</v>
      </c>
      <c r="DC200" s="1223">
        <f>$G200*AH200*Variables!$B$53*HLOOKUP($DA$2,Variables!$B$60:$F$61,2,FALSE)</f>
        <v>0</v>
      </c>
      <c r="DD200" s="1223">
        <f>$G200*AI200*Variables!$B$53*HLOOKUP($DA$2,Variables!$B$60:$F$61,2,FALSE)</f>
        <v>0</v>
      </c>
      <c r="DE200" s="1223">
        <f>$G200*AJ200*Variables!$B$53*HLOOKUP($DA$2,Variables!$B$60:$F$61,2,FALSE)</f>
        <v>0</v>
      </c>
      <c r="DF200" s="1223">
        <f>$G200*AK200*Variables!$B$53*HLOOKUP($DA$2,Variables!$B$60:$F$61,2,FALSE)</f>
        <v>0</v>
      </c>
      <c r="DG200" s="1223">
        <f>$G200*AL200*Variables!$B$53*HLOOKUP($DA$2,Variables!$B$60:$F$61,2,FALSE)</f>
        <v>0</v>
      </c>
      <c r="DH200" s="1223">
        <f>$G200*AM200*Variables!$B$53*HLOOKUP($DA$2,Variables!$B$60:$F$61,2,FALSE)</f>
        <v>0</v>
      </c>
      <c r="DI200" s="1223">
        <f>$G200*AN200*Variables!$B$53*HLOOKUP($DA$2,Variables!$B$60:$F$61,2,FALSE)</f>
        <v>0</v>
      </c>
      <c r="DJ200" s="1223">
        <f>$G200*AO200*Variables!$B$53*HLOOKUP($DA$2,Variables!$B$60:$F$61,2,FALSE)</f>
        <v>0</v>
      </c>
      <c r="DK200" s="1223">
        <f>$G200*AP200*Variables!$B$53*HLOOKUP($DA$2,Variables!$B$60:$F$61,2,FALSE)</f>
        <v>0</v>
      </c>
      <c r="DL200" s="1225">
        <f>$G200*AQ200*Variables!$B$53*HLOOKUP($DA$2,Variables!$B$60:$F$61,2,FALSE)</f>
        <v>0</v>
      </c>
      <c r="DM200" s="1222">
        <f>$G200*AR200*Variables!$B$53*HLOOKUP($DM$2,Variables!$B$60:$F$61,2,FALSE)</f>
        <v>0</v>
      </c>
      <c r="DN200" s="1223">
        <f>$G200*AS200*Variables!$B$53*HLOOKUP($DM$2,Variables!$B$60:$F$61,2,FALSE)</f>
        <v>0</v>
      </c>
      <c r="DO200" s="1223">
        <f>$G200*AT200*Variables!$B$53*HLOOKUP($DM$2,Variables!$B$60:$F$61,2,FALSE)</f>
        <v>0</v>
      </c>
      <c r="DP200" s="1223">
        <f>$G200*AU200*Variables!$B$53*HLOOKUP($DM$2,Variables!$B$60:$F$61,2,FALSE)</f>
        <v>0</v>
      </c>
      <c r="DQ200" s="1223">
        <f>$G200*AV200*Variables!$B$53*HLOOKUP($DM$2,Variables!$B$60:$F$61,2,FALSE)</f>
        <v>0</v>
      </c>
      <c r="DR200" s="1223">
        <f>$G200*AW200*Variables!$B$53*HLOOKUP($DM$2,Variables!$B$60:$F$61,2,FALSE)</f>
        <v>0</v>
      </c>
      <c r="DS200" s="1223">
        <f>$G200*AX200*Variables!$B$53*HLOOKUP($DM$2,Variables!$B$60:$F$61,2,FALSE)</f>
        <v>0</v>
      </c>
      <c r="DT200" s="1223">
        <f>$G200*AY200*Variables!$B$53*HLOOKUP($DM$2,Variables!$B$60:$F$61,2,FALSE)</f>
        <v>0</v>
      </c>
      <c r="DU200" s="1223">
        <f>$G200*AZ200*Variables!$B$53*HLOOKUP($DM$2,Variables!$B$60:$F$61,2,FALSE)</f>
        <v>0</v>
      </c>
      <c r="DV200" s="1223">
        <f>$G200*BA200*Variables!$B$53*HLOOKUP($DM$2,Variables!$B$60:$F$61,2,FALSE)</f>
        <v>0</v>
      </c>
      <c r="DW200" s="1223">
        <f>$G200*BB200*Variables!$B$53*HLOOKUP($DM$2,Variables!$B$60:$F$61,2,FALSE)</f>
        <v>0</v>
      </c>
      <c r="DX200" s="1225">
        <f>$G200*BC200*Variables!$B$53*HLOOKUP($DM$2,Variables!$B$60:$F$61,2,FALSE)</f>
        <v>0</v>
      </c>
      <c r="DY200" s="1222">
        <f>$G200*BD200*Variables!$B$53*HLOOKUP($DY$2,Variables!$B$60:$F$61,2,FALSE)</f>
        <v>0</v>
      </c>
      <c r="DZ200" s="1223">
        <f>$G200*BE200*Variables!$B$53*HLOOKUP($DY$2,Variables!$B$60:$F$61,2,FALSE)</f>
        <v>0</v>
      </c>
      <c r="EA200" s="1223">
        <f>$G200*BF200*Variables!$B$53*HLOOKUP($DY$2,Variables!$B$60:$F$61,2,FALSE)</f>
        <v>0</v>
      </c>
      <c r="EB200" s="1223">
        <f>$G200*BG200*Variables!$B$53*HLOOKUP($DY$2,Variables!$B$60:$F$61,2,FALSE)</f>
        <v>0</v>
      </c>
      <c r="EC200" s="1223">
        <f>$G200*BH200*Variables!$B$53*HLOOKUP($DY$2,Variables!$B$60:$F$61,2,FALSE)</f>
        <v>0</v>
      </c>
      <c r="ED200" s="1223">
        <f>$G200*BI200*Variables!$B$53*HLOOKUP($DY$2,Variables!$B$60:$F$61,2,FALSE)</f>
        <v>0</v>
      </c>
      <c r="EE200" s="1223">
        <f>$G200*BJ200*Variables!$B$53*HLOOKUP($DY$2,Variables!$B$60:$F$61,2,FALSE)</f>
        <v>0</v>
      </c>
      <c r="EF200" s="1223">
        <f>$G200*BK200*Variables!$B$53*HLOOKUP($DY$2,Variables!$B$60:$F$61,2,FALSE)</f>
        <v>0</v>
      </c>
      <c r="EG200" s="1223">
        <f>$G200*BL200*Variables!$B$53*HLOOKUP($DY$2,Variables!$B$60:$F$61,2,FALSE)</f>
        <v>0</v>
      </c>
      <c r="EH200" s="1223">
        <f>$G200*BM200*Variables!$B$53*HLOOKUP($DY$2,Variables!$B$60:$F$61,2,FALSE)</f>
        <v>0</v>
      </c>
      <c r="EI200" s="1223">
        <f>$G200*BN200*Variables!$B$53*HLOOKUP($DY$2,Variables!$B$60:$F$61,2,FALSE)</f>
        <v>0</v>
      </c>
      <c r="EJ200" s="1225">
        <f>$G200*BO200*Variables!$B$53*HLOOKUP($DY$2,Variables!$B$60:$F$61,2,FALSE)</f>
        <v>0</v>
      </c>
      <c r="EK200" s="1222">
        <f>$G200*BP200*Variables!$B$53*HLOOKUP($EK$2,Variables!$B$60:$F$61,2,FALSE)</f>
        <v>0</v>
      </c>
      <c r="EL200" s="1223">
        <f>$G200*BQ200*Variables!$B$53*HLOOKUP($EK$2,Variables!$B$60:$F$61,2,FALSE)</f>
        <v>0</v>
      </c>
      <c r="EM200" s="1223">
        <f>$G200*BR200*Variables!$B$53*HLOOKUP($EK$2,Variables!$B$60:$F$61,2,FALSE)</f>
        <v>0</v>
      </c>
      <c r="EN200" s="1223">
        <f>$G200*BS200*Variables!$B$53*HLOOKUP($EK$2,Variables!$B$60:$F$61,2,FALSE)</f>
        <v>0</v>
      </c>
      <c r="EO200" s="1223">
        <f>$G200*BT200*Variables!$B$53*HLOOKUP($EK$2,Variables!$B$60:$F$61,2,FALSE)</f>
        <v>0</v>
      </c>
      <c r="EP200" s="1223">
        <f>$G200*BU200*Variables!$B$53*HLOOKUP($EK$2,Variables!$B$60:$F$61,2,FALSE)</f>
        <v>0</v>
      </c>
      <c r="EQ200" s="1223">
        <f>$G200*BV200*Variables!$B$53*HLOOKUP($EK$2,Variables!$B$60:$F$61,2,FALSE)</f>
        <v>0</v>
      </c>
      <c r="ER200" s="1223">
        <f>$G200*BW200*Variables!$B$53*HLOOKUP($EK$2,Variables!$B$60:$F$61,2,FALSE)</f>
        <v>0</v>
      </c>
      <c r="ES200" s="1223">
        <f>$G200*BX200*Variables!$B$53*HLOOKUP($EK$2,Variables!$B$60:$F$61,2,FALSE)</f>
        <v>0</v>
      </c>
      <c r="ET200" s="1223">
        <f>$G200*BY200*Variables!$B$53*HLOOKUP($EK$2,Variables!$B$60:$F$61,2,FALSE)</f>
        <v>0</v>
      </c>
      <c r="EU200" s="1223">
        <f>$G200*BZ200*Variables!$B$53*HLOOKUP($EK$2,Variables!$B$60:$F$61,2,FALSE)</f>
        <v>0</v>
      </c>
      <c r="EV200" s="1225">
        <f>$G200*CA200*Variables!$B$53*HLOOKUP($EK$2,Variables!$B$60:$F$61,2,FALSE)</f>
        <v>0</v>
      </c>
      <c r="EW200" s="872">
        <f t="shared" si="24"/>
        <v>0</v>
      </c>
      <c r="EX200" s="872"/>
      <c r="EY200" s="872"/>
      <c r="EZ200" s="872"/>
      <c r="FA200" s="1332"/>
      <c r="FC200" s="958" t="str">
        <f t="shared" si="25"/>
        <v/>
      </c>
      <c r="FD200" s="959" t="str">
        <f t="shared" si="26"/>
        <v/>
      </c>
      <c r="FE200" s="959" t="s">
        <v>8407</v>
      </c>
      <c r="FF200" s="959" t="str">
        <f>IF(ISNA(VLOOKUP(FC200,Miscellaneous!E:F,2,0)),"",VLOOKUP(FC200,Miscellaneous!E:F,2,0))</f>
        <v/>
      </c>
      <c r="FG200" s="959" t="str">
        <f t="shared" si="27"/>
        <v/>
      </c>
      <c r="FH200" s="996">
        <f>IF($FG200="Opex",SUMIF('Monthly Summary'!$C$75:$N$75,"",CC200:CN200),SUMIF('Monthly Summary'!$C$74:$N$74,"",CC200:CN200))</f>
        <v>0</v>
      </c>
      <c r="FI200" s="996">
        <f>IF($FG200="Opex",SUMIF('Monthly Summary'!$O$75:$Z$75,"",CO200:CZ200),SUMIF('Monthly Summary'!$O$74:$Z$74,"",CO200:CZ200))</f>
        <v>0</v>
      </c>
      <c r="FJ200" s="996">
        <f>IF($FG200="Opex",SUMIF('Monthly Summary'!$AA$75:$AL$75,"",DA200:DL200),SUMIF('Monthly Summary'!$AA$74:$AL$74,"",DA200:DL200))</f>
        <v>0</v>
      </c>
      <c r="FK200" s="996">
        <f>IF($FG200="Opex",SUMIF('Monthly Summary'!$AM$75:$AX$75,"",DM200:DX200),SUMIF('Monthly Summary'!$AM$74:$AX$74,"",DM200:DX200))</f>
        <v>0</v>
      </c>
      <c r="FL200" s="996">
        <f>IF($FG200="Opex",SUMIF('Monthly Summary'!$AY$75:$BJ$75,"",DY200:EJ200),SUMIF('Monthly Summary'!$AY$74:$BJ$74,"",DY200:EJ200))</f>
        <v>0</v>
      </c>
      <c r="FM200" s="997">
        <f>IF($FG200="Opex",SUMIF('Monthly Summary'!$BK$75:$BV$75,"",EK200:EV200),SUMIF('Monthly Summary'!$BK$74:$BV$74,"",EK200:EV200))</f>
        <v>0</v>
      </c>
      <c r="FN200" s="997">
        <f t="shared" si="28"/>
        <v>0</v>
      </c>
    </row>
    <row r="201" spans="3:170">
      <c r="C201" s="757"/>
      <c r="D201" s="757"/>
      <c r="E201" s="758"/>
      <c r="F201" s="758"/>
      <c r="G201" s="758"/>
      <c r="H201" s="1215"/>
      <c r="I201" s="761"/>
      <c r="J201" s="761"/>
      <c r="K201" s="761"/>
      <c r="L201" s="761"/>
      <c r="M201" s="761"/>
      <c r="N201" s="761"/>
      <c r="O201" s="761"/>
      <c r="P201" s="761"/>
      <c r="Q201" s="761"/>
      <c r="R201" s="761"/>
      <c r="S201" s="1216"/>
      <c r="T201" s="1215"/>
      <c r="U201" s="761"/>
      <c r="V201" s="761"/>
      <c r="W201" s="761"/>
      <c r="X201" s="761"/>
      <c r="Y201" s="761"/>
      <c r="Z201" s="761"/>
      <c r="AA201" s="761"/>
      <c r="AB201" s="761"/>
      <c r="AC201" s="761"/>
      <c r="AD201" s="761"/>
      <c r="AE201" s="1216"/>
      <c r="AF201" s="1215"/>
      <c r="AG201" s="761"/>
      <c r="AH201" s="761"/>
      <c r="AI201" s="761"/>
      <c r="AJ201" s="761"/>
      <c r="AK201" s="761"/>
      <c r="AL201" s="761"/>
      <c r="AM201" s="761"/>
      <c r="AN201" s="761"/>
      <c r="AO201" s="761"/>
      <c r="AP201" s="761"/>
      <c r="AQ201" s="1216"/>
      <c r="AR201" s="1215"/>
      <c r="AS201" s="761"/>
      <c r="AT201" s="761"/>
      <c r="AU201" s="761"/>
      <c r="AV201" s="761"/>
      <c r="AW201" s="761"/>
      <c r="AX201" s="761"/>
      <c r="AY201" s="761"/>
      <c r="AZ201" s="761"/>
      <c r="BA201" s="761"/>
      <c r="BB201" s="761"/>
      <c r="BC201" s="1216"/>
      <c r="BD201" s="1215"/>
      <c r="BE201" s="761"/>
      <c r="BF201" s="761"/>
      <c r="BG201" s="761"/>
      <c r="BH201" s="761"/>
      <c r="BI201" s="761"/>
      <c r="BJ201" s="761"/>
      <c r="BK201" s="761"/>
      <c r="BL201" s="761"/>
      <c r="BM201" s="761"/>
      <c r="BN201" s="761"/>
      <c r="BO201" s="1216"/>
      <c r="BP201" s="1215"/>
      <c r="BQ201" s="761"/>
      <c r="BR201" s="761"/>
      <c r="BS201" s="761"/>
      <c r="BT201" s="761"/>
      <c r="BU201" s="761"/>
      <c r="BV201" s="761"/>
      <c r="BW201" s="761"/>
      <c r="BX201" s="761"/>
      <c r="BY201" s="761"/>
      <c r="BZ201" s="761"/>
      <c r="CA201" s="1216"/>
      <c r="CB201" s="747"/>
      <c r="CC201" s="1222">
        <f>$G201*H201*Variables!$B$53</f>
        <v>0</v>
      </c>
      <c r="CD201" s="1223">
        <f>$G201*I201*Variables!$B$53</f>
        <v>0</v>
      </c>
      <c r="CE201" s="1223">
        <f>$G201*J201*Variables!$B$53</f>
        <v>0</v>
      </c>
      <c r="CF201" s="1223">
        <f>$G201*K201*Variables!$B$53</f>
        <v>0</v>
      </c>
      <c r="CG201" s="1223">
        <f>$G201*L201*Variables!$B$53</f>
        <v>0</v>
      </c>
      <c r="CH201" s="1223">
        <f>$G201*M201*Variables!$B$53</f>
        <v>0</v>
      </c>
      <c r="CI201" s="1223">
        <f>$G201*N201*Variables!$B$53</f>
        <v>0</v>
      </c>
      <c r="CJ201" s="1223">
        <f>$G201*O201*Variables!$B$53</f>
        <v>0</v>
      </c>
      <c r="CK201" s="1223">
        <f>$G201*P201*Variables!$B$53</f>
        <v>0</v>
      </c>
      <c r="CL201" s="1223">
        <f>$G201*Q201*Variables!$B$53</f>
        <v>0</v>
      </c>
      <c r="CM201" s="1223">
        <f>$G201*R201*Variables!$B$53</f>
        <v>0</v>
      </c>
      <c r="CN201" s="1225">
        <f>$G201*S201*Variables!$B$53</f>
        <v>0</v>
      </c>
      <c r="CO201" s="1222">
        <f>$G201*T201*Variables!$B$53*HLOOKUP($CO$2,Variables!$B$60:$F$61,2,FALSE)</f>
        <v>0</v>
      </c>
      <c r="CP201" s="1223">
        <f>$G201*U201*Variables!$B$53*HLOOKUP($CO$2,Variables!$B$60:$F$61,2,FALSE)</f>
        <v>0</v>
      </c>
      <c r="CQ201" s="1223">
        <f>$G201*V201*Variables!$B$53*HLOOKUP($CO$2,Variables!$B$60:$F$61,2,FALSE)</f>
        <v>0</v>
      </c>
      <c r="CR201" s="1223">
        <f>$G201*W201*Variables!$B$53*HLOOKUP($CO$2,Variables!$B$60:$F$61,2,FALSE)</f>
        <v>0</v>
      </c>
      <c r="CS201" s="1223">
        <f>$G201*X201*Variables!$B$53*HLOOKUP($CO$2,Variables!$B$60:$F$61,2,FALSE)</f>
        <v>0</v>
      </c>
      <c r="CT201" s="1223">
        <f>$G201*Y201*Variables!$B$53*HLOOKUP($CO$2,Variables!$B$60:$F$61,2,FALSE)</f>
        <v>0</v>
      </c>
      <c r="CU201" s="1223">
        <f>$G201*Z201*Variables!$B$53*HLOOKUP($CO$2,Variables!$B$60:$F$61,2,FALSE)</f>
        <v>0</v>
      </c>
      <c r="CV201" s="1223">
        <f>$G201*AA201*Variables!$B$53*HLOOKUP($CO$2,Variables!$B$60:$F$61,2,FALSE)</f>
        <v>0</v>
      </c>
      <c r="CW201" s="1223">
        <f>$G201*AB201*Variables!$B$53*HLOOKUP($CO$2,Variables!$B$60:$F$61,2,FALSE)</f>
        <v>0</v>
      </c>
      <c r="CX201" s="1223">
        <f>$G201*AC201*Variables!$B$53*HLOOKUP($CO$2,Variables!$B$60:$F$61,2,FALSE)</f>
        <v>0</v>
      </c>
      <c r="CY201" s="1223">
        <f>$G201*AD201*Variables!$B$53*HLOOKUP($CO$2,Variables!$B$60:$F$61,2,FALSE)</f>
        <v>0</v>
      </c>
      <c r="CZ201" s="1225">
        <f>$G201*AE201*Variables!$B$53*HLOOKUP($CO$2,Variables!$B$60:$F$61,2,FALSE)</f>
        <v>0</v>
      </c>
      <c r="DA201" s="1222">
        <f>$G201*AF201*Variables!$B$53*HLOOKUP($DA$2,Variables!$B$60:$F$61,2,FALSE)</f>
        <v>0</v>
      </c>
      <c r="DB201" s="1223">
        <f>$G201*AG201*Variables!$B$53*HLOOKUP($DA$2,Variables!$B$60:$F$61,2,FALSE)</f>
        <v>0</v>
      </c>
      <c r="DC201" s="1223">
        <f>$G201*AH201*Variables!$B$53*HLOOKUP($DA$2,Variables!$B$60:$F$61,2,FALSE)</f>
        <v>0</v>
      </c>
      <c r="DD201" s="1223">
        <f>$G201*AI201*Variables!$B$53*HLOOKUP($DA$2,Variables!$B$60:$F$61,2,FALSE)</f>
        <v>0</v>
      </c>
      <c r="DE201" s="1223">
        <f>$G201*AJ201*Variables!$B$53*HLOOKUP($DA$2,Variables!$B$60:$F$61,2,FALSE)</f>
        <v>0</v>
      </c>
      <c r="DF201" s="1223">
        <f>$G201*AK201*Variables!$B$53*HLOOKUP($DA$2,Variables!$B$60:$F$61,2,FALSE)</f>
        <v>0</v>
      </c>
      <c r="DG201" s="1223">
        <f>$G201*AL201*Variables!$B$53*HLOOKUP($DA$2,Variables!$B$60:$F$61,2,FALSE)</f>
        <v>0</v>
      </c>
      <c r="DH201" s="1223">
        <f>$G201*AM201*Variables!$B$53*HLOOKUP($DA$2,Variables!$B$60:$F$61,2,FALSE)</f>
        <v>0</v>
      </c>
      <c r="DI201" s="1223">
        <f>$G201*AN201*Variables!$B$53*HLOOKUP($DA$2,Variables!$B$60:$F$61,2,FALSE)</f>
        <v>0</v>
      </c>
      <c r="DJ201" s="1223">
        <f>$G201*AO201*Variables!$B$53*HLOOKUP($DA$2,Variables!$B$60:$F$61,2,FALSE)</f>
        <v>0</v>
      </c>
      <c r="DK201" s="1223">
        <f>$G201*AP201*Variables!$B$53*HLOOKUP($DA$2,Variables!$B$60:$F$61,2,FALSE)</f>
        <v>0</v>
      </c>
      <c r="DL201" s="1225">
        <f>$G201*AQ201*Variables!$B$53*HLOOKUP($DA$2,Variables!$B$60:$F$61,2,FALSE)</f>
        <v>0</v>
      </c>
      <c r="DM201" s="1222">
        <f>$G201*AR201*Variables!$B$53*HLOOKUP($DM$2,Variables!$B$60:$F$61,2,FALSE)</f>
        <v>0</v>
      </c>
      <c r="DN201" s="1223">
        <f>$G201*AS201*Variables!$B$53*HLOOKUP($DM$2,Variables!$B$60:$F$61,2,FALSE)</f>
        <v>0</v>
      </c>
      <c r="DO201" s="1223">
        <f>$G201*AT201*Variables!$B$53*HLOOKUP($DM$2,Variables!$B$60:$F$61,2,FALSE)</f>
        <v>0</v>
      </c>
      <c r="DP201" s="1223">
        <f>$G201*AU201*Variables!$B$53*HLOOKUP($DM$2,Variables!$B$60:$F$61,2,FALSE)</f>
        <v>0</v>
      </c>
      <c r="DQ201" s="1223">
        <f>$G201*AV201*Variables!$B$53*HLOOKUP($DM$2,Variables!$B$60:$F$61,2,FALSE)</f>
        <v>0</v>
      </c>
      <c r="DR201" s="1223">
        <f>$G201*AW201*Variables!$B$53*HLOOKUP($DM$2,Variables!$B$60:$F$61,2,FALSE)</f>
        <v>0</v>
      </c>
      <c r="DS201" s="1223">
        <f>$G201*AX201*Variables!$B$53*HLOOKUP($DM$2,Variables!$B$60:$F$61,2,FALSE)</f>
        <v>0</v>
      </c>
      <c r="DT201" s="1223">
        <f>$G201*AY201*Variables!$B$53*HLOOKUP($DM$2,Variables!$B$60:$F$61,2,FALSE)</f>
        <v>0</v>
      </c>
      <c r="DU201" s="1223">
        <f>$G201*AZ201*Variables!$B$53*HLOOKUP($DM$2,Variables!$B$60:$F$61,2,FALSE)</f>
        <v>0</v>
      </c>
      <c r="DV201" s="1223">
        <f>$G201*BA201*Variables!$B$53*HLOOKUP($DM$2,Variables!$B$60:$F$61,2,FALSE)</f>
        <v>0</v>
      </c>
      <c r="DW201" s="1223">
        <f>$G201*BB201*Variables!$B$53*HLOOKUP($DM$2,Variables!$B$60:$F$61,2,FALSE)</f>
        <v>0</v>
      </c>
      <c r="DX201" s="1225">
        <f>$G201*BC201*Variables!$B$53*HLOOKUP($DM$2,Variables!$B$60:$F$61,2,FALSE)</f>
        <v>0</v>
      </c>
      <c r="DY201" s="1222">
        <f>$G201*BD201*Variables!$B$53*HLOOKUP($DY$2,Variables!$B$60:$F$61,2,FALSE)</f>
        <v>0</v>
      </c>
      <c r="DZ201" s="1223">
        <f>$G201*BE201*Variables!$B$53*HLOOKUP($DY$2,Variables!$B$60:$F$61,2,FALSE)</f>
        <v>0</v>
      </c>
      <c r="EA201" s="1223">
        <f>$G201*BF201*Variables!$B$53*HLOOKUP($DY$2,Variables!$B$60:$F$61,2,FALSE)</f>
        <v>0</v>
      </c>
      <c r="EB201" s="1223">
        <f>$G201*BG201*Variables!$B$53*HLOOKUP($DY$2,Variables!$B$60:$F$61,2,FALSE)</f>
        <v>0</v>
      </c>
      <c r="EC201" s="1223">
        <f>$G201*BH201*Variables!$B$53*HLOOKUP($DY$2,Variables!$B$60:$F$61,2,FALSE)</f>
        <v>0</v>
      </c>
      <c r="ED201" s="1223">
        <f>$G201*BI201*Variables!$B$53*HLOOKUP($DY$2,Variables!$B$60:$F$61,2,FALSE)</f>
        <v>0</v>
      </c>
      <c r="EE201" s="1223">
        <f>$G201*BJ201*Variables!$B$53*HLOOKUP($DY$2,Variables!$B$60:$F$61,2,FALSE)</f>
        <v>0</v>
      </c>
      <c r="EF201" s="1223">
        <f>$G201*BK201*Variables!$B$53*HLOOKUP($DY$2,Variables!$B$60:$F$61,2,FALSE)</f>
        <v>0</v>
      </c>
      <c r="EG201" s="1223">
        <f>$G201*BL201*Variables!$B$53*HLOOKUP($DY$2,Variables!$B$60:$F$61,2,FALSE)</f>
        <v>0</v>
      </c>
      <c r="EH201" s="1223">
        <f>$G201*BM201*Variables!$B$53*HLOOKUP($DY$2,Variables!$B$60:$F$61,2,FALSE)</f>
        <v>0</v>
      </c>
      <c r="EI201" s="1223">
        <f>$G201*BN201*Variables!$B$53*HLOOKUP($DY$2,Variables!$B$60:$F$61,2,FALSE)</f>
        <v>0</v>
      </c>
      <c r="EJ201" s="1225">
        <f>$G201*BO201*Variables!$B$53*HLOOKUP($DY$2,Variables!$B$60:$F$61,2,FALSE)</f>
        <v>0</v>
      </c>
      <c r="EK201" s="1222">
        <f>$G201*BP201*Variables!$B$53*HLOOKUP($EK$2,Variables!$B$60:$F$61,2,FALSE)</f>
        <v>0</v>
      </c>
      <c r="EL201" s="1223">
        <f>$G201*BQ201*Variables!$B$53*HLOOKUP($EK$2,Variables!$B$60:$F$61,2,FALSE)</f>
        <v>0</v>
      </c>
      <c r="EM201" s="1223">
        <f>$G201*BR201*Variables!$B$53*HLOOKUP($EK$2,Variables!$B$60:$F$61,2,FALSE)</f>
        <v>0</v>
      </c>
      <c r="EN201" s="1223">
        <f>$G201*BS201*Variables!$B$53*HLOOKUP($EK$2,Variables!$B$60:$F$61,2,FALSE)</f>
        <v>0</v>
      </c>
      <c r="EO201" s="1223">
        <f>$G201*BT201*Variables!$B$53*HLOOKUP($EK$2,Variables!$B$60:$F$61,2,FALSE)</f>
        <v>0</v>
      </c>
      <c r="EP201" s="1223">
        <f>$G201*BU201*Variables!$B$53*HLOOKUP($EK$2,Variables!$B$60:$F$61,2,FALSE)</f>
        <v>0</v>
      </c>
      <c r="EQ201" s="1223">
        <f>$G201*BV201*Variables!$B$53*HLOOKUP($EK$2,Variables!$B$60:$F$61,2,FALSE)</f>
        <v>0</v>
      </c>
      <c r="ER201" s="1223">
        <f>$G201*BW201*Variables!$B$53*HLOOKUP($EK$2,Variables!$B$60:$F$61,2,FALSE)</f>
        <v>0</v>
      </c>
      <c r="ES201" s="1223">
        <f>$G201*BX201*Variables!$B$53*HLOOKUP($EK$2,Variables!$B$60:$F$61,2,FALSE)</f>
        <v>0</v>
      </c>
      <c r="ET201" s="1223">
        <f>$G201*BY201*Variables!$B$53*HLOOKUP($EK$2,Variables!$B$60:$F$61,2,FALSE)</f>
        <v>0</v>
      </c>
      <c r="EU201" s="1223">
        <f>$G201*BZ201*Variables!$B$53*HLOOKUP($EK$2,Variables!$B$60:$F$61,2,FALSE)</f>
        <v>0</v>
      </c>
      <c r="EV201" s="1225">
        <f>$G201*CA201*Variables!$B$53*HLOOKUP($EK$2,Variables!$B$60:$F$61,2,FALSE)</f>
        <v>0</v>
      </c>
      <c r="EW201" s="872">
        <f t="shared" si="24"/>
        <v>0</v>
      </c>
      <c r="EX201" s="872"/>
      <c r="EY201" s="872"/>
      <c r="EZ201" s="872"/>
      <c r="FA201" s="1332"/>
      <c r="FC201" s="958" t="str">
        <f t="shared" si="25"/>
        <v/>
      </c>
      <c r="FD201" s="959" t="str">
        <f t="shared" si="26"/>
        <v/>
      </c>
      <c r="FE201" s="959" t="s">
        <v>8407</v>
      </c>
      <c r="FF201" s="959" t="str">
        <f>IF(ISNA(VLOOKUP(FC201,Miscellaneous!E:F,2,0)),"",VLOOKUP(FC201,Miscellaneous!E:F,2,0))</f>
        <v/>
      </c>
      <c r="FG201" s="959" t="str">
        <f t="shared" si="27"/>
        <v/>
      </c>
      <c r="FH201" s="996">
        <f>IF($FG201="Opex",SUMIF('Monthly Summary'!$C$75:$N$75,"",CC201:CN201),SUMIF('Monthly Summary'!$C$74:$N$74,"",CC201:CN201))</f>
        <v>0</v>
      </c>
      <c r="FI201" s="996">
        <f>IF($FG201="Opex",SUMIF('Monthly Summary'!$O$75:$Z$75,"",CO201:CZ201),SUMIF('Monthly Summary'!$O$74:$Z$74,"",CO201:CZ201))</f>
        <v>0</v>
      </c>
      <c r="FJ201" s="996">
        <f>IF($FG201="Opex",SUMIF('Monthly Summary'!$AA$75:$AL$75,"",DA201:DL201),SUMIF('Monthly Summary'!$AA$74:$AL$74,"",DA201:DL201))</f>
        <v>0</v>
      </c>
      <c r="FK201" s="996">
        <f>IF($FG201="Opex",SUMIF('Monthly Summary'!$AM$75:$AX$75,"",DM201:DX201),SUMIF('Monthly Summary'!$AM$74:$AX$74,"",DM201:DX201))</f>
        <v>0</v>
      </c>
      <c r="FL201" s="996">
        <f>IF($FG201="Opex",SUMIF('Monthly Summary'!$AY$75:$BJ$75,"",DY201:EJ201),SUMIF('Monthly Summary'!$AY$74:$BJ$74,"",DY201:EJ201))</f>
        <v>0</v>
      </c>
      <c r="FM201" s="997">
        <f>IF($FG201="Opex",SUMIF('Monthly Summary'!$BK$75:$BV$75,"",EK201:EV201),SUMIF('Monthly Summary'!$BK$74:$BV$74,"",EK201:EV201))</f>
        <v>0</v>
      </c>
      <c r="FN201" s="997">
        <f t="shared" si="28"/>
        <v>0</v>
      </c>
    </row>
    <row r="202" spans="3:170">
      <c r="C202" s="757"/>
      <c r="D202" s="757"/>
      <c r="E202" s="758"/>
      <c r="F202" s="758"/>
      <c r="G202" s="758"/>
      <c r="H202" s="1215"/>
      <c r="I202" s="761"/>
      <c r="J202" s="761"/>
      <c r="K202" s="761"/>
      <c r="L202" s="761"/>
      <c r="M202" s="761"/>
      <c r="N202" s="761"/>
      <c r="O202" s="761"/>
      <c r="P202" s="761"/>
      <c r="Q202" s="761"/>
      <c r="R202" s="761"/>
      <c r="S202" s="1216"/>
      <c r="T202" s="1215"/>
      <c r="U202" s="761"/>
      <c r="V202" s="761"/>
      <c r="W202" s="761"/>
      <c r="X202" s="761"/>
      <c r="Y202" s="761"/>
      <c r="Z202" s="761"/>
      <c r="AA202" s="761"/>
      <c r="AB202" s="761"/>
      <c r="AC202" s="761"/>
      <c r="AD202" s="761"/>
      <c r="AE202" s="1216"/>
      <c r="AF202" s="1215"/>
      <c r="AG202" s="761"/>
      <c r="AH202" s="761"/>
      <c r="AI202" s="761"/>
      <c r="AJ202" s="761"/>
      <c r="AK202" s="761"/>
      <c r="AL202" s="761"/>
      <c r="AM202" s="761"/>
      <c r="AN202" s="761"/>
      <c r="AO202" s="761"/>
      <c r="AP202" s="761"/>
      <c r="AQ202" s="1216"/>
      <c r="AR202" s="1215"/>
      <c r="AS202" s="761"/>
      <c r="AT202" s="761"/>
      <c r="AU202" s="761"/>
      <c r="AV202" s="761"/>
      <c r="AW202" s="761"/>
      <c r="AX202" s="761"/>
      <c r="AY202" s="761"/>
      <c r="AZ202" s="761"/>
      <c r="BA202" s="761"/>
      <c r="BB202" s="761"/>
      <c r="BC202" s="1216"/>
      <c r="BD202" s="1215"/>
      <c r="BE202" s="761"/>
      <c r="BF202" s="761"/>
      <c r="BG202" s="761"/>
      <c r="BH202" s="761"/>
      <c r="BI202" s="761"/>
      <c r="BJ202" s="761"/>
      <c r="BK202" s="761"/>
      <c r="BL202" s="761"/>
      <c r="BM202" s="761"/>
      <c r="BN202" s="761"/>
      <c r="BO202" s="1216"/>
      <c r="BP202" s="1215"/>
      <c r="BQ202" s="761"/>
      <c r="BR202" s="761"/>
      <c r="BS202" s="761"/>
      <c r="BT202" s="761"/>
      <c r="BU202" s="761"/>
      <c r="BV202" s="761"/>
      <c r="BW202" s="761"/>
      <c r="BX202" s="761"/>
      <c r="BY202" s="761"/>
      <c r="BZ202" s="761"/>
      <c r="CA202" s="1216"/>
      <c r="CB202" s="747"/>
      <c r="CC202" s="1222">
        <f>$G202*H202*Variables!$B$53</f>
        <v>0</v>
      </c>
      <c r="CD202" s="1223">
        <f>$G202*I202*Variables!$B$53</f>
        <v>0</v>
      </c>
      <c r="CE202" s="1223">
        <f>$G202*J202*Variables!$B$53</f>
        <v>0</v>
      </c>
      <c r="CF202" s="1223">
        <f>$G202*K202*Variables!$B$53</f>
        <v>0</v>
      </c>
      <c r="CG202" s="1223">
        <f>$G202*L202*Variables!$B$53</f>
        <v>0</v>
      </c>
      <c r="CH202" s="1223">
        <f>$G202*M202*Variables!$B$53</f>
        <v>0</v>
      </c>
      <c r="CI202" s="1223">
        <f>$G202*N202*Variables!$B$53</f>
        <v>0</v>
      </c>
      <c r="CJ202" s="1223">
        <f>$G202*O202*Variables!$B$53</f>
        <v>0</v>
      </c>
      <c r="CK202" s="1223">
        <f>$G202*P202*Variables!$B$53</f>
        <v>0</v>
      </c>
      <c r="CL202" s="1223">
        <f>$G202*Q202*Variables!$B$53</f>
        <v>0</v>
      </c>
      <c r="CM202" s="1223">
        <f>$G202*R202*Variables!$B$53</f>
        <v>0</v>
      </c>
      <c r="CN202" s="1225">
        <f>$G202*S202*Variables!$B$53</f>
        <v>0</v>
      </c>
      <c r="CO202" s="1222">
        <f>$G202*T202*Variables!$B$53*HLOOKUP($CO$2,Variables!$B$60:$F$61,2,FALSE)</f>
        <v>0</v>
      </c>
      <c r="CP202" s="1223">
        <f>$G202*U202*Variables!$B$53*HLOOKUP($CO$2,Variables!$B$60:$F$61,2,FALSE)</f>
        <v>0</v>
      </c>
      <c r="CQ202" s="1223">
        <f>$G202*V202*Variables!$B$53*HLOOKUP($CO$2,Variables!$B$60:$F$61,2,FALSE)</f>
        <v>0</v>
      </c>
      <c r="CR202" s="1223">
        <f>$G202*W202*Variables!$B$53*HLOOKUP($CO$2,Variables!$B$60:$F$61,2,FALSE)</f>
        <v>0</v>
      </c>
      <c r="CS202" s="1223">
        <f>$G202*X202*Variables!$B$53*HLOOKUP($CO$2,Variables!$B$60:$F$61,2,FALSE)</f>
        <v>0</v>
      </c>
      <c r="CT202" s="1223">
        <f>$G202*Y202*Variables!$B$53*HLOOKUP($CO$2,Variables!$B$60:$F$61,2,FALSE)</f>
        <v>0</v>
      </c>
      <c r="CU202" s="1223">
        <f>$G202*Z202*Variables!$B$53*HLOOKUP($CO$2,Variables!$B$60:$F$61,2,FALSE)</f>
        <v>0</v>
      </c>
      <c r="CV202" s="1223">
        <f>$G202*AA202*Variables!$B$53*HLOOKUP($CO$2,Variables!$B$60:$F$61,2,FALSE)</f>
        <v>0</v>
      </c>
      <c r="CW202" s="1223">
        <f>$G202*AB202*Variables!$B$53*HLOOKUP($CO$2,Variables!$B$60:$F$61,2,FALSE)</f>
        <v>0</v>
      </c>
      <c r="CX202" s="1223">
        <f>$G202*AC202*Variables!$B$53*HLOOKUP($CO$2,Variables!$B$60:$F$61,2,FALSE)</f>
        <v>0</v>
      </c>
      <c r="CY202" s="1223">
        <f>$G202*AD202*Variables!$B$53*HLOOKUP($CO$2,Variables!$B$60:$F$61,2,FALSE)</f>
        <v>0</v>
      </c>
      <c r="CZ202" s="1225">
        <f>$G202*AE202*Variables!$B$53*HLOOKUP($CO$2,Variables!$B$60:$F$61,2,FALSE)</f>
        <v>0</v>
      </c>
      <c r="DA202" s="1222">
        <f>$G202*AF202*Variables!$B$53*HLOOKUP($DA$2,Variables!$B$60:$F$61,2,FALSE)</f>
        <v>0</v>
      </c>
      <c r="DB202" s="1223">
        <f>$G202*AG202*Variables!$B$53*HLOOKUP($DA$2,Variables!$B$60:$F$61,2,FALSE)</f>
        <v>0</v>
      </c>
      <c r="DC202" s="1223">
        <f>$G202*AH202*Variables!$B$53*HLOOKUP($DA$2,Variables!$B$60:$F$61,2,FALSE)</f>
        <v>0</v>
      </c>
      <c r="DD202" s="1223">
        <f>$G202*AI202*Variables!$B$53*HLOOKUP($DA$2,Variables!$B$60:$F$61,2,FALSE)</f>
        <v>0</v>
      </c>
      <c r="DE202" s="1223">
        <f>$G202*AJ202*Variables!$B$53*HLOOKUP($DA$2,Variables!$B$60:$F$61,2,FALSE)</f>
        <v>0</v>
      </c>
      <c r="DF202" s="1223">
        <f>$G202*AK202*Variables!$B$53*HLOOKUP($DA$2,Variables!$B$60:$F$61,2,FALSE)</f>
        <v>0</v>
      </c>
      <c r="DG202" s="1223">
        <f>$G202*AL202*Variables!$B$53*HLOOKUP($DA$2,Variables!$B$60:$F$61,2,FALSE)</f>
        <v>0</v>
      </c>
      <c r="DH202" s="1223">
        <f>$G202*AM202*Variables!$B$53*HLOOKUP($DA$2,Variables!$B$60:$F$61,2,FALSE)</f>
        <v>0</v>
      </c>
      <c r="DI202" s="1223">
        <f>$G202*AN202*Variables!$B$53*HLOOKUP($DA$2,Variables!$B$60:$F$61,2,FALSE)</f>
        <v>0</v>
      </c>
      <c r="DJ202" s="1223">
        <f>$G202*AO202*Variables!$B$53*HLOOKUP($DA$2,Variables!$B$60:$F$61,2,FALSE)</f>
        <v>0</v>
      </c>
      <c r="DK202" s="1223">
        <f>$G202*AP202*Variables!$B$53*HLOOKUP($DA$2,Variables!$B$60:$F$61,2,FALSE)</f>
        <v>0</v>
      </c>
      <c r="DL202" s="1225">
        <f>$G202*AQ202*Variables!$B$53*HLOOKUP($DA$2,Variables!$B$60:$F$61,2,FALSE)</f>
        <v>0</v>
      </c>
      <c r="DM202" s="1222">
        <f>$G202*AR202*Variables!$B$53*HLOOKUP($DM$2,Variables!$B$60:$F$61,2,FALSE)</f>
        <v>0</v>
      </c>
      <c r="DN202" s="1223">
        <f>$G202*AS202*Variables!$B$53*HLOOKUP($DM$2,Variables!$B$60:$F$61,2,FALSE)</f>
        <v>0</v>
      </c>
      <c r="DO202" s="1223">
        <f>$G202*AT202*Variables!$B$53*HLOOKUP($DM$2,Variables!$B$60:$F$61,2,FALSE)</f>
        <v>0</v>
      </c>
      <c r="DP202" s="1223">
        <f>$G202*AU202*Variables!$B$53*HLOOKUP($DM$2,Variables!$B$60:$F$61,2,FALSE)</f>
        <v>0</v>
      </c>
      <c r="DQ202" s="1223">
        <f>$G202*AV202*Variables!$B$53*HLOOKUP($DM$2,Variables!$B$60:$F$61,2,FALSE)</f>
        <v>0</v>
      </c>
      <c r="DR202" s="1223">
        <f>$G202*AW202*Variables!$B$53*HLOOKUP($DM$2,Variables!$B$60:$F$61,2,FALSE)</f>
        <v>0</v>
      </c>
      <c r="DS202" s="1223">
        <f>$G202*AX202*Variables!$B$53*HLOOKUP($DM$2,Variables!$B$60:$F$61,2,FALSE)</f>
        <v>0</v>
      </c>
      <c r="DT202" s="1223">
        <f>$G202*AY202*Variables!$B$53*HLOOKUP($DM$2,Variables!$B$60:$F$61,2,FALSE)</f>
        <v>0</v>
      </c>
      <c r="DU202" s="1223">
        <f>$G202*AZ202*Variables!$B$53*HLOOKUP($DM$2,Variables!$B$60:$F$61,2,FALSE)</f>
        <v>0</v>
      </c>
      <c r="DV202" s="1223">
        <f>$G202*BA202*Variables!$B$53*HLOOKUP($DM$2,Variables!$B$60:$F$61,2,FALSE)</f>
        <v>0</v>
      </c>
      <c r="DW202" s="1223">
        <f>$G202*BB202*Variables!$B$53*HLOOKUP($DM$2,Variables!$B$60:$F$61,2,FALSE)</f>
        <v>0</v>
      </c>
      <c r="DX202" s="1225">
        <f>$G202*BC202*Variables!$B$53*HLOOKUP($DM$2,Variables!$B$60:$F$61,2,FALSE)</f>
        <v>0</v>
      </c>
      <c r="DY202" s="1222">
        <f>$G202*BD202*Variables!$B$53*HLOOKUP($DY$2,Variables!$B$60:$F$61,2,FALSE)</f>
        <v>0</v>
      </c>
      <c r="DZ202" s="1223">
        <f>$G202*BE202*Variables!$B$53*HLOOKUP($DY$2,Variables!$B$60:$F$61,2,FALSE)</f>
        <v>0</v>
      </c>
      <c r="EA202" s="1223">
        <f>$G202*BF202*Variables!$B$53*HLOOKUP($DY$2,Variables!$B$60:$F$61,2,FALSE)</f>
        <v>0</v>
      </c>
      <c r="EB202" s="1223">
        <f>$G202*BG202*Variables!$B$53*HLOOKUP($DY$2,Variables!$B$60:$F$61,2,FALSE)</f>
        <v>0</v>
      </c>
      <c r="EC202" s="1223">
        <f>$G202*BH202*Variables!$B$53*HLOOKUP($DY$2,Variables!$B$60:$F$61,2,FALSE)</f>
        <v>0</v>
      </c>
      <c r="ED202" s="1223">
        <f>$G202*BI202*Variables!$B$53*HLOOKUP($DY$2,Variables!$B$60:$F$61,2,FALSE)</f>
        <v>0</v>
      </c>
      <c r="EE202" s="1223">
        <f>$G202*BJ202*Variables!$B$53*HLOOKUP($DY$2,Variables!$B$60:$F$61,2,FALSE)</f>
        <v>0</v>
      </c>
      <c r="EF202" s="1223">
        <f>$G202*BK202*Variables!$B$53*HLOOKUP($DY$2,Variables!$B$60:$F$61,2,FALSE)</f>
        <v>0</v>
      </c>
      <c r="EG202" s="1223">
        <f>$G202*BL202*Variables!$B$53*HLOOKUP($DY$2,Variables!$B$60:$F$61,2,FALSE)</f>
        <v>0</v>
      </c>
      <c r="EH202" s="1223">
        <f>$G202*BM202*Variables!$B$53*HLOOKUP($DY$2,Variables!$B$60:$F$61,2,FALSE)</f>
        <v>0</v>
      </c>
      <c r="EI202" s="1223">
        <f>$G202*BN202*Variables!$B$53*HLOOKUP($DY$2,Variables!$B$60:$F$61,2,FALSE)</f>
        <v>0</v>
      </c>
      <c r="EJ202" s="1225">
        <f>$G202*BO202*Variables!$B$53*HLOOKUP($DY$2,Variables!$B$60:$F$61,2,FALSE)</f>
        <v>0</v>
      </c>
      <c r="EK202" s="1222">
        <f>$G202*BP202*Variables!$B$53*HLOOKUP($EK$2,Variables!$B$60:$F$61,2,FALSE)</f>
        <v>0</v>
      </c>
      <c r="EL202" s="1223">
        <f>$G202*BQ202*Variables!$B$53*HLOOKUP($EK$2,Variables!$B$60:$F$61,2,FALSE)</f>
        <v>0</v>
      </c>
      <c r="EM202" s="1223">
        <f>$G202*BR202*Variables!$B$53*HLOOKUP($EK$2,Variables!$B$60:$F$61,2,FALSE)</f>
        <v>0</v>
      </c>
      <c r="EN202" s="1223">
        <f>$G202*BS202*Variables!$B$53*HLOOKUP($EK$2,Variables!$B$60:$F$61,2,FALSE)</f>
        <v>0</v>
      </c>
      <c r="EO202" s="1223">
        <f>$G202*BT202*Variables!$B$53*HLOOKUP($EK$2,Variables!$B$60:$F$61,2,FALSE)</f>
        <v>0</v>
      </c>
      <c r="EP202" s="1223">
        <f>$G202*BU202*Variables!$B$53*HLOOKUP($EK$2,Variables!$B$60:$F$61,2,FALSE)</f>
        <v>0</v>
      </c>
      <c r="EQ202" s="1223">
        <f>$G202*BV202*Variables!$B$53*HLOOKUP($EK$2,Variables!$B$60:$F$61,2,FALSE)</f>
        <v>0</v>
      </c>
      <c r="ER202" s="1223">
        <f>$G202*BW202*Variables!$B$53*HLOOKUP($EK$2,Variables!$B$60:$F$61,2,FALSE)</f>
        <v>0</v>
      </c>
      <c r="ES202" s="1223">
        <f>$G202*BX202*Variables!$B$53*HLOOKUP($EK$2,Variables!$B$60:$F$61,2,FALSE)</f>
        <v>0</v>
      </c>
      <c r="ET202" s="1223">
        <f>$G202*BY202*Variables!$B$53*HLOOKUP($EK$2,Variables!$B$60:$F$61,2,FALSE)</f>
        <v>0</v>
      </c>
      <c r="EU202" s="1223">
        <f>$G202*BZ202*Variables!$B$53*HLOOKUP($EK$2,Variables!$B$60:$F$61,2,FALSE)</f>
        <v>0</v>
      </c>
      <c r="EV202" s="1225">
        <f>$G202*CA202*Variables!$B$53*HLOOKUP($EK$2,Variables!$B$60:$F$61,2,FALSE)</f>
        <v>0</v>
      </c>
      <c r="EW202" s="872">
        <f t="shared" si="24"/>
        <v>0</v>
      </c>
      <c r="EX202" s="872"/>
      <c r="EY202" s="872"/>
      <c r="EZ202" s="872"/>
      <c r="FA202" s="1332"/>
      <c r="FC202" s="958" t="str">
        <f t="shared" si="25"/>
        <v/>
      </c>
      <c r="FD202" s="959" t="str">
        <f t="shared" si="26"/>
        <v/>
      </c>
      <c r="FE202" s="959" t="s">
        <v>8407</v>
      </c>
      <c r="FF202" s="959" t="str">
        <f>IF(ISNA(VLOOKUP(FC202,Miscellaneous!E:F,2,0)),"",VLOOKUP(FC202,Miscellaneous!E:F,2,0))</f>
        <v/>
      </c>
      <c r="FG202" s="959" t="str">
        <f t="shared" si="27"/>
        <v/>
      </c>
      <c r="FH202" s="996">
        <f>IF($FG202="Opex",SUMIF('Monthly Summary'!$C$75:$N$75,"",CC202:CN202),SUMIF('Monthly Summary'!$C$74:$N$74,"",CC202:CN202))</f>
        <v>0</v>
      </c>
      <c r="FI202" s="996">
        <f>IF($FG202="Opex",SUMIF('Monthly Summary'!$O$75:$Z$75,"",CO202:CZ202),SUMIF('Monthly Summary'!$O$74:$Z$74,"",CO202:CZ202))</f>
        <v>0</v>
      </c>
      <c r="FJ202" s="996">
        <f>IF($FG202="Opex",SUMIF('Monthly Summary'!$AA$75:$AL$75,"",DA202:DL202),SUMIF('Monthly Summary'!$AA$74:$AL$74,"",DA202:DL202))</f>
        <v>0</v>
      </c>
      <c r="FK202" s="996">
        <f>IF($FG202="Opex",SUMIF('Monthly Summary'!$AM$75:$AX$75,"",DM202:DX202),SUMIF('Monthly Summary'!$AM$74:$AX$74,"",DM202:DX202))</f>
        <v>0</v>
      </c>
      <c r="FL202" s="996">
        <f>IF($FG202="Opex",SUMIF('Monthly Summary'!$AY$75:$BJ$75,"",DY202:EJ202),SUMIF('Monthly Summary'!$AY$74:$BJ$74,"",DY202:EJ202))</f>
        <v>0</v>
      </c>
      <c r="FM202" s="997">
        <f>IF($FG202="Opex",SUMIF('Monthly Summary'!$BK$75:$BV$75,"",EK202:EV202),SUMIF('Monthly Summary'!$BK$74:$BV$74,"",EK202:EV202))</f>
        <v>0</v>
      </c>
      <c r="FN202" s="997">
        <f t="shared" si="28"/>
        <v>0</v>
      </c>
    </row>
    <row r="203" spans="3:170">
      <c r="C203" s="757"/>
      <c r="D203" s="757"/>
      <c r="E203" s="758"/>
      <c r="F203" s="758"/>
      <c r="G203" s="758"/>
      <c r="H203" s="1215"/>
      <c r="I203" s="761"/>
      <c r="J203" s="761"/>
      <c r="K203" s="761"/>
      <c r="L203" s="761"/>
      <c r="M203" s="761"/>
      <c r="N203" s="761"/>
      <c r="O203" s="761"/>
      <c r="P203" s="761"/>
      <c r="Q203" s="761"/>
      <c r="R203" s="761"/>
      <c r="S203" s="1216"/>
      <c r="T203" s="1215"/>
      <c r="U203" s="761"/>
      <c r="V203" s="761"/>
      <c r="W203" s="761"/>
      <c r="X203" s="761"/>
      <c r="Y203" s="761"/>
      <c r="Z203" s="761"/>
      <c r="AA203" s="761"/>
      <c r="AB203" s="761"/>
      <c r="AC203" s="761"/>
      <c r="AD203" s="761"/>
      <c r="AE203" s="1216"/>
      <c r="AF203" s="1215"/>
      <c r="AG203" s="761"/>
      <c r="AH203" s="761"/>
      <c r="AI203" s="761"/>
      <c r="AJ203" s="761"/>
      <c r="AK203" s="761"/>
      <c r="AL203" s="761"/>
      <c r="AM203" s="761"/>
      <c r="AN203" s="761"/>
      <c r="AO203" s="761"/>
      <c r="AP203" s="761"/>
      <c r="AQ203" s="1216"/>
      <c r="AR203" s="1215"/>
      <c r="AS203" s="761"/>
      <c r="AT203" s="761"/>
      <c r="AU203" s="761"/>
      <c r="AV203" s="761"/>
      <c r="AW203" s="761"/>
      <c r="AX203" s="761"/>
      <c r="AY203" s="761"/>
      <c r="AZ203" s="761"/>
      <c r="BA203" s="761"/>
      <c r="BB203" s="761"/>
      <c r="BC203" s="1216"/>
      <c r="BD203" s="1215"/>
      <c r="BE203" s="761"/>
      <c r="BF203" s="761"/>
      <c r="BG203" s="761"/>
      <c r="BH203" s="761"/>
      <c r="BI203" s="761"/>
      <c r="BJ203" s="761"/>
      <c r="BK203" s="761"/>
      <c r="BL203" s="761"/>
      <c r="BM203" s="761"/>
      <c r="BN203" s="761"/>
      <c r="BO203" s="1216"/>
      <c r="BP203" s="1215"/>
      <c r="BQ203" s="761"/>
      <c r="BR203" s="761"/>
      <c r="BS203" s="761"/>
      <c r="BT203" s="761"/>
      <c r="BU203" s="761"/>
      <c r="BV203" s="761"/>
      <c r="BW203" s="761"/>
      <c r="BX203" s="761"/>
      <c r="BY203" s="761"/>
      <c r="BZ203" s="761"/>
      <c r="CA203" s="1216"/>
      <c r="CB203" s="747"/>
      <c r="CC203" s="1222">
        <f>$G203*H203*Variables!$B$53</f>
        <v>0</v>
      </c>
      <c r="CD203" s="1223">
        <f>$G203*I203*Variables!$B$53</f>
        <v>0</v>
      </c>
      <c r="CE203" s="1223">
        <f>$G203*J203*Variables!$B$53</f>
        <v>0</v>
      </c>
      <c r="CF203" s="1223">
        <f>$G203*K203*Variables!$B$53</f>
        <v>0</v>
      </c>
      <c r="CG203" s="1223">
        <f>$G203*L203*Variables!$B$53</f>
        <v>0</v>
      </c>
      <c r="CH203" s="1223">
        <f>$G203*M203*Variables!$B$53</f>
        <v>0</v>
      </c>
      <c r="CI203" s="1223">
        <f>$G203*N203*Variables!$B$53</f>
        <v>0</v>
      </c>
      <c r="CJ203" s="1223">
        <f>$G203*O203*Variables!$B$53</f>
        <v>0</v>
      </c>
      <c r="CK203" s="1223">
        <f>$G203*P203*Variables!$B$53</f>
        <v>0</v>
      </c>
      <c r="CL203" s="1223">
        <f>$G203*Q203*Variables!$B$53</f>
        <v>0</v>
      </c>
      <c r="CM203" s="1223">
        <f>$G203*R203*Variables!$B$53</f>
        <v>0</v>
      </c>
      <c r="CN203" s="1225">
        <f>$G203*S203*Variables!$B$53</f>
        <v>0</v>
      </c>
      <c r="CO203" s="1222">
        <f>$G203*T203*Variables!$B$53*HLOOKUP($CO$2,Variables!$B$60:$F$61,2,FALSE)</f>
        <v>0</v>
      </c>
      <c r="CP203" s="1223">
        <f>$G203*U203*Variables!$B$53*HLOOKUP($CO$2,Variables!$B$60:$F$61,2,FALSE)</f>
        <v>0</v>
      </c>
      <c r="CQ203" s="1223">
        <f>$G203*V203*Variables!$B$53*HLOOKUP($CO$2,Variables!$B$60:$F$61,2,FALSE)</f>
        <v>0</v>
      </c>
      <c r="CR203" s="1223">
        <f>$G203*W203*Variables!$B$53*HLOOKUP($CO$2,Variables!$B$60:$F$61,2,FALSE)</f>
        <v>0</v>
      </c>
      <c r="CS203" s="1223">
        <f>$G203*X203*Variables!$B$53*HLOOKUP($CO$2,Variables!$B$60:$F$61,2,FALSE)</f>
        <v>0</v>
      </c>
      <c r="CT203" s="1223">
        <f>$G203*Y203*Variables!$B$53*HLOOKUP($CO$2,Variables!$B$60:$F$61,2,FALSE)</f>
        <v>0</v>
      </c>
      <c r="CU203" s="1223">
        <f>$G203*Z203*Variables!$B$53*HLOOKUP($CO$2,Variables!$B$60:$F$61,2,FALSE)</f>
        <v>0</v>
      </c>
      <c r="CV203" s="1223">
        <f>$G203*AA203*Variables!$B$53*HLOOKUP($CO$2,Variables!$B$60:$F$61,2,FALSE)</f>
        <v>0</v>
      </c>
      <c r="CW203" s="1223">
        <f>$G203*AB203*Variables!$B$53*HLOOKUP($CO$2,Variables!$B$60:$F$61,2,FALSE)</f>
        <v>0</v>
      </c>
      <c r="CX203" s="1223">
        <f>$G203*AC203*Variables!$B$53*HLOOKUP($CO$2,Variables!$B$60:$F$61,2,FALSE)</f>
        <v>0</v>
      </c>
      <c r="CY203" s="1223">
        <f>$G203*AD203*Variables!$B$53*HLOOKUP($CO$2,Variables!$B$60:$F$61,2,FALSE)</f>
        <v>0</v>
      </c>
      <c r="CZ203" s="1225">
        <f>$G203*AE203*Variables!$B$53*HLOOKUP($CO$2,Variables!$B$60:$F$61,2,FALSE)</f>
        <v>0</v>
      </c>
      <c r="DA203" s="1222">
        <f>$G203*AF203*Variables!$B$53*HLOOKUP($DA$2,Variables!$B$60:$F$61,2,FALSE)</f>
        <v>0</v>
      </c>
      <c r="DB203" s="1223">
        <f>$G203*AG203*Variables!$B$53*HLOOKUP($DA$2,Variables!$B$60:$F$61,2,FALSE)</f>
        <v>0</v>
      </c>
      <c r="DC203" s="1223">
        <f>$G203*AH203*Variables!$B$53*HLOOKUP($DA$2,Variables!$B$60:$F$61,2,FALSE)</f>
        <v>0</v>
      </c>
      <c r="DD203" s="1223">
        <f>$G203*AI203*Variables!$B$53*HLOOKUP($DA$2,Variables!$B$60:$F$61,2,FALSE)</f>
        <v>0</v>
      </c>
      <c r="DE203" s="1223">
        <f>$G203*AJ203*Variables!$B$53*HLOOKUP($DA$2,Variables!$B$60:$F$61,2,FALSE)</f>
        <v>0</v>
      </c>
      <c r="DF203" s="1223">
        <f>$G203*AK203*Variables!$B$53*HLOOKUP($DA$2,Variables!$B$60:$F$61,2,FALSE)</f>
        <v>0</v>
      </c>
      <c r="DG203" s="1223">
        <f>$G203*AL203*Variables!$B$53*HLOOKUP($DA$2,Variables!$B$60:$F$61,2,FALSE)</f>
        <v>0</v>
      </c>
      <c r="DH203" s="1223">
        <f>$G203*AM203*Variables!$B$53*HLOOKUP($DA$2,Variables!$B$60:$F$61,2,FALSE)</f>
        <v>0</v>
      </c>
      <c r="DI203" s="1223">
        <f>$G203*AN203*Variables!$B$53*HLOOKUP($DA$2,Variables!$B$60:$F$61,2,FALSE)</f>
        <v>0</v>
      </c>
      <c r="DJ203" s="1223">
        <f>$G203*AO203*Variables!$B$53*HLOOKUP($DA$2,Variables!$B$60:$F$61,2,FALSE)</f>
        <v>0</v>
      </c>
      <c r="DK203" s="1223">
        <f>$G203*AP203*Variables!$B$53*HLOOKUP($DA$2,Variables!$B$60:$F$61,2,FALSE)</f>
        <v>0</v>
      </c>
      <c r="DL203" s="1225">
        <f>$G203*AQ203*Variables!$B$53*HLOOKUP($DA$2,Variables!$B$60:$F$61,2,FALSE)</f>
        <v>0</v>
      </c>
      <c r="DM203" s="1222">
        <f>$G203*AR203*Variables!$B$53*HLOOKUP($DM$2,Variables!$B$60:$F$61,2,FALSE)</f>
        <v>0</v>
      </c>
      <c r="DN203" s="1223">
        <f>$G203*AS203*Variables!$B$53*HLOOKUP($DM$2,Variables!$B$60:$F$61,2,FALSE)</f>
        <v>0</v>
      </c>
      <c r="DO203" s="1223">
        <f>$G203*AT203*Variables!$B$53*HLOOKUP($DM$2,Variables!$B$60:$F$61,2,FALSE)</f>
        <v>0</v>
      </c>
      <c r="DP203" s="1223">
        <f>$G203*AU203*Variables!$B$53*HLOOKUP($DM$2,Variables!$B$60:$F$61,2,FALSE)</f>
        <v>0</v>
      </c>
      <c r="DQ203" s="1223">
        <f>$G203*AV203*Variables!$B$53*HLOOKUP($DM$2,Variables!$B$60:$F$61,2,FALSE)</f>
        <v>0</v>
      </c>
      <c r="DR203" s="1223">
        <f>$G203*AW203*Variables!$B$53*HLOOKUP($DM$2,Variables!$B$60:$F$61,2,FALSE)</f>
        <v>0</v>
      </c>
      <c r="DS203" s="1223">
        <f>$G203*AX203*Variables!$B$53*HLOOKUP($DM$2,Variables!$B$60:$F$61,2,FALSE)</f>
        <v>0</v>
      </c>
      <c r="DT203" s="1223">
        <f>$G203*AY203*Variables!$B$53*HLOOKUP($DM$2,Variables!$B$60:$F$61,2,FALSE)</f>
        <v>0</v>
      </c>
      <c r="DU203" s="1223">
        <f>$G203*AZ203*Variables!$B$53*HLOOKUP($DM$2,Variables!$B$60:$F$61,2,FALSE)</f>
        <v>0</v>
      </c>
      <c r="DV203" s="1223">
        <f>$G203*BA203*Variables!$B$53*HLOOKUP($DM$2,Variables!$B$60:$F$61,2,FALSE)</f>
        <v>0</v>
      </c>
      <c r="DW203" s="1223">
        <f>$G203*BB203*Variables!$B$53*HLOOKUP($DM$2,Variables!$B$60:$F$61,2,FALSE)</f>
        <v>0</v>
      </c>
      <c r="DX203" s="1225">
        <f>$G203*BC203*Variables!$B$53*HLOOKUP($DM$2,Variables!$B$60:$F$61,2,FALSE)</f>
        <v>0</v>
      </c>
      <c r="DY203" s="1222">
        <f>$G203*BD203*Variables!$B$53*HLOOKUP($DY$2,Variables!$B$60:$F$61,2,FALSE)</f>
        <v>0</v>
      </c>
      <c r="DZ203" s="1223">
        <f>$G203*BE203*Variables!$B$53*HLOOKUP($DY$2,Variables!$B$60:$F$61,2,FALSE)</f>
        <v>0</v>
      </c>
      <c r="EA203" s="1223">
        <f>$G203*BF203*Variables!$B$53*HLOOKUP($DY$2,Variables!$B$60:$F$61,2,FALSE)</f>
        <v>0</v>
      </c>
      <c r="EB203" s="1223">
        <f>$G203*BG203*Variables!$B$53*HLOOKUP($DY$2,Variables!$B$60:$F$61,2,FALSE)</f>
        <v>0</v>
      </c>
      <c r="EC203" s="1223">
        <f>$G203*BH203*Variables!$B$53*HLOOKUP($DY$2,Variables!$B$60:$F$61,2,FALSE)</f>
        <v>0</v>
      </c>
      <c r="ED203" s="1223">
        <f>$G203*BI203*Variables!$B$53*HLOOKUP($DY$2,Variables!$B$60:$F$61,2,FALSE)</f>
        <v>0</v>
      </c>
      <c r="EE203" s="1223">
        <f>$G203*BJ203*Variables!$B$53*HLOOKUP($DY$2,Variables!$B$60:$F$61,2,FALSE)</f>
        <v>0</v>
      </c>
      <c r="EF203" s="1223">
        <f>$G203*BK203*Variables!$B$53*HLOOKUP($DY$2,Variables!$B$60:$F$61,2,FALSE)</f>
        <v>0</v>
      </c>
      <c r="EG203" s="1223">
        <f>$G203*BL203*Variables!$B$53*HLOOKUP($DY$2,Variables!$B$60:$F$61,2,FALSE)</f>
        <v>0</v>
      </c>
      <c r="EH203" s="1223">
        <f>$G203*BM203*Variables!$B$53*HLOOKUP($DY$2,Variables!$B$60:$F$61,2,FALSE)</f>
        <v>0</v>
      </c>
      <c r="EI203" s="1223">
        <f>$G203*BN203*Variables!$B$53*HLOOKUP($DY$2,Variables!$B$60:$F$61,2,FALSE)</f>
        <v>0</v>
      </c>
      <c r="EJ203" s="1225">
        <f>$G203*BO203*Variables!$B$53*HLOOKUP($DY$2,Variables!$B$60:$F$61,2,FALSE)</f>
        <v>0</v>
      </c>
      <c r="EK203" s="1222">
        <f>$G203*BP203*Variables!$B$53*HLOOKUP($EK$2,Variables!$B$60:$F$61,2,FALSE)</f>
        <v>0</v>
      </c>
      <c r="EL203" s="1223">
        <f>$G203*BQ203*Variables!$B$53*HLOOKUP($EK$2,Variables!$B$60:$F$61,2,FALSE)</f>
        <v>0</v>
      </c>
      <c r="EM203" s="1223">
        <f>$G203*BR203*Variables!$B$53*HLOOKUP($EK$2,Variables!$B$60:$F$61,2,FALSE)</f>
        <v>0</v>
      </c>
      <c r="EN203" s="1223">
        <f>$G203*BS203*Variables!$B$53*HLOOKUP($EK$2,Variables!$B$60:$F$61,2,FALSE)</f>
        <v>0</v>
      </c>
      <c r="EO203" s="1223">
        <f>$G203*BT203*Variables!$B$53*HLOOKUP($EK$2,Variables!$B$60:$F$61,2,FALSE)</f>
        <v>0</v>
      </c>
      <c r="EP203" s="1223">
        <f>$G203*BU203*Variables!$B$53*HLOOKUP($EK$2,Variables!$B$60:$F$61,2,FALSE)</f>
        <v>0</v>
      </c>
      <c r="EQ203" s="1223">
        <f>$G203*BV203*Variables!$B$53*HLOOKUP($EK$2,Variables!$B$60:$F$61,2,FALSE)</f>
        <v>0</v>
      </c>
      <c r="ER203" s="1223">
        <f>$G203*BW203*Variables!$B$53*HLOOKUP($EK$2,Variables!$B$60:$F$61,2,FALSE)</f>
        <v>0</v>
      </c>
      <c r="ES203" s="1223">
        <f>$G203*BX203*Variables!$B$53*HLOOKUP($EK$2,Variables!$B$60:$F$61,2,FALSE)</f>
        <v>0</v>
      </c>
      <c r="ET203" s="1223">
        <f>$G203*BY203*Variables!$B$53*HLOOKUP($EK$2,Variables!$B$60:$F$61,2,FALSE)</f>
        <v>0</v>
      </c>
      <c r="EU203" s="1223">
        <f>$G203*BZ203*Variables!$B$53*HLOOKUP($EK$2,Variables!$B$60:$F$61,2,FALSE)</f>
        <v>0</v>
      </c>
      <c r="EV203" s="1225">
        <f>$G203*CA203*Variables!$B$53*HLOOKUP($EK$2,Variables!$B$60:$F$61,2,FALSE)</f>
        <v>0</v>
      </c>
      <c r="EW203" s="872">
        <f t="shared" si="24"/>
        <v>0</v>
      </c>
      <c r="EX203" s="872"/>
      <c r="EY203" s="872"/>
      <c r="EZ203" s="872"/>
      <c r="FA203" s="1332"/>
      <c r="FC203" s="958" t="str">
        <f t="shared" si="25"/>
        <v/>
      </c>
      <c r="FD203" s="959" t="str">
        <f t="shared" si="26"/>
        <v/>
      </c>
      <c r="FE203" s="959" t="s">
        <v>8407</v>
      </c>
      <c r="FF203" s="959" t="str">
        <f>IF(ISNA(VLOOKUP(FC203,Miscellaneous!E:F,2,0)),"",VLOOKUP(FC203,Miscellaneous!E:F,2,0))</f>
        <v/>
      </c>
      <c r="FG203" s="959" t="str">
        <f t="shared" si="27"/>
        <v/>
      </c>
      <c r="FH203" s="996">
        <f>IF($FG203="Opex",SUMIF('Monthly Summary'!$C$75:$N$75,"",CC203:CN203),SUMIF('Monthly Summary'!$C$74:$N$74,"",CC203:CN203))</f>
        <v>0</v>
      </c>
      <c r="FI203" s="996">
        <f>IF($FG203="Opex",SUMIF('Monthly Summary'!$O$75:$Z$75,"",CO203:CZ203),SUMIF('Monthly Summary'!$O$74:$Z$74,"",CO203:CZ203))</f>
        <v>0</v>
      </c>
      <c r="FJ203" s="996">
        <f>IF($FG203="Opex",SUMIF('Monthly Summary'!$AA$75:$AL$75,"",DA203:DL203),SUMIF('Monthly Summary'!$AA$74:$AL$74,"",DA203:DL203))</f>
        <v>0</v>
      </c>
      <c r="FK203" s="996">
        <f>IF($FG203="Opex",SUMIF('Monthly Summary'!$AM$75:$AX$75,"",DM203:DX203),SUMIF('Monthly Summary'!$AM$74:$AX$74,"",DM203:DX203))</f>
        <v>0</v>
      </c>
      <c r="FL203" s="996">
        <f>IF($FG203="Opex",SUMIF('Monthly Summary'!$AY$75:$BJ$75,"",DY203:EJ203),SUMIF('Monthly Summary'!$AY$74:$BJ$74,"",DY203:EJ203))</f>
        <v>0</v>
      </c>
      <c r="FM203" s="997">
        <f>IF($FG203="Opex",SUMIF('Monthly Summary'!$BK$75:$BV$75,"",EK203:EV203),SUMIF('Monthly Summary'!$BK$74:$BV$74,"",EK203:EV203))</f>
        <v>0</v>
      </c>
      <c r="FN203" s="997">
        <f t="shared" si="28"/>
        <v>0</v>
      </c>
    </row>
    <row r="204" spans="3:170">
      <c r="C204" s="757"/>
      <c r="D204" s="757"/>
      <c r="E204" s="758"/>
      <c r="F204" s="758"/>
      <c r="G204" s="758"/>
      <c r="H204" s="1215"/>
      <c r="I204" s="761"/>
      <c r="J204" s="761"/>
      <c r="K204" s="761"/>
      <c r="L204" s="761"/>
      <c r="M204" s="761"/>
      <c r="N204" s="761"/>
      <c r="O204" s="761"/>
      <c r="P204" s="761"/>
      <c r="Q204" s="761"/>
      <c r="R204" s="761"/>
      <c r="S204" s="1216"/>
      <c r="T204" s="1215"/>
      <c r="U204" s="761"/>
      <c r="V204" s="761"/>
      <c r="W204" s="761"/>
      <c r="X204" s="761"/>
      <c r="Y204" s="761"/>
      <c r="Z204" s="761"/>
      <c r="AA204" s="761"/>
      <c r="AB204" s="761"/>
      <c r="AC204" s="761"/>
      <c r="AD204" s="761"/>
      <c r="AE204" s="1216"/>
      <c r="AF204" s="1215"/>
      <c r="AG204" s="761"/>
      <c r="AH204" s="761"/>
      <c r="AI204" s="761"/>
      <c r="AJ204" s="761"/>
      <c r="AK204" s="761"/>
      <c r="AL204" s="761"/>
      <c r="AM204" s="761"/>
      <c r="AN204" s="761"/>
      <c r="AO204" s="761"/>
      <c r="AP204" s="761"/>
      <c r="AQ204" s="1216"/>
      <c r="AR204" s="1215"/>
      <c r="AS204" s="761"/>
      <c r="AT204" s="761"/>
      <c r="AU204" s="761"/>
      <c r="AV204" s="761"/>
      <c r="AW204" s="761"/>
      <c r="AX204" s="761"/>
      <c r="AY204" s="761"/>
      <c r="AZ204" s="761"/>
      <c r="BA204" s="761"/>
      <c r="BB204" s="761"/>
      <c r="BC204" s="1216"/>
      <c r="BD204" s="1215"/>
      <c r="BE204" s="761"/>
      <c r="BF204" s="761"/>
      <c r="BG204" s="761"/>
      <c r="BH204" s="761"/>
      <c r="BI204" s="761"/>
      <c r="BJ204" s="761"/>
      <c r="BK204" s="761"/>
      <c r="BL204" s="761"/>
      <c r="BM204" s="761"/>
      <c r="BN204" s="761"/>
      <c r="BO204" s="1216"/>
      <c r="BP204" s="1215"/>
      <c r="BQ204" s="761"/>
      <c r="BR204" s="761"/>
      <c r="BS204" s="761"/>
      <c r="BT204" s="761"/>
      <c r="BU204" s="761"/>
      <c r="BV204" s="761"/>
      <c r="BW204" s="761"/>
      <c r="BX204" s="761"/>
      <c r="BY204" s="761"/>
      <c r="BZ204" s="761"/>
      <c r="CA204" s="1216"/>
      <c r="CB204" s="747"/>
      <c r="CC204" s="1222">
        <f>$G204*H204*Variables!$B$53</f>
        <v>0</v>
      </c>
      <c r="CD204" s="1223">
        <f>$G204*I204*Variables!$B$53</f>
        <v>0</v>
      </c>
      <c r="CE204" s="1223">
        <f>$G204*J204*Variables!$B$53</f>
        <v>0</v>
      </c>
      <c r="CF204" s="1223">
        <f>$G204*K204*Variables!$B$53</f>
        <v>0</v>
      </c>
      <c r="CG204" s="1223">
        <f>$G204*L204*Variables!$B$53</f>
        <v>0</v>
      </c>
      <c r="CH204" s="1223">
        <f>$G204*M204*Variables!$B$53</f>
        <v>0</v>
      </c>
      <c r="CI204" s="1223">
        <f>$G204*N204*Variables!$B$53</f>
        <v>0</v>
      </c>
      <c r="CJ204" s="1223">
        <f>$G204*O204*Variables!$B$53</f>
        <v>0</v>
      </c>
      <c r="CK204" s="1223">
        <f>$G204*P204*Variables!$B$53</f>
        <v>0</v>
      </c>
      <c r="CL204" s="1223">
        <f>$G204*Q204*Variables!$B$53</f>
        <v>0</v>
      </c>
      <c r="CM204" s="1223">
        <f>$G204*R204*Variables!$B$53</f>
        <v>0</v>
      </c>
      <c r="CN204" s="1225">
        <f>$G204*S204*Variables!$B$53</f>
        <v>0</v>
      </c>
      <c r="CO204" s="1222">
        <f>$G204*T204*Variables!$B$53*HLOOKUP($CO$2,Variables!$B$60:$F$61,2,FALSE)</f>
        <v>0</v>
      </c>
      <c r="CP204" s="1223">
        <f>$G204*U204*Variables!$B$53*HLOOKUP($CO$2,Variables!$B$60:$F$61,2,FALSE)</f>
        <v>0</v>
      </c>
      <c r="CQ204" s="1223">
        <f>$G204*V204*Variables!$B$53*HLOOKUP($CO$2,Variables!$B$60:$F$61,2,FALSE)</f>
        <v>0</v>
      </c>
      <c r="CR204" s="1223">
        <f>$G204*W204*Variables!$B$53*HLOOKUP($CO$2,Variables!$B$60:$F$61,2,FALSE)</f>
        <v>0</v>
      </c>
      <c r="CS204" s="1223">
        <f>$G204*X204*Variables!$B$53*HLOOKUP($CO$2,Variables!$B$60:$F$61,2,FALSE)</f>
        <v>0</v>
      </c>
      <c r="CT204" s="1223">
        <f>$G204*Y204*Variables!$B$53*HLOOKUP($CO$2,Variables!$B$60:$F$61,2,FALSE)</f>
        <v>0</v>
      </c>
      <c r="CU204" s="1223">
        <f>$G204*Z204*Variables!$B$53*HLOOKUP($CO$2,Variables!$B$60:$F$61,2,FALSE)</f>
        <v>0</v>
      </c>
      <c r="CV204" s="1223">
        <f>$G204*AA204*Variables!$B$53*HLOOKUP($CO$2,Variables!$B$60:$F$61,2,FALSE)</f>
        <v>0</v>
      </c>
      <c r="CW204" s="1223">
        <f>$G204*AB204*Variables!$B$53*HLOOKUP($CO$2,Variables!$B$60:$F$61,2,FALSE)</f>
        <v>0</v>
      </c>
      <c r="CX204" s="1223">
        <f>$G204*AC204*Variables!$B$53*HLOOKUP($CO$2,Variables!$B$60:$F$61,2,FALSE)</f>
        <v>0</v>
      </c>
      <c r="CY204" s="1223">
        <f>$G204*AD204*Variables!$B$53*HLOOKUP($CO$2,Variables!$B$60:$F$61,2,FALSE)</f>
        <v>0</v>
      </c>
      <c r="CZ204" s="1225">
        <f>$G204*AE204*Variables!$B$53*HLOOKUP($CO$2,Variables!$B$60:$F$61,2,FALSE)</f>
        <v>0</v>
      </c>
      <c r="DA204" s="1222">
        <f>$G204*AF204*Variables!$B$53*HLOOKUP($DA$2,Variables!$B$60:$F$61,2,FALSE)</f>
        <v>0</v>
      </c>
      <c r="DB204" s="1223">
        <f>$G204*AG204*Variables!$B$53*HLOOKUP($DA$2,Variables!$B$60:$F$61,2,FALSE)</f>
        <v>0</v>
      </c>
      <c r="DC204" s="1223">
        <f>$G204*AH204*Variables!$B$53*HLOOKUP($DA$2,Variables!$B$60:$F$61,2,FALSE)</f>
        <v>0</v>
      </c>
      <c r="DD204" s="1223">
        <f>$G204*AI204*Variables!$B$53*HLOOKUP($DA$2,Variables!$B$60:$F$61,2,FALSE)</f>
        <v>0</v>
      </c>
      <c r="DE204" s="1223">
        <f>$G204*AJ204*Variables!$B$53*HLOOKUP($DA$2,Variables!$B$60:$F$61,2,FALSE)</f>
        <v>0</v>
      </c>
      <c r="DF204" s="1223">
        <f>$G204*AK204*Variables!$B$53*HLOOKUP($DA$2,Variables!$B$60:$F$61,2,FALSE)</f>
        <v>0</v>
      </c>
      <c r="DG204" s="1223">
        <f>$G204*AL204*Variables!$B$53*HLOOKUP($DA$2,Variables!$B$60:$F$61,2,FALSE)</f>
        <v>0</v>
      </c>
      <c r="DH204" s="1223">
        <f>$G204*AM204*Variables!$B$53*HLOOKUP($DA$2,Variables!$B$60:$F$61,2,FALSE)</f>
        <v>0</v>
      </c>
      <c r="DI204" s="1223">
        <f>$G204*AN204*Variables!$B$53*HLOOKUP($DA$2,Variables!$B$60:$F$61,2,FALSE)</f>
        <v>0</v>
      </c>
      <c r="DJ204" s="1223">
        <f>$G204*AO204*Variables!$B$53*HLOOKUP($DA$2,Variables!$B$60:$F$61,2,FALSE)</f>
        <v>0</v>
      </c>
      <c r="DK204" s="1223">
        <f>$G204*AP204*Variables!$B$53*HLOOKUP($DA$2,Variables!$B$60:$F$61,2,FALSE)</f>
        <v>0</v>
      </c>
      <c r="DL204" s="1225">
        <f>$G204*AQ204*Variables!$B$53*HLOOKUP($DA$2,Variables!$B$60:$F$61,2,FALSE)</f>
        <v>0</v>
      </c>
      <c r="DM204" s="1222">
        <f>$G204*AR204*Variables!$B$53*HLOOKUP($DM$2,Variables!$B$60:$F$61,2,FALSE)</f>
        <v>0</v>
      </c>
      <c r="DN204" s="1223">
        <f>$G204*AS204*Variables!$B$53*HLOOKUP($DM$2,Variables!$B$60:$F$61,2,FALSE)</f>
        <v>0</v>
      </c>
      <c r="DO204" s="1223">
        <f>$G204*AT204*Variables!$B$53*HLOOKUP($DM$2,Variables!$B$60:$F$61,2,FALSE)</f>
        <v>0</v>
      </c>
      <c r="DP204" s="1223">
        <f>$G204*AU204*Variables!$B$53*HLOOKUP($DM$2,Variables!$B$60:$F$61,2,FALSE)</f>
        <v>0</v>
      </c>
      <c r="DQ204" s="1223">
        <f>$G204*AV204*Variables!$B$53*HLOOKUP($DM$2,Variables!$B$60:$F$61,2,FALSE)</f>
        <v>0</v>
      </c>
      <c r="DR204" s="1223">
        <f>$G204*AW204*Variables!$B$53*HLOOKUP($DM$2,Variables!$B$60:$F$61,2,FALSE)</f>
        <v>0</v>
      </c>
      <c r="DS204" s="1223">
        <f>$G204*AX204*Variables!$B$53*HLOOKUP($DM$2,Variables!$B$60:$F$61,2,FALSE)</f>
        <v>0</v>
      </c>
      <c r="DT204" s="1223">
        <f>$G204*AY204*Variables!$B$53*HLOOKUP($DM$2,Variables!$B$60:$F$61,2,FALSE)</f>
        <v>0</v>
      </c>
      <c r="DU204" s="1223">
        <f>$G204*AZ204*Variables!$B$53*HLOOKUP($DM$2,Variables!$B$60:$F$61,2,FALSE)</f>
        <v>0</v>
      </c>
      <c r="DV204" s="1223">
        <f>$G204*BA204*Variables!$B$53*HLOOKUP($DM$2,Variables!$B$60:$F$61,2,FALSE)</f>
        <v>0</v>
      </c>
      <c r="DW204" s="1223">
        <f>$G204*BB204*Variables!$B$53*HLOOKUP($DM$2,Variables!$B$60:$F$61,2,FALSE)</f>
        <v>0</v>
      </c>
      <c r="DX204" s="1225">
        <f>$G204*BC204*Variables!$B$53*HLOOKUP($DM$2,Variables!$B$60:$F$61,2,FALSE)</f>
        <v>0</v>
      </c>
      <c r="DY204" s="1222">
        <f>$G204*BD204*Variables!$B$53*HLOOKUP($DY$2,Variables!$B$60:$F$61,2,FALSE)</f>
        <v>0</v>
      </c>
      <c r="DZ204" s="1223">
        <f>$G204*BE204*Variables!$B$53*HLOOKUP($DY$2,Variables!$B$60:$F$61,2,FALSE)</f>
        <v>0</v>
      </c>
      <c r="EA204" s="1223">
        <f>$G204*BF204*Variables!$B$53*HLOOKUP($DY$2,Variables!$B$60:$F$61,2,FALSE)</f>
        <v>0</v>
      </c>
      <c r="EB204" s="1223">
        <f>$G204*BG204*Variables!$B$53*HLOOKUP($DY$2,Variables!$B$60:$F$61,2,FALSE)</f>
        <v>0</v>
      </c>
      <c r="EC204" s="1223">
        <f>$G204*BH204*Variables!$B$53*HLOOKUP($DY$2,Variables!$B$60:$F$61,2,FALSE)</f>
        <v>0</v>
      </c>
      <c r="ED204" s="1223">
        <f>$G204*BI204*Variables!$B$53*HLOOKUP($DY$2,Variables!$B$60:$F$61,2,FALSE)</f>
        <v>0</v>
      </c>
      <c r="EE204" s="1223">
        <f>$G204*BJ204*Variables!$B$53*HLOOKUP($DY$2,Variables!$B$60:$F$61,2,FALSE)</f>
        <v>0</v>
      </c>
      <c r="EF204" s="1223">
        <f>$G204*BK204*Variables!$B$53*HLOOKUP($DY$2,Variables!$B$60:$F$61,2,FALSE)</f>
        <v>0</v>
      </c>
      <c r="EG204" s="1223">
        <f>$G204*BL204*Variables!$B$53*HLOOKUP($DY$2,Variables!$B$60:$F$61,2,FALSE)</f>
        <v>0</v>
      </c>
      <c r="EH204" s="1223">
        <f>$G204*BM204*Variables!$B$53*HLOOKUP($DY$2,Variables!$B$60:$F$61,2,FALSE)</f>
        <v>0</v>
      </c>
      <c r="EI204" s="1223">
        <f>$G204*BN204*Variables!$B$53*HLOOKUP($DY$2,Variables!$B$60:$F$61,2,FALSE)</f>
        <v>0</v>
      </c>
      <c r="EJ204" s="1225">
        <f>$G204*BO204*Variables!$B$53*HLOOKUP($DY$2,Variables!$B$60:$F$61,2,FALSE)</f>
        <v>0</v>
      </c>
      <c r="EK204" s="1222">
        <f>$G204*BP204*Variables!$B$53*HLOOKUP($EK$2,Variables!$B$60:$F$61,2,FALSE)</f>
        <v>0</v>
      </c>
      <c r="EL204" s="1223">
        <f>$G204*BQ204*Variables!$B$53*HLOOKUP($EK$2,Variables!$B$60:$F$61,2,FALSE)</f>
        <v>0</v>
      </c>
      <c r="EM204" s="1223">
        <f>$G204*BR204*Variables!$B$53*HLOOKUP($EK$2,Variables!$B$60:$F$61,2,FALSE)</f>
        <v>0</v>
      </c>
      <c r="EN204" s="1223">
        <f>$G204*BS204*Variables!$B$53*HLOOKUP($EK$2,Variables!$B$60:$F$61,2,FALSE)</f>
        <v>0</v>
      </c>
      <c r="EO204" s="1223">
        <f>$G204*BT204*Variables!$B$53*HLOOKUP($EK$2,Variables!$B$60:$F$61,2,FALSE)</f>
        <v>0</v>
      </c>
      <c r="EP204" s="1223">
        <f>$G204*BU204*Variables!$B$53*HLOOKUP($EK$2,Variables!$B$60:$F$61,2,FALSE)</f>
        <v>0</v>
      </c>
      <c r="EQ204" s="1223">
        <f>$G204*BV204*Variables!$B$53*HLOOKUP($EK$2,Variables!$B$60:$F$61,2,FALSE)</f>
        <v>0</v>
      </c>
      <c r="ER204" s="1223">
        <f>$G204*BW204*Variables!$B$53*HLOOKUP($EK$2,Variables!$B$60:$F$61,2,FALSE)</f>
        <v>0</v>
      </c>
      <c r="ES204" s="1223">
        <f>$G204*BX204*Variables!$B$53*HLOOKUP($EK$2,Variables!$B$60:$F$61,2,FALSE)</f>
        <v>0</v>
      </c>
      <c r="ET204" s="1223">
        <f>$G204*BY204*Variables!$B$53*HLOOKUP($EK$2,Variables!$B$60:$F$61,2,FALSE)</f>
        <v>0</v>
      </c>
      <c r="EU204" s="1223">
        <f>$G204*BZ204*Variables!$B$53*HLOOKUP($EK$2,Variables!$B$60:$F$61,2,FALSE)</f>
        <v>0</v>
      </c>
      <c r="EV204" s="1225">
        <f>$G204*CA204*Variables!$B$53*HLOOKUP($EK$2,Variables!$B$60:$F$61,2,FALSE)</f>
        <v>0</v>
      </c>
      <c r="EW204" s="872">
        <f t="shared" si="24"/>
        <v>0</v>
      </c>
      <c r="EX204" s="872"/>
      <c r="EY204" s="872"/>
      <c r="EZ204" s="872"/>
      <c r="FA204" s="1332"/>
      <c r="FC204" s="958" t="str">
        <f t="shared" si="25"/>
        <v/>
      </c>
      <c r="FD204" s="959" t="str">
        <f t="shared" si="26"/>
        <v/>
      </c>
      <c r="FE204" s="959" t="s">
        <v>8407</v>
      </c>
      <c r="FF204" s="959" t="str">
        <f>IF(ISNA(VLOOKUP(FC204,Miscellaneous!E:F,2,0)),"",VLOOKUP(FC204,Miscellaneous!E:F,2,0))</f>
        <v/>
      </c>
      <c r="FG204" s="959" t="str">
        <f t="shared" si="27"/>
        <v/>
      </c>
      <c r="FH204" s="996">
        <f>IF($FG204="Opex",SUMIF('Monthly Summary'!$C$75:$N$75,"",CC204:CN204),SUMIF('Monthly Summary'!$C$74:$N$74,"",CC204:CN204))</f>
        <v>0</v>
      </c>
      <c r="FI204" s="996">
        <f>IF($FG204="Opex",SUMIF('Monthly Summary'!$O$75:$Z$75,"",CO204:CZ204),SUMIF('Monthly Summary'!$O$74:$Z$74,"",CO204:CZ204))</f>
        <v>0</v>
      </c>
      <c r="FJ204" s="996">
        <f>IF($FG204="Opex",SUMIF('Monthly Summary'!$AA$75:$AL$75,"",DA204:DL204),SUMIF('Monthly Summary'!$AA$74:$AL$74,"",DA204:DL204))</f>
        <v>0</v>
      </c>
      <c r="FK204" s="996">
        <f>IF($FG204="Opex",SUMIF('Monthly Summary'!$AM$75:$AX$75,"",DM204:DX204),SUMIF('Monthly Summary'!$AM$74:$AX$74,"",DM204:DX204))</f>
        <v>0</v>
      </c>
      <c r="FL204" s="996">
        <f>IF($FG204="Opex",SUMIF('Monthly Summary'!$AY$75:$BJ$75,"",DY204:EJ204),SUMIF('Monthly Summary'!$AY$74:$BJ$74,"",DY204:EJ204))</f>
        <v>0</v>
      </c>
      <c r="FM204" s="997">
        <f>IF($FG204="Opex",SUMIF('Monthly Summary'!$BK$75:$BV$75,"",EK204:EV204),SUMIF('Monthly Summary'!$BK$74:$BV$74,"",EK204:EV204))</f>
        <v>0</v>
      </c>
      <c r="FN204" s="997">
        <f t="shared" si="28"/>
        <v>0</v>
      </c>
    </row>
    <row r="205" spans="3:170">
      <c r="C205" s="757"/>
      <c r="D205" s="757"/>
      <c r="E205" s="758"/>
      <c r="F205" s="758"/>
      <c r="G205" s="758"/>
      <c r="H205" s="1215"/>
      <c r="I205" s="761"/>
      <c r="J205" s="761"/>
      <c r="K205" s="761"/>
      <c r="L205" s="761"/>
      <c r="M205" s="761"/>
      <c r="N205" s="761"/>
      <c r="O205" s="761"/>
      <c r="P205" s="761"/>
      <c r="Q205" s="761"/>
      <c r="R205" s="761"/>
      <c r="S205" s="1216"/>
      <c r="T205" s="1215"/>
      <c r="U205" s="761"/>
      <c r="V205" s="761"/>
      <c r="W205" s="761"/>
      <c r="X205" s="761"/>
      <c r="Y205" s="761"/>
      <c r="Z205" s="761"/>
      <c r="AA205" s="761"/>
      <c r="AB205" s="761"/>
      <c r="AC205" s="761"/>
      <c r="AD205" s="761"/>
      <c r="AE205" s="1216"/>
      <c r="AF205" s="1215"/>
      <c r="AG205" s="761"/>
      <c r="AH205" s="761"/>
      <c r="AI205" s="761"/>
      <c r="AJ205" s="761"/>
      <c r="AK205" s="761"/>
      <c r="AL205" s="761"/>
      <c r="AM205" s="761"/>
      <c r="AN205" s="761"/>
      <c r="AO205" s="761"/>
      <c r="AP205" s="761"/>
      <c r="AQ205" s="1216"/>
      <c r="AR205" s="1215"/>
      <c r="AS205" s="761"/>
      <c r="AT205" s="761"/>
      <c r="AU205" s="761"/>
      <c r="AV205" s="761"/>
      <c r="AW205" s="761"/>
      <c r="AX205" s="761"/>
      <c r="AY205" s="761"/>
      <c r="AZ205" s="761"/>
      <c r="BA205" s="761"/>
      <c r="BB205" s="761"/>
      <c r="BC205" s="1216"/>
      <c r="BD205" s="1215"/>
      <c r="BE205" s="761"/>
      <c r="BF205" s="761"/>
      <c r="BG205" s="761"/>
      <c r="BH205" s="761"/>
      <c r="BI205" s="761"/>
      <c r="BJ205" s="761"/>
      <c r="BK205" s="761"/>
      <c r="BL205" s="761"/>
      <c r="BM205" s="761"/>
      <c r="BN205" s="761"/>
      <c r="BO205" s="1216"/>
      <c r="BP205" s="1215"/>
      <c r="BQ205" s="761"/>
      <c r="BR205" s="761"/>
      <c r="BS205" s="761"/>
      <c r="BT205" s="761"/>
      <c r="BU205" s="761"/>
      <c r="BV205" s="761"/>
      <c r="BW205" s="761"/>
      <c r="BX205" s="761"/>
      <c r="BY205" s="761"/>
      <c r="BZ205" s="761"/>
      <c r="CA205" s="1216"/>
      <c r="CB205" s="747"/>
      <c r="CC205" s="1222">
        <f>$G205*H205*Variables!$B$53</f>
        <v>0</v>
      </c>
      <c r="CD205" s="1223">
        <f>$G205*I205*Variables!$B$53</f>
        <v>0</v>
      </c>
      <c r="CE205" s="1223">
        <f>$G205*J205*Variables!$B$53</f>
        <v>0</v>
      </c>
      <c r="CF205" s="1223">
        <f>$G205*K205*Variables!$B$53</f>
        <v>0</v>
      </c>
      <c r="CG205" s="1223">
        <f>$G205*L205*Variables!$B$53</f>
        <v>0</v>
      </c>
      <c r="CH205" s="1223">
        <f>$G205*M205*Variables!$B$53</f>
        <v>0</v>
      </c>
      <c r="CI205" s="1223">
        <f>$G205*N205*Variables!$B$53</f>
        <v>0</v>
      </c>
      <c r="CJ205" s="1223">
        <f>$G205*O205*Variables!$B$53</f>
        <v>0</v>
      </c>
      <c r="CK205" s="1223">
        <f>$G205*P205*Variables!$B$53</f>
        <v>0</v>
      </c>
      <c r="CL205" s="1223">
        <f>$G205*Q205*Variables!$B$53</f>
        <v>0</v>
      </c>
      <c r="CM205" s="1223">
        <f>$G205*R205*Variables!$B$53</f>
        <v>0</v>
      </c>
      <c r="CN205" s="1225">
        <f>$G205*S205*Variables!$B$53</f>
        <v>0</v>
      </c>
      <c r="CO205" s="1222">
        <f>$G205*T205*Variables!$B$53*HLOOKUP($CO$2,Variables!$B$60:$F$61,2,FALSE)</f>
        <v>0</v>
      </c>
      <c r="CP205" s="1223">
        <f>$G205*U205*Variables!$B$53*HLOOKUP($CO$2,Variables!$B$60:$F$61,2,FALSE)</f>
        <v>0</v>
      </c>
      <c r="CQ205" s="1223">
        <f>$G205*V205*Variables!$B$53*HLOOKUP($CO$2,Variables!$B$60:$F$61,2,FALSE)</f>
        <v>0</v>
      </c>
      <c r="CR205" s="1223">
        <f>$G205*W205*Variables!$B$53*HLOOKUP($CO$2,Variables!$B$60:$F$61,2,FALSE)</f>
        <v>0</v>
      </c>
      <c r="CS205" s="1223">
        <f>$G205*X205*Variables!$B$53*HLOOKUP($CO$2,Variables!$B$60:$F$61,2,FALSE)</f>
        <v>0</v>
      </c>
      <c r="CT205" s="1223">
        <f>$G205*Y205*Variables!$B$53*HLOOKUP($CO$2,Variables!$B$60:$F$61,2,FALSE)</f>
        <v>0</v>
      </c>
      <c r="CU205" s="1223">
        <f>$G205*Z205*Variables!$B$53*HLOOKUP($CO$2,Variables!$B$60:$F$61,2,FALSE)</f>
        <v>0</v>
      </c>
      <c r="CV205" s="1223">
        <f>$G205*AA205*Variables!$B$53*HLOOKUP($CO$2,Variables!$B$60:$F$61,2,FALSE)</f>
        <v>0</v>
      </c>
      <c r="CW205" s="1223">
        <f>$G205*AB205*Variables!$B$53*HLOOKUP($CO$2,Variables!$B$60:$F$61,2,FALSE)</f>
        <v>0</v>
      </c>
      <c r="CX205" s="1223">
        <f>$G205*AC205*Variables!$B$53*HLOOKUP($CO$2,Variables!$B$60:$F$61,2,FALSE)</f>
        <v>0</v>
      </c>
      <c r="CY205" s="1223">
        <f>$G205*AD205*Variables!$B$53*HLOOKUP($CO$2,Variables!$B$60:$F$61,2,FALSE)</f>
        <v>0</v>
      </c>
      <c r="CZ205" s="1225">
        <f>$G205*AE205*Variables!$B$53*HLOOKUP($CO$2,Variables!$B$60:$F$61,2,FALSE)</f>
        <v>0</v>
      </c>
      <c r="DA205" s="1222">
        <f>$G205*AF205*Variables!$B$53*HLOOKUP($DA$2,Variables!$B$60:$F$61,2,FALSE)</f>
        <v>0</v>
      </c>
      <c r="DB205" s="1223">
        <f>$G205*AG205*Variables!$B$53*HLOOKUP($DA$2,Variables!$B$60:$F$61,2,FALSE)</f>
        <v>0</v>
      </c>
      <c r="DC205" s="1223">
        <f>$G205*AH205*Variables!$B$53*HLOOKUP($DA$2,Variables!$B$60:$F$61,2,FALSE)</f>
        <v>0</v>
      </c>
      <c r="DD205" s="1223">
        <f>$G205*AI205*Variables!$B$53*HLOOKUP($DA$2,Variables!$B$60:$F$61,2,FALSE)</f>
        <v>0</v>
      </c>
      <c r="DE205" s="1223">
        <f>$G205*AJ205*Variables!$B$53*HLOOKUP($DA$2,Variables!$B$60:$F$61,2,FALSE)</f>
        <v>0</v>
      </c>
      <c r="DF205" s="1223">
        <f>$G205*AK205*Variables!$B$53*HLOOKUP($DA$2,Variables!$B$60:$F$61,2,FALSE)</f>
        <v>0</v>
      </c>
      <c r="DG205" s="1223">
        <f>$G205*AL205*Variables!$B$53*HLOOKUP($DA$2,Variables!$B$60:$F$61,2,FALSE)</f>
        <v>0</v>
      </c>
      <c r="DH205" s="1223">
        <f>$G205*AM205*Variables!$B$53*HLOOKUP($DA$2,Variables!$B$60:$F$61,2,FALSE)</f>
        <v>0</v>
      </c>
      <c r="DI205" s="1223">
        <f>$G205*AN205*Variables!$B$53*HLOOKUP($DA$2,Variables!$B$60:$F$61,2,FALSE)</f>
        <v>0</v>
      </c>
      <c r="DJ205" s="1223">
        <f>$G205*AO205*Variables!$B$53*HLOOKUP($DA$2,Variables!$B$60:$F$61,2,FALSE)</f>
        <v>0</v>
      </c>
      <c r="DK205" s="1223">
        <f>$G205*AP205*Variables!$B$53*HLOOKUP($DA$2,Variables!$B$60:$F$61,2,FALSE)</f>
        <v>0</v>
      </c>
      <c r="DL205" s="1225">
        <f>$G205*AQ205*Variables!$B$53*HLOOKUP($DA$2,Variables!$B$60:$F$61,2,FALSE)</f>
        <v>0</v>
      </c>
      <c r="DM205" s="1222">
        <f>$G205*AR205*Variables!$B$53*HLOOKUP($DM$2,Variables!$B$60:$F$61,2,FALSE)</f>
        <v>0</v>
      </c>
      <c r="DN205" s="1223">
        <f>$G205*AS205*Variables!$B$53*HLOOKUP($DM$2,Variables!$B$60:$F$61,2,FALSE)</f>
        <v>0</v>
      </c>
      <c r="DO205" s="1223">
        <f>$G205*AT205*Variables!$B$53*HLOOKUP($DM$2,Variables!$B$60:$F$61,2,FALSE)</f>
        <v>0</v>
      </c>
      <c r="DP205" s="1223">
        <f>$G205*AU205*Variables!$B$53*HLOOKUP($DM$2,Variables!$B$60:$F$61,2,FALSE)</f>
        <v>0</v>
      </c>
      <c r="DQ205" s="1223">
        <f>$G205*AV205*Variables!$B$53*HLOOKUP($DM$2,Variables!$B$60:$F$61,2,FALSE)</f>
        <v>0</v>
      </c>
      <c r="DR205" s="1223">
        <f>$G205*AW205*Variables!$B$53*HLOOKUP($DM$2,Variables!$B$60:$F$61,2,FALSE)</f>
        <v>0</v>
      </c>
      <c r="DS205" s="1223">
        <f>$G205*AX205*Variables!$B$53*HLOOKUP($DM$2,Variables!$B$60:$F$61,2,FALSE)</f>
        <v>0</v>
      </c>
      <c r="DT205" s="1223">
        <f>$G205*AY205*Variables!$B$53*HLOOKUP($DM$2,Variables!$B$60:$F$61,2,FALSE)</f>
        <v>0</v>
      </c>
      <c r="DU205" s="1223">
        <f>$G205*AZ205*Variables!$B$53*HLOOKUP($DM$2,Variables!$B$60:$F$61,2,FALSE)</f>
        <v>0</v>
      </c>
      <c r="DV205" s="1223">
        <f>$G205*BA205*Variables!$B$53*HLOOKUP($DM$2,Variables!$B$60:$F$61,2,FALSE)</f>
        <v>0</v>
      </c>
      <c r="DW205" s="1223">
        <f>$G205*BB205*Variables!$B$53*HLOOKUP($DM$2,Variables!$B$60:$F$61,2,FALSE)</f>
        <v>0</v>
      </c>
      <c r="DX205" s="1225">
        <f>$G205*BC205*Variables!$B$53*HLOOKUP($DM$2,Variables!$B$60:$F$61,2,FALSE)</f>
        <v>0</v>
      </c>
      <c r="DY205" s="1222">
        <f>$G205*BD205*Variables!$B$53*HLOOKUP($DY$2,Variables!$B$60:$F$61,2,FALSE)</f>
        <v>0</v>
      </c>
      <c r="DZ205" s="1223">
        <f>$G205*BE205*Variables!$B$53*HLOOKUP($DY$2,Variables!$B$60:$F$61,2,FALSE)</f>
        <v>0</v>
      </c>
      <c r="EA205" s="1223">
        <f>$G205*BF205*Variables!$B$53*HLOOKUP($DY$2,Variables!$B$60:$F$61,2,FALSE)</f>
        <v>0</v>
      </c>
      <c r="EB205" s="1223">
        <f>$G205*BG205*Variables!$B$53*HLOOKUP($DY$2,Variables!$B$60:$F$61,2,FALSE)</f>
        <v>0</v>
      </c>
      <c r="EC205" s="1223">
        <f>$G205*BH205*Variables!$B$53*HLOOKUP($DY$2,Variables!$B$60:$F$61,2,FALSE)</f>
        <v>0</v>
      </c>
      <c r="ED205" s="1223">
        <f>$G205*BI205*Variables!$B$53*HLOOKUP($DY$2,Variables!$B$60:$F$61,2,FALSE)</f>
        <v>0</v>
      </c>
      <c r="EE205" s="1223">
        <f>$G205*BJ205*Variables!$B$53*HLOOKUP($DY$2,Variables!$B$60:$F$61,2,FALSE)</f>
        <v>0</v>
      </c>
      <c r="EF205" s="1223">
        <f>$G205*BK205*Variables!$B$53*HLOOKUP($DY$2,Variables!$B$60:$F$61,2,FALSE)</f>
        <v>0</v>
      </c>
      <c r="EG205" s="1223">
        <f>$G205*BL205*Variables!$B$53*HLOOKUP($DY$2,Variables!$B$60:$F$61,2,FALSE)</f>
        <v>0</v>
      </c>
      <c r="EH205" s="1223">
        <f>$G205*BM205*Variables!$B$53*HLOOKUP($DY$2,Variables!$B$60:$F$61,2,FALSE)</f>
        <v>0</v>
      </c>
      <c r="EI205" s="1223">
        <f>$G205*BN205*Variables!$B$53*HLOOKUP($DY$2,Variables!$B$60:$F$61,2,FALSE)</f>
        <v>0</v>
      </c>
      <c r="EJ205" s="1225">
        <f>$G205*BO205*Variables!$B$53*HLOOKUP($DY$2,Variables!$B$60:$F$61,2,FALSE)</f>
        <v>0</v>
      </c>
      <c r="EK205" s="1222">
        <f>$G205*BP205*Variables!$B$53*HLOOKUP($EK$2,Variables!$B$60:$F$61,2,FALSE)</f>
        <v>0</v>
      </c>
      <c r="EL205" s="1223">
        <f>$G205*BQ205*Variables!$B$53*HLOOKUP($EK$2,Variables!$B$60:$F$61,2,FALSE)</f>
        <v>0</v>
      </c>
      <c r="EM205" s="1223">
        <f>$G205*BR205*Variables!$B$53*HLOOKUP($EK$2,Variables!$B$60:$F$61,2,FALSE)</f>
        <v>0</v>
      </c>
      <c r="EN205" s="1223">
        <f>$G205*BS205*Variables!$B$53*HLOOKUP($EK$2,Variables!$B$60:$F$61,2,FALSE)</f>
        <v>0</v>
      </c>
      <c r="EO205" s="1223">
        <f>$G205*BT205*Variables!$B$53*HLOOKUP($EK$2,Variables!$B$60:$F$61,2,FALSE)</f>
        <v>0</v>
      </c>
      <c r="EP205" s="1223">
        <f>$G205*BU205*Variables!$B$53*HLOOKUP($EK$2,Variables!$B$60:$F$61,2,FALSE)</f>
        <v>0</v>
      </c>
      <c r="EQ205" s="1223">
        <f>$G205*BV205*Variables!$B$53*HLOOKUP($EK$2,Variables!$B$60:$F$61,2,FALSE)</f>
        <v>0</v>
      </c>
      <c r="ER205" s="1223">
        <f>$G205*BW205*Variables!$B$53*HLOOKUP($EK$2,Variables!$B$60:$F$61,2,FALSE)</f>
        <v>0</v>
      </c>
      <c r="ES205" s="1223">
        <f>$G205*BX205*Variables!$B$53*HLOOKUP($EK$2,Variables!$B$60:$F$61,2,FALSE)</f>
        <v>0</v>
      </c>
      <c r="ET205" s="1223">
        <f>$G205*BY205*Variables!$B$53*HLOOKUP($EK$2,Variables!$B$60:$F$61,2,FALSE)</f>
        <v>0</v>
      </c>
      <c r="EU205" s="1223">
        <f>$G205*BZ205*Variables!$B$53*HLOOKUP($EK$2,Variables!$B$60:$F$61,2,FALSE)</f>
        <v>0</v>
      </c>
      <c r="EV205" s="1225">
        <f>$G205*CA205*Variables!$B$53*HLOOKUP($EK$2,Variables!$B$60:$F$61,2,FALSE)</f>
        <v>0</v>
      </c>
      <c r="EW205" s="872">
        <f t="shared" si="24"/>
        <v>0</v>
      </c>
      <c r="EX205" s="872"/>
      <c r="EY205" s="872"/>
      <c r="EZ205" s="872"/>
      <c r="FA205" s="1332"/>
      <c r="FC205" s="958" t="str">
        <f t="shared" si="25"/>
        <v/>
      </c>
      <c r="FD205" s="959" t="str">
        <f t="shared" si="26"/>
        <v/>
      </c>
      <c r="FE205" s="959" t="s">
        <v>8407</v>
      </c>
      <c r="FF205" s="959" t="str">
        <f>IF(ISNA(VLOOKUP(FC205,Miscellaneous!E:F,2,0)),"",VLOOKUP(FC205,Miscellaneous!E:F,2,0))</f>
        <v/>
      </c>
      <c r="FG205" s="959" t="str">
        <f t="shared" si="27"/>
        <v/>
      </c>
      <c r="FH205" s="996">
        <f>IF($FG205="Opex",SUMIF('Monthly Summary'!$C$75:$N$75,"",CC205:CN205),SUMIF('Monthly Summary'!$C$74:$N$74,"",CC205:CN205))</f>
        <v>0</v>
      </c>
      <c r="FI205" s="996">
        <f>IF($FG205="Opex",SUMIF('Monthly Summary'!$O$75:$Z$75,"",CO205:CZ205),SUMIF('Monthly Summary'!$O$74:$Z$74,"",CO205:CZ205))</f>
        <v>0</v>
      </c>
      <c r="FJ205" s="996">
        <f>IF($FG205="Opex",SUMIF('Monthly Summary'!$AA$75:$AL$75,"",DA205:DL205),SUMIF('Monthly Summary'!$AA$74:$AL$74,"",DA205:DL205))</f>
        <v>0</v>
      </c>
      <c r="FK205" s="996">
        <f>IF($FG205="Opex",SUMIF('Monthly Summary'!$AM$75:$AX$75,"",DM205:DX205),SUMIF('Monthly Summary'!$AM$74:$AX$74,"",DM205:DX205))</f>
        <v>0</v>
      </c>
      <c r="FL205" s="996">
        <f>IF($FG205="Opex",SUMIF('Monthly Summary'!$AY$75:$BJ$75,"",DY205:EJ205),SUMIF('Monthly Summary'!$AY$74:$BJ$74,"",DY205:EJ205))</f>
        <v>0</v>
      </c>
      <c r="FM205" s="997">
        <f>IF($FG205="Opex",SUMIF('Monthly Summary'!$BK$75:$BV$75,"",EK205:EV205),SUMIF('Monthly Summary'!$BK$74:$BV$74,"",EK205:EV205))</f>
        <v>0</v>
      </c>
      <c r="FN205" s="997">
        <f t="shared" si="28"/>
        <v>0</v>
      </c>
    </row>
    <row r="206" spans="3:170">
      <c r="C206" s="757"/>
      <c r="D206" s="757"/>
      <c r="E206" s="758"/>
      <c r="F206" s="758"/>
      <c r="G206" s="758"/>
      <c r="H206" s="1215"/>
      <c r="I206" s="761"/>
      <c r="J206" s="761"/>
      <c r="K206" s="761"/>
      <c r="L206" s="761"/>
      <c r="M206" s="761"/>
      <c r="N206" s="761"/>
      <c r="O206" s="761"/>
      <c r="P206" s="761"/>
      <c r="Q206" s="761"/>
      <c r="R206" s="761"/>
      <c r="S206" s="1216"/>
      <c r="T206" s="1215"/>
      <c r="U206" s="761"/>
      <c r="V206" s="761"/>
      <c r="W206" s="761"/>
      <c r="X206" s="761"/>
      <c r="Y206" s="761"/>
      <c r="Z206" s="761"/>
      <c r="AA206" s="761"/>
      <c r="AB206" s="761"/>
      <c r="AC206" s="761"/>
      <c r="AD206" s="761"/>
      <c r="AE206" s="1216"/>
      <c r="AF206" s="1215"/>
      <c r="AG206" s="761"/>
      <c r="AH206" s="761"/>
      <c r="AI206" s="761"/>
      <c r="AJ206" s="761"/>
      <c r="AK206" s="761"/>
      <c r="AL206" s="761"/>
      <c r="AM206" s="761"/>
      <c r="AN206" s="761"/>
      <c r="AO206" s="761"/>
      <c r="AP206" s="761"/>
      <c r="AQ206" s="1216"/>
      <c r="AR206" s="1215"/>
      <c r="AS206" s="761"/>
      <c r="AT206" s="761"/>
      <c r="AU206" s="761"/>
      <c r="AV206" s="761"/>
      <c r="AW206" s="761"/>
      <c r="AX206" s="761"/>
      <c r="AY206" s="761"/>
      <c r="AZ206" s="761"/>
      <c r="BA206" s="761"/>
      <c r="BB206" s="761"/>
      <c r="BC206" s="1216"/>
      <c r="BD206" s="1215"/>
      <c r="BE206" s="761"/>
      <c r="BF206" s="761"/>
      <c r="BG206" s="761"/>
      <c r="BH206" s="761"/>
      <c r="BI206" s="761"/>
      <c r="BJ206" s="761"/>
      <c r="BK206" s="761"/>
      <c r="BL206" s="761"/>
      <c r="BM206" s="761"/>
      <c r="BN206" s="761"/>
      <c r="BO206" s="1216"/>
      <c r="BP206" s="1215"/>
      <c r="BQ206" s="761"/>
      <c r="BR206" s="761"/>
      <c r="BS206" s="761"/>
      <c r="BT206" s="761"/>
      <c r="BU206" s="761"/>
      <c r="BV206" s="761"/>
      <c r="BW206" s="761"/>
      <c r="BX206" s="761"/>
      <c r="BY206" s="761"/>
      <c r="BZ206" s="761"/>
      <c r="CA206" s="1216"/>
      <c r="CB206" s="747"/>
      <c r="CC206" s="1222">
        <f>$G206*H206*Variables!$B$53</f>
        <v>0</v>
      </c>
      <c r="CD206" s="1223">
        <f>$G206*I206*Variables!$B$53</f>
        <v>0</v>
      </c>
      <c r="CE206" s="1223">
        <f>$G206*J206*Variables!$B$53</f>
        <v>0</v>
      </c>
      <c r="CF206" s="1223">
        <f>$G206*K206*Variables!$B$53</f>
        <v>0</v>
      </c>
      <c r="CG206" s="1223">
        <f>$G206*L206*Variables!$B$53</f>
        <v>0</v>
      </c>
      <c r="CH206" s="1223">
        <f>$G206*M206*Variables!$B$53</f>
        <v>0</v>
      </c>
      <c r="CI206" s="1223">
        <f>$G206*N206*Variables!$B$53</f>
        <v>0</v>
      </c>
      <c r="CJ206" s="1223">
        <f>$G206*O206*Variables!$B$53</f>
        <v>0</v>
      </c>
      <c r="CK206" s="1223">
        <f>$G206*P206*Variables!$B$53</f>
        <v>0</v>
      </c>
      <c r="CL206" s="1223">
        <f>$G206*Q206*Variables!$B$53</f>
        <v>0</v>
      </c>
      <c r="CM206" s="1223">
        <f>$G206*R206*Variables!$B$53</f>
        <v>0</v>
      </c>
      <c r="CN206" s="1225">
        <f>$G206*S206*Variables!$B$53</f>
        <v>0</v>
      </c>
      <c r="CO206" s="1222">
        <f>$G206*T206*Variables!$B$53*HLOOKUP($CO$2,Variables!$B$60:$F$61,2,FALSE)</f>
        <v>0</v>
      </c>
      <c r="CP206" s="1223">
        <f>$G206*U206*Variables!$B$53*HLOOKUP($CO$2,Variables!$B$60:$F$61,2,FALSE)</f>
        <v>0</v>
      </c>
      <c r="CQ206" s="1223">
        <f>$G206*V206*Variables!$B$53*HLOOKUP($CO$2,Variables!$B$60:$F$61,2,FALSE)</f>
        <v>0</v>
      </c>
      <c r="CR206" s="1223">
        <f>$G206*W206*Variables!$B$53*HLOOKUP($CO$2,Variables!$B$60:$F$61,2,FALSE)</f>
        <v>0</v>
      </c>
      <c r="CS206" s="1223">
        <f>$G206*X206*Variables!$B$53*HLOOKUP($CO$2,Variables!$B$60:$F$61,2,FALSE)</f>
        <v>0</v>
      </c>
      <c r="CT206" s="1223">
        <f>$G206*Y206*Variables!$B$53*HLOOKUP($CO$2,Variables!$B$60:$F$61,2,FALSE)</f>
        <v>0</v>
      </c>
      <c r="CU206" s="1223">
        <f>$G206*Z206*Variables!$B$53*HLOOKUP($CO$2,Variables!$B$60:$F$61,2,FALSE)</f>
        <v>0</v>
      </c>
      <c r="CV206" s="1223">
        <f>$G206*AA206*Variables!$B$53*HLOOKUP($CO$2,Variables!$B$60:$F$61,2,FALSE)</f>
        <v>0</v>
      </c>
      <c r="CW206" s="1223">
        <f>$G206*AB206*Variables!$B$53*HLOOKUP($CO$2,Variables!$B$60:$F$61,2,FALSE)</f>
        <v>0</v>
      </c>
      <c r="CX206" s="1223">
        <f>$G206*AC206*Variables!$B$53*HLOOKUP($CO$2,Variables!$B$60:$F$61,2,FALSE)</f>
        <v>0</v>
      </c>
      <c r="CY206" s="1223">
        <f>$G206*AD206*Variables!$B$53*HLOOKUP($CO$2,Variables!$B$60:$F$61,2,FALSE)</f>
        <v>0</v>
      </c>
      <c r="CZ206" s="1225">
        <f>$G206*AE206*Variables!$B$53*HLOOKUP($CO$2,Variables!$B$60:$F$61,2,FALSE)</f>
        <v>0</v>
      </c>
      <c r="DA206" s="1222">
        <f>$G206*AF206*Variables!$B$53*HLOOKUP($DA$2,Variables!$B$60:$F$61,2,FALSE)</f>
        <v>0</v>
      </c>
      <c r="DB206" s="1223">
        <f>$G206*AG206*Variables!$B$53*HLOOKUP($DA$2,Variables!$B$60:$F$61,2,FALSE)</f>
        <v>0</v>
      </c>
      <c r="DC206" s="1223">
        <f>$G206*AH206*Variables!$B$53*HLOOKUP($DA$2,Variables!$B$60:$F$61,2,FALSE)</f>
        <v>0</v>
      </c>
      <c r="DD206" s="1223">
        <f>$G206*AI206*Variables!$B$53*HLOOKUP($DA$2,Variables!$B$60:$F$61,2,FALSE)</f>
        <v>0</v>
      </c>
      <c r="DE206" s="1223">
        <f>$G206*AJ206*Variables!$B$53*HLOOKUP($DA$2,Variables!$B$60:$F$61,2,FALSE)</f>
        <v>0</v>
      </c>
      <c r="DF206" s="1223">
        <f>$G206*AK206*Variables!$B$53*HLOOKUP($DA$2,Variables!$B$60:$F$61,2,FALSE)</f>
        <v>0</v>
      </c>
      <c r="DG206" s="1223">
        <f>$G206*AL206*Variables!$B$53*HLOOKUP($DA$2,Variables!$B$60:$F$61,2,FALSE)</f>
        <v>0</v>
      </c>
      <c r="DH206" s="1223">
        <f>$G206*AM206*Variables!$B$53*HLOOKUP($DA$2,Variables!$B$60:$F$61,2,FALSE)</f>
        <v>0</v>
      </c>
      <c r="DI206" s="1223">
        <f>$G206*AN206*Variables!$B$53*HLOOKUP($DA$2,Variables!$B$60:$F$61,2,FALSE)</f>
        <v>0</v>
      </c>
      <c r="DJ206" s="1223">
        <f>$G206*AO206*Variables!$B$53*HLOOKUP($DA$2,Variables!$B$60:$F$61,2,FALSE)</f>
        <v>0</v>
      </c>
      <c r="DK206" s="1223">
        <f>$G206*AP206*Variables!$B$53*HLOOKUP($DA$2,Variables!$B$60:$F$61,2,FALSE)</f>
        <v>0</v>
      </c>
      <c r="DL206" s="1225">
        <f>$G206*AQ206*Variables!$B$53*HLOOKUP($DA$2,Variables!$B$60:$F$61,2,FALSE)</f>
        <v>0</v>
      </c>
      <c r="DM206" s="1222">
        <f>$G206*AR206*Variables!$B$53*HLOOKUP($DM$2,Variables!$B$60:$F$61,2,FALSE)</f>
        <v>0</v>
      </c>
      <c r="DN206" s="1223">
        <f>$G206*AS206*Variables!$B$53*HLOOKUP($DM$2,Variables!$B$60:$F$61,2,FALSE)</f>
        <v>0</v>
      </c>
      <c r="DO206" s="1223">
        <f>$G206*AT206*Variables!$B$53*HLOOKUP($DM$2,Variables!$B$60:$F$61,2,FALSE)</f>
        <v>0</v>
      </c>
      <c r="DP206" s="1223">
        <f>$G206*AU206*Variables!$B$53*HLOOKUP($DM$2,Variables!$B$60:$F$61,2,FALSE)</f>
        <v>0</v>
      </c>
      <c r="DQ206" s="1223">
        <f>$G206*AV206*Variables!$B$53*HLOOKUP($DM$2,Variables!$B$60:$F$61,2,FALSE)</f>
        <v>0</v>
      </c>
      <c r="DR206" s="1223">
        <f>$G206*AW206*Variables!$B$53*HLOOKUP($DM$2,Variables!$B$60:$F$61,2,FALSE)</f>
        <v>0</v>
      </c>
      <c r="DS206" s="1223">
        <f>$G206*AX206*Variables!$B$53*HLOOKUP($DM$2,Variables!$B$60:$F$61,2,FALSE)</f>
        <v>0</v>
      </c>
      <c r="DT206" s="1223">
        <f>$G206*AY206*Variables!$B$53*HLOOKUP($DM$2,Variables!$B$60:$F$61,2,FALSE)</f>
        <v>0</v>
      </c>
      <c r="DU206" s="1223">
        <f>$G206*AZ206*Variables!$B$53*HLOOKUP($DM$2,Variables!$B$60:$F$61,2,FALSE)</f>
        <v>0</v>
      </c>
      <c r="DV206" s="1223">
        <f>$G206*BA206*Variables!$B$53*HLOOKUP($DM$2,Variables!$B$60:$F$61,2,FALSE)</f>
        <v>0</v>
      </c>
      <c r="DW206" s="1223">
        <f>$G206*BB206*Variables!$B$53*HLOOKUP($DM$2,Variables!$B$60:$F$61,2,FALSE)</f>
        <v>0</v>
      </c>
      <c r="DX206" s="1225">
        <f>$G206*BC206*Variables!$B$53*HLOOKUP($DM$2,Variables!$B$60:$F$61,2,FALSE)</f>
        <v>0</v>
      </c>
      <c r="DY206" s="1222">
        <f>$G206*BD206*Variables!$B$53*HLOOKUP($DY$2,Variables!$B$60:$F$61,2,FALSE)</f>
        <v>0</v>
      </c>
      <c r="DZ206" s="1223">
        <f>$G206*BE206*Variables!$B$53*HLOOKUP($DY$2,Variables!$B$60:$F$61,2,FALSE)</f>
        <v>0</v>
      </c>
      <c r="EA206" s="1223">
        <f>$G206*BF206*Variables!$B$53*HLOOKUP($DY$2,Variables!$B$60:$F$61,2,FALSE)</f>
        <v>0</v>
      </c>
      <c r="EB206" s="1223">
        <f>$G206*BG206*Variables!$B$53*HLOOKUP($DY$2,Variables!$B$60:$F$61,2,FALSE)</f>
        <v>0</v>
      </c>
      <c r="EC206" s="1223">
        <f>$G206*BH206*Variables!$B$53*HLOOKUP($DY$2,Variables!$B$60:$F$61,2,FALSE)</f>
        <v>0</v>
      </c>
      <c r="ED206" s="1223">
        <f>$G206*BI206*Variables!$B$53*HLOOKUP($DY$2,Variables!$B$60:$F$61,2,FALSE)</f>
        <v>0</v>
      </c>
      <c r="EE206" s="1223">
        <f>$G206*BJ206*Variables!$B$53*HLOOKUP($DY$2,Variables!$B$60:$F$61,2,FALSE)</f>
        <v>0</v>
      </c>
      <c r="EF206" s="1223">
        <f>$G206*BK206*Variables!$B$53*HLOOKUP($DY$2,Variables!$B$60:$F$61,2,FALSE)</f>
        <v>0</v>
      </c>
      <c r="EG206" s="1223">
        <f>$G206*BL206*Variables!$B$53*HLOOKUP($DY$2,Variables!$B$60:$F$61,2,FALSE)</f>
        <v>0</v>
      </c>
      <c r="EH206" s="1223">
        <f>$G206*BM206*Variables!$B$53*HLOOKUP($DY$2,Variables!$B$60:$F$61,2,FALSE)</f>
        <v>0</v>
      </c>
      <c r="EI206" s="1223">
        <f>$G206*BN206*Variables!$B$53*HLOOKUP($DY$2,Variables!$B$60:$F$61,2,FALSE)</f>
        <v>0</v>
      </c>
      <c r="EJ206" s="1225">
        <f>$G206*BO206*Variables!$B$53*HLOOKUP($DY$2,Variables!$B$60:$F$61,2,FALSE)</f>
        <v>0</v>
      </c>
      <c r="EK206" s="1222">
        <f>$G206*BP206*Variables!$B$53*HLOOKUP($EK$2,Variables!$B$60:$F$61,2,FALSE)</f>
        <v>0</v>
      </c>
      <c r="EL206" s="1223">
        <f>$G206*BQ206*Variables!$B$53*HLOOKUP($EK$2,Variables!$B$60:$F$61,2,FALSE)</f>
        <v>0</v>
      </c>
      <c r="EM206" s="1223">
        <f>$G206*BR206*Variables!$B$53*HLOOKUP($EK$2,Variables!$B$60:$F$61,2,FALSE)</f>
        <v>0</v>
      </c>
      <c r="EN206" s="1223">
        <f>$G206*BS206*Variables!$B$53*HLOOKUP($EK$2,Variables!$B$60:$F$61,2,FALSE)</f>
        <v>0</v>
      </c>
      <c r="EO206" s="1223">
        <f>$G206*BT206*Variables!$B$53*HLOOKUP($EK$2,Variables!$B$60:$F$61,2,FALSE)</f>
        <v>0</v>
      </c>
      <c r="EP206" s="1223">
        <f>$G206*BU206*Variables!$B$53*HLOOKUP($EK$2,Variables!$B$60:$F$61,2,FALSE)</f>
        <v>0</v>
      </c>
      <c r="EQ206" s="1223">
        <f>$G206*BV206*Variables!$B$53*HLOOKUP($EK$2,Variables!$B$60:$F$61,2,FALSE)</f>
        <v>0</v>
      </c>
      <c r="ER206" s="1223">
        <f>$G206*BW206*Variables!$B$53*HLOOKUP($EK$2,Variables!$B$60:$F$61,2,FALSE)</f>
        <v>0</v>
      </c>
      <c r="ES206" s="1223">
        <f>$G206*BX206*Variables!$B$53*HLOOKUP($EK$2,Variables!$B$60:$F$61,2,FALSE)</f>
        <v>0</v>
      </c>
      <c r="ET206" s="1223">
        <f>$G206*BY206*Variables!$B$53*HLOOKUP($EK$2,Variables!$B$60:$F$61,2,FALSE)</f>
        <v>0</v>
      </c>
      <c r="EU206" s="1223">
        <f>$G206*BZ206*Variables!$B$53*HLOOKUP($EK$2,Variables!$B$60:$F$61,2,FALSE)</f>
        <v>0</v>
      </c>
      <c r="EV206" s="1225">
        <f>$G206*CA206*Variables!$B$53*HLOOKUP($EK$2,Variables!$B$60:$F$61,2,FALSE)</f>
        <v>0</v>
      </c>
      <c r="EW206" s="872">
        <f t="shared" si="24"/>
        <v>0</v>
      </c>
      <c r="EX206" s="872"/>
      <c r="EY206" s="872"/>
      <c r="EZ206" s="872"/>
      <c r="FA206" s="1332"/>
      <c r="FC206" s="958" t="str">
        <f t="shared" si="25"/>
        <v/>
      </c>
      <c r="FD206" s="959" t="str">
        <f t="shared" si="26"/>
        <v/>
      </c>
      <c r="FE206" s="959" t="s">
        <v>8407</v>
      </c>
      <c r="FF206" s="959" t="str">
        <f>IF(ISNA(VLOOKUP(FC206,Miscellaneous!E:F,2,0)),"",VLOOKUP(FC206,Miscellaneous!E:F,2,0))</f>
        <v/>
      </c>
      <c r="FG206" s="959" t="str">
        <f t="shared" si="27"/>
        <v/>
      </c>
      <c r="FH206" s="996">
        <f>IF($FG206="Opex",SUMIF('Monthly Summary'!$C$75:$N$75,"",CC206:CN206),SUMIF('Monthly Summary'!$C$74:$N$74,"",CC206:CN206))</f>
        <v>0</v>
      </c>
      <c r="FI206" s="996">
        <f>IF($FG206="Opex",SUMIF('Monthly Summary'!$O$75:$Z$75,"",CO206:CZ206),SUMIF('Monthly Summary'!$O$74:$Z$74,"",CO206:CZ206))</f>
        <v>0</v>
      </c>
      <c r="FJ206" s="996">
        <f>IF($FG206="Opex",SUMIF('Monthly Summary'!$AA$75:$AL$75,"",DA206:DL206),SUMIF('Monthly Summary'!$AA$74:$AL$74,"",DA206:DL206))</f>
        <v>0</v>
      </c>
      <c r="FK206" s="996">
        <f>IF($FG206="Opex",SUMIF('Monthly Summary'!$AM$75:$AX$75,"",DM206:DX206),SUMIF('Monthly Summary'!$AM$74:$AX$74,"",DM206:DX206))</f>
        <v>0</v>
      </c>
      <c r="FL206" s="996">
        <f>IF($FG206="Opex",SUMIF('Monthly Summary'!$AY$75:$BJ$75,"",DY206:EJ206),SUMIF('Monthly Summary'!$AY$74:$BJ$74,"",DY206:EJ206))</f>
        <v>0</v>
      </c>
      <c r="FM206" s="997">
        <f>IF($FG206="Opex",SUMIF('Monthly Summary'!$BK$75:$BV$75,"",EK206:EV206),SUMIF('Monthly Summary'!$BK$74:$BV$74,"",EK206:EV206))</f>
        <v>0</v>
      </c>
      <c r="FN206" s="997">
        <f t="shared" si="28"/>
        <v>0</v>
      </c>
    </row>
    <row r="207" spans="3:170">
      <c r="C207" s="757"/>
      <c r="D207" s="757"/>
      <c r="E207" s="758"/>
      <c r="F207" s="758"/>
      <c r="G207" s="758"/>
      <c r="H207" s="1215"/>
      <c r="I207" s="761"/>
      <c r="J207" s="761"/>
      <c r="K207" s="761"/>
      <c r="L207" s="761"/>
      <c r="M207" s="761"/>
      <c r="N207" s="761"/>
      <c r="O207" s="761"/>
      <c r="P207" s="761"/>
      <c r="Q207" s="761"/>
      <c r="R207" s="761"/>
      <c r="S207" s="1216"/>
      <c r="T207" s="1215"/>
      <c r="U207" s="761"/>
      <c r="V207" s="761"/>
      <c r="W207" s="761"/>
      <c r="X207" s="761"/>
      <c r="Y207" s="761"/>
      <c r="Z207" s="761"/>
      <c r="AA207" s="761"/>
      <c r="AB207" s="761"/>
      <c r="AC207" s="761"/>
      <c r="AD207" s="761"/>
      <c r="AE207" s="1216"/>
      <c r="AF207" s="1215"/>
      <c r="AG207" s="761"/>
      <c r="AH207" s="761"/>
      <c r="AI207" s="761"/>
      <c r="AJ207" s="761"/>
      <c r="AK207" s="761"/>
      <c r="AL207" s="761"/>
      <c r="AM207" s="761"/>
      <c r="AN207" s="761"/>
      <c r="AO207" s="761"/>
      <c r="AP207" s="761"/>
      <c r="AQ207" s="1216"/>
      <c r="AR207" s="1215"/>
      <c r="AS207" s="761"/>
      <c r="AT207" s="761"/>
      <c r="AU207" s="761"/>
      <c r="AV207" s="761"/>
      <c r="AW207" s="761"/>
      <c r="AX207" s="761"/>
      <c r="AY207" s="761"/>
      <c r="AZ207" s="761"/>
      <c r="BA207" s="761"/>
      <c r="BB207" s="761"/>
      <c r="BC207" s="1216"/>
      <c r="BD207" s="1215"/>
      <c r="BE207" s="761"/>
      <c r="BF207" s="761"/>
      <c r="BG207" s="761"/>
      <c r="BH207" s="761"/>
      <c r="BI207" s="761"/>
      <c r="BJ207" s="761"/>
      <c r="BK207" s="761"/>
      <c r="BL207" s="761"/>
      <c r="BM207" s="761"/>
      <c r="BN207" s="761"/>
      <c r="BO207" s="1216"/>
      <c r="BP207" s="1215"/>
      <c r="BQ207" s="761"/>
      <c r="BR207" s="761"/>
      <c r="BS207" s="761"/>
      <c r="BT207" s="761"/>
      <c r="BU207" s="761"/>
      <c r="BV207" s="761"/>
      <c r="BW207" s="761"/>
      <c r="BX207" s="761"/>
      <c r="BY207" s="761"/>
      <c r="BZ207" s="761"/>
      <c r="CA207" s="1216"/>
      <c r="CB207" s="747"/>
      <c r="CC207" s="1222">
        <f>$G207*H207*Variables!$B$53</f>
        <v>0</v>
      </c>
      <c r="CD207" s="1223">
        <f>$G207*I207*Variables!$B$53</f>
        <v>0</v>
      </c>
      <c r="CE207" s="1223">
        <f>$G207*J207*Variables!$B$53</f>
        <v>0</v>
      </c>
      <c r="CF207" s="1223">
        <f>$G207*K207*Variables!$B$53</f>
        <v>0</v>
      </c>
      <c r="CG207" s="1223">
        <f>$G207*L207*Variables!$B$53</f>
        <v>0</v>
      </c>
      <c r="CH207" s="1223">
        <f>$G207*M207*Variables!$B$53</f>
        <v>0</v>
      </c>
      <c r="CI207" s="1223">
        <f>$G207*N207*Variables!$B$53</f>
        <v>0</v>
      </c>
      <c r="CJ207" s="1223">
        <f>$G207*O207*Variables!$B$53</f>
        <v>0</v>
      </c>
      <c r="CK207" s="1223">
        <f>$G207*P207*Variables!$B$53</f>
        <v>0</v>
      </c>
      <c r="CL207" s="1223">
        <f>$G207*Q207*Variables!$B$53</f>
        <v>0</v>
      </c>
      <c r="CM207" s="1223">
        <f>$G207*R207*Variables!$B$53</f>
        <v>0</v>
      </c>
      <c r="CN207" s="1225">
        <f>$G207*S207*Variables!$B$53</f>
        <v>0</v>
      </c>
      <c r="CO207" s="1222">
        <f>$G207*T207*Variables!$B$53*HLOOKUP($CO$2,Variables!$B$60:$F$61,2,FALSE)</f>
        <v>0</v>
      </c>
      <c r="CP207" s="1223">
        <f>$G207*U207*Variables!$B$53*HLOOKUP($CO$2,Variables!$B$60:$F$61,2,FALSE)</f>
        <v>0</v>
      </c>
      <c r="CQ207" s="1223">
        <f>$G207*V207*Variables!$B$53*HLOOKUP($CO$2,Variables!$B$60:$F$61,2,FALSE)</f>
        <v>0</v>
      </c>
      <c r="CR207" s="1223">
        <f>$G207*W207*Variables!$B$53*HLOOKUP($CO$2,Variables!$B$60:$F$61,2,FALSE)</f>
        <v>0</v>
      </c>
      <c r="CS207" s="1223">
        <f>$G207*X207*Variables!$B$53*HLOOKUP($CO$2,Variables!$B$60:$F$61,2,FALSE)</f>
        <v>0</v>
      </c>
      <c r="CT207" s="1223">
        <f>$G207*Y207*Variables!$B$53*HLOOKUP($CO$2,Variables!$B$60:$F$61,2,FALSE)</f>
        <v>0</v>
      </c>
      <c r="CU207" s="1223">
        <f>$G207*Z207*Variables!$B$53*HLOOKUP($CO$2,Variables!$B$60:$F$61,2,FALSE)</f>
        <v>0</v>
      </c>
      <c r="CV207" s="1223">
        <f>$G207*AA207*Variables!$B$53*HLOOKUP($CO$2,Variables!$B$60:$F$61,2,FALSE)</f>
        <v>0</v>
      </c>
      <c r="CW207" s="1223">
        <f>$G207*AB207*Variables!$B$53*HLOOKUP($CO$2,Variables!$B$60:$F$61,2,FALSE)</f>
        <v>0</v>
      </c>
      <c r="CX207" s="1223">
        <f>$G207*AC207*Variables!$B$53*HLOOKUP($CO$2,Variables!$B$60:$F$61,2,FALSE)</f>
        <v>0</v>
      </c>
      <c r="CY207" s="1223">
        <f>$G207*AD207*Variables!$B$53*HLOOKUP($CO$2,Variables!$B$60:$F$61,2,FALSE)</f>
        <v>0</v>
      </c>
      <c r="CZ207" s="1225">
        <f>$G207*AE207*Variables!$B$53*HLOOKUP($CO$2,Variables!$B$60:$F$61,2,FALSE)</f>
        <v>0</v>
      </c>
      <c r="DA207" s="1222">
        <f>$G207*AF207*Variables!$B$53*HLOOKUP($DA$2,Variables!$B$60:$F$61,2,FALSE)</f>
        <v>0</v>
      </c>
      <c r="DB207" s="1223">
        <f>$G207*AG207*Variables!$B$53*HLOOKUP($DA$2,Variables!$B$60:$F$61,2,FALSE)</f>
        <v>0</v>
      </c>
      <c r="DC207" s="1223">
        <f>$G207*AH207*Variables!$B$53*HLOOKUP($DA$2,Variables!$B$60:$F$61,2,FALSE)</f>
        <v>0</v>
      </c>
      <c r="DD207" s="1223">
        <f>$G207*AI207*Variables!$B$53*HLOOKUP($DA$2,Variables!$B$60:$F$61,2,FALSE)</f>
        <v>0</v>
      </c>
      <c r="DE207" s="1223">
        <f>$G207*AJ207*Variables!$B$53*HLOOKUP($DA$2,Variables!$B$60:$F$61,2,FALSE)</f>
        <v>0</v>
      </c>
      <c r="DF207" s="1223">
        <f>$G207*AK207*Variables!$B$53*HLOOKUP($DA$2,Variables!$B$60:$F$61,2,FALSE)</f>
        <v>0</v>
      </c>
      <c r="DG207" s="1223">
        <f>$G207*AL207*Variables!$B$53*HLOOKUP($DA$2,Variables!$B$60:$F$61,2,FALSE)</f>
        <v>0</v>
      </c>
      <c r="DH207" s="1223">
        <f>$G207*AM207*Variables!$B$53*HLOOKUP($DA$2,Variables!$B$60:$F$61,2,FALSE)</f>
        <v>0</v>
      </c>
      <c r="DI207" s="1223">
        <f>$G207*AN207*Variables!$B$53*HLOOKUP($DA$2,Variables!$B$60:$F$61,2,FALSE)</f>
        <v>0</v>
      </c>
      <c r="DJ207" s="1223">
        <f>$G207*AO207*Variables!$B$53*HLOOKUP($DA$2,Variables!$B$60:$F$61,2,FALSE)</f>
        <v>0</v>
      </c>
      <c r="DK207" s="1223">
        <f>$G207*AP207*Variables!$B$53*HLOOKUP($DA$2,Variables!$B$60:$F$61,2,FALSE)</f>
        <v>0</v>
      </c>
      <c r="DL207" s="1225">
        <f>$G207*AQ207*Variables!$B$53*HLOOKUP($DA$2,Variables!$B$60:$F$61,2,FALSE)</f>
        <v>0</v>
      </c>
      <c r="DM207" s="1222">
        <f>$G207*AR207*Variables!$B$53*HLOOKUP($DM$2,Variables!$B$60:$F$61,2,FALSE)</f>
        <v>0</v>
      </c>
      <c r="DN207" s="1223">
        <f>$G207*AS207*Variables!$B$53*HLOOKUP($DM$2,Variables!$B$60:$F$61,2,FALSE)</f>
        <v>0</v>
      </c>
      <c r="DO207" s="1223">
        <f>$G207*AT207*Variables!$B$53*HLOOKUP($DM$2,Variables!$B$60:$F$61,2,FALSE)</f>
        <v>0</v>
      </c>
      <c r="DP207" s="1223">
        <f>$G207*AU207*Variables!$B$53*HLOOKUP($DM$2,Variables!$B$60:$F$61,2,FALSE)</f>
        <v>0</v>
      </c>
      <c r="DQ207" s="1223">
        <f>$G207*AV207*Variables!$B$53*HLOOKUP($DM$2,Variables!$B$60:$F$61,2,FALSE)</f>
        <v>0</v>
      </c>
      <c r="DR207" s="1223">
        <f>$G207*AW207*Variables!$B$53*HLOOKUP($DM$2,Variables!$B$60:$F$61,2,FALSE)</f>
        <v>0</v>
      </c>
      <c r="DS207" s="1223">
        <f>$G207*AX207*Variables!$B$53*HLOOKUP($DM$2,Variables!$B$60:$F$61,2,FALSE)</f>
        <v>0</v>
      </c>
      <c r="DT207" s="1223">
        <f>$G207*AY207*Variables!$B$53*HLOOKUP($DM$2,Variables!$B$60:$F$61,2,FALSE)</f>
        <v>0</v>
      </c>
      <c r="DU207" s="1223">
        <f>$G207*AZ207*Variables!$B$53*HLOOKUP($DM$2,Variables!$B$60:$F$61,2,FALSE)</f>
        <v>0</v>
      </c>
      <c r="DV207" s="1223">
        <f>$G207*BA207*Variables!$B$53*HLOOKUP($DM$2,Variables!$B$60:$F$61,2,FALSE)</f>
        <v>0</v>
      </c>
      <c r="DW207" s="1223">
        <f>$G207*BB207*Variables!$B$53*HLOOKUP($DM$2,Variables!$B$60:$F$61,2,FALSE)</f>
        <v>0</v>
      </c>
      <c r="DX207" s="1225">
        <f>$G207*BC207*Variables!$B$53*HLOOKUP($DM$2,Variables!$B$60:$F$61,2,FALSE)</f>
        <v>0</v>
      </c>
      <c r="DY207" s="1222">
        <f>$G207*BD207*Variables!$B$53*HLOOKUP($DY$2,Variables!$B$60:$F$61,2,FALSE)</f>
        <v>0</v>
      </c>
      <c r="DZ207" s="1223">
        <f>$G207*BE207*Variables!$B$53*HLOOKUP($DY$2,Variables!$B$60:$F$61,2,FALSE)</f>
        <v>0</v>
      </c>
      <c r="EA207" s="1223">
        <f>$G207*BF207*Variables!$B$53*HLOOKUP($DY$2,Variables!$B$60:$F$61,2,FALSE)</f>
        <v>0</v>
      </c>
      <c r="EB207" s="1223">
        <f>$G207*BG207*Variables!$B$53*HLOOKUP($DY$2,Variables!$B$60:$F$61,2,FALSE)</f>
        <v>0</v>
      </c>
      <c r="EC207" s="1223">
        <f>$G207*BH207*Variables!$B$53*HLOOKUP($DY$2,Variables!$B$60:$F$61,2,FALSE)</f>
        <v>0</v>
      </c>
      <c r="ED207" s="1223">
        <f>$G207*BI207*Variables!$B$53*HLOOKUP($DY$2,Variables!$B$60:$F$61,2,FALSE)</f>
        <v>0</v>
      </c>
      <c r="EE207" s="1223">
        <f>$G207*BJ207*Variables!$B$53*HLOOKUP($DY$2,Variables!$B$60:$F$61,2,FALSE)</f>
        <v>0</v>
      </c>
      <c r="EF207" s="1223">
        <f>$G207*BK207*Variables!$B$53*HLOOKUP($DY$2,Variables!$B$60:$F$61,2,FALSE)</f>
        <v>0</v>
      </c>
      <c r="EG207" s="1223">
        <f>$G207*BL207*Variables!$B$53*HLOOKUP($DY$2,Variables!$B$60:$F$61,2,FALSE)</f>
        <v>0</v>
      </c>
      <c r="EH207" s="1223">
        <f>$G207*BM207*Variables!$B$53*HLOOKUP($DY$2,Variables!$B$60:$F$61,2,FALSE)</f>
        <v>0</v>
      </c>
      <c r="EI207" s="1223">
        <f>$G207*BN207*Variables!$B$53*HLOOKUP($DY$2,Variables!$B$60:$F$61,2,FALSE)</f>
        <v>0</v>
      </c>
      <c r="EJ207" s="1225">
        <f>$G207*BO207*Variables!$B$53*HLOOKUP($DY$2,Variables!$B$60:$F$61,2,FALSE)</f>
        <v>0</v>
      </c>
      <c r="EK207" s="1222">
        <f>$G207*BP207*Variables!$B$53*HLOOKUP($EK$2,Variables!$B$60:$F$61,2,FALSE)</f>
        <v>0</v>
      </c>
      <c r="EL207" s="1223">
        <f>$G207*BQ207*Variables!$B$53*HLOOKUP($EK$2,Variables!$B$60:$F$61,2,FALSE)</f>
        <v>0</v>
      </c>
      <c r="EM207" s="1223">
        <f>$G207*BR207*Variables!$B$53*HLOOKUP($EK$2,Variables!$B$60:$F$61,2,FALSE)</f>
        <v>0</v>
      </c>
      <c r="EN207" s="1223">
        <f>$G207*BS207*Variables!$B$53*HLOOKUP($EK$2,Variables!$B$60:$F$61,2,FALSE)</f>
        <v>0</v>
      </c>
      <c r="EO207" s="1223">
        <f>$G207*BT207*Variables!$B$53*HLOOKUP($EK$2,Variables!$B$60:$F$61,2,FALSE)</f>
        <v>0</v>
      </c>
      <c r="EP207" s="1223">
        <f>$G207*BU207*Variables!$B$53*HLOOKUP($EK$2,Variables!$B$60:$F$61,2,FALSE)</f>
        <v>0</v>
      </c>
      <c r="EQ207" s="1223">
        <f>$G207*BV207*Variables!$B$53*HLOOKUP($EK$2,Variables!$B$60:$F$61,2,FALSE)</f>
        <v>0</v>
      </c>
      <c r="ER207" s="1223">
        <f>$G207*BW207*Variables!$B$53*HLOOKUP($EK$2,Variables!$B$60:$F$61,2,FALSE)</f>
        <v>0</v>
      </c>
      <c r="ES207" s="1223">
        <f>$G207*BX207*Variables!$B$53*HLOOKUP($EK$2,Variables!$B$60:$F$61,2,FALSE)</f>
        <v>0</v>
      </c>
      <c r="ET207" s="1223">
        <f>$G207*BY207*Variables!$B$53*HLOOKUP($EK$2,Variables!$B$60:$F$61,2,FALSE)</f>
        <v>0</v>
      </c>
      <c r="EU207" s="1223">
        <f>$G207*BZ207*Variables!$B$53*HLOOKUP($EK$2,Variables!$B$60:$F$61,2,FALSE)</f>
        <v>0</v>
      </c>
      <c r="EV207" s="1225">
        <f>$G207*CA207*Variables!$B$53*HLOOKUP($EK$2,Variables!$B$60:$F$61,2,FALSE)</f>
        <v>0</v>
      </c>
      <c r="EW207" s="872">
        <f t="shared" si="24"/>
        <v>0</v>
      </c>
      <c r="EX207" s="872"/>
      <c r="EY207" s="872"/>
      <c r="EZ207" s="872"/>
      <c r="FA207" s="1332"/>
      <c r="FC207" s="958" t="str">
        <f t="shared" si="25"/>
        <v/>
      </c>
      <c r="FD207" s="959" t="str">
        <f t="shared" si="26"/>
        <v/>
      </c>
      <c r="FE207" s="959" t="s">
        <v>8407</v>
      </c>
      <c r="FF207" s="959" t="str">
        <f>IF(ISNA(VLOOKUP(FC207,Miscellaneous!E:F,2,0)),"",VLOOKUP(FC207,Miscellaneous!E:F,2,0))</f>
        <v/>
      </c>
      <c r="FG207" s="959" t="str">
        <f t="shared" si="27"/>
        <v/>
      </c>
      <c r="FH207" s="996">
        <f>IF($FG207="Opex",SUMIF('Monthly Summary'!$C$75:$N$75,"",CC207:CN207),SUMIF('Monthly Summary'!$C$74:$N$74,"",CC207:CN207))</f>
        <v>0</v>
      </c>
      <c r="FI207" s="996">
        <f>IF($FG207="Opex",SUMIF('Monthly Summary'!$O$75:$Z$75,"",CO207:CZ207),SUMIF('Monthly Summary'!$O$74:$Z$74,"",CO207:CZ207))</f>
        <v>0</v>
      </c>
      <c r="FJ207" s="996">
        <f>IF($FG207="Opex",SUMIF('Monthly Summary'!$AA$75:$AL$75,"",DA207:DL207),SUMIF('Monthly Summary'!$AA$74:$AL$74,"",DA207:DL207))</f>
        <v>0</v>
      </c>
      <c r="FK207" s="996">
        <f>IF($FG207="Opex",SUMIF('Monthly Summary'!$AM$75:$AX$75,"",DM207:DX207),SUMIF('Monthly Summary'!$AM$74:$AX$74,"",DM207:DX207))</f>
        <v>0</v>
      </c>
      <c r="FL207" s="996">
        <f>IF($FG207="Opex",SUMIF('Monthly Summary'!$AY$75:$BJ$75,"",DY207:EJ207),SUMIF('Monthly Summary'!$AY$74:$BJ$74,"",DY207:EJ207))</f>
        <v>0</v>
      </c>
      <c r="FM207" s="997">
        <f>IF($FG207="Opex",SUMIF('Monthly Summary'!$BK$75:$BV$75,"",EK207:EV207),SUMIF('Monthly Summary'!$BK$74:$BV$74,"",EK207:EV207))</f>
        <v>0</v>
      </c>
      <c r="FN207" s="997">
        <f t="shared" si="28"/>
        <v>0</v>
      </c>
    </row>
    <row r="208" spans="3:170">
      <c r="C208" s="757"/>
      <c r="D208" s="757"/>
      <c r="E208" s="758"/>
      <c r="F208" s="758"/>
      <c r="G208" s="758"/>
      <c r="H208" s="1215"/>
      <c r="I208" s="761"/>
      <c r="J208" s="761"/>
      <c r="K208" s="761"/>
      <c r="L208" s="761"/>
      <c r="M208" s="761"/>
      <c r="N208" s="761"/>
      <c r="O208" s="761"/>
      <c r="P208" s="761"/>
      <c r="Q208" s="761"/>
      <c r="R208" s="761"/>
      <c r="S208" s="1216"/>
      <c r="T208" s="1215"/>
      <c r="U208" s="761"/>
      <c r="V208" s="761"/>
      <c r="W208" s="761"/>
      <c r="X208" s="761"/>
      <c r="Y208" s="761"/>
      <c r="Z208" s="761"/>
      <c r="AA208" s="761"/>
      <c r="AB208" s="761"/>
      <c r="AC208" s="761"/>
      <c r="AD208" s="761"/>
      <c r="AE208" s="1216"/>
      <c r="AF208" s="1215"/>
      <c r="AG208" s="761"/>
      <c r="AH208" s="761"/>
      <c r="AI208" s="761"/>
      <c r="AJ208" s="761"/>
      <c r="AK208" s="761"/>
      <c r="AL208" s="761"/>
      <c r="AM208" s="761"/>
      <c r="AN208" s="761"/>
      <c r="AO208" s="761"/>
      <c r="AP208" s="761"/>
      <c r="AQ208" s="1216"/>
      <c r="AR208" s="1215"/>
      <c r="AS208" s="761"/>
      <c r="AT208" s="761"/>
      <c r="AU208" s="761"/>
      <c r="AV208" s="761"/>
      <c r="AW208" s="761"/>
      <c r="AX208" s="761"/>
      <c r="AY208" s="761"/>
      <c r="AZ208" s="761"/>
      <c r="BA208" s="761"/>
      <c r="BB208" s="761"/>
      <c r="BC208" s="1216"/>
      <c r="BD208" s="1215"/>
      <c r="BE208" s="761"/>
      <c r="BF208" s="761"/>
      <c r="BG208" s="761"/>
      <c r="BH208" s="761"/>
      <c r="BI208" s="761"/>
      <c r="BJ208" s="761"/>
      <c r="BK208" s="761"/>
      <c r="BL208" s="761"/>
      <c r="BM208" s="761"/>
      <c r="BN208" s="761"/>
      <c r="BO208" s="1216"/>
      <c r="BP208" s="1215"/>
      <c r="BQ208" s="761"/>
      <c r="BR208" s="761"/>
      <c r="BS208" s="761"/>
      <c r="BT208" s="761"/>
      <c r="BU208" s="761"/>
      <c r="BV208" s="761"/>
      <c r="BW208" s="761"/>
      <c r="BX208" s="761"/>
      <c r="BY208" s="761"/>
      <c r="BZ208" s="761"/>
      <c r="CA208" s="1216"/>
      <c r="CB208" s="747"/>
      <c r="CC208" s="1222">
        <f>$G208*H208*Variables!$B$53</f>
        <v>0</v>
      </c>
      <c r="CD208" s="1223">
        <f>$G208*I208*Variables!$B$53</f>
        <v>0</v>
      </c>
      <c r="CE208" s="1223">
        <f>$G208*J208*Variables!$B$53</f>
        <v>0</v>
      </c>
      <c r="CF208" s="1223">
        <f>$G208*K208*Variables!$B$53</f>
        <v>0</v>
      </c>
      <c r="CG208" s="1223">
        <f>$G208*L208*Variables!$B$53</f>
        <v>0</v>
      </c>
      <c r="CH208" s="1223">
        <f>$G208*M208*Variables!$B$53</f>
        <v>0</v>
      </c>
      <c r="CI208" s="1223">
        <f>$G208*N208*Variables!$B$53</f>
        <v>0</v>
      </c>
      <c r="CJ208" s="1223">
        <f>$G208*O208*Variables!$B$53</f>
        <v>0</v>
      </c>
      <c r="CK208" s="1223">
        <f>$G208*P208*Variables!$B$53</f>
        <v>0</v>
      </c>
      <c r="CL208" s="1223">
        <f>$G208*Q208*Variables!$B$53</f>
        <v>0</v>
      </c>
      <c r="CM208" s="1223">
        <f>$G208*R208*Variables!$B$53</f>
        <v>0</v>
      </c>
      <c r="CN208" s="1225">
        <f>$G208*S208*Variables!$B$53</f>
        <v>0</v>
      </c>
      <c r="CO208" s="1222">
        <f>$G208*T208*Variables!$B$53*HLOOKUP($CO$2,Variables!$B$60:$F$61,2,FALSE)</f>
        <v>0</v>
      </c>
      <c r="CP208" s="1223">
        <f>$G208*U208*Variables!$B$53*HLOOKUP($CO$2,Variables!$B$60:$F$61,2,FALSE)</f>
        <v>0</v>
      </c>
      <c r="CQ208" s="1223">
        <f>$G208*V208*Variables!$B$53*HLOOKUP($CO$2,Variables!$B$60:$F$61,2,FALSE)</f>
        <v>0</v>
      </c>
      <c r="CR208" s="1223">
        <f>$G208*W208*Variables!$B$53*HLOOKUP($CO$2,Variables!$B$60:$F$61,2,FALSE)</f>
        <v>0</v>
      </c>
      <c r="CS208" s="1223">
        <f>$G208*X208*Variables!$B$53*HLOOKUP($CO$2,Variables!$B$60:$F$61,2,FALSE)</f>
        <v>0</v>
      </c>
      <c r="CT208" s="1223">
        <f>$G208*Y208*Variables!$B$53*HLOOKUP($CO$2,Variables!$B$60:$F$61,2,FALSE)</f>
        <v>0</v>
      </c>
      <c r="CU208" s="1223">
        <f>$G208*Z208*Variables!$B$53*HLOOKUP($CO$2,Variables!$B$60:$F$61,2,FALSE)</f>
        <v>0</v>
      </c>
      <c r="CV208" s="1223">
        <f>$G208*AA208*Variables!$B$53*HLOOKUP($CO$2,Variables!$B$60:$F$61,2,FALSE)</f>
        <v>0</v>
      </c>
      <c r="CW208" s="1223">
        <f>$G208*AB208*Variables!$B$53*HLOOKUP($CO$2,Variables!$B$60:$F$61,2,FALSE)</f>
        <v>0</v>
      </c>
      <c r="CX208" s="1223">
        <f>$G208*AC208*Variables!$B$53*HLOOKUP($CO$2,Variables!$B$60:$F$61,2,FALSE)</f>
        <v>0</v>
      </c>
      <c r="CY208" s="1223">
        <f>$G208*AD208*Variables!$B$53*HLOOKUP($CO$2,Variables!$B$60:$F$61,2,FALSE)</f>
        <v>0</v>
      </c>
      <c r="CZ208" s="1225">
        <f>$G208*AE208*Variables!$B$53*HLOOKUP($CO$2,Variables!$B$60:$F$61,2,FALSE)</f>
        <v>0</v>
      </c>
      <c r="DA208" s="1222">
        <f>$G208*AF208*Variables!$B$53*HLOOKUP($DA$2,Variables!$B$60:$F$61,2,FALSE)</f>
        <v>0</v>
      </c>
      <c r="DB208" s="1223">
        <f>$G208*AG208*Variables!$B$53*HLOOKUP($DA$2,Variables!$B$60:$F$61,2,FALSE)</f>
        <v>0</v>
      </c>
      <c r="DC208" s="1223">
        <f>$G208*AH208*Variables!$B$53*HLOOKUP($DA$2,Variables!$B$60:$F$61,2,FALSE)</f>
        <v>0</v>
      </c>
      <c r="DD208" s="1223">
        <f>$G208*AI208*Variables!$B$53*HLOOKUP($DA$2,Variables!$B$60:$F$61,2,FALSE)</f>
        <v>0</v>
      </c>
      <c r="DE208" s="1223">
        <f>$G208*AJ208*Variables!$B$53*HLOOKUP($DA$2,Variables!$B$60:$F$61,2,FALSE)</f>
        <v>0</v>
      </c>
      <c r="DF208" s="1223">
        <f>$G208*AK208*Variables!$B$53*HLOOKUP($DA$2,Variables!$B$60:$F$61,2,FALSE)</f>
        <v>0</v>
      </c>
      <c r="DG208" s="1223">
        <f>$G208*AL208*Variables!$B$53*HLOOKUP($DA$2,Variables!$B$60:$F$61,2,FALSE)</f>
        <v>0</v>
      </c>
      <c r="DH208" s="1223">
        <f>$G208*AM208*Variables!$B$53*HLOOKUP($DA$2,Variables!$B$60:$F$61,2,FALSE)</f>
        <v>0</v>
      </c>
      <c r="DI208" s="1223">
        <f>$G208*AN208*Variables!$B$53*HLOOKUP($DA$2,Variables!$B$60:$F$61,2,FALSE)</f>
        <v>0</v>
      </c>
      <c r="DJ208" s="1223">
        <f>$G208*AO208*Variables!$B$53*HLOOKUP($DA$2,Variables!$B$60:$F$61,2,FALSE)</f>
        <v>0</v>
      </c>
      <c r="DK208" s="1223">
        <f>$G208*AP208*Variables!$B$53*HLOOKUP($DA$2,Variables!$B$60:$F$61,2,FALSE)</f>
        <v>0</v>
      </c>
      <c r="DL208" s="1225">
        <f>$G208*AQ208*Variables!$B$53*HLOOKUP($DA$2,Variables!$B$60:$F$61,2,FALSE)</f>
        <v>0</v>
      </c>
      <c r="DM208" s="1222">
        <f>$G208*AR208*Variables!$B$53*HLOOKUP($DM$2,Variables!$B$60:$F$61,2,FALSE)</f>
        <v>0</v>
      </c>
      <c r="DN208" s="1223">
        <f>$G208*AS208*Variables!$B$53*HLOOKUP($DM$2,Variables!$B$60:$F$61,2,FALSE)</f>
        <v>0</v>
      </c>
      <c r="DO208" s="1223">
        <f>$G208*AT208*Variables!$B$53*HLOOKUP($DM$2,Variables!$B$60:$F$61,2,FALSE)</f>
        <v>0</v>
      </c>
      <c r="DP208" s="1223">
        <f>$G208*AU208*Variables!$B$53*HLOOKUP($DM$2,Variables!$B$60:$F$61,2,FALSE)</f>
        <v>0</v>
      </c>
      <c r="DQ208" s="1223">
        <f>$G208*AV208*Variables!$B$53*HLOOKUP($DM$2,Variables!$B$60:$F$61,2,FALSE)</f>
        <v>0</v>
      </c>
      <c r="DR208" s="1223">
        <f>$G208*AW208*Variables!$B$53*HLOOKUP($DM$2,Variables!$B$60:$F$61,2,FALSE)</f>
        <v>0</v>
      </c>
      <c r="DS208" s="1223">
        <f>$G208*AX208*Variables!$B$53*HLOOKUP($DM$2,Variables!$B$60:$F$61,2,FALSE)</f>
        <v>0</v>
      </c>
      <c r="DT208" s="1223">
        <f>$G208*AY208*Variables!$B$53*HLOOKUP($DM$2,Variables!$B$60:$F$61,2,FALSE)</f>
        <v>0</v>
      </c>
      <c r="DU208" s="1223">
        <f>$G208*AZ208*Variables!$B$53*HLOOKUP($DM$2,Variables!$B$60:$F$61,2,FALSE)</f>
        <v>0</v>
      </c>
      <c r="DV208" s="1223">
        <f>$G208*BA208*Variables!$B$53*HLOOKUP($DM$2,Variables!$B$60:$F$61,2,FALSE)</f>
        <v>0</v>
      </c>
      <c r="DW208" s="1223">
        <f>$G208*BB208*Variables!$B$53*HLOOKUP($DM$2,Variables!$B$60:$F$61,2,FALSE)</f>
        <v>0</v>
      </c>
      <c r="DX208" s="1225">
        <f>$G208*BC208*Variables!$B$53*HLOOKUP($DM$2,Variables!$B$60:$F$61,2,FALSE)</f>
        <v>0</v>
      </c>
      <c r="DY208" s="1222">
        <f>$G208*BD208*Variables!$B$53*HLOOKUP($DY$2,Variables!$B$60:$F$61,2,FALSE)</f>
        <v>0</v>
      </c>
      <c r="DZ208" s="1223">
        <f>$G208*BE208*Variables!$B$53*HLOOKUP($DY$2,Variables!$B$60:$F$61,2,FALSE)</f>
        <v>0</v>
      </c>
      <c r="EA208" s="1223">
        <f>$G208*BF208*Variables!$B$53*HLOOKUP($DY$2,Variables!$B$60:$F$61,2,FALSE)</f>
        <v>0</v>
      </c>
      <c r="EB208" s="1223">
        <f>$G208*BG208*Variables!$B$53*HLOOKUP($DY$2,Variables!$B$60:$F$61,2,FALSE)</f>
        <v>0</v>
      </c>
      <c r="EC208" s="1223">
        <f>$G208*BH208*Variables!$B$53*HLOOKUP($DY$2,Variables!$B$60:$F$61,2,FALSE)</f>
        <v>0</v>
      </c>
      <c r="ED208" s="1223">
        <f>$G208*BI208*Variables!$B$53*HLOOKUP($DY$2,Variables!$B$60:$F$61,2,FALSE)</f>
        <v>0</v>
      </c>
      <c r="EE208" s="1223">
        <f>$G208*BJ208*Variables!$B$53*HLOOKUP($DY$2,Variables!$B$60:$F$61,2,FALSE)</f>
        <v>0</v>
      </c>
      <c r="EF208" s="1223">
        <f>$G208*BK208*Variables!$B$53*HLOOKUP($DY$2,Variables!$B$60:$F$61,2,FALSE)</f>
        <v>0</v>
      </c>
      <c r="EG208" s="1223">
        <f>$G208*BL208*Variables!$B$53*HLOOKUP($DY$2,Variables!$B$60:$F$61,2,FALSE)</f>
        <v>0</v>
      </c>
      <c r="EH208" s="1223">
        <f>$G208*BM208*Variables!$B$53*HLOOKUP($DY$2,Variables!$B$60:$F$61,2,FALSE)</f>
        <v>0</v>
      </c>
      <c r="EI208" s="1223">
        <f>$G208*BN208*Variables!$B$53*HLOOKUP($DY$2,Variables!$B$60:$F$61,2,FALSE)</f>
        <v>0</v>
      </c>
      <c r="EJ208" s="1225">
        <f>$G208*BO208*Variables!$B$53*HLOOKUP($DY$2,Variables!$B$60:$F$61,2,FALSE)</f>
        <v>0</v>
      </c>
      <c r="EK208" s="1222">
        <f>$G208*BP208*Variables!$B$53*HLOOKUP($EK$2,Variables!$B$60:$F$61,2,FALSE)</f>
        <v>0</v>
      </c>
      <c r="EL208" s="1223">
        <f>$G208*BQ208*Variables!$B$53*HLOOKUP($EK$2,Variables!$B$60:$F$61,2,FALSE)</f>
        <v>0</v>
      </c>
      <c r="EM208" s="1223">
        <f>$G208*BR208*Variables!$B$53*HLOOKUP($EK$2,Variables!$B$60:$F$61,2,FALSE)</f>
        <v>0</v>
      </c>
      <c r="EN208" s="1223">
        <f>$G208*BS208*Variables!$B$53*HLOOKUP($EK$2,Variables!$B$60:$F$61,2,FALSE)</f>
        <v>0</v>
      </c>
      <c r="EO208" s="1223">
        <f>$G208*BT208*Variables!$B$53*HLOOKUP($EK$2,Variables!$B$60:$F$61,2,FALSE)</f>
        <v>0</v>
      </c>
      <c r="EP208" s="1223">
        <f>$G208*BU208*Variables!$B$53*HLOOKUP($EK$2,Variables!$B$60:$F$61,2,FALSE)</f>
        <v>0</v>
      </c>
      <c r="EQ208" s="1223">
        <f>$G208*BV208*Variables!$B$53*HLOOKUP($EK$2,Variables!$B$60:$F$61,2,FALSE)</f>
        <v>0</v>
      </c>
      <c r="ER208" s="1223">
        <f>$G208*BW208*Variables!$B$53*HLOOKUP($EK$2,Variables!$B$60:$F$61,2,FALSE)</f>
        <v>0</v>
      </c>
      <c r="ES208" s="1223">
        <f>$G208*BX208*Variables!$B$53*HLOOKUP($EK$2,Variables!$B$60:$F$61,2,FALSE)</f>
        <v>0</v>
      </c>
      <c r="ET208" s="1223">
        <f>$G208*BY208*Variables!$B$53*HLOOKUP($EK$2,Variables!$B$60:$F$61,2,FALSE)</f>
        <v>0</v>
      </c>
      <c r="EU208" s="1223">
        <f>$G208*BZ208*Variables!$B$53*HLOOKUP($EK$2,Variables!$B$60:$F$61,2,FALSE)</f>
        <v>0</v>
      </c>
      <c r="EV208" s="1225">
        <f>$G208*CA208*Variables!$B$53*HLOOKUP($EK$2,Variables!$B$60:$F$61,2,FALSE)</f>
        <v>0</v>
      </c>
      <c r="EW208" s="872">
        <f t="shared" si="24"/>
        <v>0</v>
      </c>
      <c r="EX208" s="872"/>
      <c r="EY208" s="872"/>
      <c r="EZ208" s="872"/>
      <c r="FA208" s="1332"/>
      <c r="FC208" s="958" t="str">
        <f t="shared" si="25"/>
        <v/>
      </c>
      <c r="FD208" s="959" t="str">
        <f t="shared" si="26"/>
        <v/>
      </c>
      <c r="FE208" s="959" t="s">
        <v>8407</v>
      </c>
      <c r="FF208" s="959" t="str">
        <f>IF(ISNA(VLOOKUP(FC208,Miscellaneous!E:F,2,0)),"",VLOOKUP(FC208,Miscellaneous!E:F,2,0))</f>
        <v/>
      </c>
      <c r="FG208" s="959" t="str">
        <f t="shared" si="27"/>
        <v/>
      </c>
      <c r="FH208" s="996">
        <f>IF($FG208="Opex",SUMIF('Monthly Summary'!$C$75:$N$75,"",CC208:CN208),SUMIF('Monthly Summary'!$C$74:$N$74,"",CC208:CN208))</f>
        <v>0</v>
      </c>
      <c r="FI208" s="996">
        <f>IF($FG208="Opex",SUMIF('Monthly Summary'!$O$75:$Z$75,"",CO208:CZ208),SUMIF('Monthly Summary'!$O$74:$Z$74,"",CO208:CZ208))</f>
        <v>0</v>
      </c>
      <c r="FJ208" s="996">
        <f>IF($FG208="Opex",SUMIF('Monthly Summary'!$AA$75:$AL$75,"",DA208:DL208),SUMIF('Monthly Summary'!$AA$74:$AL$74,"",DA208:DL208))</f>
        <v>0</v>
      </c>
      <c r="FK208" s="996">
        <f>IF($FG208="Opex",SUMIF('Monthly Summary'!$AM$75:$AX$75,"",DM208:DX208),SUMIF('Monthly Summary'!$AM$74:$AX$74,"",DM208:DX208))</f>
        <v>0</v>
      </c>
      <c r="FL208" s="996">
        <f>IF($FG208="Opex",SUMIF('Monthly Summary'!$AY$75:$BJ$75,"",DY208:EJ208),SUMIF('Monthly Summary'!$AY$74:$BJ$74,"",DY208:EJ208))</f>
        <v>0</v>
      </c>
      <c r="FM208" s="997">
        <f>IF($FG208="Opex",SUMIF('Monthly Summary'!$BK$75:$BV$75,"",EK208:EV208),SUMIF('Monthly Summary'!$BK$74:$BV$74,"",EK208:EV208))</f>
        <v>0</v>
      </c>
      <c r="FN208" s="997">
        <f t="shared" si="28"/>
        <v>0</v>
      </c>
    </row>
    <row r="209" spans="3:170">
      <c r="C209" s="757"/>
      <c r="D209" s="757"/>
      <c r="E209" s="758"/>
      <c r="F209" s="758"/>
      <c r="G209" s="758"/>
      <c r="H209" s="1215"/>
      <c r="I209" s="761"/>
      <c r="J209" s="761"/>
      <c r="K209" s="761"/>
      <c r="L209" s="761"/>
      <c r="M209" s="761"/>
      <c r="N209" s="761"/>
      <c r="O209" s="761"/>
      <c r="P209" s="761"/>
      <c r="Q209" s="761"/>
      <c r="R209" s="761"/>
      <c r="S209" s="1216"/>
      <c r="T209" s="1215"/>
      <c r="U209" s="761"/>
      <c r="V209" s="761"/>
      <c r="W209" s="761"/>
      <c r="X209" s="761"/>
      <c r="Y209" s="761"/>
      <c r="Z209" s="761"/>
      <c r="AA209" s="761"/>
      <c r="AB209" s="761"/>
      <c r="AC209" s="761"/>
      <c r="AD209" s="761"/>
      <c r="AE209" s="1216"/>
      <c r="AF209" s="1215"/>
      <c r="AG209" s="761"/>
      <c r="AH209" s="761"/>
      <c r="AI209" s="761"/>
      <c r="AJ209" s="761"/>
      <c r="AK209" s="761"/>
      <c r="AL209" s="761"/>
      <c r="AM209" s="761"/>
      <c r="AN209" s="761"/>
      <c r="AO209" s="761"/>
      <c r="AP209" s="761"/>
      <c r="AQ209" s="1216"/>
      <c r="AR209" s="1215"/>
      <c r="AS209" s="761"/>
      <c r="AT209" s="761"/>
      <c r="AU209" s="761"/>
      <c r="AV209" s="761"/>
      <c r="AW209" s="761"/>
      <c r="AX209" s="761"/>
      <c r="AY209" s="761"/>
      <c r="AZ209" s="761"/>
      <c r="BA209" s="761"/>
      <c r="BB209" s="761"/>
      <c r="BC209" s="1216"/>
      <c r="BD209" s="1215"/>
      <c r="BE209" s="761"/>
      <c r="BF209" s="761"/>
      <c r="BG209" s="761"/>
      <c r="BH209" s="761"/>
      <c r="BI209" s="761"/>
      <c r="BJ209" s="761"/>
      <c r="BK209" s="761"/>
      <c r="BL209" s="761"/>
      <c r="BM209" s="761"/>
      <c r="BN209" s="761"/>
      <c r="BO209" s="1216"/>
      <c r="BP209" s="1215"/>
      <c r="BQ209" s="761"/>
      <c r="BR209" s="761"/>
      <c r="BS209" s="761"/>
      <c r="BT209" s="761"/>
      <c r="BU209" s="761"/>
      <c r="BV209" s="761"/>
      <c r="BW209" s="761"/>
      <c r="BX209" s="761"/>
      <c r="BY209" s="761"/>
      <c r="BZ209" s="761"/>
      <c r="CA209" s="1216"/>
      <c r="CB209" s="747"/>
      <c r="CC209" s="1222">
        <f>$G209*H209*Variables!$B$53</f>
        <v>0</v>
      </c>
      <c r="CD209" s="1223">
        <f>$G209*I209*Variables!$B$53</f>
        <v>0</v>
      </c>
      <c r="CE209" s="1223">
        <f>$G209*J209*Variables!$B$53</f>
        <v>0</v>
      </c>
      <c r="CF209" s="1223">
        <f>$G209*K209*Variables!$B$53</f>
        <v>0</v>
      </c>
      <c r="CG209" s="1223">
        <f>$G209*L209*Variables!$B$53</f>
        <v>0</v>
      </c>
      <c r="CH209" s="1223">
        <f>$G209*M209*Variables!$B$53</f>
        <v>0</v>
      </c>
      <c r="CI209" s="1223">
        <f>$G209*N209*Variables!$B$53</f>
        <v>0</v>
      </c>
      <c r="CJ209" s="1223">
        <f>$G209*O209*Variables!$B$53</f>
        <v>0</v>
      </c>
      <c r="CK209" s="1223">
        <f>$G209*P209*Variables!$B$53</f>
        <v>0</v>
      </c>
      <c r="CL209" s="1223">
        <f>$G209*Q209*Variables!$B$53</f>
        <v>0</v>
      </c>
      <c r="CM209" s="1223">
        <f>$G209*R209*Variables!$B$53</f>
        <v>0</v>
      </c>
      <c r="CN209" s="1225">
        <f>$G209*S209*Variables!$B$53</f>
        <v>0</v>
      </c>
      <c r="CO209" s="1222">
        <f>$G209*T209*Variables!$B$53*HLOOKUP($CO$2,Variables!$B$60:$F$61,2,FALSE)</f>
        <v>0</v>
      </c>
      <c r="CP209" s="1223">
        <f>$G209*U209*Variables!$B$53*HLOOKUP($CO$2,Variables!$B$60:$F$61,2,FALSE)</f>
        <v>0</v>
      </c>
      <c r="CQ209" s="1223">
        <f>$G209*V209*Variables!$B$53*HLOOKUP($CO$2,Variables!$B$60:$F$61,2,FALSE)</f>
        <v>0</v>
      </c>
      <c r="CR209" s="1223">
        <f>$G209*W209*Variables!$B$53*HLOOKUP($CO$2,Variables!$B$60:$F$61,2,FALSE)</f>
        <v>0</v>
      </c>
      <c r="CS209" s="1223">
        <f>$G209*X209*Variables!$B$53*HLOOKUP($CO$2,Variables!$B$60:$F$61,2,FALSE)</f>
        <v>0</v>
      </c>
      <c r="CT209" s="1223">
        <f>$G209*Y209*Variables!$B$53*HLOOKUP($CO$2,Variables!$B$60:$F$61,2,FALSE)</f>
        <v>0</v>
      </c>
      <c r="CU209" s="1223">
        <f>$G209*Z209*Variables!$B$53*HLOOKUP($CO$2,Variables!$B$60:$F$61,2,FALSE)</f>
        <v>0</v>
      </c>
      <c r="CV209" s="1223">
        <f>$G209*AA209*Variables!$B$53*HLOOKUP($CO$2,Variables!$B$60:$F$61,2,FALSE)</f>
        <v>0</v>
      </c>
      <c r="CW209" s="1223">
        <f>$G209*AB209*Variables!$B$53*HLOOKUP($CO$2,Variables!$B$60:$F$61,2,FALSE)</f>
        <v>0</v>
      </c>
      <c r="CX209" s="1223">
        <f>$G209*AC209*Variables!$B$53*HLOOKUP($CO$2,Variables!$B$60:$F$61,2,FALSE)</f>
        <v>0</v>
      </c>
      <c r="CY209" s="1223">
        <f>$G209*AD209*Variables!$B$53*HLOOKUP($CO$2,Variables!$B$60:$F$61,2,FALSE)</f>
        <v>0</v>
      </c>
      <c r="CZ209" s="1225">
        <f>$G209*AE209*Variables!$B$53*HLOOKUP($CO$2,Variables!$B$60:$F$61,2,FALSE)</f>
        <v>0</v>
      </c>
      <c r="DA209" s="1222">
        <f>$G209*AF209*Variables!$B$53*HLOOKUP($DA$2,Variables!$B$60:$F$61,2,FALSE)</f>
        <v>0</v>
      </c>
      <c r="DB209" s="1223">
        <f>$G209*AG209*Variables!$B$53*HLOOKUP($DA$2,Variables!$B$60:$F$61,2,FALSE)</f>
        <v>0</v>
      </c>
      <c r="DC209" s="1223">
        <f>$G209*AH209*Variables!$B$53*HLOOKUP($DA$2,Variables!$B$60:$F$61,2,FALSE)</f>
        <v>0</v>
      </c>
      <c r="DD209" s="1223">
        <f>$G209*AI209*Variables!$B$53*HLOOKUP($DA$2,Variables!$B$60:$F$61,2,FALSE)</f>
        <v>0</v>
      </c>
      <c r="DE209" s="1223">
        <f>$G209*AJ209*Variables!$B$53*HLOOKUP($DA$2,Variables!$B$60:$F$61,2,FALSE)</f>
        <v>0</v>
      </c>
      <c r="DF209" s="1223">
        <f>$G209*AK209*Variables!$B$53*HLOOKUP($DA$2,Variables!$B$60:$F$61,2,FALSE)</f>
        <v>0</v>
      </c>
      <c r="DG209" s="1223">
        <f>$G209*AL209*Variables!$B$53*HLOOKUP($DA$2,Variables!$B$60:$F$61,2,FALSE)</f>
        <v>0</v>
      </c>
      <c r="DH209" s="1223">
        <f>$G209*AM209*Variables!$B$53*HLOOKUP($DA$2,Variables!$B$60:$F$61,2,FALSE)</f>
        <v>0</v>
      </c>
      <c r="DI209" s="1223">
        <f>$G209*AN209*Variables!$B$53*HLOOKUP($DA$2,Variables!$B$60:$F$61,2,FALSE)</f>
        <v>0</v>
      </c>
      <c r="DJ209" s="1223">
        <f>$G209*AO209*Variables!$B$53*HLOOKUP($DA$2,Variables!$B$60:$F$61,2,FALSE)</f>
        <v>0</v>
      </c>
      <c r="DK209" s="1223">
        <f>$G209*AP209*Variables!$B$53*HLOOKUP($DA$2,Variables!$B$60:$F$61,2,FALSE)</f>
        <v>0</v>
      </c>
      <c r="DL209" s="1225">
        <f>$G209*AQ209*Variables!$B$53*HLOOKUP($DA$2,Variables!$B$60:$F$61,2,FALSE)</f>
        <v>0</v>
      </c>
      <c r="DM209" s="1222">
        <f>$G209*AR209*Variables!$B$53*HLOOKUP($DM$2,Variables!$B$60:$F$61,2,FALSE)</f>
        <v>0</v>
      </c>
      <c r="DN209" s="1223">
        <f>$G209*AS209*Variables!$B$53*HLOOKUP($DM$2,Variables!$B$60:$F$61,2,FALSE)</f>
        <v>0</v>
      </c>
      <c r="DO209" s="1223">
        <f>$G209*AT209*Variables!$B$53*HLOOKUP($DM$2,Variables!$B$60:$F$61,2,FALSE)</f>
        <v>0</v>
      </c>
      <c r="DP209" s="1223">
        <f>$G209*AU209*Variables!$B$53*HLOOKUP($DM$2,Variables!$B$60:$F$61,2,FALSE)</f>
        <v>0</v>
      </c>
      <c r="DQ209" s="1223">
        <f>$G209*AV209*Variables!$B$53*HLOOKUP($DM$2,Variables!$B$60:$F$61,2,FALSE)</f>
        <v>0</v>
      </c>
      <c r="DR209" s="1223">
        <f>$G209*AW209*Variables!$B$53*HLOOKUP($DM$2,Variables!$B$60:$F$61,2,FALSE)</f>
        <v>0</v>
      </c>
      <c r="DS209" s="1223">
        <f>$G209*AX209*Variables!$B$53*HLOOKUP($DM$2,Variables!$B$60:$F$61,2,FALSE)</f>
        <v>0</v>
      </c>
      <c r="DT209" s="1223">
        <f>$G209*AY209*Variables!$B$53*HLOOKUP($DM$2,Variables!$B$60:$F$61,2,FALSE)</f>
        <v>0</v>
      </c>
      <c r="DU209" s="1223">
        <f>$G209*AZ209*Variables!$B$53*HLOOKUP($DM$2,Variables!$B$60:$F$61,2,FALSE)</f>
        <v>0</v>
      </c>
      <c r="DV209" s="1223">
        <f>$G209*BA209*Variables!$B$53*HLOOKUP($DM$2,Variables!$B$60:$F$61,2,FALSE)</f>
        <v>0</v>
      </c>
      <c r="DW209" s="1223">
        <f>$G209*BB209*Variables!$B$53*HLOOKUP($DM$2,Variables!$B$60:$F$61,2,FALSE)</f>
        <v>0</v>
      </c>
      <c r="DX209" s="1225">
        <f>$G209*BC209*Variables!$B$53*HLOOKUP($DM$2,Variables!$B$60:$F$61,2,FALSE)</f>
        <v>0</v>
      </c>
      <c r="DY209" s="1222">
        <f>$G209*BD209*Variables!$B$53*HLOOKUP($DY$2,Variables!$B$60:$F$61,2,FALSE)</f>
        <v>0</v>
      </c>
      <c r="DZ209" s="1223">
        <f>$G209*BE209*Variables!$B$53*HLOOKUP($DY$2,Variables!$B$60:$F$61,2,FALSE)</f>
        <v>0</v>
      </c>
      <c r="EA209" s="1223">
        <f>$G209*BF209*Variables!$B$53*HLOOKUP($DY$2,Variables!$B$60:$F$61,2,FALSE)</f>
        <v>0</v>
      </c>
      <c r="EB209" s="1223">
        <f>$G209*BG209*Variables!$B$53*HLOOKUP($DY$2,Variables!$B$60:$F$61,2,FALSE)</f>
        <v>0</v>
      </c>
      <c r="EC209" s="1223">
        <f>$G209*BH209*Variables!$B$53*HLOOKUP($DY$2,Variables!$B$60:$F$61,2,FALSE)</f>
        <v>0</v>
      </c>
      <c r="ED209" s="1223">
        <f>$G209*BI209*Variables!$B$53*HLOOKUP($DY$2,Variables!$B$60:$F$61,2,FALSE)</f>
        <v>0</v>
      </c>
      <c r="EE209" s="1223">
        <f>$G209*BJ209*Variables!$B$53*HLOOKUP($DY$2,Variables!$B$60:$F$61,2,FALSE)</f>
        <v>0</v>
      </c>
      <c r="EF209" s="1223">
        <f>$G209*BK209*Variables!$B$53*HLOOKUP($DY$2,Variables!$B$60:$F$61,2,FALSE)</f>
        <v>0</v>
      </c>
      <c r="EG209" s="1223">
        <f>$G209*BL209*Variables!$B$53*HLOOKUP($DY$2,Variables!$B$60:$F$61,2,FALSE)</f>
        <v>0</v>
      </c>
      <c r="EH209" s="1223">
        <f>$G209*BM209*Variables!$B$53*HLOOKUP($DY$2,Variables!$B$60:$F$61,2,FALSE)</f>
        <v>0</v>
      </c>
      <c r="EI209" s="1223">
        <f>$G209*BN209*Variables!$B$53*HLOOKUP($DY$2,Variables!$B$60:$F$61,2,FALSE)</f>
        <v>0</v>
      </c>
      <c r="EJ209" s="1225">
        <f>$G209*BO209*Variables!$B$53*HLOOKUP($DY$2,Variables!$B$60:$F$61,2,FALSE)</f>
        <v>0</v>
      </c>
      <c r="EK209" s="1222">
        <f>$G209*BP209*Variables!$B$53*HLOOKUP($EK$2,Variables!$B$60:$F$61,2,FALSE)</f>
        <v>0</v>
      </c>
      <c r="EL209" s="1223">
        <f>$G209*BQ209*Variables!$B$53*HLOOKUP($EK$2,Variables!$B$60:$F$61,2,FALSE)</f>
        <v>0</v>
      </c>
      <c r="EM209" s="1223">
        <f>$G209*BR209*Variables!$B$53*HLOOKUP($EK$2,Variables!$B$60:$F$61,2,FALSE)</f>
        <v>0</v>
      </c>
      <c r="EN209" s="1223">
        <f>$G209*BS209*Variables!$B$53*HLOOKUP($EK$2,Variables!$B$60:$F$61,2,FALSE)</f>
        <v>0</v>
      </c>
      <c r="EO209" s="1223">
        <f>$G209*BT209*Variables!$B$53*HLOOKUP($EK$2,Variables!$B$60:$F$61,2,FALSE)</f>
        <v>0</v>
      </c>
      <c r="EP209" s="1223">
        <f>$G209*BU209*Variables!$B$53*HLOOKUP($EK$2,Variables!$B$60:$F$61,2,FALSE)</f>
        <v>0</v>
      </c>
      <c r="EQ209" s="1223">
        <f>$G209*BV209*Variables!$B$53*HLOOKUP($EK$2,Variables!$B$60:$F$61,2,FALSE)</f>
        <v>0</v>
      </c>
      <c r="ER209" s="1223">
        <f>$G209*BW209*Variables!$B$53*HLOOKUP($EK$2,Variables!$B$60:$F$61,2,FALSE)</f>
        <v>0</v>
      </c>
      <c r="ES209" s="1223">
        <f>$G209*BX209*Variables!$B$53*HLOOKUP($EK$2,Variables!$B$60:$F$61,2,FALSE)</f>
        <v>0</v>
      </c>
      <c r="ET209" s="1223">
        <f>$G209*BY209*Variables!$B$53*HLOOKUP($EK$2,Variables!$B$60:$F$61,2,FALSE)</f>
        <v>0</v>
      </c>
      <c r="EU209" s="1223">
        <f>$G209*BZ209*Variables!$B$53*HLOOKUP($EK$2,Variables!$B$60:$F$61,2,FALSE)</f>
        <v>0</v>
      </c>
      <c r="EV209" s="1225">
        <f>$G209*CA209*Variables!$B$53*HLOOKUP($EK$2,Variables!$B$60:$F$61,2,FALSE)</f>
        <v>0</v>
      </c>
      <c r="EW209" s="872">
        <f t="shared" si="24"/>
        <v>0</v>
      </c>
      <c r="EX209" s="872"/>
      <c r="EY209" s="872"/>
      <c r="EZ209" s="872"/>
      <c r="FA209" s="1332"/>
      <c r="FC209" s="958" t="str">
        <f t="shared" si="25"/>
        <v/>
      </c>
      <c r="FD209" s="959" t="str">
        <f t="shared" si="26"/>
        <v/>
      </c>
      <c r="FE209" s="959" t="s">
        <v>8407</v>
      </c>
      <c r="FF209" s="959" t="str">
        <f>IF(ISNA(VLOOKUP(FC209,Miscellaneous!E:F,2,0)),"",VLOOKUP(FC209,Miscellaneous!E:F,2,0))</f>
        <v/>
      </c>
      <c r="FG209" s="959" t="str">
        <f t="shared" si="27"/>
        <v/>
      </c>
      <c r="FH209" s="996">
        <f>IF($FG209="Opex",SUMIF('Monthly Summary'!$C$75:$N$75,"",CC209:CN209),SUMIF('Monthly Summary'!$C$74:$N$74,"",CC209:CN209))</f>
        <v>0</v>
      </c>
      <c r="FI209" s="996">
        <f>IF($FG209="Opex",SUMIF('Monthly Summary'!$O$75:$Z$75,"",CO209:CZ209),SUMIF('Monthly Summary'!$O$74:$Z$74,"",CO209:CZ209))</f>
        <v>0</v>
      </c>
      <c r="FJ209" s="996">
        <f>IF($FG209="Opex",SUMIF('Monthly Summary'!$AA$75:$AL$75,"",DA209:DL209),SUMIF('Monthly Summary'!$AA$74:$AL$74,"",DA209:DL209))</f>
        <v>0</v>
      </c>
      <c r="FK209" s="996">
        <f>IF($FG209="Opex",SUMIF('Monthly Summary'!$AM$75:$AX$75,"",DM209:DX209),SUMIF('Monthly Summary'!$AM$74:$AX$74,"",DM209:DX209))</f>
        <v>0</v>
      </c>
      <c r="FL209" s="996">
        <f>IF($FG209="Opex",SUMIF('Monthly Summary'!$AY$75:$BJ$75,"",DY209:EJ209),SUMIF('Monthly Summary'!$AY$74:$BJ$74,"",DY209:EJ209))</f>
        <v>0</v>
      </c>
      <c r="FM209" s="997">
        <f>IF($FG209="Opex",SUMIF('Monthly Summary'!$BK$75:$BV$75,"",EK209:EV209),SUMIF('Monthly Summary'!$BK$74:$BV$74,"",EK209:EV209))</f>
        <v>0</v>
      </c>
      <c r="FN209" s="997">
        <f t="shared" si="28"/>
        <v>0</v>
      </c>
    </row>
    <row r="210" spans="3:170">
      <c r="C210" s="757"/>
      <c r="D210" s="757"/>
      <c r="E210" s="758"/>
      <c r="F210" s="758"/>
      <c r="G210" s="758"/>
      <c r="H210" s="1215"/>
      <c r="I210" s="761"/>
      <c r="J210" s="761"/>
      <c r="K210" s="761"/>
      <c r="L210" s="761"/>
      <c r="M210" s="761"/>
      <c r="N210" s="761"/>
      <c r="O210" s="761"/>
      <c r="P210" s="761"/>
      <c r="Q210" s="761"/>
      <c r="R210" s="761"/>
      <c r="S210" s="1216"/>
      <c r="T210" s="1215"/>
      <c r="U210" s="761"/>
      <c r="V210" s="761"/>
      <c r="W210" s="761"/>
      <c r="X210" s="761"/>
      <c r="Y210" s="761"/>
      <c r="Z210" s="761"/>
      <c r="AA210" s="761"/>
      <c r="AB210" s="761"/>
      <c r="AC210" s="761"/>
      <c r="AD210" s="761"/>
      <c r="AE210" s="1216"/>
      <c r="AF210" s="1215"/>
      <c r="AG210" s="761"/>
      <c r="AH210" s="761"/>
      <c r="AI210" s="761"/>
      <c r="AJ210" s="761"/>
      <c r="AK210" s="761"/>
      <c r="AL210" s="761"/>
      <c r="AM210" s="761"/>
      <c r="AN210" s="761"/>
      <c r="AO210" s="761"/>
      <c r="AP210" s="761"/>
      <c r="AQ210" s="1216"/>
      <c r="AR210" s="1215"/>
      <c r="AS210" s="761"/>
      <c r="AT210" s="761"/>
      <c r="AU210" s="761"/>
      <c r="AV210" s="761"/>
      <c r="AW210" s="761"/>
      <c r="AX210" s="761"/>
      <c r="AY210" s="761"/>
      <c r="AZ210" s="761"/>
      <c r="BA210" s="761"/>
      <c r="BB210" s="761"/>
      <c r="BC210" s="1216"/>
      <c r="BD210" s="1215"/>
      <c r="BE210" s="761"/>
      <c r="BF210" s="761"/>
      <c r="BG210" s="761"/>
      <c r="BH210" s="761"/>
      <c r="BI210" s="761"/>
      <c r="BJ210" s="761"/>
      <c r="BK210" s="761"/>
      <c r="BL210" s="761"/>
      <c r="BM210" s="761"/>
      <c r="BN210" s="761"/>
      <c r="BO210" s="1216"/>
      <c r="BP210" s="1215"/>
      <c r="BQ210" s="761"/>
      <c r="BR210" s="761"/>
      <c r="BS210" s="761"/>
      <c r="BT210" s="761"/>
      <c r="BU210" s="761"/>
      <c r="BV210" s="761"/>
      <c r="BW210" s="761"/>
      <c r="BX210" s="761"/>
      <c r="BY210" s="761"/>
      <c r="BZ210" s="761"/>
      <c r="CA210" s="1216"/>
      <c r="CB210" s="747"/>
      <c r="CC210" s="1222">
        <f>$G210*H210*Variables!$B$53</f>
        <v>0</v>
      </c>
      <c r="CD210" s="1223">
        <f>$G210*I210*Variables!$B$53</f>
        <v>0</v>
      </c>
      <c r="CE210" s="1223">
        <f>$G210*J210*Variables!$B$53</f>
        <v>0</v>
      </c>
      <c r="CF210" s="1223">
        <f>$G210*K210*Variables!$B$53</f>
        <v>0</v>
      </c>
      <c r="CG210" s="1223">
        <f>$G210*L210*Variables!$B$53</f>
        <v>0</v>
      </c>
      <c r="CH210" s="1223">
        <f>$G210*M210*Variables!$B$53</f>
        <v>0</v>
      </c>
      <c r="CI210" s="1223">
        <f>$G210*N210*Variables!$B$53</f>
        <v>0</v>
      </c>
      <c r="CJ210" s="1223">
        <f>$G210*O210*Variables!$B$53</f>
        <v>0</v>
      </c>
      <c r="CK210" s="1223">
        <f>$G210*P210*Variables!$B$53</f>
        <v>0</v>
      </c>
      <c r="CL210" s="1223">
        <f>$G210*Q210*Variables!$B$53</f>
        <v>0</v>
      </c>
      <c r="CM210" s="1223">
        <f>$G210*R210*Variables!$B$53</f>
        <v>0</v>
      </c>
      <c r="CN210" s="1225">
        <f>$G210*S210*Variables!$B$53</f>
        <v>0</v>
      </c>
      <c r="CO210" s="1222">
        <f>$G210*T210*Variables!$B$53*HLOOKUP($CO$2,Variables!$B$60:$F$61,2,FALSE)</f>
        <v>0</v>
      </c>
      <c r="CP210" s="1223">
        <f>$G210*U210*Variables!$B$53*HLOOKUP($CO$2,Variables!$B$60:$F$61,2,FALSE)</f>
        <v>0</v>
      </c>
      <c r="CQ210" s="1223">
        <f>$G210*V210*Variables!$B$53*HLOOKUP($CO$2,Variables!$B$60:$F$61,2,FALSE)</f>
        <v>0</v>
      </c>
      <c r="CR210" s="1223">
        <f>$G210*W210*Variables!$B$53*HLOOKUP($CO$2,Variables!$B$60:$F$61,2,FALSE)</f>
        <v>0</v>
      </c>
      <c r="CS210" s="1223">
        <f>$G210*X210*Variables!$B$53*HLOOKUP($CO$2,Variables!$B$60:$F$61,2,FALSE)</f>
        <v>0</v>
      </c>
      <c r="CT210" s="1223">
        <f>$G210*Y210*Variables!$B$53*HLOOKUP($CO$2,Variables!$B$60:$F$61,2,FALSE)</f>
        <v>0</v>
      </c>
      <c r="CU210" s="1223">
        <f>$G210*Z210*Variables!$B$53*HLOOKUP($CO$2,Variables!$B$60:$F$61,2,FALSE)</f>
        <v>0</v>
      </c>
      <c r="CV210" s="1223">
        <f>$G210*AA210*Variables!$B$53*HLOOKUP($CO$2,Variables!$B$60:$F$61,2,FALSE)</f>
        <v>0</v>
      </c>
      <c r="CW210" s="1223">
        <f>$G210*AB210*Variables!$B$53*HLOOKUP($CO$2,Variables!$B$60:$F$61,2,FALSE)</f>
        <v>0</v>
      </c>
      <c r="CX210" s="1223">
        <f>$G210*AC210*Variables!$B$53*HLOOKUP($CO$2,Variables!$B$60:$F$61,2,FALSE)</f>
        <v>0</v>
      </c>
      <c r="CY210" s="1223">
        <f>$G210*AD210*Variables!$B$53*HLOOKUP($CO$2,Variables!$B$60:$F$61,2,FALSE)</f>
        <v>0</v>
      </c>
      <c r="CZ210" s="1225">
        <f>$G210*AE210*Variables!$B$53*HLOOKUP($CO$2,Variables!$B$60:$F$61,2,FALSE)</f>
        <v>0</v>
      </c>
      <c r="DA210" s="1222">
        <f>$G210*AF210*Variables!$B$53*HLOOKUP($DA$2,Variables!$B$60:$F$61,2,FALSE)</f>
        <v>0</v>
      </c>
      <c r="DB210" s="1223">
        <f>$G210*AG210*Variables!$B$53*HLOOKUP($DA$2,Variables!$B$60:$F$61,2,FALSE)</f>
        <v>0</v>
      </c>
      <c r="DC210" s="1223">
        <f>$G210*AH210*Variables!$B$53*HLOOKUP($DA$2,Variables!$B$60:$F$61,2,FALSE)</f>
        <v>0</v>
      </c>
      <c r="DD210" s="1223">
        <f>$G210*AI210*Variables!$B$53*HLOOKUP($DA$2,Variables!$B$60:$F$61,2,FALSE)</f>
        <v>0</v>
      </c>
      <c r="DE210" s="1223">
        <f>$G210*AJ210*Variables!$B$53*HLOOKUP($DA$2,Variables!$B$60:$F$61,2,FALSE)</f>
        <v>0</v>
      </c>
      <c r="DF210" s="1223">
        <f>$G210*AK210*Variables!$B$53*HLOOKUP($DA$2,Variables!$B$60:$F$61,2,FALSE)</f>
        <v>0</v>
      </c>
      <c r="DG210" s="1223">
        <f>$G210*AL210*Variables!$B$53*HLOOKUP($DA$2,Variables!$B$60:$F$61,2,FALSE)</f>
        <v>0</v>
      </c>
      <c r="DH210" s="1223">
        <f>$G210*AM210*Variables!$B$53*HLOOKUP($DA$2,Variables!$B$60:$F$61,2,FALSE)</f>
        <v>0</v>
      </c>
      <c r="DI210" s="1223">
        <f>$G210*AN210*Variables!$B$53*HLOOKUP($DA$2,Variables!$B$60:$F$61,2,FALSE)</f>
        <v>0</v>
      </c>
      <c r="DJ210" s="1223">
        <f>$G210*AO210*Variables!$B$53*HLOOKUP($DA$2,Variables!$B$60:$F$61,2,FALSE)</f>
        <v>0</v>
      </c>
      <c r="DK210" s="1223">
        <f>$G210*AP210*Variables!$B$53*HLOOKUP($DA$2,Variables!$B$60:$F$61,2,FALSE)</f>
        <v>0</v>
      </c>
      <c r="DL210" s="1225">
        <f>$G210*AQ210*Variables!$B$53*HLOOKUP($DA$2,Variables!$B$60:$F$61,2,FALSE)</f>
        <v>0</v>
      </c>
      <c r="DM210" s="1222">
        <f>$G210*AR210*Variables!$B$53*HLOOKUP($DM$2,Variables!$B$60:$F$61,2,FALSE)</f>
        <v>0</v>
      </c>
      <c r="DN210" s="1223">
        <f>$G210*AS210*Variables!$B$53*HLOOKUP($DM$2,Variables!$B$60:$F$61,2,FALSE)</f>
        <v>0</v>
      </c>
      <c r="DO210" s="1223">
        <f>$G210*AT210*Variables!$B$53*HLOOKUP($DM$2,Variables!$B$60:$F$61,2,FALSE)</f>
        <v>0</v>
      </c>
      <c r="DP210" s="1223">
        <f>$G210*AU210*Variables!$B$53*HLOOKUP($DM$2,Variables!$B$60:$F$61,2,FALSE)</f>
        <v>0</v>
      </c>
      <c r="DQ210" s="1223">
        <f>$G210*AV210*Variables!$B$53*HLOOKUP($DM$2,Variables!$B$60:$F$61,2,FALSE)</f>
        <v>0</v>
      </c>
      <c r="DR210" s="1223">
        <f>$G210*AW210*Variables!$B$53*HLOOKUP($DM$2,Variables!$B$60:$F$61,2,FALSE)</f>
        <v>0</v>
      </c>
      <c r="DS210" s="1223">
        <f>$G210*AX210*Variables!$B$53*HLOOKUP($DM$2,Variables!$B$60:$F$61,2,FALSE)</f>
        <v>0</v>
      </c>
      <c r="DT210" s="1223">
        <f>$G210*AY210*Variables!$B$53*HLOOKUP($DM$2,Variables!$B$60:$F$61,2,FALSE)</f>
        <v>0</v>
      </c>
      <c r="DU210" s="1223">
        <f>$G210*AZ210*Variables!$B$53*HLOOKUP($DM$2,Variables!$B$60:$F$61,2,FALSE)</f>
        <v>0</v>
      </c>
      <c r="DV210" s="1223">
        <f>$G210*BA210*Variables!$B$53*HLOOKUP($DM$2,Variables!$B$60:$F$61,2,FALSE)</f>
        <v>0</v>
      </c>
      <c r="DW210" s="1223">
        <f>$G210*BB210*Variables!$B$53*HLOOKUP($DM$2,Variables!$B$60:$F$61,2,FALSE)</f>
        <v>0</v>
      </c>
      <c r="DX210" s="1225">
        <f>$G210*BC210*Variables!$B$53*HLOOKUP($DM$2,Variables!$B$60:$F$61,2,FALSE)</f>
        <v>0</v>
      </c>
      <c r="DY210" s="1222">
        <f>$G210*BD210*Variables!$B$53*HLOOKUP($DY$2,Variables!$B$60:$F$61,2,FALSE)</f>
        <v>0</v>
      </c>
      <c r="DZ210" s="1223">
        <f>$G210*BE210*Variables!$B$53*HLOOKUP($DY$2,Variables!$B$60:$F$61,2,FALSE)</f>
        <v>0</v>
      </c>
      <c r="EA210" s="1223">
        <f>$G210*BF210*Variables!$B$53*HLOOKUP($DY$2,Variables!$B$60:$F$61,2,FALSE)</f>
        <v>0</v>
      </c>
      <c r="EB210" s="1223">
        <f>$G210*BG210*Variables!$B$53*HLOOKUP($DY$2,Variables!$B$60:$F$61,2,FALSE)</f>
        <v>0</v>
      </c>
      <c r="EC210" s="1223">
        <f>$G210*BH210*Variables!$B$53*HLOOKUP($DY$2,Variables!$B$60:$F$61,2,FALSE)</f>
        <v>0</v>
      </c>
      <c r="ED210" s="1223">
        <f>$G210*BI210*Variables!$B$53*HLOOKUP($DY$2,Variables!$B$60:$F$61,2,FALSE)</f>
        <v>0</v>
      </c>
      <c r="EE210" s="1223">
        <f>$G210*BJ210*Variables!$B$53*HLOOKUP($DY$2,Variables!$B$60:$F$61,2,FALSE)</f>
        <v>0</v>
      </c>
      <c r="EF210" s="1223">
        <f>$G210*BK210*Variables!$B$53*HLOOKUP($DY$2,Variables!$B$60:$F$61,2,FALSE)</f>
        <v>0</v>
      </c>
      <c r="EG210" s="1223">
        <f>$G210*BL210*Variables!$B$53*HLOOKUP($DY$2,Variables!$B$60:$F$61,2,FALSE)</f>
        <v>0</v>
      </c>
      <c r="EH210" s="1223">
        <f>$G210*BM210*Variables!$B$53*HLOOKUP($DY$2,Variables!$B$60:$F$61,2,FALSE)</f>
        <v>0</v>
      </c>
      <c r="EI210" s="1223">
        <f>$G210*BN210*Variables!$B$53*HLOOKUP($DY$2,Variables!$B$60:$F$61,2,FALSE)</f>
        <v>0</v>
      </c>
      <c r="EJ210" s="1225">
        <f>$G210*BO210*Variables!$B$53*HLOOKUP($DY$2,Variables!$B$60:$F$61,2,FALSE)</f>
        <v>0</v>
      </c>
      <c r="EK210" s="1222">
        <f>$G210*BP210*Variables!$B$53*HLOOKUP($EK$2,Variables!$B$60:$F$61,2,FALSE)</f>
        <v>0</v>
      </c>
      <c r="EL210" s="1223">
        <f>$G210*BQ210*Variables!$B$53*HLOOKUP($EK$2,Variables!$B$60:$F$61,2,FALSE)</f>
        <v>0</v>
      </c>
      <c r="EM210" s="1223">
        <f>$G210*BR210*Variables!$B$53*HLOOKUP($EK$2,Variables!$B$60:$F$61,2,FALSE)</f>
        <v>0</v>
      </c>
      <c r="EN210" s="1223">
        <f>$G210*BS210*Variables!$B$53*HLOOKUP($EK$2,Variables!$B$60:$F$61,2,FALSE)</f>
        <v>0</v>
      </c>
      <c r="EO210" s="1223">
        <f>$G210*BT210*Variables!$B$53*HLOOKUP($EK$2,Variables!$B$60:$F$61,2,FALSE)</f>
        <v>0</v>
      </c>
      <c r="EP210" s="1223">
        <f>$G210*BU210*Variables!$B$53*HLOOKUP($EK$2,Variables!$B$60:$F$61,2,FALSE)</f>
        <v>0</v>
      </c>
      <c r="EQ210" s="1223">
        <f>$G210*BV210*Variables!$B$53*HLOOKUP($EK$2,Variables!$B$60:$F$61,2,FALSE)</f>
        <v>0</v>
      </c>
      <c r="ER210" s="1223">
        <f>$G210*BW210*Variables!$B$53*HLOOKUP($EK$2,Variables!$B$60:$F$61,2,FALSE)</f>
        <v>0</v>
      </c>
      <c r="ES210" s="1223">
        <f>$G210*BX210*Variables!$B$53*HLOOKUP($EK$2,Variables!$B$60:$F$61,2,FALSE)</f>
        <v>0</v>
      </c>
      <c r="ET210" s="1223">
        <f>$G210*BY210*Variables!$B$53*HLOOKUP($EK$2,Variables!$B$60:$F$61,2,FALSE)</f>
        <v>0</v>
      </c>
      <c r="EU210" s="1223">
        <f>$G210*BZ210*Variables!$B$53*HLOOKUP($EK$2,Variables!$B$60:$F$61,2,FALSE)</f>
        <v>0</v>
      </c>
      <c r="EV210" s="1225">
        <f>$G210*CA210*Variables!$B$53*HLOOKUP($EK$2,Variables!$B$60:$F$61,2,FALSE)</f>
        <v>0</v>
      </c>
      <c r="EW210" s="872">
        <f t="shared" si="24"/>
        <v>0</v>
      </c>
      <c r="EX210" s="872"/>
      <c r="EY210" s="872"/>
      <c r="EZ210" s="872"/>
      <c r="FA210" s="1332"/>
      <c r="FC210" s="958" t="str">
        <f t="shared" si="25"/>
        <v/>
      </c>
      <c r="FD210" s="959" t="str">
        <f t="shared" si="26"/>
        <v/>
      </c>
      <c r="FE210" s="959" t="s">
        <v>8407</v>
      </c>
      <c r="FF210" s="959" t="str">
        <f>IF(ISNA(VLOOKUP(FC210,Miscellaneous!E:F,2,0)),"",VLOOKUP(FC210,Miscellaneous!E:F,2,0))</f>
        <v/>
      </c>
      <c r="FG210" s="959" t="str">
        <f t="shared" si="27"/>
        <v/>
      </c>
      <c r="FH210" s="996">
        <f>IF($FG210="Opex",SUMIF('Monthly Summary'!$C$75:$N$75,"",CC210:CN210),SUMIF('Monthly Summary'!$C$74:$N$74,"",CC210:CN210))</f>
        <v>0</v>
      </c>
      <c r="FI210" s="996">
        <f>IF($FG210="Opex",SUMIF('Monthly Summary'!$O$75:$Z$75,"",CO210:CZ210),SUMIF('Monthly Summary'!$O$74:$Z$74,"",CO210:CZ210))</f>
        <v>0</v>
      </c>
      <c r="FJ210" s="996">
        <f>IF($FG210="Opex",SUMIF('Monthly Summary'!$AA$75:$AL$75,"",DA210:DL210),SUMIF('Monthly Summary'!$AA$74:$AL$74,"",DA210:DL210))</f>
        <v>0</v>
      </c>
      <c r="FK210" s="996">
        <f>IF($FG210="Opex",SUMIF('Monthly Summary'!$AM$75:$AX$75,"",DM210:DX210),SUMIF('Monthly Summary'!$AM$74:$AX$74,"",DM210:DX210))</f>
        <v>0</v>
      </c>
      <c r="FL210" s="996">
        <f>IF($FG210="Opex",SUMIF('Monthly Summary'!$AY$75:$BJ$75,"",DY210:EJ210),SUMIF('Monthly Summary'!$AY$74:$BJ$74,"",DY210:EJ210))</f>
        <v>0</v>
      </c>
      <c r="FM210" s="997">
        <f>IF($FG210="Opex",SUMIF('Monthly Summary'!$BK$75:$BV$75,"",EK210:EV210),SUMIF('Monthly Summary'!$BK$74:$BV$74,"",EK210:EV210))</f>
        <v>0</v>
      </c>
      <c r="FN210" s="997">
        <f t="shared" si="28"/>
        <v>0</v>
      </c>
    </row>
    <row r="211" spans="3:170">
      <c r="C211" s="757"/>
      <c r="D211" s="757"/>
      <c r="E211" s="758"/>
      <c r="F211" s="758"/>
      <c r="G211" s="758"/>
      <c r="H211" s="1215"/>
      <c r="I211" s="761"/>
      <c r="J211" s="761"/>
      <c r="K211" s="761"/>
      <c r="L211" s="761"/>
      <c r="M211" s="761"/>
      <c r="N211" s="761"/>
      <c r="O211" s="761"/>
      <c r="P211" s="761"/>
      <c r="Q211" s="761"/>
      <c r="R211" s="761"/>
      <c r="S211" s="1216"/>
      <c r="T211" s="1215"/>
      <c r="U211" s="761"/>
      <c r="V211" s="761"/>
      <c r="W211" s="761"/>
      <c r="X211" s="761"/>
      <c r="Y211" s="761"/>
      <c r="Z211" s="761"/>
      <c r="AA211" s="761"/>
      <c r="AB211" s="761"/>
      <c r="AC211" s="761"/>
      <c r="AD211" s="761"/>
      <c r="AE211" s="1216"/>
      <c r="AF211" s="1215"/>
      <c r="AG211" s="761"/>
      <c r="AH211" s="761"/>
      <c r="AI211" s="761"/>
      <c r="AJ211" s="761"/>
      <c r="AK211" s="761"/>
      <c r="AL211" s="761"/>
      <c r="AM211" s="761"/>
      <c r="AN211" s="761"/>
      <c r="AO211" s="761"/>
      <c r="AP211" s="761"/>
      <c r="AQ211" s="1216"/>
      <c r="AR211" s="1215"/>
      <c r="AS211" s="761"/>
      <c r="AT211" s="761"/>
      <c r="AU211" s="761"/>
      <c r="AV211" s="761"/>
      <c r="AW211" s="761"/>
      <c r="AX211" s="761"/>
      <c r="AY211" s="761"/>
      <c r="AZ211" s="761"/>
      <c r="BA211" s="761"/>
      <c r="BB211" s="761"/>
      <c r="BC211" s="1216"/>
      <c r="BD211" s="1215"/>
      <c r="BE211" s="761"/>
      <c r="BF211" s="761"/>
      <c r="BG211" s="761"/>
      <c r="BH211" s="761"/>
      <c r="BI211" s="761"/>
      <c r="BJ211" s="761"/>
      <c r="BK211" s="761"/>
      <c r="BL211" s="761"/>
      <c r="BM211" s="761"/>
      <c r="BN211" s="761"/>
      <c r="BO211" s="1216"/>
      <c r="BP211" s="1215"/>
      <c r="BQ211" s="761"/>
      <c r="BR211" s="761"/>
      <c r="BS211" s="761"/>
      <c r="BT211" s="761"/>
      <c r="BU211" s="761"/>
      <c r="BV211" s="761"/>
      <c r="BW211" s="761"/>
      <c r="BX211" s="761"/>
      <c r="BY211" s="761"/>
      <c r="BZ211" s="761"/>
      <c r="CA211" s="1216"/>
      <c r="CB211" s="747"/>
      <c r="CC211" s="1222">
        <f>$G211*H211*Variables!$B$53</f>
        <v>0</v>
      </c>
      <c r="CD211" s="1223">
        <f>$G211*I211*Variables!$B$53</f>
        <v>0</v>
      </c>
      <c r="CE211" s="1223">
        <f>$G211*J211*Variables!$B$53</f>
        <v>0</v>
      </c>
      <c r="CF211" s="1223">
        <f>$G211*K211*Variables!$B$53</f>
        <v>0</v>
      </c>
      <c r="CG211" s="1223">
        <f>$G211*L211*Variables!$B$53</f>
        <v>0</v>
      </c>
      <c r="CH211" s="1223">
        <f>$G211*M211*Variables!$B$53</f>
        <v>0</v>
      </c>
      <c r="CI211" s="1223">
        <f>$G211*N211*Variables!$B$53</f>
        <v>0</v>
      </c>
      <c r="CJ211" s="1223">
        <f>$G211*O211*Variables!$B$53</f>
        <v>0</v>
      </c>
      <c r="CK211" s="1223">
        <f>$G211*P211*Variables!$B$53</f>
        <v>0</v>
      </c>
      <c r="CL211" s="1223">
        <f>$G211*Q211*Variables!$B$53</f>
        <v>0</v>
      </c>
      <c r="CM211" s="1223">
        <f>$G211*R211*Variables!$B$53</f>
        <v>0</v>
      </c>
      <c r="CN211" s="1225">
        <f>$G211*S211*Variables!$B$53</f>
        <v>0</v>
      </c>
      <c r="CO211" s="1222">
        <f>$G211*T211*Variables!$B$53*HLOOKUP($CO$2,Variables!$B$60:$F$61,2,FALSE)</f>
        <v>0</v>
      </c>
      <c r="CP211" s="1223">
        <f>$G211*U211*Variables!$B$53*HLOOKUP($CO$2,Variables!$B$60:$F$61,2,FALSE)</f>
        <v>0</v>
      </c>
      <c r="CQ211" s="1223">
        <f>$G211*V211*Variables!$B$53*HLOOKUP($CO$2,Variables!$B$60:$F$61,2,FALSE)</f>
        <v>0</v>
      </c>
      <c r="CR211" s="1223">
        <f>$G211*W211*Variables!$B$53*HLOOKUP($CO$2,Variables!$B$60:$F$61,2,FALSE)</f>
        <v>0</v>
      </c>
      <c r="CS211" s="1223">
        <f>$G211*X211*Variables!$B$53*HLOOKUP($CO$2,Variables!$B$60:$F$61,2,FALSE)</f>
        <v>0</v>
      </c>
      <c r="CT211" s="1223">
        <f>$G211*Y211*Variables!$B$53*HLOOKUP($CO$2,Variables!$B$60:$F$61,2,FALSE)</f>
        <v>0</v>
      </c>
      <c r="CU211" s="1223">
        <f>$G211*Z211*Variables!$B$53*HLOOKUP($CO$2,Variables!$B$60:$F$61,2,FALSE)</f>
        <v>0</v>
      </c>
      <c r="CV211" s="1223">
        <f>$G211*AA211*Variables!$B$53*HLOOKUP($CO$2,Variables!$B$60:$F$61,2,FALSE)</f>
        <v>0</v>
      </c>
      <c r="CW211" s="1223">
        <f>$G211*AB211*Variables!$B$53*HLOOKUP($CO$2,Variables!$B$60:$F$61,2,FALSE)</f>
        <v>0</v>
      </c>
      <c r="CX211" s="1223">
        <f>$G211*AC211*Variables!$B$53*HLOOKUP($CO$2,Variables!$B$60:$F$61,2,FALSE)</f>
        <v>0</v>
      </c>
      <c r="CY211" s="1223">
        <f>$G211*AD211*Variables!$B$53*HLOOKUP($CO$2,Variables!$B$60:$F$61,2,FALSE)</f>
        <v>0</v>
      </c>
      <c r="CZ211" s="1225">
        <f>$G211*AE211*Variables!$B$53*HLOOKUP($CO$2,Variables!$B$60:$F$61,2,FALSE)</f>
        <v>0</v>
      </c>
      <c r="DA211" s="1222">
        <f>$G211*AF211*Variables!$B$53*HLOOKUP($DA$2,Variables!$B$60:$F$61,2,FALSE)</f>
        <v>0</v>
      </c>
      <c r="DB211" s="1223">
        <f>$G211*AG211*Variables!$B$53*HLOOKUP($DA$2,Variables!$B$60:$F$61,2,FALSE)</f>
        <v>0</v>
      </c>
      <c r="DC211" s="1223">
        <f>$G211*AH211*Variables!$B$53*HLOOKUP($DA$2,Variables!$B$60:$F$61,2,FALSE)</f>
        <v>0</v>
      </c>
      <c r="DD211" s="1223">
        <f>$G211*AI211*Variables!$B$53*HLOOKUP($DA$2,Variables!$B$60:$F$61,2,FALSE)</f>
        <v>0</v>
      </c>
      <c r="DE211" s="1223">
        <f>$G211*AJ211*Variables!$B$53*HLOOKUP($DA$2,Variables!$B$60:$F$61,2,FALSE)</f>
        <v>0</v>
      </c>
      <c r="DF211" s="1223">
        <f>$G211*AK211*Variables!$B$53*HLOOKUP($DA$2,Variables!$B$60:$F$61,2,FALSE)</f>
        <v>0</v>
      </c>
      <c r="DG211" s="1223">
        <f>$G211*AL211*Variables!$B$53*HLOOKUP($DA$2,Variables!$B$60:$F$61,2,FALSE)</f>
        <v>0</v>
      </c>
      <c r="DH211" s="1223">
        <f>$G211*AM211*Variables!$B$53*HLOOKUP($DA$2,Variables!$B$60:$F$61,2,FALSE)</f>
        <v>0</v>
      </c>
      <c r="DI211" s="1223">
        <f>$G211*AN211*Variables!$B$53*HLOOKUP($DA$2,Variables!$B$60:$F$61,2,FALSE)</f>
        <v>0</v>
      </c>
      <c r="DJ211" s="1223">
        <f>$G211*AO211*Variables!$B$53*HLOOKUP($DA$2,Variables!$B$60:$F$61,2,FALSE)</f>
        <v>0</v>
      </c>
      <c r="DK211" s="1223">
        <f>$G211*AP211*Variables!$B$53*HLOOKUP($DA$2,Variables!$B$60:$F$61,2,FALSE)</f>
        <v>0</v>
      </c>
      <c r="DL211" s="1225">
        <f>$G211*AQ211*Variables!$B$53*HLOOKUP($DA$2,Variables!$B$60:$F$61,2,FALSE)</f>
        <v>0</v>
      </c>
      <c r="DM211" s="1222">
        <f>$G211*AR211*Variables!$B$53*HLOOKUP($DM$2,Variables!$B$60:$F$61,2,FALSE)</f>
        <v>0</v>
      </c>
      <c r="DN211" s="1223">
        <f>$G211*AS211*Variables!$B$53*HLOOKUP($DM$2,Variables!$B$60:$F$61,2,FALSE)</f>
        <v>0</v>
      </c>
      <c r="DO211" s="1223">
        <f>$G211*AT211*Variables!$B$53*HLOOKUP($DM$2,Variables!$B$60:$F$61,2,FALSE)</f>
        <v>0</v>
      </c>
      <c r="DP211" s="1223">
        <f>$G211*AU211*Variables!$B$53*HLOOKUP($DM$2,Variables!$B$60:$F$61,2,FALSE)</f>
        <v>0</v>
      </c>
      <c r="DQ211" s="1223">
        <f>$G211*AV211*Variables!$B$53*HLOOKUP($DM$2,Variables!$B$60:$F$61,2,FALSE)</f>
        <v>0</v>
      </c>
      <c r="DR211" s="1223">
        <f>$G211*AW211*Variables!$B$53*HLOOKUP($DM$2,Variables!$B$60:$F$61,2,FALSE)</f>
        <v>0</v>
      </c>
      <c r="DS211" s="1223">
        <f>$G211*AX211*Variables!$B$53*HLOOKUP($DM$2,Variables!$B$60:$F$61,2,FALSE)</f>
        <v>0</v>
      </c>
      <c r="DT211" s="1223">
        <f>$G211*AY211*Variables!$B$53*HLOOKUP($DM$2,Variables!$B$60:$F$61,2,FALSE)</f>
        <v>0</v>
      </c>
      <c r="DU211" s="1223">
        <f>$G211*AZ211*Variables!$B$53*HLOOKUP($DM$2,Variables!$B$60:$F$61,2,FALSE)</f>
        <v>0</v>
      </c>
      <c r="DV211" s="1223">
        <f>$G211*BA211*Variables!$B$53*HLOOKUP($DM$2,Variables!$B$60:$F$61,2,FALSE)</f>
        <v>0</v>
      </c>
      <c r="DW211" s="1223">
        <f>$G211*BB211*Variables!$B$53*HLOOKUP($DM$2,Variables!$B$60:$F$61,2,FALSE)</f>
        <v>0</v>
      </c>
      <c r="DX211" s="1225">
        <f>$G211*BC211*Variables!$B$53*HLOOKUP($DM$2,Variables!$B$60:$F$61,2,FALSE)</f>
        <v>0</v>
      </c>
      <c r="DY211" s="1222">
        <f>$G211*BD211*Variables!$B$53*HLOOKUP($DY$2,Variables!$B$60:$F$61,2,FALSE)</f>
        <v>0</v>
      </c>
      <c r="DZ211" s="1223">
        <f>$G211*BE211*Variables!$B$53*HLOOKUP($DY$2,Variables!$B$60:$F$61,2,FALSE)</f>
        <v>0</v>
      </c>
      <c r="EA211" s="1223">
        <f>$G211*BF211*Variables!$B$53*HLOOKUP($DY$2,Variables!$B$60:$F$61,2,FALSE)</f>
        <v>0</v>
      </c>
      <c r="EB211" s="1223">
        <f>$G211*BG211*Variables!$B$53*HLOOKUP($DY$2,Variables!$B$60:$F$61,2,FALSE)</f>
        <v>0</v>
      </c>
      <c r="EC211" s="1223">
        <f>$G211*BH211*Variables!$B$53*HLOOKUP($DY$2,Variables!$B$60:$F$61,2,FALSE)</f>
        <v>0</v>
      </c>
      <c r="ED211" s="1223">
        <f>$G211*BI211*Variables!$B$53*HLOOKUP($DY$2,Variables!$B$60:$F$61,2,FALSE)</f>
        <v>0</v>
      </c>
      <c r="EE211" s="1223">
        <f>$G211*BJ211*Variables!$B$53*HLOOKUP($DY$2,Variables!$B$60:$F$61,2,FALSE)</f>
        <v>0</v>
      </c>
      <c r="EF211" s="1223">
        <f>$G211*BK211*Variables!$B$53*HLOOKUP($DY$2,Variables!$B$60:$F$61,2,FALSE)</f>
        <v>0</v>
      </c>
      <c r="EG211" s="1223">
        <f>$G211*BL211*Variables!$B$53*HLOOKUP($DY$2,Variables!$B$60:$F$61,2,FALSE)</f>
        <v>0</v>
      </c>
      <c r="EH211" s="1223">
        <f>$G211*BM211*Variables!$B$53*HLOOKUP($DY$2,Variables!$B$60:$F$61,2,FALSE)</f>
        <v>0</v>
      </c>
      <c r="EI211" s="1223">
        <f>$G211*BN211*Variables!$B$53*HLOOKUP($DY$2,Variables!$B$60:$F$61,2,FALSE)</f>
        <v>0</v>
      </c>
      <c r="EJ211" s="1225">
        <f>$G211*BO211*Variables!$B$53*HLOOKUP($DY$2,Variables!$B$60:$F$61,2,FALSE)</f>
        <v>0</v>
      </c>
      <c r="EK211" s="1222">
        <f>$G211*BP211*Variables!$B$53*HLOOKUP($EK$2,Variables!$B$60:$F$61,2,FALSE)</f>
        <v>0</v>
      </c>
      <c r="EL211" s="1223">
        <f>$G211*BQ211*Variables!$B$53*HLOOKUP($EK$2,Variables!$B$60:$F$61,2,FALSE)</f>
        <v>0</v>
      </c>
      <c r="EM211" s="1223">
        <f>$G211*BR211*Variables!$B$53*HLOOKUP($EK$2,Variables!$B$60:$F$61,2,FALSE)</f>
        <v>0</v>
      </c>
      <c r="EN211" s="1223">
        <f>$G211*BS211*Variables!$B$53*HLOOKUP($EK$2,Variables!$B$60:$F$61,2,FALSE)</f>
        <v>0</v>
      </c>
      <c r="EO211" s="1223">
        <f>$G211*BT211*Variables!$B$53*HLOOKUP($EK$2,Variables!$B$60:$F$61,2,FALSE)</f>
        <v>0</v>
      </c>
      <c r="EP211" s="1223">
        <f>$G211*BU211*Variables!$B$53*HLOOKUP($EK$2,Variables!$B$60:$F$61,2,FALSE)</f>
        <v>0</v>
      </c>
      <c r="EQ211" s="1223">
        <f>$G211*BV211*Variables!$B$53*HLOOKUP($EK$2,Variables!$B$60:$F$61,2,FALSE)</f>
        <v>0</v>
      </c>
      <c r="ER211" s="1223">
        <f>$G211*BW211*Variables!$B$53*HLOOKUP($EK$2,Variables!$B$60:$F$61,2,FALSE)</f>
        <v>0</v>
      </c>
      <c r="ES211" s="1223">
        <f>$G211*BX211*Variables!$B$53*HLOOKUP($EK$2,Variables!$B$60:$F$61,2,FALSE)</f>
        <v>0</v>
      </c>
      <c r="ET211" s="1223">
        <f>$G211*BY211*Variables!$B$53*HLOOKUP($EK$2,Variables!$B$60:$F$61,2,FALSE)</f>
        <v>0</v>
      </c>
      <c r="EU211" s="1223">
        <f>$G211*BZ211*Variables!$B$53*HLOOKUP($EK$2,Variables!$B$60:$F$61,2,FALSE)</f>
        <v>0</v>
      </c>
      <c r="EV211" s="1225">
        <f>$G211*CA211*Variables!$B$53*HLOOKUP($EK$2,Variables!$B$60:$F$61,2,FALSE)</f>
        <v>0</v>
      </c>
      <c r="EW211" s="872">
        <f t="shared" si="24"/>
        <v>0</v>
      </c>
      <c r="EX211" s="872"/>
      <c r="EY211" s="872"/>
      <c r="EZ211" s="872"/>
      <c r="FA211" s="1332"/>
      <c r="FC211" s="958" t="str">
        <f t="shared" si="25"/>
        <v/>
      </c>
      <c r="FD211" s="959" t="str">
        <f t="shared" si="26"/>
        <v/>
      </c>
      <c r="FE211" s="959" t="s">
        <v>8407</v>
      </c>
      <c r="FF211" s="959" t="str">
        <f>IF(ISNA(VLOOKUP(FC211,Miscellaneous!E:F,2,0)),"",VLOOKUP(FC211,Miscellaneous!E:F,2,0))</f>
        <v/>
      </c>
      <c r="FG211" s="959" t="str">
        <f t="shared" si="27"/>
        <v/>
      </c>
      <c r="FH211" s="996">
        <f>IF($FG211="Opex",SUMIF('Monthly Summary'!$C$75:$N$75,"",CC211:CN211),SUMIF('Monthly Summary'!$C$74:$N$74,"",CC211:CN211))</f>
        <v>0</v>
      </c>
      <c r="FI211" s="996">
        <f>IF($FG211="Opex",SUMIF('Monthly Summary'!$O$75:$Z$75,"",CO211:CZ211),SUMIF('Monthly Summary'!$O$74:$Z$74,"",CO211:CZ211))</f>
        <v>0</v>
      </c>
      <c r="FJ211" s="996">
        <f>IF($FG211="Opex",SUMIF('Monthly Summary'!$AA$75:$AL$75,"",DA211:DL211),SUMIF('Monthly Summary'!$AA$74:$AL$74,"",DA211:DL211))</f>
        <v>0</v>
      </c>
      <c r="FK211" s="996">
        <f>IF($FG211="Opex",SUMIF('Monthly Summary'!$AM$75:$AX$75,"",DM211:DX211),SUMIF('Monthly Summary'!$AM$74:$AX$74,"",DM211:DX211))</f>
        <v>0</v>
      </c>
      <c r="FL211" s="996">
        <f>IF($FG211="Opex",SUMIF('Monthly Summary'!$AY$75:$BJ$75,"",DY211:EJ211),SUMIF('Monthly Summary'!$AY$74:$BJ$74,"",DY211:EJ211))</f>
        <v>0</v>
      </c>
      <c r="FM211" s="997">
        <f>IF($FG211="Opex",SUMIF('Monthly Summary'!$BK$75:$BV$75,"",EK211:EV211),SUMIF('Monthly Summary'!$BK$74:$BV$74,"",EK211:EV211))</f>
        <v>0</v>
      </c>
      <c r="FN211" s="997">
        <f t="shared" si="28"/>
        <v>0</v>
      </c>
    </row>
    <row r="212" spans="3:170">
      <c r="C212" s="757"/>
      <c r="D212" s="757"/>
      <c r="E212" s="758"/>
      <c r="F212" s="758"/>
      <c r="G212" s="758"/>
      <c r="H212" s="1215"/>
      <c r="I212" s="761"/>
      <c r="J212" s="761"/>
      <c r="K212" s="761"/>
      <c r="L212" s="761"/>
      <c r="M212" s="761"/>
      <c r="N212" s="761"/>
      <c r="O212" s="761"/>
      <c r="P212" s="761"/>
      <c r="Q212" s="761"/>
      <c r="R212" s="761"/>
      <c r="S212" s="1216"/>
      <c r="T212" s="1215"/>
      <c r="U212" s="761"/>
      <c r="V212" s="761"/>
      <c r="W212" s="761"/>
      <c r="X212" s="761"/>
      <c r="Y212" s="761"/>
      <c r="Z212" s="761"/>
      <c r="AA212" s="761"/>
      <c r="AB212" s="761"/>
      <c r="AC212" s="761"/>
      <c r="AD212" s="761"/>
      <c r="AE212" s="1216"/>
      <c r="AF212" s="1215"/>
      <c r="AG212" s="761"/>
      <c r="AH212" s="761"/>
      <c r="AI212" s="761"/>
      <c r="AJ212" s="761"/>
      <c r="AK212" s="761"/>
      <c r="AL212" s="761"/>
      <c r="AM212" s="761"/>
      <c r="AN212" s="761"/>
      <c r="AO212" s="761"/>
      <c r="AP212" s="761"/>
      <c r="AQ212" s="1216"/>
      <c r="AR212" s="1215"/>
      <c r="AS212" s="761"/>
      <c r="AT212" s="761"/>
      <c r="AU212" s="761"/>
      <c r="AV212" s="761"/>
      <c r="AW212" s="761"/>
      <c r="AX212" s="761"/>
      <c r="AY212" s="761"/>
      <c r="AZ212" s="761"/>
      <c r="BA212" s="761"/>
      <c r="BB212" s="761"/>
      <c r="BC212" s="1216"/>
      <c r="BD212" s="1215"/>
      <c r="BE212" s="761"/>
      <c r="BF212" s="761"/>
      <c r="BG212" s="761"/>
      <c r="BH212" s="761"/>
      <c r="BI212" s="761"/>
      <c r="BJ212" s="761"/>
      <c r="BK212" s="761"/>
      <c r="BL212" s="761"/>
      <c r="BM212" s="761"/>
      <c r="BN212" s="761"/>
      <c r="BO212" s="1216"/>
      <c r="BP212" s="1215"/>
      <c r="BQ212" s="761"/>
      <c r="BR212" s="761"/>
      <c r="BS212" s="761"/>
      <c r="BT212" s="761"/>
      <c r="BU212" s="761"/>
      <c r="BV212" s="761"/>
      <c r="BW212" s="761"/>
      <c r="BX212" s="761"/>
      <c r="BY212" s="761"/>
      <c r="BZ212" s="761"/>
      <c r="CA212" s="1216"/>
      <c r="CB212" s="747"/>
      <c r="CC212" s="1222">
        <f>$G212*H212*Variables!$B$53</f>
        <v>0</v>
      </c>
      <c r="CD212" s="1223">
        <f>$G212*I212*Variables!$B$53</f>
        <v>0</v>
      </c>
      <c r="CE212" s="1223">
        <f>$G212*J212*Variables!$B$53</f>
        <v>0</v>
      </c>
      <c r="CF212" s="1223">
        <f>$G212*K212*Variables!$B$53</f>
        <v>0</v>
      </c>
      <c r="CG212" s="1223">
        <f>$G212*L212*Variables!$B$53</f>
        <v>0</v>
      </c>
      <c r="CH212" s="1223">
        <f>$G212*M212*Variables!$B$53</f>
        <v>0</v>
      </c>
      <c r="CI212" s="1223">
        <f>$G212*N212*Variables!$B$53</f>
        <v>0</v>
      </c>
      <c r="CJ212" s="1223">
        <f>$G212*O212*Variables!$B$53</f>
        <v>0</v>
      </c>
      <c r="CK212" s="1223">
        <f>$G212*P212*Variables!$B$53</f>
        <v>0</v>
      </c>
      <c r="CL212" s="1223">
        <f>$G212*Q212*Variables!$B$53</f>
        <v>0</v>
      </c>
      <c r="CM212" s="1223">
        <f>$G212*R212*Variables!$B$53</f>
        <v>0</v>
      </c>
      <c r="CN212" s="1225">
        <f>$G212*S212*Variables!$B$53</f>
        <v>0</v>
      </c>
      <c r="CO212" s="1222">
        <f>$G212*T212*Variables!$B$53*HLOOKUP($CO$2,Variables!$B$60:$F$61,2,FALSE)</f>
        <v>0</v>
      </c>
      <c r="CP212" s="1223">
        <f>$G212*U212*Variables!$B$53*HLOOKUP($CO$2,Variables!$B$60:$F$61,2,FALSE)</f>
        <v>0</v>
      </c>
      <c r="CQ212" s="1223">
        <f>$G212*V212*Variables!$B$53*HLOOKUP($CO$2,Variables!$B$60:$F$61,2,FALSE)</f>
        <v>0</v>
      </c>
      <c r="CR212" s="1223">
        <f>$G212*W212*Variables!$B$53*HLOOKUP($CO$2,Variables!$B$60:$F$61,2,FALSE)</f>
        <v>0</v>
      </c>
      <c r="CS212" s="1223">
        <f>$G212*X212*Variables!$B$53*HLOOKUP($CO$2,Variables!$B$60:$F$61,2,FALSE)</f>
        <v>0</v>
      </c>
      <c r="CT212" s="1223">
        <f>$G212*Y212*Variables!$B$53*HLOOKUP($CO$2,Variables!$B$60:$F$61,2,FALSE)</f>
        <v>0</v>
      </c>
      <c r="CU212" s="1223">
        <f>$G212*Z212*Variables!$B$53*HLOOKUP($CO$2,Variables!$B$60:$F$61,2,FALSE)</f>
        <v>0</v>
      </c>
      <c r="CV212" s="1223">
        <f>$G212*AA212*Variables!$B$53*HLOOKUP($CO$2,Variables!$B$60:$F$61,2,FALSE)</f>
        <v>0</v>
      </c>
      <c r="CW212" s="1223">
        <f>$G212*AB212*Variables!$B$53*HLOOKUP($CO$2,Variables!$B$60:$F$61,2,FALSE)</f>
        <v>0</v>
      </c>
      <c r="CX212" s="1223">
        <f>$G212*AC212*Variables!$B$53*HLOOKUP($CO$2,Variables!$B$60:$F$61,2,FALSE)</f>
        <v>0</v>
      </c>
      <c r="CY212" s="1223">
        <f>$G212*AD212*Variables!$B$53*HLOOKUP($CO$2,Variables!$B$60:$F$61,2,FALSE)</f>
        <v>0</v>
      </c>
      <c r="CZ212" s="1225">
        <f>$G212*AE212*Variables!$B$53*HLOOKUP($CO$2,Variables!$B$60:$F$61,2,FALSE)</f>
        <v>0</v>
      </c>
      <c r="DA212" s="1222">
        <f>$G212*AF212*Variables!$B$53*HLOOKUP($DA$2,Variables!$B$60:$F$61,2,FALSE)</f>
        <v>0</v>
      </c>
      <c r="DB212" s="1223">
        <f>$G212*AG212*Variables!$B$53*HLOOKUP($DA$2,Variables!$B$60:$F$61,2,FALSE)</f>
        <v>0</v>
      </c>
      <c r="DC212" s="1223">
        <f>$G212*AH212*Variables!$B$53*HLOOKUP($DA$2,Variables!$B$60:$F$61,2,FALSE)</f>
        <v>0</v>
      </c>
      <c r="DD212" s="1223">
        <f>$G212*AI212*Variables!$B$53*HLOOKUP($DA$2,Variables!$B$60:$F$61,2,FALSE)</f>
        <v>0</v>
      </c>
      <c r="DE212" s="1223">
        <f>$G212*AJ212*Variables!$B$53*HLOOKUP($DA$2,Variables!$B$60:$F$61,2,FALSE)</f>
        <v>0</v>
      </c>
      <c r="DF212" s="1223">
        <f>$G212*AK212*Variables!$B$53*HLOOKUP($DA$2,Variables!$B$60:$F$61,2,FALSE)</f>
        <v>0</v>
      </c>
      <c r="DG212" s="1223">
        <f>$G212*AL212*Variables!$B$53*HLOOKUP($DA$2,Variables!$B$60:$F$61,2,FALSE)</f>
        <v>0</v>
      </c>
      <c r="DH212" s="1223">
        <f>$G212*AM212*Variables!$B$53*HLOOKUP($DA$2,Variables!$B$60:$F$61,2,FALSE)</f>
        <v>0</v>
      </c>
      <c r="DI212" s="1223">
        <f>$G212*AN212*Variables!$B$53*HLOOKUP($DA$2,Variables!$B$60:$F$61,2,FALSE)</f>
        <v>0</v>
      </c>
      <c r="DJ212" s="1223">
        <f>$G212*AO212*Variables!$B$53*HLOOKUP($DA$2,Variables!$B$60:$F$61,2,FALSE)</f>
        <v>0</v>
      </c>
      <c r="DK212" s="1223">
        <f>$G212*AP212*Variables!$B$53*HLOOKUP($DA$2,Variables!$B$60:$F$61,2,FALSE)</f>
        <v>0</v>
      </c>
      <c r="DL212" s="1225">
        <f>$G212*AQ212*Variables!$B$53*HLOOKUP($DA$2,Variables!$B$60:$F$61,2,FALSE)</f>
        <v>0</v>
      </c>
      <c r="DM212" s="1222">
        <f>$G212*AR212*Variables!$B$53*HLOOKUP($DM$2,Variables!$B$60:$F$61,2,FALSE)</f>
        <v>0</v>
      </c>
      <c r="DN212" s="1223">
        <f>$G212*AS212*Variables!$B$53*HLOOKUP($DM$2,Variables!$B$60:$F$61,2,FALSE)</f>
        <v>0</v>
      </c>
      <c r="DO212" s="1223">
        <f>$G212*AT212*Variables!$B$53*HLOOKUP($DM$2,Variables!$B$60:$F$61,2,FALSE)</f>
        <v>0</v>
      </c>
      <c r="DP212" s="1223">
        <f>$G212*AU212*Variables!$B$53*HLOOKUP($DM$2,Variables!$B$60:$F$61,2,FALSE)</f>
        <v>0</v>
      </c>
      <c r="DQ212" s="1223">
        <f>$G212*AV212*Variables!$B$53*HLOOKUP($DM$2,Variables!$B$60:$F$61,2,FALSE)</f>
        <v>0</v>
      </c>
      <c r="DR212" s="1223">
        <f>$G212*AW212*Variables!$B$53*HLOOKUP($DM$2,Variables!$B$60:$F$61,2,FALSE)</f>
        <v>0</v>
      </c>
      <c r="DS212" s="1223">
        <f>$G212*AX212*Variables!$B$53*HLOOKUP($DM$2,Variables!$B$60:$F$61,2,FALSE)</f>
        <v>0</v>
      </c>
      <c r="DT212" s="1223">
        <f>$G212*AY212*Variables!$B$53*HLOOKUP($DM$2,Variables!$B$60:$F$61,2,FALSE)</f>
        <v>0</v>
      </c>
      <c r="DU212" s="1223">
        <f>$G212*AZ212*Variables!$B$53*HLOOKUP($DM$2,Variables!$B$60:$F$61,2,FALSE)</f>
        <v>0</v>
      </c>
      <c r="DV212" s="1223">
        <f>$G212*BA212*Variables!$B$53*HLOOKUP($DM$2,Variables!$B$60:$F$61,2,FALSE)</f>
        <v>0</v>
      </c>
      <c r="DW212" s="1223">
        <f>$G212*BB212*Variables!$B$53*HLOOKUP($DM$2,Variables!$B$60:$F$61,2,FALSE)</f>
        <v>0</v>
      </c>
      <c r="DX212" s="1225">
        <f>$G212*BC212*Variables!$B$53*HLOOKUP($DM$2,Variables!$B$60:$F$61,2,FALSE)</f>
        <v>0</v>
      </c>
      <c r="DY212" s="1222">
        <f>$G212*BD212*Variables!$B$53*HLOOKUP($DY$2,Variables!$B$60:$F$61,2,FALSE)</f>
        <v>0</v>
      </c>
      <c r="DZ212" s="1223">
        <f>$G212*BE212*Variables!$B$53*HLOOKUP($DY$2,Variables!$B$60:$F$61,2,FALSE)</f>
        <v>0</v>
      </c>
      <c r="EA212" s="1223">
        <f>$G212*BF212*Variables!$B$53*HLOOKUP($DY$2,Variables!$B$60:$F$61,2,FALSE)</f>
        <v>0</v>
      </c>
      <c r="EB212" s="1223">
        <f>$G212*BG212*Variables!$B$53*HLOOKUP($DY$2,Variables!$B$60:$F$61,2,FALSE)</f>
        <v>0</v>
      </c>
      <c r="EC212" s="1223">
        <f>$G212*BH212*Variables!$B$53*HLOOKUP($DY$2,Variables!$B$60:$F$61,2,FALSE)</f>
        <v>0</v>
      </c>
      <c r="ED212" s="1223">
        <f>$G212*BI212*Variables!$B$53*HLOOKUP($DY$2,Variables!$B$60:$F$61,2,FALSE)</f>
        <v>0</v>
      </c>
      <c r="EE212" s="1223">
        <f>$G212*BJ212*Variables!$B$53*HLOOKUP($DY$2,Variables!$B$60:$F$61,2,FALSE)</f>
        <v>0</v>
      </c>
      <c r="EF212" s="1223">
        <f>$G212*BK212*Variables!$B$53*HLOOKUP($DY$2,Variables!$B$60:$F$61,2,FALSE)</f>
        <v>0</v>
      </c>
      <c r="EG212" s="1223">
        <f>$G212*BL212*Variables!$B$53*HLOOKUP($DY$2,Variables!$B$60:$F$61,2,FALSE)</f>
        <v>0</v>
      </c>
      <c r="EH212" s="1223">
        <f>$G212*BM212*Variables!$B$53*HLOOKUP($DY$2,Variables!$B$60:$F$61,2,FALSE)</f>
        <v>0</v>
      </c>
      <c r="EI212" s="1223">
        <f>$G212*BN212*Variables!$B$53*HLOOKUP($DY$2,Variables!$B$60:$F$61,2,FALSE)</f>
        <v>0</v>
      </c>
      <c r="EJ212" s="1225">
        <f>$G212*BO212*Variables!$B$53*HLOOKUP($DY$2,Variables!$B$60:$F$61,2,FALSE)</f>
        <v>0</v>
      </c>
      <c r="EK212" s="1222">
        <f>$G212*BP212*Variables!$B$53*HLOOKUP($EK$2,Variables!$B$60:$F$61,2,FALSE)</f>
        <v>0</v>
      </c>
      <c r="EL212" s="1223">
        <f>$G212*BQ212*Variables!$B$53*HLOOKUP($EK$2,Variables!$B$60:$F$61,2,FALSE)</f>
        <v>0</v>
      </c>
      <c r="EM212" s="1223">
        <f>$G212*BR212*Variables!$B$53*HLOOKUP($EK$2,Variables!$B$60:$F$61,2,FALSE)</f>
        <v>0</v>
      </c>
      <c r="EN212" s="1223">
        <f>$G212*BS212*Variables!$B$53*HLOOKUP($EK$2,Variables!$B$60:$F$61,2,FALSE)</f>
        <v>0</v>
      </c>
      <c r="EO212" s="1223">
        <f>$G212*BT212*Variables!$B$53*HLOOKUP($EK$2,Variables!$B$60:$F$61,2,FALSE)</f>
        <v>0</v>
      </c>
      <c r="EP212" s="1223">
        <f>$G212*BU212*Variables!$B$53*HLOOKUP($EK$2,Variables!$B$60:$F$61,2,FALSE)</f>
        <v>0</v>
      </c>
      <c r="EQ212" s="1223">
        <f>$G212*BV212*Variables!$B$53*HLOOKUP($EK$2,Variables!$B$60:$F$61,2,FALSE)</f>
        <v>0</v>
      </c>
      <c r="ER212" s="1223">
        <f>$G212*BW212*Variables!$B$53*HLOOKUP($EK$2,Variables!$B$60:$F$61,2,FALSE)</f>
        <v>0</v>
      </c>
      <c r="ES212" s="1223">
        <f>$G212*BX212*Variables!$B$53*HLOOKUP($EK$2,Variables!$B$60:$F$61,2,FALSE)</f>
        <v>0</v>
      </c>
      <c r="ET212" s="1223">
        <f>$G212*BY212*Variables!$B$53*HLOOKUP($EK$2,Variables!$B$60:$F$61,2,FALSE)</f>
        <v>0</v>
      </c>
      <c r="EU212" s="1223">
        <f>$G212*BZ212*Variables!$B$53*HLOOKUP($EK$2,Variables!$B$60:$F$61,2,FALSE)</f>
        <v>0</v>
      </c>
      <c r="EV212" s="1225">
        <f>$G212*CA212*Variables!$B$53*HLOOKUP($EK$2,Variables!$B$60:$F$61,2,FALSE)</f>
        <v>0</v>
      </c>
      <c r="EW212" s="872">
        <f t="shared" si="24"/>
        <v>0</v>
      </c>
      <c r="EX212" s="872"/>
      <c r="EY212" s="872"/>
      <c r="EZ212" s="872"/>
      <c r="FA212" s="1332"/>
      <c r="FC212" s="958" t="str">
        <f t="shared" si="25"/>
        <v/>
      </c>
      <c r="FD212" s="959" t="str">
        <f t="shared" si="26"/>
        <v/>
      </c>
      <c r="FE212" s="959" t="s">
        <v>8407</v>
      </c>
      <c r="FF212" s="959" t="str">
        <f>IF(ISNA(VLOOKUP(FC212,Miscellaneous!E:F,2,0)),"",VLOOKUP(FC212,Miscellaneous!E:F,2,0))</f>
        <v/>
      </c>
      <c r="FG212" s="959" t="str">
        <f t="shared" si="27"/>
        <v/>
      </c>
      <c r="FH212" s="996">
        <f>IF($FG212="Opex",SUMIF('Monthly Summary'!$C$75:$N$75,"",CC212:CN212),SUMIF('Monthly Summary'!$C$74:$N$74,"",CC212:CN212))</f>
        <v>0</v>
      </c>
      <c r="FI212" s="996">
        <f>IF($FG212="Opex",SUMIF('Monthly Summary'!$O$75:$Z$75,"",CO212:CZ212),SUMIF('Monthly Summary'!$O$74:$Z$74,"",CO212:CZ212))</f>
        <v>0</v>
      </c>
      <c r="FJ212" s="996">
        <f>IF($FG212="Opex",SUMIF('Monthly Summary'!$AA$75:$AL$75,"",DA212:DL212),SUMIF('Monthly Summary'!$AA$74:$AL$74,"",DA212:DL212))</f>
        <v>0</v>
      </c>
      <c r="FK212" s="996">
        <f>IF($FG212="Opex",SUMIF('Monthly Summary'!$AM$75:$AX$75,"",DM212:DX212),SUMIF('Monthly Summary'!$AM$74:$AX$74,"",DM212:DX212))</f>
        <v>0</v>
      </c>
      <c r="FL212" s="996">
        <f>IF($FG212="Opex",SUMIF('Monthly Summary'!$AY$75:$BJ$75,"",DY212:EJ212),SUMIF('Monthly Summary'!$AY$74:$BJ$74,"",DY212:EJ212))</f>
        <v>0</v>
      </c>
      <c r="FM212" s="997">
        <f>IF($FG212="Opex",SUMIF('Monthly Summary'!$BK$75:$BV$75,"",EK212:EV212),SUMIF('Monthly Summary'!$BK$74:$BV$74,"",EK212:EV212))</f>
        <v>0</v>
      </c>
      <c r="FN212" s="997">
        <f t="shared" si="28"/>
        <v>0</v>
      </c>
    </row>
    <row r="213" spans="3:170">
      <c r="C213" s="757"/>
      <c r="D213" s="757"/>
      <c r="E213" s="758"/>
      <c r="F213" s="758"/>
      <c r="G213" s="758"/>
      <c r="H213" s="1215"/>
      <c r="I213" s="761"/>
      <c r="J213" s="761"/>
      <c r="K213" s="761"/>
      <c r="L213" s="761"/>
      <c r="M213" s="761"/>
      <c r="N213" s="761"/>
      <c r="O213" s="761"/>
      <c r="P213" s="761"/>
      <c r="Q213" s="761"/>
      <c r="R213" s="761"/>
      <c r="S213" s="1216"/>
      <c r="T213" s="1215"/>
      <c r="U213" s="761"/>
      <c r="V213" s="761"/>
      <c r="W213" s="761"/>
      <c r="X213" s="761"/>
      <c r="Y213" s="761"/>
      <c r="Z213" s="761"/>
      <c r="AA213" s="761"/>
      <c r="AB213" s="761"/>
      <c r="AC213" s="761"/>
      <c r="AD213" s="761"/>
      <c r="AE213" s="1216"/>
      <c r="AF213" s="1215"/>
      <c r="AG213" s="761"/>
      <c r="AH213" s="761"/>
      <c r="AI213" s="761"/>
      <c r="AJ213" s="761"/>
      <c r="AK213" s="761"/>
      <c r="AL213" s="761"/>
      <c r="AM213" s="761"/>
      <c r="AN213" s="761"/>
      <c r="AO213" s="761"/>
      <c r="AP213" s="761"/>
      <c r="AQ213" s="1216"/>
      <c r="AR213" s="1215"/>
      <c r="AS213" s="761"/>
      <c r="AT213" s="761"/>
      <c r="AU213" s="761"/>
      <c r="AV213" s="761"/>
      <c r="AW213" s="761"/>
      <c r="AX213" s="761"/>
      <c r="AY213" s="761"/>
      <c r="AZ213" s="761"/>
      <c r="BA213" s="761"/>
      <c r="BB213" s="761"/>
      <c r="BC213" s="1216"/>
      <c r="BD213" s="1215"/>
      <c r="BE213" s="761"/>
      <c r="BF213" s="761"/>
      <c r="BG213" s="761"/>
      <c r="BH213" s="761"/>
      <c r="BI213" s="761"/>
      <c r="BJ213" s="761"/>
      <c r="BK213" s="761"/>
      <c r="BL213" s="761"/>
      <c r="BM213" s="761"/>
      <c r="BN213" s="761"/>
      <c r="BO213" s="1216"/>
      <c r="BP213" s="1215"/>
      <c r="BQ213" s="761"/>
      <c r="BR213" s="761"/>
      <c r="BS213" s="761"/>
      <c r="BT213" s="761"/>
      <c r="BU213" s="761"/>
      <c r="BV213" s="761"/>
      <c r="BW213" s="761"/>
      <c r="BX213" s="761"/>
      <c r="BY213" s="761"/>
      <c r="BZ213" s="761"/>
      <c r="CA213" s="1216"/>
      <c r="CB213" s="747"/>
      <c r="CC213" s="1222">
        <f>$G213*H213*Variables!$B$53</f>
        <v>0</v>
      </c>
      <c r="CD213" s="1223">
        <f>$G213*I213*Variables!$B$53</f>
        <v>0</v>
      </c>
      <c r="CE213" s="1223">
        <f>$G213*J213*Variables!$B$53</f>
        <v>0</v>
      </c>
      <c r="CF213" s="1223">
        <f>$G213*K213*Variables!$B$53</f>
        <v>0</v>
      </c>
      <c r="CG213" s="1223">
        <f>$G213*L213*Variables!$B$53</f>
        <v>0</v>
      </c>
      <c r="CH213" s="1223">
        <f>$G213*M213*Variables!$B$53</f>
        <v>0</v>
      </c>
      <c r="CI213" s="1223">
        <f>$G213*N213*Variables!$B$53</f>
        <v>0</v>
      </c>
      <c r="CJ213" s="1223">
        <f>$G213*O213*Variables!$B$53</f>
        <v>0</v>
      </c>
      <c r="CK213" s="1223">
        <f>$G213*P213*Variables!$B$53</f>
        <v>0</v>
      </c>
      <c r="CL213" s="1223">
        <f>$G213*Q213*Variables!$B$53</f>
        <v>0</v>
      </c>
      <c r="CM213" s="1223">
        <f>$G213*R213*Variables!$B$53</f>
        <v>0</v>
      </c>
      <c r="CN213" s="1225">
        <f>$G213*S213*Variables!$B$53</f>
        <v>0</v>
      </c>
      <c r="CO213" s="1222">
        <f>$G213*T213*Variables!$B$53*HLOOKUP($CO$2,Variables!$B$60:$F$61,2,FALSE)</f>
        <v>0</v>
      </c>
      <c r="CP213" s="1223">
        <f>$G213*U213*Variables!$B$53*HLOOKUP($CO$2,Variables!$B$60:$F$61,2,FALSE)</f>
        <v>0</v>
      </c>
      <c r="CQ213" s="1223">
        <f>$G213*V213*Variables!$B$53*HLOOKUP($CO$2,Variables!$B$60:$F$61,2,FALSE)</f>
        <v>0</v>
      </c>
      <c r="CR213" s="1223">
        <f>$G213*W213*Variables!$B$53*HLOOKUP($CO$2,Variables!$B$60:$F$61,2,FALSE)</f>
        <v>0</v>
      </c>
      <c r="CS213" s="1223">
        <f>$G213*X213*Variables!$B$53*HLOOKUP($CO$2,Variables!$B$60:$F$61,2,FALSE)</f>
        <v>0</v>
      </c>
      <c r="CT213" s="1223">
        <f>$G213*Y213*Variables!$B$53*HLOOKUP($CO$2,Variables!$B$60:$F$61,2,FALSE)</f>
        <v>0</v>
      </c>
      <c r="CU213" s="1223">
        <f>$G213*Z213*Variables!$B$53*HLOOKUP($CO$2,Variables!$B$60:$F$61,2,FALSE)</f>
        <v>0</v>
      </c>
      <c r="CV213" s="1223">
        <f>$G213*AA213*Variables!$B$53*HLOOKUP($CO$2,Variables!$B$60:$F$61,2,FALSE)</f>
        <v>0</v>
      </c>
      <c r="CW213" s="1223">
        <f>$G213*AB213*Variables!$B$53*HLOOKUP($CO$2,Variables!$B$60:$F$61,2,FALSE)</f>
        <v>0</v>
      </c>
      <c r="CX213" s="1223">
        <f>$G213*AC213*Variables!$B$53*HLOOKUP($CO$2,Variables!$B$60:$F$61,2,FALSE)</f>
        <v>0</v>
      </c>
      <c r="CY213" s="1223">
        <f>$G213*AD213*Variables!$B$53*HLOOKUP($CO$2,Variables!$B$60:$F$61,2,FALSE)</f>
        <v>0</v>
      </c>
      <c r="CZ213" s="1225">
        <f>$G213*AE213*Variables!$B$53*HLOOKUP($CO$2,Variables!$B$60:$F$61,2,FALSE)</f>
        <v>0</v>
      </c>
      <c r="DA213" s="1222">
        <f>$G213*AF213*Variables!$B$53*HLOOKUP($DA$2,Variables!$B$60:$F$61,2,FALSE)</f>
        <v>0</v>
      </c>
      <c r="DB213" s="1223">
        <f>$G213*AG213*Variables!$B$53*HLOOKUP($DA$2,Variables!$B$60:$F$61,2,FALSE)</f>
        <v>0</v>
      </c>
      <c r="DC213" s="1223">
        <f>$G213*AH213*Variables!$B$53*HLOOKUP($DA$2,Variables!$B$60:$F$61,2,FALSE)</f>
        <v>0</v>
      </c>
      <c r="DD213" s="1223">
        <f>$G213*AI213*Variables!$B$53*HLOOKUP($DA$2,Variables!$B$60:$F$61,2,FALSE)</f>
        <v>0</v>
      </c>
      <c r="DE213" s="1223">
        <f>$G213*AJ213*Variables!$B$53*HLOOKUP($DA$2,Variables!$B$60:$F$61,2,FALSE)</f>
        <v>0</v>
      </c>
      <c r="DF213" s="1223">
        <f>$G213*AK213*Variables!$B$53*HLOOKUP($DA$2,Variables!$B$60:$F$61,2,FALSE)</f>
        <v>0</v>
      </c>
      <c r="DG213" s="1223">
        <f>$G213*AL213*Variables!$B$53*HLOOKUP($DA$2,Variables!$B$60:$F$61,2,FALSE)</f>
        <v>0</v>
      </c>
      <c r="DH213" s="1223">
        <f>$G213*AM213*Variables!$B$53*HLOOKUP($DA$2,Variables!$B$60:$F$61,2,FALSE)</f>
        <v>0</v>
      </c>
      <c r="DI213" s="1223">
        <f>$G213*AN213*Variables!$B$53*HLOOKUP($DA$2,Variables!$B$60:$F$61,2,FALSE)</f>
        <v>0</v>
      </c>
      <c r="DJ213" s="1223">
        <f>$G213*AO213*Variables!$B$53*HLOOKUP($DA$2,Variables!$B$60:$F$61,2,FALSE)</f>
        <v>0</v>
      </c>
      <c r="DK213" s="1223">
        <f>$G213*AP213*Variables!$B$53*HLOOKUP($DA$2,Variables!$B$60:$F$61,2,FALSE)</f>
        <v>0</v>
      </c>
      <c r="DL213" s="1225">
        <f>$G213*AQ213*Variables!$B$53*HLOOKUP($DA$2,Variables!$B$60:$F$61,2,FALSE)</f>
        <v>0</v>
      </c>
      <c r="DM213" s="1222">
        <f>$G213*AR213*Variables!$B$53*HLOOKUP($DM$2,Variables!$B$60:$F$61,2,FALSE)</f>
        <v>0</v>
      </c>
      <c r="DN213" s="1223">
        <f>$G213*AS213*Variables!$B$53*HLOOKUP($DM$2,Variables!$B$60:$F$61,2,FALSE)</f>
        <v>0</v>
      </c>
      <c r="DO213" s="1223">
        <f>$G213*AT213*Variables!$B$53*HLOOKUP($DM$2,Variables!$B$60:$F$61,2,FALSE)</f>
        <v>0</v>
      </c>
      <c r="DP213" s="1223">
        <f>$G213*AU213*Variables!$B$53*HLOOKUP($DM$2,Variables!$B$60:$F$61,2,FALSE)</f>
        <v>0</v>
      </c>
      <c r="DQ213" s="1223">
        <f>$G213*AV213*Variables!$B$53*HLOOKUP($DM$2,Variables!$B$60:$F$61,2,FALSE)</f>
        <v>0</v>
      </c>
      <c r="DR213" s="1223">
        <f>$G213*AW213*Variables!$B$53*HLOOKUP($DM$2,Variables!$B$60:$F$61,2,FALSE)</f>
        <v>0</v>
      </c>
      <c r="DS213" s="1223">
        <f>$G213*AX213*Variables!$B$53*HLOOKUP($DM$2,Variables!$B$60:$F$61,2,FALSE)</f>
        <v>0</v>
      </c>
      <c r="DT213" s="1223">
        <f>$G213*AY213*Variables!$B$53*HLOOKUP($DM$2,Variables!$B$60:$F$61,2,FALSE)</f>
        <v>0</v>
      </c>
      <c r="DU213" s="1223">
        <f>$G213*AZ213*Variables!$B$53*HLOOKUP($DM$2,Variables!$B$60:$F$61,2,FALSE)</f>
        <v>0</v>
      </c>
      <c r="DV213" s="1223">
        <f>$G213*BA213*Variables!$B$53*HLOOKUP($DM$2,Variables!$B$60:$F$61,2,FALSE)</f>
        <v>0</v>
      </c>
      <c r="DW213" s="1223">
        <f>$G213*BB213*Variables!$B$53*HLOOKUP($DM$2,Variables!$B$60:$F$61,2,FALSE)</f>
        <v>0</v>
      </c>
      <c r="DX213" s="1225">
        <f>$G213*BC213*Variables!$B$53*HLOOKUP($DM$2,Variables!$B$60:$F$61,2,FALSE)</f>
        <v>0</v>
      </c>
      <c r="DY213" s="1222">
        <f>$G213*BD213*Variables!$B$53*HLOOKUP($DY$2,Variables!$B$60:$F$61,2,FALSE)</f>
        <v>0</v>
      </c>
      <c r="DZ213" s="1223">
        <f>$G213*BE213*Variables!$B$53*HLOOKUP($DY$2,Variables!$B$60:$F$61,2,FALSE)</f>
        <v>0</v>
      </c>
      <c r="EA213" s="1223">
        <f>$G213*BF213*Variables!$B$53*HLOOKUP($DY$2,Variables!$B$60:$F$61,2,FALSE)</f>
        <v>0</v>
      </c>
      <c r="EB213" s="1223">
        <f>$G213*BG213*Variables!$B$53*HLOOKUP($DY$2,Variables!$B$60:$F$61,2,FALSE)</f>
        <v>0</v>
      </c>
      <c r="EC213" s="1223">
        <f>$G213*BH213*Variables!$B$53*HLOOKUP($DY$2,Variables!$B$60:$F$61,2,FALSE)</f>
        <v>0</v>
      </c>
      <c r="ED213" s="1223">
        <f>$G213*BI213*Variables!$B$53*HLOOKUP($DY$2,Variables!$B$60:$F$61,2,FALSE)</f>
        <v>0</v>
      </c>
      <c r="EE213" s="1223">
        <f>$G213*BJ213*Variables!$B$53*HLOOKUP($DY$2,Variables!$B$60:$F$61,2,FALSE)</f>
        <v>0</v>
      </c>
      <c r="EF213" s="1223">
        <f>$G213*BK213*Variables!$B$53*HLOOKUP($DY$2,Variables!$B$60:$F$61,2,FALSE)</f>
        <v>0</v>
      </c>
      <c r="EG213" s="1223">
        <f>$G213*BL213*Variables!$B$53*HLOOKUP($DY$2,Variables!$B$60:$F$61,2,FALSE)</f>
        <v>0</v>
      </c>
      <c r="EH213" s="1223">
        <f>$G213*BM213*Variables!$B$53*HLOOKUP($DY$2,Variables!$B$60:$F$61,2,FALSE)</f>
        <v>0</v>
      </c>
      <c r="EI213" s="1223">
        <f>$G213*BN213*Variables!$B$53*HLOOKUP($DY$2,Variables!$B$60:$F$61,2,FALSE)</f>
        <v>0</v>
      </c>
      <c r="EJ213" s="1225">
        <f>$G213*BO213*Variables!$B$53*HLOOKUP($DY$2,Variables!$B$60:$F$61,2,FALSE)</f>
        <v>0</v>
      </c>
      <c r="EK213" s="1222">
        <f>$G213*BP213*Variables!$B$53*HLOOKUP($EK$2,Variables!$B$60:$F$61,2,FALSE)</f>
        <v>0</v>
      </c>
      <c r="EL213" s="1223">
        <f>$G213*BQ213*Variables!$B$53*HLOOKUP($EK$2,Variables!$B$60:$F$61,2,FALSE)</f>
        <v>0</v>
      </c>
      <c r="EM213" s="1223">
        <f>$G213*BR213*Variables!$B$53*HLOOKUP($EK$2,Variables!$B$60:$F$61,2,FALSE)</f>
        <v>0</v>
      </c>
      <c r="EN213" s="1223">
        <f>$G213*BS213*Variables!$B$53*HLOOKUP($EK$2,Variables!$B$60:$F$61,2,FALSE)</f>
        <v>0</v>
      </c>
      <c r="EO213" s="1223">
        <f>$G213*BT213*Variables!$B$53*HLOOKUP($EK$2,Variables!$B$60:$F$61,2,FALSE)</f>
        <v>0</v>
      </c>
      <c r="EP213" s="1223">
        <f>$G213*BU213*Variables!$B$53*HLOOKUP($EK$2,Variables!$B$60:$F$61,2,FALSE)</f>
        <v>0</v>
      </c>
      <c r="EQ213" s="1223">
        <f>$G213*BV213*Variables!$B$53*HLOOKUP($EK$2,Variables!$B$60:$F$61,2,FALSE)</f>
        <v>0</v>
      </c>
      <c r="ER213" s="1223">
        <f>$G213*BW213*Variables!$B$53*HLOOKUP($EK$2,Variables!$B$60:$F$61,2,FALSE)</f>
        <v>0</v>
      </c>
      <c r="ES213" s="1223">
        <f>$G213*BX213*Variables!$B$53*HLOOKUP($EK$2,Variables!$B$60:$F$61,2,FALSE)</f>
        <v>0</v>
      </c>
      <c r="ET213" s="1223">
        <f>$G213*BY213*Variables!$B$53*HLOOKUP($EK$2,Variables!$B$60:$F$61,2,FALSE)</f>
        <v>0</v>
      </c>
      <c r="EU213" s="1223">
        <f>$G213*BZ213*Variables!$B$53*HLOOKUP($EK$2,Variables!$B$60:$F$61,2,FALSE)</f>
        <v>0</v>
      </c>
      <c r="EV213" s="1225">
        <f>$G213*CA213*Variables!$B$53*HLOOKUP($EK$2,Variables!$B$60:$F$61,2,FALSE)</f>
        <v>0</v>
      </c>
      <c r="EW213" s="872">
        <f t="shared" si="24"/>
        <v>0</v>
      </c>
      <c r="EX213" s="872"/>
      <c r="EY213" s="872"/>
      <c r="EZ213" s="872"/>
      <c r="FA213" s="1332"/>
      <c r="FC213" s="958" t="str">
        <f t="shared" si="25"/>
        <v/>
      </c>
      <c r="FD213" s="959" t="str">
        <f t="shared" si="26"/>
        <v/>
      </c>
      <c r="FE213" s="959" t="s">
        <v>8407</v>
      </c>
      <c r="FF213" s="959" t="str">
        <f>IF(ISNA(VLOOKUP(FC213,Miscellaneous!E:F,2,0)),"",VLOOKUP(FC213,Miscellaneous!E:F,2,0))</f>
        <v/>
      </c>
      <c r="FG213" s="959" t="str">
        <f t="shared" si="27"/>
        <v/>
      </c>
      <c r="FH213" s="996">
        <f>IF($FG213="Opex",SUMIF('Monthly Summary'!$C$75:$N$75,"",CC213:CN213),SUMIF('Monthly Summary'!$C$74:$N$74,"",CC213:CN213))</f>
        <v>0</v>
      </c>
      <c r="FI213" s="996">
        <f>IF($FG213="Opex",SUMIF('Monthly Summary'!$O$75:$Z$75,"",CO213:CZ213),SUMIF('Monthly Summary'!$O$74:$Z$74,"",CO213:CZ213))</f>
        <v>0</v>
      </c>
      <c r="FJ213" s="996">
        <f>IF($FG213="Opex",SUMIF('Monthly Summary'!$AA$75:$AL$75,"",DA213:DL213),SUMIF('Monthly Summary'!$AA$74:$AL$74,"",DA213:DL213))</f>
        <v>0</v>
      </c>
      <c r="FK213" s="996">
        <f>IF($FG213="Opex",SUMIF('Monthly Summary'!$AM$75:$AX$75,"",DM213:DX213),SUMIF('Monthly Summary'!$AM$74:$AX$74,"",DM213:DX213))</f>
        <v>0</v>
      </c>
      <c r="FL213" s="996">
        <f>IF($FG213="Opex",SUMIF('Monthly Summary'!$AY$75:$BJ$75,"",DY213:EJ213),SUMIF('Monthly Summary'!$AY$74:$BJ$74,"",DY213:EJ213))</f>
        <v>0</v>
      </c>
      <c r="FM213" s="997">
        <f>IF($FG213="Opex",SUMIF('Monthly Summary'!$BK$75:$BV$75,"",EK213:EV213),SUMIF('Monthly Summary'!$BK$74:$BV$74,"",EK213:EV213))</f>
        <v>0</v>
      </c>
      <c r="FN213" s="997">
        <f t="shared" si="28"/>
        <v>0</v>
      </c>
    </row>
    <row r="214" spans="3:170">
      <c r="C214" s="757"/>
      <c r="D214" s="757"/>
      <c r="E214" s="758"/>
      <c r="F214" s="758"/>
      <c r="G214" s="758"/>
      <c r="H214" s="1215"/>
      <c r="I214" s="761"/>
      <c r="J214" s="761"/>
      <c r="K214" s="761"/>
      <c r="L214" s="761"/>
      <c r="M214" s="761"/>
      <c r="N214" s="761"/>
      <c r="O214" s="761"/>
      <c r="P214" s="761"/>
      <c r="Q214" s="761"/>
      <c r="R214" s="761"/>
      <c r="S214" s="1216"/>
      <c r="T214" s="1215"/>
      <c r="U214" s="761"/>
      <c r="V214" s="761"/>
      <c r="W214" s="761"/>
      <c r="X214" s="761"/>
      <c r="Y214" s="761"/>
      <c r="Z214" s="761"/>
      <c r="AA214" s="761"/>
      <c r="AB214" s="761"/>
      <c r="AC214" s="761"/>
      <c r="AD214" s="761"/>
      <c r="AE214" s="1216"/>
      <c r="AF214" s="1215"/>
      <c r="AG214" s="761"/>
      <c r="AH214" s="761"/>
      <c r="AI214" s="761"/>
      <c r="AJ214" s="761"/>
      <c r="AK214" s="761"/>
      <c r="AL214" s="761"/>
      <c r="AM214" s="761"/>
      <c r="AN214" s="761"/>
      <c r="AO214" s="761"/>
      <c r="AP214" s="761"/>
      <c r="AQ214" s="1216"/>
      <c r="AR214" s="1215"/>
      <c r="AS214" s="761"/>
      <c r="AT214" s="761"/>
      <c r="AU214" s="761"/>
      <c r="AV214" s="761"/>
      <c r="AW214" s="761"/>
      <c r="AX214" s="761"/>
      <c r="AY214" s="761"/>
      <c r="AZ214" s="761"/>
      <c r="BA214" s="761"/>
      <c r="BB214" s="761"/>
      <c r="BC214" s="1216"/>
      <c r="BD214" s="1215"/>
      <c r="BE214" s="761"/>
      <c r="BF214" s="761"/>
      <c r="BG214" s="761"/>
      <c r="BH214" s="761"/>
      <c r="BI214" s="761"/>
      <c r="BJ214" s="761"/>
      <c r="BK214" s="761"/>
      <c r="BL214" s="761"/>
      <c r="BM214" s="761"/>
      <c r="BN214" s="761"/>
      <c r="BO214" s="1216"/>
      <c r="BP214" s="1215"/>
      <c r="BQ214" s="761"/>
      <c r="BR214" s="761"/>
      <c r="BS214" s="761"/>
      <c r="BT214" s="761"/>
      <c r="BU214" s="761"/>
      <c r="BV214" s="761"/>
      <c r="BW214" s="761"/>
      <c r="BX214" s="761"/>
      <c r="BY214" s="761"/>
      <c r="BZ214" s="761"/>
      <c r="CA214" s="1216"/>
      <c r="CB214" s="747"/>
      <c r="CC214" s="1222">
        <f>$G214*H214*Variables!$B$53</f>
        <v>0</v>
      </c>
      <c r="CD214" s="1223">
        <f>$G214*I214*Variables!$B$53</f>
        <v>0</v>
      </c>
      <c r="CE214" s="1223">
        <f>$G214*J214*Variables!$B$53</f>
        <v>0</v>
      </c>
      <c r="CF214" s="1223">
        <f>$G214*K214*Variables!$B$53</f>
        <v>0</v>
      </c>
      <c r="CG214" s="1223">
        <f>$G214*L214*Variables!$B$53</f>
        <v>0</v>
      </c>
      <c r="CH214" s="1223">
        <f>$G214*M214*Variables!$B$53</f>
        <v>0</v>
      </c>
      <c r="CI214" s="1223">
        <f>$G214*N214*Variables!$B$53</f>
        <v>0</v>
      </c>
      <c r="CJ214" s="1223">
        <f>$G214*O214*Variables!$B$53</f>
        <v>0</v>
      </c>
      <c r="CK214" s="1223">
        <f>$G214*P214*Variables!$B$53</f>
        <v>0</v>
      </c>
      <c r="CL214" s="1223">
        <f>$G214*Q214*Variables!$B$53</f>
        <v>0</v>
      </c>
      <c r="CM214" s="1223">
        <f>$G214*R214*Variables!$B$53</f>
        <v>0</v>
      </c>
      <c r="CN214" s="1225">
        <f>$G214*S214*Variables!$B$53</f>
        <v>0</v>
      </c>
      <c r="CO214" s="1222">
        <f>$G214*T214*Variables!$B$53*HLOOKUP($CO$2,Variables!$B$60:$F$61,2,FALSE)</f>
        <v>0</v>
      </c>
      <c r="CP214" s="1223">
        <f>$G214*U214*Variables!$B$53*HLOOKUP($CO$2,Variables!$B$60:$F$61,2,FALSE)</f>
        <v>0</v>
      </c>
      <c r="CQ214" s="1223">
        <f>$G214*V214*Variables!$B$53*HLOOKUP($CO$2,Variables!$B$60:$F$61,2,FALSE)</f>
        <v>0</v>
      </c>
      <c r="CR214" s="1223">
        <f>$G214*W214*Variables!$B$53*HLOOKUP($CO$2,Variables!$B$60:$F$61,2,FALSE)</f>
        <v>0</v>
      </c>
      <c r="CS214" s="1223">
        <f>$G214*X214*Variables!$B$53*HLOOKUP($CO$2,Variables!$B$60:$F$61,2,FALSE)</f>
        <v>0</v>
      </c>
      <c r="CT214" s="1223">
        <f>$G214*Y214*Variables!$B$53*HLOOKUP($CO$2,Variables!$B$60:$F$61,2,FALSE)</f>
        <v>0</v>
      </c>
      <c r="CU214" s="1223">
        <f>$G214*Z214*Variables!$B$53*HLOOKUP($CO$2,Variables!$B$60:$F$61,2,FALSE)</f>
        <v>0</v>
      </c>
      <c r="CV214" s="1223">
        <f>$G214*AA214*Variables!$B$53*HLOOKUP($CO$2,Variables!$B$60:$F$61,2,FALSE)</f>
        <v>0</v>
      </c>
      <c r="CW214" s="1223">
        <f>$G214*AB214*Variables!$B$53*HLOOKUP($CO$2,Variables!$B$60:$F$61,2,FALSE)</f>
        <v>0</v>
      </c>
      <c r="CX214" s="1223">
        <f>$G214*AC214*Variables!$B$53*HLOOKUP($CO$2,Variables!$B$60:$F$61,2,FALSE)</f>
        <v>0</v>
      </c>
      <c r="CY214" s="1223">
        <f>$G214*AD214*Variables!$B$53*HLOOKUP($CO$2,Variables!$B$60:$F$61,2,FALSE)</f>
        <v>0</v>
      </c>
      <c r="CZ214" s="1225">
        <f>$G214*AE214*Variables!$B$53*HLOOKUP($CO$2,Variables!$B$60:$F$61,2,FALSE)</f>
        <v>0</v>
      </c>
      <c r="DA214" s="1222">
        <f>$G214*AF214*Variables!$B$53*HLOOKUP($DA$2,Variables!$B$60:$F$61,2,FALSE)</f>
        <v>0</v>
      </c>
      <c r="DB214" s="1223">
        <f>$G214*AG214*Variables!$B$53*HLOOKUP($DA$2,Variables!$B$60:$F$61,2,FALSE)</f>
        <v>0</v>
      </c>
      <c r="DC214" s="1223">
        <f>$G214*AH214*Variables!$B$53*HLOOKUP($DA$2,Variables!$B$60:$F$61,2,FALSE)</f>
        <v>0</v>
      </c>
      <c r="DD214" s="1223">
        <f>$G214*AI214*Variables!$B$53*HLOOKUP($DA$2,Variables!$B$60:$F$61,2,FALSE)</f>
        <v>0</v>
      </c>
      <c r="DE214" s="1223">
        <f>$G214*AJ214*Variables!$B$53*HLOOKUP($DA$2,Variables!$B$60:$F$61,2,FALSE)</f>
        <v>0</v>
      </c>
      <c r="DF214" s="1223">
        <f>$G214*AK214*Variables!$B$53*HLOOKUP($DA$2,Variables!$B$60:$F$61,2,FALSE)</f>
        <v>0</v>
      </c>
      <c r="DG214" s="1223">
        <f>$G214*AL214*Variables!$B$53*HLOOKUP($DA$2,Variables!$B$60:$F$61,2,FALSE)</f>
        <v>0</v>
      </c>
      <c r="DH214" s="1223">
        <f>$G214*AM214*Variables!$B$53*HLOOKUP($DA$2,Variables!$B$60:$F$61,2,FALSE)</f>
        <v>0</v>
      </c>
      <c r="DI214" s="1223">
        <f>$G214*AN214*Variables!$B$53*HLOOKUP($DA$2,Variables!$B$60:$F$61,2,FALSE)</f>
        <v>0</v>
      </c>
      <c r="DJ214" s="1223">
        <f>$G214*AO214*Variables!$B$53*HLOOKUP($DA$2,Variables!$B$60:$F$61,2,FALSE)</f>
        <v>0</v>
      </c>
      <c r="DK214" s="1223">
        <f>$G214*AP214*Variables!$B$53*HLOOKUP($DA$2,Variables!$B$60:$F$61,2,FALSE)</f>
        <v>0</v>
      </c>
      <c r="DL214" s="1225">
        <f>$G214*AQ214*Variables!$B$53*HLOOKUP($DA$2,Variables!$B$60:$F$61,2,FALSE)</f>
        <v>0</v>
      </c>
      <c r="DM214" s="1222">
        <f>$G214*AR214*Variables!$B$53*HLOOKUP($DM$2,Variables!$B$60:$F$61,2,FALSE)</f>
        <v>0</v>
      </c>
      <c r="DN214" s="1223">
        <f>$G214*AS214*Variables!$B$53*HLOOKUP($DM$2,Variables!$B$60:$F$61,2,FALSE)</f>
        <v>0</v>
      </c>
      <c r="DO214" s="1223">
        <f>$G214*AT214*Variables!$B$53*HLOOKUP($DM$2,Variables!$B$60:$F$61,2,FALSE)</f>
        <v>0</v>
      </c>
      <c r="DP214" s="1223">
        <f>$G214*AU214*Variables!$B$53*HLOOKUP($DM$2,Variables!$B$60:$F$61,2,FALSE)</f>
        <v>0</v>
      </c>
      <c r="DQ214" s="1223">
        <f>$G214*AV214*Variables!$B$53*HLOOKUP($DM$2,Variables!$B$60:$F$61,2,FALSE)</f>
        <v>0</v>
      </c>
      <c r="DR214" s="1223">
        <f>$G214*AW214*Variables!$B$53*HLOOKUP($DM$2,Variables!$B$60:$F$61,2,FALSE)</f>
        <v>0</v>
      </c>
      <c r="DS214" s="1223">
        <f>$G214*AX214*Variables!$B$53*HLOOKUP($DM$2,Variables!$B$60:$F$61,2,FALSE)</f>
        <v>0</v>
      </c>
      <c r="DT214" s="1223">
        <f>$G214*AY214*Variables!$B$53*HLOOKUP($DM$2,Variables!$B$60:$F$61,2,FALSE)</f>
        <v>0</v>
      </c>
      <c r="DU214" s="1223">
        <f>$G214*AZ214*Variables!$B$53*HLOOKUP($DM$2,Variables!$B$60:$F$61,2,FALSE)</f>
        <v>0</v>
      </c>
      <c r="DV214" s="1223">
        <f>$G214*BA214*Variables!$B$53*HLOOKUP($DM$2,Variables!$B$60:$F$61,2,FALSE)</f>
        <v>0</v>
      </c>
      <c r="DW214" s="1223">
        <f>$G214*BB214*Variables!$B$53*HLOOKUP($DM$2,Variables!$B$60:$F$61,2,FALSE)</f>
        <v>0</v>
      </c>
      <c r="DX214" s="1225">
        <f>$G214*BC214*Variables!$B$53*HLOOKUP($DM$2,Variables!$B$60:$F$61,2,FALSE)</f>
        <v>0</v>
      </c>
      <c r="DY214" s="1222">
        <f>$G214*BD214*Variables!$B$53*HLOOKUP($DY$2,Variables!$B$60:$F$61,2,FALSE)</f>
        <v>0</v>
      </c>
      <c r="DZ214" s="1223">
        <f>$G214*BE214*Variables!$B$53*HLOOKUP($DY$2,Variables!$B$60:$F$61,2,FALSE)</f>
        <v>0</v>
      </c>
      <c r="EA214" s="1223">
        <f>$G214*BF214*Variables!$B$53*HLOOKUP($DY$2,Variables!$B$60:$F$61,2,FALSE)</f>
        <v>0</v>
      </c>
      <c r="EB214" s="1223">
        <f>$G214*BG214*Variables!$B$53*HLOOKUP($DY$2,Variables!$B$60:$F$61,2,FALSE)</f>
        <v>0</v>
      </c>
      <c r="EC214" s="1223">
        <f>$G214*BH214*Variables!$B$53*HLOOKUP($DY$2,Variables!$B$60:$F$61,2,FALSE)</f>
        <v>0</v>
      </c>
      <c r="ED214" s="1223">
        <f>$G214*BI214*Variables!$B$53*HLOOKUP($DY$2,Variables!$B$60:$F$61,2,FALSE)</f>
        <v>0</v>
      </c>
      <c r="EE214" s="1223">
        <f>$G214*BJ214*Variables!$B$53*HLOOKUP($DY$2,Variables!$B$60:$F$61,2,FALSE)</f>
        <v>0</v>
      </c>
      <c r="EF214" s="1223">
        <f>$G214*BK214*Variables!$B$53*HLOOKUP($DY$2,Variables!$B$60:$F$61,2,FALSE)</f>
        <v>0</v>
      </c>
      <c r="EG214" s="1223">
        <f>$G214*BL214*Variables!$B$53*HLOOKUP($DY$2,Variables!$B$60:$F$61,2,FALSE)</f>
        <v>0</v>
      </c>
      <c r="EH214" s="1223">
        <f>$G214*BM214*Variables!$B$53*HLOOKUP($DY$2,Variables!$B$60:$F$61,2,FALSE)</f>
        <v>0</v>
      </c>
      <c r="EI214" s="1223">
        <f>$G214*BN214*Variables!$B$53*HLOOKUP($DY$2,Variables!$B$60:$F$61,2,FALSE)</f>
        <v>0</v>
      </c>
      <c r="EJ214" s="1225">
        <f>$G214*BO214*Variables!$B$53*HLOOKUP($DY$2,Variables!$B$60:$F$61,2,FALSE)</f>
        <v>0</v>
      </c>
      <c r="EK214" s="1222">
        <f>$G214*BP214*Variables!$B$53*HLOOKUP($EK$2,Variables!$B$60:$F$61,2,FALSE)</f>
        <v>0</v>
      </c>
      <c r="EL214" s="1223">
        <f>$G214*BQ214*Variables!$B$53*HLOOKUP($EK$2,Variables!$B$60:$F$61,2,FALSE)</f>
        <v>0</v>
      </c>
      <c r="EM214" s="1223">
        <f>$G214*BR214*Variables!$B$53*HLOOKUP($EK$2,Variables!$B$60:$F$61,2,FALSE)</f>
        <v>0</v>
      </c>
      <c r="EN214" s="1223">
        <f>$G214*BS214*Variables!$B$53*HLOOKUP($EK$2,Variables!$B$60:$F$61,2,FALSE)</f>
        <v>0</v>
      </c>
      <c r="EO214" s="1223">
        <f>$G214*BT214*Variables!$B$53*HLOOKUP($EK$2,Variables!$B$60:$F$61,2,FALSE)</f>
        <v>0</v>
      </c>
      <c r="EP214" s="1223">
        <f>$G214*BU214*Variables!$B$53*HLOOKUP($EK$2,Variables!$B$60:$F$61,2,FALSE)</f>
        <v>0</v>
      </c>
      <c r="EQ214" s="1223">
        <f>$G214*BV214*Variables!$B$53*HLOOKUP($EK$2,Variables!$B$60:$F$61,2,FALSE)</f>
        <v>0</v>
      </c>
      <c r="ER214" s="1223">
        <f>$G214*BW214*Variables!$B$53*HLOOKUP($EK$2,Variables!$B$60:$F$61,2,FALSE)</f>
        <v>0</v>
      </c>
      <c r="ES214" s="1223">
        <f>$G214*BX214*Variables!$B$53*HLOOKUP($EK$2,Variables!$B$60:$F$61,2,FALSE)</f>
        <v>0</v>
      </c>
      <c r="ET214" s="1223">
        <f>$G214*BY214*Variables!$B$53*HLOOKUP($EK$2,Variables!$B$60:$F$61,2,FALSE)</f>
        <v>0</v>
      </c>
      <c r="EU214" s="1223">
        <f>$G214*BZ214*Variables!$B$53*HLOOKUP($EK$2,Variables!$B$60:$F$61,2,FALSE)</f>
        <v>0</v>
      </c>
      <c r="EV214" s="1225">
        <f>$G214*CA214*Variables!$B$53*HLOOKUP($EK$2,Variables!$B$60:$F$61,2,FALSE)</f>
        <v>0</v>
      </c>
      <c r="EW214" s="872">
        <f t="shared" si="24"/>
        <v>0</v>
      </c>
      <c r="EX214" s="872"/>
      <c r="EY214" s="872"/>
      <c r="EZ214" s="872"/>
      <c r="FA214" s="1332"/>
      <c r="FC214" s="958" t="str">
        <f t="shared" si="25"/>
        <v/>
      </c>
      <c r="FD214" s="959" t="str">
        <f t="shared" si="26"/>
        <v/>
      </c>
      <c r="FE214" s="959" t="s">
        <v>8407</v>
      </c>
      <c r="FF214" s="959" t="str">
        <f>IF(ISNA(VLOOKUP(FC214,Miscellaneous!E:F,2,0)),"",VLOOKUP(FC214,Miscellaneous!E:F,2,0))</f>
        <v/>
      </c>
      <c r="FG214" s="959" t="str">
        <f t="shared" si="27"/>
        <v/>
      </c>
      <c r="FH214" s="996">
        <f>IF($FG214="Opex",SUMIF('Monthly Summary'!$C$75:$N$75,"",CC214:CN214),SUMIF('Monthly Summary'!$C$74:$N$74,"",CC214:CN214))</f>
        <v>0</v>
      </c>
      <c r="FI214" s="996">
        <f>IF($FG214="Opex",SUMIF('Monthly Summary'!$O$75:$Z$75,"",CO214:CZ214),SUMIF('Monthly Summary'!$O$74:$Z$74,"",CO214:CZ214))</f>
        <v>0</v>
      </c>
      <c r="FJ214" s="996">
        <f>IF($FG214="Opex",SUMIF('Monthly Summary'!$AA$75:$AL$75,"",DA214:DL214),SUMIF('Monthly Summary'!$AA$74:$AL$74,"",DA214:DL214))</f>
        <v>0</v>
      </c>
      <c r="FK214" s="996">
        <f>IF($FG214="Opex",SUMIF('Monthly Summary'!$AM$75:$AX$75,"",DM214:DX214),SUMIF('Monthly Summary'!$AM$74:$AX$74,"",DM214:DX214))</f>
        <v>0</v>
      </c>
      <c r="FL214" s="996">
        <f>IF($FG214="Opex",SUMIF('Monthly Summary'!$AY$75:$BJ$75,"",DY214:EJ214),SUMIF('Monthly Summary'!$AY$74:$BJ$74,"",DY214:EJ214))</f>
        <v>0</v>
      </c>
      <c r="FM214" s="997">
        <f>IF($FG214="Opex",SUMIF('Monthly Summary'!$BK$75:$BV$75,"",EK214:EV214),SUMIF('Monthly Summary'!$BK$74:$BV$74,"",EK214:EV214))</f>
        <v>0</v>
      </c>
      <c r="FN214" s="997">
        <f t="shared" si="28"/>
        <v>0</v>
      </c>
    </row>
    <row r="215" spans="3:170">
      <c r="C215" s="757"/>
      <c r="D215" s="757"/>
      <c r="E215" s="758"/>
      <c r="F215" s="758"/>
      <c r="G215" s="758"/>
      <c r="H215" s="1215"/>
      <c r="I215" s="761"/>
      <c r="J215" s="761"/>
      <c r="K215" s="761"/>
      <c r="L215" s="761"/>
      <c r="M215" s="761"/>
      <c r="N215" s="761"/>
      <c r="O215" s="761"/>
      <c r="P215" s="761"/>
      <c r="Q215" s="761"/>
      <c r="R215" s="761"/>
      <c r="S215" s="1216"/>
      <c r="T215" s="1215"/>
      <c r="U215" s="761"/>
      <c r="V215" s="761"/>
      <c r="W215" s="761"/>
      <c r="X215" s="761"/>
      <c r="Y215" s="761"/>
      <c r="Z215" s="761"/>
      <c r="AA215" s="761"/>
      <c r="AB215" s="761"/>
      <c r="AC215" s="761"/>
      <c r="AD215" s="761"/>
      <c r="AE215" s="1216"/>
      <c r="AF215" s="1215"/>
      <c r="AG215" s="761"/>
      <c r="AH215" s="761"/>
      <c r="AI215" s="761"/>
      <c r="AJ215" s="761"/>
      <c r="AK215" s="761"/>
      <c r="AL215" s="761"/>
      <c r="AM215" s="761"/>
      <c r="AN215" s="761"/>
      <c r="AO215" s="761"/>
      <c r="AP215" s="761"/>
      <c r="AQ215" s="1216"/>
      <c r="AR215" s="1215"/>
      <c r="AS215" s="761"/>
      <c r="AT215" s="761"/>
      <c r="AU215" s="761"/>
      <c r="AV215" s="761"/>
      <c r="AW215" s="761"/>
      <c r="AX215" s="761"/>
      <c r="AY215" s="761"/>
      <c r="AZ215" s="761"/>
      <c r="BA215" s="761"/>
      <c r="BB215" s="761"/>
      <c r="BC215" s="1216"/>
      <c r="BD215" s="1215"/>
      <c r="BE215" s="761"/>
      <c r="BF215" s="761"/>
      <c r="BG215" s="761"/>
      <c r="BH215" s="761"/>
      <c r="BI215" s="761"/>
      <c r="BJ215" s="761"/>
      <c r="BK215" s="761"/>
      <c r="BL215" s="761"/>
      <c r="BM215" s="761"/>
      <c r="BN215" s="761"/>
      <c r="BO215" s="1216"/>
      <c r="BP215" s="1215"/>
      <c r="BQ215" s="761"/>
      <c r="BR215" s="761"/>
      <c r="BS215" s="761"/>
      <c r="BT215" s="761"/>
      <c r="BU215" s="761"/>
      <c r="BV215" s="761"/>
      <c r="BW215" s="761"/>
      <c r="BX215" s="761"/>
      <c r="BY215" s="761"/>
      <c r="BZ215" s="761"/>
      <c r="CA215" s="1216"/>
      <c r="CB215" s="747"/>
      <c r="CC215" s="1222">
        <f>$G215*H215*Variables!$B$53</f>
        <v>0</v>
      </c>
      <c r="CD215" s="1223">
        <f>$G215*I215*Variables!$B$53</f>
        <v>0</v>
      </c>
      <c r="CE215" s="1223">
        <f>$G215*J215*Variables!$B$53</f>
        <v>0</v>
      </c>
      <c r="CF215" s="1223">
        <f>$G215*K215*Variables!$B$53</f>
        <v>0</v>
      </c>
      <c r="CG215" s="1223">
        <f>$G215*L215*Variables!$B$53</f>
        <v>0</v>
      </c>
      <c r="CH215" s="1223">
        <f>$G215*M215*Variables!$B$53</f>
        <v>0</v>
      </c>
      <c r="CI215" s="1223">
        <f>$G215*N215*Variables!$B$53</f>
        <v>0</v>
      </c>
      <c r="CJ215" s="1223">
        <f>$G215*O215*Variables!$B$53</f>
        <v>0</v>
      </c>
      <c r="CK215" s="1223">
        <f>$G215*P215*Variables!$B$53</f>
        <v>0</v>
      </c>
      <c r="CL215" s="1223">
        <f>$G215*Q215*Variables!$B$53</f>
        <v>0</v>
      </c>
      <c r="CM215" s="1223">
        <f>$G215*R215*Variables!$B$53</f>
        <v>0</v>
      </c>
      <c r="CN215" s="1225">
        <f>$G215*S215*Variables!$B$53</f>
        <v>0</v>
      </c>
      <c r="CO215" s="1222">
        <f>$G215*T215*Variables!$B$53*HLOOKUP($CO$2,Variables!$B$60:$F$61,2,FALSE)</f>
        <v>0</v>
      </c>
      <c r="CP215" s="1223">
        <f>$G215*U215*Variables!$B$53*HLOOKUP($CO$2,Variables!$B$60:$F$61,2,FALSE)</f>
        <v>0</v>
      </c>
      <c r="CQ215" s="1223">
        <f>$G215*V215*Variables!$B$53*HLOOKUP($CO$2,Variables!$B$60:$F$61,2,FALSE)</f>
        <v>0</v>
      </c>
      <c r="CR215" s="1223">
        <f>$G215*W215*Variables!$B$53*HLOOKUP($CO$2,Variables!$B$60:$F$61,2,FALSE)</f>
        <v>0</v>
      </c>
      <c r="CS215" s="1223">
        <f>$G215*X215*Variables!$B$53*HLOOKUP($CO$2,Variables!$B$60:$F$61,2,FALSE)</f>
        <v>0</v>
      </c>
      <c r="CT215" s="1223">
        <f>$G215*Y215*Variables!$B$53*HLOOKUP($CO$2,Variables!$B$60:$F$61,2,FALSE)</f>
        <v>0</v>
      </c>
      <c r="CU215" s="1223">
        <f>$G215*Z215*Variables!$B$53*HLOOKUP($CO$2,Variables!$B$60:$F$61,2,FALSE)</f>
        <v>0</v>
      </c>
      <c r="CV215" s="1223">
        <f>$G215*AA215*Variables!$B$53*HLOOKUP($CO$2,Variables!$B$60:$F$61,2,FALSE)</f>
        <v>0</v>
      </c>
      <c r="CW215" s="1223">
        <f>$G215*AB215*Variables!$B$53*HLOOKUP($CO$2,Variables!$B$60:$F$61,2,FALSE)</f>
        <v>0</v>
      </c>
      <c r="CX215" s="1223">
        <f>$G215*AC215*Variables!$B$53*HLOOKUP($CO$2,Variables!$B$60:$F$61,2,FALSE)</f>
        <v>0</v>
      </c>
      <c r="CY215" s="1223">
        <f>$G215*AD215*Variables!$B$53*HLOOKUP($CO$2,Variables!$B$60:$F$61,2,FALSE)</f>
        <v>0</v>
      </c>
      <c r="CZ215" s="1225">
        <f>$G215*AE215*Variables!$B$53*HLOOKUP($CO$2,Variables!$B$60:$F$61,2,FALSE)</f>
        <v>0</v>
      </c>
      <c r="DA215" s="1222">
        <f>$G215*AF215*Variables!$B$53*HLOOKUP($DA$2,Variables!$B$60:$F$61,2,FALSE)</f>
        <v>0</v>
      </c>
      <c r="DB215" s="1223">
        <f>$G215*AG215*Variables!$B$53*HLOOKUP($DA$2,Variables!$B$60:$F$61,2,FALSE)</f>
        <v>0</v>
      </c>
      <c r="DC215" s="1223">
        <f>$G215*AH215*Variables!$B$53*HLOOKUP($DA$2,Variables!$B$60:$F$61,2,FALSE)</f>
        <v>0</v>
      </c>
      <c r="DD215" s="1223">
        <f>$G215*AI215*Variables!$B$53*HLOOKUP($DA$2,Variables!$B$60:$F$61,2,FALSE)</f>
        <v>0</v>
      </c>
      <c r="DE215" s="1223">
        <f>$G215*AJ215*Variables!$B$53*HLOOKUP($DA$2,Variables!$B$60:$F$61,2,FALSE)</f>
        <v>0</v>
      </c>
      <c r="DF215" s="1223">
        <f>$G215*AK215*Variables!$B$53*HLOOKUP($DA$2,Variables!$B$60:$F$61,2,FALSE)</f>
        <v>0</v>
      </c>
      <c r="DG215" s="1223">
        <f>$G215*AL215*Variables!$B$53*HLOOKUP($DA$2,Variables!$B$60:$F$61,2,FALSE)</f>
        <v>0</v>
      </c>
      <c r="DH215" s="1223">
        <f>$G215*AM215*Variables!$B$53*HLOOKUP($DA$2,Variables!$B$60:$F$61,2,FALSE)</f>
        <v>0</v>
      </c>
      <c r="DI215" s="1223">
        <f>$G215*AN215*Variables!$B$53*HLOOKUP($DA$2,Variables!$B$60:$F$61,2,FALSE)</f>
        <v>0</v>
      </c>
      <c r="DJ215" s="1223">
        <f>$G215*AO215*Variables!$B$53*HLOOKUP($DA$2,Variables!$B$60:$F$61,2,FALSE)</f>
        <v>0</v>
      </c>
      <c r="DK215" s="1223">
        <f>$G215*AP215*Variables!$B$53*HLOOKUP($DA$2,Variables!$B$60:$F$61,2,FALSE)</f>
        <v>0</v>
      </c>
      <c r="DL215" s="1225">
        <f>$G215*AQ215*Variables!$B$53*HLOOKUP($DA$2,Variables!$B$60:$F$61,2,FALSE)</f>
        <v>0</v>
      </c>
      <c r="DM215" s="1222">
        <f>$G215*AR215*Variables!$B$53*HLOOKUP($DM$2,Variables!$B$60:$F$61,2,FALSE)</f>
        <v>0</v>
      </c>
      <c r="DN215" s="1223">
        <f>$G215*AS215*Variables!$B$53*HLOOKUP($DM$2,Variables!$B$60:$F$61,2,FALSE)</f>
        <v>0</v>
      </c>
      <c r="DO215" s="1223">
        <f>$G215*AT215*Variables!$B$53*HLOOKUP($DM$2,Variables!$B$60:$F$61,2,FALSE)</f>
        <v>0</v>
      </c>
      <c r="DP215" s="1223">
        <f>$G215*AU215*Variables!$B$53*HLOOKUP($DM$2,Variables!$B$60:$F$61,2,FALSE)</f>
        <v>0</v>
      </c>
      <c r="DQ215" s="1223">
        <f>$G215*AV215*Variables!$B$53*HLOOKUP($DM$2,Variables!$B$60:$F$61,2,FALSE)</f>
        <v>0</v>
      </c>
      <c r="DR215" s="1223">
        <f>$G215*AW215*Variables!$B$53*HLOOKUP($DM$2,Variables!$B$60:$F$61,2,FALSE)</f>
        <v>0</v>
      </c>
      <c r="DS215" s="1223">
        <f>$G215*AX215*Variables!$B$53*HLOOKUP($DM$2,Variables!$B$60:$F$61,2,FALSE)</f>
        <v>0</v>
      </c>
      <c r="DT215" s="1223">
        <f>$G215*AY215*Variables!$B$53*HLOOKUP($DM$2,Variables!$B$60:$F$61,2,FALSE)</f>
        <v>0</v>
      </c>
      <c r="DU215" s="1223">
        <f>$G215*AZ215*Variables!$B$53*HLOOKUP($DM$2,Variables!$B$60:$F$61,2,FALSE)</f>
        <v>0</v>
      </c>
      <c r="DV215" s="1223">
        <f>$G215*BA215*Variables!$B$53*HLOOKUP($DM$2,Variables!$B$60:$F$61,2,FALSE)</f>
        <v>0</v>
      </c>
      <c r="DW215" s="1223">
        <f>$G215*BB215*Variables!$B$53*HLOOKUP($DM$2,Variables!$B$60:$F$61,2,FALSE)</f>
        <v>0</v>
      </c>
      <c r="DX215" s="1225">
        <f>$G215*BC215*Variables!$B$53*HLOOKUP($DM$2,Variables!$B$60:$F$61,2,FALSE)</f>
        <v>0</v>
      </c>
      <c r="DY215" s="1222">
        <f>$G215*BD215*Variables!$B$53*HLOOKUP($DY$2,Variables!$B$60:$F$61,2,FALSE)</f>
        <v>0</v>
      </c>
      <c r="DZ215" s="1223">
        <f>$G215*BE215*Variables!$B$53*HLOOKUP($DY$2,Variables!$B$60:$F$61,2,FALSE)</f>
        <v>0</v>
      </c>
      <c r="EA215" s="1223">
        <f>$G215*BF215*Variables!$B$53*HLOOKUP($DY$2,Variables!$B$60:$F$61,2,FALSE)</f>
        <v>0</v>
      </c>
      <c r="EB215" s="1223">
        <f>$G215*BG215*Variables!$B$53*HLOOKUP($DY$2,Variables!$B$60:$F$61,2,FALSE)</f>
        <v>0</v>
      </c>
      <c r="EC215" s="1223">
        <f>$G215*BH215*Variables!$B$53*HLOOKUP($DY$2,Variables!$B$60:$F$61,2,FALSE)</f>
        <v>0</v>
      </c>
      <c r="ED215" s="1223">
        <f>$G215*BI215*Variables!$B$53*HLOOKUP($DY$2,Variables!$B$60:$F$61,2,FALSE)</f>
        <v>0</v>
      </c>
      <c r="EE215" s="1223">
        <f>$G215*BJ215*Variables!$B$53*HLOOKUP($DY$2,Variables!$B$60:$F$61,2,FALSE)</f>
        <v>0</v>
      </c>
      <c r="EF215" s="1223">
        <f>$G215*BK215*Variables!$B$53*HLOOKUP($DY$2,Variables!$B$60:$F$61,2,FALSE)</f>
        <v>0</v>
      </c>
      <c r="EG215" s="1223">
        <f>$G215*BL215*Variables!$B$53*HLOOKUP($DY$2,Variables!$B$60:$F$61,2,FALSE)</f>
        <v>0</v>
      </c>
      <c r="EH215" s="1223">
        <f>$G215*BM215*Variables!$B$53*HLOOKUP($DY$2,Variables!$B$60:$F$61,2,FALSE)</f>
        <v>0</v>
      </c>
      <c r="EI215" s="1223">
        <f>$G215*BN215*Variables!$B$53*HLOOKUP($DY$2,Variables!$B$60:$F$61,2,FALSE)</f>
        <v>0</v>
      </c>
      <c r="EJ215" s="1225">
        <f>$G215*BO215*Variables!$B$53*HLOOKUP($DY$2,Variables!$B$60:$F$61,2,FALSE)</f>
        <v>0</v>
      </c>
      <c r="EK215" s="1222">
        <f>$G215*BP215*Variables!$B$53*HLOOKUP($EK$2,Variables!$B$60:$F$61,2,FALSE)</f>
        <v>0</v>
      </c>
      <c r="EL215" s="1223">
        <f>$G215*BQ215*Variables!$B$53*HLOOKUP($EK$2,Variables!$B$60:$F$61,2,FALSE)</f>
        <v>0</v>
      </c>
      <c r="EM215" s="1223">
        <f>$G215*BR215*Variables!$B$53*HLOOKUP($EK$2,Variables!$B$60:$F$61,2,FALSE)</f>
        <v>0</v>
      </c>
      <c r="EN215" s="1223">
        <f>$G215*BS215*Variables!$B$53*HLOOKUP($EK$2,Variables!$B$60:$F$61,2,FALSE)</f>
        <v>0</v>
      </c>
      <c r="EO215" s="1223">
        <f>$G215*BT215*Variables!$B$53*HLOOKUP($EK$2,Variables!$B$60:$F$61,2,FALSE)</f>
        <v>0</v>
      </c>
      <c r="EP215" s="1223">
        <f>$G215*BU215*Variables!$B$53*HLOOKUP($EK$2,Variables!$B$60:$F$61,2,FALSE)</f>
        <v>0</v>
      </c>
      <c r="EQ215" s="1223">
        <f>$G215*BV215*Variables!$B$53*HLOOKUP($EK$2,Variables!$B$60:$F$61,2,FALSE)</f>
        <v>0</v>
      </c>
      <c r="ER215" s="1223">
        <f>$G215*BW215*Variables!$B$53*HLOOKUP($EK$2,Variables!$B$60:$F$61,2,FALSE)</f>
        <v>0</v>
      </c>
      <c r="ES215" s="1223">
        <f>$G215*BX215*Variables!$B$53*HLOOKUP($EK$2,Variables!$B$60:$F$61,2,FALSE)</f>
        <v>0</v>
      </c>
      <c r="ET215" s="1223">
        <f>$G215*BY215*Variables!$B$53*HLOOKUP($EK$2,Variables!$B$60:$F$61,2,FALSE)</f>
        <v>0</v>
      </c>
      <c r="EU215" s="1223">
        <f>$G215*BZ215*Variables!$B$53*HLOOKUP($EK$2,Variables!$B$60:$F$61,2,FALSE)</f>
        <v>0</v>
      </c>
      <c r="EV215" s="1225">
        <f>$G215*CA215*Variables!$B$53*HLOOKUP($EK$2,Variables!$B$60:$F$61,2,FALSE)</f>
        <v>0</v>
      </c>
      <c r="EW215" s="872">
        <f t="shared" si="24"/>
        <v>0</v>
      </c>
      <c r="EX215" s="872"/>
      <c r="EY215" s="872"/>
      <c r="EZ215" s="872"/>
      <c r="FA215" s="1332"/>
      <c r="FC215" s="958" t="str">
        <f t="shared" si="25"/>
        <v/>
      </c>
      <c r="FD215" s="959" t="str">
        <f t="shared" si="26"/>
        <v/>
      </c>
      <c r="FE215" s="959" t="s">
        <v>8407</v>
      </c>
      <c r="FF215" s="959" t="str">
        <f>IF(ISNA(VLOOKUP(FC215,Miscellaneous!E:F,2,0)),"",VLOOKUP(FC215,Miscellaneous!E:F,2,0))</f>
        <v/>
      </c>
      <c r="FG215" s="959" t="str">
        <f t="shared" si="27"/>
        <v/>
      </c>
      <c r="FH215" s="996">
        <f>IF($FG215="Opex",SUMIF('Monthly Summary'!$C$75:$N$75,"",CC215:CN215),SUMIF('Monthly Summary'!$C$74:$N$74,"",CC215:CN215))</f>
        <v>0</v>
      </c>
      <c r="FI215" s="996">
        <f>IF($FG215="Opex",SUMIF('Monthly Summary'!$O$75:$Z$75,"",CO215:CZ215),SUMIF('Monthly Summary'!$O$74:$Z$74,"",CO215:CZ215))</f>
        <v>0</v>
      </c>
      <c r="FJ215" s="996">
        <f>IF($FG215="Opex",SUMIF('Monthly Summary'!$AA$75:$AL$75,"",DA215:DL215),SUMIF('Monthly Summary'!$AA$74:$AL$74,"",DA215:DL215))</f>
        <v>0</v>
      </c>
      <c r="FK215" s="996">
        <f>IF($FG215="Opex",SUMIF('Monthly Summary'!$AM$75:$AX$75,"",DM215:DX215),SUMIF('Monthly Summary'!$AM$74:$AX$74,"",DM215:DX215))</f>
        <v>0</v>
      </c>
      <c r="FL215" s="996">
        <f>IF($FG215="Opex",SUMIF('Monthly Summary'!$AY$75:$BJ$75,"",DY215:EJ215),SUMIF('Monthly Summary'!$AY$74:$BJ$74,"",DY215:EJ215))</f>
        <v>0</v>
      </c>
      <c r="FM215" s="997">
        <f>IF($FG215="Opex",SUMIF('Monthly Summary'!$BK$75:$BV$75,"",EK215:EV215),SUMIF('Monthly Summary'!$BK$74:$BV$74,"",EK215:EV215))</f>
        <v>0</v>
      </c>
      <c r="FN215" s="997">
        <f t="shared" si="28"/>
        <v>0</v>
      </c>
    </row>
    <row r="216" spans="3:170">
      <c r="C216" s="757"/>
      <c r="D216" s="757"/>
      <c r="E216" s="758"/>
      <c r="F216" s="758"/>
      <c r="G216" s="758"/>
      <c r="H216" s="1215"/>
      <c r="I216" s="761"/>
      <c r="J216" s="761"/>
      <c r="K216" s="761"/>
      <c r="L216" s="761"/>
      <c r="M216" s="761"/>
      <c r="N216" s="761"/>
      <c r="O216" s="761"/>
      <c r="P216" s="761"/>
      <c r="Q216" s="761"/>
      <c r="R216" s="761"/>
      <c r="S216" s="1216"/>
      <c r="T216" s="1215"/>
      <c r="U216" s="761"/>
      <c r="V216" s="761"/>
      <c r="W216" s="761"/>
      <c r="X216" s="761"/>
      <c r="Y216" s="761"/>
      <c r="Z216" s="761"/>
      <c r="AA216" s="761"/>
      <c r="AB216" s="761"/>
      <c r="AC216" s="761"/>
      <c r="AD216" s="761"/>
      <c r="AE216" s="1216"/>
      <c r="AF216" s="1215"/>
      <c r="AG216" s="761"/>
      <c r="AH216" s="761"/>
      <c r="AI216" s="761"/>
      <c r="AJ216" s="761"/>
      <c r="AK216" s="761"/>
      <c r="AL216" s="761"/>
      <c r="AM216" s="761"/>
      <c r="AN216" s="761"/>
      <c r="AO216" s="761"/>
      <c r="AP216" s="761"/>
      <c r="AQ216" s="1216"/>
      <c r="AR216" s="1215"/>
      <c r="AS216" s="761"/>
      <c r="AT216" s="761"/>
      <c r="AU216" s="761"/>
      <c r="AV216" s="761"/>
      <c r="AW216" s="761"/>
      <c r="AX216" s="761"/>
      <c r="AY216" s="761"/>
      <c r="AZ216" s="761"/>
      <c r="BA216" s="761"/>
      <c r="BB216" s="761"/>
      <c r="BC216" s="1216"/>
      <c r="BD216" s="1215"/>
      <c r="BE216" s="761"/>
      <c r="BF216" s="761"/>
      <c r="BG216" s="761"/>
      <c r="BH216" s="761"/>
      <c r="BI216" s="761"/>
      <c r="BJ216" s="761"/>
      <c r="BK216" s="761"/>
      <c r="BL216" s="761"/>
      <c r="BM216" s="761"/>
      <c r="BN216" s="761"/>
      <c r="BO216" s="1216"/>
      <c r="BP216" s="1215"/>
      <c r="BQ216" s="761"/>
      <c r="BR216" s="761"/>
      <c r="BS216" s="761"/>
      <c r="BT216" s="761"/>
      <c r="BU216" s="761"/>
      <c r="BV216" s="761"/>
      <c r="BW216" s="761"/>
      <c r="BX216" s="761"/>
      <c r="BY216" s="761"/>
      <c r="BZ216" s="761"/>
      <c r="CA216" s="1216"/>
      <c r="CB216" s="747"/>
      <c r="CC216" s="1222">
        <f>$G216*H216*Variables!$B$53</f>
        <v>0</v>
      </c>
      <c r="CD216" s="1223">
        <f>$G216*I216*Variables!$B$53</f>
        <v>0</v>
      </c>
      <c r="CE216" s="1223">
        <f>$G216*J216*Variables!$B$53</f>
        <v>0</v>
      </c>
      <c r="CF216" s="1223">
        <f>$G216*K216*Variables!$B$53</f>
        <v>0</v>
      </c>
      <c r="CG216" s="1223">
        <f>$G216*L216*Variables!$B$53</f>
        <v>0</v>
      </c>
      <c r="CH216" s="1223">
        <f>$G216*M216*Variables!$B$53</f>
        <v>0</v>
      </c>
      <c r="CI216" s="1223">
        <f>$G216*N216*Variables!$B$53</f>
        <v>0</v>
      </c>
      <c r="CJ216" s="1223">
        <f>$G216*O216*Variables!$B$53</f>
        <v>0</v>
      </c>
      <c r="CK216" s="1223">
        <f>$G216*P216*Variables!$B$53</f>
        <v>0</v>
      </c>
      <c r="CL216" s="1223">
        <f>$G216*Q216*Variables!$B$53</f>
        <v>0</v>
      </c>
      <c r="CM216" s="1223">
        <f>$G216*R216*Variables!$B$53</f>
        <v>0</v>
      </c>
      <c r="CN216" s="1225">
        <f>$G216*S216*Variables!$B$53</f>
        <v>0</v>
      </c>
      <c r="CO216" s="1222">
        <f>$G216*T216*Variables!$B$53*HLOOKUP($CO$2,Variables!$B$60:$F$61,2,FALSE)</f>
        <v>0</v>
      </c>
      <c r="CP216" s="1223">
        <f>$G216*U216*Variables!$B$53*HLOOKUP($CO$2,Variables!$B$60:$F$61,2,FALSE)</f>
        <v>0</v>
      </c>
      <c r="CQ216" s="1223">
        <f>$G216*V216*Variables!$B$53*HLOOKUP($CO$2,Variables!$B$60:$F$61,2,FALSE)</f>
        <v>0</v>
      </c>
      <c r="CR216" s="1223">
        <f>$G216*W216*Variables!$B$53*HLOOKUP($CO$2,Variables!$B$60:$F$61,2,FALSE)</f>
        <v>0</v>
      </c>
      <c r="CS216" s="1223">
        <f>$G216*X216*Variables!$B$53*HLOOKUP($CO$2,Variables!$B$60:$F$61,2,FALSE)</f>
        <v>0</v>
      </c>
      <c r="CT216" s="1223">
        <f>$G216*Y216*Variables!$B$53*HLOOKUP($CO$2,Variables!$B$60:$F$61,2,FALSE)</f>
        <v>0</v>
      </c>
      <c r="CU216" s="1223">
        <f>$G216*Z216*Variables!$B$53*HLOOKUP($CO$2,Variables!$B$60:$F$61,2,FALSE)</f>
        <v>0</v>
      </c>
      <c r="CV216" s="1223">
        <f>$G216*AA216*Variables!$B$53*HLOOKUP($CO$2,Variables!$B$60:$F$61,2,FALSE)</f>
        <v>0</v>
      </c>
      <c r="CW216" s="1223">
        <f>$G216*AB216*Variables!$B$53*HLOOKUP($CO$2,Variables!$B$60:$F$61,2,FALSE)</f>
        <v>0</v>
      </c>
      <c r="CX216" s="1223">
        <f>$G216*AC216*Variables!$B$53*HLOOKUP($CO$2,Variables!$B$60:$F$61,2,FALSE)</f>
        <v>0</v>
      </c>
      <c r="CY216" s="1223">
        <f>$G216*AD216*Variables!$B$53*HLOOKUP($CO$2,Variables!$B$60:$F$61,2,FALSE)</f>
        <v>0</v>
      </c>
      <c r="CZ216" s="1225">
        <f>$G216*AE216*Variables!$B$53*HLOOKUP($CO$2,Variables!$B$60:$F$61,2,FALSE)</f>
        <v>0</v>
      </c>
      <c r="DA216" s="1222">
        <f>$G216*AF216*Variables!$B$53*HLOOKUP($DA$2,Variables!$B$60:$F$61,2,FALSE)</f>
        <v>0</v>
      </c>
      <c r="DB216" s="1223">
        <f>$G216*AG216*Variables!$B$53*HLOOKUP($DA$2,Variables!$B$60:$F$61,2,FALSE)</f>
        <v>0</v>
      </c>
      <c r="DC216" s="1223">
        <f>$G216*AH216*Variables!$B$53*HLOOKUP($DA$2,Variables!$B$60:$F$61,2,FALSE)</f>
        <v>0</v>
      </c>
      <c r="DD216" s="1223">
        <f>$G216*AI216*Variables!$B$53*HLOOKUP($DA$2,Variables!$B$60:$F$61,2,FALSE)</f>
        <v>0</v>
      </c>
      <c r="DE216" s="1223">
        <f>$G216*AJ216*Variables!$B$53*HLOOKUP($DA$2,Variables!$B$60:$F$61,2,FALSE)</f>
        <v>0</v>
      </c>
      <c r="DF216" s="1223">
        <f>$G216*AK216*Variables!$B$53*HLOOKUP($DA$2,Variables!$B$60:$F$61,2,FALSE)</f>
        <v>0</v>
      </c>
      <c r="DG216" s="1223">
        <f>$G216*AL216*Variables!$B$53*HLOOKUP($DA$2,Variables!$B$60:$F$61,2,FALSE)</f>
        <v>0</v>
      </c>
      <c r="DH216" s="1223">
        <f>$G216*AM216*Variables!$B$53*HLOOKUP($DA$2,Variables!$B$60:$F$61,2,FALSE)</f>
        <v>0</v>
      </c>
      <c r="DI216" s="1223">
        <f>$G216*AN216*Variables!$B$53*HLOOKUP($DA$2,Variables!$B$60:$F$61,2,FALSE)</f>
        <v>0</v>
      </c>
      <c r="DJ216" s="1223">
        <f>$G216*AO216*Variables!$B$53*HLOOKUP($DA$2,Variables!$B$60:$F$61,2,FALSE)</f>
        <v>0</v>
      </c>
      <c r="DK216" s="1223">
        <f>$G216*AP216*Variables!$B$53*HLOOKUP($DA$2,Variables!$B$60:$F$61,2,FALSE)</f>
        <v>0</v>
      </c>
      <c r="DL216" s="1225">
        <f>$G216*AQ216*Variables!$B$53*HLOOKUP($DA$2,Variables!$B$60:$F$61,2,FALSE)</f>
        <v>0</v>
      </c>
      <c r="DM216" s="1222">
        <f>$G216*AR216*Variables!$B$53*HLOOKUP($DM$2,Variables!$B$60:$F$61,2,FALSE)</f>
        <v>0</v>
      </c>
      <c r="DN216" s="1223">
        <f>$G216*AS216*Variables!$B$53*HLOOKUP($DM$2,Variables!$B$60:$F$61,2,FALSE)</f>
        <v>0</v>
      </c>
      <c r="DO216" s="1223">
        <f>$G216*AT216*Variables!$B$53*HLOOKUP($DM$2,Variables!$B$60:$F$61,2,FALSE)</f>
        <v>0</v>
      </c>
      <c r="DP216" s="1223">
        <f>$G216*AU216*Variables!$B$53*HLOOKUP($DM$2,Variables!$B$60:$F$61,2,FALSE)</f>
        <v>0</v>
      </c>
      <c r="DQ216" s="1223">
        <f>$G216*AV216*Variables!$B$53*HLOOKUP($DM$2,Variables!$B$60:$F$61,2,FALSE)</f>
        <v>0</v>
      </c>
      <c r="DR216" s="1223">
        <f>$G216*AW216*Variables!$B$53*HLOOKUP($DM$2,Variables!$B$60:$F$61,2,FALSE)</f>
        <v>0</v>
      </c>
      <c r="DS216" s="1223">
        <f>$G216*AX216*Variables!$B$53*HLOOKUP($DM$2,Variables!$B$60:$F$61,2,FALSE)</f>
        <v>0</v>
      </c>
      <c r="DT216" s="1223">
        <f>$G216*AY216*Variables!$B$53*HLOOKUP($DM$2,Variables!$B$60:$F$61,2,FALSE)</f>
        <v>0</v>
      </c>
      <c r="DU216" s="1223">
        <f>$G216*AZ216*Variables!$B$53*HLOOKUP($DM$2,Variables!$B$60:$F$61,2,FALSE)</f>
        <v>0</v>
      </c>
      <c r="DV216" s="1223">
        <f>$G216*BA216*Variables!$B$53*HLOOKUP($DM$2,Variables!$B$60:$F$61,2,FALSE)</f>
        <v>0</v>
      </c>
      <c r="DW216" s="1223">
        <f>$G216*BB216*Variables!$B$53*HLOOKUP($DM$2,Variables!$B$60:$F$61,2,FALSE)</f>
        <v>0</v>
      </c>
      <c r="DX216" s="1225">
        <f>$G216*BC216*Variables!$B$53*HLOOKUP($DM$2,Variables!$B$60:$F$61,2,FALSE)</f>
        <v>0</v>
      </c>
      <c r="DY216" s="1222">
        <f>$G216*BD216*Variables!$B$53*HLOOKUP($DY$2,Variables!$B$60:$F$61,2,FALSE)</f>
        <v>0</v>
      </c>
      <c r="DZ216" s="1223">
        <f>$G216*BE216*Variables!$B$53*HLOOKUP($DY$2,Variables!$B$60:$F$61,2,FALSE)</f>
        <v>0</v>
      </c>
      <c r="EA216" s="1223">
        <f>$G216*BF216*Variables!$B$53*HLOOKUP($DY$2,Variables!$B$60:$F$61,2,FALSE)</f>
        <v>0</v>
      </c>
      <c r="EB216" s="1223">
        <f>$G216*BG216*Variables!$B$53*HLOOKUP($DY$2,Variables!$B$60:$F$61,2,FALSE)</f>
        <v>0</v>
      </c>
      <c r="EC216" s="1223">
        <f>$G216*BH216*Variables!$B$53*HLOOKUP($DY$2,Variables!$B$60:$F$61,2,FALSE)</f>
        <v>0</v>
      </c>
      <c r="ED216" s="1223">
        <f>$G216*BI216*Variables!$B$53*HLOOKUP($DY$2,Variables!$B$60:$F$61,2,FALSE)</f>
        <v>0</v>
      </c>
      <c r="EE216" s="1223">
        <f>$G216*BJ216*Variables!$B$53*HLOOKUP($DY$2,Variables!$B$60:$F$61,2,FALSE)</f>
        <v>0</v>
      </c>
      <c r="EF216" s="1223">
        <f>$G216*BK216*Variables!$B$53*HLOOKUP($DY$2,Variables!$B$60:$F$61,2,FALSE)</f>
        <v>0</v>
      </c>
      <c r="EG216" s="1223">
        <f>$G216*BL216*Variables!$B$53*HLOOKUP($DY$2,Variables!$B$60:$F$61,2,FALSE)</f>
        <v>0</v>
      </c>
      <c r="EH216" s="1223">
        <f>$G216*BM216*Variables!$B$53*HLOOKUP($DY$2,Variables!$B$60:$F$61,2,FALSE)</f>
        <v>0</v>
      </c>
      <c r="EI216" s="1223">
        <f>$G216*BN216*Variables!$B$53*HLOOKUP($DY$2,Variables!$B$60:$F$61,2,FALSE)</f>
        <v>0</v>
      </c>
      <c r="EJ216" s="1225">
        <f>$G216*BO216*Variables!$B$53*HLOOKUP($DY$2,Variables!$B$60:$F$61,2,FALSE)</f>
        <v>0</v>
      </c>
      <c r="EK216" s="1222">
        <f>$G216*BP216*Variables!$B$53*HLOOKUP($EK$2,Variables!$B$60:$F$61,2,FALSE)</f>
        <v>0</v>
      </c>
      <c r="EL216" s="1223">
        <f>$G216*BQ216*Variables!$B$53*HLOOKUP($EK$2,Variables!$B$60:$F$61,2,FALSE)</f>
        <v>0</v>
      </c>
      <c r="EM216" s="1223">
        <f>$G216*BR216*Variables!$B$53*HLOOKUP($EK$2,Variables!$B$60:$F$61,2,FALSE)</f>
        <v>0</v>
      </c>
      <c r="EN216" s="1223">
        <f>$G216*BS216*Variables!$B$53*HLOOKUP($EK$2,Variables!$B$60:$F$61,2,FALSE)</f>
        <v>0</v>
      </c>
      <c r="EO216" s="1223">
        <f>$G216*BT216*Variables!$B$53*HLOOKUP($EK$2,Variables!$B$60:$F$61,2,FALSE)</f>
        <v>0</v>
      </c>
      <c r="EP216" s="1223">
        <f>$G216*BU216*Variables!$B$53*HLOOKUP($EK$2,Variables!$B$60:$F$61,2,FALSE)</f>
        <v>0</v>
      </c>
      <c r="EQ216" s="1223">
        <f>$G216*BV216*Variables!$B$53*HLOOKUP($EK$2,Variables!$B$60:$F$61,2,FALSE)</f>
        <v>0</v>
      </c>
      <c r="ER216" s="1223">
        <f>$G216*BW216*Variables!$B$53*HLOOKUP($EK$2,Variables!$B$60:$F$61,2,FALSE)</f>
        <v>0</v>
      </c>
      <c r="ES216" s="1223">
        <f>$G216*BX216*Variables!$B$53*HLOOKUP($EK$2,Variables!$B$60:$F$61,2,FALSE)</f>
        <v>0</v>
      </c>
      <c r="ET216" s="1223">
        <f>$G216*BY216*Variables!$B$53*HLOOKUP($EK$2,Variables!$B$60:$F$61,2,FALSE)</f>
        <v>0</v>
      </c>
      <c r="EU216" s="1223">
        <f>$G216*BZ216*Variables!$B$53*HLOOKUP($EK$2,Variables!$B$60:$F$61,2,FALSE)</f>
        <v>0</v>
      </c>
      <c r="EV216" s="1225">
        <f>$G216*CA216*Variables!$B$53*HLOOKUP($EK$2,Variables!$B$60:$F$61,2,FALSE)</f>
        <v>0</v>
      </c>
      <c r="EW216" s="872">
        <f t="shared" si="24"/>
        <v>0</v>
      </c>
      <c r="EX216" s="872"/>
      <c r="EY216" s="872"/>
      <c r="EZ216" s="872"/>
      <c r="FA216" s="1332"/>
      <c r="FC216" s="958" t="str">
        <f t="shared" si="25"/>
        <v/>
      </c>
      <c r="FD216" s="959" t="str">
        <f t="shared" si="26"/>
        <v/>
      </c>
      <c r="FE216" s="959" t="s">
        <v>8407</v>
      </c>
      <c r="FF216" s="959" t="str">
        <f>IF(ISNA(VLOOKUP(FC216,Miscellaneous!E:F,2,0)),"",VLOOKUP(FC216,Miscellaneous!E:F,2,0))</f>
        <v/>
      </c>
      <c r="FG216" s="959" t="str">
        <f t="shared" si="27"/>
        <v/>
      </c>
      <c r="FH216" s="996">
        <f>IF($FG216="Opex",SUMIF('Monthly Summary'!$C$75:$N$75,"",CC216:CN216),SUMIF('Monthly Summary'!$C$74:$N$74,"",CC216:CN216))</f>
        <v>0</v>
      </c>
      <c r="FI216" s="996">
        <f>IF($FG216="Opex",SUMIF('Monthly Summary'!$O$75:$Z$75,"",CO216:CZ216),SUMIF('Monthly Summary'!$O$74:$Z$74,"",CO216:CZ216))</f>
        <v>0</v>
      </c>
      <c r="FJ216" s="996">
        <f>IF($FG216="Opex",SUMIF('Monthly Summary'!$AA$75:$AL$75,"",DA216:DL216),SUMIF('Monthly Summary'!$AA$74:$AL$74,"",DA216:DL216))</f>
        <v>0</v>
      </c>
      <c r="FK216" s="996">
        <f>IF($FG216="Opex",SUMIF('Monthly Summary'!$AM$75:$AX$75,"",DM216:DX216),SUMIF('Monthly Summary'!$AM$74:$AX$74,"",DM216:DX216))</f>
        <v>0</v>
      </c>
      <c r="FL216" s="996">
        <f>IF($FG216="Opex",SUMIF('Monthly Summary'!$AY$75:$BJ$75,"",DY216:EJ216),SUMIF('Monthly Summary'!$AY$74:$BJ$74,"",DY216:EJ216))</f>
        <v>0</v>
      </c>
      <c r="FM216" s="997">
        <f>IF($FG216="Opex",SUMIF('Monthly Summary'!$BK$75:$BV$75,"",EK216:EV216),SUMIF('Monthly Summary'!$BK$74:$BV$74,"",EK216:EV216))</f>
        <v>0</v>
      </c>
      <c r="FN216" s="997">
        <f t="shared" si="28"/>
        <v>0</v>
      </c>
    </row>
    <row r="217" spans="3:170">
      <c r="C217" s="757"/>
      <c r="D217" s="757"/>
      <c r="E217" s="758"/>
      <c r="F217" s="758"/>
      <c r="G217" s="758"/>
      <c r="H217" s="1215"/>
      <c r="I217" s="761"/>
      <c r="J217" s="761"/>
      <c r="K217" s="761"/>
      <c r="L217" s="761"/>
      <c r="M217" s="761"/>
      <c r="N217" s="761"/>
      <c r="O217" s="761"/>
      <c r="P217" s="761"/>
      <c r="Q217" s="761"/>
      <c r="R217" s="761"/>
      <c r="S217" s="1216"/>
      <c r="T217" s="1215"/>
      <c r="U217" s="761"/>
      <c r="V217" s="761"/>
      <c r="W217" s="761"/>
      <c r="X217" s="761"/>
      <c r="Y217" s="761"/>
      <c r="Z217" s="761"/>
      <c r="AA217" s="761"/>
      <c r="AB217" s="761"/>
      <c r="AC217" s="761"/>
      <c r="AD217" s="761"/>
      <c r="AE217" s="1216"/>
      <c r="AF217" s="1215"/>
      <c r="AG217" s="761"/>
      <c r="AH217" s="761"/>
      <c r="AI217" s="761"/>
      <c r="AJ217" s="761"/>
      <c r="AK217" s="761"/>
      <c r="AL217" s="761"/>
      <c r="AM217" s="761"/>
      <c r="AN217" s="761"/>
      <c r="AO217" s="761"/>
      <c r="AP217" s="761"/>
      <c r="AQ217" s="1216"/>
      <c r="AR217" s="1215"/>
      <c r="AS217" s="761"/>
      <c r="AT217" s="761"/>
      <c r="AU217" s="761"/>
      <c r="AV217" s="761"/>
      <c r="AW217" s="761"/>
      <c r="AX217" s="761"/>
      <c r="AY217" s="761"/>
      <c r="AZ217" s="761"/>
      <c r="BA217" s="761"/>
      <c r="BB217" s="761"/>
      <c r="BC217" s="1216"/>
      <c r="BD217" s="1215"/>
      <c r="BE217" s="761"/>
      <c r="BF217" s="761"/>
      <c r="BG217" s="761"/>
      <c r="BH217" s="761"/>
      <c r="BI217" s="761"/>
      <c r="BJ217" s="761"/>
      <c r="BK217" s="761"/>
      <c r="BL217" s="761"/>
      <c r="BM217" s="761"/>
      <c r="BN217" s="761"/>
      <c r="BO217" s="1216"/>
      <c r="BP217" s="1215"/>
      <c r="BQ217" s="761"/>
      <c r="BR217" s="761"/>
      <c r="BS217" s="761"/>
      <c r="BT217" s="761"/>
      <c r="BU217" s="761"/>
      <c r="BV217" s="761"/>
      <c r="BW217" s="761"/>
      <c r="BX217" s="761"/>
      <c r="BY217" s="761"/>
      <c r="BZ217" s="761"/>
      <c r="CA217" s="1216"/>
      <c r="CB217" s="747"/>
      <c r="CC217" s="1222">
        <f>$G217*H217*Variables!$B$53</f>
        <v>0</v>
      </c>
      <c r="CD217" s="1223">
        <f>$G217*I217*Variables!$B$53</f>
        <v>0</v>
      </c>
      <c r="CE217" s="1223">
        <f>$G217*J217*Variables!$B$53</f>
        <v>0</v>
      </c>
      <c r="CF217" s="1223">
        <f>$G217*K217*Variables!$B$53</f>
        <v>0</v>
      </c>
      <c r="CG217" s="1223">
        <f>$G217*L217*Variables!$B$53</f>
        <v>0</v>
      </c>
      <c r="CH217" s="1223">
        <f>$G217*M217*Variables!$B$53</f>
        <v>0</v>
      </c>
      <c r="CI217" s="1223">
        <f>$G217*N217*Variables!$B$53</f>
        <v>0</v>
      </c>
      <c r="CJ217" s="1223">
        <f>$G217*O217*Variables!$B$53</f>
        <v>0</v>
      </c>
      <c r="CK217" s="1223">
        <f>$G217*P217*Variables!$B$53</f>
        <v>0</v>
      </c>
      <c r="CL217" s="1223">
        <f>$G217*Q217*Variables!$B$53</f>
        <v>0</v>
      </c>
      <c r="CM217" s="1223">
        <f>$G217*R217*Variables!$B$53</f>
        <v>0</v>
      </c>
      <c r="CN217" s="1225">
        <f>$G217*S217*Variables!$B$53</f>
        <v>0</v>
      </c>
      <c r="CO217" s="1222">
        <f>$G217*T217*Variables!$B$53*HLOOKUP($CO$2,Variables!$B$60:$F$61,2,FALSE)</f>
        <v>0</v>
      </c>
      <c r="CP217" s="1223">
        <f>$G217*U217*Variables!$B$53*HLOOKUP($CO$2,Variables!$B$60:$F$61,2,FALSE)</f>
        <v>0</v>
      </c>
      <c r="CQ217" s="1223">
        <f>$G217*V217*Variables!$B$53*HLOOKUP($CO$2,Variables!$B$60:$F$61,2,FALSE)</f>
        <v>0</v>
      </c>
      <c r="CR217" s="1223">
        <f>$G217*W217*Variables!$B$53*HLOOKUP($CO$2,Variables!$B$60:$F$61,2,FALSE)</f>
        <v>0</v>
      </c>
      <c r="CS217" s="1223">
        <f>$G217*X217*Variables!$B$53*HLOOKUP($CO$2,Variables!$B$60:$F$61,2,FALSE)</f>
        <v>0</v>
      </c>
      <c r="CT217" s="1223">
        <f>$G217*Y217*Variables!$B$53*HLOOKUP($CO$2,Variables!$B$60:$F$61,2,FALSE)</f>
        <v>0</v>
      </c>
      <c r="CU217" s="1223">
        <f>$G217*Z217*Variables!$B$53*HLOOKUP($CO$2,Variables!$B$60:$F$61,2,FALSE)</f>
        <v>0</v>
      </c>
      <c r="CV217" s="1223">
        <f>$G217*AA217*Variables!$B$53*HLOOKUP($CO$2,Variables!$B$60:$F$61,2,FALSE)</f>
        <v>0</v>
      </c>
      <c r="CW217" s="1223">
        <f>$G217*AB217*Variables!$B$53*HLOOKUP($CO$2,Variables!$B$60:$F$61,2,FALSE)</f>
        <v>0</v>
      </c>
      <c r="CX217" s="1223">
        <f>$G217*AC217*Variables!$B$53*HLOOKUP($CO$2,Variables!$B$60:$F$61,2,FALSE)</f>
        <v>0</v>
      </c>
      <c r="CY217" s="1223">
        <f>$G217*AD217*Variables!$B$53*HLOOKUP($CO$2,Variables!$B$60:$F$61,2,FALSE)</f>
        <v>0</v>
      </c>
      <c r="CZ217" s="1225">
        <f>$G217*AE217*Variables!$B$53*HLOOKUP($CO$2,Variables!$B$60:$F$61,2,FALSE)</f>
        <v>0</v>
      </c>
      <c r="DA217" s="1222">
        <f>$G217*AF217*Variables!$B$53*HLOOKUP($DA$2,Variables!$B$60:$F$61,2,FALSE)</f>
        <v>0</v>
      </c>
      <c r="DB217" s="1223">
        <f>$G217*AG217*Variables!$B$53*HLOOKUP($DA$2,Variables!$B$60:$F$61,2,FALSE)</f>
        <v>0</v>
      </c>
      <c r="DC217" s="1223">
        <f>$G217*AH217*Variables!$B$53*HLOOKUP($DA$2,Variables!$B$60:$F$61,2,FALSE)</f>
        <v>0</v>
      </c>
      <c r="DD217" s="1223">
        <f>$G217*AI217*Variables!$B$53*HLOOKUP($DA$2,Variables!$B$60:$F$61,2,FALSE)</f>
        <v>0</v>
      </c>
      <c r="DE217" s="1223">
        <f>$G217*AJ217*Variables!$B$53*HLOOKUP($DA$2,Variables!$B$60:$F$61,2,FALSE)</f>
        <v>0</v>
      </c>
      <c r="DF217" s="1223">
        <f>$G217*AK217*Variables!$B$53*HLOOKUP($DA$2,Variables!$B$60:$F$61,2,FALSE)</f>
        <v>0</v>
      </c>
      <c r="DG217" s="1223">
        <f>$G217*AL217*Variables!$B$53*HLOOKUP($DA$2,Variables!$B$60:$F$61,2,FALSE)</f>
        <v>0</v>
      </c>
      <c r="DH217" s="1223">
        <f>$G217*AM217*Variables!$B$53*HLOOKUP($DA$2,Variables!$B$60:$F$61,2,FALSE)</f>
        <v>0</v>
      </c>
      <c r="DI217" s="1223">
        <f>$G217*AN217*Variables!$B$53*HLOOKUP($DA$2,Variables!$B$60:$F$61,2,FALSE)</f>
        <v>0</v>
      </c>
      <c r="DJ217" s="1223">
        <f>$G217*AO217*Variables!$B$53*HLOOKUP($DA$2,Variables!$B$60:$F$61,2,FALSE)</f>
        <v>0</v>
      </c>
      <c r="DK217" s="1223">
        <f>$G217*AP217*Variables!$B$53*HLOOKUP($DA$2,Variables!$B$60:$F$61,2,FALSE)</f>
        <v>0</v>
      </c>
      <c r="DL217" s="1225">
        <f>$G217*AQ217*Variables!$B$53*HLOOKUP($DA$2,Variables!$B$60:$F$61,2,FALSE)</f>
        <v>0</v>
      </c>
      <c r="DM217" s="1222">
        <f>$G217*AR217*Variables!$B$53*HLOOKUP($DM$2,Variables!$B$60:$F$61,2,FALSE)</f>
        <v>0</v>
      </c>
      <c r="DN217" s="1223">
        <f>$G217*AS217*Variables!$B$53*HLOOKUP($DM$2,Variables!$B$60:$F$61,2,FALSE)</f>
        <v>0</v>
      </c>
      <c r="DO217" s="1223">
        <f>$G217*AT217*Variables!$B$53*HLOOKUP($DM$2,Variables!$B$60:$F$61,2,FALSE)</f>
        <v>0</v>
      </c>
      <c r="DP217" s="1223">
        <f>$G217*AU217*Variables!$B$53*HLOOKUP($DM$2,Variables!$B$60:$F$61,2,FALSE)</f>
        <v>0</v>
      </c>
      <c r="DQ217" s="1223">
        <f>$G217*AV217*Variables!$B$53*HLOOKUP($DM$2,Variables!$B$60:$F$61,2,FALSE)</f>
        <v>0</v>
      </c>
      <c r="DR217" s="1223">
        <f>$G217*AW217*Variables!$B$53*HLOOKUP($DM$2,Variables!$B$60:$F$61,2,FALSE)</f>
        <v>0</v>
      </c>
      <c r="DS217" s="1223">
        <f>$G217*AX217*Variables!$B$53*HLOOKUP($DM$2,Variables!$B$60:$F$61,2,FALSE)</f>
        <v>0</v>
      </c>
      <c r="DT217" s="1223">
        <f>$G217*AY217*Variables!$B$53*HLOOKUP($DM$2,Variables!$B$60:$F$61,2,FALSE)</f>
        <v>0</v>
      </c>
      <c r="DU217" s="1223">
        <f>$G217*AZ217*Variables!$B$53*HLOOKUP($DM$2,Variables!$B$60:$F$61,2,FALSE)</f>
        <v>0</v>
      </c>
      <c r="DV217" s="1223">
        <f>$G217*BA217*Variables!$B$53*HLOOKUP($DM$2,Variables!$B$60:$F$61,2,FALSE)</f>
        <v>0</v>
      </c>
      <c r="DW217" s="1223">
        <f>$G217*BB217*Variables!$B$53*HLOOKUP($DM$2,Variables!$B$60:$F$61,2,FALSE)</f>
        <v>0</v>
      </c>
      <c r="DX217" s="1225">
        <f>$G217*BC217*Variables!$B$53*HLOOKUP($DM$2,Variables!$B$60:$F$61,2,FALSE)</f>
        <v>0</v>
      </c>
      <c r="DY217" s="1222">
        <f>$G217*BD217*Variables!$B$53*HLOOKUP($DY$2,Variables!$B$60:$F$61,2,FALSE)</f>
        <v>0</v>
      </c>
      <c r="DZ217" s="1223">
        <f>$G217*BE217*Variables!$B$53*HLOOKUP($DY$2,Variables!$B$60:$F$61,2,FALSE)</f>
        <v>0</v>
      </c>
      <c r="EA217" s="1223">
        <f>$G217*BF217*Variables!$B$53*HLOOKUP($DY$2,Variables!$B$60:$F$61,2,FALSE)</f>
        <v>0</v>
      </c>
      <c r="EB217" s="1223">
        <f>$G217*BG217*Variables!$B$53*HLOOKUP($DY$2,Variables!$B$60:$F$61,2,FALSE)</f>
        <v>0</v>
      </c>
      <c r="EC217" s="1223">
        <f>$G217*BH217*Variables!$B$53*HLOOKUP($DY$2,Variables!$B$60:$F$61,2,FALSE)</f>
        <v>0</v>
      </c>
      <c r="ED217" s="1223">
        <f>$G217*BI217*Variables!$B$53*HLOOKUP($DY$2,Variables!$B$60:$F$61,2,FALSE)</f>
        <v>0</v>
      </c>
      <c r="EE217" s="1223">
        <f>$G217*BJ217*Variables!$B$53*HLOOKUP($DY$2,Variables!$B$60:$F$61,2,FALSE)</f>
        <v>0</v>
      </c>
      <c r="EF217" s="1223">
        <f>$G217*BK217*Variables!$B$53*HLOOKUP($DY$2,Variables!$B$60:$F$61,2,FALSE)</f>
        <v>0</v>
      </c>
      <c r="EG217" s="1223">
        <f>$G217*BL217*Variables!$B$53*HLOOKUP($DY$2,Variables!$B$60:$F$61,2,FALSE)</f>
        <v>0</v>
      </c>
      <c r="EH217" s="1223">
        <f>$G217*BM217*Variables!$B$53*HLOOKUP($DY$2,Variables!$B$60:$F$61,2,FALSE)</f>
        <v>0</v>
      </c>
      <c r="EI217" s="1223">
        <f>$G217*BN217*Variables!$B$53*HLOOKUP($DY$2,Variables!$B$60:$F$61,2,FALSE)</f>
        <v>0</v>
      </c>
      <c r="EJ217" s="1225">
        <f>$G217*BO217*Variables!$B$53*HLOOKUP($DY$2,Variables!$B$60:$F$61,2,FALSE)</f>
        <v>0</v>
      </c>
      <c r="EK217" s="1222">
        <f>$G217*BP217*Variables!$B$53*HLOOKUP($EK$2,Variables!$B$60:$F$61,2,FALSE)</f>
        <v>0</v>
      </c>
      <c r="EL217" s="1223">
        <f>$G217*BQ217*Variables!$B$53*HLOOKUP($EK$2,Variables!$B$60:$F$61,2,FALSE)</f>
        <v>0</v>
      </c>
      <c r="EM217" s="1223">
        <f>$G217*BR217*Variables!$B$53*HLOOKUP($EK$2,Variables!$B$60:$F$61,2,FALSE)</f>
        <v>0</v>
      </c>
      <c r="EN217" s="1223">
        <f>$G217*BS217*Variables!$B$53*HLOOKUP($EK$2,Variables!$B$60:$F$61,2,FALSE)</f>
        <v>0</v>
      </c>
      <c r="EO217" s="1223">
        <f>$G217*BT217*Variables!$B$53*HLOOKUP($EK$2,Variables!$B$60:$F$61,2,FALSE)</f>
        <v>0</v>
      </c>
      <c r="EP217" s="1223">
        <f>$G217*BU217*Variables!$B$53*HLOOKUP($EK$2,Variables!$B$60:$F$61,2,FALSE)</f>
        <v>0</v>
      </c>
      <c r="EQ217" s="1223">
        <f>$G217*BV217*Variables!$B$53*HLOOKUP($EK$2,Variables!$B$60:$F$61,2,FALSE)</f>
        <v>0</v>
      </c>
      <c r="ER217" s="1223">
        <f>$G217*BW217*Variables!$B$53*HLOOKUP($EK$2,Variables!$B$60:$F$61,2,FALSE)</f>
        <v>0</v>
      </c>
      <c r="ES217" s="1223">
        <f>$G217*BX217*Variables!$B$53*HLOOKUP($EK$2,Variables!$B$60:$F$61,2,FALSE)</f>
        <v>0</v>
      </c>
      <c r="ET217" s="1223">
        <f>$G217*BY217*Variables!$B$53*HLOOKUP($EK$2,Variables!$B$60:$F$61,2,FALSE)</f>
        <v>0</v>
      </c>
      <c r="EU217" s="1223">
        <f>$G217*BZ217*Variables!$B$53*HLOOKUP($EK$2,Variables!$B$60:$F$61,2,FALSE)</f>
        <v>0</v>
      </c>
      <c r="EV217" s="1225">
        <f>$G217*CA217*Variables!$B$53*HLOOKUP($EK$2,Variables!$B$60:$F$61,2,FALSE)</f>
        <v>0</v>
      </c>
      <c r="EW217" s="872">
        <f t="shared" si="24"/>
        <v>0</v>
      </c>
      <c r="EX217" s="872"/>
      <c r="EY217" s="872"/>
      <c r="EZ217" s="872"/>
      <c r="FA217" s="1332"/>
      <c r="FC217" s="958" t="str">
        <f t="shared" si="25"/>
        <v/>
      </c>
      <c r="FD217" s="959" t="str">
        <f t="shared" si="26"/>
        <v/>
      </c>
      <c r="FE217" s="959" t="s">
        <v>8407</v>
      </c>
      <c r="FF217" s="959" t="str">
        <f>IF(ISNA(VLOOKUP(FC217,Miscellaneous!E:F,2,0)),"",VLOOKUP(FC217,Miscellaneous!E:F,2,0))</f>
        <v/>
      </c>
      <c r="FG217" s="959" t="str">
        <f t="shared" si="27"/>
        <v/>
      </c>
      <c r="FH217" s="996">
        <f>IF($FG217="Opex",SUMIF('Monthly Summary'!$C$75:$N$75,"",CC217:CN217),SUMIF('Monthly Summary'!$C$74:$N$74,"",CC217:CN217))</f>
        <v>0</v>
      </c>
      <c r="FI217" s="996">
        <f>IF($FG217="Opex",SUMIF('Monthly Summary'!$O$75:$Z$75,"",CO217:CZ217),SUMIF('Monthly Summary'!$O$74:$Z$74,"",CO217:CZ217))</f>
        <v>0</v>
      </c>
      <c r="FJ217" s="996">
        <f>IF($FG217="Opex",SUMIF('Monthly Summary'!$AA$75:$AL$75,"",DA217:DL217),SUMIF('Monthly Summary'!$AA$74:$AL$74,"",DA217:DL217))</f>
        <v>0</v>
      </c>
      <c r="FK217" s="996">
        <f>IF($FG217="Opex",SUMIF('Monthly Summary'!$AM$75:$AX$75,"",DM217:DX217),SUMIF('Monthly Summary'!$AM$74:$AX$74,"",DM217:DX217))</f>
        <v>0</v>
      </c>
      <c r="FL217" s="996">
        <f>IF($FG217="Opex",SUMIF('Monthly Summary'!$AY$75:$BJ$75,"",DY217:EJ217),SUMIF('Monthly Summary'!$AY$74:$BJ$74,"",DY217:EJ217))</f>
        <v>0</v>
      </c>
      <c r="FM217" s="997">
        <f>IF($FG217="Opex",SUMIF('Monthly Summary'!$BK$75:$BV$75,"",EK217:EV217),SUMIF('Monthly Summary'!$BK$74:$BV$74,"",EK217:EV217))</f>
        <v>0</v>
      </c>
      <c r="FN217" s="997">
        <f t="shared" si="28"/>
        <v>0</v>
      </c>
    </row>
    <row r="218" spans="3:170">
      <c r="C218" s="757"/>
      <c r="D218" s="757"/>
      <c r="E218" s="758"/>
      <c r="F218" s="758"/>
      <c r="G218" s="758"/>
      <c r="H218" s="1215"/>
      <c r="I218" s="761"/>
      <c r="J218" s="761"/>
      <c r="K218" s="761"/>
      <c r="L218" s="761"/>
      <c r="M218" s="761"/>
      <c r="N218" s="761"/>
      <c r="O218" s="761"/>
      <c r="P218" s="761"/>
      <c r="Q218" s="761"/>
      <c r="R218" s="761"/>
      <c r="S218" s="1216"/>
      <c r="T218" s="1215"/>
      <c r="U218" s="761"/>
      <c r="V218" s="761"/>
      <c r="W218" s="761"/>
      <c r="X218" s="761"/>
      <c r="Y218" s="761"/>
      <c r="Z218" s="761"/>
      <c r="AA218" s="761"/>
      <c r="AB218" s="761"/>
      <c r="AC218" s="761"/>
      <c r="AD218" s="761"/>
      <c r="AE218" s="1216"/>
      <c r="AF218" s="1215"/>
      <c r="AG218" s="761"/>
      <c r="AH218" s="761"/>
      <c r="AI218" s="761"/>
      <c r="AJ218" s="761"/>
      <c r="AK218" s="761"/>
      <c r="AL218" s="761"/>
      <c r="AM218" s="761"/>
      <c r="AN218" s="761"/>
      <c r="AO218" s="761"/>
      <c r="AP218" s="761"/>
      <c r="AQ218" s="1216"/>
      <c r="AR218" s="1215"/>
      <c r="AS218" s="761"/>
      <c r="AT218" s="761"/>
      <c r="AU218" s="761"/>
      <c r="AV218" s="761"/>
      <c r="AW218" s="761"/>
      <c r="AX218" s="761"/>
      <c r="AY218" s="761"/>
      <c r="AZ218" s="761"/>
      <c r="BA218" s="761"/>
      <c r="BB218" s="761"/>
      <c r="BC218" s="1216"/>
      <c r="BD218" s="1215"/>
      <c r="BE218" s="761"/>
      <c r="BF218" s="761"/>
      <c r="BG218" s="761"/>
      <c r="BH218" s="761"/>
      <c r="BI218" s="761"/>
      <c r="BJ218" s="761"/>
      <c r="BK218" s="761"/>
      <c r="BL218" s="761"/>
      <c r="BM218" s="761"/>
      <c r="BN218" s="761"/>
      <c r="BO218" s="1216"/>
      <c r="BP218" s="1215"/>
      <c r="BQ218" s="761"/>
      <c r="BR218" s="761"/>
      <c r="BS218" s="761"/>
      <c r="BT218" s="761"/>
      <c r="BU218" s="761"/>
      <c r="BV218" s="761"/>
      <c r="BW218" s="761"/>
      <c r="BX218" s="761"/>
      <c r="BY218" s="761"/>
      <c r="BZ218" s="761"/>
      <c r="CA218" s="1216"/>
      <c r="CB218" s="747"/>
      <c r="CC218" s="1222">
        <f>$G218*H218*Variables!$B$53</f>
        <v>0</v>
      </c>
      <c r="CD218" s="1223">
        <f>$G218*I218*Variables!$B$53</f>
        <v>0</v>
      </c>
      <c r="CE218" s="1223">
        <f>$G218*J218*Variables!$B$53</f>
        <v>0</v>
      </c>
      <c r="CF218" s="1223">
        <f>$G218*K218*Variables!$B$53</f>
        <v>0</v>
      </c>
      <c r="CG218" s="1223">
        <f>$G218*L218*Variables!$B$53</f>
        <v>0</v>
      </c>
      <c r="CH218" s="1223">
        <f>$G218*M218*Variables!$B$53</f>
        <v>0</v>
      </c>
      <c r="CI218" s="1223">
        <f>$G218*N218*Variables!$B$53</f>
        <v>0</v>
      </c>
      <c r="CJ218" s="1223">
        <f>$G218*O218*Variables!$B$53</f>
        <v>0</v>
      </c>
      <c r="CK218" s="1223">
        <f>$G218*P218*Variables!$B$53</f>
        <v>0</v>
      </c>
      <c r="CL218" s="1223">
        <f>$G218*Q218*Variables!$B$53</f>
        <v>0</v>
      </c>
      <c r="CM218" s="1223">
        <f>$G218*R218*Variables!$B$53</f>
        <v>0</v>
      </c>
      <c r="CN218" s="1225">
        <f>$G218*S218*Variables!$B$53</f>
        <v>0</v>
      </c>
      <c r="CO218" s="1222">
        <f>$G218*T218*Variables!$B$53*HLOOKUP($CO$2,Variables!$B$60:$F$61,2,FALSE)</f>
        <v>0</v>
      </c>
      <c r="CP218" s="1223">
        <f>$G218*U218*Variables!$B$53*HLOOKUP($CO$2,Variables!$B$60:$F$61,2,FALSE)</f>
        <v>0</v>
      </c>
      <c r="CQ218" s="1223">
        <f>$G218*V218*Variables!$B$53*HLOOKUP($CO$2,Variables!$B$60:$F$61,2,FALSE)</f>
        <v>0</v>
      </c>
      <c r="CR218" s="1223">
        <f>$G218*W218*Variables!$B$53*HLOOKUP($CO$2,Variables!$B$60:$F$61,2,FALSE)</f>
        <v>0</v>
      </c>
      <c r="CS218" s="1223">
        <f>$G218*X218*Variables!$B$53*HLOOKUP($CO$2,Variables!$B$60:$F$61,2,FALSE)</f>
        <v>0</v>
      </c>
      <c r="CT218" s="1223">
        <f>$G218*Y218*Variables!$B$53*HLOOKUP($CO$2,Variables!$B$60:$F$61,2,FALSE)</f>
        <v>0</v>
      </c>
      <c r="CU218" s="1223">
        <f>$G218*Z218*Variables!$B$53*HLOOKUP($CO$2,Variables!$B$60:$F$61,2,FALSE)</f>
        <v>0</v>
      </c>
      <c r="CV218" s="1223">
        <f>$G218*AA218*Variables!$B$53*HLOOKUP($CO$2,Variables!$B$60:$F$61,2,FALSE)</f>
        <v>0</v>
      </c>
      <c r="CW218" s="1223">
        <f>$G218*AB218*Variables!$B$53*HLOOKUP($CO$2,Variables!$B$60:$F$61,2,FALSE)</f>
        <v>0</v>
      </c>
      <c r="CX218" s="1223">
        <f>$G218*AC218*Variables!$B$53*HLOOKUP($CO$2,Variables!$B$60:$F$61,2,FALSE)</f>
        <v>0</v>
      </c>
      <c r="CY218" s="1223">
        <f>$G218*AD218*Variables!$B$53*HLOOKUP($CO$2,Variables!$B$60:$F$61,2,FALSE)</f>
        <v>0</v>
      </c>
      <c r="CZ218" s="1225">
        <f>$G218*AE218*Variables!$B$53*HLOOKUP($CO$2,Variables!$B$60:$F$61,2,FALSE)</f>
        <v>0</v>
      </c>
      <c r="DA218" s="1222">
        <f>$G218*AF218*Variables!$B$53*HLOOKUP($DA$2,Variables!$B$60:$F$61,2,FALSE)</f>
        <v>0</v>
      </c>
      <c r="DB218" s="1223">
        <f>$G218*AG218*Variables!$B$53*HLOOKUP($DA$2,Variables!$B$60:$F$61,2,FALSE)</f>
        <v>0</v>
      </c>
      <c r="DC218" s="1223">
        <f>$G218*AH218*Variables!$B$53*HLOOKUP($DA$2,Variables!$B$60:$F$61,2,FALSE)</f>
        <v>0</v>
      </c>
      <c r="DD218" s="1223">
        <f>$G218*AI218*Variables!$B$53*HLOOKUP($DA$2,Variables!$B$60:$F$61,2,FALSE)</f>
        <v>0</v>
      </c>
      <c r="DE218" s="1223">
        <f>$G218*AJ218*Variables!$B$53*HLOOKUP($DA$2,Variables!$B$60:$F$61,2,FALSE)</f>
        <v>0</v>
      </c>
      <c r="DF218" s="1223">
        <f>$G218*AK218*Variables!$B$53*HLOOKUP($DA$2,Variables!$B$60:$F$61,2,FALSE)</f>
        <v>0</v>
      </c>
      <c r="DG218" s="1223">
        <f>$G218*AL218*Variables!$B$53*HLOOKUP($DA$2,Variables!$B$60:$F$61,2,FALSE)</f>
        <v>0</v>
      </c>
      <c r="DH218" s="1223">
        <f>$G218*AM218*Variables!$B$53*HLOOKUP($DA$2,Variables!$B$60:$F$61,2,FALSE)</f>
        <v>0</v>
      </c>
      <c r="DI218" s="1223">
        <f>$G218*AN218*Variables!$B$53*HLOOKUP($DA$2,Variables!$B$60:$F$61,2,FALSE)</f>
        <v>0</v>
      </c>
      <c r="DJ218" s="1223">
        <f>$G218*AO218*Variables!$B$53*HLOOKUP($DA$2,Variables!$B$60:$F$61,2,FALSE)</f>
        <v>0</v>
      </c>
      <c r="DK218" s="1223">
        <f>$G218*AP218*Variables!$B$53*HLOOKUP($DA$2,Variables!$B$60:$F$61,2,FALSE)</f>
        <v>0</v>
      </c>
      <c r="DL218" s="1225">
        <f>$G218*AQ218*Variables!$B$53*HLOOKUP($DA$2,Variables!$B$60:$F$61,2,FALSE)</f>
        <v>0</v>
      </c>
      <c r="DM218" s="1222">
        <f>$G218*AR218*Variables!$B$53*HLOOKUP($DM$2,Variables!$B$60:$F$61,2,FALSE)</f>
        <v>0</v>
      </c>
      <c r="DN218" s="1223">
        <f>$G218*AS218*Variables!$B$53*HLOOKUP($DM$2,Variables!$B$60:$F$61,2,FALSE)</f>
        <v>0</v>
      </c>
      <c r="DO218" s="1223">
        <f>$G218*AT218*Variables!$B$53*HLOOKUP($DM$2,Variables!$B$60:$F$61,2,FALSE)</f>
        <v>0</v>
      </c>
      <c r="DP218" s="1223">
        <f>$G218*AU218*Variables!$B$53*HLOOKUP($DM$2,Variables!$B$60:$F$61,2,FALSE)</f>
        <v>0</v>
      </c>
      <c r="DQ218" s="1223">
        <f>$G218*AV218*Variables!$B$53*HLOOKUP($DM$2,Variables!$B$60:$F$61,2,FALSE)</f>
        <v>0</v>
      </c>
      <c r="DR218" s="1223">
        <f>$G218*AW218*Variables!$B$53*HLOOKUP($DM$2,Variables!$B$60:$F$61,2,FALSE)</f>
        <v>0</v>
      </c>
      <c r="DS218" s="1223">
        <f>$G218*AX218*Variables!$B$53*HLOOKUP($DM$2,Variables!$B$60:$F$61,2,FALSE)</f>
        <v>0</v>
      </c>
      <c r="DT218" s="1223">
        <f>$G218*AY218*Variables!$B$53*HLOOKUP($DM$2,Variables!$B$60:$F$61,2,FALSE)</f>
        <v>0</v>
      </c>
      <c r="DU218" s="1223">
        <f>$G218*AZ218*Variables!$B$53*HLOOKUP($DM$2,Variables!$B$60:$F$61,2,FALSE)</f>
        <v>0</v>
      </c>
      <c r="DV218" s="1223">
        <f>$G218*BA218*Variables!$B$53*HLOOKUP($DM$2,Variables!$B$60:$F$61,2,FALSE)</f>
        <v>0</v>
      </c>
      <c r="DW218" s="1223">
        <f>$G218*BB218*Variables!$B$53*HLOOKUP($DM$2,Variables!$B$60:$F$61,2,FALSE)</f>
        <v>0</v>
      </c>
      <c r="DX218" s="1225">
        <f>$G218*BC218*Variables!$B$53*HLOOKUP($DM$2,Variables!$B$60:$F$61,2,FALSE)</f>
        <v>0</v>
      </c>
      <c r="DY218" s="1222">
        <f>$G218*BD218*Variables!$B$53*HLOOKUP($DY$2,Variables!$B$60:$F$61,2,FALSE)</f>
        <v>0</v>
      </c>
      <c r="DZ218" s="1223">
        <f>$G218*BE218*Variables!$B$53*HLOOKUP($DY$2,Variables!$B$60:$F$61,2,FALSE)</f>
        <v>0</v>
      </c>
      <c r="EA218" s="1223">
        <f>$G218*BF218*Variables!$B$53*HLOOKUP($DY$2,Variables!$B$60:$F$61,2,FALSE)</f>
        <v>0</v>
      </c>
      <c r="EB218" s="1223">
        <f>$G218*BG218*Variables!$B$53*HLOOKUP($DY$2,Variables!$B$60:$F$61,2,FALSE)</f>
        <v>0</v>
      </c>
      <c r="EC218" s="1223">
        <f>$G218*BH218*Variables!$B$53*HLOOKUP($DY$2,Variables!$B$60:$F$61,2,FALSE)</f>
        <v>0</v>
      </c>
      <c r="ED218" s="1223">
        <f>$G218*BI218*Variables!$B$53*HLOOKUP($DY$2,Variables!$B$60:$F$61,2,FALSE)</f>
        <v>0</v>
      </c>
      <c r="EE218" s="1223">
        <f>$G218*BJ218*Variables!$B$53*HLOOKUP($DY$2,Variables!$B$60:$F$61,2,FALSE)</f>
        <v>0</v>
      </c>
      <c r="EF218" s="1223">
        <f>$G218*BK218*Variables!$B$53*HLOOKUP($DY$2,Variables!$B$60:$F$61,2,FALSE)</f>
        <v>0</v>
      </c>
      <c r="EG218" s="1223">
        <f>$G218*BL218*Variables!$B$53*HLOOKUP($DY$2,Variables!$B$60:$F$61,2,FALSE)</f>
        <v>0</v>
      </c>
      <c r="EH218" s="1223">
        <f>$G218*BM218*Variables!$B$53*HLOOKUP($DY$2,Variables!$B$60:$F$61,2,FALSE)</f>
        <v>0</v>
      </c>
      <c r="EI218" s="1223">
        <f>$G218*BN218*Variables!$B$53*HLOOKUP($DY$2,Variables!$B$60:$F$61,2,FALSE)</f>
        <v>0</v>
      </c>
      <c r="EJ218" s="1225">
        <f>$G218*BO218*Variables!$B$53*HLOOKUP($DY$2,Variables!$B$60:$F$61,2,FALSE)</f>
        <v>0</v>
      </c>
      <c r="EK218" s="1222">
        <f>$G218*BP218*Variables!$B$53*HLOOKUP($EK$2,Variables!$B$60:$F$61,2,FALSE)</f>
        <v>0</v>
      </c>
      <c r="EL218" s="1223">
        <f>$G218*BQ218*Variables!$B$53*HLOOKUP($EK$2,Variables!$B$60:$F$61,2,FALSE)</f>
        <v>0</v>
      </c>
      <c r="EM218" s="1223">
        <f>$G218*BR218*Variables!$B$53*HLOOKUP($EK$2,Variables!$B$60:$F$61,2,FALSE)</f>
        <v>0</v>
      </c>
      <c r="EN218" s="1223">
        <f>$G218*BS218*Variables!$B$53*HLOOKUP($EK$2,Variables!$B$60:$F$61,2,FALSE)</f>
        <v>0</v>
      </c>
      <c r="EO218" s="1223">
        <f>$G218*BT218*Variables!$B$53*HLOOKUP($EK$2,Variables!$B$60:$F$61,2,FALSE)</f>
        <v>0</v>
      </c>
      <c r="EP218" s="1223">
        <f>$G218*BU218*Variables!$B$53*HLOOKUP($EK$2,Variables!$B$60:$F$61,2,FALSE)</f>
        <v>0</v>
      </c>
      <c r="EQ218" s="1223">
        <f>$G218*BV218*Variables!$B$53*HLOOKUP($EK$2,Variables!$B$60:$F$61,2,FALSE)</f>
        <v>0</v>
      </c>
      <c r="ER218" s="1223">
        <f>$G218*BW218*Variables!$B$53*HLOOKUP($EK$2,Variables!$B$60:$F$61,2,FALSE)</f>
        <v>0</v>
      </c>
      <c r="ES218" s="1223">
        <f>$G218*BX218*Variables!$B$53*HLOOKUP($EK$2,Variables!$B$60:$F$61,2,FALSE)</f>
        <v>0</v>
      </c>
      <c r="ET218" s="1223">
        <f>$G218*BY218*Variables!$B$53*HLOOKUP($EK$2,Variables!$B$60:$F$61,2,FALSE)</f>
        <v>0</v>
      </c>
      <c r="EU218" s="1223">
        <f>$G218*BZ218*Variables!$B$53*HLOOKUP($EK$2,Variables!$B$60:$F$61,2,FALSE)</f>
        <v>0</v>
      </c>
      <c r="EV218" s="1225">
        <f>$G218*CA218*Variables!$B$53*HLOOKUP($EK$2,Variables!$B$60:$F$61,2,FALSE)</f>
        <v>0</v>
      </c>
      <c r="EW218" s="872">
        <f t="shared" ref="EW218:EW253" si="29">SUM(CC218:EV218)</f>
        <v>0</v>
      </c>
      <c r="EX218" s="872"/>
      <c r="EY218" s="872"/>
      <c r="EZ218" s="872"/>
      <c r="FA218" s="1332"/>
      <c r="FC218" s="958" t="str">
        <f t="shared" ref="FC218:FC253" si="30">IF(ISBLANK(A218),"",A218)</f>
        <v/>
      </c>
      <c r="FD218" s="959" t="str">
        <f t="shared" ref="FD218:FD253" si="31">IF(ISBLANK(B218),"",B218)</f>
        <v/>
      </c>
      <c r="FE218" s="959" t="s">
        <v>8407</v>
      </c>
      <c r="FF218" s="959" t="str">
        <f>IF(ISNA(VLOOKUP(FC218,Miscellaneous!E:F,2,0)),"",VLOOKUP(FC218,Miscellaneous!E:F,2,0))</f>
        <v/>
      </c>
      <c r="FG218" s="959" t="str">
        <f t="shared" ref="FG218:FG253" si="32">IF(ISBLANK(F218),"",F218)</f>
        <v/>
      </c>
      <c r="FH218" s="996">
        <f>IF($FG218="Opex",SUMIF('Monthly Summary'!$C$75:$N$75,"",CC218:CN218),SUMIF('Monthly Summary'!$C$74:$N$74,"",CC218:CN218))</f>
        <v>0</v>
      </c>
      <c r="FI218" s="996">
        <f>IF($FG218="Opex",SUMIF('Monthly Summary'!$O$75:$Z$75,"",CO218:CZ218),SUMIF('Monthly Summary'!$O$74:$Z$74,"",CO218:CZ218))</f>
        <v>0</v>
      </c>
      <c r="FJ218" s="996">
        <f>IF($FG218="Opex",SUMIF('Monthly Summary'!$AA$75:$AL$75,"",DA218:DL218),SUMIF('Monthly Summary'!$AA$74:$AL$74,"",DA218:DL218))</f>
        <v>0</v>
      </c>
      <c r="FK218" s="996">
        <f>IF($FG218="Opex",SUMIF('Monthly Summary'!$AM$75:$AX$75,"",DM218:DX218),SUMIF('Monthly Summary'!$AM$74:$AX$74,"",DM218:DX218))</f>
        <v>0</v>
      </c>
      <c r="FL218" s="996">
        <f>IF($FG218="Opex",SUMIF('Monthly Summary'!$AY$75:$BJ$75,"",DY218:EJ218),SUMIF('Monthly Summary'!$AY$74:$BJ$74,"",DY218:EJ218))</f>
        <v>0</v>
      </c>
      <c r="FM218" s="997">
        <f>IF($FG218="Opex",SUMIF('Monthly Summary'!$BK$75:$BV$75,"",EK218:EV218),SUMIF('Monthly Summary'!$BK$74:$BV$74,"",EK218:EV218))</f>
        <v>0</v>
      </c>
      <c r="FN218" s="997">
        <f t="shared" ref="FN218:FN253" si="33">SUM(FH218:FM218)</f>
        <v>0</v>
      </c>
    </row>
    <row r="219" spans="3:170">
      <c r="C219" s="757"/>
      <c r="D219" s="757"/>
      <c r="E219" s="758"/>
      <c r="F219" s="758"/>
      <c r="G219" s="758"/>
      <c r="H219" s="1215"/>
      <c r="I219" s="761"/>
      <c r="J219" s="761"/>
      <c r="K219" s="761"/>
      <c r="L219" s="761"/>
      <c r="M219" s="761"/>
      <c r="N219" s="761"/>
      <c r="O219" s="761"/>
      <c r="P219" s="761"/>
      <c r="Q219" s="761"/>
      <c r="R219" s="761"/>
      <c r="S219" s="1216"/>
      <c r="T219" s="1215"/>
      <c r="U219" s="761"/>
      <c r="V219" s="761"/>
      <c r="W219" s="761"/>
      <c r="X219" s="761"/>
      <c r="Y219" s="761"/>
      <c r="Z219" s="761"/>
      <c r="AA219" s="761"/>
      <c r="AB219" s="761"/>
      <c r="AC219" s="761"/>
      <c r="AD219" s="761"/>
      <c r="AE219" s="1216"/>
      <c r="AF219" s="1215"/>
      <c r="AG219" s="761"/>
      <c r="AH219" s="761"/>
      <c r="AI219" s="761"/>
      <c r="AJ219" s="761"/>
      <c r="AK219" s="761"/>
      <c r="AL219" s="761"/>
      <c r="AM219" s="761"/>
      <c r="AN219" s="761"/>
      <c r="AO219" s="761"/>
      <c r="AP219" s="761"/>
      <c r="AQ219" s="1216"/>
      <c r="AR219" s="1215"/>
      <c r="AS219" s="761"/>
      <c r="AT219" s="761"/>
      <c r="AU219" s="761"/>
      <c r="AV219" s="761"/>
      <c r="AW219" s="761"/>
      <c r="AX219" s="761"/>
      <c r="AY219" s="761"/>
      <c r="AZ219" s="761"/>
      <c r="BA219" s="761"/>
      <c r="BB219" s="761"/>
      <c r="BC219" s="1216"/>
      <c r="BD219" s="1215"/>
      <c r="BE219" s="761"/>
      <c r="BF219" s="761"/>
      <c r="BG219" s="761"/>
      <c r="BH219" s="761"/>
      <c r="BI219" s="761"/>
      <c r="BJ219" s="761"/>
      <c r="BK219" s="761"/>
      <c r="BL219" s="761"/>
      <c r="BM219" s="761"/>
      <c r="BN219" s="761"/>
      <c r="BO219" s="1216"/>
      <c r="BP219" s="1215"/>
      <c r="BQ219" s="761"/>
      <c r="BR219" s="761"/>
      <c r="BS219" s="761"/>
      <c r="BT219" s="761"/>
      <c r="BU219" s="761"/>
      <c r="BV219" s="761"/>
      <c r="BW219" s="761"/>
      <c r="BX219" s="761"/>
      <c r="BY219" s="761"/>
      <c r="BZ219" s="761"/>
      <c r="CA219" s="1216"/>
      <c r="CB219" s="747"/>
      <c r="CC219" s="1222">
        <f>$G219*H219*Variables!$B$53</f>
        <v>0</v>
      </c>
      <c r="CD219" s="1223">
        <f>$G219*I219*Variables!$B$53</f>
        <v>0</v>
      </c>
      <c r="CE219" s="1223">
        <f>$G219*J219*Variables!$B$53</f>
        <v>0</v>
      </c>
      <c r="CF219" s="1223">
        <f>$G219*K219*Variables!$B$53</f>
        <v>0</v>
      </c>
      <c r="CG219" s="1223">
        <f>$G219*L219*Variables!$B$53</f>
        <v>0</v>
      </c>
      <c r="CH219" s="1223">
        <f>$G219*M219*Variables!$B$53</f>
        <v>0</v>
      </c>
      <c r="CI219" s="1223">
        <f>$G219*N219*Variables!$B$53</f>
        <v>0</v>
      </c>
      <c r="CJ219" s="1223">
        <f>$G219*O219*Variables!$B$53</f>
        <v>0</v>
      </c>
      <c r="CK219" s="1223">
        <f>$G219*P219*Variables!$B$53</f>
        <v>0</v>
      </c>
      <c r="CL219" s="1223">
        <f>$G219*Q219*Variables!$B$53</f>
        <v>0</v>
      </c>
      <c r="CM219" s="1223">
        <f>$G219*R219*Variables!$B$53</f>
        <v>0</v>
      </c>
      <c r="CN219" s="1225">
        <f>$G219*S219*Variables!$B$53</f>
        <v>0</v>
      </c>
      <c r="CO219" s="1222">
        <f>$G219*T219*Variables!$B$53*HLOOKUP($CO$2,Variables!$B$60:$F$61,2,FALSE)</f>
        <v>0</v>
      </c>
      <c r="CP219" s="1223">
        <f>$G219*U219*Variables!$B$53*HLOOKUP($CO$2,Variables!$B$60:$F$61,2,FALSE)</f>
        <v>0</v>
      </c>
      <c r="CQ219" s="1223">
        <f>$G219*V219*Variables!$B$53*HLOOKUP($CO$2,Variables!$B$60:$F$61,2,FALSE)</f>
        <v>0</v>
      </c>
      <c r="CR219" s="1223">
        <f>$G219*W219*Variables!$B$53*HLOOKUP($CO$2,Variables!$B$60:$F$61,2,FALSE)</f>
        <v>0</v>
      </c>
      <c r="CS219" s="1223">
        <f>$G219*X219*Variables!$B$53*HLOOKUP($CO$2,Variables!$B$60:$F$61,2,FALSE)</f>
        <v>0</v>
      </c>
      <c r="CT219" s="1223">
        <f>$G219*Y219*Variables!$B$53*HLOOKUP($CO$2,Variables!$B$60:$F$61,2,FALSE)</f>
        <v>0</v>
      </c>
      <c r="CU219" s="1223">
        <f>$G219*Z219*Variables!$B$53*HLOOKUP($CO$2,Variables!$B$60:$F$61,2,FALSE)</f>
        <v>0</v>
      </c>
      <c r="CV219" s="1223">
        <f>$G219*AA219*Variables!$B$53*HLOOKUP($CO$2,Variables!$B$60:$F$61,2,FALSE)</f>
        <v>0</v>
      </c>
      <c r="CW219" s="1223">
        <f>$G219*AB219*Variables!$B$53*HLOOKUP($CO$2,Variables!$B$60:$F$61,2,FALSE)</f>
        <v>0</v>
      </c>
      <c r="CX219" s="1223">
        <f>$G219*AC219*Variables!$B$53*HLOOKUP($CO$2,Variables!$B$60:$F$61,2,FALSE)</f>
        <v>0</v>
      </c>
      <c r="CY219" s="1223">
        <f>$G219*AD219*Variables!$B$53*HLOOKUP($CO$2,Variables!$B$60:$F$61,2,FALSE)</f>
        <v>0</v>
      </c>
      <c r="CZ219" s="1225">
        <f>$G219*AE219*Variables!$B$53*HLOOKUP($CO$2,Variables!$B$60:$F$61,2,FALSE)</f>
        <v>0</v>
      </c>
      <c r="DA219" s="1222">
        <f>$G219*AF219*Variables!$B$53*HLOOKUP($DA$2,Variables!$B$60:$F$61,2,FALSE)</f>
        <v>0</v>
      </c>
      <c r="DB219" s="1223">
        <f>$G219*AG219*Variables!$B$53*HLOOKUP($DA$2,Variables!$B$60:$F$61,2,FALSE)</f>
        <v>0</v>
      </c>
      <c r="DC219" s="1223">
        <f>$G219*AH219*Variables!$B$53*HLOOKUP($DA$2,Variables!$B$60:$F$61,2,FALSE)</f>
        <v>0</v>
      </c>
      <c r="DD219" s="1223">
        <f>$G219*AI219*Variables!$B$53*HLOOKUP($DA$2,Variables!$B$60:$F$61,2,FALSE)</f>
        <v>0</v>
      </c>
      <c r="DE219" s="1223">
        <f>$G219*AJ219*Variables!$B$53*HLOOKUP($DA$2,Variables!$B$60:$F$61,2,FALSE)</f>
        <v>0</v>
      </c>
      <c r="DF219" s="1223">
        <f>$G219*AK219*Variables!$B$53*HLOOKUP($DA$2,Variables!$B$60:$F$61,2,FALSE)</f>
        <v>0</v>
      </c>
      <c r="DG219" s="1223">
        <f>$G219*AL219*Variables!$B$53*HLOOKUP($DA$2,Variables!$B$60:$F$61,2,FALSE)</f>
        <v>0</v>
      </c>
      <c r="DH219" s="1223">
        <f>$G219*AM219*Variables!$B$53*HLOOKUP($DA$2,Variables!$B$60:$F$61,2,FALSE)</f>
        <v>0</v>
      </c>
      <c r="DI219" s="1223">
        <f>$G219*AN219*Variables!$B$53*HLOOKUP($DA$2,Variables!$B$60:$F$61,2,FALSE)</f>
        <v>0</v>
      </c>
      <c r="DJ219" s="1223">
        <f>$G219*AO219*Variables!$B$53*HLOOKUP($DA$2,Variables!$B$60:$F$61,2,FALSE)</f>
        <v>0</v>
      </c>
      <c r="DK219" s="1223">
        <f>$G219*AP219*Variables!$B$53*HLOOKUP($DA$2,Variables!$B$60:$F$61,2,FALSE)</f>
        <v>0</v>
      </c>
      <c r="DL219" s="1225">
        <f>$G219*AQ219*Variables!$B$53*HLOOKUP($DA$2,Variables!$B$60:$F$61,2,FALSE)</f>
        <v>0</v>
      </c>
      <c r="DM219" s="1222">
        <f>$G219*AR219*Variables!$B$53*HLOOKUP($DM$2,Variables!$B$60:$F$61,2,FALSE)</f>
        <v>0</v>
      </c>
      <c r="DN219" s="1223">
        <f>$G219*AS219*Variables!$B$53*HLOOKUP($DM$2,Variables!$B$60:$F$61,2,FALSE)</f>
        <v>0</v>
      </c>
      <c r="DO219" s="1223">
        <f>$G219*AT219*Variables!$B$53*HLOOKUP($DM$2,Variables!$B$60:$F$61,2,FALSE)</f>
        <v>0</v>
      </c>
      <c r="DP219" s="1223">
        <f>$G219*AU219*Variables!$B$53*HLOOKUP($DM$2,Variables!$B$60:$F$61,2,FALSE)</f>
        <v>0</v>
      </c>
      <c r="DQ219" s="1223">
        <f>$G219*AV219*Variables!$B$53*HLOOKUP($DM$2,Variables!$B$60:$F$61,2,FALSE)</f>
        <v>0</v>
      </c>
      <c r="DR219" s="1223">
        <f>$G219*AW219*Variables!$B$53*HLOOKUP($DM$2,Variables!$B$60:$F$61,2,FALSE)</f>
        <v>0</v>
      </c>
      <c r="DS219" s="1223">
        <f>$G219*AX219*Variables!$B$53*HLOOKUP($DM$2,Variables!$B$60:$F$61,2,FALSE)</f>
        <v>0</v>
      </c>
      <c r="DT219" s="1223">
        <f>$G219*AY219*Variables!$B$53*HLOOKUP($DM$2,Variables!$B$60:$F$61,2,FALSE)</f>
        <v>0</v>
      </c>
      <c r="DU219" s="1223">
        <f>$G219*AZ219*Variables!$B$53*HLOOKUP($DM$2,Variables!$B$60:$F$61,2,FALSE)</f>
        <v>0</v>
      </c>
      <c r="DV219" s="1223">
        <f>$G219*BA219*Variables!$B$53*HLOOKUP($DM$2,Variables!$B$60:$F$61,2,FALSE)</f>
        <v>0</v>
      </c>
      <c r="DW219" s="1223">
        <f>$G219*BB219*Variables!$B$53*HLOOKUP($DM$2,Variables!$B$60:$F$61,2,FALSE)</f>
        <v>0</v>
      </c>
      <c r="DX219" s="1225">
        <f>$G219*BC219*Variables!$B$53*HLOOKUP($DM$2,Variables!$B$60:$F$61,2,FALSE)</f>
        <v>0</v>
      </c>
      <c r="DY219" s="1222">
        <f>$G219*BD219*Variables!$B$53*HLOOKUP($DY$2,Variables!$B$60:$F$61,2,FALSE)</f>
        <v>0</v>
      </c>
      <c r="DZ219" s="1223">
        <f>$G219*BE219*Variables!$B$53*HLOOKUP($DY$2,Variables!$B$60:$F$61,2,FALSE)</f>
        <v>0</v>
      </c>
      <c r="EA219" s="1223">
        <f>$G219*BF219*Variables!$B$53*HLOOKUP($DY$2,Variables!$B$60:$F$61,2,FALSE)</f>
        <v>0</v>
      </c>
      <c r="EB219" s="1223">
        <f>$G219*BG219*Variables!$B$53*HLOOKUP($DY$2,Variables!$B$60:$F$61,2,FALSE)</f>
        <v>0</v>
      </c>
      <c r="EC219" s="1223">
        <f>$G219*BH219*Variables!$B$53*HLOOKUP($DY$2,Variables!$B$60:$F$61,2,FALSE)</f>
        <v>0</v>
      </c>
      <c r="ED219" s="1223">
        <f>$G219*BI219*Variables!$B$53*HLOOKUP($DY$2,Variables!$B$60:$F$61,2,FALSE)</f>
        <v>0</v>
      </c>
      <c r="EE219" s="1223">
        <f>$G219*BJ219*Variables!$B$53*HLOOKUP($DY$2,Variables!$B$60:$F$61,2,FALSE)</f>
        <v>0</v>
      </c>
      <c r="EF219" s="1223">
        <f>$G219*BK219*Variables!$B$53*HLOOKUP($DY$2,Variables!$B$60:$F$61,2,FALSE)</f>
        <v>0</v>
      </c>
      <c r="EG219" s="1223">
        <f>$G219*BL219*Variables!$B$53*HLOOKUP($DY$2,Variables!$B$60:$F$61,2,FALSE)</f>
        <v>0</v>
      </c>
      <c r="EH219" s="1223">
        <f>$G219*BM219*Variables!$B$53*HLOOKUP($DY$2,Variables!$B$60:$F$61,2,FALSE)</f>
        <v>0</v>
      </c>
      <c r="EI219" s="1223">
        <f>$G219*BN219*Variables!$B$53*HLOOKUP($DY$2,Variables!$B$60:$F$61,2,FALSE)</f>
        <v>0</v>
      </c>
      <c r="EJ219" s="1225">
        <f>$G219*BO219*Variables!$B$53*HLOOKUP($DY$2,Variables!$B$60:$F$61,2,FALSE)</f>
        <v>0</v>
      </c>
      <c r="EK219" s="1222">
        <f>$G219*BP219*Variables!$B$53*HLOOKUP($EK$2,Variables!$B$60:$F$61,2,FALSE)</f>
        <v>0</v>
      </c>
      <c r="EL219" s="1223">
        <f>$G219*BQ219*Variables!$B$53*HLOOKUP($EK$2,Variables!$B$60:$F$61,2,FALSE)</f>
        <v>0</v>
      </c>
      <c r="EM219" s="1223">
        <f>$G219*BR219*Variables!$B$53*HLOOKUP($EK$2,Variables!$B$60:$F$61,2,FALSE)</f>
        <v>0</v>
      </c>
      <c r="EN219" s="1223">
        <f>$G219*BS219*Variables!$B$53*HLOOKUP($EK$2,Variables!$B$60:$F$61,2,FALSE)</f>
        <v>0</v>
      </c>
      <c r="EO219" s="1223">
        <f>$G219*BT219*Variables!$B$53*HLOOKUP($EK$2,Variables!$B$60:$F$61,2,FALSE)</f>
        <v>0</v>
      </c>
      <c r="EP219" s="1223">
        <f>$G219*BU219*Variables!$B$53*HLOOKUP($EK$2,Variables!$B$60:$F$61,2,FALSE)</f>
        <v>0</v>
      </c>
      <c r="EQ219" s="1223">
        <f>$G219*BV219*Variables!$B$53*HLOOKUP($EK$2,Variables!$B$60:$F$61,2,FALSE)</f>
        <v>0</v>
      </c>
      <c r="ER219" s="1223">
        <f>$G219*BW219*Variables!$B$53*HLOOKUP($EK$2,Variables!$B$60:$F$61,2,FALSE)</f>
        <v>0</v>
      </c>
      <c r="ES219" s="1223">
        <f>$G219*BX219*Variables!$B$53*HLOOKUP($EK$2,Variables!$B$60:$F$61,2,FALSE)</f>
        <v>0</v>
      </c>
      <c r="ET219" s="1223">
        <f>$G219*BY219*Variables!$B$53*HLOOKUP($EK$2,Variables!$B$60:$F$61,2,FALSE)</f>
        <v>0</v>
      </c>
      <c r="EU219" s="1223">
        <f>$G219*BZ219*Variables!$B$53*HLOOKUP($EK$2,Variables!$B$60:$F$61,2,FALSE)</f>
        <v>0</v>
      </c>
      <c r="EV219" s="1225">
        <f>$G219*CA219*Variables!$B$53*HLOOKUP($EK$2,Variables!$B$60:$F$61,2,FALSE)</f>
        <v>0</v>
      </c>
      <c r="EW219" s="872">
        <f t="shared" si="29"/>
        <v>0</v>
      </c>
      <c r="EX219" s="872"/>
      <c r="EY219" s="872"/>
      <c r="EZ219" s="872"/>
      <c r="FA219" s="1332"/>
      <c r="FC219" s="958" t="str">
        <f t="shared" si="30"/>
        <v/>
      </c>
      <c r="FD219" s="959" t="str">
        <f t="shared" si="31"/>
        <v/>
      </c>
      <c r="FE219" s="959" t="s">
        <v>8407</v>
      </c>
      <c r="FF219" s="959" t="str">
        <f>IF(ISNA(VLOOKUP(FC219,Miscellaneous!E:F,2,0)),"",VLOOKUP(FC219,Miscellaneous!E:F,2,0))</f>
        <v/>
      </c>
      <c r="FG219" s="959" t="str">
        <f t="shared" si="32"/>
        <v/>
      </c>
      <c r="FH219" s="996">
        <f>IF($FG219="Opex",SUMIF('Monthly Summary'!$C$75:$N$75,"",CC219:CN219),SUMIF('Monthly Summary'!$C$74:$N$74,"",CC219:CN219))</f>
        <v>0</v>
      </c>
      <c r="FI219" s="996">
        <f>IF($FG219="Opex",SUMIF('Monthly Summary'!$O$75:$Z$75,"",CO219:CZ219),SUMIF('Monthly Summary'!$O$74:$Z$74,"",CO219:CZ219))</f>
        <v>0</v>
      </c>
      <c r="FJ219" s="996">
        <f>IF($FG219="Opex",SUMIF('Monthly Summary'!$AA$75:$AL$75,"",DA219:DL219),SUMIF('Monthly Summary'!$AA$74:$AL$74,"",DA219:DL219))</f>
        <v>0</v>
      </c>
      <c r="FK219" s="996">
        <f>IF($FG219="Opex",SUMIF('Monthly Summary'!$AM$75:$AX$75,"",DM219:DX219),SUMIF('Monthly Summary'!$AM$74:$AX$74,"",DM219:DX219))</f>
        <v>0</v>
      </c>
      <c r="FL219" s="996">
        <f>IF($FG219="Opex",SUMIF('Monthly Summary'!$AY$75:$BJ$75,"",DY219:EJ219),SUMIF('Monthly Summary'!$AY$74:$BJ$74,"",DY219:EJ219))</f>
        <v>0</v>
      </c>
      <c r="FM219" s="997">
        <f>IF($FG219="Opex",SUMIF('Monthly Summary'!$BK$75:$BV$75,"",EK219:EV219),SUMIF('Monthly Summary'!$BK$74:$BV$74,"",EK219:EV219))</f>
        <v>0</v>
      </c>
      <c r="FN219" s="997">
        <f t="shared" si="33"/>
        <v>0</v>
      </c>
    </row>
    <row r="220" spans="3:170">
      <c r="C220" s="757"/>
      <c r="D220" s="757"/>
      <c r="E220" s="758"/>
      <c r="F220" s="758"/>
      <c r="G220" s="758"/>
      <c r="H220" s="1215"/>
      <c r="I220" s="761"/>
      <c r="J220" s="761"/>
      <c r="K220" s="761"/>
      <c r="L220" s="761"/>
      <c r="M220" s="761"/>
      <c r="N220" s="761"/>
      <c r="O220" s="761"/>
      <c r="P220" s="761"/>
      <c r="Q220" s="761"/>
      <c r="R220" s="761"/>
      <c r="S220" s="1216"/>
      <c r="T220" s="1215"/>
      <c r="U220" s="761"/>
      <c r="V220" s="761"/>
      <c r="W220" s="761"/>
      <c r="X220" s="761"/>
      <c r="Y220" s="761"/>
      <c r="Z220" s="761"/>
      <c r="AA220" s="761"/>
      <c r="AB220" s="761"/>
      <c r="AC220" s="761"/>
      <c r="AD220" s="761"/>
      <c r="AE220" s="1216"/>
      <c r="AF220" s="1215"/>
      <c r="AG220" s="761"/>
      <c r="AH220" s="761"/>
      <c r="AI220" s="761"/>
      <c r="AJ220" s="761"/>
      <c r="AK220" s="761"/>
      <c r="AL220" s="761"/>
      <c r="AM220" s="761"/>
      <c r="AN220" s="761"/>
      <c r="AO220" s="761"/>
      <c r="AP220" s="761"/>
      <c r="AQ220" s="1216"/>
      <c r="AR220" s="1215"/>
      <c r="AS220" s="761"/>
      <c r="AT220" s="761"/>
      <c r="AU220" s="761"/>
      <c r="AV220" s="761"/>
      <c r="AW220" s="761"/>
      <c r="AX220" s="761"/>
      <c r="AY220" s="761"/>
      <c r="AZ220" s="761"/>
      <c r="BA220" s="761"/>
      <c r="BB220" s="761"/>
      <c r="BC220" s="1216"/>
      <c r="BD220" s="1215"/>
      <c r="BE220" s="761"/>
      <c r="BF220" s="761"/>
      <c r="BG220" s="761"/>
      <c r="BH220" s="761"/>
      <c r="BI220" s="761"/>
      <c r="BJ220" s="761"/>
      <c r="BK220" s="761"/>
      <c r="BL220" s="761"/>
      <c r="BM220" s="761"/>
      <c r="BN220" s="761"/>
      <c r="BO220" s="1216"/>
      <c r="BP220" s="1215"/>
      <c r="BQ220" s="761"/>
      <c r="BR220" s="761"/>
      <c r="BS220" s="761"/>
      <c r="BT220" s="761"/>
      <c r="BU220" s="761"/>
      <c r="BV220" s="761"/>
      <c r="BW220" s="761"/>
      <c r="BX220" s="761"/>
      <c r="BY220" s="761"/>
      <c r="BZ220" s="761"/>
      <c r="CA220" s="1216"/>
      <c r="CB220" s="747"/>
      <c r="CC220" s="1222">
        <f>$G220*H220*Variables!$B$53</f>
        <v>0</v>
      </c>
      <c r="CD220" s="1223">
        <f>$G220*I220*Variables!$B$53</f>
        <v>0</v>
      </c>
      <c r="CE220" s="1223">
        <f>$G220*J220*Variables!$B$53</f>
        <v>0</v>
      </c>
      <c r="CF220" s="1223">
        <f>$G220*K220*Variables!$B$53</f>
        <v>0</v>
      </c>
      <c r="CG220" s="1223">
        <f>$G220*L220*Variables!$B$53</f>
        <v>0</v>
      </c>
      <c r="CH220" s="1223">
        <f>$G220*M220*Variables!$B$53</f>
        <v>0</v>
      </c>
      <c r="CI220" s="1223">
        <f>$G220*N220*Variables!$B$53</f>
        <v>0</v>
      </c>
      <c r="CJ220" s="1223">
        <f>$G220*O220*Variables!$B$53</f>
        <v>0</v>
      </c>
      <c r="CK220" s="1223">
        <f>$G220*P220*Variables!$B$53</f>
        <v>0</v>
      </c>
      <c r="CL220" s="1223">
        <f>$G220*Q220*Variables!$B$53</f>
        <v>0</v>
      </c>
      <c r="CM220" s="1223">
        <f>$G220*R220*Variables!$B$53</f>
        <v>0</v>
      </c>
      <c r="CN220" s="1225">
        <f>$G220*S220*Variables!$B$53</f>
        <v>0</v>
      </c>
      <c r="CO220" s="1222">
        <f>$G220*T220*Variables!$B$53*HLOOKUP($CO$2,Variables!$B$60:$F$61,2,FALSE)</f>
        <v>0</v>
      </c>
      <c r="CP220" s="1223">
        <f>$G220*U220*Variables!$B$53*HLOOKUP($CO$2,Variables!$B$60:$F$61,2,FALSE)</f>
        <v>0</v>
      </c>
      <c r="CQ220" s="1223">
        <f>$G220*V220*Variables!$B$53*HLOOKUP($CO$2,Variables!$B$60:$F$61,2,FALSE)</f>
        <v>0</v>
      </c>
      <c r="CR220" s="1223">
        <f>$G220*W220*Variables!$B$53*HLOOKUP($CO$2,Variables!$B$60:$F$61,2,FALSE)</f>
        <v>0</v>
      </c>
      <c r="CS220" s="1223">
        <f>$G220*X220*Variables!$B$53*HLOOKUP($CO$2,Variables!$B$60:$F$61,2,FALSE)</f>
        <v>0</v>
      </c>
      <c r="CT220" s="1223">
        <f>$G220*Y220*Variables!$B$53*HLOOKUP($CO$2,Variables!$B$60:$F$61,2,FALSE)</f>
        <v>0</v>
      </c>
      <c r="CU220" s="1223">
        <f>$G220*Z220*Variables!$B$53*HLOOKUP($CO$2,Variables!$B$60:$F$61,2,FALSE)</f>
        <v>0</v>
      </c>
      <c r="CV220" s="1223">
        <f>$G220*AA220*Variables!$B$53*HLOOKUP($CO$2,Variables!$B$60:$F$61,2,FALSE)</f>
        <v>0</v>
      </c>
      <c r="CW220" s="1223">
        <f>$G220*AB220*Variables!$B$53*HLOOKUP($CO$2,Variables!$B$60:$F$61,2,FALSE)</f>
        <v>0</v>
      </c>
      <c r="CX220" s="1223">
        <f>$G220*AC220*Variables!$B$53*HLOOKUP($CO$2,Variables!$B$60:$F$61,2,FALSE)</f>
        <v>0</v>
      </c>
      <c r="CY220" s="1223">
        <f>$G220*AD220*Variables!$B$53*HLOOKUP($CO$2,Variables!$B$60:$F$61,2,FALSE)</f>
        <v>0</v>
      </c>
      <c r="CZ220" s="1225">
        <f>$G220*AE220*Variables!$B$53*HLOOKUP($CO$2,Variables!$B$60:$F$61,2,FALSE)</f>
        <v>0</v>
      </c>
      <c r="DA220" s="1222">
        <f>$G220*AF220*Variables!$B$53*HLOOKUP($DA$2,Variables!$B$60:$F$61,2,FALSE)</f>
        <v>0</v>
      </c>
      <c r="DB220" s="1223">
        <f>$G220*AG220*Variables!$B$53*HLOOKUP($DA$2,Variables!$B$60:$F$61,2,FALSE)</f>
        <v>0</v>
      </c>
      <c r="DC220" s="1223">
        <f>$G220*AH220*Variables!$B$53*HLOOKUP($DA$2,Variables!$B$60:$F$61,2,FALSE)</f>
        <v>0</v>
      </c>
      <c r="DD220" s="1223">
        <f>$G220*AI220*Variables!$B$53*HLOOKUP($DA$2,Variables!$B$60:$F$61,2,FALSE)</f>
        <v>0</v>
      </c>
      <c r="DE220" s="1223">
        <f>$G220*AJ220*Variables!$B$53*HLOOKUP($DA$2,Variables!$B$60:$F$61,2,FALSE)</f>
        <v>0</v>
      </c>
      <c r="DF220" s="1223">
        <f>$G220*AK220*Variables!$B$53*HLOOKUP($DA$2,Variables!$B$60:$F$61,2,FALSE)</f>
        <v>0</v>
      </c>
      <c r="DG220" s="1223">
        <f>$G220*AL220*Variables!$B$53*HLOOKUP($DA$2,Variables!$B$60:$F$61,2,FALSE)</f>
        <v>0</v>
      </c>
      <c r="DH220" s="1223">
        <f>$G220*AM220*Variables!$B$53*HLOOKUP($DA$2,Variables!$B$60:$F$61,2,FALSE)</f>
        <v>0</v>
      </c>
      <c r="DI220" s="1223">
        <f>$G220*AN220*Variables!$B$53*HLOOKUP($DA$2,Variables!$B$60:$F$61,2,FALSE)</f>
        <v>0</v>
      </c>
      <c r="DJ220" s="1223">
        <f>$G220*AO220*Variables!$B$53*HLOOKUP($DA$2,Variables!$B$60:$F$61,2,FALSE)</f>
        <v>0</v>
      </c>
      <c r="DK220" s="1223">
        <f>$G220*AP220*Variables!$B$53*HLOOKUP($DA$2,Variables!$B$60:$F$61,2,FALSE)</f>
        <v>0</v>
      </c>
      <c r="DL220" s="1225">
        <f>$G220*AQ220*Variables!$B$53*HLOOKUP($DA$2,Variables!$B$60:$F$61,2,FALSE)</f>
        <v>0</v>
      </c>
      <c r="DM220" s="1222">
        <f>$G220*AR220*Variables!$B$53*HLOOKUP($DM$2,Variables!$B$60:$F$61,2,FALSE)</f>
        <v>0</v>
      </c>
      <c r="DN220" s="1223">
        <f>$G220*AS220*Variables!$B$53*HLOOKUP($DM$2,Variables!$B$60:$F$61,2,FALSE)</f>
        <v>0</v>
      </c>
      <c r="DO220" s="1223">
        <f>$G220*AT220*Variables!$B$53*HLOOKUP($DM$2,Variables!$B$60:$F$61,2,FALSE)</f>
        <v>0</v>
      </c>
      <c r="DP220" s="1223">
        <f>$G220*AU220*Variables!$B$53*HLOOKUP($DM$2,Variables!$B$60:$F$61,2,FALSE)</f>
        <v>0</v>
      </c>
      <c r="DQ220" s="1223">
        <f>$G220*AV220*Variables!$B$53*HLOOKUP($DM$2,Variables!$B$60:$F$61,2,FALSE)</f>
        <v>0</v>
      </c>
      <c r="DR220" s="1223">
        <f>$G220*AW220*Variables!$B$53*HLOOKUP($DM$2,Variables!$B$60:$F$61,2,FALSE)</f>
        <v>0</v>
      </c>
      <c r="DS220" s="1223">
        <f>$G220*AX220*Variables!$B$53*HLOOKUP($DM$2,Variables!$B$60:$F$61,2,FALSE)</f>
        <v>0</v>
      </c>
      <c r="DT220" s="1223">
        <f>$G220*AY220*Variables!$B$53*HLOOKUP($DM$2,Variables!$B$60:$F$61,2,FALSE)</f>
        <v>0</v>
      </c>
      <c r="DU220" s="1223">
        <f>$G220*AZ220*Variables!$B$53*HLOOKUP($DM$2,Variables!$B$60:$F$61,2,FALSE)</f>
        <v>0</v>
      </c>
      <c r="DV220" s="1223">
        <f>$G220*BA220*Variables!$B$53*HLOOKUP($DM$2,Variables!$B$60:$F$61,2,FALSE)</f>
        <v>0</v>
      </c>
      <c r="DW220" s="1223">
        <f>$G220*BB220*Variables!$B$53*HLOOKUP($DM$2,Variables!$B$60:$F$61,2,FALSE)</f>
        <v>0</v>
      </c>
      <c r="DX220" s="1225">
        <f>$G220*BC220*Variables!$B$53*HLOOKUP($DM$2,Variables!$B$60:$F$61,2,FALSE)</f>
        <v>0</v>
      </c>
      <c r="DY220" s="1222">
        <f>$G220*BD220*Variables!$B$53*HLOOKUP($DY$2,Variables!$B$60:$F$61,2,FALSE)</f>
        <v>0</v>
      </c>
      <c r="DZ220" s="1223">
        <f>$G220*BE220*Variables!$B$53*HLOOKUP($DY$2,Variables!$B$60:$F$61,2,FALSE)</f>
        <v>0</v>
      </c>
      <c r="EA220" s="1223">
        <f>$G220*BF220*Variables!$B$53*HLOOKUP($DY$2,Variables!$B$60:$F$61,2,FALSE)</f>
        <v>0</v>
      </c>
      <c r="EB220" s="1223">
        <f>$G220*BG220*Variables!$B$53*HLOOKUP($DY$2,Variables!$B$60:$F$61,2,FALSE)</f>
        <v>0</v>
      </c>
      <c r="EC220" s="1223">
        <f>$G220*BH220*Variables!$B$53*HLOOKUP($DY$2,Variables!$B$60:$F$61,2,FALSE)</f>
        <v>0</v>
      </c>
      <c r="ED220" s="1223">
        <f>$G220*BI220*Variables!$B$53*HLOOKUP($DY$2,Variables!$B$60:$F$61,2,FALSE)</f>
        <v>0</v>
      </c>
      <c r="EE220" s="1223">
        <f>$G220*BJ220*Variables!$B$53*HLOOKUP($DY$2,Variables!$B$60:$F$61,2,FALSE)</f>
        <v>0</v>
      </c>
      <c r="EF220" s="1223">
        <f>$G220*BK220*Variables!$B$53*HLOOKUP($DY$2,Variables!$B$60:$F$61,2,FALSE)</f>
        <v>0</v>
      </c>
      <c r="EG220" s="1223">
        <f>$G220*BL220*Variables!$B$53*HLOOKUP($DY$2,Variables!$B$60:$F$61,2,FALSE)</f>
        <v>0</v>
      </c>
      <c r="EH220" s="1223">
        <f>$G220*BM220*Variables!$B$53*HLOOKUP($DY$2,Variables!$B$60:$F$61,2,FALSE)</f>
        <v>0</v>
      </c>
      <c r="EI220" s="1223">
        <f>$G220*BN220*Variables!$B$53*HLOOKUP($DY$2,Variables!$B$60:$F$61,2,FALSE)</f>
        <v>0</v>
      </c>
      <c r="EJ220" s="1225">
        <f>$G220*BO220*Variables!$B$53*HLOOKUP($DY$2,Variables!$B$60:$F$61,2,FALSE)</f>
        <v>0</v>
      </c>
      <c r="EK220" s="1222">
        <f>$G220*BP220*Variables!$B$53*HLOOKUP($EK$2,Variables!$B$60:$F$61,2,FALSE)</f>
        <v>0</v>
      </c>
      <c r="EL220" s="1223">
        <f>$G220*BQ220*Variables!$B$53*HLOOKUP($EK$2,Variables!$B$60:$F$61,2,FALSE)</f>
        <v>0</v>
      </c>
      <c r="EM220" s="1223">
        <f>$G220*BR220*Variables!$B$53*HLOOKUP($EK$2,Variables!$B$60:$F$61,2,FALSE)</f>
        <v>0</v>
      </c>
      <c r="EN220" s="1223">
        <f>$G220*BS220*Variables!$B$53*HLOOKUP($EK$2,Variables!$B$60:$F$61,2,FALSE)</f>
        <v>0</v>
      </c>
      <c r="EO220" s="1223">
        <f>$G220*BT220*Variables!$B$53*HLOOKUP($EK$2,Variables!$B$60:$F$61,2,FALSE)</f>
        <v>0</v>
      </c>
      <c r="EP220" s="1223">
        <f>$G220*BU220*Variables!$B$53*HLOOKUP($EK$2,Variables!$B$60:$F$61,2,FALSE)</f>
        <v>0</v>
      </c>
      <c r="EQ220" s="1223">
        <f>$G220*BV220*Variables!$B$53*HLOOKUP($EK$2,Variables!$B$60:$F$61,2,FALSE)</f>
        <v>0</v>
      </c>
      <c r="ER220" s="1223">
        <f>$G220*BW220*Variables!$B$53*HLOOKUP($EK$2,Variables!$B$60:$F$61,2,FALSE)</f>
        <v>0</v>
      </c>
      <c r="ES220" s="1223">
        <f>$G220*BX220*Variables!$B$53*HLOOKUP($EK$2,Variables!$B$60:$F$61,2,FALSE)</f>
        <v>0</v>
      </c>
      <c r="ET220" s="1223">
        <f>$G220*BY220*Variables!$B$53*HLOOKUP($EK$2,Variables!$B$60:$F$61,2,FALSE)</f>
        <v>0</v>
      </c>
      <c r="EU220" s="1223">
        <f>$G220*BZ220*Variables!$B$53*HLOOKUP($EK$2,Variables!$B$60:$F$61,2,FALSE)</f>
        <v>0</v>
      </c>
      <c r="EV220" s="1225">
        <f>$G220*CA220*Variables!$B$53*HLOOKUP($EK$2,Variables!$B$60:$F$61,2,FALSE)</f>
        <v>0</v>
      </c>
      <c r="EW220" s="872">
        <f t="shared" si="29"/>
        <v>0</v>
      </c>
      <c r="EX220" s="872"/>
      <c r="EY220" s="872"/>
      <c r="EZ220" s="872"/>
      <c r="FA220" s="1332"/>
      <c r="FC220" s="958" t="str">
        <f t="shared" si="30"/>
        <v/>
      </c>
      <c r="FD220" s="959" t="str">
        <f t="shared" si="31"/>
        <v/>
      </c>
      <c r="FE220" s="959" t="s">
        <v>8407</v>
      </c>
      <c r="FF220" s="959" t="str">
        <f>IF(ISNA(VLOOKUP(FC220,Miscellaneous!E:F,2,0)),"",VLOOKUP(FC220,Miscellaneous!E:F,2,0))</f>
        <v/>
      </c>
      <c r="FG220" s="959" t="str">
        <f t="shared" si="32"/>
        <v/>
      </c>
      <c r="FH220" s="996">
        <f>IF($FG220="Opex",SUMIF('Monthly Summary'!$C$75:$N$75,"",CC220:CN220),SUMIF('Monthly Summary'!$C$74:$N$74,"",CC220:CN220))</f>
        <v>0</v>
      </c>
      <c r="FI220" s="996">
        <f>IF($FG220="Opex",SUMIF('Monthly Summary'!$O$75:$Z$75,"",CO220:CZ220),SUMIF('Monthly Summary'!$O$74:$Z$74,"",CO220:CZ220))</f>
        <v>0</v>
      </c>
      <c r="FJ220" s="996">
        <f>IF($FG220="Opex",SUMIF('Monthly Summary'!$AA$75:$AL$75,"",DA220:DL220),SUMIF('Monthly Summary'!$AA$74:$AL$74,"",DA220:DL220))</f>
        <v>0</v>
      </c>
      <c r="FK220" s="996">
        <f>IF($FG220="Opex",SUMIF('Monthly Summary'!$AM$75:$AX$75,"",DM220:DX220),SUMIF('Monthly Summary'!$AM$74:$AX$74,"",DM220:DX220))</f>
        <v>0</v>
      </c>
      <c r="FL220" s="996">
        <f>IF($FG220="Opex",SUMIF('Monthly Summary'!$AY$75:$BJ$75,"",DY220:EJ220),SUMIF('Monthly Summary'!$AY$74:$BJ$74,"",DY220:EJ220))</f>
        <v>0</v>
      </c>
      <c r="FM220" s="997">
        <f>IF($FG220="Opex",SUMIF('Monthly Summary'!$BK$75:$BV$75,"",EK220:EV220),SUMIF('Monthly Summary'!$BK$74:$BV$74,"",EK220:EV220))</f>
        <v>0</v>
      </c>
      <c r="FN220" s="997">
        <f t="shared" si="33"/>
        <v>0</v>
      </c>
    </row>
    <row r="221" spans="3:170">
      <c r="C221" s="757"/>
      <c r="D221" s="757"/>
      <c r="E221" s="758"/>
      <c r="F221" s="758"/>
      <c r="G221" s="758"/>
      <c r="H221" s="1215"/>
      <c r="I221" s="761"/>
      <c r="J221" s="761"/>
      <c r="K221" s="761"/>
      <c r="L221" s="761"/>
      <c r="M221" s="761"/>
      <c r="N221" s="761"/>
      <c r="O221" s="761"/>
      <c r="P221" s="761"/>
      <c r="Q221" s="761"/>
      <c r="R221" s="761"/>
      <c r="S221" s="1216"/>
      <c r="T221" s="1215"/>
      <c r="U221" s="761"/>
      <c r="V221" s="761"/>
      <c r="W221" s="761"/>
      <c r="X221" s="761"/>
      <c r="Y221" s="761"/>
      <c r="Z221" s="761"/>
      <c r="AA221" s="761"/>
      <c r="AB221" s="761"/>
      <c r="AC221" s="761"/>
      <c r="AD221" s="761"/>
      <c r="AE221" s="1216"/>
      <c r="AF221" s="1215"/>
      <c r="AG221" s="761"/>
      <c r="AH221" s="761"/>
      <c r="AI221" s="761"/>
      <c r="AJ221" s="761"/>
      <c r="AK221" s="761"/>
      <c r="AL221" s="761"/>
      <c r="AM221" s="761"/>
      <c r="AN221" s="761"/>
      <c r="AO221" s="761"/>
      <c r="AP221" s="761"/>
      <c r="AQ221" s="1216"/>
      <c r="AR221" s="1215"/>
      <c r="AS221" s="761"/>
      <c r="AT221" s="761"/>
      <c r="AU221" s="761"/>
      <c r="AV221" s="761"/>
      <c r="AW221" s="761"/>
      <c r="AX221" s="761"/>
      <c r="AY221" s="761"/>
      <c r="AZ221" s="761"/>
      <c r="BA221" s="761"/>
      <c r="BB221" s="761"/>
      <c r="BC221" s="1216"/>
      <c r="BD221" s="1215"/>
      <c r="BE221" s="761"/>
      <c r="BF221" s="761"/>
      <c r="BG221" s="761"/>
      <c r="BH221" s="761"/>
      <c r="BI221" s="761"/>
      <c r="BJ221" s="761"/>
      <c r="BK221" s="761"/>
      <c r="BL221" s="761"/>
      <c r="BM221" s="761"/>
      <c r="BN221" s="761"/>
      <c r="BO221" s="1216"/>
      <c r="BP221" s="1215"/>
      <c r="BQ221" s="761"/>
      <c r="BR221" s="761"/>
      <c r="BS221" s="761"/>
      <c r="BT221" s="761"/>
      <c r="BU221" s="761"/>
      <c r="BV221" s="761"/>
      <c r="BW221" s="761"/>
      <c r="BX221" s="761"/>
      <c r="BY221" s="761"/>
      <c r="BZ221" s="761"/>
      <c r="CA221" s="1216"/>
      <c r="CB221" s="747"/>
      <c r="CC221" s="1222">
        <f>$G221*H221*Variables!$B$53</f>
        <v>0</v>
      </c>
      <c r="CD221" s="1223">
        <f>$G221*I221*Variables!$B$53</f>
        <v>0</v>
      </c>
      <c r="CE221" s="1223">
        <f>$G221*J221*Variables!$B$53</f>
        <v>0</v>
      </c>
      <c r="CF221" s="1223">
        <f>$G221*K221*Variables!$B$53</f>
        <v>0</v>
      </c>
      <c r="CG221" s="1223">
        <f>$G221*L221*Variables!$B$53</f>
        <v>0</v>
      </c>
      <c r="CH221" s="1223">
        <f>$G221*M221*Variables!$B$53</f>
        <v>0</v>
      </c>
      <c r="CI221" s="1223">
        <f>$G221*N221*Variables!$B$53</f>
        <v>0</v>
      </c>
      <c r="CJ221" s="1223">
        <f>$G221*O221*Variables!$B$53</f>
        <v>0</v>
      </c>
      <c r="CK221" s="1223">
        <f>$G221*P221*Variables!$B$53</f>
        <v>0</v>
      </c>
      <c r="CL221" s="1223">
        <f>$G221*Q221*Variables!$B$53</f>
        <v>0</v>
      </c>
      <c r="CM221" s="1223">
        <f>$G221*R221*Variables!$B$53</f>
        <v>0</v>
      </c>
      <c r="CN221" s="1225">
        <f>$G221*S221*Variables!$B$53</f>
        <v>0</v>
      </c>
      <c r="CO221" s="1222">
        <f>$G221*T221*Variables!$B$53*HLOOKUP($CO$2,Variables!$B$60:$F$61,2,FALSE)</f>
        <v>0</v>
      </c>
      <c r="CP221" s="1223">
        <f>$G221*U221*Variables!$B$53*HLOOKUP($CO$2,Variables!$B$60:$F$61,2,FALSE)</f>
        <v>0</v>
      </c>
      <c r="CQ221" s="1223">
        <f>$G221*V221*Variables!$B$53*HLOOKUP($CO$2,Variables!$B$60:$F$61,2,FALSE)</f>
        <v>0</v>
      </c>
      <c r="CR221" s="1223">
        <f>$G221*W221*Variables!$B$53*HLOOKUP($CO$2,Variables!$B$60:$F$61,2,FALSE)</f>
        <v>0</v>
      </c>
      <c r="CS221" s="1223">
        <f>$G221*X221*Variables!$B$53*HLOOKUP($CO$2,Variables!$B$60:$F$61,2,FALSE)</f>
        <v>0</v>
      </c>
      <c r="CT221" s="1223">
        <f>$G221*Y221*Variables!$B$53*HLOOKUP($CO$2,Variables!$B$60:$F$61,2,FALSE)</f>
        <v>0</v>
      </c>
      <c r="CU221" s="1223">
        <f>$G221*Z221*Variables!$B$53*HLOOKUP($CO$2,Variables!$B$60:$F$61,2,FALSE)</f>
        <v>0</v>
      </c>
      <c r="CV221" s="1223">
        <f>$G221*AA221*Variables!$B$53*HLOOKUP($CO$2,Variables!$B$60:$F$61,2,FALSE)</f>
        <v>0</v>
      </c>
      <c r="CW221" s="1223">
        <f>$G221*AB221*Variables!$B$53*HLOOKUP($CO$2,Variables!$B$60:$F$61,2,FALSE)</f>
        <v>0</v>
      </c>
      <c r="CX221" s="1223">
        <f>$G221*AC221*Variables!$B$53*HLOOKUP($CO$2,Variables!$B$60:$F$61,2,FALSE)</f>
        <v>0</v>
      </c>
      <c r="CY221" s="1223">
        <f>$G221*AD221*Variables!$B$53*HLOOKUP($CO$2,Variables!$B$60:$F$61,2,FALSE)</f>
        <v>0</v>
      </c>
      <c r="CZ221" s="1225">
        <f>$G221*AE221*Variables!$B$53*HLOOKUP($CO$2,Variables!$B$60:$F$61,2,FALSE)</f>
        <v>0</v>
      </c>
      <c r="DA221" s="1222">
        <f>$G221*AF221*Variables!$B$53*HLOOKUP($DA$2,Variables!$B$60:$F$61,2,FALSE)</f>
        <v>0</v>
      </c>
      <c r="DB221" s="1223">
        <f>$G221*AG221*Variables!$B$53*HLOOKUP($DA$2,Variables!$B$60:$F$61,2,FALSE)</f>
        <v>0</v>
      </c>
      <c r="DC221" s="1223">
        <f>$G221*AH221*Variables!$B$53*HLOOKUP($DA$2,Variables!$B$60:$F$61,2,FALSE)</f>
        <v>0</v>
      </c>
      <c r="DD221" s="1223">
        <f>$G221*AI221*Variables!$B$53*HLOOKUP($DA$2,Variables!$B$60:$F$61,2,FALSE)</f>
        <v>0</v>
      </c>
      <c r="DE221" s="1223">
        <f>$G221*AJ221*Variables!$B$53*HLOOKUP($DA$2,Variables!$B$60:$F$61,2,FALSE)</f>
        <v>0</v>
      </c>
      <c r="DF221" s="1223">
        <f>$G221*AK221*Variables!$B$53*HLOOKUP($DA$2,Variables!$B$60:$F$61,2,FALSE)</f>
        <v>0</v>
      </c>
      <c r="DG221" s="1223">
        <f>$G221*AL221*Variables!$B$53*HLOOKUP($DA$2,Variables!$B$60:$F$61,2,FALSE)</f>
        <v>0</v>
      </c>
      <c r="DH221" s="1223">
        <f>$G221*AM221*Variables!$B$53*HLOOKUP($DA$2,Variables!$B$60:$F$61,2,FALSE)</f>
        <v>0</v>
      </c>
      <c r="DI221" s="1223">
        <f>$G221*AN221*Variables!$B$53*HLOOKUP($DA$2,Variables!$B$60:$F$61,2,FALSE)</f>
        <v>0</v>
      </c>
      <c r="DJ221" s="1223">
        <f>$G221*AO221*Variables!$B$53*HLOOKUP($DA$2,Variables!$B$60:$F$61,2,FALSE)</f>
        <v>0</v>
      </c>
      <c r="DK221" s="1223">
        <f>$G221*AP221*Variables!$B$53*HLOOKUP($DA$2,Variables!$B$60:$F$61,2,FALSE)</f>
        <v>0</v>
      </c>
      <c r="DL221" s="1225">
        <f>$G221*AQ221*Variables!$B$53*HLOOKUP($DA$2,Variables!$B$60:$F$61,2,FALSE)</f>
        <v>0</v>
      </c>
      <c r="DM221" s="1222">
        <f>$G221*AR221*Variables!$B$53*HLOOKUP($DM$2,Variables!$B$60:$F$61,2,FALSE)</f>
        <v>0</v>
      </c>
      <c r="DN221" s="1223">
        <f>$G221*AS221*Variables!$B$53*HLOOKUP($DM$2,Variables!$B$60:$F$61,2,FALSE)</f>
        <v>0</v>
      </c>
      <c r="DO221" s="1223">
        <f>$G221*AT221*Variables!$B$53*HLOOKUP($DM$2,Variables!$B$60:$F$61,2,FALSE)</f>
        <v>0</v>
      </c>
      <c r="DP221" s="1223">
        <f>$G221*AU221*Variables!$B$53*HLOOKUP($DM$2,Variables!$B$60:$F$61,2,FALSE)</f>
        <v>0</v>
      </c>
      <c r="DQ221" s="1223">
        <f>$G221*AV221*Variables!$B$53*HLOOKUP($DM$2,Variables!$B$60:$F$61,2,FALSE)</f>
        <v>0</v>
      </c>
      <c r="DR221" s="1223">
        <f>$G221*AW221*Variables!$B$53*HLOOKUP($DM$2,Variables!$B$60:$F$61,2,FALSE)</f>
        <v>0</v>
      </c>
      <c r="DS221" s="1223">
        <f>$G221*AX221*Variables!$B$53*HLOOKUP($DM$2,Variables!$B$60:$F$61,2,FALSE)</f>
        <v>0</v>
      </c>
      <c r="DT221" s="1223">
        <f>$G221*AY221*Variables!$B$53*HLOOKUP($DM$2,Variables!$B$60:$F$61,2,FALSE)</f>
        <v>0</v>
      </c>
      <c r="DU221" s="1223">
        <f>$G221*AZ221*Variables!$B$53*HLOOKUP($DM$2,Variables!$B$60:$F$61,2,FALSE)</f>
        <v>0</v>
      </c>
      <c r="DV221" s="1223">
        <f>$G221*BA221*Variables!$B$53*HLOOKUP($DM$2,Variables!$B$60:$F$61,2,FALSE)</f>
        <v>0</v>
      </c>
      <c r="DW221" s="1223">
        <f>$G221*BB221*Variables!$B$53*HLOOKUP($DM$2,Variables!$B$60:$F$61,2,FALSE)</f>
        <v>0</v>
      </c>
      <c r="DX221" s="1225">
        <f>$G221*BC221*Variables!$B$53*HLOOKUP($DM$2,Variables!$B$60:$F$61,2,FALSE)</f>
        <v>0</v>
      </c>
      <c r="DY221" s="1222">
        <f>$G221*BD221*Variables!$B$53*HLOOKUP($DY$2,Variables!$B$60:$F$61,2,FALSE)</f>
        <v>0</v>
      </c>
      <c r="DZ221" s="1223">
        <f>$G221*BE221*Variables!$B$53*HLOOKUP($DY$2,Variables!$B$60:$F$61,2,FALSE)</f>
        <v>0</v>
      </c>
      <c r="EA221" s="1223">
        <f>$G221*BF221*Variables!$B$53*HLOOKUP($DY$2,Variables!$B$60:$F$61,2,FALSE)</f>
        <v>0</v>
      </c>
      <c r="EB221" s="1223">
        <f>$G221*BG221*Variables!$B$53*HLOOKUP($DY$2,Variables!$B$60:$F$61,2,FALSE)</f>
        <v>0</v>
      </c>
      <c r="EC221" s="1223">
        <f>$G221*BH221*Variables!$B$53*HLOOKUP($DY$2,Variables!$B$60:$F$61,2,FALSE)</f>
        <v>0</v>
      </c>
      <c r="ED221" s="1223">
        <f>$G221*BI221*Variables!$B$53*HLOOKUP($DY$2,Variables!$B$60:$F$61,2,FALSE)</f>
        <v>0</v>
      </c>
      <c r="EE221" s="1223">
        <f>$G221*BJ221*Variables!$B$53*HLOOKUP($DY$2,Variables!$B$60:$F$61,2,FALSE)</f>
        <v>0</v>
      </c>
      <c r="EF221" s="1223">
        <f>$G221*BK221*Variables!$B$53*HLOOKUP($DY$2,Variables!$B$60:$F$61,2,FALSE)</f>
        <v>0</v>
      </c>
      <c r="EG221" s="1223">
        <f>$G221*BL221*Variables!$B$53*HLOOKUP($DY$2,Variables!$B$60:$F$61,2,FALSE)</f>
        <v>0</v>
      </c>
      <c r="EH221" s="1223">
        <f>$G221*BM221*Variables!$B$53*HLOOKUP($DY$2,Variables!$B$60:$F$61,2,FALSE)</f>
        <v>0</v>
      </c>
      <c r="EI221" s="1223">
        <f>$G221*BN221*Variables!$B$53*HLOOKUP($DY$2,Variables!$B$60:$F$61,2,FALSE)</f>
        <v>0</v>
      </c>
      <c r="EJ221" s="1225">
        <f>$G221*BO221*Variables!$B$53*HLOOKUP($DY$2,Variables!$B$60:$F$61,2,FALSE)</f>
        <v>0</v>
      </c>
      <c r="EK221" s="1222">
        <f>$G221*BP221*Variables!$B$53*HLOOKUP($EK$2,Variables!$B$60:$F$61,2,FALSE)</f>
        <v>0</v>
      </c>
      <c r="EL221" s="1223">
        <f>$G221*BQ221*Variables!$B$53*HLOOKUP($EK$2,Variables!$B$60:$F$61,2,FALSE)</f>
        <v>0</v>
      </c>
      <c r="EM221" s="1223">
        <f>$G221*BR221*Variables!$B$53*HLOOKUP($EK$2,Variables!$B$60:$F$61,2,FALSE)</f>
        <v>0</v>
      </c>
      <c r="EN221" s="1223">
        <f>$G221*BS221*Variables!$B$53*HLOOKUP($EK$2,Variables!$B$60:$F$61,2,FALSE)</f>
        <v>0</v>
      </c>
      <c r="EO221" s="1223">
        <f>$G221*BT221*Variables!$B$53*HLOOKUP($EK$2,Variables!$B$60:$F$61,2,FALSE)</f>
        <v>0</v>
      </c>
      <c r="EP221" s="1223">
        <f>$G221*BU221*Variables!$B$53*HLOOKUP($EK$2,Variables!$B$60:$F$61,2,FALSE)</f>
        <v>0</v>
      </c>
      <c r="EQ221" s="1223">
        <f>$G221*BV221*Variables!$B$53*HLOOKUP($EK$2,Variables!$B$60:$F$61,2,FALSE)</f>
        <v>0</v>
      </c>
      <c r="ER221" s="1223">
        <f>$G221*BW221*Variables!$B$53*HLOOKUP($EK$2,Variables!$B$60:$F$61,2,FALSE)</f>
        <v>0</v>
      </c>
      <c r="ES221" s="1223">
        <f>$G221*BX221*Variables!$B$53*HLOOKUP($EK$2,Variables!$B$60:$F$61,2,FALSE)</f>
        <v>0</v>
      </c>
      <c r="ET221" s="1223">
        <f>$G221*BY221*Variables!$B$53*HLOOKUP($EK$2,Variables!$B$60:$F$61,2,FALSE)</f>
        <v>0</v>
      </c>
      <c r="EU221" s="1223">
        <f>$G221*BZ221*Variables!$B$53*HLOOKUP($EK$2,Variables!$B$60:$F$61,2,FALSE)</f>
        <v>0</v>
      </c>
      <c r="EV221" s="1225">
        <f>$G221*CA221*Variables!$B$53*HLOOKUP($EK$2,Variables!$B$60:$F$61,2,FALSE)</f>
        <v>0</v>
      </c>
      <c r="EW221" s="872">
        <f t="shared" si="29"/>
        <v>0</v>
      </c>
      <c r="EX221" s="872"/>
      <c r="EY221" s="872"/>
      <c r="EZ221" s="872"/>
      <c r="FA221" s="1332"/>
      <c r="FC221" s="958" t="str">
        <f t="shared" si="30"/>
        <v/>
      </c>
      <c r="FD221" s="959" t="str">
        <f t="shared" si="31"/>
        <v/>
      </c>
      <c r="FE221" s="959" t="s">
        <v>8407</v>
      </c>
      <c r="FF221" s="959" t="str">
        <f>IF(ISNA(VLOOKUP(FC221,Miscellaneous!E:F,2,0)),"",VLOOKUP(FC221,Miscellaneous!E:F,2,0))</f>
        <v/>
      </c>
      <c r="FG221" s="959" t="str">
        <f t="shared" si="32"/>
        <v/>
      </c>
      <c r="FH221" s="996">
        <f>IF($FG221="Opex",SUMIF('Monthly Summary'!$C$75:$N$75,"",CC221:CN221),SUMIF('Monthly Summary'!$C$74:$N$74,"",CC221:CN221))</f>
        <v>0</v>
      </c>
      <c r="FI221" s="996">
        <f>IF($FG221="Opex",SUMIF('Monthly Summary'!$O$75:$Z$75,"",CO221:CZ221),SUMIF('Monthly Summary'!$O$74:$Z$74,"",CO221:CZ221))</f>
        <v>0</v>
      </c>
      <c r="FJ221" s="996">
        <f>IF($FG221="Opex",SUMIF('Monthly Summary'!$AA$75:$AL$75,"",DA221:DL221),SUMIF('Monthly Summary'!$AA$74:$AL$74,"",DA221:DL221))</f>
        <v>0</v>
      </c>
      <c r="FK221" s="996">
        <f>IF($FG221="Opex",SUMIF('Monthly Summary'!$AM$75:$AX$75,"",DM221:DX221),SUMIF('Monthly Summary'!$AM$74:$AX$74,"",DM221:DX221))</f>
        <v>0</v>
      </c>
      <c r="FL221" s="996">
        <f>IF($FG221="Opex",SUMIF('Monthly Summary'!$AY$75:$BJ$75,"",DY221:EJ221),SUMIF('Monthly Summary'!$AY$74:$BJ$74,"",DY221:EJ221))</f>
        <v>0</v>
      </c>
      <c r="FM221" s="997">
        <f>IF($FG221="Opex",SUMIF('Monthly Summary'!$BK$75:$BV$75,"",EK221:EV221),SUMIF('Monthly Summary'!$BK$74:$BV$74,"",EK221:EV221))</f>
        <v>0</v>
      </c>
      <c r="FN221" s="997">
        <f t="shared" si="33"/>
        <v>0</v>
      </c>
    </row>
    <row r="222" spans="3:170">
      <c r="C222" s="757"/>
      <c r="D222" s="757"/>
      <c r="E222" s="758"/>
      <c r="F222" s="758"/>
      <c r="G222" s="758"/>
      <c r="H222" s="1215"/>
      <c r="I222" s="761"/>
      <c r="J222" s="761"/>
      <c r="K222" s="761"/>
      <c r="L222" s="761"/>
      <c r="M222" s="761"/>
      <c r="N222" s="761"/>
      <c r="O222" s="761"/>
      <c r="P222" s="761"/>
      <c r="Q222" s="761"/>
      <c r="R222" s="761"/>
      <c r="S222" s="1216"/>
      <c r="T222" s="1215"/>
      <c r="U222" s="761"/>
      <c r="V222" s="761"/>
      <c r="W222" s="761"/>
      <c r="X222" s="761"/>
      <c r="Y222" s="761"/>
      <c r="Z222" s="761"/>
      <c r="AA222" s="761"/>
      <c r="AB222" s="761"/>
      <c r="AC222" s="761"/>
      <c r="AD222" s="761"/>
      <c r="AE222" s="1216"/>
      <c r="AF222" s="1215"/>
      <c r="AG222" s="761"/>
      <c r="AH222" s="761"/>
      <c r="AI222" s="761"/>
      <c r="AJ222" s="761"/>
      <c r="AK222" s="761"/>
      <c r="AL222" s="761"/>
      <c r="AM222" s="761"/>
      <c r="AN222" s="761"/>
      <c r="AO222" s="761"/>
      <c r="AP222" s="761"/>
      <c r="AQ222" s="1216"/>
      <c r="AR222" s="1215"/>
      <c r="AS222" s="761"/>
      <c r="AT222" s="761"/>
      <c r="AU222" s="761"/>
      <c r="AV222" s="761"/>
      <c r="AW222" s="761"/>
      <c r="AX222" s="761"/>
      <c r="AY222" s="761"/>
      <c r="AZ222" s="761"/>
      <c r="BA222" s="761"/>
      <c r="BB222" s="761"/>
      <c r="BC222" s="1216"/>
      <c r="BD222" s="1215"/>
      <c r="BE222" s="761"/>
      <c r="BF222" s="761"/>
      <c r="BG222" s="761"/>
      <c r="BH222" s="761"/>
      <c r="BI222" s="761"/>
      <c r="BJ222" s="761"/>
      <c r="BK222" s="761"/>
      <c r="BL222" s="761"/>
      <c r="BM222" s="761"/>
      <c r="BN222" s="761"/>
      <c r="BO222" s="1216"/>
      <c r="BP222" s="1215"/>
      <c r="BQ222" s="761"/>
      <c r="BR222" s="761"/>
      <c r="BS222" s="761"/>
      <c r="BT222" s="761"/>
      <c r="BU222" s="761"/>
      <c r="BV222" s="761"/>
      <c r="BW222" s="761"/>
      <c r="BX222" s="761"/>
      <c r="BY222" s="761"/>
      <c r="BZ222" s="761"/>
      <c r="CA222" s="1216"/>
      <c r="CB222" s="747"/>
      <c r="CC222" s="1222">
        <f>$G222*H222*Variables!$B$53</f>
        <v>0</v>
      </c>
      <c r="CD222" s="1223">
        <f>$G222*I222*Variables!$B$53</f>
        <v>0</v>
      </c>
      <c r="CE222" s="1223">
        <f>$G222*J222*Variables!$B$53</f>
        <v>0</v>
      </c>
      <c r="CF222" s="1223">
        <f>$G222*K222*Variables!$B$53</f>
        <v>0</v>
      </c>
      <c r="CG222" s="1223">
        <f>$G222*L222*Variables!$B$53</f>
        <v>0</v>
      </c>
      <c r="CH222" s="1223">
        <f>$G222*M222*Variables!$B$53</f>
        <v>0</v>
      </c>
      <c r="CI222" s="1223">
        <f>$G222*N222*Variables!$B$53</f>
        <v>0</v>
      </c>
      <c r="CJ222" s="1223">
        <f>$G222*O222*Variables!$B$53</f>
        <v>0</v>
      </c>
      <c r="CK222" s="1223">
        <f>$G222*P222*Variables!$B$53</f>
        <v>0</v>
      </c>
      <c r="CL222" s="1223">
        <f>$G222*Q222*Variables!$B$53</f>
        <v>0</v>
      </c>
      <c r="CM222" s="1223">
        <f>$G222*R222*Variables!$B$53</f>
        <v>0</v>
      </c>
      <c r="CN222" s="1225">
        <f>$G222*S222*Variables!$B$53</f>
        <v>0</v>
      </c>
      <c r="CO222" s="1222">
        <f>$G222*T222*Variables!$B$53*HLOOKUP($CO$2,Variables!$B$60:$F$61,2,FALSE)</f>
        <v>0</v>
      </c>
      <c r="CP222" s="1223">
        <f>$G222*U222*Variables!$B$53*HLOOKUP($CO$2,Variables!$B$60:$F$61,2,FALSE)</f>
        <v>0</v>
      </c>
      <c r="CQ222" s="1223">
        <f>$G222*V222*Variables!$B$53*HLOOKUP($CO$2,Variables!$B$60:$F$61,2,FALSE)</f>
        <v>0</v>
      </c>
      <c r="CR222" s="1223">
        <f>$G222*W222*Variables!$B$53*HLOOKUP($CO$2,Variables!$B$60:$F$61,2,FALSE)</f>
        <v>0</v>
      </c>
      <c r="CS222" s="1223">
        <f>$G222*X222*Variables!$B$53*HLOOKUP($CO$2,Variables!$B$60:$F$61,2,FALSE)</f>
        <v>0</v>
      </c>
      <c r="CT222" s="1223">
        <f>$G222*Y222*Variables!$B$53*HLOOKUP($CO$2,Variables!$B$60:$F$61,2,FALSE)</f>
        <v>0</v>
      </c>
      <c r="CU222" s="1223">
        <f>$G222*Z222*Variables!$B$53*HLOOKUP($CO$2,Variables!$B$60:$F$61,2,FALSE)</f>
        <v>0</v>
      </c>
      <c r="CV222" s="1223">
        <f>$G222*AA222*Variables!$B$53*HLOOKUP($CO$2,Variables!$B$60:$F$61,2,FALSE)</f>
        <v>0</v>
      </c>
      <c r="CW222" s="1223">
        <f>$G222*AB222*Variables!$B$53*HLOOKUP($CO$2,Variables!$B$60:$F$61,2,FALSE)</f>
        <v>0</v>
      </c>
      <c r="CX222" s="1223">
        <f>$G222*AC222*Variables!$B$53*HLOOKUP($CO$2,Variables!$B$60:$F$61,2,FALSE)</f>
        <v>0</v>
      </c>
      <c r="CY222" s="1223">
        <f>$G222*AD222*Variables!$B$53*HLOOKUP($CO$2,Variables!$B$60:$F$61,2,FALSE)</f>
        <v>0</v>
      </c>
      <c r="CZ222" s="1225">
        <f>$G222*AE222*Variables!$B$53*HLOOKUP($CO$2,Variables!$B$60:$F$61,2,FALSE)</f>
        <v>0</v>
      </c>
      <c r="DA222" s="1222">
        <f>$G222*AF222*Variables!$B$53*HLOOKUP($DA$2,Variables!$B$60:$F$61,2,FALSE)</f>
        <v>0</v>
      </c>
      <c r="DB222" s="1223">
        <f>$G222*AG222*Variables!$B$53*HLOOKUP($DA$2,Variables!$B$60:$F$61,2,FALSE)</f>
        <v>0</v>
      </c>
      <c r="DC222" s="1223">
        <f>$G222*AH222*Variables!$B$53*HLOOKUP($DA$2,Variables!$B$60:$F$61,2,FALSE)</f>
        <v>0</v>
      </c>
      <c r="DD222" s="1223">
        <f>$G222*AI222*Variables!$B$53*HLOOKUP($DA$2,Variables!$B$60:$F$61,2,FALSE)</f>
        <v>0</v>
      </c>
      <c r="DE222" s="1223">
        <f>$G222*AJ222*Variables!$B$53*HLOOKUP($DA$2,Variables!$B$60:$F$61,2,FALSE)</f>
        <v>0</v>
      </c>
      <c r="DF222" s="1223">
        <f>$G222*AK222*Variables!$B$53*HLOOKUP($DA$2,Variables!$B$60:$F$61,2,FALSE)</f>
        <v>0</v>
      </c>
      <c r="DG222" s="1223">
        <f>$G222*AL222*Variables!$B$53*HLOOKUP($DA$2,Variables!$B$60:$F$61,2,FALSE)</f>
        <v>0</v>
      </c>
      <c r="DH222" s="1223">
        <f>$G222*AM222*Variables!$B$53*HLOOKUP($DA$2,Variables!$B$60:$F$61,2,FALSE)</f>
        <v>0</v>
      </c>
      <c r="DI222" s="1223">
        <f>$G222*AN222*Variables!$B$53*HLOOKUP($DA$2,Variables!$B$60:$F$61,2,FALSE)</f>
        <v>0</v>
      </c>
      <c r="DJ222" s="1223">
        <f>$G222*AO222*Variables!$B$53*HLOOKUP($DA$2,Variables!$B$60:$F$61,2,FALSE)</f>
        <v>0</v>
      </c>
      <c r="DK222" s="1223">
        <f>$G222*AP222*Variables!$B$53*HLOOKUP($DA$2,Variables!$B$60:$F$61,2,FALSE)</f>
        <v>0</v>
      </c>
      <c r="DL222" s="1225">
        <f>$G222*AQ222*Variables!$B$53*HLOOKUP($DA$2,Variables!$B$60:$F$61,2,FALSE)</f>
        <v>0</v>
      </c>
      <c r="DM222" s="1222">
        <f>$G222*AR222*Variables!$B$53*HLOOKUP($DM$2,Variables!$B$60:$F$61,2,FALSE)</f>
        <v>0</v>
      </c>
      <c r="DN222" s="1223">
        <f>$G222*AS222*Variables!$B$53*HLOOKUP($DM$2,Variables!$B$60:$F$61,2,FALSE)</f>
        <v>0</v>
      </c>
      <c r="DO222" s="1223">
        <f>$G222*AT222*Variables!$B$53*HLOOKUP($DM$2,Variables!$B$60:$F$61,2,FALSE)</f>
        <v>0</v>
      </c>
      <c r="DP222" s="1223">
        <f>$G222*AU222*Variables!$B$53*HLOOKUP($DM$2,Variables!$B$60:$F$61,2,FALSE)</f>
        <v>0</v>
      </c>
      <c r="DQ222" s="1223">
        <f>$G222*AV222*Variables!$B$53*HLOOKUP($DM$2,Variables!$B$60:$F$61,2,FALSE)</f>
        <v>0</v>
      </c>
      <c r="DR222" s="1223">
        <f>$G222*AW222*Variables!$B$53*HLOOKUP($DM$2,Variables!$B$60:$F$61,2,FALSE)</f>
        <v>0</v>
      </c>
      <c r="DS222" s="1223">
        <f>$G222*AX222*Variables!$B$53*HLOOKUP($DM$2,Variables!$B$60:$F$61,2,FALSE)</f>
        <v>0</v>
      </c>
      <c r="DT222" s="1223">
        <f>$G222*AY222*Variables!$B$53*HLOOKUP($DM$2,Variables!$B$60:$F$61,2,FALSE)</f>
        <v>0</v>
      </c>
      <c r="DU222" s="1223">
        <f>$G222*AZ222*Variables!$B$53*HLOOKUP($DM$2,Variables!$B$60:$F$61,2,FALSE)</f>
        <v>0</v>
      </c>
      <c r="DV222" s="1223">
        <f>$G222*BA222*Variables!$B$53*HLOOKUP($DM$2,Variables!$B$60:$F$61,2,FALSE)</f>
        <v>0</v>
      </c>
      <c r="DW222" s="1223">
        <f>$G222*BB222*Variables!$B$53*HLOOKUP($DM$2,Variables!$B$60:$F$61,2,FALSE)</f>
        <v>0</v>
      </c>
      <c r="DX222" s="1225">
        <f>$G222*BC222*Variables!$B$53*HLOOKUP($DM$2,Variables!$B$60:$F$61,2,FALSE)</f>
        <v>0</v>
      </c>
      <c r="DY222" s="1222">
        <f>$G222*BD222*Variables!$B$53*HLOOKUP($DY$2,Variables!$B$60:$F$61,2,FALSE)</f>
        <v>0</v>
      </c>
      <c r="DZ222" s="1223">
        <f>$G222*BE222*Variables!$B$53*HLOOKUP($DY$2,Variables!$B$60:$F$61,2,FALSE)</f>
        <v>0</v>
      </c>
      <c r="EA222" s="1223">
        <f>$G222*BF222*Variables!$B$53*HLOOKUP($DY$2,Variables!$B$60:$F$61,2,FALSE)</f>
        <v>0</v>
      </c>
      <c r="EB222" s="1223">
        <f>$G222*BG222*Variables!$B$53*HLOOKUP($DY$2,Variables!$B$60:$F$61,2,FALSE)</f>
        <v>0</v>
      </c>
      <c r="EC222" s="1223">
        <f>$G222*BH222*Variables!$B$53*HLOOKUP($DY$2,Variables!$B$60:$F$61,2,FALSE)</f>
        <v>0</v>
      </c>
      <c r="ED222" s="1223">
        <f>$G222*BI222*Variables!$B$53*HLOOKUP($DY$2,Variables!$B$60:$F$61,2,FALSE)</f>
        <v>0</v>
      </c>
      <c r="EE222" s="1223">
        <f>$G222*BJ222*Variables!$B$53*HLOOKUP($DY$2,Variables!$B$60:$F$61,2,FALSE)</f>
        <v>0</v>
      </c>
      <c r="EF222" s="1223">
        <f>$G222*BK222*Variables!$B$53*HLOOKUP($DY$2,Variables!$B$60:$F$61,2,FALSE)</f>
        <v>0</v>
      </c>
      <c r="EG222" s="1223">
        <f>$G222*BL222*Variables!$B$53*HLOOKUP($DY$2,Variables!$B$60:$F$61,2,FALSE)</f>
        <v>0</v>
      </c>
      <c r="EH222" s="1223">
        <f>$G222*BM222*Variables!$B$53*HLOOKUP($DY$2,Variables!$B$60:$F$61,2,FALSE)</f>
        <v>0</v>
      </c>
      <c r="EI222" s="1223">
        <f>$G222*BN222*Variables!$B$53*HLOOKUP($DY$2,Variables!$B$60:$F$61,2,FALSE)</f>
        <v>0</v>
      </c>
      <c r="EJ222" s="1225">
        <f>$G222*BO222*Variables!$B$53*HLOOKUP($DY$2,Variables!$B$60:$F$61,2,FALSE)</f>
        <v>0</v>
      </c>
      <c r="EK222" s="1222">
        <f>$G222*BP222*Variables!$B$53*HLOOKUP($EK$2,Variables!$B$60:$F$61,2,FALSE)</f>
        <v>0</v>
      </c>
      <c r="EL222" s="1223">
        <f>$G222*BQ222*Variables!$B$53*HLOOKUP($EK$2,Variables!$B$60:$F$61,2,FALSE)</f>
        <v>0</v>
      </c>
      <c r="EM222" s="1223">
        <f>$G222*BR222*Variables!$B$53*HLOOKUP($EK$2,Variables!$B$60:$F$61,2,FALSE)</f>
        <v>0</v>
      </c>
      <c r="EN222" s="1223">
        <f>$G222*BS222*Variables!$B$53*HLOOKUP($EK$2,Variables!$B$60:$F$61,2,FALSE)</f>
        <v>0</v>
      </c>
      <c r="EO222" s="1223">
        <f>$G222*BT222*Variables!$B$53*HLOOKUP($EK$2,Variables!$B$60:$F$61,2,FALSE)</f>
        <v>0</v>
      </c>
      <c r="EP222" s="1223">
        <f>$G222*BU222*Variables!$B$53*HLOOKUP($EK$2,Variables!$B$60:$F$61,2,FALSE)</f>
        <v>0</v>
      </c>
      <c r="EQ222" s="1223">
        <f>$G222*BV222*Variables!$B$53*HLOOKUP($EK$2,Variables!$B$60:$F$61,2,FALSE)</f>
        <v>0</v>
      </c>
      <c r="ER222" s="1223">
        <f>$G222*BW222*Variables!$B$53*HLOOKUP($EK$2,Variables!$B$60:$F$61,2,FALSE)</f>
        <v>0</v>
      </c>
      <c r="ES222" s="1223">
        <f>$G222*BX222*Variables!$B$53*HLOOKUP($EK$2,Variables!$B$60:$F$61,2,FALSE)</f>
        <v>0</v>
      </c>
      <c r="ET222" s="1223">
        <f>$G222*BY222*Variables!$B$53*HLOOKUP($EK$2,Variables!$B$60:$F$61,2,FALSE)</f>
        <v>0</v>
      </c>
      <c r="EU222" s="1223">
        <f>$G222*BZ222*Variables!$B$53*HLOOKUP($EK$2,Variables!$B$60:$F$61,2,FALSE)</f>
        <v>0</v>
      </c>
      <c r="EV222" s="1225">
        <f>$G222*CA222*Variables!$B$53*HLOOKUP($EK$2,Variables!$B$60:$F$61,2,FALSE)</f>
        <v>0</v>
      </c>
      <c r="EW222" s="872">
        <f t="shared" si="29"/>
        <v>0</v>
      </c>
      <c r="EX222" s="872"/>
      <c r="EY222" s="872"/>
      <c r="EZ222" s="872"/>
      <c r="FA222" s="1332"/>
      <c r="FC222" s="958" t="str">
        <f t="shared" si="30"/>
        <v/>
      </c>
      <c r="FD222" s="959" t="str">
        <f t="shared" si="31"/>
        <v/>
      </c>
      <c r="FE222" s="959" t="s">
        <v>8407</v>
      </c>
      <c r="FF222" s="959" t="str">
        <f>IF(ISNA(VLOOKUP(FC222,Miscellaneous!E:F,2,0)),"",VLOOKUP(FC222,Miscellaneous!E:F,2,0))</f>
        <v/>
      </c>
      <c r="FG222" s="959" t="str">
        <f t="shared" si="32"/>
        <v/>
      </c>
      <c r="FH222" s="996">
        <f>IF($FG222="Opex",SUMIF('Monthly Summary'!$C$75:$N$75,"",CC222:CN222),SUMIF('Monthly Summary'!$C$74:$N$74,"",CC222:CN222))</f>
        <v>0</v>
      </c>
      <c r="FI222" s="996">
        <f>IF($FG222="Opex",SUMIF('Monthly Summary'!$O$75:$Z$75,"",CO222:CZ222),SUMIF('Monthly Summary'!$O$74:$Z$74,"",CO222:CZ222))</f>
        <v>0</v>
      </c>
      <c r="FJ222" s="996">
        <f>IF($FG222="Opex",SUMIF('Monthly Summary'!$AA$75:$AL$75,"",DA222:DL222),SUMIF('Monthly Summary'!$AA$74:$AL$74,"",DA222:DL222))</f>
        <v>0</v>
      </c>
      <c r="FK222" s="996">
        <f>IF($FG222="Opex",SUMIF('Monthly Summary'!$AM$75:$AX$75,"",DM222:DX222),SUMIF('Monthly Summary'!$AM$74:$AX$74,"",DM222:DX222))</f>
        <v>0</v>
      </c>
      <c r="FL222" s="996">
        <f>IF($FG222="Opex",SUMIF('Monthly Summary'!$AY$75:$BJ$75,"",DY222:EJ222),SUMIF('Monthly Summary'!$AY$74:$BJ$74,"",DY222:EJ222))</f>
        <v>0</v>
      </c>
      <c r="FM222" s="997">
        <f>IF($FG222="Opex",SUMIF('Monthly Summary'!$BK$75:$BV$75,"",EK222:EV222),SUMIF('Monthly Summary'!$BK$74:$BV$74,"",EK222:EV222))</f>
        <v>0</v>
      </c>
      <c r="FN222" s="997">
        <f t="shared" si="33"/>
        <v>0</v>
      </c>
    </row>
    <row r="223" spans="3:170">
      <c r="C223" s="757"/>
      <c r="D223" s="757"/>
      <c r="E223" s="758"/>
      <c r="F223" s="758"/>
      <c r="G223" s="758"/>
      <c r="H223" s="1215"/>
      <c r="I223" s="761"/>
      <c r="J223" s="761"/>
      <c r="K223" s="761"/>
      <c r="L223" s="761"/>
      <c r="M223" s="761"/>
      <c r="N223" s="761"/>
      <c r="O223" s="761"/>
      <c r="P223" s="761"/>
      <c r="Q223" s="761"/>
      <c r="R223" s="761"/>
      <c r="S223" s="1216"/>
      <c r="T223" s="1215"/>
      <c r="U223" s="761"/>
      <c r="V223" s="761"/>
      <c r="W223" s="761"/>
      <c r="X223" s="761"/>
      <c r="Y223" s="761"/>
      <c r="Z223" s="761"/>
      <c r="AA223" s="761"/>
      <c r="AB223" s="761"/>
      <c r="AC223" s="761"/>
      <c r="AD223" s="761"/>
      <c r="AE223" s="1216"/>
      <c r="AF223" s="1215"/>
      <c r="AG223" s="761"/>
      <c r="AH223" s="761"/>
      <c r="AI223" s="761"/>
      <c r="AJ223" s="761"/>
      <c r="AK223" s="761"/>
      <c r="AL223" s="761"/>
      <c r="AM223" s="761"/>
      <c r="AN223" s="761"/>
      <c r="AO223" s="761"/>
      <c r="AP223" s="761"/>
      <c r="AQ223" s="1216"/>
      <c r="AR223" s="1215"/>
      <c r="AS223" s="761"/>
      <c r="AT223" s="761"/>
      <c r="AU223" s="761"/>
      <c r="AV223" s="761"/>
      <c r="AW223" s="761"/>
      <c r="AX223" s="761"/>
      <c r="AY223" s="761"/>
      <c r="AZ223" s="761"/>
      <c r="BA223" s="761"/>
      <c r="BB223" s="761"/>
      <c r="BC223" s="1216"/>
      <c r="BD223" s="1215"/>
      <c r="BE223" s="761"/>
      <c r="BF223" s="761"/>
      <c r="BG223" s="761"/>
      <c r="BH223" s="761"/>
      <c r="BI223" s="761"/>
      <c r="BJ223" s="761"/>
      <c r="BK223" s="761"/>
      <c r="BL223" s="761"/>
      <c r="BM223" s="761"/>
      <c r="BN223" s="761"/>
      <c r="BO223" s="1216"/>
      <c r="BP223" s="1215"/>
      <c r="BQ223" s="761"/>
      <c r="BR223" s="761"/>
      <c r="BS223" s="761"/>
      <c r="BT223" s="761"/>
      <c r="BU223" s="761"/>
      <c r="BV223" s="761"/>
      <c r="BW223" s="761"/>
      <c r="BX223" s="761"/>
      <c r="BY223" s="761"/>
      <c r="BZ223" s="761"/>
      <c r="CA223" s="1216"/>
      <c r="CB223" s="747"/>
      <c r="CC223" s="1222">
        <f>$G223*H223*Variables!$B$53</f>
        <v>0</v>
      </c>
      <c r="CD223" s="1223">
        <f>$G223*I223*Variables!$B$53</f>
        <v>0</v>
      </c>
      <c r="CE223" s="1223">
        <f>$G223*J223*Variables!$B$53</f>
        <v>0</v>
      </c>
      <c r="CF223" s="1223">
        <f>$G223*K223*Variables!$B$53</f>
        <v>0</v>
      </c>
      <c r="CG223" s="1223">
        <f>$G223*L223*Variables!$B$53</f>
        <v>0</v>
      </c>
      <c r="CH223" s="1223">
        <f>$G223*M223*Variables!$B$53</f>
        <v>0</v>
      </c>
      <c r="CI223" s="1223">
        <f>$G223*N223*Variables!$B$53</f>
        <v>0</v>
      </c>
      <c r="CJ223" s="1223">
        <f>$G223*O223*Variables!$B$53</f>
        <v>0</v>
      </c>
      <c r="CK223" s="1223">
        <f>$G223*P223*Variables!$B$53</f>
        <v>0</v>
      </c>
      <c r="CL223" s="1223">
        <f>$G223*Q223*Variables!$B$53</f>
        <v>0</v>
      </c>
      <c r="CM223" s="1223">
        <f>$G223*R223*Variables!$B$53</f>
        <v>0</v>
      </c>
      <c r="CN223" s="1225">
        <f>$G223*S223*Variables!$B$53</f>
        <v>0</v>
      </c>
      <c r="CO223" s="1222">
        <f>$G223*T223*Variables!$B$53*HLOOKUP($CO$2,Variables!$B$60:$F$61,2,FALSE)</f>
        <v>0</v>
      </c>
      <c r="CP223" s="1223">
        <f>$G223*U223*Variables!$B$53*HLOOKUP($CO$2,Variables!$B$60:$F$61,2,FALSE)</f>
        <v>0</v>
      </c>
      <c r="CQ223" s="1223">
        <f>$G223*V223*Variables!$B$53*HLOOKUP($CO$2,Variables!$B$60:$F$61,2,FALSE)</f>
        <v>0</v>
      </c>
      <c r="CR223" s="1223">
        <f>$G223*W223*Variables!$B$53*HLOOKUP($CO$2,Variables!$B$60:$F$61,2,FALSE)</f>
        <v>0</v>
      </c>
      <c r="CS223" s="1223">
        <f>$G223*X223*Variables!$B$53*HLOOKUP($CO$2,Variables!$B$60:$F$61,2,FALSE)</f>
        <v>0</v>
      </c>
      <c r="CT223" s="1223">
        <f>$G223*Y223*Variables!$B$53*HLOOKUP($CO$2,Variables!$B$60:$F$61,2,FALSE)</f>
        <v>0</v>
      </c>
      <c r="CU223" s="1223">
        <f>$G223*Z223*Variables!$B$53*HLOOKUP($CO$2,Variables!$B$60:$F$61,2,FALSE)</f>
        <v>0</v>
      </c>
      <c r="CV223" s="1223">
        <f>$G223*AA223*Variables!$B$53*HLOOKUP($CO$2,Variables!$B$60:$F$61,2,FALSE)</f>
        <v>0</v>
      </c>
      <c r="CW223" s="1223">
        <f>$G223*AB223*Variables!$B$53*HLOOKUP($CO$2,Variables!$B$60:$F$61,2,FALSE)</f>
        <v>0</v>
      </c>
      <c r="CX223" s="1223">
        <f>$G223*AC223*Variables!$B$53*HLOOKUP($CO$2,Variables!$B$60:$F$61,2,FALSE)</f>
        <v>0</v>
      </c>
      <c r="CY223" s="1223">
        <f>$G223*AD223*Variables!$B$53*HLOOKUP($CO$2,Variables!$B$60:$F$61,2,FALSE)</f>
        <v>0</v>
      </c>
      <c r="CZ223" s="1225">
        <f>$G223*AE223*Variables!$B$53*HLOOKUP($CO$2,Variables!$B$60:$F$61,2,FALSE)</f>
        <v>0</v>
      </c>
      <c r="DA223" s="1222">
        <f>$G223*AF223*Variables!$B$53*HLOOKUP($DA$2,Variables!$B$60:$F$61,2,FALSE)</f>
        <v>0</v>
      </c>
      <c r="DB223" s="1223">
        <f>$G223*AG223*Variables!$B$53*HLOOKUP($DA$2,Variables!$B$60:$F$61,2,FALSE)</f>
        <v>0</v>
      </c>
      <c r="DC223" s="1223">
        <f>$G223*AH223*Variables!$B$53*HLOOKUP($DA$2,Variables!$B$60:$F$61,2,FALSE)</f>
        <v>0</v>
      </c>
      <c r="DD223" s="1223">
        <f>$G223*AI223*Variables!$B$53*HLOOKUP($DA$2,Variables!$B$60:$F$61,2,FALSE)</f>
        <v>0</v>
      </c>
      <c r="DE223" s="1223">
        <f>$G223*AJ223*Variables!$B$53*HLOOKUP($DA$2,Variables!$B$60:$F$61,2,FALSE)</f>
        <v>0</v>
      </c>
      <c r="DF223" s="1223">
        <f>$G223*AK223*Variables!$B$53*HLOOKUP($DA$2,Variables!$B$60:$F$61,2,FALSE)</f>
        <v>0</v>
      </c>
      <c r="DG223" s="1223">
        <f>$G223*AL223*Variables!$B$53*HLOOKUP($DA$2,Variables!$B$60:$F$61,2,FALSE)</f>
        <v>0</v>
      </c>
      <c r="DH223" s="1223">
        <f>$G223*AM223*Variables!$B$53*HLOOKUP($DA$2,Variables!$B$60:$F$61,2,FALSE)</f>
        <v>0</v>
      </c>
      <c r="DI223" s="1223">
        <f>$G223*AN223*Variables!$B$53*HLOOKUP($DA$2,Variables!$B$60:$F$61,2,FALSE)</f>
        <v>0</v>
      </c>
      <c r="DJ223" s="1223">
        <f>$G223*AO223*Variables!$B$53*HLOOKUP($DA$2,Variables!$B$60:$F$61,2,FALSE)</f>
        <v>0</v>
      </c>
      <c r="DK223" s="1223">
        <f>$G223*AP223*Variables!$B$53*HLOOKUP($DA$2,Variables!$B$60:$F$61,2,FALSE)</f>
        <v>0</v>
      </c>
      <c r="DL223" s="1225">
        <f>$G223*AQ223*Variables!$B$53*HLOOKUP($DA$2,Variables!$B$60:$F$61,2,FALSE)</f>
        <v>0</v>
      </c>
      <c r="DM223" s="1222">
        <f>$G223*AR223*Variables!$B$53*HLOOKUP($DM$2,Variables!$B$60:$F$61,2,FALSE)</f>
        <v>0</v>
      </c>
      <c r="DN223" s="1223">
        <f>$G223*AS223*Variables!$B$53*HLOOKUP($DM$2,Variables!$B$60:$F$61,2,FALSE)</f>
        <v>0</v>
      </c>
      <c r="DO223" s="1223">
        <f>$G223*AT223*Variables!$B$53*HLOOKUP($DM$2,Variables!$B$60:$F$61,2,FALSE)</f>
        <v>0</v>
      </c>
      <c r="DP223" s="1223">
        <f>$G223*AU223*Variables!$B$53*HLOOKUP($DM$2,Variables!$B$60:$F$61,2,FALSE)</f>
        <v>0</v>
      </c>
      <c r="DQ223" s="1223">
        <f>$G223*AV223*Variables!$B$53*HLOOKUP($DM$2,Variables!$B$60:$F$61,2,FALSE)</f>
        <v>0</v>
      </c>
      <c r="DR223" s="1223">
        <f>$G223*AW223*Variables!$B$53*HLOOKUP($DM$2,Variables!$B$60:$F$61,2,FALSE)</f>
        <v>0</v>
      </c>
      <c r="DS223" s="1223">
        <f>$G223*AX223*Variables!$B$53*HLOOKUP($DM$2,Variables!$B$60:$F$61,2,FALSE)</f>
        <v>0</v>
      </c>
      <c r="DT223" s="1223">
        <f>$G223*AY223*Variables!$B$53*HLOOKUP($DM$2,Variables!$B$60:$F$61,2,FALSE)</f>
        <v>0</v>
      </c>
      <c r="DU223" s="1223">
        <f>$G223*AZ223*Variables!$B$53*HLOOKUP($DM$2,Variables!$B$60:$F$61,2,FALSE)</f>
        <v>0</v>
      </c>
      <c r="DV223" s="1223">
        <f>$G223*BA223*Variables!$B$53*HLOOKUP($DM$2,Variables!$B$60:$F$61,2,FALSE)</f>
        <v>0</v>
      </c>
      <c r="DW223" s="1223">
        <f>$G223*BB223*Variables!$B$53*HLOOKUP($DM$2,Variables!$B$60:$F$61,2,FALSE)</f>
        <v>0</v>
      </c>
      <c r="DX223" s="1225">
        <f>$G223*BC223*Variables!$B$53*HLOOKUP($DM$2,Variables!$B$60:$F$61,2,FALSE)</f>
        <v>0</v>
      </c>
      <c r="DY223" s="1222">
        <f>$G223*BD223*Variables!$B$53*HLOOKUP($DY$2,Variables!$B$60:$F$61,2,FALSE)</f>
        <v>0</v>
      </c>
      <c r="DZ223" s="1223">
        <f>$G223*BE223*Variables!$B$53*HLOOKUP($DY$2,Variables!$B$60:$F$61,2,FALSE)</f>
        <v>0</v>
      </c>
      <c r="EA223" s="1223">
        <f>$G223*BF223*Variables!$B$53*HLOOKUP($DY$2,Variables!$B$60:$F$61,2,FALSE)</f>
        <v>0</v>
      </c>
      <c r="EB223" s="1223">
        <f>$G223*BG223*Variables!$B$53*HLOOKUP($DY$2,Variables!$B$60:$F$61,2,FALSE)</f>
        <v>0</v>
      </c>
      <c r="EC223" s="1223">
        <f>$G223*BH223*Variables!$B$53*HLOOKUP($DY$2,Variables!$B$60:$F$61,2,FALSE)</f>
        <v>0</v>
      </c>
      <c r="ED223" s="1223">
        <f>$G223*BI223*Variables!$B$53*HLOOKUP($DY$2,Variables!$B$60:$F$61,2,FALSE)</f>
        <v>0</v>
      </c>
      <c r="EE223" s="1223">
        <f>$G223*BJ223*Variables!$B$53*HLOOKUP($DY$2,Variables!$B$60:$F$61,2,FALSE)</f>
        <v>0</v>
      </c>
      <c r="EF223" s="1223">
        <f>$G223*BK223*Variables!$B$53*HLOOKUP($DY$2,Variables!$B$60:$F$61,2,FALSE)</f>
        <v>0</v>
      </c>
      <c r="EG223" s="1223">
        <f>$G223*BL223*Variables!$B$53*HLOOKUP($DY$2,Variables!$B$60:$F$61,2,FALSE)</f>
        <v>0</v>
      </c>
      <c r="EH223" s="1223">
        <f>$G223*BM223*Variables!$B$53*HLOOKUP($DY$2,Variables!$B$60:$F$61,2,FALSE)</f>
        <v>0</v>
      </c>
      <c r="EI223" s="1223">
        <f>$G223*BN223*Variables!$B$53*HLOOKUP($DY$2,Variables!$B$60:$F$61,2,FALSE)</f>
        <v>0</v>
      </c>
      <c r="EJ223" s="1225">
        <f>$G223*BO223*Variables!$B$53*HLOOKUP($DY$2,Variables!$B$60:$F$61,2,FALSE)</f>
        <v>0</v>
      </c>
      <c r="EK223" s="1222">
        <f>$G223*BP223*Variables!$B$53*HLOOKUP($EK$2,Variables!$B$60:$F$61,2,FALSE)</f>
        <v>0</v>
      </c>
      <c r="EL223" s="1223">
        <f>$G223*BQ223*Variables!$B$53*HLOOKUP($EK$2,Variables!$B$60:$F$61,2,FALSE)</f>
        <v>0</v>
      </c>
      <c r="EM223" s="1223">
        <f>$G223*BR223*Variables!$B$53*HLOOKUP($EK$2,Variables!$B$60:$F$61,2,FALSE)</f>
        <v>0</v>
      </c>
      <c r="EN223" s="1223">
        <f>$G223*BS223*Variables!$B$53*HLOOKUP($EK$2,Variables!$B$60:$F$61,2,FALSE)</f>
        <v>0</v>
      </c>
      <c r="EO223" s="1223">
        <f>$G223*BT223*Variables!$B$53*HLOOKUP($EK$2,Variables!$B$60:$F$61,2,FALSE)</f>
        <v>0</v>
      </c>
      <c r="EP223" s="1223">
        <f>$G223*BU223*Variables!$B$53*HLOOKUP($EK$2,Variables!$B$60:$F$61,2,FALSE)</f>
        <v>0</v>
      </c>
      <c r="EQ223" s="1223">
        <f>$G223*BV223*Variables!$B$53*HLOOKUP($EK$2,Variables!$B$60:$F$61,2,FALSE)</f>
        <v>0</v>
      </c>
      <c r="ER223" s="1223">
        <f>$G223*BW223*Variables!$B$53*HLOOKUP($EK$2,Variables!$B$60:$F$61,2,FALSE)</f>
        <v>0</v>
      </c>
      <c r="ES223" s="1223">
        <f>$G223*BX223*Variables!$B$53*HLOOKUP($EK$2,Variables!$B$60:$F$61,2,FALSE)</f>
        <v>0</v>
      </c>
      <c r="ET223" s="1223">
        <f>$G223*BY223*Variables!$B$53*HLOOKUP($EK$2,Variables!$B$60:$F$61,2,FALSE)</f>
        <v>0</v>
      </c>
      <c r="EU223" s="1223">
        <f>$G223*BZ223*Variables!$B$53*HLOOKUP($EK$2,Variables!$B$60:$F$61,2,FALSE)</f>
        <v>0</v>
      </c>
      <c r="EV223" s="1225">
        <f>$G223*CA223*Variables!$B$53*HLOOKUP($EK$2,Variables!$B$60:$F$61,2,FALSE)</f>
        <v>0</v>
      </c>
      <c r="EW223" s="872">
        <f t="shared" si="29"/>
        <v>0</v>
      </c>
      <c r="EX223" s="872"/>
      <c r="EY223" s="872"/>
      <c r="EZ223" s="872"/>
      <c r="FA223" s="1332"/>
      <c r="FC223" s="958" t="str">
        <f t="shared" si="30"/>
        <v/>
      </c>
      <c r="FD223" s="959" t="str">
        <f t="shared" si="31"/>
        <v/>
      </c>
      <c r="FE223" s="959" t="s">
        <v>8407</v>
      </c>
      <c r="FF223" s="959" t="str">
        <f>IF(ISNA(VLOOKUP(FC223,Miscellaneous!E:F,2,0)),"",VLOOKUP(FC223,Miscellaneous!E:F,2,0))</f>
        <v/>
      </c>
      <c r="FG223" s="959" t="str">
        <f t="shared" si="32"/>
        <v/>
      </c>
      <c r="FH223" s="996">
        <f>IF($FG223="Opex",SUMIF('Monthly Summary'!$C$75:$N$75,"",CC223:CN223),SUMIF('Monthly Summary'!$C$74:$N$74,"",CC223:CN223))</f>
        <v>0</v>
      </c>
      <c r="FI223" s="996">
        <f>IF($FG223="Opex",SUMIF('Monthly Summary'!$O$75:$Z$75,"",CO223:CZ223),SUMIF('Monthly Summary'!$O$74:$Z$74,"",CO223:CZ223))</f>
        <v>0</v>
      </c>
      <c r="FJ223" s="996">
        <f>IF($FG223="Opex",SUMIF('Monthly Summary'!$AA$75:$AL$75,"",DA223:DL223),SUMIF('Monthly Summary'!$AA$74:$AL$74,"",DA223:DL223))</f>
        <v>0</v>
      </c>
      <c r="FK223" s="996">
        <f>IF($FG223="Opex",SUMIF('Monthly Summary'!$AM$75:$AX$75,"",DM223:DX223),SUMIF('Monthly Summary'!$AM$74:$AX$74,"",DM223:DX223))</f>
        <v>0</v>
      </c>
      <c r="FL223" s="996">
        <f>IF($FG223="Opex",SUMIF('Monthly Summary'!$AY$75:$BJ$75,"",DY223:EJ223),SUMIF('Monthly Summary'!$AY$74:$BJ$74,"",DY223:EJ223))</f>
        <v>0</v>
      </c>
      <c r="FM223" s="997">
        <f>IF($FG223="Opex",SUMIF('Monthly Summary'!$BK$75:$BV$75,"",EK223:EV223),SUMIF('Monthly Summary'!$BK$74:$BV$74,"",EK223:EV223))</f>
        <v>0</v>
      </c>
      <c r="FN223" s="997">
        <f t="shared" si="33"/>
        <v>0</v>
      </c>
    </row>
    <row r="224" spans="3:170">
      <c r="C224" s="757"/>
      <c r="D224" s="757"/>
      <c r="E224" s="758"/>
      <c r="F224" s="758"/>
      <c r="G224" s="758"/>
      <c r="H224" s="1215"/>
      <c r="I224" s="761"/>
      <c r="J224" s="761"/>
      <c r="K224" s="761"/>
      <c r="L224" s="761"/>
      <c r="M224" s="761"/>
      <c r="N224" s="761"/>
      <c r="O224" s="761"/>
      <c r="P224" s="761"/>
      <c r="Q224" s="761"/>
      <c r="R224" s="761"/>
      <c r="S224" s="1216"/>
      <c r="T224" s="1215"/>
      <c r="U224" s="761"/>
      <c r="V224" s="761"/>
      <c r="W224" s="761"/>
      <c r="X224" s="761"/>
      <c r="Y224" s="761"/>
      <c r="Z224" s="761"/>
      <c r="AA224" s="761"/>
      <c r="AB224" s="761"/>
      <c r="AC224" s="761"/>
      <c r="AD224" s="761"/>
      <c r="AE224" s="1216"/>
      <c r="AF224" s="1215"/>
      <c r="AG224" s="761"/>
      <c r="AH224" s="761"/>
      <c r="AI224" s="761"/>
      <c r="AJ224" s="761"/>
      <c r="AK224" s="761"/>
      <c r="AL224" s="761"/>
      <c r="AM224" s="761"/>
      <c r="AN224" s="761"/>
      <c r="AO224" s="761"/>
      <c r="AP224" s="761"/>
      <c r="AQ224" s="1216"/>
      <c r="AR224" s="1215"/>
      <c r="AS224" s="761"/>
      <c r="AT224" s="761"/>
      <c r="AU224" s="761"/>
      <c r="AV224" s="761"/>
      <c r="AW224" s="761"/>
      <c r="AX224" s="761"/>
      <c r="AY224" s="761"/>
      <c r="AZ224" s="761"/>
      <c r="BA224" s="761"/>
      <c r="BB224" s="761"/>
      <c r="BC224" s="1216"/>
      <c r="BD224" s="1215"/>
      <c r="BE224" s="761"/>
      <c r="BF224" s="761"/>
      <c r="BG224" s="761"/>
      <c r="BH224" s="761"/>
      <c r="BI224" s="761"/>
      <c r="BJ224" s="761"/>
      <c r="BK224" s="761"/>
      <c r="BL224" s="761"/>
      <c r="BM224" s="761"/>
      <c r="BN224" s="761"/>
      <c r="BO224" s="1216"/>
      <c r="BP224" s="1215"/>
      <c r="BQ224" s="761"/>
      <c r="BR224" s="761"/>
      <c r="BS224" s="761"/>
      <c r="BT224" s="761"/>
      <c r="BU224" s="761"/>
      <c r="BV224" s="761"/>
      <c r="BW224" s="761"/>
      <c r="BX224" s="761"/>
      <c r="BY224" s="761"/>
      <c r="BZ224" s="761"/>
      <c r="CA224" s="1216"/>
      <c r="CB224" s="747"/>
      <c r="CC224" s="1222">
        <f>$G224*H224*Variables!$B$53</f>
        <v>0</v>
      </c>
      <c r="CD224" s="1223">
        <f>$G224*I224*Variables!$B$53</f>
        <v>0</v>
      </c>
      <c r="CE224" s="1223">
        <f>$G224*J224*Variables!$B$53</f>
        <v>0</v>
      </c>
      <c r="CF224" s="1223">
        <f>$G224*K224*Variables!$B$53</f>
        <v>0</v>
      </c>
      <c r="CG224" s="1223">
        <f>$G224*L224*Variables!$B$53</f>
        <v>0</v>
      </c>
      <c r="CH224" s="1223">
        <f>$G224*M224*Variables!$B$53</f>
        <v>0</v>
      </c>
      <c r="CI224" s="1223">
        <f>$G224*N224*Variables!$B$53</f>
        <v>0</v>
      </c>
      <c r="CJ224" s="1223">
        <f>$G224*O224*Variables!$B$53</f>
        <v>0</v>
      </c>
      <c r="CK224" s="1223">
        <f>$G224*P224*Variables!$B$53</f>
        <v>0</v>
      </c>
      <c r="CL224" s="1223">
        <f>$G224*Q224*Variables!$B$53</f>
        <v>0</v>
      </c>
      <c r="CM224" s="1223">
        <f>$G224*R224*Variables!$B$53</f>
        <v>0</v>
      </c>
      <c r="CN224" s="1225">
        <f>$G224*S224*Variables!$B$53</f>
        <v>0</v>
      </c>
      <c r="CO224" s="1222">
        <f>$G224*T224*Variables!$B$53*HLOOKUP($CO$2,Variables!$B$60:$F$61,2,FALSE)</f>
        <v>0</v>
      </c>
      <c r="CP224" s="1223">
        <f>$G224*U224*Variables!$B$53*HLOOKUP($CO$2,Variables!$B$60:$F$61,2,FALSE)</f>
        <v>0</v>
      </c>
      <c r="CQ224" s="1223">
        <f>$G224*V224*Variables!$B$53*HLOOKUP($CO$2,Variables!$B$60:$F$61,2,FALSE)</f>
        <v>0</v>
      </c>
      <c r="CR224" s="1223">
        <f>$G224*W224*Variables!$B$53*HLOOKUP($CO$2,Variables!$B$60:$F$61,2,FALSE)</f>
        <v>0</v>
      </c>
      <c r="CS224" s="1223">
        <f>$G224*X224*Variables!$B$53*HLOOKUP($CO$2,Variables!$B$60:$F$61,2,FALSE)</f>
        <v>0</v>
      </c>
      <c r="CT224" s="1223">
        <f>$G224*Y224*Variables!$B$53*HLOOKUP($CO$2,Variables!$B$60:$F$61,2,FALSE)</f>
        <v>0</v>
      </c>
      <c r="CU224" s="1223">
        <f>$G224*Z224*Variables!$B$53*HLOOKUP($CO$2,Variables!$B$60:$F$61,2,FALSE)</f>
        <v>0</v>
      </c>
      <c r="CV224" s="1223">
        <f>$G224*AA224*Variables!$B$53*HLOOKUP($CO$2,Variables!$B$60:$F$61,2,FALSE)</f>
        <v>0</v>
      </c>
      <c r="CW224" s="1223">
        <f>$G224*AB224*Variables!$B$53*HLOOKUP($CO$2,Variables!$B$60:$F$61,2,FALSE)</f>
        <v>0</v>
      </c>
      <c r="CX224" s="1223">
        <f>$G224*AC224*Variables!$B$53*HLOOKUP($CO$2,Variables!$B$60:$F$61,2,FALSE)</f>
        <v>0</v>
      </c>
      <c r="CY224" s="1223">
        <f>$G224*AD224*Variables!$B$53*HLOOKUP($CO$2,Variables!$B$60:$F$61,2,FALSE)</f>
        <v>0</v>
      </c>
      <c r="CZ224" s="1225">
        <f>$G224*AE224*Variables!$B$53*HLOOKUP($CO$2,Variables!$B$60:$F$61,2,FALSE)</f>
        <v>0</v>
      </c>
      <c r="DA224" s="1222">
        <f>$G224*AF224*Variables!$B$53*HLOOKUP($DA$2,Variables!$B$60:$F$61,2,FALSE)</f>
        <v>0</v>
      </c>
      <c r="DB224" s="1223">
        <f>$G224*AG224*Variables!$B$53*HLOOKUP($DA$2,Variables!$B$60:$F$61,2,FALSE)</f>
        <v>0</v>
      </c>
      <c r="DC224" s="1223">
        <f>$G224*AH224*Variables!$B$53*HLOOKUP($DA$2,Variables!$B$60:$F$61,2,FALSE)</f>
        <v>0</v>
      </c>
      <c r="DD224" s="1223">
        <f>$G224*AI224*Variables!$B$53*HLOOKUP($DA$2,Variables!$B$60:$F$61,2,FALSE)</f>
        <v>0</v>
      </c>
      <c r="DE224" s="1223">
        <f>$G224*AJ224*Variables!$B$53*HLOOKUP($DA$2,Variables!$B$60:$F$61,2,FALSE)</f>
        <v>0</v>
      </c>
      <c r="DF224" s="1223">
        <f>$G224*AK224*Variables!$B$53*HLOOKUP($DA$2,Variables!$B$60:$F$61,2,FALSE)</f>
        <v>0</v>
      </c>
      <c r="DG224" s="1223">
        <f>$G224*AL224*Variables!$B$53*HLOOKUP($DA$2,Variables!$B$60:$F$61,2,FALSE)</f>
        <v>0</v>
      </c>
      <c r="DH224" s="1223">
        <f>$G224*AM224*Variables!$B$53*HLOOKUP($DA$2,Variables!$B$60:$F$61,2,FALSE)</f>
        <v>0</v>
      </c>
      <c r="DI224" s="1223">
        <f>$G224*AN224*Variables!$B$53*HLOOKUP($DA$2,Variables!$B$60:$F$61,2,FALSE)</f>
        <v>0</v>
      </c>
      <c r="DJ224" s="1223">
        <f>$G224*AO224*Variables!$B$53*HLOOKUP($DA$2,Variables!$B$60:$F$61,2,FALSE)</f>
        <v>0</v>
      </c>
      <c r="DK224" s="1223">
        <f>$G224*AP224*Variables!$B$53*HLOOKUP($DA$2,Variables!$B$60:$F$61,2,FALSE)</f>
        <v>0</v>
      </c>
      <c r="DL224" s="1225">
        <f>$G224*AQ224*Variables!$B$53*HLOOKUP($DA$2,Variables!$B$60:$F$61,2,FALSE)</f>
        <v>0</v>
      </c>
      <c r="DM224" s="1222">
        <f>$G224*AR224*Variables!$B$53*HLOOKUP($DM$2,Variables!$B$60:$F$61,2,FALSE)</f>
        <v>0</v>
      </c>
      <c r="DN224" s="1223">
        <f>$G224*AS224*Variables!$B$53*HLOOKUP($DM$2,Variables!$B$60:$F$61,2,FALSE)</f>
        <v>0</v>
      </c>
      <c r="DO224" s="1223">
        <f>$G224*AT224*Variables!$B$53*HLOOKUP($DM$2,Variables!$B$60:$F$61,2,FALSE)</f>
        <v>0</v>
      </c>
      <c r="DP224" s="1223">
        <f>$G224*AU224*Variables!$B$53*HLOOKUP($DM$2,Variables!$B$60:$F$61,2,FALSE)</f>
        <v>0</v>
      </c>
      <c r="DQ224" s="1223">
        <f>$G224*AV224*Variables!$B$53*HLOOKUP($DM$2,Variables!$B$60:$F$61,2,FALSE)</f>
        <v>0</v>
      </c>
      <c r="DR224" s="1223">
        <f>$G224*AW224*Variables!$B$53*HLOOKUP($DM$2,Variables!$B$60:$F$61,2,FALSE)</f>
        <v>0</v>
      </c>
      <c r="DS224" s="1223">
        <f>$G224*AX224*Variables!$B$53*HLOOKUP($DM$2,Variables!$B$60:$F$61,2,FALSE)</f>
        <v>0</v>
      </c>
      <c r="DT224" s="1223">
        <f>$G224*AY224*Variables!$B$53*HLOOKUP($DM$2,Variables!$B$60:$F$61,2,FALSE)</f>
        <v>0</v>
      </c>
      <c r="DU224" s="1223">
        <f>$G224*AZ224*Variables!$B$53*HLOOKUP($DM$2,Variables!$B$60:$F$61,2,FALSE)</f>
        <v>0</v>
      </c>
      <c r="DV224" s="1223">
        <f>$G224*BA224*Variables!$B$53*HLOOKUP($DM$2,Variables!$B$60:$F$61,2,FALSE)</f>
        <v>0</v>
      </c>
      <c r="DW224" s="1223">
        <f>$G224*BB224*Variables!$B$53*HLOOKUP($DM$2,Variables!$B$60:$F$61,2,FALSE)</f>
        <v>0</v>
      </c>
      <c r="DX224" s="1225">
        <f>$G224*BC224*Variables!$B$53*HLOOKUP($DM$2,Variables!$B$60:$F$61,2,FALSE)</f>
        <v>0</v>
      </c>
      <c r="DY224" s="1222">
        <f>$G224*BD224*Variables!$B$53*HLOOKUP($DY$2,Variables!$B$60:$F$61,2,FALSE)</f>
        <v>0</v>
      </c>
      <c r="DZ224" s="1223">
        <f>$G224*BE224*Variables!$B$53*HLOOKUP($DY$2,Variables!$B$60:$F$61,2,FALSE)</f>
        <v>0</v>
      </c>
      <c r="EA224" s="1223">
        <f>$G224*BF224*Variables!$B$53*HLOOKUP($DY$2,Variables!$B$60:$F$61,2,FALSE)</f>
        <v>0</v>
      </c>
      <c r="EB224" s="1223">
        <f>$G224*BG224*Variables!$B$53*HLOOKUP($DY$2,Variables!$B$60:$F$61,2,FALSE)</f>
        <v>0</v>
      </c>
      <c r="EC224" s="1223">
        <f>$G224*BH224*Variables!$B$53*HLOOKUP($DY$2,Variables!$B$60:$F$61,2,FALSE)</f>
        <v>0</v>
      </c>
      <c r="ED224" s="1223">
        <f>$G224*BI224*Variables!$B$53*HLOOKUP($DY$2,Variables!$B$60:$F$61,2,FALSE)</f>
        <v>0</v>
      </c>
      <c r="EE224" s="1223">
        <f>$G224*BJ224*Variables!$B$53*HLOOKUP($DY$2,Variables!$B$60:$F$61,2,FALSE)</f>
        <v>0</v>
      </c>
      <c r="EF224" s="1223">
        <f>$G224*BK224*Variables!$B$53*HLOOKUP($DY$2,Variables!$B$60:$F$61,2,FALSE)</f>
        <v>0</v>
      </c>
      <c r="EG224" s="1223">
        <f>$G224*BL224*Variables!$B$53*HLOOKUP($DY$2,Variables!$B$60:$F$61,2,FALSE)</f>
        <v>0</v>
      </c>
      <c r="EH224" s="1223">
        <f>$G224*BM224*Variables!$B$53*HLOOKUP($DY$2,Variables!$B$60:$F$61,2,FALSE)</f>
        <v>0</v>
      </c>
      <c r="EI224" s="1223">
        <f>$G224*BN224*Variables!$B$53*HLOOKUP($DY$2,Variables!$B$60:$F$61,2,FALSE)</f>
        <v>0</v>
      </c>
      <c r="EJ224" s="1225">
        <f>$G224*BO224*Variables!$B$53*HLOOKUP($DY$2,Variables!$B$60:$F$61,2,FALSE)</f>
        <v>0</v>
      </c>
      <c r="EK224" s="1222">
        <f>$G224*BP224*Variables!$B$53*HLOOKUP($EK$2,Variables!$B$60:$F$61,2,FALSE)</f>
        <v>0</v>
      </c>
      <c r="EL224" s="1223">
        <f>$G224*BQ224*Variables!$B$53*HLOOKUP($EK$2,Variables!$B$60:$F$61,2,FALSE)</f>
        <v>0</v>
      </c>
      <c r="EM224" s="1223">
        <f>$G224*BR224*Variables!$B$53*HLOOKUP($EK$2,Variables!$B$60:$F$61,2,FALSE)</f>
        <v>0</v>
      </c>
      <c r="EN224" s="1223">
        <f>$G224*BS224*Variables!$B$53*HLOOKUP($EK$2,Variables!$B$60:$F$61,2,FALSE)</f>
        <v>0</v>
      </c>
      <c r="EO224" s="1223">
        <f>$G224*BT224*Variables!$B$53*HLOOKUP($EK$2,Variables!$B$60:$F$61,2,FALSE)</f>
        <v>0</v>
      </c>
      <c r="EP224" s="1223">
        <f>$G224*BU224*Variables!$B$53*HLOOKUP($EK$2,Variables!$B$60:$F$61,2,FALSE)</f>
        <v>0</v>
      </c>
      <c r="EQ224" s="1223">
        <f>$G224*BV224*Variables!$B$53*HLOOKUP($EK$2,Variables!$B$60:$F$61,2,FALSE)</f>
        <v>0</v>
      </c>
      <c r="ER224" s="1223">
        <f>$G224*BW224*Variables!$B$53*HLOOKUP($EK$2,Variables!$B$60:$F$61,2,FALSE)</f>
        <v>0</v>
      </c>
      <c r="ES224" s="1223">
        <f>$G224*BX224*Variables!$B$53*HLOOKUP($EK$2,Variables!$B$60:$F$61,2,FALSE)</f>
        <v>0</v>
      </c>
      <c r="ET224" s="1223">
        <f>$G224*BY224*Variables!$B$53*HLOOKUP($EK$2,Variables!$B$60:$F$61,2,FALSE)</f>
        <v>0</v>
      </c>
      <c r="EU224" s="1223">
        <f>$G224*BZ224*Variables!$B$53*HLOOKUP($EK$2,Variables!$B$60:$F$61,2,FALSE)</f>
        <v>0</v>
      </c>
      <c r="EV224" s="1225">
        <f>$G224*CA224*Variables!$B$53*HLOOKUP($EK$2,Variables!$B$60:$F$61,2,FALSE)</f>
        <v>0</v>
      </c>
      <c r="EW224" s="872">
        <f t="shared" si="29"/>
        <v>0</v>
      </c>
      <c r="EX224" s="872"/>
      <c r="EY224" s="872"/>
      <c r="EZ224" s="872"/>
      <c r="FA224" s="1332"/>
      <c r="FC224" s="958" t="str">
        <f t="shared" si="30"/>
        <v/>
      </c>
      <c r="FD224" s="959" t="str">
        <f t="shared" si="31"/>
        <v/>
      </c>
      <c r="FE224" s="959" t="s">
        <v>8407</v>
      </c>
      <c r="FF224" s="959" t="str">
        <f>IF(ISNA(VLOOKUP(FC224,Miscellaneous!E:F,2,0)),"",VLOOKUP(FC224,Miscellaneous!E:F,2,0))</f>
        <v/>
      </c>
      <c r="FG224" s="959" t="str">
        <f t="shared" si="32"/>
        <v/>
      </c>
      <c r="FH224" s="996">
        <f>IF($FG224="Opex",SUMIF('Monthly Summary'!$C$75:$N$75,"",CC224:CN224),SUMIF('Monthly Summary'!$C$74:$N$74,"",CC224:CN224))</f>
        <v>0</v>
      </c>
      <c r="FI224" s="996">
        <f>IF($FG224="Opex",SUMIF('Monthly Summary'!$O$75:$Z$75,"",CO224:CZ224),SUMIF('Monthly Summary'!$O$74:$Z$74,"",CO224:CZ224))</f>
        <v>0</v>
      </c>
      <c r="FJ224" s="996">
        <f>IF($FG224="Opex",SUMIF('Monthly Summary'!$AA$75:$AL$75,"",DA224:DL224),SUMIF('Monthly Summary'!$AA$74:$AL$74,"",DA224:DL224))</f>
        <v>0</v>
      </c>
      <c r="FK224" s="996">
        <f>IF($FG224="Opex",SUMIF('Monthly Summary'!$AM$75:$AX$75,"",DM224:DX224),SUMIF('Monthly Summary'!$AM$74:$AX$74,"",DM224:DX224))</f>
        <v>0</v>
      </c>
      <c r="FL224" s="996">
        <f>IF($FG224="Opex",SUMIF('Monthly Summary'!$AY$75:$BJ$75,"",DY224:EJ224),SUMIF('Monthly Summary'!$AY$74:$BJ$74,"",DY224:EJ224))</f>
        <v>0</v>
      </c>
      <c r="FM224" s="997">
        <f>IF($FG224="Opex",SUMIF('Monthly Summary'!$BK$75:$BV$75,"",EK224:EV224),SUMIF('Monthly Summary'!$BK$74:$BV$74,"",EK224:EV224))</f>
        <v>0</v>
      </c>
      <c r="FN224" s="997">
        <f t="shared" si="33"/>
        <v>0</v>
      </c>
    </row>
    <row r="225" spans="3:170">
      <c r="C225" s="757"/>
      <c r="D225" s="757"/>
      <c r="E225" s="758"/>
      <c r="F225" s="758"/>
      <c r="G225" s="758"/>
      <c r="H225" s="1215"/>
      <c r="I225" s="761"/>
      <c r="J225" s="761"/>
      <c r="K225" s="761"/>
      <c r="L225" s="761"/>
      <c r="M225" s="761"/>
      <c r="N225" s="761"/>
      <c r="O225" s="761"/>
      <c r="P225" s="761"/>
      <c r="Q225" s="761"/>
      <c r="R225" s="761"/>
      <c r="S225" s="1216"/>
      <c r="T225" s="1215"/>
      <c r="U225" s="761"/>
      <c r="V225" s="761"/>
      <c r="W225" s="761"/>
      <c r="X225" s="761"/>
      <c r="Y225" s="761"/>
      <c r="Z225" s="761"/>
      <c r="AA225" s="761"/>
      <c r="AB225" s="761"/>
      <c r="AC225" s="761"/>
      <c r="AD225" s="761"/>
      <c r="AE225" s="1216"/>
      <c r="AF225" s="1215"/>
      <c r="AG225" s="761"/>
      <c r="AH225" s="761"/>
      <c r="AI225" s="761"/>
      <c r="AJ225" s="761"/>
      <c r="AK225" s="761"/>
      <c r="AL225" s="761"/>
      <c r="AM225" s="761"/>
      <c r="AN225" s="761"/>
      <c r="AO225" s="761"/>
      <c r="AP225" s="761"/>
      <c r="AQ225" s="1216"/>
      <c r="AR225" s="1215"/>
      <c r="AS225" s="761"/>
      <c r="AT225" s="761"/>
      <c r="AU225" s="761"/>
      <c r="AV225" s="761"/>
      <c r="AW225" s="761"/>
      <c r="AX225" s="761"/>
      <c r="AY225" s="761"/>
      <c r="AZ225" s="761"/>
      <c r="BA225" s="761"/>
      <c r="BB225" s="761"/>
      <c r="BC225" s="1216"/>
      <c r="BD225" s="1215"/>
      <c r="BE225" s="761"/>
      <c r="BF225" s="761"/>
      <c r="BG225" s="761"/>
      <c r="BH225" s="761"/>
      <c r="BI225" s="761"/>
      <c r="BJ225" s="761"/>
      <c r="BK225" s="761"/>
      <c r="BL225" s="761"/>
      <c r="BM225" s="761"/>
      <c r="BN225" s="761"/>
      <c r="BO225" s="1216"/>
      <c r="BP225" s="1215"/>
      <c r="BQ225" s="761"/>
      <c r="BR225" s="761"/>
      <c r="BS225" s="761"/>
      <c r="BT225" s="761"/>
      <c r="BU225" s="761"/>
      <c r="BV225" s="761"/>
      <c r="BW225" s="761"/>
      <c r="BX225" s="761"/>
      <c r="BY225" s="761"/>
      <c r="BZ225" s="761"/>
      <c r="CA225" s="1216"/>
      <c r="CB225" s="747"/>
      <c r="CC225" s="1222">
        <f>$G225*H225*Variables!$B$53</f>
        <v>0</v>
      </c>
      <c r="CD225" s="1223">
        <f>$G225*I225*Variables!$B$53</f>
        <v>0</v>
      </c>
      <c r="CE225" s="1223">
        <f>$G225*J225*Variables!$B$53</f>
        <v>0</v>
      </c>
      <c r="CF225" s="1223">
        <f>$G225*K225*Variables!$B$53</f>
        <v>0</v>
      </c>
      <c r="CG225" s="1223">
        <f>$G225*L225*Variables!$B$53</f>
        <v>0</v>
      </c>
      <c r="CH225" s="1223">
        <f>$G225*M225*Variables!$B$53</f>
        <v>0</v>
      </c>
      <c r="CI225" s="1223">
        <f>$G225*N225*Variables!$B$53</f>
        <v>0</v>
      </c>
      <c r="CJ225" s="1223">
        <f>$G225*O225*Variables!$B$53</f>
        <v>0</v>
      </c>
      <c r="CK225" s="1223">
        <f>$G225*P225*Variables!$B$53</f>
        <v>0</v>
      </c>
      <c r="CL225" s="1223">
        <f>$G225*Q225*Variables!$B$53</f>
        <v>0</v>
      </c>
      <c r="CM225" s="1223">
        <f>$G225*R225*Variables!$B$53</f>
        <v>0</v>
      </c>
      <c r="CN225" s="1225">
        <f>$G225*S225*Variables!$B$53</f>
        <v>0</v>
      </c>
      <c r="CO225" s="1222">
        <f>$G225*T225*Variables!$B$53*HLOOKUP($CO$2,Variables!$B$60:$F$61,2,FALSE)</f>
        <v>0</v>
      </c>
      <c r="CP225" s="1223">
        <f>$G225*U225*Variables!$B$53*HLOOKUP($CO$2,Variables!$B$60:$F$61,2,FALSE)</f>
        <v>0</v>
      </c>
      <c r="CQ225" s="1223">
        <f>$G225*V225*Variables!$B$53*HLOOKUP($CO$2,Variables!$B$60:$F$61,2,FALSE)</f>
        <v>0</v>
      </c>
      <c r="CR225" s="1223">
        <f>$G225*W225*Variables!$B$53*HLOOKUP($CO$2,Variables!$B$60:$F$61,2,FALSE)</f>
        <v>0</v>
      </c>
      <c r="CS225" s="1223">
        <f>$G225*X225*Variables!$B$53*HLOOKUP($CO$2,Variables!$B$60:$F$61,2,FALSE)</f>
        <v>0</v>
      </c>
      <c r="CT225" s="1223">
        <f>$G225*Y225*Variables!$B$53*HLOOKUP($CO$2,Variables!$B$60:$F$61,2,FALSE)</f>
        <v>0</v>
      </c>
      <c r="CU225" s="1223">
        <f>$G225*Z225*Variables!$B$53*HLOOKUP($CO$2,Variables!$B$60:$F$61,2,FALSE)</f>
        <v>0</v>
      </c>
      <c r="CV225" s="1223">
        <f>$G225*AA225*Variables!$B$53*HLOOKUP($CO$2,Variables!$B$60:$F$61,2,FALSE)</f>
        <v>0</v>
      </c>
      <c r="CW225" s="1223">
        <f>$G225*AB225*Variables!$B$53*HLOOKUP($CO$2,Variables!$B$60:$F$61,2,FALSE)</f>
        <v>0</v>
      </c>
      <c r="CX225" s="1223">
        <f>$G225*AC225*Variables!$B$53*HLOOKUP($CO$2,Variables!$B$60:$F$61,2,FALSE)</f>
        <v>0</v>
      </c>
      <c r="CY225" s="1223">
        <f>$G225*AD225*Variables!$B$53*HLOOKUP($CO$2,Variables!$B$60:$F$61,2,FALSE)</f>
        <v>0</v>
      </c>
      <c r="CZ225" s="1225">
        <f>$G225*AE225*Variables!$B$53*HLOOKUP($CO$2,Variables!$B$60:$F$61,2,FALSE)</f>
        <v>0</v>
      </c>
      <c r="DA225" s="1222">
        <f>$G225*AF225*Variables!$B$53*HLOOKUP($DA$2,Variables!$B$60:$F$61,2,FALSE)</f>
        <v>0</v>
      </c>
      <c r="DB225" s="1223">
        <f>$G225*AG225*Variables!$B$53*HLOOKUP($DA$2,Variables!$B$60:$F$61,2,FALSE)</f>
        <v>0</v>
      </c>
      <c r="DC225" s="1223">
        <f>$G225*AH225*Variables!$B$53*HLOOKUP($DA$2,Variables!$B$60:$F$61,2,FALSE)</f>
        <v>0</v>
      </c>
      <c r="DD225" s="1223">
        <f>$G225*AI225*Variables!$B$53*HLOOKUP($DA$2,Variables!$B$60:$F$61,2,FALSE)</f>
        <v>0</v>
      </c>
      <c r="DE225" s="1223">
        <f>$G225*AJ225*Variables!$B$53*HLOOKUP($DA$2,Variables!$B$60:$F$61,2,FALSE)</f>
        <v>0</v>
      </c>
      <c r="DF225" s="1223">
        <f>$G225*AK225*Variables!$B$53*HLOOKUP($DA$2,Variables!$B$60:$F$61,2,FALSE)</f>
        <v>0</v>
      </c>
      <c r="DG225" s="1223">
        <f>$G225*AL225*Variables!$B$53*HLOOKUP($DA$2,Variables!$B$60:$F$61,2,FALSE)</f>
        <v>0</v>
      </c>
      <c r="DH225" s="1223">
        <f>$G225*AM225*Variables!$B$53*HLOOKUP($DA$2,Variables!$B$60:$F$61,2,FALSE)</f>
        <v>0</v>
      </c>
      <c r="DI225" s="1223">
        <f>$G225*AN225*Variables!$B$53*HLOOKUP($DA$2,Variables!$B$60:$F$61,2,FALSE)</f>
        <v>0</v>
      </c>
      <c r="DJ225" s="1223">
        <f>$G225*AO225*Variables!$B$53*HLOOKUP($DA$2,Variables!$B$60:$F$61,2,FALSE)</f>
        <v>0</v>
      </c>
      <c r="DK225" s="1223">
        <f>$G225*AP225*Variables!$B$53*HLOOKUP($DA$2,Variables!$B$60:$F$61,2,FALSE)</f>
        <v>0</v>
      </c>
      <c r="DL225" s="1225">
        <f>$G225*AQ225*Variables!$B$53*HLOOKUP($DA$2,Variables!$B$60:$F$61,2,FALSE)</f>
        <v>0</v>
      </c>
      <c r="DM225" s="1222">
        <f>$G225*AR225*Variables!$B$53*HLOOKUP($DM$2,Variables!$B$60:$F$61,2,FALSE)</f>
        <v>0</v>
      </c>
      <c r="DN225" s="1223">
        <f>$G225*AS225*Variables!$B$53*HLOOKUP($DM$2,Variables!$B$60:$F$61,2,FALSE)</f>
        <v>0</v>
      </c>
      <c r="DO225" s="1223">
        <f>$G225*AT225*Variables!$B$53*HLOOKUP($DM$2,Variables!$B$60:$F$61,2,FALSE)</f>
        <v>0</v>
      </c>
      <c r="DP225" s="1223">
        <f>$G225*AU225*Variables!$B$53*HLOOKUP($DM$2,Variables!$B$60:$F$61,2,FALSE)</f>
        <v>0</v>
      </c>
      <c r="DQ225" s="1223">
        <f>$G225*AV225*Variables!$B$53*HLOOKUP($DM$2,Variables!$B$60:$F$61,2,FALSE)</f>
        <v>0</v>
      </c>
      <c r="DR225" s="1223">
        <f>$G225*AW225*Variables!$B$53*HLOOKUP($DM$2,Variables!$B$60:$F$61,2,FALSE)</f>
        <v>0</v>
      </c>
      <c r="DS225" s="1223">
        <f>$G225*AX225*Variables!$B$53*HLOOKUP($DM$2,Variables!$B$60:$F$61,2,FALSE)</f>
        <v>0</v>
      </c>
      <c r="DT225" s="1223">
        <f>$G225*AY225*Variables!$B$53*HLOOKUP($DM$2,Variables!$B$60:$F$61,2,FALSE)</f>
        <v>0</v>
      </c>
      <c r="DU225" s="1223">
        <f>$G225*AZ225*Variables!$B$53*HLOOKUP($DM$2,Variables!$B$60:$F$61,2,FALSE)</f>
        <v>0</v>
      </c>
      <c r="DV225" s="1223">
        <f>$G225*BA225*Variables!$B$53*HLOOKUP($DM$2,Variables!$B$60:$F$61,2,FALSE)</f>
        <v>0</v>
      </c>
      <c r="DW225" s="1223">
        <f>$G225*BB225*Variables!$B$53*HLOOKUP($DM$2,Variables!$B$60:$F$61,2,FALSE)</f>
        <v>0</v>
      </c>
      <c r="DX225" s="1225">
        <f>$G225*BC225*Variables!$B$53*HLOOKUP($DM$2,Variables!$B$60:$F$61,2,FALSE)</f>
        <v>0</v>
      </c>
      <c r="DY225" s="1222">
        <f>$G225*BD225*Variables!$B$53*HLOOKUP($DY$2,Variables!$B$60:$F$61,2,FALSE)</f>
        <v>0</v>
      </c>
      <c r="DZ225" s="1223">
        <f>$G225*BE225*Variables!$B$53*HLOOKUP($DY$2,Variables!$B$60:$F$61,2,FALSE)</f>
        <v>0</v>
      </c>
      <c r="EA225" s="1223">
        <f>$G225*BF225*Variables!$B$53*HLOOKUP($DY$2,Variables!$B$60:$F$61,2,FALSE)</f>
        <v>0</v>
      </c>
      <c r="EB225" s="1223">
        <f>$G225*BG225*Variables!$B$53*HLOOKUP($DY$2,Variables!$B$60:$F$61,2,FALSE)</f>
        <v>0</v>
      </c>
      <c r="EC225" s="1223">
        <f>$G225*BH225*Variables!$B$53*HLOOKUP($DY$2,Variables!$B$60:$F$61,2,FALSE)</f>
        <v>0</v>
      </c>
      <c r="ED225" s="1223">
        <f>$G225*BI225*Variables!$B$53*HLOOKUP($DY$2,Variables!$B$60:$F$61,2,FALSE)</f>
        <v>0</v>
      </c>
      <c r="EE225" s="1223">
        <f>$G225*BJ225*Variables!$B$53*HLOOKUP($DY$2,Variables!$B$60:$F$61,2,FALSE)</f>
        <v>0</v>
      </c>
      <c r="EF225" s="1223">
        <f>$G225*BK225*Variables!$B$53*HLOOKUP($DY$2,Variables!$B$60:$F$61,2,FALSE)</f>
        <v>0</v>
      </c>
      <c r="EG225" s="1223">
        <f>$G225*BL225*Variables!$B$53*HLOOKUP($DY$2,Variables!$B$60:$F$61,2,FALSE)</f>
        <v>0</v>
      </c>
      <c r="EH225" s="1223">
        <f>$G225*BM225*Variables!$B$53*HLOOKUP($DY$2,Variables!$B$60:$F$61,2,FALSE)</f>
        <v>0</v>
      </c>
      <c r="EI225" s="1223">
        <f>$G225*BN225*Variables!$B$53*HLOOKUP($DY$2,Variables!$B$60:$F$61,2,FALSE)</f>
        <v>0</v>
      </c>
      <c r="EJ225" s="1225">
        <f>$G225*BO225*Variables!$B$53*HLOOKUP($DY$2,Variables!$B$60:$F$61,2,FALSE)</f>
        <v>0</v>
      </c>
      <c r="EK225" s="1222">
        <f>$G225*BP225*Variables!$B$53*HLOOKUP($EK$2,Variables!$B$60:$F$61,2,FALSE)</f>
        <v>0</v>
      </c>
      <c r="EL225" s="1223">
        <f>$G225*BQ225*Variables!$B$53*HLOOKUP($EK$2,Variables!$B$60:$F$61,2,FALSE)</f>
        <v>0</v>
      </c>
      <c r="EM225" s="1223">
        <f>$G225*BR225*Variables!$B$53*HLOOKUP($EK$2,Variables!$B$60:$F$61,2,FALSE)</f>
        <v>0</v>
      </c>
      <c r="EN225" s="1223">
        <f>$G225*BS225*Variables!$B$53*HLOOKUP($EK$2,Variables!$B$60:$F$61,2,FALSE)</f>
        <v>0</v>
      </c>
      <c r="EO225" s="1223">
        <f>$G225*BT225*Variables!$B$53*HLOOKUP($EK$2,Variables!$B$60:$F$61,2,FALSE)</f>
        <v>0</v>
      </c>
      <c r="EP225" s="1223">
        <f>$G225*BU225*Variables!$B$53*HLOOKUP($EK$2,Variables!$B$60:$F$61,2,FALSE)</f>
        <v>0</v>
      </c>
      <c r="EQ225" s="1223">
        <f>$G225*BV225*Variables!$B$53*HLOOKUP($EK$2,Variables!$B$60:$F$61,2,FALSE)</f>
        <v>0</v>
      </c>
      <c r="ER225" s="1223">
        <f>$G225*BW225*Variables!$B$53*HLOOKUP($EK$2,Variables!$B$60:$F$61,2,FALSE)</f>
        <v>0</v>
      </c>
      <c r="ES225" s="1223">
        <f>$G225*BX225*Variables!$B$53*HLOOKUP($EK$2,Variables!$B$60:$F$61,2,FALSE)</f>
        <v>0</v>
      </c>
      <c r="ET225" s="1223">
        <f>$G225*BY225*Variables!$B$53*HLOOKUP($EK$2,Variables!$B$60:$F$61,2,FALSE)</f>
        <v>0</v>
      </c>
      <c r="EU225" s="1223">
        <f>$G225*BZ225*Variables!$B$53*HLOOKUP($EK$2,Variables!$B$60:$F$61,2,FALSE)</f>
        <v>0</v>
      </c>
      <c r="EV225" s="1225">
        <f>$G225*CA225*Variables!$B$53*HLOOKUP($EK$2,Variables!$B$60:$F$61,2,FALSE)</f>
        <v>0</v>
      </c>
      <c r="EW225" s="872">
        <f t="shared" si="29"/>
        <v>0</v>
      </c>
      <c r="EX225" s="872"/>
      <c r="EY225" s="872"/>
      <c r="EZ225" s="872"/>
      <c r="FA225" s="1332"/>
      <c r="FC225" s="958" t="str">
        <f t="shared" si="30"/>
        <v/>
      </c>
      <c r="FD225" s="959" t="str">
        <f t="shared" si="31"/>
        <v/>
      </c>
      <c r="FE225" s="959" t="s">
        <v>8407</v>
      </c>
      <c r="FF225" s="959" t="str">
        <f>IF(ISNA(VLOOKUP(FC225,Miscellaneous!E:F,2,0)),"",VLOOKUP(FC225,Miscellaneous!E:F,2,0))</f>
        <v/>
      </c>
      <c r="FG225" s="959" t="str">
        <f t="shared" si="32"/>
        <v/>
      </c>
      <c r="FH225" s="996">
        <f>IF($FG225="Opex",SUMIF('Monthly Summary'!$C$75:$N$75,"",CC225:CN225),SUMIF('Monthly Summary'!$C$74:$N$74,"",CC225:CN225))</f>
        <v>0</v>
      </c>
      <c r="FI225" s="996">
        <f>IF($FG225="Opex",SUMIF('Monthly Summary'!$O$75:$Z$75,"",CO225:CZ225),SUMIF('Monthly Summary'!$O$74:$Z$74,"",CO225:CZ225))</f>
        <v>0</v>
      </c>
      <c r="FJ225" s="996">
        <f>IF($FG225="Opex",SUMIF('Monthly Summary'!$AA$75:$AL$75,"",DA225:DL225),SUMIF('Monthly Summary'!$AA$74:$AL$74,"",DA225:DL225))</f>
        <v>0</v>
      </c>
      <c r="FK225" s="996">
        <f>IF($FG225="Opex",SUMIF('Monthly Summary'!$AM$75:$AX$75,"",DM225:DX225),SUMIF('Monthly Summary'!$AM$74:$AX$74,"",DM225:DX225))</f>
        <v>0</v>
      </c>
      <c r="FL225" s="996">
        <f>IF($FG225="Opex",SUMIF('Monthly Summary'!$AY$75:$BJ$75,"",DY225:EJ225),SUMIF('Monthly Summary'!$AY$74:$BJ$74,"",DY225:EJ225))</f>
        <v>0</v>
      </c>
      <c r="FM225" s="997">
        <f>IF($FG225="Opex",SUMIF('Monthly Summary'!$BK$75:$BV$75,"",EK225:EV225),SUMIF('Monthly Summary'!$BK$74:$BV$74,"",EK225:EV225))</f>
        <v>0</v>
      </c>
      <c r="FN225" s="997">
        <f t="shared" si="33"/>
        <v>0</v>
      </c>
    </row>
    <row r="226" spans="3:170">
      <c r="C226" s="757"/>
      <c r="D226" s="757"/>
      <c r="E226" s="758"/>
      <c r="F226" s="758"/>
      <c r="G226" s="758"/>
      <c r="H226" s="1215"/>
      <c r="I226" s="761"/>
      <c r="J226" s="761"/>
      <c r="K226" s="761"/>
      <c r="L226" s="761"/>
      <c r="M226" s="761"/>
      <c r="N226" s="761"/>
      <c r="O226" s="761"/>
      <c r="P226" s="761"/>
      <c r="Q226" s="761"/>
      <c r="R226" s="761"/>
      <c r="S226" s="1216"/>
      <c r="T226" s="1215"/>
      <c r="U226" s="761"/>
      <c r="V226" s="761"/>
      <c r="W226" s="761"/>
      <c r="X226" s="761"/>
      <c r="Y226" s="761"/>
      <c r="Z226" s="761"/>
      <c r="AA226" s="761"/>
      <c r="AB226" s="761"/>
      <c r="AC226" s="761"/>
      <c r="AD226" s="761"/>
      <c r="AE226" s="1216"/>
      <c r="AF226" s="1215"/>
      <c r="AG226" s="761"/>
      <c r="AH226" s="761"/>
      <c r="AI226" s="761"/>
      <c r="AJ226" s="761"/>
      <c r="AK226" s="761"/>
      <c r="AL226" s="761"/>
      <c r="AM226" s="761"/>
      <c r="AN226" s="761"/>
      <c r="AO226" s="761"/>
      <c r="AP226" s="761"/>
      <c r="AQ226" s="1216"/>
      <c r="AR226" s="1215"/>
      <c r="AS226" s="761"/>
      <c r="AT226" s="761"/>
      <c r="AU226" s="761"/>
      <c r="AV226" s="761"/>
      <c r="AW226" s="761"/>
      <c r="AX226" s="761"/>
      <c r="AY226" s="761"/>
      <c r="AZ226" s="761"/>
      <c r="BA226" s="761"/>
      <c r="BB226" s="761"/>
      <c r="BC226" s="1216"/>
      <c r="BD226" s="1215"/>
      <c r="BE226" s="761"/>
      <c r="BF226" s="761"/>
      <c r="BG226" s="761"/>
      <c r="BH226" s="761"/>
      <c r="BI226" s="761"/>
      <c r="BJ226" s="761"/>
      <c r="BK226" s="761"/>
      <c r="BL226" s="761"/>
      <c r="BM226" s="761"/>
      <c r="BN226" s="761"/>
      <c r="BO226" s="1216"/>
      <c r="BP226" s="1215"/>
      <c r="BQ226" s="761"/>
      <c r="BR226" s="761"/>
      <c r="BS226" s="761"/>
      <c r="BT226" s="761"/>
      <c r="BU226" s="761"/>
      <c r="BV226" s="761"/>
      <c r="BW226" s="761"/>
      <c r="BX226" s="761"/>
      <c r="BY226" s="761"/>
      <c r="BZ226" s="761"/>
      <c r="CA226" s="1216"/>
      <c r="CB226" s="747"/>
      <c r="CC226" s="1222">
        <f>$G226*H226*Variables!$B$53</f>
        <v>0</v>
      </c>
      <c r="CD226" s="1223">
        <f>$G226*I226*Variables!$B$53</f>
        <v>0</v>
      </c>
      <c r="CE226" s="1223">
        <f>$G226*J226*Variables!$B$53</f>
        <v>0</v>
      </c>
      <c r="CF226" s="1223">
        <f>$G226*K226*Variables!$B$53</f>
        <v>0</v>
      </c>
      <c r="CG226" s="1223">
        <f>$G226*L226*Variables!$B$53</f>
        <v>0</v>
      </c>
      <c r="CH226" s="1223">
        <f>$G226*M226*Variables!$B$53</f>
        <v>0</v>
      </c>
      <c r="CI226" s="1223">
        <f>$G226*N226*Variables!$B$53</f>
        <v>0</v>
      </c>
      <c r="CJ226" s="1223">
        <f>$G226*O226*Variables!$B$53</f>
        <v>0</v>
      </c>
      <c r="CK226" s="1223">
        <f>$G226*P226*Variables!$B$53</f>
        <v>0</v>
      </c>
      <c r="CL226" s="1223">
        <f>$G226*Q226*Variables!$B$53</f>
        <v>0</v>
      </c>
      <c r="CM226" s="1223">
        <f>$G226*R226*Variables!$B$53</f>
        <v>0</v>
      </c>
      <c r="CN226" s="1225">
        <f>$G226*S226*Variables!$B$53</f>
        <v>0</v>
      </c>
      <c r="CO226" s="1222">
        <f>$G226*T226*Variables!$B$53*HLOOKUP($CO$2,Variables!$B$60:$F$61,2,FALSE)</f>
        <v>0</v>
      </c>
      <c r="CP226" s="1223">
        <f>$G226*U226*Variables!$B$53*HLOOKUP($CO$2,Variables!$B$60:$F$61,2,FALSE)</f>
        <v>0</v>
      </c>
      <c r="CQ226" s="1223">
        <f>$G226*V226*Variables!$B$53*HLOOKUP($CO$2,Variables!$B$60:$F$61,2,FALSE)</f>
        <v>0</v>
      </c>
      <c r="CR226" s="1223">
        <f>$G226*W226*Variables!$B$53*HLOOKUP($CO$2,Variables!$B$60:$F$61,2,FALSE)</f>
        <v>0</v>
      </c>
      <c r="CS226" s="1223">
        <f>$G226*X226*Variables!$B$53*HLOOKUP($CO$2,Variables!$B$60:$F$61,2,FALSE)</f>
        <v>0</v>
      </c>
      <c r="CT226" s="1223">
        <f>$G226*Y226*Variables!$B$53*HLOOKUP($CO$2,Variables!$B$60:$F$61,2,FALSE)</f>
        <v>0</v>
      </c>
      <c r="CU226" s="1223">
        <f>$G226*Z226*Variables!$B$53*HLOOKUP($CO$2,Variables!$B$60:$F$61,2,FALSE)</f>
        <v>0</v>
      </c>
      <c r="CV226" s="1223">
        <f>$G226*AA226*Variables!$B$53*HLOOKUP($CO$2,Variables!$B$60:$F$61,2,FALSE)</f>
        <v>0</v>
      </c>
      <c r="CW226" s="1223">
        <f>$G226*AB226*Variables!$B$53*HLOOKUP($CO$2,Variables!$B$60:$F$61,2,FALSE)</f>
        <v>0</v>
      </c>
      <c r="CX226" s="1223">
        <f>$G226*AC226*Variables!$B$53*HLOOKUP($CO$2,Variables!$B$60:$F$61,2,FALSE)</f>
        <v>0</v>
      </c>
      <c r="CY226" s="1223">
        <f>$G226*AD226*Variables!$B$53*HLOOKUP($CO$2,Variables!$B$60:$F$61,2,FALSE)</f>
        <v>0</v>
      </c>
      <c r="CZ226" s="1225">
        <f>$G226*AE226*Variables!$B$53*HLOOKUP($CO$2,Variables!$B$60:$F$61,2,FALSE)</f>
        <v>0</v>
      </c>
      <c r="DA226" s="1222">
        <f>$G226*AF226*Variables!$B$53*HLOOKUP($DA$2,Variables!$B$60:$F$61,2,FALSE)</f>
        <v>0</v>
      </c>
      <c r="DB226" s="1223">
        <f>$G226*AG226*Variables!$B$53*HLOOKUP($DA$2,Variables!$B$60:$F$61,2,FALSE)</f>
        <v>0</v>
      </c>
      <c r="DC226" s="1223">
        <f>$G226*AH226*Variables!$B$53*HLOOKUP($DA$2,Variables!$B$60:$F$61,2,FALSE)</f>
        <v>0</v>
      </c>
      <c r="DD226" s="1223">
        <f>$G226*AI226*Variables!$B$53*HLOOKUP($DA$2,Variables!$B$60:$F$61,2,FALSE)</f>
        <v>0</v>
      </c>
      <c r="DE226" s="1223">
        <f>$G226*AJ226*Variables!$B$53*HLOOKUP($DA$2,Variables!$B$60:$F$61,2,FALSE)</f>
        <v>0</v>
      </c>
      <c r="DF226" s="1223">
        <f>$G226*AK226*Variables!$B$53*HLOOKUP($DA$2,Variables!$B$60:$F$61,2,FALSE)</f>
        <v>0</v>
      </c>
      <c r="DG226" s="1223">
        <f>$G226*AL226*Variables!$B$53*HLOOKUP($DA$2,Variables!$B$60:$F$61,2,FALSE)</f>
        <v>0</v>
      </c>
      <c r="DH226" s="1223">
        <f>$G226*AM226*Variables!$B$53*HLOOKUP($DA$2,Variables!$B$60:$F$61,2,FALSE)</f>
        <v>0</v>
      </c>
      <c r="DI226" s="1223">
        <f>$G226*AN226*Variables!$B$53*HLOOKUP($DA$2,Variables!$B$60:$F$61,2,FALSE)</f>
        <v>0</v>
      </c>
      <c r="DJ226" s="1223">
        <f>$G226*AO226*Variables!$B$53*HLOOKUP($DA$2,Variables!$B$60:$F$61,2,FALSE)</f>
        <v>0</v>
      </c>
      <c r="DK226" s="1223">
        <f>$G226*AP226*Variables!$B$53*HLOOKUP($DA$2,Variables!$B$60:$F$61,2,FALSE)</f>
        <v>0</v>
      </c>
      <c r="DL226" s="1225">
        <f>$G226*AQ226*Variables!$B$53*HLOOKUP($DA$2,Variables!$B$60:$F$61,2,FALSE)</f>
        <v>0</v>
      </c>
      <c r="DM226" s="1222">
        <f>$G226*AR226*Variables!$B$53*HLOOKUP($DM$2,Variables!$B$60:$F$61,2,FALSE)</f>
        <v>0</v>
      </c>
      <c r="DN226" s="1223">
        <f>$G226*AS226*Variables!$B$53*HLOOKUP($DM$2,Variables!$B$60:$F$61,2,FALSE)</f>
        <v>0</v>
      </c>
      <c r="DO226" s="1223">
        <f>$G226*AT226*Variables!$B$53*HLOOKUP($DM$2,Variables!$B$60:$F$61,2,FALSE)</f>
        <v>0</v>
      </c>
      <c r="DP226" s="1223">
        <f>$G226*AU226*Variables!$B$53*HLOOKUP($DM$2,Variables!$B$60:$F$61,2,FALSE)</f>
        <v>0</v>
      </c>
      <c r="DQ226" s="1223">
        <f>$G226*AV226*Variables!$B$53*HLOOKUP($DM$2,Variables!$B$60:$F$61,2,FALSE)</f>
        <v>0</v>
      </c>
      <c r="DR226" s="1223">
        <f>$G226*AW226*Variables!$B$53*HLOOKUP($DM$2,Variables!$B$60:$F$61,2,FALSE)</f>
        <v>0</v>
      </c>
      <c r="DS226" s="1223">
        <f>$G226*AX226*Variables!$B$53*HLOOKUP($DM$2,Variables!$B$60:$F$61,2,FALSE)</f>
        <v>0</v>
      </c>
      <c r="DT226" s="1223">
        <f>$G226*AY226*Variables!$B$53*HLOOKUP($DM$2,Variables!$B$60:$F$61,2,FALSE)</f>
        <v>0</v>
      </c>
      <c r="DU226" s="1223">
        <f>$G226*AZ226*Variables!$B$53*HLOOKUP($DM$2,Variables!$B$60:$F$61,2,FALSE)</f>
        <v>0</v>
      </c>
      <c r="DV226" s="1223">
        <f>$G226*BA226*Variables!$B$53*HLOOKUP($DM$2,Variables!$B$60:$F$61,2,FALSE)</f>
        <v>0</v>
      </c>
      <c r="DW226" s="1223">
        <f>$G226*BB226*Variables!$B$53*HLOOKUP($DM$2,Variables!$B$60:$F$61,2,FALSE)</f>
        <v>0</v>
      </c>
      <c r="DX226" s="1225">
        <f>$G226*BC226*Variables!$B$53*HLOOKUP($DM$2,Variables!$B$60:$F$61,2,FALSE)</f>
        <v>0</v>
      </c>
      <c r="DY226" s="1222">
        <f>$G226*BD226*Variables!$B$53*HLOOKUP($DY$2,Variables!$B$60:$F$61,2,FALSE)</f>
        <v>0</v>
      </c>
      <c r="DZ226" s="1223">
        <f>$G226*BE226*Variables!$B$53*HLOOKUP($DY$2,Variables!$B$60:$F$61,2,FALSE)</f>
        <v>0</v>
      </c>
      <c r="EA226" s="1223">
        <f>$G226*BF226*Variables!$B$53*HLOOKUP($DY$2,Variables!$B$60:$F$61,2,FALSE)</f>
        <v>0</v>
      </c>
      <c r="EB226" s="1223">
        <f>$G226*BG226*Variables!$B$53*HLOOKUP($DY$2,Variables!$B$60:$F$61,2,FALSE)</f>
        <v>0</v>
      </c>
      <c r="EC226" s="1223">
        <f>$G226*BH226*Variables!$B$53*HLOOKUP($DY$2,Variables!$B$60:$F$61,2,FALSE)</f>
        <v>0</v>
      </c>
      <c r="ED226" s="1223">
        <f>$G226*BI226*Variables!$B$53*HLOOKUP($DY$2,Variables!$B$60:$F$61,2,FALSE)</f>
        <v>0</v>
      </c>
      <c r="EE226" s="1223">
        <f>$G226*BJ226*Variables!$B$53*HLOOKUP($DY$2,Variables!$B$60:$F$61,2,FALSE)</f>
        <v>0</v>
      </c>
      <c r="EF226" s="1223">
        <f>$G226*BK226*Variables!$B$53*HLOOKUP($DY$2,Variables!$B$60:$F$61,2,FALSE)</f>
        <v>0</v>
      </c>
      <c r="EG226" s="1223">
        <f>$G226*BL226*Variables!$B$53*HLOOKUP($DY$2,Variables!$B$60:$F$61,2,FALSE)</f>
        <v>0</v>
      </c>
      <c r="EH226" s="1223">
        <f>$G226*BM226*Variables!$B$53*HLOOKUP($DY$2,Variables!$B$60:$F$61,2,FALSE)</f>
        <v>0</v>
      </c>
      <c r="EI226" s="1223">
        <f>$G226*BN226*Variables!$B$53*HLOOKUP($DY$2,Variables!$B$60:$F$61,2,FALSE)</f>
        <v>0</v>
      </c>
      <c r="EJ226" s="1225">
        <f>$G226*BO226*Variables!$B$53*HLOOKUP($DY$2,Variables!$B$60:$F$61,2,FALSE)</f>
        <v>0</v>
      </c>
      <c r="EK226" s="1222">
        <f>$G226*BP226*Variables!$B$53*HLOOKUP($EK$2,Variables!$B$60:$F$61,2,FALSE)</f>
        <v>0</v>
      </c>
      <c r="EL226" s="1223">
        <f>$G226*BQ226*Variables!$B$53*HLOOKUP($EK$2,Variables!$B$60:$F$61,2,FALSE)</f>
        <v>0</v>
      </c>
      <c r="EM226" s="1223">
        <f>$G226*BR226*Variables!$B$53*HLOOKUP($EK$2,Variables!$B$60:$F$61,2,FALSE)</f>
        <v>0</v>
      </c>
      <c r="EN226" s="1223">
        <f>$G226*BS226*Variables!$B$53*HLOOKUP($EK$2,Variables!$B$60:$F$61,2,FALSE)</f>
        <v>0</v>
      </c>
      <c r="EO226" s="1223">
        <f>$G226*BT226*Variables!$B$53*HLOOKUP($EK$2,Variables!$B$60:$F$61,2,FALSE)</f>
        <v>0</v>
      </c>
      <c r="EP226" s="1223">
        <f>$G226*BU226*Variables!$B$53*HLOOKUP($EK$2,Variables!$B$60:$F$61,2,FALSE)</f>
        <v>0</v>
      </c>
      <c r="EQ226" s="1223">
        <f>$G226*BV226*Variables!$B$53*HLOOKUP($EK$2,Variables!$B$60:$F$61,2,FALSE)</f>
        <v>0</v>
      </c>
      <c r="ER226" s="1223">
        <f>$G226*BW226*Variables!$B$53*HLOOKUP($EK$2,Variables!$B$60:$F$61,2,FALSE)</f>
        <v>0</v>
      </c>
      <c r="ES226" s="1223">
        <f>$G226*BX226*Variables!$B$53*HLOOKUP($EK$2,Variables!$B$60:$F$61,2,FALSE)</f>
        <v>0</v>
      </c>
      <c r="ET226" s="1223">
        <f>$G226*BY226*Variables!$B$53*HLOOKUP($EK$2,Variables!$B$60:$F$61,2,FALSE)</f>
        <v>0</v>
      </c>
      <c r="EU226" s="1223">
        <f>$G226*BZ226*Variables!$B$53*HLOOKUP($EK$2,Variables!$B$60:$F$61,2,FALSE)</f>
        <v>0</v>
      </c>
      <c r="EV226" s="1225">
        <f>$G226*CA226*Variables!$B$53*HLOOKUP($EK$2,Variables!$B$60:$F$61,2,FALSE)</f>
        <v>0</v>
      </c>
      <c r="EW226" s="872">
        <f t="shared" si="29"/>
        <v>0</v>
      </c>
      <c r="EX226" s="872"/>
      <c r="EY226" s="872"/>
      <c r="EZ226" s="872"/>
      <c r="FA226" s="1332"/>
      <c r="FC226" s="958" t="str">
        <f t="shared" si="30"/>
        <v/>
      </c>
      <c r="FD226" s="959" t="str">
        <f t="shared" si="31"/>
        <v/>
      </c>
      <c r="FE226" s="959" t="s">
        <v>8407</v>
      </c>
      <c r="FF226" s="959" t="str">
        <f>IF(ISNA(VLOOKUP(FC226,Miscellaneous!E:F,2,0)),"",VLOOKUP(FC226,Miscellaneous!E:F,2,0))</f>
        <v/>
      </c>
      <c r="FG226" s="959" t="str">
        <f t="shared" si="32"/>
        <v/>
      </c>
      <c r="FH226" s="996">
        <f>IF($FG226="Opex",SUMIF('Monthly Summary'!$C$75:$N$75,"",CC226:CN226),SUMIF('Monthly Summary'!$C$74:$N$74,"",CC226:CN226))</f>
        <v>0</v>
      </c>
      <c r="FI226" s="996">
        <f>IF($FG226="Opex",SUMIF('Monthly Summary'!$O$75:$Z$75,"",CO226:CZ226),SUMIF('Monthly Summary'!$O$74:$Z$74,"",CO226:CZ226))</f>
        <v>0</v>
      </c>
      <c r="FJ226" s="996">
        <f>IF($FG226="Opex",SUMIF('Monthly Summary'!$AA$75:$AL$75,"",DA226:DL226),SUMIF('Monthly Summary'!$AA$74:$AL$74,"",DA226:DL226))</f>
        <v>0</v>
      </c>
      <c r="FK226" s="996">
        <f>IF($FG226="Opex",SUMIF('Monthly Summary'!$AM$75:$AX$75,"",DM226:DX226),SUMIF('Monthly Summary'!$AM$74:$AX$74,"",DM226:DX226))</f>
        <v>0</v>
      </c>
      <c r="FL226" s="996">
        <f>IF($FG226="Opex",SUMIF('Monthly Summary'!$AY$75:$BJ$75,"",DY226:EJ226),SUMIF('Monthly Summary'!$AY$74:$BJ$74,"",DY226:EJ226))</f>
        <v>0</v>
      </c>
      <c r="FM226" s="997">
        <f>IF($FG226="Opex",SUMIF('Monthly Summary'!$BK$75:$BV$75,"",EK226:EV226),SUMIF('Monthly Summary'!$BK$74:$BV$74,"",EK226:EV226))</f>
        <v>0</v>
      </c>
      <c r="FN226" s="997">
        <f t="shared" si="33"/>
        <v>0</v>
      </c>
    </row>
    <row r="227" spans="3:170">
      <c r="C227" s="757"/>
      <c r="D227" s="757"/>
      <c r="E227" s="758"/>
      <c r="F227" s="758"/>
      <c r="G227" s="758"/>
      <c r="H227" s="1215"/>
      <c r="I227" s="761"/>
      <c r="J227" s="761"/>
      <c r="K227" s="761"/>
      <c r="L227" s="761"/>
      <c r="M227" s="761"/>
      <c r="N227" s="761"/>
      <c r="O227" s="761"/>
      <c r="P227" s="761"/>
      <c r="Q227" s="761"/>
      <c r="R227" s="761"/>
      <c r="S227" s="1216"/>
      <c r="T227" s="1215"/>
      <c r="U227" s="761"/>
      <c r="V227" s="761"/>
      <c r="W227" s="761"/>
      <c r="X227" s="761"/>
      <c r="Y227" s="761"/>
      <c r="Z227" s="761"/>
      <c r="AA227" s="761"/>
      <c r="AB227" s="761"/>
      <c r="AC227" s="761"/>
      <c r="AD227" s="761"/>
      <c r="AE227" s="1216"/>
      <c r="AF227" s="1215"/>
      <c r="AG227" s="761"/>
      <c r="AH227" s="761"/>
      <c r="AI227" s="761"/>
      <c r="AJ227" s="761"/>
      <c r="AK227" s="761"/>
      <c r="AL227" s="761"/>
      <c r="AM227" s="761"/>
      <c r="AN227" s="761"/>
      <c r="AO227" s="761"/>
      <c r="AP227" s="761"/>
      <c r="AQ227" s="1216"/>
      <c r="AR227" s="1215"/>
      <c r="AS227" s="761"/>
      <c r="AT227" s="761"/>
      <c r="AU227" s="761"/>
      <c r="AV227" s="761"/>
      <c r="AW227" s="761"/>
      <c r="AX227" s="761"/>
      <c r="AY227" s="761"/>
      <c r="AZ227" s="761"/>
      <c r="BA227" s="761"/>
      <c r="BB227" s="761"/>
      <c r="BC227" s="1216"/>
      <c r="BD227" s="1215"/>
      <c r="BE227" s="761"/>
      <c r="BF227" s="761"/>
      <c r="BG227" s="761"/>
      <c r="BH227" s="761"/>
      <c r="BI227" s="761"/>
      <c r="BJ227" s="761"/>
      <c r="BK227" s="761"/>
      <c r="BL227" s="761"/>
      <c r="BM227" s="761"/>
      <c r="BN227" s="761"/>
      <c r="BO227" s="1216"/>
      <c r="BP227" s="1215"/>
      <c r="BQ227" s="761"/>
      <c r="BR227" s="761"/>
      <c r="BS227" s="761"/>
      <c r="BT227" s="761"/>
      <c r="BU227" s="761"/>
      <c r="BV227" s="761"/>
      <c r="BW227" s="761"/>
      <c r="BX227" s="761"/>
      <c r="BY227" s="761"/>
      <c r="BZ227" s="761"/>
      <c r="CA227" s="1216"/>
      <c r="CB227" s="747"/>
      <c r="CC227" s="1222">
        <f>$G227*H227*Variables!$B$53</f>
        <v>0</v>
      </c>
      <c r="CD227" s="1223">
        <f>$G227*I227*Variables!$B$53</f>
        <v>0</v>
      </c>
      <c r="CE227" s="1223">
        <f>$G227*J227*Variables!$B$53</f>
        <v>0</v>
      </c>
      <c r="CF227" s="1223">
        <f>$G227*K227*Variables!$B$53</f>
        <v>0</v>
      </c>
      <c r="CG227" s="1223">
        <f>$G227*L227*Variables!$B$53</f>
        <v>0</v>
      </c>
      <c r="CH227" s="1223">
        <f>$G227*M227*Variables!$B$53</f>
        <v>0</v>
      </c>
      <c r="CI227" s="1223">
        <f>$G227*N227*Variables!$B$53</f>
        <v>0</v>
      </c>
      <c r="CJ227" s="1223">
        <f>$G227*O227*Variables!$B$53</f>
        <v>0</v>
      </c>
      <c r="CK227" s="1223">
        <f>$G227*P227*Variables!$B$53</f>
        <v>0</v>
      </c>
      <c r="CL227" s="1223">
        <f>$G227*Q227*Variables!$B$53</f>
        <v>0</v>
      </c>
      <c r="CM227" s="1223">
        <f>$G227*R227*Variables!$B$53</f>
        <v>0</v>
      </c>
      <c r="CN227" s="1225">
        <f>$G227*S227*Variables!$B$53</f>
        <v>0</v>
      </c>
      <c r="CO227" s="1222">
        <f>$G227*T227*Variables!$B$53*HLOOKUP($CO$2,Variables!$B$60:$F$61,2,FALSE)</f>
        <v>0</v>
      </c>
      <c r="CP227" s="1223">
        <f>$G227*U227*Variables!$B$53*HLOOKUP($CO$2,Variables!$B$60:$F$61,2,FALSE)</f>
        <v>0</v>
      </c>
      <c r="CQ227" s="1223">
        <f>$G227*V227*Variables!$B$53*HLOOKUP($CO$2,Variables!$B$60:$F$61,2,FALSE)</f>
        <v>0</v>
      </c>
      <c r="CR227" s="1223">
        <f>$G227*W227*Variables!$B$53*HLOOKUP($CO$2,Variables!$B$60:$F$61,2,FALSE)</f>
        <v>0</v>
      </c>
      <c r="CS227" s="1223">
        <f>$G227*X227*Variables!$B$53*HLOOKUP($CO$2,Variables!$B$60:$F$61,2,FALSE)</f>
        <v>0</v>
      </c>
      <c r="CT227" s="1223">
        <f>$G227*Y227*Variables!$B$53*HLOOKUP($CO$2,Variables!$B$60:$F$61,2,FALSE)</f>
        <v>0</v>
      </c>
      <c r="CU227" s="1223">
        <f>$G227*Z227*Variables!$B$53*HLOOKUP($CO$2,Variables!$B$60:$F$61,2,FALSE)</f>
        <v>0</v>
      </c>
      <c r="CV227" s="1223">
        <f>$G227*AA227*Variables!$B$53*HLOOKUP($CO$2,Variables!$B$60:$F$61,2,FALSE)</f>
        <v>0</v>
      </c>
      <c r="CW227" s="1223">
        <f>$G227*AB227*Variables!$B$53*HLOOKUP($CO$2,Variables!$B$60:$F$61,2,FALSE)</f>
        <v>0</v>
      </c>
      <c r="CX227" s="1223">
        <f>$G227*AC227*Variables!$B$53*HLOOKUP($CO$2,Variables!$B$60:$F$61,2,FALSE)</f>
        <v>0</v>
      </c>
      <c r="CY227" s="1223">
        <f>$G227*AD227*Variables!$B$53*HLOOKUP($CO$2,Variables!$B$60:$F$61,2,FALSE)</f>
        <v>0</v>
      </c>
      <c r="CZ227" s="1225">
        <f>$G227*AE227*Variables!$B$53*HLOOKUP($CO$2,Variables!$B$60:$F$61,2,FALSE)</f>
        <v>0</v>
      </c>
      <c r="DA227" s="1222">
        <f>$G227*AF227*Variables!$B$53*HLOOKUP($DA$2,Variables!$B$60:$F$61,2,FALSE)</f>
        <v>0</v>
      </c>
      <c r="DB227" s="1223">
        <f>$G227*AG227*Variables!$B$53*HLOOKUP($DA$2,Variables!$B$60:$F$61,2,FALSE)</f>
        <v>0</v>
      </c>
      <c r="DC227" s="1223">
        <f>$G227*AH227*Variables!$B$53*HLOOKUP($DA$2,Variables!$B$60:$F$61,2,FALSE)</f>
        <v>0</v>
      </c>
      <c r="DD227" s="1223">
        <f>$G227*AI227*Variables!$B$53*HLOOKUP($DA$2,Variables!$B$60:$F$61,2,FALSE)</f>
        <v>0</v>
      </c>
      <c r="DE227" s="1223">
        <f>$G227*AJ227*Variables!$B$53*HLOOKUP($DA$2,Variables!$B$60:$F$61,2,FALSE)</f>
        <v>0</v>
      </c>
      <c r="DF227" s="1223">
        <f>$G227*AK227*Variables!$B$53*HLOOKUP($DA$2,Variables!$B$60:$F$61,2,FALSE)</f>
        <v>0</v>
      </c>
      <c r="DG227" s="1223">
        <f>$G227*AL227*Variables!$B$53*HLOOKUP($DA$2,Variables!$B$60:$F$61,2,FALSE)</f>
        <v>0</v>
      </c>
      <c r="DH227" s="1223">
        <f>$G227*AM227*Variables!$B$53*HLOOKUP($DA$2,Variables!$B$60:$F$61,2,FALSE)</f>
        <v>0</v>
      </c>
      <c r="DI227" s="1223">
        <f>$G227*AN227*Variables!$B$53*HLOOKUP($DA$2,Variables!$B$60:$F$61,2,FALSE)</f>
        <v>0</v>
      </c>
      <c r="DJ227" s="1223">
        <f>$G227*AO227*Variables!$B$53*HLOOKUP($DA$2,Variables!$B$60:$F$61,2,FALSE)</f>
        <v>0</v>
      </c>
      <c r="DK227" s="1223">
        <f>$G227*AP227*Variables!$B$53*HLOOKUP($DA$2,Variables!$B$60:$F$61,2,FALSE)</f>
        <v>0</v>
      </c>
      <c r="DL227" s="1225">
        <f>$G227*AQ227*Variables!$B$53*HLOOKUP($DA$2,Variables!$B$60:$F$61,2,FALSE)</f>
        <v>0</v>
      </c>
      <c r="DM227" s="1222">
        <f>$G227*AR227*Variables!$B$53*HLOOKUP($DM$2,Variables!$B$60:$F$61,2,FALSE)</f>
        <v>0</v>
      </c>
      <c r="DN227" s="1223">
        <f>$G227*AS227*Variables!$B$53*HLOOKUP($DM$2,Variables!$B$60:$F$61,2,FALSE)</f>
        <v>0</v>
      </c>
      <c r="DO227" s="1223">
        <f>$G227*AT227*Variables!$B$53*HLOOKUP($DM$2,Variables!$B$60:$F$61,2,FALSE)</f>
        <v>0</v>
      </c>
      <c r="DP227" s="1223">
        <f>$G227*AU227*Variables!$B$53*HLOOKUP($DM$2,Variables!$B$60:$F$61,2,FALSE)</f>
        <v>0</v>
      </c>
      <c r="DQ227" s="1223">
        <f>$G227*AV227*Variables!$B$53*HLOOKUP($DM$2,Variables!$B$60:$F$61,2,FALSE)</f>
        <v>0</v>
      </c>
      <c r="DR227" s="1223">
        <f>$G227*AW227*Variables!$B$53*HLOOKUP($DM$2,Variables!$B$60:$F$61,2,FALSE)</f>
        <v>0</v>
      </c>
      <c r="DS227" s="1223">
        <f>$G227*AX227*Variables!$B$53*HLOOKUP($DM$2,Variables!$B$60:$F$61,2,FALSE)</f>
        <v>0</v>
      </c>
      <c r="DT227" s="1223">
        <f>$G227*AY227*Variables!$B$53*HLOOKUP($DM$2,Variables!$B$60:$F$61,2,FALSE)</f>
        <v>0</v>
      </c>
      <c r="DU227" s="1223">
        <f>$G227*AZ227*Variables!$B$53*HLOOKUP($DM$2,Variables!$B$60:$F$61,2,FALSE)</f>
        <v>0</v>
      </c>
      <c r="DV227" s="1223">
        <f>$G227*BA227*Variables!$B$53*HLOOKUP($DM$2,Variables!$B$60:$F$61,2,FALSE)</f>
        <v>0</v>
      </c>
      <c r="DW227" s="1223">
        <f>$G227*BB227*Variables!$B$53*HLOOKUP($DM$2,Variables!$B$60:$F$61,2,FALSE)</f>
        <v>0</v>
      </c>
      <c r="DX227" s="1225">
        <f>$G227*BC227*Variables!$B$53*HLOOKUP($DM$2,Variables!$B$60:$F$61,2,FALSE)</f>
        <v>0</v>
      </c>
      <c r="DY227" s="1222">
        <f>$G227*BD227*Variables!$B$53*HLOOKUP($DY$2,Variables!$B$60:$F$61,2,FALSE)</f>
        <v>0</v>
      </c>
      <c r="DZ227" s="1223">
        <f>$G227*BE227*Variables!$B$53*HLOOKUP($DY$2,Variables!$B$60:$F$61,2,FALSE)</f>
        <v>0</v>
      </c>
      <c r="EA227" s="1223">
        <f>$G227*BF227*Variables!$B$53*HLOOKUP($DY$2,Variables!$B$60:$F$61,2,FALSE)</f>
        <v>0</v>
      </c>
      <c r="EB227" s="1223">
        <f>$G227*BG227*Variables!$B$53*HLOOKUP($DY$2,Variables!$B$60:$F$61,2,FALSE)</f>
        <v>0</v>
      </c>
      <c r="EC227" s="1223">
        <f>$G227*BH227*Variables!$B$53*HLOOKUP($DY$2,Variables!$B$60:$F$61,2,FALSE)</f>
        <v>0</v>
      </c>
      <c r="ED227" s="1223">
        <f>$G227*BI227*Variables!$B$53*HLOOKUP($DY$2,Variables!$B$60:$F$61,2,FALSE)</f>
        <v>0</v>
      </c>
      <c r="EE227" s="1223">
        <f>$G227*BJ227*Variables!$B$53*HLOOKUP($DY$2,Variables!$B$60:$F$61,2,FALSE)</f>
        <v>0</v>
      </c>
      <c r="EF227" s="1223">
        <f>$G227*BK227*Variables!$B$53*HLOOKUP($DY$2,Variables!$B$60:$F$61,2,FALSE)</f>
        <v>0</v>
      </c>
      <c r="EG227" s="1223">
        <f>$G227*BL227*Variables!$B$53*HLOOKUP($DY$2,Variables!$B$60:$F$61,2,FALSE)</f>
        <v>0</v>
      </c>
      <c r="EH227" s="1223">
        <f>$G227*BM227*Variables!$B$53*HLOOKUP($DY$2,Variables!$B$60:$F$61,2,FALSE)</f>
        <v>0</v>
      </c>
      <c r="EI227" s="1223">
        <f>$G227*BN227*Variables!$B$53*HLOOKUP($DY$2,Variables!$B$60:$F$61,2,FALSE)</f>
        <v>0</v>
      </c>
      <c r="EJ227" s="1225">
        <f>$G227*BO227*Variables!$B$53*HLOOKUP($DY$2,Variables!$B$60:$F$61,2,FALSE)</f>
        <v>0</v>
      </c>
      <c r="EK227" s="1222">
        <f>$G227*BP227*Variables!$B$53*HLOOKUP($EK$2,Variables!$B$60:$F$61,2,FALSE)</f>
        <v>0</v>
      </c>
      <c r="EL227" s="1223">
        <f>$G227*BQ227*Variables!$B$53*HLOOKUP($EK$2,Variables!$B$60:$F$61,2,FALSE)</f>
        <v>0</v>
      </c>
      <c r="EM227" s="1223">
        <f>$G227*BR227*Variables!$B$53*HLOOKUP($EK$2,Variables!$B$60:$F$61,2,FALSE)</f>
        <v>0</v>
      </c>
      <c r="EN227" s="1223">
        <f>$G227*BS227*Variables!$B$53*HLOOKUP($EK$2,Variables!$B$60:$F$61,2,FALSE)</f>
        <v>0</v>
      </c>
      <c r="EO227" s="1223">
        <f>$G227*BT227*Variables!$B$53*HLOOKUP($EK$2,Variables!$B$60:$F$61,2,FALSE)</f>
        <v>0</v>
      </c>
      <c r="EP227" s="1223">
        <f>$G227*BU227*Variables!$B$53*HLOOKUP($EK$2,Variables!$B$60:$F$61,2,FALSE)</f>
        <v>0</v>
      </c>
      <c r="EQ227" s="1223">
        <f>$G227*BV227*Variables!$B$53*HLOOKUP($EK$2,Variables!$B$60:$F$61,2,FALSE)</f>
        <v>0</v>
      </c>
      <c r="ER227" s="1223">
        <f>$G227*BW227*Variables!$B$53*HLOOKUP($EK$2,Variables!$B$60:$F$61,2,FALSE)</f>
        <v>0</v>
      </c>
      <c r="ES227" s="1223">
        <f>$G227*BX227*Variables!$B$53*HLOOKUP($EK$2,Variables!$B$60:$F$61,2,FALSE)</f>
        <v>0</v>
      </c>
      <c r="ET227" s="1223">
        <f>$G227*BY227*Variables!$B$53*HLOOKUP($EK$2,Variables!$B$60:$F$61,2,FALSE)</f>
        <v>0</v>
      </c>
      <c r="EU227" s="1223">
        <f>$G227*BZ227*Variables!$B$53*HLOOKUP($EK$2,Variables!$B$60:$F$61,2,FALSE)</f>
        <v>0</v>
      </c>
      <c r="EV227" s="1225">
        <f>$G227*CA227*Variables!$B$53*HLOOKUP($EK$2,Variables!$B$60:$F$61,2,FALSE)</f>
        <v>0</v>
      </c>
      <c r="EW227" s="872">
        <f t="shared" si="29"/>
        <v>0</v>
      </c>
      <c r="EX227" s="872"/>
      <c r="EY227" s="872"/>
      <c r="EZ227" s="872"/>
      <c r="FA227" s="1332"/>
      <c r="FC227" s="958" t="str">
        <f t="shared" si="30"/>
        <v/>
      </c>
      <c r="FD227" s="959" t="str">
        <f t="shared" si="31"/>
        <v/>
      </c>
      <c r="FE227" s="959" t="s">
        <v>8407</v>
      </c>
      <c r="FF227" s="959" t="str">
        <f>IF(ISNA(VLOOKUP(FC227,Miscellaneous!E:F,2,0)),"",VLOOKUP(FC227,Miscellaneous!E:F,2,0))</f>
        <v/>
      </c>
      <c r="FG227" s="959" t="str">
        <f t="shared" si="32"/>
        <v/>
      </c>
      <c r="FH227" s="996">
        <f>IF($FG227="Opex",SUMIF('Monthly Summary'!$C$75:$N$75,"",CC227:CN227),SUMIF('Monthly Summary'!$C$74:$N$74,"",CC227:CN227))</f>
        <v>0</v>
      </c>
      <c r="FI227" s="996">
        <f>IF($FG227="Opex",SUMIF('Monthly Summary'!$O$75:$Z$75,"",CO227:CZ227),SUMIF('Monthly Summary'!$O$74:$Z$74,"",CO227:CZ227))</f>
        <v>0</v>
      </c>
      <c r="FJ227" s="996">
        <f>IF($FG227="Opex",SUMIF('Monthly Summary'!$AA$75:$AL$75,"",DA227:DL227),SUMIF('Monthly Summary'!$AA$74:$AL$74,"",DA227:DL227))</f>
        <v>0</v>
      </c>
      <c r="FK227" s="996">
        <f>IF($FG227="Opex",SUMIF('Monthly Summary'!$AM$75:$AX$75,"",DM227:DX227),SUMIF('Monthly Summary'!$AM$74:$AX$74,"",DM227:DX227))</f>
        <v>0</v>
      </c>
      <c r="FL227" s="996">
        <f>IF($FG227="Opex",SUMIF('Monthly Summary'!$AY$75:$BJ$75,"",DY227:EJ227),SUMIF('Monthly Summary'!$AY$74:$BJ$74,"",DY227:EJ227))</f>
        <v>0</v>
      </c>
      <c r="FM227" s="997">
        <f>IF($FG227="Opex",SUMIF('Monthly Summary'!$BK$75:$BV$75,"",EK227:EV227),SUMIF('Monthly Summary'!$BK$74:$BV$74,"",EK227:EV227))</f>
        <v>0</v>
      </c>
      <c r="FN227" s="997">
        <f t="shared" si="33"/>
        <v>0</v>
      </c>
    </row>
    <row r="228" spans="3:170">
      <c r="C228" s="757"/>
      <c r="D228" s="757"/>
      <c r="E228" s="758"/>
      <c r="F228" s="758"/>
      <c r="G228" s="758"/>
      <c r="H228" s="1215"/>
      <c r="I228" s="761"/>
      <c r="J228" s="761"/>
      <c r="K228" s="761"/>
      <c r="L228" s="761"/>
      <c r="M228" s="761"/>
      <c r="N228" s="761"/>
      <c r="O228" s="761"/>
      <c r="P228" s="761"/>
      <c r="Q228" s="761"/>
      <c r="R228" s="761"/>
      <c r="S228" s="1216"/>
      <c r="T228" s="1215"/>
      <c r="U228" s="761"/>
      <c r="V228" s="761"/>
      <c r="W228" s="761"/>
      <c r="X228" s="761"/>
      <c r="Y228" s="761"/>
      <c r="Z228" s="761"/>
      <c r="AA228" s="761"/>
      <c r="AB228" s="761"/>
      <c r="AC228" s="761"/>
      <c r="AD228" s="761"/>
      <c r="AE228" s="1216"/>
      <c r="AF228" s="1215"/>
      <c r="AG228" s="761"/>
      <c r="AH228" s="761"/>
      <c r="AI228" s="761"/>
      <c r="AJ228" s="761"/>
      <c r="AK228" s="761"/>
      <c r="AL228" s="761"/>
      <c r="AM228" s="761"/>
      <c r="AN228" s="761"/>
      <c r="AO228" s="761"/>
      <c r="AP228" s="761"/>
      <c r="AQ228" s="1216"/>
      <c r="AR228" s="1215"/>
      <c r="AS228" s="761"/>
      <c r="AT228" s="761"/>
      <c r="AU228" s="761"/>
      <c r="AV228" s="761"/>
      <c r="AW228" s="761"/>
      <c r="AX228" s="761"/>
      <c r="AY228" s="761"/>
      <c r="AZ228" s="761"/>
      <c r="BA228" s="761"/>
      <c r="BB228" s="761"/>
      <c r="BC228" s="1216"/>
      <c r="BD228" s="1215"/>
      <c r="BE228" s="761"/>
      <c r="BF228" s="761"/>
      <c r="BG228" s="761"/>
      <c r="BH228" s="761"/>
      <c r="BI228" s="761"/>
      <c r="BJ228" s="761"/>
      <c r="BK228" s="761"/>
      <c r="BL228" s="761"/>
      <c r="BM228" s="761"/>
      <c r="BN228" s="761"/>
      <c r="BO228" s="1216"/>
      <c r="BP228" s="1215"/>
      <c r="BQ228" s="761"/>
      <c r="BR228" s="761"/>
      <c r="BS228" s="761"/>
      <c r="BT228" s="761"/>
      <c r="BU228" s="761"/>
      <c r="BV228" s="761"/>
      <c r="BW228" s="761"/>
      <c r="BX228" s="761"/>
      <c r="BY228" s="761"/>
      <c r="BZ228" s="761"/>
      <c r="CA228" s="1216"/>
      <c r="CB228" s="747"/>
      <c r="CC228" s="1222">
        <f>$G228*H228*Variables!$B$53</f>
        <v>0</v>
      </c>
      <c r="CD228" s="1223">
        <f>$G228*I228*Variables!$B$53</f>
        <v>0</v>
      </c>
      <c r="CE228" s="1223">
        <f>$G228*J228*Variables!$B$53</f>
        <v>0</v>
      </c>
      <c r="CF228" s="1223">
        <f>$G228*K228*Variables!$B$53</f>
        <v>0</v>
      </c>
      <c r="CG228" s="1223">
        <f>$G228*L228*Variables!$B$53</f>
        <v>0</v>
      </c>
      <c r="CH228" s="1223">
        <f>$G228*M228*Variables!$B$53</f>
        <v>0</v>
      </c>
      <c r="CI228" s="1223">
        <f>$G228*N228*Variables!$B$53</f>
        <v>0</v>
      </c>
      <c r="CJ228" s="1223">
        <f>$G228*O228*Variables!$B$53</f>
        <v>0</v>
      </c>
      <c r="CK228" s="1223">
        <f>$G228*P228*Variables!$B$53</f>
        <v>0</v>
      </c>
      <c r="CL228" s="1223">
        <f>$G228*Q228*Variables!$B$53</f>
        <v>0</v>
      </c>
      <c r="CM228" s="1223">
        <f>$G228*R228*Variables!$B$53</f>
        <v>0</v>
      </c>
      <c r="CN228" s="1225">
        <f>$G228*S228*Variables!$B$53</f>
        <v>0</v>
      </c>
      <c r="CO228" s="1222">
        <f>$G228*T228*Variables!$B$53*HLOOKUP($CO$2,Variables!$B$60:$F$61,2,FALSE)</f>
        <v>0</v>
      </c>
      <c r="CP228" s="1223">
        <f>$G228*U228*Variables!$B$53*HLOOKUP($CO$2,Variables!$B$60:$F$61,2,FALSE)</f>
        <v>0</v>
      </c>
      <c r="CQ228" s="1223">
        <f>$G228*V228*Variables!$B$53*HLOOKUP($CO$2,Variables!$B$60:$F$61,2,FALSE)</f>
        <v>0</v>
      </c>
      <c r="CR228" s="1223">
        <f>$G228*W228*Variables!$B$53*HLOOKUP($CO$2,Variables!$B$60:$F$61,2,FALSE)</f>
        <v>0</v>
      </c>
      <c r="CS228" s="1223">
        <f>$G228*X228*Variables!$B$53*HLOOKUP($CO$2,Variables!$B$60:$F$61,2,FALSE)</f>
        <v>0</v>
      </c>
      <c r="CT228" s="1223">
        <f>$G228*Y228*Variables!$B$53*HLOOKUP($CO$2,Variables!$B$60:$F$61,2,FALSE)</f>
        <v>0</v>
      </c>
      <c r="CU228" s="1223">
        <f>$G228*Z228*Variables!$B$53*HLOOKUP($CO$2,Variables!$B$60:$F$61,2,FALSE)</f>
        <v>0</v>
      </c>
      <c r="CV228" s="1223">
        <f>$G228*AA228*Variables!$B$53*HLOOKUP($CO$2,Variables!$B$60:$F$61,2,FALSE)</f>
        <v>0</v>
      </c>
      <c r="CW228" s="1223">
        <f>$G228*AB228*Variables!$B$53*HLOOKUP($CO$2,Variables!$B$60:$F$61,2,FALSE)</f>
        <v>0</v>
      </c>
      <c r="CX228" s="1223">
        <f>$G228*AC228*Variables!$B$53*HLOOKUP($CO$2,Variables!$B$60:$F$61,2,FALSE)</f>
        <v>0</v>
      </c>
      <c r="CY228" s="1223">
        <f>$G228*AD228*Variables!$B$53*HLOOKUP($CO$2,Variables!$B$60:$F$61,2,FALSE)</f>
        <v>0</v>
      </c>
      <c r="CZ228" s="1225">
        <f>$G228*AE228*Variables!$B$53*HLOOKUP($CO$2,Variables!$B$60:$F$61,2,FALSE)</f>
        <v>0</v>
      </c>
      <c r="DA228" s="1222">
        <f>$G228*AF228*Variables!$B$53*HLOOKUP($DA$2,Variables!$B$60:$F$61,2,FALSE)</f>
        <v>0</v>
      </c>
      <c r="DB228" s="1223">
        <f>$G228*AG228*Variables!$B$53*HLOOKUP($DA$2,Variables!$B$60:$F$61,2,FALSE)</f>
        <v>0</v>
      </c>
      <c r="DC228" s="1223">
        <f>$G228*AH228*Variables!$B$53*HLOOKUP($DA$2,Variables!$B$60:$F$61,2,FALSE)</f>
        <v>0</v>
      </c>
      <c r="DD228" s="1223">
        <f>$G228*AI228*Variables!$B$53*HLOOKUP($DA$2,Variables!$B$60:$F$61,2,FALSE)</f>
        <v>0</v>
      </c>
      <c r="DE228" s="1223">
        <f>$G228*AJ228*Variables!$B$53*HLOOKUP($DA$2,Variables!$B$60:$F$61,2,FALSE)</f>
        <v>0</v>
      </c>
      <c r="DF228" s="1223">
        <f>$G228*AK228*Variables!$B$53*HLOOKUP($DA$2,Variables!$B$60:$F$61,2,FALSE)</f>
        <v>0</v>
      </c>
      <c r="DG228" s="1223">
        <f>$G228*AL228*Variables!$B$53*HLOOKUP($DA$2,Variables!$B$60:$F$61,2,FALSE)</f>
        <v>0</v>
      </c>
      <c r="DH228" s="1223">
        <f>$G228*AM228*Variables!$B$53*HLOOKUP($DA$2,Variables!$B$60:$F$61,2,FALSE)</f>
        <v>0</v>
      </c>
      <c r="DI228" s="1223">
        <f>$G228*AN228*Variables!$B$53*HLOOKUP($DA$2,Variables!$B$60:$F$61,2,FALSE)</f>
        <v>0</v>
      </c>
      <c r="DJ228" s="1223">
        <f>$G228*AO228*Variables!$B$53*HLOOKUP($DA$2,Variables!$B$60:$F$61,2,FALSE)</f>
        <v>0</v>
      </c>
      <c r="DK228" s="1223">
        <f>$G228*AP228*Variables!$B$53*HLOOKUP($DA$2,Variables!$B$60:$F$61,2,FALSE)</f>
        <v>0</v>
      </c>
      <c r="DL228" s="1225">
        <f>$G228*AQ228*Variables!$B$53*HLOOKUP($DA$2,Variables!$B$60:$F$61,2,FALSE)</f>
        <v>0</v>
      </c>
      <c r="DM228" s="1222">
        <f>$G228*AR228*Variables!$B$53*HLOOKUP($DM$2,Variables!$B$60:$F$61,2,FALSE)</f>
        <v>0</v>
      </c>
      <c r="DN228" s="1223">
        <f>$G228*AS228*Variables!$B$53*HLOOKUP($DM$2,Variables!$B$60:$F$61,2,FALSE)</f>
        <v>0</v>
      </c>
      <c r="DO228" s="1223">
        <f>$G228*AT228*Variables!$B$53*HLOOKUP($DM$2,Variables!$B$60:$F$61,2,FALSE)</f>
        <v>0</v>
      </c>
      <c r="DP228" s="1223">
        <f>$G228*AU228*Variables!$B$53*HLOOKUP($DM$2,Variables!$B$60:$F$61,2,FALSE)</f>
        <v>0</v>
      </c>
      <c r="DQ228" s="1223">
        <f>$G228*AV228*Variables!$B$53*HLOOKUP($DM$2,Variables!$B$60:$F$61,2,FALSE)</f>
        <v>0</v>
      </c>
      <c r="DR228" s="1223">
        <f>$G228*AW228*Variables!$B$53*HLOOKUP($DM$2,Variables!$B$60:$F$61,2,FALSE)</f>
        <v>0</v>
      </c>
      <c r="DS228" s="1223">
        <f>$G228*AX228*Variables!$B$53*HLOOKUP($DM$2,Variables!$B$60:$F$61,2,FALSE)</f>
        <v>0</v>
      </c>
      <c r="DT228" s="1223">
        <f>$G228*AY228*Variables!$B$53*HLOOKUP($DM$2,Variables!$B$60:$F$61,2,FALSE)</f>
        <v>0</v>
      </c>
      <c r="DU228" s="1223">
        <f>$G228*AZ228*Variables!$B$53*HLOOKUP($DM$2,Variables!$B$60:$F$61,2,FALSE)</f>
        <v>0</v>
      </c>
      <c r="DV228" s="1223">
        <f>$G228*BA228*Variables!$B$53*HLOOKUP($DM$2,Variables!$B$60:$F$61,2,FALSE)</f>
        <v>0</v>
      </c>
      <c r="DW228" s="1223">
        <f>$G228*BB228*Variables!$B$53*HLOOKUP($DM$2,Variables!$B$60:$F$61,2,FALSE)</f>
        <v>0</v>
      </c>
      <c r="DX228" s="1225">
        <f>$G228*BC228*Variables!$B$53*HLOOKUP($DM$2,Variables!$B$60:$F$61,2,FALSE)</f>
        <v>0</v>
      </c>
      <c r="DY228" s="1222">
        <f>$G228*BD228*Variables!$B$53*HLOOKUP($DY$2,Variables!$B$60:$F$61,2,FALSE)</f>
        <v>0</v>
      </c>
      <c r="DZ228" s="1223">
        <f>$G228*BE228*Variables!$B$53*HLOOKUP($DY$2,Variables!$B$60:$F$61,2,FALSE)</f>
        <v>0</v>
      </c>
      <c r="EA228" s="1223">
        <f>$G228*BF228*Variables!$B$53*HLOOKUP($DY$2,Variables!$B$60:$F$61,2,FALSE)</f>
        <v>0</v>
      </c>
      <c r="EB228" s="1223">
        <f>$G228*BG228*Variables!$B$53*HLOOKUP($DY$2,Variables!$B$60:$F$61,2,FALSE)</f>
        <v>0</v>
      </c>
      <c r="EC228" s="1223">
        <f>$G228*BH228*Variables!$B$53*HLOOKUP($DY$2,Variables!$B$60:$F$61,2,FALSE)</f>
        <v>0</v>
      </c>
      <c r="ED228" s="1223">
        <f>$G228*BI228*Variables!$B$53*HLOOKUP($DY$2,Variables!$B$60:$F$61,2,FALSE)</f>
        <v>0</v>
      </c>
      <c r="EE228" s="1223">
        <f>$G228*BJ228*Variables!$B$53*HLOOKUP($DY$2,Variables!$B$60:$F$61,2,FALSE)</f>
        <v>0</v>
      </c>
      <c r="EF228" s="1223">
        <f>$G228*BK228*Variables!$B$53*HLOOKUP($DY$2,Variables!$B$60:$F$61,2,FALSE)</f>
        <v>0</v>
      </c>
      <c r="EG228" s="1223">
        <f>$G228*BL228*Variables!$B$53*HLOOKUP($DY$2,Variables!$B$60:$F$61,2,FALSE)</f>
        <v>0</v>
      </c>
      <c r="EH228" s="1223">
        <f>$G228*BM228*Variables!$B$53*HLOOKUP($DY$2,Variables!$B$60:$F$61,2,FALSE)</f>
        <v>0</v>
      </c>
      <c r="EI228" s="1223">
        <f>$G228*BN228*Variables!$B$53*HLOOKUP($DY$2,Variables!$B$60:$F$61,2,FALSE)</f>
        <v>0</v>
      </c>
      <c r="EJ228" s="1225">
        <f>$G228*BO228*Variables!$B$53*HLOOKUP($DY$2,Variables!$B$60:$F$61,2,FALSE)</f>
        <v>0</v>
      </c>
      <c r="EK228" s="1222">
        <f>$G228*BP228*Variables!$B$53*HLOOKUP($EK$2,Variables!$B$60:$F$61,2,FALSE)</f>
        <v>0</v>
      </c>
      <c r="EL228" s="1223">
        <f>$G228*BQ228*Variables!$B$53*HLOOKUP($EK$2,Variables!$B$60:$F$61,2,FALSE)</f>
        <v>0</v>
      </c>
      <c r="EM228" s="1223">
        <f>$G228*BR228*Variables!$B$53*HLOOKUP($EK$2,Variables!$B$60:$F$61,2,FALSE)</f>
        <v>0</v>
      </c>
      <c r="EN228" s="1223">
        <f>$G228*BS228*Variables!$B$53*HLOOKUP($EK$2,Variables!$B$60:$F$61,2,FALSE)</f>
        <v>0</v>
      </c>
      <c r="EO228" s="1223">
        <f>$G228*BT228*Variables!$B$53*HLOOKUP($EK$2,Variables!$B$60:$F$61,2,FALSE)</f>
        <v>0</v>
      </c>
      <c r="EP228" s="1223">
        <f>$G228*BU228*Variables!$B$53*HLOOKUP($EK$2,Variables!$B$60:$F$61,2,FALSE)</f>
        <v>0</v>
      </c>
      <c r="EQ228" s="1223">
        <f>$G228*BV228*Variables!$B$53*HLOOKUP($EK$2,Variables!$B$60:$F$61,2,FALSE)</f>
        <v>0</v>
      </c>
      <c r="ER228" s="1223">
        <f>$G228*BW228*Variables!$B$53*HLOOKUP($EK$2,Variables!$B$60:$F$61,2,FALSE)</f>
        <v>0</v>
      </c>
      <c r="ES228" s="1223">
        <f>$G228*BX228*Variables!$B$53*HLOOKUP($EK$2,Variables!$B$60:$F$61,2,FALSE)</f>
        <v>0</v>
      </c>
      <c r="ET228" s="1223">
        <f>$G228*BY228*Variables!$B$53*HLOOKUP($EK$2,Variables!$B$60:$F$61,2,FALSE)</f>
        <v>0</v>
      </c>
      <c r="EU228" s="1223">
        <f>$G228*BZ228*Variables!$B$53*HLOOKUP($EK$2,Variables!$B$60:$F$61,2,FALSE)</f>
        <v>0</v>
      </c>
      <c r="EV228" s="1225">
        <f>$G228*CA228*Variables!$B$53*HLOOKUP($EK$2,Variables!$B$60:$F$61,2,FALSE)</f>
        <v>0</v>
      </c>
      <c r="EW228" s="872">
        <f t="shared" si="29"/>
        <v>0</v>
      </c>
      <c r="EX228" s="872"/>
      <c r="EY228" s="872"/>
      <c r="EZ228" s="872"/>
      <c r="FA228" s="1332"/>
      <c r="FC228" s="958" t="str">
        <f t="shared" si="30"/>
        <v/>
      </c>
      <c r="FD228" s="959" t="str">
        <f t="shared" si="31"/>
        <v/>
      </c>
      <c r="FE228" s="959" t="s">
        <v>8407</v>
      </c>
      <c r="FF228" s="959" t="str">
        <f>IF(ISNA(VLOOKUP(FC228,Miscellaneous!E:F,2,0)),"",VLOOKUP(FC228,Miscellaneous!E:F,2,0))</f>
        <v/>
      </c>
      <c r="FG228" s="959" t="str">
        <f t="shared" si="32"/>
        <v/>
      </c>
      <c r="FH228" s="996">
        <f>IF($FG228="Opex",SUMIF('Monthly Summary'!$C$75:$N$75,"",CC228:CN228),SUMIF('Monthly Summary'!$C$74:$N$74,"",CC228:CN228))</f>
        <v>0</v>
      </c>
      <c r="FI228" s="996">
        <f>IF($FG228="Opex",SUMIF('Monthly Summary'!$O$75:$Z$75,"",CO228:CZ228),SUMIF('Monthly Summary'!$O$74:$Z$74,"",CO228:CZ228))</f>
        <v>0</v>
      </c>
      <c r="FJ228" s="996">
        <f>IF($FG228="Opex",SUMIF('Monthly Summary'!$AA$75:$AL$75,"",DA228:DL228),SUMIF('Monthly Summary'!$AA$74:$AL$74,"",DA228:DL228))</f>
        <v>0</v>
      </c>
      <c r="FK228" s="996">
        <f>IF($FG228="Opex",SUMIF('Monthly Summary'!$AM$75:$AX$75,"",DM228:DX228),SUMIF('Monthly Summary'!$AM$74:$AX$74,"",DM228:DX228))</f>
        <v>0</v>
      </c>
      <c r="FL228" s="996">
        <f>IF($FG228="Opex",SUMIF('Monthly Summary'!$AY$75:$BJ$75,"",DY228:EJ228),SUMIF('Monthly Summary'!$AY$74:$BJ$74,"",DY228:EJ228))</f>
        <v>0</v>
      </c>
      <c r="FM228" s="997">
        <f>IF($FG228="Opex",SUMIF('Monthly Summary'!$BK$75:$BV$75,"",EK228:EV228),SUMIF('Monthly Summary'!$BK$74:$BV$74,"",EK228:EV228))</f>
        <v>0</v>
      </c>
      <c r="FN228" s="997">
        <f t="shared" si="33"/>
        <v>0</v>
      </c>
    </row>
    <row r="229" spans="3:170">
      <c r="C229" s="757"/>
      <c r="D229" s="757"/>
      <c r="E229" s="758"/>
      <c r="F229" s="758"/>
      <c r="G229" s="758"/>
      <c r="H229" s="1215"/>
      <c r="I229" s="761"/>
      <c r="J229" s="761"/>
      <c r="K229" s="761"/>
      <c r="L229" s="761"/>
      <c r="M229" s="761"/>
      <c r="N229" s="761"/>
      <c r="O229" s="761"/>
      <c r="P229" s="761"/>
      <c r="Q229" s="761"/>
      <c r="R229" s="761"/>
      <c r="S229" s="1216"/>
      <c r="T229" s="1215"/>
      <c r="U229" s="761"/>
      <c r="V229" s="761"/>
      <c r="W229" s="761"/>
      <c r="X229" s="761"/>
      <c r="Y229" s="761"/>
      <c r="Z229" s="761"/>
      <c r="AA229" s="761"/>
      <c r="AB229" s="761"/>
      <c r="AC229" s="761"/>
      <c r="AD229" s="761"/>
      <c r="AE229" s="1216"/>
      <c r="AF229" s="1215"/>
      <c r="AG229" s="761"/>
      <c r="AH229" s="761"/>
      <c r="AI229" s="761"/>
      <c r="AJ229" s="761"/>
      <c r="AK229" s="761"/>
      <c r="AL229" s="761"/>
      <c r="AM229" s="761"/>
      <c r="AN229" s="761"/>
      <c r="AO229" s="761"/>
      <c r="AP229" s="761"/>
      <c r="AQ229" s="1216"/>
      <c r="AR229" s="1215"/>
      <c r="AS229" s="761"/>
      <c r="AT229" s="761"/>
      <c r="AU229" s="761"/>
      <c r="AV229" s="761"/>
      <c r="AW229" s="761"/>
      <c r="AX229" s="761"/>
      <c r="AY229" s="761"/>
      <c r="AZ229" s="761"/>
      <c r="BA229" s="761"/>
      <c r="BB229" s="761"/>
      <c r="BC229" s="1216"/>
      <c r="BD229" s="1215"/>
      <c r="BE229" s="761"/>
      <c r="BF229" s="761"/>
      <c r="BG229" s="761"/>
      <c r="BH229" s="761"/>
      <c r="BI229" s="761"/>
      <c r="BJ229" s="761"/>
      <c r="BK229" s="761"/>
      <c r="BL229" s="761"/>
      <c r="BM229" s="761"/>
      <c r="BN229" s="761"/>
      <c r="BO229" s="1216"/>
      <c r="BP229" s="1215"/>
      <c r="BQ229" s="761"/>
      <c r="BR229" s="761"/>
      <c r="BS229" s="761"/>
      <c r="BT229" s="761"/>
      <c r="BU229" s="761"/>
      <c r="BV229" s="761"/>
      <c r="BW229" s="761"/>
      <c r="BX229" s="761"/>
      <c r="BY229" s="761"/>
      <c r="BZ229" s="761"/>
      <c r="CA229" s="1216"/>
      <c r="CB229" s="747"/>
      <c r="CC229" s="1222">
        <f>$G229*H229*Variables!$B$53</f>
        <v>0</v>
      </c>
      <c r="CD229" s="1223">
        <f>$G229*I229*Variables!$B$53</f>
        <v>0</v>
      </c>
      <c r="CE229" s="1223">
        <f>$G229*J229*Variables!$B$53</f>
        <v>0</v>
      </c>
      <c r="CF229" s="1223">
        <f>$G229*K229*Variables!$B$53</f>
        <v>0</v>
      </c>
      <c r="CG229" s="1223">
        <f>$G229*L229*Variables!$B$53</f>
        <v>0</v>
      </c>
      <c r="CH229" s="1223">
        <f>$G229*M229*Variables!$B$53</f>
        <v>0</v>
      </c>
      <c r="CI229" s="1223">
        <f>$G229*N229*Variables!$B$53</f>
        <v>0</v>
      </c>
      <c r="CJ229" s="1223">
        <f>$G229*O229*Variables!$B$53</f>
        <v>0</v>
      </c>
      <c r="CK229" s="1223">
        <f>$G229*P229*Variables!$B$53</f>
        <v>0</v>
      </c>
      <c r="CL229" s="1223">
        <f>$G229*Q229*Variables!$B$53</f>
        <v>0</v>
      </c>
      <c r="CM229" s="1223">
        <f>$G229*R229*Variables!$B$53</f>
        <v>0</v>
      </c>
      <c r="CN229" s="1225">
        <f>$G229*S229*Variables!$B$53</f>
        <v>0</v>
      </c>
      <c r="CO229" s="1222">
        <f>$G229*T229*Variables!$B$53*HLOOKUP($CO$2,Variables!$B$60:$F$61,2,FALSE)</f>
        <v>0</v>
      </c>
      <c r="CP229" s="1223">
        <f>$G229*U229*Variables!$B$53*HLOOKUP($CO$2,Variables!$B$60:$F$61,2,FALSE)</f>
        <v>0</v>
      </c>
      <c r="CQ229" s="1223">
        <f>$G229*V229*Variables!$B$53*HLOOKUP($CO$2,Variables!$B$60:$F$61,2,FALSE)</f>
        <v>0</v>
      </c>
      <c r="CR229" s="1223">
        <f>$G229*W229*Variables!$B$53*HLOOKUP($CO$2,Variables!$B$60:$F$61,2,FALSE)</f>
        <v>0</v>
      </c>
      <c r="CS229" s="1223">
        <f>$G229*X229*Variables!$B$53*HLOOKUP($CO$2,Variables!$B$60:$F$61,2,FALSE)</f>
        <v>0</v>
      </c>
      <c r="CT229" s="1223">
        <f>$G229*Y229*Variables!$B$53*HLOOKUP($CO$2,Variables!$B$60:$F$61,2,FALSE)</f>
        <v>0</v>
      </c>
      <c r="CU229" s="1223">
        <f>$G229*Z229*Variables!$B$53*HLOOKUP($CO$2,Variables!$B$60:$F$61,2,FALSE)</f>
        <v>0</v>
      </c>
      <c r="CV229" s="1223">
        <f>$G229*AA229*Variables!$B$53*HLOOKUP($CO$2,Variables!$B$60:$F$61,2,FALSE)</f>
        <v>0</v>
      </c>
      <c r="CW229" s="1223">
        <f>$G229*AB229*Variables!$B$53*HLOOKUP($CO$2,Variables!$B$60:$F$61,2,FALSE)</f>
        <v>0</v>
      </c>
      <c r="CX229" s="1223">
        <f>$G229*AC229*Variables!$B$53*HLOOKUP($CO$2,Variables!$B$60:$F$61,2,FALSE)</f>
        <v>0</v>
      </c>
      <c r="CY229" s="1223">
        <f>$G229*AD229*Variables!$B$53*HLOOKUP($CO$2,Variables!$B$60:$F$61,2,FALSE)</f>
        <v>0</v>
      </c>
      <c r="CZ229" s="1225">
        <f>$G229*AE229*Variables!$B$53*HLOOKUP($CO$2,Variables!$B$60:$F$61,2,FALSE)</f>
        <v>0</v>
      </c>
      <c r="DA229" s="1222">
        <f>$G229*AF229*Variables!$B$53*HLOOKUP($DA$2,Variables!$B$60:$F$61,2,FALSE)</f>
        <v>0</v>
      </c>
      <c r="DB229" s="1223">
        <f>$G229*AG229*Variables!$B$53*HLOOKUP($DA$2,Variables!$B$60:$F$61,2,FALSE)</f>
        <v>0</v>
      </c>
      <c r="DC229" s="1223">
        <f>$G229*AH229*Variables!$B$53*HLOOKUP($DA$2,Variables!$B$60:$F$61,2,FALSE)</f>
        <v>0</v>
      </c>
      <c r="DD229" s="1223">
        <f>$G229*AI229*Variables!$B$53*HLOOKUP($DA$2,Variables!$B$60:$F$61,2,FALSE)</f>
        <v>0</v>
      </c>
      <c r="DE229" s="1223">
        <f>$G229*AJ229*Variables!$B$53*HLOOKUP($DA$2,Variables!$B$60:$F$61,2,FALSE)</f>
        <v>0</v>
      </c>
      <c r="DF229" s="1223">
        <f>$G229*AK229*Variables!$B$53*HLOOKUP($DA$2,Variables!$B$60:$F$61,2,FALSE)</f>
        <v>0</v>
      </c>
      <c r="DG229" s="1223">
        <f>$G229*AL229*Variables!$B$53*HLOOKUP($DA$2,Variables!$B$60:$F$61,2,FALSE)</f>
        <v>0</v>
      </c>
      <c r="DH229" s="1223">
        <f>$G229*AM229*Variables!$B$53*HLOOKUP($DA$2,Variables!$B$60:$F$61,2,FALSE)</f>
        <v>0</v>
      </c>
      <c r="DI229" s="1223">
        <f>$G229*AN229*Variables!$B$53*HLOOKUP($DA$2,Variables!$B$60:$F$61,2,FALSE)</f>
        <v>0</v>
      </c>
      <c r="DJ229" s="1223">
        <f>$G229*AO229*Variables!$B$53*HLOOKUP($DA$2,Variables!$B$60:$F$61,2,FALSE)</f>
        <v>0</v>
      </c>
      <c r="DK229" s="1223">
        <f>$G229*AP229*Variables!$B$53*HLOOKUP($DA$2,Variables!$B$60:$F$61,2,FALSE)</f>
        <v>0</v>
      </c>
      <c r="DL229" s="1225">
        <f>$G229*AQ229*Variables!$B$53*HLOOKUP($DA$2,Variables!$B$60:$F$61,2,FALSE)</f>
        <v>0</v>
      </c>
      <c r="DM229" s="1222">
        <f>$G229*AR229*Variables!$B$53*HLOOKUP($DM$2,Variables!$B$60:$F$61,2,FALSE)</f>
        <v>0</v>
      </c>
      <c r="DN229" s="1223">
        <f>$G229*AS229*Variables!$B$53*HLOOKUP($DM$2,Variables!$B$60:$F$61,2,FALSE)</f>
        <v>0</v>
      </c>
      <c r="DO229" s="1223">
        <f>$G229*AT229*Variables!$B$53*HLOOKUP($DM$2,Variables!$B$60:$F$61,2,FALSE)</f>
        <v>0</v>
      </c>
      <c r="DP229" s="1223">
        <f>$G229*AU229*Variables!$B$53*HLOOKUP($DM$2,Variables!$B$60:$F$61,2,FALSE)</f>
        <v>0</v>
      </c>
      <c r="DQ229" s="1223">
        <f>$G229*AV229*Variables!$B$53*HLOOKUP($DM$2,Variables!$B$60:$F$61,2,FALSE)</f>
        <v>0</v>
      </c>
      <c r="DR229" s="1223">
        <f>$G229*AW229*Variables!$B$53*HLOOKUP($DM$2,Variables!$B$60:$F$61,2,FALSE)</f>
        <v>0</v>
      </c>
      <c r="DS229" s="1223">
        <f>$G229*AX229*Variables!$B$53*HLOOKUP($DM$2,Variables!$B$60:$F$61,2,FALSE)</f>
        <v>0</v>
      </c>
      <c r="DT229" s="1223">
        <f>$G229*AY229*Variables!$B$53*HLOOKUP($DM$2,Variables!$B$60:$F$61,2,FALSE)</f>
        <v>0</v>
      </c>
      <c r="DU229" s="1223">
        <f>$G229*AZ229*Variables!$B$53*HLOOKUP($DM$2,Variables!$B$60:$F$61,2,FALSE)</f>
        <v>0</v>
      </c>
      <c r="DV229" s="1223">
        <f>$G229*BA229*Variables!$B$53*HLOOKUP($DM$2,Variables!$B$60:$F$61,2,FALSE)</f>
        <v>0</v>
      </c>
      <c r="DW229" s="1223">
        <f>$G229*BB229*Variables!$B$53*HLOOKUP($DM$2,Variables!$B$60:$F$61,2,FALSE)</f>
        <v>0</v>
      </c>
      <c r="DX229" s="1225">
        <f>$G229*BC229*Variables!$B$53*HLOOKUP($DM$2,Variables!$B$60:$F$61,2,FALSE)</f>
        <v>0</v>
      </c>
      <c r="DY229" s="1222">
        <f>$G229*BD229*Variables!$B$53*HLOOKUP($DY$2,Variables!$B$60:$F$61,2,FALSE)</f>
        <v>0</v>
      </c>
      <c r="DZ229" s="1223">
        <f>$G229*BE229*Variables!$B$53*HLOOKUP($DY$2,Variables!$B$60:$F$61,2,FALSE)</f>
        <v>0</v>
      </c>
      <c r="EA229" s="1223">
        <f>$G229*BF229*Variables!$B$53*HLOOKUP($DY$2,Variables!$B$60:$F$61,2,FALSE)</f>
        <v>0</v>
      </c>
      <c r="EB229" s="1223">
        <f>$G229*BG229*Variables!$B$53*HLOOKUP($DY$2,Variables!$B$60:$F$61,2,FALSE)</f>
        <v>0</v>
      </c>
      <c r="EC229" s="1223">
        <f>$G229*BH229*Variables!$B$53*HLOOKUP($DY$2,Variables!$B$60:$F$61,2,FALSE)</f>
        <v>0</v>
      </c>
      <c r="ED229" s="1223">
        <f>$G229*BI229*Variables!$B$53*HLOOKUP($DY$2,Variables!$B$60:$F$61,2,FALSE)</f>
        <v>0</v>
      </c>
      <c r="EE229" s="1223">
        <f>$G229*BJ229*Variables!$B$53*HLOOKUP($DY$2,Variables!$B$60:$F$61,2,FALSE)</f>
        <v>0</v>
      </c>
      <c r="EF229" s="1223">
        <f>$G229*BK229*Variables!$B$53*HLOOKUP($DY$2,Variables!$B$60:$F$61,2,FALSE)</f>
        <v>0</v>
      </c>
      <c r="EG229" s="1223">
        <f>$G229*BL229*Variables!$B$53*HLOOKUP($DY$2,Variables!$B$60:$F$61,2,FALSE)</f>
        <v>0</v>
      </c>
      <c r="EH229" s="1223">
        <f>$G229*BM229*Variables!$B$53*HLOOKUP($DY$2,Variables!$B$60:$F$61,2,FALSE)</f>
        <v>0</v>
      </c>
      <c r="EI229" s="1223">
        <f>$G229*BN229*Variables!$B$53*HLOOKUP($DY$2,Variables!$B$60:$F$61,2,FALSE)</f>
        <v>0</v>
      </c>
      <c r="EJ229" s="1225">
        <f>$G229*BO229*Variables!$B$53*HLOOKUP($DY$2,Variables!$B$60:$F$61,2,FALSE)</f>
        <v>0</v>
      </c>
      <c r="EK229" s="1222">
        <f>$G229*BP229*Variables!$B$53*HLOOKUP($EK$2,Variables!$B$60:$F$61,2,FALSE)</f>
        <v>0</v>
      </c>
      <c r="EL229" s="1223">
        <f>$G229*BQ229*Variables!$B$53*HLOOKUP($EK$2,Variables!$B$60:$F$61,2,FALSE)</f>
        <v>0</v>
      </c>
      <c r="EM229" s="1223">
        <f>$G229*BR229*Variables!$B$53*HLOOKUP($EK$2,Variables!$B$60:$F$61,2,FALSE)</f>
        <v>0</v>
      </c>
      <c r="EN229" s="1223">
        <f>$G229*BS229*Variables!$B$53*HLOOKUP($EK$2,Variables!$B$60:$F$61,2,FALSE)</f>
        <v>0</v>
      </c>
      <c r="EO229" s="1223">
        <f>$G229*BT229*Variables!$B$53*HLOOKUP($EK$2,Variables!$B$60:$F$61,2,FALSE)</f>
        <v>0</v>
      </c>
      <c r="EP229" s="1223">
        <f>$G229*BU229*Variables!$B$53*HLOOKUP($EK$2,Variables!$B$60:$F$61,2,FALSE)</f>
        <v>0</v>
      </c>
      <c r="EQ229" s="1223">
        <f>$G229*BV229*Variables!$B$53*HLOOKUP($EK$2,Variables!$B$60:$F$61,2,FALSE)</f>
        <v>0</v>
      </c>
      <c r="ER229" s="1223">
        <f>$G229*BW229*Variables!$B$53*HLOOKUP($EK$2,Variables!$B$60:$F$61,2,FALSE)</f>
        <v>0</v>
      </c>
      <c r="ES229" s="1223">
        <f>$G229*BX229*Variables!$B$53*HLOOKUP($EK$2,Variables!$B$60:$F$61,2,FALSE)</f>
        <v>0</v>
      </c>
      <c r="ET229" s="1223">
        <f>$G229*BY229*Variables!$B$53*HLOOKUP($EK$2,Variables!$B$60:$F$61,2,FALSE)</f>
        <v>0</v>
      </c>
      <c r="EU229" s="1223">
        <f>$G229*BZ229*Variables!$B$53*HLOOKUP($EK$2,Variables!$B$60:$F$61,2,FALSE)</f>
        <v>0</v>
      </c>
      <c r="EV229" s="1225">
        <f>$G229*CA229*Variables!$B$53*HLOOKUP($EK$2,Variables!$B$60:$F$61,2,FALSE)</f>
        <v>0</v>
      </c>
      <c r="EW229" s="872">
        <f t="shared" si="29"/>
        <v>0</v>
      </c>
      <c r="EX229" s="872"/>
      <c r="EY229" s="872"/>
      <c r="EZ229" s="872"/>
      <c r="FA229" s="1332"/>
      <c r="FC229" s="958" t="str">
        <f t="shared" si="30"/>
        <v/>
      </c>
      <c r="FD229" s="959" t="str">
        <f t="shared" si="31"/>
        <v/>
      </c>
      <c r="FE229" s="959" t="s">
        <v>8407</v>
      </c>
      <c r="FF229" s="959" t="str">
        <f>IF(ISNA(VLOOKUP(FC229,Miscellaneous!E:F,2,0)),"",VLOOKUP(FC229,Miscellaneous!E:F,2,0))</f>
        <v/>
      </c>
      <c r="FG229" s="959" t="str">
        <f t="shared" si="32"/>
        <v/>
      </c>
      <c r="FH229" s="996">
        <f>IF($FG229="Opex",SUMIF('Monthly Summary'!$C$75:$N$75,"",CC229:CN229),SUMIF('Monthly Summary'!$C$74:$N$74,"",CC229:CN229))</f>
        <v>0</v>
      </c>
      <c r="FI229" s="996">
        <f>IF($FG229="Opex",SUMIF('Monthly Summary'!$O$75:$Z$75,"",CO229:CZ229),SUMIF('Monthly Summary'!$O$74:$Z$74,"",CO229:CZ229))</f>
        <v>0</v>
      </c>
      <c r="FJ229" s="996">
        <f>IF($FG229="Opex",SUMIF('Monthly Summary'!$AA$75:$AL$75,"",DA229:DL229),SUMIF('Monthly Summary'!$AA$74:$AL$74,"",DA229:DL229))</f>
        <v>0</v>
      </c>
      <c r="FK229" s="996">
        <f>IF($FG229="Opex",SUMIF('Monthly Summary'!$AM$75:$AX$75,"",DM229:DX229),SUMIF('Monthly Summary'!$AM$74:$AX$74,"",DM229:DX229))</f>
        <v>0</v>
      </c>
      <c r="FL229" s="996">
        <f>IF($FG229="Opex",SUMIF('Monthly Summary'!$AY$75:$BJ$75,"",DY229:EJ229),SUMIF('Monthly Summary'!$AY$74:$BJ$74,"",DY229:EJ229))</f>
        <v>0</v>
      </c>
      <c r="FM229" s="997">
        <f>IF($FG229="Opex",SUMIF('Monthly Summary'!$BK$75:$BV$75,"",EK229:EV229),SUMIF('Monthly Summary'!$BK$74:$BV$74,"",EK229:EV229))</f>
        <v>0</v>
      </c>
      <c r="FN229" s="997">
        <f t="shared" si="33"/>
        <v>0</v>
      </c>
    </row>
    <row r="230" spans="3:170">
      <c r="C230" s="757"/>
      <c r="D230" s="757"/>
      <c r="E230" s="758"/>
      <c r="F230" s="758"/>
      <c r="G230" s="758"/>
      <c r="H230" s="1215"/>
      <c r="I230" s="761"/>
      <c r="J230" s="761"/>
      <c r="K230" s="761"/>
      <c r="L230" s="761"/>
      <c r="M230" s="761"/>
      <c r="N230" s="761"/>
      <c r="O230" s="761"/>
      <c r="P230" s="761"/>
      <c r="Q230" s="761"/>
      <c r="R230" s="761"/>
      <c r="S230" s="1216"/>
      <c r="T230" s="1215"/>
      <c r="U230" s="761"/>
      <c r="V230" s="761"/>
      <c r="W230" s="761"/>
      <c r="X230" s="761"/>
      <c r="Y230" s="761"/>
      <c r="Z230" s="761"/>
      <c r="AA230" s="761"/>
      <c r="AB230" s="761"/>
      <c r="AC230" s="761"/>
      <c r="AD230" s="761"/>
      <c r="AE230" s="1216"/>
      <c r="AF230" s="1215"/>
      <c r="AG230" s="761"/>
      <c r="AH230" s="761"/>
      <c r="AI230" s="761"/>
      <c r="AJ230" s="761"/>
      <c r="AK230" s="761"/>
      <c r="AL230" s="761"/>
      <c r="AM230" s="761"/>
      <c r="AN230" s="761"/>
      <c r="AO230" s="761"/>
      <c r="AP230" s="761"/>
      <c r="AQ230" s="1216"/>
      <c r="AR230" s="1215"/>
      <c r="AS230" s="761"/>
      <c r="AT230" s="761"/>
      <c r="AU230" s="761"/>
      <c r="AV230" s="761"/>
      <c r="AW230" s="761"/>
      <c r="AX230" s="761"/>
      <c r="AY230" s="761"/>
      <c r="AZ230" s="761"/>
      <c r="BA230" s="761"/>
      <c r="BB230" s="761"/>
      <c r="BC230" s="1216"/>
      <c r="BD230" s="1215"/>
      <c r="BE230" s="761"/>
      <c r="BF230" s="761"/>
      <c r="BG230" s="761"/>
      <c r="BH230" s="761"/>
      <c r="BI230" s="761"/>
      <c r="BJ230" s="761"/>
      <c r="BK230" s="761"/>
      <c r="BL230" s="761"/>
      <c r="BM230" s="761"/>
      <c r="BN230" s="761"/>
      <c r="BO230" s="1216"/>
      <c r="BP230" s="1215"/>
      <c r="BQ230" s="761"/>
      <c r="BR230" s="761"/>
      <c r="BS230" s="761"/>
      <c r="BT230" s="761"/>
      <c r="BU230" s="761"/>
      <c r="BV230" s="761"/>
      <c r="BW230" s="761"/>
      <c r="BX230" s="761"/>
      <c r="BY230" s="761"/>
      <c r="BZ230" s="761"/>
      <c r="CA230" s="1216"/>
      <c r="CB230" s="747"/>
      <c r="CC230" s="1222">
        <f>$G230*H230*Variables!$B$53</f>
        <v>0</v>
      </c>
      <c r="CD230" s="1223">
        <f>$G230*I230*Variables!$B$53</f>
        <v>0</v>
      </c>
      <c r="CE230" s="1223">
        <f>$G230*J230*Variables!$B$53</f>
        <v>0</v>
      </c>
      <c r="CF230" s="1223">
        <f>$G230*K230*Variables!$B$53</f>
        <v>0</v>
      </c>
      <c r="CG230" s="1223">
        <f>$G230*L230*Variables!$B$53</f>
        <v>0</v>
      </c>
      <c r="CH230" s="1223">
        <f>$G230*M230*Variables!$B$53</f>
        <v>0</v>
      </c>
      <c r="CI230" s="1223">
        <f>$G230*N230*Variables!$B$53</f>
        <v>0</v>
      </c>
      <c r="CJ230" s="1223">
        <f>$G230*O230*Variables!$B$53</f>
        <v>0</v>
      </c>
      <c r="CK230" s="1223">
        <f>$G230*P230*Variables!$B$53</f>
        <v>0</v>
      </c>
      <c r="CL230" s="1223">
        <f>$G230*Q230*Variables!$B$53</f>
        <v>0</v>
      </c>
      <c r="CM230" s="1223">
        <f>$G230*R230*Variables!$B$53</f>
        <v>0</v>
      </c>
      <c r="CN230" s="1225">
        <f>$G230*S230*Variables!$B$53</f>
        <v>0</v>
      </c>
      <c r="CO230" s="1222">
        <f>$G230*T230*Variables!$B$53*HLOOKUP($CO$2,Variables!$B$60:$F$61,2,FALSE)</f>
        <v>0</v>
      </c>
      <c r="CP230" s="1223">
        <f>$G230*U230*Variables!$B$53*HLOOKUP($CO$2,Variables!$B$60:$F$61,2,FALSE)</f>
        <v>0</v>
      </c>
      <c r="CQ230" s="1223">
        <f>$G230*V230*Variables!$B$53*HLOOKUP($CO$2,Variables!$B$60:$F$61,2,FALSE)</f>
        <v>0</v>
      </c>
      <c r="CR230" s="1223">
        <f>$G230*W230*Variables!$B$53*HLOOKUP($CO$2,Variables!$B$60:$F$61,2,FALSE)</f>
        <v>0</v>
      </c>
      <c r="CS230" s="1223">
        <f>$G230*X230*Variables!$B$53*HLOOKUP($CO$2,Variables!$B$60:$F$61,2,FALSE)</f>
        <v>0</v>
      </c>
      <c r="CT230" s="1223">
        <f>$G230*Y230*Variables!$B$53*HLOOKUP($CO$2,Variables!$B$60:$F$61,2,FALSE)</f>
        <v>0</v>
      </c>
      <c r="CU230" s="1223">
        <f>$G230*Z230*Variables!$B$53*HLOOKUP($CO$2,Variables!$B$60:$F$61,2,FALSE)</f>
        <v>0</v>
      </c>
      <c r="CV230" s="1223">
        <f>$G230*AA230*Variables!$B$53*HLOOKUP($CO$2,Variables!$B$60:$F$61,2,FALSE)</f>
        <v>0</v>
      </c>
      <c r="CW230" s="1223">
        <f>$G230*AB230*Variables!$B$53*HLOOKUP($CO$2,Variables!$B$60:$F$61,2,FALSE)</f>
        <v>0</v>
      </c>
      <c r="CX230" s="1223">
        <f>$G230*AC230*Variables!$B$53*HLOOKUP($CO$2,Variables!$B$60:$F$61,2,FALSE)</f>
        <v>0</v>
      </c>
      <c r="CY230" s="1223">
        <f>$G230*AD230*Variables!$B$53*HLOOKUP($CO$2,Variables!$B$60:$F$61,2,FALSE)</f>
        <v>0</v>
      </c>
      <c r="CZ230" s="1225">
        <f>$G230*AE230*Variables!$B$53*HLOOKUP($CO$2,Variables!$B$60:$F$61,2,FALSE)</f>
        <v>0</v>
      </c>
      <c r="DA230" s="1222">
        <f>$G230*AF230*Variables!$B$53*HLOOKUP($DA$2,Variables!$B$60:$F$61,2,FALSE)</f>
        <v>0</v>
      </c>
      <c r="DB230" s="1223">
        <f>$G230*AG230*Variables!$B$53*HLOOKUP($DA$2,Variables!$B$60:$F$61,2,FALSE)</f>
        <v>0</v>
      </c>
      <c r="DC230" s="1223">
        <f>$G230*AH230*Variables!$B$53*HLOOKUP($DA$2,Variables!$B$60:$F$61,2,FALSE)</f>
        <v>0</v>
      </c>
      <c r="DD230" s="1223">
        <f>$G230*AI230*Variables!$B$53*HLOOKUP($DA$2,Variables!$B$60:$F$61,2,FALSE)</f>
        <v>0</v>
      </c>
      <c r="DE230" s="1223">
        <f>$G230*AJ230*Variables!$B$53*HLOOKUP($DA$2,Variables!$B$60:$F$61,2,FALSE)</f>
        <v>0</v>
      </c>
      <c r="DF230" s="1223">
        <f>$G230*AK230*Variables!$B$53*HLOOKUP($DA$2,Variables!$B$60:$F$61,2,FALSE)</f>
        <v>0</v>
      </c>
      <c r="DG230" s="1223">
        <f>$G230*AL230*Variables!$B$53*HLOOKUP($DA$2,Variables!$B$60:$F$61,2,FALSE)</f>
        <v>0</v>
      </c>
      <c r="DH230" s="1223">
        <f>$G230*AM230*Variables!$B$53*HLOOKUP($DA$2,Variables!$B$60:$F$61,2,FALSE)</f>
        <v>0</v>
      </c>
      <c r="DI230" s="1223">
        <f>$G230*AN230*Variables!$B$53*HLOOKUP($DA$2,Variables!$B$60:$F$61,2,FALSE)</f>
        <v>0</v>
      </c>
      <c r="DJ230" s="1223">
        <f>$G230*AO230*Variables!$B$53*HLOOKUP($DA$2,Variables!$B$60:$F$61,2,FALSE)</f>
        <v>0</v>
      </c>
      <c r="DK230" s="1223">
        <f>$G230*AP230*Variables!$B$53*HLOOKUP($DA$2,Variables!$B$60:$F$61,2,FALSE)</f>
        <v>0</v>
      </c>
      <c r="DL230" s="1225">
        <f>$G230*AQ230*Variables!$B$53*HLOOKUP($DA$2,Variables!$B$60:$F$61,2,FALSE)</f>
        <v>0</v>
      </c>
      <c r="DM230" s="1222">
        <f>$G230*AR230*Variables!$B$53*HLOOKUP($DM$2,Variables!$B$60:$F$61,2,FALSE)</f>
        <v>0</v>
      </c>
      <c r="DN230" s="1223">
        <f>$G230*AS230*Variables!$B$53*HLOOKUP($DM$2,Variables!$B$60:$F$61,2,FALSE)</f>
        <v>0</v>
      </c>
      <c r="DO230" s="1223">
        <f>$G230*AT230*Variables!$B$53*HLOOKUP($DM$2,Variables!$B$60:$F$61,2,FALSE)</f>
        <v>0</v>
      </c>
      <c r="DP230" s="1223">
        <f>$G230*AU230*Variables!$B$53*HLOOKUP($DM$2,Variables!$B$60:$F$61,2,FALSE)</f>
        <v>0</v>
      </c>
      <c r="DQ230" s="1223">
        <f>$G230*AV230*Variables!$B$53*HLOOKUP($DM$2,Variables!$B$60:$F$61,2,FALSE)</f>
        <v>0</v>
      </c>
      <c r="DR230" s="1223">
        <f>$G230*AW230*Variables!$B$53*HLOOKUP($DM$2,Variables!$B$60:$F$61,2,FALSE)</f>
        <v>0</v>
      </c>
      <c r="DS230" s="1223">
        <f>$G230*AX230*Variables!$B$53*HLOOKUP($DM$2,Variables!$B$60:$F$61,2,FALSE)</f>
        <v>0</v>
      </c>
      <c r="DT230" s="1223">
        <f>$G230*AY230*Variables!$B$53*HLOOKUP($DM$2,Variables!$B$60:$F$61,2,FALSE)</f>
        <v>0</v>
      </c>
      <c r="DU230" s="1223">
        <f>$G230*AZ230*Variables!$B$53*HLOOKUP($DM$2,Variables!$B$60:$F$61,2,FALSE)</f>
        <v>0</v>
      </c>
      <c r="DV230" s="1223">
        <f>$G230*BA230*Variables!$B$53*HLOOKUP($DM$2,Variables!$B$60:$F$61,2,FALSE)</f>
        <v>0</v>
      </c>
      <c r="DW230" s="1223">
        <f>$G230*BB230*Variables!$B$53*HLOOKUP($DM$2,Variables!$B$60:$F$61,2,FALSE)</f>
        <v>0</v>
      </c>
      <c r="DX230" s="1225">
        <f>$G230*BC230*Variables!$B$53*HLOOKUP($DM$2,Variables!$B$60:$F$61,2,FALSE)</f>
        <v>0</v>
      </c>
      <c r="DY230" s="1222">
        <f>$G230*BD230*Variables!$B$53*HLOOKUP($DY$2,Variables!$B$60:$F$61,2,FALSE)</f>
        <v>0</v>
      </c>
      <c r="DZ230" s="1223">
        <f>$G230*BE230*Variables!$B$53*HLOOKUP($DY$2,Variables!$B$60:$F$61,2,FALSE)</f>
        <v>0</v>
      </c>
      <c r="EA230" s="1223">
        <f>$G230*BF230*Variables!$B$53*HLOOKUP($DY$2,Variables!$B$60:$F$61,2,FALSE)</f>
        <v>0</v>
      </c>
      <c r="EB230" s="1223">
        <f>$G230*BG230*Variables!$B$53*HLOOKUP($DY$2,Variables!$B$60:$F$61,2,FALSE)</f>
        <v>0</v>
      </c>
      <c r="EC230" s="1223">
        <f>$G230*BH230*Variables!$B$53*HLOOKUP($DY$2,Variables!$B$60:$F$61,2,FALSE)</f>
        <v>0</v>
      </c>
      <c r="ED230" s="1223">
        <f>$G230*BI230*Variables!$B$53*HLOOKUP($DY$2,Variables!$B$60:$F$61,2,FALSE)</f>
        <v>0</v>
      </c>
      <c r="EE230" s="1223">
        <f>$G230*BJ230*Variables!$B$53*HLOOKUP($DY$2,Variables!$B$60:$F$61,2,FALSE)</f>
        <v>0</v>
      </c>
      <c r="EF230" s="1223">
        <f>$G230*BK230*Variables!$B$53*HLOOKUP($DY$2,Variables!$B$60:$F$61,2,FALSE)</f>
        <v>0</v>
      </c>
      <c r="EG230" s="1223">
        <f>$G230*BL230*Variables!$B$53*HLOOKUP($DY$2,Variables!$B$60:$F$61,2,FALSE)</f>
        <v>0</v>
      </c>
      <c r="EH230" s="1223">
        <f>$G230*BM230*Variables!$B$53*HLOOKUP($DY$2,Variables!$B$60:$F$61,2,FALSE)</f>
        <v>0</v>
      </c>
      <c r="EI230" s="1223">
        <f>$G230*BN230*Variables!$B$53*HLOOKUP($DY$2,Variables!$B$60:$F$61,2,FALSE)</f>
        <v>0</v>
      </c>
      <c r="EJ230" s="1225">
        <f>$G230*BO230*Variables!$B$53*HLOOKUP($DY$2,Variables!$B$60:$F$61,2,FALSE)</f>
        <v>0</v>
      </c>
      <c r="EK230" s="1222">
        <f>$G230*BP230*Variables!$B$53*HLOOKUP($EK$2,Variables!$B$60:$F$61,2,FALSE)</f>
        <v>0</v>
      </c>
      <c r="EL230" s="1223">
        <f>$G230*BQ230*Variables!$B$53*HLOOKUP($EK$2,Variables!$B$60:$F$61,2,FALSE)</f>
        <v>0</v>
      </c>
      <c r="EM230" s="1223">
        <f>$G230*BR230*Variables!$B$53*HLOOKUP($EK$2,Variables!$B$60:$F$61,2,FALSE)</f>
        <v>0</v>
      </c>
      <c r="EN230" s="1223">
        <f>$G230*BS230*Variables!$B$53*HLOOKUP($EK$2,Variables!$B$60:$F$61,2,FALSE)</f>
        <v>0</v>
      </c>
      <c r="EO230" s="1223">
        <f>$G230*BT230*Variables!$B$53*HLOOKUP($EK$2,Variables!$B$60:$F$61,2,FALSE)</f>
        <v>0</v>
      </c>
      <c r="EP230" s="1223">
        <f>$G230*BU230*Variables!$B$53*HLOOKUP($EK$2,Variables!$B$60:$F$61,2,FALSE)</f>
        <v>0</v>
      </c>
      <c r="EQ230" s="1223">
        <f>$G230*BV230*Variables!$B$53*HLOOKUP($EK$2,Variables!$B$60:$F$61,2,FALSE)</f>
        <v>0</v>
      </c>
      <c r="ER230" s="1223">
        <f>$G230*BW230*Variables!$B$53*HLOOKUP($EK$2,Variables!$B$60:$F$61,2,FALSE)</f>
        <v>0</v>
      </c>
      <c r="ES230" s="1223">
        <f>$G230*BX230*Variables!$B$53*HLOOKUP($EK$2,Variables!$B$60:$F$61,2,FALSE)</f>
        <v>0</v>
      </c>
      <c r="ET230" s="1223">
        <f>$G230*BY230*Variables!$B$53*HLOOKUP($EK$2,Variables!$B$60:$F$61,2,FALSE)</f>
        <v>0</v>
      </c>
      <c r="EU230" s="1223">
        <f>$G230*BZ230*Variables!$B$53*HLOOKUP($EK$2,Variables!$B$60:$F$61,2,FALSE)</f>
        <v>0</v>
      </c>
      <c r="EV230" s="1225">
        <f>$G230*CA230*Variables!$B$53*HLOOKUP($EK$2,Variables!$B$60:$F$61,2,FALSE)</f>
        <v>0</v>
      </c>
      <c r="EW230" s="872">
        <f t="shared" si="29"/>
        <v>0</v>
      </c>
      <c r="EX230" s="872"/>
      <c r="EY230" s="872"/>
      <c r="EZ230" s="872"/>
      <c r="FA230" s="1332"/>
      <c r="FC230" s="958" t="str">
        <f t="shared" si="30"/>
        <v/>
      </c>
      <c r="FD230" s="959" t="str">
        <f t="shared" si="31"/>
        <v/>
      </c>
      <c r="FE230" s="959" t="s">
        <v>8407</v>
      </c>
      <c r="FF230" s="959" t="str">
        <f>IF(ISNA(VLOOKUP(FC230,Miscellaneous!E:F,2,0)),"",VLOOKUP(FC230,Miscellaneous!E:F,2,0))</f>
        <v/>
      </c>
      <c r="FG230" s="959" t="str">
        <f t="shared" si="32"/>
        <v/>
      </c>
      <c r="FH230" s="996">
        <f>IF($FG230="Opex",SUMIF('Monthly Summary'!$C$75:$N$75,"",CC230:CN230),SUMIF('Monthly Summary'!$C$74:$N$74,"",CC230:CN230))</f>
        <v>0</v>
      </c>
      <c r="FI230" s="996">
        <f>IF($FG230="Opex",SUMIF('Monthly Summary'!$O$75:$Z$75,"",CO230:CZ230),SUMIF('Monthly Summary'!$O$74:$Z$74,"",CO230:CZ230))</f>
        <v>0</v>
      </c>
      <c r="FJ230" s="996">
        <f>IF($FG230="Opex",SUMIF('Monthly Summary'!$AA$75:$AL$75,"",DA230:DL230),SUMIF('Monthly Summary'!$AA$74:$AL$74,"",DA230:DL230))</f>
        <v>0</v>
      </c>
      <c r="FK230" s="996">
        <f>IF($FG230="Opex",SUMIF('Monthly Summary'!$AM$75:$AX$75,"",DM230:DX230),SUMIF('Monthly Summary'!$AM$74:$AX$74,"",DM230:DX230))</f>
        <v>0</v>
      </c>
      <c r="FL230" s="996">
        <f>IF($FG230="Opex",SUMIF('Monthly Summary'!$AY$75:$BJ$75,"",DY230:EJ230),SUMIF('Monthly Summary'!$AY$74:$BJ$74,"",DY230:EJ230))</f>
        <v>0</v>
      </c>
      <c r="FM230" s="997">
        <f>IF($FG230="Opex",SUMIF('Monthly Summary'!$BK$75:$BV$75,"",EK230:EV230),SUMIF('Monthly Summary'!$BK$74:$BV$74,"",EK230:EV230))</f>
        <v>0</v>
      </c>
      <c r="FN230" s="997">
        <f t="shared" si="33"/>
        <v>0</v>
      </c>
    </row>
    <row r="231" spans="3:170">
      <c r="C231" s="757"/>
      <c r="D231" s="757"/>
      <c r="E231" s="758"/>
      <c r="F231" s="758"/>
      <c r="G231" s="758"/>
      <c r="H231" s="1215"/>
      <c r="I231" s="761"/>
      <c r="J231" s="761"/>
      <c r="K231" s="761"/>
      <c r="L231" s="761"/>
      <c r="M231" s="761"/>
      <c r="N231" s="761"/>
      <c r="O231" s="761"/>
      <c r="P231" s="761"/>
      <c r="Q231" s="761"/>
      <c r="R231" s="761"/>
      <c r="S231" s="1216"/>
      <c r="T231" s="1215"/>
      <c r="U231" s="761"/>
      <c r="V231" s="761"/>
      <c r="W231" s="761"/>
      <c r="X231" s="761"/>
      <c r="Y231" s="761"/>
      <c r="Z231" s="761"/>
      <c r="AA231" s="761"/>
      <c r="AB231" s="761"/>
      <c r="AC231" s="761"/>
      <c r="AD231" s="761"/>
      <c r="AE231" s="1216"/>
      <c r="AF231" s="1215"/>
      <c r="AG231" s="761"/>
      <c r="AH231" s="761"/>
      <c r="AI231" s="761"/>
      <c r="AJ231" s="761"/>
      <c r="AK231" s="761"/>
      <c r="AL231" s="761"/>
      <c r="AM231" s="761"/>
      <c r="AN231" s="761"/>
      <c r="AO231" s="761"/>
      <c r="AP231" s="761"/>
      <c r="AQ231" s="1216"/>
      <c r="AR231" s="1215"/>
      <c r="AS231" s="761"/>
      <c r="AT231" s="761"/>
      <c r="AU231" s="761"/>
      <c r="AV231" s="761"/>
      <c r="AW231" s="761"/>
      <c r="AX231" s="761"/>
      <c r="AY231" s="761"/>
      <c r="AZ231" s="761"/>
      <c r="BA231" s="761"/>
      <c r="BB231" s="761"/>
      <c r="BC231" s="1216"/>
      <c r="BD231" s="1215"/>
      <c r="BE231" s="761"/>
      <c r="BF231" s="761"/>
      <c r="BG231" s="761"/>
      <c r="BH231" s="761"/>
      <c r="BI231" s="761"/>
      <c r="BJ231" s="761"/>
      <c r="BK231" s="761"/>
      <c r="BL231" s="761"/>
      <c r="BM231" s="761"/>
      <c r="BN231" s="761"/>
      <c r="BO231" s="1216"/>
      <c r="BP231" s="1215"/>
      <c r="BQ231" s="761"/>
      <c r="BR231" s="761"/>
      <c r="BS231" s="761"/>
      <c r="BT231" s="761"/>
      <c r="BU231" s="761"/>
      <c r="BV231" s="761"/>
      <c r="BW231" s="761"/>
      <c r="BX231" s="761"/>
      <c r="BY231" s="761"/>
      <c r="BZ231" s="761"/>
      <c r="CA231" s="1216"/>
      <c r="CB231" s="747"/>
      <c r="CC231" s="1222">
        <f>$G231*H231*Variables!$B$53</f>
        <v>0</v>
      </c>
      <c r="CD231" s="1223">
        <f>$G231*I231*Variables!$B$53</f>
        <v>0</v>
      </c>
      <c r="CE231" s="1223">
        <f>$G231*J231*Variables!$B$53</f>
        <v>0</v>
      </c>
      <c r="CF231" s="1223">
        <f>$G231*K231*Variables!$B$53</f>
        <v>0</v>
      </c>
      <c r="CG231" s="1223">
        <f>$G231*L231*Variables!$B$53</f>
        <v>0</v>
      </c>
      <c r="CH231" s="1223">
        <f>$G231*M231*Variables!$B$53</f>
        <v>0</v>
      </c>
      <c r="CI231" s="1223">
        <f>$G231*N231*Variables!$B$53</f>
        <v>0</v>
      </c>
      <c r="CJ231" s="1223">
        <f>$G231*O231*Variables!$B$53</f>
        <v>0</v>
      </c>
      <c r="CK231" s="1223">
        <f>$G231*P231*Variables!$B$53</f>
        <v>0</v>
      </c>
      <c r="CL231" s="1223">
        <f>$G231*Q231*Variables!$B$53</f>
        <v>0</v>
      </c>
      <c r="CM231" s="1223">
        <f>$G231*R231*Variables!$B$53</f>
        <v>0</v>
      </c>
      <c r="CN231" s="1225">
        <f>$G231*S231*Variables!$B$53</f>
        <v>0</v>
      </c>
      <c r="CO231" s="1222">
        <f>$G231*T231*Variables!$B$53*HLOOKUP($CO$2,Variables!$B$60:$F$61,2,FALSE)</f>
        <v>0</v>
      </c>
      <c r="CP231" s="1223">
        <f>$G231*U231*Variables!$B$53*HLOOKUP($CO$2,Variables!$B$60:$F$61,2,FALSE)</f>
        <v>0</v>
      </c>
      <c r="CQ231" s="1223">
        <f>$G231*V231*Variables!$B$53*HLOOKUP($CO$2,Variables!$B$60:$F$61,2,FALSE)</f>
        <v>0</v>
      </c>
      <c r="CR231" s="1223">
        <f>$G231*W231*Variables!$B$53*HLOOKUP($CO$2,Variables!$B$60:$F$61,2,FALSE)</f>
        <v>0</v>
      </c>
      <c r="CS231" s="1223">
        <f>$G231*X231*Variables!$B$53*HLOOKUP($CO$2,Variables!$B$60:$F$61,2,FALSE)</f>
        <v>0</v>
      </c>
      <c r="CT231" s="1223">
        <f>$G231*Y231*Variables!$B$53*HLOOKUP($CO$2,Variables!$B$60:$F$61,2,FALSE)</f>
        <v>0</v>
      </c>
      <c r="CU231" s="1223">
        <f>$G231*Z231*Variables!$B$53*HLOOKUP($CO$2,Variables!$B$60:$F$61,2,FALSE)</f>
        <v>0</v>
      </c>
      <c r="CV231" s="1223">
        <f>$G231*AA231*Variables!$B$53*HLOOKUP($CO$2,Variables!$B$60:$F$61,2,FALSE)</f>
        <v>0</v>
      </c>
      <c r="CW231" s="1223">
        <f>$G231*AB231*Variables!$B$53*HLOOKUP($CO$2,Variables!$B$60:$F$61,2,FALSE)</f>
        <v>0</v>
      </c>
      <c r="CX231" s="1223">
        <f>$G231*AC231*Variables!$B$53*HLOOKUP($CO$2,Variables!$B$60:$F$61,2,FALSE)</f>
        <v>0</v>
      </c>
      <c r="CY231" s="1223">
        <f>$G231*AD231*Variables!$B$53*HLOOKUP($CO$2,Variables!$B$60:$F$61,2,FALSE)</f>
        <v>0</v>
      </c>
      <c r="CZ231" s="1225">
        <f>$G231*AE231*Variables!$B$53*HLOOKUP($CO$2,Variables!$B$60:$F$61,2,FALSE)</f>
        <v>0</v>
      </c>
      <c r="DA231" s="1222">
        <f>$G231*AF231*Variables!$B$53*HLOOKUP($DA$2,Variables!$B$60:$F$61,2,FALSE)</f>
        <v>0</v>
      </c>
      <c r="DB231" s="1223">
        <f>$G231*AG231*Variables!$B$53*HLOOKUP($DA$2,Variables!$B$60:$F$61,2,FALSE)</f>
        <v>0</v>
      </c>
      <c r="DC231" s="1223">
        <f>$G231*AH231*Variables!$B$53*HLOOKUP($DA$2,Variables!$B$60:$F$61,2,FALSE)</f>
        <v>0</v>
      </c>
      <c r="DD231" s="1223">
        <f>$G231*AI231*Variables!$B$53*HLOOKUP($DA$2,Variables!$B$60:$F$61,2,FALSE)</f>
        <v>0</v>
      </c>
      <c r="DE231" s="1223">
        <f>$G231*AJ231*Variables!$B$53*HLOOKUP($DA$2,Variables!$B$60:$F$61,2,FALSE)</f>
        <v>0</v>
      </c>
      <c r="DF231" s="1223">
        <f>$G231*AK231*Variables!$B$53*HLOOKUP($DA$2,Variables!$B$60:$F$61,2,FALSE)</f>
        <v>0</v>
      </c>
      <c r="DG231" s="1223">
        <f>$G231*AL231*Variables!$B$53*HLOOKUP($DA$2,Variables!$B$60:$F$61,2,FALSE)</f>
        <v>0</v>
      </c>
      <c r="DH231" s="1223">
        <f>$G231*AM231*Variables!$B$53*HLOOKUP($DA$2,Variables!$B$60:$F$61,2,FALSE)</f>
        <v>0</v>
      </c>
      <c r="DI231" s="1223">
        <f>$G231*AN231*Variables!$B$53*HLOOKUP($DA$2,Variables!$B$60:$F$61,2,FALSE)</f>
        <v>0</v>
      </c>
      <c r="DJ231" s="1223">
        <f>$G231*AO231*Variables!$B$53*HLOOKUP($DA$2,Variables!$B$60:$F$61,2,FALSE)</f>
        <v>0</v>
      </c>
      <c r="DK231" s="1223">
        <f>$G231*AP231*Variables!$B$53*HLOOKUP($DA$2,Variables!$B$60:$F$61,2,FALSE)</f>
        <v>0</v>
      </c>
      <c r="DL231" s="1225">
        <f>$G231*AQ231*Variables!$B$53*HLOOKUP($DA$2,Variables!$B$60:$F$61,2,FALSE)</f>
        <v>0</v>
      </c>
      <c r="DM231" s="1222">
        <f>$G231*AR231*Variables!$B$53*HLOOKUP($DM$2,Variables!$B$60:$F$61,2,FALSE)</f>
        <v>0</v>
      </c>
      <c r="DN231" s="1223">
        <f>$G231*AS231*Variables!$B$53*HLOOKUP($DM$2,Variables!$B$60:$F$61,2,FALSE)</f>
        <v>0</v>
      </c>
      <c r="DO231" s="1223">
        <f>$G231*AT231*Variables!$B$53*HLOOKUP($DM$2,Variables!$B$60:$F$61,2,FALSE)</f>
        <v>0</v>
      </c>
      <c r="DP231" s="1223">
        <f>$G231*AU231*Variables!$B$53*HLOOKUP($DM$2,Variables!$B$60:$F$61,2,FALSE)</f>
        <v>0</v>
      </c>
      <c r="DQ231" s="1223">
        <f>$G231*AV231*Variables!$B$53*HLOOKUP($DM$2,Variables!$B$60:$F$61,2,FALSE)</f>
        <v>0</v>
      </c>
      <c r="DR231" s="1223">
        <f>$G231*AW231*Variables!$B$53*HLOOKUP($DM$2,Variables!$B$60:$F$61,2,FALSE)</f>
        <v>0</v>
      </c>
      <c r="DS231" s="1223">
        <f>$G231*AX231*Variables!$B$53*HLOOKUP($DM$2,Variables!$B$60:$F$61,2,FALSE)</f>
        <v>0</v>
      </c>
      <c r="DT231" s="1223">
        <f>$G231*AY231*Variables!$B$53*HLOOKUP($DM$2,Variables!$B$60:$F$61,2,FALSE)</f>
        <v>0</v>
      </c>
      <c r="DU231" s="1223">
        <f>$G231*AZ231*Variables!$B$53*HLOOKUP($DM$2,Variables!$B$60:$F$61,2,FALSE)</f>
        <v>0</v>
      </c>
      <c r="DV231" s="1223">
        <f>$G231*BA231*Variables!$B$53*HLOOKUP($DM$2,Variables!$B$60:$F$61,2,FALSE)</f>
        <v>0</v>
      </c>
      <c r="DW231" s="1223">
        <f>$G231*BB231*Variables!$B$53*HLOOKUP($DM$2,Variables!$B$60:$F$61,2,FALSE)</f>
        <v>0</v>
      </c>
      <c r="DX231" s="1225">
        <f>$G231*BC231*Variables!$B$53*HLOOKUP($DM$2,Variables!$B$60:$F$61,2,FALSE)</f>
        <v>0</v>
      </c>
      <c r="DY231" s="1222">
        <f>$G231*BD231*Variables!$B$53*HLOOKUP($DY$2,Variables!$B$60:$F$61,2,FALSE)</f>
        <v>0</v>
      </c>
      <c r="DZ231" s="1223">
        <f>$G231*BE231*Variables!$B$53*HLOOKUP($DY$2,Variables!$B$60:$F$61,2,FALSE)</f>
        <v>0</v>
      </c>
      <c r="EA231" s="1223">
        <f>$G231*BF231*Variables!$B$53*HLOOKUP($DY$2,Variables!$B$60:$F$61,2,FALSE)</f>
        <v>0</v>
      </c>
      <c r="EB231" s="1223">
        <f>$G231*BG231*Variables!$B$53*HLOOKUP($DY$2,Variables!$B$60:$F$61,2,FALSE)</f>
        <v>0</v>
      </c>
      <c r="EC231" s="1223">
        <f>$G231*BH231*Variables!$B$53*HLOOKUP($DY$2,Variables!$B$60:$F$61,2,FALSE)</f>
        <v>0</v>
      </c>
      <c r="ED231" s="1223">
        <f>$G231*BI231*Variables!$B$53*HLOOKUP($DY$2,Variables!$B$60:$F$61,2,FALSE)</f>
        <v>0</v>
      </c>
      <c r="EE231" s="1223">
        <f>$G231*BJ231*Variables!$B$53*HLOOKUP($DY$2,Variables!$B$60:$F$61,2,FALSE)</f>
        <v>0</v>
      </c>
      <c r="EF231" s="1223">
        <f>$G231*BK231*Variables!$B$53*HLOOKUP($DY$2,Variables!$B$60:$F$61,2,FALSE)</f>
        <v>0</v>
      </c>
      <c r="EG231" s="1223">
        <f>$G231*BL231*Variables!$B$53*HLOOKUP($DY$2,Variables!$B$60:$F$61,2,FALSE)</f>
        <v>0</v>
      </c>
      <c r="EH231" s="1223">
        <f>$G231*BM231*Variables!$B$53*HLOOKUP($DY$2,Variables!$B$60:$F$61,2,FALSE)</f>
        <v>0</v>
      </c>
      <c r="EI231" s="1223">
        <f>$G231*BN231*Variables!$B$53*HLOOKUP($DY$2,Variables!$B$60:$F$61,2,FALSE)</f>
        <v>0</v>
      </c>
      <c r="EJ231" s="1225">
        <f>$G231*BO231*Variables!$B$53*HLOOKUP($DY$2,Variables!$B$60:$F$61,2,FALSE)</f>
        <v>0</v>
      </c>
      <c r="EK231" s="1222">
        <f>$G231*BP231*Variables!$B$53*HLOOKUP($EK$2,Variables!$B$60:$F$61,2,FALSE)</f>
        <v>0</v>
      </c>
      <c r="EL231" s="1223">
        <f>$G231*BQ231*Variables!$B$53*HLOOKUP($EK$2,Variables!$B$60:$F$61,2,FALSE)</f>
        <v>0</v>
      </c>
      <c r="EM231" s="1223">
        <f>$G231*BR231*Variables!$B$53*HLOOKUP($EK$2,Variables!$B$60:$F$61,2,FALSE)</f>
        <v>0</v>
      </c>
      <c r="EN231" s="1223">
        <f>$G231*BS231*Variables!$B$53*HLOOKUP($EK$2,Variables!$B$60:$F$61,2,FALSE)</f>
        <v>0</v>
      </c>
      <c r="EO231" s="1223">
        <f>$G231*BT231*Variables!$B$53*HLOOKUP($EK$2,Variables!$B$60:$F$61,2,FALSE)</f>
        <v>0</v>
      </c>
      <c r="EP231" s="1223">
        <f>$G231*BU231*Variables!$B$53*HLOOKUP($EK$2,Variables!$B$60:$F$61,2,FALSE)</f>
        <v>0</v>
      </c>
      <c r="EQ231" s="1223">
        <f>$G231*BV231*Variables!$B$53*HLOOKUP($EK$2,Variables!$B$60:$F$61,2,FALSE)</f>
        <v>0</v>
      </c>
      <c r="ER231" s="1223">
        <f>$G231*BW231*Variables!$B$53*HLOOKUP($EK$2,Variables!$B$60:$F$61,2,FALSE)</f>
        <v>0</v>
      </c>
      <c r="ES231" s="1223">
        <f>$G231*BX231*Variables!$B$53*HLOOKUP($EK$2,Variables!$B$60:$F$61,2,FALSE)</f>
        <v>0</v>
      </c>
      <c r="ET231" s="1223">
        <f>$G231*BY231*Variables!$B$53*HLOOKUP($EK$2,Variables!$B$60:$F$61,2,FALSE)</f>
        <v>0</v>
      </c>
      <c r="EU231" s="1223">
        <f>$G231*BZ231*Variables!$B$53*HLOOKUP($EK$2,Variables!$B$60:$F$61,2,FALSE)</f>
        <v>0</v>
      </c>
      <c r="EV231" s="1225">
        <f>$G231*CA231*Variables!$B$53*HLOOKUP($EK$2,Variables!$B$60:$F$61,2,FALSE)</f>
        <v>0</v>
      </c>
      <c r="EW231" s="872">
        <f t="shared" si="29"/>
        <v>0</v>
      </c>
      <c r="EX231" s="872"/>
      <c r="EY231" s="872"/>
      <c r="EZ231" s="872"/>
      <c r="FA231" s="1332"/>
      <c r="FC231" s="958" t="str">
        <f t="shared" si="30"/>
        <v/>
      </c>
      <c r="FD231" s="959" t="str">
        <f t="shared" si="31"/>
        <v/>
      </c>
      <c r="FE231" s="959" t="s">
        <v>8407</v>
      </c>
      <c r="FF231" s="959" t="str">
        <f>IF(ISNA(VLOOKUP(FC231,Miscellaneous!E:F,2,0)),"",VLOOKUP(FC231,Miscellaneous!E:F,2,0))</f>
        <v/>
      </c>
      <c r="FG231" s="959" t="str">
        <f t="shared" si="32"/>
        <v/>
      </c>
      <c r="FH231" s="996">
        <f>IF($FG231="Opex",SUMIF('Monthly Summary'!$C$75:$N$75,"",CC231:CN231),SUMIF('Monthly Summary'!$C$74:$N$74,"",CC231:CN231))</f>
        <v>0</v>
      </c>
      <c r="FI231" s="996">
        <f>IF($FG231="Opex",SUMIF('Monthly Summary'!$O$75:$Z$75,"",CO231:CZ231),SUMIF('Monthly Summary'!$O$74:$Z$74,"",CO231:CZ231))</f>
        <v>0</v>
      </c>
      <c r="FJ231" s="996">
        <f>IF($FG231="Opex",SUMIF('Monthly Summary'!$AA$75:$AL$75,"",DA231:DL231),SUMIF('Monthly Summary'!$AA$74:$AL$74,"",DA231:DL231))</f>
        <v>0</v>
      </c>
      <c r="FK231" s="996">
        <f>IF($FG231="Opex",SUMIF('Monthly Summary'!$AM$75:$AX$75,"",DM231:DX231),SUMIF('Monthly Summary'!$AM$74:$AX$74,"",DM231:DX231))</f>
        <v>0</v>
      </c>
      <c r="FL231" s="996">
        <f>IF($FG231="Opex",SUMIF('Monthly Summary'!$AY$75:$BJ$75,"",DY231:EJ231),SUMIF('Monthly Summary'!$AY$74:$BJ$74,"",DY231:EJ231))</f>
        <v>0</v>
      </c>
      <c r="FM231" s="997">
        <f>IF($FG231="Opex",SUMIF('Monthly Summary'!$BK$75:$BV$75,"",EK231:EV231),SUMIF('Monthly Summary'!$BK$74:$BV$74,"",EK231:EV231))</f>
        <v>0</v>
      </c>
      <c r="FN231" s="997">
        <f t="shared" si="33"/>
        <v>0</v>
      </c>
    </row>
    <row r="232" spans="3:170">
      <c r="C232" s="757"/>
      <c r="D232" s="757"/>
      <c r="E232" s="758"/>
      <c r="F232" s="758"/>
      <c r="G232" s="758"/>
      <c r="H232" s="1215"/>
      <c r="I232" s="761"/>
      <c r="J232" s="761"/>
      <c r="K232" s="761"/>
      <c r="L232" s="761"/>
      <c r="M232" s="761"/>
      <c r="N232" s="761"/>
      <c r="O232" s="761"/>
      <c r="P232" s="761"/>
      <c r="Q232" s="761"/>
      <c r="R232" s="761"/>
      <c r="S232" s="1216"/>
      <c r="T232" s="1215"/>
      <c r="U232" s="761"/>
      <c r="V232" s="761"/>
      <c r="W232" s="761"/>
      <c r="X232" s="761"/>
      <c r="Y232" s="761"/>
      <c r="Z232" s="761"/>
      <c r="AA232" s="761"/>
      <c r="AB232" s="761"/>
      <c r="AC232" s="761"/>
      <c r="AD232" s="761"/>
      <c r="AE232" s="1216"/>
      <c r="AF232" s="1215"/>
      <c r="AG232" s="761"/>
      <c r="AH232" s="761"/>
      <c r="AI232" s="761"/>
      <c r="AJ232" s="761"/>
      <c r="AK232" s="761"/>
      <c r="AL232" s="761"/>
      <c r="AM232" s="761"/>
      <c r="AN232" s="761"/>
      <c r="AO232" s="761"/>
      <c r="AP232" s="761"/>
      <c r="AQ232" s="1216"/>
      <c r="AR232" s="1215"/>
      <c r="AS232" s="761"/>
      <c r="AT232" s="761"/>
      <c r="AU232" s="761"/>
      <c r="AV232" s="761"/>
      <c r="AW232" s="761"/>
      <c r="AX232" s="761"/>
      <c r="AY232" s="761"/>
      <c r="AZ232" s="761"/>
      <c r="BA232" s="761"/>
      <c r="BB232" s="761"/>
      <c r="BC232" s="1216"/>
      <c r="BD232" s="1215"/>
      <c r="BE232" s="761"/>
      <c r="BF232" s="761"/>
      <c r="BG232" s="761"/>
      <c r="BH232" s="761"/>
      <c r="BI232" s="761"/>
      <c r="BJ232" s="761"/>
      <c r="BK232" s="761"/>
      <c r="BL232" s="761"/>
      <c r="BM232" s="761"/>
      <c r="BN232" s="761"/>
      <c r="BO232" s="1216"/>
      <c r="BP232" s="1215"/>
      <c r="BQ232" s="761"/>
      <c r="BR232" s="761"/>
      <c r="BS232" s="761"/>
      <c r="BT232" s="761"/>
      <c r="BU232" s="761"/>
      <c r="BV232" s="761"/>
      <c r="BW232" s="761"/>
      <c r="BX232" s="761"/>
      <c r="BY232" s="761"/>
      <c r="BZ232" s="761"/>
      <c r="CA232" s="1216"/>
      <c r="CB232" s="747"/>
      <c r="CC232" s="1222">
        <f>$G232*H232*Variables!$B$53</f>
        <v>0</v>
      </c>
      <c r="CD232" s="1223">
        <f>$G232*I232*Variables!$B$53</f>
        <v>0</v>
      </c>
      <c r="CE232" s="1223">
        <f>$G232*J232*Variables!$B$53</f>
        <v>0</v>
      </c>
      <c r="CF232" s="1223">
        <f>$G232*K232*Variables!$B$53</f>
        <v>0</v>
      </c>
      <c r="CG232" s="1223">
        <f>$G232*L232*Variables!$B$53</f>
        <v>0</v>
      </c>
      <c r="CH232" s="1223">
        <f>$G232*M232*Variables!$B$53</f>
        <v>0</v>
      </c>
      <c r="CI232" s="1223">
        <f>$G232*N232*Variables!$B$53</f>
        <v>0</v>
      </c>
      <c r="CJ232" s="1223">
        <f>$G232*O232*Variables!$B$53</f>
        <v>0</v>
      </c>
      <c r="CK232" s="1223">
        <f>$G232*P232*Variables!$B$53</f>
        <v>0</v>
      </c>
      <c r="CL232" s="1223">
        <f>$G232*Q232*Variables!$B$53</f>
        <v>0</v>
      </c>
      <c r="CM232" s="1223">
        <f>$G232*R232*Variables!$B$53</f>
        <v>0</v>
      </c>
      <c r="CN232" s="1225">
        <f>$G232*S232*Variables!$B$53</f>
        <v>0</v>
      </c>
      <c r="CO232" s="1222">
        <f>$G232*T232*Variables!$B$53*HLOOKUP($CO$2,Variables!$B$60:$F$61,2,FALSE)</f>
        <v>0</v>
      </c>
      <c r="CP232" s="1223">
        <f>$G232*U232*Variables!$B$53*HLOOKUP($CO$2,Variables!$B$60:$F$61,2,FALSE)</f>
        <v>0</v>
      </c>
      <c r="CQ232" s="1223">
        <f>$G232*V232*Variables!$B$53*HLOOKUP($CO$2,Variables!$B$60:$F$61,2,FALSE)</f>
        <v>0</v>
      </c>
      <c r="CR232" s="1223">
        <f>$G232*W232*Variables!$B$53*HLOOKUP($CO$2,Variables!$B$60:$F$61,2,FALSE)</f>
        <v>0</v>
      </c>
      <c r="CS232" s="1223">
        <f>$G232*X232*Variables!$B$53*HLOOKUP($CO$2,Variables!$B$60:$F$61,2,FALSE)</f>
        <v>0</v>
      </c>
      <c r="CT232" s="1223">
        <f>$G232*Y232*Variables!$B$53*HLOOKUP($CO$2,Variables!$B$60:$F$61,2,FALSE)</f>
        <v>0</v>
      </c>
      <c r="CU232" s="1223">
        <f>$G232*Z232*Variables!$B$53*HLOOKUP($CO$2,Variables!$B$60:$F$61,2,FALSE)</f>
        <v>0</v>
      </c>
      <c r="CV232" s="1223">
        <f>$G232*AA232*Variables!$B$53*HLOOKUP($CO$2,Variables!$B$60:$F$61,2,FALSE)</f>
        <v>0</v>
      </c>
      <c r="CW232" s="1223">
        <f>$G232*AB232*Variables!$B$53*HLOOKUP($CO$2,Variables!$B$60:$F$61,2,FALSE)</f>
        <v>0</v>
      </c>
      <c r="CX232" s="1223">
        <f>$G232*AC232*Variables!$B$53*HLOOKUP($CO$2,Variables!$B$60:$F$61,2,FALSE)</f>
        <v>0</v>
      </c>
      <c r="CY232" s="1223">
        <f>$G232*AD232*Variables!$B$53*HLOOKUP($CO$2,Variables!$B$60:$F$61,2,FALSE)</f>
        <v>0</v>
      </c>
      <c r="CZ232" s="1225">
        <f>$G232*AE232*Variables!$B$53*HLOOKUP($CO$2,Variables!$B$60:$F$61,2,FALSE)</f>
        <v>0</v>
      </c>
      <c r="DA232" s="1222">
        <f>$G232*AF232*Variables!$B$53*HLOOKUP($DA$2,Variables!$B$60:$F$61,2,FALSE)</f>
        <v>0</v>
      </c>
      <c r="DB232" s="1223">
        <f>$G232*AG232*Variables!$B$53*HLOOKUP($DA$2,Variables!$B$60:$F$61,2,FALSE)</f>
        <v>0</v>
      </c>
      <c r="DC232" s="1223">
        <f>$G232*AH232*Variables!$B$53*HLOOKUP($DA$2,Variables!$B$60:$F$61,2,FALSE)</f>
        <v>0</v>
      </c>
      <c r="DD232" s="1223">
        <f>$G232*AI232*Variables!$B$53*HLOOKUP($DA$2,Variables!$B$60:$F$61,2,FALSE)</f>
        <v>0</v>
      </c>
      <c r="DE232" s="1223">
        <f>$G232*AJ232*Variables!$B$53*HLOOKUP($DA$2,Variables!$B$60:$F$61,2,FALSE)</f>
        <v>0</v>
      </c>
      <c r="DF232" s="1223">
        <f>$G232*AK232*Variables!$B$53*HLOOKUP($DA$2,Variables!$B$60:$F$61,2,FALSE)</f>
        <v>0</v>
      </c>
      <c r="DG232" s="1223">
        <f>$G232*AL232*Variables!$B$53*HLOOKUP($DA$2,Variables!$B$60:$F$61,2,FALSE)</f>
        <v>0</v>
      </c>
      <c r="DH232" s="1223">
        <f>$G232*AM232*Variables!$B$53*HLOOKUP($DA$2,Variables!$B$60:$F$61,2,FALSE)</f>
        <v>0</v>
      </c>
      <c r="DI232" s="1223">
        <f>$G232*AN232*Variables!$B$53*HLOOKUP($DA$2,Variables!$B$60:$F$61,2,FALSE)</f>
        <v>0</v>
      </c>
      <c r="DJ232" s="1223">
        <f>$G232*AO232*Variables!$B$53*HLOOKUP($DA$2,Variables!$B$60:$F$61,2,FALSE)</f>
        <v>0</v>
      </c>
      <c r="DK232" s="1223">
        <f>$G232*AP232*Variables!$B$53*HLOOKUP($DA$2,Variables!$B$60:$F$61,2,FALSE)</f>
        <v>0</v>
      </c>
      <c r="DL232" s="1225">
        <f>$G232*AQ232*Variables!$B$53*HLOOKUP($DA$2,Variables!$B$60:$F$61,2,FALSE)</f>
        <v>0</v>
      </c>
      <c r="DM232" s="1222">
        <f>$G232*AR232*Variables!$B$53*HLOOKUP($DM$2,Variables!$B$60:$F$61,2,FALSE)</f>
        <v>0</v>
      </c>
      <c r="DN232" s="1223">
        <f>$G232*AS232*Variables!$B$53*HLOOKUP($DM$2,Variables!$B$60:$F$61,2,FALSE)</f>
        <v>0</v>
      </c>
      <c r="DO232" s="1223">
        <f>$G232*AT232*Variables!$B$53*HLOOKUP($DM$2,Variables!$B$60:$F$61,2,FALSE)</f>
        <v>0</v>
      </c>
      <c r="DP232" s="1223">
        <f>$G232*AU232*Variables!$B$53*HLOOKUP($DM$2,Variables!$B$60:$F$61,2,FALSE)</f>
        <v>0</v>
      </c>
      <c r="DQ232" s="1223">
        <f>$G232*AV232*Variables!$B$53*HLOOKUP($DM$2,Variables!$B$60:$F$61,2,FALSE)</f>
        <v>0</v>
      </c>
      <c r="DR232" s="1223">
        <f>$G232*AW232*Variables!$B$53*HLOOKUP($DM$2,Variables!$B$60:$F$61,2,FALSE)</f>
        <v>0</v>
      </c>
      <c r="DS232" s="1223">
        <f>$G232*AX232*Variables!$B$53*HLOOKUP($DM$2,Variables!$B$60:$F$61,2,FALSE)</f>
        <v>0</v>
      </c>
      <c r="DT232" s="1223">
        <f>$G232*AY232*Variables!$B$53*HLOOKUP($DM$2,Variables!$B$60:$F$61,2,FALSE)</f>
        <v>0</v>
      </c>
      <c r="DU232" s="1223">
        <f>$G232*AZ232*Variables!$B$53*HLOOKUP($DM$2,Variables!$B$60:$F$61,2,FALSE)</f>
        <v>0</v>
      </c>
      <c r="DV232" s="1223">
        <f>$G232*BA232*Variables!$B$53*HLOOKUP($DM$2,Variables!$B$60:$F$61,2,FALSE)</f>
        <v>0</v>
      </c>
      <c r="DW232" s="1223">
        <f>$G232*BB232*Variables!$B$53*HLOOKUP($DM$2,Variables!$B$60:$F$61,2,FALSE)</f>
        <v>0</v>
      </c>
      <c r="DX232" s="1225">
        <f>$G232*BC232*Variables!$B$53*HLOOKUP($DM$2,Variables!$B$60:$F$61,2,FALSE)</f>
        <v>0</v>
      </c>
      <c r="DY232" s="1222">
        <f>$G232*BD232*Variables!$B$53*HLOOKUP($DY$2,Variables!$B$60:$F$61,2,FALSE)</f>
        <v>0</v>
      </c>
      <c r="DZ232" s="1223">
        <f>$G232*BE232*Variables!$B$53*HLOOKUP($DY$2,Variables!$B$60:$F$61,2,FALSE)</f>
        <v>0</v>
      </c>
      <c r="EA232" s="1223">
        <f>$G232*BF232*Variables!$B$53*HLOOKUP($DY$2,Variables!$B$60:$F$61,2,FALSE)</f>
        <v>0</v>
      </c>
      <c r="EB232" s="1223">
        <f>$G232*BG232*Variables!$B$53*HLOOKUP($DY$2,Variables!$B$60:$F$61,2,FALSE)</f>
        <v>0</v>
      </c>
      <c r="EC232" s="1223">
        <f>$G232*BH232*Variables!$B$53*HLOOKUP($DY$2,Variables!$B$60:$F$61,2,FALSE)</f>
        <v>0</v>
      </c>
      <c r="ED232" s="1223">
        <f>$G232*BI232*Variables!$B$53*HLOOKUP($DY$2,Variables!$B$60:$F$61,2,FALSE)</f>
        <v>0</v>
      </c>
      <c r="EE232" s="1223">
        <f>$G232*BJ232*Variables!$B$53*HLOOKUP($DY$2,Variables!$B$60:$F$61,2,FALSE)</f>
        <v>0</v>
      </c>
      <c r="EF232" s="1223">
        <f>$G232*BK232*Variables!$B$53*HLOOKUP($DY$2,Variables!$B$60:$F$61,2,FALSE)</f>
        <v>0</v>
      </c>
      <c r="EG232" s="1223">
        <f>$G232*BL232*Variables!$B$53*HLOOKUP($DY$2,Variables!$B$60:$F$61,2,FALSE)</f>
        <v>0</v>
      </c>
      <c r="EH232" s="1223">
        <f>$G232*BM232*Variables!$B$53*HLOOKUP($DY$2,Variables!$B$60:$F$61,2,FALSE)</f>
        <v>0</v>
      </c>
      <c r="EI232" s="1223">
        <f>$G232*BN232*Variables!$B$53*HLOOKUP($DY$2,Variables!$B$60:$F$61,2,FALSE)</f>
        <v>0</v>
      </c>
      <c r="EJ232" s="1225">
        <f>$G232*BO232*Variables!$B$53*HLOOKUP($DY$2,Variables!$B$60:$F$61,2,FALSE)</f>
        <v>0</v>
      </c>
      <c r="EK232" s="1222">
        <f>$G232*BP232*Variables!$B$53*HLOOKUP($EK$2,Variables!$B$60:$F$61,2,FALSE)</f>
        <v>0</v>
      </c>
      <c r="EL232" s="1223">
        <f>$G232*BQ232*Variables!$B$53*HLOOKUP($EK$2,Variables!$B$60:$F$61,2,FALSE)</f>
        <v>0</v>
      </c>
      <c r="EM232" s="1223">
        <f>$G232*BR232*Variables!$B$53*HLOOKUP($EK$2,Variables!$B$60:$F$61,2,FALSE)</f>
        <v>0</v>
      </c>
      <c r="EN232" s="1223">
        <f>$G232*BS232*Variables!$B$53*HLOOKUP($EK$2,Variables!$B$60:$F$61,2,FALSE)</f>
        <v>0</v>
      </c>
      <c r="EO232" s="1223">
        <f>$G232*BT232*Variables!$B$53*HLOOKUP($EK$2,Variables!$B$60:$F$61,2,FALSE)</f>
        <v>0</v>
      </c>
      <c r="EP232" s="1223">
        <f>$G232*BU232*Variables!$B$53*HLOOKUP($EK$2,Variables!$B$60:$F$61,2,FALSE)</f>
        <v>0</v>
      </c>
      <c r="EQ232" s="1223">
        <f>$G232*BV232*Variables!$B$53*HLOOKUP($EK$2,Variables!$B$60:$F$61,2,FALSE)</f>
        <v>0</v>
      </c>
      <c r="ER232" s="1223">
        <f>$G232*BW232*Variables!$B$53*HLOOKUP($EK$2,Variables!$B$60:$F$61,2,FALSE)</f>
        <v>0</v>
      </c>
      <c r="ES232" s="1223">
        <f>$G232*BX232*Variables!$B$53*HLOOKUP($EK$2,Variables!$B$60:$F$61,2,FALSE)</f>
        <v>0</v>
      </c>
      <c r="ET232" s="1223">
        <f>$G232*BY232*Variables!$B$53*HLOOKUP($EK$2,Variables!$B$60:$F$61,2,FALSE)</f>
        <v>0</v>
      </c>
      <c r="EU232" s="1223">
        <f>$G232*BZ232*Variables!$B$53*HLOOKUP($EK$2,Variables!$B$60:$F$61,2,FALSE)</f>
        <v>0</v>
      </c>
      <c r="EV232" s="1225">
        <f>$G232*CA232*Variables!$B$53*HLOOKUP($EK$2,Variables!$B$60:$F$61,2,FALSE)</f>
        <v>0</v>
      </c>
      <c r="EW232" s="872">
        <f t="shared" si="29"/>
        <v>0</v>
      </c>
      <c r="EX232" s="872"/>
      <c r="EY232" s="872"/>
      <c r="EZ232" s="872"/>
      <c r="FA232" s="1332"/>
      <c r="FC232" s="958" t="str">
        <f t="shared" si="30"/>
        <v/>
      </c>
      <c r="FD232" s="959" t="str">
        <f t="shared" si="31"/>
        <v/>
      </c>
      <c r="FE232" s="959" t="s">
        <v>8407</v>
      </c>
      <c r="FF232" s="959" t="str">
        <f>IF(ISNA(VLOOKUP(FC232,Miscellaneous!E:F,2,0)),"",VLOOKUP(FC232,Miscellaneous!E:F,2,0))</f>
        <v/>
      </c>
      <c r="FG232" s="959" t="str">
        <f t="shared" si="32"/>
        <v/>
      </c>
      <c r="FH232" s="996">
        <f>IF($FG232="Opex",SUMIF('Monthly Summary'!$C$75:$N$75,"",CC232:CN232),SUMIF('Monthly Summary'!$C$74:$N$74,"",CC232:CN232))</f>
        <v>0</v>
      </c>
      <c r="FI232" s="996">
        <f>IF($FG232="Opex",SUMIF('Monthly Summary'!$O$75:$Z$75,"",CO232:CZ232),SUMIF('Monthly Summary'!$O$74:$Z$74,"",CO232:CZ232))</f>
        <v>0</v>
      </c>
      <c r="FJ232" s="996">
        <f>IF($FG232="Opex",SUMIF('Monthly Summary'!$AA$75:$AL$75,"",DA232:DL232),SUMIF('Monthly Summary'!$AA$74:$AL$74,"",DA232:DL232))</f>
        <v>0</v>
      </c>
      <c r="FK232" s="996">
        <f>IF($FG232="Opex",SUMIF('Monthly Summary'!$AM$75:$AX$75,"",DM232:DX232),SUMIF('Monthly Summary'!$AM$74:$AX$74,"",DM232:DX232))</f>
        <v>0</v>
      </c>
      <c r="FL232" s="996">
        <f>IF($FG232="Opex",SUMIF('Monthly Summary'!$AY$75:$BJ$75,"",DY232:EJ232),SUMIF('Monthly Summary'!$AY$74:$BJ$74,"",DY232:EJ232))</f>
        <v>0</v>
      </c>
      <c r="FM232" s="997">
        <f>IF($FG232="Opex",SUMIF('Monthly Summary'!$BK$75:$BV$75,"",EK232:EV232),SUMIF('Monthly Summary'!$BK$74:$BV$74,"",EK232:EV232))</f>
        <v>0</v>
      </c>
      <c r="FN232" s="997">
        <f t="shared" si="33"/>
        <v>0</v>
      </c>
    </row>
    <row r="233" spans="3:170">
      <c r="C233" s="757"/>
      <c r="D233" s="757"/>
      <c r="E233" s="758"/>
      <c r="F233" s="758"/>
      <c r="G233" s="758"/>
      <c r="H233" s="1215"/>
      <c r="I233" s="761"/>
      <c r="J233" s="761"/>
      <c r="K233" s="761"/>
      <c r="L233" s="761"/>
      <c r="M233" s="761"/>
      <c r="N233" s="761"/>
      <c r="O233" s="761"/>
      <c r="P233" s="761"/>
      <c r="Q233" s="761"/>
      <c r="R233" s="761"/>
      <c r="S233" s="1216"/>
      <c r="T233" s="1215"/>
      <c r="U233" s="761"/>
      <c r="V233" s="761"/>
      <c r="W233" s="761"/>
      <c r="X233" s="761"/>
      <c r="Y233" s="761"/>
      <c r="Z233" s="761"/>
      <c r="AA233" s="761"/>
      <c r="AB233" s="761"/>
      <c r="AC233" s="761"/>
      <c r="AD233" s="761"/>
      <c r="AE233" s="1216"/>
      <c r="AF233" s="1215"/>
      <c r="AG233" s="761"/>
      <c r="AH233" s="761"/>
      <c r="AI233" s="761"/>
      <c r="AJ233" s="761"/>
      <c r="AK233" s="761"/>
      <c r="AL233" s="761"/>
      <c r="AM233" s="761"/>
      <c r="AN233" s="761"/>
      <c r="AO233" s="761"/>
      <c r="AP233" s="761"/>
      <c r="AQ233" s="1216"/>
      <c r="AR233" s="1215"/>
      <c r="AS233" s="761"/>
      <c r="AT233" s="761"/>
      <c r="AU233" s="761"/>
      <c r="AV233" s="761"/>
      <c r="AW233" s="761"/>
      <c r="AX233" s="761"/>
      <c r="AY233" s="761"/>
      <c r="AZ233" s="761"/>
      <c r="BA233" s="761"/>
      <c r="BB233" s="761"/>
      <c r="BC233" s="1216"/>
      <c r="BD233" s="1215"/>
      <c r="BE233" s="761"/>
      <c r="BF233" s="761"/>
      <c r="BG233" s="761"/>
      <c r="BH233" s="761"/>
      <c r="BI233" s="761"/>
      <c r="BJ233" s="761"/>
      <c r="BK233" s="761"/>
      <c r="BL233" s="761"/>
      <c r="BM233" s="761"/>
      <c r="BN233" s="761"/>
      <c r="BO233" s="1216"/>
      <c r="BP233" s="1215"/>
      <c r="BQ233" s="761"/>
      <c r="BR233" s="761"/>
      <c r="BS233" s="761"/>
      <c r="BT233" s="761"/>
      <c r="BU233" s="761"/>
      <c r="BV233" s="761"/>
      <c r="BW233" s="761"/>
      <c r="BX233" s="761"/>
      <c r="BY233" s="761"/>
      <c r="BZ233" s="761"/>
      <c r="CA233" s="1216"/>
      <c r="CB233" s="747"/>
      <c r="CC233" s="1222">
        <f>$G233*H233*Variables!$B$53</f>
        <v>0</v>
      </c>
      <c r="CD233" s="1223">
        <f>$G233*I233*Variables!$B$53</f>
        <v>0</v>
      </c>
      <c r="CE233" s="1223">
        <f>$G233*J233*Variables!$B$53</f>
        <v>0</v>
      </c>
      <c r="CF233" s="1223">
        <f>$G233*K233*Variables!$B$53</f>
        <v>0</v>
      </c>
      <c r="CG233" s="1223">
        <f>$G233*L233*Variables!$B$53</f>
        <v>0</v>
      </c>
      <c r="CH233" s="1223">
        <f>$G233*M233*Variables!$B$53</f>
        <v>0</v>
      </c>
      <c r="CI233" s="1223">
        <f>$G233*N233*Variables!$B$53</f>
        <v>0</v>
      </c>
      <c r="CJ233" s="1223">
        <f>$G233*O233*Variables!$B$53</f>
        <v>0</v>
      </c>
      <c r="CK233" s="1223">
        <f>$G233*P233*Variables!$B$53</f>
        <v>0</v>
      </c>
      <c r="CL233" s="1223">
        <f>$G233*Q233*Variables!$B$53</f>
        <v>0</v>
      </c>
      <c r="CM233" s="1223">
        <f>$G233*R233*Variables!$B$53</f>
        <v>0</v>
      </c>
      <c r="CN233" s="1225">
        <f>$G233*S233*Variables!$B$53</f>
        <v>0</v>
      </c>
      <c r="CO233" s="1222">
        <f>$G233*T233*Variables!$B$53*HLOOKUP($CO$2,Variables!$B$60:$F$61,2,FALSE)</f>
        <v>0</v>
      </c>
      <c r="CP233" s="1223">
        <f>$G233*U233*Variables!$B$53*HLOOKUP($CO$2,Variables!$B$60:$F$61,2,FALSE)</f>
        <v>0</v>
      </c>
      <c r="CQ233" s="1223">
        <f>$G233*V233*Variables!$B$53*HLOOKUP($CO$2,Variables!$B$60:$F$61,2,FALSE)</f>
        <v>0</v>
      </c>
      <c r="CR233" s="1223">
        <f>$G233*W233*Variables!$B$53*HLOOKUP($CO$2,Variables!$B$60:$F$61,2,FALSE)</f>
        <v>0</v>
      </c>
      <c r="CS233" s="1223">
        <f>$G233*X233*Variables!$B$53*HLOOKUP($CO$2,Variables!$B$60:$F$61,2,FALSE)</f>
        <v>0</v>
      </c>
      <c r="CT233" s="1223">
        <f>$G233*Y233*Variables!$B$53*HLOOKUP($CO$2,Variables!$B$60:$F$61,2,FALSE)</f>
        <v>0</v>
      </c>
      <c r="CU233" s="1223">
        <f>$G233*Z233*Variables!$B$53*HLOOKUP($CO$2,Variables!$B$60:$F$61,2,FALSE)</f>
        <v>0</v>
      </c>
      <c r="CV233" s="1223">
        <f>$G233*AA233*Variables!$B$53*HLOOKUP($CO$2,Variables!$B$60:$F$61,2,FALSE)</f>
        <v>0</v>
      </c>
      <c r="CW233" s="1223">
        <f>$G233*AB233*Variables!$B$53*HLOOKUP($CO$2,Variables!$B$60:$F$61,2,FALSE)</f>
        <v>0</v>
      </c>
      <c r="CX233" s="1223">
        <f>$G233*AC233*Variables!$B$53*HLOOKUP($CO$2,Variables!$B$60:$F$61,2,FALSE)</f>
        <v>0</v>
      </c>
      <c r="CY233" s="1223">
        <f>$G233*AD233*Variables!$B$53*HLOOKUP($CO$2,Variables!$B$60:$F$61,2,FALSE)</f>
        <v>0</v>
      </c>
      <c r="CZ233" s="1225">
        <f>$G233*AE233*Variables!$B$53*HLOOKUP($CO$2,Variables!$B$60:$F$61,2,FALSE)</f>
        <v>0</v>
      </c>
      <c r="DA233" s="1222">
        <f>$G233*AF233*Variables!$B$53*HLOOKUP($DA$2,Variables!$B$60:$F$61,2,FALSE)</f>
        <v>0</v>
      </c>
      <c r="DB233" s="1223">
        <f>$G233*AG233*Variables!$B$53*HLOOKUP($DA$2,Variables!$B$60:$F$61,2,FALSE)</f>
        <v>0</v>
      </c>
      <c r="DC233" s="1223">
        <f>$G233*AH233*Variables!$B$53*HLOOKUP($DA$2,Variables!$B$60:$F$61,2,FALSE)</f>
        <v>0</v>
      </c>
      <c r="DD233" s="1223">
        <f>$G233*AI233*Variables!$B$53*HLOOKUP($DA$2,Variables!$B$60:$F$61,2,FALSE)</f>
        <v>0</v>
      </c>
      <c r="DE233" s="1223">
        <f>$G233*AJ233*Variables!$B$53*HLOOKUP($DA$2,Variables!$B$60:$F$61,2,FALSE)</f>
        <v>0</v>
      </c>
      <c r="DF233" s="1223">
        <f>$G233*AK233*Variables!$B$53*HLOOKUP($DA$2,Variables!$B$60:$F$61,2,FALSE)</f>
        <v>0</v>
      </c>
      <c r="DG233" s="1223">
        <f>$G233*AL233*Variables!$B$53*HLOOKUP($DA$2,Variables!$B$60:$F$61,2,FALSE)</f>
        <v>0</v>
      </c>
      <c r="DH233" s="1223">
        <f>$G233*AM233*Variables!$B$53*HLOOKUP($DA$2,Variables!$B$60:$F$61,2,FALSE)</f>
        <v>0</v>
      </c>
      <c r="DI233" s="1223">
        <f>$G233*AN233*Variables!$B$53*HLOOKUP($DA$2,Variables!$B$60:$F$61,2,FALSE)</f>
        <v>0</v>
      </c>
      <c r="DJ233" s="1223">
        <f>$G233*AO233*Variables!$B$53*HLOOKUP($DA$2,Variables!$B$60:$F$61,2,FALSE)</f>
        <v>0</v>
      </c>
      <c r="DK233" s="1223">
        <f>$G233*AP233*Variables!$B$53*HLOOKUP($DA$2,Variables!$B$60:$F$61,2,FALSE)</f>
        <v>0</v>
      </c>
      <c r="DL233" s="1225">
        <f>$G233*AQ233*Variables!$B$53*HLOOKUP($DA$2,Variables!$B$60:$F$61,2,FALSE)</f>
        <v>0</v>
      </c>
      <c r="DM233" s="1222">
        <f>$G233*AR233*Variables!$B$53*HLOOKUP($DM$2,Variables!$B$60:$F$61,2,FALSE)</f>
        <v>0</v>
      </c>
      <c r="DN233" s="1223">
        <f>$G233*AS233*Variables!$B$53*HLOOKUP($DM$2,Variables!$B$60:$F$61,2,FALSE)</f>
        <v>0</v>
      </c>
      <c r="DO233" s="1223">
        <f>$G233*AT233*Variables!$B$53*HLOOKUP($DM$2,Variables!$B$60:$F$61,2,FALSE)</f>
        <v>0</v>
      </c>
      <c r="DP233" s="1223">
        <f>$G233*AU233*Variables!$B$53*HLOOKUP($DM$2,Variables!$B$60:$F$61,2,FALSE)</f>
        <v>0</v>
      </c>
      <c r="DQ233" s="1223">
        <f>$G233*AV233*Variables!$B$53*HLOOKUP($DM$2,Variables!$B$60:$F$61,2,FALSE)</f>
        <v>0</v>
      </c>
      <c r="DR233" s="1223">
        <f>$G233*AW233*Variables!$B$53*HLOOKUP($DM$2,Variables!$B$60:$F$61,2,FALSE)</f>
        <v>0</v>
      </c>
      <c r="DS233" s="1223">
        <f>$G233*AX233*Variables!$B$53*HLOOKUP($DM$2,Variables!$B$60:$F$61,2,FALSE)</f>
        <v>0</v>
      </c>
      <c r="DT233" s="1223">
        <f>$G233*AY233*Variables!$B$53*HLOOKUP($DM$2,Variables!$B$60:$F$61,2,FALSE)</f>
        <v>0</v>
      </c>
      <c r="DU233" s="1223">
        <f>$G233*AZ233*Variables!$B$53*HLOOKUP($DM$2,Variables!$B$60:$F$61,2,FALSE)</f>
        <v>0</v>
      </c>
      <c r="DV233" s="1223">
        <f>$G233*BA233*Variables!$B$53*HLOOKUP($DM$2,Variables!$B$60:$F$61,2,FALSE)</f>
        <v>0</v>
      </c>
      <c r="DW233" s="1223">
        <f>$G233*BB233*Variables!$B$53*HLOOKUP($DM$2,Variables!$B$60:$F$61,2,FALSE)</f>
        <v>0</v>
      </c>
      <c r="DX233" s="1225">
        <f>$G233*BC233*Variables!$B$53*HLOOKUP($DM$2,Variables!$B$60:$F$61,2,FALSE)</f>
        <v>0</v>
      </c>
      <c r="DY233" s="1222">
        <f>$G233*BD233*Variables!$B$53*HLOOKUP($DY$2,Variables!$B$60:$F$61,2,FALSE)</f>
        <v>0</v>
      </c>
      <c r="DZ233" s="1223">
        <f>$G233*BE233*Variables!$B$53*HLOOKUP($DY$2,Variables!$B$60:$F$61,2,FALSE)</f>
        <v>0</v>
      </c>
      <c r="EA233" s="1223">
        <f>$G233*BF233*Variables!$B$53*HLOOKUP($DY$2,Variables!$B$60:$F$61,2,FALSE)</f>
        <v>0</v>
      </c>
      <c r="EB233" s="1223">
        <f>$G233*BG233*Variables!$B$53*HLOOKUP($DY$2,Variables!$B$60:$F$61,2,FALSE)</f>
        <v>0</v>
      </c>
      <c r="EC233" s="1223">
        <f>$G233*BH233*Variables!$B$53*HLOOKUP($DY$2,Variables!$B$60:$F$61,2,FALSE)</f>
        <v>0</v>
      </c>
      <c r="ED233" s="1223">
        <f>$G233*BI233*Variables!$B$53*HLOOKUP($DY$2,Variables!$B$60:$F$61,2,FALSE)</f>
        <v>0</v>
      </c>
      <c r="EE233" s="1223">
        <f>$G233*BJ233*Variables!$B$53*HLOOKUP($DY$2,Variables!$B$60:$F$61,2,FALSE)</f>
        <v>0</v>
      </c>
      <c r="EF233" s="1223">
        <f>$G233*BK233*Variables!$B$53*HLOOKUP($DY$2,Variables!$B$60:$F$61,2,FALSE)</f>
        <v>0</v>
      </c>
      <c r="EG233" s="1223">
        <f>$G233*BL233*Variables!$B$53*HLOOKUP($DY$2,Variables!$B$60:$F$61,2,FALSE)</f>
        <v>0</v>
      </c>
      <c r="EH233" s="1223">
        <f>$G233*BM233*Variables!$B$53*HLOOKUP($DY$2,Variables!$B$60:$F$61,2,FALSE)</f>
        <v>0</v>
      </c>
      <c r="EI233" s="1223">
        <f>$G233*BN233*Variables!$B$53*HLOOKUP($DY$2,Variables!$B$60:$F$61,2,FALSE)</f>
        <v>0</v>
      </c>
      <c r="EJ233" s="1225">
        <f>$G233*BO233*Variables!$B$53*HLOOKUP($DY$2,Variables!$B$60:$F$61,2,FALSE)</f>
        <v>0</v>
      </c>
      <c r="EK233" s="1222">
        <f>$G233*BP233*Variables!$B$53*HLOOKUP($EK$2,Variables!$B$60:$F$61,2,FALSE)</f>
        <v>0</v>
      </c>
      <c r="EL233" s="1223">
        <f>$G233*BQ233*Variables!$B$53*HLOOKUP($EK$2,Variables!$B$60:$F$61,2,FALSE)</f>
        <v>0</v>
      </c>
      <c r="EM233" s="1223">
        <f>$G233*BR233*Variables!$B$53*HLOOKUP($EK$2,Variables!$B$60:$F$61,2,FALSE)</f>
        <v>0</v>
      </c>
      <c r="EN233" s="1223">
        <f>$G233*BS233*Variables!$B$53*HLOOKUP($EK$2,Variables!$B$60:$F$61,2,FALSE)</f>
        <v>0</v>
      </c>
      <c r="EO233" s="1223">
        <f>$G233*BT233*Variables!$B$53*HLOOKUP($EK$2,Variables!$B$60:$F$61,2,FALSE)</f>
        <v>0</v>
      </c>
      <c r="EP233" s="1223">
        <f>$G233*BU233*Variables!$B$53*HLOOKUP($EK$2,Variables!$B$60:$F$61,2,FALSE)</f>
        <v>0</v>
      </c>
      <c r="EQ233" s="1223">
        <f>$G233*BV233*Variables!$B$53*HLOOKUP($EK$2,Variables!$B$60:$F$61,2,FALSE)</f>
        <v>0</v>
      </c>
      <c r="ER233" s="1223">
        <f>$G233*BW233*Variables!$B$53*HLOOKUP($EK$2,Variables!$B$60:$F$61,2,FALSE)</f>
        <v>0</v>
      </c>
      <c r="ES233" s="1223">
        <f>$G233*BX233*Variables!$B$53*HLOOKUP($EK$2,Variables!$B$60:$F$61,2,FALSE)</f>
        <v>0</v>
      </c>
      <c r="ET233" s="1223">
        <f>$G233*BY233*Variables!$B$53*HLOOKUP($EK$2,Variables!$B$60:$F$61,2,FALSE)</f>
        <v>0</v>
      </c>
      <c r="EU233" s="1223">
        <f>$G233*BZ233*Variables!$B$53*HLOOKUP($EK$2,Variables!$B$60:$F$61,2,FALSE)</f>
        <v>0</v>
      </c>
      <c r="EV233" s="1225">
        <f>$G233*CA233*Variables!$B$53*HLOOKUP($EK$2,Variables!$B$60:$F$61,2,FALSE)</f>
        <v>0</v>
      </c>
      <c r="EW233" s="872">
        <f t="shared" si="29"/>
        <v>0</v>
      </c>
      <c r="EX233" s="872"/>
      <c r="EY233" s="872"/>
      <c r="EZ233" s="872"/>
      <c r="FA233" s="1332"/>
      <c r="FC233" s="958" t="str">
        <f t="shared" si="30"/>
        <v/>
      </c>
      <c r="FD233" s="959" t="str">
        <f t="shared" si="31"/>
        <v/>
      </c>
      <c r="FE233" s="959" t="s">
        <v>8407</v>
      </c>
      <c r="FF233" s="959" t="str">
        <f>IF(ISNA(VLOOKUP(FC233,Miscellaneous!E:F,2,0)),"",VLOOKUP(FC233,Miscellaneous!E:F,2,0))</f>
        <v/>
      </c>
      <c r="FG233" s="959" t="str">
        <f t="shared" si="32"/>
        <v/>
      </c>
      <c r="FH233" s="996">
        <f>IF($FG233="Opex",SUMIF('Monthly Summary'!$C$75:$N$75,"",CC233:CN233),SUMIF('Monthly Summary'!$C$74:$N$74,"",CC233:CN233))</f>
        <v>0</v>
      </c>
      <c r="FI233" s="996">
        <f>IF($FG233="Opex",SUMIF('Monthly Summary'!$O$75:$Z$75,"",CO233:CZ233),SUMIF('Monthly Summary'!$O$74:$Z$74,"",CO233:CZ233))</f>
        <v>0</v>
      </c>
      <c r="FJ233" s="996">
        <f>IF($FG233="Opex",SUMIF('Monthly Summary'!$AA$75:$AL$75,"",DA233:DL233),SUMIF('Monthly Summary'!$AA$74:$AL$74,"",DA233:DL233))</f>
        <v>0</v>
      </c>
      <c r="FK233" s="996">
        <f>IF($FG233="Opex",SUMIF('Monthly Summary'!$AM$75:$AX$75,"",DM233:DX233),SUMIF('Monthly Summary'!$AM$74:$AX$74,"",DM233:DX233))</f>
        <v>0</v>
      </c>
      <c r="FL233" s="996">
        <f>IF($FG233="Opex",SUMIF('Monthly Summary'!$AY$75:$BJ$75,"",DY233:EJ233),SUMIF('Monthly Summary'!$AY$74:$BJ$74,"",DY233:EJ233))</f>
        <v>0</v>
      </c>
      <c r="FM233" s="997">
        <f>IF($FG233="Opex",SUMIF('Monthly Summary'!$BK$75:$BV$75,"",EK233:EV233),SUMIF('Monthly Summary'!$BK$74:$BV$74,"",EK233:EV233))</f>
        <v>0</v>
      </c>
      <c r="FN233" s="997">
        <f t="shared" si="33"/>
        <v>0</v>
      </c>
    </row>
    <row r="234" spans="3:170">
      <c r="C234" s="757"/>
      <c r="D234" s="757"/>
      <c r="E234" s="758"/>
      <c r="F234" s="758"/>
      <c r="G234" s="758"/>
      <c r="H234" s="1215"/>
      <c r="I234" s="761"/>
      <c r="J234" s="761"/>
      <c r="K234" s="761"/>
      <c r="L234" s="761"/>
      <c r="M234" s="761"/>
      <c r="N234" s="761"/>
      <c r="O234" s="761"/>
      <c r="P234" s="761"/>
      <c r="Q234" s="761"/>
      <c r="R234" s="761"/>
      <c r="S234" s="1216"/>
      <c r="T234" s="1215"/>
      <c r="U234" s="761"/>
      <c r="V234" s="761"/>
      <c r="W234" s="761"/>
      <c r="X234" s="761"/>
      <c r="Y234" s="761"/>
      <c r="Z234" s="761"/>
      <c r="AA234" s="761"/>
      <c r="AB234" s="761"/>
      <c r="AC234" s="761"/>
      <c r="AD234" s="761"/>
      <c r="AE234" s="1216"/>
      <c r="AF234" s="1215"/>
      <c r="AG234" s="761"/>
      <c r="AH234" s="761"/>
      <c r="AI234" s="761"/>
      <c r="AJ234" s="761"/>
      <c r="AK234" s="761"/>
      <c r="AL234" s="761"/>
      <c r="AM234" s="761"/>
      <c r="AN234" s="761"/>
      <c r="AO234" s="761"/>
      <c r="AP234" s="761"/>
      <c r="AQ234" s="1216"/>
      <c r="AR234" s="1215"/>
      <c r="AS234" s="761"/>
      <c r="AT234" s="761"/>
      <c r="AU234" s="761"/>
      <c r="AV234" s="761"/>
      <c r="AW234" s="761"/>
      <c r="AX234" s="761"/>
      <c r="AY234" s="761"/>
      <c r="AZ234" s="761"/>
      <c r="BA234" s="761"/>
      <c r="BB234" s="761"/>
      <c r="BC234" s="1216"/>
      <c r="BD234" s="1215"/>
      <c r="BE234" s="761"/>
      <c r="BF234" s="761"/>
      <c r="BG234" s="761"/>
      <c r="BH234" s="761"/>
      <c r="BI234" s="761"/>
      <c r="BJ234" s="761"/>
      <c r="BK234" s="761"/>
      <c r="BL234" s="761"/>
      <c r="BM234" s="761"/>
      <c r="BN234" s="761"/>
      <c r="BO234" s="1216"/>
      <c r="BP234" s="1215"/>
      <c r="BQ234" s="761"/>
      <c r="BR234" s="761"/>
      <c r="BS234" s="761"/>
      <c r="BT234" s="761"/>
      <c r="BU234" s="761"/>
      <c r="BV234" s="761"/>
      <c r="BW234" s="761"/>
      <c r="BX234" s="761"/>
      <c r="BY234" s="761"/>
      <c r="BZ234" s="761"/>
      <c r="CA234" s="1216"/>
      <c r="CB234" s="747"/>
      <c r="CC234" s="1222">
        <f>$G234*H234*Variables!$B$53</f>
        <v>0</v>
      </c>
      <c r="CD234" s="1223">
        <f>$G234*I234*Variables!$B$53</f>
        <v>0</v>
      </c>
      <c r="CE234" s="1223">
        <f>$G234*J234*Variables!$B$53</f>
        <v>0</v>
      </c>
      <c r="CF234" s="1223">
        <f>$G234*K234*Variables!$B$53</f>
        <v>0</v>
      </c>
      <c r="CG234" s="1223">
        <f>$G234*L234*Variables!$B$53</f>
        <v>0</v>
      </c>
      <c r="CH234" s="1223">
        <f>$G234*M234*Variables!$B$53</f>
        <v>0</v>
      </c>
      <c r="CI234" s="1223">
        <f>$G234*N234*Variables!$B$53</f>
        <v>0</v>
      </c>
      <c r="CJ234" s="1223">
        <f>$G234*O234*Variables!$B$53</f>
        <v>0</v>
      </c>
      <c r="CK234" s="1223">
        <f>$G234*P234*Variables!$B$53</f>
        <v>0</v>
      </c>
      <c r="CL234" s="1223">
        <f>$G234*Q234*Variables!$B$53</f>
        <v>0</v>
      </c>
      <c r="CM234" s="1223">
        <f>$G234*R234*Variables!$B$53</f>
        <v>0</v>
      </c>
      <c r="CN234" s="1225">
        <f>$G234*S234*Variables!$B$53</f>
        <v>0</v>
      </c>
      <c r="CO234" s="1222">
        <f>$G234*T234*Variables!$B$53*HLOOKUP($CO$2,Variables!$B$60:$F$61,2,FALSE)</f>
        <v>0</v>
      </c>
      <c r="CP234" s="1223">
        <f>$G234*U234*Variables!$B$53*HLOOKUP($CO$2,Variables!$B$60:$F$61,2,FALSE)</f>
        <v>0</v>
      </c>
      <c r="CQ234" s="1223">
        <f>$G234*V234*Variables!$B$53*HLOOKUP($CO$2,Variables!$B$60:$F$61,2,FALSE)</f>
        <v>0</v>
      </c>
      <c r="CR234" s="1223">
        <f>$G234*W234*Variables!$B$53*HLOOKUP($CO$2,Variables!$B$60:$F$61,2,FALSE)</f>
        <v>0</v>
      </c>
      <c r="CS234" s="1223">
        <f>$G234*X234*Variables!$B$53*HLOOKUP($CO$2,Variables!$B$60:$F$61,2,FALSE)</f>
        <v>0</v>
      </c>
      <c r="CT234" s="1223">
        <f>$G234*Y234*Variables!$B$53*HLOOKUP($CO$2,Variables!$B$60:$F$61,2,FALSE)</f>
        <v>0</v>
      </c>
      <c r="CU234" s="1223">
        <f>$G234*Z234*Variables!$B$53*HLOOKUP($CO$2,Variables!$B$60:$F$61,2,FALSE)</f>
        <v>0</v>
      </c>
      <c r="CV234" s="1223">
        <f>$G234*AA234*Variables!$B$53*HLOOKUP($CO$2,Variables!$B$60:$F$61,2,FALSE)</f>
        <v>0</v>
      </c>
      <c r="CW234" s="1223">
        <f>$G234*AB234*Variables!$B$53*HLOOKUP($CO$2,Variables!$B$60:$F$61,2,FALSE)</f>
        <v>0</v>
      </c>
      <c r="CX234" s="1223">
        <f>$G234*AC234*Variables!$B$53*HLOOKUP($CO$2,Variables!$B$60:$F$61,2,FALSE)</f>
        <v>0</v>
      </c>
      <c r="CY234" s="1223">
        <f>$G234*AD234*Variables!$B$53*HLOOKUP($CO$2,Variables!$B$60:$F$61,2,FALSE)</f>
        <v>0</v>
      </c>
      <c r="CZ234" s="1225">
        <f>$G234*AE234*Variables!$B$53*HLOOKUP($CO$2,Variables!$B$60:$F$61,2,FALSE)</f>
        <v>0</v>
      </c>
      <c r="DA234" s="1222">
        <f>$G234*AF234*Variables!$B$53*HLOOKUP($DA$2,Variables!$B$60:$F$61,2,FALSE)</f>
        <v>0</v>
      </c>
      <c r="DB234" s="1223">
        <f>$G234*AG234*Variables!$B$53*HLOOKUP($DA$2,Variables!$B$60:$F$61,2,FALSE)</f>
        <v>0</v>
      </c>
      <c r="DC234" s="1223">
        <f>$G234*AH234*Variables!$B$53*HLOOKUP($DA$2,Variables!$B$60:$F$61,2,FALSE)</f>
        <v>0</v>
      </c>
      <c r="DD234" s="1223">
        <f>$G234*AI234*Variables!$B$53*HLOOKUP($DA$2,Variables!$B$60:$F$61,2,FALSE)</f>
        <v>0</v>
      </c>
      <c r="DE234" s="1223">
        <f>$G234*AJ234*Variables!$B$53*HLOOKUP($DA$2,Variables!$B$60:$F$61,2,FALSE)</f>
        <v>0</v>
      </c>
      <c r="DF234" s="1223">
        <f>$G234*AK234*Variables!$B$53*HLOOKUP($DA$2,Variables!$B$60:$F$61,2,FALSE)</f>
        <v>0</v>
      </c>
      <c r="DG234" s="1223">
        <f>$G234*AL234*Variables!$B$53*HLOOKUP($DA$2,Variables!$B$60:$F$61,2,FALSE)</f>
        <v>0</v>
      </c>
      <c r="DH234" s="1223">
        <f>$G234*AM234*Variables!$B$53*HLOOKUP($DA$2,Variables!$B$60:$F$61,2,FALSE)</f>
        <v>0</v>
      </c>
      <c r="DI234" s="1223">
        <f>$G234*AN234*Variables!$B$53*HLOOKUP($DA$2,Variables!$B$60:$F$61,2,FALSE)</f>
        <v>0</v>
      </c>
      <c r="DJ234" s="1223">
        <f>$G234*AO234*Variables!$B$53*HLOOKUP($DA$2,Variables!$B$60:$F$61,2,FALSE)</f>
        <v>0</v>
      </c>
      <c r="DK234" s="1223">
        <f>$G234*AP234*Variables!$B$53*HLOOKUP($DA$2,Variables!$B$60:$F$61,2,FALSE)</f>
        <v>0</v>
      </c>
      <c r="DL234" s="1225">
        <f>$G234*AQ234*Variables!$B$53*HLOOKUP($DA$2,Variables!$B$60:$F$61,2,FALSE)</f>
        <v>0</v>
      </c>
      <c r="DM234" s="1222">
        <f>$G234*AR234*Variables!$B$53*HLOOKUP($DM$2,Variables!$B$60:$F$61,2,FALSE)</f>
        <v>0</v>
      </c>
      <c r="DN234" s="1223">
        <f>$G234*AS234*Variables!$B$53*HLOOKUP($DM$2,Variables!$B$60:$F$61,2,FALSE)</f>
        <v>0</v>
      </c>
      <c r="DO234" s="1223">
        <f>$G234*AT234*Variables!$B$53*HLOOKUP($DM$2,Variables!$B$60:$F$61,2,FALSE)</f>
        <v>0</v>
      </c>
      <c r="DP234" s="1223">
        <f>$G234*AU234*Variables!$B$53*HLOOKUP($DM$2,Variables!$B$60:$F$61,2,FALSE)</f>
        <v>0</v>
      </c>
      <c r="DQ234" s="1223">
        <f>$G234*AV234*Variables!$B$53*HLOOKUP($DM$2,Variables!$B$60:$F$61,2,FALSE)</f>
        <v>0</v>
      </c>
      <c r="DR234" s="1223">
        <f>$G234*AW234*Variables!$B$53*HLOOKUP($DM$2,Variables!$B$60:$F$61,2,FALSE)</f>
        <v>0</v>
      </c>
      <c r="DS234" s="1223">
        <f>$G234*AX234*Variables!$B$53*HLOOKUP($DM$2,Variables!$B$60:$F$61,2,FALSE)</f>
        <v>0</v>
      </c>
      <c r="DT234" s="1223">
        <f>$G234*AY234*Variables!$B$53*HLOOKUP($DM$2,Variables!$B$60:$F$61,2,FALSE)</f>
        <v>0</v>
      </c>
      <c r="DU234" s="1223">
        <f>$G234*AZ234*Variables!$B$53*HLOOKUP($DM$2,Variables!$B$60:$F$61,2,FALSE)</f>
        <v>0</v>
      </c>
      <c r="DV234" s="1223">
        <f>$G234*BA234*Variables!$B$53*HLOOKUP($DM$2,Variables!$B$60:$F$61,2,FALSE)</f>
        <v>0</v>
      </c>
      <c r="DW234" s="1223">
        <f>$G234*BB234*Variables!$B$53*HLOOKUP($DM$2,Variables!$B$60:$F$61,2,FALSE)</f>
        <v>0</v>
      </c>
      <c r="DX234" s="1225">
        <f>$G234*BC234*Variables!$B$53*HLOOKUP($DM$2,Variables!$B$60:$F$61,2,FALSE)</f>
        <v>0</v>
      </c>
      <c r="DY234" s="1222">
        <f>$G234*BD234*Variables!$B$53*HLOOKUP($DY$2,Variables!$B$60:$F$61,2,FALSE)</f>
        <v>0</v>
      </c>
      <c r="DZ234" s="1223">
        <f>$G234*BE234*Variables!$B$53*HLOOKUP($DY$2,Variables!$B$60:$F$61,2,FALSE)</f>
        <v>0</v>
      </c>
      <c r="EA234" s="1223">
        <f>$G234*BF234*Variables!$B$53*HLOOKUP($DY$2,Variables!$B$60:$F$61,2,FALSE)</f>
        <v>0</v>
      </c>
      <c r="EB234" s="1223">
        <f>$G234*BG234*Variables!$B$53*HLOOKUP($DY$2,Variables!$B$60:$F$61,2,FALSE)</f>
        <v>0</v>
      </c>
      <c r="EC234" s="1223">
        <f>$G234*BH234*Variables!$B$53*HLOOKUP($DY$2,Variables!$B$60:$F$61,2,FALSE)</f>
        <v>0</v>
      </c>
      <c r="ED234" s="1223">
        <f>$G234*BI234*Variables!$B$53*HLOOKUP($DY$2,Variables!$B$60:$F$61,2,FALSE)</f>
        <v>0</v>
      </c>
      <c r="EE234" s="1223">
        <f>$G234*BJ234*Variables!$B$53*HLOOKUP($DY$2,Variables!$B$60:$F$61,2,FALSE)</f>
        <v>0</v>
      </c>
      <c r="EF234" s="1223">
        <f>$G234*BK234*Variables!$B$53*HLOOKUP($DY$2,Variables!$B$60:$F$61,2,FALSE)</f>
        <v>0</v>
      </c>
      <c r="EG234" s="1223">
        <f>$G234*BL234*Variables!$B$53*HLOOKUP($DY$2,Variables!$B$60:$F$61,2,FALSE)</f>
        <v>0</v>
      </c>
      <c r="EH234" s="1223">
        <f>$G234*BM234*Variables!$B$53*HLOOKUP($DY$2,Variables!$B$60:$F$61,2,FALSE)</f>
        <v>0</v>
      </c>
      <c r="EI234" s="1223">
        <f>$G234*BN234*Variables!$B$53*HLOOKUP($DY$2,Variables!$B$60:$F$61,2,FALSE)</f>
        <v>0</v>
      </c>
      <c r="EJ234" s="1225">
        <f>$G234*BO234*Variables!$B$53*HLOOKUP($DY$2,Variables!$B$60:$F$61,2,FALSE)</f>
        <v>0</v>
      </c>
      <c r="EK234" s="1222">
        <f>$G234*BP234*Variables!$B$53*HLOOKUP($EK$2,Variables!$B$60:$F$61,2,FALSE)</f>
        <v>0</v>
      </c>
      <c r="EL234" s="1223">
        <f>$G234*BQ234*Variables!$B$53*HLOOKUP($EK$2,Variables!$B$60:$F$61,2,FALSE)</f>
        <v>0</v>
      </c>
      <c r="EM234" s="1223">
        <f>$G234*BR234*Variables!$B$53*HLOOKUP($EK$2,Variables!$B$60:$F$61,2,FALSE)</f>
        <v>0</v>
      </c>
      <c r="EN234" s="1223">
        <f>$G234*BS234*Variables!$B$53*HLOOKUP($EK$2,Variables!$B$60:$F$61,2,FALSE)</f>
        <v>0</v>
      </c>
      <c r="EO234" s="1223">
        <f>$G234*BT234*Variables!$B$53*HLOOKUP($EK$2,Variables!$B$60:$F$61,2,FALSE)</f>
        <v>0</v>
      </c>
      <c r="EP234" s="1223">
        <f>$G234*BU234*Variables!$B$53*HLOOKUP($EK$2,Variables!$B$60:$F$61,2,FALSE)</f>
        <v>0</v>
      </c>
      <c r="EQ234" s="1223">
        <f>$G234*BV234*Variables!$B$53*HLOOKUP($EK$2,Variables!$B$60:$F$61,2,FALSE)</f>
        <v>0</v>
      </c>
      <c r="ER234" s="1223">
        <f>$G234*BW234*Variables!$B$53*HLOOKUP($EK$2,Variables!$B$60:$F$61,2,FALSE)</f>
        <v>0</v>
      </c>
      <c r="ES234" s="1223">
        <f>$G234*BX234*Variables!$B$53*HLOOKUP($EK$2,Variables!$B$60:$F$61,2,FALSE)</f>
        <v>0</v>
      </c>
      <c r="ET234" s="1223">
        <f>$G234*BY234*Variables!$B$53*HLOOKUP($EK$2,Variables!$B$60:$F$61,2,FALSE)</f>
        <v>0</v>
      </c>
      <c r="EU234" s="1223">
        <f>$G234*BZ234*Variables!$B$53*HLOOKUP($EK$2,Variables!$B$60:$F$61,2,FALSE)</f>
        <v>0</v>
      </c>
      <c r="EV234" s="1225">
        <f>$G234*CA234*Variables!$B$53*HLOOKUP($EK$2,Variables!$B$60:$F$61,2,FALSE)</f>
        <v>0</v>
      </c>
      <c r="EW234" s="872">
        <f t="shared" si="29"/>
        <v>0</v>
      </c>
      <c r="EX234" s="872"/>
      <c r="EY234" s="872"/>
      <c r="EZ234" s="872"/>
      <c r="FA234" s="1332"/>
      <c r="FC234" s="958" t="str">
        <f t="shared" si="30"/>
        <v/>
      </c>
      <c r="FD234" s="959" t="str">
        <f t="shared" si="31"/>
        <v/>
      </c>
      <c r="FE234" s="959" t="s">
        <v>8407</v>
      </c>
      <c r="FF234" s="959" t="str">
        <f>IF(ISNA(VLOOKUP(FC234,Miscellaneous!E:F,2,0)),"",VLOOKUP(FC234,Miscellaneous!E:F,2,0))</f>
        <v/>
      </c>
      <c r="FG234" s="959" t="str">
        <f t="shared" si="32"/>
        <v/>
      </c>
      <c r="FH234" s="996">
        <f>IF($FG234="Opex",SUMIF('Monthly Summary'!$C$75:$N$75,"",CC234:CN234),SUMIF('Monthly Summary'!$C$74:$N$74,"",CC234:CN234))</f>
        <v>0</v>
      </c>
      <c r="FI234" s="996">
        <f>IF($FG234="Opex",SUMIF('Monthly Summary'!$O$75:$Z$75,"",CO234:CZ234),SUMIF('Monthly Summary'!$O$74:$Z$74,"",CO234:CZ234))</f>
        <v>0</v>
      </c>
      <c r="FJ234" s="996">
        <f>IF($FG234="Opex",SUMIF('Monthly Summary'!$AA$75:$AL$75,"",DA234:DL234),SUMIF('Monthly Summary'!$AA$74:$AL$74,"",DA234:DL234))</f>
        <v>0</v>
      </c>
      <c r="FK234" s="996">
        <f>IF($FG234="Opex",SUMIF('Monthly Summary'!$AM$75:$AX$75,"",DM234:DX234),SUMIF('Monthly Summary'!$AM$74:$AX$74,"",DM234:DX234))</f>
        <v>0</v>
      </c>
      <c r="FL234" s="996">
        <f>IF($FG234="Opex",SUMIF('Monthly Summary'!$AY$75:$BJ$75,"",DY234:EJ234),SUMIF('Monthly Summary'!$AY$74:$BJ$74,"",DY234:EJ234))</f>
        <v>0</v>
      </c>
      <c r="FM234" s="997">
        <f>IF($FG234="Opex",SUMIF('Monthly Summary'!$BK$75:$BV$75,"",EK234:EV234),SUMIF('Monthly Summary'!$BK$74:$BV$74,"",EK234:EV234))</f>
        <v>0</v>
      </c>
      <c r="FN234" s="997">
        <f t="shared" si="33"/>
        <v>0</v>
      </c>
    </row>
    <row r="235" spans="3:170">
      <c r="C235" s="757"/>
      <c r="D235" s="757"/>
      <c r="E235" s="758"/>
      <c r="F235" s="758"/>
      <c r="G235" s="758"/>
      <c r="H235" s="1215"/>
      <c r="I235" s="761"/>
      <c r="J235" s="761"/>
      <c r="K235" s="761"/>
      <c r="L235" s="761"/>
      <c r="M235" s="761"/>
      <c r="N235" s="761"/>
      <c r="O235" s="761"/>
      <c r="P235" s="761"/>
      <c r="Q235" s="761"/>
      <c r="R235" s="761"/>
      <c r="S235" s="1216"/>
      <c r="T235" s="1215"/>
      <c r="U235" s="761"/>
      <c r="V235" s="761"/>
      <c r="W235" s="761"/>
      <c r="X235" s="761"/>
      <c r="Y235" s="761"/>
      <c r="Z235" s="761"/>
      <c r="AA235" s="761"/>
      <c r="AB235" s="761"/>
      <c r="AC235" s="761"/>
      <c r="AD235" s="761"/>
      <c r="AE235" s="1216"/>
      <c r="AF235" s="1215"/>
      <c r="AG235" s="761"/>
      <c r="AH235" s="761"/>
      <c r="AI235" s="761"/>
      <c r="AJ235" s="761"/>
      <c r="AK235" s="761"/>
      <c r="AL235" s="761"/>
      <c r="AM235" s="761"/>
      <c r="AN235" s="761"/>
      <c r="AO235" s="761"/>
      <c r="AP235" s="761"/>
      <c r="AQ235" s="1216"/>
      <c r="AR235" s="1215"/>
      <c r="AS235" s="761"/>
      <c r="AT235" s="761"/>
      <c r="AU235" s="761"/>
      <c r="AV235" s="761"/>
      <c r="AW235" s="761"/>
      <c r="AX235" s="761"/>
      <c r="AY235" s="761"/>
      <c r="AZ235" s="761"/>
      <c r="BA235" s="761"/>
      <c r="BB235" s="761"/>
      <c r="BC235" s="1216"/>
      <c r="BD235" s="1215"/>
      <c r="BE235" s="761"/>
      <c r="BF235" s="761"/>
      <c r="BG235" s="761"/>
      <c r="BH235" s="761"/>
      <c r="BI235" s="761"/>
      <c r="BJ235" s="761"/>
      <c r="BK235" s="761"/>
      <c r="BL235" s="761"/>
      <c r="BM235" s="761"/>
      <c r="BN235" s="761"/>
      <c r="BO235" s="1216"/>
      <c r="BP235" s="1215"/>
      <c r="BQ235" s="761"/>
      <c r="BR235" s="761"/>
      <c r="BS235" s="761"/>
      <c r="BT235" s="761"/>
      <c r="BU235" s="761"/>
      <c r="BV235" s="761"/>
      <c r="BW235" s="761"/>
      <c r="BX235" s="761"/>
      <c r="BY235" s="761"/>
      <c r="BZ235" s="761"/>
      <c r="CA235" s="1216"/>
      <c r="CB235" s="747"/>
      <c r="CC235" s="1222">
        <f>$G235*H235*Variables!$B$53</f>
        <v>0</v>
      </c>
      <c r="CD235" s="1223">
        <f>$G235*I235*Variables!$B$53</f>
        <v>0</v>
      </c>
      <c r="CE235" s="1223">
        <f>$G235*J235*Variables!$B$53</f>
        <v>0</v>
      </c>
      <c r="CF235" s="1223">
        <f>$G235*K235*Variables!$B$53</f>
        <v>0</v>
      </c>
      <c r="CG235" s="1223">
        <f>$G235*L235*Variables!$B$53</f>
        <v>0</v>
      </c>
      <c r="CH235" s="1223">
        <f>$G235*M235*Variables!$B$53</f>
        <v>0</v>
      </c>
      <c r="CI235" s="1223">
        <f>$G235*N235*Variables!$B$53</f>
        <v>0</v>
      </c>
      <c r="CJ235" s="1223">
        <f>$G235*O235*Variables!$B$53</f>
        <v>0</v>
      </c>
      <c r="CK235" s="1223">
        <f>$G235*P235*Variables!$B$53</f>
        <v>0</v>
      </c>
      <c r="CL235" s="1223">
        <f>$G235*Q235*Variables!$B$53</f>
        <v>0</v>
      </c>
      <c r="CM235" s="1223">
        <f>$G235*R235*Variables!$B$53</f>
        <v>0</v>
      </c>
      <c r="CN235" s="1225">
        <f>$G235*S235*Variables!$B$53</f>
        <v>0</v>
      </c>
      <c r="CO235" s="1222">
        <f>$G235*T235*Variables!$B$53*HLOOKUP($CO$2,Variables!$B$60:$F$61,2,FALSE)</f>
        <v>0</v>
      </c>
      <c r="CP235" s="1223">
        <f>$G235*U235*Variables!$B$53*HLOOKUP($CO$2,Variables!$B$60:$F$61,2,FALSE)</f>
        <v>0</v>
      </c>
      <c r="CQ235" s="1223">
        <f>$G235*V235*Variables!$B$53*HLOOKUP($CO$2,Variables!$B$60:$F$61,2,FALSE)</f>
        <v>0</v>
      </c>
      <c r="CR235" s="1223">
        <f>$G235*W235*Variables!$B$53*HLOOKUP($CO$2,Variables!$B$60:$F$61,2,FALSE)</f>
        <v>0</v>
      </c>
      <c r="CS235" s="1223">
        <f>$G235*X235*Variables!$B$53*HLOOKUP($CO$2,Variables!$B$60:$F$61,2,FALSE)</f>
        <v>0</v>
      </c>
      <c r="CT235" s="1223">
        <f>$G235*Y235*Variables!$B$53*HLOOKUP($CO$2,Variables!$B$60:$F$61,2,FALSE)</f>
        <v>0</v>
      </c>
      <c r="CU235" s="1223">
        <f>$G235*Z235*Variables!$B$53*HLOOKUP($CO$2,Variables!$B$60:$F$61,2,FALSE)</f>
        <v>0</v>
      </c>
      <c r="CV235" s="1223">
        <f>$G235*AA235*Variables!$B$53*HLOOKUP($CO$2,Variables!$B$60:$F$61,2,FALSE)</f>
        <v>0</v>
      </c>
      <c r="CW235" s="1223">
        <f>$G235*AB235*Variables!$B$53*HLOOKUP($CO$2,Variables!$B$60:$F$61,2,FALSE)</f>
        <v>0</v>
      </c>
      <c r="CX235" s="1223">
        <f>$G235*AC235*Variables!$B$53*HLOOKUP($CO$2,Variables!$B$60:$F$61,2,FALSE)</f>
        <v>0</v>
      </c>
      <c r="CY235" s="1223">
        <f>$G235*AD235*Variables!$B$53*HLOOKUP($CO$2,Variables!$B$60:$F$61,2,FALSE)</f>
        <v>0</v>
      </c>
      <c r="CZ235" s="1225">
        <f>$G235*AE235*Variables!$B$53*HLOOKUP($CO$2,Variables!$B$60:$F$61,2,FALSE)</f>
        <v>0</v>
      </c>
      <c r="DA235" s="1222">
        <f>$G235*AF235*Variables!$B$53*HLOOKUP($DA$2,Variables!$B$60:$F$61,2,FALSE)</f>
        <v>0</v>
      </c>
      <c r="DB235" s="1223">
        <f>$G235*AG235*Variables!$B$53*HLOOKUP($DA$2,Variables!$B$60:$F$61,2,FALSE)</f>
        <v>0</v>
      </c>
      <c r="DC235" s="1223">
        <f>$G235*AH235*Variables!$B$53*HLOOKUP($DA$2,Variables!$B$60:$F$61,2,FALSE)</f>
        <v>0</v>
      </c>
      <c r="DD235" s="1223">
        <f>$G235*AI235*Variables!$B$53*HLOOKUP($DA$2,Variables!$B$60:$F$61,2,FALSE)</f>
        <v>0</v>
      </c>
      <c r="DE235" s="1223">
        <f>$G235*AJ235*Variables!$B$53*HLOOKUP($DA$2,Variables!$B$60:$F$61,2,FALSE)</f>
        <v>0</v>
      </c>
      <c r="DF235" s="1223">
        <f>$G235*AK235*Variables!$B$53*HLOOKUP($DA$2,Variables!$B$60:$F$61,2,FALSE)</f>
        <v>0</v>
      </c>
      <c r="DG235" s="1223">
        <f>$G235*AL235*Variables!$B$53*HLOOKUP($DA$2,Variables!$B$60:$F$61,2,FALSE)</f>
        <v>0</v>
      </c>
      <c r="DH235" s="1223">
        <f>$G235*AM235*Variables!$B$53*HLOOKUP($DA$2,Variables!$B$60:$F$61,2,FALSE)</f>
        <v>0</v>
      </c>
      <c r="DI235" s="1223">
        <f>$G235*AN235*Variables!$B$53*HLOOKUP($DA$2,Variables!$B$60:$F$61,2,FALSE)</f>
        <v>0</v>
      </c>
      <c r="DJ235" s="1223">
        <f>$G235*AO235*Variables!$B$53*HLOOKUP($DA$2,Variables!$B$60:$F$61,2,FALSE)</f>
        <v>0</v>
      </c>
      <c r="DK235" s="1223">
        <f>$G235*AP235*Variables!$B$53*HLOOKUP($DA$2,Variables!$B$60:$F$61,2,FALSE)</f>
        <v>0</v>
      </c>
      <c r="DL235" s="1225">
        <f>$G235*AQ235*Variables!$B$53*HLOOKUP($DA$2,Variables!$B$60:$F$61,2,FALSE)</f>
        <v>0</v>
      </c>
      <c r="DM235" s="1222">
        <f>$G235*AR235*Variables!$B$53*HLOOKUP($DM$2,Variables!$B$60:$F$61,2,FALSE)</f>
        <v>0</v>
      </c>
      <c r="DN235" s="1223">
        <f>$G235*AS235*Variables!$B$53*HLOOKUP($DM$2,Variables!$B$60:$F$61,2,FALSE)</f>
        <v>0</v>
      </c>
      <c r="DO235" s="1223">
        <f>$G235*AT235*Variables!$B$53*HLOOKUP($DM$2,Variables!$B$60:$F$61,2,FALSE)</f>
        <v>0</v>
      </c>
      <c r="DP235" s="1223">
        <f>$G235*AU235*Variables!$B$53*HLOOKUP($DM$2,Variables!$B$60:$F$61,2,FALSE)</f>
        <v>0</v>
      </c>
      <c r="DQ235" s="1223">
        <f>$G235*AV235*Variables!$B$53*HLOOKUP($DM$2,Variables!$B$60:$F$61,2,FALSE)</f>
        <v>0</v>
      </c>
      <c r="DR235" s="1223">
        <f>$G235*AW235*Variables!$B$53*HLOOKUP($DM$2,Variables!$B$60:$F$61,2,FALSE)</f>
        <v>0</v>
      </c>
      <c r="DS235" s="1223">
        <f>$G235*AX235*Variables!$B$53*HLOOKUP($DM$2,Variables!$B$60:$F$61,2,FALSE)</f>
        <v>0</v>
      </c>
      <c r="DT235" s="1223">
        <f>$G235*AY235*Variables!$B$53*HLOOKUP($DM$2,Variables!$B$60:$F$61,2,FALSE)</f>
        <v>0</v>
      </c>
      <c r="DU235" s="1223">
        <f>$G235*AZ235*Variables!$B$53*HLOOKUP($DM$2,Variables!$B$60:$F$61,2,FALSE)</f>
        <v>0</v>
      </c>
      <c r="DV235" s="1223">
        <f>$G235*BA235*Variables!$B$53*HLOOKUP($DM$2,Variables!$B$60:$F$61,2,FALSE)</f>
        <v>0</v>
      </c>
      <c r="DW235" s="1223">
        <f>$G235*BB235*Variables!$B$53*HLOOKUP($DM$2,Variables!$B$60:$F$61,2,FALSE)</f>
        <v>0</v>
      </c>
      <c r="DX235" s="1225">
        <f>$G235*BC235*Variables!$B$53*HLOOKUP($DM$2,Variables!$B$60:$F$61,2,FALSE)</f>
        <v>0</v>
      </c>
      <c r="DY235" s="1222">
        <f>$G235*BD235*Variables!$B$53*HLOOKUP($DY$2,Variables!$B$60:$F$61,2,FALSE)</f>
        <v>0</v>
      </c>
      <c r="DZ235" s="1223">
        <f>$G235*BE235*Variables!$B$53*HLOOKUP($DY$2,Variables!$B$60:$F$61,2,FALSE)</f>
        <v>0</v>
      </c>
      <c r="EA235" s="1223">
        <f>$G235*BF235*Variables!$B$53*HLOOKUP($DY$2,Variables!$B$60:$F$61,2,FALSE)</f>
        <v>0</v>
      </c>
      <c r="EB235" s="1223">
        <f>$G235*BG235*Variables!$B$53*HLOOKUP($DY$2,Variables!$B$60:$F$61,2,FALSE)</f>
        <v>0</v>
      </c>
      <c r="EC235" s="1223">
        <f>$G235*BH235*Variables!$B$53*HLOOKUP($DY$2,Variables!$B$60:$F$61,2,FALSE)</f>
        <v>0</v>
      </c>
      <c r="ED235" s="1223">
        <f>$G235*BI235*Variables!$B$53*HLOOKUP($DY$2,Variables!$B$60:$F$61,2,FALSE)</f>
        <v>0</v>
      </c>
      <c r="EE235" s="1223">
        <f>$G235*BJ235*Variables!$B$53*HLOOKUP($DY$2,Variables!$B$60:$F$61,2,FALSE)</f>
        <v>0</v>
      </c>
      <c r="EF235" s="1223">
        <f>$G235*BK235*Variables!$B$53*HLOOKUP($DY$2,Variables!$B$60:$F$61,2,FALSE)</f>
        <v>0</v>
      </c>
      <c r="EG235" s="1223">
        <f>$G235*BL235*Variables!$B$53*HLOOKUP($DY$2,Variables!$B$60:$F$61,2,FALSE)</f>
        <v>0</v>
      </c>
      <c r="EH235" s="1223">
        <f>$G235*BM235*Variables!$B$53*HLOOKUP($DY$2,Variables!$B$60:$F$61,2,FALSE)</f>
        <v>0</v>
      </c>
      <c r="EI235" s="1223">
        <f>$G235*BN235*Variables!$B$53*HLOOKUP($DY$2,Variables!$B$60:$F$61,2,FALSE)</f>
        <v>0</v>
      </c>
      <c r="EJ235" s="1225">
        <f>$G235*BO235*Variables!$B$53*HLOOKUP($DY$2,Variables!$B$60:$F$61,2,FALSE)</f>
        <v>0</v>
      </c>
      <c r="EK235" s="1222">
        <f>$G235*BP235*Variables!$B$53*HLOOKUP($EK$2,Variables!$B$60:$F$61,2,FALSE)</f>
        <v>0</v>
      </c>
      <c r="EL235" s="1223">
        <f>$G235*BQ235*Variables!$B$53*HLOOKUP($EK$2,Variables!$B$60:$F$61,2,FALSE)</f>
        <v>0</v>
      </c>
      <c r="EM235" s="1223">
        <f>$G235*BR235*Variables!$B$53*HLOOKUP($EK$2,Variables!$B$60:$F$61,2,FALSE)</f>
        <v>0</v>
      </c>
      <c r="EN235" s="1223">
        <f>$G235*BS235*Variables!$B$53*HLOOKUP($EK$2,Variables!$B$60:$F$61,2,FALSE)</f>
        <v>0</v>
      </c>
      <c r="EO235" s="1223">
        <f>$G235*BT235*Variables!$B$53*HLOOKUP($EK$2,Variables!$B$60:$F$61,2,FALSE)</f>
        <v>0</v>
      </c>
      <c r="EP235" s="1223">
        <f>$G235*BU235*Variables!$B$53*HLOOKUP($EK$2,Variables!$B$60:$F$61,2,FALSE)</f>
        <v>0</v>
      </c>
      <c r="EQ235" s="1223">
        <f>$G235*BV235*Variables!$B$53*HLOOKUP($EK$2,Variables!$B$60:$F$61,2,FALSE)</f>
        <v>0</v>
      </c>
      <c r="ER235" s="1223">
        <f>$G235*BW235*Variables!$B$53*HLOOKUP($EK$2,Variables!$B$60:$F$61,2,FALSE)</f>
        <v>0</v>
      </c>
      <c r="ES235" s="1223">
        <f>$G235*BX235*Variables!$B$53*HLOOKUP($EK$2,Variables!$B$60:$F$61,2,FALSE)</f>
        <v>0</v>
      </c>
      <c r="ET235" s="1223">
        <f>$G235*BY235*Variables!$B$53*HLOOKUP($EK$2,Variables!$B$60:$F$61,2,FALSE)</f>
        <v>0</v>
      </c>
      <c r="EU235" s="1223">
        <f>$G235*BZ235*Variables!$B$53*HLOOKUP($EK$2,Variables!$B$60:$F$61,2,FALSE)</f>
        <v>0</v>
      </c>
      <c r="EV235" s="1225">
        <f>$G235*CA235*Variables!$B$53*HLOOKUP($EK$2,Variables!$B$60:$F$61,2,FALSE)</f>
        <v>0</v>
      </c>
      <c r="EW235" s="872">
        <f t="shared" si="29"/>
        <v>0</v>
      </c>
      <c r="EX235" s="872"/>
      <c r="EY235" s="872"/>
      <c r="EZ235" s="872"/>
      <c r="FA235" s="1332"/>
      <c r="FC235" s="958" t="str">
        <f t="shared" si="30"/>
        <v/>
      </c>
      <c r="FD235" s="959" t="str">
        <f t="shared" si="31"/>
        <v/>
      </c>
      <c r="FE235" s="959" t="s">
        <v>8407</v>
      </c>
      <c r="FF235" s="959" t="str">
        <f>IF(ISNA(VLOOKUP(FC235,Miscellaneous!E:F,2,0)),"",VLOOKUP(FC235,Miscellaneous!E:F,2,0))</f>
        <v/>
      </c>
      <c r="FG235" s="959" t="str">
        <f t="shared" si="32"/>
        <v/>
      </c>
      <c r="FH235" s="996">
        <f>IF($FG235="Opex",SUMIF('Monthly Summary'!$C$75:$N$75,"",CC235:CN235),SUMIF('Monthly Summary'!$C$74:$N$74,"",CC235:CN235))</f>
        <v>0</v>
      </c>
      <c r="FI235" s="996">
        <f>IF($FG235="Opex",SUMIF('Monthly Summary'!$O$75:$Z$75,"",CO235:CZ235),SUMIF('Monthly Summary'!$O$74:$Z$74,"",CO235:CZ235))</f>
        <v>0</v>
      </c>
      <c r="FJ235" s="996">
        <f>IF($FG235="Opex",SUMIF('Monthly Summary'!$AA$75:$AL$75,"",DA235:DL235),SUMIF('Monthly Summary'!$AA$74:$AL$74,"",DA235:DL235))</f>
        <v>0</v>
      </c>
      <c r="FK235" s="996">
        <f>IF($FG235="Opex",SUMIF('Monthly Summary'!$AM$75:$AX$75,"",DM235:DX235),SUMIF('Monthly Summary'!$AM$74:$AX$74,"",DM235:DX235))</f>
        <v>0</v>
      </c>
      <c r="FL235" s="996">
        <f>IF($FG235="Opex",SUMIF('Monthly Summary'!$AY$75:$BJ$75,"",DY235:EJ235),SUMIF('Monthly Summary'!$AY$74:$BJ$74,"",DY235:EJ235))</f>
        <v>0</v>
      </c>
      <c r="FM235" s="997">
        <f>IF($FG235="Opex",SUMIF('Monthly Summary'!$BK$75:$BV$75,"",EK235:EV235),SUMIF('Monthly Summary'!$BK$74:$BV$74,"",EK235:EV235))</f>
        <v>0</v>
      </c>
      <c r="FN235" s="997">
        <f t="shared" si="33"/>
        <v>0</v>
      </c>
    </row>
    <row r="236" spans="3:170">
      <c r="C236" s="757"/>
      <c r="D236" s="757"/>
      <c r="E236" s="758"/>
      <c r="F236" s="758"/>
      <c r="G236" s="758"/>
      <c r="H236" s="1215"/>
      <c r="I236" s="761"/>
      <c r="J236" s="761"/>
      <c r="K236" s="761"/>
      <c r="L236" s="761"/>
      <c r="M236" s="761"/>
      <c r="N236" s="761"/>
      <c r="O236" s="761"/>
      <c r="P236" s="761"/>
      <c r="Q236" s="761"/>
      <c r="R236" s="761"/>
      <c r="S236" s="1216"/>
      <c r="T236" s="1215"/>
      <c r="U236" s="761"/>
      <c r="V236" s="761"/>
      <c r="W236" s="761"/>
      <c r="X236" s="761"/>
      <c r="Y236" s="761"/>
      <c r="Z236" s="761"/>
      <c r="AA236" s="761"/>
      <c r="AB236" s="761"/>
      <c r="AC236" s="761"/>
      <c r="AD236" s="761"/>
      <c r="AE236" s="1216"/>
      <c r="AF236" s="1215"/>
      <c r="AG236" s="761"/>
      <c r="AH236" s="761"/>
      <c r="AI236" s="761"/>
      <c r="AJ236" s="761"/>
      <c r="AK236" s="761"/>
      <c r="AL236" s="761"/>
      <c r="AM236" s="761"/>
      <c r="AN236" s="761"/>
      <c r="AO236" s="761"/>
      <c r="AP236" s="761"/>
      <c r="AQ236" s="1216"/>
      <c r="AR236" s="1215"/>
      <c r="AS236" s="761"/>
      <c r="AT236" s="761"/>
      <c r="AU236" s="761"/>
      <c r="AV236" s="761"/>
      <c r="AW236" s="761"/>
      <c r="AX236" s="761"/>
      <c r="AY236" s="761"/>
      <c r="AZ236" s="761"/>
      <c r="BA236" s="761"/>
      <c r="BB236" s="761"/>
      <c r="BC236" s="1216"/>
      <c r="BD236" s="1215"/>
      <c r="BE236" s="761"/>
      <c r="BF236" s="761"/>
      <c r="BG236" s="761"/>
      <c r="BH236" s="761"/>
      <c r="BI236" s="761"/>
      <c r="BJ236" s="761"/>
      <c r="BK236" s="761"/>
      <c r="BL236" s="761"/>
      <c r="BM236" s="761"/>
      <c r="BN236" s="761"/>
      <c r="BO236" s="1216"/>
      <c r="BP236" s="1215"/>
      <c r="BQ236" s="761"/>
      <c r="BR236" s="761"/>
      <c r="BS236" s="761"/>
      <c r="BT236" s="761"/>
      <c r="BU236" s="761"/>
      <c r="BV236" s="761"/>
      <c r="BW236" s="761"/>
      <c r="BX236" s="761"/>
      <c r="BY236" s="761"/>
      <c r="BZ236" s="761"/>
      <c r="CA236" s="1216"/>
      <c r="CB236" s="747"/>
      <c r="CC236" s="1222">
        <f>$G236*H236*Variables!$B$53</f>
        <v>0</v>
      </c>
      <c r="CD236" s="1223">
        <f>$G236*I236*Variables!$B$53</f>
        <v>0</v>
      </c>
      <c r="CE236" s="1223">
        <f>$G236*J236*Variables!$B$53</f>
        <v>0</v>
      </c>
      <c r="CF236" s="1223">
        <f>$G236*K236*Variables!$B$53</f>
        <v>0</v>
      </c>
      <c r="CG236" s="1223">
        <f>$G236*L236*Variables!$B$53</f>
        <v>0</v>
      </c>
      <c r="CH236" s="1223">
        <f>$G236*M236*Variables!$B$53</f>
        <v>0</v>
      </c>
      <c r="CI236" s="1223">
        <f>$G236*N236*Variables!$B$53</f>
        <v>0</v>
      </c>
      <c r="CJ236" s="1223">
        <f>$G236*O236*Variables!$B$53</f>
        <v>0</v>
      </c>
      <c r="CK236" s="1223">
        <f>$G236*P236*Variables!$B$53</f>
        <v>0</v>
      </c>
      <c r="CL236" s="1223">
        <f>$G236*Q236*Variables!$B$53</f>
        <v>0</v>
      </c>
      <c r="CM236" s="1223">
        <f>$G236*R236*Variables!$B$53</f>
        <v>0</v>
      </c>
      <c r="CN236" s="1225">
        <f>$G236*S236*Variables!$B$53</f>
        <v>0</v>
      </c>
      <c r="CO236" s="1222">
        <f>$G236*T236*Variables!$B$53*HLOOKUP($CO$2,Variables!$B$60:$F$61,2,FALSE)</f>
        <v>0</v>
      </c>
      <c r="CP236" s="1223">
        <f>$G236*U236*Variables!$B$53*HLOOKUP($CO$2,Variables!$B$60:$F$61,2,FALSE)</f>
        <v>0</v>
      </c>
      <c r="CQ236" s="1223">
        <f>$G236*V236*Variables!$B$53*HLOOKUP($CO$2,Variables!$B$60:$F$61,2,FALSE)</f>
        <v>0</v>
      </c>
      <c r="CR236" s="1223">
        <f>$G236*W236*Variables!$B$53*HLOOKUP($CO$2,Variables!$B$60:$F$61,2,FALSE)</f>
        <v>0</v>
      </c>
      <c r="CS236" s="1223">
        <f>$G236*X236*Variables!$B$53*HLOOKUP($CO$2,Variables!$B$60:$F$61,2,FALSE)</f>
        <v>0</v>
      </c>
      <c r="CT236" s="1223">
        <f>$G236*Y236*Variables!$B$53*HLOOKUP($CO$2,Variables!$B$60:$F$61,2,FALSE)</f>
        <v>0</v>
      </c>
      <c r="CU236" s="1223">
        <f>$G236*Z236*Variables!$B$53*HLOOKUP($CO$2,Variables!$B$60:$F$61,2,FALSE)</f>
        <v>0</v>
      </c>
      <c r="CV236" s="1223">
        <f>$G236*AA236*Variables!$B$53*HLOOKUP($CO$2,Variables!$B$60:$F$61,2,FALSE)</f>
        <v>0</v>
      </c>
      <c r="CW236" s="1223">
        <f>$G236*AB236*Variables!$B$53*HLOOKUP($CO$2,Variables!$B$60:$F$61,2,FALSE)</f>
        <v>0</v>
      </c>
      <c r="CX236" s="1223">
        <f>$G236*AC236*Variables!$B$53*HLOOKUP($CO$2,Variables!$B$60:$F$61,2,FALSE)</f>
        <v>0</v>
      </c>
      <c r="CY236" s="1223">
        <f>$G236*AD236*Variables!$B$53*HLOOKUP($CO$2,Variables!$B$60:$F$61,2,FALSE)</f>
        <v>0</v>
      </c>
      <c r="CZ236" s="1225">
        <f>$G236*AE236*Variables!$B$53*HLOOKUP($CO$2,Variables!$B$60:$F$61,2,FALSE)</f>
        <v>0</v>
      </c>
      <c r="DA236" s="1222">
        <f>$G236*AF236*Variables!$B$53*HLOOKUP($DA$2,Variables!$B$60:$F$61,2,FALSE)</f>
        <v>0</v>
      </c>
      <c r="DB236" s="1223">
        <f>$G236*AG236*Variables!$B$53*HLOOKUP($DA$2,Variables!$B$60:$F$61,2,FALSE)</f>
        <v>0</v>
      </c>
      <c r="DC236" s="1223">
        <f>$G236*AH236*Variables!$B$53*HLOOKUP($DA$2,Variables!$B$60:$F$61,2,FALSE)</f>
        <v>0</v>
      </c>
      <c r="DD236" s="1223">
        <f>$G236*AI236*Variables!$B$53*HLOOKUP($DA$2,Variables!$B$60:$F$61,2,FALSE)</f>
        <v>0</v>
      </c>
      <c r="DE236" s="1223">
        <f>$G236*AJ236*Variables!$B$53*HLOOKUP($DA$2,Variables!$B$60:$F$61,2,FALSE)</f>
        <v>0</v>
      </c>
      <c r="DF236" s="1223">
        <f>$G236*AK236*Variables!$B$53*HLOOKUP($DA$2,Variables!$B$60:$F$61,2,FALSE)</f>
        <v>0</v>
      </c>
      <c r="DG236" s="1223">
        <f>$G236*AL236*Variables!$B$53*HLOOKUP($DA$2,Variables!$B$60:$F$61,2,FALSE)</f>
        <v>0</v>
      </c>
      <c r="DH236" s="1223">
        <f>$G236*AM236*Variables!$B$53*HLOOKUP($DA$2,Variables!$B$60:$F$61,2,FALSE)</f>
        <v>0</v>
      </c>
      <c r="DI236" s="1223">
        <f>$G236*AN236*Variables!$B$53*HLOOKUP($DA$2,Variables!$B$60:$F$61,2,FALSE)</f>
        <v>0</v>
      </c>
      <c r="DJ236" s="1223">
        <f>$G236*AO236*Variables!$B$53*HLOOKUP($DA$2,Variables!$B$60:$F$61,2,FALSE)</f>
        <v>0</v>
      </c>
      <c r="DK236" s="1223">
        <f>$G236*AP236*Variables!$B$53*HLOOKUP($DA$2,Variables!$B$60:$F$61,2,FALSE)</f>
        <v>0</v>
      </c>
      <c r="DL236" s="1225">
        <f>$G236*AQ236*Variables!$B$53*HLOOKUP($DA$2,Variables!$B$60:$F$61,2,FALSE)</f>
        <v>0</v>
      </c>
      <c r="DM236" s="1222">
        <f>$G236*AR236*Variables!$B$53*HLOOKUP($DM$2,Variables!$B$60:$F$61,2,FALSE)</f>
        <v>0</v>
      </c>
      <c r="DN236" s="1223">
        <f>$G236*AS236*Variables!$B$53*HLOOKUP($DM$2,Variables!$B$60:$F$61,2,FALSE)</f>
        <v>0</v>
      </c>
      <c r="DO236" s="1223">
        <f>$G236*AT236*Variables!$B$53*HLOOKUP($DM$2,Variables!$B$60:$F$61,2,FALSE)</f>
        <v>0</v>
      </c>
      <c r="DP236" s="1223">
        <f>$G236*AU236*Variables!$B$53*HLOOKUP($DM$2,Variables!$B$60:$F$61,2,FALSE)</f>
        <v>0</v>
      </c>
      <c r="DQ236" s="1223">
        <f>$G236*AV236*Variables!$B$53*HLOOKUP($DM$2,Variables!$B$60:$F$61,2,FALSE)</f>
        <v>0</v>
      </c>
      <c r="DR236" s="1223">
        <f>$G236*AW236*Variables!$B$53*HLOOKUP($DM$2,Variables!$B$60:$F$61,2,FALSE)</f>
        <v>0</v>
      </c>
      <c r="DS236" s="1223">
        <f>$G236*AX236*Variables!$B$53*HLOOKUP($DM$2,Variables!$B$60:$F$61,2,FALSE)</f>
        <v>0</v>
      </c>
      <c r="DT236" s="1223">
        <f>$G236*AY236*Variables!$B$53*HLOOKUP($DM$2,Variables!$B$60:$F$61,2,FALSE)</f>
        <v>0</v>
      </c>
      <c r="DU236" s="1223">
        <f>$G236*AZ236*Variables!$B$53*HLOOKUP($DM$2,Variables!$B$60:$F$61,2,FALSE)</f>
        <v>0</v>
      </c>
      <c r="DV236" s="1223">
        <f>$G236*BA236*Variables!$B$53*HLOOKUP($DM$2,Variables!$B$60:$F$61,2,FALSE)</f>
        <v>0</v>
      </c>
      <c r="DW236" s="1223">
        <f>$G236*BB236*Variables!$B$53*HLOOKUP($DM$2,Variables!$B$60:$F$61,2,FALSE)</f>
        <v>0</v>
      </c>
      <c r="DX236" s="1225">
        <f>$G236*BC236*Variables!$B$53*HLOOKUP($DM$2,Variables!$B$60:$F$61,2,FALSE)</f>
        <v>0</v>
      </c>
      <c r="DY236" s="1222">
        <f>$G236*BD236*Variables!$B$53*HLOOKUP($DY$2,Variables!$B$60:$F$61,2,FALSE)</f>
        <v>0</v>
      </c>
      <c r="DZ236" s="1223">
        <f>$G236*BE236*Variables!$B$53*HLOOKUP($DY$2,Variables!$B$60:$F$61,2,FALSE)</f>
        <v>0</v>
      </c>
      <c r="EA236" s="1223">
        <f>$G236*BF236*Variables!$B$53*HLOOKUP($DY$2,Variables!$B$60:$F$61,2,FALSE)</f>
        <v>0</v>
      </c>
      <c r="EB236" s="1223">
        <f>$G236*BG236*Variables!$B$53*HLOOKUP($DY$2,Variables!$B$60:$F$61,2,FALSE)</f>
        <v>0</v>
      </c>
      <c r="EC236" s="1223">
        <f>$G236*BH236*Variables!$B$53*HLOOKUP($DY$2,Variables!$B$60:$F$61,2,FALSE)</f>
        <v>0</v>
      </c>
      <c r="ED236" s="1223">
        <f>$G236*BI236*Variables!$B$53*HLOOKUP($DY$2,Variables!$B$60:$F$61,2,FALSE)</f>
        <v>0</v>
      </c>
      <c r="EE236" s="1223">
        <f>$G236*BJ236*Variables!$B$53*HLOOKUP($DY$2,Variables!$B$60:$F$61,2,FALSE)</f>
        <v>0</v>
      </c>
      <c r="EF236" s="1223">
        <f>$G236*BK236*Variables!$B$53*HLOOKUP($DY$2,Variables!$B$60:$F$61,2,FALSE)</f>
        <v>0</v>
      </c>
      <c r="EG236" s="1223">
        <f>$G236*BL236*Variables!$B$53*HLOOKUP($DY$2,Variables!$B$60:$F$61,2,FALSE)</f>
        <v>0</v>
      </c>
      <c r="EH236" s="1223">
        <f>$G236*BM236*Variables!$B$53*HLOOKUP($DY$2,Variables!$B$60:$F$61,2,FALSE)</f>
        <v>0</v>
      </c>
      <c r="EI236" s="1223">
        <f>$G236*BN236*Variables!$B$53*HLOOKUP($DY$2,Variables!$B$60:$F$61,2,FALSE)</f>
        <v>0</v>
      </c>
      <c r="EJ236" s="1225">
        <f>$G236*BO236*Variables!$B$53*HLOOKUP($DY$2,Variables!$B$60:$F$61,2,FALSE)</f>
        <v>0</v>
      </c>
      <c r="EK236" s="1222">
        <f>$G236*BP236*Variables!$B$53*HLOOKUP($EK$2,Variables!$B$60:$F$61,2,FALSE)</f>
        <v>0</v>
      </c>
      <c r="EL236" s="1223">
        <f>$G236*BQ236*Variables!$B$53*HLOOKUP($EK$2,Variables!$B$60:$F$61,2,FALSE)</f>
        <v>0</v>
      </c>
      <c r="EM236" s="1223">
        <f>$G236*BR236*Variables!$B$53*HLOOKUP($EK$2,Variables!$B$60:$F$61,2,FALSE)</f>
        <v>0</v>
      </c>
      <c r="EN236" s="1223">
        <f>$G236*BS236*Variables!$B$53*HLOOKUP($EK$2,Variables!$B$60:$F$61,2,FALSE)</f>
        <v>0</v>
      </c>
      <c r="EO236" s="1223">
        <f>$G236*BT236*Variables!$B$53*HLOOKUP($EK$2,Variables!$B$60:$F$61,2,FALSE)</f>
        <v>0</v>
      </c>
      <c r="EP236" s="1223">
        <f>$G236*BU236*Variables!$B$53*HLOOKUP($EK$2,Variables!$B$60:$F$61,2,FALSE)</f>
        <v>0</v>
      </c>
      <c r="EQ236" s="1223">
        <f>$G236*BV236*Variables!$B$53*HLOOKUP($EK$2,Variables!$B$60:$F$61,2,FALSE)</f>
        <v>0</v>
      </c>
      <c r="ER236" s="1223">
        <f>$G236*BW236*Variables!$B$53*HLOOKUP($EK$2,Variables!$B$60:$F$61,2,FALSE)</f>
        <v>0</v>
      </c>
      <c r="ES236" s="1223">
        <f>$G236*BX236*Variables!$B$53*HLOOKUP($EK$2,Variables!$B$60:$F$61,2,FALSE)</f>
        <v>0</v>
      </c>
      <c r="ET236" s="1223">
        <f>$G236*BY236*Variables!$B$53*HLOOKUP($EK$2,Variables!$B$60:$F$61,2,FALSE)</f>
        <v>0</v>
      </c>
      <c r="EU236" s="1223">
        <f>$G236*BZ236*Variables!$B$53*HLOOKUP($EK$2,Variables!$B$60:$F$61,2,FALSE)</f>
        <v>0</v>
      </c>
      <c r="EV236" s="1225">
        <f>$G236*CA236*Variables!$B$53*HLOOKUP($EK$2,Variables!$B$60:$F$61,2,FALSE)</f>
        <v>0</v>
      </c>
      <c r="EW236" s="872">
        <f t="shared" si="29"/>
        <v>0</v>
      </c>
      <c r="EX236" s="872"/>
      <c r="EY236" s="872"/>
      <c r="EZ236" s="872"/>
      <c r="FA236" s="1332"/>
      <c r="FC236" s="958" t="str">
        <f t="shared" si="30"/>
        <v/>
      </c>
      <c r="FD236" s="959" t="str">
        <f t="shared" si="31"/>
        <v/>
      </c>
      <c r="FE236" s="959" t="s">
        <v>8407</v>
      </c>
      <c r="FF236" s="959" t="str">
        <f>IF(ISNA(VLOOKUP(FC236,Miscellaneous!E:F,2,0)),"",VLOOKUP(FC236,Miscellaneous!E:F,2,0))</f>
        <v/>
      </c>
      <c r="FG236" s="959" t="str">
        <f t="shared" si="32"/>
        <v/>
      </c>
      <c r="FH236" s="996">
        <f>IF($FG236="Opex",SUMIF('Monthly Summary'!$C$75:$N$75,"",CC236:CN236),SUMIF('Monthly Summary'!$C$74:$N$74,"",CC236:CN236))</f>
        <v>0</v>
      </c>
      <c r="FI236" s="996">
        <f>IF($FG236="Opex",SUMIF('Monthly Summary'!$O$75:$Z$75,"",CO236:CZ236),SUMIF('Monthly Summary'!$O$74:$Z$74,"",CO236:CZ236))</f>
        <v>0</v>
      </c>
      <c r="FJ236" s="996">
        <f>IF($FG236="Opex",SUMIF('Monthly Summary'!$AA$75:$AL$75,"",DA236:DL236),SUMIF('Monthly Summary'!$AA$74:$AL$74,"",DA236:DL236))</f>
        <v>0</v>
      </c>
      <c r="FK236" s="996">
        <f>IF($FG236="Opex",SUMIF('Monthly Summary'!$AM$75:$AX$75,"",DM236:DX236),SUMIF('Monthly Summary'!$AM$74:$AX$74,"",DM236:DX236))</f>
        <v>0</v>
      </c>
      <c r="FL236" s="996">
        <f>IF($FG236="Opex",SUMIF('Monthly Summary'!$AY$75:$BJ$75,"",DY236:EJ236),SUMIF('Monthly Summary'!$AY$74:$BJ$74,"",DY236:EJ236))</f>
        <v>0</v>
      </c>
      <c r="FM236" s="997">
        <f>IF($FG236="Opex",SUMIF('Monthly Summary'!$BK$75:$BV$75,"",EK236:EV236),SUMIF('Monthly Summary'!$BK$74:$BV$74,"",EK236:EV236))</f>
        <v>0</v>
      </c>
      <c r="FN236" s="997">
        <f t="shared" si="33"/>
        <v>0</v>
      </c>
    </row>
    <row r="237" spans="3:170">
      <c r="C237" s="757"/>
      <c r="D237" s="757"/>
      <c r="E237" s="758"/>
      <c r="F237" s="758"/>
      <c r="G237" s="758"/>
      <c r="H237" s="1215"/>
      <c r="I237" s="761"/>
      <c r="J237" s="761"/>
      <c r="K237" s="761"/>
      <c r="L237" s="761"/>
      <c r="M237" s="761"/>
      <c r="N237" s="761"/>
      <c r="O237" s="761"/>
      <c r="P237" s="761"/>
      <c r="Q237" s="761"/>
      <c r="R237" s="761"/>
      <c r="S237" s="1216"/>
      <c r="T237" s="1215"/>
      <c r="U237" s="761"/>
      <c r="V237" s="761"/>
      <c r="W237" s="761"/>
      <c r="X237" s="761"/>
      <c r="Y237" s="761"/>
      <c r="Z237" s="761"/>
      <c r="AA237" s="761"/>
      <c r="AB237" s="761"/>
      <c r="AC237" s="761"/>
      <c r="AD237" s="761"/>
      <c r="AE237" s="1216"/>
      <c r="AF237" s="1215"/>
      <c r="AG237" s="761"/>
      <c r="AH237" s="761"/>
      <c r="AI237" s="761"/>
      <c r="AJ237" s="761"/>
      <c r="AK237" s="761"/>
      <c r="AL237" s="761"/>
      <c r="AM237" s="761"/>
      <c r="AN237" s="761"/>
      <c r="AO237" s="761"/>
      <c r="AP237" s="761"/>
      <c r="AQ237" s="1216"/>
      <c r="AR237" s="1215"/>
      <c r="AS237" s="761"/>
      <c r="AT237" s="761"/>
      <c r="AU237" s="761"/>
      <c r="AV237" s="761"/>
      <c r="AW237" s="761"/>
      <c r="AX237" s="761"/>
      <c r="AY237" s="761"/>
      <c r="AZ237" s="761"/>
      <c r="BA237" s="761"/>
      <c r="BB237" s="761"/>
      <c r="BC237" s="1216"/>
      <c r="BD237" s="1215"/>
      <c r="BE237" s="761"/>
      <c r="BF237" s="761"/>
      <c r="BG237" s="761"/>
      <c r="BH237" s="761"/>
      <c r="BI237" s="761"/>
      <c r="BJ237" s="761"/>
      <c r="BK237" s="761"/>
      <c r="BL237" s="761"/>
      <c r="BM237" s="761"/>
      <c r="BN237" s="761"/>
      <c r="BO237" s="1216"/>
      <c r="BP237" s="1215"/>
      <c r="BQ237" s="761"/>
      <c r="BR237" s="761"/>
      <c r="BS237" s="761"/>
      <c r="BT237" s="761"/>
      <c r="BU237" s="761"/>
      <c r="BV237" s="761"/>
      <c r="BW237" s="761"/>
      <c r="BX237" s="761"/>
      <c r="BY237" s="761"/>
      <c r="BZ237" s="761"/>
      <c r="CA237" s="1216"/>
      <c r="CB237" s="747"/>
      <c r="CC237" s="1222">
        <f>$G237*H237*Variables!$B$53</f>
        <v>0</v>
      </c>
      <c r="CD237" s="1223">
        <f>$G237*I237*Variables!$B$53</f>
        <v>0</v>
      </c>
      <c r="CE237" s="1223">
        <f>$G237*J237*Variables!$B$53</f>
        <v>0</v>
      </c>
      <c r="CF237" s="1223">
        <f>$G237*K237*Variables!$B$53</f>
        <v>0</v>
      </c>
      <c r="CG237" s="1223">
        <f>$G237*L237*Variables!$B$53</f>
        <v>0</v>
      </c>
      <c r="CH237" s="1223">
        <f>$G237*M237*Variables!$B$53</f>
        <v>0</v>
      </c>
      <c r="CI237" s="1223">
        <f>$G237*N237*Variables!$B$53</f>
        <v>0</v>
      </c>
      <c r="CJ237" s="1223">
        <f>$G237*O237*Variables!$B$53</f>
        <v>0</v>
      </c>
      <c r="CK237" s="1223">
        <f>$G237*P237*Variables!$B$53</f>
        <v>0</v>
      </c>
      <c r="CL237" s="1223">
        <f>$G237*Q237*Variables!$B$53</f>
        <v>0</v>
      </c>
      <c r="CM237" s="1223">
        <f>$G237*R237*Variables!$B$53</f>
        <v>0</v>
      </c>
      <c r="CN237" s="1225">
        <f>$G237*S237*Variables!$B$53</f>
        <v>0</v>
      </c>
      <c r="CO237" s="1222">
        <f>$G237*T237*Variables!$B$53*HLOOKUP($CO$2,Variables!$B$60:$F$61,2,FALSE)</f>
        <v>0</v>
      </c>
      <c r="CP237" s="1223">
        <f>$G237*U237*Variables!$B$53*HLOOKUP($CO$2,Variables!$B$60:$F$61,2,FALSE)</f>
        <v>0</v>
      </c>
      <c r="CQ237" s="1223">
        <f>$G237*V237*Variables!$B$53*HLOOKUP($CO$2,Variables!$B$60:$F$61,2,FALSE)</f>
        <v>0</v>
      </c>
      <c r="CR237" s="1223">
        <f>$G237*W237*Variables!$B$53*HLOOKUP($CO$2,Variables!$B$60:$F$61,2,FALSE)</f>
        <v>0</v>
      </c>
      <c r="CS237" s="1223">
        <f>$G237*X237*Variables!$B$53*HLOOKUP($CO$2,Variables!$B$60:$F$61,2,FALSE)</f>
        <v>0</v>
      </c>
      <c r="CT237" s="1223">
        <f>$G237*Y237*Variables!$B$53*HLOOKUP($CO$2,Variables!$B$60:$F$61,2,FALSE)</f>
        <v>0</v>
      </c>
      <c r="CU237" s="1223">
        <f>$G237*Z237*Variables!$B$53*HLOOKUP($CO$2,Variables!$B$60:$F$61,2,FALSE)</f>
        <v>0</v>
      </c>
      <c r="CV237" s="1223">
        <f>$G237*AA237*Variables!$B$53*HLOOKUP($CO$2,Variables!$B$60:$F$61,2,FALSE)</f>
        <v>0</v>
      </c>
      <c r="CW237" s="1223">
        <f>$G237*AB237*Variables!$B$53*HLOOKUP($CO$2,Variables!$B$60:$F$61,2,FALSE)</f>
        <v>0</v>
      </c>
      <c r="CX237" s="1223">
        <f>$G237*AC237*Variables!$B$53*HLOOKUP($CO$2,Variables!$B$60:$F$61,2,FALSE)</f>
        <v>0</v>
      </c>
      <c r="CY237" s="1223">
        <f>$G237*AD237*Variables!$B$53*HLOOKUP($CO$2,Variables!$B$60:$F$61,2,FALSE)</f>
        <v>0</v>
      </c>
      <c r="CZ237" s="1225">
        <f>$G237*AE237*Variables!$B$53*HLOOKUP($CO$2,Variables!$B$60:$F$61,2,FALSE)</f>
        <v>0</v>
      </c>
      <c r="DA237" s="1222">
        <f>$G237*AF237*Variables!$B$53*HLOOKUP($DA$2,Variables!$B$60:$F$61,2,FALSE)</f>
        <v>0</v>
      </c>
      <c r="DB237" s="1223">
        <f>$G237*AG237*Variables!$B$53*HLOOKUP($DA$2,Variables!$B$60:$F$61,2,FALSE)</f>
        <v>0</v>
      </c>
      <c r="DC237" s="1223">
        <f>$G237*AH237*Variables!$B$53*HLOOKUP($DA$2,Variables!$B$60:$F$61,2,FALSE)</f>
        <v>0</v>
      </c>
      <c r="DD237" s="1223">
        <f>$G237*AI237*Variables!$B$53*HLOOKUP($DA$2,Variables!$B$60:$F$61,2,FALSE)</f>
        <v>0</v>
      </c>
      <c r="DE237" s="1223">
        <f>$G237*AJ237*Variables!$B$53*HLOOKUP($DA$2,Variables!$B$60:$F$61,2,FALSE)</f>
        <v>0</v>
      </c>
      <c r="DF237" s="1223">
        <f>$G237*AK237*Variables!$B$53*HLOOKUP($DA$2,Variables!$B$60:$F$61,2,FALSE)</f>
        <v>0</v>
      </c>
      <c r="DG237" s="1223">
        <f>$G237*AL237*Variables!$B$53*HLOOKUP($DA$2,Variables!$B$60:$F$61,2,FALSE)</f>
        <v>0</v>
      </c>
      <c r="DH237" s="1223">
        <f>$G237*AM237*Variables!$B$53*HLOOKUP($DA$2,Variables!$B$60:$F$61,2,FALSE)</f>
        <v>0</v>
      </c>
      <c r="DI237" s="1223">
        <f>$G237*AN237*Variables!$B$53*HLOOKUP($DA$2,Variables!$B$60:$F$61,2,FALSE)</f>
        <v>0</v>
      </c>
      <c r="DJ237" s="1223">
        <f>$G237*AO237*Variables!$B$53*HLOOKUP($DA$2,Variables!$B$60:$F$61,2,FALSE)</f>
        <v>0</v>
      </c>
      <c r="DK237" s="1223">
        <f>$G237*AP237*Variables!$B$53*HLOOKUP($DA$2,Variables!$B$60:$F$61,2,FALSE)</f>
        <v>0</v>
      </c>
      <c r="DL237" s="1225">
        <f>$G237*AQ237*Variables!$B$53*HLOOKUP($DA$2,Variables!$B$60:$F$61,2,FALSE)</f>
        <v>0</v>
      </c>
      <c r="DM237" s="1222">
        <f>$G237*AR237*Variables!$B$53*HLOOKUP($DM$2,Variables!$B$60:$F$61,2,FALSE)</f>
        <v>0</v>
      </c>
      <c r="DN237" s="1223">
        <f>$G237*AS237*Variables!$B$53*HLOOKUP($DM$2,Variables!$B$60:$F$61,2,FALSE)</f>
        <v>0</v>
      </c>
      <c r="DO237" s="1223">
        <f>$G237*AT237*Variables!$B$53*HLOOKUP($DM$2,Variables!$B$60:$F$61,2,FALSE)</f>
        <v>0</v>
      </c>
      <c r="DP237" s="1223">
        <f>$G237*AU237*Variables!$B$53*HLOOKUP($DM$2,Variables!$B$60:$F$61,2,FALSE)</f>
        <v>0</v>
      </c>
      <c r="DQ237" s="1223">
        <f>$G237*AV237*Variables!$B$53*HLOOKUP($DM$2,Variables!$B$60:$F$61,2,FALSE)</f>
        <v>0</v>
      </c>
      <c r="DR237" s="1223">
        <f>$G237*AW237*Variables!$B$53*HLOOKUP($DM$2,Variables!$B$60:$F$61,2,FALSE)</f>
        <v>0</v>
      </c>
      <c r="DS237" s="1223">
        <f>$G237*AX237*Variables!$B$53*HLOOKUP($DM$2,Variables!$B$60:$F$61,2,FALSE)</f>
        <v>0</v>
      </c>
      <c r="DT237" s="1223">
        <f>$G237*AY237*Variables!$B$53*HLOOKUP($DM$2,Variables!$B$60:$F$61,2,FALSE)</f>
        <v>0</v>
      </c>
      <c r="DU237" s="1223">
        <f>$G237*AZ237*Variables!$B$53*HLOOKUP($DM$2,Variables!$B$60:$F$61,2,FALSE)</f>
        <v>0</v>
      </c>
      <c r="DV237" s="1223">
        <f>$G237*BA237*Variables!$B$53*HLOOKUP($DM$2,Variables!$B$60:$F$61,2,FALSE)</f>
        <v>0</v>
      </c>
      <c r="DW237" s="1223">
        <f>$G237*BB237*Variables!$B$53*HLOOKUP($DM$2,Variables!$B$60:$F$61,2,FALSE)</f>
        <v>0</v>
      </c>
      <c r="DX237" s="1225">
        <f>$G237*BC237*Variables!$B$53*HLOOKUP($DM$2,Variables!$B$60:$F$61,2,FALSE)</f>
        <v>0</v>
      </c>
      <c r="DY237" s="1222">
        <f>$G237*BD237*Variables!$B$53*HLOOKUP($DY$2,Variables!$B$60:$F$61,2,FALSE)</f>
        <v>0</v>
      </c>
      <c r="DZ237" s="1223">
        <f>$G237*BE237*Variables!$B$53*HLOOKUP($DY$2,Variables!$B$60:$F$61,2,FALSE)</f>
        <v>0</v>
      </c>
      <c r="EA237" s="1223">
        <f>$G237*BF237*Variables!$B$53*HLOOKUP($DY$2,Variables!$B$60:$F$61,2,FALSE)</f>
        <v>0</v>
      </c>
      <c r="EB237" s="1223">
        <f>$G237*BG237*Variables!$B$53*HLOOKUP($DY$2,Variables!$B$60:$F$61,2,FALSE)</f>
        <v>0</v>
      </c>
      <c r="EC237" s="1223">
        <f>$G237*BH237*Variables!$B$53*HLOOKUP($DY$2,Variables!$B$60:$F$61,2,FALSE)</f>
        <v>0</v>
      </c>
      <c r="ED237" s="1223">
        <f>$G237*BI237*Variables!$B$53*HLOOKUP($DY$2,Variables!$B$60:$F$61,2,FALSE)</f>
        <v>0</v>
      </c>
      <c r="EE237" s="1223">
        <f>$G237*BJ237*Variables!$B$53*HLOOKUP($DY$2,Variables!$B$60:$F$61,2,FALSE)</f>
        <v>0</v>
      </c>
      <c r="EF237" s="1223">
        <f>$G237*BK237*Variables!$B$53*HLOOKUP($DY$2,Variables!$B$60:$F$61,2,FALSE)</f>
        <v>0</v>
      </c>
      <c r="EG237" s="1223">
        <f>$G237*BL237*Variables!$B$53*HLOOKUP($DY$2,Variables!$B$60:$F$61,2,FALSE)</f>
        <v>0</v>
      </c>
      <c r="EH237" s="1223">
        <f>$G237*BM237*Variables!$B$53*HLOOKUP($DY$2,Variables!$B$60:$F$61,2,FALSE)</f>
        <v>0</v>
      </c>
      <c r="EI237" s="1223">
        <f>$G237*BN237*Variables!$B$53*HLOOKUP($DY$2,Variables!$B$60:$F$61,2,FALSE)</f>
        <v>0</v>
      </c>
      <c r="EJ237" s="1225">
        <f>$G237*BO237*Variables!$B$53*HLOOKUP($DY$2,Variables!$B$60:$F$61,2,FALSE)</f>
        <v>0</v>
      </c>
      <c r="EK237" s="1222">
        <f>$G237*BP237*Variables!$B$53*HLOOKUP($EK$2,Variables!$B$60:$F$61,2,FALSE)</f>
        <v>0</v>
      </c>
      <c r="EL237" s="1223">
        <f>$G237*BQ237*Variables!$B$53*HLOOKUP($EK$2,Variables!$B$60:$F$61,2,FALSE)</f>
        <v>0</v>
      </c>
      <c r="EM237" s="1223">
        <f>$G237*BR237*Variables!$B$53*HLOOKUP($EK$2,Variables!$B$60:$F$61,2,FALSE)</f>
        <v>0</v>
      </c>
      <c r="EN237" s="1223">
        <f>$G237*BS237*Variables!$B$53*HLOOKUP($EK$2,Variables!$B$60:$F$61,2,FALSE)</f>
        <v>0</v>
      </c>
      <c r="EO237" s="1223">
        <f>$G237*BT237*Variables!$B$53*HLOOKUP($EK$2,Variables!$B$60:$F$61,2,FALSE)</f>
        <v>0</v>
      </c>
      <c r="EP237" s="1223">
        <f>$G237*BU237*Variables!$B$53*HLOOKUP($EK$2,Variables!$B$60:$F$61,2,FALSE)</f>
        <v>0</v>
      </c>
      <c r="EQ237" s="1223">
        <f>$G237*BV237*Variables!$B$53*HLOOKUP($EK$2,Variables!$B$60:$F$61,2,FALSE)</f>
        <v>0</v>
      </c>
      <c r="ER237" s="1223">
        <f>$G237*BW237*Variables!$B$53*HLOOKUP($EK$2,Variables!$B$60:$F$61,2,FALSE)</f>
        <v>0</v>
      </c>
      <c r="ES237" s="1223">
        <f>$G237*BX237*Variables!$B$53*HLOOKUP($EK$2,Variables!$B$60:$F$61,2,FALSE)</f>
        <v>0</v>
      </c>
      <c r="ET237" s="1223">
        <f>$G237*BY237*Variables!$B$53*HLOOKUP($EK$2,Variables!$B$60:$F$61,2,FALSE)</f>
        <v>0</v>
      </c>
      <c r="EU237" s="1223">
        <f>$G237*BZ237*Variables!$B$53*HLOOKUP($EK$2,Variables!$B$60:$F$61,2,FALSE)</f>
        <v>0</v>
      </c>
      <c r="EV237" s="1225">
        <f>$G237*CA237*Variables!$B$53*HLOOKUP($EK$2,Variables!$B$60:$F$61,2,FALSE)</f>
        <v>0</v>
      </c>
      <c r="EW237" s="872">
        <f t="shared" si="29"/>
        <v>0</v>
      </c>
      <c r="EX237" s="872"/>
      <c r="EY237" s="872"/>
      <c r="EZ237" s="872"/>
      <c r="FA237" s="1332"/>
      <c r="FC237" s="958" t="str">
        <f t="shared" si="30"/>
        <v/>
      </c>
      <c r="FD237" s="959" t="str">
        <f t="shared" si="31"/>
        <v/>
      </c>
      <c r="FE237" s="959" t="s">
        <v>8407</v>
      </c>
      <c r="FF237" s="959" t="str">
        <f>IF(ISNA(VLOOKUP(FC237,Miscellaneous!E:F,2,0)),"",VLOOKUP(FC237,Miscellaneous!E:F,2,0))</f>
        <v/>
      </c>
      <c r="FG237" s="959" t="str">
        <f t="shared" si="32"/>
        <v/>
      </c>
      <c r="FH237" s="996">
        <f>IF($FG237="Opex",SUMIF('Monthly Summary'!$C$75:$N$75,"",CC237:CN237),SUMIF('Monthly Summary'!$C$74:$N$74,"",CC237:CN237))</f>
        <v>0</v>
      </c>
      <c r="FI237" s="996">
        <f>IF($FG237="Opex",SUMIF('Monthly Summary'!$O$75:$Z$75,"",CO237:CZ237),SUMIF('Monthly Summary'!$O$74:$Z$74,"",CO237:CZ237))</f>
        <v>0</v>
      </c>
      <c r="FJ237" s="996">
        <f>IF($FG237="Opex",SUMIF('Monthly Summary'!$AA$75:$AL$75,"",DA237:DL237),SUMIF('Monthly Summary'!$AA$74:$AL$74,"",DA237:DL237))</f>
        <v>0</v>
      </c>
      <c r="FK237" s="996">
        <f>IF($FG237="Opex",SUMIF('Monthly Summary'!$AM$75:$AX$75,"",DM237:DX237),SUMIF('Monthly Summary'!$AM$74:$AX$74,"",DM237:DX237))</f>
        <v>0</v>
      </c>
      <c r="FL237" s="996">
        <f>IF($FG237="Opex",SUMIF('Monthly Summary'!$AY$75:$BJ$75,"",DY237:EJ237),SUMIF('Monthly Summary'!$AY$74:$BJ$74,"",DY237:EJ237))</f>
        <v>0</v>
      </c>
      <c r="FM237" s="997">
        <f>IF($FG237="Opex",SUMIF('Monthly Summary'!$BK$75:$BV$75,"",EK237:EV237),SUMIF('Monthly Summary'!$BK$74:$BV$74,"",EK237:EV237))</f>
        <v>0</v>
      </c>
      <c r="FN237" s="997">
        <f t="shared" si="33"/>
        <v>0</v>
      </c>
    </row>
    <row r="238" spans="3:170">
      <c r="C238" s="757"/>
      <c r="D238" s="757"/>
      <c r="E238" s="758"/>
      <c r="F238" s="758"/>
      <c r="G238" s="758"/>
      <c r="H238" s="1215"/>
      <c r="I238" s="761"/>
      <c r="J238" s="761"/>
      <c r="K238" s="761"/>
      <c r="L238" s="761"/>
      <c r="M238" s="761"/>
      <c r="N238" s="761"/>
      <c r="O238" s="761"/>
      <c r="P238" s="761"/>
      <c r="Q238" s="761"/>
      <c r="R238" s="761"/>
      <c r="S238" s="1216"/>
      <c r="T238" s="1215"/>
      <c r="U238" s="761"/>
      <c r="V238" s="761"/>
      <c r="W238" s="761"/>
      <c r="X238" s="761"/>
      <c r="Y238" s="761"/>
      <c r="Z238" s="761"/>
      <c r="AA238" s="761"/>
      <c r="AB238" s="761"/>
      <c r="AC238" s="761"/>
      <c r="AD238" s="761"/>
      <c r="AE238" s="1216"/>
      <c r="AF238" s="1215"/>
      <c r="AG238" s="761"/>
      <c r="AH238" s="761"/>
      <c r="AI238" s="761"/>
      <c r="AJ238" s="761"/>
      <c r="AK238" s="761"/>
      <c r="AL238" s="761"/>
      <c r="AM238" s="761"/>
      <c r="AN238" s="761"/>
      <c r="AO238" s="761"/>
      <c r="AP238" s="761"/>
      <c r="AQ238" s="1216"/>
      <c r="AR238" s="1215"/>
      <c r="AS238" s="761"/>
      <c r="AT238" s="761"/>
      <c r="AU238" s="761"/>
      <c r="AV238" s="761"/>
      <c r="AW238" s="761"/>
      <c r="AX238" s="761"/>
      <c r="AY238" s="761"/>
      <c r="AZ238" s="761"/>
      <c r="BA238" s="761"/>
      <c r="BB238" s="761"/>
      <c r="BC238" s="1216"/>
      <c r="BD238" s="1215"/>
      <c r="BE238" s="761"/>
      <c r="BF238" s="761"/>
      <c r="BG238" s="761"/>
      <c r="BH238" s="761"/>
      <c r="BI238" s="761"/>
      <c r="BJ238" s="761"/>
      <c r="BK238" s="761"/>
      <c r="BL238" s="761"/>
      <c r="BM238" s="761"/>
      <c r="BN238" s="761"/>
      <c r="BO238" s="1216"/>
      <c r="BP238" s="1215"/>
      <c r="BQ238" s="761"/>
      <c r="BR238" s="761"/>
      <c r="BS238" s="761"/>
      <c r="BT238" s="761"/>
      <c r="BU238" s="761"/>
      <c r="BV238" s="761"/>
      <c r="BW238" s="761"/>
      <c r="BX238" s="761"/>
      <c r="BY238" s="761"/>
      <c r="BZ238" s="761"/>
      <c r="CA238" s="1216"/>
      <c r="CB238" s="747"/>
      <c r="CC238" s="1222">
        <f>$G238*H238*Variables!$B$53</f>
        <v>0</v>
      </c>
      <c r="CD238" s="1223">
        <f>$G238*I238*Variables!$B$53</f>
        <v>0</v>
      </c>
      <c r="CE238" s="1223">
        <f>$G238*J238*Variables!$B$53</f>
        <v>0</v>
      </c>
      <c r="CF238" s="1223">
        <f>$G238*K238*Variables!$B$53</f>
        <v>0</v>
      </c>
      <c r="CG238" s="1223">
        <f>$G238*L238*Variables!$B$53</f>
        <v>0</v>
      </c>
      <c r="CH238" s="1223">
        <f>$G238*M238*Variables!$B$53</f>
        <v>0</v>
      </c>
      <c r="CI238" s="1223">
        <f>$G238*N238*Variables!$B$53</f>
        <v>0</v>
      </c>
      <c r="CJ238" s="1223">
        <f>$G238*O238*Variables!$B$53</f>
        <v>0</v>
      </c>
      <c r="CK238" s="1223">
        <f>$G238*P238*Variables!$B$53</f>
        <v>0</v>
      </c>
      <c r="CL238" s="1223">
        <f>$G238*Q238*Variables!$B$53</f>
        <v>0</v>
      </c>
      <c r="CM238" s="1223">
        <f>$G238*R238*Variables!$B$53</f>
        <v>0</v>
      </c>
      <c r="CN238" s="1225">
        <f>$G238*S238*Variables!$B$53</f>
        <v>0</v>
      </c>
      <c r="CO238" s="1222">
        <f>$G238*T238*Variables!$B$53*HLOOKUP($CO$2,Variables!$B$60:$F$61,2,FALSE)</f>
        <v>0</v>
      </c>
      <c r="CP238" s="1223">
        <f>$G238*U238*Variables!$B$53*HLOOKUP($CO$2,Variables!$B$60:$F$61,2,FALSE)</f>
        <v>0</v>
      </c>
      <c r="CQ238" s="1223">
        <f>$G238*V238*Variables!$B$53*HLOOKUP($CO$2,Variables!$B$60:$F$61,2,FALSE)</f>
        <v>0</v>
      </c>
      <c r="CR238" s="1223">
        <f>$G238*W238*Variables!$B$53*HLOOKUP($CO$2,Variables!$B$60:$F$61,2,FALSE)</f>
        <v>0</v>
      </c>
      <c r="CS238" s="1223">
        <f>$G238*X238*Variables!$B$53*HLOOKUP($CO$2,Variables!$B$60:$F$61,2,FALSE)</f>
        <v>0</v>
      </c>
      <c r="CT238" s="1223">
        <f>$G238*Y238*Variables!$B$53*HLOOKUP($CO$2,Variables!$B$60:$F$61,2,FALSE)</f>
        <v>0</v>
      </c>
      <c r="CU238" s="1223">
        <f>$G238*Z238*Variables!$B$53*HLOOKUP($CO$2,Variables!$B$60:$F$61,2,FALSE)</f>
        <v>0</v>
      </c>
      <c r="CV238" s="1223">
        <f>$G238*AA238*Variables!$B$53*HLOOKUP($CO$2,Variables!$B$60:$F$61,2,FALSE)</f>
        <v>0</v>
      </c>
      <c r="CW238" s="1223">
        <f>$G238*AB238*Variables!$B$53*HLOOKUP($CO$2,Variables!$B$60:$F$61,2,FALSE)</f>
        <v>0</v>
      </c>
      <c r="CX238" s="1223">
        <f>$G238*AC238*Variables!$B$53*HLOOKUP($CO$2,Variables!$B$60:$F$61,2,FALSE)</f>
        <v>0</v>
      </c>
      <c r="CY238" s="1223">
        <f>$G238*AD238*Variables!$B$53*HLOOKUP($CO$2,Variables!$B$60:$F$61,2,FALSE)</f>
        <v>0</v>
      </c>
      <c r="CZ238" s="1225">
        <f>$G238*AE238*Variables!$B$53*HLOOKUP($CO$2,Variables!$B$60:$F$61,2,FALSE)</f>
        <v>0</v>
      </c>
      <c r="DA238" s="1222">
        <f>$G238*AF238*Variables!$B$53*HLOOKUP($DA$2,Variables!$B$60:$F$61,2,FALSE)</f>
        <v>0</v>
      </c>
      <c r="DB238" s="1223">
        <f>$G238*AG238*Variables!$B$53*HLOOKUP($DA$2,Variables!$B$60:$F$61,2,FALSE)</f>
        <v>0</v>
      </c>
      <c r="DC238" s="1223">
        <f>$G238*AH238*Variables!$B$53*HLOOKUP($DA$2,Variables!$B$60:$F$61,2,FALSE)</f>
        <v>0</v>
      </c>
      <c r="DD238" s="1223">
        <f>$G238*AI238*Variables!$B$53*HLOOKUP($DA$2,Variables!$B$60:$F$61,2,FALSE)</f>
        <v>0</v>
      </c>
      <c r="DE238" s="1223">
        <f>$G238*AJ238*Variables!$B$53*HLOOKUP($DA$2,Variables!$B$60:$F$61,2,FALSE)</f>
        <v>0</v>
      </c>
      <c r="DF238" s="1223">
        <f>$G238*AK238*Variables!$B$53*HLOOKUP($DA$2,Variables!$B$60:$F$61,2,FALSE)</f>
        <v>0</v>
      </c>
      <c r="DG238" s="1223">
        <f>$G238*AL238*Variables!$B$53*HLOOKUP($DA$2,Variables!$B$60:$F$61,2,FALSE)</f>
        <v>0</v>
      </c>
      <c r="DH238" s="1223">
        <f>$G238*AM238*Variables!$B$53*HLOOKUP($DA$2,Variables!$B$60:$F$61,2,FALSE)</f>
        <v>0</v>
      </c>
      <c r="DI238" s="1223">
        <f>$G238*AN238*Variables!$B$53*HLOOKUP($DA$2,Variables!$B$60:$F$61,2,FALSE)</f>
        <v>0</v>
      </c>
      <c r="DJ238" s="1223">
        <f>$G238*AO238*Variables!$B$53*HLOOKUP($DA$2,Variables!$B$60:$F$61,2,FALSE)</f>
        <v>0</v>
      </c>
      <c r="DK238" s="1223">
        <f>$G238*AP238*Variables!$B$53*HLOOKUP($DA$2,Variables!$B$60:$F$61,2,FALSE)</f>
        <v>0</v>
      </c>
      <c r="DL238" s="1225">
        <f>$G238*AQ238*Variables!$B$53*HLOOKUP($DA$2,Variables!$B$60:$F$61,2,FALSE)</f>
        <v>0</v>
      </c>
      <c r="DM238" s="1222">
        <f>$G238*AR238*Variables!$B$53*HLOOKUP($DM$2,Variables!$B$60:$F$61,2,FALSE)</f>
        <v>0</v>
      </c>
      <c r="DN238" s="1223">
        <f>$G238*AS238*Variables!$B$53*HLOOKUP($DM$2,Variables!$B$60:$F$61,2,FALSE)</f>
        <v>0</v>
      </c>
      <c r="DO238" s="1223">
        <f>$G238*AT238*Variables!$B$53*HLOOKUP($DM$2,Variables!$B$60:$F$61,2,FALSE)</f>
        <v>0</v>
      </c>
      <c r="DP238" s="1223">
        <f>$G238*AU238*Variables!$B$53*HLOOKUP($DM$2,Variables!$B$60:$F$61,2,FALSE)</f>
        <v>0</v>
      </c>
      <c r="DQ238" s="1223">
        <f>$G238*AV238*Variables!$B$53*HLOOKUP($DM$2,Variables!$B$60:$F$61,2,FALSE)</f>
        <v>0</v>
      </c>
      <c r="DR238" s="1223">
        <f>$G238*AW238*Variables!$B$53*HLOOKUP($DM$2,Variables!$B$60:$F$61,2,FALSE)</f>
        <v>0</v>
      </c>
      <c r="DS238" s="1223">
        <f>$G238*AX238*Variables!$B$53*HLOOKUP($DM$2,Variables!$B$60:$F$61,2,FALSE)</f>
        <v>0</v>
      </c>
      <c r="DT238" s="1223">
        <f>$G238*AY238*Variables!$B$53*HLOOKUP($DM$2,Variables!$B$60:$F$61,2,FALSE)</f>
        <v>0</v>
      </c>
      <c r="DU238" s="1223">
        <f>$G238*AZ238*Variables!$B$53*HLOOKUP($DM$2,Variables!$B$60:$F$61,2,FALSE)</f>
        <v>0</v>
      </c>
      <c r="DV238" s="1223">
        <f>$G238*BA238*Variables!$B$53*HLOOKUP($DM$2,Variables!$B$60:$F$61,2,FALSE)</f>
        <v>0</v>
      </c>
      <c r="DW238" s="1223">
        <f>$G238*BB238*Variables!$B$53*HLOOKUP($DM$2,Variables!$B$60:$F$61,2,FALSE)</f>
        <v>0</v>
      </c>
      <c r="DX238" s="1225">
        <f>$G238*BC238*Variables!$B$53*HLOOKUP($DM$2,Variables!$B$60:$F$61,2,FALSE)</f>
        <v>0</v>
      </c>
      <c r="DY238" s="1222">
        <f>$G238*BD238*Variables!$B$53*HLOOKUP($DY$2,Variables!$B$60:$F$61,2,FALSE)</f>
        <v>0</v>
      </c>
      <c r="DZ238" s="1223">
        <f>$G238*BE238*Variables!$B$53*HLOOKUP($DY$2,Variables!$B$60:$F$61,2,FALSE)</f>
        <v>0</v>
      </c>
      <c r="EA238" s="1223">
        <f>$G238*BF238*Variables!$B$53*HLOOKUP($DY$2,Variables!$B$60:$F$61,2,FALSE)</f>
        <v>0</v>
      </c>
      <c r="EB238" s="1223">
        <f>$G238*BG238*Variables!$B$53*HLOOKUP($DY$2,Variables!$B$60:$F$61,2,FALSE)</f>
        <v>0</v>
      </c>
      <c r="EC238" s="1223">
        <f>$G238*BH238*Variables!$B$53*HLOOKUP($DY$2,Variables!$B$60:$F$61,2,FALSE)</f>
        <v>0</v>
      </c>
      <c r="ED238" s="1223">
        <f>$G238*BI238*Variables!$B$53*HLOOKUP($DY$2,Variables!$B$60:$F$61,2,FALSE)</f>
        <v>0</v>
      </c>
      <c r="EE238" s="1223">
        <f>$G238*BJ238*Variables!$B$53*HLOOKUP($DY$2,Variables!$B$60:$F$61,2,FALSE)</f>
        <v>0</v>
      </c>
      <c r="EF238" s="1223">
        <f>$G238*BK238*Variables!$B$53*HLOOKUP($DY$2,Variables!$B$60:$F$61,2,FALSE)</f>
        <v>0</v>
      </c>
      <c r="EG238" s="1223">
        <f>$G238*BL238*Variables!$B$53*HLOOKUP($DY$2,Variables!$B$60:$F$61,2,FALSE)</f>
        <v>0</v>
      </c>
      <c r="EH238" s="1223">
        <f>$G238*BM238*Variables!$B$53*HLOOKUP($DY$2,Variables!$B$60:$F$61,2,FALSE)</f>
        <v>0</v>
      </c>
      <c r="EI238" s="1223">
        <f>$G238*BN238*Variables!$B$53*HLOOKUP($DY$2,Variables!$B$60:$F$61,2,FALSE)</f>
        <v>0</v>
      </c>
      <c r="EJ238" s="1225">
        <f>$G238*BO238*Variables!$B$53*HLOOKUP($DY$2,Variables!$B$60:$F$61,2,FALSE)</f>
        <v>0</v>
      </c>
      <c r="EK238" s="1222">
        <f>$G238*BP238*Variables!$B$53*HLOOKUP($EK$2,Variables!$B$60:$F$61,2,FALSE)</f>
        <v>0</v>
      </c>
      <c r="EL238" s="1223">
        <f>$G238*BQ238*Variables!$B$53*HLOOKUP($EK$2,Variables!$B$60:$F$61,2,FALSE)</f>
        <v>0</v>
      </c>
      <c r="EM238" s="1223">
        <f>$G238*BR238*Variables!$B$53*HLOOKUP($EK$2,Variables!$B$60:$F$61,2,FALSE)</f>
        <v>0</v>
      </c>
      <c r="EN238" s="1223">
        <f>$G238*BS238*Variables!$B$53*HLOOKUP($EK$2,Variables!$B$60:$F$61,2,FALSE)</f>
        <v>0</v>
      </c>
      <c r="EO238" s="1223">
        <f>$G238*BT238*Variables!$B$53*HLOOKUP($EK$2,Variables!$B$60:$F$61,2,FALSE)</f>
        <v>0</v>
      </c>
      <c r="EP238" s="1223">
        <f>$G238*BU238*Variables!$B$53*HLOOKUP($EK$2,Variables!$B$60:$F$61,2,FALSE)</f>
        <v>0</v>
      </c>
      <c r="EQ238" s="1223">
        <f>$G238*BV238*Variables!$B$53*HLOOKUP($EK$2,Variables!$B$60:$F$61,2,FALSE)</f>
        <v>0</v>
      </c>
      <c r="ER238" s="1223">
        <f>$G238*BW238*Variables!$B$53*HLOOKUP($EK$2,Variables!$B$60:$F$61,2,FALSE)</f>
        <v>0</v>
      </c>
      <c r="ES238" s="1223">
        <f>$G238*BX238*Variables!$B$53*HLOOKUP($EK$2,Variables!$B$60:$F$61,2,FALSE)</f>
        <v>0</v>
      </c>
      <c r="ET238" s="1223">
        <f>$G238*BY238*Variables!$B$53*HLOOKUP($EK$2,Variables!$B$60:$F$61,2,FALSE)</f>
        <v>0</v>
      </c>
      <c r="EU238" s="1223">
        <f>$G238*BZ238*Variables!$B$53*HLOOKUP($EK$2,Variables!$B$60:$F$61,2,FALSE)</f>
        <v>0</v>
      </c>
      <c r="EV238" s="1225">
        <f>$G238*CA238*Variables!$B$53*HLOOKUP($EK$2,Variables!$B$60:$F$61,2,FALSE)</f>
        <v>0</v>
      </c>
      <c r="EW238" s="872">
        <f t="shared" si="29"/>
        <v>0</v>
      </c>
      <c r="EX238" s="872"/>
      <c r="EY238" s="872"/>
      <c r="EZ238" s="872"/>
      <c r="FA238" s="1332"/>
      <c r="FC238" s="958" t="str">
        <f t="shared" si="30"/>
        <v/>
      </c>
      <c r="FD238" s="959" t="str">
        <f t="shared" si="31"/>
        <v/>
      </c>
      <c r="FE238" s="959" t="s">
        <v>8407</v>
      </c>
      <c r="FF238" s="959" t="str">
        <f>IF(ISNA(VLOOKUP(FC238,Miscellaneous!E:F,2,0)),"",VLOOKUP(FC238,Miscellaneous!E:F,2,0))</f>
        <v/>
      </c>
      <c r="FG238" s="959" t="str">
        <f t="shared" si="32"/>
        <v/>
      </c>
      <c r="FH238" s="996">
        <f>IF($FG238="Opex",SUMIF('Monthly Summary'!$C$75:$N$75,"",CC238:CN238),SUMIF('Monthly Summary'!$C$74:$N$74,"",CC238:CN238))</f>
        <v>0</v>
      </c>
      <c r="FI238" s="996">
        <f>IF($FG238="Opex",SUMIF('Monthly Summary'!$O$75:$Z$75,"",CO238:CZ238),SUMIF('Monthly Summary'!$O$74:$Z$74,"",CO238:CZ238))</f>
        <v>0</v>
      </c>
      <c r="FJ238" s="996">
        <f>IF($FG238="Opex",SUMIF('Monthly Summary'!$AA$75:$AL$75,"",DA238:DL238),SUMIF('Monthly Summary'!$AA$74:$AL$74,"",DA238:DL238))</f>
        <v>0</v>
      </c>
      <c r="FK238" s="996">
        <f>IF($FG238="Opex",SUMIF('Monthly Summary'!$AM$75:$AX$75,"",DM238:DX238),SUMIF('Monthly Summary'!$AM$74:$AX$74,"",DM238:DX238))</f>
        <v>0</v>
      </c>
      <c r="FL238" s="996">
        <f>IF($FG238="Opex",SUMIF('Monthly Summary'!$AY$75:$BJ$75,"",DY238:EJ238),SUMIF('Monthly Summary'!$AY$74:$BJ$74,"",DY238:EJ238))</f>
        <v>0</v>
      </c>
      <c r="FM238" s="997">
        <f>IF($FG238="Opex",SUMIF('Monthly Summary'!$BK$75:$BV$75,"",EK238:EV238),SUMIF('Monthly Summary'!$BK$74:$BV$74,"",EK238:EV238))</f>
        <v>0</v>
      </c>
      <c r="FN238" s="997">
        <f t="shared" si="33"/>
        <v>0</v>
      </c>
    </row>
    <row r="239" spans="3:170">
      <c r="C239" s="757"/>
      <c r="D239" s="757"/>
      <c r="E239" s="758"/>
      <c r="F239" s="758"/>
      <c r="G239" s="758"/>
      <c r="H239" s="1215"/>
      <c r="I239" s="761"/>
      <c r="J239" s="761"/>
      <c r="K239" s="761"/>
      <c r="L239" s="761"/>
      <c r="M239" s="761"/>
      <c r="N239" s="761"/>
      <c r="O239" s="761"/>
      <c r="P239" s="761"/>
      <c r="Q239" s="761"/>
      <c r="R239" s="761"/>
      <c r="S239" s="1216"/>
      <c r="T239" s="1215"/>
      <c r="U239" s="761"/>
      <c r="V239" s="761"/>
      <c r="W239" s="761"/>
      <c r="X239" s="761"/>
      <c r="Y239" s="761"/>
      <c r="Z239" s="761"/>
      <c r="AA239" s="761"/>
      <c r="AB239" s="761"/>
      <c r="AC239" s="761"/>
      <c r="AD239" s="761"/>
      <c r="AE239" s="1216"/>
      <c r="AF239" s="1215"/>
      <c r="AG239" s="761"/>
      <c r="AH239" s="761"/>
      <c r="AI239" s="761"/>
      <c r="AJ239" s="761"/>
      <c r="AK239" s="761"/>
      <c r="AL239" s="761"/>
      <c r="AM239" s="761"/>
      <c r="AN239" s="761"/>
      <c r="AO239" s="761"/>
      <c r="AP239" s="761"/>
      <c r="AQ239" s="1216"/>
      <c r="AR239" s="1215"/>
      <c r="AS239" s="761"/>
      <c r="AT239" s="761"/>
      <c r="AU239" s="761"/>
      <c r="AV239" s="761"/>
      <c r="AW239" s="761"/>
      <c r="AX239" s="761"/>
      <c r="AY239" s="761"/>
      <c r="AZ239" s="761"/>
      <c r="BA239" s="761"/>
      <c r="BB239" s="761"/>
      <c r="BC239" s="1216"/>
      <c r="BD239" s="1215"/>
      <c r="BE239" s="761"/>
      <c r="BF239" s="761"/>
      <c r="BG239" s="761"/>
      <c r="BH239" s="761"/>
      <c r="BI239" s="761"/>
      <c r="BJ239" s="761"/>
      <c r="BK239" s="761"/>
      <c r="BL239" s="761"/>
      <c r="BM239" s="761"/>
      <c r="BN239" s="761"/>
      <c r="BO239" s="1216"/>
      <c r="BP239" s="1215"/>
      <c r="BQ239" s="761"/>
      <c r="BR239" s="761"/>
      <c r="BS239" s="761"/>
      <c r="BT239" s="761"/>
      <c r="BU239" s="761"/>
      <c r="BV239" s="761"/>
      <c r="BW239" s="761"/>
      <c r="BX239" s="761"/>
      <c r="BY239" s="761"/>
      <c r="BZ239" s="761"/>
      <c r="CA239" s="1216"/>
      <c r="CB239" s="747"/>
      <c r="CC239" s="1222">
        <f>$G239*H239*Variables!$B$53</f>
        <v>0</v>
      </c>
      <c r="CD239" s="1223">
        <f>$G239*I239*Variables!$B$53</f>
        <v>0</v>
      </c>
      <c r="CE239" s="1223">
        <f>$G239*J239*Variables!$B$53</f>
        <v>0</v>
      </c>
      <c r="CF239" s="1223">
        <f>$G239*K239*Variables!$B$53</f>
        <v>0</v>
      </c>
      <c r="CG239" s="1223">
        <f>$G239*L239*Variables!$B$53</f>
        <v>0</v>
      </c>
      <c r="CH239" s="1223">
        <f>$G239*M239*Variables!$B$53</f>
        <v>0</v>
      </c>
      <c r="CI239" s="1223">
        <f>$G239*N239*Variables!$B$53</f>
        <v>0</v>
      </c>
      <c r="CJ239" s="1223">
        <f>$G239*O239*Variables!$B$53</f>
        <v>0</v>
      </c>
      <c r="CK239" s="1223">
        <f>$G239*P239*Variables!$B$53</f>
        <v>0</v>
      </c>
      <c r="CL239" s="1223">
        <f>$G239*Q239*Variables!$B$53</f>
        <v>0</v>
      </c>
      <c r="CM239" s="1223">
        <f>$G239*R239*Variables!$B$53</f>
        <v>0</v>
      </c>
      <c r="CN239" s="1225">
        <f>$G239*S239*Variables!$B$53</f>
        <v>0</v>
      </c>
      <c r="CO239" s="1222">
        <f>$G239*T239*Variables!$B$53*HLOOKUP($CO$2,Variables!$B$60:$F$61,2,FALSE)</f>
        <v>0</v>
      </c>
      <c r="CP239" s="1223">
        <f>$G239*U239*Variables!$B$53*HLOOKUP($CO$2,Variables!$B$60:$F$61,2,FALSE)</f>
        <v>0</v>
      </c>
      <c r="CQ239" s="1223">
        <f>$G239*V239*Variables!$B$53*HLOOKUP($CO$2,Variables!$B$60:$F$61,2,FALSE)</f>
        <v>0</v>
      </c>
      <c r="CR239" s="1223">
        <f>$G239*W239*Variables!$B$53*HLOOKUP($CO$2,Variables!$B$60:$F$61,2,FALSE)</f>
        <v>0</v>
      </c>
      <c r="CS239" s="1223">
        <f>$G239*X239*Variables!$B$53*HLOOKUP($CO$2,Variables!$B$60:$F$61,2,FALSE)</f>
        <v>0</v>
      </c>
      <c r="CT239" s="1223">
        <f>$G239*Y239*Variables!$B$53*HLOOKUP($CO$2,Variables!$B$60:$F$61,2,FALSE)</f>
        <v>0</v>
      </c>
      <c r="CU239" s="1223">
        <f>$G239*Z239*Variables!$B$53*HLOOKUP($CO$2,Variables!$B$60:$F$61,2,FALSE)</f>
        <v>0</v>
      </c>
      <c r="CV239" s="1223">
        <f>$G239*AA239*Variables!$B$53*HLOOKUP($CO$2,Variables!$B$60:$F$61,2,FALSE)</f>
        <v>0</v>
      </c>
      <c r="CW239" s="1223">
        <f>$G239*AB239*Variables!$B$53*HLOOKUP($CO$2,Variables!$B$60:$F$61,2,FALSE)</f>
        <v>0</v>
      </c>
      <c r="CX239" s="1223">
        <f>$G239*AC239*Variables!$B$53*HLOOKUP($CO$2,Variables!$B$60:$F$61,2,FALSE)</f>
        <v>0</v>
      </c>
      <c r="CY239" s="1223">
        <f>$G239*AD239*Variables!$B$53*HLOOKUP($CO$2,Variables!$B$60:$F$61,2,FALSE)</f>
        <v>0</v>
      </c>
      <c r="CZ239" s="1225">
        <f>$G239*AE239*Variables!$B$53*HLOOKUP($CO$2,Variables!$B$60:$F$61,2,FALSE)</f>
        <v>0</v>
      </c>
      <c r="DA239" s="1222">
        <f>$G239*AF239*Variables!$B$53*HLOOKUP($DA$2,Variables!$B$60:$F$61,2,FALSE)</f>
        <v>0</v>
      </c>
      <c r="DB239" s="1223">
        <f>$G239*AG239*Variables!$B$53*HLOOKUP($DA$2,Variables!$B$60:$F$61,2,FALSE)</f>
        <v>0</v>
      </c>
      <c r="DC239" s="1223">
        <f>$G239*AH239*Variables!$B$53*HLOOKUP($DA$2,Variables!$B$60:$F$61,2,FALSE)</f>
        <v>0</v>
      </c>
      <c r="DD239" s="1223">
        <f>$G239*AI239*Variables!$B$53*HLOOKUP($DA$2,Variables!$B$60:$F$61,2,FALSE)</f>
        <v>0</v>
      </c>
      <c r="DE239" s="1223">
        <f>$G239*AJ239*Variables!$B$53*HLOOKUP($DA$2,Variables!$B$60:$F$61,2,FALSE)</f>
        <v>0</v>
      </c>
      <c r="DF239" s="1223">
        <f>$G239*AK239*Variables!$B$53*HLOOKUP($DA$2,Variables!$B$60:$F$61,2,FALSE)</f>
        <v>0</v>
      </c>
      <c r="DG239" s="1223">
        <f>$G239*AL239*Variables!$B$53*HLOOKUP($DA$2,Variables!$B$60:$F$61,2,FALSE)</f>
        <v>0</v>
      </c>
      <c r="DH239" s="1223">
        <f>$G239*AM239*Variables!$B$53*HLOOKUP($DA$2,Variables!$B$60:$F$61,2,FALSE)</f>
        <v>0</v>
      </c>
      <c r="DI239" s="1223">
        <f>$G239*AN239*Variables!$B$53*HLOOKUP($DA$2,Variables!$B$60:$F$61,2,FALSE)</f>
        <v>0</v>
      </c>
      <c r="DJ239" s="1223">
        <f>$G239*AO239*Variables!$B$53*HLOOKUP($DA$2,Variables!$B$60:$F$61,2,FALSE)</f>
        <v>0</v>
      </c>
      <c r="DK239" s="1223">
        <f>$G239*AP239*Variables!$B$53*HLOOKUP($DA$2,Variables!$B$60:$F$61,2,FALSE)</f>
        <v>0</v>
      </c>
      <c r="DL239" s="1225">
        <f>$G239*AQ239*Variables!$B$53*HLOOKUP($DA$2,Variables!$B$60:$F$61,2,FALSE)</f>
        <v>0</v>
      </c>
      <c r="DM239" s="1222">
        <f>$G239*AR239*Variables!$B$53*HLOOKUP($DM$2,Variables!$B$60:$F$61,2,FALSE)</f>
        <v>0</v>
      </c>
      <c r="DN239" s="1223">
        <f>$G239*AS239*Variables!$B$53*HLOOKUP($DM$2,Variables!$B$60:$F$61,2,FALSE)</f>
        <v>0</v>
      </c>
      <c r="DO239" s="1223">
        <f>$G239*AT239*Variables!$B$53*HLOOKUP($DM$2,Variables!$B$60:$F$61,2,FALSE)</f>
        <v>0</v>
      </c>
      <c r="DP239" s="1223">
        <f>$G239*AU239*Variables!$B$53*HLOOKUP($DM$2,Variables!$B$60:$F$61,2,FALSE)</f>
        <v>0</v>
      </c>
      <c r="DQ239" s="1223">
        <f>$G239*AV239*Variables!$B$53*HLOOKUP($DM$2,Variables!$B$60:$F$61,2,FALSE)</f>
        <v>0</v>
      </c>
      <c r="DR239" s="1223">
        <f>$G239*AW239*Variables!$B$53*HLOOKUP($DM$2,Variables!$B$60:$F$61,2,FALSE)</f>
        <v>0</v>
      </c>
      <c r="DS239" s="1223">
        <f>$G239*AX239*Variables!$B$53*HLOOKUP($DM$2,Variables!$B$60:$F$61,2,FALSE)</f>
        <v>0</v>
      </c>
      <c r="DT239" s="1223">
        <f>$G239*AY239*Variables!$B$53*HLOOKUP($DM$2,Variables!$B$60:$F$61,2,FALSE)</f>
        <v>0</v>
      </c>
      <c r="DU239" s="1223">
        <f>$G239*AZ239*Variables!$B$53*HLOOKUP($DM$2,Variables!$B$60:$F$61,2,FALSE)</f>
        <v>0</v>
      </c>
      <c r="DV239" s="1223">
        <f>$G239*BA239*Variables!$B$53*HLOOKUP($DM$2,Variables!$B$60:$F$61,2,FALSE)</f>
        <v>0</v>
      </c>
      <c r="DW239" s="1223">
        <f>$G239*BB239*Variables!$B$53*HLOOKUP($DM$2,Variables!$B$60:$F$61,2,FALSE)</f>
        <v>0</v>
      </c>
      <c r="DX239" s="1225">
        <f>$G239*BC239*Variables!$B$53*HLOOKUP($DM$2,Variables!$B$60:$F$61,2,FALSE)</f>
        <v>0</v>
      </c>
      <c r="DY239" s="1222">
        <f>$G239*BD239*Variables!$B$53*HLOOKUP($DY$2,Variables!$B$60:$F$61,2,FALSE)</f>
        <v>0</v>
      </c>
      <c r="DZ239" s="1223">
        <f>$G239*BE239*Variables!$B$53*HLOOKUP($DY$2,Variables!$B$60:$F$61,2,FALSE)</f>
        <v>0</v>
      </c>
      <c r="EA239" s="1223">
        <f>$G239*BF239*Variables!$B$53*HLOOKUP($DY$2,Variables!$B$60:$F$61,2,FALSE)</f>
        <v>0</v>
      </c>
      <c r="EB239" s="1223">
        <f>$G239*BG239*Variables!$B$53*HLOOKUP($DY$2,Variables!$B$60:$F$61,2,FALSE)</f>
        <v>0</v>
      </c>
      <c r="EC239" s="1223">
        <f>$G239*BH239*Variables!$B$53*HLOOKUP($DY$2,Variables!$B$60:$F$61,2,FALSE)</f>
        <v>0</v>
      </c>
      <c r="ED239" s="1223">
        <f>$G239*BI239*Variables!$B$53*HLOOKUP($DY$2,Variables!$B$60:$F$61,2,FALSE)</f>
        <v>0</v>
      </c>
      <c r="EE239" s="1223">
        <f>$G239*BJ239*Variables!$B$53*HLOOKUP($DY$2,Variables!$B$60:$F$61,2,FALSE)</f>
        <v>0</v>
      </c>
      <c r="EF239" s="1223">
        <f>$G239*BK239*Variables!$B$53*HLOOKUP($DY$2,Variables!$B$60:$F$61,2,FALSE)</f>
        <v>0</v>
      </c>
      <c r="EG239" s="1223">
        <f>$G239*BL239*Variables!$B$53*HLOOKUP($DY$2,Variables!$B$60:$F$61,2,FALSE)</f>
        <v>0</v>
      </c>
      <c r="EH239" s="1223">
        <f>$G239*BM239*Variables!$B$53*HLOOKUP($DY$2,Variables!$B$60:$F$61,2,FALSE)</f>
        <v>0</v>
      </c>
      <c r="EI239" s="1223">
        <f>$G239*BN239*Variables!$B$53*HLOOKUP($DY$2,Variables!$B$60:$F$61,2,FALSE)</f>
        <v>0</v>
      </c>
      <c r="EJ239" s="1225">
        <f>$G239*BO239*Variables!$B$53*HLOOKUP($DY$2,Variables!$B$60:$F$61,2,FALSE)</f>
        <v>0</v>
      </c>
      <c r="EK239" s="1222">
        <f>$G239*BP239*Variables!$B$53*HLOOKUP($EK$2,Variables!$B$60:$F$61,2,FALSE)</f>
        <v>0</v>
      </c>
      <c r="EL239" s="1223">
        <f>$G239*BQ239*Variables!$B$53*HLOOKUP($EK$2,Variables!$B$60:$F$61,2,FALSE)</f>
        <v>0</v>
      </c>
      <c r="EM239" s="1223">
        <f>$G239*BR239*Variables!$B$53*HLOOKUP($EK$2,Variables!$B$60:$F$61,2,FALSE)</f>
        <v>0</v>
      </c>
      <c r="EN239" s="1223">
        <f>$G239*BS239*Variables!$B$53*HLOOKUP($EK$2,Variables!$B$60:$F$61,2,FALSE)</f>
        <v>0</v>
      </c>
      <c r="EO239" s="1223">
        <f>$G239*BT239*Variables!$B$53*HLOOKUP($EK$2,Variables!$B$60:$F$61,2,FALSE)</f>
        <v>0</v>
      </c>
      <c r="EP239" s="1223">
        <f>$G239*BU239*Variables!$B$53*HLOOKUP($EK$2,Variables!$B$60:$F$61,2,FALSE)</f>
        <v>0</v>
      </c>
      <c r="EQ239" s="1223">
        <f>$G239*BV239*Variables!$B$53*HLOOKUP($EK$2,Variables!$B$60:$F$61,2,FALSE)</f>
        <v>0</v>
      </c>
      <c r="ER239" s="1223">
        <f>$G239*BW239*Variables!$B$53*HLOOKUP($EK$2,Variables!$B$60:$F$61,2,FALSE)</f>
        <v>0</v>
      </c>
      <c r="ES239" s="1223">
        <f>$G239*BX239*Variables!$B$53*HLOOKUP($EK$2,Variables!$B$60:$F$61,2,FALSE)</f>
        <v>0</v>
      </c>
      <c r="ET239" s="1223">
        <f>$G239*BY239*Variables!$B$53*HLOOKUP($EK$2,Variables!$B$60:$F$61,2,FALSE)</f>
        <v>0</v>
      </c>
      <c r="EU239" s="1223">
        <f>$G239*BZ239*Variables!$B$53*HLOOKUP($EK$2,Variables!$B$60:$F$61,2,FALSE)</f>
        <v>0</v>
      </c>
      <c r="EV239" s="1225">
        <f>$G239*CA239*Variables!$B$53*HLOOKUP($EK$2,Variables!$B$60:$F$61,2,FALSE)</f>
        <v>0</v>
      </c>
      <c r="EW239" s="872">
        <f t="shared" si="29"/>
        <v>0</v>
      </c>
      <c r="EX239" s="872"/>
      <c r="EY239" s="872"/>
      <c r="EZ239" s="872"/>
      <c r="FA239" s="1332"/>
      <c r="FC239" s="958" t="str">
        <f t="shared" si="30"/>
        <v/>
      </c>
      <c r="FD239" s="959" t="str">
        <f t="shared" si="31"/>
        <v/>
      </c>
      <c r="FE239" s="959" t="s">
        <v>8407</v>
      </c>
      <c r="FF239" s="959" t="str">
        <f>IF(ISNA(VLOOKUP(FC239,Miscellaneous!E:F,2,0)),"",VLOOKUP(FC239,Miscellaneous!E:F,2,0))</f>
        <v/>
      </c>
      <c r="FG239" s="959" t="str">
        <f t="shared" si="32"/>
        <v/>
      </c>
      <c r="FH239" s="996">
        <f>IF($FG239="Opex",SUMIF('Monthly Summary'!$C$75:$N$75,"",CC239:CN239),SUMIF('Monthly Summary'!$C$74:$N$74,"",CC239:CN239))</f>
        <v>0</v>
      </c>
      <c r="FI239" s="996">
        <f>IF($FG239="Opex",SUMIF('Monthly Summary'!$O$75:$Z$75,"",CO239:CZ239),SUMIF('Monthly Summary'!$O$74:$Z$74,"",CO239:CZ239))</f>
        <v>0</v>
      </c>
      <c r="FJ239" s="996">
        <f>IF($FG239="Opex",SUMIF('Monthly Summary'!$AA$75:$AL$75,"",DA239:DL239),SUMIF('Monthly Summary'!$AA$74:$AL$74,"",DA239:DL239))</f>
        <v>0</v>
      </c>
      <c r="FK239" s="996">
        <f>IF($FG239="Opex",SUMIF('Monthly Summary'!$AM$75:$AX$75,"",DM239:DX239),SUMIF('Monthly Summary'!$AM$74:$AX$74,"",DM239:DX239))</f>
        <v>0</v>
      </c>
      <c r="FL239" s="996">
        <f>IF($FG239="Opex",SUMIF('Monthly Summary'!$AY$75:$BJ$75,"",DY239:EJ239),SUMIF('Monthly Summary'!$AY$74:$BJ$74,"",DY239:EJ239))</f>
        <v>0</v>
      </c>
      <c r="FM239" s="997">
        <f>IF($FG239="Opex",SUMIF('Monthly Summary'!$BK$75:$BV$75,"",EK239:EV239),SUMIF('Monthly Summary'!$BK$74:$BV$74,"",EK239:EV239))</f>
        <v>0</v>
      </c>
      <c r="FN239" s="997">
        <f t="shared" si="33"/>
        <v>0</v>
      </c>
    </row>
    <row r="240" spans="3:170">
      <c r="C240" s="757"/>
      <c r="D240" s="757"/>
      <c r="E240" s="758"/>
      <c r="F240" s="758"/>
      <c r="G240" s="758"/>
      <c r="H240" s="1215"/>
      <c r="I240" s="761"/>
      <c r="J240" s="761"/>
      <c r="K240" s="761"/>
      <c r="L240" s="761"/>
      <c r="M240" s="761"/>
      <c r="N240" s="761"/>
      <c r="O240" s="761"/>
      <c r="P240" s="761"/>
      <c r="Q240" s="761"/>
      <c r="R240" s="761"/>
      <c r="S240" s="1216"/>
      <c r="T240" s="1215"/>
      <c r="U240" s="761"/>
      <c r="V240" s="761"/>
      <c r="W240" s="761"/>
      <c r="X240" s="761"/>
      <c r="Y240" s="761"/>
      <c r="Z240" s="761"/>
      <c r="AA240" s="761"/>
      <c r="AB240" s="761"/>
      <c r="AC240" s="761"/>
      <c r="AD240" s="761"/>
      <c r="AE240" s="1216"/>
      <c r="AF240" s="1215"/>
      <c r="AG240" s="761"/>
      <c r="AH240" s="761"/>
      <c r="AI240" s="761"/>
      <c r="AJ240" s="761"/>
      <c r="AK240" s="761"/>
      <c r="AL240" s="761"/>
      <c r="AM240" s="761"/>
      <c r="AN240" s="761"/>
      <c r="AO240" s="761"/>
      <c r="AP240" s="761"/>
      <c r="AQ240" s="1216"/>
      <c r="AR240" s="1215"/>
      <c r="AS240" s="761"/>
      <c r="AT240" s="761"/>
      <c r="AU240" s="761"/>
      <c r="AV240" s="761"/>
      <c r="AW240" s="761"/>
      <c r="AX240" s="761"/>
      <c r="AY240" s="761"/>
      <c r="AZ240" s="761"/>
      <c r="BA240" s="761"/>
      <c r="BB240" s="761"/>
      <c r="BC240" s="1216"/>
      <c r="BD240" s="1215"/>
      <c r="BE240" s="761"/>
      <c r="BF240" s="761"/>
      <c r="BG240" s="761"/>
      <c r="BH240" s="761"/>
      <c r="BI240" s="761"/>
      <c r="BJ240" s="761"/>
      <c r="BK240" s="761"/>
      <c r="BL240" s="761"/>
      <c r="BM240" s="761"/>
      <c r="BN240" s="761"/>
      <c r="BO240" s="1216"/>
      <c r="BP240" s="1215"/>
      <c r="BQ240" s="761"/>
      <c r="BR240" s="761"/>
      <c r="BS240" s="761"/>
      <c r="BT240" s="761"/>
      <c r="BU240" s="761"/>
      <c r="BV240" s="761"/>
      <c r="BW240" s="761"/>
      <c r="BX240" s="761"/>
      <c r="BY240" s="761"/>
      <c r="BZ240" s="761"/>
      <c r="CA240" s="1216"/>
      <c r="CB240" s="747"/>
      <c r="CC240" s="1222">
        <f>$G240*H240*Variables!$B$53</f>
        <v>0</v>
      </c>
      <c r="CD240" s="1223">
        <f>$G240*I240*Variables!$B$53</f>
        <v>0</v>
      </c>
      <c r="CE240" s="1223">
        <f>$G240*J240*Variables!$B$53</f>
        <v>0</v>
      </c>
      <c r="CF240" s="1223">
        <f>$G240*K240*Variables!$B$53</f>
        <v>0</v>
      </c>
      <c r="CG240" s="1223">
        <f>$G240*L240*Variables!$B$53</f>
        <v>0</v>
      </c>
      <c r="CH240" s="1223">
        <f>$G240*M240*Variables!$B$53</f>
        <v>0</v>
      </c>
      <c r="CI240" s="1223">
        <f>$G240*N240*Variables!$B$53</f>
        <v>0</v>
      </c>
      <c r="CJ240" s="1223">
        <f>$G240*O240*Variables!$B$53</f>
        <v>0</v>
      </c>
      <c r="CK240" s="1223">
        <f>$G240*P240*Variables!$B$53</f>
        <v>0</v>
      </c>
      <c r="CL240" s="1223">
        <f>$G240*Q240*Variables!$B$53</f>
        <v>0</v>
      </c>
      <c r="CM240" s="1223">
        <f>$G240*R240*Variables!$B$53</f>
        <v>0</v>
      </c>
      <c r="CN240" s="1225">
        <f>$G240*S240*Variables!$B$53</f>
        <v>0</v>
      </c>
      <c r="CO240" s="1222">
        <f>$G240*T240*Variables!$B$53*HLOOKUP($CO$2,Variables!$B$60:$F$61,2,FALSE)</f>
        <v>0</v>
      </c>
      <c r="CP240" s="1223">
        <f>$G240*U240*Variables!$B$53*HLOOKUP($CO$2,Variables!$B$60:$F$61,2,FALSE)</f>
        <v>0</v>
      </c>
      <c r="CQ240" s="1223">
        <f>$G240*V240*Variables!$B$53*HLOOKUP($CO$2,Variables!$B$60:$F$61,2,FALSE)</f>
        <v>0</v>
      </c>
      <c r="CR240" s="1223">
        <f>$G240*W240*Variables!$B$53*HLOOKUP($CO$2,Variables!$B$60:$F$61,2,FALSE)</f>
        <v>0</v>
      </c>
      <c r="CS240" s="1223">
        <f>$G240*X240*Variables!$B$53*HLOOKUP($CO$2,Variables!$B$60:$F$61,2,FALSE)</f>
        <v>0</v>
      </c>
      <c r="CT240" s="1223">
        <f>$G240*Y240*Variables!$B$53*HLOOKUP($CO$2,Variables!$B$60:$F$61,2,FALSE)</f>
        <v>0</v>
      </c>
      <c r="CU240" s="1223">
        <f>$G240*Z240*Variables!$B$53*HLOOKUP($CO$2,Variables!$B$60:$F$61,2,FALSE)</f>
        <v>0</v>
      </c>
      <c r="CV240" s="1223">
        <f>$G240*AA240*Variables!$B$53*HLOOKUP($CO$2,Variables!$B$60:$F$61,2,FALSE)</f>
        <v>0</v>
      </c>
      <c r="CW240" s="1223">
        <f>$G240*AB240*Variables!$B$53*HLOOKUP($CO$2,Variables!$B$60:$F$61,2,FALSE)</f>
        <v>0</v>
      </c>
      <c r="CX240" s="1223">
        <f>$G240*AC240*Variables!$B$53*HLOOKUP($CO$2,Variables!$B$60:$F$61,2,FALSE)</f>
        <v>0</v>
      </c>
      <c r="CY240" s="1223">
        <f>$G240*AD240*Variables!$B$53*HLOOKUP($CO$2,Variables!$B$60:$F$61,2,FALSE)</f>
        <v>0</v>
      </c>
      <c r="CZ240" s="1225">
        <f>$G240*AE240*Variables!$B$53*HLOOKUP($CO$2,Variables!$B$60:$F$61,2,FALSE)</f>
        <v>0</v>
      </c>
      <c r="DA240" s="1222">
        <f>$G240*AF240*Variables!$B$53*HLOOKUP($DA$2,Variables!$B$60:$F$61,2,FALSE)</f>
        <v>0</v>
      </c>
      <c r="DB240" s="1223">
        <f>$G240*AG240*Variables!$B$53*HLOOKUP($DA$2,Variables!$B$60:$F$61,2,FALSE)</f>
        <v>0</v>
      </c>
      <c r="DC240" s="1223">
        <f>$G240*AH240*Variables!$B$53*HLOOKUP($DA$2,Variables!$B$60:$F$61,2,FALSE)</f>
        <v>0</v>
      </c>
      <c r="DD240" s="1223">
        <f>$G240*AI240*Variables!$B$53*HLOOKUP($DA$2,Variables!$B$60:$F$61,2,FALSE)</f>
        <v>0</v>
      </c>
      <c r="DE240" s="1223">
        <f>$G240*AJ240*Variables!$B$53*HLOOKUP($DA$2,Variables!$B$60:$F$61,2,FALSE)</f>
        <v>0</v>
      </c>
      <c r="DF240" s="1223">
        <f>$G240*AK240*Variables!$B$53*HLOOKUP($DA$2,Variables!$B$60:$F$61,2,FALSE)</f>
        <v>0</v>
      </c>
      <c r="DG240" s="1223">
        <f>$G240*AL240*Variables!$B$53*HLOOKUP($DA$2,Variables!$B$60:$F$61,2,FALSE)</f>
        <v>0</v>
      </c>
      <c r="DH240" s="1223">
        <f>$G240*AM240*Variables!$B$53*HLOOKUP($DA$2,Variables!$B$60:$F$61,2,FALSE)</f>
        <v>0</v>
      </c>
      <c r="DI240" s="1223">
        <f>$G240*AN240*Variables!$B$53*HLOOKUP($DA$2,Variables!$B$60:$F$61,2,FALSE)</f>
        <v>0</v>
      </c>
      <c r="DJ240" s="1223">
        <f>$G240*AO240*Variables!$B$53*HLOOKUP($DA$2,Variables!$B$60:$F$61,2,FALSE)</f>
        <v>0</v>
      </c>
      <c r="DK240" s="1223">
        <f>$G240*AP240*Variables!$B$53*HLOOKUP($DA$2,Variables!$B$60:$F$61,2,FALSE)</f>
        <v>0</v>
      </c>
      <c r="DL240" s="1225">
        <f>$G240*AQ240*Variables!$B$53*HLOOKUP($DA$2,Variables!$B$60:$F$61,2,FALSE)</f>
        <v>0</v>
      </c>
      <c r="DM240" s="1222">
        <f>$G240*AR240*Variables!$B$53*HLOOKUP($DM$2,Variables!$B$60:$F$61,2,FALSE)</f>
        <v>0</v>
      </c>
      <c r="DN240" s="1223">
        <f>$G240*AS240*Variables!$B$53*HLOOKUP($DM$2,Variables!$B$60:$F$61,2,FALSE)</f>
        <v>0</v>
      </c>
      <c r="DO240" s="1223">
        <f>$G240*AT240*Variables!$B$53*HLOOKUP($DM$2,Variables!$B$60:$F$61,2,FALSE)</f>
        <v>0</v>
      </c>
      <c r="DP240" s="1223">
        <f>$G240*AU240*Variables!$B$53*HLOOKUP($DM$2,Variables!$B$60:$F$61,2,FALSE)</f>
        <v>0</v>
      </c>
      <c r="DQ240" s="1223">
        <f>$G240*AV240*Variables!$B$53*HLOOKUP($DM$2,Variables!$B$60:$F$61,2,FALSE)</f>
        <v>0</v>
      </c>
      <c r="DR240" s="1223">
        <f>$G240*AW240*Variables!$B$53*HLOOKUP($DM$2,Variables!$B$60:$F$61,2,FALSE)</f>
        <v>0</v>
      </c>
      <c r="DS240" s="1223">
        <f>$G240*AX240*Variables!$B$53*HLOOKUP($DM$2,Variables!$B$60:$F$61,2,FALSE)</f>
        <v>0</v>
      </c>
      <c r="DT240" s="1223">
        <f>$G240*AY240*Variables!$B$53*HLOOKUP($DM$2,Variables!$B$60:$F$61,2,FALSE)</f>
        <v>0</v>
      </c>
      <c r="DU240" s="1223">
        <f>$G240*AZ240*Variables!$B$53*HLOOKUP($DM$2,Variables!$B$60:$F$61,2,FALSE)</f>
        <v>0</v>
      </c>
      <c r="DV240" s="1223">
        <f>$G240*BA240*Variables!$B$53*HLOOKUP($DM$2,Variables!$B$60:$F$61,2,FALSE)</f>
        <v>0</v>
      </c>
      <c r="DW240" s="1223">
        <f>$G240*BB240*Variables!$B$53*HLOOKUP($DM$2,Variables!$B$60:$F$61,2,FALSE)</f>
        <v>0</v>
      </c>
      <c r="DX240" s="1225">
        <f>$G240*BC240*Variables!$B$53*HLOOKUP($DM$2,Variables!$B$60:$F$61,2,FALSE)</f>
        <v>0</v>
      </c>
      <c r="DY240" s="1222">
        <f>$G240*BD240*Variables!$B$53*HLOOKUP($DY$2,Variables!$B$60:$F$61,2,FALSE)</f>
        <v>0</v>
      </c>
      <c r="DZ240" s="1223">
        <f>$G240*BE240*Variables!$B$53*HLOOKUP($DY$2,Variables!$B$60:$F$61,2,FALSE)</f>
        <v>0</v>
      </c>
      <c r="EA240" s="1223">
        <f>$G240*BF240*Variables!$B$53*HLOOKUP($DY$2,Variables!$B$60:$F$61,2,FALSE)</f>
        <v>0</v>
      </c>
      <c r="EB240" s="1223">
        <f>$G240*BG240*Variables!$B$53*HLOOKUP($DY$2,Variables!$B$60:$F$61,2,FALSE)</f>
        <v>0</v>
      </c>
      <c r="EC240" s="1223">
        <f>$G240*BH240*Variables!$B$53*HLOOKUP($DY$2,Variables!$B$60:$F$61,2,FALSE)</f>
        <v>0</v>
      </c>
      <c r="ED240" s="1223">
        <f>$G240*BI240*Variables!$B$53*HLOOKUP($DY$2,Variables!$B$60:$F$61,2,FALSE)</f>
        <v>0</v>
      </c>
      <c r="EE240" s="1223">
        <f>$G240*BJ240*Variables!$B$53*HLOOKUP($DY$2,Variables!$B$60:$F$61,2,FALSE)</f>
        <v>0</v>
      </c>
      <c r="EF240" s="1223">
        <f>$G240*BK240*Variables!$B$53*HLOOKUP($DY$2,Variables!$B$60:$F$61,2,FALSE)</f>
        <v>0</v>
      </c>
      <c r="EG240" s="1223">
        <f>$G240*BL240*Variables!$B$53*HLOOKUP($DY$2,Variables!$B$60:$F$61,2,FALSE)</f>
        <v>0</v>
      </c>
      <c r="EH240" s="1223">
        <f>$G240*BM240*Variables!$B$53*HLOOKUP($DY$2,Variables!$B$60:$F$61,2,FALSE)</f>
        <v>0</v>
      </c>
      <c r="EI240" s="1223">
        <f>$G240*BN240*Variables!$B$53*HLOOKUP($DY$2,Variables!$B$60:$F$61,2,FALSE)</f>
        <v>0</v>
      </c>
      <c r="EJ240" s="1225">
        <f>$G240*BO240*Variables!$B$53*HLOOKUP($DY$2,Variables!$B$60:$F$61,2,FALSE)</f>
        <v>0</v>
      </c>
      <c r="EK240" s="1222">
        <f>$G240*BP240*Variables!$B$53*HLOOKUP($EK$2,Variables!$B$60:$F$61,2,FALSE)</f>
        <v>0</v>
      </c>
      <c r="EL240" s="1223">
        <f>$G240*BQ240*Variables!$B$53*HLOOKUP($EK$2,Variables!$B$60:$F$61,2,FALSE)</f>
        <v>0</v>
      </c>
      <c r="EM240" s="1223">
        <f>$G240*BR240*Variables!$B$53*HLOOKUP($EK$2,Variables!$B$60:$F$61,2,FALSE)</f>
        <v>0</v>
      </c>
      <c r="EN240" s="1223">
        <f>$G240*BS240*Variables!$B$53*HLOOKUP($EK$2,Variables!$B$60:$F$61,2,FALSE)</f>
        <v>0</v>
      </c>
      <c r="EO240" s="1223">
        <f>$G240*BT240*Variables!$B$53*HLOOKUP($EK$2,Variables!$B$60:$F$61,2,FALSE)</f>
        <v>0</v>
      </c>
      <c r="EP240" s="1223">
        <f>$G240*BU240*Variables!$B$53*HLOOKUP($EK$2,Variables!$B$60:$F$61,2,FALSE)</f>
        <v>0</v>
      </c>
      <c r="EQ240" s="1223">
        <f>$G240*BV240*Variables!$B$53*HLOOKUP($EK$2,Variables!$B$60:$F$61,2,FALSE)</f>
        <v>0</v>
      </c>
      <c r="ER240" s="1223">
        <f>$G240*BW240*Variables!$B$53*HLOOKUP($EK$2,Variables!$B$60:$F$61,2,FALSE)</f>
        <v>0</v>
      </c>
      <c r="ES240" s="1223">
        <f>$G240*BX240*Variables!$B$53*HLOOKUP($EK$2,Variables!$B$60:$F$61,2,FALSE)</f>
        <v>0</v>
      </c>
      <c r="ET240" s="1223">
        <f>$G240*BY240*Variables!$B$53*HLOOKUP($EK$2,Variables!$B$60:$F$61,2,FALSE)</f>
        <v>0</v>
      </c>
      <c r="EU240" s="1223">
        <f>$G240*BZ240*Variables!$B$53*HLOOKUP($EK$2,Variables!$B$60:$F$61,2,FALSE)</f>
        <v>0</v>
      </c>
      <c r="EV240" s="1225">
        <f>$G240*CA240*Variables!$B$53*HLOOKUP($EK$2,Variables!$B$60:$F$61,2,FALSE)</f>
        <v>0</v>
      </c>
      <c r="EW240" s="872">
        <f t="shared" si="29"/>
        <v>0</v>
      </c>
      <c r="EX240" s="872"/>
      <c r="EY240" s="872"/>
      <c r="EZ240" s="872"/>
      <c r="FA240" s="1332"/>
      <c r="FC240" s="958" t="str">
        <f t="shared" si="30"/>
        <v/>
      </c>
      <c r="FD240" s="959" t="str">
        <f t="shared" si="31"/>
        <v/>
      </c>
      <c r="FE240" s="959" t="s">
        <v>8407</v>
      </c>
      <c r="FF240" s="959" t="str">
        <f>IF(ISNA(VLOOKUP(FC240,Miscellaneous!E:F,2,0)),"",VLOOKUP(FC240,Miscellaneous!E:F,2,0))</f>
        <v/>
      </c>
      <c r="FG240" s="959" t="str">
        <f t="shared" si="32"/>
        <v/>
      </c>
      <c r="FH240" s="996">
        <f>IF($FG240="Opex",SUMIF('Monthly Summary'!$C$75:$N$75,"",CC240:CN240),SUMIF('Monthly Summary'!$C$74:$N$74,"",CC240:CN240))</f>
        <v>0</v>
      </c>
      <c r="FI240" s="996">
        <f>IF($FG240="Opex",SUMIF('Monthly Summary'!$O$75:$Z$75,"",CO240:CZ240),SUMIF('Monthly Summary'!$O$74:$Z$74,"",CO240:CZ240))</f>
        <v>0</v>
      </c>
      <c r="FJ240" s="996">
        <f>IF($FG240="Opex",SUMIF('Monthly Summary'!$AA$75:$AL$75,"",DA240:DL240),SUMIF('Monthly Summary'!$AA$74:$AL$74,"",DA240:DL240))</f>
        <v>0</v>
      </c>
      <c r="FK240" s="996">
        <f>IF($FG240="Opex",SUMIF('Monthly Summary'!$AM$75:$AX$75,"",DM240:DX240),SUMIF('Monthly Summary'!$AM$74:$AX$74,"",DM240:DX240))</f>
        <v>0</v>
      </c>
      <c r="FL240" s="996">
        <f>IF($FG240="Opex",SUMIF('Monthly Summary'!$AY$75:$BJ$75,"",DY240:EJ240),SUMIF('Monthly Summary'!$AY$74:$BJ$74,"",DY240:EJ240))</f>
        <v>0</v>
      </c>
      <c r="FM240" s="997">
        <f>IF($FG240="Opex",SUMIF('Monthly Summary'!$BK$75:$BV$75,"",EK240:EV240),SUMIF('Monthly Summary'!$BK$74:$BV$74,"",EK240:EV240))</f>
        <v>0</v>
      </c>
      <c r="FN240" s="997">
        <f t="shared" si="33"/>
        <v>0</v>
      </c>
    </row>
    <row r="241" spans="1:170">
      <c r="C241" s="757"/>
      <c r="D241" s="757"/>
      <c r="E241" s="758"/>
      <c r="F241" s="758"/>
      <c r="G241" s="758"/>
      <c r="H241" s="1215"/>
      <c r="I241" s="761"/>
      <c r="J241" s="761"/>
      <c r="K241" s="761"/>
      <c r="L241" s="761"/>
      <c r="M241" s="761"/>
      <c r="N241" s="761"/>
      <c r="O241" s="761"/>
      <c r="P241" s="761"/>
      <c r="Q241" s="761"/>
      <c r="R241" s="761"/>
      <c r="S241" s="1216"/>
      <c r="T241" s="1215"/>
      <c r="U241" s="761"/>
      <c r="V241" s="761"/>
      <c r="W241" s="761"/>
      <c r="X241" s="761"/>
      <c r="Y241" s="761"/>
      <c r="Z241" s="761"/>
      <c r="AA241" s="761"/>
      <c r="AB241" s="761"/>
      <c r="AC241" s="761"/>
      <c r="AD241" s="761"/>
      <c r="AE241" s="1216"/>
      <c r="AF241" s="1215"/>
      <c r="AG241" s="761"/>
      <c r="AH241" s="761"/>
      <c r="AI241" s="761"/>
      <c r="AJ241" s="761"/>
      <c r="AK241" s="761"/>
      <c r="AL241" s="761"/>
      <c r="AM241" s="761"/>
      <c r="AN241" s="761"/>
      <c r="AO241" s="761"/>
      <c r="AP241" s="761"/>
      <c r="AQ241" s="1216"/>
      <c r="AR241" s="1215"/>
      <c r="AS241" s="761"/>
      <c r="AT241" s="761"/>
      <c r="AU241" s="761"/>
      <c r="AV241" s="761"/>
      <c r="AW241" s="761"/>
      <c r="AX241" s="761"/>
      <c r="AY241" s="761"/>
      <c r="AZ241" s="761"/>
      <c r="BA241" s="761"/>
      <c r="BB241" s="761"/>
      <c r="BC241" s="1216"/>
      <c r="BD241" s="1215"/>
      <c r="BE241" s="761"/>
      <c r="BF241" s="761"/>
      <c r="BG241" s="761"/>
      <c r="BH241" s="761"/>
      <c r="BI241" s="761"/>
      <c r="BJ241" s="761"/>
      <c r="BK241" s="761"/>
      <c r="BL241" s="761"/>
      <c r="BM241" s="761"/>
      <c r="BN241" s="761"/>
      <c r="BO241" s="1216"/>
      <c r="BP241" s="1215"/>
      <c r="BQ241" s="761"/>
      <c r="BR241" s="761"/>
      <c r="BS241" s="761"/>
      <c r="BT241" s="761"/>
      <c r="BU241" s="761"/>
      <c r="BV241" s="761"/>
      <c r="BW241" s="761"/>
      <c r="BX241" s="761"/>
      <c r="BY241" s="761"/>
      <c r="BZ241" s="761"/>
      <c r="CA241" s="1216"/>
      <c r="CB241" s="747"/>
      <c r="CC241" s="1222">
        <f>$G241*H241*Variables!$B$53</f>
        <v>0</v>
      </c>
      <c r="CD241" s="1223">
        <f>$G241*I241*Variables!$B$53</f>
        <v>0</v>
      </c>
      <c r="CE241" s="1223">
        <f>$G241*J241*Variables!$B$53</f>
        <v>0</v>
      </c>
      <c r="CF241" s="1223">
        <f>$G241*K241*Variables!$B$53</f>
        <v>0</v>
      </c>
      <c r="CG241" s="1223">
        <f>$G241*L241*Variables!$B$53</f>
        <v>0</v>
      </c>
      <c r="CH241" s="1223">
        <f>$G241*M241*Variables!$B$53</f>
        <v>0</v>
      </c>
      <c r="CI241" s="1223">
        <f>$G241*N241*Variables!$B$53</f>
        <v>0</v>
      </c>
      <c r="CJ241" s="1223">
        <f>$G241*O241*Variables!$B$53</f>
        <v>0</v>
      </c>
      <c r="CK241" s="1223">
        <f>$G241*P241*Variables!$B$53</f>
        <v>0</v>
      </c>
      <c r="CL241" s="1223">
        <f>$G241*Q241*Variables!$B$53</f>
        <v>0</v>
      </c>
      <c r="CM241" s="1223">
        <f>$G241*R241*Variables!$B$53</f>
        <v>0</v>
      </c>
      <c r="CN241" s="1225">
        <f>$G241*S241*Variables!$B$53</f>
        <v>0</v>
      </c>
      <c r="CO241" s="1222">
        <f>$G241*T241*Variables!$B$53*HLOOKUP($CO$2,Variables!$B$60:$F$61,2,FALSE)</f>
        <v>0</v>
      </c>
      <c r="CP241" s="1223">
        <f>$G241*U241*Variables!$B$53*HLOOKUP($CO$2,Variables!$B$60:$F$61,2,FALSE)</f>
        <v>0</v>
      </c>
      <c r="CQ241" s="1223">
        <f>$G241*V241*Variables!$B$53*HLOOKUP($CO$2,Variables!$B$60:$F$61,2,FALSE)</f>
        <v>0</v>
      </c>
      <c r="CR241" s="1223">
        <f>$G241*W241*Variables!$B$53*HLOOKUP($CO$2,Variables!$B$60:$F$61,2,FALSE)</f>
        <v>0</v>
      </c>
      <c r="CS241" s="1223">
        <f>$G241*X241*Variables!$B$53*HLOOKUP($CO$2,Variables!$B$60:$F$61,2,FALSE)</f>
        <v>0</v>
      </c>
      <c r="CT241" s="1223">
        <f>$G241*Y241*Variables!$B$53*HLOOKUP($CO$2,Variables!$B$60:$F$61,2,FALSE)</f>
        <v>0</v>
      </c>
      <c r="CU241" s="1223">
        <f>$G241*Z241*Variables!$B$53*HLOOKUP($CO$2,Variables!$B$60:$F$61,2,FALSE)</f>
        <v>0</v>
      </c>
      <c r="CV241" s="1223">
        <f>$G241*AA241*Variables!$B$53*HLOOKUP($CO$2,Variables!$B$60:$F$61,2,FALSE)</f>
        <v>0</v>
      </c>
      <c r="CW241" s="1223">
        <f>$G241*AB241*Variables!$B$53*HLOOKUP($CO$2,Variables!$B$60:$F$61,2,FALSE)</f>
        <v>0</v>
      </c>
      <c r="CX241" s="1223">
        <f>$G241*AC241*Variables!$B$53*HLOOKUP($CO$2,Variables!$B$60:$F$61,2,FALSE)</f>
        <v>0</v>
      </c>
      <c r="CY241" s="1223">
        <f>$G241*AD241*Variables!$B$53*HLOOKUP($CO$2,Variables!$B$60:$F$61,2,FALSE)</f>
        <v>0</v>
      </c>
      <c r="CZ241" s="1225">
        <f>$G241*AE241*Variables!$B$53*HLOOKUP($CO$2,Variables!$B$60:$F$61,2,FALSE)</f>
        <v>0</v>
      </c>
      <c r="DA241" s="1222">
        <f>$G241*AF241*Variables!$B$53*HLOOKUP($DA$2,Variables!$B$60:$F$61,2,FALSE)</f>
        <v>0</v>
      </c>
      <c r="DB241" s="1223">
        <f>$G241*AG241*Variables!$B$53*HLOOKUP($DA$2,Variables!$B$60:$F$61,2,FALSE)</f>
        <v>0</v>
      </c>
      <c r="DC241" s="1223">
        <f>$G241*AH241*Variables!$B$53*HLOOKUP($DA$2,Variables!$B$60:$F$61,2,FALSE)</f>
        <v>0</v>
      </c>
      <c r="DD241" s="1223">
        <f>$G241*AI241*Variables!$B$53*HLOOKUP($DA$2,Variables!$B$60:$F$61,2,FALSE)</f>
        <v>0</v>
      </c>
      <c r="DE241" s="1223">
        <f>$G241*AJ241*Variables!$B$53*HLOOKUP($DA$2,Variables!$B$60:$F$61,2,FALSE)</f>
        <v>0</v>
      </c>
      <c r="DF241" s="1223">
        <f>$G241*AK241*Variables!$B$53*HLOOKUP($DA$2,Variables!$B$60:$F$61,2,FALSE)</f>
        <v>0</v>
      </c>
      <c r="DG241" s="1223">
        <f>$G241*AL241*Variables!$B$53*HLOOKUP($DA$2,Variables!$B$60:$F$61,2,FALSE)</f>
        <v>0</v>
      </c>
      <c r="DH241" s="1223">
        <f>$G241*AM241*Variables!$B$53*HLOOKUP($DA$2,Variables!$B$60:$F$61,2,FALSE)</f>
        <v>0</v>
      </c>
      <c r="DI241" s="1223">
        <f>$G241*AN241*Variables!$B$53*HLOOKUP($DA$2,Variables!$B$60:$F$61,2,FALSE)</f>
        <v>0</v>
      </c>
      <c r="DJ241" s="1223">
        <f>$G241*AO241*Variables!$B$53*HLOOKUP($DA$2,Variables!$B$60:$F$61,2,FALSE)</f>
        <v>0</v>
      </c>
      <c r="DK241" s="1223">
        <f>$G241*AP241*Variables!$B$53*HLOOKUP($DA$2,Variables!$B$60:$F$61,2,FALSE)</f>
        <v>0</v>
      </c>
      <c r="DL241" s="1225">
        <f>$G241*AQ241*Variables!$B$53*HLOOKUP($DA$2,Variables!$B$60:$F$61,2,FALSE)</f>
        <v>0</v>
      </c>
      <c r="DM241" s="1222">
        <f>$G241*AR241*Variables!$B$53*HLOOKUP($DM$2,Variables!$B$60:$F$61,2,FALSE)</f>
        <v>0</v>
      </c>
      <c r="DN241" s="1223">
        <f>$G241*AS241*Variables!$B$53*HLOOKUP($DM$2,Variables!$B$60:$F$61,2,FALSE)</f>
        <v>0</v>
      </c>
      <c r="DO241" s="1223">
        <f>$G241*AT241*Variables!$B$53*HLOOKUP($DM$2,Variables!$B$60:$F$61,2,FALSE)</f>
        <v>0</v>
      </c>
      <c r="DP241" s="1223">
        <f>$G241*AU241*Variables!$B$53*HLOOKUP($DM$2,Variables!$B$60:$F$61,2,FALSE)</f>
        <v>0</v>
      </c>
      <c r="DQ241" s="1223">
        <f>$G241*AV241*Variables!$B$53*HLOOKUP($DM$2,Variables!$B$60:$F$61,2,FALSE)</f>
        <v>0</v>
      </c>
      <c r="DR241" s="1223">
        <f>$G241*AW241*Variables!$B$53*HLOOKUP($DM$2,Variables!$B$60:$F$61,2,FALSE)</f>
        <v>0</v>
      </c>
      <c r="DS241" s="1223">
        <f>$G241*AX241*Variables!$B$53*HLOOKUP($DM$2,Variables!$B$60:$F$61,2,FALSE)</f>
        <v>0</v>
      </c>
      <c r="DT241" s="1223">
        <f>$G241*AY241*Variables!$B$53*HLOOKUP($DM$2,Variables!$B$60:$F$61,2,FALSE)</f>
        <v>0</v>
      </c>
      <c r="DU241" s="1223">
        <f>$G241*AZ241*Variables!$B$53*HLOOKUP($DM$2,Variables!$B$60:$F$61,2,FALSE)</f>
        <v>0</v>
      </c>
      <c r="DV241" s="1223">
        <f>$G241*BA241*Variables!$B$53*HLOOKUP($DM$2,Variables!$B$60:$F$61,2,FALSE)</f>
        <v>0</v>
      </c>
      <c r="DW241" s="1223">
        <f>$G241*BB241*Variables!$B$53*HLOOKUP($DM$2,Variables!$B$60:$F$61,2,FALSE)</f>
        <v>0</v>
      </c>
      <c r="DX241" s="1225">
        <f>$G241*BC241*Variables!$B$53*HLOOKUP($DM$2,Variables!$B$60:$F$61,2,FALSE)</f>
        <v>0</v>
      </c>
      <c r="DY241" s="1222">
        <f>$G241*BD241*Variables!$B$53*HLOOKUP($DY$2,Variables!$B$60:$F$61,2,FALSE)</f>
        <v>0</v>
      </c>
      <c r="DZ241" s="1223">
        <f>$G241*BE241*Variables!$B$53*HLOOKUP($DY$2,Variables!$B$60:$F$61,2,FALSE)</f>
        <v>0</v>
      </c>
      <c r="EA241" s="1223">
        <f>$G241*BF241*Variables!$B$53*HLOOKUP($DY$2,Variables!$B$60:$F$61,2,FALSE)</f>
        <v>0</v>
      </c>
      <c r="EB241" s="1223">
        <f>$G241*BG241*Variables!$B$53*HLOOKUP($DY$2,Variables!$B$60:$F$61,2,FALSE)</f>
        <v>0</v>
      </c>
      <c r="EC241" s="1223">
        <f>$G241*BH241*Variables!$B$53*HLOOKUP($DY$2,Variables!$B$60:$F$61,2,FALSE)</f>
        <v>0</v>
      </c>
      <c r="ED241" s="1223">
        <f>$G241*BI241*Variables!$B$53*HLOOKUP($DY$2,Variables!$B$60:$F$61,2,FALSE)</f>
        <v>0</v>
      </c>
      <c r="EE241" s="1223">
        <f>$G241*BJ241*Variables!$B$53*HLOOKUP($DY$2,Variables!$B$60:$F$61,2,FALSE)</f>
        <v>0</v>
      </c>
      <c r="EF241" s="1223">
        <f>$G241*BK241*Variables!$B$53*HLOOKUP($DY$2,Variables!$B$60:$F$61,2,FALSE)</f>
        <v>0</v>
      </c>
      <c r="EG241" s="1223">
        <f>$G241*BL241*Variables!$B$53*HLOOKUP($DY$2,Variables!$B$60:$F$61,2,FALSE)</f>
        <v>0</v>
      </c>
      <c r="EH241" s="1223">
        <f>$G241*BM241*Variables!$B$53*HLOOKUP($DY$2,Variables!$B$60:$F$61,2,FALSE)</f>
        <v>0</v>
      </c>
      <c r="EI241" s="1223">
        <f>$G241*BN241*Variables!$B$53*HLOOKUP($DY$2,Variables!$B$60:$F$61,2,FALSE)</f>
        <v>0</v>
      </c>
      <c r="EJ241" s="1225">
        <f>$G241*BO241*Variables!$B$53*HLOOKUP($DY$2,Variables!$B$60:$F$61,2,FALSE)</f>
        <v>0</v>
      </c>
      <c r="EK241" s="1222">
        <f>$G241*BP241*Variables!$B$53*HLOOKUP($EK$2,Variables!$B$60:$F$61,2,FALSE)</f>
        <v>0</v>
      </c>
      <c r="EL241" s="1223">
        <f>$G241*BQ241*Variables!$B$53*HLOOKUP($EK$2,Variables!$B$60:$F$61,2,FALSE)</f>
        <v>0</v>
      </c>
      <c r="EM241" s="1223">
        <f>$G241*BR241*Variables!$B$53*HLOOKUP($EK$2,Variables!$B$60:$F$61,2,FALSE)</f>
        <v>0</v>
      </c>
      <c r="EN241" s="1223">
        <f>$G241*BS241*Variables!$B$53*HLOOKUP($EK$2,Variables!$B$60:$F$61,2,FALSE)</f>
        <v>0</v>
      </c>
      <c r="EO241" s="1223">
        <f>$G241*BT241*Variables!$B$53*HLOOKUP($EK$2,Variables!$B$60:$F$61,2,FALSE)</f>
        <v>0</v>
      </c>
      <c r="EP241" s="1223">
        <f>$G241*BU241*Variables!$B$53*HLOOKUP($EK$2,Variables!$B$60:$F$61,2,FALSE)</f>
        <v>0</v>
      </c>
      <c r="EQ241" s="1223">
        <f>$G241*BV241*Variables!$B$53*HLOOKUP($EK$2,Variables!$B$60:$F$61,2,FALSE)</f>
        <v>0</v>
      </c>
      <c r="ER241" s="1223">
        <f>$G241*BW241*Variables!$B$53*HLOOKUP($EK$2,Variables!$B$60:$F$61,2,FALSE)</f>
        <v>0</v>
      </c>
      <c r="ES241" s="1223">
        <f>$G241*BX241*Variables!$B$53*HLOOKUP($EK$2,Variables!$B$60:$F$61,2,FALSE)</f>
        <v>0</v>
      </c>
      <c r="ET241" s="1223">
        <f>$G241*BY241*Variables!$B$53*HLOOKUP($EK$2,Variables!$B$60:$F$61,2,FALSE)</f>
        <v>0</v>
      </c>
      <c r="EU241" s="1223">
        <f>$G241*BZ241*Variables!$B$53*HLOOKUP($EK$2,Variables!$B$60:$F$61,2,FALSE)</f>
        <v>0</v>
      </c>
      <c r="EV241" s="1225">
        <f>$G241*CA241*Variables!$B$53*HLOOKUP($EK$2,Variables!$B$60:$F$61,2,FALSE)</f>
        <v>0</v>
      </c>
      <c r="EW241" s="872">
        <f t="shared" si="29"/>
        <v>0</v>
      </c>
      <c r="EX241" s="872"/>
      <c r="EY241" s="872"/>
      <c r="EZ241" s="872"/>
      <c r="FA241" s="1332"/>
      <c r="FC241" s="958" t="str">
        <f t="shared" si="30"/>
        <v/>
      </c>
      <c r="FD241" s="959" t="str">
        <f t="shared" si="31"/>
        <v/>
      </c>
      <c r="FE241" s="959" t="s">
        <v>8407</v>
      </c>
      <c r="FF241" s="959" t="str">
        <f>IF(ISNA(VLOOKUP(FC241,Miscellaneous!E:F,2,0)),"",VLOOKUP(FC241,Miscellaneous!E:F,2,0))</f>
        <v/>
      </c>
      <c r="FG241" s="959" t="str">
        <f t="shared" si="32"/>
        <v/>
      </c>
      <c r="FH241" s="996">
        <f>IF($FG241="Opex",SUMIF('Monthly Summary'!$C$75:$N$75,"",CC241:CN241),SUMIF('Monthly Summary'!$C$74:$N$74,"",CC241:CN241))</f>
        <v>0</v>
      </c>
      <c r="FI241" s="996">
        <f>IF($FG241="Opex",SUMIF('Monthly Summary'!$O$75:$Z$75,"",CO241:CZ241),SUMIF('Monthly Summary'!$O$74:$Z$74,"",CO241:CZ241))</f>
        <v>0</v>
      </c>
      <c r="FJ241" s="996">
        <f>IF($FG241="Opex",SUMIF('Monthly Summary'!$AA$75:$AL$75,"",DA241:DL241),SUMIF('Monthly Summary'!$AA$74:$AL$74,"",DA241:DL241))</f>
        <v>0</v>
      </c>
      <c r="FK241" s="996">
        <f>IF($FG241="Opex",SUMIF('Monthly Summary'!$AM$75:$AX$75,"",DM241:DX241),SUMIF('Monthly Summary'!$AM$74:$AX$74,"",DM241:DX241))</f>
        <v>0</v>
      </c>
      <c r="FL241" s="996">
        <f>IF($FG241="Opex",SUMIF('Monthly Summary'!$AY$75:$BJ$75,"",DY241:EJ241),SUMIF('Monthly Summary'!$AY$74:$BJ$74,"",DY241:EJ241))</f>
        <v>0</v>
      </c>
      <c r="FM241" s="997">
        <f>IF($FG241="Opex",SUMIF('Monthly Summary'!$BK$75:$BV$75,"",EK241:EV241),SUMIF('Monthly Summary'!$BK$74:$BV$74,"",EK241:EV241))</f>
        <v>0</v>
      </c>
      <c r="FN241" s="997">
        <f t="shared" si="33"/>
        <v>0</v>
      </c>
    </row>
    <row r="242" spans="1:170">
      <c r="C242" s="757"/>
      <c r="D242" s="757"/>
      <c r="E242" s="758"/>
      <c r="F242" s="758"/>
      <c r="G242" s="758"/>
      <c r="H242" s="1215"/>
      <c r="I242" s="761"/>
      <c r="J242" s="761"/>
      <c r="K242" s="761"/>
      <c r="L242" s="761"/>
      <c r="M242" s="761"/>
      <c r="N242" s="761"/>
      <c r="O242" s="761"/>
      <c r="P242" s="761"/>
      <c r="Q242" s="761"/>
      <c r="R242" s="761"/>
      <c r="S242" s="1216"/>
      <c r="T242" s="1215"/>
      <c r="U242" s="761"/>
      <c r="V242" s="761"/>
      <c r="W242" s="761"/>
      <c r="X242" s="761"/>
      <c r="Y242" s="761"/>
      <c r="Z242" s="761"/>
      <c r="AA242" s="761"/>
      <c r="AB242" s="761"/>
      <c r="AC242" s="761"/>
      <c r="AD242" s="761"/>
      <c r="AE242" s="1216"/>
      <c r="AF242" s="1215"/>
      <c r="AG242" s="761"/>
      <c r="AH242" s="761"/>
      <c r="AI242" s="761"/>
      <c r="AJ242" s="761"/>
      <c r="AK242" s="761"/>
      <c r="AL242" s="761"/>
      <c r="AM242" s="761"/>
      <c r="AN242" s="761"/>
      <c r="AO242" s="761"/>
      <c r="AP242" s="761"/>
      <c r="AQ242" s="1216"/>
      <c r="AR242" s="1215"/>
      <c r="AS242" s="761"/>
      <c r="AT242" s="761"/>
      <c r="AU242" s="761"/>
      <c r="AV242" s="761"/>
      <c r="AW242" s="761"/>
      <c r="AX242" s="761"/>
      <c r="AY242" s="761"/>
      <c r="AZ242" s="761"/>
      <c r="BA242" s="761"/>
      <c r="BB242" s="761"/>
      <c r="BC242" s="1216"/>
      <c r="BD242" s="1215"/>
      <c r="BE242" s="761"/>
      <c r="BF242" s="761"/>
      <c r="BG242" s="761"/>
      <c r="BH242" s="761"/>
      <c r="BI242" s="761"/>
      <c r="BJ242" s="761"/>
      <c r="BK242" s="761"/>
      <c r="BL242" s="761"/>
      <c r="BM242" s="761"/>
      <c r="BN242" s="761"/>
      <c r="BO242" s="1216"/>
      <c r="BP242" s="1215"/>
      <c r="BQ242" s="761"/>
      <c r="BR242" s="761"/>
      <c r="BS242" s="761"/>
      <c r="BT242" s="761"/>
      <c r="BU242" s="761"/>
      <c r="BV242" s="761"/>
      <c r="BW242" s="761"/>
      <c r="BX242" s="761"/>
      <c r="BY242" s="761"/>
      <c r="BZ242" s="761"/>
      <c r="CA242" s="1216"/>
      <c r="CB242" s="747"/>
      <c r="CC242" s="1222">
        <f>$G242*H242*Variables!$B$53</f>
        <v>0</v>
      </c>
      <c r="CD242" s="1223">
        <f>$G242*I242*Variables!$B$53</f>
        <v>0</v>
      </c>
      <c r="CE242" s="1223">
        <f>$G242*J242*Variables!$B$53</f>
        <v>0</v>
      </c>
      <c r="CF242" s="1223">
        <f>$G242*K242*Variables!$B$53</f>
        <v>0</v>
      </c>
      <c r="CG242" s="1223">
        <f>$G242*L242*Variables!$B$53</f>
        <v>0</v>
      </c>
      <c r="CH242" s="1223">
        <f>$G242*M242*Variables!$B$53</f>
        <v>0</v>
      </c>
      <c r="CI242" s="1223">
        <f>$G242*N242*Variables!$B$53</f>
        <v>0</v>
      </c>
      <c r="CJ242" s="1223">
        <f>$G242*O242*Variables!$B$53</f>
        <v>0</v>
      </c>
      <c r="CK242" s="1223">
        <f>$G242*P242*Variables!$B$53</f>
        <v>0</v>
      </c>
      <c r="CL242" s="1223">
        <f>$G242*Q242*Variables!$B$53</f>
        <v>0</v>
      </c>
      <c r="CM242" s="1223">
        <f>$G242*R242*Variables!$B$53</f>
        <v>0</v>
      </c>
      <c r="CN242" s="1225">
        <f>$G242*S242*Variables!$B$53</f>
        <v>0</v>
      </c>
      <c r="CO242" s="1222">
        <f>$G242*T242*Variables!$B$53*HLOOKUP($CO$2,Variables!$B$60:$F$61,2,FALSE)</f>
        <v>0</v>
      </c>
      <c r="CP242" s="1223">
        <f>$G242*U242*Variables!$B$53*HLOOKUP($CO$2,Variables!$B$60:$F$61,2,FALSE)</f>
        <v>0</v>
      </c>
      <c r="CQ242" s="1223">
        <f>$G242*V242*Variables!$B$53*HLOOKUP($CO$2,Variables!$B$60:$F$61,2,FALSE)</f>
        <v>0</v>
      </c>
      <c r="CR242" s="1223">
        <f>$G242*W242*Variables!$B$53*HLOOKUP($CO$2,Variables!$B$60:$F$61,2,FALSE)</f>
        <v>0</v>
      </c>
      <c r="CS242" s="1223">
        <f>$G242*X242*Variables!$B$53*HLOOKUP($CO$2,Variables!$B$60:$F$61,2,FALSE)</f>
        <v>0</v>
      </c>
      <c r="CT242" s="1223">
        <f>$G242*Y242*Variables!$B$53*HLOOKUP($CO$2,Variables!$B$60:$F$61,2,FALSE)</f>
        <v>0</v>
      </c>
      <c r="CU242" s="1223">
        <f>$G242*Z242*Variables!$B$53*HLOOKUP($CO$2,Variables!$B$60:$F$61,2,FALSE)</f>
        <v>0</v>
      </c>
      <c r="CV242" s="1223">
        <f>$G242*AA242*Variables!$B$53*HLOOKUP($CO$2,Variables!$B$60:$F$61,2,FALSE)</f>
        <v>0</v>
      </c>
      <c r="CW242" s="1223">
        <f>$G242*AB242*Variables!$B$53*HLOOKUP($CO$2,Variables!$B$60:$F$61,2,FALSE)</f>
        <v>0</v>
      </c>
      <c r="CX242" s="1223">
        <f>$G242*AC242*Variables!$B$53*HLOOKUP($CO$2,Variables!$B$60:$F$61,2,FALSE)</f>
        <v>0</v>
      </c>
      <c r="CY242" s="1223">
        <f>$G242*AD242*Variables!$B$53*HLOOKUP($CO$2,Variables!$B$60:$F$61,2,FALSE)</f>
        <v>0</v>
      </c>
      <c r="CZ242" s="1225">
        <f>$G242*AE242*Variables!$B$53*HLOOKUP($CO$2,Variables!$B$60:$F$61,2,FALSE)</f>
        <v>0</v>
      </c>
      <c r="DA242" s="1222">
        <f>$G242*AF242*Variables!$B$53*HLOOKUP($DA$2,Variables!$B$60:$F$61,2,FALSE)</f>
        <v>0</v>
      </c>
      <c r="DB242" s="1223">
        <f>$G242*AG242*Variables!$B$53*HLOOKUP($DA$2,Variables!$B$60:$F$61,2,FALSE)</f>
        <v>0</v>
      </c>
      <c r="DC242" s="1223">
        <f>$G242*AH242*Variables!$B$53*HLOOKUP($DA$2,Variables!$B$60:$F$61,2,FALSE)</f>
        <v>0</v>
      </c>
      <c r="DD242" s="1223">
        <f>$G242*AI242*Variables!$B$53*HLOOKUP($DA$2,Variables!$B$60:$F$61,2,FALSE)</f>
        <v>0</v>
      </c>
      <c r="DE242" s="1223">
        <f>$G242*AJ242*Variables!$B$53*HLOOKUP($DA$2,Variables!$B$60:$F$61,2,FALSE)</f>
        <v>0</v>
      </c>
      <c r="DF242" s="1223">
        <f>$G242*AK242*Variables!$B$53*HLOOKUP($DA$2,Variables!$B$60:$F$61,2,FALSE)</f>
        <v>0</v>
      </c>
      <c r="DG242" s="1223">
        <f>$G242*AL242*Variables!$B$53*HLOOKUP($DA$2,Variables!$B$60:$F$61,2,FALSE)</f>
        <v>0</v>
      </c>
      <c r="DH242" s="1223">
        <f>$G242*AM242*Variables!$B$53*HLOOKUP($DA$2,Variables!$B$60:$F$61,2,FALSE)</f>
        <v>0</v>
      </c>
      <c r="DI242" s="1223">
        <f>$G242*AN242*Variables!$B$53*HLOOKUP($DA$2,Variables!$B$60:$F$61,2,FALSE)</f>
        <v>0</v>
      </c>
      <c r="DJ242" s="1223">
        <f>$G242*AO242*Variables!$B$53*HLOOKUP($DA$2,Variables!$B$60:$F$61,2,FALSE)</f>
        <v>0</v>
      </c>
      <c r="DK242" s="1223">
        <f>$G242*AP242*Variables!$B$53*HLOOKUP($DA$2,Variables!$B$60:$F$61,2,FALSE)</f>
        <v>0</v>
      </c>
      <c r="DL242" s="1225">
        <f>$G242*AQ242*Variables!$B$53*HLOOKUP($DA$2,Variables!$B$60:$F$61,2,FALSE)</f>
        <v>0</v>
      </c>
      <c r="DM242" s="1222">
        <f>$G242*AR242*Variables!$B$53*HLOOKUP($DM$2,Variables!$B$60:$F$61,2,FALSE)</f>
        <v>0</v>
      </c>
      <c r="DN242" s="1223">
        <f>$G242*AS242*Variables!$B$53*HLOOKUP($DM$2,Variables!$B$60:$F$61,2,FALSE)</f>
        <v>0</v>
      </c>
      <c r="DO242" s="1223">
        <f>$G242*AT242*Variables!$B$53*HLOOKUP($DM$2,Variables!$B$60:$F$61,2,FALSE)</f>
        <v>0</v>
      </c>
      <c r="DP242" s="1223">
        <f>$G242*AU242*Variables!$B$53*HLOOKUP($DM$2,Variables!$B$60:$F$61,2,FALSE)</f>
        <v>0</v>
      </c>
      <c r="DQ242" s="1223">
        <f>$G242*AV242*Variables!$B$53*HLOOKUP($DM$2,Variables!$B$60:$F$61,2,FALSE)</f>
        <v>0</v>
      </c>
      <c r="DR242" s="1223">
        <f>$G242*AW242*Variables!$B$53*HLOOKUP($DM$2,Variables!$B$60:$F$61,2,FALSE)</f>
        <v>0</v>
      </c>
      <c r="DS242" s="1223">
        <f>$G242*AX242*Variables!$B$53*HLOOKUP($DM$2,Variables!$B$60:$F$61,2,FALSE)</f>
        <v>0</v>
      </c>
      <c r="DT242" s="1223">
        <f>$G242*AY242*Variables!$B$53*HLOOKUP($DM$2,Variables!$B$60:$F$61,2,FALSE)</f>
        <v>0</v>
      </c>
      <c r="DU242" s="1223">
        <f>$G242*AZ242*Variables!$B$53*HLOOKUP($DM$2,Variables!$B$60:$F$61,2,FALSE)</f>
        <v>0</v>
      </c>
      <c r="DV242" s="1223">
        <f>$G242*BA242*Variables!$B$53*HLOOKUP($DM$2,Variables!$B$60:$F$61,2,FALSE)</f>
        <v>0</v>
      </c>
      <c r="DW242" s="1223">
        <f>$G242*BB242*Variables!$B$53*HLOOKUP($DM$2,Variables!$B$60:$F$61,2,FALSE)</f>
        <v>0</v>
      </c>
      <c r="DX242" s="1225">
        <f>$G242*BC242*Variables!$B$53*HLOOKUP($DM$2,Variables!$B$60:$F$61,2,FALSE)</f>
        <v>0</v>
      </c>
      <c r="DY242" s="1222">
        <f>$G242*BD242*Variables!$B$53*HLOOKUP($DY$2,Variables!$B$60:$F$61,2,FALSE)</f>
        <v>0</v>
      </c>
      <c r="DZ242" s="1223">
        <f>$G242*BE242*Variables!$B$53*HLOOKUP($DY$2,Variables!$B$60:$F$61,2,FALSE)</f>
        <v>0</v>
      </c>
      <c r="EA242" s="1223">
        <f>$G242*BF242*Variables!$B$53*HLOOKUP($DY$2,Variables!$B$60:$F$61,2,FALSE)</f>
        <v>0</v>
      </c>
      <c r="EB242" s="1223">
        <f>$G242*BG242*Variables!$B$53*HLOOKUP($DY$2,Variables!$B$60:$F$61,2,FALSE)</f>
        <v>0</v>
      </c>
      <c r="EC242" s="1223">
        <f>$G242*BH242*Variables!$B$53*HLOOKUP($DY$2,Variables!$B$60:$F$61,2,FALSE)</f>
        <v>0</v>
      </c>
      <c r="ED242" s="1223">
        <f>$G242*BI242*Variables!$B$53*HLOOKUP($DY$2,Variables!$B$60:$F$61,2,FALSE)</f>
        <v>0</v>
      </c>
      <c r="EE242" s="1223">
        <f>$G242*BJ242*Variables!$B$53*HLOOKUP($DY$2,Variables!$B$60:$F$61,2,FALSE)</f>
        <v>0</v>
      </c>
      <c r="EF242" s="1223">
        <f>$G242*BK242*Variables!$B$53*HLOOKUP($DY$2,Variables!$B$60:$F$61,2,FALSE)</f>
        <v>0</v>
      </c>
      <c r="EG242" s="1223">
        <f>$G242*BL242*Variables!$B$53*HLOOKUP($DY$2,Variables!$B$60:$F$61,2,FALSE)</f>
        <v>0</v>
      </c>
      <c r="EH242" s="1223">
        <f>$G242*BM242*Variables!$B$53*HLOOKUP($DY$2,Variables!$B$60:$F$61,2,FALSE)</f>
        <v>0</v>
      </c>
      <c r="EI242" s="1223">
        <f>$G242*BN242*Variables!$B$53*HLOOKUP($DY$2,Variables!$B$60:$F$61,2,FALSE)</f>
        <v>0</v>
      </c>
      <c r="EJ242" s="1225">
        <f>$G242*BO242*Variables!$B$53*HLOOKUP($DY$2,Variables!$B$60:$F$61,2,FALSE)</f>
        <v>0</v>
      </c>
      <c r="EK242" s="1222">
        <f>$G242*BP242*Variables!$B$53*HLOOKUP($EK$2,Variables!$B$60:$F$61,2,FALSE)</f>
        <v>0</v>
      </c>
      <c r="EL242" s="1223">
        <f>$G242*BQ242*Variables!$B$53*HLOOKUP($EK$2,Variables!$B$60:$F$61,2,FALSE)</f>
        <v>0</v>
      </c>
      <c r="EM242" s="1223">
        <f>$G242*BR242*Variables!$B$53*HLOOKUP($EK$2,Variables!$B$60:$F$61,2,FALSE)</f>
        <v>0</v>
      </c>
      <c r="EN242" s="1223">
        <f>$G242*BS242*Variables!$B$53*HLOOKUP($EK$2,Variables!$B$60:$F$61,2,FALSE)</f>
        <v>0</v>
      </c>
      <c r="EO242" s="1223">
        <f>$G242*BT242*Variables!$B$53*HLOOKUP($EK$2,Variables!$B$60:$F$61,2,FALSE)</f>
        <v>0</v>
      </c>
      <c r="EP242" s="1223">
        <f>$G242*BU242*Variables!$B$53*HLOOKUP($EK$2,Variables!$B$60:$F$61,2,FALSE)</f>
        <v>0</v>
      </c>
      <c r="EQ242" s="1223">
        <f>$G242*BV242*Variables!$B$53*HLOOKUP($EK$2,Variables!$B$60:$F$61,2,FALSE)</f>
        <v>0</v>
      </c>
      <c r="ER242" s="1223">
        <f>$G242*BW242*Variables!$B$53*HLOOKUP($EK$2,Variables!$B$60:$F$61,2,FALSE)</f>
        <v>0</v>
      </c>
      <c r="ES242" s="1223">
        <f>$G242*BX242*Variables!$B$53*HLOOKUP($EK$2,Variables!$B$60:$F$61,2,FALSE)</f>
        <v>0</v>
      </c>
      <c r="ET242" s="1223">
        <f>$G242*BY242*Variables!$B$53*HLOOKUP($EK$2,Variables!$B$60:$F$61,2,FALSE)</f>
        <v>0</v>
      </c>
      <c r="EU242" s="1223">
        <f>$G242*BZ242*Variables!$B$53*HLOOKUP($EK$2,Variables!$B$60:$F$61,2,FALSE)</f>
        <v>0</v>
      </c>
      <c r="EV242" s="1225">
        <f>$G242*CA242*Variables!$B$53*HLOOKUP($EK$2,Variables!$B$60:$F$61,2,FALSE)</f>
        <v>0</v>
      </c>
      <c r="EW242" s="872">
        <f t="shared" si="29"/>
        <v>0</v>
      </c>
      <c r="EX242" s="872"/>
      <c r="EY242" s="872"/>
      <c r="EZ242" s="872"/>
      <c r="FA242" s="1332"/>
      <c r="FC242" s="958" t="str">
        <f t="shared" si="30"/>
        <v/>
      </c>
      <c r="FD242" s="959" t="str">
        <f t="shared" si="31"/>
        <v/>
      </c>
      <c r="FE242" s="959" t="s">
        <v>8407</v>
      </c>
      <c r="FF242" s="959" t="str">
        <f>IF(ISNA(VLOOKUP(FC242,Miscellaneous!E:F,2,0)),"",VLOOKUP(FC242,Miscellaneous!E:F,2,0))</f>
        <v/>
      </c>
      <c r="FG242" s="959" t="str">
        <f t="shared" si="32"/>
        <v/>
      </c>
      <c r="FH242" s="996">
        <f>IF($FG242="Opex",SUMIF('Monthly Summary'!$C$75:$N$75,"",CC242:CN242),SUMIF('Monthly Summary'!$C$74:$N$74,"",CC242:CN242))</f>
        <v>0</v>
      </c>
      <c r="FI242" s="996">
        <f>IF($FG242="Opex",SUMIF('Monthly Summary'!$O$75:$Z$75,"",CO242:CZ242),SUMIF('Monthly Summary'!$O$74:$Z$74,"",CO242:CZ242))</f>
        <v>0</v>
      </c>
      <c r="FJ242" s="996">
        <f>IF($FG242="Opex",SUMIF('Monthly Summary'!$AA$75:$AL$75,"",DA242:DL242),SUMIF('Monthly Summary'!$AA$74:$AL$74,"",DA242:DL242))</f>
        <v>0</v>
      </c>
      <c r="FK242" s="996">
        <f>IF($FG242="Opex",SUMIF('Monthly Summary'!$AM$75:$AX$75,"",DM242:DX242),SUMIF('Monthly Summary'!$AM$74:$AX$74,"",DM242:DX242))</f>
        <v>0</v>
      </c>
      <c r="FL242" s="996">
        <f>IF($FG242="Opex",SUMIF('Monthly Summary'!$AY$75:$BJ$75,"",DY242:EJ242),SUMIF('Monthly Summary'!$AY$74:$BJ$74,"",DY242:EJ242))</f>
        <v>0</v>
      </c>
      <c r="FM242" s="997">
        <f>IF($FG242="Opex",SUMIF('Monthly Summary'!$BK$75:$BV$75,"",EK242:EV242),SUMIF('Monthly Summary'!$BK$74:$BV$74,"",EK242:EV242))</f>
        <v>0</v>
      </c>
      <c r="FN242" s="997">
        <f t="shared" si="33"/>
        <v>0</v>
      </c>
    </row>
    <row r="243" spans="1:170">
      <c r="C243" s="757"/>
      <c r="D243" s="757"/>
      <c r="E243" s="758"/>
      <c r="F243" s="758"/>
      <c r="G243" s="758"/>
      <c r="H243" s="1215"/>
      <c r="I243" s="761"/>
      <c r="J243" s="761"/>
      <c r="K243" s="761"/>
      <c r="L243" s="761"/>
      <c r="M243" s="761"/>
      <c r="N243" s="761"/>
      <c r="O243" s="761"/>
      <c r="P243" s="761"/>
      <c r="Q243" s="761"/>
      <c r="R243" s="761"/>
      <c r="S243" s="1216"/>
      <c r="T243" s="1215"/>
      <c r="U243" s="761"/>
      <c r="V243" s="761"/>
      <c r="W243" s="761"/>
      <c r="X243" s="761"/>
      <c r="Y243" s="761"/>
      <c r="Z243" s="761"/>
      <c r="AA243" s="761"/>
      <c r="AB243" s="761"/>
      <c r="AC243" s="761"/>
      <c r="AD243" s="761"/>
      <c r="AE243" s="1216"/>
      <c r="AF243" s="1215"/>
      <c r="AG243" s="761"/>
      <c r="AH243" s="761"/>
      <c r="AI243" s="761"/>
      <c r="AJ243" s="761"/>
      <c r="AK243" s="761"/>
      <c r="AL243" s="761"/>
      <c r="AM243" s="761"/>
      <c r="AN243" s="761"/>
      <c r="AO243" s="761"/>
      <c r="AP243" s="761"/>
      <c r="AQ243" s="1216"/>
      <c r="AR243" s="1215"/>
      <c r="AS243" s="761"/>
      <c r="AT243" s="761"/>
      <c r="AU243" s="761"/>
      <c r="AV243" s="761"/>
      <c r="AW243" s="761"/>
      <c r="AX243" s="761"/>
      <c r="AY243" s="761"/>
      <c r="AZ243" s="761"/>
      <c r="BA243" s="761"/>
      <c r="BB243" s="761"/>
      <c r="BC243" s="1216"/>
      <c r="BD243" s="1215"/>
      <c r="BE243" s="761"/>
      <c r="BF243" s="761"/>
      <c r="BG243" s="761"/>
      <c r="BH243" s="761"/>
      <c r="BI243" s="761"/>
      <c r="BJ243" s="761"/>
      <c r="BK243" s="761"/>
      <c r="BL243" s="761"/>
      <c r="BM243" s="761"/>
      <c r="BN243" s="761"/>
      <c r="BO243" s="1216"/>
      <c r="BP243" s="1215"/>
      <c r="BQ243" s="761"/>
      <c r="BR243" s="761"/>
      <c r="BS243" s="761"/>
      <c r="BT243" s="761"/>
      <c r="BU243" s="761"/>
      <c r="BV243" s="761"/>
      <c r="BW243" s="761"/>
      <c r="BX243" s="761"/>
      <c r="BY243" s="761"/>
      <c r="BZ243" s="761"/>
      <c r="CA243" s="1216"/>
      <c r="CB243" s="747"/>
      <c r="CC243" s="1222">
        <f>$G243*H243*Variables!$B$53</f>
        <v>0</v>
      </c>
      <c r="CD243" s="1223">
        <f>$G243*I243*Variables!$B$53</f>
        <v>0</v>
      </c>
      <c r="CE243" s="1223">
        <f>$G243*J243*Variables!$B$53</f>
        <v>0</v>
      </c>
      <c r="CF243" s="1223">
        <f>$G243*K243*Variables!$B$53</f>
        <v>0</v>
      </c>
      <c r="CG243" s="1223">
        <f>$G243*L243*Variables!$B$53</f>
        <v>0</v>
      </c>
      <c r="CH243" s="1223">
        <f>$G243*M243*Variables!$B$53</f>
        <v>0</v>
      </c>
      <c r="CI243" s="1223">
        <f>$G243*N243*Variables!$B$53</f>
        <v>0</v>
      </c>
      <c r="CJ243" s="1223">
        <f>$G243*O243*Variables!$B$53</f>
        <v>0</v>
      </c>
      <c r="CK243" s="1223">
        <f>$G243*P243*Variables!$B$53</f>
        <v>0</v>
      </c>
      <c r="CL243" s="1223">
        <f>$G243*Q243*Variables!$B$53</f>
        <v>0</v>
      </c>
      <c r="CM243" s="1223">
        <f>$G243*R243*Variables!$B$53</f>
        <v>0</v>
      </c>
      <c r="CN243" s="1225">
        <f>$G243*S243*Variables!$B$53</f>
        <v>0</v>
      </c>
      <c r="CO243" s="1222">
        <f>$G243*T243*Variables!$B$53*HLOOKUP($CO$2,Variables!$B$60:$F$61,2,FALSE)</f>
        <v>0</v>
      </c>
      <c r="CP243" s="1223">
        <f>$G243*U243*Variables!$B$53*HLOOKUP($CO$2,Variables!$B$60:$F$61,2,FALSE)</f>
        <v>0</v>
      </c>
      <c r="CQ243" s="1223">
        <f>$G243*V243*Variables!$B$53*HLOOKUP($CO$2,Variables!$B$60:$F$61,2,FALSE)</f>
        <v>0</v>
      </c>
      <c r="CR243" s="1223">
        <f>$G243*W243*Variables!$B$53*HLOOKUP($CO$2,Variables!$B$60:$F$61,2,FALSE)</f>
        <v>0</v>
      </c>
      <c r="CS243" s="1223">
        <f>$G243*X243*Variables!$B$53*HLOOKUP($CO$2,Variables!$B$60:$F$61,2,FALSE)</f>
        <v>0</v>
      </c>
      <c r="CT243" s="1223">
        <f>$G243*Y243*Variables!$B$53*HLOOKUP($CO$2,Variables!$B$60:$F$61,2,FALSE)</f>
        <v>0</v>
      </c>
      <c r="CU243" s="1223">
        <f>$G243*Z243*Variables!$B$53*HLOOKUP($CO$2,Variables!$B$60:$F$61,2,FALSE)</f>
        <v>0</v>
      </c>
      <c r="CV243" s="1223">
        <f>$G243*AA243*Variables!$B$53*HLOOKUP($CO$2,Variables!$B$60:$F$61,2,FALSE)</f>
        <v>0</v>
      </c>
      <c r="CW243" s="1223">
        <f>$G243*AB243*Variables!$B$53*HLOOKUP($CO$2,Variables!$B$60:$F$61,2,FALSE)</f>
        <v>0</v>
      </c>
      <c r="CX243" s="1223">
        <f>$G243*AC243*Variables!$B$53*HLOOKUP($CO$2,Variables!$B$60:$F$61,2,FALSE)</f>
        <v>0</v>
      </c>
      <c r="CY243" s="1223">
        <f>$G243*AD243*Variables!$B$53*HLOOKUP($CO$2,Variables!$B$60:$F$61,2,FALSE)</f>
        <v>0</v>
      </c>
      <c r="CZ243" s="1225">
        <f>$G243*AE243*Variables!$B$53*HLOOKUP($CO$2,Variables!$B$60:$F$61,2,FALSE)</f>
        <v>0</v>
      </c>
      <c r="DA243" s="1222">
        <f>$G243*AF243*Variables!$B$53*HLOOKUP($DA$2,Variables!$B$60:$F$61,2,FALSE)</f>
        <v>0</v>
      </c>
      <c r="DB243" s="1223">
        <f>$G243*AG243*Variables!$B$53*HLOOKUP($DA$2,Variables!$B$60:$F$61,2,FALSE)</f>
        <v>0</v>
      </c>
      <c r="DC243" s="1223">
        <f>$G243*AH243*Variables!$B$53*HLOOKUP($DA$2,Variables!$B$60:$F$61,2,FALSE)</f>
        <v>0</v>
      </c>
      <c r="DD243" s="1223">
        <f>$G243*AI243*Variables!$B$53*HLOOKUP($DA$2,Variables!$B$60:$F$61,2,FALSE)</f>
        <v>0</v>
      </c>
      <c r="DE243" s="1223">
        <f>$G243*AJ243*Variables!$B$53*HLOOKUP($DA$2,Variables!$B$60:$F$61,2,FALSE)</f>
        <v>0</v>
      </c>
      <c r="DF243" s="1223">
        <f>$G243*AK243*Variables!$B$53*HLOOKUP($DA$2,Variables!$B$60:$F$61,2,FALSE)</f>
        <v>0</v>
      </c>
      <c r="DG243" s="1223">
        <f>$G243*AL243*Variables!$B$53*HLOOKUP($DA$2,Variables!$B$60:$F$61,2,FALSE)</f>
        <v>0</v>
      </c>
      <c r="DH243" s="1223">
        <f>$G243*AM243*Variables!$B$53*HLOOKUP($DA$2,Variables!$B$60:$F$61,2,FALSE)</f>
        <v>0</v>
      </c>
      <c r="DI243" s="1223">
        <f>$G243*AN243*Variables!$B$53*HLOOKUP($DA$2,Variables!$B$60:$F$61,2,FALSE)</f>
        <v>0</v>
      </c>
      <c r="DJ243" s="1223">
        <f>$G243*AO243*Variables!$B$53*HLOOKUP($DA$2,Variables!$B$60:$F$61,2,FALSE)</f>
        <v>0</v>
      </c>
      <c r="DK243" s="1223">
        <f>$G243*AP243*Variables!$B$53*HLOOKUP($DA$2,Variables!$B$60:$F$61,2,FALSE)</f>
        <v>0</v>
      </c>
      <c r="DL243" s="1225">
        <f>$G243*AQ243*Variables!$B$53*HLOOKUP($DA$2,Variables!$B$60:$F$61,2,FALSE)</f>
        <v>0</v>
      </c>
      <c r="DM243" s="1222">
        <f>$G243*AR243*Variables!$B$53*HLOOKUP($DM$2,Variables!$B$60:$F$61,2,FALSE)</f>
        <v>0</v>
      </c>
      <c r="DN243" s="1223">
        <f>$G243*AS243*Variables!$B$53*HLOOKUP($DM$2,Variables!$B$60:$F$61,2,FALSE)</f>
        <v>0</v>
      </c>
      <c r="DO243" s="1223">
        <f>$G243*AT243*Variables!$B$53*HLOOKUP($DM$2,Variables!$B$60:$F$61,2,FALSE)</f>
        <v>0</v>
      </c>
      <c r="DP243" s="1223">
        <f>$G243*AU243*Variables!$B$53*HLOOKUP($DM$2,Variables!$B$60:$F$61,2,FALSE)</f>
        <v>0</v>
      </c>
      <c r="DQ243" s="1223">
        <f>$G243*AV243*Variables!$B$53*HLOOKUP($DM$2,Variables!$B$60:$F$61,2,FALSE)</f>
        <v>0</v>
      </c>
      <c r="DR243" s="1223">
        <f>$G243*AW243*Variables!$B$53*HLOOKUP($DM$2,Variables!$B$60:$F$61,2,FALSE)</f>
        <v>0</v>
      </c>
      <c r="DS243" s="1223">
        <f>$G243*AX243*Variables!$B$53*HLOOKUP($DM$2,Variables!$B$60:$F$61,2,FALSE)</f>
        <v>0</v>
      </c>
      <c r="DT243" s="1223">
        <f>$G243*AY243*Variables!$B$53*HLOOKUP($DM$2,Variables!$B$60:$F$61,2,FALSE)</f>
        <v>0</v>
      </c>
      <c r="DU243" s="1223">
        <f>$G243*AZ243*Variables!$B$53*HLOOKUP($DM$2,Variables!$B$60:$F$61,2,FALSE)</f>
        <v>0</v>
      </c>
      <c r="DV243" s="1223">
        <f>$G243*BA243*Variables!$B$53*HLOOKUP($DM$2,Variables!$B$60:$F$61,2,FALSE)</f>
        <v>0</v>
      </c>
      <c r="DW243" s="1223">
        <f>$G243*BB243*Variables!$B$53*HLOOKUP($DM$2,Variables!$B$60:$F$61,2,FALSE)</f>
        <v>0</v>
      </c>
      <c r="DX243" s="1225">
        <f>$G243*BC243*Variables!$B$53*HLOOKUP($DM$2,Variables!$B$60:$F$61,2,FALSE)</f>
        <v>0</v>
      </c>
      <c r="DY243" s="1222">
        <f>$G243*BD243*Variables!$B$53*HLOOKUP($DY$2,Variables!$B$60:$F$61,2,FALSE)</f>
        <v>0</v>
      </c>
      <c r="DZ243" s="1223">
        <f>$G243*BE243*Variables!$B$53*HLOOKUP($DY$2,Variables!$B$60:$F$61,2,FALSE)</f>
        <v>0</v>
      </c>
      <c r="EA243" s="1223">
        <f>$G243*BF243*Variables!$B$53*HLOOKUP($DY$2,Variables!$B$60:$F$61,2,FALSE)</f>
        <v>0</v>
      </c>
      <c r="EB243" s="1223">
        <f>$G243*BG243*Variables!$B$53*HLOOKUP($DY$2,Variables!$B$60:$F$61,2,FALSE)</f>
        <v>0</v>
      </c>
      <c r="EC243" s="1223">
        <f>$G243*BH243*Variables!$B$53*HLOOKUP($DY$2,Variables!$B$60:$F$61,2,FALSE)</f>
        <v>0</v>
      </c>
      <c r="ED243" s="1223">
        <f>$G243*BI243*Variables!$B$53*HLOOKUP($DY$2,Variables!$B$60:$F$61,2,FALSE)</f>
        <v>0</v>
      </c>
      <c r="EE243" s="1223">
        <f>$G243*BJ243*Variables!$B$53*HLOOKUP($DY$2,Variables!$B$60:$F$61,2,FALSE)</f>
        <v>0</v>
      </c>
      <c r="EF243" s="1223">
        <f>$G243*BK243*Variables!$B$53*HLOOKUP($DY$2,Variables!$B$60:$F$61,2,FALSE)</f>
        <v>0</v>
      </c>
      <c r="EG243" s="1223">
        <f>$G243*BL243*Variables!$B$53*HLOOKUP($DY$2,Variables!$B$60:$F$61,2,FALSE)</f>
        <v>0</v>
      </c>
      <c r="EH243" s="1223">
        <f>$G243*BM243*Variables!$B$53*HLOOKUP($DY$2,Variables!$B$60:$F$61,2,FALSE)</f>
        <v>0</v>
      </c>
      <c r="EI243" s="1223">
        <f>$G243*BN243*Variables!$B$53*HLOOKUP($DY$2,Variables!$B$60:$F$61,2,FALSE)</f>
        <v>0</v>
      </c>
      <c r="EJ243" s="1225">
        <f>$G243*BO243*Variables!$B$53*HLOOKUP($DY$2,Variables!$B$60:$F$61,2,FALSE)</f>
        <v>0</v>
      </c>
      <c r="EK243" s="1222">
        <f>$G243*BP243*Variables!$B$53*HLOOKUP($EK$2,Variables!$B$60:$F$61,2,FALSE)</f>
        <v>0</v>
      </c>
      <c r="EL243" s="1223">
        <f>$G243*BQ243*Variables!$B$53*HLOOKUP($EK$2,Variables!$B$60:$F$61,2,FALSE)</f>
        <v>0</v>
      </c>
      <c r="EM243" s="1223">
        <f>$G243*BR243*Variables!$B$53*HLOOKUP($EK$2,Variables!$B$60:$F$61,2,FALSE)</f>
        <v>0</v>
      </c>
      <c r="EN243" s="1223">
        <f>$G243*BS243*Variables!$B$53*HLOOKUP($EK$2,Variables!$B$60:$F$61,2,FALSE)</f>
        <v>0</v>
      </c>
      <c r="EO243" s="1223">
        <f>$G243*BT243*Variables!$B$53*HLOOKUP($EK$2,Variables!$B$60:$F$61,2,FALSE)</f>
        <v>0</v>
      </c>
      <c r="EP243" s="1223">
        <f>$G243*BU243*Variables!$B$53*HLOOKUP($EK$2,Variables!$B$60:$F$61,2,FALSE)</f>
        <v>0</v>
      </c>
      <c r="EQ243" s="1223">
        <f>$G243*BV243*Variables!$B$53*HLOOKUP($EK$2,Variables!$B$60:$F$61,2,FALSE)</f>
        <v>0</v>
      </c>
      <c r="ER243" s="1223">
        <f>$G243*BW243*Variables!$B$53*HLOOKUP($EK$2,Variables!$B$60:$F$61,2,FALSE)</f>
        <v>0</v>
      </c>
      <c r="ES243" s="1223">
        <f>$G243*BX243*Variables!$B$53*HLOOKUP($EK$2,Variables!$B$60:$F$61,2,FALSE)</f>
        <v>0</v>
      </c>
      <c r="ET243" s="1223">
        <f>$G243*BY243*Variables!$B$53*HLOOKUP($EK$2,Variables!$B$60:$F$61,2,FALSE)</f>
        <v>0</v>
      </c>
      <c r="EU243" s="1223">
        <f>$G243*BZ243*Variables!$B$53*HLOOKUP($EK$2,Variables!$B$60:$F$61,2,FALSE)</f>
        <v>0</v>
      </c>
      <c r="EV243" s="1225">
        <f>$G243*CA243*Variables!$B$53*HLOOKUP($EK$2,Variables!$B$60:$F$61,2,FALSE)</f>
        <v>0</v>
      </c>
      <c r="EW243" s="872">
        <f t="shared" si="29"/>
        <v>0</v>
      </c>
      <c r="EX243" s="872"/>
      <c r="EY243" s="872"/>
      <c r="EZ243" s="872"/>
      <c r="FA243" s="1332"/>
      <c r="FC243" s="958" t="str">
        <f t="shared" si="30"/>
        <v/>
      </c>
      <c r="FD243" s="959" t="str">
        <f t="shared" si="31"/>
        <v/>
      </c>
      <c r="FE243" s="959" t="s">
        <v>8407</v>
      </c>
      <c r="FF243" s="959" t="str">
        <f>IF(ISNA(VLOOKUP(FC243,Miscellaneous!E:F,2,0)),"",VLOOKUP(FC243,Miscellaneous!E:F,2,0))</f>
        <v/>
      </c>
      <c r="FG243" s="959" t="str">
        <f t="shared" si="32"/>
        <v/>
      </c>
      <c r="FH243" s="996">
        <f>IF($FG243="Opex",SUMIF('Monthly Summary'!$C$75:$N$75,"",CC243:CN243),SUMIF('Monthly Summary'!$C$74:$N$74,"",CC243:CN243))</f>
        <v>0</v>
      </c>
      <c r="FI243" s="996">
        <f>IF($FG243="Opex",SUMIF('Monthly Summary'!$O$75:$Z$75,"",CO243:CZ243),SUMIF('Monthly Summary'!$O$74:$Z$74,"",CO243:CZ243))</f>
        <v>0</v>
      </c>
      <c r="FJ243" s="996">
        <f>IF($FG243="Opex",SUMIF('Monthly Summary'!$AA$75:$AL$75,"",DA243:DL243),SUMIF('Monthly Summary'!$AA$74:$AL$74,"",DA243:DL243))</f>
        <v>0</v>
      </c>
      <c r="FK243" s="996">
        <f>IF($FG243="Opex",SUMIF('Monthly Summary'!$AM$75:$AX$75,"",DM243:DX243),SUMIF('Monthly Summary'!$AM$74:$AX$74,"",DM243:DX243))</f>
        <v>0</v>
      </c>
      <c r="FL243" s="996">
        <f>IF($FG243="Opex",SUMIF('Monthly Summary'!$AY$75:$BJ$75,"",DY243:EJ243),SUMIF('Monthly Summary'!$AY$74:$BJ$74,"",DY243:EJ243))</f>
        <v>0</v>
      </c>
      <c r="FM243" s="997">
        <f>IF($FG243="Opex",SUMIF('Monthly Summary'!$BK$75:$BV$75,"",EK243:EV243),SUMIF('Monthly Summary'!$BK$74:$BV$74,"",EK243:EV243))</f>
        <v>0</v>
      </c>
      <c r="FN243" s="997">
        <f t="shared" si="33"/>
        <v>0</v>
      </c>
    </row>
    <row r="244" spans="1:170">
      <c r="C244" s="757"/>
      <c r="D244" s="757"/>
      <c r="E244" s="758"/>
      <c r="F244" s="758"/>
      <c r="G244" s="758"/>
      <c r="H244" s="1215"/>
      <c r="I244" s="761"/>
      <c r="J244" s="761"/>
      <c r="K244" s="761"/>
      <c r="L244" s="761"/>
      <c r="M244" s="761"/>
      <c r="N244" s="761"/>
      <c r="O244" s="761"/>
      <c r="P244" s="761"/>
      <c r="Q244" s="761"/>
      <c r="R244" s="761"/>
      <c r="S244" s="1216"/>
      <c r="T244" s="1215"/>
      <c r="U244" s="761"/>
      <c r="V244" s="761"/>
      <c r="W244" s="761"/>
      <c r="X244" s="761"/>
      <c r="Y244" s="761"/>
      <c r="Z244" s="761"/>
      <c r="AA244" s="761"/>
      <c r="AB244" s="761"/>
      <c r="AC244" s="761"/>
      <c r="AD244" s="761"/>
      <c r="AE244" s="1216"/>
      <c r="AF244" s="1215"/>
      <c r="AG244" s="761"/>
      <c r="AH244" s="761"/>
      <c r="AI244" s="761"/>
      <c r="AJ244" s="761"/>
      <c r="AK244" s="761"/>
      <c r="AL244" s="761"/>
      <c r="AM244" s="761"/>
      <c r="AN244" s="761"/>
      <c r="AO244" s="761"/>
      <c r="AP244" s="761"/>
      <c r="AQ244" s="1216"/>
      <c r="AR244" s="1215"/>
      <c r="AS244" s="761"/>
      <c r="AT244" s="761"/>
      <c r="AU244" s="761"/>
      <c r="AV244" s="761"/>
      <c r="AW244" s="761"/>
      <c r="AX244" s="761"/>
      <c r="AY244" s="761"/>
      <c r="AZ244" s="761"/>
      <c r="BA244" s="761"/>
      <c r="BB244" s="761"/>
      <c r="BC244" s="1216"/>
      <c r="BD244" s="1215"/>
      <c r="BE244" s="761"/>
      <c r="BF244" s="761"/>
      <c r="BG244" s="761"/>
      <c r="BH244" s="761"/>
      <c r="BI244" s="761"/>
      <c r="BJ244" s="761"/>
      <c r="BK244" s="761"/>
      <c r="BL244" s="761"/>
      <c r="BM244" s="761"/>
      <c r="BN244" s="761"/>
      <c r="BO244" s="1216"/>
      <c r="BP244" s="1215"/>
      <c r="BQ244" s="761"/>
      <c r="BR244" s="761"/>
      <c r="BS244" s="761"/>
      <c r="BT244" s="761"/>
      <c r="BU244" s="761"/>
      <c r="BV244" s="761"/>
      <c r="BW244" s="761"/>
      <c r="BX244" s="761"/>
      <c r="BY244" s="761"/>
      <c r="BZ244" s="761"/>
      <c r="CA244" s="1216"/>
      <c r="CB244" s="747"/>
      <c r="CC244" s="1222">
        <f>$G244*H244*Variables!$B$53</f>
        <v>0</v>
      </c>
      <c r="CD244" s="1223">
        <f>$G244*I244*Variables!$B$53</f>
        <v>0</v>
      </c>
      <c r="CE244" s="1223">
        <f>$G244*J244*Variables!$B$53</f>
        <v>0</v>
      </c>
      <c r="CF244" s="1223">
        <f>$G244*K244*Variables!$B$53</f>
        <v>0</v>
      </c>
      <c r="CG244" s="1223">
        <f>$G244*L244*Variables!$B$53</f>
        <v>0</v>
      </c>
      <c r="CH244" s="1223">
        <f>$G244*M244*Variables!$B$53</f>
        <v>0</v>
      </c>
      <c r="CI244" s="1223">
        <f>$G244*N244*Variables!$B$53</f>
        <v>0</v>
      </c>
      <c r="CJ244" s="1223">
        <f>$G244*O244*Variables!$B$53</f>
        <v>0</v>
      </c>
      <c r="CK244" s="1223">
        <f>$G244*P244*Variables!$B$53</f>
        <v>0</v>
      </c>
      <c r="CL244" s="1223">
        <f>$G244*Q244*Variables!$B$53</f>
        <v>0</v>
      </c>
      <c r="CM244" s="1223">
        <f>$G244*R244*Variables!$B$53</f>
        <v>0</v>
      </c>
      <c r="CN244" s="1225">
        <f>$G244*S244*Variables!$B$53</f>
        <v>0</v>
      </c>
      <c r="CO244" s="1222">
        <f>$G244*T244*Variables!$B$53*HLOOKUP($CO$2,Variables!$B$60:$F$61,2,FALSE)</f>
        <v>0</v>
      </c>
      <c r="CP244" s="1223">
        <f>$G244*U244*Variables!$B$53*HLOOKUP($CO$2,Variables!$B$60:$F$61,2,FALSE)</f>
        <v>0</v>
      </c>
      <c r="CQ244" s="1223">
        <f>$G244*V244*Variables!$B$53*HLOOKUP($CO$2,Variables!$B$60:$F$61,2,FALSE)</f>
        <v>0</v>
      </c>
      <c r="CR244" s="1223">
        <f>$G244*W244*Variables!$B$53*HLOOKUP($CO$2,Variables!$B$60:$F$61,2,FALSE)</f>
        <v>0</v>
      </c>
      <c r="CS244" s="1223">
        <f>$G244*X244*Variables!$B$53*HLOOKUP($CO$2,Variables!$B$60:$F$61,2,FALSE)</f>
        <v>0</v>
      </c>
      <c r="CT244" s="1223">
        <f>$G244*Y244*Variables!$B$53*HLOOKUP($CO$2,Variables!$B$60:$F$61,2,FALSE)</f>
        <v>0</v>
      </c>
      <c r="CU244" s="1223">
        <f>$G244*Z244*Variables!$B$53*HLOOKUP($CO$2,Variables!$B$60:$F$61,2,FALSE)</f>
        <v>0</v>
      </c>
      <c r="CV244" s="1223">
        <f>$G244*AA244*Variables!$B$53*HLOOKUP($CO$2,Variables!$B$60:$F$61,2,FALSE)</f>
        <v>0</v>
      </c>
      <c r="CW244" s="1223">
        <f>$G244*AB244*Variables!$B$53*HLOOKUP($CO$2,Variables!$B$60:$F$61,2,FALSE)</f>
        <v>0</v>
      </c>
      <c r="CX244" s="1223">
        <f>$G244*AC244*Variables!$B$53*HLOOKUP($CO$2,Variables!$B$60:$F$61,2,FALSE)</f>
        <v>0</v>
      </c>
      <c r="CY244" s="1223">
        <f>$G244*AD244*Variables!$B$53*HLOOKUP($CO$2,Variables!$B$60:$F$61,2,FALSE)</f>
        <v>0</v>
      </c>
      <c r="CZ244" s="1225">
        <f>$G244*AE244*Variables!$B$53*HLOOKUP($CO$2,Variables!$B$60:$F$61,2,FALSE)</f>
        <v>0</v>
      </c>
      <c r="DA244" s="1222">
        <f>$G244*AF244*Variables!$B$53*HLOOKUP($DA$2,Variables!$B$60:$F$61,2,FALSE)</f>
        <v>0</v>
      </c>
      <c r="DB244" s="1223">
        <f>$G244*AG244*Variables!$B$53*HLOOKUP($DA$2,Variables!$B$60:$F$61,2,FALSE)</f>
        <v>0</v>
      </c>
      <c r="DC244" s="1223">
        <f>$G244*AH244*Variables!$B$53*HLOOKUP($DA$2,Variables!$B$60:$F$61,2,FALSE)</f>
        <v>0</v>
      </c>
      <c r="DD244" s="1223">
        <f>$G244*AI244*Variables!$B$53*HLOOKUP($DA$2,Variables!$B$60:$F$61,2,FALSE)</f>
        <v>0</v>
      </c>
      <c r="DE244" s="1223">
        <f>$G244*AJ244*Variables!$B$53*HLOOKUP($DA$2,Variables!$B$60:$F$61,2,FALSE)</f>
        <v>0</v>
      </c>
      <c r="DF244" s="1223">
        <f>$G244*AK244*Variables!$B$53*HLOOKUP($DA$2,Variables!$B$60:$F$61,2,FALSE)</f>
        <v>0</v>
      </c>
      <c r="DG244" s="1223">
        <f>$G244*AL244*Variables!$B$53*HLOOKUP($DA$2,Variables!$B$60:$F$61,2,FALSE)</f>
        <v>0</v>
      </c>
      <c r="DH244" s="1223">
        <f>$G244*AM244*Variables!$B$53*HLOOKUP($DA$2,Variables!$B$60:$F$61,2,FALSE)</f>
        <v>0</v>
      </c>
      <c r="DI244" s="1223">
        <f>$G244*AN244*Variables!$B$53*HLOOKUP($DA$2,Variables!$B$60:$F$61,2,FALSE)</f>
        <v>0</v>
      </c>
      <c r="DJ244" s="1223">
        <f>$G244*AO244*Variables!$B$53*HLOOKUP($DA$2,Variables!$B$60:$F$61,2,FALSE)</f>
        <v>0</v>
      </c>
      <c r="DK244" s="1223">
        <f>$G244*AP244*Variables!$B$53*HLOOKUP($DA$2,Variables!$B$60:$F$61,2,FALSE)</f>
        <v>0</v>
      </c>
      <c r="DL244" s="1225">
        <f>$G244*AQ244*Variables!$B$53*HLOOKUP($DA$2,Variables!$B$60:$F$61,2,FALSE)</f>
        <v>0</v>
      </c>
      <c r="DM244" s="1222">
        <f>$G244*AR244*Variables!$B$53*HLOOKUP($DM$2,Variables!$B$60:$F$61,2,FALSE)</f>
        <v>0</v>
      </c>
      <c r="DN244" s="1223">
        <f>$G244*AS244*Variables!$B$53*HLOOKUP($DM$2,Variables!$B$60:$F$61,2,FALSE)</f>
        <v>0</v>
      </c>
      <c r="DO244" s="1223">
        <f>$G244*AT244*Variables!$B$53*HLOOKUP($DM$2,Variables!$B$60:$F$61,2,FALSE)</f>
        <v>0</v>
      </c>
      <c r="DP244" s="1223">
        <f>$G244*AU244*Variables!$B$53*HLOOKUP($DM$2,Variables!$B$60:$F$61,2,FALSE)</f>
        <v>0</v>
      </c>
      <c r="DQ244" s="1223">
        <f>$G244*AV244*Variables!$B$53*HLOOKUP($DM$2,Variables!$B$60:$F$61,2,FALSE)</f>
        <v>0</v>
      </c>
      <c r="DR244" s="1223">
        <f>$G244*AW244*Variables!$B$53*HLOOKUP($DM$2,Variables!$B$60:$F$61,2,FALSE)</f>
        <v>0</v>
      </c>
      <c r="DS244" s="1223">
        <f>$G244*AX244*Variables!$B$53*HLOOKUP($DM$2,Variables!$B$60:$F$61,2,FALSE)</f>
        <v>0</v>
      </c>
      <c r="DT244" s="1223">
        <f>$G244*AY244*Variables!$B$53*HLOOKUP($DM$2,Variables!$B$60:$F$61,2,FALSE)</f>
        <v>0</v>
      </c>
      <c r="DU244" s="1223">
        <f>$G244*AZ244*Variables!$B$53*HLOOKUP($DM$2,Variables!$B$60:$F$61,2,FALSE)</f>
        <v>0</v>
      </c>
      <c r="DV244" s="1223">
        <f>$G244*BA244*Variables!$B$53*HLOOKUP($DM$2,Variables!$B$60:$F$61,2,FALSE)</f>
        <v>0</v>
      </c>
      <c r="DW244" s="1223">
        <f>$G244*BB244*Variables!$B$53*HLOOKUP($DM$2,Variables!$B$60:$F$61,2,FALSE)</f>
        <v>0</v>
      </c>
      <c r="DX244" s="1225">
        <f>$G244*BC244*Variables!$B$53*HLOOKUP($DM$2,Variables!$B$60:$F$61,2,FALSE)</f>
        <v>0</v>
      </c>
      <c r="DY244" s="1222">
        <f>$G244*BD244*Variables!$B$53*HLOOKUP($DY$2,Variables!$B$60:$F$61,2,FALSE)</f>
        <v>0</v>
      </c>
      <c r="DZ244" s="1223">
        <f>$G244*BE244*Variables!$B$53*HLOOKUP($DY$2,Variables!$B$60:$F$61,2,FALSE)</f>
        <v>0</v>
      </c>
      <c r="EA244" s="1223">
        <f>$G244*BF244*Variables!$B$53*HLOOKUP($DY$2,Variables!$B$60:$F$61,2,FALSE)</f>
        <v>0</v>
      </c>
      <c r="EB244" s="1223">
        <f>$G244*BG244*Variables!$B$53*HLOOKUP($DY$2,Variables!$B$60:$F$61,2,FALSE)</f>
        <v>0</v>
      </c>
      <c r="EC244" s="1223">
        <f>$G244*BH244*Variables!$B$53*HLOOKUP($DY$2,Variables!$B$60:$F$61,2,FALSE)</f>
        <v>0</v>
      </c>
      <c r="ED244" s="1223">
        <f>$G244*BI244*Variables!$B$53*HLOOKUP($DY$2,Variables!$B$60:$F$61,2,FALSE)</f>
        <v>0</v>
      </c>
      <c r="EE244" s="1223">
        <f>$G244*BJ244*Variables!$B$53*HLOOKUP($DY$2,Variables!$B$60:$F$61,2,FALSE)</f>
        <v>0</v>
      </c>
      <c r="EF244" s="1223">
        <f>$G244*BK244*Variables!$B$53*HLOOKUP($DY$2,Variables!$B$60:$F$61,2,FALSE)</f>
        <v>0</v>
      </c>
      <c r="EG244" s="1223">
        <f>$G244*BL244*Variables!$B$53*HLOOKUP($DY$2,Variables!$B$60:$F$61,2,FALSE)</f>
        <v>0</v>
      </c>
      <c r="EH244" s="1223">
        <f>$G244*BM244*Variables!$B$53*HLOOKUP($DY$2,Variables!$B$60:$F$61,2,FALSE)</f>
        <v>0</v>
      </c>
      <c r="EI244" s="1223">
        <f>$G244*BN244*Variables!$B$53*HLOOKUP($DY$2,Variables!$B$60:$F$61,2,FALSE)</f>
        <v>0</v>
      </c>
      <c r="EJ244" s="1225">
        <f>$G244*BO244*Variables!$B$53*HLOOKUP($DY$2,Variables!$B$60:$F$61,2,FALSE)</f>
        <v>0</v>
      </c>
      <c r="EK244" s="1222">
        <f>$G244*BP244*Variables!$B$53*HLOOKUP($EK$2,Variables!$B$60:$F$61,2,FALSE)</f>
        <v>0</v>
      </c>
      <c r="EL244" s="1223">
        <f>$G244*BQ244*Variables!$B$53*HLOOKUP($EK$2,Variables!$B$60:$F$61,2,FALSE)</f>
        <v>0</v>
      </c>
      <c r="EM244" s="1223">
        <f>$G244*BR244*Variables!$B$53*HLOOKUP($EK$2,Variables!$B$60:$F$61,2,FALSE)</f>
        <v>0</v>
      </c>
      <c r="EN244" s="1223">
        <f>$G244*BS244*Variables!$B$53*HLOOKUP($EK$2,Variables!$B$60:$F$61,2,FALSE)</f>
        <v>0</v>
      </c>
      <c r="EO244" s="1223">
        <f>$G244*BT244*Variables!$B$53*HLOOKUP($EK$2,Variables!$B$60:$F$61,2,FALSE)</f>
        <v>0</v>
      </c>
      <c r="EP244" s="1223">
        <f>$G244*BU244*Variables!$B$53*HLOOKUP($EK$2,Variables!$B$60:$F$61,2,FALSE)</f>
        <v>0</v>
      </c>
      <c r="EQ244" s="1223">
        <f>$G244*BV244*Variables!$B$53*HLOOKUP($EK$2,Variables!$B$60:$F$61,2,FALSE)</f>
        <v>0</v>
      </c>
      <c r="ER244" s="1223">
        <f>$G244*BW244*Variables!$B$53*HLOOKUP($EK$2,Variables!$B$60:$F$61,2,FALSE)</f>
        <v>0</v>
      </c>
      <c r="ES244" s="1223">
        <f>$G244*BX244*Variables!$B$53*HLOOKUP($EK$2,Variables!$B$60:$F$61,2,FALSE)</f>
        <v>0</v>
      </c>
      <c r="ET244" s="1223">
        <f>$G244*BY244*Variables!$B$53*HLOOKUP($EK$2,Variables!$B$60:$F$61,2,FALSE)</f>
        <v>0</v>
      </c>
      <c r="EU244" s="1223">
        <f>$G244*BZ244*Variables!$B$53*HLOOKUP($EK$2,Variables!$B$60:$F$61,2,FALSE)</f>
        <v>0</v>
      </c>
      <c r="EV244" s="1225">
        <f>$G244*CA244*Variables!$B$53*HLOOKUP($EK$2,Variables!$B$60:$F$61,2,FALSE)</f>
        <v>0</v>
      </c>
      <c r="EW244" s="872">
        <f t="shared" si="29"/>
        <v>0</v>
      </c>
      <c r="EX244" s="872"/>
      <c r="EY244" s="872"/>
      <c r="EZ244" s="872"/>
      <c r="FA244" s="1332"/>
      <c r="FC244" s="958" t="str">
        <f t="shared" si="30"/>
        <v/>
      </c>
      <c r="FD244" s="959" t="str">
        <f t="shared" si="31"/>
        <v/>
      </c>
      <c r="FE244" s="959" t="s">
        <v>8407</v>
      </c>
      <c r="FF244" s="959" t="str">
        <f>IF(ISNA(VLOOKUP(FC244,Miscellaneous!E:F,2,0)),"",VLOOKUP(FC244,Miscellaneous!E:F,2,0))</f>
        <v/>
      </c>
      <c r="FG244" s="959" t="str">
        <f t="shared" si="32"/>
        <v/>
      </c>
      <c r="FH244" s="996">
        <f>IF($FG244="Opex",SUMIF('Monthly Summary'!$C$75:$N$75,"",CC244:CN244),SUMIF('Monthly Summary'!$C$74:$N$74,"",CC244:CN244))</f>
        <v>0</v>
      </c>
      <c r="FI244" s="996">
        <f>IF($FG244="Opex",SUMIF('Monthly Summary'!$O$75:$Z$75,"",CO244:CZ244),SUMIF('Monthly Summary'!$O$74:$Z$74,"",CO244:CZ244))</f>
        <v>0</v>
      </c>
      <c r="FJ244" s="996">
        <f>IF($FG244="Opex",SUMIF('Monthly Summary'!$AA$75:$AL$75,"",DA244:DL244),SUMIF('Monthly Summary'!$AA$74:$AL$74,"",DA244:DL244))</f>
        <v>0</v>
      </c>
      <c r="FK244" s="996">
        <f>IF($FG244="Opex",SUMIF('Monthly Summary'!$AM$75:$AX$75,"",DM244:DX244),SUMIF('Monthly Summary'!$AM$74:$AX$74,"",DM244:DX244))</f>
        <v>0</v>
      </c>
      <c r="FL244" s="996">
        <f>IF($FG244="Opex",SUMIF('Monthly Summary'!$AY$75:$BJ$75,"",DY244:EJ244),SUMIF('Monthly Summary'!$AY$74:$BJ$74,"",DY244:EJ244))</f>
        <v>0</v>
      </c>
      <c r="FM244" s="997">
        <f>IF($FG244="Opex",SUMIF('Monthly Summary'!$BK$75:$BV$75,"",EK244:EV244),SUMIF('Monthly Summary'!$BK$74:$BV$74,"",EK244:EV244))</f>
        <v>0</v>
      </c>
      <c r="FN244" s="997">
        <f t="shared" si="33"/>
        <v>0</v>
      </c>
    </row>
    <row r="245" spans="1:170">
      <c r="C245" s="757"/>
      <c r="D245" s="757"/>
      <c r="E245" s="758"/>
      <c r="F245" s="758"/>
      <c r="G245" s="758"/>
      <c r="H245" s="1215"/>
      <c r="I245" s="761"/>
      <c r="J245" s="761"/>
      <c r="K245" s="761"/>
      <c r="L245" s="761"/>
      <c r="M245" s="761"/>
      <c r="N245" s="761"/>
      <c r="O245" s="761"/>
      <c r="P245" s="761"/>
      <c r="Q245" s="761"/>
      <c r="R245" s="761"/>
      <c r="S245" s="1216"/>
      <c r="T245" s="1215"/>
      <c r="U245" s="761"/>
      <c r="V245" s="761"/>
      <c r="W245" s="761"/>
      <c r="X245" s="761"/>
      <c r="Y245" s="761"/>
      <c r="Z245" s="761"/>
      <c r="AA245" s="761"/>
      <c r="AB245" s="761"/>
      <c r="AC245" s="761"/>
      <c r="AD245" s="761"/>
      <c r="AE245" s="1216"/>
      <c r="AF245" s="1215"/>
      <c r="AG245" s="761"/>
      <c r="AH245" s="761"/>
      <c r="AI245" s="761"/>
      <c r="AJ245" s="761"/>
      <c r="AK245" s="761"/>
      <c r="AL245" s="761"/>
      <c r="AM245" s="761"/>
      <c r="AN245" s="761"/>
      <c r="AO245" s="761"/>
      <c r="AP245" s="761"/>
      <c r="AQ245" s="1216"/>
      <c r="AR245" s="1215"/>
      <c r="AS245" s="761"/>
      <c r="AT245" s="761"/>
      <c r="AU245" s="761"/>
      <c r="AV245" s="761"/>
      <c r="AW245" s="761"/>
      <c r="AX245" s="761"/>
      <c r="AY245" s="761"/>
      <c r="AZ245" s="761"/>
      <c r="BA245" s="761"/>
      <c r="BB245" s="761"/>
      <c r="BC245" s="1216"/>
      <c r="BD245" s="1215"/>
      <c r="BE245" s="761"/>
      <c r="BF245" s="761"/>
      <c r="BG245" s="761"/>
      <c r="BH245" s="761"/>
      <c r="BI245" s="761"/>
      <c r="BJ245" s="761"/>
      <c r="BK245" s="761"/>
      <c r="BL245" s="761"/>
      <c r="BM245" s="761"/>
      <c r="BN245" s="761"/>
      <c r="BO245" s="1216"/>
      <c r="BP245" s="1215"/>
      <c r="BQ245" s="761"/>
      <c r="BR245" s="761"/>
      <c r="BS245" s="761"/>
      <c r="BT245" s="761"/>
      <c r="BU245" s="761"/>
      <c r="BV245" s="761"/>
      <c r="BW245" s="761"/>
      <c r="BX245" s="761"/>
      <c r="BY245" s="761"/>
      <c r="BZ245" s="761"/>
      <c r="CA245" s="1216"/>
      <c r="CB245" s="747"/>
      <c r="CC245" s="1222">
        <f>$G245*H245*Variables!$B$53</f>
        <v>0</v>
      </c>
      <c r="CD245" s="1223">
        <f>$G245*I245*Variables!$B$53</f>
        <v>0</v>
      </c>
      <c r="CE245" s="1223">
        <f>$G245*J245*Variables!$B$53</f>
        <v>0</v>
      </c>
      <c r="CF245" s="1223">
        <f>$G245*K245*Variables!$B$53</f>
        <v>0</v>
      </c>
      <c r="CG245" s="1223">
        <f>$G245*L245*Variables!$B$53</f>
        <v>0</v>
      </c>
      <c r="CH245" s="1223">
        <f>$G245*M245*Variables!$B$53</f>
        <v>0</v>
      </c>
      <c r="CI245" s="1223">
        <f>$G245*N245*Variables!$B$53</f>
        <v>0</v>
      </c>
      <c r="CJ245" s="1223">
        <f>$G245*O245*Variables!$B$53</f>
        <v>0</v>
      </c>
      <c r="CK245" s="1223">
        <f>$G245*P245*Variables!$B$53</f>
        <v>0</v>
      </c>
      <c r="CL245" s="1223">
        <f>$G245*Q245*Variables!$B$53</f>
        <v>0</v>
      </c>
      <c r="CM245" s="1223">
        <f>$G245*R245*Variables!$B$53</f>
        <v>0</v>
      </c>
      <c r="CN245" s="1225">
        <f>$G245*S245*Variables!$B$53</f>
        <v>0</v>
      </c>
      <c r="CO245" s="1222">
        <f>$G245*T245*Variables!$B$53*HLOOKUP($CO$2,Variables!$B$60:$F$61,2,FALSE)</f>
        <v>0</v>
      </c>
      <c r="CP245" s="1223">
        <f>$G245*U245*Variables!$B$53*HLOOKUP($CO$2,Variables!$B$60:$F$61,2,FALSE)</f>
        <v>0</v>
      </c>
      <c r="CQ245" s="1223">
        <f>$G245*V245*Variables!$B$53*HLOOKUP($CO$2,Variables!$B$60:$F$61,2,FALSE)</f>
        <v>0</v>
      </c>
      <c r="CR245" s="1223">
        <f>$G245*W245*Variables!$B$53*HLOOKUP($CO$2,Variables!$B$60:$F$61,2,FALSE)</f>
        <v>0</v>
      </c>
      <c r="CS245" s="1223">
        <f>$G245*X245*Variables!$B$53*HLOOKUP($CO$2,Variables!$B$60:$F$61,2,FALSE)</f>
        <v>0</v>
      </c>
      <c r="CT245" s="1223">
        <f>$G245*Y245*Variables!$B$53*HLOOKUP($CO$2,Variables!$B$60:$F$61,2,FALSE)</f>
        <v>0</v>
      </c>
      <c r="CU245" s="1223">
        <f>$G245*Z245*Variables!$B$53*HLOOKUP($CO$2,Variables!$B$60:$F$61,2,FALSE)</f>
        <v>0</v>
      </c>
      <c r="CV245" s="1223">
        <f>$G245*AA245*Variables!$B$53*HLOOKUP($CO$2,Variables!$B$60:$F$61,2,FALSE)</f>
        <v>0</v>
      </c>
      <c r="CW245" s="1223">
        <f>$G245*AB245*Variables!$B$53*HLOOKUP($CO$2,Variables!$B$60:$F$61,2,FALSE)</f>
        <v>0</v>
      </c>
      <c r="CX245" s="1223">
        <f>$G245*AC245*Variables!$B$53*HLOOKUP($CO$2,Variables!$B$60:$F$61,2,FALSE)</f>
        <v>0</v>
      </c>
      <c r="CY245" s="1223">
        <f>$G245*AD245*Variables!$B$53*HLOOKUP($CO$2,Variables!$B$60:$F$61,2,FALSE)</f>
        <v>0</v>
      </c>
      <c r="CZ245" s="1225">
        <f>$G245*AE245*Variables!$B$53*HLOOKUP($CO$2,Variables!$B$60:$F$61,2,FALSE)</f>
        <v>0</v>
      </c>
      <c r="DA245" s="1222">
        <f>$G245*AF245*Variables!$B$53*HLOOKUP($DA$2,Variables!$B$60:$F$61,2,FALSE)</f>
        <v>0</v>
      </c>
      <c r="DB245" s="1223">
        <f>$G245*AG245*Variables!$B$53*HLOOKUP($DA$2,Variables!$B$60:$F$61,2,FALSE)</f>
        <v>0</v>
      </c>
      <c r="DC245" s="1223">
        <f>$G245*AH245*Variables!$B$53*HLOOKUP($DA$2,Variables!$B$60:$F$61,2,FALSE)</f>
        <v>0</v>
      </c>
      <c r="DD245" s="1223">
        <f>$G245*AI245*Variables!$B$53*HLOOKUP($DA$2,Variables!$B$60:$F$61,2,FALSE)</f>
        <v>0</v>
      </c>
      <c r="DE245" s="1223">
        <f>$G245*AJ245*Variables!$B$53*HLOOKUP($DA$2,Variables!$B$60:$F$61,2,FALSE)</f>
        <v>0</v>
      </c>
      <c r="DF245" s="1223">
        <f>$G245*AK245*Variables!$B$53*HLOOKUP($DA$2,Variables!$B$60:$F$61,2,FALSE)</f>
        <v>0</v>
      </c>
      <c r="DG245" s="1223">
        <f>$G245*AL245*Variables!$B$53*HLOOKUP($DA$2,Variables!$B$60:$F$61,2,FALSE)</f>
        <v>0</v>
      </c>
      <c r="DH245" s="1223">
        <f>$G245*AM245*Variables!$B$53*HLOOKUP($DA$2,Variables!$B$60:$F$61,2,FALSE)</f>
        <v>0</v>
      </c>
      <c r="DI245" s="1223">
        <f>$G245*AN245*Variables!$B$53*HLOOKUP($DA$2,Variables!$B$60:$F$61,2,FALSE)</f>
        <v>0</v>
      </c>
      <c r="DJ245" s="1223">
        <f>$G245*AO245*Variables!$B$53*HLOOKUP($DA$2,Variables!$B$60:$F$61,2,FALSE)</f>
        <v>0</v>
      </c>
      <c r="DK245" s="1223">
        <f>$G245*AP245*Variables!$B$53*HLOOKUP($DA$2,Variables!$B$60:$F$61,2,FALSE)</f>
        <v>0</v>
      </c>
      <c r="DL245" s="1225">
        <f>$G245*AQ245*Variables!$B$53*HLOOKUP($DA$2,Variables!$B$60:$F$61,2,FALSE)</f>
        <v>0</v>
      </c>
      <c r="DM245" s="1222">
        <f>$G245*AR245*Variables!$B$53*HLOOKUP($DM$2,Variables!$B$60:$F$61,2,FALSE)</f>
        <v>0</v>
      </c>
      <c r="DN245" s="1223">
        <f>$G245*AS245*Variables!$B$53*HLOOKUP($DM$2,Variables!$B$60:$F$61,2,FALSE)</f>
        <v>0</v>
      </c>
      <c r="DO245" s="1223">
        <f>$G245*AT245*Variables!$B$53*HLOOKUP($DM$2,Variables!$B$60:$F$61,2,FALSE)</f>
        <v>0</v>
      </c>
      <c r="DP245" s="1223">
        <f>$G245*AU245*Variables!$B$53*HLOOKUP($DM$2,Variables!$B$60:$F$61,2,FALSE)</f>
        <v>0</v>
      </c>
      <c r="DQ245" s="1223">
        <f>$G245*AV245*Variables!$B$53*HLOOKUP($DM$2,Variables!$B$60:$F$61,2,FALSE)</f>
        <v>0</v>
      </c>
      <c r="DR245" s="1223">
        <f>$G245*AW245*Variables!$B$53*HLOOKUP($DM$2,Variables!$B$60:$F$61,2,FALSE)</f>
        <v>0</v>
      </c>
      <c r="DS245" s="1223">
        <f>$G245*AX245*Variables!$B$53*HLOOKUP($DM$2,Variables!$B$60:$F$61,2,FALSE)</f>
        <v>0</v>
      </c>
      <c r="DT245" s="1223">
        <f>$G245*AY245*Variables!$B$53*HLOOKUP($DM$2,Variables!$B$60:$F$61,2,FALSE)</f>
        <v>0</v>
      </c>
      <c r="DU245" s="1223">
        <f>$G245*AZ245*Variables!$B$53*HLOOKUP($DM$2,Variables!$B$60:$F$61,2,FALSE)</f>
        <v>0</v>
      </c>
      <c r="DV245" s="1223">
        <f>$G245*BA245*Variables!$B$53*HLOOKUP($DM$2,Variables!$B$60:$F$61,2,FALSE)</f>
        <v>0</v>
      </c>
      <c r="DW245" s="1223">
        <f>$G245*BB245*Variables!$B$53*HLOOKUP($DM$2,Variables!$B$60:$F$61,2,FALSE)</f>
        <v>0</v>
      </c>
      <c r="DX245" s="1225">
        <f>$G245*BC245*Variables!$B$53*HLOOKUP($DM$2,Variables!$B$60:$F$61,2,FALSE)</f>
        <v>0</v>
      </c>
      <c r="DY245" s="1222">
        <f>$G245*BD245*Variables!$B$53*HLOOKUP($DY$2,Variables!$B$60:$F$61,2,FALSE)</f>
        <v>0</v>
      </c>
      <c r="DZ245" s="1223">
        <f>$G245*BE245*Variables!$B$53*HLOOKUP($DY$2,Variables!$B$60:$F$61,2,FALSE)</f>
        <v>0</v>
      </c>
      <c r="EA245" s="1223">
        <f>$G245*BF245*Variables!$B$53*HLOOKUP($DY$2,Variables!$B$60:$F$61,2,FALSE)</f>
        <v>0</v>
      </c>
      <c r="EB245" s="1223">
        <f>$G245*BG245*Variables!$B$53*HLOOKUP($DY$2,Variables!$B$60:$F$61,2,FALSE)</f>
        <v>0</v>
      </c>
      <c r="EC245" s="1223">
        <f>$G245*BH245*Variables!$B$53*HLOOKUP($DY$2,Variables!$B$60:$F$61,2,FALSE)</f>
        <v>0</v>
      </c>
      <c r="ED245" s="1223">
        <f>$G245*BI245*Variables!$B$53*HLOOKUP($DY$2,Variables!$B$60:$F$61,2,FALSE)</f>
        <v>0</v>
      </c>
      <c r="EE245" s="1223">
        <f>$G245*BJ245*Variables!$B$53*HLOOKUP($DY$2,Variables!$B$60:$F$61,2,FALSE)</f>
        <v>0</v>
      </c>
      <c r="EF245" s="1223">
        <f>$G245*BK245*Variables!$B$53*HLOOKUP($DY$2,Variables!$B$60:$F$61,2,FALSE)</f>
        <v>0</v>
      </c>
      <c r="EG245" s="1223">
        <f>$G245*BL245*Variables!$B$53*HLOOKUP($DY$2,Variables!$B$60:$F$61,2,FALSE)</f>
        <v>0</v>
      </c>
      <c r="EH245" s="1223">
        <f>$G245*BM245*Variables!$B$53*HLOOKUP($DY$2,Variables!$B$60:$F$61,2,FALSE)</f>
        <v>0</v>
      </c>
      <c r="EI245" s="1223">
        <f>$G245*BN245*Variables!$B$53*HLOOKUP($DY$2,Variables!$B$60:$F$61,2,FALSE)</f>
        <v>0</v>
      </c>
      <c r="EJ245" s="1225">
        <f>$G245*BO245*Variables!$B$53*HLOOKUP($DY$2,Variables!$B$60:$F$61,2,FALSE)</f>
        <v>0</v>
      </c>
      <c r="EK245" s="1222">
        <f>$G245*BP245*Variables!$B$53*HLOOKUP($EK$2,Variables!$B$60:$F$61,2,FALSE)</f>
        <v>0</v>
      </c>
      <c r="EL245" s="1223">
        <f>$G245*BQ245*Variables!$B$53*HLOOKUP($EK$2,Variables!$B$60:$F$61,2,FALSE)</f>
        <v>0</v>
      </c>
      <c r="EM245" s="1223">
        <f>$G245*BR245*Variables!$B$53*HLOOKUP($EK$2,Variables!$B$60:$F$61,2,FALSE)</f>
        <v>0</v>
      </c>
      <c r="EN245" s="1223">
        <f>$G245*BS245*Variables!$B$53*HLOOKUP($EK$2,Variables!$B$60:$F$61,2,FALSE)</f>
        <v>0</v>
      </c>
      <c r="EO245" s="1223">
        <f>$G245*BT245*Variables!$B$53*HLOOKUP($EK$2,Variables!$B$60:$F$61,2,FALSE)</f>
        <v>0</v>
      </c>
      <c r="EP245" s="1223">
        <f>$G245*BU245*Variables!$B$53*HLOOKUP($EK$2,Variables!$B$60:$F$61,2,FALSE)</f>
        <v>0</v>
      </c>
      <c r="EQ245" s="1223">
        <f>$G245*BV245*Variables!$B$53*HLOOKUP($EK$2,Variables!$B$60:$F$61,2,FALSE)</f>
        <v>0</v>
      </c>
      <c r="ER245" s="1223">
        <f>$G245*BW245*Variables!$B$53*HLOOKUP($EK$2,Variables!$B$60:$F$61,2,FALSE)</f>
        <v>0</v>
      </c>
      <c r="ES245" s="1223">
        <f>$G245*BX245*Variables!$B$53*HLOOKUP($EK$2,Variables!$B$60:$F$61,2,FALSE)</f>
        <v>0</v>
      </c>
      <c r="ET245" s="1223">
        <f>$G245*BY245*Variables!$B$53*HLOOKUP($EK$2,Variables!$B$60:$F$61,2,FALSE)</f>
        <v>0</v>
      </c>
      <c r="EU245" s="1223">
        <f>$G245*BZ245*Variables!$B$53*HLOOKUP($EK$2,Variables!$B$60:$F$61,2,FALSE)</f>
        <v>0</v>
      </c>
      <c r="EV245" s="1225">
        <f>$G245*CA245*Variables!$B$53*HLOOKUP($EK$2,Variables!$B$60:$F$61,2,FALSE)</f>
        <v>0</v>
      </c>
      <c r="EW245" s="872">
        <f t="shared" si="29"/>
        <v>0</v>
      </c>
      <c r="EX245" s="872"/>
      <c r="EY245" s="872"/>
      <c r="EZ245" s="872"/>
      <c r="FA245" s="1332"/>
      <c r="FC245" s="958" t="str">
        <f t="shared" si="30"/>
        <v/>
      </c>
      <c r="FD245" s="959" t="str">
        <f t="shared" si="31"/>
        <v/>
      </c>
      <c r="FE245" s="959" t="s">
        <v>8407</v>
      </c>
      <c r="FF245" s="959" t="str">
        <f>IF(ISNA(VLOOKUP(FC245,Miscellaneous!E:F,2,0)),"",VLOOKUP(FC245,Miscellaneous!E:F,2,0))</f>
        <v/>
      </c>
      <c r="FG245" s="959" t="str">
        <f t="shared" si="32"/>
        <v/>
      </c>
      <c r="FH245" s="996">
        <f>IF($FG245="Opex",SUMIF('Monthly Summary'!$C$75:$N$75,"",CC245:CN245),SUMIF('Monthly Summary'!$C$74:$N$74,"",CC245:CN245))</f>
        <v>0</v>
      </c>
      <c r="FI245" s="996">
        <f>IF($FG245="Opex",SUMIF('Monthly Summary'!$O$75:$Z$75,"",CO245:CZ245),SUMIF('Monthly Summary'!$O$74:$Z$74,"",CO245:CZ245))</f>
        <v>0</v>
      </c>
      <c r="FJ245" s="996">
        <f>IF($FG245="Opex",SUMIF('Monthly Summary'!$AA$75:$AL$75,"",DA245:DL245),SUMIF('Monthly Summary'!$AA$74:$AL$74,"",DA245:DL245))</f>
        <v>0</v>
      </c>
      <c r="FK245" s="996">
        <f>IF($FG245="Opex",SUMIF('Monthly Summary'!$AM$75:$AX$75,"",DM245:DX245),SUMIF('Monthly Summary'!$AM$74:$AX$74,"",DM245:DX245))</f>
        <v>0</v>
      </c>
      <c r="FL245" s="996">
        <f>IF($FG245="Opex",SUMIF('Monthly Summary'!$AY$75:$BJ$75,"",DY245:EJ245),SUMIF('Monthly Summary'!$AY$74:$BJ$74,"",DY245:EJ245))</f>
        <v>0</v>
      </c>
      <c r="FM245" s="997">
        <f>IF($FG245="Opex",SUMIF('Monthly Summary'!$BK$75:$BV$75,"",EK245:EV245),SUMIF('Monthly Summary'!$BK$74:$BV$74,"",EK245:EV245))</f>
        <v>0</v>
      </c>
      <c r="FN245" s="997">
        <f t="shared" si="33"/>
        <v>0</v>
      </c>
    </row>
    <row r="246" spans="1:170">
      <c r="C246" s="757"/>
      <c r="D246" s="757"/>
      <c r="E246" s="758"/>
      <c r="F246" s="758"/>
      <c r="G246" s="758"/>
      <c r="H246" s="1215"/>
      <c r="I246" s="761"/>
      <c r="J246" s="761"/>
      <c r="K246" s="761"/>
      <c r="L246" s="761"/>
      <c r="M246" s="761"/>
      <c r="N246" s="761"/>
      <c r="O246" s="761"/>
      <c r="P246" s="761"/>
      <c r="Q246" s="761"/>
      <c r="R246" s="761"/>
      <c r="S246" s="1216"/>
      <c r="T246" s="1215"/>
      <c r="U246" s="761"/>
      <c r="V246" s="761"/>
      <c r="W246" s="761"/>
      <c r="X246" s="761"/>
      <c r="Y246" s="761"/>
      <c r="Z246" s="761"/>
      <c r="AA246" s="761"/>
      <c r="AB246" s="761"/>
      <c r="AC246" s="761"/>
      <c r="AD246" s="761"/>
      <c r="AE246" s="1216"/>
      <c r="AF246" s="1215"/>
      <c r="AG246" s="761"/>
      <c r="AH246" s="761"/>
      <c r="AI246" s="761"/>
      <c r="AJ246" s="761"/>
      <c r="AK246" s="761"/>
      <c r="AL246" s="761"/>
      <c r="AM246" s="761"/>
      <c r="AN246" s="761"/>
      <c r="AO246" s="761"/>
      <c r="AP246" s="761"/>
      <c r="AQ246" s="1216"/>
      <c r="AR246" s="1215"/>
      <c r="AS246" s="761"/>
      <c r="AT246" s="761"/>
      <c r="AU246" s="761"/>
      <c r="AV246" s="761"/>
      <c r="AW246" s="761"/>
      <c r="AX246" s="761"/>
      <c r="AY246" s="761"/>
      <c r="AZ246" s="761"/>
      <c r="BA246" s="761"/>
      <c r="BB246" s="761"/>
      <c r="BC246" s="1216"/>
      <c r="BD246" s="1215"/>
      <c r="BE246" s="761"/>
      <c r="BF246" s="761"/>
      <c r="BG246" s="761"/>
      <c r="BH246" s="761"/>
      <c r="BI246" s="761"/>
      <c r="BJ246" s="761"/>
      <c r="BK246" s="761"/>
      <c r="BL246" s="761"/>
      <c r="BM246" s="761"/>
      <c r="BN246" s="761"/>
      <c r="BO246" s="1216"/>
      <c r="BP246" s="1215"/>
      <c r="BQ246" s="761"/>
      <c r="BR246" s="761"/>
      <c r="BS246" s="761"/>
      <c r="BT246" s="761"/>
      <c r="BU246" s="761"/>
      <c r="BV246" s="761"/>
      <c r="BW246" s="761"/>
      <c r="BX246" s="761"/>
      <c r="BY246" s="761"/>
      <c r="BZ246" s="761"/>
      <c r="CA246" s="1216"/>
      <c r="CB246" s="747"/>
      <c r="CC246" s="1222">
        <f>$G246*H246*Variables!$B$53</f>
        <v>0</v>
      </c>
      <c r="CD246" s="1223">
        <f>$G246*I246*Variables!$B$53</f>
        <v>0</v>
      </c>
      <c r="CE246" s="1223">
        <f>$G246*J246*Variables!$B$53</f>
        <v>0</v>
      </c>
      <c r="CF246" s="1223">
        <f>$G246*K246*Variables!$B$53</f>
        <v>0</v>
      </c>
      <c r="CG246" s="1223">
        <f>$G246*L246*Variables!$B$53</f>
        <v>0</v>
      </c>
      <c r="CH246" s="1223">
        <f>$G246*M246*Variables!$B$53</f>
        <v>0</v>
      </c>
      <c r="CI246" s="1223">
        <f>$G246*N246*Variables!$B$53</f>
        <v>0</v>
      </c>
      <c r="CJ246" s="1223">
        <f>$G246*O246*Variables!$B$53</f>
        <v>0</v>
      </c>
      <c r="CK246" s="1223">
        <f>$G246*P246*Variables!$B$53</f>
        <v>0</v>
      </c>
      <c r="CL246" s="1223">
        <f>$G246*Q246*Variables!$B$53</f>
        <v>0</v>
      </c>
      <c r="CM246" s="1223">
        <f>$G246*R246*Variables!$B$53</f>
        <v>0</v>
      </c>
      <c r="CN246" s="1225">
        <f>$G246*S246*Variables!$B$53</f>
        <v>0</v>
      </c>
      <c r="CO246" s="1222">
        <f>$G246*T246*Variables!$B$53*HLOOKUP($CO$2,Variables!$B$60:$F$61,2,FALSE)</f>
        <v>0</v>
      </c>
      <c r="CP246" s="1223">
        <f>$G246*U246*Variables!$B$53*HLOOKUP($CO$2,Variables!$B$60:$F$61,2,FALSE)</f>
        <v>0</v>
      </c>
      <c r="CQ246" s="1223">
        <f>$G246*V246*Variables!$B$53*HLOOKUP($CO$2,Variables!$B$60:$F$61,2,FALSE)</f>
        <v>0</v>
      </c>
      <c r="CR246" s="1223">
        <f>$G246*W246*Variables!$B$53*HLOOKUP($CO$2,Variables!$B$60:$F$61,2,FALSE)</f>
        <v>0</v>
      </c>
      <c r="CS246" s="1223">
        <f>$G246*X246*Variables!$B$53*HLOOKUP($CO$2,Variables!$B$60:$F$61,2,FALSE)</f>
        <v>0</v>
      </c>
      <c r="CT246" s="1223">
        <f>$G246*Y246*Variables!$B$53*HLOOKUP($CO$2,Variables!$B$60:$F$61,2,FALSE)</f>
        <v>0</v>
      </c>
      <c r="CU246" s="1223">
        <f>$G246*Z246*Variables!$B$53*HLOOKUP($CO$2,Variables!$B$60:$F$61,2,FALSE)</f>
        <v>0</v>
      </c>
      <c r="CV246" s="1223">
        <f>$G246*AA246*Variables!$B$53*HLOOKUP($CO$2,Variables!$B$60:$F$61,2,FALSE)</f>
        <v>0</v>
      </c>
      <c r="CW246" s="1223">
        <f>$G246*AB246*Variables!$B$53*HLOOKUP($CO$2,Variables!$B$60:$F$61,2,FALSE)</f>
        <v>0</v>
      </c>
      <c r="CX246" s="1223">
        <f>$G246*AC246*Variables!$B$53*HLOOKUP($CO$2,Variables!$B$60:$F$61,2,FALSE)</f>
        <v>0</v>
      </c>
      <c r="CY246" s="1223">
        <f>$G246*AD246*Variables!$B$53*HLOOKUP($CO$2,Variables!$B$60:$F$61,2,FALSE)</f>
        <v>0</v>
      </c>
      <c r="CZ246" s="1225">
        <f>$G246*AE246*Variables!$B$53*HLOOKUP($CO$2,Variables!$B$60:$F$61,2,FALSE)</f>
        <v>0</v>
      </c>
      <c r="DA246" s="1222">
        <f>$G246*AF246*Variables!$B$53*HLOOKUP($DA$2,Variables!$B$60:$F$61,2,FALSE)</f>
        <v>0</v>
      </c>
      <c r="DB246" s="1223">
        <f>$G246*AG246*Variables!$B$53*HLOOKUP($DA$2,Variables!$B$60:$F$61,2,FALSE)</f>
        <v>0</v>
      </c>
      <c r="DC246" s="1223">
        <f>$G246*AH246*Variables!$B$53*HLOOKUP($DA$2,Variables!$B$60:$F$61,2,FALSE)</f>
        <v>0</v>
      </c>
      <c r="DD246" s="1223">
        <f>$G246*AI246*Variables!$B$53*HLOOKUP($DA$2,Variables!$B$60:$F$61,2,FALSE)</f>
        <v>0</v>
      </c>
      <c r="DE246" s="1223">
        <f>$G246*AJ246*Variables!$B$53*HLOOKUP($DA$2,Variables!$B$60:$F$61,2,FALSE)</f>
        <v>0</v>
      </c>
      <c r="DF246" s="1223">
        <f>$G246*AK246*Variables!$B$53*HLOOKUP($DA$2,Variables!$B$60:$F$61,2,FALSE)</f>
        <v>0</v>
      </c>
      <c r="DG246" s="1223">
        <f>$G246*AL246*Variables!$B$53*HLOOKUP($DA$2,Variables!$B$60:$F$61,2,FALSE)</f>
        <v>0</v>
      </c>
      <c r="DH246" s="1223">
        <f>$G246*AM246*Variables!$B$53*HLOOKUP($DA$2,Variables!$B$60:$F$61,2,FALSE)</f>
        <v>0</v>
      </c>
      <c r="DI246" s="1223">
        <f>$G246*AN246*Variables!$B$53*HLOOKUP($DA$2,Variables!$B$60:$F$61,2,FALSE)</f>
        <v>0</v>
      </c>
      <c r="DJ246" s="1223">
        <f>$G246*AO246*Variables!$B$53*HLOOKUP($DA$2,Variables!$B$60:$F$61,2,FALSE)</f>
        <v>0</v>
      </c>
      <c r="DK246" s="1223">
        <f>$G246*AP246*Variables!$B$53*HLOOKUP($DA$2,Variables!$B$60:$F$61,2,FALSE)</f>
        <v>0</v>
      </c>
      <c r="DL246" s="1225">
        <f>$G246*AQ246*Variables!$B$53*HLOOKUP($DA$2,Variables!$B$60:$F$61,2,FALSE)</f>
        <v>0</v>
      </c>
      <c r="DM246" s="1222">
        <f>$G246*AR246*Variables!$B$53*HLOOKUP($DM$2,Variables!$B$60:$F$61,2,FALSE)</f>
        <v>0</v>
      </c>
      <c r="DN246" s="1223">
        <f>$G246*AS246*Variables!$B$53*HLOOKUP($DM$2,Variables!$B$60:$F$61,2,FALSE)</f>
        <v>0</v>
      </c>
      <c r="DO246" s="1223">
        <f>$G246*AT246*Variables!$B$53*HLOOKUP($DM$2,Variables!$B$60:$F$61,2,FALSE)</f>
        <v>0</v>
      </c>
      <c r="DP246" s="1223">
        <f>$G246*AU246*Variables!$B$53*HLOOKUP($DM$2,Variables!$B$60:$F$61,2,FALSE)</f>
        <v>0</v>
      </c>
      <c r="DQ246" s="1223">
        <f>$G246*AV246*Variables!$B$53*HLOOKUP($DM$2,Variables!$B$60:$F$61,2,FALSE)</f>
        <v>0</v>
      </c>
      <c r="DR246" s="1223">
        <f>$G246*AW246*Variables!$B$53*HLOOKUP($DM$2,Variables!$B$60:$F$61,2,FALSE)</f>
        <v>0</v>
      </c>
      <c r="DS246" s="1223">
        <f>$G246*AX246*Variables!$B$53*HLOOKUP($DM$2,Variables!$B$60:$F$61,2,FALSE)</f>
        <v>0</v>
      </c>
      <c r="DT246" s="1223">
        <f>$G246*AY246*Variables!$B$53*HLOOKUP($DM$2,Variables!$B$60:$F$61,2,FALSE)</f>
        <v>0</v>
      </c>
      <c r="DU246" s="1223">
        <f>$G246*AZ246*Variables!$B$53*HLOOKUP($DM$2,Variables!$B$60:$F$61,2,FALSE)</f>
        <v>0</v>
      </c>
      <c r="DV246" s="1223">
        <f>$G246*BA246*Variables!$B$53*HLOOKUP($DM$2,Variables!$B$60:$F$61,2,FALSE)</f>
        <v>0</v>
      </c>
      <c r="DW246" s="1223">
        <f>$G246*BB246*Variables!$B$53*HLOOKUP($DM$2,Variables!$B$60:$F$61,2,FALSE)</f>
        <v>0</v>
      </c>
      <c r="DX246" s="1225">
        <f>$G246*BC246*Variables!$B$53*HLOOKUP($DM$2,Variables!$B$60:$F$61,2,FALSE)</f>
        <v>0</v>
      </c>
      <c r="DY246" s="1222">
        <f>$G246*BD246*Variables!$B$53*HLOOKUP($DY$2,Variables!$B$60:$F$61,2,FALSE)</f>
        <v>0</v>
      </c>
      <c r="DZ246" s="1223">
        <f>$G246*BE246*Variables!$B$53*HLOOKUP($DY$2,Variables!$B$60:$F$61,2,FALSE)</f>
        <v>0</v>
      </c>
      <c r="EA246" s="1223">
        <f>$G246*BF246*Variables!$B$53*HLOOKUP($DY$2,Variables!$B$60:$F$61,2,FALSE)</f>
        <v>0</v>
      </c>
      <c r="EB246" s="1223">
        <f>$G246*BG246*Variables!$B$53*HLOOKUP($DY$2,Variables!$B$60:$F$61,2,FALSE)</f>
        <v>0</v>
      </c>
      <c r="EC246" s="1223">
        <f>$G246*BH246*Variables!$B$53*HLOOKUP($DY$2,Variables!$B$60:$F$61,2,FALSE)</f>
        <v>0</v>
      </c>
      <c r="ED246" s="1223">
        <f>$G246*BI246*Variables!$B$53*HLOOKUP($DY$2,Variables!$B$60:$F$61,2,FALSE)</f>
        <v>0</v>
      </c>
      <c r="EE246" s="1223">
        <f>$G246*BJ246*Variables!$B$53*HLOOKUP($DY$2,Variables!$B$60:$F$61,2,FALSE)</f>
        <v>0</v>
      </c>
      <c r="EF246" s="1223">
        <f>$G246*BK246*Variables!$B$53*HLOOKUP($DY$2,Variables!$B$60:$F$61,2,FALSE)</f>
        <v>0</v>
      </c>
      <c r="EG246" s="1223">
        <f>$G246*BL246*Variables!$B$53*HLOOKUP($DY$2,Variables!$B$60:$F$61,2,FALSE)</f>
        <v>0</v>
      </c>
      <c r="EH246" s="1223">
        <f>$G246*BM246*Variables!$B$53*HLOOKUP($DY$2,Variables!$B$60:$F$61,2,FALSE)</f>
        <v>0</v>
      </c>
      <c r="EI246" s="1223">
        <f>$G246*BN246*Variables!$B$53*HLOOKUP($DY$2,Variables!$B$60:$F$61,2,FALSE)</f>
        <v>0</v>
      </c>
      <c r="EJ246" s="1225">
        <f>$G246*BO246*Variables!$B$53*HLOOKUP($DY$2,Variables!$B$60:$F$61,2,FALSE)</f>
        <v>0</v>
      </c>
      <c r="EK246" s="1222">
        <f>$G246*BP246*Variables!$B$53*HLOOKUP($EK$2,Variables!$B$60:$F$61,2,FALSE)</f>
        <v>0</v>
      </c>
      <c r="EL246" s="1223">
        <f>$G246*BQ246*Variables!$B$53*HLOOKUP($EK$2,Variables!$B$60:$F$61,2,FALSE)</f>
        <v>0</v>
      </c>
      <c r="EM246" s="1223">
        <f>$G246*BR246*Variables!$B$53*HLOOKUP($EK$2,Variables!$B$60:$F$61,2,FALSE)</f>
        <v>0</v>
      </c>
      <c r="EN246" s="1223">
        <f>$G246*BS246*Variables!$B$53*HLOOKUP($EK$2,Variables!$B$60:$F$61,2,FALSE)</f>
        <v>0</v>
      </c>
      <c r="EO246" s="1223">
        <f>$G246*BT246*Variables!$B$53*HLOOKUP($EK$2,Variables!$B$60:$F$61,2,FALSE)</f>
        <v>0</v>
      </c>
      <c r="EP246" s="1223">
        <f>$G246*BU246*Variables!$B$53*HLOOKUP($EK$2,Variables!$B$60:$F$61,2,FALSE)</f>
        <v>0</v>
      </c>
      <c r="EQ246" s="1223">
        <f>$G246*BV246*Variables!$B$53*HLOOKUP($EK$2,Variables!$B$60:$F$61,2,FALSE)</f>
        <v>0</v>
      </c>
      <c r="ER246" s="1223">
        <f>$G246*BW246*Variables!$B$53*HLOOKUP($EK$2,Variables!$B$60:$F$61,2,FALSE)</f>
        <v>0</v>
      </c>
      <c r="ES246" s="1223">
        <f>$G246*BX246*Variables!$B$53*HLOOKUP($EK$2,Variables!$B$60:$F$61,2,FALSE)</f>
        <v>0</v>
      </c>
      <c r="ET246" s="1223">
        <f>$G246*BY246*Variables!$B$53*HLOOKUP($EK$2,Variables!$B$60:$F$61,2,FALSE)</f>
        <v>0</v>
      </c>
      <c r="EU246" s="1223">
        <f>$G246*BZ246*Variables!$B$53*HLOOKUP($EK$2,Variables!$B$60:$F$61,2,FALSE)</f>
        <v>0</v>
      </c>
      <c r="EV246" s="1225">
        <f>$G246*CA246*Variables!$B$53*HLOOKUP($EK$2,Variables!$B$60:$F$61,2,FALSE)</f>
        <v>0</v>
      </c>
      <c r="EW246" s="872">
        <f t="shared" si="29"/>
        <v>0</v>
      </c>
      <c r="EX246" s="872"/>
      <c r="EY246" s="872"/>
      <c r="EZ246" s="872"/>
      <c r="FA246" s="1332"/>
      <c r="FC246" s="958" t="str">
        <f t="shared" si="30"/>
        <v/>
      </c>
      <c r="FD246" s="959" t="str">
        <f t="shared" si="31"/>
        <v/>
      </c>
      <c r="FE246" s="959" t="s">
        <v>8407</v>
      </c>
      <c r="FF246" s="959" t="str">
        <f>IF(ISNA(VLOOKUP(FC246,Miscellaneous!E:F,2,0)),"",VLOOKUP(FC246,Miscellaneous!E:F,2,0))</f>
        <v/>
      </c>
      <c r="FG246" s="959" t="str">
        <f t="shared" si="32"/>
        <v/>
      </c>
      <c r="FH246" s="996">
        <f>IF($FG246="Opex",SUMIF('Monthly Summary'!$C$75:$N$75,"",CC246:CN246),SUMIF('Monthly Summary'!$C$74:$N$74,"",CC246:CN246))</f>
        <v>0</v>
      </c>
      <c r="FI246" s="996">
        <f>IF($FG246="Opex",SUMIF('Monthly Summary'!$O$75:$Z$75,"",CO246:CZ246),SUMIF('Monthly Summary'!$O$74:$Z$74,"",CO246:CZ246))</f>
        <v>0</v>
      </c>
      <c r="FJ246" s="996">
        <f>IF($FG246="Opex",SUMIF('Monthly Summary'!$AA$75:$AL$75,"",DA246:DL246),SUMIF('Monthly Summary'!$AA$74:$AL$74,"",DA246:DL246))</f>
        <v>0</v>
      </c>
      <c r="FK246" s="996">
        <f>IF($FG246="Opex",SUMIF('Monthly Summary'!$AM$75:$AX$75,"",DM246:DX246),SUMIF('Monthly Summary'!$AM$74:$AX$74,"",DM246:DX246))</f>
        <v>0</v>
      </c>
      <c r="FL246" s="996">
        <f>IF($FG246="Opex",SUMIF('Monthly Summary'!$AY$75:$BJ$75,"",DY246:EJ246),SUMIF('Monthly Summary'!$AY$74:$BJ$74,"",DY246:EJ246))</f>
        <v>0</v>
      </c>
      <c r="FM246" s="997">
        <f>IF($FG246="Opex",SUMIF('Monthly Summary'!$BK$75:$BV$75,"",EK246:EV246),SUMIF('Monthly Summary'!$BK$74:$BV$74,"",EK246:EV246))</f>
        <v>0</v>
      </c>
      <c r="FN246" s="997">
        <f t="shared" si="33"/>
        <v>0</v>
      </c>
    </row>
    <row r="247" spans="1:170">
      <c r="C247" s="757"/>
      <c r="D247" s="757"/>
      <c r="E247" s="758"/>
      <c r="F247" s="758"/>
      <c r="G247" s="758"/>
      <c r="H247" s="1215"/>
      <c r="I247" s="761"/>
      <c r="J247" s="761"/>
      <c r="K247" s="761"/>
      <c r="L247" s="761"/>
      <c r="M247" s="761"/>
      <c r="N247" s="761"/>
      <c r="O247" s="761"/>
      <c r="P247" s="761"/>
      <c r="Q247" s="761"/>
      <c r="R247" s="761"/>
      <c r="S247" s="1216"/>
      <c r="T247" s="1215"/>
      <c r="U247" s="761"/>
      <c r="V247" s="761"/>
      <c r="W247" s="761"/>
      <c r="X247" s="761"/>
      <c r="Y247" s="761"/>
      <c r="Z247" s="761"/>
      <c r="AA247" s="761"/>
      <c r="AB247" s="761"/>
      <c r="AC247" s="761"/>
      <c r="AD247" s="761"/>
      <c r="AE247" s="1216"/>
      <c r="AF247" s="1215"/>
      <c r="AG247" s="761"/>
      <c r="AH247" s="761"/>
      <c r="AI247" s="761"/>
      <c r="AJ247" s="761"/>
      <c r="AK247" s="761"/>
      <c r="AL247" s="761"/>
      <c r="AM247" s="761"/>
      <c r="AN247" s="761"/>
      <c r="AO247" s="761"/>
      <c r="AP247" s="761"/>
      <c r="AQ247" s="1216"/>
      <c r="AR247" s="1215"/>
      <c r="AS247" s="761"/>
      <c r="AT247" s="761"/>
      <c r="AU247" s="761"/>
      <c r="AV247" s="761"/>
      <c r="AW247" s="761"/>
      <c r="AX247" s="761"/>
      <c r="AY247" s="761"/>
      <c r="AZ247" s="761"/>
      <c r="BA247" s="761"/>
      <c r="BB247" s="761"/>
      <c r="BC247" s="1216"/>
      <c r="BD247" s="1215"/>
      <c r="BE247" s="761"/>
      <c r="BF247" s="761"/>
      <c r="BG247" s="761"/>
      <c r="BH247" s="761"/>
      <c r="BI247" s="761"/>
      <c r="BJ247" s="761"/>
      <c r="BK247" s="761"/>
      <c r="BL247" s="761"/>
      <c r="BM247" s="761"/>
      <c r="BN247" s="761"/>
      <c r="BO247" s="1216"/>
      <c r="BP247" s="1215"/>
      <c r="BQ247" s="761"/>
      <c r="BR247" s="761"/>
      <c r="BS247" s="761"/>
      <c r="BT247" s="761"/>
      <c r="BU247" s="761"/>
      <c r="BV247" s="761"/>
      <c r="BW247" s="761"/>
      <c r="BX247" s="761"/>
      <c r="BY247" s="761"/>
      <c r="BZ247" s="761"/>
      <c r="CA247" s="1216"/>
      <c r="CB247" s="747"/>
      <c r="CC247" s="1222">
        <f>$G247*H247*Variables!$B$53</f>
        <v>0</v>
      </c>
      <c r="CD247" s="1223">
        <f>$G247*I247*Variables!$B$53</f>
        <v>0</v>
      </c>
      <c r="CE247" s="1223">
        <f>$G247*J247*Variables!$B$53</f>
        <v>0</v>
      </c>
      <c r="CF247" s="1223">
        <f>$G247*K247*Variables!$B$53</f>
        <v>0</v>
      </c>
      <c r="CG247" s="1223">
        <f>$G247*L247*Variables!$B$53</f>
        <v>0</v>
      </c>
      <c r="CH247" s="1223">
        <f>$G247*M247*Variables!$B$53</f>
        <v>0</v>
      </c>
      <c r="CI247" s="1223">
        <f>$G247*N247*Variables!$B$53</f>
        <v>0</v>
      </c>
      <c r="CJ247" s="1223">
        <f>$G247*O247*Variables!$B$53</f>
        <v>0</v>
      </c>
      <c r="CK247" s="1223">
        <f>$G247*P247*Variables!$B$53</f>
        <v>0</v>
      </c>
      <c r="CL247" s="1223">
        <f>$G247*Q247*Variables!$B$53</f>
        <v>0</v>
      </c>
      <c r="CM247" s="1223">
        <f>$G247*R247*Variables!$B$53</f>
        <v>0</v>
      </c>
      <c r="CN247" s="1225">
        <f>$G247*S247*Variables!$B$53</f>
        <v>0</v>
      </c>
      <c r="CO247" s="1222">
        <f>$G247*T247*Variables!$B$53*HLOOKUP($CO$2,Variables!$B$60:$F$61,2,FALSE)</f>
        <v>0</v>
      </c>
      <c r="CP247" s="1223">
        <f>$G247*U247*Variables!$B$53*HLOOKUP($CO$2,Variables!$B$60:$F$61,2,FALSE)</f>
        <v>0</v>
      </c>
      <c r="CQ247" s="1223">
        <f>$G247*V247*Variables!$B$53*HLOOKUP($CO$2,Variables!$B$60:$F$61,2,FALSE)</f>
        <v>0</v>
      </c>
      <c r="CR247" s="1223">
        <f>$G247*W247*Variables!$B$53*HLOOKUP($CO$2,Variables!$B$60:$F$61,2,FALSE)</f>
        <v>0</v>
      </c>
      <c r="CS247" s="1223">
        <f>$G247*X247*Variables!$B$53*HLOOKUP($CO$2,Variables!$B$60:$F$61,2,FALSE)</f>
        <v>0</v>
      </c>
      <c r="CT247" s="1223">
        <f>$G247*Y247*Variables!$B$53*HLOOKUP($CO$2,Variables!$B$60:$F$61,2,FALSE)</f>
        <v>0</v>
      </c>
      <c r="CU247" s="1223">
        <f>$G247*Z247*Variables!$B$53*HLOOKUP($CO$2,Variables!$B$60:$F$61,2,FALSE)</f>
        <v>0</v>
      </c>
      <c r="CV247" s="1223">
        <f>$G247*AA247*Variables!$B$53*HLOOKUP($CO$2,Variables!$B$60:$F$61,2,FALSE)</f>
        <v>0</v>
      </c>
      <c r="CW247" s="1223">
        <f>$G247*AB247*Variables!$B$53*HLOOKUP($CO$2,Variables!$B$60:$F$61,2,FALSE)</f>
        <v>0</v>
      </c>
      <c r="CX247" s="1223">
        <f>$G247*AC247*Variables!$B$53*HLOOKUP($CO$2,Variables!$B$60:$F$61,2,FALSE)</f>
        <v>0</v>
      </c>
      <c r="CY247" s="1223">
        <f>$G247*AD247*Variables!$B$53*HLOOKUP($CO$2,Variables!$B$60:$F$61,2,FALSE)</f>
        <v>0</v>
      </c>
      <c r="CZ247" s="1225">
        <f>$G247*AE247*Variables!$B$53*HLOOKUP($CO$2,Variables!$B$60:$F$61,2,FALSE)</f>
        <v>0</v>
      </c>
      <c r="DA247" s="1222">
        <f>$G247*AF247*Variables!$B$53*HLOOKUP($DA$2,Variables!$B$60:$F$61,2,FALSE)</f>
        <v>0</v>
      </c>
      <c r="DB247" s="1223">
        <f>$G247*AG247*Variables!$B$53*HLOOKUP($DA$2,Variables!$B$60:$F$61,2,FALSE)</f>
        <v>0</v>
      </c>
      <c r="DC247" s="1223">
        <f>$G247*AH247*Variables!$B$53*HLOOKUP($DA$2,Variables!$B$60:$F$61,2,FALSE)</f>
        <v>0</v>
      </c>
      <c r="DD247" s="1223">
        <f>$G247*AI247*Variables!$B$53*HLOOKUP($DA$2,Variables!$B$60:$F$61,2,FALSE)</f>
        <v>0</v>
      </c>
      <c r="DE247" s="1223">
        <f>$G247*AJ247*Variables!$B$53*HLOOKUP($DA$2,Variables!$B$60:$F$61,2,FALSE)</f>
        <v>0</v>
      </c>
      <c r="DF247" s="1223">
        <f>$G247*AK247*Variables!$B$53*HLOOKUP($DA$2,Variables!$B$60:$F$61,2,FALSE)</f>
        <v>0</v>
      </c>
      <c r="DG247" s="1223">
        <f>$G247*AL247*Variables!$B$53*HLOOKUP($DA$2,Variables!$B$60:$F$61,2,FALSE)</f>
        <v>0</v>
      </c>
      <c r="DH247" s="1223">
        <f>$G247*AM247*Variables!$B$53*HLOOKUP($DA$2,Variables!$B$60:$F$61,2,FALSE)</f>
        <v>0</v>
      </c>
      <c r="DI247" s="1223">
        <f>$G247*AN247*Variables!$B$53*HLOOKUP($DA$2,Variables!$B$60:$F$61,2,FALSE)</f>
        <v>0</v>
      </c>
      <c r="DJ247" s="1223">
        <f>$G247*AO247*Variables!$B$53*HLOOKUP($DA$2,Variables!$B$60:$F$61,2,FALSE)</f>
        <v>0</v>
      </c>
      <c r="DK247" s="1223">
        <f>$G247*AP247*Variables!$B$53*HLOOKUP($DA$2,Variables!$B$60:$F$61,2,FALSE)</f>
        <v>0</v>
      </c>
      <c r="DL247" s="1225">
        <f>$G247*AQ247*Variables!$B$53*HLOOKUP($DA$2,Variables!$B$60:$F$61,2,FALSE)</f>
        <v>0</v>
      </c>
      <c r="DM247" s="1222">
        <f>$G247*AR247*Variables!$B$53*HLOOKUP($DM$2,Variables!$B$60:$F$61,2,FALSE)</f>
        <v>0</v>
      </c>
      <c r="DN247" s="1223">
        <f>$G247*AS247*Variables!$B$53*HLOOKUP($DM$2,Variables!$B$60:$F$61,2,FALSE)</f>
        <v>0</v>
      </c>
      <c r="DO247" s="1223">
        <f>$G247*AT247*Variables!$B$53*HLOOKUP($DM$2,Variables!$B$60:$F$61,2,FALSE)</f>
        <v>0</v>
      </c>
      <c r="DP247" s="1223">
        <f>$G247*AU247*Variables!$B$53*HLOOKUP($DM$2,Variables!$B$60:$F$61,2,FALSE)</f>
        <v>0</v>
      </c>
      <c r="DQ247" s="1223">
        <f>$G247*AV247*Variables!$B$53*HLOOKUP($DM$2,Variables!$B$60:$F$61,2,FALSE)</f>
        <v>0</v>
      </c>
      <c r="DR247" s="1223">
        <f>$G247*AW247*Variables!$B$53*HLOOKUP($DM$2,Variables!$B$60:$F$61,2,FALSE)</f>
        <v>0</v>
      </c>
      <c r="DS247" s="1223">
        <f>$G247*AX247*Variables!$B$53*HLOOKUP($DM$2,Variables!$B$60:$F$61,2,FALSE)</f>
        <v>0</v>
      </c>
      <c r="DT247" s="1223">
        <f>$G247*AY247*Variables!$B$53*HLOOKUP($DM$2,Variables!$B$60:$F$61,2,FALSE)</f>
        <v>0</v>
      </c>
      <c r="DU247" s="1223">
        <f>$G247*AZ247*Variables!$B$53*HLOOKUP($DM$2,Variables!$B$60:$F$61,2,FALSE)</f>
        <v>0</v>
      </c>
      <c r="DV247" s="1223">
        <f>$G247*BA247*Variables!$B$53*HLOOKUP($DM$2,Variables!$B$60:$F$61,2,FALSE)</f>
        <v>0</v>
      </c>
      <c r="DW247" s="1223">
        <f>$G247*BB247*Variables!$B$53*HLOOKUP($DM$2,Variables!$B$60:$F$61,2,FALSE)</f>
        <v>0</v>
      </c>
      <c r="DX247" s="1225">
        <f>$G247*BC247*Variables!$B$53*HLOOKUP($DM$2,Variables!$B$60:$F$61,2,FALSE)</f>
        <v>0</v>
      </c>
      <c r="DY247" s="1222">
        <f>$G247*BD247*Variables!$B$53*HLOOKUP($DY$2,Variables!$B$60:$F$61,2,FALSE)</f>
        <v>0</v>
      </c>
      <c r="DZ247" s="1223">
        <f>$G247*BE247*Variables!$B$53*HLOOKUP($DY$2,Variables!$B$60:$F$61,2,FALSE)</f>
        <v>0</v>
      </c>
      <c r="EA247" s="1223">
        <f>$G247*BF247*Variables!$B$53*HLOOKUP($DY$2,Variables!$B$60:$F$61,2,FALSE)</f>
        <v>0</v>
      </c>
      <c r="EB247" s="1223">
        <f>$G247*BG247*Variables!$B$53*HLOOKUP($DY$2,Variables!$B$60:$F$61,2,FALSE)</f>
        <v>0</v>
      </c>
      <c r="EC247" s="1223">
        <f>$G247*BH247*Variables!$B$53*HLOOKUP($DY$2,Variables!$B$60:$F$61,2,FALSE)</f>
        <v>0</v>
      </c>
      <c r="ED247" s="1223">
        <f>$G247*BI247*Variables!$B$53*HLOOKUP($DY$2,Variables!$B$60:$F$61,2,FALSE)</f>
        <v>0</v>
      </c>
      <c r="EE247" s="1223">
        <f>$G247*BJ247*Variables!$B$53*HLOOKUP($DY$2,Variables!$B$60:$F$61,2,FALSE)</f>
        <v>0</v>
      </c>
      <c r="EF247" s="1223">
        <f>$G247*BK247*Variables!$B$53*HLOOKUP($DY$2,Variables!$B$60:$F$61,2,FALSE)</f>
        <v>0</v>
      </c>
      <c r="EG247" s="1223">
        <f>$G247*BL247*Variables!$B$53*HLOOKUP($DY$2,Variables!$B$60:$F$61,2,FALSE)</f>
        <v>0</v>
      </c>
      <c r="EH247" s="1223">
        <f>$G247*BM247*Variables!$B$53*HLOOKUP($DY$2,Variables!$B$60:$F$61,2,FALSE)</f>
        <v>0</v>
      </c>
      <c r="EI247" s="1223">
        <f>$G247*BN247*Variables!$B$53*HLOOKUP($DY$2,Variables!$B$60:$F$61,2,FALSE)</f>
        <v>0</v>
      </c>
      <c r="EJ247" s="1225">
        <f>$G247*BO247*Variables!$B$53*HLOOKUP($DY$2,Variables!$B$60:$F$61,2,FALSE)</f>
        <v>0</v>
      </c>
      <c r="EK247" s="1222">
        <f>$G247*BP247*Variables!$B$53*HLOOKUP($EK$2,Variables!$B$60:$F$61,2,FALSE)</f>
        <v>0</v>
      </c>
      <c r="EL247" s="1223">
        <f>$G247*BQ247*Variables!$B$53*HLOOKUP($EK$2,Variables!$B$60:$F$61,2,FALSE)</f>
        <v>0</v>
      </c>
      <c r="EM247" s="1223">
        <f>$G247*BR247*Variables!$B$53*HLOOKUP($EK$2,Variables!$B$60:$F$61,2,FALSE)</f>
        <v>0</v>
      </c>
      <c r="EN247" s="1223">
        <f>$G247*BS247*Variables!$B$53*HLOOKUP($EK$2,Variables!$B$60:$F$61,2,FALSE)</f>
        <v>0</v>
      </c>
      <c r="EO247" s="1223">
        <f>$G247*BT247*Variables!$B$53*HLOOKUP($EK$2,Variables!$B$60:$F$61,2,FALSE)</f>
        <v>0</v>
      </c>
      <c r="EP247" s="1223">
        <f>$G247*BU247*Variables!$B$53*HLOOKUP($EK$2,Variables!$B$60:$F$61,2,FALSE)</f>
        <v>0</v>
      </c>
      <c r="EQ247" s="1223">
        <f>$G247*BV247*Variables!$B$53*HLOOKUP($EK$2,Variables!$B$60:$F$61,2,FALSE)</f>
        <v>0</v>
      </c>
      <c r="ER247" s="1223">
        <f>$G247*BW247*Variables!$B$53*HLOOKUP($EK$2,Variables!$B$60:$F$61,2,FALSE)</f>
        <v>0</v>
      </c>
      <c r="ES247" s="1223">
        <f>$G247*BX247*Variables!$B$53*HLOOKUP($EK$2,Variables!$B$60:$F$61,2,FALSE)</f>
        <v>0</v>
      </c>
      <c r="ET247" s="1223">
        <f>$G247*BY247*Variables!$B$53*HLOOKUP($EK$2,Variables!$B$60:$F$61,2,FALSE)</f>
        <v>0</v>
      </c>
      <c r="EU247" s="1223">
        <f>$G247*BZ247*Variables!$B$53*HLOOKUP($EK$2,Variables!$B$60:$F$61,2,FALSE)</f>
        <v>0</v>
      </c>
      <c r="EV247" s="1225">
        <f>$G247*CA247*Variables!$B$53*HLOOKUP($EK$2,Variables!$B$60:$F$61,2,FALSE)</f>
        <v>0</v>
      </c>
      <c r="EW247" s="872">
        <f t="shared" si="29"/>
        <v>0</v>
      </c>
      <c r="EX247" s="872"/>
      <c r="EY247" s="872"/>
      <c r="EZ247" s="872"/>
      <c r="FA247" s="1332"/>
      <c r="FC247" s="958" t="str">
        <f t="shared" si="30"/>
        <v/>
      </c>
      <c r="FD247" s="959" t="str">
        <f t="shared" si="31"/>
        <v/>
      </c>
      <c r="FE247" s="959" t="s">
        <v>8407</v>
      </c>
      <c r="FF247" s="959" t="str">
        <f>IF(ISNA(VLOOKUP(FC247,Miscellaneous!E:F,2,0)),"",VLOOKUP(FC247,Miscellaneous!E:F,2,0))</f>
        <v/>
      </c>
      <c r="FG247" s="959" t="str">
        <f t="shared" si="32"/>
        <v/>
      </c>
      <c r="FH247" s="996">
        <f>IF($FG247="Opex",SUMIF('Monthly Summary'!$C$75:$N$75,"",CC247:CN247),SUMIF('Monthly Summary'!$C$74:$N$74,"",CC247:CN247))</f>
        <v>0</v>
      </c>
      <c r="FI247" s="996">
        <f>IF($FG247="Opex",SUMIF('Monthly Summary'!$O$75:$Z$75,"",CO247:CZ247),SUMIF('Monthly Summary'!$O$74:$Z$74,"",CO247:CZ247))</f>
        <v>0</v>
      </c>
      <c r="FJ247" s="996">
        <f>IF($FG247="Opex",SUMIF('Monthly Summary'!$AA$75:$AL$75,"",DA247:DL247),SUMIF('Monthly Summary'!$AA$74:$AL$74,"",DA247:DL247))</f>
        <v>0</v>
      </c>
      <c r="FK247" s="996">
        <f>IF($FG247="Opex",SUMIF('Monthly Summary'!$AM$75:$AX$75,"",DM247:DX247),SUMIF('Monthly Summary'!$AM$74:$AX$74,"",DM247:DX247))</f>
        <v>0</v>
      </c>
      <c r="FL247" s="996">
        <f>IF($FG247="Opex",SUMIF('Monthly Summary'!$AY$75:$BJ$75,"",DY247:EJ247),SUMIF('Monthly Summary'!$AY$74:$BJ$74,"",DY247:EJ247))</f>
        <v>0</v>
      </c>
      <c r="FM247" s="997">
        <f>IF($FG247="Opex",SUMIF('Monthly Summary'!$BK$75:$BV$75,"",EK247:EV247),SUMIF('Monthly Summary'!$BK$74:$BV$74,"",EK247:EV247))</f>
        <v>0</v>
      </c>
      <c r="FN247" s="997">
        <f t="shared" si="33"/>
        <v>0</v>
      </c>
    </row>
    <row r="248" spans="1:170">
      <c r="C248" s="757"/>
      <c r="D248" s="757"/>
      <c r="E248" s="758"/>
      <c r="F248" s="758"/>
      <c r="G248" s="758"/>
      <c r="H248" s="1215"/>
      <c r="I248" s="761"/>
      <c r="J248" s="761"/>
      <c r="K248" s="761"/>
      <c r="L248" s="761"/>
      <c r="M248" s="761"/>
      <c r="N248" s="761"/>
      <c r="O248" s="761"/>
      <c r="P248" s="761"/>
      <c r="Q248" s="761"/>
      <c r="R248" s="761"/>
      <c r="S248" s="1216"/>
      <c r="T248" s="1215"/>
      <c r="U248" s="761"/>
      <c r="V248" s="761"/>
      <c r="W248" s="761"/>
      <c r="X248" s="761"/>
      <c r="Y248" s="761"/>
      <c r="Z248" s="761"/>
      <c r="AA248" s="761"/>
      <c r="AB248" s="761"/>
      <c r="AC248" s="761"/>
      <c r="AD248" s="761"/>
      <c r="AE248" s="1216"/>
      <c r="AF248" s="1215"/>
      <c r="AG248" s="761"/>
      <c r="AH248" s="761"/>
      <c r="AI248" s="761"/>
      <c r="AJ248" s="761"/>
      <c r="AK248" s="761"/>
      <c r="AL248" s="761"/>
      <c r="AM248" s="761"/>
      <c r="AN248" s="761"/>
      <c r="AO248" s="761"/>
      <c r="AP248" s="761"/>
      <c r="AQ248" s="1216"/>
      <c r="AR248" s="1215"/>
      <c r="AS248" s="761"/>
      <c r="AT248" s="761"/>
      <c r="AU248" s="761"/>
      <c r="AV248" s="761"/>
      <c r="AW248" s="761"/>
      <c r="AX248" s="761"/>
      <c r="AY248" s="761"/>
      <c r="AZ248" s="761"/>
      <c r="BA248" s="761"/>
      <c r="BB248" s="761"/>
      <c r="BC248" s="1216"/>
      <c r="BD248" s="1215"/>
      <c r="BE248" s="761"/>
      <c r="BF248" s="761"/>
      <c r="BG248" s="761"/>
      <c r="BH248" s="761"/>
      <c r="BI248" s="761"/>
      <c r="BJ248" s="761"/>
      <c r="BK248" s="761"/>
      <c r="BL248" s="761"/>
      <c r="BM248" s="761"/>
      <c r="BN248" s="761"/>
      <c r="BO248" s="1216"/>
      <c r="BP248" s="1215"/>
      <c r="BQ248" s="761"/>
      <c r="BR248" s="761"/>
      <c r="BS248" s="761"/>
      <c r="BT248" s="761"/>
      <c r="BU248" s="761"/>
      <c r="BV248" s="761"/>
      <c r="BW248" s="761"/>
      <c r="BX248" s="761"/>
      <c r="BY248" s="761"/>
      <c r="BZ248" s="761"/>
      <c r="CA248" s="1216"/>
      <c r="CB248" s="747"/>
      <c r="CC248" s="1222">
        <f>$G248*H248*Variables!$B$53</f>
        <v>0</v>
      </c>
      <c r="CD248" s="1223">
        <f>$G248*I248*Variables!$B$53</f>
        <v>0</v>
      </c>
      <c r="CE248" s="1223">
        <f>$G248*J248*Variables!$B$53</f>
        <v>0</v>
      </c>
      <c r="CF248" s="1223">
        <f>$G248*K248*Variables!$B$53</f>
        <v>0</v>
      </c>
      <c r="CG248" s="1223">
        <f>$G248*L248*Variables!$B$53</f>
        <v>0</v>
      </c>
      <c r="CH248" s="1223">
        <f>$G248*M248*Variables!$B$53</f>
        <v>0</v>
      </c>
      <c r="CI248" s="1223">
        <f>$G248*N248*Variables!$B$53</f>
        <v>0</v>
      </c>
      <c r="CJ248" s="1223">
        <f>$G248*O248*Variables!$B$53</f>
        <v>0</v>
      </c>
      <c r="CK248" s="1223">
        <f>$G248*P248*Variables!$B$53</f>
        <v>0</v>
      </c>
      <c r="CL248" s="1223">
        <f>$G248*Q248*Variables!$B$53</f>
        <v>0</v>
      </c>
      <c r="CM248" s="1223">
        <f>$G248*R248*Variables!$B$53</f>
        <v>0</v>
      </c>
      <c r="CN248" s="1225">
        <f>$G248*S248*Variables!$B$53</f>
        <v>0</v>
      </c>
      <c r="CO248" s="1222">
        <f>$G248*T248*Variables!$B$53*HLOOKUP($CO$2,Variables!$B$60:$F$61,2,FALSE)</f>
        <v>0</v>
      </c>
      <c r="CP248" s="1223">
        <f>$G248*U248*Variables!$B$53*HLOOKUP($CO$2,Variables!$B$60:$F$61,2,FALSE)</f>
        <v>0</v>
      </c>
      <c r="CQ248" s="1223">
        <f>$G248*V248*Variables!$B$53*HLOOKUP($CO$2,Variables!$B$60:$F$61,2,FALSE)</f>
        <v>0</v>
      </c>
      <c r="CR248" s="1223">
        <f>$G248*W248*Variables!$B$53*HLOOKUP($CO$2,Variables!$B$60:$F$61,2,FALSE)</f>
        <v>0</v>
      </c>
      <c r="CS248" s="1223">
        <f>$G248*X248*Variables!$B$53*HLOOKUP($CO$2,Variables!$B$60:$F$61,2,FALSE)</f>
        <v>0</v>
      </c>
      <c r="CT248" s="1223">
        <f>$G248*Y248*Variables!$B$53*HLOOKUP($CO$2,Variables!$B$60:$F$61,2,FALSE)</f>
        <v>0</v>
      </c>
      <c r="CU248" s="1223">
        <f>$G248*Z248*Variables!$B$53*HLOOKUP($CO$2,Variables!$B$60:$F$61,2,FALSE)</f>
        <v>0</v>
      </c>
      <c r="CV248" s="1223">
        <f>$G248*AA248*Variables!$B$53*HLOOKUP($CO$2,Variables!$B$60:$F$61,2,FALSE)</f>
        <v>0</v>
      </c>
      <c r="CW248" s="1223">
        <f>$G248*AB248*Variables!$B$53*HLOOKUP($CO$2,Variables!$B$60:$F$61,2,FALSE)</f>
        <v>0</v>
      </c>
      <c r="CX248" s="1223">
        <f>$G248*AC248*Variables!$B$53*HLOOKUP($CO$2,Variables!$B$60:$F$61,2,FALSE)</f>
        <v>0</v>
      </c>
      <c r="CY248" s="1223">
        <f>$G248*AD248*Variables!$B$53*HLOOKUP($CO$2,Variables!$B$60:$F$61,2,FALSE)</f>
        <v>0</v>
      </c>
      <c r="CZ248" s="1225">
        <f>$G248*AE248*Variables!$B$53*HLOOKUP($CO$2,Variables!$B$60:$F$61,2,FALSE)</f>
        <v>0</v>
      </c>
      <c r="DA248" s="1222">
        <f>$G248*AF248*Variables!$B$53*HLOOKUP($DA$2,Variables!$B$60:$F$61,2,FALSE)</f>
        <v>0</v>
      </c>
      <c r="DB248" s="1223">
        <f>$G248*AG248*Variables!$B$53*HLOOKUP($DA$2,Variables!$B$60:$F$61,2,FALSE)</f>
        <v>0</v>
      </c>
      <c r="DC248" s="1223">
        <f>$G248*AH248*Variables!$B$53*HLOOKUP($DA$2,Variables!$B$60:$F$61,2,FALSE)</f>
        <v>0</v>
      </c>
      <c r="DD248" s="1223">
        <f>$G248*AI248*Variables!$B$53*HLOOKUP($DA$2,Variables!$B$60:$F$61,2,FALSE)</f>
        <v>0</v>
      </c>
      <c r="DE248" s="1223">
        <f>$G248*AJ248*Variables!$B$53*HLOOKUP($DA$2,Variables!$B$60:$F$61,2,FALSE)</f>
        <v>0</v>
      </c>
      <c r="DF248" s="1223">
        <f>$G248*AK248*Variables!$B$53*HLOOKUP($DA$2,Variables!$B$60:$F$61,2,FALSE)</f>
        <v>0</v>
      </c>
      <c r="DG248" s="1223">
        <f>$G248*AL248*Variables!$B$53*HLOOKUP($DA$2,Variables!$B$60:$F$61,2,FALSE)</f>
        <v>0</v>
      </c>
      <c r="DH248" s="1223">
        <f>$G248*AM248*Variables!$B$53*HLOOKUP($DA$2,Variables!$B$60:$F$61,2,FALSE)</f>
        <v>0</v>
      </c>
      <c r="DI248" s="1223">
        <f>$G248*AN248*Variables!$B$53*HLOOKUP($DA$2,Variables!$B$60:$F$61,2,FALSE)</f>
        <v>0</v>
      </c>
      <c r="DJ248" s="1223">
        <f>$G248*AO248*Variables!$B$53*HLOOKUP($DA$2,Variables!$B$60:$F$61,2,FALSE)</f>
        <v>0</v>
      </c>
      <c r="DK248" s="1223">
        <f>$G248*AP248*Variables!$B$53*HLOOKUP($DA$2,Variables!$B$60:$F$61,2,FALSE)</f>
        <v>0</v>
      </c>
      <c r="DL248" s="1225">
        <f>$G248*AQ248*Variables!$B$53*HLOOKUP($DA$2,Variables!$B$60:$F$61,2,FALSE)</f>
        <v>0</v>
      </c>
      <c r="DM248" s="1222">
        <f>$G248*AR248*Variables!$B$53*HLOOKUP($DM$2,Variables!$B$60:$F$61,2,FALSE)</f>
        <v>0</v>
      </c>
      <c r="DN248" s="1223">
        <f>$G248*AS248*Variables!$B$53*HLOOKUP($DM$2,Variables!$B$60:$F$61,2,FALSE)</f>
        <v>0</v>
      </c>
      <c r="DO248" s="1223">
        <f>$G248*AT248*Variables!$B$53*HLOOKUP($DM$2,Variables!$B$60:$F$61,2,FALSE)</f>
        <v>0</v>
      </c>
      <c r="DP248" s="1223">
        <f>$G248*AU248*Variables!$B$53*HLOOKUP($DM$2,Variables!$B$60:$F$61,2,FALSE)</f>
        <v>0</v>
      </c>
      <c r="DQ248" s="1223">
        <f>$G248*AV248*Variables!$B$53*HLOOKUP($DM$2,Variables!$B$60:$F$61,2,FALSE)</f>
        <v>0</v>
      </c>
      <c r="DR248" s="1223">
        <f>$G248*AW248*Variables!$B$53*HLOOKUP($DM$2,Variables!$B$60:$F$61,2,FALSE)</f>
        <v>0</v>
      </c>
      <c r="DS248" s="1223">
        <f>$G248*AX248*Variables!$B$53*HLOOKUP($DM$2,Variables!$B$60:$F$61,2,FALSE)</f>
        <v>0</v>
      </c>
      <c r="DT248" s="1223">
        <f>$G248*AY248*Variables!$B$53*HLOOKUP($DM$2,Variables!$B$60:$F$61,2,FALSE)</f>
        <v>0</v>
      </c>
      <c r="DU248" s="1223">
        <f>$G248*AZ248*Variables!$B$53*HLOOKUP($DM$2,Variables!$B$60:$F$61,2,FALSE)</f>
        <v>0</v>
      </c>
      <c r="DV248" s="1223">
        <f>$G248*BA248*Variables!$B$53*HLOOKUP($DM$2,Variables!$B$60:$F$61,2,FALSE)</f>
        <v>0</v>
      </c>
      <c r="DW248" s="1223">
        <f>$G248*BB248*Variables!$B$53*HLOOKUP($DM$2,Variables!$B$60:$F$61,2,FALSE)</f>
        <v>0</v>
      </c>
      <c r="DX248" s="1225">
        <f>$G248*BC248*Variables!$B$53*HLOOKUP($DM$2,Variables!$B$60:$F$61,2,FALSE)</f>
        <v>0</v>
      </c>
      <c r="DY248" s="1222">
        <f>$G248*BD248*Variables!$B$53*HLOOKUP($DY$2,Variables!$B$60:$F$61,2,FALSE)</f>
        <v>0</v>
      </c>
      <c r="DZ248" s="1223">
        <f>$G248*BE248*Variables!$B$53*HLOOKUP($DY$2,Variables!$B$60:$F$61,2,FALSE)</f>
        <v>0</v>
      </c>
      <c r="EA248" s="1223">
        <f>$G248*BF248*Variables!$B$53*HLOOKUP($DY$2,Variables!$B$60:$F$61,2,FALSE)</f>
        <v>0</v>
      </c>
      <c r="EB248" s="1223">
        <f>$G248*BG248*Variables!$B$53*HLOOKUP($DY$2,Variables!$B$60:$F$61,2,FALSE)</f>
        <v>0</v>
      </c>
      <c r="EC248" s="1223">
        <f>$G248*BH248*Variables!$B$53*HLOOKUP($DY$2,Variables!$B$60:$F$61,2,FALSE)</f>
        <v>0</v>
      </c>
      <c r="ED248" s="1223">
        <f>$G248*BI248*Variables!$B$53*HLOOKUP($DY$2,Variables!$B$60:$F$61,2,FALSE)</f>
        <v>0</v>
      </c>
      <c r="EE248" s="1223">
        <f>$G248*BJ248*Variables!$B$53*HLOOKUP($DY$2,Variables!$B$60:$F$61,2,FALSE)</f>
        <v>0</v>
      </c>
      <c r="EF248" s="1223">
        <f>$G248*BK248*Variables!$B$53*HLOOKUP($DY$2,Variables!$B$60:$F$61,2,FALSE)</f>
        <v>0</v>
      </c>
      <c r="EG248" s="1223">
        <f>$G248*BL248*Variables!$B$53*HLOOKUP($DY$2,Variables!$B$60:$F$61,2,FALSE)</f>
        <v>0</v>
      </c>
      <c r="EH248" s="1223">
        <f>$G248*BM248*Variables!$B$53*HLOOKUP($DY$2,Variables!$B$60:$F$61,2,FALSE)</f>
        <v>0</v>
      </c>
      <c r="EI248" s="1223">
        <f>$G248*BN248*Variables!$B$53*HLOOKUP($DY$2,Variables!$B$60:$F$61,2,FALSE)</f>
        <v>0</v>
      </c>
      <c r="EJ248" s="1225">
        <f>$G248*BO248*Variables!$B$53*HLOOKUP($DY$2,Variables!$B$60:$F$61,2,FALSE)</f>
        <v>0</v>
      </c>
      <c r="EK248" s="1222">
        <f>$G248*BP248*Variables!$B$53*HLOOKUP($EK$2,Variables!$B$60:$F$61,2,FALSE)</f>
        <v>0</v>
      </c>
      <c r="EL248" s="1223">
        <f>$G248*BQ248*Variables!$B$53*HLOOKUP($EK$2,Variables!$B$60:$F$61,2,FALSE)</f>
        <v>0</v>
      </c>
      <c r="EM248" s="1223">
        <f>$G248*BR248*Variables!$B$53*HLOOKUP($EK$2,Variables!$B$60:$F$61,2,FALSE)</f>
        <v>0</v>
      </c>
      <c r="EN248" s="1223">
        <f>$G248*BS248*Variables!$B$53*HLOOKUP($EK$2,Variables!$B$60:$F$61,2,FALSE)</f>
        <v>0</v>
      </c>
      <c r="EO248" s="1223">
        <f>$G248*BT248*Variables!$B$53*HLOOKUP($EK$2,Variables!$B$60:$F$61,2,FALSE)</f>
        <v>0</v>
      </c>
      <c r="EP248" s="1223">
        <f>$G248*BU248*Variables!$B$53*HLOOKUP($EK$2,Variables!$B$60:$F$61,2,FALSE)</f>
        <v>0</v>
      </c>
      <c r="EQ248" s="1223">
        <f>$G248*BV248*Variables!$B$53*HLOOKUP($EK$2,Variables!$B$60:$F$61,2,FALSE)</f>
        <v>0</v>
      </c>
      <c r="ER248" s="1223">
        <f>$G248*BW248*Variables!$B$53*HLOOKUP($EK$2,Variables!$B$60:$F$61,2,FALSE)</f>
        <v>0</v>
      </c>
      <c r="ES248" s="1223">
        <f>$G248*BX248*Variables!$B$53*HLOOKUP($EK$2,Variables!$B$60:$F$61,2,FALSE)</f>
        <v>0</v>
      </c>
      <c r="ET248" s="1223">
        <f>$G248*BY248*Variables!$B$53*HLOOKUP($EK$2,Variables!$B$60:$F$61,2,FALSE)</f>
        <v>0</v>
      </c>
      <c r="EU248" s="1223">
        <f>$G248*BZ248*Variables!$B$53*HLOOKUP($EK$2,Variables!$B$60:$F$61,2,FALSE)</f>
        <v>0</v>
      </c>
      <c r="EV248" s="1225">
        <f>$G248*CA248*Variables!$B$53*HLOOKUP($EK$2,Variables!$B$60:$F$61,2,FALSE)</f>
        <v>0</v>
      </c>
      <c r="EW248" s="872">
        <f t="shared" si="29"/>
        <v>0</v>
      </c>
      <c r="EX248" s="872"/>
      <c r="EY248" s="872"/>
      <c r="EZ248" s="872"/>
      <c r="FA248" s="1332"/>
      <c r="FC248" s="958" t="str">
        <f t="shared" si="30"/>
        <v/>
      </c>
      <c r="FD248" s="959" t="str">
        <f t="shared" si="31"/>
        <v/>
      </c>
      <c r="FE248" s="959" t="s">
        <v>8407</v>
      </c>
      <c r="FF248" s="959" t="str">
        <f>IF(ISNA(VLOOKUP(FC248,Miscellaneous!E:F,2,0)),"",VLOOKUP(FC248,Miscellaneous!E:F,2,0))</f>
        <v/>
      </c>
      <c r="FG248" s="959" t="str">
        <f t="shared" si="32"/>
        <v/>
      </c>
      <c r="FH248" s="996">
        <f>IF($FG248="Opex",SUMIF('Monthly Summary'!$C$75:$N$75,"",CC248:CN248),SUMIF('Monthly Summary'!$C$74:$N$74,"",CC248:CN248))</f>
        <v>0</v>
      </c>
      <c r="FI248" s="996">
        <f>IF($FG248="Opex",SUMIF('Monthly Summary'!$O$75:$Z$75,"",CO248:CZ248),SUMIF('Monthly Summary'!$O$74:$Z$74,"",CO248:CZ248))</f>
        <v>0</v>
      </c>
      <c r="FJ248" s="996">
        <f>IF($FG248="Opex",SUMIF('Monthly Summary'!$AA$75:$AL$75,"",DA248:DL248),SUMIF('Monthly Summary'!$AA$74:$AL$74,"",DA248:DL248))</f>
        <v>0</v>
      </c>
      <c r="FK248" s="996">
        <f>IF($FG248="Opex",SUMIF('Monthly Summary'!$AM$75:$AX$75,"",DM248:DX248),SUMIF('Monthly Summary'!$AM$74:$AX$74,"",DM248:DX248))</f>
        <v>0</v>
      </c>
      <c r="FL248" s="996">
        <f>IF($FG248="Opex",SUMIF('Monthly Summary'!$AY$75:$BJ$75,"",DY248:EJ248),SUMIF('Monthly Summary'!$AY$74:$BJ$74,"",DY248:EJ248))</f>
        <v>0</v>
      </c>
      <c r="FM248" s="997">
        <f>IF($FG248="Opex",SUMIF('Monthly Summary'!$BK$75:$BV$75,"",EK248:EV248),SUMIF('Monthly Summary'!$BK$74:$BV$74,"",EK248:EV248))</f>
        <v>0</v>
      </c>
      <c r="FN248" s="997">
        <f t="shared" si="33"/>
        <v>0</v>
      </c>
    </row>
    <row r="249" spans="1:170">
      <c r="C249" s="757"/>
      <c r="D249" s="757"/>
      <c r="E249" s="758"/>
      <c r="F249" s="758"/>
      <c r="G249" s="758"/>
      <c r="H249" s="1215"/>
      <c r="I249" s="761"/>
      <c r="J249" s="761"/>
      <c r="K249" s="761"/>
      <c r="L249" s="761"/>
      <c r="M249" s="761"/>
      <c r="N249" s="761"/>
      <c r="O249" s="761"/>
      <c r="P249" s="761"/>
      <c r="Q249" s="761"/>
      <c r="R249" s="761"/>
      <c r="S249" s="1216"/>
      <c r="T249" s="1215"/>
      <c r="U249" s="761"/>
      <c r="V249" s="761"/>
      <c r="W249" s="761"/>
      <c r="X249" s="761"/>
      <c r="Y249" s="761"/>
      <c r="Z249" s="761"/>
      <c r="AA249" s="761"/>
      <c r="AB249" s="761"/>
      <c r="AC249" s="761"/>
      <c r="AD249" s="761"/>
      <c r="AE249" s="1216"/>
      <c r="AF249" s="1215"/>
      <c r="AG249" s="761"/>
      <c r="AH249" s="761"/>
      <c r="AI249" s="761"/>
      <c r="AJ249" s="761"/>
      <c r="AK249" s="761"/>
      <c r="AL249" s="761"/>
      <c r="AM249" s="761"/>
      <c r="AN249" s="761"/>
      <c r="AO249" s="761"/>
      <c r="AP249" s="761"/>
      <c r="AQ249" s="1216"/>
      <c r="AR249" s="1215"/>
      <c r="AS249" s="761"/>
      <c r="AT249" s="761"/>
      <c r="AU249" s="761"/>
      <c r="AV249" s="761"/>
      <c r="AW249" s="761"/>
      <c r="AX249" s="761"/>
      <c r="AY249" s="761"/>
      <c r="AZ249" s="761"/>
      <c r="BA249" s="761"/>
      <c r="BB249" s="761"/>
      <c r="BC249" s="1216"/>
      <c r="BD249" s="1215"/>
      <c r="BE249" s="761"/>
      <c r="BF249" s="761"/>
      <c r="BG249" s="761"/>
      <c r="BH249" s="761"/>
      <c r="BI249" s="761"/>
      <c r="BJ249" s="761"/>
      <c r="BK249" s="761"/>
      <c r="BL249" s="761"/>
      <c r="BM249" s="761"/>
      <c r="BN249" s="761"/>
      <c r="BO249" s="1216"/>
      <c r="BP249" s="1215"/>
      <c r="BQ249" s="761"/>
      <c r="BR249" s="761"/>
      <c r="BS249" s="761"/>
      <c r="BT249" s="761"/>
      <c r="BU249" s="761"/>
      <c r="BV249" s="761"/>
      <c r="BW249" s="761"/>
      <c r="BX249" s="761"/>
      <c r="BY249" s="761"/>
      <c r="BZ249" s="761"/>
      <c r="CA249" s="1216"/>
      <c r="CB249" s="747"/>
      <c r="CC249" s="1222">
        <f>$G249*H249*Variables!$B$53</f>
        <v>0</v>
      </c>
      <c r="CD249" s="1223">
        <f>$G249*I249*Variables!$B$53</f>
        <v>0</v>
      </c>
      <c r="CE249" s="1223">
        <f>$G249*J249*Variables!$B$53</f>
        <v>0</v>
      </c>
      <c r="CF249" s="1223">
        <f>$G249*K249*Variables!$B$53</f>
        <v>0</v>
      </c>
      <c r="CG249" s="1223">
        <f>$G249*L249*Variables!$B$53</f>
        <v>0</v>
      </c>
      <c r="CH249" s="1223">
        <f>$G249*M249*Variables!$B$53</f>
        <v>0</v>
      </c>
      <c r="CI249" s="1223">
        <f>$G249*N249*Variables!$B$53</f>
        <v>0</v>
      </c>
      <c r="CJ249" s="1223">
        <f>$G249*O249*Variables!$B$53</f>
        <v>0</v>
      </c>
      <c r="CK249" s="1223">
        <f>$G249*P249*Variables!$B$53</f>
        <v>0</v>
      </c>
      <c r="CL249" s="1223">
        <f>$G249*Q249*Variables!$B$53</f>
        <v>0</v>
      </c>
      <c r="CM249" s="1223">
        <f>$G249*R249*Variables!$B$53</f>
        <v>0</v>
      </c>
      <c r="CN249" s="1225">
        <f>$G249*S249*Variables!$B$53</f>
        <v>0</v>
      </c>
      <c r="CO249" s="1222">
        <f>$G249*T249*Variables!$B$53*HLOOKUP($CO$2,Variables!$B$60:$F$61,2,FALSE)</f>
        <v>0</v>
      </c>
      <c r="CP249" s="1223">
        <f>$G249*U249*Variables!$B$53*HLOOKUP($CO$2,Variables!$B$60:$F$61,2,FALSE)</f>
        <v>0</v>
      </c>
      <c r="CQ249" s="1223">
        <f>$G249*V249*Variables!$B$53*HLOOKUP($CO$2,Variables!$B$60:$F$61,2,FALSE)</f>
        <v>0</v>
      </c>
      <c r="CR249" s="1223">
        <f>$G249*W249*Variables!$B$53*HLOOKUP($CO$2,Variables!$B$60:$F$61,2,FALSE)</f>
        <v>0</v>
      </c>
      <c r="CS249" s="1223">
        <f>$G249*X249*Variables!$B$53*HLOOKUP($CO$2,Variables!$B$60:$F$61,2,FALSE)</f>
        <v>0</v>
      </c>
      <c r="CT249" s="1223">
        <f>$G249*Y249*Variables!$B$53*HLOOKUP($CO$2,Variables!$B$60:$F$61,2,FALSE)</f>
        <v>0</v>
      </c>
      <c r="CU249" s="1223">
        <f>$G249*Z249*Variables!$B$53*HLOOKUP($CO$2,Variables!$B$60:$F$61,2,FALSE)</f>
        <v>0</v>
      </c>
      <c r="CV249" s="1223">
        <f>$G249*AA249*Variables!$B$53*HLOOKUP($CO$2,Variables!$B$60:$F$61,2,FALSE)</f>
        <v>0</v>
      </c>
      <c r="CW249" s="1223">
        <f>$G249*AB249*Variables!$B$53*HLOOKUP($CO$2,Variables!$B$60:$F$61,2,FALSE)</f>
        <v>0</v>
      </c>
      <c r="CX249" s="1223">
        <f>$G249*AC249*Variables!$B$53*HLOOKUP($CO$2,Variables!$B$60:$F$61,2,FALSE)</f>
        <v>0</v>
      </c>
      <c r="CY249" s="1223">
        <f>$G249*AD249*Variables!$B$53*HLOOKUP($CO$2,Variables!$B$60:$F$61,2,FALSE)</f>
        <v>0</v>
      </c>
      <c r="CZ249" s="1225">
        <f>$G249*AE249*Variables!$B$53*HLOOKUP($CO$2,Variables!$B$60:$F$61,2,FALSE)</f>
        <v>0</v>
      </c>
      <c r="DA249" s="1222">
        <f>$G249*AF249*Variables!$B$53*HLOOKUP($DA$2,Variables!$B$60:$F$61,2,FALSE)</f>
        <v>0</v>
      </c>
      <c r="DB249" s="1223">
        <f>$G249*AG249*Variables!$B$53*HLOOKUP($DA$2,Variables!$B$60:$F$61,2,FALSE)</f>
        <v>0</v>
      </c>
      <c r="DC249" s="1223">
        <f>$G249*AH249*Variables!$B$53*HLOOKUP($DA$2,Variables!$B$60:$F$61,2,FALSE)</f>
        <v>0</v>
      </c>
      <c r="DD249" s="1223">
        <f>$G249*AI249*Variables!$B$53*HLOOKUP($DA$2,Variables!$B$60:$F$61,2,FALSE)</f>
        <v>0</v>
      </c>
      <c r="DE249" s="1223">
        <f>$G249*AJ249*Variables!$B$53*HLOOKUP($DA$2,Variables!$B$60:$F$61,2,FALSE)</f>
        <v>0</v>
      </c>
      <c r="DF249" s="1223">
        <f>$G249*AK249*Variables!$B$53*HLOOKUP($DA$2,Variables!$B$60:$F$61,2,FALSE)</f>
        <v>0</v>
      </c>
      <c r="DG249" s="1223">
        <f>$G249*AL249*Variables!$B$53*HLOOKUP($DA$2,Variables!$B$60:$F$61,2,FALSE)</f>
        <v>0</v>
      </c>
      <c r="DH249" s="1223">
        <f>$G249*AM249*Variables!$B$53*HLOOKUP($DA$2,Variables!$B$60:$F$61,2,FALSE)</f>
        <v>0</v>
      </c>
      <c r="DI249" s="1223">
        <f>$G249*AN249*Variables!$B$53*HLOOKUP($DA$2,Variables!$B$60:$F$61,2,FALSE)</f>
        <v>0</v>
      </c>
      <c r="DJ249" s="1223">
        <f>$G249*AO249*Variables!$B$53*HLOOKUP($DA$2,Variables!$B$60:$F$61,2,FALSE)</f>
        <v>0</v>
      </c>
      <c r="DK249" s="1223">
        <f>$G249*AP249*Variables!$B$53*HLOOKUP($DA$2,Variables!$B$60:$F$61,2,FALSE)</f>
        <v>0</v>
      </c>
      <c r="DL249" s="1225">
        <f>$G249*AQ249*Variables!$B$53*HLOOKUP($DA$2,Variables!$B$60:$F$61,2,FALSE)</f>
        <v>0</v>
      </c>
      <c r="DM249" s="1222">
        <f>$G249*AR249*Variables!$B$53*HLOOKUP($DM$2,Variables!$B$60:$F$61,2,FALSE)</f>
        <v>0</v>
      </c>
      <c r="DN249" s="1223">
        <f>$G249*AS249*Variables!$B$53*HLOOKUP($DM$2,Variables!$B$60:$F$61,2,FALSE)</f>
        <v>0</v>
      </c>
      <c r="DO249" s="1223">
        <f>$G249*AT249*Variables!$B$53*HLOOKUP($DM$2,Variables!$B$60:$F$61,2,FALSE)</f>
        <v>0</v>
      </c>
      <c r="DP249" s="1223">
        <f>$G249*AU249*Variables!$B$53*HLOOKUP($DM$2,Variables!$B$60:$F$61,2,FALSE)</f>
        <v>0</v>
      </c>
      <c r="DQ249" s="1223">
        <f>$G249*AV249*Variables!$B$53*HLOOKUP($DM$2,Variables!$B$60:$F$61,2,FALSE)</f>
        <v>0</v>
      </c>
      <c r="DR249" s="1223">
        <f>$G249*AW249*Variables!$B$53*HLOOKUP($DM$2,Variables!$B$60:$F$61,2,FALSE)</f>
        <v>0</v>
      </c>
      <c r="DS249" s="1223">
        <f>$G249*AX249*Variables!$B$53*HLOOKUP($DM$2,Variables!$B$60:$F$61,2,FALSE)</f>
        <v>0</v>
      </c>
      <c r="DT249" s="1223">
        <f>$G249*AY249*Variables!$B$53*HLOOKUP($DM$2,Variables!$B$60:$F$61,2,FALSE)</f>
        <v>0</v>
      </c>
      <c r="DU249" s="1223">
        <f>$G249*AZ249*Variables!$B$53*HLOOKUP($DM$2,Variables!$B$60:$F$61,2,FALSE)</f>
        <v>0</v>
      </c>
      <c r="DV249" s="1223">
        <f>$G249*BA249*Variables!$B$53*HLOOKUP($DM$2,Variables!$B$60:$F$61,2,FALSE)</f>
        <v>0</v>
      </c>
      <c r="DW249" s="1223">
        <f>$G249*BB249*Variables!$B$53*HLOOKUP($DM$2,Variables!$B$60:$F$61,2,FALSE)</f>
        <v>0</v>
      </c>
      <c r="DX249" s="1225">
        <f>$G249*BC249*Variables!$B$53*HLOOKUP($DM$2,Variables!$B$60:$F$61,2,FALSE)</f>
        <v>0</v>
      </c>
      <c r="DY249" s="1222">
        <f>$G249*BD249*Variables!$B$53*HLOOKUP($DY$2,Variables!$B$60:$F$61,2,FALSE)</f>
        <v>0</v>
      </c>
      <c r="DZ249" s="1223">
        <f>$G249*BE249*Variables!$B$53*HLOOKUP($DY$2,Variables!$B$60:$F$61,2,FALSE)</f>
        <v>0</v>
      </c>
      <c r="EA249" s="1223">
        <f>$G249*BF249*Variables!$B$53*HLOOKUP($DY$2,Variables!$B$60:$F$61,2,FALSE)</f>
        <v>0</v>
      </c>
      <c r="EB249" s="1223">
        <f>$G249*BG249*Variables!$B$53*HLOOKUP($DY$2,Variables!$B$60:$F$61,2,FALSE)</f>
        <v>0</v>
      </c>
      <c r="EC249" s="1223">
        <f>$G249*BH249*Variables!$B$53*HLOOKUP($DY$2,Variables!$B$60:$F$61,2,FALSE)</f>
        <v>0</v>
      </c>
      <c r="ED249" s="1223">
        <f>$G249*BI249*Variables!$B$53*HLOOKUP($DY$2,Variables!$B$60:$F$61,2,FALSE)</f>
        <v>0</v>
      </c>
      <c r="EE249" s="1223">
        <f>$G249*BJ249*Variables!$B$53*HLOOKUP($DY$2,Variables!$B$60:$F$61,2,FALSE)</f>
        <v>0</v>
      </c>
      <c r="EF249" s="1223">
        <f>$G249*BK249*Variables!$B$53*HLOOKUP($DY$2,Variables!$B$60:$F$61,2,FALSE)</f>
        <v>0</v>
      </c>
      <c r="EG249" s="1223">
        <f>$G249*BL249*Variables!$B$53*HLOOKUP($DY$2,Variables!$B$60:$F$61,2,FALSE)</f>
        <v>0</v>
      </c>
      <c r="EH249" s="1223">
        <f>$G249*BM249*Variables!$B$53*HLOOKUP($DY$2,Variables!$B$60:$F$61,2,FALSE)</f>
        <v>0</v>
      </c>
      <c r="EI249" s="1223">
        <f>$G249*BN249*Variables!$B$53*HLOOKUP($DY$2,Variables!$B$60:$F$61,2,FALSE)</f>
        <v>0</v>
      </c>
      <c r="EJ249" s="1225">
        <f>$G249*BO249*Variables!$B$53*HLOOKUP($DY$2,Variables!$B$60:$F$61,2,FALSE)</f>
        <v>0</v>
      </c>
      <c r="EK249" s="1222">
        <f>$G249*BP249*Variables!$B$53*HLOOKUP($EK$2,Variables!$B$60:$F$61,2,FALSE)</f>
        <v>0</v>
      </c>
      <c r="EL249" s="1223">
        <f>$G249*BQ249*Variables!$B$53*HLOOKUP($EK$2,Variables!$B$60:$F$61,2,FALSE)</f>
        <v>0</v>
      </c>
      <c r="EM249" s="1223">
        <f>$G249*BR249*Variables!$B$53*HLOOKUP($EK$2,Variables!$B$60:$F$61,2,FALSE)</f>
        <v>0</v>
      </c>
      <c r="EN249" s="1223">
        <f>$G249*BS249*Variables!$B$53*HLOOKUP($EK$2,Variables!$B$60:$F$61,2,FALSE)</f>
        <v>0</v>
      </c>
      <c r="EO249" s="1223">
        <f>$G249*BT249*Variables!$B$53*HLOOKUP($EK$2,Variables!$B$60:$F$61,2,FALSE)</f>
        <v>0</v>
      </c>
      <c r="EP249" s="1223">
        <f>$G249*BU249*Variables!$B$53*HLOOKUP($EK$2,Variables!$B$60:$F$61,2,FALSE)</f>
        <v>0</v>
      </c>
      <c r="EQ249" s="1223">
        <f>$G249*BV249*Variables!$B$53*HLOOKUP($EK$2,Variables!$B$60:$F$61,2,FALSE)</f>
        <v>0</v>
      </c>
      <c r="ER249" s="1223">
        <f>$G249*BW249*Variables!$B$53*HLOOKUP($EK$2,Variables!$B$60:$F$61,2,FALSE)</f>
        <v>0</v>
      </c>
      <c r="ES249" s="1223">
        <f>$G249*BX249*Variables!$B$53*HLOOKUP($EK$2,Variables!$B$60:$F$61,2,FALSE)</f>
        <v>0</v>
      </c>
      <c r="ET249" s="1223">
        <f>$G249*BY249*Variables!$B$53*HLOOKUP($EK$2,Variables!$B$60:$F$61,2,FALSE)</f>
        <v>0</v>
      </c>
      <c r="EU249" s="1223">
        <f>$G249*BZ249*Variables!$B$53*HLOOKUP($EK$2,Variables!$B$60:$F$61,2,FALSE)</f>
        <v>0</v>
      </c>
      <c r="EV249" s="1225">
        <f>$G249*CA249*Variables!$B$53*HLOOKUP($EK$2,Variables!$B$60:$F$61,2,FALSE)</f>
        <v>0</v>
      </c>
      <c r="EW249" s="872">
        <f t="shared" si="29"/>
        <v>0</v>
      </c>
      <c r="EX249" s="872"/>
      <c r="EY249" s="872"/>
      <c r="EZ249" s="872"/>
      <c r="FA249" s="1332"/>
      <c r="FC249" s="958" t="str">
        <f t="shared" si="30"/>
        <v/>
      </c>
      <c r="FD249" s="959" t="str">
        <f t="shared" si="31"/>
        <v/>
      </c>
      <c r="FE249" s="959" t="s">
        <v>8407</v>
      </c>
      <c r="FF249" s="959" t="str">
        <f>IF(ISNA(VLOOKUP(FC249,Miscellaneous!E:F,2,0)),"",VLOOKUP(FC249,Miscellaneous!E:F,2,0))</f>
        <v/>
      </c>
      <c r="FG249" s="959" t="str">
        <f t="shared" si="32"/>
        <v/>
      </c>
      <c r="FH249" s="996">
        <f>IF($FG249="Opex",SUMIF('Monthly Summary'!$C$75:$N$75,"",CC249:CN249),SUMIF('Monthly Summary'!$C$74:$N$74,"",CC249:CN249))</f>
        <v>0</v>
      </c>
      <c r="FI249" s="996">
        <f>IF($FG249="Opex",SUMIF('Monthly Summary'!$O$75:$Z$75,"",CO249:CZ249),SUMIF('Monthly Summary'!$O$74:$Z$74,"",CO249:CZ249))</f>
        <v>0</v>
      </c>
      <c r="FJ249" s="996">
        <f>IF($FG249="Opex",SUMIF('Monthly Summary'!$AA$75:$AL$75,"",DA249:DL249),SUMIF('Monthly Summary'!$AA$74:$AL$74,"",DA249:DL249))</f>
        <v>0</v>
      </c>
      <c r="FK249" s="996">
        <f>IF($FG249="Opex",SUMIF('Monthly Summary'!$AM$75:$AX$75,"",DM249:DX249),SUMIF('Monthly Summary'!$AM$74:$AX$74,"",DM249:DX249))</f>
        <v>0</v>
      </c>
      <c r="FL249" s="996">
        <f>IF($FG249="Opex",SUMIF('Monthly Summary'!$AY$75:$BJ$75,"",DY249:EJ249),SUMIF('Monthly Summary'!$AY$74:$BJ$74,"",DY249:EJ249))</f>
        <v>0</v>
      </c>
      <c r="FM249" s="997">
        <f>IF($FG249="Opex",SUMIF('Monthly Summary'!$BK$75:$BV$75,"",EK249:EV249),SUMIF('Monthly Summary'!$BK$74:$BV$74,"",EK249:EV249))</f>
        <v>0</v>
      </c>
      <c r="FN249" s="997">
        <f t="shared" si="33"/>
        <v>0</v>
      </c>
    </row>
    <row r="250" spans="1:170">
      <c r="C250" s="757"/>
      <c r="D250" s="757"/>
      <c r="E250" s="758"/>
      <c r="F250" s="758"/>
      <c r="G250" s="758"/>
      <c r="H250" s="1215"/>
      <c r="I250" s="761"/>
      <c r="J250" s="761"/>
      <c r="K250" s="761"/>
      <c r="L250" s="761"/>
      <c r="M250" s="761"/>
      <c r="N250" s="761"/>
      <c r="O250" s="761"/>
      <c r="P250" s="761"/>
      <c r="Q250" s="761"/>
      <c r="R250" s="761"/>
      <c r="S250" s="1216"/>
      <c r="T250" s="1215"/>
      <c r="U250" s="761"/>
      <c r="V250" s="761"/>
      <c r="W250" s="761"/>
      <c r="X250" s="761"/>
      <c r="Y250" s="761"/>
      <c r="Z250" s="761"/>
      <c r="AA250" s="761"/>
      <c r="AB250" s="761"/>
      <c r="AC250" s="761"/>
      <c r="AD250" s="761"/>
      <c r="AE250" s="1216"/>
      <c r="AF250" s="1215"/>
      <c r="AG250" s="761"/>
      <c r="AH250" s="761"/>
      <c r="AI250" s="761"/>
      <c r="AJ250" s="761"/>
      <c r="AK250" s="761"/>
      <c r="AL250" s="761"/>
      <c r="AM250" s="761"/>
      <c r="AN250" s="761"/>
      <c r="AO250" s="761"/>
      <c r="AP250" s="761"/>
      <c r="AQ250" s="1216"/>
      <c r="AR250" s="1215"/>
      <c r="AS250" s="761"/>
      <c r="AT250" s="761"/>
      <c r="AU250" s="761"/>
      <c r="AV250" s="761"/>
      <c r="AW250" s="761"/>
      <c r="AX250" s="761"/>
      <c r="AY250" s="761"/>
      <c r="AZ250" s="761"/>
      <c r="BA250" s="761"/>
      <c r="BB250" s="761"/>
      <c r="BC250" s="1216"/>
      <c r="BD250" s="1215"/>
      <c r="BE250" s="761"/>
      <c r="BF250" s="761"/>
      <c r="BG250" s="761"/>
      <c r="BH250" s="761"/>
      <c r="BI250" s="761"/>
      <c r="BJ250" s="761"/>
      <c r="BK250" s="761"/>
      <c r="BL250" s="761"/>
      <c r="BM250" s="761"/>
      <c r="BN250" s="761"/>
      <c r="BO250" s="1216"/>
      <c r="BP250" s="1215"/>
      <c r="BQ250" s="761"/>
      <c r="BR250" s="761"/>
      <c r="BS250" s="761"/>
      <c r="BT250" s="761"/>
      <c r="BU250" s="761"/>
      <c r="BV250" s="761"/>
      <c r="BW250" s="761"/>
      <c r="BX250" s="761"/>
      <c r="BY250" s="761"/>
      <c r="BZ250" s="761"/>
      <c r="CA250" s="1216"/>
      <c r="CB250" s="747"/>
      <c r="CC250" s="1222">
        <f>$G250*H250*Variables!$B$53</f>
        <v>0</v>
      </c>
      <c r="CD250" s="1223">
        <f>$G250*I250*Variables!$B$53</f>
        <v>0</v>
      </c>
      <c r="CE250" s="1223">
        <f>$G250*J250*Variables!$B$53</f>
        <v>0</v>
      </c>
      <c r="CF250" s="1223">
        <f>$G250*K250*Variables!$B$53</f>
        <v>0</v>
      </c>
      <c r="CG250" s="1223">
        <f>$G250*L250*Variables!$B$53</f>
        <v>0</v>
      </c>
      <c r="CH250" s="1223">
        <f>$G250*M250*Variables!$B$53</f>
        <v>0</v>
      </c>
      <c r="CI250" s="1223">
        <f>$G250*N250*Variables!$B$53</f>
        <v>0</v>
      </c>
      <c r="CJ250" s="1223">
        <f>$G250*O250*Variables!$B$53</f>
        <v>0</v>
      </c>
      <c r="CK250" s="1223">
        <f>$G250*P250*Variables!$B$53</f>
        <v>0</v>
      </c>
      <c r="CL250" s="1223">
        <f>$G250*Q250*Variables!$B$53</f>
        <v>0</v>
      </c>
      <c r="CM250" s="1223">
        <f>$G250*R250*Variables!$B$53</f>
        <v>0</v>
      </c>
      <c r="CN250" s="1225">
        <f>$G250*S250*Variables!$B$53</f>
        <v>0</v>
      </c>
      <c r="CO250" s="1222">
        <f>$G250*T250*Variables!$B$53*HLOOKUP($CO$2,Variables!$B$60:$F$61,2,FALSE)</f>
        <v>0</v>
      </c>
      <c r="CP250" s="1223">
        <f>$G250*U250*Variables!$B$53*HLOOKUP($CO$2,Variables!$B$60:$F$61,2,FALSE)</f>
        <v>0</v>
      </c>
      <c r="CQ250" s="1223">
        <f>$G250*V250*Variables!$B$53*HLOOKUP($CO$2,Variables!$B$60:$F$61,2,FALSE)</f>
        <v>0</v>
      </c>
      <c r="CR250" s="1223">
        <f>$G250*W250*Variables!$B$53*HLOOKUP($CO$2,Variables!$B$60:$F$61,2,FALSE)</f>
        <v>0</v>
      </c>
      <c r="CS250" s="1223">
        <f>$G250*X250*Variables!$B$53*HLOOKUP($CO$2,Variables!$B$60:$F$61,2,FALSE)</f>
        <v>0</v>
      </c>
      <c r="CT250" s="1223">
        <f>$G250*Y250*Variables!$B$53*HLOOKUP($CO$2,Variables!$B$60:$F$61,2,FALSE)</f>
        <v>0</v>
      </c>
      <c r="CU250" s="1223">
        <f>$G250*Z250*Variables!$B$53*HLOOKUP($CO$2,Variables!$B$60:$F$61,2,FALSE)</f>
        <v>0</v>
      </c>
      <c r="CV250" s="1223">
        <f>$G250*AA250*Variables!$B$53*HLOOKUP($CO$2,Variables!$B$60:$F$61,2,FALSE)</f>
        <v>0</v>
      </c>
      <c r="CW250" s="1223">
        <f>$G250*AB250*Variables!$B$53*HLOOKUP($CO$2,Variables!$B$60:$F$61,2,FALSE)</f>
        <v>0</v>
      </c>
      <c r="CX250" s="1223">
        <f>$G250*AC250*Variables!$B$53*HLOOKUP($CO$2,Variables!$B$60:$F$61,2,FALSE)</f>
        <v>0</v>
      </c>
      <c r="CY250" s="1223">
        <f>$G250*AD250*Variables!$B$53*HLOOKUP($CO$2,Variables!$B$60:$F$61,2,FALSE)</f>
        <v>0</v>
      </c>
      <c r="CZ250" s="1225">
        <f>$G250*AE250*Variables!$B$53*HLOOKUP($CO$2,Variables!$B$60:$F$61,2,FALSE)</f>
        <v>0</v>
      </c>
      <c r="DA250" s="1222">
        <f>$G250*AF250*Variables!$B$53*HLOOKUP($DA$2,Variables!$B$60:$F$61,2,FALSE)</f>
        <v>0</v>
      </c>
      <c r="DB250" s="1223">
        <f>$G250*AG250*Variables!$B$53*HLOOKUP($DA$2,Variables!$B$60:$F$61,2,FALSE)</f>
        <v>0</v>
      </c>
      <c r="DC250" s="1223">
        <f>$G250*AH250*Variables!$B$53*HLOOKUP($DA$2,Variables!$B$60:$F$61,2,FALSE)</f>
        <v>0</v>
      </c>
      <c r="DD250" s="1223">
        <f>$G250*AI250*Variables!$B$53*HLOOKUP($DA$2,Variables!$B$60:$F$61,2,FALSE)</f>
        <v>0</v>
      </c>
      <c r="DE250" s="1223">
        <f>$G250*AJ250*Variables!$B$53*HLOOKUP($DA$2,Variables!$B$60:$F$61,2,FALSE)</f>
        <v>0</v>
      </c>
      <c r="DF250" s="1223">
        <f>$G250*AK250*Variables!$B$53*HLOOKUP($DA$2,Variables!$B$60:$F$61,2,FALSE)</f>
        <v>0</v>
      </c>
      <c r="DG250" s="1223">
        <f>$G250*AL250*Variables!$B$53*HLOOKUP($DA$2,Variables!$B$60:$F$61,2,FALSE)</f>
        <v>0</v>
      </c>
      <c r="DH250" s="1223">
        <f>$G250*AM250*Variables!$B$53*HLOOKUP($DA$2,Variables!$B$60:$F$61,2,FALSE)</f>
        <v>0</v>
      </c>
      <c r="DI250" s="1223">
        <f>$G250*AN250*Variables!$B$53*HLOOKUP($DA$2,Variables!$B$60:$F$61,2,FALSE)</f>
        <v>0</v>
      </c>
      <c r="DJ250" s="1223">
        <f>$G250*AO250*Variables!$B$53*HLOOKUP($DA$2,Variables!$B$60:$F$61,2,FALSE)</f>
        <v>0</v>
      </c>
      <c r="DK250" s="1223">
        <f>$G250*AP250*Variables!$B$53*HLOOKUP($DA$2,Variables!$B$60:$F$61,2,FALSE)</f>
        <v>0</v>
      </c>
      <c r="DL250" s="1225">
        <f>$G250*AQ250*Variables!$B$53*HLOOKUP($DA$2,Variables!$B$60:$F$61,2,FALSE)</f>
        <v>0</v>
      </c>
      <c r="DM250" s="1222">
        <f>$G250*AR250*Variables!$B$53*HLOOKUP($DM$2,Variables!$B$60:$F$61,2,FALSE)</f>
        <v>0</v>
      </c>
      <c r="DN250" s="1223">
        <f>$G250*AS250*Variables!$B$53*HLOOKUP($DM$2,Variables!$B$60:$F$61,2,FALSE)</f>
        <v>0</v>
      </c>
      <c r="DO250" s="1223">
        <f>$G250*AT250*Variables!$B$53*HLOOKUP($DM$2,Variables!$B$60:$F$61,2,FALSE)</f>
        <v>0</v>
      </c>
      <c r="DP250" s="1223">
        <f>$G250*AU250*Variables!$B$53*HLOOKUP($DM$2,Variables!$B$60:$F$61,2,FALSE)</f>
        <v>0</v>
      </c>
      <c r="DQ250" s="1223">
        <f>$G250*AV250*Variables!$B$53*HLOOKUP($DM$2,Variables!$B$60:$F$61,2,FALSE)</f>
        <v>0</v>
      </c>
      <c r="DR250" s="1223">
        <f>$G250*AW250*Variables!$B$53*HLOOKUP($DM$2,Variables!$B$60:$F$61,2,FALSE)</f>
        <v>0</v>
      </c>
      <c r="DS250" s="1223">
        <f>$G250*AX250*Variables!$B$53*HLOOKUP($DM$2,Variables!$B$60:$F$61,2,FALSE)</f>
        <v>0</v>
      </c>
      <c r="DT250" s="1223">
        <f>$G250*AY250*Variables!$B$53*HLOOKUP($DM$2,Variables!$B$60:$F$61,2,FALSE)</f>
        <v>0</v>
      </c>
      <c r="DU250" s="1223">
        <f>$G250*AZ250*Variables!$B$53*HLOOKUP($DM$2,Variables!$B$60:$F$61,2,FALSE)</f>
        <v>0</v>
      </c>
      <c r="DV250" s="1223">
        <f>$G250*BA250*Variables!$B$53*HLOOKUP($DM$2,Variables!$B$60:$F$61,2,FALSE)</f>
        <v>0</v>
      </c>
      <c r="DW250" s="1223">
        <f>$G250*BB250*Variables!$B$53*HLOOKUP($DM$2,Variables!$B$60:$F$61,2,FALSE)</f>
        <v>0</v>
      </c>
      <c r="DX250" s="1225">
        <f>$G250*BC250*Variables!$B$53*HLOOKUP($DM$2,Variables!$B$60:$F$61,2,FALSE)</f>
        <v>0</v>
      </c>
      <c r="DY250" s="1222">
        <f>$G250*BD250*Variables!$B$53*HLOOKUP($DY$2,Variables!$B$60:$F$61,2,FALSE)</f>
        <v>0</v>
      </c>
      <c r="DZ250" s="1223">
        <f>$G250*BE250*Variables!$B$53*HLOOKUP($DY$2,Variables!$B$60:$F$61,2,FALSE)</f>
        <v>0</v>
      </c>
      <c r="EA250" s="1223">
        <f>$G250*BF250*Variables!$B$53*HLOOKUP($DY$2,Variables!$B$60:$F$61,2,FALSE)</f>
        <v>0</v>
      </c>
      <c r="EB250" s="1223">
        <f>$G250*BG250*Variables!$B$53*HLOOKUP($DY$2,Variables!$B$60:$F$61,2,FALSE)</f>
        <v>0</v>
      </c>
      <c r="EC250" s="1223">
        <f>$G250*BH250*Variables!$B$53*HLOOKUP($DY$2,Variables!$B$60:$F$61,2,FALSE)</f>
        <v>0</v>
      </c>
      <c r="ED250" s="1223">
        <f>$G250*BI250*Variables!$B$53*HLOOKUP($DY$2,Variables!$B$60:$F$61,2,FALSE)</f>
        <v>0</v>
      </c>
      <c r="EE250" s="1223">
        <f>$G250*BJ250*Variables!$B$53*HLOOKUP($DY$2,Variables!$B$60:$F$61,2,FALSE)</f>
        <v>0</v>
      </c>
      <c r="EF250" s="1223">
        <f>$G250*BK250*Variables!$B$53*HLOOKUP($DY$2,Variables!$B$60:$F$61,2,FALSE)</f>
        <v>0</v>
      </c>
      <c r="EG250" s="1223">
        <f>$G250*BL250*Variables!$B$53*HLOOKUP($DY$2,Variables!$B$60:$F$61,2,FALSE)</f>
        <v>0</v>
      </c>
      <c r="EH250" s="1223">
        <f>$G250*BM250*Variables!$B$53*HLOOKUP($DY$2,Variables!$B$60:$F$61,2,FALSE)</f>
        <v>0</v>
      </c>
      <c r="EI250" s="1223">
        <f>$G250*BN250*Variables!$B$53*HLOOKUP($DY$2,Variables!$B$60:$F$61,2,FALSE)</f>
        <v>0</v>
      </c>
      <c r="EJ250" s="1225">
        <f>$G250*BO250*Variables!$B$53*HLOOKUP($DY$2,Variables!$B$60:$F$61,2,FALSE)</f>
        <v>0</v>
      </c>
      <c r="EK250" s="1222">
        <f>$G250*BP250*Variables!$B$53*HLOOKUP($EK$2,Variables!$B$60:$F$61,2,FALSE)</f>
        <v>0</v>
      </c>
      <c r="EL250" s="1223">
        <f>$G250*BQ250*Variables!$B$53*HLOOKUP($EK$2,Variables!$B$60:$F$61,2,FALSE)</f>
        <v>0</v>
      </c>
      <c r="EM250" s="1223">
        <f>$G250*BR250*Variables!$B$53*HLOOKUP($EK$2,Variables!$B$60:$F$61,2,FALSE)</f>
        <v>0</v>
      </c>
      <c r="EN250" s="1223">
        <f>$G250*BS250*Variables!$B$53*HLOOKUP($EK$2,Variables!$B$60:$F$61,2,FALSE)</f>
        <v>0</v>
      </c>
      <c r="EO250" s="1223">
        <f>$G250*BT250*Variables!$B$53*HLOOKUP($EK$2,Variables!$B$60:$F$61,2,FALSE)</f>
        <v>0</v>
      </c>
      <c r="EP250" s="1223">
        <f>$G250*BU250*Variables!$B$53*HLOOKUP($EK$2,Variables!$B$60:$F$61,2,FALSE)</f>
        <v>0</v>
      </c>
      <c r="EQ250" s="1223">
        <f>$G250*BV250*Variables!$B$53*HLOOKUP($EK$2,Variables!$B$60:$F$61,2,FALSE)</f>
        <v>0</v>
      </c>
      <c r="ER250" s="1223">
        <f>$G250*BW250*Variables!$B$53*HLOOKUP($EK$2,Variables!$B$60:$F$61,2,FALSE)</f>
        <v>0</v>
      </c>
      <c r="ES250" s="1223">
        <f>$G250*BX250*Variables!$B$53*HLOOKUP($EK$2,Variables!$B$60:$F$61,2,FALSE)</f>
        <v>0</v>
      </c>
      <c r="ET250" s="1223">
        <f>$G250*BY250*Variables!$B$53*HLOOKUP($EK$2,Variables!$B$60:$F$61,2,FALSE)</f>
        <v>0</v>
      </c>
      <c r="EU250" s="1223">
        <f>$G250*BZ250*Variables!$B$53*HLOOKUP($EK$2,Variables!$B$60:$F$61,2,FALSE)</f>
        <v>0</v>
      </c>
      <c r="EV250" s="1225">
        <f>$G250*CA250*Variables!$B$53*HLOOKUP($EK$2,Variables!$B$60:$F$61,2,FALSE)</f>
        <v>0</v>
      </c>
      <c r="EW250" s="872">
        <f t="shared" si="29"/>
        <v>0</v>
      </c>
      <c r="EX250" s="872"/>
      <c r="EY250" s="872"/>
      <c r="EZ250" s="872"/>
      <c r="FA250" s="1332"/>
      <c r="FC250" s="958" t="str">
        <f t="shared" si="30"/>
        <v/>
      </c>
      <c r="FD250" s="959" t="str">
        <f t="shared" si="31"/>
        <v/>
      </c>
      <c r="FE250" s="959" t="s">
        <v>8407</v>
      </c>
      <c r="FF250" s="959" t="str">
        <f>IF(ISNA(VLOOKUP(FC250,Miscellaneous!E:F,2,0)),"",VLOOKUP(FC250,Miscellaneous!E:F,2,0))</f>
        <v/>
      </c>
      <c r="FG250" s="959" t="str">
        <f t="shared" si="32"/>
        <v/>
      </c>
      <c r="FH250" s="996">
        <f>IF($FG250="Opex",SUMIF('Monthly Summary'!$C$75:$N$75,"",CC250:CN250),SUMIF('Monthly Summary'!$C$74:$N$74,"",CC250:CN250))</f>
        <v>0</v>
      </c>
      <c r="FI250" s="996">
        <f>IF($FG250="Opex",SUMIF('Monthly Summary'!$O$75:$Z$75,"",CO250:CZ250),SUMIF('Monthly Summary'!$O$74:$Z$74,"",CO250:CZ250))</f>
        <v>0</v>
      </c>
      <c r="FJ250" s="996">
        <f>IF($FG250="Opex",SUMIF('Monthly Summary'!$AA$75:$AL$75,"",DA250:DL250),SUMIF('Monthly Summary'!$AA$74:$AL$74,"",DA250:DL250))</f>
        <v>0</v>
      </c>
      <c r="FK250" s="996">
        <f>IF($FG250="Opex",SUMIF('Monthly Summary'!$AM$75:$AX$75,"",DM250:DX250),SUMIF('Monthly Summary'!$AM$74:$AX$74,"",DM250:DX250))</f>
        <v>0</v>
      </c>
      <c r="FL250" s="996">
        <f>IF($FG250="Opex",SUMIF('Monthly Summary'!$AY$75:$BJ$75,"",DY250:EJ250),SUMIF('Monthly Summary'!$AY$74:$BJ$74,"",DY250:EJ250))</f>
        <v>0</v>
      </c>
      <c r="FM250" s="997">
        <f>IF($FG250="Opex",SUMIF('Monthly Summary'!$BK$75:$BV$75,"",EK250:EV250),SUMIF('Monthly Summary'!$BK$74:$BV$74,"",EK250:EV250))</f>
        <v>0</v>
      </c>
      <c r="FN250" s="997">
        <f t="shared" si="33"/>
        <v>0</v>
      </c>
    </row>
    <row r="251" spans="1:170">
      <c r="C251" s="757"/>
      <c r="D251" s="757"/>
      <c r="E251" s="758"/>
      <c r="F251" s="758"/>
      <c r="G251" s="758"/>
      <c r="H251" s="1215"/>
      <c r="I251" s="761"/>
      <c r="J251" s="761"/>
      <c r="K251" s="761"/>
      <c r="L251" s="761"/>
      <c r="M251" s="761"/>
      <c r="N251" s="761"/>
      <c r="O251" s="761"/>
      <c r="P251" s="761"/>
      <c r="Q251" s="761"/>
      <c r="R251" s="761"/>
      <c r="S251" s="1216"/>
      <c r="T251" s="1215"/>
      <c r="U251" s="761"/>
      <c r="V251" s="761"/>
      <c r="W251" s="761"/>
      <c r="X251" s="761"/>
      <c r="Y251" s="761"/>
      <c r="Z251" s="761"/>
      <c r="AA251" s="761"/>
      <c r="AB251" s="761"/>
      <c r="AC251" s="761"/>
      <c r="AD251" s="761"/>
      <c r="AE251" s="1216"/>
      <c r="AF251" s="1215"/>
      <c r="AG251" s="761"/>
      <c r="AH251" s="761"/>
      <c r="AI251" s="761"/>
      <c r="AJ251" s="761"/>
      <c r="AK251" s="761"/>
      <c r="AL251" s="761"/>
      <c r="AM251" s="761"/>
      <c r="AN251" s="761"/>
      <c r="AO251" s="761"/>
      <c r="AP251" s="761"/>
      <c r="AQ251" s="1216"/>
      <c r="AR251" s="1215"/>
      <c r="AS251" s="761"/>
      <c r="AT251" s="761"/>
      <c r="AU251" s="761"/>
      <c r="AV251" s="761"/>
      <c r="AW251" s="761"/>
      <c r="AX251" s="761"/>
      <c r="AY251" s="761"/>
      <c r="AZ251" s="761"/>
      <c r="BA251" s="761"/>
      <c r="BB251" s="761"/>
      <c r="BC251" s="1216"/>
      <c r="BD251" s="1215"/>
      <c r="BE251" s="761"/>
      <c r="BF251" s="761"/>
      <c r="BG251" s="761"/>
      <c r="BH251" s="761"/>
      <c r="BI251" s="761"/>
      <c r="BJ251" s="761"/>
      <c r="BK251" s="761"/>
      <c r="BL251" s="761"/>
      <c r="BM251" s="761"/>
      <c r="BN251" s="761"/>
      <c r="BO251" s="1216"/>
      <c r="BP251" s="1215"/>
      <c r="BQ251" s="761"/>
      <c r="BR251" s="761"/>
      <c r="BS251" s="761"/>
      <c r="BT251" s="761"/>
      <c r="BU251" s="761"/>
      <c r="BV251" s="761"/>
      <c r="BW251" s="761"/>
      <c r="BX251" s="761"/>
      <c r="BY251" s="761"/>
      <c r="BZ251" s="761"/>
      <c r="CA251" s="1216"/>
      <c r="CB251" s="747"/>
      <c r="CC251" s="1222">
        <f>$G251*H251*Variables!$B$53</f>
        <v>0</v>
      </c>
      <c r="CD251" s="1223">
        <f>$G251*I251*Variables!$B$53</f>
        <v>0</v>
      </c>
      <c r="CE251" s="1223">
        <f>$G251*J251*Variables!$B$53</f>
        <v>0</v>
      </c>
      <c r="CF251" s="1223">
        <f>$G251*K251*Variables!$B$53</f>
        <v>0</v>
      </c>
      <c r="CG251" s="1223">
        <f>$G251*L251*Variables!$B$53</f>
        <v>0</v>
      </c>
      <c r="CH251" s="1223">
        <f>$G251*M251*Variables!$B$53</f>
        <v>0</v>
      </c>
      <c r="CI251" s="1223">
        <f>$G251*N251*Variables!$B$53</f>
        <v>0</v>
      </c>
      <c r="CJ251" s="1223">
        <f>$G251*O251*Variables!$B$53</f>
        <v>0</v>
      </c>
      <c r="CK251" s="1223">
        <f>$G251*P251*Variables!$B$53</f>
        <v>0</v>
      </c>
      <c r="CL251" s="1223">
        <f>$G251*Q251*Variables!$B$53</f>
        <v>0</v>
      </c>
      <c r="CM251" s="1223">
        <f>$G251*R251*Variables!$B$53</f>
        <v>0</v>
      </c>
      <c r="CN251" s="1225">
        <f>$G251*S251*Variables!$B$53</f>
        <v>0</v>
      </c>
      <c r="CO251" s="1222">
        <f>$G251*T251*Variables!$B$53*HLOOKUP($CO$2,Variables!$B$60:$F$61,2,FALSE)</f>
        <v>0</v>
      </c>
      <c r="CP251" s="1223">
        <f>$G251*U251*Variables!$B$53*HLOOKUP($CO$2,Variables!$B$60:$F$61,2,FALSE)</f>
        <v>0</v>
      </c>
      <c r="CQ251" s="1223">
        <f>$G251*V251*Variables!$B$53*HLOOKUP($CO$2,Variables!$B$60:$F$61,2,FALSE)</f>
        <v>0</v>
      </c>
      <c r="CR251" s="1223">
        <f>$G251*W251*Variables!$B$53*HLOOKUP($CO$2,Variables!$B$60:$F$61,2,FALSE)</f>
        <v>0</v>
      </c>
      <c r="CS251" s="1223">
        <f>$G251*X251*Variables!$B$53*HLOOKUP($CO$2,Variables!$B$60:$F$61,2,FALSE)</f>
        <v>0</v>
      </c>
      <c r="CT251" s="1223">
        <f>$G251*Y251*Variables!$B$53*HLOOKUP($CO$2,Variables!$B$60:$F$61,2,FALSE)</f>
        <v>0</v>
      </c>
      <c r="CU251" s="1223">
        <f>$G251*Z251*Variables!$B$53*HLOOKUP($CO$2,Variables!$B$60:$F$61,2,FALSE)</f>
        <v>0</v>
      </c>
      <c r="CV251" s="1223">
        <f>$G251*AA251*Variables!$B$53*HLOOKUP($CO$2,Variables!$B$60:$F$61,2,FALSE)</f>
        <v>0</v>
      </c>
      <c r="CW251" s="1223">
        <f>$G251*AB251*Variables!$B$53*HLOOKUP($CO$2,Variables!$B$60:$F$61,2,FALSE)</f>
        <v>0</v>
      </c>
      <c r="CX251" s="1223">
        <f>$G251*AC251*Variables!$B$53*HLOOKUP($CO$2,Variables!$B$60:$F$61,2,FALSE)</f>
        <v>0</v>
      </c>
      <c r="CY251" s="1223">
        <f>$G251*AD251*Variables!$B$53*HLOOKUP($CO$2,Variables!$B$60:$F$61,2,FALSE)</f>
        <v>0</v>
      </c>
      <c r="CZ251" s="1225">
        <f>$G251*AE251*Variables!$B$53*HLOOKUP($CO$2,Variables!$B$60:$F$61,2,FALSE)</f>
        <v>0</v>
      </c>
      <c r="DA251" s="1222">
        <f>$G251*AF251*Variables!$B$53*HLOOKUP($DA$2,Variables!$B$60:$F$61,2,FALSE)</f>
        <v>0</v>
      </c>
      <c r="DB251" s="1223">
        <f>$G251*AG251*Variables!$B$53*HLOOKUP($DA$2,Variables!$B$60:$F$61,2,FALSE)</f>
        <v>0</v>
      </c>
      <c r="DC251" s="1223">
        <f>$G251*AH251*Variables!$B$53*HLOOKUP($DA$2,Variables!$B$60:$F$61,2,FALSE)</f>
        <v>0</v>
      </c>
      <c r="DD251" s="1223">
        <f>$G251*AI251*Variables!$B$53*HLOOKUP($DA$2,Variables!$B$60:$F$61,2,FALSE)</f>
        <v>0</v>
      </c>
      <c r="DE251" s="1223">
        <f>$G251*AJ251*Variables!$B$53*HLOOKUP($DA$2,Variables!$B$60:$F$61,2,FALSE)</f>
        <v>0</v>
      </c>
      <c r="DF251" s="1223">
        <f>$G251*AK251*Variables!$B$53*HLOOKUP($DA$2,Variables!$B$60:$F$61,2,FALSE)</f>
        <v>0</v>
      </c>
      <c r="DG251" s="1223">
        <f>$G251*AL251*Variables!$B$53*HLOOKUP($DA$2,Variables!$B$60:$F$61,2,FALSE)</f>
        <v>0</v>
      </c>
      <c r="DH251" s="1223">
        <f>$G251*AM251*Variables!$B$53*HLOOKUP($DA$2,Variables!$B$60:$F$61,2,FALSE)</f>
        <v>0</v>
      </c>
      <c r="DI251" s="1223">
        <f>$G251*AN251*Variables!$B$53*HLOOKUP($DA$2,Variables!$B$60:$F$61,2,FALSE)</f>
        <v>0</v>
      </c>
      <c r="DJ251" s="1223">
        <f>$G251*AO251*Variables!$B$53*HLOOKUP($DA$2,Variables!$B$60:$F$61,2,FALSE)</f>
        <v>0</v>
      </c>
      <c r="DK251" s="1223">
        <f>$G251*AP251*Variables!$B$53*HLOOKUP($DA$2,Variables!$B$60:$F$61,2,FALSE)</f>
        <v>0</v>
      </c>
      <c r="DL251" s="1225">
        <f>$G251*AQ251*Variables!$B$53*HLOOKUP($DA$2,Variables!$B$60:$F$61,2,FALSE)</f>
        <v>0</v>
      </c>
      <c r="DM251" s="1222">
        <f>$G251*AR251*Variables!$B$53*HLOOKUP($DM$2,Variables!$B$60:$F$61,2,FALSE)</f>
        <v>0</v>
      </c>
      <c r="DN251" s="1223">
        <f>$G251*AS251*Variables!$B$53*HLOOKUP($DM$2,Variables!$B$60:$F$61,2,FALSE)</f>
        <v>0</v>
      </c>
      <c r="DO251" s="1223">
        <f>$G251*AT251*Variables!$B$53*HLOOKUP($DM$2,Variables!$B$60:$F$61,2,FALSE)</f>
        <v>0</v>
      </c>
      <c r="DP251" s="1223">
        <f>$G251*AU251*Variables!$B$53*HLOOKUP($DM$2,Variables!$B$60:$F$61,2,FALSE)</f>
        <v>0</v>
      </c>
      <c r="DQ251" s="1223">
        <f>$G251*AV251*Variables!$B$53*HLOOKUP($DM$2,Variables!$B$60:$F$61,2,FALSE)</f>
        <v>0</v>
      </c>
      <c r="DR251" s="1223">
        <f>$G251*AW251*Variables!$B$53*HLOOKUP($DM$2,Variables!$B$60:$F$61,2,FALSE)</f>
        <v>0</v>
      </c>
      <c r="DS251" s="1223">
        <f>$G251*AX251*Variables!$B$53*HLOOKUP($DM$2,Variables!$B$60:$F$61,2,FALSE)</f>
        <v>0</v>
      </c>
      <c r="DT251" s="1223">
        <f>$G251*AY251*Variables!$B$53*HLOOKUP($DM$2,Variables!$B$60:$F$61,2,FALSE)</f>
        <v>0</v>
      </c>
      <c r="DU251" s="1223">
        <f>$G251*AZ251*Variables!$B$53*HLOOKUP($DM$2,Variables!$B$60:$F$61,2,FALSE)</f>
        <v>0</v>
      </c>
      <c r="DV251" s="1223">
        <f>$G251*BA251*Variables!$B$53*HLOOKUP($DM$2,Variables!$B$60:$F$61,2,FALSE)</f>
        <v>0</v>
      </c>
      <c r="DW251" s="1223">
        <f>$G251*BB251*Variables!$B$53*HLOOKUP($DM$2,Variables!$B$60:$F$61,2,FALSE)</f>
        <v>0</v>
      </c>
      <c r="DX251" s="1225">
        <f>$G251*BC251*Variables!$B$53*HLOOKUP($DM$2,Variables!$B$60:$F$61,2,FALSE)</f>
        <v>0</v>
      </c>
      <c r="DY251" s="1222">
        <f>$G251*BD251*Variables!$B$53*HLOOKUP($DY$2,Variables!$B$60:$F$61,2,FALSE)</f>
        <v>0</v>
      </c>
      <c r="DZ251" s="1223">
        <f>$G251*BE251*Variables!$B$53*HLOOKUP($DY$2,Variables!$B$60:$F$61,2,FALSE)</f>
        <v>0</v>
      </c>
      <c r="EA251" s="1223">
        <f>$G251*BF251*Variables!$B$53*HLOOKUP($DY$2,Variables!$B$60:$F$61,2,FALSE)</f>
        <v>0</v>
      </c>
      <c r="EB251" s="1223">
        <f>$G251*BG251*Variables!$B$53*HLOOKUP($DY$2,Variables!$B$60:$F$61,2,FALSE)</f>
        <v>0</v>
      </c>
      <c r="EC251" s="1223">
        <f>$G251*BH251*Variables!$B$53*HLOOKUP($DY$2,Variables!$B$60:$F$61,2,FALSE)</f>
        <v>0</v>
      </c>
      <c r="ED251" s="1223">
        <f>$G251*BI251*Variables!$B$53*HLOOKUP($DY$2,Variables!$B$60:$F$61,2,FALSE)</f>
        <v>0</v>
      </c>
      <c r="EE251" s="1223">
        <f>$G251*BJ251*Variables!$B$53*HLOOKUP($DY$2,Variables!$B$60:$F$61,2,FALSE)</f>
        <v>0</v>
      </c>
      <c r="EF251" s="1223">
        <f>$G251*BK251*Variables!$B$53*HLOOKUP($DY$2,Variables!$B$60:$F$61,2,FALSE)</f>
        <v>0</v>
      </c>
      <c r="EG251" s="1223">
        <f>$G251*BL251*Variables!$B$53*HLOOKUP($DY$2,Variables!$B$60:$F$61,2,FALSE)</f>
        <v>0</v>
      </c>
      <c r="EH251" s="1223">
        <f>$G251*BM251*Variables!$B$53*HLOOKUP($DY$2,Variables!$B$60:$F$61,2,FALSE)</f>
        <v>0</v>
      </c>
      <c r="EI251" s="1223">
        <f>$G251*BN251*Variables!$B$53*HLOOKUP($DY$2,Variables!$B$60:$F$61,2,FALSE)</f>
        <v>0</v>
      </c>
      <c r="EJ251" s="1225">
        <f>$G251*BO251*Variables!$B$53*HLOOKUP($DY$2,Variables!$B$60:$F$61,2,FALSE)</f>
        <v>0</v>
      </c>
      <c r="EK251" s="1222">
        <f>$G251*BP251*Variables!$B$53*HLOOKUP($EK$2,Variables!$B$60:$F$61,2,FALSE)</f>
        <v>0</v>
      </c>
      <c r="EL251" s="1223">
        <f>$G251*BQ251*Variables!$B$53*HLOOKUP($EK$2,Variables!$B$60:$F$61,2,FALSE)</f>
        <v>0</v>
      </c>
      <c r="EM251" s="1223">
        <f>$G251*BR251*Variables!$B$53*HLOOKUP($EK$2,Variables!$B$60:$F$61,2,FALSE)</f>
        <v>0</v>
      </c>
      <c r="EN251" s="1223">
        <f>$G251*BS251*Variables!$B$53*HLOOKUP($EK$2,Variables!$B$60:$F$61,2,FALSE)</f>
        <v>0</v>
      </c>
      <c r="EO251" s="1223">
        <f>$G251*BT251*Variables!$B$53*HLOOKUP($EK$2,Variables!$B$60:$F$61,2,FALSE)</f>
        <v>0</v>
      </c>
      <c r="EP251" s="1223">
        <f>$G251*BU251*Variables!$B$53*HLOOKUP($EK$2,Variables!$B$60:$F$61,2,FALSE)</f>
        <v>0</v>
      </c>
      <c r="EQ251" s="1223">
        <f>$G251*BV251*Variables!$B$53*HLOOKUP($EK$2,Variables!$B$60:$F$61,2,FALSE)</f>
        <v>0</v>
      </c>
      <c r="ER251" s="1223">
        <f>$G251*BW251*Variables!$B$53*HLOOKUP($EK$2,Variables!$B$60:$F$61,2,FALSE)</f>
        <v>0</v>
      </c>
      <c r="ES251" s="1223">
        <f>$G251*BX251*Variables!$B$53*HLOOKUP($EK$2,Variables!$B$60:$F$61,2,FALSE)</f>
        <v>0</v>
      </c>
      <c r="ET251" s="1223">
        <f>$G251*BY251*Variables!$B$53*HLOOKUP($EK$2,Variables!$B$60:$F$61,2,FALSE)</f>
        <v>0</v>
      </c>
      <c r="EU251" s="1223">
        <f>$G251*BZ251*Variables!$B$53*HLOOKUP($EK$2,Variables!$B$60:$F$61,2,FALSE)</f>
        <v>0</v>
      </c>
      <c r="EV251" s="1225">
        <f>$G251*CA251*Variables!$B$53*HLOOKUP($EK$2,Variables!$B$60:$F$61,2,FALSE)</f>
        <v>0</v>
      </c>
      <c r="EW251" s="872">
        <f t="shared" si="29"/>
        <v>0</v>
      </c>
      <c r="EX251" s="872"/>
      <c r="EY251" s="872"/>
      <c r="EZ251" s="872"/>
      <c r="FA251" s="1332"/>
      <c r="FC251" s="958" t="str">
        <f t="shared" si="30"/>
        <v/>
      </c>
      <c r="FD251" s="959" t="str">
        <f t="shared" si="31"/>
        <v/>
      </c>
      <c r="FE251" s="959" t="s">
        <v>8407</v>
      </c>
      <c r="FF251" s="959" t="str">
        <f>IF(ISNA(VLOOKUP(FC251,Miscellaneous!E:F,2,0)),"",VLOOKUP(FC251,Miscellaneous!E:F,2,0))</f>
        <v/>
      </c>
      <c r="FG251" s="959" t="str">
        <f t="shared" si="32"/>
        <v/>
      </c>
      <c r="FH251" s="996">
        <f>IF($FG251="Opex",SUMIF('Monthly Summary'!$C$75:$N$75,"",CC251:CN251),SUMIF('Monthly Summary'!$C$74:$N$74,"",CC251:CN251))</f>
        <v>0</v>
      </c>
      <c r="FI251" s="996">
        <f>IF($FG251="Opex",SUMIF('Monthly Summary'!$O$75:$Z$75,"",CO251:CZ251),SUMIF('Monthly Summary'!$O$74:$Z$74,"",CO251:CZ251))</f>
        <v>0</v>
      </c>
      <c r="FJ251" s="996">
        <f>IF($FG251="Opex",SUMIF('Monthly Summary'!$AA$75:$AL$75,"",DA251:DL251),SUMIF('Monthly Summary'!$AA$74:$AL$74,"",DA251:DL251))</f>
        <v>0</v>
      </c>
      <c r="FK251" s="996">
        <f>IF($FG251="Opex",SUMIF('Monthly Summary'!$AM$75:$AX$75,"",DM251:DX251),SUMIF('Monthly Summary'!$AM$74:$AX$74,"",DM251:DX251))</f>
        <v>0</v>
      </c>
      <c r="FL251" s="996">
        <f>IF($FG251="Opex",SUMIF('Monthly Summary'!$AY$75:$BJ$75,"",DY251:EJ251),SUMIF('Monthly Summary'!$AY$74:$BJ$74,"",DY251:EJ251))</f>
        <v>0</v>
      </c>
      <c r="FM251" s="997">
        <f>IF($FG251="Opex",SUMIF('Monthly Summary'!$BK$75:$BV$75,"",EK251:EV251),SUMIF('Monthly Summary'!$BK$74:$BV$74,"",EK251:EV251))</f>
        <v>0</v>
      </c>
      <c r="FN251" s="997">
        <f t="shared" si="33"/>
        <v>0</v>
      </c>
    </row>
    <row r="252" spans="1:170">
      <c r="C252" s="757"/>
      <c r="D252" s="757"/>
      <c r="E252" s="758"/>
      <c r="F252" s="758"/>
      <c r="G252" s="758"/>
      <c r="H252" s="1215"/>
      <c r="I252" s="761"/>
      <c r="J252" s="761"/>
      <c r="K252" s="761"/>
      <c r="L252" s="761"/>
      <c r="M252" s="761"/>
      <c r="N252" s="761"/>
      <c r="O252" s="761"/>
      <c r="P252" s="761"/>
      <c r="Q252" s="761"/>
      <c r="R252" s="761"/>
      <c r="S252" s="1216"/>
      <c r="T252" s="1215"/>
      <c r="U252" s="761"/>
      <c r="V252" s="761"/>
      <c r="W252" s="761"/>
      <c r="X252" s="761"/>
      <c r="Y252" s="761"/>
      <c r="Z252" s="761"/>
      <c r="AA252" s="761"/>
      <c r="AB252" s="761"/>
      <c r="AC252" s="761"/>
      <c r="AD252" s="761"/>
      <c r="AE252" s="1216"/>
      <c r="AF252" s="1215"/>
      <c r="AG252" s="761"/>
      <c r="AH252" s="761"/>
      <c r="AI252" s="761"/>
      <c r="AJ252" s="761"/>
      <c r="AK252" s="761"/>
      <c r="AL252" s="761"/>
      <c r="AM252" s="761"/>
      <c r="AN252" s="761"/>
      <c r="AO252" s="761"/>
      <c r="AP252" s="761"/>
      <c r="AQ252" s="1216"/>
      <c r="AR252" s="1215"/>
      <c r="AS252" s="761"/>
      <c r="AT252" s="761"/>
      <c r="AU252" s="761"/>
      <c r="AV252" s="761"/>
      <c r="AW252" s="761"/>
      <c r="AX252" s="761"/>
      <c r="AY252" s="761"/>
      <c r="AZ252" s="761"/>
      <c r="BA252" s="761"/>
      <c r="BB252" s="761"/>
      <c r="BC252" s="1216"/>
      <c r="BD252" s="1215"/>
      <c r="BE252" s="761"/>
      <c r="BF252" s="761"/>
      <c r="BG252" s="761"/>
      <c r="BH252" s="761"/>
      <c r="BI252" s="761"/>
      <c r="BJ252" s="761"/>
      <c r="BK252" s="761"/>
      <c r="BL252" s="761"/>
      <c r="BM252" s="761"/>
      <c r="BN252" s="761"/>
      <c r="BO252" s="1216"/>
      <c r="BP252" s="1215"/>
      <c r="BQ252" s="761"/>
      <c r="BR252" s="761"/>
      <c r="BS252" s="761"/>
      <c r="BT252" s="761"/>
      <c r="BU252" s="761"/>
      <c r="BV252" s="761"/>
      <c r="BW252" s="761"/>
      <c r="BX252" s="761"/>
      <c r="BY252" s="761"/>
      <c r="BZ252" s="761"/>
      <c r="CA252" s="1216"/>
      <c r="CB252" s="747"/>
      <c r="CC252" s="1222">
        <f>$G252*H252*Variables!$B$53</f>
        <v>0</v>
      </c>
      <c r="CD252" s="1223">
        <f>$G252*I252*Variables!$B$53</f>
        <v>0</v>
      </c>
      <c r="CE252" s="1223">
        <f>$G252*J252*Variables!$B$53</f>
        <v>0</v>
      </c>
      <c r="CF252" s="1223">
        <f>$G252*K252*Variables!$B$53</f>
        <v>0</v>
      </c>
      <c r="CG252" s="1223">
        <f>$G252*L252*Variables!$B$53</f>
        <v>0</v>
      </c>
      <c r="CH252" s="1223">
        <f>$G252*M252*Variables!$B$53</f>
        <v>0</v>
      </c>
      <c r="CI252" s="1223">
        <f>$G252*N252*Variables!$B$53</f>
        <v>0</v>
      </c>
      <c r="CJ252" s="1223">
        <f>$G252*O252*Variables!$B$53</f>
        <v>0</v>
      </c>
      <c r="CK252" s="1223">
        <f>$G252*P252*Variables!$B$53</f>
        <v>0</v>
      </c>
      <c r="CL252" s="1223">
        <f>$G252*Q252*Variables!$B$53</f>
        <v>0</v>
      </c>
      <c r="CM252" s="1223">
        <f>$G252*R252*Variables!$B$53</f>
        <v>0</v>
      </c>
      <c r="CN252" s="1225">
        <f>$G252*S252*Variables!$B$53</f>
        <v>0</v>
      </c>
      <c r="CO252" s="1222">
        <f>$G252*T252*Variables!$B$53*HLOOKUP($CO$2,Variables!$B$60:$F$61,2,FALSE)</f>
        <v>0</v>
      </c>
      <c r="CP252" s="1223">
        <f>$G252*U252*Variables!$B$53*HLOOKUP($CO$2,Variables!$B$60:$F$61,2,FALSE)</f>
        <v>0</v>
      </c>
      <c r="CQ252" s="1223">
        <f>$G252*V252*Variables!$B$53*HLOOKUP($CO$2,Variables!$B$60:$F$61,2,FALSE)</f>
        <v>0</v>
      </c>
      <c r="CR252" s="1223">
        <f>$G252*W252*Variables!$B$53*HLOOKUP($CO$2,Variables!$B$60:$F$61,2,FALSE)</f>
        <v>0</v>
      </c>
      <c r="CS252" s="1223">
        <f>$G252*X252*Variables!$B$53*HLOOKUP($CO$2,Variables!$B$60:$F$61,2,FALSE)</f>
        <v>0</v>
      </c>
      <c r="CT252" s="1223">
        <f>$G252*Y252*Variables!$B$53*HLOOKUP($CO$2,Variables!$B$60:$F$61,2,FALSE)</f>
        <v>0</v>
      </c>
      <c r="CU252" s="1223">
        <f>$G252*Z252*Variables!$B$53*HLOOKUP($CO$2,Variables!$B$60:$F$61,2,FALSE)</f>
        <v>0</v>
      </c>
      <c r="CV252" s="1223">
        <f>$G252*AA252*Variables!$B$53*HLOOKUP($CO$2,Variables!$B$60:$F$61,2,FALSE)</f>
        <v>0</v>
      </c>
      <c r="CW252" s="1223">
        <f>$G252*AB252*Variables!$B$53*HLOOKUP($CO$2,Variables!$B$60:$F$61,2,FALSE)</f>
        <v>0</v>
      </c>
      <c r="CX252" s="1223">
        <f>$G252*AC252*Variables!$B$53*HLOOKUP($CO$2,Variables!$B$60:$F$61,2,FALSE)</f>
        <v>0</v>
      </c>
      <c r="CY252" s="1223">
        <f>$G252*AD252*Variables!$B$53*HLOOKUP($CO$2,Variables!$B$60:$F$61,2,FALSE)</f>
        <v>0</v>
      </c>
      <c r="CZ252" s="1225">
        <f>$G252*AE252*Variables!$B$53*HLOOKUP($CO$2,Variables!$B$60:$F$61,2,FALSE)</f>
        <v>0</v>
      </c>
      <c r="DA252" s="1222">
        <f>$G252*AF252*Variables!$B$53*HLOOKUP($DA$2,Variables!$B$60:$F$61,2,FALSE)</f>
        <v>0</v>
      </c>
      <c r="DB252" s="1223">
        <f>$G252*AG252*Variables!$B$53*HLOOKUP($DA$2,Variables!$B$60:$F$61,2,FALSE)</f>
        <v>0</v>
      </c>
      <c r="DC252" s="1223">
        <f>$G252*AH252*Variables!$B$53*HLOOKUP($DA$2,Variables!$B$60:$F$61,2,FALSE)</f>
        <v>0</v>
      </c>
      <c r="DD252" s="1223">
        <f>$G252*AI252*Variables!$B$53*HLOOKUP($DA$2,Variables!$B$60:$F$61,2,FALSE)</f>
        <v>0</v>
      </c>
      <c r="DE252" s="1223">
        <f>$G252*AJ252*Variables!$B$53*HLOOKUP($DA$2,Variables!$B$60:$F$61,2,FALSE)</f>
        <v>0</v>
      </c>
      <c r="DF252" s="1223">
        <f>$G252*AK252*Variables!$B$53*HLOOKUP($DA$2,Variables!$B$60:$F$61,2,FALSE)</f>
        <v>0</v>
      </c>
      <c r="DG252" s="1223">
        <f>$G252*AL252*Variables!$B$53*HLOOKUP($DA$2,Variables!$B$60:$F$61,2,FALSE)</f>
        <v>0</v>
      </c>
      <c r="DH252" s="1223">
        <f>$G252*AM252*Variables!$B$53*HLOOKUP($DA$2,Variables!$B$60:$F$61,2,FALSE)</f>
        <v>0</v>
      </c>
      <c r="DI252" s="1223">
        <f>$G252*AN252*Variables!$B$53*HLOOKUP($DA$2,Variables!$B$60:$F$61,2,FALSE)</f>
        <v>0</v>
      </c>
      <c r="DJ252" s="1223">
        <f>$G252*AO252*Variables!$B$53*HLOOKUP($DA$2,Variables!$B$60:$F$61,2,FALSE)</f>
        <v>0</v>
      </c>
      <c r="DK252" s="1223">
        <f>$G252*AP252*Variables!$B$53*HLOOKUP($DA$2,Variables!$B$60:$F$61,2,FALSE)</f>
        <v>0</v>
      </c>
      <c r="DL252" s="1225">
        <f>$G252*AQ252*Variables!$B$53*HLOOKUP($DA$2,Variables!$B$60:$F$61,2,FALSE)</f>
        <v>0</v>
      </c>
      <c r="DM252" s="1222">
        <f>$G252*AR252*Variables!$B$53*HLOOKUP($DM$2,Variables!$B$60:$F$61,2,FALSE)</f>
        <v>0</v>
      </c>
      <c r="DN252" s="1223">
        <f>$G252*AS252*Variables!$B$53*HLOOKUP($DM$2,Variables!$B$60:$F$61,2,FALSE)</f>
        <v>0</v>
      </c>
      <c r="DO252" s="1223">
        <f>$G252*AT252*Variables!$B$53*HLOOKUP($DM$2,Variables!$B$60:$F$61,2,FALSE)</f>
        <v>0</v>
      </c>
      <c r="DP252" s="1223">
        <f>$G252*AU252*Variables!$B$53*HLOOKUP($DM$2,Variables!$B$60:$F$61,2,FALSE)</f>
        <v>0</v>
      </c>
      <c r="DQ252" s="1223">
        <f>$G252*AV252*Variables!$B$53*HLOOKUP($DM$2,Variables!$B$60:$F$61,2,FALSE)</f>
        <v>0</v>
      </c>
      <c r="DR252" s="1223">
        <f>$G252*AW252*Variables!$B$53*HLOOKUP($DM$2,Variables!$B$60:$F$61,2,FALSE)</f>
        <v>0</v>
      </c>
      <c r="DS252" s="1223">
        <f>$G252*AX252*Variables!$B$53*HLOOKUP($DM$2,Variables!$B$60:$F$61,2,FALSE)</f>
        <v>0</v>
      </c>
      <c r="DT252" s="1223">
        <f>$G252*AY252*Variables!$B$53*HLOOKUP($DM$2,Variables!$B$60:$F$61,2,FALSE)</f>
        <v>0</v>
      </c>
      <c r="DU252" s="1223">
        <f>$G252*AZ252*Variables!$B$53*HLOOKUP($DM$2,Variables!$B$60:$F$61,2,FALSE)</f>
        <v>0</v>
      </c>
      <c r="DV252" s="1223">
        <f>$G252*BA252*Variables!$B$53*HLOOKUP($DM$2,Variables!$B$60:$F$61,2,FALSE)</f>
        <v>0</v>
      </c>
      <c r="DW252" s="1223">
        <f>$G252*BB252*Variables!$B$53*HLOOKUP($DM$2,Variables!$B$60:$F$61,2,FALSE)</f>
        <v>0</v>
      </c>
      <c r="DX252" s="1225">
        <f>$G252*BC252*Variables!$B$53*HLOOKUP($DM$2,Variables!$B$60:$F$61,2,FALSE)</f>
        <v>0</v>
      </c>
      <c r="DY252" s="1222">
        <f>$G252*BD252*Variables!$B$53*HLOOKUP($DY$2,Variables!$B$60:$F$61,2,FALSE)</f>
        <v>0</v>
      </c>
      <c r="DZ252" s="1223">
        <f>$G252*BE252*Variables!$B$53*HLOOKUP($DY$2,Variables!$B$60:$F$61,2,FALSE)</f>
        <v>0</v>
      </c>
      <c r="EA252" s="1223">
        <f>$G252*BF252*Variables!$B$53*HLOOKUP($DY$2,Variables!$B$60:$F$61,2,FALSE)</f>
        <v>0</v>
      </c>
      <c r="EB252" s="1223">
        <f>$G252*BG252*Variables!$B$53*HLOOKUP($DY$2,Variables!$B$60:$F$61,2,FALSE)</f>
        <v>0</v>
      </c>
      <c r="EC252" s="1223">
        <f>$G252*BH252*Variables!$B$53*HLOOKUP($DY$2,Variables!$B$60:$F$61,2,FALSE)</f>
        <v>0</v>
      </c>
      <c r="ED252" s="1223">
        <f>$G252*BI252*Variables!$B$53*HLOOKUP($DY$2,Variables!$B$60:$F$61,2,FALSE)</f>
        <v>0</v>
      </c>
      <c r="EE252" s="1223">
        <f>$G252*BJ252*Variables!$B$53*HLOOKUP($DY$2,Variables!$B$60:$F$61,2,FALSE)</f>
        <v>0</v>
      </c>
      <c r="EF252" s="1223">
        <f>$G252*BK252*Variables!$B$53*HLOOKUP($DY$2,Variables!$B$60:$F$61,2,FALSE)</f>
        <v>0</v>
      </c>
      <c r="EG252" s="1223">
        <f>$G252*BL252*Variables!$B$53*HLOOKUP($DY$2,Variables!$B$60:$F$61,2,FALSE)</f>
        <v>0</v>
      </c>
      <c r="EH252" s="1223">
        <f>$G252*BM252*Variables!$B$53*HLOOKUP($DY$2,Variables!$B$60:$F$61,2,FALSE)</f>
        <v>0</v>
      </c>
      <c r="EI252" s="1223">
        <f>$G252*BN252*Variables!$B$53*HLOOKUP($DY$2,Variables!$B$60:$F$61,2,FALSE)</f>
        <v>0</v>
      </c>
      <c r="EJ252" s="1225">
        <f>$G252*BO252*Variables!$B$53*HLOOKUP($DY$2,Variables!$B$60:$F$61,2,FALSE)</f>
        <v>0</v>
      </c>
      <c r="EK252" s="1222">
        <f>$G252*BP252*Variables!$B$53*HLOOKUP($EK$2,Variables!$B$60:$F$61,2,FALSE)</f>
        <v>0</v>
      </c>
      <c r="EL252" s="1223">
        <f>$G252*BQ252*Variables!$B$53*HLOOKUP($EK$2,Variables!$B$60:$F$61,2,FALSE)</f>
        <v>0</v>
      </c>
      <c r="EM252" s="1223">
        <f>$G252*BR252*Variables!$B$53*HLOOKUP($EK$2,Variables!$B$60:$F$61,2,FALSE)</f>
        <v>0</v>
      </c>
      <c r="EN252" s="1223">
        <f>$G252*BS252*Variables!$B$53*HLOOKUP($EK$2,Variables!$B$60:$F$61,2,FALSE)</f>
        <v>0</v>
      </c>
      <c r="EO252" s="1223">
        <f>$G252*BT252*Variables!$B$53*HLOOKUP($EK$2,Variables!$B$60:$F$61,2,FALSE)</f>
        <v>0</v>
      </c>
      <c r="EP252" s="1223">
        <f>$G252*BU252*Variables!$B$53*HLOOKUP($EK$2,Variables!$B$60:$F$61,2,FALSE)</f>
        <v>0</v>
      </c>
      <c r="EQ252" s="1223">
        <f>$G252*BV252*Variables!$B$53*HLOOKUP($EK$2,Variables!$B$60:$F$61,2,FALSE)</f>
        <v>0</v>
      </c>
      <c r="ER252" s="1223">
        <f>$G252*BW252*Variables!$B$53*HLOOKUP($EK$2,Variables!$B$60:$F$61,2,FALSE)</f>
        <v>0</v>
      </c>
      <c r="ES252" s="1223">
        <f>$G252*BX252*Variables!$B$53*HLOOKUP($EK$2,Variables!$B$60:$F$61,2,FALSE)</f>
        <v>0</v>
      </c>
      <c r="ET252" s="1223">
        <f>$G252*BY252*Variables!$B$53*HLOOKUP($EK$2,Variables!$B$60:$F$61,2,FALSE)</f>
        <v>0</v>
      </c>
      <c r="EU252" s="1223">
        <f>$G252*BZ252*Variables!$B$53*HLOOKUP($EK$2,Variables!$B$60:$F$61,2,FALSE)</f>
        <v>0</v>
      </c>
      <c r="EV252" s="1225">
        <f>$G252*CA252*Variables!$B$53*HLOOKUP($EK$2,Variables!$B$60:$F$61,2,FALSE)</f>
        <v>0</v>
      </c>
      <c r="EW252" s="872">
        <f t="shared" si="29"/>
        <v>0</v>
      </c>
      <c r="EX252" s="872"/>
      <c r="EY252" s="872"/>
      <c r="EZ252" s="872"/>
      <c r="FA252" s="1332"/>
      <c r="FC252" s="958" t="str">
        <f t="shared" si="30"/>
        <v/>
      </c>
      <c r="FD252" s="959" t="str">
        <f t="shared" si="31"/>
        <v/>
      </c>
      <c r="FE252" s="959" t="s">
        <v>8407</v>
      </c>
      <c r="FF252" s="959" t="str">
        <f>IF(ISNA(VLOOKUP(FC252,Miscellaneous!E:F,2,0)),"",VLOOKUP(FC252,Miscellaneous!E:F,2,0))</f>
        <v/>
      </c>
      <c r="FG252" s="959" t="str">
        <f t="shared" si="32"/>
        <v/>
      </c>
      <c r="FH252" s="996">
        <f>IF($FG252="Opex",SUMIF('Monthly Summary'!$C$75:$N$75,"",CC252:CN252),SUMIF('Monthly Summary'!$C$74:$N$74,"",CC252:CN252))</f>
        <v>0</v>
      </c>
      <c r="FI252" s="996">
        <f>IF($FG252="Opex",SUMIF('Monthly Summary'!$O$75:$Z$75,"",CO252:CZ252),SUMIF('Monthly Summary'!$O$74:$Z$74,"",CO252:CZ252))</f>
        <v>0</v>
      </c>
      <c r="FJ252" s="996">
        <f>IF($FG252="Opex",SUMIF('Monthly Summary'!$AA$75:$AL$75,"",DA252:DL252),SUMIF('Monthly Summary'!$AA$74:$AL$74,"",DA252:DL252))</f>
        <v>0</v>
      </c>
      <c r="FK252" s="996">
        <f>IF($FG252="Opex",SUMIF('Monthly Summary'!$AM$75:$AX$75,"",DM252:DX252),SUMIF('Monthly Summary'!$AM$74:$AX$74,"",DM252:DX252))</f>
        <v>0</v>
      </c>
      <c r="FL252" s="996">
        <f>IF($FG252="Opex",SUMIF('Monthly Summary'!$AY$75:$BJ$75,"",DY252:EJ252),SUMIF('Monthly Summary'!$AY$74:$BJ$74,"",DY252:EJ252))</f>
        <v>0</v>
      </c>
      <c r="FM252" s="997">
        <f>IF($FG252="Opex",SUMIF('Monthly Summary'!$BK$75:$BV$75,"",EK252:EV252),SUMIF('Monthly Summary'!$BK$74:$BV$74,"",EK252:EV252))</f>
        <v>0</v>
      </c>
      <c r="FN252" s="997">
        <f t="shared" si="33"/>
        <v>0</v>
      </c>
    </row>
    <row r="253" spans="1:170">
      <c r="C253" s="757"/>
      <c r="D253" s="757"/>
      <c r="E253" s="758"/>
      <c r="F253" s="758"/>
      <c r="G253" s="758"/>
      <c r="H253" s="1215"/>
      <c r="I253" s="761"/>
      <c r="J253" s="761"/>
      <c r="K253" s="761"/>
      <c r="L253" s="761"/>
      <c r="M253" s="761"/>
      <c r="N253" s="761"/>
      <c r="O253" s="761"/>
      <c r="P253" s="761"/>
      <c r="Q253" s="761"/>
      <c r="R253" s="761"/>
      <c r="S253" s="1216"/>
      <c r="T253" s="1215"/>
      <c r="U253" s="761"/>
      <c r="V253" s="761"/>
      <c r="W253" s="761"/>
      <c r="X253" s="761"/>
      <c r="Y253" s="761"/>
      <c r="Z253" s="761"/>
      <c r="AA253" s="761"/>
      <c r="AB253" s="761"/>
      <c r="AC253" s="761"/>
      <c r="AD253" s="761"/>
      <c r="AE253" s="1216"/>
      <c r="AF253" s="1215"/>
      <c r="AG253" s="761"/>
      <c r="AH253" s="761"/>
      <c r="AI253" s="761"/>
      <c r="AJ253" s="761"/>
      <c r="AK253" s="761"/>
      <c r="AL253" s="761"/>
      <c r="AM253" s="761"/>
      <c r="AN253" s="761"/>
      <c r="AO253" s="761"/>
      <c r="AP253" s="761"/>
      <c r="AQ253" s="1216"/>
      <c r="AR253" s="1215"/>
      <c r="AS253" s="761"/>
      <c r="AT253" s="761"/>
      <c r="AU253" s="761"/>
      <c r="AV253" s="761"/>
      <c r="AW253" s="761"/>
      <c r="AX253" s="761"/>
      <c r="AY253" s="761"/>
      <c r="AZ253" s="761"/>
      <c r="BA253" s="761"/>
      <c r="BB253" s="761"/>
      <c r="BC253" s="1216"/>
      <c r="BD253" s="1215"/>
      <c r="BE253" s="761"/>
      <c r="BF253" s="761"/>
      <c r="BG253" s="761"/>
      <c r="BH253" s="761"/>
      <c r="BI253" s="761"/>
      <c r="BJ253" s="761"/>
      <c r="BK253" s="761"/>
      <c r="BL253" s="761"/>
      <c r="BM253" s="761"/>
      <c r="BN253" s="761"/>
      <c r="BO253" s="1216"/>
      <c r="BP253" s="1215"/>
      <c r="BQ253" s="761"/>
      <c r="BR253" s="761"/>
      <c r="BS253" s="761"/>
      <c r="BT253" s="761"/>
      <c r="BU253" s="761"/>
      <c r="BV253" s="761"/>
      <c r="BW253" s="761"/>
      <c r="BX253" s="761"/>
      <c r="BY253" s="761"/>
      <c r="BZ253" s="761"/>
      <c r="CA253" s="1216"/>
      <c r="CB253" s="747"/>
      <c r="CC253" s="1222">
        <f>$G253*H253*Variables!$B$53</f>
        <v>0</v>
      </c>
      <c r="CD253" s="1223">
        <f>$G253*I253*Variables!$B$53</f>
        <v>0</v>
      </c>
      <c r="CE253" s="1223">
        <f>$G253*J253*Variables!$B$53</f>
        <v>0</v>
      </c>
      <c r="CF253" s="1223">
        <f>$G253*K253*Variables!$B$53</f>
        <v>0</v>
      </c>
      <c r="CG253" s="1223">
        <f>$G253*L253*Variables!$B$53</f>
        <v>0</v>
      </c>
      <c r="CH253" s="1223">
        <f>$G253*M253*Variables!$B$53</f>
        <v>0</v>
      </c>
      <c r="CI253" s="1223">
        <f>$G253*N253*Variables!$B$53</f>
        <v>0</v>
      </c>
      <c r="CJ253" s="1223">
        <f>$G253*O253*Variables!$B$53</f>
        <v>0</v>
      </c>
      <c r="CK253" s="1223">
        <f>$G253*P253*Variables!$B$53</f>
        <v>0</v>
      </c>
      <c r="CL253" s="1223">
        <f>$G253*Q253*Variables!$B$53</f>
        <v>0</v>
      </c>
      <c r="CM253" s="1223">
        <f>$G253*R253*Variables!$B$53</f>
        <v>0</v>
      </c>
      <c r="CN253" s="1225">
        <f>$G253*S253*Variables!$B$53</f>
        <v>0</v>
      </c>
      <c r="CO253" s="1222">
        <f>$G253*T253*Variables!$B$53*HLOOKUP($CO$2,Variables!$B$60:$F$61,2,FALSE)</f>
        <v>0</v>
      </c>
      <c r="CP253" s="1223">
        <f>$G253*U253*Variables!$B$53*HLOOKUP($CO$2,Variables!$B$60:$F$61,2,FALSE)</f>
        <v>0</v>
      </c>
      <c r="CQ253" s="1223">
        <f>$G253*V253*Variables!$B$53*HLOOKUP($CO$2,Variables!$B$60:$F$61,2,FALSE)</f>
        <v>0</v>
      </c>
      <c r="CR253" s="1223">
        <f>$G253*W253*Variables!$B$53*HLOOKUP($CO$2,Variables!$B$60:$F$61,2,FALSE)</f>
        <v>0</v>
      </c>
      <c r="CS253" s="1223">
        <f>$G253*X253*Variables!$B$53*HLOOKUP($CO$2,Variables!$B$60:$F$61,2,FALSE)</f>
        <v>0</v>
      </c>
      <c r="CT253" s="1223">
        <f>$G253*Y253*Variables!$B$53*HLOOKUP($CO$2,Variables!$B$60:$F$61,2,FALSE)</f>
        <v>0</v>
      </c>
      <c r="CU253" s="1223">
        <f>$G253*Z253*Variables!$B$53*HLOOKUP($CO$2,Variables!$B$60:$F$61,2,FALSE)</f>
        <v>0</v>
      </c>
      <c r="CV253" s="1223">
        <f>$G253*AA253*Variables!$B$53*HLOOKUP($CO$2,Variables!$B$60:$F$61,2,FALSE)</f>
        <v>0</v>
      </c>
      <c r="CW253" s="1223">
        <f>$G253*AB253*Variables!$B$53*HLOOKUP($CO$2,Variables!$B$60:$F$61,2,FALSE)</f>
        <v>0</v>
      </c>
      <c r="CX253" s="1223">
        <f>$G253*AC253*Variables!$B$53*HLOOKUP($CO$2,Variables!$B$60:$F$61,2,FALSE)</f>
        <v>0</v>
      </c>
      <c r="CY253" s="1223">
        <f>$G253*AD253*Variables!$B$53*HLOOKUP($CO$2,Variables!$B$60:$F$61,2,FALSE)</f>
        <v>0</v>
      </c>
      <c r="CZ253" s="1225">
        <f>$G253*AE253*Variables!$B$53*HLOOKUP($CO$2,Variables!$B$60:$F$61,2,FALSE)</f>
        <v>0</v>
      </c>
      <c r="DA253" s="1222">
        <f>$G253*AF253*Variables!$B$53*HLOOKUP($DA$2,Variables!$B$60:$F$61,2,FALSE)</f>
        <v>0</v>
      </c>
      <c r="DB253" s="1223">
        <f>$G253*AG253*Variables!$B$53*HLOOKUP($DA$2,Variables!$B$60:$F$61,2,FALSE)</f>
        <v>0</v>
      </c>
      <c r="DC253" s="1223">
        <f>$G253*AH253*Variables!$B$53*HLOOKUP($DA$2,Variables!$B$60:$F$61,2,FALSE)</f>
        <v>0</v>
      </c>
      <c r="DD253" s="1223">
        <f>$G253*AI253*Variables!$B$53*HLOOKUP($DA$2,Variables!$B$60:$F$61,2,FALSE)</f>
        <v>0</v>
      </c>
      <c r="DE253" s="1223">
        <f>$G253*AJ253*Variables!$B$53*HLOOKUP($DA$2,Variables!$B$60:$F$61,2,FALSE)</f>
        <v>0</v>
      </c>
      <c r="DF253" s="1223">
        <f>$G253*AK253*Variables!$B$53*HLOOKUP($DA$2,Variables!$B$60:$F$61,2,FALSE)</f>
        <v>0</v>
      </c>
      <c r="DG253" s="1223">
        <f>$G253*AL253*Variables!$B$53*HLOOKUP($DA$2,Variables!$B$60:$F$61,2,FALSE)</f>
        <v>0</v>
      </c>
      <c r="DH253" s="1223">
        <f>$G253*AM253*Variables!$B$53*HLOOKUP($DA$2,Variables!$B$60:$F$61,2,FALSE)</f>
        <v>0</v>
      </c>
      <c r="DI253" s="1223">
        <f>$G253*AN253*Variables!$B$53*HLOOKUP($DA$2,Variables!$B$60:$F$61,2,FALSE)</f>
        <v>0</v>
      </c>
      <c r="DJ253" s="1223">
        <f>$G253*AO253*Variables!$B$53*HLOOKUP($DA$2,Variables!$B$60:$F$61,2,FALSE)</f>
        <v>0</v>
      </c>
      <c r="DK253" s="1223">
        <f>$G253*AP253*Variables!$B$53*HLOOKUP($DA$2,Variables!$B$60:$F$61,2,FALSE)</f>
        <v>0</v>
      </c>
      <c r="DL253" s="1225">
        <f>$G253*AQ253*Variables!$B$53*HLOOKUP($DA$2,Variables!$B$60:$F$61,2,FALSE)</f>
        <v>0</v>
      </c>
      <c r="DM253" s="1222">
        <f>$G253*AR253*Variables!$B$53*HLOOKUP($DM$2,Variables!$B$60:$F$61,2,FALSE)</f>
        <v>0</v>
      </c>
      <c r="DN253" s="1223">
        <f>$G253*AS253*Variables!$B$53*HLOOKUP($DM$2,Variables!$B$60:$F$61,2,FALSE)</f>
        <v>0</v>
      </c>
      <c r="DO253" s="1223">
        <f>$G253*AT253*Variables!$B$53*HLOOKUP($DM$2,Variables!$B$60:$F$61,2,FALSE)</f>
        <v>0</v>
      </c>
      <c r="DP253" s="1223">
        <f>$G253*AU253*Variables!$B$53*HLOOKUP($DM$2,Variables!$B$60:$F$61,2,FALSE)</f>
        <v>0</v>
      </c>
      <c r="DQ253" s="1223">
        <f>$G253*AV253*Variables!$B$53*HLOOKUP($DM$2,Variables!$B$60:$F$61,2,FALSE)</f>
        <v>0</v>
      </c>
      <c r="DR253" s="1223">
        <f>$G253*AW253*Variables!$B$53*HLOOKUP($DM$2,Variables!$B$60:$F$61,2,FALSE)</f>
        <v>0</v>
      </c>
      <c r="DS253" s="1223">
        <f>$G253*AX253*Variables!$B$53*HLOOKUP($DM$2,Variables!$B$60:$F$61,2,FALSE)</f>
        <v>0</v>
      </c>
      <c r="DT253" s="1223">
        <f>$G253*AY253*Variables!$B$53*HLOOKUP($DM$2,Variables!$B$60:$F$61,2,FALSE)</f>
        <v>0</v>
      </c>
      <c r="DU253" s="1223">
        <f>$G253*AZ253*Variables!$B$53*HLOOKUP($DM$2,Variables!$B$60:$F$61,2,FALSE)</f>
        <v>0</v>
      </c>
      <c r="DV253" s="1223">
        <f>$G253*BA253*Variables!$B$53*HLOOKUP($DM$2,Variables!$B$60:$F$61,2,FALSE)</f>
        <v>0</v>
      </c>
      <c r="DW253" s="1223">
        <f>$G253*BB253*Variables!$B$53*HLOOKUP($DM$2,Variables!$B$60:$F$61,2,FALSE)</f>
        <v>0</v>
      </c>
      <c r="DX253" s="1225">
        <f>$G253*BC253*Variables!$B$53*HLOOKUP($DM$2,Variables!$B$60:$F$61,2,FALSE)</f>
        <v>0</v>
      </c>
      <c r="DY253" s="1222">
        <f>$G253*BD253*Variables!$B$53*HLOOKUP($DY$2,Variables!$B$60:$F$61,2,FALSE)</f>
        <v>0</v>
      </c>
      <c r="DZ253" s="1223">
        <f>$G253*BE253*Variables!$B$53*HLOOKUP($DY$2,Variables!$B$60:$F$61,2,FALSE)</f>
        <v>0</v>
      </c>
      <c r="EA253" s="1223">
        <f>$G253*BF253*Variables!$B$53*HLOOKUP($DY$2,Variables!$B$60:$F$61,2,FALSE)</f>
        <v>0</v>
      </c>
      <c r="EB253" s="1223">
        <f>$G253*BG253*Variables!$B$53*HLOOKUP($DY$2,Variables!$B$60:$F$61,2,FALSE)</f>
        <v>0</v>
      </c>
      <c r="EC253" s="1223">
        <f>$G253*BH253*Variables!$B$53*HLOOKUP($DY$2,Variables!$B$60:$F$61,2,FALSE)</f>
        <v>0</v>
      </c>
      <c r="ED253" s="1223">
        <f>$G253*BI253*Variables!$B$53*HLOOKUP($DY$2,Variables!$B$60:$F$61,2,FALSE)</f>
        <v>0</v>
      </c>
      <c r="EE253" s="1223">
        <f>$G253*BJ253*Variables!$B$53*HLOOKUP($DY$2,Variables!$B$60:$F$61,2,FALSE)</f>
        <v>0</v>
      </c>
      <c r="EF253" s="1223">
        <f>$G253*BK253*Variables!$B$53*HLOOKUP($DY$2,Variables!$B$60:$F$61,2,FALSE)</f>
        <v>0</v>
      </c>
      <c r="EG253" s="1223">
        <f>$G253*BL253*Variables!$B$53*HLOOKUP($DY$2,Variables!$B$60:$F$61,2,FALSE)</f>
        <v>0</v>
      </c>
      <c r="EH253" s="1223">
        <f>$G253*BM253*Variables!$B$53*HLOOKUP($DY$2,Variables!$B$60:$F$61,2,FALSE)</f>
        <v>0</v>
      </c>
      <c r="EI253" s="1223">
        <f>$G253*BN253*Variables!$B$53*HLOOKUP($DY$2,Variables!$B$60:$F$61,2,FALSE)</f>
        <v>0</v>
      </c>
      <c r="EJ253" s="1225">
        <f>$G253*BO253*Variables!$B$53*HLOOKUP($DY$2,Variables!$B$60:$F$61,2,FALSE)</f>
        <v>0</v>
      </c>
      <c r="EK253" s="1222">
        <f>$G253*BP253*Variables!$B$53*HLOOKUP($EK$2,Variables!$B$60:$F$61,2,FALSE)</f>
        <v>0</v>
      </c>
      <c r="EL253" s="1223">
        <f>$G253*BQ253*Variables!$B$53*HLOOKUP($EK$2,Variables!$B$60:$F$61,2,FALSE)</f>
        <v>0</v>
      </c>
      <c r="EM253" s="1223">
        <f>$G253*BR253*Variables!$B$53*HLOOKUP($EK$2,Variables!$B$60:$F$61,2,FALSE)</f>
        <v>0</v>
      </c>
      <c r="EN253" s="1223">
        <f>$G253*BS253*Variables!$B$53*HLOOKUP($EK$2,Variables!$B$60:$F$61,2,FALSE)</f>
        <v>0</v>
      </c>
      <c r="EO253" s="1223">
        <f>$G253*BT253*Variables!$B$53*HLOOKUP($EK$2,Variables!$B$60:$F$61,2,FALSE)</f>
        <v>0</v>
      </c>
      <c r="EP253" s="1223">
        <f>$G253*BU253*Variables!$B$53*HLOOKUP($EK$2,Variables!$B$60:$F$61,2,FALSE)</f>
        <v>0</v>
      </c>
      <c r="EQ253" s="1223">
        <f>$G253*BV253*Variables!$B$53*HLOOKUP($EK$2,Variables!$B$60:$F$61,2,FALSE)</f>
        <v>0</v>
      </c>
      <c r="ER253" s="1223">
        <f>$G253*BW253*Variables!$B$53*HLOOKUP($EK$2,Variables!$B$60:$F$61,2,FALSE)</f>
        <v>0</v>
      </c>
      <c r="ES253" s="1223">
        <f>$G253*BX253*Variables!$B$53*HLOOKUP($EK$2,Variables!$B$60:$F$61,2,FALSE)</f>
        <v>0</v>
      </c>
      <c r="ET253" s="1223">
        <f>$G253*BY253*Variables!$B$53*HLOOKUP($EK$2,Variables!$B$60:$F$61,2,FALSE)</f>
        <v>0</v>
      </c>
      <c r="EU253" s="1223">
        <f>$G253*BZ253*Variables!$B$53*HLOOKUP($EK$2,Variables!$B$60:$F$61,2,FALSE)</f>
        <v>0</v>
      </c>
      <c r="EV253" s="1225">
        <f>$G253*CA253*Variables!$B$53*HLOOKUP($EK$2,Variables!$B$60:$F$61,2,FALSE)</f>
        <v>0</v>
      </c>
      <c r="EW253" s="872">
        <f t="shared" si="29"/>
        <v>0</v>
      </c>
      <c r="EX253" s="872"/>
      <c r="EY253" s="872"/>
      <c r="EZ253" s="872"/>
      <c r="FA253" s="1332"/>
      <c r="FC253" s="958" t="str">
        <f t="shared" si="30"/>
        <v/>
      </c>
      <c r="FD253" s="959" t="str">
        <f t="shared" si="31"/>
        <v/>
      </c>
      <c r="FE253" s="959" t="s">
        <v>8407</v>
      </c>
      <c r="FF253" s="959" t="str">
        <f>IF(ISNA(VLOOKUP(FC253,Miscellaneous!E:F,2,0)),"",VLOOKUP(FC253,Miscellaneous!E:F,2,0))</f>
        <v/>
      </c>
      <c r="FG253" s="959" t="str">
        <f t="shared" si="32"/>
        <v/>
      </c>
      <c r="FH253" s="996">
        <f>IF($FG253="Opex",SUMIF('Monthly Summary'!$C$75:$N$75,"",CC253:CN253),SUMIF('Monthly Summary'!$C$74:$N$74,"",CC253:CN253))</f>
        <v>0</v>
      </c>
      <c r="FI253" s="996">
        <f>IF($FG253="Opex",SUMIF('Monthly Summary'!$O$75:$Z$75,"",CO253:CZ253),SUMIF('Monthly Summary'!$O$74:$Z$74,"",CO253:CZ253))</f>
        <v>0</v>
      </c>
      <c r="FJ253" s="996">
        <f>IF($FG253="Opex",SUMIF('Monthly Summary'!$AA$75:$AL$75,"",DA253:DL253),SUMIF('Monthly Summary'!$AA$74:$AL$74,"",DA253:DL253))</f>
        <v>0</v>
      </c>
      <c r="FK253" s="996">
        <f>IF($FG253="Opex",SUMIF('Monthly Summary'!$AM$75:$AX$75,"",DM253:DX253),SUMIF('Monthly Summary'!$AM$74:$AX$74,"",DM253:DX253))</f>
        <v>0</v>
      </c>
      <c r="FL253" s="996">
        <f>IF($FG253="Opex",SUMIF('Monthly Summary'!$AY$75:$BJ$75,"",DY253:EJ253),SUMIF('Monthly Summary'!$AY$74:$BJ$74,"",DY253:EJ253))</f>
        <v>0</v>
      </c>
      <c r="FM253" s="997">
        <f>IF($FG253="Opex",SUMIF('Monthly Summary'!$BK$75:$BV$75,"",EK253:EV253),SUMIF('Monthly Summary'!$BK$74:$BV$74,"",EK253:EV253))</f>
        <v>0</v>
      </c>
      <c r="FN253" s="997">
        <f t="shared" si="33"/>
        <v>0</v>
      </c>
    </row>
    <row r="254" spans="1:170" ht="12.5" thickBot="1">
      <c r="C254" s="757"/>
      <c r="D254" s="757"/>
      <c r="E254" s="758"/>
      <c r="F254" s="758"/>
      <c r="G254" s="758"/>
      <c r="H254" s="1217"/>
      <c r="I254" s="1218"/>
      <c r="J254" s="1218"/>
      <c r="K254" s="1218"/>
      <c r="L254" s="1218"/>
      <c r="M254" s="1218"/>
      <c r="N254" s="1218"/>
      <c r="O254" s="1218"/>
      <c r="P254" s="1218"/>
      <c r="Q254" s="1218"/>
      <c r="R254" s="1218"/>
      <c r="S254" s="1219"/>
      <c r="T254" s="1217"/>
      <c r="U254" s="1218"/>
      <c r="V254" s="1218"/>
      <c r="W254" s="1218"/>
      <c r="X254" s="1218"/>
      <c r="Y254" s="1218"/>
      <c r="Z254" s="1218"/>
      <c r="AA254" s="1218"/>
      <c r="AB254" s="1218"/>
      <c r="AC254" s="1218"/>
      <c r="AD254" s="1218"/>
      <c r="AE254" s="1219"/>
      <c r="AF254" s="1217"/>
      <c r="AG254" s="1218"/>
      <c r="AH254" s="1218"/>
      <c r="AI254" s="1218"/>
      <c r="AJ254" s="1218"/>
      <c r="AK254" s="1218"/>
      <c r="AL254" s="1218"/>
      <c r="AM254" s="1218"/>
      <c r="AN254" s="1218"/>
      <c r="AO254" s="1218"/>
      <c r="AP254" s="1218"/>
      <c r="AQ254" s="1219"/>
      <c r="AR254" s="1217"/>
      <c r="AS254" s="1218"/>
      <c r="AT254" s="1218"/>
      <c r="AU254" s="1218"/>
      <c r="AV254" s="1218"/>
      <c r="AW254" s="1218"/>
      <c r="AX254" s="1218"/>
      <c r="AY254" s="1218"/>
      <c r="AZ254" s="1218"/>
      <c r="BA254" s="1218"/>
      <c r="BB254" s="1218"/>
      <c r="BC254" s="1219"/>
      <c r="BD254" s="1217"/>
      <c r="BE254" s="1218"/>
      <c r="BF254" s="1218"/>
      <c r="BG254" s="1218"/>
      <c r="BH254" s="1218"/>
      <c r="BI254" s="1218"/>
      <c r="BJ254" s="1218"/>
      <c r="BK254" s="1218"/>
      <c r="BL254" s="1218"/>
      <c r="BM254" s="1218"/>
      <c r="BN254" s="1218"/>
      <c r="BO254" s="1219"/>
      <c r="BP254" s="1217"/>
      <c r="BQ254" s="1218"/>
      <c r="BR254" s="1218"/>
      <c r="BS254" s="1218"/>
      <c r="BT254" s="1218"/>
      <c r="BU254" s="1218"/>
      <c r="BV254" s="1218"/>
      <c r="BW254" s="1218"/>
      <c r="BX254" s="1218"/>
      <c r="BY254" s="1218"/>
      <c r="BZ254" s="1218"/>
      <c r="CA254" s="1219"/>
      <c r="CB254" s="747"/>
      <c r="CC254" s="1226">
        <f>$G254*H254*Variables!$B$53</f>
        <v>0</v>
      </c>
      <c r="CD254" s="1227">
        <f>$G254*I254*Variables!$B$53</f>
        <v>0</v>
      </c>
      <c r="CE254" s="1227">
        <f>$G254*J254*Variables!$B$53</f>
        <v>0</v>
      </c>
      <c r="CF254" s="1227">
        <f>$G254*K254*Variables!$B$53</f>
        <v>0</v>
      </c>
      <c r="CG254" s="1227">
        <f>$G254*L254*Variables!$B$53</f>
        <v>0</v>
      </c>
      <c r="CH254" s="1227">
        <f>$G254*M254*Variables!$B$53</f>
        <v>0</v>
      </c>
      <c r="CI254" s="1227">
        <f>$G254*N254*Variables!$B$53</f>
        <v>0</v>
      </c>
      <c r="CJ254" s="1227">
        <f>$G254*O254*Variables!$B$53</f>
        <v>0</v>
      </c>
      <c r="CK254" s="1227">
        <f>$G254*P254*Variables!$B$53</f>
        <v>0</v>
      </c>
      <c r="CL254" s="1227">
        <f>$G254*Q254*Variables!$B$53</f>
        <v>0</v>
      </c>
      <c r="CM254" s="1227">
        <f>$G254*R254*Variables!$B$53</f>
        <v>0</v>
      </c>
      <c r="CN254" s="1228">
        <f>$G254*S254*Variables!$B$53</f>
        <v>0</v>
      </c>
      <c r="CO254" s="1226">
        <f>$G254*T254*Variables!$B$53*HLOOKUP($CO$2,Variables!$B$60:$F$61,2,FALSE)</f>
        <v>0</v>
      </c>
      <c r="CP254" s="1227">
        <f>$G254*U254*Variables!$B$53*HLOOKUP($CO$2,Variables!$B$60:$F$61,2,FALSE)</f>
        <v>0</v>
      </c>
      <c r="CQ254" s="1227">
        <f>$G254*V254*Variables!$B$53*HLOOKUP($CO$2,Variables!$B$60:$F$61,2,FALSE)</f>
        <v>0</v>
      </c>
      <c r="CR254" s="1227">
        <f>$G254*W254*Variables!$B$53*HLOOKUP($CO$2,Variables!$B$60:$F$61,2,FALSE)</f>
        <v>0</v>
      </c>
      <c r="CS254" s="1227">
        <f>$G254*X254*Variables!$B$53*HLOOKUP($CO$2,Variables!$B$60:$F$61,2,FALSE)</f>
        <v>0</v>
      </c>
      <c r="CT254" s="1227">
        <f>$G254*Y254*Variables!$B$53*HLOOKUP($CO$2,Variables!$B$60:$F$61,2,FALSE)</f>
        <v>0</v>
      </c>
      <c r="CU254" s="1227">
        <f>$G254*Z254*Variables!$B$53*HLOOKUP($CO$2,Variables!$B$60:$F$61,2,FALSE)</f>
        <v>0</v>
      </c>
      <c r="CV254" s="1227">
        <f>$G254*AA254*Variables!$B$53*HLOOKUP($CO$2,Variables!$B$60:$F$61,2,FALSE)</f>
        <v>0</v>
      </c>
      <c r="CW254" s="1227">
        <f>$G254*AB254*Variables!$B$53*HLOOKUP($CO$2,Variables!$B$60:$F$61,2,FALSE)</f>
        <v>0</v>
      </c>
      <c r="CX254" s="1227">
        <f>$G254*AC254*Variables!$B$53*HLOOKUP($CO$2,Variables!$B$60:$F$61,2,FALSE)</f>
        <v>0</v>
      </c>
      <c r="CY254" s="1227">
        <f>$G254*AD254*Variables!$B$53*HLOOKUP($CO$2,Variables!$B$60:$F$61,2,FALSE)</f>
        <v>0</v>
      </c>
      <c r="CZ254" s="1228">
        <f>$G254*AE254*Variables!$B$53*HLOOKUP($CO$2,Variables!$B$60:$F$61,2,FALSE)</f>
        <v>0</v>
      </c>
      <c r="DA254" s="1226">
        <f>$G254*AF254*Variables!$B$53*HLOOKUP($DA$2,Variables!$B$60:$F$61,2,FALSE)</f>
        <v>0</v>
      </c>
      <c r="DB254" s="1227">
        <f>$G254*AG254*Variables!$B$53*HLOOKUP($DA$2,Variables!$B$60:$F$61,2,FALSE)</f>
        <v>0</v>
      </c>
      <c r="DC254" s="1227">
        <f>$G254*AH254*Variables!$B$53*HLOOKUP($DA$2,Variables!$B$60:$F$61,2,FALSE)</f>
        <v>0</v>
      </c>
      <c r="DD254" s="1227">
        <f>$G254*AI254*Variables!$B$53*HLOOKUP($DA$2,Variables!$B$60:$F$61,2,FALSE)</f>
        <v>0</v>
      </c>
      <c r="DE254" s="1227">
        <f>$G254*AJ254*Variables!$B$53*HLOOKUP($DA$2,Variables!$B$60:$F$61,2,FALSE)</f>
        <v>0</v>
      </c>
      <c r="DF254" s="1227">
        <f>$G254*AK254*Variables!$B$53*HLOOKUP($DA$2,Variables!$B$60:$F$61,2,FALSE)</f>
        <v>0</v>
      </c>
      <c r="DG254" s="1227">
        <f>$G254*AL254*Variables!$B$53*HLOOKUP($DA$2,Variables!$B$60:$F$61,2,FALSE)</f>
        <v>0</v>
      </c>
      <c r="DH254" s="1227">
        <f>$G254*AM254*Variables!$B$53*HLOOKUP($DA$2,Variables!$B$60:$F$61,2,FALSE)</f>
        <v>0</v>
      </c>
      <c r="DI254" s="1227">
        <f>$G254*AN254*Variables!$B$53*HLOOKUP($DA$2,Variables!$B$60:$F$61,2,FALSE)</f>
        <v>0</v>
      </c>
      <c r="DJ254" s="1227">
        <f>$G254*AO254*Variables!$B$53*HLOOKUP($DA$2,Variables!$B$60:$F$61,2,FALSE)</f>
        <v>0</v>
      </c>
      <c r="DK254" s="1227">
        <f>$G254*AP254*Variables!$B$53*HLOOKUP($DA$2,Variables!$B$60:$F$61,2,FALSE)</f>
        <v>0</v>
      </c>
      <c r="DL254" s="1228">
        <f>$G254*AQ254*Variables!$B$53*HLOOKUP($DA$2,Variables!$B$60:$F$61,2,FALSE)</f>
        <v>0</v>
      </c>
      <c r="DM254" s="1226">
        <f>$G254*AR254*Variables!$B$53*HLOOKUP($DM$2,Variables!$B$60:$F$61,2,FALSE)</f>
        <v>0</v>
      </c>
      <c r="DN254" s="1227">
        <f>$G254*AS254*Variables!$B$53*HLOOKUP($DM$2,Variables!$B$60:$F$61,2,FALSE)</f>
        <v>0</v>
      </c>
      <c r="DO254" s="1227">
        <f>$G254*AT254*Variables!$B$53*HLOOKUP($DM$2,Variables!$B$60:$F$61,2,FALSE)</f>
        <v>0</v>
      </c>
      <c r="DP254" s="1227">
        <f>$G254*AU254*Variables!$B$53*HLOOKUP($DM$2,Variables!$B$60:$F$61,2,FALSE)</f>
        <v>0</v>
      </c>
      <c r="DQ254" s="1227">
        <f>$G254*AV254*Variables!$B$53*HLOOKUP($DM$2,Variables!$B$60:$F$61,2,FALSE)</f>
        <v>0</v>
      </c>
      <c r="DR254" s="1227">
        <f>$G254*AW254*Variables!$B$53*HLOOKUP($DM$2,Variables!$B$60:$F$61,2,FALSE)</f>
        <v>0</v>
      </c>
      <c r="DS254" s="1227">
        <f>$G254*AX254*Variables!$B$53*HLOOKUP($DM$2,Variables!$B$60:$F$61,2,FALSE)</f>
        <v>0</v>
      </c>
      <c r="DT254" s="1227">
        <f>$G254*AY254*Variables!$B$53*HLOOKUP($DM$2,Variables!$B$60:$F$61,2,FALSE)</f>
        <v>0</v>
      </c>
      <c r="DU254" s="1227">
        <f>$G254*AZ254*Variables!$B$53*HLOOKUP($DM$2,Variables!$B$60:$F$61,2,FALSE)</f>
        <v>0</v>
      </c>
      <c r="DV254" s="1227">
        <f>$G254*BA254*Variables!$B$53*HLOOKUP($DM$2,Variables!$B$60:$F$61,2,FALSE)</f>
        <v>0</v>
      </c>
      <c r="DW254" s="1227">
        <f>$G254*BB254*Variables!$B$53*HLOOKUP($DM$2,Variables!$B$60:$F$61,2,FALSE)</f>
        <v>0</v>
      </c>
      <c r="DX254" s="1228">
        <f>$G254*BC254*Variables!$B$53*HLOOKUP($DM$2,Variables!$B$60:$F$61,2,FALSE)</f>
        <v>0</v>
      </c>
      <c r="DY254" s="1226">
        <f>$G254*BD254*Variables!$B$53*HLOOKUP($DY$2,Variables!$B$60:$F$61,2,FALSE)</f>
        <v>0</v>
      </c>
      <c r="DZ254" s="1227">
        <f>$G254*BE254*Variables!$B$53*HLOOKUP($DY$2,Variables!$B$60:$F$61,2,FALSE)</f>
        <v>0</v>
      </c>
      <c r="EA254" s="1227">
        <f>$G254*BF254*Variables!$B$53*HLOOKUP($DY$2,Variables!$B$60:$F$61,2,FALSE)</f>
        <v>0</v>
      </c>
      <c r="EB254" s="1227">
        <f>$G254*BG254*Variables!$B$53*HLOOKUP($DY$2,Variables!$B$60:$F$61,2,FALSE)</f>
        <v>0</v>
      </c>
      <c r="EC254" s="1227">
        <f>$G254*BH254*Variables!$B$53*HLOOKUP($DY$2,Variables!$B$60:$F$61,2,FALSE)</f>
        <v>0</v>
      </c>
      <c r="ED254" s="1227">
        <f>$G254*BI254*Variables!$B$53*HLOOKUP($DY$2,Variables!$B$60:$F$61,2,FALSE)</f>
        <v>0</v>
      </c>
      <c r="EE254" s="1227">
        <f>$G254*BJ254*Variables!$B$53*HLOOKUP($DY$2,Variables!$B$60:$F$61,2,FALSE)</f>
        <v>0</v>
      </c>
      <c r="EF254" s="1227">
        <f>$G254*BK254*Variables!$B$53*HLOOKUP($DY$2,Variables!$B$60:$F$61,2,FALSE)</f>
        <v>0</v>
      </c>
      <c r="EG254" s="1227">
        <f>$G254*BL254*Variables!$B$53*HLOOKUP($DY$2,Variables!$B$60:$F$61,2,FALSE)</f>
        <v>0</v>
      </c>
      <c r="EH254" s="1227">
        <f>$G254*BM254*Variables!$B$53*HLOOKUP($DY$2,Variables!$B$60:$F$61,2,FALSE)</f>
        <v>0</v>
      </c>
      <c r="EI254" s="1227">
        <f>$G254*BN254*Variables!$B$53*HLOOKUP($DY$2,Variables!$B$60:$F$61,2,FALSE)</f>
        <v>0</v>
      </c>
      <c r="EJ254" s="1228">
        <f>$G254*BO254*Variables!$B$53*HLOOKUP($DY$2,Variables!$B$60:$F$61,2,FALSE)</f>
        <v>0</v>
      </c>
      <c r="EK254" s="1226">
        <f>$G254*BP254*Variables!$B$53*HLOOKUP($EK$2,Variables!$B$60:$F$61,2,FALSE)</f>
        <v>0</v>
      </c>
      <c r="EL254" s="1227">
        <f>$G254*BQ254*Variables!$B$53*HLOOKUP($EK$2,Variables!$B$60:$F$61,2,FALSE)</f>
        <v>0</v>
      </c>
      <c r="EM254" s="1227">
        <f>$G254*BR254*Variables!$B$53*HLOOKUP($EK$2,Variables!$B$60:$F$61,2,FALSE)</f>
        <v>0</v>
      </c>
      <c r="EN254" s="1227">
        <f>$G254*BS254*Variables!$B$53*HLOOKUP($EK$2,Variables!$B$60:$F$61,2,FALSE)</f>
        <v>0</v>
      </c>
      <c r="EO254" s="1227">
        <f>$G254*BT254*Variables!$B$53*HLOOKUP($EK$2,Variables!$B$60:$F$61,2,FALSE)</f>
        <v>0</v>
      </c>
      <c r="EP254" s="1227">
        <f>$G254*BU254*Variables!$B$53*HLOOKUP($EK$2,Variables!$B$60:$F$61,2,FALSE)</f>
        <v>0</v>
      </c>
      <c r="EQ254" s="1227">
        <f>$G254*BV254*Variables!$B$53*HLOOKUP($EK$2,Variables!$B$60:$F$61,2,FALSE)</f>
        <v>0</v>
      </c>
      <c r="ER254" s="1227">
        <f>$G254*BW254*Variables!$B$53*HLOOKUP($EK$2,Variables!$B$60:$F$61,2,FALSE)</f>
        <v>0</v>
      </c>
      <c r="ES254" s="1227">
        <f>$G254*BX254*Variables!$B$53*HLOOKUP($EK$2,Variables!$B$60:$F$61,2,FALSE)</f>
        <v>0</v>
      </c>
      <c r="ET254" s="1227">
        <f>$G254*BY254*Variables!$B$53*HLOOKUP($EK$2,Variables!$B$60:$F$61,2,FALSE)</f>
        <v>0</v>
      </c>
      <c r="EU254" s="1227">
        <f>$G254*BZ254*Variables!$B$53*HLOOKUP($EK$2,Variables!$B$60:$F$61,2,FALSE)</f>
        <v>0</v>
      </c>
      <c r="EV254" s="1228">
        <f>$G254*CA254*Variables!$B$53*HLOOKUP($EK$2,Variables!$B$60:$F$61,2,FALSE)</f>
        <v>0</v>
      </c>
      <c r="EW254" s="872">
        <f>SUM(CC254:EV254)</f>
        <v>0</v>
      </c>
      <c r="EX254" s="872"/>
      <c r="EY254" s="872"/>
      <c r="EZ254" s="872"/>
      <c r="FA254" s="1367"/>
      <c r="FC254" s="960" t="str">
        <f t="shared" si="19"/>
        <v/>
      </c>
      <c r="FD254" s="961" t="str">
        <f t="shared" si="20"/>
        <v/>
      </c>
      <c r="FE254" s="961" t="s">
        <v>8407</v>
      </c>
      <c r="FF254" s="961" t="str">
        <f>IF(ISNA(VLOOKUP(FC254,Miscellaneous!E:F,2,0)),"",VLOOKUP(FC254,Miscellaneous!E:F,2,0))</f>
        <v/>
      </c>
      <c r="FG254" s="961" t="str">
        <f t="shared" si="21"/>
        <v/>
      </c>
      <c r="FH254" s="998">
        <f>IF($FG254="Opex",SUMIF('Monthly Summary'!$C$75:$N$75,"",CC254:CN254),SUMIF('Monthly Summary'!$C$74:$N$74,"",CC254:CN254))</f>
        <v>0</v>
      </c>
      <c r="FI254" s="998">
        <f>IF($FG254="Opex",SUMIF('Monthly Summary'!$O$75:$Z$75,"",CO254:CZ254),SUMIF('Monthly Summary'!$O$74:$Z$74,"",CO254:CZ254))</f>
        <v>0</v>
      </c>
      <c r="FJ254" s="998">
        <f>IF($FG254="Opex",SUMIF('Monthly Summary'!$AA$75:$AL$75,"",DA254:DL254),SUMIF('Monthly Summary'!$AA$74:$AL$74,"",DA254:DL254))</f>
        <v>0</v>
      </c>
      <c r="FK254" s="998">
        <f>IF($FG254="Opex",SUMIF('Monthly Summary'!$AM$75:$AX$75,"",DM254:DX254),SUMIF('Monthly Summary'!$AM$74:$AX$74,"",DM254:DX254))</f>
        <v>0</v>
      </c>
      <c r="FL254" s="998">
        <f>IF($FG254="Opex",SUMIF('Monthly Summary'!$AY$75:$BJ$75,"",DY254:EJ254),SUMIF('Monthly Summary'!$AY$74:$BJ$74,"",DY254:EJ254))</f>
        <v>0</v>
      </c>
      <c r="FM254" s="999">
        <f>IF($FG254="Opex",SUMIF('Monthly Summary'!$BK$75:$BV$75,"",EK254:EV254),SUMIF('Monthly Summary'!$BK$74:$BV$74,"",EK254:EV254))</f>
        <v>0</v>
      </c>
      <c r="FN254" s="997">
        <f t="shared" si="22"/>
        <v>0</v>
      </c>
    </row>
    <row r="255" spans="1:170" ht="15" thickTop="1">
      <c r="A255" s="747"/>
      <c r="B255" s="747"/>
      <c r="C255" s="747"/>
      <c r="D255" s="747"/>
      <c r="E255" s="747"/>
      <c r="F255" s="763"/>
      <c r="G255" s="747"/>
      <c r="H255" s="764"/>
      <c r="I255" s="747"/>
      <c r="J255" s="747"/>
      <c r="K255" s="747"/>
      <c r="L255" s="747"/>
      <c r="M255" s="747"/>
      <c r="N255" s="747"/>
      <c r="O255" s="747"/>
      <c r="P255" s="747"/>
      <c r="Q255" s="747"/>
      <c r="R255" s="747"/>
      <c r="S255" s="765"/>
      <c r="T255" s="764"/>
      <c r="U255" s="747"/>
      <c r="V255" s="747"/>
      <c r="W255" s="747"/>
      <c r="X255" s="747"/>
      <c r="Y255" s="747"/>
      <c r="Z255" s="747"/>
      <c r="AA255" s="747"/>
      <c r="AB255" s="747"/>
      <c r="AC255" s="747"/>
      <c r="AD255" s="747"/>
      <c r="AE255" s="765"/>
      <c r="AF255" s="764"/>
      <c r="AG255" s="747"/>
      <c r="AH255" s="747"/>
      <c r="AI255" s="747"/>
      <c r="AJ255" s="747"/>
      <c r="AK255" s="747"/>
      <c r="AL255" s="747"/>
      <c r="AM255" s="747"/>
      <c r="AN255" s="747"/>
      <c r="AO255" s="747"/>
      <c r="AP255" s="747"/>
      <c r="AQ255" s="765"/>
      <c r="AR255" s="747"/>
      <c r="AS255" s="747"/>
      <c r="AT255" s="747"/>
      <c r="AU255" s="747"/>
      <c r="AV255" s="747"/>
      <c r="AW255" s="747"/>
      <c r="AX255" s="747"/>
      <c r="AY255" s="747"/>
      <c r="AZ255" s="747"/>
      <c r="BA255" s="747"/>
      <c r="BB255" s="747"/>
      <c r="BC255" s="747"/>
      <c r="BD255" s="764"/>
      <c r="BE255" s="747"/>
      <c r="BF255" s="747"/>
      <c r="BG255" s="747"/>
      <c r="BH255" s="747"/>
      <c r="BI255" s="747"/>
      <c r="BJ255" s="747"/>
      <c r="BK255" s="747"/>
      <c r="BL255" s="747"/>
      <c r="BM255" s="747"/>
      <c r="BN255" s="747"/>
      <c r="BO255" s="765"/>
      <c r="BP255" s="747"/>
      <c r="BQ255" s="747"/>
      <c r="BR255" s="747"/>
      <c r="BS255" s="747"/>
      <c r="BT255" s="747"/>
      <c r="BU255" s="747"/>
      <c r="BV255" s="747"/>
      <c r="BW255" s="747"/>
      <c r="BX255" s="747"/>
      <c r="BY255" s="747"/>
      <c r="BZ255" s="747"/>
      <c r="CA255" s="747"/>
      <c r="CB255" s="747"/>
      <c r="CC255" s="747"/>
      <c r="CD255" s="747"/>
      <c r="CE255" s="747"/>
      <c r="CF255" s="747"/>
      <c r="CG255" s="747"/>
      <c r="CH255" s="747"/>
      <c r="CI255" s="747"/>
      <c r="CJ255" s="747"/>
      <c r="CK255" s="747"/>
      <c r="CL255" s="747"/>
      <c r="CM255" s="747"/>
      <c r="CN255" s="765"/>
      <c r="CO255" s="747"/>
      <c r="CP255" s="747"/>
      <c r="CQ255" s="747"/>
      <c r="CR255" s="747"/>
      <c r="CS255" s="747"/>
      <c r="CT255" s="747"/>
      <c r="CU255" s="747"/>
      <c r="CV255" s="747"/>
      <c r="CW255" s="747"/>
      <c r="CX255" s="747"/>
      <c r="CY255" s="747"/>
      <c r="CZ255" s="765"/>
      <c r="DA255" s="747"/>
      <c r="DB255" s="747"/>
      <c r="DC255" s="747"/>
      <c r="DD255" s="747"/>
      <c r="DE255" s="747"/>
      <c r="DF255" s="747"/>
      <c r="DG255" s="747"/>
      <c r="DH255" s="747"/>
      <c r="DI255" s="747"/>
      <c r="DJ255" s="747"/>
      <c r="DK255" s="747"/>
      <c r="DL255" s="765"/>
      <c r="DM255" s="747"/>
      <c r="DN255" s="747"/>
      <c r="DO255" s="747"/>
      <c r="DP255" s="747"/>
      <c r="DQ255" s="747"/>
      <c r="DR255" s="747"/>
      <c r="DS255" s="747"/>
      <c r="DT255" s="747"/>
      <c r="DU255" s="747"/>
      <c r="DV255" s="747"/>
      <c r="DW255" s="747"/>
      <c r="DX255" s="765"/>
      <c r="DY255" s="747"/>
      <c r="DZ255" s="747"/>
      <c r="EA255" s="747"/>
      <c r="EB255" s="747"/>
      <c r="EC255" s="747"/>
      <c r="ED255" s="747"/>
      <c r="EE255" s="747"/>
      <c r="EF255" s="747"/>
      <c r="EG255" s="747"/>
      <c r="EH255" s="747"/>
      <c r="EI255" s="747"/>
      <c r="EJ255" s="765"/>
      <c r="EK255" s="747"/>
      <c r="EL255" s="747"/>
      <c r="EM255" s="747"/>
      <c r="EN255" s="747"/>
      <c r="EO255" s="747"/>
      <c r="EP255" s="747"/>
      <c r="EQ255" s="747"/>
      <c r="ER255" s="747"/>
      <c r="ES255" s="747"/>
      <c r="ET255" s="747"/>
      <c r="EU255" s="747"/>
      <c r="EV255" s="765"/>
      <c r="EW255" s="747"/>
      <c r="EX255" s="747"/>
      <c r="EY255" s="747"/>
      <c r="EZ255" s="747"/>
      <c r="FC255" s="1256" t="s">
        <v>18</v>
      </c>
      <c r="FD255" s="1257"/>
      <c r="FE255" s="1257"/>
      <c r="FF255" s="1257"/>
      <c r="FG255" s="1257"/>
      <c r="FH255" s="1258">
        <f>SUBTOTAL(9,FH5:FH254)</f>
        <v>97600</v>
      </c>
      <c r="FI255" s="1258">
        <f t="shared" ref="FI255:FM255" si="34">SUBTOTAL(9,FI5:FI254)</f>
        <v>0</v>
      </c>
      <c r="FJ255" s="1258">
        <f t="shared" si="34"/>
        <v>0</v>
      </c>
      <c r="FK255" s="1258">
        <f t="shared" si="34"/>
        <v>0</v>
      </c>
      <c r="FL255" s="1258">
        <f t="shared" si="34"/>
        <v>0</v>
      </c>
      <c r="FM255" s="1258">
        <f t="shared" si="34"/>
        <v>0</v>
      </c>
      <c r="FN255" s="1259">
        <f>SUBTOTAL(9,FN5:FN254)</f>
        <v>97600</v>
      </c>
    </row>
    <row r="256" spans="1:170">
      <c r="A256" s="745"/>
      <c r="B256" s="745"/>
      <c r="C256" s="745"/>
      <c r="D256" s="766" t="s">
        <v>18</v>
      </c>
      <c r="E256" s="766" t="str">
        <f>Variables!$A$38</f>
        <v>NG IT</v>
      </c>
      <c r="F256" s="766" t="s">
        <v>20</v>
      </c>
      <c r="G256" s="745"/>
      <c r="H256" s="767">
        <f t="shared" ref="H256:Q257" si="35">SUMIFS(H$5:H$254,$E$5:$E$254,$E256,$F$5:$F$254,$F256)</f>
        <v>0</v>
      </c>
      <c r="I256" s="768">
        <f t="shared" si="35"/>
        <v>0</v>
      </c>
      <c r="J256" s="768">
        <f t="shared" si="35"/>
        <v>0</v>
      </c>
      <c r="K256" s="768">
        <f t="shared" si="35"/>
        <v>0</v>
      </c>
      <c r="L256" s="768">
        <f t="shared" si="35"/>
        <v>0</v>
      </c>
      <c r="M256" s="768">
        <f t="shared" si="35"/>
        <v>0</v>
      </c>
      <c r="N256" s="768">
        <f t="shared" si="35"/>
        <v>0</v>
      </c>
      <c r="O256" s="768">
        <f t="shared" si="35"/>
        <v>0</v>
      </c>
      <c r="P256" s="768">
        <f t="shared" si="35"/>
        <v>0</v>
      </c>
      <c r="Q256" s="768">
        <f t="shared" si="35"/>
        <v>0</v>
      </c>
      <c r="R256" s="768">
        <f t="shared" ref="R256:AA257" si="36">SUMIFS(R$5:R$254,$E$5:$E$254,$E256,$F$5:$F$254,$F256)</f>
        <v>0</v>
      </c>
      <c r="S256" s="769">
        <f t="shared" si="36"/>
        <v>0</v>
      </c>
      <c r="T256" s="770">
        <f t="shared" si="36"/>
        <v>0</v>
      </c>
      <c r="U256" s="768">
        <f t="shared" si="36"/>
        <v>0</v>
      </c>
      <c r="V256" s="768">
        <f t="shared" si="36"/>
        <v>0</v>
      </c>
      <c r="W256" s="768">
        <f t="shared" si="36"/>
        <v>0</v>
      </c>
      <c r="X256" s="768">
        <f t="shared" si="36"/>
        <v>0</v>
      </c>
      <c r="Y256" s="768">
        <f t="shared" si="36"/>
        <v>0</v>
      </c>
      <c r="Z256" s="768">
        <f t="shared" si="36"/>
        <v>0</v>
      </c>
      <c r="AA256" s="768">
        <f t="shared" si="36"/>
        <v>0</v>
      </c>
      <c r="AB256" s="768">
        <f t="shared" ref="AB256:AK257" si="37">SUMIFS(AB$5:AB$254,$E$5:$E$254,$E256,$F$5:$F$254,$F256)</f>
        <v>0</v>
      </c>
      <c r="AC256" s="768">
        <f t="shared" si="37"/>
        <v>0</v>
      </c>
      <c r="AD256" s="768">
        <f t="shared" si="37"/>
        <v>0</v>
      </c>
      <c r="AE256" s="769">
        <f t="shared" si="37"/>
        <v>0</v>
      </c>
      <c r="AF256" s="770">
        <f t="shared" si="37"/>
        <v>0</v>
      </c>
      <c r="AG256" s="768">
        <f t="shared" si="37"/>
        <v>0</v>
      </c>
      <c r="AH256" s="768">
        <f t="shared" si="37"/>
        <v>0</v>
      </c>
      <c r="AI256" s="768">
        <f t="shared" si="37"/>
        <v>0</v>
      </c>
      <c r="AJ256" s="768">
        <f t="shared" si="37"/>
        <v>0</v>
      </c>
      <c r="AK256" s="768">
        <f t="shared" si="37"/>
        <v>0</v>
      </c>
      <c r="AL256" s="768">
        <f t="shared" ref="AL256:AU257" si="38">SUMIFS(AL$5:AL$254,$E$5:$E$254,$E256,$F$5:$F$254,$F256)</f>
        <v>0</v>
      </c>
      <c r="AM256" s="768">
        <f t="shared" si="38"/>
        <v>0</v>
      </c>
      <c r="AN256" s="768">
        <f t="shared" si="38"/>
        <v>0</v>
      </c>
      <c r="AO256" s="768">
        <f t="shared" si="38"/>
        <v>0</v>
      </c>
      <c r="AP256" s="768">
        <f t="shared" si="38"/>
        <v>0</v>
      </c>
      <c r="AQ256" s="769">
        <f t="shared" si="38"/>
        <v>0</v>
      </c>
      <c r="AR256" s="768">
        <f t="shared" si="38"/>
        <v>0</v>
      </c>
      <c r="AS256" s="768">
        <f t="shared" si="38"/>
        <v>0</v>
      </c>
      <c r="AT256" s="768">
        <f t="shared" si="38"/>
        <v>0</v>
      </c>
      <c r="AU256" s="768">
        <f t="shared" si="38"/>
        <v>0</v>
      </c>
      <c r="AV256" s="768">
        <f t="shared" ref="AV256:BE257" si="39">SUMIFS(AV$5:AV$254,$E$5:$E$254,$E256,$F$5:$F$254,$F256)</f>
        <v>0</v>
      </c>
      <c r="AW256" s="768">
        <f t="shared" si="39"/>
        <v>0</v>
      </c>
      <c r="AX256" s="768">
        <f t="shared" si="39"/>
        <v>0</v>
      </c>
      <c r="AY256" s="768">
        <f t="shared" si="39"/>
        <v>0</v>
      </c>
      <c r="AZ256" s="768">
        <f t="shared" si="39"/>
        <v>0</v>
      </c>
      <c r="BA256" s="768">
        <f t="shared" si="39"/>
        <v>0</v>
      </c>
      <c r="BB256" s="768">
        <f t="shared" si="39"/>
        <v>0</v>
      </c>
      <c r="BC256" s="768">
        <f t="shared" si="39"/>
        <v>0</v>
      </c>
      <c r="BD256" s="770">
        <f t="shared" si="39"/>
        <v>0</v>
      </c>
      <c r="BE256" s="768">
        <f t="shared" si="39"/>
        <v>0</v>
      </c>
      <c r="BF256" s="768">
        <f t="shared" ref="BF256:BO257" si="40">SUMIFS(BF$5:BF$254,$E$5:$E$254,$E256,$F$5:$F$254,$F256)</f>
        <v>0</v>
      </c>
      <c r="BG256" s="768">
        <f t="shared" si="40"/>
        <v>0</v>
      </c>
      <c r="BH256" s="768">
        <f t="shared" si="40"/>
        <v>0</v>
      </c>
      <c r="BI256" s="768">
        <f t="shared" si="40"/>
        <v>0</v>
      </c>
      <c r="BJ256" s="768">
        <f t="shared" si="40"/>
        <v>0</v>
      </c>
      <c r="BK256" s="768">
        <f t="shared" si="40"/>
        <v>0</v>
      </c>
      <c r="BL256" s="768">
        <f t="shared" si="40"/>
        <v>0</v>
      </c>
      <c r="BM256" s="768">
        <f t="shared" si="40"/>
        <v>0</v>
      </c>
      <c r="BN256" s="768">
        <f t="shared" si="40"/>
        <v>0</v>
      </c>
      <c r="BO256" s="769">
        <f t="shared" si="40"/>
        <v>0</v>
      </c>
      <c r="BP256" s="768">
        <f t="shared" ref="BP256:CA257" si="41">SUMIFS(BP$5:BP$254,$E$5:$E$254,$E256,$F$5:$F$254,$F256)</f>
        <v>0</v>
      </c>
      <c r="BQ256" s="768">
        <f t="shared" si="41"/>
        <v>0</v>
      </c>
      <c r="BR256" s="768">
        <f t="shared" si="41"/>
        <v>0</v>
      </c>
      <c r="BS256" s="768">
        <f t="shared" si="41"/>
        <v>0</v>
      </c>
      <c r="BT256" s="768">
        <f t="shared" si="41"/>
        <v>0</v>
      </c>
      <c r="BU256" s="768">
        <f t="shared" si="41"/>
        <v>0</v>
      </c>
      <c r="BV256" s="768">
        <f t="shared" si="41"/>
        <v>0</v>
      </c>
      <c r="BW256" s="768">
        <f t="shared" si="41"/>
        <v>0</v>
      </c>
      <c r="BX256" s="768">
        <f t="shared" si="41"/>
        <v>0</v>
      </c>
      <c r="BY256" s="768">
        <f t="shared" si="41"/>
        <v>0</v>
      </c>
      <c r="BZ256" s="768">
        <f t="shared" si="41"/>
        <v>0</v>
      </c>
      <c r="CA256" s="768">
        <f t="shared" si="41"/>
        <v>0</v>
      </c>
      <c r="CB256" s="747"/>
      <c r="CC256" s="872">
        <f t="shared" ref="CC256:DH256" si="42">SUMIFS(CC$5:CC$254,$E$5:$E$254,$E256,$F$5:$F$254,$F256)</f>
        <v>0</v>
      </c>
      <c r="CD256" s="872">
        <f t="shared" si="42"/>
        <v>0</v>
      </c>
      <c r="CE256" s="872">
        <f t="shared" si="42"/>
        <v>0</v>
      </c>
      <c r="CF256" s="872">
        <f t="shared" si="42"/>
        <v>0</v>
      </c>
      <c r="CG256" s="872">
        <f t="shared" si="42"/>
        <v>0</v>
      </c>
      <c r="CH256" s="872">
        <f t="shared" si="42"/>
        <v>0</v>
      </c>
      <c r="CI256" s="872">
        <f t="shared" si="42"/>
        <v>0</v>
      </c>
      <c r="CJ256" s="872">
        <f t="shared" si="42"/>
        <v>0</v>
      </c>
      <c r="CK256" s="872">
        <f t="shared" si="42"/>
        <v>0</v>
      </c>
      <c r="CL256" s="872">
        <f t="shared" si="42"/>
        <v>0</v>
      </c>
      <c r="CM256" s="872">
        <f t="shared" si="42"/>
        <v>0</v>
      </c>
      <c r="CN256" s="873">
        <f t="shared" si="42"/>
        <v>0</v>
      </c>
      <c r="CO256" s="872">
        <f t="shared" si="42"/>
        <v>0</v>
      </c>
      <c r="CP256" s="872">
        <f t="shared" si="42"/>
        <v>0</v>
      </c>
      <c r="CQ256" s="872">
        <f t="shared" si="42"/>
        <v>0</v>
      </c>
      <c r="CR256" s="872">
        <f t="shared" si="42"/>
        <v>0</v>
      </c>
      <c r="CS256" s="872">
        <f t="shared" si="42"/>
        <v>0</v>
      </c>
      <c r="CT256" s="872">
        <f t="shared" si="42"/>
        <v>0</v>
      </c>
      <c r="CU256" s="872">
        <f t="shared" si="42"/>
        <v>0</v>
      </c>
      <c r="CV256" s="872">
        <f t="shared" si="42"/>
        <v>0</v>
      </c>
      <c r="CW256" s="872">
        <f t="shared" si="42"/>
        <v>0</v>
      </c>
      <c r="CX256" s="872">
        <f t="shared" si="42"/>
        <v>0</v>
      </c>
      <c r="CY256" s="872">
        <f t="shared" si="42"/>
        <v>0</v>
      </c>
      <c r="CZ256" s="873">
        <f t="shared" si="42"/>
        <v>0</v>
      </c>
      <c r="DA256" s="872">
        <f t="shared" si="42"/>
        <v>0</v>
      </c>
      <c r="DB256" s="872">
        <f t="shared" si="42"/>
        <v>0</v>
      </c>
      <c r="DC256" s="872">
        <f t="shared" si="42"/>
        <v>0</v>
      </c>
      <c r="DD256" s="872">
        <f t="shared" si="42"/>
        <v>0</v>
      </c>
      <c r="DE256" s="872">
        <f t="shared" si="42"/>
        <v>0</v>
      </c>
      <c r="DF256" s="872">
        <f t="shared" si="42"/>
        <v>0</v>
      </c>
      <c r="DG256" s="872">
        <f t="shared" si="42"/>
        <v>0</v>
      </c>
      <c r="DH256" s="872">
        <f t="shared" si="42"/>
        <v>0</v>
      </c>
      <c r="DI256" s="872">
        <f t="shared" ref="DI256:EN256" si="43">SUMIFS(DI$5:DI$254,$E$5:$E$254,$E256,$F$5:$F$254,$F256)</f>
        <v>0</v>
      </c>
      <c r="DJ256" s="872">
        <f t="shared" si="43"/>
        <v>0</v>
      </c>
      <c r="DK256" s="872">
        <f t="shared" si="43"/>
        <v>0</v>
      </c>
      <c r="DL256" s="873">
        <f t="shared" si="43"/>
        <v>0</v>
      </c>
      <c r="DM256" s="872">
        <f t="shared" si="43"/>
        <v>0</v>
      </c>
      <c r="DN256" s="872">
        <f t="shared" si="43"/>
        <v>0</v>
      </c>
      <c r="DO256" s="872">
        <f t="shared" si="43"/>
        <v>0</v>
      </c>
      <c r="DP256" s="872">
        <f t="shared" si="43"/>
        <v>0</v>
      </c>
      <c r="DQ256" s="872">
        <f t="shared" si="43"/>
        <v>0</v>
      </c>
      <c r="DR256" s="872">
        <f t="shared" si="43"/>
        <v>0</v>
      </c>
      <c r="DS256" s="872">
        <f t="shared" si="43"/>
        <v>0</v>
      </c>
      <c r="DT256" s="872">
        <f t="shared" si="43"/>
        <v>0</v>
      </c>
      <c r="DU256" s="872">
        <f t="shared" si="43"/>
        <v>0</v>
      </c>
      <c r="DV256" s="872">
        <f t="shared" si="43"/>
        <v>0</v>
      </c>
      <c r="DW256" s="872">
        <f t="shared" si="43"/>
        <v>0</v>
      </c>
      <c r="DX256" s="873">
        <f t="shared" si="43"/>
        <v>0</v>
      </c>
      <c r="DY256" s="872">
        <f t="shared" si="43"/>
        <v>0</v>
      </c>
      <c r="DZ256" s="872">
        <f t="shared" si="43"/>
        <v>0</v>
      </c>
      <c r="EA256" s="872">
        <f t="shared" si="43"/>
        <v>0</v>
      </c>
      <c r="EB256" s="872">
        <f t="shared" si="43"/>
        <v>0</v>
      </c>
      <c r="EC256" s="872">
        <f t="shared" si="43"/>
        <v>0</v>
      </c>
      <c r="ED256" s="872">
        <f t="shared" si="43"/>
        <v>0</v>
      </c>
      <c r="EE256" s="872">
        <f t="shared" si="43"/>
        <v>0</v>
      </c>
      <c r="EF256" s="872">
        <f t="shared" si="43"/>
        <v>0</v>
      </c>
      <c r="EG256" s="872">
        <f t="shared" si="43"/>
        <v>0</v>
      </c>
      <c r="EH256" s="872">
        <f t="shared" si="43"/>
        <v>0</v>
      </c>
      <c r="EI256" s="872">
        <f t="shared" si="43"/>
        <v>0</v>
      </c>
      <c r="EJ256" s="873">
        <f t="shared" si="43"/>
        <v>0</v>
      </c>
      <c r="EK256" s="872">
        <f t="shared" si="43"/>
        <v>0</v>
      </c>
      <c r="EL256" s="872">
        <f t="shared" si="43"/>
        <v>0</v>
      </c>
      <c r="EM256" s="872">
        <f t="shared" si="43"/>
        <v>0</v>
      </c>
      <c r="EN256" s="872">
        <f t="shared" si="43"/>
        <v>0</v>
      </c>
      <c r="EO256" s="872">
        <f t="shared" ref="EO256:EV256" si="44">SUMIFS(EO$5:EO$254,$E$5:$E$254,$E256,$F$5:$F$254,$F256)</f>
        <v>0</v>
      </c>
      <c r="EP256" s="872">
        <f t="shared" si="44"/>
        <v>0</v>
      </c>
      <c r="EQ256" s="872">
        <f t="shared" si="44"/>
        <v>0</v>
      </c>
      <c r="ER256" s="872">
        <f t="shared" si="44"/>
        <v>0</v>
      </c>
      <c r="ES256" s="872">
        <f t="shared" si="44"/>
        <v>0</v>
      </c>
      <c r="ET256" s="872">
        <f t="shared" si="44"/>
        <v>0</v>
      </c>
      <c r="EU256" s="872">
        <f t="shared" si="44"/>
        <v>0</v>
      </c>
      <c r="EV256" s="873">
        <f t="shared" si="44"/>
        <v>0</v>
      </c>
      <c r="EW256" s="872">
        <f>SUM(CC256:EV256)</f>
        <v>0</v>
      </c>
      <c r="EX256" s="771"/>
      <c r="EY256" s="1563"/>
      <c r="EZ256" s="872">
        <f>SUMIF('Monthly Summary'!$C$75:BV$75,"",'Resource Costs'!$CC256:EV256)</f>
        <v>0</v>
      </c>
    </row>
    <row r="257" spans="1:156">
      <c r="A257" s="745"/>
      <c r="B257" s="745"/>
      <c r="C257" s="745"/>
      <c r="D257" s="766" t="s">
        <v>18</v>
      </c>
      <c r="E257" s="766" t="str">
        <f>Variables!$A$38</f>
        <v>NG IT</v>
      </c>
      <c r="F257" s="766" t="s">
        <v>21</v>
      </c>
      <c r="G257" s="745"/>
      <c r="H257" s="767">
        <f t="shared" si="35"/>
        <v>0</v>
      </c>
      <c r="I257" s="768">
        <f t="shared" si="35"/>
        <v>0</v>
      </c>
      <c r="J257" s="768">
        <f t="shared" si="35"/>
        <v>0</v>
      </c>
      <c r="K257" s="768">
        <f t="shared" si="35"/>
        <v>1</v>
      </c>
      <c r="L257" s="768">
        <f t="shared" si="35"/>
        <v>1</v>
      </c>
      <c r="M257" s="768">
        <f t="shared" si="35"/>
        <v>1</v>
      </c>
      <c r="N257" s="768">
        <f t="shared" si="35"/>
        <v>1</v>
      </c>
      <c r="O257" s="768">
        <f t="shared" si="35"/>
        <v>0</v>
      </c>
      <c r="P257" s="768">
        <f t="shared" si="35"/>
        <v>0</v>
      </c>
      <c r="Q257" s="768">
        <f t="shared" si="35"/>
        <v>0</v>
      </c>
      <c r="R257" s="768">
        <f t="shared" si="36"/>
        <v>0</v>
      </c>
      <c r="S257" s="769">
        <f t="shared" si="36"/>
        <v>0</v>
      </c>
      <c r="T257" s="770">
        <f t="shared" si="36"/>
        <v>0</v>
      </c>
      <c r="U257" s="768">
        <f t="shared" si="36"/>
        <v>0</v>
      </c>
      <c r="V257" s="768">
        <f t="shared" si="36"/>
        <v>0</v>
      </c>
      <c r="W257" s="768">
        <f t="shared" si="36"/>
        <v>0</v>
      </c>
      <c r="X257" s="768">
        <f t="shared" si="36"/>
        <v>0</v>
      </c>
      <c r="Y257" s="768">
        <f t="shared" si="36"/>
        <v>0</v>
      </c>
      <c r="Z257" s="768">
        <f t="shared" si="36"/>
        <v>0</v>
      </c>
      <c r="AA257" s="768">
        <f t="shared" si="36"/>
        <v>0</v>
      </c>
      <c r="AB257" s="768">
        <f t="shared" si="37"/>
        <v>0</v>
      </c>
      <c r="AC257" s="768">
        <f t="shared" si="37"/>
        <v>0</v>
      </c>
      <c r="AD257" s="768">
        <f t="shared" si="37"/>
        <v>0</v>
      </c>
      <c r="AE257" s="769">
        <f t="shared" si="37"/>
        <v>0</v>
      </c>
      <c r="AF257" s="770">
        <f t="shared" si="37"/>
        <v>0</v>
      </c>
      <c r="AG257" s="768">
        <f t="shared" si="37"/>
        <v>0</v>
      </c>
      <c r="AH257" s="768">
        <f t="shared" si="37"/>
        <v>0</v>
      </c>
      <c r="AI257" s="768">
        <f t="shared" si="37"/>
        <v>0</v>
      </c>
      <c r="AJ257" s="768">
        <f t="shared" si="37"/>
        <v>0</v>
      </c>
      <c r="AK257" s="768">
        <f t="shared" si="37"/>
        <v>0</v>
      </c>
      <c r="AL257" s="768">
        <f t="shared" si="38"/>
        <v>0</v>
      </c>
      <c r="AM257" s="768">
        <f t="shared" si="38"/>
        <v>0</v>
      </c>
      <c r="AN257" s="768">
        <f t="shared" si="38"/>
        <v>0</v>
      </c>
      <c r="AO257" s="768">
        <f t="shared" si="38"/>
        <v>0</v>
      </c>
      <c r="AP257" s="768">
        <f t="shared" si="38"/>
        <v>0</v>
      </c>
      <c r="AQ257" s="769">
        <f t="shared" si="38"/>
        <v>0</v>
      </c>
      <c r="AR257" s="768">
        <f t="shared" si="38"/>
        <v>0</v>
      </c>
      <c r="AS257" s="768">
        <f t="shared" si="38"/>
        <v>0</v>
      </c>
      <c r="AT257" s="768">
        <f t="shared" si="38"/>
        <v>0</v>
      </c>
      <c r="AU257" s="768">
        <f t="shared" si="38"/>
        <v>0</v>
      </c>
      <c r="AV257" s="768">
        <f t="shared" si="39"/>
        <v>0</v>
      </c>
      <c r="AW257" s="768">
        <f t="shared" si="39"/>
        <v>0</v>
      </c>
      <c r="AX257" s="768">
        <f t="shared" si="39"/>
        <v>0</v>
      </c>
      <c r="AY257" s="768">
        <f t="shared" si="39"/>
        <v>0</v>
      </c>
      <c r="AZ257" s="768">
        <f t="shared" si="39"/>
        <v>0</v>
      </c>
      <c r="BA257" s="768">
        <f t="shared" si="39"/>
        <v>0</v>
      </c>
      <c r="BB257" s="768">
        <f t="shared" si="39"/>
        <v>0</v>
      </c>
      <c r="BC257" s="768">
        <f t="shared" si="39"/>
        <v>0</v>
      </c>
      <c r="BD257" s="770">
        <f t="shared" si="39"/>
        <v>0</v>
      </c>
      <c r="BE257" s="768">
        <f t="shared" si="39"/>
        <v>0</v>
      </c>
      <c r="BF257" s="768">
        <f t="shared" si="40"/>
        <v>0</v>
      </c>
      <c r="BG257" s="768">
        <f t="shared" si="40"/>
        <v>0</v>
      </c>
      <c r="BH257" s="768">
        <f t="shared" si="40"/>
        <v>0</v>
      </c>
      <c r="BI257" s="768">
        <f t="shared" si="40"/>
        <v>0</v>
      </c>
      <c r="BJ257" s="768">
        <f t="shared" si="40"/>
        <v>0</v>
      </c>
      <c r="BK257" s="768">
        <f t="shared" si="40"/>
        <v>0</v>
      </c>
      <c r="BL257" s="768">
        <f t="shared" si="40"/>
        <v>0</v>
      </c>
      <c r="BM257" s="768">
        <f t="shared" si="40"/>
        <v>0</v>
      </c>
      <c r="BN257" s="768">
        <f t="shared" si="40"/>
        <v>0</v>
      </c>
      <c r="BO257" s="769">
        <f t="shared" si="40"/>
        <v>0</v>
      </c>
      <c r="BP257" s="768">
        <f t="shared" si="41"/>
        <v>0</v>
      </c>
      <c r="BQ257" s="768">
        <f t="shared" si="41"/>
        <v>0</v>
      </c>
      <c r="BR257" s="768">
        <f t="shared" si="41"/>
        <v>0</v>
      </c>
      <c r="BS257" s="768">
        <f t="shared" si="41"/>
        <v>0</v>
      </c>
      <c r="BT257" s="768">
        <f t="shared" si="41"/>
        <v>0</v>
      </c>
      <c r="BU257" s="768">
        <f t="shared" si="41"/>
        <v>0</v>
      </c>
      <c r="BV257" s="768">
        <f t="shared" si="41"/>
        <v>0</v>
      </c>
      <c r="BW257" s="768">
        <f t="shared" si="41"/>
        <v>0</v>
      </c>
      <c r="BX257" s="768">
        <f t="shared" si="41"/>
        <v>0</v>
      </c>
      <c r="BY257" s="768">
        <f t="shared" si="41"/>
        <v>0</v>
      </c>
      <c r="BZ257" s="768">
        <f t="shared" si="41"/>
        <v>0</v>
      </c>
      <c r="CA257" s="768">
        <f t="shared" si="41"/>
        <v>0</v>
      </c>
      <c r="CB257" s="747"/>
      <c r="CC257" s="872">
        <f t="shared" ref="CC257:CS257" si="45">SUMIFS(CC$5:CC$254,$E$5:$E$254,$E257,$F$5:$F$254,$F257)</f>
        <v>0</v>
      </c>
      <c r="CD257" s="872">
        <f t="shared" si="45"/>
        <v>0</v>
      </c>
      <c r="CE257" s="872">
        <f>SUMIFS(CE$5:CE$254,$E$5:$E$254,$E257,$F$5:$F$254,$F257)</f>
        <v>0</v>
      </c>
      <c r="CF257" s="872">
        <f t="shared" si="45"/>
        <v>24400</v>
      </c>
      <c r="CG257" s="872">
        <f t="shared" si="45"/>
        <v>24400</v>
      </c>
      <c r="CH257" s="872">
        <f t="shared" si="45"/>
        <v>24400</v>
      </c>
      <c r="CI257" s="872">
        <f t="shared" si="45"/>
        <v>24400</v>
      </c>
      <c r="CJ257" s="872">
        <f t="shared" si="45"/>
        <v>0</v>
      </c>
      <c r="CK257" s="872">
        <f t="shared" si="45"/>
        <v>0</v>
      </c>
      <c r="CL257" s="872">
        <f t="shared" si="45"/>
        <v>0</v>
      </c>
      <c r="CM257" s="872">
        <f t="shared" si="45"/>
        <v>0</v>
      </c>
      <c r="CN257" s="873">
        <f t="shared" si="45"/>
        <v>0</v>
      </c>
      <c r="CO257" s="872">
        <f t="shared" si="45"/>
        <v>0</v>
      </c>
      <c r="CP257" s="872">
        <f t="shared" si="45"/>
        <v>0</v>
      </c>
      <c r="CQ257" s="872">
        <f t="shared" si="45"/>
        <v>0</v>
      </c>
      <c r="CR257" s="872">
        <f t="shared" si="45"/>
        <v>0</v>
      </c>
      <c r="CS257" s="872">
        <f t="shared" si="45"/>
        <v>0</v>
      </c>
      <c r="CT257" s="872">
        <f t="shared" ref="CT257:DY257" si="46">SUMIFS(CT$5:CT$254,$E$5:$E$254,$E257,$F$5:$F$254,$F257)</f>
        <v>0</v>
      </c>
      <c r="CU257" s="872">
        <f t="shared" si="46"/>
        <v>0</v>
      </c>
      <c r="CV257" s="872">
        <f t="shared" si="46"/>
        <v>0</v>
      </c>
      <c r="CW257" s="872">
        <f t="shared" si="46"/>
        <v>0</v>
      </c>
      <c r="CX257" s="872">
        <f t="shared" si="46"/>
        <v>0</v>
      </c>
      <c r="CY257" s="872">
        <f t="shared" si="46"/>
        <v>0</v>
      </c>
      <c r="CZ257" s="873">
        <f t="shared" si="46"/>
        <v>0</v>
      </c>
      <c r="DA257" s="872">
        <f t="shared" si="46"/>
        <v>0</v>
      </c>
      <c r="DB257" s="872">
        <f t="shared" si="46"/>
        <v>0</v>
      </c>
      <c r="DC257" s="872">
        <f t="shared" si="46"/>
        <v>0</v>
      </c>
      <c r="DD257" s="872">
        <f t="shared" si="46"/>
        <v>0</v>
      </c>
      <c r="DE257" s="872">
        <f t="shared" si="46"/>
        <v>0</v>
      </c>
      <c r="DF257" s="872">
        <f t="shared" si="46"/>
        <v>0</v>
      </c>
      <c r="DG257" s="872">
        <f t="shared" si="46"/>
        <v>0</v>
      </c>
      <c r="DH257" s="872">
        <f t="shared" si="46"/>
        <v>0</v>
      </c>
      <c r="DI257" s="872">
        <f t="shared" si="46"/>
        <v>0</v>
      </c>
      <c r="DJ257" s="872">
        <f t="shared" si="46"/>
        <v>0</v>
      </c>
      <c r="DK257" s="872">
        <f t="shared" si="46"/>
        <v>0</v>
      </c>
      <c r="DL257" s="873">
        <f t="shared" si="46"/>
        <v>0</v>
      </c>
      <c r="DM257" s="872">
        <f t="shared" si="46"/>
        <v>0</v>
      </c>
      <c r="DN257" s="872">
        <f t="shared" si="46"/>
        <v>0</v>
      </c>
      <c r="DO257" s="872">
        <f t="shared" si="46"/>
        <v>0</v>
      </c>
      <c r="DP257" s="872">
        <f t="shared" si="46"/>
        <v>0</v>
      </c>
      <c r="DQ257" s="872">
        <f t="shared" si="46"/>
        <v>0</v>
      </c>
      <c r="DR257" s="872">
        <f t="shared" si="46"/>
        <v>0</v>
      </c>
      <c r="DS257" s="872">
        <f t="shared" si="46"/>
        <v>0</v>
      </c>
      <c r="DT257" s="872">
        <f t="shared" si="46"/>
        <v>0</v>
      </c>
      <c r="DU257" s="872">
        <f t="shared" si="46"/>
        <v>0</v>
      </c>
      <c r="DV257" s="872">
        <f t="shared" si="46"/>
        <v>0</v>
      </c>
      <c r="DW257" s="872">
        <f t="shared" si="46"/>
        <v>0</v>
      </c>
      <c r="DX257" s="873">
        <f t="shared" si="46"/>
        <v>0</v>
      </c>
      <c r="DY257" s="872">
        <f t="shared" si="46"/>
        <v>0</v>
      </c>
      <c r="DZ257" s="872">
        <f t="shared" ref="DZ257:EV257" si="47">SUMIFS(DZ$5:DZ$254,$E$5:$E$254,$E257,$F$5:$F$254,$F257)</f>
        <v>0</v>
      </c>
      <c r="EA257" s="872">
        <f t="shared" si="47"/>
        <v>0</v>
      </c>
      <c r="EB257" s="872">
        <f t="shared" si="47"/>
        <v>0</v>
      </c>
      <c r="EC257" s="872">
        <f t="shared" si="47"/>
        <v>0</v>
      </c>
      <c r="ED257" s="872">
        <f t="shared" si="47"/>
        <v>0</v>
      </c>
      <c r="EE257" s="872">
        <f t="shared" si="47"/>
        <v>0</v>
      </c>
      <c r="EF257" s="872">
        <f t="shared" si="47"/>
        <v>0</v>
      </c>
      <c r="EG257" s="872">
        <f t="shared" si="47"/>
        <v>0</v>
      </c>
      <c r="EH257" s="872">
        <f t="shared" si="47"/>
        <v>0</v>
      </c>
      <c r="EI257" s="872">
        <f t="shared" si="47"/>
        <v>0</v>
      </c>
      <c r="EJ257" s="873">
        <f t="shared" si="47"/>
        <v>0</v>
      </c>
      <c r="EK257" s="872">
        <f t="shared" si="47"/>
        <v>0</v>
      </c>
      <c r="EL257" s="872">
        <f t="shared" si="47"/>
        <v>0</v>
      </c>
      <c r="EM257" s="872">
        <f t="shared" si="47"/>
        <v>0</v>
      </c>
      <c r="EN257" s="872">
        <f t="shared" si="47"/>
        <v>0</v>
      </c>
      <c r="EO257" s="872">
        <f t="shared" si="47"/>
        <v>0</v>
      </c>
      <c r="EP257" s="872">
        <f t="shared" si="47"/>
        <v>0</v>
      </c>
      <c r="EQ257" s="872">
        <f t="shared" si="47"/>
        <v>0</v>
      </c>
      <c r="ER257" s="872">
        <f t="shared" si="47"/>
        <v>0</v>
      </c>
      <c r="ES257" s="872">
        <f t="shared" si="47"/>
        <v>0</v>
      </c>
      <c r="ET257" s="872">
        <f t="shared" si="47"/>
        <v>0</v>
      </c>
      <c r="EU257" s="872">
        <f t="shared" si="47"/>
        <v>0</v>
      </c>
      <c r="EV257" s="873">
        <f t="shared" si="47"/>
        <v>0</v>
      </c>
      <c r="EW257" s="872">
        <f t="shared" ref="EW257:EW290" si="48">SUM(CC257:EV257)</f>
        <v>97600</v>
      </c>
      <c r="EX257" s="771"/>
      <c r="EY257" s="1563"/>
      <c r="EZ257" s="872">
        <f>SUMIF('Monthly Summary'!$C$74:BV$74,"",'Resource Costs'!$CC257:EV257)</f>
        <v>97600</v>
      </c>
    </row>
    <row r="258" spans="1:156">
      <c r="A258" s="745"/>
      <c r="B258" s="745"/>
      <c r="C258" s="745"/>
      <c r="D258" s="745"/>
      <c r="E258" s="772"/>
      <c r="F258" s="746"/>
      <c r="G258" s="745"/>
      <c r="H258" s="773"/>
      <c r="I258" s="768"/>
      <c r="J258" s="768"/>
      <c r="K258" s="768"/>
      <c r="L258" s="768"/>
      <c r="M258" s="768"/>
      <c r="N258" s="768"/>
      <c r="O258" s="768"/>
      <c r="P258" s="768"/>
      <c r="Q258" s="768"/>
      <c r="R258" s="768"/>
      <c r="S258" s="769"/>
      <c r="T258" s="770"/>
      <c r="U258" s="768"/>
      <c r="V258" s="768"/>
      <c r="W258" s="768"/>
      <c r="X258" s="768"/>
      <c r="Y258" s="768"/>
      <c r="Z258" s="768"/>
      <c r="AA258" s="768"/>
      <c r="AB258" s="768"/>
      <c r="AC258" s="768"/>
      <c r="AD258" s="768"/>
      <c r="AE258" s="769"/>
      <c r="AF258" s="770"/>
      <c r="AG258" s="768"/>
      <c r="AH258" s="768"/>
      <c r="AI258" s="768"/>
      <c r="AJ258" s="768"/>
      <c r="AK258" s="768"/>
      <c r="AL258" s="768"/>
      <c r="AM258" s="768"/>
      <c r="AN258" s="768"/>
      <c r="AO258" s="768"/>
      <c r="AP258" s="768"/>
      <c r="AQ258" s="769"/>
      <c r="AR258" s="768"/>
      <c r="AS258" s="768"/>
      <c r="AT258" s="768"/>
      <c r="AU258" s="768"/>
      <c r="AV258" s="768"/>
      <c r="AW258" s="768"/>
      <c r="AX258" s="768"/>
      <c r="AY258" s="768"/>
      <c r="AZ258" s="768"/>
      <c r="BA258" s="768"/>
      <c r="BB258" s="768"/>
      <c r="BC258" s="768"/>
      <c r="BD258" s="770"/>
      <c r="BE258" s="768"/>
      <c r="BF258" s="768"/>
      <c r="BG258" s="768"/>
      <c r="BH258" s="768"/>
      <c r="BI258" s="768"/>
      <c r="BJ258" s="768"/>
      <c r="BK258" s="768"/>
      <c r="BL258" s="768"/>
      <c r="BM258" s="768"/>
      <c r="BN258" s="768"/>
      <c r="BO258" s="769"/>
      <c r="BP258" s="768"/>
      <c r="BQ258" s="768"/>
      <c r="BR258" s="768"/>
      <c r="BS258" s="768"/>
      <c r="BT258" s="768"/>
      <c r="BU258" s="768"/>
      <c r="BV258" s="768"/>
      <c r="BW258" s="768"/>
      <c r="BX258" s="768"/>
      <c r="BY258" s="768"/>
      <c r="BZ258" s="768"/>
      <c r="CA258" s="768"/>
      <c r="CB258" s="747"/>
      <c r="CC258" s="872"/>
      <c r="CD258" s="872"/>
      <c r="CE258" s="872"/>
      <c r="CF258" s="872"/>
      <c r="CG258" s="872"/>
      <c r="CH258" s="872"/>
      <c r="CI258" s="872"/>
      <c r="CJ258" s="872"/>
      <c r="CK258" s="872"/>
      <c r="CL258" s="872"/>
      <c r="CM258" s="872"/>
      <c r="CN258" s="873"/>
      <c r="CO258" s="872"/>
      <c r="CP258" s="872"/>
      <c r="CQ258" s="872"/>
      <c r="CR258" s="872"/>
      <c r="CS258" s="872"/>
      <c r="CT258" s="872"/>
      <c r="CU258" s="872"/>
      <c r="CV258" s="872"/>
      <c r="CW258" s="872"/>
      <c r="CX258" s="872"/>
      <c r="CY258" s="872"/>
      <c r="CZ258" s="873"/>
      <c r="DA258" s="872"/>
      <c r="DB258" s="872"/>
      <c r="DC258" s="872"/>
      <c r="DD258" s="872"/>
      <c r="DE258" s="872"/>
      <c r="DF258" s="872"/>
      <c r="DG258" s="872"/>
      <c r="DH258" s="872"/>
      <c r="DI258" s="872"/>
      <c r="DJ258" s="872"/>
      <c r="DK258" s="872"/>
      <c r="DL258" s="873"/>
      <c r="DM258" s="872"/>
      <c r="DN258" s="872"/>
      <c r="DO258" s="872"/>
      <c r="DP258" s="872"/>
      <c r="DQ258" s="872"/>
      <c r="DR258" s="872"/>
      <c r="DS258" s="872"/>
      <c r="DT258" s="872"/>
      <c r="DU258" s="872"/>
      <c r="DV258" s="872"/>
      <c r="DW258" s="872"/>
      <c r="DX258" s="873"/>
      <c r="DY258" s="872"/>
      <c r="DZ258" s="872"/>
      <c r="EA258" s="872"/>
      <c r="EB258" s="872"/>
      <c r="EC258" s="872"/>
      <c r="ED258" s="872"/>
      <c r="EE258" s="872"/>
      <c r="EF258" s="872"/>
      <c r="EG258" s="872"/>
      <c r="EH258" s="872"/>
      <c r="EI258" s="872"/>
      <c r="EJ258" s="873"/>
      <c r="EK258" s="872"/>
      <c r="EL258" s="872"/>
      <c r="EM258" s="872"/>
      <c r="EN258" s="872"/>
      <c r="EO258" s="872"/>
      <c r="EP258" s="872"/>
      <c r="EQ258" s="872"/>
      <c r="ER258" s="872"/>
      <c r="ES258" s="872"/>
      <c r="ET258" s="872"/>
      <c r="EU258" s="872"/>
      <c r="EV258" s="873"/>
      <c r="EW258" s="872"/>
      <c r="EX258" s="760"/>
      <c r="EY258" s="760"/>
      <c r="EZ258" s="872"/>
    </row>
    <row r="259" spans="1:156">
      <c r="A259" s="745"/>
      <c r="B259" s="745"/>
      <c r="C259" s="745"/>
      <c r="D259" s="766" t="s">
        <v>18</v>
      </c>
      <c r="E259" s="766" t="str">
        <f>Variables!$A$39</f>
        <v>IBM</v>
      </c>
      <c r="F259" s="766" t="s">
        <v>20</v>
      </c>
      <c r="G259" s="745"/>
      <c r="H259" s="767">
        <f t="shared" ref="H259:Q260" si="49">SUMIFS(H$5:H$254,$E$5:$E$254,$E259,$F$5:$F$254,$F259)</f>
        <v>0</v>
      </c>
      <c r="I259" s="768">
        <f t="shared" si="49"/>
        <v>0</v>
      </c>
      <c r="J259" s="768">
        <f t="shared" si="49"/>
        <v>0</v>
      </c>
      <c r="K259" s="768">
        <f t="shared" si="49"/>
        <v>0</v>
      </c>
      <c r="L259" s="768">
        <f t="shared" si="49"/>
        <v>0</v>
      </c>
      <c r="M259" s="768">
        <f t="shared" si="49"/>
        <v>0</v>
      </c>
      <c r="N259" s="768">
        <f t="shared" si="49"/>
        <v>0</v>
      </c>
      <c r="O259" s="768">
        <f t="shared" si="49"/>
        <v>0</v>
      </c>
      <c r="P259" s="768">
        <f t="shared" si="49"/>
        <v>0</v>
      </c>
      <c r="Q259" s="768">
        <f t="shared" si="49"/>
        <v>0</v>
      </c>
      <c r="R259" s="768">
        <f t="shared" ref="R259:AA260" si="50">SUMIFS(R$5:R$254,$E$5:$E$254,$E259,$F$5:$F$254,$F259)</f>
        <v>0</v>
      </c>
      <c r="S259" s="769">
        <f t="shared" si="50"/>
        <v>0</v>
      </c>
      <c r="T259" s="770">
        <f t="shared" si="50"/>
        <v>0</v>
      </c>
      <c r="U259" s="768">
        <f t="shared" si="50"/>
        <v>0</v>
      </c>
      <c r="V259" s="768">
        <f t="shared" si="50"/>
        <v>0</v>
      </c>
      <c r="W259" s="768">
        <f t="shared" si="50"/>
        <v>0</v>
      </c>
      <c r="X259" s="768">
        <f t="shared" si="50"/>
        <v>0</v>
      </c>
      <c r="Y259" s="768">
        <f t="shared" si="50"/>
        <v>0</v>
      </c>
      <c r="Z259" s="768">
        <f t="shared" si="50"/>
        <v>0</v>
      </c>
      <c r="AA259" s="768">
        <f t="shared" si="50"/>
        <v>0</v>
      </c>
      <c r="AB259" s="768">
        <f t="shared" ref="AB259:AK260" si="51">SUMIFS(AB$5:AB$254,$E$5:$E$254,$E259,$F$5:$F$254,$F259)</f>
        <v>0</v>
      </c>
      <c r="AC259" s="768">
        <f t="shared" si="51"/>
        <v>0</v>
      </c>
      <c r="AD259" s="768">
        <f t="shared" si="51"/>
        <v>0</v>
      </c>
      <c r="AE259" s="769">
        <f t="shared" si="51"/>
        <v>0</v>
      </c>
      <c r="AF259" s="770">
        <f t="shared" si="51"/>
        <v>0</v>
      </c>
      <c r="AG259" s="768">
        <f t="shared" si="51"/>
        <v>0</v>
      </c>
      <c r="AH259" s="768">
        <f t="shared" si="51"/>
        <v>0</v>
      </c>
      <c r="AI259" s="768">
        <f t="shared" si="51"/>
        <v>0</v>
      </c>
      <c r="AJ259" s="768">
        <f t="shared" si="51"/>
        <v>0</v>
      </c>
      <c r="AK259" s="768">
        <f t="shared" si="51"/>
        <v>0</v>
      </c>
      <c r="AL259" s="768">
        <f t="shared" ref="AL259:AU260" si="52">SUMIFS(AL$5:AL$254,$E$5:$E$254,$E259,$F$5:$F$254,$F259)</f>
        <v>0</v>
      </c>
      <c r="AM259" s="768">
        <f t="shared" si="52"/>
        <v>0</v>
      </c>
      <c r="AN259" s="768">
        <f t="shared" si="52"/>
        <v>0</v>
      </c>
      <c r="AO259" s="768">
        <f t="shared" si="52"/>
        <v>0</v>
      </c>
      <c r="AP259" s="768">
        <f t="shared" si="52"/>
        <v>0</v>
      </c>
      <c r="AQ259" s="769">
        <f t="shared" si="52"/>
        <v>0</v>
      </c>
      <c r="AR259" s="768">
        <f t="shared" si="52"/>
        <v>0</v>
      </c>
      <c r="AS259" s="768">
        <f t="shared" si="52"/>
        <v>0</v>
      </c>
      <c r="AT259" s="768">
        <f t="shared" si="52"/>
        <v>0</v>
      </c>
      <c r="AU259" s="768">
        <f t="shared" si="52"/>
        <v>0</v>
      </c>
      <c r="AV259" s="768">
        <f t="shared" ref="AV259:BE260" si="53">SUMIFS(AV$5:AV$254,$E$5:$E$254,$E259,$F$5:$F$254,$F259)</f>
        <v>0</v>
      </c>
      <c r="AW259" s="768">
        <f t="shared" si="53"/>
        <v>0</v>
      </c>
      <c r="AX259" s="768">
        <f t="shared" si="53"/>
        <v>0</v>
      </c>
      <c r="AY259" s="768">
        <f t="shared" si="53"/>
        <v>0</v>
      </c>
      <c r="AZ259" s="768">
        <f t="shared" si="53"/>
        <v>0</v>
      </c>
      <c r="BA259" s="768">
        <f t="shared" si="53"/>
        <v>0</v>
      </c>
      <c r="BB259" s="768">
        <f t="shared" si="53"/>
        <v>0</v>
      </c>
      <c r="BC259" s="768">
        <f t="shared" si="53"/>
        <v>0</v>
      </c>
      <c r="BD259" s="770">
        <f t="shared" si="53"/>
        <v>0</v>
      </c>
      <c r="BE259" s="768">
        <f t="shared" si="53"/>
        <v>0</v>
      </c>
      <c r="BF259" s="768">
        <f t="shared" ref="BF259:BO260" si="54">SUMIFS(BF$5:BF$254,$E$5:$E$254,$E259,$F$5:$F$254,$F259)</f>
        <v>0</v>
      </c>
      <c r="BG259" s="768">
        <f t="shared" si="54"/>
        <v>0</v>
      </c>
      <c r="BH259" s="768">
        <f t="shared" si="54"/>
        <v>0</v>
      </c>
      <c r="BI259" s="768">
        <f t="shared" si="54"/>
        <v>0</v>
      </c>
      <c r="BJ259" s="768">
        <f t="shared" si="54"/>
        <v>0</v>
      </c>
      <c r="BK259" s="768">
        <f t="shared" si="54"/>
        <v>0</v>
      </c>
      <c r="BL259" s="768">
        <f t="shared" si="54"/>
        <v>0</v>
      </c>
      <c r="BM259" s="768">
        <f t="shared" si="54"/>
        <v>0</v>
      </c>
      <c r="BN259" s="768">
        <f t="shared" si="54"/>
        <v>0</v>
      </c>
      <c r="BO259" s="769">
        <f t="shared" si="54"/>
        <v>0</v>
      </c>
      <c r="BP259" s="768">
        <f t="shared" ref="BP259:CA260" si="55">SUMIFS(BP$5:BP$254,$E$5:$E$254,$E259,$F$5:$F$254,$F259)</f>
        <v>0</v>
      </c>
      <c r="BQ259" s="768">
        <f t="shared" si="55"/>
        <v>0</v>
      </c>
      <c r="BR259" s="768">
        <f t="shared" si="55"/>
        <v>0</v>
      </c>
      <c r="BS259" s="768">
        <f t="shared" si="55"/>
        <v>0</v>
      </c>
      <c r="BT259" s="768">
        <f t="shared" si="55"/>
        <v>0</v>
      </c>
      <c r="BU259" s="768">
        <f t="shared" si="55"/>
        <v>0</v>
      </c>
      <c r="BV259" s="768">
        <f t="shared" si="55"/>
        <v>0</v>
      </c>
      <c r="BW259" s="768">
        <f t="shared" si="55"/>
        <v>0</v>
      </c>
      <c r="BX259" s="768">
        <f t="shared" si="55"/>
        <v>0</v>
      </c>
      <c r="BY259" s="768">
        <f t="shared" si="55"/>
        <v>0</v>
      </c>
      <c r="BZ259" s="768">
        <f t="shared" si="55"/>
        <v>0</v>
      </c>
      <c r="CA259" s="768">
        <f t="shared" si="55"/>
        <v>0</v>
      </c>
      <c r="CB259" s="747"/>
      <c r="CC259" s="872">
        <f t="shared" ref="CC259:DH259" si="56">SUMIFS(CC$5:CC$254,$E$5:$E$254,$E259,$F$5:$F$254,$F259)</f>
        <v>0</v>
      </c>
      <c r="CD259" s="872">
        <f t="shared" si="56"/>
        <v>0</v>
      </c>
      <c r="CE259" s="872">
        <f t="shared" si="56"/>
        <v>0</v>
      </c>
      <c r="CF259" s="872">
        <f t="shared" si="56"/>
        <v>0</v>
      </c>
      <c r="CG259" s="872">
        <f t="shared" si="56"/>
        <v>0</v>
      </c>
      <c r="CH259" s="872">
        <f t="shared" si="56"/>
        <v>0</v>
      </c>
      <c r="CI259" s="872">
        <f t="shared" si="56"/>
        <v>0</v>
      </c>
      <c r="CJ259" s="872">
        <f t="shared" si="56"/>
        <v>0</v>
      </c>
      <c r="CK259" s="872">
        <f t="shared" si="56"/>
        <v>0</v>
      </c>
      <c r="CL259" s="872">
        <f t="shared" si="56"/>
        <v>0</v>
      </c>
      <c r="CM259" s="872">
        <f t="shared" si="56"/>
        <v>0</v>
      </c>
      <c r="CN259" s="873">
        <f t="shared" si="56"/>
        <v>0</v>
      </c>
      <c r="CO259" s="872">
        <f t="shared" si="56"/>
        <v>0</v>
      </c>
      <c r="CP259" s="872">
        <f t="shared" si="56"/>
        <v>0</v>
      </c>
      <c r="CQ259" s="872">
        <f t="shared" si="56"/>
        <v>0</v>
      </c>
      <c r="CR259" s="872">
        <f t="shared" si="56"/>
        <v>0</v>
      </c>
      <c r="CS259" s="872">
        <f t="shared" si="56"/>
        <v>0</v>
      </c>
      <c r="CT259" s="872">
        <f t="shared" si="56"/>
        <v>0</v>
      </c>
      <c r="CU259" s="872">
        <f t="shared" si="56"/>
        <v>0</v>
      </c>
      <c r="CV259" s="872">
        <f t="shared" si="56"/>
        <v>0</v>
      </c>
      <c r="CW259" s="872">
        <f t="shared" si="56"/>
        <v>0</v>
      </c>
      <c r="CX259" s="872">
        <f t="shared" si="56"/>
        <v>0</v>
      </c>
      <c r="CY259" s="872">
        <f t="shared" si="56"/>
        <v>0</v>
      </c>
      <c r="CZ259" s="873">
        <f t="shared" si="56"/>
        <v>0</v>
      </c>
      <c r="DA259" s="872">
        <f t="shared" si="56"/>
        <v>0</v>
      </c>
      <c r="DB259" s="872">
        <f t="shared" si="56"/>
        <v>0</v>
      </c>
      <c r="DC259" s="872">
        <f t="shared" si="56"/>
        <v>0</v>
      </c>
      <c r="DD259" s="872">
        <f t="shared" si="56"/>
        <v>0</v>
      </c>
      <c r="DE259" s="872">
        <f t="shared" si="56"/>
        <v>0</v>
      </c>
      <c r="DF259" s="872">
        <f t="shared" si="56"/>
        <v>0</v>
      </c>
      <c r="DG259" s="872">
        <f t="shared" si="56"/>
        <v>0</v>
      </c>
      <c r="DH259" s="872">
        <f t="shared" si="56"/>
        <v>0</v>
      </c>
      <c r="DI259" s="872">
        <f t="shared" ref="DI259:EN259" si="57">SUMIFS(DI$5:DI$254,$E$5:$E$254,$E259,$F$5:$F$254,$F259)</f>
        <v>0</v>
      </c>
      <c r="DJ259" s="872">
        <f t="shared" si="57"/>
        <v>0</v>
      </c>
      <c r="DK259" s="872">
        <f t="shared" si="57"/>
        <v>0</v>
      </c>
      <c r="DL259" s="873">
        <f t="shared" si="57"/>
        <v>0</v>
      </c>
      <c r="DM259" s="872">
        <f t="shared" si="57"/>
        <v>0</v>
      </c>
      <c r="DN259" s="872">
        <f t="shared" si="57"/>
        <v>0</v>
      </c>
      <c r="DO259" s="872">
        <f t="shared" si="57"/>
        <v>0</v>
      </c>
      <c r="DP259" s="872">
        <f t="shared" si="57"/>
        <v>0</v>
      </c>
      <c r="DQ259" s="872">
        <f t="shared" si="57"/>
        <v>0</v>
      </c>
      <c r="DR259" s="872">
        <f t="shared" si="57"/>
        <v>0</v>
      </c>
      <c r="DS259" s="872">
        <f t="shared" si="57"/>
        <v>0</v>
      </c>
      <c r="DT259" s="872">
        <f t="shared" si="57"/>
        <v>0</v>
      </c>
      <c r="DU259" s="872">
        <f t="shared" si="57"/>
        <v>0</v>
      </c>
      <c r="DV259" s="872">
        <f t="shared" si="57"/>
        <v>0</v>
      </c>
      <c r="DW259" s="872">
        <f t="shared" si="57"/>
        <v>0</v>
      </c>
      <c r="DX259" s="873">
        <f t="shared" si="57"/>
        <v>0</v>
      </c>
      <c r="DY259" s="872">
        <f t="shared" si="57"/>
        <v>0</v>
      </c>
      <c r="DZ259" s="872">
        <f t="shared" si="57"/>
        <v>0</v>
      </c>
      <c r="EA259" s="872">
        <f t="shared" si="57"/>
        <v>0</v>
      </c>
      <c r="EB259" s="872">
        <f t="shared" si="57"/>
        <v>0</v>
      </c>
      <c r="EC259" s="872">
        <f t="shared" si="57"/>
        <v>0</v>
      </c>
      <c r="ED259" s="872">
        <f t="shared" si="57"/>
        <v>0</v>
      </c>
      <c r="EE259" s="872">
        <f t="shared" si="57"/>
        <v>0</v>
      </c>
      <c r="EF259" s="872">
        <f t="shared" si="57"/>
        <v>0</v>
      </c>
      <c r="EG259" s="872">
        <f t="shared" si="57"/>
        <v>0</v>
      </c>
      <c r="EH259" s="872">
        <f t="shared" si="57"/>
        <v>0</v>
      </c>
      <c r="EI259" s="872">
        <f t="shared" si="57"/>
        <v>0</v>
      </c>
      <c r="EJ259" s="873">
        <f t="shared" si="57"/>
        <v>0</v>
      </c>
      <c r="EK259" s="872">
        <f t="shared" si="57"/>
        <v>0</v>
      </c>
      <c r="EL259" s="872">
        <f t="shared" si="57"/>
        <v>0</v>
      </c>
      <c r="EM259" s="872">
        <f t="shared" si="57"/>
        <v>0</v>
      </c>
      <c r="EN259" s="872">
        <f t="shared" si="57"/>
        <v>0</v>
      </c>
      <c r="EO259" s="872">
        <f t="shared" ref="EO259:EV259" si="58">SUMIFS(EO$5:EO$254,$E$5:$E$254,$E259,$F$5:$F$254,$F259)</f>
        <v>0</v>
      </c>
      <c r="EP259" s="872">
        <f t="shared" si="58"/>
        <v>0</v>
      </c>
      <c r="EQ259" s="872">
        <f t="shared" si="58"/>
        <v>0</v>
      </c>
      <c r="ER259" s="872">
        <f t="shared" si="58"/>
        <v>0</v>
      </c>
      <c r="ES259" s="872">
        <f t="shared" si="58"/>
        <v>0</v>
      </c>
      <c r="ET259" s="872">
        <f t="shared" si="58"/>
        <v>0</v>
      </c>
      <c r="EU259" s="872">
        <f t="shared" si="58"/>
        <v>0</v>
      </c>
      <c r="EV259" s="873">
        <f t="shared" si="58"/>
        <v>0</v>
      </c>
      <c r="EW259" s="872">
        <f t="shared" si="48"/>
        <v>0</v>
      </c>
      <c r="EX259" s="771"/>
      <c r="EY259" s="1563"/>
      <c r="EZ259" s="872">
        <f>SUMIF('Monthly Summary'!$C$75:BV$75,"",'Resource Costs'!$CC259:EV259)</f>
        <v>0</v>
      </c>
    </row>
    <row r="260" spans="1:156">
      <c r="A260" s="745"/>
      <c r="B260" s="745"/>
      <c r="C260" s="745"/>
      <c r="D260" s="766" t="s">
        <v>18</v>
      </c>
      <c r="E260" s="766" t="str">
        <f>Variables!$A$39</f>
        <v>IBM</v>
      </c>
      <c r="F260" s="766" t="s">
        <v>21</v>
      </c>
      <c r="G260" s="745"/>
      <c r="H260" s="767">
        <f t="shared" si="49"/>
        <v>0</v>
      </c>
      <c r="I260" s="768">
        <f t="shared" si="49"/>
        <v>0</v>
      </c>
      <c r="J260" s="768">
        <f t="shared" si="49"/>
        <v>0</v>
      </c>
      <c r="K260" s="768">
        <f t="shared" si="49"/>
        <v>0</v>
      </c>
      <c r="L260" s="768">
        <f t="shared" si="49"/>
        <v>0</v>
      </c>
      <c r="M260" s="768">
        <f t="shared" si="49"/>
        <v>0</v>
      </c>
      <c r="N260" s="768">
        <f t="shared" si="49"/>
        <v>0</v>
      </c>
      <c r="O260" s="768">
        <f t="shared" si="49"/>
        <v>0</v>
      </c>
      <c r="P260" s="768">
        <f t="shared" si="49"/>
        <v>0</v>
      </c>
      <c r="Q260" s="768">
        <f t="shared" si="49"/>
        <v>0</v>
      </c>
      <c r="R260" s="768">
        <f t="shared" si="50"/>
        <v>0</v>
      </c>
      <c r="S260" s="769">
        <f t="shared" si="50"/>
        <v>0</v>
      </c>
      <c r="T260" s="770">
        <f t="shared" si="50"/>
        <v>0</v>
      </c>
      <c r="U260" s="768">
        <f t="shared" si="50"/>
        <v>0</v>
      </c>
      <c r="V260" s="768">
        <f t="shared" si="50"/>
        <v>0</v>
      </c>
      <c r="W260" s="768">
        <f t="shared" si="50"/>
        <v>0</v>
      </c>
      <c r="X260" s="768">
        <f t="shared" si="50"/>
        <v>0</v>
      </c>
      <c r="Y260" s="768">
        <f t="shared" si="50"/>
        <v>0</v>
      </c>
      <c r="Z260" s="768">
        <f t="shared" si="50"/>
        <v>0</v>
      </c>
      <c r="AA260" s="768">
        <f t="shared" si="50"/>
        <v>0</v>
      </c>
      <c r="AB260" s="768">
        <f t="shared" si="51"/>
        <v>0</v>
      </c>
      <c r="AC260" s="768">
        <f t="shared" si="51"/>
        <v>0</v>
      </c>
      <c r="AD260" s="768">
        <f t="shared" si="51"/>
        <v>0</v>
      </c>
      <c r="AE260" s="769">
        <f t="shared" si="51"/>
        <v>0</v>
      </c>
      <c r="AF260" s="770">
        <f t="shared" si="51"/>
        <v>0</v>
      </c>
      <c r="AG260" s="768">
        <f t="shared" si="51"/>
        <v>0</v>
      </c>
      <c r="AH260" s="768">
        <f t="shared" si="51"/>
        <v>0</v>
      </c>
      <c r="AI260" s="768">
        <f t="shared" si="51"/>
        <v>0</v>
      </c>
      <c r="AJ260" s="768">
        <f t="shared" si="51"/>
        <v>0</v>
      </c>
      <c r="AK260" s="768">
        <f t="shared" si="51"/>
        <v>0</v>
      </c>
      <c r="AL260" s="768">
        <f t="shared" si="52"/>
        <v>0</v>
      </c>
      <c r="AM260" s="768">
        <f t="shared" si="52"/>
        <v>0</v>
      </c>
      <c r="AN260" s="768">
        <f t="shared" si="52"/>
        <v>0</v>
      </c>
      <c r="AO260" s="768">
        <f t="shared" si="52"/>
        <v>0</v>
      </c>
      <c r="AP260" s="768">
        <f t="shared" si="52"/>
        <v>0</v>
      </c>
      <c r="AQ260" s="769">
        <f t="shared" si="52"/>
        <v>0</v>
      </c>
      <c r="AR260" s="768">
        <f t="shared" si="52"/>
        <v>0</v>
      </c>
      <c r="AS260" s="768">
        <f t="shared" si="52"/>
        <v>0</v>
      </c>
      <c r="AT260" s="768">
        <f t="shared" si="52"/>
        <v>0</v>
      </c>
      <c r="AU260" s="768">
        <f t="shared" si="52"/>
        <v>0</v>
      </c>
      <c r="AV260" s="768">
        <f t="shared" si="53"/>
        <v>0</v>
      </c>
      <c r="AW260" s="768">
        <f t="shared" si="53"/>
        <v>0</v>
      </c>
      <c r="AX260" s="768">
        <f t="shared" si="53"/>
        <v>0</v>
      </c>
      <c r="AY260" s="768">
        <f t="shared" si="53"/>
        <v>0</v>
      </c>
      <c r="AZ260" s="768">
        <f t="shared" si="53"/>
        <v>0</v>
      </c>
      <c r="BA260" s="768">
        <f t="shared" si="53"/>
        <v>0</v>
      </c>
      <c r="BB260" s="768">
        <f t="shared" si="53"/>
        <v>0</v>
      </c>
      <c r="BC260" s="768">
        <f t="shared" si="53"/>
        <v>0</v>
      </c>
      <c r="BD260" s="770">
        <f t="shared" si="53"/>
        <v>0</v>
      </c>
      <c r="BE260" s="768">
        <f t="shared" si="53"/>
        <v>0</v>
      </c>
      <c r="BF260" s="768">
        <f t="shared" si="54"/>
        <v>0</v>
      </c>
      <c r="BG260" s="768">
        <f t="shared" si="54"/>
        <v>0</v>
      </c>
      <c r="BH260" s="768">
        <f t="shared" si="54"/>
        <v>0</v>
      </c>
      <c r="BI260" s="768">
        <f t="shared" si="54"/>
        <v>0</v>
      </c>
      <c r="BJ260" s="768">
        <f t="shared" si="54"/>
        <v>0</v>
      </c>
      <c r="BK260" s="768">
        <f t="shared" si="54"/>
        <v>0</v>
      </c>
      <c r="BL260" s="768">
        <f t="shared" si="54"/>
        <v>0</v>
      </c>
      <c r="BM260" s="768">
        <f t="shared" si="54"/>
        <v>0</v>
      </c>
      <c r="BN260" s="768">
        <f t="shared" si="54"/>
        <v>0</v>
      </c>
      <c r="BO260" s="769">
        <f t="shared" si="54"/>
        <v>0</v>
      </c>
      <c r="BP260" s="768">
        <f t="shared" si="55"/>
        <v>0</v>
      </c>
      <c r="BQ260" s="768">
        <f t="shared" si="55"/>
        <v>0</v>
      </c>
      <c r="BR260" s="768">
        <f t="shared" si="55"/>
        <v>0</v>
      </c>
      <c r="BS260" s="768">
        <f t="shared" si="55"/>
        <v>0</v>
      </c>
      <c r="BT260" s="768">
        <f t="shared" si="55"/>
        <v>0</v>
      </c>
      <c r="BU260" s="768">
        <f t="shared" si="55"/>
        <v>0</v>
      </c>
      <c r="BV260" s="768">
        <f t="shared" si="55"/>
        <v>0</v>
      </c>
      <c r="BW260" s="768">
        <f t="shared" si="55"/>
        <v>0</v>
      </c>
      <c r="BX260" s="768">
        <f t="shared" si="55"/>
        <v>0</v>
      </c>
      <c r="BY260" s="768">
        <f t="shared" si="55"/>
        <v>0</v>
      </c>
      <c r="BZ260" s="768">
        <f t="shared" si="55"/>
        <v>0</v>
      </c>
      <c r="CA260" s="768">
        <f t="shared" si="55"/>
        <v>0</v>
      </c>
      <c r="CB260" s="747"/>
      <c r="CC260" s="872">
        <f t="shared" ref="CC260:CS260" si="59">SUMIFS(CC$5:CC$254,$E$5:$E$254,$E260,$F$5:$F$254,$F260)</f>
        <v>0</v>
      </c>
      <c r="CD260" s="872">
        <f t="shared" si="59"/>
        <v>0</v>
      </c>
      <c r="CE260" s="872">
        <f>SUMIFS(CE$5:CE$254,$E$5:$E$254,$E260,$F$5:$F$254,$F260)</f>
        <v>0</v>
      </c>
      <c r="CF260" s="872">
        <f t="shared" si="59"/>
        <v>0</v>
      </c>
      <c r="CG260" s="872">
        <f t="shared" si="59"/>
        <v>0</v>
      </c>
      <c r="CH260" s="872">
        <f t="shared" si="59"/>
        <v>0</v>
      </c>
      <c r="CI260" s="872">
        <f t="shared" si="59"/>
        <v>0</v>
      </c>
      <c r="CJ260" s="872">
        <f t="shared" si="59"/>
        <v>0</v>
      </c>
      <c r="CK260" s="872">
        <f t="shared" si="59"/>
        <v>0</v>
      </c>
      <c r="CL260" s="872">
        <f t="shared" si="59"/>
        <v>0</v>
      </c>
      <c r="CM260" s="872">
        <f t="shared" si="59"/>
        <v>0</v>
      </c>
      <c r="CN260" s="873">
        <f t="shared" si="59"/>
        <v>0</v>
      </c>
      <c r="CO260" s="872">
        <f t="shared" si="59"/>
        <v>0</v>
      </c>
      <c r="CP260" s="872">
        <f t="shared" si="59"/>
        <v>0</v>
      </c>
      <c r="CQ260" s="872">
        <f t="shared" si="59"/>
        <v>0</v>
      </c>
      <c r="CR260" s="872">
        <f t="shared" si="59"/>
        <v>0</v>
      </c>
      <c r="CS260" s="872">
        <f t="shared" si="59"/>
        <v>0</v>
      </c>
      <c r="CT260" s="872">
        <f t="shared" ref="CT260:DY260" si="60">SUMIFS(CT$5:CT$254,$E$5:$E$254,$E260,$F$5:$F$254,$F260)</f>
        <v>0</v>
      </c>
      <c r="CU260" s="872">
        <f t="shared" si="60"/>
        <v>0</v>
      </c>
      <c r="CV260" s="872">
        <f t="shared" si="60"/>
        <v>0</v>
      </c>
      <c r="CW260" s="872">
        <f t="shared" si="60"/>
        <v>0</v>
      </c>
      <c r="CX260" s="872">
        <f t="shared" si="60"/>
        <v>0</v>
      </c>
      <c r="CY260" s="872">
        <f t="shared" si="60"/>
        <v>0</v>
      </c>
      <c r="CZ260" s="873">
        <f t="shared" si="60"/>
        <v>0</v>
      </c>
      <c r="DA260" s="872">
        <f t="shared" si="60"/>
        <v>0</v>
      </c>
      <c r="DB260" s="872">
        <f t="shared" si="60"/>
        <v>0</v>
      </c>
      <c r="DC260" s="872">
        <f t="shared" si="60"/>
        <v>0</v>
      </c>
      <c r="DD260" s="872">
        <f t="shared" si="60"/>
        <v>0</v>
      </c>
      <c r="DE260" s="872">
        <f t="shared" si="60"/>
        <v>0</v>
      </c>
      <c r="DF260" s="872">
        <f t="shared" si="60"/>
        <v>0</v>
      </c>
      <c r="DG260" s="872">
        <f t="shared" si="60"/>
        <v>0</v>
      </c>
      <c r="DH260" s="872">
        <f t="shared" si="60"/>
        <v>0</v>
      </c>
      <c r="DI260" s="872">
        <f t="shared" si="60"/>
        <v>0</v>
      </c>
      <c r="DJ260" s="872">
        <f t="shared" si="60"/>
        <v>0</v>
      </c>
      <c r="DK260" s="872">
        <f t="shared" si="60"/>
        <v>0</v>
      </c>
      <c r="DL260" s="873">
        <f t="shared" si="60"/>
        <v>0</v>
      </c>
      <c r="DM260" s="872">
        <f t="shared" si="60"/>
        <v>0</v>
      </c>
      <c r="DN260" s="872">
        <f t="shared" si="60"/>
        <v>0</v>
      </c>
      <c r="DO260" s="872">
        <f t="shared" si="60"/>
        <v>0</v>
      </c>
      <c r="DP260" s="872">
        <f t="shared" si="60"/>
        <v>0</v>
      </c>
      <c r="DQ260" s="872">
        <f t="shared" si="60"/>
        <v>0</v>
      </c>
      <c r="DR260" s="872">
        <f t="shared" si="60"/>
        <v>0</v>
      </c>
      <c r="DS260" s="872">
        <f t="shared" si="60"/>
        <v>0</v>
      </c>
      <c r="DT260" s="872">
        <f t="shared" si="60"/>
        <v>0</v>
      </c>
      <c r="DU260" s="872">
        <f t="shared" si="60"/>
        <v>0</v>
      </c>
      <c r="DV260" s="872">
        <f t="shared" si="60"/>
        <v>0</v>
      </c>
      <c r="DW260" s="872">
        <f t="shared" si="60"/>
        <v>0</v>
      </c>
      <c r="DX260" s="873">
        <f t="shared" si="60"/>
        <v>0</v>
      </c>
      <c r="DY260" s="872">
        <f t="shared" si="60"/>
        <v>0</v>
      </c>
      <c r="DZ260" s="872">
        <f t="shared" ref="DZ260:EV260" si="61">SUMIFS(DZ$5:DZ$254,$E$5:$E$254,$E260,$F$5:$F$254,$F260)</f>
        <v>0</v>
      </c>
      <c r="EA260" s="872">
        <f t="shared" si="61"/>
        <v>0</v>
      </c>
      <c r="EB260" s="872">
        <f t="shared" si="61"/>
        <v>0</v>
      </c>
      <c r="EC260" s="872">
        <f t="shared" si="61"/>
        <v>0</v>
      </c>
      <c r="ED260" s="872">
        <f t="shared" si="61"/>
        <v>0</v>
      </c>
      <c r="EE260" s="872">
        <f t="shared" si="61"/>
        <v>0</v>
      </c>
      <c r="EF260" s="872">
        <f t="shared" si="61"/>
        <v>0</v>
      </c>
      <c r="EG260" s="872">
        <f t="shared" si="61"/>
        <v>0</v>
      </c>
      <c r="EH260" s="872">
        <f t="shared" si="61"/>
        <v>0</v>
      </c>
      <c r="EI260" s="872">
        <f t="shared" si="61"/>
        <v>0</v>
      </c>
      <c r="EJ260" s="873">
        <f t="shared" si="61"/>
        <v>0</v>
      </c>
      <c r="EK260" s="872">
        <f t="shared" si="61"/>
        <v>0</v>
      </c>
      <c r="EL260" s="872">
        <f t="shared" si="61"/>
        <v>0</v>
      </c>
      <c r="EM260" s="872">
        <f t="shared" si="61"/>
        <v>0</v>
      </c>
      <c r="EN260" s="872">
        <f t="shared" si="61"/>
        <v>0</v>
      </c>
      <c r="EO260" s="872">
        <f t="shared" si="61"/>
        <v>0</v>
      </c>
      <c r="EP260" s="872">
        <f t="shared" si="61"/>
        <v>0</v>
      </c>
      <c r="EQ260" s="872">
        <f t="shared" si="61"/>
        <v>0</v>
      </c>
      <c r="ER260" s="872">
        <f t="shared" si="61"/>
        <v>0</v>
      </c>
      <c r="ES260" s="872">
        <f t="shared" si="61"/>
        <v>0</v>
      </c>
      <c r="ET260" s="872">
        <f t="shared" si="61"/>
        <v>0</v>
      </c>
      <c r="EU260" s="872">
        <f t="shared" si="61"/>
        <v>0</v>
      </c>
      <c r="EV260" s="873">
        <f t="shared" si="61"/>
        <v>0</v>
      </c>
      <c r="EW260" s="872">
        <f t="shared" si="48"/>
        <v>0</v>
      </c>
      <c r="EX260" s="771"/>
      <c r="EY260" s="1563"/>
      <c r="EZ260" s="872">
        <f>SUMIF('Monthly Summary'!$C$74:BV$74,"",'Resource Costs'!$CC260:EV260)</f>
        <v>0</v>
      </c>
    </row>
    <row r="261" spans="1:156">
      <c r="A261" s="745"/>
      <c r="B261" s="745"/>
      <c r="C261" s="745"/>
      <c r="D261" s="745"/>
      <c r="E261" s="772"/>
      <c r="F261" s="746"/>
      <c r="G261" s="745"/>
      <c r="H261" s="773"/>
      <c r="I261" s="768"/>
      <c r="J261" s="768"/>
      <c r="K261" s="768"/>
      <c r="L261" s="768"/>
      <c r="M261" s="768"/>
      <c r="N261" s="768"/>
      <c r="O261" s="768"/>
      <c r="P261" s="768"/>
      <c r="Q261" s="768"/>
      <c r="R261" s="768"/>
      <c r="S261" s="769"/>
      <c r="T261" s="770"/>
      <c r="U261" s="768"/>
      <c r="V261" s="768"/>
      <c r="W261" s="768"/>
      <c r="X261" s="768"/>
      <c r="Y261" s="768"/>
      <c r="Z261" s="768"/>
      <c r="AA261" s="768"/>
      <c r="AB261" s="768"/>
      <c r="AC261" s="768"/>
      <c r="AD261" s="768"/>
      <c r="AE261" s="769"/>
      <c r="AF261" s="770"/>
      <c r="AG261" s="768"/>
      <c r="AH261" s="768"/>
      <c r="AI261" s="768"/>
      <c r="AJ261" s="768"/>
      <c r="AK261" s="768"/>
      <c r="AL261" s="768"/>
      <c r="AM261" s="768"/>
      <c r="AN261" s="768"/>
      <c r="AO261" s="768"/>
      <c r="AP261" s="768"/>
      <c r="AQ261" s="769"/>
      <c r="AR261" s="768"/>
      <c r="AS261" s="768"/>
      <c r="AT261" s="768"/>
      <c r="AU261" s="768"/>
      <c r="AV261" s="768"/>
      <c r="AW261" s="768"/>
      <c r="AX261" s="768"/>
      <c r="AY261" s="768"/>
      <c r="AZ261" s="768"/>
      <c r="BA261" s="768"/>
      <c r="BB261" s="768"/>
      <c r="BC261" s="768"/>
      <c r="BD261" s="770"/>
      <c r="BE261" s="768"/>
      <c r="BF261" s="768"/>
      <c r="BG261" s="768"/>
      <c r="BH261" s="768"/>
      <c r="BI261" s="768"/>
      <c r="BJ261" s="768"/>
      <c r="BK261" s="768"/>
      <c r="BL261" s="768"/>
      <c r="BM261" s="768"/>
      <c r="BN261" s="768"/>
      <c r="BO261" s="769"/>
      <c r="BP261" s="768"/>
      <c r="BQ261" s="768"/>
      <c r="BR261" s="768"/>
      <c r="BS261" s="768"/>
      <c r="BT261" s="768"/>
      <c r="BU261" s="768"/>
      <c r="BV261" s="768"/>
      <c r="BW261" s="768"/>
      <c r="BX261" s="768"/>
      <c r="BY261" s="768"/>
      <c r="BZ261" s="768"/>
      <c r="CA261" s="768"/>
      <c r="CB261" s="747"/>
      <c r="CC261" s="872"/>
      <c r="CD261" s="872"/>
      <c r="CE261" s="872"/>
      <c r="CF261" s="872"/>
      <c r="CG261" s="872"/>
      <c r="CH261" s="872"/>
      <c r="CI261" s="872"/>
      <c r="CJ261" s="872"/>
      <c r="CK261" s="872"/>
      <c r="CL261" s="872"/>
      <c r="CM261" s="872"/>
      <c r="CN261" s="873"/>
      <c r="CO261" s="872"/>
      <c r="CP261" s="872"/>
      <c r="CQ261" s="872"/>
      <c r="CR261" s="872"/>
      <c r="CS261" s="872"/>
      <c r="CT261" s="872"/>
      <c r="CU261" s="872"/>
      <c r="CV261" s="872"/>
      <c r="CW261" s="872"/>
      <c r="CX261" s="872"/>
      <c r="CY261" s="872"/>
      <c r="CZ261" s="873"/>
      <c r="DA261" s="872"/>
      <c r="DB261" s="872"/>
      <c r="DC261" s="872"/>
      <c r="DD261" s="872"/>
      <c r="DE261" s="872"/>
      <c r="DF261" s="872"/>
      <c r="DG261" s="872"/>
      <c r="DH261" s="872"/>
      <c r="DI261" s="872"/>
      <c r="DJ261" s="872"/>
      <c r="DK261" s="872"/>
      <c r="DL261" s="873"/>
      <c r="DM261" s="872"/>
      <c r="DN261" s="872"/>
      <c r="DO261" s="872"/>
      <c r="DP261" s="872"/>
      <c r="DQ261" s="872"/>
      <c r="DR261" s="872"/>
      <c r="DS261" s="872"/>
      <c r="DT261" s="872"/>
      <c r="DU261" s="872"/>
      <c r="DV261" s="872"/>
      <c r="DW261" s="872"/>
      <c r="DX261" s="873"/>
      <c r="DY261" s="872"/>
      <c r="DZ261" s="872"/>
      <c r="EA261" s="872"/>
      <c r="EB261" s="872"/>
      <c r="EC261" s="872"/>
      <c r="ED261" s="872"/>
      <c r="EE261" s="872"/>
      <c r="EF261" s="872"/>
      <c r="EG261" s="872"/>
      <c r="EH261" s="872"/>
      <c r="EI261" s="872"/>
      <c r="EJ261" s="873"/>
      <c r="EK261" s="872"/>
      <c r="EL261" s="872"/>
      <c r="EM261" s="872"/>
      <c r="EN261" s="872"/>
      <c r="EO261" s="872"/>
      <c r="EP261" s="872"/>
      <c r="EQ261" s="872"/>
      <c r="ER261" s="872"/>
      <c r="ES261" s="872"/>
      <c r="ET261" s="872"/>
      <c r="EU261" s="872"/>
      <c r="EV261" s="873"/>
      <c r="EW261" s="872"/>
      <c r="EX261" s="760"/>
      <c r="EY261" s="760"/>
      <c r="EZ261" s="872"/>
    </row>
    <row r="262" spans="1:156">
      <c r="A262" s="745"/>
      <c r="B262" s="745"/>
      <c r="C262" s="745"/>
      <c r="D262" s="766" t="s">
        <v>18</v>
      </c>
      <c r="E262" s="766" t="str">
        <f>Variables!$A$40</f>
        <v>WiPro</v>
      </c>
      <c r="F262" s="766" t="s">
        <v>20</v>
      </c>
      <c r="G262" s="745"/>
      <c r="H262" s="767">
        <f t="shared" ref="H262:Q263" si="62">SUMIFS(H$5:H$254,$E$5:$E$254,$E262,$F$5:$F$254,$F262)</f>
        <v>0</v>
      </c>
      <c r="I262" s="768">
        <f t="shared" si="62"/>
        <v>0</v>
      </c>
      <c r="J262" s="768">
        <f t="shared" si="62"/>
        <v>0</v>
      </c>
      <c r="K262" s="768">
        <f t="shared" si="62"/>
        <v>0</v>
      </c>
      <c r="L262" s="768">
        <f t="shared" si="62"/>
        <v>0</v>
      </c>
      <c r="M262" s="768">
        <f t="shared" si="62"/>
        <v>0</v>
      </c>
      <c r="N262" s="768">
        <f t="shared" si="62"/>
        <v>0</v>
      </c>
      <c r="O262" s="768">
        <f t="shared" si="62"/>
        <v>0</v>
      </c>
      <c r="P262" s="768">
        <f t="shared" si="62"/>
        <v>0</v>
      </c>
      <c r="Q262" s="768">
        <f t="shared" si="62"/>
        <v>0</v>
      </c>
      <c r="R262" s="768">
        <f t="shared" ref="R262:AA263" si="63">SUMIFS(R$5:R$254,$E$5:$E$254,$E262,$F$5:$F$254,$F262)</f>
        <v>0</v>
      </c>
      <c r="S262" s="769">
        <f t="shared" si="63"/>
        <v>0</v>
      </c>
      <c r="T262" s="770">
        <f t="shared" si="63"/>
        <v>0</v>
      </c>
      <c r="U262" s="768">
        <f t="shared" si="63"/>
        <v>0</v>
      </c>
      <c r="V262" s="768">
        <f t="shared" si="63"/>
        <v>0</v>
      </c>
      <c r="W262" s="768">
        <f t="shared" si="63"/>
        <v>0</v>
      </c>
      <c r="X262" s="768">
        <f t="shared" si="63"/>
        <v>0</v>
      </c>
      <c r="Y262" s="768">
        <f t="shared" si="63"/>
        <v>0</v>
      </c>
      <c r="Z262" s="768">
        <f t="shared" si="63"/>
        <v>0</v>
      </c>
      <c r="AA262" s="768">
        <f t="shared" si="63"/>
        <v>0</v>
      </c>
      <c r="AB262" s="768">
        <f t="shared" ref="AB262:AK263" si="64">SUMIFS(AB$5:AB$254,$E$5:$E$254,$E262,$F$5:$F$254,$F262)</f>
        <v>0</v>
      </c>
      <c r="AC262" s="768">
        <f t="shared" si="64"/>
        <v>0</v>
      </c>
      <c r="AD262" s="768">
        <f t="shared" si="64"/>
        <v>0</v>
      </c>
      <c r="AE262" s="769">
        <f t="shared" si="64"/>
        <v>0</v>
      </c>
      <c r="AF262" s="770">
        <f t="shared" si="64"/>
        <v>0</v>
      </c>
      <c r="AG262" s="768">
        <f t="shared" si="64"/>
        <v>0</v>
      </c>
      <c r="AH262" s="768">
        <f t="shared" si="64"/>
        <v>0</v>
      </c>
      <c r="AI262" s="768">
        <f t="shared" si="64"/>
        <v>0</v>
      </c>
      <c r="AJ262" s="768">
        <f t="shared" si="64"/>
        <v>0</v>
      </c>
      <c r="AK262" s="768">
        <f t="shared" si="64"/>
        <v>0</v>
      </c>
      <c r="AL262" s="768">
        <f t="shared" ref="AL262:AU263" si="65">SUMIFS(AL$5:AL$254,$E$5:$E$254,$E262,$F$5:$F$254,$F262)</f>
        <v>0</v>
      </c>
      <c r="AM262" s="768">
        <f t="shared" si="65"/>
        <v>0</v>
      </c>
      <c r="AN262" s="768">
        <f t="shared" si="65"/>
        <v>0</v>
      </c>
      <c r="AO262" s="768">
        <f t="shared" si="65"/>
        <v>0</v>
      </c>
      <c r="AP262" s="768">
        <f t="shared" si="65"/>
        <v>0</v>
      </c>
      <c r="AQ262" s="769">
        <f t="shared" si="65"/>
        <v>0</v>
      </c>
      <c r="AR262" s="768">
        <f t="shared" si="65"/>
        <v>0</v>
      </c>
      <c r="AS262" s="768">
        <f t="shared" si="65"/>
        <v>0</v>
      </c>
      <c r="AT262" s="768">
        <f t="shared" si="65"/>
        <v>0</v>
      </c>
      <c r="AU262" s="768">
        <f t="shared" si="65"/>
        <v>0</v>
      </c>
      <c r="AV262" s="768">
        <f t="shared" ref="AV262:BE263" si="66">SUMIFS(AV$5:AV$254,$E$5:$E$254,$E262,$F$5:$F$254,$F262)</f>
        <v>0</v>
      </c>
      <c r="AW262" s="768">
        <f t="shared" si="66"/>
        <v>0</v>
      </c>
      <c r="AX262" s="768">
        <f t="shared" si="66"/>
        <v>0</v>
      </c>
      <c r="AY262" s="768">
        <f t="shared" si="66"/>
        <v>0</v>
      </c>
      <c r="AZ262" s="768">
        <f t="shared" si="66"/>
        <v>0</v>
      </c>
      <c r="BA262" s="768">
        <f t="shared" si="66"/>
        <v>0</v>
      </c>
      <c r="BB262" s="768">
        <f t="shared" si="66"/>
        <v>0</v>
      </c>
      <c r="BC262" s="768">
        <f t="shared" si="66"/>
        <v>0</v>
      </c>
      <c r="BD262" s="770">
        <f t="shared" si="66"/>
        <v>0</v>
      </c>
      <c r="BE262" s="768">
        <f t="shared" si="66"/>
        <v>0</v>
      </c>
      <c r="BF262" s="768">
        <f t="shared" ref="BF262:BO263" si="67">SUMIFS(BF$5:BF$254,$E$5:$E$254,$E262,$F$5:$F$254,$F262)</f>
        <v>0</v>
      </c>
      <c r="BG262" s="768">
        <f t="shared" si="67"/>
        <v>0</v>
      </c>
      <c r="BH262" s="768">
        <f t="shared" si="67"/>
        <v>0</v>
      </c>
      <c r="BI262" s="768">
        <f t="shared" si="67"/>
        <v>0</v>
      </c>
      <c r="BJ262" s="768">
        <f t="shared" si="67"/>
        <v>0</v>
      </c>
      <c r="BK262" s="768">
        <f t="shared" si="67"/>
        <v>0</v>
      </c>
      <c r="BL262" s="768">
        <f t="shared" si="67"/>
        <v>0</v>
      </c>
      <c r="BM262" s="768">
        <f t="shared" si="67"/>
        <v>0</v>
      </c>
      <c r="BN262" s="768">
        <f t="shared" si="67"/>
        <v>0</v>
      </c>
      <c r="BO262" s="769">
        <f t="shared" si="67"/>
        <v>0</v>
      </c>
      <c r="BP262" s="768">
        <f t="shared" ref="BP262:CA263" si="68">SUMIFS(BP$5:BP$254,$E$5:$E$254,$E262,$F$5:$F$254,$F262)</f>
        <v>0</v>
      </c>
      <c r="BQ262" s="768">
        <f t="shared" si="68"/>
        <v>0</v>
      </c>
      <c r="BR262" s="768">
        <f t="shared" si="68"/>
        <v>0</v>
      </c>
      <c r="BS262" s="768">
        <f t="shared" si="68"/>
        <v>0</v>
      </c>
      <c r="BT262" s="768">
        <f t="shared" si="68"/>
        <v>0</v>
      </c>
      <c r="BU262" s="768">
        <f t="shared" si="68"/>
        <v>0</v>
      </c>
      <c r="BV262" s="768">
        <f t="shared" si="68"/>
        <v>0</v>
      </c>
      <c r="BW262" s="768">
        <f t="shared" si="68"/>
        <v>0</v>
      </c>
      <c r="BX262" s="768">
        <f t="shared" si="68"/>
        <v>0</v>
      </c>
      <c r="BY262" s="768">
        <f t="shared" si="68"/>
        <v>0</v>
      </c>
      <c r="BZ262" s="768">
        <f t="shared" si="68"/>
        <v>0</v>
      </c>
      <c r="CA262" s="768">
        <f t="shared" si="68"/>
        <v>0</v>
      </c>
      <c r="CB262" s="747"/>
      <c r="CC262" s="872">
        <f t="shared" ref="CC262:DH262" si="69">SUMIFS(CC$5:CC$254,$E$5:$E$254,$E262,$F$5:$F$254,$F262)</f>
        <v>0</v>
      </c>
      <c r="CD262" s="872">
        <f t="shared" si="69"/>
        <v>0</v>
      </c>
      <c r="CE262" s="872">
        <f t="shared" si="69"/>
        <v>0</v>
      </c>
      <c r="CF262" s="872">
        <f t="shared" si="69"/>
        <v>0</v>
      </c>
      <c r="CG262" s="872">
        <f t="shared" si="69"/>
        <v>0</v>
      </c>
      <c r="CH262" s="872">
        <f t="shared" si="69"/>
        <v>0</v>
      </c>
      <c r="CI262" s="872">
        <f t="shared" si="69"/>
        <v>0</v>
      </c>
      <c r="CJ262" s="872">
        <f t="shared" si="69"/>
        <v>0</v>
      </c>
      <c r="CK262" s="872">
        <f t="shared" si="69"/>
        <v>0</v>
      </c>
      <c r="CL262" s="872">
        <f t="shared" si="69"/>
        <v>0</v>
      </c>
      <c r="CM262" s="872">
        <f t="shared" si="69"/>
        <v>0</v>
      </c>
      <c r="CN262" s="873">
        <f t="shared" si="69"/>
        <v>0</v>
      </c>
      <c r="CO262" s="872">
        <f t="shared" si="69"/>
        <v>0</v>
      </c>
      <c r="CP262" s="872">
        <f t="shared" si="69"/>
        <v>0</v>
      </c>
      <c r="CQ262" s="872">
        <f t="shared" si="69"/>
        <v>0</v>
      </c>
      <c r="CR262" s="872">
        <f t="shared" si="69"/>
        <v>0</v>
      </c>
      <c r="CS262" s="872">
        <f t="shared" si="69"/>
        <v>0</v>
      </c>
      <c r="CT262" s="872">
        <f t="shared" si="69"/>
        <v>0</v>
      </c>
      <c r="CU262" s="872">
        <f t="shared" si="69"/>
        <v>0</v>
      </c>
      <c r="CV262" s="872">
        <f t="shared" si="69"/>
        <v>0</v>
      </c>
      <c r="CW262" s="872">
        <f t="shared" si="69"/>
        <v>0</v>
      </c>
      <c r="CX262" s="872">
        <f t="shared" si="69"/>
        <v>0</v>
      </c>
      <c r="CY262" s="872">
        <f t="shared" si="69"/>
        <v>0</v>
      </c>
      <c r="CZ262" s="873">
        <f t="shared" si="69"/>
        <v>0</v>
      </c>
      <c r="DA262" s="872">
        <f t="shared" si="69"/>
        <v>0</v>
      </c>
      <c r="DB262" s="872">
        <f t="shared" si="69"/>
        <v>0</v>
      </c>
      <c r="DC262" s="872">
        <f t="shared" si="69"/>
        <v>0</v>
      </c>
      <c r="DD262" s="872">
        <f t="shared" si="69"/>
        <v>0</v>
      </c>
      <c r="DE262" s="872">
        <f t="shared" si="69"/>
        <v>0</v>
      </c>
      <c r="DF262" s="872">
        <f t="shared" si="69"/>
        <v>0</v>
      </c>
      <c r="DG262" s="872">
        <f t="shared" si="69"/>
        <v>0</v>
      </c>
      <c r="DH262" s="872">
        <f t="shared" si="69"/>
        <v>0</v>
      </c>
      <c r="DI262" s="872">
        <f t="shared" ref="DI262:EN262" si="70">SUMIFS(DI$5:DI$254,$E$5:$E$254,$E262,$F$5:$F$254,$F262)</f>
        <v>0</v>
      </c>
      <c r="DJ262" s="872">
        <f t="shared" si="70"/>
        <v>0</v>
      </c>
      <c r="DK262" s="872">
        <f t="shared" si="70"/>
        <v>0</v>
      </c>
      <c r="DL262" s="873">
        <f t="shared" si="70"/>
        <v>0</v>
      </c>
      <c r="DM262" s="872">
        <f t="shared" si="70"/>
        <v>0</v>
      </c>
      <c r="DN262" s="872">
        <f t="shared" si="70"/>
        <v>0</v>
      </c>
      <c r="DO262" s="872">
        <f t="shared" si="70"/>
        <v>0</v>
      </c>
      <c r="DP262" s="872">
        <f t="shared" si="70"/>
        <v>0</v>
      </c>
      <c r="DQ262" s="872">
        <f t="shared" si="70"/>
        <v>0</v>
      </c>
      <c r="DR262" s="872">
        <f t="shared" si="70"/>
        <v>0</v>
      </c>
      <c r="DS262" s="872">
        <f t="shared" si="70"/>
        <v>0</v>
      </c>
      <c r="DT262" s="872">
        <f t="shared" si="70"/>
        <v>0</v>
      </c>
      <c r="DU262" s="872">
        <f t="shared" si="70"/>
        <v>0</v>
      </c>
      <c r="DV262" s="872">
        <f t="shared" si="70"/>
        <v>0</v>
      </c>
      <c r="DW262" s="872">
        <f t="shared" si="70"/>
        <v>0</v>
      </c>
      <c r="DX262" s="873">
        <f t="shared" si="70"/>
        <v>0</v>
      </c>
      <c r="DY262" s="872">
        <f t="shared" si="70"/>
        <v>0</v>
      </c>
      <c r="DZ262" s="872">
        <f t="shared" si="70"/>
        <v>0</v>
      </c>
      <c r="EA262" s="872">
        <f t="shared" si="70"/>
        <v>0</v>
      </c>
      <c r="EB262" s="872">
        <f t="shared" si="70"/>
        <v>0</v>
      </c>
      <c r="EC262" s="872">
        <f t="shared" si="70"/>
        <v>0</v>
      </c>
      <c r="ED262" s="872">
        <f t="shared" si="70"/>
        <v>0</v>
      </c>
      <c r="EE262" s="872">
        <f t="shared" si="70"/>
        <v>0</v>
      </c>
      <c r="EF262" s="872">
        <f t="shared" si="70"/>
        <v>0</v>
      </c>
      <c r="EG262" s="872">
        <f t="shared" si="70"/>
        <v>0</v>
      </c>
      <c r="EH262" s="872">
        <f t="shared" si="70"/>
        <v>0</v>
      </c>
      <c r="EI262" s="872">
        <f t="shared" si="70"/>
        <v>0</v>
      </c>
      <c r="EJ262" s="873">
        <f t="shared" si="70"/>
        <v>0</v>
      </c>
      <c r="EK262" s="872">
        <f t="shared" si="70"/>
        <v>0</v>
      </c>
      <c r="EL262" s="872">
        <f t="shared" si="70"/>
        <v>0</v>
      </c>
      <c r="EM262" s="872">
        <f t="shared" si="70"/>
        <v>0</v>
      </c>
      <c r="EN262" s="872">
        <f t="shared" si="70"/>
        <v>0</v>
      </c>
      <c r="EO262" s="872">
        <f t="shared" ref="EO262:EV262" si="71">SUMIFS(EO$5:EO$254,$E$5:$E$254,$E262,$F$5:$F$254,$F262)</f>
        <v>0</v>
      </c>
      <c r="EP262" s="872">
        <f t="shared" si="71"/>
        <v>0</v>
      </c>
      <c r="EQ262" s="872">
        <f t="shared" si="71"/>
        <v>0</v>
      </c>
      <c r="ER262" s="872">
        <f t="shared" si="71"/>
        <v>0</v>
      </c>
      <c r="ES262" s="872">
        <f t="shared" si="71"/>
        <v>0</v>
      </c>
      <c r="ET262" s="872">
        <f t="shared" si="71"/>
        <v>0</v>
      </c>
      <c r="EU262" s="872">
        <f t="shared" si="71"/>
        <v>0</v>
      </c>
      <c r="EV262" s="873">
        <f t="shared" si="71"/>
        <v>0</v>
      </c>
      <c r="EW262" s="872">
        <f t="shared" si="48"/>
        <v>0</v>
      </c>
      <c r="EX262" s="771"/>
      <c r="EY262" s="1563"/>
      <c r="EZ262" s="872">
        <f>SUMIF('Monthly Summary'!$C$75:BV$75,"",'Resource Costs'!$CC262:EV262)</f>
        <v>0</v>
      </c>
    </row>
    <row r="263" spans="1:156">
      <c r="A263" s="745"/>
      <c r="B263" s="745"/>
      <c r="C263" s="745"/>
      <c r="D263" s="766" t="s">
        <v>18</v>
      </c>
      <c r="E263" s="766" t="str">
        <f>Variables!$A$40</f>
        <v>WiPro</v>
      </c>
      <c r="F263" s="766" t="s">
        <v>21</v>
      </c>
      <c r="G263" s="745"/>
      <c r="H263" s="767">
        <f t="shared" si="62"/>
        <v>0</v>
      </c>
      <c r="I263" s="768">
        <f t="shared" si="62"/>
        <v>0</v>
      </c>
      <c r="J263" s="768">
        <f t="shared" si="62"/>
        <v>0</v>
      </c>
      <c r="K263" s="768">
        <f t="shared" si="62"/>
        <v>0</v>
      </c>
      <c r="L263" s="768">
        <f t="shared" si="62"/>
        <v>0</v>
      </c>
      <c r="M263" s="768">
        <f t="shared" si="62"/>
        <v>0</v>
      </c>
      <c r="N263" s="768">
        <f t="shared" si="62"/>
        <v>0</v>
      </c>
      <c r="O263" s="768">
        <f t="shared" si="62"/>
        <v>0</v>
      </c>
      <c r="P263" s="768">
        <f t="shared" si="62"/>
        <v>0</v>
      </c>
      <c r="Q263" s="768">
        <f t="shared" si="62"/>
        <v>0</v>
      </c>
      <c r="R263" s="768">
        <f t="shared" si="63"/>
        <v>0</v>
      </c>
      <c r="S263" s="769">
        <f t="shared" si="63"/>
        <v>0</v>
      </c>
      <c r="T263" s="770">
        <f t="shared" si="63"/>
        <v>0</v>
      </c>
      <c r="U263" s="768">
        <f t="shared" si="63"/>
        <v>0</v>
      </c>
      <c r="V263" s="768">
        <f t="shared" si="63"/>
        <v>0</v>
      </c>
      <c r="W263" s="768">
        <f t="shared" si="63"/>
        <v>0</v>
      </c>
      <c r="X263" s="768">
        <f t="shared" si="63"/>
        <v>0</v>
      </c>
      <c r="Y263" s="768">
        <f t="shared" si="63"/>
        <v>0</v>
      </c>
      <c r="Z263" s="768">
        <f t="shared" si="63"/>
        <v>0</v>
      </c>
      <c r="AA263" s="768">
        <f t="shared" si="63"/>
        <v>0</v>
      </c>
      <c r="AB263" s="768">
        <f t="shared" si="64"/>
        <v>0</v>
      </c>
      <c r="AC263" s="768">
        <f t="shared" si="64"/>
        <v>0</v>
      </c>
      <c r="AD263" s="768">
        <f t="shared" si="64"/>
        <v>0</v>
      </c>
      <c r="AE263" s="769">
        <f t="shared" si="64"/>
        <v>0</v>
      </c>
      <c r="AF263" s="770">
        <f t="shared" si="64"/>
        <v>0</v>
      </c>
      <c r="AG263" s="768">
        <f t="shared" si="64"/>
        <v>0</v>
      </c>
      <c r="AH263" s="768">
        <f t="shared" si="64"/>
        <v>0</v>
      </c>
      <c r="AI263" s="768">
        <f t="shared" si="64"/>
        <v>0</v>
      </c>
      <c r="AJ263" s="768">
        <f t="shared" si="64"/>
        <v>0</v>
      </c>
      <c r="AK263" s="768">
        <f t="shared" si="64"/>
        <v>0</v>
      </c>
      <c r="AL263" s="768">
        <f t="shared" si="65"/>
        <v>0</v>
      </c>
      <c r="AM263" s="768">
        <f t="shared" si="65"/>
        <v>0</v>
      </c>
      <c r="AN263" s="768">
        <f t="shared" si="65"/>
        <v>0</v>
      </c>
      <c r="AO263" s="768">
        <f t="shared" si="65"/>
        <v>0</v>
      </c>
      <c r="AP263" s="768">
        <f t="shared" si="65"/>
        <v>0</v>
      </c>
      <c r="AQ263" s="769">
        <f t="shared" si="65"/>
        <v>0</v>
      </c>
      <c r="AR263" s="768">
        <f t="shared" si="65"/>
        <v>0</v>
      </c>
      <c r="AS263" s="768">
        <f t="shared" si="65"/>
        <v>0</v>
      </c>
      <c r="AT263" s="768">
        <f t="shared" si="65"/>
        <v>0</v>
      </c>
      <c r="AU263" s="768">
        <f t="shared" si="65"/>
        <v>0</v>
      </c>
      <c r="AV263" s="768">
        <f t="shared" si="66"/>
        <v>0</v>
      </c>
      <c r="AW263" s="768">
        <f t="shared" si="66"/>
        <v>0</v>
      </c>
      <c r="AX263" s="768">
        <f t="shared" si="66"/>
        <v>0</v>
      </c>
      <c r="AY263" s="768">
        <f t="shared" si="66"/>
        <v>0</v>
      </c>
      <c r="AZ263" s="768">
        <f t="shared" si="66"/>
        <v>0</v>
      </c>
      <c r="BA263" s="768">
        <f t="shared" si="66"/>
        <v>0</v>
      </c>
      <c r="BB263" s="768">
        <f t="shared" si="66"/>
        <v>0</v>
      </c>
      <c r="BC263" s="768">
        <f t="shared" si="66"/>
        <v>0</v>
      </c>
      <c r="BD263" s="770">
        <f t="shared" si="66"/>
        <v>0</v>
      </c>
      <c r="BE263" s="768">
        <f t="shared" si="66"/>
        <v>0</v>
      </c>
      <c r="BF263" s="768">
        <f t="shared" si="67"/>
        <v>0</v>
      </c>
      <c r="BG263" s="768">
        <f t="shared" si="67"/>
        <v>0</v>
      </c>
      <c r="BH263" s="768">
        <f t="shared" si="67"/>
        <v>0</v>
      </c>
      <c r="BI263" s="768">
        <f t="shared" si="67"/>
        <v>0</v>
      </c>
      <c r="BJ263" s="768">
        <f t="shared" si="67"/>
        <v>0</v>
      </c>
      <c r="BK263" s="768">
        <f t="shared" si="67"/>
        <v>0</v>
      </c>
      <c r="BL263" s="768">
        <f t="shared" si="67"/>
        <v>0</v>
      </c>
      <c r="BM263" s="768">
        <f t="shared" si="67"/>
        <v>0</v>
      </c>
      <c r="BN263" s="768">
        <f t="shared" si="67"/>
        <v>0</v>
      </c>
      <c r="BO263" s="769">
        <f t="shared" si="67"/>
        <v>0</v>
      </c>
      <c r="BP263" s="768">
        <f t="shared" si="68"/>
        <v>0</v>
      </c>
      <c r="BQ263" s="768">
        <f t="shared" si="68"/>
        <v>0</v>
      </c>
      <c r="BR263" s="768">
        <f t="shared" si="68"/>
        <v>0</v>
      </c>
      <c r="BS263" s="768">
        <f t="shared" si="68"/>
        <v>0</v>
      </c>
      <c r="BT263" s="768">
        <f t="shared" si="68"/>
        <v>0</v>
      </c>
      <c r="BU263" s="768">
        <f t="shared" si="68"/>
        <v>0</v>
      </c>
      <c r="BV263" s="768">
        <f t="shared" si="68"/>
        <v>0</v>
      </c>
      <c r="BW263" s="768">
        <f t="shared" si="68"/>
        <v>0</v>
      </c>
      <c r="BX263" s="768">
        <f t="shared" si="68"/>
        <v>0</v>
      </c>
      <c r="BY263" s="768">
        <f t="shared" si="68"/>
        <v>0</v>
      </c>
      <c r="BZ263" s="768">
        <f t="shared" si="68"/>
        <v>0</v>
      </c>
      <c r="CA263" s="768">
        <f t="shared" si="68"/>
        <v>0</v>
      </c>
      <c r="CB263" s="747"/>
      <c r="CC263" s="872">
        <f t="shared" ref="CC263:CS263" si="72">SUMIFS(CC$5:CC$254,$E$5:$E$254,$E263,$F$5:$F$254,$F263)</f>
        <v>0</v>
      </c>
      <c r="CD263" s="872">
        <f t="shared" si="72"/>
        <v>0</v>
      </c>
      <c r="CE263" s="872">
        <f>SUMIFS(CE$5:CE$254,$E$5:$E$254,$E263,$F$5:$F$254,$F263)</f>
        <v>0</v>
      </c>
      <c r="CF263" s="872">
        <f t="shared" si="72"/>
        <v>0</v>
      </c>
      <c r="CG263" s="872">
        <f t="shared" si="72"/>
        <v>0</v>
      </c>
      <c r="CH263" s="872">
        <f t="shared" si="72"/>
        <v>0</v>
      </c>
      <c r="CI263" s="872">
        <f t="shared" si="72"/>
        <v>0</v>
      </c>
      <c r="CJ263" s="872">
        <f t="shared" si="72"/>
        <v>0</v>
      </c>
      <c r="CK263" s="872">
        <f t="shared" si="72"/>
        <v>0</v>
      </c>
      <c r="CL263" s="872">
        <f t="shared" si="72"/>
        <v>0</v>
      </c>
      <c r="CM263" s="872">
        <f t="shared" si="72"/>
        <v>0</v>
      </c>
      <c r="CN263" s="873">
        <f t="shared" si="72"/>
        <v>0</v>
      </c>
      <c r="CO263" s="872">
        <f t="shared" si="72"/>
        <v>0</v>
      </c>
      <c r="CP263" s="872">
        <f t="shared" si="72"/>
        <v>0</v>
      </c>
      <c r="CQ263" s="872">
        <f t="shared" si="72"/>
        <v>0</v>
      </c>
      <c r="CR263" s="872">
        <f t="shared" si="72"/>
        <v>0</v>
      </c>
      <c r="CS263" s="872">
        <f t="shared" si="72"/>
        <v>0</v>
      </c>
      <c r="CT263" s="872">
        <f t="shared" ref="CT263:DY263" si="73">SUMIFS(CT$5:CT$254,$E$5:$E$254,$E263,$F$5:$F$254,$F263)</f>
        <v>0</v>
      </c>
      <c r="CU263" s="872">
        <f t="shared" si="73"/>
        <v>0</v>
      </c>
      <c r="CV263" s="872">
        <f t="shared" si="73"/>
        <v>0</v>
      </c>
      <c r="CW263" s="872">
        <f t="shared" si="73"/>
        <v>0</v>
      </c>
      <c r="CX263" s="872">
        <f t="shared" si="73"/>
        <v>0</v>
      </c>
      <c r="CY263" s="872">
        <f t="shared" si="73"/>
        <v>0</v>
      </c>
      <c r="CZ263" s="873">
        <f t="shared" si="73"/>
        <v>0</v>
      </c>
      <c r="DA263" s="872">
        <f t="shared" si="73"/>
        <v>0</v>
      </c>
      <c r="DB263" s="872">
        <f t="shared" si="73"/>
        <v>0</v>
      </c>
      <c r="DC263" s="872">
        <f t="shared" si="73"/>
        <v>0</v>
      </c>
      <c r="DD263" s="872">
        <f t="shared" si="73"/>
        <v>0</v>
      </c>
      <c r="DE263" s="872">
        <f t="shared" si="73"/>
        <v>0</v>
      </c>
      <c r="DF263" s="872">
        <f t="shared" si="73"/>
        <v>0</v>
      </c>
      <c r="DG263" s="872">
        <f t="shared" si="73"/>
        <v>0</v>
      </c>
      <c r="DH263" s="872">
        <f t="shared" si="73"/>
        <v>0</v>
      </c>
      <c r="DI263" s="872">
        <f t="shared" si="73"/>
        <v>0</v>
      </c>
      <c r="DJ263" s="872">
        <f t="shared" si="73"/>
        <v>0</v>
      </c>
      <c r="DK263" s="872">
        <f t="shared" si="73"/>
        <v>0</v>
      </c>
      <c r="DL263" s="873">
        <f t="shared" si="73"/>
        <v>0</v>
      </c>
      <c r="DM263" s="872">
        <f t="shared" si="73"/>
        <v>0</v>
      </c>
      <c r="DN263" s="872">
        <f t="shared" si="73"/>
        <v>0</v>
      </c>
      <c r="DO263" s="872">
        <f t="shared" si="73"/>
        <v>0</v>
      </c>
      <c r="DP263" s="872">
        <f t="shared" si="73"/>
        <v>0</v>
      </c>
      <c r="DQ263" s="872">
        <f t="shared" si="73"/>
        <v>0</v>
      </c>
      <c r="DR263" s="872">
        <f t="shared" si="73"/>
        <v>0</v>
      </c>
      <c r="DS263" s="872">
        <f t="shared" si="73"/>
        <v>0</v>
      </c>
      <c r="DT263" s="872">
        <f t="shared" si="73"/>
        <v>0</v>
      </c>
      <c r="DU263" s="872">
        <f t="shared" si="73"/>
        <v>0</v>
      </c>
      <c r="DV263" s="872">
        <f t="shared" si="73"/>
        <v>0</v>
      </c>
      <c r="DW263" s="872">
        <f t="shared" si="73"/>
        <v>0</v>
      </c>
      <c r="DX263" s="873">
        <f t="shared" si="73"/>
        <v>0</v>
      </c>
      <c r="DY263" s="872">
        <f t="shared" si="73"/>
        <v>0</v>
      </c>
      <c r="DZ263" s="872">
        <f t="shared" ref="DZ263:EV263" si="74">SUMIFS(DZ$5:DZ$254,$E$5:$E$254,$E263,$F$5:$F$254,$F263)</f>
        <v>0</v>
      </c>
      <c r="EA263" s="872">
        <f t="shared" si="74"/>
        <v>0</v>
      </c>
      <c r="EB263" s="872">
        <f t="shared" si="74"/>
        <v>0</v>
      </c>
      <c r="EC263" s="872">
        <f t="shared" si="74"/>
        <v>0</v>
      </c>
      <c r="ED263" s="872">
        <f t="shared" si="74"/>
        <v>0</v>
      </c>
      <c r="EE263" s="872">
        <f t="shared" si="74"/>
        <v>0</v>
      </c>
      <c r="EF263" s="872">
        <f t="shared" si="74"/>
        <v>0</v>
      </c>
      <c r="EG263" s="872">
        <f t="shared" si="74"/>
        <v>0</v>
      </c>
      <c r="EH263" s="872">
        <f t="shared" si="74"/>
        <v>0</v>
      </c>
      <c r="EI263" s="872">
        <f t="shared" si="74"/>
        <v>0</v>
      </c>
      <c r="EJ263" s="873">
        <f t="shared" si="74"/>
        <v>0</v>
      </c>
      <c r="EK263" s="872">
        <f t="shared" si="74"/>
        <v>0</v>
      </c>
      <c r="EL263" s="872">
        <f t="shared" si="74"/>
        <v>0</v>
      </c>
      <c r="EM263" s="872">
        <f t="shared" si="74"/>
        <v>0</v>
      </c>
      <c r="EN263" s="872">
        <f t="shared" si="74"/>
        <v>0</v>
      </c>
      <c r="EO263" s="872">
        <f t="shared" si="74"/>
        <v>0</v>
      </c>
      <c r="EP263" s="872">
        <f t="shared" si="74"/>
        <v>0</v>
      </c>
      <c r="EQ263" s="872">
        <f t="shared" si="74"/>
        <v>0</v>
      </c>
      <c r="ER263" s="872">
        <f t="shared" si="74"/>
        <v>0</v>
      </c>
      <c r="ES263" s="872">
        <f t="shared" si="74"/>
        <v>0</v>
      </c>
      <c r="ET263" s="872">
        <f t="shared" si="74"/>
        <v>0</v>
      </c>
      <c r="EU263" s="872">
        <f t="shared" si="74"/>
        <v>0</v>
      </c>
      <c r="EV263" s="873">
        <f t="shared" si="74"/>
        <v>0</v>
      </c>
      <c r="EW263" s="872">
        <f t="shared" si="48"/>
        <v>0</v>
      </c>
      <c r="EX263" s="771"/>
      <c r="EY263" s="1563"/>
      <c r="EZ263" s="872">
        <f>SUMIF('Monthly Summary'!$C$74:BV$74,"",'Resource Costs'!$CC263:EV263)</f>
        <v>0</v>
      </c>
    </row>
    <row r="264" spans="1:156">
      <c r="A264" s="745"/>
      <c r="B264" s="745"/>
      <c r="C264" s="745"/>
      <c r="D264" s="745"/>
      <c r="E264" s="772"/>
      <c r="F264" s="746"/>
      <c r="G264" s="745"/>
      <c r="H264" s="773"/>
      <c r="I264" s="768"/>
      <c r="J264" s="768"/>
      <c r="K264" s="768"/>
      <c r="L264" s="768"/>
      <c r="M264" s="768"/>
      <c r="N264" s="768"/>
      <c r="O264" s="768"/>
      <c r="P264" s="768"/>
      <c r="Q264" s="768"/>
      <c r="R264" s="768"/>
      <c r="S264" s="769"/>
      <c r="T264" s="770"/>
      <c r="U264" s="768"/>
      <c r="V264" s="768"/>
      <c r="W264" s="768"/>
      <c r="X264" s="768"/>
      <c r="Y264" s="768"/>
      <c r="Z264" s="768"/>
      <c r="AA264" s="768"/>
      <c r="AB264" s="768"/>
      <c r="AC264" s="768"/>
      <c r="AD264" s="768"/>
      <c r="AE264" s="769"/>
      <c r="AF264" s="770"/>
      <c r="AG264" s="768"/>
      <c r="AH264" s="768"/>
      <c r="AI264" s="768"/>
      <c r="AJ264" s="768"/>
      <c r="AK264" s="768"/>
      <c r="AL264" s="768"/>
      <c r="AM264" s="768"/>
      <c r="AN264" s="768"/>
      <c r="AO264" s="768"/>
      <c r="AP264" s="768"/>
      <c r="AQ264" s="769"/>
      <c r="AR264" s="768"/>
      <c r="AS264" s="768"/>
      <c r="AT264" s="768"/>
      <c r="AU264" s="768"/>
      <c r="AV264" s="768"/>
      <c r="AW264" s="768"/>
      <c r="AX264" s="768"/>
      <c r="AY264" s="768"/>
      <c r="AZ264" s="768"/>
      <c r="BA264" s="768"/>
      <c r="BB264" s="768"/>
      <c r="BC264" s="768"/>
      <c r="BD264" s="770"/>
      <c r="BE264" s="768"/>
      <c r="BF264" s="768"/>
      <c r="BG264" s="768"/>
      <c r="BH264" s="768"/>
      <c r="BI264" s="768"/>
      <c r="BJ264" s="768"/>
      <c r="BK264" s="768"/>
      <c r="BL264" s="768"/>
      <c r="BM264" s="768"/>
      <c r="BN264" s="768"/>
      <c r="BO264" s="769"/>
      <c r="BP264" s="768"/>
      <c r="BQ264" s="768"/>
      <c r="BR264" s="768"/>
      <c r="BS264" s="768"/>
      <c r="BT264" s="768"/>
      <c r="BU264" s="768"/>
      <c r="BV264" s="768"/>
      <c r="BW264" s="768"/>
      <c r="BX264" s="768"/>
      <c r="BY264" s="768"/>
      <c r="BZ264" s="768"/>
      <c r="CA264" s="768"/>
      <c r="CB264" s="747"/>
      <c r="CC264" s="872"/>
      <c r="CD264" s="872"/>
      <c r="CE264" s="872"/>
      <c r="CF264" s="872"/>
      <c r="CG264" s="872"/>
      <c r="CH264" s="872"/>
      <c r="CI264" s="872"/>
      <c r="CJ264" s="872"/>
      <c r="CK264" s="872"/>
      <c r="CL264" s="872"/>
      <c r="CM264" s="872"/>
      <c r="CN264" s="873"/>
      <c r="CO264" s="872"/>
      <c r="CP264" s="872"/>
      <c r="CQ264" s="872"/>
      <c r="CR264" s="872"/>
      <c r="CS264" s="872"/>
      <c r="CT264" s="872"/>
      <c r="CU264" s="872"/>
      <c r="CV264" s="872"/>
      <c r="CW264" s="872"/>
      <c r="CX264" s="872"/>
      <c r="CY264" s="872"/>
      <c r="CZ264" s="873"/>
      <c r="DA264" s="872"/>
      <c r="DB264" s="872"/>
      <c r="DC264" s="872"/>
      <c r="DD264" s="872"/>
      <c r="DE264" s="872"/>
      <c r="DF264" s="872"/>
      <c r="DG264" s="872"/>
      <c r="DH264" s="872"/>
      <c r="DI264" s="872"/>
      <c r="DJ264" s="872"/>
      <c r="DK264" s="872"/>
      <c r="DL264" s="873"/>
      <c r="DM264" s="872"/>
      <c r="DN264" s="872"/>
      <c r="DO264" s="872"/>
      <c r="DP264" s="872"/>
      <c r="DQ264" s="872"/>
      <c r="DR264" s="872"/>
      <c r="DS264" s="872"/>
      <c r="DT264" s="872"/>
      <c r="DU264" s="872"/>
      <c r="DV264" s="872"/>
      <c r="DW264" s="872"/>
      <c r="DX264" s="873"/>
      <c r="DY264" s="872"/>
      <c r="DZ264" s="872"/>
      <c r="EA264" s="872"/>
      <c r="EB264" s="872"/>
      <c r="EC264" s="872"/>
      <c r="ED264" s="872"/>
      <c r="EE264" s="872"/>
      <c r="EF264" s="872"/>
      <c r="EG264" s="872"/>
      <c r="EH264" s="872"/>
      <c r="EI264" s="872"/>
      <c r="EJ264" s="873"/>
      <c r="EK264" s="872"/>
      <c r="EL264" s="872"/>
      <c r="EM264" s="872"/>
      <c r="EN264" s="872"/>
      <c r="EO264" s="872"/>
      <c r="EP264" s="872"/>
      <c r="EQ264" s="872"/>
      <c r="ER264" s="872"/>
      <c r="ES264" s="872"/>
      <c r="ET264" s="872"/>
      <c r="EU264" s="872"/>
      <c r="EV264" s="873"/>
      <c r="EW264" s="872"/>
      <c r="EX264" s="760"/>
      <c r="EY264" s="760"/>
      <c r="EZ264" s="872"/>
    </row>
    <row r="265" spans="1:156">
      <c r="A265" s="745"/>
      <c r="B265" s="745"/>
      <c r="C265" s="745"/>
      <c r="D265" s="766" t="s">
        <v>18</v>
      </c>
      <c r="E265" s="766" t="str">
        <f>Variables!$A$41</f>
        <v>ATOS</v>
      </c>
      <c r="F265" s="766" t="s">
        <v>20</v>
      </c>
      <c r="G265" s="745"/>
      <c r="H265" s="767">
        <f t="shared" ref="H265:Q266" si="75">SUMIFS(H$5:H$254,$E$5:$E$254,$E265,$F$5:$F$254,$F265)</f>
        <v>0</v>
      </c>
      <c r="I265" s="768">
        <f t="shared" si="75"/>
        <v>0</v>
      </c>
      <c r="J265" s="768">
        <f t="shared" si="75"/>
        <v>0</v>
      </c>
      <c r="K265" s="768">
        <f t="shared" si="75"/>
        <v>0</v>
      </c>
      <c r="L265" s="768">
        <f t="shared" si="75"/>
        <v>0</v>
      </c>
      <c r="M265" s="768">
        <f t="shared" si="75"/>
        <v>0</v>
      </c>
      <c r="N265" s="768">
        <f t="shared" si="75"/>
        <v>0</v>
      </c>
      <c r="O265" s="768">
        <f t="shared" si="75"/>
        <v>0</v>
      </c>
      <c r="P265" s="768">
        <f t="shared" si="75"/>
        <v>0</v>
      </c>
      <c r="Q265" s="768">
        <f t="shared" si="75"/>
        <v>0</v>
      </c>
      <c r="R265" s="768">
        <f t="shared" ref="R265:AA266" si="76">SUMIFS(R$5:R$254,$E$5:$E$254,$E265,$F$5:$F$254,$F265)</f>
        <v>0</v>
      </c>
      <c r="S265" s="769">
        <f t="shared" si="76"/>
        <v>0</v>
      </c>
      <c r="T265" s="770">
        <f t="shared" si="76"/>
        <v>0</v>
      </c>
      <c r="U265" s="768">
        <f t="shared" si="76"/>
        <v>0</v>
      </c>
      <c r="V265" s="768">
        <f t="shared" si="76"/>
        <v>0</v>
      </c>
      <c r="W265" s="768">
        <f t="shared" si="76"/>
        <v>0</v>
      </c>
      <c r="X265" s="768">
        <f t="shared" si="76"/>
        <v>0</v>
      </c>
      <c r="Y265" s="768">
        <f t="shared" si="76"/>
        <v>0</v>
      </c>
      <c r="Z265" s="768">
        <f t="shared" si="76"/>
        <v>0</v>
      </c>
      <c r="AA265" s="768">
        <f t="shared" si="76"/>
        <v>0</v>
      </c>
      <c r="AB265" s="768">
        <f t="shared" ref="AB265:AK266" si="77">SUMIFS(AB$5:AB$254,$E$5:$E$254,$E265,$F$5:$F$254,$F265)</f>
        <v>0</v>
      </c>
      <c r="AC265" s="768">
        <f t="shared" si="77"/>
        <v>0</v>
      </c>
      <c r="AD265" s="768">
        <f t="shared" si="77"/>
        <v>0</v>
      </c>
      <c r="AE265" s="769">
        <f t="shared" si="77"/>
        <v>0</v>
      </c>
      <c r="AF265" s="770">
        <f t="shared" si="77"/>
        <v>0</v>
      </c>
      <c r="AG265" s="768">
        <f t="shared" si="77"/>
        <v>0</v>
      </c>
      <c r="AH265" s="768">
        <f t="shared" si="77"/>
        <v>0</v>
      </c>
      <c r="AI265" s="768">
        <f t="shared" si="77"/>
        <v>0</v>
      </c>
      <c r="AJ265" s="768">
        <f t="shared" si="77"/>
        <v>0</v>
      </c>
      <c r="AK265" s="768">
        <f t="shared" si="77"/>
        <v>0</v>
      </c>
      <c r="AL265" s="768">
        <f t="shared" ref="AL265:AU266" si="78">SUMIFS(AL$5:AL$254,$E$5:$E$254,$E265,$F$5:$F$254,$F265)</f>
        <v>0</v>
      </c>
      <c r="AM265" s="768">
        <f t="shared" si="78"/>
        <v>0</v>
      </c>
      <c r="AN265" s="768">
        <f t="shared" si="78"/>
        <v>0</v>
      </c>
      <c r="AO265" s="768">
        <f t="shared" si="78"/>
        <v>0</v>
      </c>
      <c r="AP265" s="768">
        <f t="shared" si="78"/>
        <v>0</v>
      </c>
      <c r="AQ265" s="769">
        <f t="shared" si="78"/>
        <v>0</v>
      </c>
      <c r="AR265" s="768">
        <f t="shared" si="78"/>
        <v>0</v>
      </c>
      <c r="AS265" s="768">
        <f t="shared" si="78"/>
        <v>0</v>
      </c>
      <c r="AT265" s="768">
        <f t="shared" si="78"/>
        <v>0</v>
      </c>
      <c r="AU265" s="768">
        <f t="shared" si="78"/>
        <v>0</v>
      </c>
      <c r="AV265" s="768">
        <f t="shared" ref="AV265:BE266" si="79">SUMIFS(AV$5:AV$254,$E$5:$E$254,$E265,$F$5:$F$254,$F265)</f>
        <v>0</v>
      </c>
      <c r="AW265" s="768">
        <f t="shared" si="79"/>
        <v>0</v>
      </c>
      <c r="AX265" s="768">
        <f t="shared" si="79"/>
        <v>0</v>
      </c>
      <c r="AY265" s="768">
        <f t="shared" si="79"/>
        <v>0</v>
      </c>
      <c r="AZ265" s="768">
        <f t="shared" si="79"/>
        <v>0</v>
      </c>
      <c r="BA265" s="768">
        <f t="shared" si="79"/>
        <v>0</v>
      </c>
      <c r="BB265" s="768">
        <f t="shared" si="79"/>
        <v>0</v>
      </c>
      <c r="BC265" s="768">
        <f t="shared" si="79"/>
        <v>0</v>
      </c>
      <c r="BD265" s="770">
        <f t="shared" si="79"/>
        <v>0</v>
      </c>
      <c r="BE265" s="768">
        <f t="shared" si="79"/>
        <v>0</v>
      </c>
      <c r="BF265" s="768">
        <f t="shared" ref="BF265:BO266" si="80">SUMIFS(BF$5:BF$254,$E$5:$E$254,$E265,$F$5:$F$254,$F265)</f>
        <v>0</v>
      </c>
      <c r="BG265" s="768">
        <f t="shared" si="80"/>
        <v>0</v>
      </c>
      <c r="BH265" s="768">
        <f t="shared" si="80"/>
        <v>0</v>
      </c>
      <c r="BI265" s="768">
        <f t="shared" si="80"/>
        <v>0</v>
      </c>
      <c r="BJ265" s="768">
        <f t="shared" si="80"/>
        <v>0</v>
      </c>
      <c r="BK265" s="768">
        <f t="shared" si="80"/>
        <v>0</v>
      </c>
      <c r="BL265" s="768">
        <f t="shared" si="80"/>
        <v>0</v>
      </c>
      <c r="BM265" s="768">
        <f t="shared" si="80"/>
        <v>0</v>
      </c>
      <c r="BN265" s="768">
        <f t="shared" si="80"/>
        <v>0</v>
      </c>
      <c r="BO265" s="769">
        <f t="shared" si="80"/>
        <v>0</v>
      </c>
      <c r="BP265" s="768">
        <f t="shared" ref="BP265:CA266" si="81">SUMIFS(BP$5:BP$254,$E$5:$E$254,$E265,$F$5:$F$254,$F265)</f>
        <v>0</v>
      </c>
      <c r="BQ265" s="768">
        <f t="shared" si="81"/>
        <v>0</v>
      </c>
      <c r="BR265" s="768">
        <f t="shared" si="81"/>
        <v>0</v>
      </c>
      <c r="BS265" s="768">
        <f t="shared" si="81"/>
        <v>0</v>
      </c>
      <c r="BT265" s="768">
        <f t="shared" si="81"/>
        <v>0</v>
      </c>
      <c r="BU265" s="768">
        <f t="shared" si="81"/>
        <v>0</v>
      </c>
      <c r="BV265" s="768">
        <f t="shared" si="81"/>
        <v>0</v>
      </c>
      <c r="BW265" s="768">
        <f t="shared" si="81"/>
        <v>0</v>
      </c>
      <c r="BX265" s="768">
        <f t="shared" si="81"/>
        <v>0</v>
      </c>
      <c r="BY265" s="768">
        <f t="shared" si="81"/>
        <v>0</v>
      </c>
      <c r="BZ265" s="768">
        <f t="shared" si="81"/>
        <v>0</v>
      </c>
      <c r="CA265" s="768">
        <f t="shared" si="81"/>
        <v>0</v>
      </c>
      <c r="CB265" s="747"/>
      <c r="CC265" s="872">
        <f t="shared" ref="CC265:DH265" si="82">SUMIFS(CC$5:CC$254,$E$5:$E$254,$E265,$F$5:$F$254,$F265)</f>
        <v>0</v>
      </c>
      <c r="CD265" s="872">
        <f t="shared" si="82"/>
        <v>0</v>
      </c>
      <c r="CE265" s="872">
        <f t="shared" si="82"/>
        <v>0</v>
      </c>
      <c r="CF265" s="872">
        <f t="shared" si="82"/>
        <v>0</v>
      </c>
      <c r="CG265" s="872">
        <f t="shared" si="82"/>
        <v>0</v>
      </c>
      <c r="CH265" s="872">
        <f t="shared" si="82"/>
        <v>0</v>
      </c>
      <c r="CI265" s="872">
        <f t="shared" si="82"/>
        <v>0</v>
      </c>
      <c r="CJ265" s="872">
        <f t="shared" si="82"/>
        <v>0</v>
      </c>
      <c r="CK265" s="872">
        <f t="shared" si="82"/>
        <v>0</v>
      </c>
      <c r="CL265" s="872">
        <f t="shared" si="82"/>
        <v>0</v>
      </c>
      <c r="CM265" s="872">
        <f t="shared" si="82"/>
        <v>0</v>
      </c>
      <c r="CN265" s="873">
        <f t="shared" si="82"/>
        <v>0</v>
      </c>
      <c r="CO265" s="872">
        <f t="shared" si="82"/>
        <v>0</v>
      </c>
      <c r="CP265" s="872">
        <f t="shared" si="82"/>
        <v>0</v>
      </c>
      <c r="CQ265" s="872">
        <f t="shared" si="82"/>
        <v>0</v>
      </c>
      <c r="CR265" s="872">
        <f t="shared" si="82"/>
        <v>0</v>
      </c>
      <c r="CS265" s="872">
        <f t="shared" si="82"/>
        <v>0</v>
      </c>
      <c r="CT265" s="872">
        <f t="shared" si="82"/>
        <v>0</v>
      </c>
      <c r="CU265" s="872">
        <f t="shared" si="82"/>
        <v>0</v>
      </c>
      <c r="CV265" s="872">
        <f t="shared" si="82"/>
        <v>0</v>
      </c>
      <c r="CW265" s="872">
        <f t="shared" si="82"/>
        <v>0</v>
      </c>
      <c r="CX265" s="872">
        <f t="shared" si="82"/>
        <v>0</v>
      </c>
      <c r="CY265" s="872">
        <f t="shared" si="82"/>
        <v>0</v>
      </c>
      <c r="CZ265" s="873">
        <f t="shared" si="82"/>
        <v>0</v>
      </c>
      <c r="DA265" s="872">
        <f t="shared" si="82"/>
        <v>0</v>
      </c>
      <c r="DB265" s="872">
        <f t="shared" si="82"/>
        <v>0</v>
      </c>
      <c r="DC265" s="872">
        <f t="shared" si="82"/>
        <v>0</v>
      </c>
      <c r="DD265" s="872">
        <f t="shared" si="82"/>
        <v>0</v>
      </c>
      <c r="DE265" s="872">
        <f t="shared" si="82"/>
        <v>0</v>
      </c>
      <c r="DF265" s="872">
        <f t="shared" si="82"/>
        <v>0</v>
      </c>
      <c r="DG265" s="872">
        <f t="shared" si="82"/>
        <v>0</v>
      </c>
      <c r="DH265" s="872">
        <f t="shared" si="82"/>
        <v>0</v>
      </c>
      <c r="DI265" s="872">
        <f t="shared" ref="DI265:EN265" si="83">SUMIFS(DI$5:DI$254,$E$5:$E$254,$E265,$F$5:$F$254,$F265)</f>
        <v>0</v>
      </c>
      <c r="DJ265" s="872">
        <f t="shared" si="83"/>
        <v>0</v>
      </c>
      <c r="DK265" s="872">
        <f t="shared" si="83"/>
        <v>0</v>
      </c>
      <c r="DL265" s="873">
        <f t="shared" si="83"/>
        <v>0</v>
      </c>
      <c r="DM265" s="872">
        <f t="shared" si="83"/>
        <v>0</v>
      </c>
      <c r="DN265" s="872">
        <f t="shared" si="83"/>
        <v>0</v>
      </c>
      <c r="DO265" s="872">
        <f t="shared" si="83"/>
        <v>0</v>
      </c>
      <c r="DP265" s="872">
        <f t="shared" si="83"/>
        <v>0</v>
      </c>
      <c r="DQ265" s="872">
        <f t="shared" si="83"/>
        <v>0</v>
      </c>
      <c r="DR265" s="872">
        <f t="shared" si="83"/>
        <v>0</v>
      </c>
      <c r="DS265" s="872">
        <f t="shared" si="83"/>
        <v>0</v>
      </c>
      <c r="DT265" s="872">
        <f t="shared" si="83"/>
        <v>0</v>
      </c>
      <c r="DU265" s="872">
        <f t="shared" si="83"/>
        <v>0</v>
      </c>
      <c r="DV265" s="872">
        <f t="shared" si="83"/>
        <v>0</v>
      </c>
      <c r="DW265" s="872">
        <f t="shared" si="83"/>
        <v>0</v>
      </c>
      <c r="DX265" s="873">
        <f t="shared" si="83"/>
        <v>0</v>
      </c>
      <c r="DY265" s="872">
        <f t="shared" si="83"/>
        <v>0</v>
      </c>
      <c r="DZ265" s="872">
        <f t="shared" si="83"/>
        <v>0</v>
      </c>
      <c r="EA265" s="872">
        <f t="shared" si="83"/>
        <v>0</v>
      </c>
      <c r="EB265" s="872">
        <f t="shared" si="83"/>
        <v>0</v>
      </c>
      <c r="EC265" s="872">
        <f t="shared" si="83"/>
        <v>0</v>
      </c>
      <c r="ED265" s="872">
        <f t="shared" si="83"/>
        <v>0</v>
      </c>
      <c r="EE265" s="872">
        <f t="shared" si="83"/>
        <v>0</v>
      </c>
      <c r="EF265" s="872">
        <f t="shared" si="83"/>
        <v>0</v>
      </c>
      <c r="EG265" s="872">
        <f t="shared" si="83"/>
        <v>0</v>
      </c>
      <c r="EH265" s="872">
        <f t="shared" si="83"/>
        <v>0</v>
      </c>
      <c r="EI265" s="872">
        <f t="shared" si="83"/>
        <v>0</v>
      </c>
      <c r="EJ265" s="873">
        <f t="shared" si="83"/>
        <v>0</v>
      </c>
      <c r="EK265" s="872">
        <f t="shared" si="83"/>
        <v>0</v>
      </c>
      <c r="EL265" s="872">
        <f t="shared" si="83"/>
        <v>0</v>
      </c>
      <c r="EM265" s="872">
        <f t="shared" si="83"/>
        <v>0</v>
      </c>
      <c r="EN265" s="872">
        <f t="shared" si="83"/>
        <v>0</v>
      </c>
      <c r="EO265" s="872">
        <f t="shared" ref="EO265:EV265" si="84">SUMIFS(EO$5:EO$254,$E$5:$E$254,$E265,$F$5:$F$254,$F265)</f>
        <v>0</v>
      </c>
      <c r="EP265" s="872">
        <f t="shared" si="84"/>
        <v>0</v>
      </c>
      <c r="EQ265" s="872">
        <f t="shared" si="84"/>
        <v>0</v>
      </c>
      <c r="ER265" s="872">
        <f t="shared" si="84"/>
        <v>0</v>
      </c>
      <c r="ES265" s="872">
        <f t="shared" si="84"/>
        <v>0</v>
      </c>
      <c r="ET265" s="872">
        <f t="shared" si="84"/>
        <v>0</v>
      </c>
      <c r="EU265" s="872">
        <f t="shared" si="84"/>
        <v>0</v>
      </c>
      <c r="EV265" s="873">
        <f t="shared" si="84"/>
        <v>0</v>
      </c>
      <c r="EW265" s="872">
        <f t="shared" si="48"/>
        <v>0</v>
      </c>
      <c r="EX265" s="771"/>
      <c r="EY265" s="1563"/>
      <c r="EZ265" s="872">
        <f>SUMIF('Monthly Summary'!$C$75:BV$75,"",'Resource Costs'!$CC265:EV265)</f>
        <v>0</v>
      </c>
    </row>
    <row r="266" spans="1:156">
      <c r="A266" s="745"/>
      <c r="B266" s="745"/>
      <c r="C266" s="745"/>
      <c r="D266" s="766" t="s">
        <v>18</v>
      </c>
      <c r="E266" s="766" t="str">
        <f>Variables!$A$41</f>
        <v>ATOS</v>
      </c>
      <c r="F266" s="766" t="s">
        <v>21</v>
      </c>
      <c r="G266" s="745"/>
      <c r="H266" s="767">
        <f t="shared" si="75"/>
        <v>0</v>
      </c>
      <c r="I266" s="768">
        <f t="shared" si="75"/>
        <v>0</v>
      </c>
      <c r="J266" s="768">
        <f t="shared" si="75"/>
        <v>0</v>
      </c>
      <c r="K266" s="768">
        <f t="shared" si="75"/>
        <v>0</v>
      </c>
      <c r="L266" s="768">
        <f t="shared" si="75"/>
        <v>0</v>
      </c>
      <c r="M266" s="768">
        <f t="shared" si="75"/>
        <v>0</v>
      </c>
      <c r="N266" s="768">
        <f t="shared" si="75"/>
        <v>0</v>
      </c>
      <c r="O266" s="768">
        <f t="shared" si="75"/>
        <v>0</v>
      </c>
      <c r="P266" s="768">
        <f t="shared" si="75"/>
        <v>0</v>
      </c>
      <c r="Q266" s="768">
        <f t="shared" si="75"/>
        <v>0</v>
      </c>
      <c r="R266" s="768">
        <f t="shared" si="76"/>
        <v>0</v>
      </c>
      <c r="S266" s="769">
        <f t="shared" si="76"/>
        <v>0</v>
      </c>
      <c r="T266" s="770">
        <f t="shared" si="76"/>
        <v>0</v>
      </c>
      <c r="U266" s="768">
        <f t="shared" si="76"/>
        <v>0</v>
      </c>
      <c r="V266" s="768">
        <f t="shared" si="76"/>
        <v>0</v>
      </c>
      <c r="W266" s="768">
        <f t="shared" si="76"/>
        <v>0</v>
      </c>
      <c r="X266" s="768">
        <f t="shared" si="76"/>
        <v>0</v>
      </c>
      <c r="Y266" s="768">
        <f t="shared" si="76"/>
        <v>0</v>
      </c>
      <c r="Z266" s="768">
        <f t="shared" si="76"/>
        <v>0</v>
      </c>
      <c r="AA266" s="768">
        <f t="shared" si="76"/>
        <v>0</v>
      </c>
      <c r="AB266" s="768">
        <f t="shared" si="77"/>
        <v>0</v>
      </c>
      <c r="AC266" s="768">
        <f t="shared" si="77"/>
        <v>0</v>
      </c>
      <c r="AD266" s="768">
        <f t="shared" si="77"/>
        <v>0</v>
      </c>
      <c r="AE266" s="769">
        <f t="shared" si="77"/>
        <v>0</v>
      </c>
      <c r="AF266" s="770">
        <f t="shared" si="77"/>
        <v>0</v>
      </c>
      <c r="AG266" s="768">
        <f t="shared" si="77"/>
        <v>0</v>
      </c>
      <c r="AH266" s="768">
        <f t="shared" si="77"/>
        <v>0</v>
      </c>
      <c r="AI266" s="768">
        <f t="shared" si="77"/>
        <v>0</v>
      </c>
      <c r="AJ266" s="768">
        <f t="shared" si="77"/>
        <v>0</v>
      </c>
      <c r="AK266" s="768">
        <f t="shared" si="77"/>
        <v>0</v>
      </c>
      <c r="AL266" s="768">
        <f t="shared" si="78"/>
        <v>0</v>
      </c>
      <c r="AM266" s="768">
        <f t="shared" si="78"/>
        <v>0</v>
      </c>
      <c r="AN266" s="768">
        <f t="shared" si="78"/>
        <v>0</v>
      </c>
      <c r="AO266" s="768">
        <f t="shared" si="78"/>
        <v>0</v>
      </c>
      <c r="AP266" s="768">
        <f t="shared" si="78"/>
        <v>0</v>
      </c>
      <c r="AQ266" s="769">
        <f t="shared" si="78"/>
        <v>0</v>
      </c>
      <c r="AR266" s="768">
        <f t="shared" si="78"/>
        <v>0</v>
      </c>
      <c r="AS266" s="768">
        <f t="shared" si="78"/>
        <v>0</v>
      </c>
      <c r="AT266" s="768">
        <f t="shared" si="78"/>
        <v>0</v>
      </c>
      <c r="AU266" s="768">
        <f t="shared" si="78"/>
        <v>0</v>
      </c>
      <c r="AV266" s="768">
        <f t="shared" si="79"/>
        <v>0</v>
      </c>
      <c r="AW266" s="768">
        <f t="shared" si="79"/>
        <v>0</v>
      </c>
      <c r="AX266" s="768">
        <f t="shared" si="79"/>
        <v>0</v>
      </c>
      <c r="AY266" s="768">
        <f t="shared" si="79"/>
        <v>0</v>
      </c>
      <c r="AZ266" s="768">
        <f t="shared" si="79"/>
        <v>0</v>
      </c>
      <c r="BA266" s="768">
        <f t="shared" si="79"/>
        <v>0</v>
      </c>
      <c r="BB266" s="768">
        <f t="shared" si="79"/>
        <v>0</v>
      </c>
      <c r="BC266" s="768">
        <f t="shared" si="79"/>
        <v>0</v>
      </c>
      <c r="BD266" s="770">
        <f t="shared" si="79"/>
        <v>0</v>
      </c>
      <c r="BE266" s="768">
        <f t="shared" si="79"/>
        <v>0</v>
      </c>
      <c r="BF266" s="768">
        <f t="shared" si="80"/>
        <v>0</v>
      </c>
      <c r="BG266" s="768">
        <f t="shared" si="80"/>
        <v>0</v>
      </c>
      <c r="BH266" s="768">
        <f t="shared" si="80"/>
        <v>0</v>
      </c>
      <c r="BI266" s="768">
        <f t="shared" si="80"/>
        <v>0</v>
      </c>
      <c r="BJ266" s="768">
        <f t="shared" si="80"/>
        <v>0</v>
      </c>
      <c r="BK266" s="768">
        <f t="shared" si="80"/>
        <v>0</v>
      </c>
      <c r="BL266" s="768">
        <f t="shared" si="80"/>
        <v>0</v>
      </c>
      <c r="BM266" s="768">
        <f t="shared" si="80"/>
        <v>0</v>
      </c>
      <c r="BN266" s="768">
        <f t="shared" si="80"/>
        <v>0</v>
      </c>
      <c r="BO266" s="769">
        <f t="shared" si="80"/>
        <v>0</v>
      </c>
      <c r="BP266" s="768">
        <f t="shared" si="81"/>
        <v>0</v>
      </c>
      <c r="BQ266" s="768">
        <f t="shared" si="81"/>
        <v>0</v>
      </c>
      <c r="BR266" s="768">
        <f t="shared" si="81"/>
        <v>0</v>
      </c>
      <c r="BS266" s="768">
        <f t="shared" si="81"/>
        <v>0</v>
      </c>
      <c r="BT266" s="768">
        <f t="shared" si="81"/>
        <v>0</v>
      </c>
      <c r="BU266" s="768">
        <f t="shared" si="81"/>
        <v>0</v>
      </c>
      <c r="BV266" s="768">
        <f t="shared" si="81"/>
        <v>0</v>
      </c>
      <c r="BW266" s="768">
        <f t="shared" si="81"/>
        <v>0</v>
      </c>
      <c r="BX266" s="768">
        <f t="shared" si="81"/>
        <v>0</v>
      </c>
      <c r="BY266" s="768">
        <f t="shared" si="81"/>
        <v>0</v>
      </c>
      <c r="BZ266" s="768">
        <f t="shared" si="81"/>
        <v>0</v>
      </c>
      <c r="CA266" s="768">
        <f t="shared" si="81"/>
        <v>0</v>
      </c>
      <c r="CB266" s="747"/>
      <c r="CC266" s="872">
        <f t="shared" ref="CC266:CS266" si="85">SUMIFS(CC$5:CC$254,$E$5:$E$254,$E266,$F$5:$F$254,$F266)</f>
        <v>0</v>
      </c>
      <c r="CD266" s="872">
        <f t="shared" si="85"/>
        <v>0</v>
      </c>
      <c r="CE266" s="872">
        <f>SUMIFS(CE$5:CE$254,$E$5:$E$254,$E266,$F$5:$F$254,$F266)</f>
        <v>0</v>
      </c>
      <c r="CF266" s="872">
        <f t="shared" si="85"/>
        <v>0</v>
      </c>
      <c r="CG266" s="872">
        <f t="shared" si="85"/>
        <v>0</v>
      </c>
      <c r="CH266" s="872">
        <f t="shared" si="85"/>
        <v>0</v>
      </c>
      <c r="CI266" s="872">
        <f t="shared" si="85"/>
        <v>0</v>
      </c>
      <c r="CJ266" s="872">
        <f t="shared" si="85"/>
        <v>0</v>
      </c>
      <c r="CK266" s="872">
        <f t="shared" si="85"/>
        <v>0</v>
      </c>
      <c r="CL266" s="872">
        <f t="shared" si="85"/>
        <v>0</v>
      </c>
      <c r="CM266" s="872">
        <f t="shared" si="85"/>
        <v>0</v>
      </c>
      <c r="CN266" s="873">
        <f t="shared" si="85"/>
        <v>0</v>
      </c>
      <c r="CO266" s="872">
        <f t="shared" si="85"/>
        <v>0</v>
      </c>
      <c r="CP266" s="872">
        <f t="shared" si="85"/>
        <v>0</v>
      </c>
      <c r="CQ266" s="872">
        <f t="shared" si="85"/>
        <v>0</v>
      </c>
      <c r="CR266" s="872">
        <f t="shared" si="85"/>
        <v>0</v>
      </c>
      <c r="CS266" s="872">
        <f t="shared" si="85"/>
        <v>0</v>
      </c>
      <c r="CT266" s="872">
        <f t="shared" ref="CT266:DY266" si="86">SUMIFS(CT$5:CT$254,$E$5:$E$254,$E266,$F$5:$F$254,$F266)</f>
        <v>0</v>
      </c>
      <c r="CU266" s="872">
        <f t="shared" si="86"/>
        <v>0</v>
      </c>
      <c r="CV266" s="872">
        <f t="shared" si="86"/>
        <v>0</v>
      </c>
      <c r="CW266" s="872">
        <f t="shared" si="86"/>
        <v>0</v>
      </c>
      <c r="CX266" s="872">
        <f t="shared" si="86"/>
        <v>0</v>
      </c>
      <c r="CY266" s="872">
        <f t="shared" si="86"/>
        <v>0</v>
      </c>
      <c r="CZ266" s="873">
        <f t="shared" si="86"/>
        <v>0</v>
      </c>
      <c r="DA266" s="872">
        <f t="shared" si="86"/>
        <v>0</v>
      </c>
      <c r="DB266" s="872">
        <f t="shared" si="86"/>
        <v>0</v>
      </c>
      <c r="DC266" s="872">
        <f t="shared" si="86"/>
        <v>0</v>
      </c>
      <c r="DD266" s="872">
        <f t="shared" si="86"/>
        <v>0</v>
      </c>
      <c r="DE266" s="872">
        <f t="shared" si="86"/>
        <v>0</v>
      </c>
      <c r="DF266" s="872">
        <f t="shared" si="86"/>
        <v>0</v>
      </c>
      <c r="DG266" s="872">
        <f t="shared" si="86"/>
        <v>0</v>
      </c>
      <c r="DH266" s="872">
        <f t="shared" si="86"/>
        <v>0</v>
      </c>
      <c r="DI266" s="872">
        <f t="shared" si="86"/>
        <v>0</v>
      </c>
      <c r="DJ266" s="872">
        <f t="shared" si="86"/>
        <v>0</v>
      </c>
      <c r="DK266" s="872">
        <f t="shared" si="86"/>
        <v>0</v>
      </c>
      <c r="DL266" s="873">
        <f t="shared" si="86"/>
        <v>0</v>
      </c>
      <c r="DM266" s="872">
        <f t="shared" si="86"/>
        <v>0</v>
      </c>
      <c r="DN266" s="872">
        <f t="shared" si="86"/>
        <v>0</v>
      </c>
      <c r="DO266" s="872">
        <f t="shared" si="86"/>
        <v>0</v>
      </c>
      <c r="DP266" s="872">
        <f t="shared" si="86"/>
        <v>0</v>
      </c>
      <c r="DQ266" s="872">
        <f t="shared" si="86"/>
        <v>0</v>
      </c>
      <c r="DR266" s="872">
        <f t="shared" si="86"/>
        <v>0</v>
      </c>
      <c r="DS266" s="872">
        <f t="shared" si="86"/>
        <v>0</v>
      </c>
      <c r="DT266" s="872">
        <f t="shared" si="86"/>
        <v>0</v>
      </c>
      <c r="DU266" s="872">
        <f t="shared" si="86"/>
        <v>0</v>
      </c>
      <c r="DV266" s="872">
        <f t="shared" si="86"/>
        <v>0</v>
      </c>
      <c r="DW266" s="872">
        <f t="shared" si="86"/>
        <v>0</v>
      </c>
      <c r="DX266" s="873">
        <f t="shared" si="86"/>
        <v>0</v>
      </c>
      <c r="DY266" s="872">
        <f t="shared" si="86"/>
        <v>0</v>
      </c>
      <c r="DZ266" s="872">
        <f t="shared" ref="DZ266:EV266" si="87">SUMIFS(DZ$5:DZ$254,$E$5:$E$254,$E266,$F$5:$F$254,$F266)</f>
        <v>0</v>
      </c>
      <c r="EA266" s="872">
        <f t="shared" si="87"/>
        <v>0</v>
      </c>
      <c r="EB266" s="872">
        <f t="shared" si="87"/>
        <v>0</v>
      </c>
      <c r="EC266" s="872">
        <f t="shared" si="87"/>
        <v>0</v>
      </c>
      <c r="ED266" s="872">
        <f t="shared" si="87"/>
        <v>0</v>
      </c>
      <c r="EE266" s="872">
        <f t="shared" si="87"/>
        <v>0</v>
      </c>
      <c r="EF266" s="872">
        <f t="shared" si="87"/>
        <v>0</v>
      </c>
      <c r="EG266" s="872">
        <f t="shared" si="87"/>
        <v>0</v>
      </c>
      <c r="EH266" s="872">
        <f t="shared" si="87"/>
        <v>0</v>
      </c>
      <c r="EI266" s="872">
        <f t="shared" si="87"/>
        <v>0</v>
      </c>
      <c r="EJ266" s="873">
        <f t="shared" si="87"/>
        <v>0</v>
      </c>
      <c r="EK266" s="872">
        <f t="shared" si="87"/>
        <v>0</v>
      </c>
      <c r="EL266" s="872">
        <f t="shared" si="87"/>
        <v>0</v>
      </c>
      <c r="EM266" s="872">
        <f t="shared" si="87"/>
        <v>0</v>
      </c>
      <c r="EN266" s="872">
        <f t="shared" si="87"/>
        <v>0</v>
      </c>
      <c r="EO266" s="872">
        <f t="shared" si="87"/>
        <v>0</v>
      </c>
      <c r="EP266" s="872">
        <f t="shared" si="87"/>
        <v>0</v>
      </c>
      <c r="EQ266" s="872">
        <f t="shared" si="87"/>
        <v>0</v>
      </c>
      <c r="ER266" s="872">
        <f t="shared" si="87"/>
        <v>0</v>
      </c>
      <c r="ES266" s="872">
        <f t="shared" si="87"/>
        <v>0</v>
      </c>
      <c r="ET266" s="872">
        <f t="shared" si="87"/>
        <v>0</v>
      </c>
      <c r="EU266" s="872">
        <f t="shared" si="87"/>
        <v>0</v>
      </c>
      <c r="EV266" s="873">
        <f t="shared" si="87"/>
        <v>0</v>
      </c>
      <c r="EW266" s="872">
        <f t="shared" si="48"/>
        <v>0</v>
      </c>
      <c r="EX266" s="771"/>
      <c r="EY266" s="1563"/>
      <c r="EZ266" s="872">
        <f>SUMIF('Monthly Summary'!$C$74:BV$74,"",'Resource Costs'!$CC266:EV266)</f>
        <v>0</v>
      </c>
    </row>
    <row r="267" spans="1:156">
      <c r="A267" s="745"/>
      <c r="B267" s="745"/>
      <c r="C267" s="745"/>
      <c r="D267" s="745"/>
      <c r="E267" s="772"/>
      <c r="F267" s="746"/>
      <c r="G267" s="745"/>
      <c r="H267" s="773"/>
      <c r="I267" s="768"/>
      <c r="J267" s="768"/>
      <c r="K267" s="768"/>
      <c r="L267" s="768"/>
      <c r="M267" s="768"/>
      <c r="N267" s="768"/>
      <c r="O267" s="768"/>
      <c r="P267" s="768"/>
      <c r="Q267" s="768"/>
      <c r="R267" s="768"/>
      <c r="S267" s="769"/>
      <c r="T267" s="770"/>
      <c r="U267" s="768"/>
      <c r="V267" s="768"/>
      <c r="W267" s="768"/>
      <c r="X267" s="768"/>
      <c r="Y267" s="768"/>
      <c r="Z267" s="768"/>
      <c r="AA267" s="768"/>
      <c r="AB267" s="768"/>
      <c r="AC267" s="768"/>
      <c r="AD267" s="768"/>
      <c r="AE267" s="769"/>
      <c r="AF267" s="770"/>
      <c r="AG267" s="768"/>
      <c r="AH267" s="768"/>
      <c r="AI267" s="768"/>
      <c r="AJ267" s="768"/>
      <c r="AK267" s="768"/>
      <c r="AL267" s="768"/>
      <c r="AM267" s="768"/>
      <c r="AN267" s="768"/>
      <c r="AO267" s="768"/>
      <c r="AP267" s="768"/>
      <c r="AQ267" s="769"/>
      <c r="AR267" s="768"/>
      <c r="AS267" s="768"/>
      <c r="AT267" s="768"/>
      <c r="AU267" s="768"/>
      <c r="AV267" s="768"/>
      <c r="AW267" s="768"/>
      <c r="AX267" s="768"/>
      <c r="AY267" s="768"/>
      <c r="AZ267" s="768"/>
      <c r="BA267" s="768"/>
      <c r="BB267" s="768"/>
      <c r="BC267" s="768"/>
      <c r="BD267" s="770"/>
      <c r="BE267" s="768"/>
      <c r="BF267" s="768"/>
      <c r="BG267" s="768"/>
      <c r="BH267" s="768"/>
      <c r="BI267" s="768"/>
      <c r="BJ267" s="768"/>
      <c r="BK267" s="768"/>
      <c r="BL267" s="768"/>
      <c r="BM267" s="768"/>
      <c r="BN267" s="768"/>
      <c r="BO267" s="769"/>
      <c r="BP267" s="768"/>
      <c r="BQ267" s="768"/>
      <c r="BR267" s="768"/>
      <c r="BS267" s="768"/>
      <c r="BT267" s="768"/>
      <c r="BU267" s="768"/>
      <c r="BV267" s="768"/>
      <c r="BW267" s="768"/>
      <c r="BX267" s="768"/>
      <c r="BY267" s="768"/>
      <c r="BZ267" s="768"/>
      <c r="CA267" s="768"/>
      <c r="CB267" s="747"/>
      <c r="CC267" s="872"/>
      <c r="CD267" s="872"/>
      <c r="CE267" s="872"/>
      <c r="CF267" s="872"/>
      <c r="CG267" s="872"/>
      <c r="CH267" s="872"/>
      <c r="CI267" s="872"/>
      <c r="CJ267" s="872"/>
      <c r="CK267" s="872"/>
      <c r="CL267" s="872"/>
      <c r="CM267" s="872"/>
      <c r="CN267" s="873"/>
      <c r="CO267" s="872"/>
      <c r="CP267" s="872"/>
      <c r="CQ267" s="872"/>
      <c r="CR267" s="872"/>
      <c r="CS267" s="872"/>
      <c r="CT267" s="872"/>
      <c r="CU267" s="872"/>
      <c r="CV267" s="872"/>
      <c r="CW267" s="872"/>
      <c r="CX267" s="872"/>
      <c r="CY267" s="872"/>
      <c r="CZ267" s="873"/>
      <c r="DA267" s="872"/>
      <c r="DB267" s="872"/>
      <c r="DC267" s="872"/>
      <c r="DD267" s="872"/>
      <c r="DE267" s="872"/>
      <c r="DF267" s="872"/>
      <c r="DG267" s="872"/>
      <c r="DH267" s="872"/>
      <c r="DI267" s="872"/>
      <c r="DJ267" s="872"/>
      <c r="DK267" s="872"/>
      <c r="DL267" s="873"/>
      <c r="DM267" s="872"/>
      <c r="DN267" s="872"/>
      <c r="DO267" s="872"/>
      <c r="DP267" s="872"/>
      <c r="DQ267" s="872"/>
      <c r="DR267" s="872"/>
      <c r="DS267" s="872"/>
      <c r="DT267" s="872"/>
      <c r="DU267" s="872"/>
      <c r="DV267" s="872"/>
      <c r="DW267" s="872"/>
      <c r="DX267" s="873"/>
      <c r="DY267" s="872"/>
      <c r="DZ267" s="872"/>
      <c r="EA267" s="872"/>
      <c r="EB267" s="872"/>
      <c r="EC267" s="872"/>
      <c r="ED267" s="872"/>
      <c r="EE267" s="872"/>
      <c r="EF267" s="872"/>
      <c r="EG267" s="872"/>
      <c r="EH267" s="872"/>
      <c r="EI267" s="872"/>
      <c r="EJ267" s="873"/>
      <c r="EK267" s="872"/>
      <c r="EL267" s="872"/>
      <c r="EM267" s="872"/>
      <c r="EN267" s="872"/>
      <c r="EO267" s="872"/>
      <c r="EP267" s="872"/>
      <c r="EQ267" s="872"/>
      <c r="ER267" s="872"/>
      <c r="ES267" s="872"/>
      <c r="ET267" s="872"/>
      <c r="EU267" s="872"/>
      <c r="EV267" s="873"/>
      <c r="EW267" s="872"/>
      <c r="EX267" s="760"/>
      <c r="EY267" s="760"/>
      <c r="EZ267" s="872"/>
    </row>
    <row r="268" spans="1:156">
      <c r="A268" s="745"/>
      <c r="B268" s="745"/>
      <c r="C268" s="745"/>
      <c r="D268" s="766" t="s">
        <v>18</v>
      </c>
      <c r="E268" s="766" t="str">
        <f>Variables!$A$42</f>
        <v>Verizon</v>
      </c>
      <c r="F268" s="766" t="s">
        <v>20</v>
      </c>
      <c r="G268" s="745"/>
      <c r="H268" s="767">
        <f t="shared" ref="H268:Q269" si="88">SUMIFS(H$5:H$254,$E$5:$E$254,$E268,$F$5:$F$254,$F268)</f>
        <v>0</v>
      </c>
      <c r="I268" s="768">
        <f t="shared" si="88"/>
        <v>0</v>
      </c>
      <c r="J268" s="768">
        <f t="shared" si="88"/>
        <v>0</v>
      </c>
      <c r="K268" s="768">
        <f t="shared" si="88"/>
        <v>0</v>
      </c>
      <c r="L268" s="768">
        <f t="shared" si="88"/>
        <v>0</v>
      </c>
      <c r="M268" s="768">
        <f t="shared" si="88"/>
        <v>0</v>
      </c>
      <c r="N268" s="768">
        <f t="shared" si="88"/>
        <v>0</v>
      </c>
      <c r="O268" s="768">
        <f t="shared" si="88"/>
        <v>0</v>
      </c>
      <c r="P268" s="768">
        <f t="shared" si="88"/>
        <v>0</v>
      </c>
      <c r="Q268" s="768">
        <f t="shared" si="88"/>
        <v>0</v>
      </c>
      <c r="R268" s="768">
        <f t="shared" ref="R268:AA269" si="89">SUMIFS(R$5:R$254,$E$5:$E$254,$E268,$F$5:$F$254,$F268)</f>
        <v>0</v>
      </c>
      <c r="S268" s="769">
        <f t="shared" si="89"/>
        <v>0</v>
      </c>
      <c r="T268" s="770">
        <f t="shared" si="89"/>
        <v>0</v>
      </c>
      <c r="U268" s="768">
        <f t="shared" si="89"/>
        <v>0</v>
      </c>
      <c r="V268" s="768">
        <f t="shared" si="89"/>
        <v>0</v>
      </c>
      <c r="W268" s="768">
        <f t="shared" si="89"/>
        <v>0</v>
      </c>
      <c r="X268" s="768">
        <f t="shared" si="89"/>
        <v>0</v>
      </c>
      <c r="Y268" s="768">
        <f t="shared" si="89"/>
        <v>0</v>
      </c>
      <c r="Z268" s="768">
        <f t="shared" si="89"/>
        <v>0</v>
      </c>
      <c r="AA268" s="768">
        <f t="shared" si="89"/>
        <v>0</v>
      </c>
      <c r="AB268" s="768">
        <f t="shared" ref="AB268:AK269" si="90">SUMIFS(AB$5:AB$254,$E$5:$E$254,$E268,$F$5:$F$254,$F268)</f>
        <v>0</v>
      </c>
      <c r="AC268" s="768">
        <f t="shared" si="90"/>
        <v>0</v>
      </c>
      <c r="AD268" s="768">
        <f t="shared" si="90"/>
        <v>0</v>
      </c>
      <c r="AE268" s="769">
        <f t="shared" si="90"/>
        <v>0</v>
      </c>
      <c r="AF268" s="770">
        <f t="shared" si="90"/>
        <v>0</v>
      </c>
      <c r="AG268" s="768">
        <f t="shared" si="90"/>
        <v>0</v>
      </c>
      <c r="AH268" s="768">
        <f t="shared" si="90"/>
        <v>0</v>
      </c>
      <c r="AI268" s="768">
        <f t="shared" si="90"/>
        <v>0</v>
      </c>
      <c r="AJ268" s="768">
        <f t="shared" si="90"/>
        <v>0</v>
      </c>
      <c r="AK268" s="768">
        <f t="shared" si="90"/>
        <v>0</v>
      </c>
      <c r="AL268" s="768">
        <f t="shared" ref="AL268:AU269" si="91">SUMIFS(AL$5:AL$254,$E$5:$E$254,$E268,$F$5:$F$254,$F268)</f>
        <v>0</v>
      </c>
      <c r="AM268" s="768">
        <f t="shared" si="91"/>
        <v>0</v>
      </c>
      <c r="AN268" s="768">
        <f t="shared" si="91"/>
        <v>0</v>
      </c>
      <c r="AO268" s="768">
        <f t="shared" si="91"/>
        <v>0</v>
      </c>
      <c r="AP268" s="768">
        <f t="shared" si="91"/>
        <v>0</v>
      </c>
      <c r="AQ268" s="769">
        <f t="shared" si="91"/>
        <v>0</v>
      </c>
      <c r="AR268" s="768">
        <f t="shared" si="91"/>
        <v>0</v>
      </c>
      <c r="AS268" s="768">
        <f t="shared" si="91"/>
        <v>0</v>
      </c>
      <c r="AT268" s="768">
        <f t="shared" si="91"/>
        <v>0</v>
      </c>
      <c r="AU268" s="768">
        <f t="shared" si="91"/>
        <v>0</v>
      </c>
      <c r="AV268" s="768">
        <f t="shared" ref="AV268:BE269" si="92">SUMIFS(AV$5:AV$254,$E$5:$E$254,$E268,$F$5:$F$254,$F268)</f>
        <v>0</v>
      </c>
      <c r="AW268" s="768">
        <f t="shared" si="92"/>
        <v>0</v>
      </c>
      <c r="AX268" s="768">
        <f t="shared" si="92"/>
        <v>0</v>
      </c>
      <c r="AY268" s="768">
        <f t="shared" si="92"/>
        <v>0</v>
      </c>
      <c r="AZ268" s="768">
        <f t="shared" si="92"/>
        <v>0</v>
      </c>
      <c r="BA268" s="768">
        <f t="shared" si="92"/>
        <v>0</v>
      </c>
      <c r="BB268" s="768">
        <f t="shared" si="92"/>
        <v>0</v>
      </c>
      <c r="BC268" s="768">
        <f t="shared" si="92"/>
        <v>0</v>
      </c>
      <c r="BD268" s="770">
        <f t="shared" si="92"/>
        <v>0</v>
      </c>
      <c r="BE268" s="768">
        <f t="shared" si="92"/>
        <v>0</v>
      </c>
      <c r="BF268" s="768">
        <f t="shared" ref="BF268:BO269" si="93">SUMIFS(BF$5:BF$254,$E$5:$E$254,$E268,$F$5:$F$254,$F268)</f>
        <v>0</v>
      </c>
      <c r="BG268" s="768">
        <f t="shared" si="93"/>
        <v>0</v>
      </c>
      <c r="BH268" s="768">
        <f t="shared" si="93"/>
        <v>0</v>
      </c>
      <c r="BI268" s="768">
        <f t="shared" si="93"/>
        <v>0</v>
      </c>
      <c r="BJ268" s="768">
        <f t="shared" si="93"/>
        <v>0</v>
      </c>
      <c r="BK268" s="768">
        <f t="shared" si="93"/>
        <v>0</v>
      </c>
      <c r="BL268" s="768">
        <f t="shared" si="93"/>
        <v>0</v>
      </c>
      <c r="BM268" s="768">
        <f t="shared" si="93"/>
        <v>0</v>
      </c>
      <c r="BN268" s="768">
        <f t="shared" si="93"/>
        <v>0</v>
      </c>
      <c r="BO268" s="769">
        <f t="shared" si="93"/>
        <v>0</v>
      </c>
      <c r="BP268" s="768">
        <f t="shared" ref="BP268:CA269" si="94">SUMIFS(BP$5:BP$254,$E$5:$E$254,$E268,$F$5:$F$254,$F268)</f>
        <v>0</v>
      </c>
      <c r="BQ268" s="768">
        <f t="shared" si="94"/>
        <v>0</v>
      </c>
      <c r="BR268" s="768">
        <f t="shared" si="94"/>
        <v>0</v>
      </c>
      <c r="BS268" s="768">
        <f t="shared" si="94"/>
        <v>0</v>
      </c>
      <c r="BT268" s="768">
        <f t="shared" si="94"/>
        <v>0</v>
      </c>
      <c r="BU268" s="768">
        <f t="shared" si="94"/>
        <v>0</v>
      </c>
      <c r="BV268" s="768">
        <f t="shared" si="94"/>
        <v>0</v>
      </c>
      <c r="BW268" s="768">
        <f t="shared" si="94"/>
        <v>0</v>
      </c>
      <c r="BX268" s="768">
        <f t="shared" si="94"/>
        <v>0</v>
      </c>
      <c r="BY268" s="768">
        <f t="shared" si="94"/>
        <v>0</v>
      </c>
      <c r="BZ268" s="768">
        <f t="shared" si="94"/>
        <v>0</v>
      </c>
      <c r="CA268" s="768">
        <f t="shared" si="94"/>
        <v>0</v>
      </c>
      <c r="CB268" s="747"/>
      <c r="CC268" s="872">
        <f t="shared" ref="CC268:DH268" si="95">SUMIFS(CC$5:CC$254,$E$5:$E$254,$E268,$F$5:$F$254,$F268)</f>
        <v>0</v>
      </c>
      <c r="CD268" s="872">
        <f t="shared" si="95"/>
        <v>0</v>
      </c>
      <c r="CE268" s="872">
        <f t="shared" si="95"/>
        <v>0</v>
      </c>
      <c r="CF268" s="872">
        <f t="shared" si="95"/>
        <v>0</v>
      </c>
      <c r="CG268" s="872">
        <f t="shared" si="95"/>
        <v>0</v>
      </c>
      <c r="CH268" s="872">
        <f t="shared" si="95"/>
        <v>0</v>
      </c>
      <c r="CI268" s="872">
        <f t="shared" si="95"/>
        <v>0</v>
      </c>
      <c r="CJ268" s="872">
        <f t="shared" si="95"/>
        <v>0</v>
      </c>
      <c r="CK268" s="872">
        <f t="shared" si="95"/>
        <v>0</v>
      </c>
      <c r="CL268" s="872">
        <f t="shared" si="95"/>
        <v>0</v>
      </c>
      <c r="CM268" s="872">
        <f t="shared" si="95"/>
        <v>0</v>
      </c>
      <c r="CN268" s="873">
        <f t="shared" si="95"/>
        <v>0</v>
      </c>
      <c r="CO268" s="872">
        <f t="shared" si="95"/>
        <v>0</v>
      </c>
      <c r="CP268" s="872">
        <f t="shared" si="95"/>
        <v>0</v>
      </c>
      <c r="CQ268" s="872">
        <f t="shared" si="95"/>
        <v>0</v>
      </c>
      <c r="CR268" s="872">
        <f t="shared" si="95"/>
        <v>0</v>
      </c>
      <c r="CS268" s="872">
        <f t="shared" si="95"/>
        <v>0</v>
      </c>
      <c r="CT268" s="872">
        <f t="shared" si="95"/>
        <v>0</v>
      </c>
      <c r="CU268" s="872">
        <f t="shared" si="95"/>
        <v>0</v>
      </c>
      <c r="CV268" s="872">
        <f t="shared" si="95"/>
        <v>0</v>
      </c>
      <c r="CW268" s="872">
        <f t="shared" si="95"/>
        <v>0</v>
      </c>
      <c r="CX268" s="872">
        <f t="shared" si="95"/>
        <v>0</v>
      </c>
      <c r="CY268" s="872">
        <f t="shared" si="95"/>
        <v>0</v>
      </c>
      <c r="CZ268" s="873">
        <f t="shared" si="95"/>
        <v>0</v>
      </c>
      <c r="DA268" s="872">
        <f t="shared" si="95"/>
        <v>0</v>
      </c>
      <c r="DB268" s="872">
        <f t="shared" si="95"/>
        <v>0</v>
      </c>
      <c r="DC268" s="872">
        <f t="shared" si="95"/>
        <v>0</v>
      </c>
      <c r="DD268" s="872">
        <f t="shared" si="95"/>
        <v>0</v>
      </c>
      <c r="DE268" s="872">
        <f t="shared" si="95"/>
        <v>0</v>
      </c>
      <c r="DF268" s="872">
        <f t="shared" si="95"/>
        <v>0</v>
      </c>
      <c r="DG268" s="872">
        <f t="shared" si="95"/>
        <v>0</v>
      </c>
      <c r="DH268" s="872">
        <f t="shared" si="95"/>
        <v>0</v>
      </c>
      <c r="DI268" s="872">
        <f t="shared" ref="DI268:EN268" si="96">SUMIFS(DI$5:DI$254,$E$5:$E$254,$E268,$F$5:$F$254,$F268)</f>
        <v>0</v>
      </c>
      <c r="DJ268" s="872">
        <f t="shared" si="96"/>
        <v>0</v>
      </c>
      <c r="DK268" s="872">
        <f t="shared" si="96"/>
        <v>0</v>
      </c>
      <c r="DL268" s="873">
        <f t="shared" si="96"/>
        <v>0</v>
      </c>
      <c r="DM268" s="872">
        <f t="shared" si="96"/>
        <v>0</v>
      </c>
      <c r="DN268" s="872">
        <f t="shared" si="96"/>
        <v>0</v>
      </c>
      <c r="DO268" s="872">
        <f t="shared" si="96"/>
        <v>0</v>
      </c>
      <c r="DP268" s="872">
        <f t="shared" si="96"/>
        <v>0</v>
      </c>
      <c r="DQ268" s="872">
        <f t="shared" si="96"/>
        <v>0</v>
      </c>
      <c r="DR268" s="872">
        <f t="shared" si="96"/>
        <v>0</v>
      </c>
      <c r="DS268" s="872">
        <f t="shared" si="96"/>
        <v>0</v>
      </c>
      <c r="DT268" s="872">
        <f t="shared" si="96"/>
        <v>0</v>
      </c>
      <c r="DU268" s="872">
        <f t="shared" si="96"/>
        <v>0</v>
      </c>
      <c r="DV268" s="872">
        <f t="shared" si="96"/>
        <v>0</v>
      </c>
      <c r="DW268" s="872">
        <f t="shared" si="96"/>
        <v>0</v>
      </c>
      <c r="DX268" s="873">
        <f t="shared" si="96"/>
        <v>0</v>
      </c>
      <c r="DY268" s="872">
        <f t="shared" si="96"/>
        <v>0</v>
      </c>
      <c r="DZ268" s="872">
        <f t="shared" si="96"/>
        <v>0</v>
      </c>
      <c r="EA268" s="872">
        <f t="shared" si="96"/>
        <v>0</v>
      </c>
      <c r="EB268" s="872">
        <f t="shared" si="96"/>
        <v>0</v>
      </c>
      <c r="EC268" s="872">
        <f t="shared" si="96"/>
        <v>0</v>
      </c>
      <c r="ED268" s="872">
        <f t="shared" si="96"/>
        <v>0</v>
      </c>
      <c r="EE268" s="872">
        <f t="shared" si="96"/>
        <v>0</v>
      </c>
      <c r="EF268" s="872">
        <f t="shared" si="96"/>
        <v>0</v>
      </c>
      <c r="EG268" s="872">
        <f t="shared" si="96"/>
        <v>0</v>
      </c>
      <c r="EH268" s="872">
        <f t="shared" si="96"/>
        <v>0</v>
      </c>
      <c r="EI268" s="872">
        <f t="shared" si="96"/>
        <v>0</v>
      </c>
      <c r="EJ268" s="873">
        <f t="shared" si="96"/>
        <v>0</v>
      </c>
      <c r="EK268" s="872">
        <f t="shared" si="96"/>
        <v>0</v>
      </c>
      <c r="EL268" s="872">
        <f t="shared" si="96"/>
        <v>0</v>
      </c>
      <c r="EM268" s="872">
        <f t="shared" si="96"/>
        <v>0</v>
      </c>
      <c r="EN268" s="872">
        <f t="shared" si="96"/>
        <v>0</v>
      </c>
      <c r="EO268" s="872">
        <f t="shared" ref="EO268:EV268" si="97">SUMIFS(EO$5:EO$254,$E$5:$E$254,$E268,$F$5:$F$254,$F268)</f>
        <v>0</v>
      </c>
      <c r="EP268" s="872">
        <f t="shared" si="97"/>
        <v>0</v>
      </c>
      <c r="EQ268" s="872">
        <f t="shared" si="97"/>
        <v>0</v>
      </c>
      <c r="ER268" s="872">
        <f t="shared" si="97"/>
        <v>0</v>
      </c>
      <c r="ES268" s="872">
        <f t="shared" si="97"/>
        <v>0</v>
      </c>
      <c r="ET268" s="872">
        <f t="shared" si="97"/>
        <v>0</v>
      </c>
      <c r="EU268" s="872">
        <f t="shared" si="97"/>
        <v>0</v>
      </c>
      <c r="EV268" s="873">
        <f t="shared" si="97"/>
        <v>0</v>
      </c>
      <c r="EW268" s="872">
        <f t="shared" si="48"/>
        <v>0</v>
      </c>
      <c r="EX268" s="771"/>
      <c r="EY268" s="1563"/>
      <c r="EZ268" s="872">
        <f>SUMIF('Monthly Summary'!$C$75:BV$75,"",'Resource Costs'!$CC268:EV268)</f>
        <v>0</v>
      </c>
    </row>
    <row r="269" spans="1:156">
      <c r="A269" s="745"/>
      <c r="B269" s="745"/>
      <c r="C269" s="745"/>
      <c r="D269" s="766" t="s">
        <v>18</v>
      </c>
      <c r="E269" s="766" t="str">
        <f>Variables!$A$42</f>
        <v>Verizon</v>
      </c>
      <c r="F269" s="766" t="s">
        <v>21</v>
      </c>
      <c r="G269" s="745"/>
      <c r="H269" s="767">
        <f t="shared" si="88"/>
        <v>0</v>
      </c>
      <c r="I269" s="768">
        <f t="shared" si="88"/>
        <v>0</v>
      </c>
      <c r="J269" s="768">
        <f t="shared" si="88"/>
        <v>0</v>
      </c>
      <c r="K269" s="768">
        <f t="shared" si="88"/>
        <v>0</v>
      </c>
      <c r="L269" s="768">
        <f t="shared" si="88"/>
        <v>0</v>
      </c>
      <c r="M269" s="768">
        <f t="shared" si="88"/>
        <v>0</v>
      </c>
      <c r="N269" s="768">
        <f t="shared" si="88"/>
        <v>0</v>
      </c>
      <c r="O269" s="768">
        <f t="shared" si="88"/>
        <v>0</v>
      </c>
      <c r="P269" s="768">
        <f t="shared" si="88"/>
        <v>0</v>
      </c>
      <c r="Q269" s="768">
        <f t="shared" si="88"/>
        <v>0</v>
      </c>
      <c r="R269" s="768">
        <f t="shared" si="89"/>
        <v>0</v>
      </c>
      <c r="S269" s="769">
        <f t="shared" si="89"/>
        <v>0</v>
      </c>
      <c r="T269" s="770">
        <f t="shared" si="89"/>
        <v>0</v>
      </c>
      <c r="U269" s="768">
        <f t="shared" si="89"/>
        <v>0</v>
      </c>
      <c r="V269" s="768">
        <f t="shared" si="89"/>
        <v>0</v>
      </c>
      <c r="W269" s="768">
        <f t="shared" si="89"/>
        <v>0</v>
      </c>
      <c r="X269" s="768">
        <f t="shared" si="89"/>
        <v>0</v>
      </c>
      <c r="Y269" s="768">
        <f t="shared" si="89"/>
        <v>0</v>
      </c>
      <c r="Z269" s="768">
        <f t="shared" si="89"/>
        <v>0</v>
      </c>
      <c r="AA269" s="768">
        <f t="shared" si="89"/>
        <v>0</v>
      </c>
      <c r="AB269" s="768">
        <f t="shared" si="90"/>
        <v>0</v>
      </c>
      <c r="AC269" s="768">
        <f t="shared" si="90"/>
        <v>0</v>
      </c>
      <c r="AD269" s="768">
        <f t="shared" si="90"/>
        <v>0</v>
      </c>
      <c r="AE269" s="769">
        <f t="shared" si="90"/>
        <v>0</v>
      </c>
      <c r="AF269" s="770">
        <f t="shared" si="90"/>
        <v>0</v>
      </c>
      <c r="AG269" s="768">
        <f t="shared" si="90"/>
        <v>0</v>
      </c>
      <c r="AH269" s="768">
        <f t="shared" si="90"/>
        <v>0</v>
      </c>
      <c r="AI269" s="768">
        <f t="shared" si="90"/>
        <v>0</v>
      </c>
      <c r="AJ269" s="768">
        <f t="shared" si="90"/>
        <v>0</v>
      </c>
      <c r="AK269" s="768">
        <f t="shared" si="90"/>
        <v>0</v>
      </c>
      <c r="AL269" s="768">
        <f t="shared" si="91"/>
        <v>0</v>
      </c>
      <c r="AM269" s="768">
        <f t="shared" si="91"/>
        <v>0</v>
      </c>
      <c r="AN269" s="768">
        <f t="shared" si="91"/>
        <v>0</v>
      </c>
      <c r="AO269" s="768">
        <f t="shared" si="91"/>
        <v>0</v>
      </c>
      <c r="AP269" s="768">
        <f t="shared" si="91"/>
        <v>0</v>
      </c>
      <c r="AQ269" s="769">
        <f t="shared" si="91"/>
        <v>0</v>
      </c>
      <c r="AR269" s="768">
        <f t="shared" si="91"/>
        <v>0</v>
      </c>
      <c r="AS269" s="768">
        <f t="shared" si="91"/>
        <v>0</v>
      </c>
      <c r="AT269" s="768">
        <f t="shared" si="91"/>
        <v>0</v>
      </c>
      <c r="AU269" s="768">
        <f t="shared" si="91"/>
        <v>0</v>
      </c>
      <c r="AV269" s="768">
        <f t="shared" si="92"/>
        <v>0</v>
      </c>
      <c r="AW269" s="768">
        <f t="shared" si="92"/>
        <v>0</v>
      </c>
      <c r="AX269" s="768">
        <f t="shared" si="92"/>
        <v>0</v>
      </c>
      <c r="AY269" s="768">
        <f t="shared" si="92"/>
        <v>0</v>
      </c>
      <c r="AZ269" s="768">
        <f t="shared" si="92"/>
        <v>0</v>
      </c>
      <c r="BA269" s="768">
        <f t="shared" si="92"/>
        <v>0</v>
      </c>
      <c r="BB269" s="768">
        <f t="shared" si="92"/>
        <v>0</v>
      </c>
      <c r="BC269" s="768">
        <f t="shared" si="92"/>
        <v>0</v>
      </c>
      <c r="BD269" s="770">
        <f t="shared" si="92"/>
        <v>0</v>
      </c>
      <c r="BE269" s="768">
        <f t="shared" si="92"/>
        <v>0</v>
      </c>
      <c r="BF269" s="768">
        <f t="shared" si="93"/>
        <v>0</v>
      </c>
      <c r="BG269" s="768">
        <f t="shared" si="93"/>
        <v>0</v>
      </c>
      <c r="BH269" s="768">
        <f t="shared" si="93"/>
        <v>0</v>
      </c>
      <c r="BI269" s="768">
        <f t="shared" si="93"/>
        <v>0</v>
      </c>
      <c r="BJ269" s="768">
        <f t="shared" si="93"/>
        <v>0</v>
      </c>
      <c r="BK269" s="768">
        <f t="shared" si="93"/>
        <v>0</v>
      </c>
      <c r="BL269" s="768">
        <f t="shared" si="93"/>
        <v>0</v>
      </c>
      <c r="BM269" s="768">
        <f t="shared" si="93"/>
        <v>0</v>
      </c>
      <c r="BN269" s="768">
        <f t="shared" si="93"/>
        <v>0</v>
      </c>
      <c r="BO269" s="769">
        <f t="shared" si="93"/>
        <v>0</v>
      </c>
      <c r="BP269" s="768">
        <f t="shared" si="94"/>
        <v>0</v>
      </c>
      <c r="BQ269" s="768">
        <f t="shared" si="94"/>
        <v>0</v>
      </c>
      <c r="BR269" s="768">
        <f t="shared" si="94"/>
        <v>0</v>
      </c>
      <c r="BS269" s="768">
        <f t="shared" si="94"/>
        <v>0</v>
      </c>
      <c r="BT269" s="768">
        <f t="shared" si="94"/>
        <v>0</v>
      </c>
      <c r="BU269" s="768">
        <f t="shared" si="94"/>
        <v>0</v>
      </c>
      <c r="BV269" s="768">
        <f t="shared" si="94"/>
        <v>0</v>
      </c>
      <c r="BW269" s="768">
        <f t="shared" si="94"/>
        <v>0</v>
      </c>
      <c r="BX269" s="768">
        <f t="shared" si="94"/>
        <v>0</v>
      </c>
      <c r="BY269" s="768">
        <f t="shared" si="94"/>
        <v>0</v>
      </c>
      <c r="BZ269" s="768">
        <f t="shared" si="94"/>
        <v>0</v>
      </c>
      <c r="CA269" s="768">
        <f t="shared" si="94"/>
        <v>0</v>
      </c>
      <c r="CB269" s="747"/>
      <c r="CC269" s="872">
        <f t="shared" ref="CC269:CS269" si="98">SUMIFS(CC$5:CC$254,$E$5:$E$254,$E269,$F$5:$F$254,$F269)</f>
        <v>0</v>
      </c>
      <c r="CD269" s="872">
        <f t="shared" si="98"/>
        <v>0</v>
      </c>
      <c r="CE269" s="872">
        <f>SUMIFS(CE$5:CE$254,$E$5:$E$254,$E269,$F$5:$F$254,$F269)</f>
        <v>0</v>
      </c>
      <c r="CF269" s="872">
        <f t="shared" si="98"/>
        <v>0</v>
      </c>
      <c r="CG269" s="872">
        <f t="shared" si="98"/>
        <v>0</v>
      </c>
      <c r="CH269" s="872">
        <f t="shared" si="98"/>
        <v>0</v>
      </c>
      <c r="CI269" s="872">
        <f t="shared" si="98"/>
        <v>0</v>
      </c>
      <c r="CJ269" s="872">
        <f t="shared" si="98"/>
        <v>0</v>
      </c>
      <c r="CK269" s="872">
        <f t="shared" si="98"/>
        <v>0</v>
      </c>
      <c r="CL269" s="872">
        <f t="shared" si="98"/>
        <v>0</v>
      </c>
      <c r="CM269" s="872">
        <f t="shared" si="98"/>
        <v>0</v>
      </c>
      <c r="CN269" s="873">
        <f t="shared" si="98"/>
        <v>0</v>
      </c>
      <c r="CO269" s="872">
        <f t="shared" si="98"/>
        <v>0</v>
      </c>
      <c r="CP269" s="872">
        <f t="shared" si="98"/>
        <v>0</v>
      </c>
      <c r="CQ269" s="872">
        <f t="shared" si="98"/>
        <v>0</v>
      </c>
      <c r="CR269" s="872">
        <f t="shared" si="98"/>
        <v>0</v>
      </c>
      <c r="CS269" s="872">
        <f t="shared" si="98"/>
        <v>0</v>
      </c>
      <c r="CT269" s="872">
        <f t="shared" ref="CT269:DY269" si="99">SUMIFS(CT$5:CT$254,$E$5:$E$254,$E269,$F$5:$F$254,$F269)</f>
        <v>0</v>
      </c>
      <c r="CU269" s="872">
        <f t="shared" si="99"/>
        <v>0</v>
      </c>
      <c r="CV269" s="872">
        <f t="shared" si="99"/>
        <v>0</v>
      </c>
      <c r="CW269" s="872">
        <f t="shared" si="99"/>
        <v>0</v>
      </c>
      <c r="CX269" s="872">
        <f t="shared" si="99"/>
        <v>0</v>
      </c>
      <c r="CY269" s="872">
        <f t="shared" si="99"/>
        <v>0</v>
      </c>
      <c r="CZ269" s="873">
        <f t="shared" si="99"/>
        <v>0</v>
      </c>
      <c r="DA269" s="872">
        <f t="shared" si="99"/>
        <v>0</v>
      </c>
      <c r="DB269" s="872">
        <f t="shared" si="99"/>
        <v>0</v>
      </c>
      <c r="DC269" s="872">
        <f t="shared" si="99"/>
        <v>0</v>
      </c>
      <c r="DD269" s="872">
        <f t="shared" si="99"/>
        <v>0</v>
      </c>
      <c r="DE269" s="872">
        <f t="shared" si="99"/>
        <v>0</v>
      </c>
      <c r="DF269" s="872">
        <f t="shared" si="99"/>
        <v>0</v>
      </c>
      <c r="DG269" s="872">
        <f t="shared" si="99"/>
        <v>0</v>
      </c>
      <c r="DH269" s="872">
        <f t="shared" si="99"/>
        <v>0</v>
      </c>
      <c r="DI269" s="872">
        <f t="shared" si="99"/>
        <v>0</v>
      </c>
      <c r="DJ269" s="872">
        <f t="shared" si="99"/>
        <v>0</v>
      </c>
      <c r="DK269" s="872">
        <f t="shared" si="99"/>
        <v>0</v>
      </c>
      <c r="DL269" s="873">
        <f t="shared" si="99"/>
        <v>0</v>
      </c>
      <c r="DM269" s="872">
        <f t="shared" si="99"/>
        <v>0</v>
      </c>
      <c r="DN269" s="872">
        <f t="shared" si="99"/>
        <v>0</v>
      </c>
      <c r="DO269" s="872">
        <f t="shared" si="99"/>
        <v>0</v>
      </c>
      <c r="DP269" s="872">
        <f t="shared" si="99"/>
        <v>0</v>
      </c>
      <c r="DQ269" s="872">
        <f t="shared" si="99"/>
        <v>0</v>
      </c>
      <c r="DR269" s="872">
        <f t="shared" si="99"/>
        <v>0</v>
      </c>
      <c r="DS269" s="872">
        <f t="shared" si="99"/>
        <v>0</v>
      </c>
      <c r="DT269" s="872">
        <f t="shared" si="99"/>
        <v>0</v>
      </c>
      <c r="DU269" s="872">
        <f t="shared" si="99"/>
        <v>0</v>
      </c>
      <c r="DV269" s="872">
        <f t="shared" si="99"/>
        <v>0</v>
      </c>
      <c r="DW269" s="872">
        <f t="shared" si="99"/>
        <v>0</v>
      </c>
      <c r="DX269" s="873">
        <f t="shared" si="99"/>
        <v>0</v>
      </c>
      <c r="DY269" s="872">
        <f t="shared" si="99"/>
        <v>0</v>
      </c>
      <c r="DZ269" s="872">
        <f t="shared" ref="DZ269:EV269" si="100">SUMIFS(DZ$5:DZ$254,$E$5:$E$254,$E269,$F$5:$F$254,$F269)</f>
        <v>0</v>
      </c>
      <c r="EA269" s="872">
        <f t="shared" si="100"/>
        <v>0</v>
      </c>
      <c r="EB269" s="872">
        <f t="shared" si="100"/>
        <v>0</v>
      </c>
      <c r="EC269" s="872">
        <f t="shared" si="100"/>
        <v>0</v>
      </c>
      <c r="ED269" s="872">
        <f t="shared" si="100"/>
        <v>0</v>
      </c>
      <c r="EE269" s="872">
        <f t="shared" si="100"/>
        <v>0</v>
      </c>
      <c r="EF269" s="872">
        <f t="shared" si="100"/>
        <v>0</v>
      </c>
      <c r="EG269" s="872">
        <f t="shared" si="100"/>
        <v>0</v>
      </c>
      <c r="EH269" s="872">
        <f t="shared" si="100"/>
        <v>0</v>
      </c>
      <c r="EI269" s="872">
        <f t="shared" si="100"/>
        <v>0</v>
      </c>
      <c r="EJ269" s="873">
        <f t="shared" si="100"/>
        <v>0</v>
      </c>
      <c r="EK269" s="872">
        <f t="shared" si="100"/>
        <v>0</v>
      </c>
      <c r="EL269" s="872">
        <f t="shared" si="100"/>
        <v>0</v>
      </c>
      <c r="EM269" s="872">
        <f t="shared" si="100"/>
        <v>0</v>
      </c>
      <c r="EN269" s="872">
        <f t="shared" si="100"/>
        <v>0</v>
      </c>
      <c r="EO269" s="872">
        <f t="shared" si="100"/>
        <v>0</v>
      </c>
      <c r="EP269" s="872">
        <f t="shared" si="100"/>
        <v>0</v>
      </c>
      <c r="EQ269" s="872">
        <f t="shared" si="100"/>
        <v>0</v>
      </c>
      <c r="ER269" s="872">
        <f t="shared" si="100"/>
        <v>0</v>
      </c>
      <c r="ES269" s="872">
        <f t="shared" si="100"/>
        <v>0</v>
      </c>
      <c r="ET269" s="872">
        <f t="shared" si="100"/>
        <v>0</v>
      </c>
      <c r="EU269" s="872">
        <f t="shared" si="100"/>
        <v>0</v>
      </c>
      <c r="EV269" s="873">
        <f t="shared" si="100"/>
        <v>0</v>
      </c>
      <c r="EW269" s="872">
        <f t="shared" si="48"/>
        <v>0</v>
      </c>
      <c r="EX269" s="771"/>
      <c r="EY269" s="1563"/>
      <c r="EZ269" s="872">
        <f>SUMIF('Monthly Summary'!$C$74:BV$74,"",'Resource Costs'!$CC269:EV269)</f>
        <v>0</v>
      </c>
    </row>
    <row r="270" spans="1:156">
      <c r="A270" s="745"/>
      <c r="B270" s="745"/>
      <c r="C270" s="745"/>
      <c r="D270" s="745"/>
      <c r="E270" s="772"/>
      <c r="F270" s="746"/>
      <c r="G270" s="745"/>
      <c r="H270" s="773"/>
      <c r="I270" s="768"/>
      <c r="J270" s="768"/>
      <c r="K270" s="768"/>
      <c r="L270" s="768"/>
      <c r="M270" s="768"/>
      <c r="N270" s="768"/>
      <c r="O270" s="768"/>
      <c r="P270" s="768"/>
      <c r="Q270" s="768"/>
      <c r="R270" s="768"/>
      <c r="S270" s="769"/>
      <c r="T270" s="770"/>
      <c r="U270" s="768"/>
      <c r="V270" s="768"/>
      <c r="W270" s="768"/>
      <c r="X270" s="768"/>
      <c r="Y270" s="768"/>
      <c r="Z270" s="768"/>
      <c r="AA270" s="768"/>
      <c r="AB270" s="768"/>
      <c r="AC270" s="768"/>
      <c r="AD270" s="768"/>
      <c r="AE270" s="769"/>
      <c r="AF270" s="770"/>
      <c r="AG270" s="768"/>
      <c r="AH270" s="768"/>
      <c r="AI270" s="768"/>
      <c r="AJ270" s="768"/>
      <c r="AK270" s="768"/>
      <c r="AL270" s="768"/>
      <c r="AM270" s="768"/>
      <c r="AN270" s="768"/>
      <c r="AO270" s="768"/>
      <c r="AP270" s="768"/>
      <c r="AQ270" s="769"/>
      <c r="AR270" s="768"/>
      <c r="AS270" s="768"/>
      <c r="AT270" s="768"/>
      <c r="AU270" s="768"/>
      <c r="AV270" s="768"/>
      <c r="AW270" s="768"/>
      <c r="AX270" s="768"/>
      <c r="AY270" s="768"/>
      <c r="AZ270" s="768"/>
      <c r="BA270" s="768"/>
      <c r="BB270" s="768"/>
      <c r="BC270" s="768"/>
      <c r="BD270" s="770"/>
      <c r="BE270" s="768"/>
      <c r="BF270" s="768"/>
      <c r="BG270" s="768"/>
      <c r="BH270" s="768"/>
      <c r="BI270" s="768"/>
      <c r="BJ270" s="768"/>
      <c r="BK270" s="768"/>
      <c r="BL270" s="768"/>
      <c r="BM270" s="768"/>
      <c r="BN270" s="768"/>
      <c r="BO270" s="769"/>
      <c r="BP270" s="768"/>
      <c r="BQ270" s="768"/>
      <c r="BR270" s="768"/>
      <c r="BS270" s="768"/>
      <c r="BT270" s="768"/>
      <c r="BU270" s="768"/>
      <c r="BV270" s="768"/>
      <c r="BW270" s="768"/>
      <c r="BX270" s="768"/>
      <c r="BY270" s="768"/>
      <c r="BZ270" s="768"/>
      <c r="CA270" s="768"/>
      <c r="CB270" s="747"/>
      <c r="CC270" s="872"/>
      <c r="CD270" s="872"/>
      <c r="CE270" s="872"/>
      <c r="CF270" s="872"/>
      <c r="CG270" s="872"/>
      <c r="CH270" s="872"/>
      <c r="CI270" s="872"/>
      <c r="CJ270" s="872"/>
      <c r="CK270" s="872"/>
      <c r="CL270" s="872"/>
      <c r="CM270" s="872"/>
      <c r="CN270" s="873"/>
      <c r="CO270" s="872"/>
      <c r="CP270" s="872"/>
      <c r="CQ270" s="872"/>
      <c r="CR270" s="872"/>
      <c r="CS270" s="872"/>
      <c r="CT270" s="872"/>
      <c r="CU270" s="872"/>
      <c r="CV270" s="872"/>
      <c r="CW270" s="872"/>
      <c r="CX270" s="872"/>
      <c r="CY270" s="872"/>
      <c r="CZ270" s="873"/>
      <c r="DA270" s="872"/>
      <c r="DB270" s="872"/>
      <c r="DC270" s="872"/>
      <c r="DD270" s="872"/>
      <c r="DE270" s="872"/>
      <c r="DF270" s="872"/>
      <c r="DG270" s="872"/>
      <c r="DH270" s="872"/>
      <c r="DI270" s="872"/>
      <c r="DJ270" s="872"/>
      <c r="DK270" s="872"/>
      <c r="DL270" s="873"/>
      <c r="DM270" s="872"/>
      <c r="DN270" s="872"/>
      <c r="DO270" s="872"/>
      <c r="DP270" s="872"/>
      <c r="DQ270" s="872"/>
      <c r="DR270" s="872"/>
      <c r="DS270" s="872"/>
      <c r="DT270" s="872"/>
      <c r="DU270" s="872"/>
      <c r="DV270" s="872"/>
      <c r="DW270" s="872"/>
      <c r="DX270" s="873"/>
      <c r="DY270" s="872"/>
      <c r="DZ270" s="872"/>
      <c r="EA270" s="872"/>
      <c r="EB270" s="872"/>
      <c r="EC270" s="872"/>
      <c r="ED270" s="872"/>
      <c r="EE270" s="872"/>
      <c r="EF270" s="872"/>
      <c r="EG270" s="872"/>
      <c r="EH270" s="872"/>
      <c r="EI270" s="872"/>
      <c r="EJ270" s="873"/>
      <c r="EK270" s="872"/>
      <c r="EL270" s="872"/>
      <c r="EM270" s="872"/>
      <c r="EN270" s="872"/>
      <c r="EO270" s="872"/>
      <c r="EP270" s="872"/>
      <c r="EQ270" s="872"/>
      <c r="ER270" s="872"/>
      <c r="ES270" s="872"/>
      <c r="ET270" s="872"/>
      <c r="EU270" s="872"/>
      <c r="EV270" s="873"/>
      <c r="EW270" s="872"/>
      <c r="EX270" s="760"/>
      <c r="EY270" s="760"/>
      <c r="EZ270" s="872"/>
    </row>
    <row r="271" spans="1:156">
      <c r="A271" s="745"/>
      <c r="B271" s="745"/>
      <c r="C271" s="745"/>
      <c r="D271" s="766" t="s">
        <v>18</v>
      </c>
      <c r="E271" s="766" t="str">
        <f>Variables!$A$43</f>
        <v>Business</v>
      </c>
      <c r="F271" s="766" t="s">
        <v>20</v>
      </c>
      <c r="G271" s="745"/>
      <c r="H271" s="767">
        <f t="shared" ref="H271:AM271" si="101">SUMIFS(H$5:H$254,$E$5:$E$254,$E271,$F$5:$F$254,$F271)</f>
        <v>0</v>
      </c>
      <c r="I271" s="768">
        <f t="shared" si="101"/>
        <v>0</v>
      </c>
      <c r="J271" s="768">
        <f t="shared" si="101"/>
        <v>0</v>
      </c>
      <c r="K271" s="768">
        <f t="shared" si="101"/>
        <v>0</v>
      </c>
      <c r="L271" s="768">
        <f t="shared" si="101"/>
        <v>0</v>
      </c>
      <c r="M271" s="768">
        <f t="shared" si="101"/>
        <v>0</v>
      </c>
      <c r="N271" s="768">
        <f t="shared" si="101"/>
        <v>0</v>
      </c>
      <c r="O271" s="768">
        <f t="shared" si="101"/>
        <v>0</v>
      </c>
      <c r="P271" s="768">
        <f t="shared" si="101"/>
        <v>0</v>
      </c>
      <c r="Q271" s="768">
        <f t="shared" si="101"/>
        <v>0</v>
      </c>
      <c r="R271" s="768">
        <f t="shared" si="101"/>
        <v>0</v>
      </c>
      <c r="S271" s="769">
        <f t="shared" si="101"/>
        <v>0</v>
      </c>
      <c r="T271" s="770">
        <f t="shared" si="101"/>
        <v>0</v>
      </c>
      <c r="U271" s="768">
        <f t="shared" si="101"/>
        <v>0</v>
      </c>
      <c r="V271" s="768">
        <f t="shared" si="101"/>
        <v>0</v>
      </c>
      <c r="W271" s="768">
        <f t="shared" si="101"/>
        <v>0</v>
      </c>
      <c r="X271" s="768">
        <f t="shared" si="101"/>
        <v>0</v>
      </c>
      <c r="Y271" s="768">
        <f t="shared" si="101"/>
        <v>0</v>
      </c>
      <c r="Z271" s="768">
        <f t="shared" si="101"/>
        <v>0</v>
      </c>
      <c r="AA271" s="768">
        <f t="shared" si="101"/>
        <v>0</v>
      </c>
      <c r="AB271" s="768">
        <f t="shared" si="101"/>
        <v>0</v>
      </c>
      <c r="AC271" s="768">
        <f t="shared" si="101"/>
        <v>0</v>
      </c>
      <c r="AD271" s="768">
        <f t="shared" si="101"/>
        <v>0</v>
      </c>
      <c r="AE271" s="769">
        <f t="shared" si="101"/>
        <v>0</v>
      </c>
      <c r="AF271" s="770">
        <f t="shared" si="101"/>
        <v>0</v>
      </c>
      <c r="AG271" s="768">
        <f t="shared" si="101"/>
        <v>0</v>
      </c>
      <c r="AH271" s="768">
        <f t="shared" si="101"/>
        <v>0</v>
      </c>
      <c r="AI271" s="768">
        <f t="shared" si="101"/>
        <v>0</v>
      </c>
      <c r="AJ271" s="768">
        <f t="shared" si="101"/>
        <v>0</v>
      </c>
      <c r="AK271" s="768">
        <f t="shared" si="101"/>
        <v>0</v>
      </c>
      <c r="AL271" s="768">
        <f t="shared" si="101"/>
        <v>0</v>
      </c>
      <c r="AM271" s="768">
        <f t="shared" si="101"/>
        <v>0</v>
      </c>
      <c r="AN271" s="768">
        <f t="shared" ref="AN271:BS271" si="102">SUMIFS(AN$5:AN$254,$E$5:$E$254,$E271,$F$5:$F$254,$F271)</f>
        <v>0</v>
      </c>
      <c r="AO271" s="768">
        <f t="shared" si="102"/>
        <v>0</v>
      </c>
      <c r="AP271" s="768">
        <f t="shared" si="102"/>
        <v>0</v>
      </c>
      <c r="AQ271" s="769">
        <f t="shared" si="102"/>
        <v>0</v>
      </c>
      <c r="AR271" s="768">
        <f t="shared" si="102"/>
        <v>0</v>
      </c>
      <c r="AS271" s="768">
        <f t="shared" si="102"/>
        <v>0</v>
      </c>
      <c r="AT271" s="768">
        <f t="shared" si="102"/>
        <v>0</v>
      </c>
      <c r="AU271" s="768">
        <f t="shared" si="102"/>
        <v>0</v>
      </c>
      <c r="AV271" s="768">
        <f t="shared" si="102"/>
        <v>0</v>
      </c>
      <c r="AW271" s="768">
        <f t="shared" si="102"/>
        <v>0</v>
      </c>
      <c r="AX271" s="768">
        <f t="shared" si="102"/>
        <v>0</v>
      </c>
      <c r="AY271" s="768">
        <f t="shared" si="102"/>
        <v>0</v>
      </c>
      <c r="AZ271" s="768">
        <f t="shared" si="102"/>
        <v>0</v>
      </c>
      <c r="BA271" s="768">
        <f t="shared" si="102"/>
        <v>0</v>
      </c>
      <c r="BB271" s="768">
        <f t="shared" si="102"/>
        <v>0</v>
      </c>
      <c r="BC271" s="768">
        <f t="shared" si="102"/>
        <v>0</v>
      </c>
      <c r="BD271" s="770">
        <f t="shared" si="102"/>
        <v>0</v>
      </c>
      <c r="BE271" s="768">
        <f t="shared" si="102"/>
        <v>0</v>
      </c>
      <c r="BF271" s="768">
        <f t="shared" si="102"/>
        <v>0</v>
      </c>
      <c r="BG271" s="768">
        <f t="shared" si="102"/>
        <v>0</v>
      </c>
      <c r="BH271" s="768">
        <f t="shared" si="102"/>
        <v>0</v>
      </c>
      <c r="BI271" s="768">
        <f t="shared" si="102"/>
        <v>0</v>
      </c>
      <c r="BJ271" s="768">
        <f t="shared" si="102"/>
        <v>0</v>
      </c>
      <c r="BK271" s="768">
        <f t="shared" si="102"/>
        <v>0</v>
      </c>
      <c r="BL271" s="768">
        <f t="shared" si="102"/>
        <v>0</v>
      </c>
      <c r="BM271" s="768">
        <f t="shared" si="102"/>
        <v>0</v>
      </c>
      <c r="BN271" s="768">
        <f t="shared" si="102"/>
        <v>0</v>
      </c>
      <c r="BO271" s="769">
        <f t="shared" si="102"/>
        <v>0</v>
      </c>
      <c r="BP271" s="768">
        <f t="shared" si="102"/>
        <v>0</v>
      </c>
      <c r="BQ271" s="768">
        <f t="shared" si="102"/>
        <v>0</v>
      </c>
      <c r="BR271" s="768">
        <f t="shared" si="102"/>
        <v>0</v>
      </c>
      <c r="BS271" s="768">
        <f t="shared" si="102"/>
        <v>0</v>
      </c>
      <c r="BT271" s="768">
        <f t="shared" ref="BT271:CA271" si="103">SUMIFS(BT$5:BT$254,$E$5:$E$254,$E271,$F$5:$F$254,$F271)</f>
        <v>0</v>
      </c>
      <c r="BU271" s="768">
        <f t="shared" si="103"/>
        <v>0</v>
      </c>
      <c r="BV271" s="768">
        <f t="shared" si="103"/>
        <v>0</v>
      </c>
      <c r="BW271" s="768">
        <f t="shared" si="103"/>
        <v>0</v>
      </c>
      <c r="BX271" s="768">
        <f t="shared" si="103"/>
        <v>0</v>
      </c>
      <c r="BY271" s="768">
        <f t="shared" si="103"/>
        <v>0</v>
      </c>
      <c r="BZ271" s="768">
        <f t="shared" si="103"/>
        <v>0</v>
      </c>
      <c r="CA271" s="768">
        <f t="shared" si="103"/>
        <v>0</v>
      </c>
      <c r="CB271" s="747"/>
      <c r="CC271" s="872">
        <f t="shared" ref="CC271:DH271" si="104">SUMIFS(CC$5:CC$254,$E$5:$E$254,$E271,$F$5:$F$254,$F271)</f>
        <v>0</v>
      </c>
      <c r="CD271" s="872">
        <f t="shared" si="104"/>
        <v>0</v>
      </c>
      <c r="CE271" s="872">
        <f t="shared" si="104"/>
        <v>0</v>
      </c>
      <c r="CF271" s="872">
        <f t="shared" si="104"/>
        <v>0</v>
      </c>
      <c r="CG271" s="872">
        <f t="shared" si="104"/>
        <v>0</v>
      </c>
      <c r="CH271" s="872">
        <f t="shared" si="104"/>
        <v>0</v>
      </c>
      <c r="CI271" s="872">
        <f t="shared" si="104"/>
        <v>0</v>
      </c>
      <c r="CJ271" s="872">
        <f t="shared" si="104"/>
        <v>0</v>
      </c>
      <c r="CK271" s="872">
        <f t="shared" si="104"/>
        <v>0</v>
      </c>
      <c r="CL271" s="872">
        <f t="shared" si="104"/>
        <v>0</v>
      </c>
      <c r="CM271" s="872">
        <f t="shared" si="104"/>
        <v>0</v>
      </c>
      <c r="CN271" s="873">
        <f t="shared" si="104"/>
        <v>0</v>
      </c>
      <c r="CO271" s="872">
        <f t="shared" si="104"/>
        <v>0</v>
      </c>
      <c r="CP271" s="872">
        <f t="shared" si="104"/>
        <v>0</v>
      </c>
      <c r="CQ271" s="872">
        <f t="shared" si="104"/>
        <v>0</v>
      </c>
      <c r="CR271" s="872">
        <f t="shared" si="104"/>
        <v>0</v>
      </c>
      <c r="CS271" s="872">
        <f t="shared" si="104"/>
        <v>0</v>
      </c>
      <c r="CT271" s="872">
        <f t="shared" si="104"/>
        <v>0</v>
      </c>
      <c r="CU271" s="872">
        <f t="shared" si="104"/>
        <v>0</v>
      </c>
      <c r="CV271" s="872">
        <f t="shared" si="104"/>
        <v>0</v>
      </c>
      <c r="CW271" s="872">
        <f t="shared" si="104"/>
        <v>0</v>
      </c>
      <c r="CX271" s="872">
        <f t="shared" si="104"/>
        <v>0</v>
      </c>
      <c r="CY271" s="872">
        <f t="shared" si="104"/>
        <v>0</v>
      </c>
      <c r="CZ271" s="873">
        <f t="shared" si="104"/>
        <v>0</v>
      </c>
      <c r="DA271" s="872">
        <f t="shared" si="104"/>
        <v>0</v>
      </c>
      <c r="DB271" s="872">
        <f t="shared" si="104"/>
        <v>0</v>
      </c>
      <c r="DC271" s="872">
        <f t="shared" si="104"/>
        <v>0</v>
      </c>
      <c r="DD271" s="872">
        <f t="shared" si="104"/>
        <v>0</v>
      </c>
      <c r="DE271" s="872">
        <f t="shared" si="104"/>
        <v>0</v>
      </c>
      <c r="DF271" s="872">
        <f t="shared" si="104"/>
        <v>0</v>
      </c>
      <c r="DG271" s="872">
        <f t="shared" si="104"/>
        <v>0</v>
      </c>
      <c r="DH271" s="872">
        <f t="shared" si="104"/>
        <v>0</v>
      </c>
      <c r="DI271" s="872">
        <f t="shared" ref="DI271:EN271" si="105">SUMIFS(DI$5:DI$254,$E$5:$E$254,$E271,$F$5:$F$254,$F271)</f>
        <v>0</v>
      </c>
      <c r="DJ271" s="872">
        <f t="shared" si="105"/>
        <v>0</v>
      </c>
      <c r="DK271" s="872">
        <f t="shared" si="105"/>
        <v>0</v>
      </c>
      <c r="DL271" s="873">
        <f t="shared" si="105"/>
        <v>0</v>
      </c>
      <c r="DM271" s="872">
        <f t="shared" si="105"/>
        <v>0</v>
      </c>
      <c r="DN271" s="872">
        <f t="shared" si="105"/>
        <v>0</v>
      </c>
      <c r="DO271" s="872">
        <f t="shared" si="105"/>
        <v>0</v>
      </c>
      <c r="DP271" s="872">
        <f t="shared" si="105"/>
        <v>0</v>
      </c>
      <c r="DQ271" s="872">
        <f t="shared" si="105"/>
        <v>0</v>
      </c>
      <c r="DR271" s="872">
        <f t="shared" si="105"/>
        <v>0</v>
      </c>
      <c r="DS271" s="872">
        <f t="shared" si="105"/>
        <v>0</v>
      </c>
      <c r="DT271" s="872">
        <f t="shared" si="105"/>
        <v>0</v>
      </c>
      <c r="DU271" s="872">
        <f t="shared" si="105"/>
        <v>0</v>
      </c>
      <c r="DV271" s="872">
        <f t="shared" si="105"/>
        <v>0</v>
      </c>
      <c r="DW271" s="872">
        <f t="shared" si="105"/>
        <v>0</v>
      </c>
      <c r="DX271" s="873">
        <f t="shared" si="105"/>
        <v>0</v>
      </c>
      <c r="DY271" s="872">
        <f t="shared" si="105"/>
        <v>0</v>
      </c>
      <c r="DZ271" s="872">
        <f t="shared" si="105"/>
        <v>0</v>
      </c>
      <c r="EA271" s="872">
        <f t="shared" si="105"/>
        <v>0</v>
      </c>
      <c r="EB271" s="872">
        <f t="shared" si="105"/>
        <v>0</v>
      </c>
      <c r="EC271" s="872">
        <f t="shared" si="105"/>
        <v>0</v>
      </c>
      <c r="ED271" s="872">
        <f t="shared" si="105"/>
        <v>0</v>
      </c>
      <c r="EE271" s="872">
        <f t="shared" si="105"/>
        <v>0</v>
      </c>
      <c r="EF271" s="872">
        <f t="shared" si="105"/>
        <v>0</v>
      </c>
      <c r="EG271" s="872">
        <f t="shared" si="105"/>
        <v>0</v>
      </c>
      <c r="EH271" s="872">
        <f t="shared" si="105"/>
        <v>0</v>
      </c>
      <c r="EI271" s="872">
        <f t="shared" si="105"/>
        <v>0</v>
      </c>
      <c r="EJ271" s="873">
        <f t="shared" si="105"/>
        <v>0</v>
      </c>
      <c r="EK271" s="872">
        <f t="shared" si="105"/>
        <v>0</v>
      </c>
      <c r="EL271" s="872">
        <f t="shared" si="105"/>
        <v>0</v>
      </c>
      <c r="EM271" s="872">
        <f t="shared" si="105"/>
        <v>0</v>
      </c>
      <c r="EN271" s="872">
        <f t="shared" si="105"/>
        <v>0</v>
      </c>
      <c r="EO271" s="872">
        <f t="shared" ref="EO271:EV271" si="106">SUMIFS(EO$5:EO$254,$E$5:$E$254,$E271,$F$5:$F$254,$F271)</f>
        <v>0</v>
      </c>
      <c r="EP271" s="872">
        <f t="shared" si="106"/>
        <v>0</v>
      </c>
      <c r="EQ271" s="872">
        <f t="shared" si="106"/>
        <v>0</v>
      </c>
      <c r="ER271" s="872">
        <f t="shared" si="106"/>
        <v>0</v>
      </c>
      <c r="ES271" s="872">
        <f t="shared" si="106"/>
        <v>0</v>
      </c>
      <c r="ET271" s="872">
        <f t="shared" si="106"/>
        <v>0</v>
      </c>
      <c r="EU271" s="872">
        <f t="shared" si="106"/>
        <v>0</v>
      </c>
      <c r="EV271" s="873">
        <f t="shared" si="106"/>
        <v>0</v>
      </c>
      <c r="EW271" s="872">
        <f t="shared" si="48"/>
        <v>0</v>
      </c>
      <c r="EX271" s="771"/>
      <c r="EY271" s="1563"/>
      <c r="EZ271" s="872">
        <f>SUMIF('Monthly Summary'!$C$75:BV$75,"",'Resource Costs'!$CC271:EV271)</f>
        <v>0</v>
      </c>
    </row>
    <row r="272" spans="1:156">
      <c r="A272" s="745"/>
      <c r="B272" s="745"/>
      <c r="C272" s="745"/>
      <c r="D272" s="766" t="s">
        <v>18</v>
      </c>
      <c r="E272" s="766" t="str">
        <f>Variables!$A$43</f>
        <v>Business</v>
      </c>
      <c r="F272" s="766" t="s">
        <v>21</v>
      </c>
      <c r="G272" s="745"/>
      <c r="H272" s="767">
        <f t="shared" ref="H272:BS272" si="107">SUMIFS(H$5:H$254,$E$5:$E$254,$E272,$F$5:$F$254,$F272)</f>
        <v>0</v>
      </c>
      <c r="I272" s="768">
        <f t="shared" si="107"/>
        <v>0</v>
      </c>
      <c r="J272" s="768">
        <f>SUMIFS(J$5:J$254,$E$5:$E$254,$E272,$F$5:$F$254,$F272)</f>
        <v>0</v>
      </c>
      <c r="K272" s="768">
        <f t="shared" si="107"/>
        <v>0</v>
      </c>
      <c r="L272" s="768">
        <f t="shared" si="107"/>
        <v>0</v>
      </c>
      <c r="M272" s="768">
        <f t="shared" si="107"/>
        <v>0</v>
      </c>
      <c r="N272" s="768">
        <f t="shared" si="107"/>
        <v>0</v>
      </c>
      <c r="O272" s="768">
        <f t="shared" si="107"/>
        <v>0</v>
      </c>
      <c r="P272" s="768">
        <f t="shared" si="107"/>
        <v>0</v>
      </c>
      <c r="Q272" s="768">
        <f t="shared" si="107"/>
        <v>0</v>
      </c>
      <c r="R272" s="768">
        <f t="shared" si="107"/>
        <v>0</v>
      </c>
      <c r="S272" s="769">
        <f t="shared" si="107"/>
        <v>0</v>
      </c>
      <c r="T272" s="770">
        <f t="shared" si="107"/>
        <v>0</v>
      </c>
      <c r="U272" s="768">
        <f t="shared" si="107"/>
        <v>0</v>
      </c>
      <c r="V272" s="768">
        <f t="shared" si="107"/>
        <v>0</v>
      </c>
      <c r="W272" s="768">
        <f t="shared" si="107"/>
        <v>0</v>
      </c>
      <c r="X272" s="768">
        <f t="shared" si="107"/>
        <v>0</v>
      </c>
      <c r="Y272" s="768">
        <f t="shared" si="107"/>
        <v>0</v>
      </c>
      <c r="Z272" s="768">
        <f t="shared" si="107"/>
        <v>0</v>
      </c>
      <c r="AA272" s="768">
        <f t="shared" si="107"/>
        <v>0</v>
      </c>
      <c r="AB272" s="768">
        <f t="shared" si="107"/>
        <v>0</v>
      </c>
      <c r="AC272" s="768">
        <f t="shared" si="107"/>
        <v>0</v>
      </c>
      <c r="AD272" s="768">
        <f t="shared" si="107"/>
        <v>0</v>
      </c>
      <c r="AE272" s="769">
        <f t="shared" si="107"/>
        <v>0</v>
      </c>
      <c r="AF272" s="770">
        <f t="shared" si="107"/>
        <v>0</v>
      </c>
      <c r="AG272" s="768">
        <f t="shared" si="107"/>
        <v>0</v>
      </c>
      <c r="AH272" s="768">
        <f t="shared" si="107"/>
        <v>0</v>
      </c>
      <c r="AI272" s="768">
        <f t="shared" si="107"/>
        <v>0</v>
      </c>
      <c r="AJ272" s="768">
        <f t="shared" si="107"/>
        <v>0</v>
      </c>
      <c r="AK272" s="768">
        <f t="shared" si="107"/>
        <v>0</v>
      </c>
      <c r="AL272" s="768">
        <f t="shared" si="107"/>
        <v>0</v>
      </c>
      <c r="AM272" s="768">
        <f t="shared" si="107"/>
        <v>0</v>
      </c>
      <c r="AN272" s="768">
        <f t="shared" si="107"/>
        <v>0</v>
      </c>
      <c r="AO272" s="768">
        <f t="shared" si="107"/>
        <v>0</v>
      </c>
      <c r="AP272" s="768">
        <f t="shared" si="107"/>
        <v>0</v>
      </c>
      <c r="AQ272" s="769">
        <f t="shared" si="107"/>
        <v>0</v>
      </c>
      <c r="AR272" s="768">
        <f t="shared" si="107"/>
        <v>0</v>
      </c>
      <c r="AS272" s="768">
        <f t="shared" si="107"/>
        <v>0</v>
      </c>
      <c r="AT272" s="768">
        <f t="shared" si="107"/>
        <v>0</v>
      </c>
      <c r="AU272" s="768">
        <f t="shared" si="107"/>
        <v>0</v>
      </c>
      <c r="AV272" s="768">
        <f t="shared" si="107"/>
        <v>0</v>
      </c>
      <c r="AW272" s="768">
        <f t="shared" si="107"/>
        <v>0</v>
      </c>
      <c r="AX272" s="768">
        <f t="shared" si="107"/>
        <v>0</v>
      </c>
      <c r="AY272" s="768">
        <f t="shared" si="107"/>
        <v>0</v>
      </c>
      <c r="AZ272" s="768">
        <f t="shared" si="107"/>
        <v>0</v>
      </c>
      <c r="BA272" s="768">
        <f t="shared" si="107"/>
        <v>0</v>
      </c>
      <c r="BB272" s="768">
        <f t="shared" si="107"/>
        <v>0</v>
      </c>
      <c r="BC272" s="768">
        <f t="shared" si="107"/>
        <v>0</v>
      </c>
      <c r="BD272" s="770">
        <f t="shared" si="107"/>
        <v>0</v>
      </c>
      <c r="BE272" s="768">
        <f t="shared" si="107"/>
        <v>0</v>
      </c>
      <c r="BF272" s="768">
        <f t="shared" si="107"/>
        <v>0</v>
      </c>
      <c r="BG272" s="768">
        <f t="shared" si="107"/>
        <v>0</v>
      </c>
      <c r="BH272" s="768">
        <f t="shared" si="107"/>
        <v>0</v>
      </c>
      <c r="BI272" s="768">
        <f t="shared" si="107"/>
        <v>0</v>
      </c>
      <c r="BJ272" s="768">
        <f t="shared" si="107"/>
        <v>0</v>
      </c>
      <c r="BK272" s="768">
        <f t="shared" si="107"/>
        <v>0</v>
      </c>
      <c r="BL272" s="768">
        <f t="shared" si="107"/>
        <v>0</v>
      </c>
      <c r="BM272" s="768">
        <f t="shared" si="107"/>
        <v>0</v>
      </c>
      <c r="BN272" s="768">
        <f t="shared" si="107"/>
        <v>0</v>
      </c>
      <c r="BO272" s="769">
        <f t="shared" si="107"/>
        <v>0</v>
      </c>
      <c r="BP272" s="768">
        <f t="shared" si="107"/>
        <v>0</v>
      </c>
      <c r="BQ272" s="768">
        <f t="shared" si="107"/>
        <v>0</v>
      </c>
      <c r="BR272" s="768">
        <f t="shared" si="107"/>
        <v>0</v>
      </c>
      <c r="BS272" s="768">
        <f t="shared" si="107"/>
        <v>0</v>
      </c>
      <c r="BT272" s="768">
        <f t="shared" ref="BT272:CA272" si="108">SUMIFS(BT$5:BT$254,$E$5:$E$254,$E272,$F$5:$F$254,$F272)</f>
        <v>0</v>
      </c>
      <c r="BU272" s="768">
        <f t="shared" si="108"/>
        <v>0</v>
      </c>
      <c r="BV272" s="768">
        <f t="shared" si="108"/>
        <v>0</v>
      </c>
      <c r="BW272" s="768">
        <f t="shared" si="108"/>
        <v>0</v>
      </c>
      <c r="BX272" s="768">
        <f t="shared" si="108"/>
        <v>0</v>
      </c>
      <c r="BY272" s="768">
        <f t="shared" si="108"/>
        <v>0</v>
      </c>
      <c r="BZ272" s="768">
        <f t="shared" si="108"/>
        <v>0</v>
      </c>
      <c r="CA272" s="768">
        <f t="shared" si="108"/>
        <v>0</v>
      </c>
      <c r="CB272" s="747"/>
      <c r="CC272" s="872">
        <f t="shared" ref="CC272:CS272" si="109">SUMIFS(CC$5:CC$254,$E$5:$E$254,$E272,$F$5:$F$254,$F272)</f>
        <v>0</v>
      </c>
      <c r="CD272" s="872">
        <f t="shared" si="109"/>
        <v>0</v>
      </c>
      <c r="CE272" s="872">
        <f>SUMIFS(CE$5:CE$254,$E$5:$E$254,$E272,$F$5:$F$254,$F272)</f>
        <v>0</v>
      </c>
      <c r="CF272" s="872">
        <f t="shared" si="109"/>
        <v>0</v>
      </c>
      <c r="CG272" s="872">
        <f t="shared" si="109"/>
        <v>0</v>
      </c>
      <c r="CH272" s="872">
        <f t="shared" si="109"/>
        <v>0</v>
      </c>
      <c r="CI272" s="872">
        <f t="shared" si="109"/>
        <v>0</v>
      </c>
      <c r="CJ272" s="872">
        <f t="shared" si="109"/>
        <v>0</v>
      </c>
      <c r="CK272" s="872">
        <f t="shared" si="109"/>
        <v>0</v>
      </c>
      <c r="CL272" s="872">
        <f t="shared" si="109"/>
        <v>0</v>
      </c>
      <c r="CM272" s="872">
        <f t="shared" si="109"/>
        <v>0</v>
      </c>
      <c r="CN272" s="873">
        <f t="shared" si="109"/>
        <v>0</v>
      </c>
      <c r="CO272" s="872">
        <f t="shared" si="109"/>
        <v>0</v>
      </c>
      <c r="CP272" s="872">
        <f t="shared" si="109"/>
        <v>0</v>
      </c>
      <c r="CQ272" s="872">
        <f t="shared" si="109"/>
        <v>0</v>
      </c>
      <c r="CR272" s="872">
        <f t="shared" si="109"/>
        <v>0</v>
      </c>
      <c r="CS272" s="872">
        <f t="shared" si="109"/>
        <v>0</v>
      </c>
      <c r="CT272" s="872">
        <f t="shared" ref="CT272:DY272" si="110">SUMIFS(CT$5:CT$254,$E$5:$E$254,$E272,$F$5:$F$254,$F272)</f>
        <v>0</v>
      </c>
      <c r="CU272" s="872">
        <f t="shared" si="110"/>
        <v>0</v>
      </c>
      <c r="CV272" s="872">
        <f t="shared" si="110"/>
        <v>0</v>
      </c>
      <c r="CW272" s="872">
        <f t="shared" si="110"/>
        <v>0</v>
      </c>
      <c r="CX272" s="872">
        <f t="shared" si="110"/>
        <v>0</v>
      </c>
      <c r="CY272" s="872">
        <f t="shared" si="110"/>
        <v>0</v>
      </c>
      <c r="CZ272" s="873">
        <f t="shared" si="110"/>
        <v>0</v>
      </c>
      <c r="DA272" s="872">
        <f t="shared" si="110"/>
        <v>0</v>
      </c>
      <c r="DB272" s="872">
        <f t="shared" si="110"/>
        <v>0</v>
      </c>
      <c r="DC272" s="872">
        <f t="shared" si="110"/>
        <v>0</v>
      </c>
      <c r="DD272" s="872">
        <f t="shared" si="110"/>
        <v>0</v>
      </c>
      <c r="DE272" s="872">
        <f t="shared" si="110"/>
        <v>0</v>
      </c>
      <c r="DF272" s="872">
        <f t="shared" si="110"/>
        <v>0</v>
      </c>
      <c r="DG272" s="872">
        <f t="shared" si="110"/>
        <v>0</v>
      </c>
      <c r="DH272" s="872">
        <f t="shared" si="110"/>
        <v>0</v>
      </c>
      <c r="DI272" s="872">
        <f t="shared" si="110"/>
        <v>0</v>
      </c>
      <c r="DJ272" s="872">
        <f t="shared" si="110"/>
        <v>0</v>
      </c>
      <c r="DK272" s="872">
        <f t="shared" si="110"/>
        <v>0</v>
      </c>
      <c r="DL272" s="873">
        <f t="shared" si="110"/>
        <v>0</v>
      </c>
      <c r="DM272" s="872">
        <f t="shared" si="110"/>
        <v>0</v>
      </c>
      <c r="DN272" s="872">
        <f t="shared" si="110"/>
        <v>0</v>
      </c>
      <c r="DO272" s="872">
        <f t="shared" si="110"/>
        <v>0</v>
      </c>
      <c r="DP272" s="872">
        <f t="shared" si="110"/>
        <v>0</v>
      </c>
      <c r="DQ272" s="872">
        <f t="shared" si="110"/>
        <v>0</v>
      </c>
      <c r="DR272" s="872">
        <f t="shared" si="110"/>
        <v>0</v>
      </c>
      <c r="DS272" s="872">
        <f t="shared" si="110"/>
        <v>0</v>
      </c>
      <c r="DT272" s="872">
        <f t="shared" si="110"/>
        <v>0</v>
      </c>
      <c r="DU272" s="872">
        <f t="shared" si="110"/>
        <v>0</v>
      </c>
      <c r="DV272" s="872">
        <f t="shared" si="110"/>
        <v>0</v>
      </c>
      <c r="DW272" s="872">
        <f t="shared" si="110"/>
        <v>0</v>
      </c>
      <c r="DX272" s="873">
        <f t="shared" si="110"/>
        <v>0</v>
      </c>
      <c r="DY272" s="872">
        <f t="shared" si="110"/>
        <v>0</v>
      </c>
      <c r="DZ272" s="872">
        <f t="shared" ref="DZ272:EV272" si="111">SUMIFS(DZ$5:DZ$254,$E$5:$E$254,$E272,$F$5:$F$254,$F272)</f>
        <v>0</v>
      </c>
      <c r="EA272" s="872">
        <f t="shared" si="111"/>
        <v>0</v>
      </c>
      <c r="EB272" s="872">
        <f t="shared" si="111"/>
        <v>0</v>
      </c>
      <c r="EC272" s="872">
        <f t="shared" si="111"/>
        <v>0</v>
      </c>
      <c r="ED272" s="872">
        <f t="shared" si="111"/>
        <v>0</v>
      </c>
      <c r="EE272" s="872">
        <f t="shared" si="111"/>
        <v>0</v>
      </c>
      <c r="EF272" s="872">
        <f t="shared" si="111"/>
        <v>0</v>
      </c>
      <c r="EG272" s="872">
        <f t="shared" si="111"/>
        <v>0</v>
      </c>
      <c r="EH272" s="872">
        <f t="shared" si="111"/>
        <v>0</v>
      </c>
      <c r="EI272" s="872">
        <f t="shared" si="111"/>
        <v>0</v>
      </c>
      <c r="EJ272" s="873">
        <f t="shared" si="111"/>
        <v>0</v>
      </c>
      <c r="EK272" s="872">
        <f t="shared" si="111"/>
        <v>0</v>
      </c>
      <c r="EL272" s="872">
        <f t="shared" si="111"/>
        <v>0</v>
      </c>
      <c r="EM272" s="872">
        <f t="shared" si="111"/>
        <v>0</v>
      </c>
      <c r="EN272" s="872">
        <f t="shared" si="111"/>
        <v>0</v>
      </c>
      <c r="EO272" s="872">
        <f t="shared" si="111"/>
        <v>0</v>
      </c>
      <c r="EP272" s="872">
        <f t="shared" si="111"/>
        <v>0</v>
      </c>
      <c r="EQ272" s="872">
        <f t="shared" si="111"/>
        <v>0</v>
      </c>
      <c r="ER272" s="872">
        <f t="shared" si="111"/>
        <v>0</v>
      </c>
      <c r="ES272" s="872">
        <f t="shared" si="111"/>
        <v>0</v>
      </c>
      <c r="ET272" s="872">
        <f t="shared" si="111"/>
        <v>0</v>
      </c>
      <c r="EU272" s="872">
        <f t="shared" si="111"/>
        <v>0</v>
      </c>
      <c r="EV272" s="873">
        <f t="shared" si="111"/>
        <v>0</v>
      </c>
      <c r="EW272" s="872">
        <f t="shared" si="48"/>
        <v>0</v>
      </c>
      <c r="EX272" s="771"/>
      <c r="EY272" s="1563"/>
      <c r="EZ272" s="872">
        <f>SUMIF('Monthly Summary'!$C$74:BV$74,"",'Resource Costs'!$CC272:EV272)</f>
        <v>0</v>
      </c>
    </row>
    <row r="273" spans="1:157" ht="12.5" thickBot="1">
      <c r="A273" s="745"/>
      <c r="B273" s="745"/>
      <c r="C273" s="745"/>
      <c r="D273" s="745"/>
      <c r="E273" s="772"/>
      <c r="F273" s="746"/>
      <c r="G273" s="745"/>
      <c r="H273" s="773"/>
      <c r="I273" s="745"/>
      <c r="J273" s="745"/>
      <c r="K273" s="745"/>
      <c r="L273" s="745"/>
      <c r="M273" s="745"/>
      <c r="N273" s="745"/>
      <c r="O273" s="745"/>
      <c r="P273" s="745"/>
      <c r="Q273" s="745"/>
      <c r="R273" s="745"/>
      <c r="S273" s="774"/>
      <c r="T273" s="773"/>
      <c r="U273" s="745"/>
      <c r="V273" s="745"/>
      <c r="W273" s="745"/>
      <c r="X273" s="745"/>
      <c r="Y273" s="745"/>
      <c r="Z273" s="745"/>
      <c r="AA273" s="745"/>
      <c r="AB273" s="745"/>
      <c r="AC273" s="745"/>
      <c r="AD273" s="745"/>
      <c r="AE273" s="774"/>
      <c r="AF273" s="773"/>
      <c r="AG273" s="745"/>
      <c r="AH273" s="745"/>
      <c r="AI273" s="745"/>
      <c r="AJ273" s="745"/>
      <c r="AK273" s="745"/>
      <c r="AL273" s="745"/>
      <c r="AM273" s="745"/>
      <c r="AN273" s="745"/>
      <c r="AO273" s="745"/>
      <c r="AP273" s="745"/>
      <c r="AQ273" s="774"/>
      <c r="AR273" s="745"/>
      <c r="AS273" s="745"/>
      <c r="AT273" s="745"/>
      <c r="AU273" s="745"/>
      <c r="AV273" s="745"/>
      <c r="AW273" s="745"/>
      <c r="AX273" s="745"/>
      <c r="AY273" s="745"/>
      <c r="AZ273" s="745"/>
      <c r="BA273" s="745"/>
      <c r="BB273" s="745"/>
      <c r="BC273" s="745"/>
      <c r="BD273" s="773"/>
      <c r="BE273" s="745"/>
      <c r="BF273" s="745"/>
      <c r="BG273" s="745"/>
      <c r="BH273" s="745"/>
      <c r="BI273" s="745"/>
      <c r="BJ273" s="745"/>
      <c r="BK273" s="745"/>
      <c r="BL273" s="745"/>
      <c r="BM273" s="745"/>
      <c r="BN273" s="745"/>
      <c r="BO273" s="774"/>
      <c r="BP273" s="745"/>
      <c r="BQ273" s="745"/>
      <c r="BR273" s="745"/>
      <c r="BS273" s="745"/>
      <c r="BT273" s="745"/>
      <c r="BU273" s="745"/>
      <c r="BV273" s="745"/>
      <c r="BW273" s="745"/>
      <c r="BX273" s="745"/>
      <c r="BY273" s="745"/>
      <c r="BZ273" s="745"/>
      <c r="CA273" s="745"/>
      <c r="CB273" s="747"/>
      <c r="CC273" s="872"/>
      <c r="CD273" s="872"/>
      <c r="CE273" s="872"/>
      <c r="CF273" s="872"/>
      <c r="CG273" s="872"/>
      <c r="CH273" s="872"/>
      <c r="CI273" s="872"/>
      <c r="CJ273" s="872"/>
      <c r="CK273" s="872"/>
      <c r="CL273" s="872"/>
      <c r="CM273" s="872"/>
      <c r="CN273" s="873"/>
      <c r="CO273" s="872"/>
      <c r="CP273" s="872"/>
      <c r="CQ273" s="872"/>
      <c r="CR273" s="872"/>
      <c r="CS273" s="872"/>
      <c r="CT273" s="872"/>
      <c r="CU273" s="872"/>
      <c r="CV273" s="872"/>
      <c r="CW273" s="872"/>
      <c r="CX273" s="872"/>
      <c r="CY273" s="872"/>
      <c r="CZ273" s="873"/>
      <c r="DA273" s="872"/>
      <c r="DB273" s="872"/>
      <c r="DC273" s="872"/>
      <c r="DD273" s="872"/>
      <c r="DE273" s="872"/>
      <c r="DF273" s="872"/>
      <c r="DG273" s="872"/>
      <c r="DH273" s="872"/>
      <c r="DI273" s="872"/>
      <c r="DJ273" s="872"/>
      <c r="DK273" s="872"/>
      <c r="DL273" s="873"/>
      <c r="DM273" s="872"/>
      <c r="DN273" s="872"/>
      <c r="DO273" s="872"/>
      <c r="DP273" s="872"/>
      <c r="DQ273" s="872"/>
      <c r="DR273" s="872"/>
      <c r="DS273" s="872"/>
      <c r="DT273" s="872"/>
      <c r="DU273" s="872"/>
      <c r="DV273" s="872"/>
      <c r="DW273" s="872"/>
      <c r="DX273" s="873"/>
      <c r="DY273" s="872"/>
      <c r="DZ273" s="872"/>
      <c r="EA273" s="872"/>
      <c r="EB273" s="872"/>
      <c r="EC273" s="872"/>
      <c r="ED273" s="872"/>
      <c r="EE273" s="872"/>
      <c r="EF273" s="872"/>
      <c r="EG273" s="872"/>
      <c r="EH273" s="872"/>
      <c r="EI273" s="872"/>
      <c r="EJ273" s="873"/>
      <c r="EK273" s="872"/>
      <c r="EL273" s="872"/>
      <c r="EM273" s="872"/>
      <c r="EN273" s="872"/>
      <c r="EO273" s="872"/>
      <c r="EP273" s="872"/>
      <c r="EQ273" s="872"/>
      <c r="ER273" s="872"/>
      <c r="ES273" s="872"/>
      <c r="ET273" s="872"/>
      <c r="EU273" s="872"/>
      <c r="EV273" s="873"/>
      <c r="EW273" s="872"/>
      <c r="EX273" s="760"/>
      <c r="EZ273" s="872"/>
    </row>
    <row r="274" spans="1:157">
      <c r="A274" s="745"/>
      <c r="B274" s="745"/>
      <c r="C274" s="745"/>
      <c r="D274" s="766" t="s">
        <v>18</v>
      </c>
      <c r="E274" s="766" t="str">
        <f>Variables!$A$44</f>
        <v xml:space="preserve">Other </v>
      </c>
      <c r="F274" s="766" t="s">
        <v>20</v>
      </c>
      <c r="G274" s="745"/>
      <c r="H274" s="767">
        <f t="shared" ref="H274:AM274" si="112">SUMIFS(H$5:H$254,$E$5:$E$254,$E274,$F$5:$F$254,$F274)</f>
        <v>0</v>
      </c>
      <c r="I274" s="768">
        <f t="shared" si="112"/>
        <v>0</v>
      </c>
      <c r="J274" s="768">
        <f t="shared" si="112"/>
        <v>0</v>
      </c>
      <c r="K274" s="768">
        <f t="shared" si="112"/>
        <v>0</v>
      </c>
      <c r="L274" s="768">
        <f t="shared" si="112"/>
        <v>0</v>
      </c>
      <c r="M274" s="768">
        <f t="shared" si="112"/>
        <v>0</v>
      </c>
      <c r="N274" s="768">
        <f t="shared" si="112"/>
        <v>0</v>
      </c>
      <c r="O274" s="768">
        <f t="shared" si="112"/>
        <v>0</v>
      </c>
      <c r="P274" s="768">
        <f t="shared" si="112"/>
        <v>0</v>
      </c>
      <c r="Q274" s="768">
        <f t="shared" si="112"/>
        <v>0</v>
      </c>
      <c r="R274" s="768">
        <f t="shared" si="112"/>
        <v>0</v>
      </c>
      <c r="S274" s="769">
        <f t="shared" si="112"/>
        <v>0</v>
      </c>
      <c r="T274" s="770">
        <f t="shared" si="112"/>
        <v>0</v>
      </c>
      <c r="U274" s="768">
        <f t="shared" si="112"/>
        <v>0</v>
      </c>
      <c r="V274" s="768">
        <f t="shared" si="112"/>
        <v>0</v>
      </c>
      <c r="W274" s="768">
        <f t="shared" si="112"/>
        <v>0</v>
      </c>
      <c r="X274" s="768">
        <f t="shared" si="112"/>
        <v>0</v>
      </c>
      <c r="Y274" s="768">
        <f t="shared" si="112"/>
        <v>0</v>
      </c>
      <c r="Z274" s="768">
        <f t="shared" si="112"/>
        <v>0</v>
      </c>
      <c r="AA274" s="768">
        <f t="shared" si="112"/>
        <v>0</v>
      </c>
      <c r="AB274" s="768">
        <f t="shared" si="112"/>
        <v>0</v>
      </c>
      <c r="AC274" s="768">
        <f t="shared" si="112"/>
        <v>0</v>
      </c>
      <c r="AD274" s="768">
        <f t="shared" si="112"/>
        <v>0</v>
      </c>
      <c r="AE274" s="769">
        <f t="shared" si="112"/>
        <v>0</v>
      </c>
      <c r="AF274" s="770">
        <f t="shared" si="112"/>
        <v>0</v>
      </c>
      <c r="AG274" s="768">
        <f t="shared" si="112"/>
        <v>0</v>
      </c>
      <c r="AH274" s="768">
        <f t="shared" si="112"/>
        <v>0</v>
      </c>
      <c r="AI274" s="768">
        <f t="shared" si="112"/>
        <v>0</v>
      </c>
      <c r="AJ274" s="768">
        <f t="shared" si="112"/>
        <v>0</v>
      </c>
      <c r="AK274" s="768">
        <f t="shared" si="112"/>
        <v>0</v>
      </c>
      <c r="AL274" s="768">
        <f t="shared" si="112"/>
        <v>0</v>
      </c>
      <c r="AM274" s="768">
        <f t="shared" si="112"/>
        <v>0</v>
      </c>
      <c r="AN274" s="768">
        <f t="shared" ref="AN274:BS274" si="113">SUMIFS(AN$5:AN$254,$E$5:$E$254,$E274,$F$5:$F$254,$F274)</f>
        <v>0</v>
      </c>
      <c r="AO274" s="768">
        <f t="shared" si="113"/>
        <v>0</v>
      </c>
      <c r="AP274" s="768">
        <f t="shared" si="113"/>
        <v>0</v>
      </c>
      <c r="AQ274" s="769">
        <f t="shared" si="113"/>
        <v>0</v>
      </c>
      <c r="AR274" s="768">
        <f t="shared" si="113"/>
        <v>0</v>
      </c>
      <c r="AS274" s="768">
        <f t="shared" si="113"/>
        <v>0</v>
      </c>
      <c r="AT274" s="768">
        <f t="shared" si="113"/>
        <v>0</v>
      </c>
      <c r="AU274" s="768">
        <f t="shared" si="113"/>
        <v>0</v>
      </c>
      <c r="AV274" s="768">
        <f t="shared" si="113"/>
        <v>0</v>
      </c>
      <c r="AW274" s="768">
        <f t="shared" si="113"/>
        <v>0</v>
      </c>
      <c r="AX274" s="768">
        <f t="shared" si="113"/>
        <v>0</v>
      </c>
      <c r="AY274" s="768">
        <f t="shared" si="113"/>
        <v>0</v>
      </c>
      <c r="AZ274" s="768">
        <f t="shared" si="113"/>
        <v>0</v>
      </c>
      <c r="BA274" s="768">
        <f t="shared" si="113"/>
        <v>0</v>
      </c>
      <c r="BB274" s="768">
        <f t="shared" si="113"/>
        <v>0</v>
      </c>
      <c r="BC274" s="768">
        <f t="shared" si="113"/>
        <v>0</v>
      </c>
      <c r="BD274" s="770">
        <f t="shared" si="113"/>
        <v>0</v>
      </c>
      <c r="BE274" s="768">
        <f t="shared" si="113"/>
        <v>0</v>
      </c>
      <c r="BF274" s="768">
        <f t="shared" si="113"/>
        <v>0</v>
      </c>
      <c r="BG274" s="768">
        <f t="shared" si="113"/>
        <v>0</v>
      </c>
      <c r="BH274" s="768">
        <f t="shared" si="113"/>
        <v>0</v>
      </c>
      <c r="BI274" s="768">
        <f t="shared" si="113"/>
        <v>0</v>
      </c>
      <c r="BJ274" s="768">
        <f t="shared" si="113"/>
        <v>0</v>
      </c>
      <c r="BK274" s="768">
        <f t="shared" si="113"/>
        <v>0</v>
      </c>
      <c r="BL274" s="768">
        <f t="shared" si="113"/>
        <v>0</v>
      </c>
      <c r="BM274" s="768">
        <f t="shared" si="113"/>
        <v>0</v>
      </c>
      <c r="BN274" s="768">
        <f t="shared" si="113"/>
        <v>0</v>
      </c>
      <c r="BO274" s="769">
        <f t="shared" si="113"/>
        <v>0</v>
      </c>
      <c r="BP274" s="768">
        <f t="shared" si="113"/>
        <v>0</v>
      </c>
      <c r="BQ274" s="768">
        <f t="shared" si="113"/>
        <v>0</v>
      </c>
      <c r="BR274" s="768">
        <f t="shared" si="113"/>
        <v>0</v>
      </c>
      <c r="BS274" s="768">
        <f t="shared" si="113"/>
        <v>0</v>
      </c>
      <c r="BT274" s="768">
        <f t="shared" ref="BT274:CA274" si="114">SUMIFS(BT$5:BT$254,$E$5:$E$254,$E274,$F$5:$F$254,$F274)</f>
        <v>0</v>
      </c>
      <c r="BU274" s="768">
        <f t="shared" si="114"/>
        <v>0</v>
      </c>
      <c r="BV274" s="768">
        <f t="shared" si="114"/>
        <v>0</v>
      </c>
      <c r="BW274" s="768">
        <f t="shared" si="114"/>
        <v>0</v>
      </c>
      <c r="BX274" s="768">
        <f t="shared" si="114"/>
        <v>0</v>
      </c>
      <c r="BY274" s="768">
        <f t="shared" si="114"/>
        <v>0</v>
      </c>
      <c r="BZ274" s="768">
        <f t="shared" si="114"/>
        <v>0</v>
      </c>
      <c r="CA274" s="768">
        <f t="shared" si="114"/>
        <v>0</v>
      </c>
      <c r="CB274" s="747"/>
      <c r="CC274" s="872">
        <f t="shared" ref="CC274:DH274" si="115">SUMIFS(CC$5:CC$254,$E$5:$E$254,$E274,$F$5:$F$254,$F274)</f>
        <v>0</v>
      </c>
      <c r="CD274" s="872">
        <f t="shared" si="115"/>
        <v>0</v>
      </c>
      <c r="CE274" s="872">
        <f t="shared" si="115"/>
        <v>0</v>
      </c>
      <c r="CF274" s="872">
        <f t="shared" si="115"/>
        <v>0</v>
      </c>
      <c r="CG274" s="872">
        <f t="shared" si="115"/>
        <v>0</v>
      </c>
      <c r="CH274" s="872">
        <f t="shared" si="115"/>
        <v>0</v>
      </c>
      <c r="CI274" s="872">
        <f t="shared" si="115"/>
        <v>0</v>
      </c>
      <c r="CJ274" s="872">
        <f t="shared" si="115"/>
        <v>0</v>
      </c>
      <c r="CK274" s="872">
        <f t="shared" si="115"/>
        <v>0</v>
      </c>
      <c r="CL274" s="872">
        <f t="shared" si="115"/>
        <v>0</v>
      </c>
      <c r="CM274" s="872">
        <f t="shared" si="115"/>
        <v>0</v>
      </c>
      <c r="CN274" s="873">
        <f t="shared" si="115"/>
        <v>0</v>
      </c>
      <c r="CO274" s="872">
        <f t="shared" si="115"/>
        <v>0</v>
      </c>
      <c r="CP274" s="872">
        <f t="shared" si="115"/>
        <v>0</v>
      </c>
      <c r="CQ274" s="872">
        <f t="shared" si="115"/>
        <v>0</v>
      </c>
      <c r="CR274" s="872">
        <f t="shared" si="115"/>
        <v>0</v>
      </c>
      <c r="CS274" s="872">
        <f t="shared" si="115"/>
        <v>0</v>
      </c>
      <c r="CT274" s="872">
        <f t="shared" si="115"/>
        <v>0</v>
      </c>
      <c r="CU274" s="872">
        <f t="shared" si="115"/>
        <v>0</v>
      </c>
      <c r="CV274" s="872">
        <f t="shared" si="115"/>
        <v>0</v>
      </c>
      <c r="CW274" s="872">
        <f t="shared" si="115"/>
        <v>0</v>
      </c>
      <c r="CX274" s="872">
        <f t="shared" si="115"/>
        <v>0</v>
      </c>
      <c r="CY274" s="872">
        <f t="shared" si="115"/>
        <v>0</v>
      </c>
      <c r="CZ274" s="873">
        <f t="shared" si="115"/>
        <v>0</v>
      </c>
      <c r="DA274" s="872">
        <f t="shared" si="115"/>
        <v>0</v>
      </c>
      <c r="DB274" s="872">
        <f t="shared" si="115"/>
        <v>0</v>
      </c>
      <c r="DC274" s="872">
        <f t="shared" si="115"/>
        <v>0</v>
      </c>
      <c r="DD274" s="872">
        <f t="shared" si="115"/>
        <v>0</v>
      </c>
      <c r="DE274" s="872">
        <f t="shared" si="115"/>
        <v>0</v>
      </c>
      <c r="DF274" s="872">
        <f t="shared" si="115"/>
        <v>0</v>
      </c>
      <c r="DG274" s="872">
        <f t="shared" si="115"/>
        <v>0</v>
      </c>
      <c r="DH274" s="872">
        <f t="shared" si="115"/>
        <v>0</v>
      </c>
      <c r="DI274" s="872">
        <f t="shared" ref="DI274:EN274" si="116">SUMIFS(DI$5:DI$254,$E$5:$E$254,$E274,$F$5:$F$254,$F274)</f>
        <v>0</v>
      </c>
      <c r="DJ274" s="872">
        <f t="shared" si="116"/>
        <v>0</v>
      </c>
      <c r="DK274" s="872">
        <f t="shared" si="116"/>
        <v>0</v>
      </c>
      <c r="DL274" s="873">
        <f t="shared" si="116"/>
        <v>0</v>
      </c>
      <c r="DM274" s="872">
        <f t="shared" si="116"/>
        <v>0</v>
      </c>
      <c r="DN274" s="872">
        <f t="shared" si="116"/>
        <v>0</v>
      </c>
      <c r="DO274" s="872">
        <f t="shared" si="116"/>
        <v>0</v>
      </c>
      <c r="DP274" s="872">
        <f t="shared" si="116"/>
        <v>0</v>
      </c>
      <c r="DQ274" s="872">
        <f t="shared" si="116"/>
        <v>0</v>
      </c>
      <c r="DR274" s="872">
        <f t="shared" si="116"/>
        <v>0</v>
      </c>
      <c r="DS274" s="872">
        <f t="shared" si="116"/>
        <v>0</v>
      </c>
      <c r="DT274" s="872">
        <f t="shared" si="116"/>
        <v>0</v>
      </c>
      <c r="DU274" s="872">
        <f t="shared" si="116"/>
        <v>0</v>
      </c>
      <c r="DV274" s="872">
        <f t="shared" si="116"/>
        <v>0</v>
      </c>
      <c r="DW274" s="872">
        <f t="shared" si="116"/>
        <v>0</v>
      </c>
      <c r="DX274" s="873">
        <f t="shared" si="116"/>
        <v>0</v>
      </c>
      <c r="DY274" s="872">
        <f t="shared" si="116"/>
        <v>0</v>
      </c>
      <c r="DZ274" s="872">
        <f t="shared" si="116"/>
        <v>0</v>
      </c>
      <c r="EA274" s="872">
        <f t="shared" si="116"/>
        <v>0</v>
      </c>
      <c r="EB274" s="872">
        <f t="shared" si="116"/>
        <v>0</v>
      </c>
      <c r="EC274" s="872">
        <f t="shared" si="116"/>
        <v>0</v>
      </c>
      <c r="ED274" s="872">
        <f t="shared" si="116"/>
        <v>0</v>
      </c>
      <c r="EE274" s="872">
        <f t="shared" si="116"/>
        <v>0</v>
      </c>
      <c r="EF274" s="872">
        <f t="shared" si="116"/>
        <v>0</v>
      </c>
      <c r="EG274" s="872">
        <f t="shared" si="116"/>
        <v>0</v>
      </c>
      <c r="EH274" s="872">
        <f t="shared" si="116"/>
        <v>0</v>
      </c>
      <c r="EI274" s="872">
        <f t="shared" si="116"/>
        <v>0</v>
      </c>
      <c r="EJ274" s="873">
        <f t="shared" si="116"/>
        <v>0</v>
      </c>
      <c r="EK274" s="872">
        <f t="shared" si="116"/>
        <v>0</v>
      </c>
      <c r="EL274" s="872">
        <f t="shared" si="116"/>
        <v>0</v>
      </c>
      <c r="EM274" s="872">
        <f t="shared" si="116"/>
        <v>0</v>
      </c>
      <c r="EN274" s="872">
        <f t="shared" si="116"/>
        <v>0</v>
      </c>
      <c r="EO274" s="872">
        <f t="shared" ref="EO274:EV274" si="117">SUMIFS(EO$5:EO$254,$E$5:$E$254,$E274,$F$5:$F$254,$F274)</f>
        <v>0</v>
      </c>
      <c r="EP274" s="872">
        <f t="shared" si="117"/>
        <v>0</v>
      </c>
      <c r="EQ274" s="872">
        <f t="shared" si="117"/>
        <v>0</v>
      </c>
      <c r="ER274" s="872">
        <f t="shared" si="117"/>
        <v>0</v>
      </c>
      <c r="ES274" s="872">
        <f t="shared" si="117"/>
        <v>0</v>
      </c>
      <c r="ET274" s="872">
        <f t="shared" si="117"/>
        <v>0</v>
      </c>
      <c r="EU274" s="872">
        <f t="shared" si="117"/>
        <v>0</v>
      </c>
      <c r="EV274" s="872">
        <f t="shared" si="117"/>
        <v>0</v>
      </c>
      <c r="EW274" s="877">
        <f t="shared" si="48"/>
        <v>0</v>
      </c>
      <c r="EX274" s="881">
        <f t="shared" ref="EX274:EX290" si="118">EW274-EZ274</f>
        <v>0</v>
      </c>
      <c r="EY274" s="1536">
        <f>IF((SUM('Monthly Summary'!$C$13:BV$13,'Monthly Summary'!$C$46:BV$46)-'Monthly Summary'!BW$13-'Monthly Summary'!BW$46)=0,0,(EX274+EX275)/(SUM('Monthly Summary'!$C$13:BV$13,'Monthly Summary'!$C$46:BV$46)-'Monthly Summary'!BW$13-'Monthly Summary'!BW$46))</f>
        <v>0</v>
      </c>
      <c r="EZ274" s="874">
        <f>SUMIF('Monthly Summary'!$C$75:BV$75,"",'Resource Costs'!$CC274:EV274)</f>
        <v>0</v>
      </c>
      <c r="FA274" s="1538" t="s">
        <v>247</v>
      </c>
    </row>
    <row r="275" spans="1:157">
      <c r="A275" s="745"/>
      <c r="B275" s="745"/>
      <c r="C275" s="745"/>
      <c r="D275" s="766" t="s">
        <v>18</v>
      </c>
      <c r="E275" s="766" t="str">
        <f>Variables!$A$44</f>
        <v xml:space="preserve">Other </v>
      </c>
      <c r="F275" s="766" t="s">
        <v>21</v>
      </c>
      <c r="G275" s="745"/>
      <c r="H275" s="767">
        <f t="shared" ref="H275:X275" si="119">SUMIFS(H$5:H$254,$E$5:$E$254,$E275,$F$5:$F$254,$F275)</f>
        <v>0</v>
      </c>
      <c r="I275" s="768">
        <f t="shared" si="119"/>
        <v>0</v>
      </c>
      <c r="J275" s="768">
        <f>SUMIFS(J$5:J$254,$E$5:$E$254,$E275,$F$5:$F$254,$F275)</f>
        <v>0</v>
      </c>
      <c r="K275" s="768">
        <f t="shared" si="119"/>
        <v>0</v>
      </c>
      <c r="L275" s="768">
        <f t="shared" si="119"/>
        <v>0</v>
      </c>
      <c r="M275" s="768">
        <f t="shared" si="119"/>
        <v>0</v>
      </c>
      <c r="N275" s="768">
        <f t="shared" si="119"/>
        <v>0</v>
      </c>
      <c r="O275" s="768">
        <f t="shared" si="119"/>
        <v>0</v>
      </c>
      <c r="P275" s="768">
        <f t="shared" si="119"/>
        <v>0</v>
      </c>
      <c r="Q275" s="768">
        <f t="shared" si="119"/>
        <v>0</v>
      </c>
      <c r="R275" s="768">
        <f t="shared" si="119"/>
        <v>0</v>
      </c>
      <c r="S275" s="769">
        <f t="shared" si="119"/>
        <v>0</v>
      </c>
      <c r="T275" s="770">
        <f t="shared" si="119"/>
        <v>0</v>
      </c>
      <c r="U275" s="768">
        <f t="shared" si="119"/>
        <v>0</v>
      </c>
      <c r="V275" s="768">
        <f t="shared" si="119"/>
        <v>0</v>
      </c>
      <c r="W275" s="768">
        <f t="shared" si="119"/>
        <v>0</v>
      </c>
      <c r="X275" s="768">
        <f t="shared" si="119"/>
        <v>0</v>
      </c>
      <c r="Y275" s="768">
        <f t="shared" ref="Y275:BD275" si="120">SUMIFS(Y$5:Y$254,$E$5:$E$254,$E275,$F$5:$F$254,$F275)</f>
        <v>0</v>
      </c>
      <c r="Z275" s="768">
        <f t="shared" si="120"/>
        <v>0</v>
      </c>
      <c r="AA275" s="768">
        <f t="shared" si="120"/>
        <v>0</v>
      </c>
      <c r="AB275" s="768">
        <f t="shared" si="120"/>
        <v>0</v>
      </c>
      <c r="AC275" s="768">
        <f t="shared" si="120"/>
        <v>0</v>
      </c>
      <c r="AD275" s="768">
        <f t="shared" si="120"/>
        <v>0</v>
      </c>
      <c r="AE275" s="769">
        <f t="shared" si="120"/>
        <v>0</v>
      </c>
      <c r="AF275" s="770">
        <f t="shared" si="120"/>
        <v>0</v>
      </c>
      <c r="AG275" s="768">
        <f t="shared" si="120"/>
        <v>0</v>
      </c>
      <c r="AH275" s="768">
        <f t="shared" si="120"/>
        <v>0</v>
      </c>
      <c r="AI275" s="768">
        <f t="shared" si="120"/>
        <v>0</v>
      </c>
      <c r="AJ275" s="768">
        <f t="shared" si="120"/>
        <v>0</v>
      </c>
      <c r="AK275" s="768">
        <f t="shared" si="120"/>
        <v>0</v>
      </c>
      <c r="AL275" s="768">
        <f t="shared" si="120"/>
        <v>0</v>
      </c>
      <c r="AM275" s="768">
        <f t="shared" si="120"/>
        <v>0</v>
      </c>
      <c r="AN275" s="768">
        <f t="shared" si="120"/>
        <v>0</v>
      </c>
      <c r="AO275" s="768">
        <f t="shared" si="120"/>
        <v>0</v>
      </c>
      <c r="AP275" s="768">
        <f t="shared" si="120"/>
        <v>0</v>
      </c>
      <c r="AQ275" s="769">
        <f t="shared" si="120"/>
        <v>0</v>
      </c>
      <c r="AR275" s="768">
        <f t="shared" si="120"/>
        <v>0</v>
      </c>
      <c r="AS275" s="768">
        <f t="shared" si="120"/>
        <v>0</v>
      </c>
      <c r="AT275" s="768">
        <f t="shared" si="120"/>
        <v>0</v>
      </c>
      <c r="AU275" s="768">
        <f t="shared" si="120"/>
        <v>0</v>
      </c>
      <c r="AV275" s="768">
        <f t="shared" si="120"/>
        <v>0</v>
      </c>
      <c r="AW275" s="768">
        <f t="shared" si="120"/>
        <v>0</v>
      </c>
      <c r="AX275" s="768">
        <f t="shared" si="120"/>
        <v>0</v>
      </c>
      <c r="AY275" s="768">
        <f t="shared" si="120"/>
        <v>0</v>
      </c>
      <c r="AZ275" s="768">
        <f t="shared" si="120"/>
        <v>0</v>
      </c>
      <c r="BA275" s="768">
        <f t="shared" si="120"/>
        <v>0</v>
      </c>
      <c r="BB275" s="768">
        <f t="shared" si="120"/>
        <v>0</v>
      </c>
      <c r="BC275" s="768">
        <f t="shared" si="120"/>
        <v>0</v>
      </c>
      <c r="BD275" s="770">
        <f t="shared" si="120"/>
        <v>0</v>
      </c>
      <c r="BE275" s="768">
        <f t="shared" ref="BE275:CA275" si="121">SUMIFS(BE$5:BE$254,$E$5:$E$254,$E275,$F$5:$F$254,$F275)</f>
        <v>0</v>
      </c>
      <c r="BF275" s="768">
        <f t="shared" si="121"/>
        <v>0</v>
      </c>
      <c r="BG275" s="768">
        <f t="shared" si="121"/>
        <v>0</v>
      </c>
      <c r="BH275" s="768">
        <f t="shared" si="121"/>
        <v>0</v>
      </c>
      <c r="BI275" s="768">
        <f t="shared" si="121"/>
        <v>0</v>
      </c>
      <c r="BJ275" s="768">
        <f t="shared" si="121"/>
        <v>0</v>
      </c>
      <c r="BK275" s="768">
        <f t="shared" si="121"/>
        <v>0</v>
      </c>
      <c r="BL275" s="768">
        <f t="shared" si="121"/>
        <v>0</v>
      </c>
      <c r="BM275" s="768">
        <f t="shared" si="121"/>
        <v>0</v>
      </c>
      <c r="BN275" s="768">
        <f t="shared" si="121"/>
        <v>0</v>
      </c>
      <c r="BO275" s="769">
        <f t="shared" si="121"/>
        <v>0</v>
      </c>
      <c r="BP275" s="768">
        <f t="shared" si="121"/>
        <v>0</v>
      </c>
      <c r="BQ275" s="768">
        <f t="shared" si="121"/>
        <v>0</v>
      </c>
      <c r="BR275" s="768">
        <f t="shared" si="121"/>
        <v>0</v>
      </c>
      <c r="BS275" s="768">
        <f t="shared" si="121"/>
        <v>0</v>
      </c>
      <c r="BT275" s="768">
        <f t="shared" si="121"/>
        <v>0</v>
      </c>
      <c r="BU275" s="768">
        <f t="shared" si="121"/>
        <v>0</v>
      </c>
      <c r="BV275" s="768">
        <f t="shared" si="121"/>
        <v>0</v>
      </c>
      <c r="BW275" s="768">
        <f t="shared" si="121"/>
        <v>0</v>
      </c>
      <c r="BX275" s="768">
        <f t="shared" si="121"/>
        <v>0</v>
      </c>
      <c r="BY275" s="768">
        <f t="shared" si="121"/>
        <v>0</v>
      </c>
      <c r="BZ275" s="768">
        <f t="shared" si="121"/>
        <v>0</v>
      </c>
      <c r="CA275" s="768">
        <f t="shared" si="121"/>
        <v>0</v>
      </c>
      <c r="CB275" s="747"/>
      <c r="CC275" s="872">
        <f t="shared" ref="CC275:CS275" si="122">SUMIFS(CC$5:CC$254,$E$5:$E$254,$E275,$F$5:$F$254,$F275)</f>
        <v>0</v>
      </c>
      <c r="CD275" s="872">
        <f t="shared" si="122"/>
        <v>0</v>
      </c>
      <c r="CE275" s="872">
        <f>SUMIFS(CE$5:CE$254,$E$5:$E$254,$E275,$F$5:$F$254,$F275)</f>
        <v>0</v>
      </c>
      <c r="CF275" s="872">
        <f t="shared" si="122"/>
        <v>0</v>
      </c>
      <c r="CG275" s="872">
        <f t="shared" si="122"/>
        <v>0</v>
      </c>
      <c r="CH275" s="872">
        <f t="shared" si="122"/>
        <v>0</v>
      </c>
      <c r="CI275" s="872">
        <f t="shared" si="122"/>
        <v>0</v>
      </c>
      <c r="CJ275" s="872">
        <f t="shared" si="122"/>
        <v>0</v>
      </c>
      <c r="CK275" s="872">
        <f t="shared" si="122"/>
        <v>0</v>
      </c>
      <c r="CL275" s="872">
        <f t="shared" si="122"/>
        <v>0</v>
      </c>
      <c r="CM275" s="872">
        <f t="shared" si="122"/>
        <v>0</v>
      </c>
      <c r="CN275" s="873">
        <f t="shared" si="122"/>
        <v>0</v>
      </c>
      <c r="CO275" s="872">
        <f t="shared" si="122"/>
        <v>0</v>
      </c>
      <c r="CP275" s="872">
        <f t="shared" si="122"/>
        <v>0</v>
      </c>
      <c r="CQ275" s="872">
        <f t="shared" si="122"/>
        <v>0</v>
      </c>
      <c r="CR275" s="872">
        <f t="shared" si="122"/>
        <v>0</v>
      </c>
      <c r="CS275" s="872">
        <f t="shared" si="122"/>
        <v>0</v>
      </c>
      <c r="CT275" s="872">
        <f t="shared" ref="CT275:DY275" si="123">SUMIFS(CT$5:CT$254,$E$5:$E$254,$E275,$F$5:$F$254,$F275)</f>
        <v>0</v>
      </c>
      <c r="CU275" s="872">
        <f t="shared" si="123"/>
        <v>0</v>
      </c>
      <c r="CV275" s="872">
        <f t="shared" si="123"/>
        <v>0</v>
      </c>
      <c r="CW275" s="872">
        <f t="shared" si="123"/>
        <v>0</v>
      </c>
      <c r="CX275" s="872">
        <f t="shared" si="123"/>
        <v>0</v>
      </c>
      <c r="CY275" s="872">
        <f t="shared" si="123"/>
        <v>0</v>
      </c>
      <c r="CZ275" s="873">
        <f t="shared" si="123"/>
        <v>0</v>
      </c>
      <c r="DA275" s="872">
        <f t="shared" si="123"/>
        <v>0</v>
      </c>
      <c r="DB275" s="872">
        <f t="shared" si="123"/>
        <v>0</v>
      </c>
      <c r="DC275" s="872">
        <f t="shared" si="123"/>
        <v>0</v>
      </c>
      <c r="DD275" s="872">
        <f t="shared" si="123"/>
        <v>0</v>
      </c>
      <c r="DE275" s="872">
        <f t="shared" si="123"/>
        <v>0</v>
      </c>
      <c r="DF275" s="872">
        <f t="shared" si="123"/>
        <v>0</v>
      </c>
      <c r="DG275" s="872">
        <f t="shared" si="123"/>
        <v>0</v>
      </c>
      <c r="DH275" s="872">
        <f t="shared" si="123"/>
        <v>0</v>
      </c>
      <c r="DI275" s="872">
        <f t="shared" si="123"/>
        <v>0</v>
      </c>
      <c r="DJ275" s="872">
        <f t="shared" si="123"/>
        <v>0</v>
      </c>
      <c r="DK275" s="872">
        <f t="shared" si="123"/>
        <v>0</v>
      </c>
      <c r="DL275" s="873">
        <f t="shared" si="123"/>
        <v>0</v>
      </c>
      <c r="DM275" s="872">
        <f t="shared" si="123"/>
        <v>0</v>
      </c>
      <c r="DN275" s="872">
        <f t="shared" si="123"/>
        <v>0</v>
      </c>
      <c r="DO275" s="872">
        <f t="shared" si="123"/>
        <v>0</v>
      </c>
      <c r="DP275" s="872">
        <f t="shared" si="123"/>
        <v>0</v>
      </c>
      <c r="DQ275" s="872">
        <f t="shared" si="123"/>
        <v>0</v>
      </c>
      <c r="DR275" s="872">
        <f t="shared" si="123"/>
        <v>0</v>
      </c>
      <c r="DS275" s="872">
        <f t="shared" si="123"/>
        <v>0</v>
      </c>
      <c r="DT275" s="872">
        <f t="shared" si="123"/>
        <v>0</v>
      </c>
      <c r="DU275" s="872">
        <f t="shared" si="123"/>
        <v>0</v>
      </c>
      <c r="DV275" s="872">
        <f t="shared" si="123"/>
        <v>0</v>
      </c>
      <c r="DW275" s="872">
        <f t="shared" si="123"/>
        <v>0</v>
      </c>
      <c r="DX275" s="873">
        <f t="shared" si="123"/>
        <v>0</v>
      </c>
      <c r="DY275" s="872">
        <f t="shared" si="123"/>
        <v>0</v>
      </c>
      <c r="DZ275" s="872">
        <f t="shared" ref="DZ275:EV275" si="124">SUMIFS(DZ$5:DZ$254,$E$5:$E$254,$E275,$F$5:$F$254,$F275)</f>
        <v>0</v>
      </c>
      <c r="EA275" s="872">
        <f t="shared" si="124"/>
        <v>0</v>
      </c>
      <c r="EB275" s="872">
        <f t="shared" si="124"/>
        <v>0</v>
      </c>
      <c r="EC275" s="872">
        <f t="shared" si="124"/>
        <v>0</v>
      </c>
      <c r="ED275" s="872">
        <f t="shared" si="124"/>
        <v>0</v>
      </c>
      <c r="EE275" s="872">
        <f t="shared" si="124"/>
        <v>0</v>
      </c>
      <c r="EF275" s="872">
        <f t="shared" si="124"/>
        <v>0</v>
      </c>
      <c r="EG275" s="872">
        <f t="shared" si="124"/>
        <v>0</v>
      </c>
      <c r="EH275" s="872">
        <f t="shared" si="124"/>
        <v>0</v>
      </c>
      <c r="EI275" s="872">
        <f t="shared" si="124"/>
        <v>0</v>
      </c>
      <c r="EJ275" s="873">
        <f t="shared" si="124"/>
        <v>0</v>
      </c>
      <c r="EK275" s="872">
        <f t="shared" si="124"/>
        <v>0</v>
      </c>
      <c r="EL275" s="872">
        <f t="shared" si="124"/>
        <v>0</v>
      </c>
      <c r="EM275" s="872">
        <f t="shared" si="124"/>
        <v>0</v>
      </c>
      <c r="EN275" s="872">
        <f t="shared" si="124"/>
        <v>0</v>
      </c>
      <c r="EO275" s="872">
        <f t="shared" si="124"/>
        <v>0</v>
      </c>
      <c r="EP275" s="872">
        <f t="shared" si="124"/>
        <v>0</v>
      </c>
      <c r="EQ275" s="872">
        <f t="shared" si="124"/>
        <v>0</v>
      </c>
      <c r="ER275" s="872">
        <f t="shared" si="124"/>
        <v>0</v>
      </c>
      <c r="ES275" s="872">
        <f t="shared" si="124"/>
        <v>0</v>
      </c>
      <c r="ET275" s="872">
        <f t="shared" si="124"/>
        <v>0</v>
      </c>
      <c r="EU275" s="872">
        <f t="shared" si="124"/>
        <v>0</v>
      </c>
      <c r="EV275" s="872">
        <f t="shared" si="124"/>
        <v>0</v>
      </c>
      <c r="EW275" s="878">
        <f t="shared" si="48"/>
        <v>0</v>
      </c>
      <c r="EX275" s="872">
        <f t="shared" si="118"/>
        <v>0</v>
      </c>
      <c r="EY275" s="1537"/>
      <c r="EZ275" s="875">
        <f>SUMIF('Monthly Summary'!$C$74:BV$74,"",'Resource Costs'!$CC275:EV275)</f>
        <v>0</v>
      </c>
      <c r="FA275" s="1539"/>
    </row>
    <row r="276" spans="1:157">
      <c r="A276" s="745"/>
      <c r="B276" s="745"/>
      <c r="C276" s="745"/>
      <c r="D276" s="745"/>
      <c r="E276" s="772"/>
      <c r="F276" s="746"/>
      <c r="G276" s="745"/>
      <c r="H276" s="773"/>
      <c r="I276" s="745"/>
      <c r="J276" s="745"/>
      <c r="K276" s="745"/>
      <c r="L276" s="745"/>
      <c r="M276" s="745"/>
      <c r="N276" s="745"/>
      <c r="O276" s="745"/>
      <c r="P276" s="745"/>
      <c r="Q276" s="745"/>
      <c r="R276" s="745"/>
      <c r="S276" s="774"/>
      <c r="T276" s="773"/>
      <c r="U276" s="745"/>
      <c r="V276" s="745"/>
      <c r="W276" s="745"/>
      <c r="X276" s="745"/>
      <c r="Y276" s="745"/>
      <c r="Z276" s="745"/>
      <c r="AA276" s="745"/>
      <c r="AB276" s="745"/>
      <c r="AC276" s="745"/>
      <c r="AD276" s="745"/>
      <c r="AE276" s="774"/>
      <c r="AF276" s="773"/>
      <c r="AG276" s="745"/>
      <c r="AH276" s="745"/>
      <c r="AI276" s="745"/>
      <c r="AJ276" s="745"/>
      <c r="AK276" s="745"/>
      <c r="AL276" s="745"/>
      <c r="AM276" s="745"/>
      <c r="AN276" s="745"/>
      <c r="AO276" s="745"/>
      <c r="AP276" s="745"/>
      <c r="AQ276" s="774"/>
      <c r="AR276" s="745"/>
      <c r="AS276" s="745"/>
      <c r="AT276" s="745"/>
      <c r="AU276" s="745"/>
      <c r="AV276" s="745"/>
      <c r="AW276" s="745"/>
      <c r="AX276" s="745"/>
      <c r="AY276" s="745"/>
      <c r="AZ276" s="745"/>
      <c r="BA276" s="745"/>
      <c r="BB276" s="745"/>
      <c r="BC276" s="745"/>
      <c r="BD276" s="773"/>
      <c r="BE276" s="745"/>
      <c r="BF276" s="745"/>
      <c r="BG276" s="745"/>
      <c r="BH276" s="745"/>
      <c r="BI276" s="745"/>
      <c r="BJ276" s="745"/>
      <c r="BK276" s="745"/>
      <c r="BL276" s="745"/>
      <c r="BM276" s="745"/>
      <c r="BN276" s="745"/>
      <c r="BO276" s="774"/>
      <c r="BP276" s="745"/>
      <c r="BQ276" s="745"/>
      <c r="BR276" s="745"/>
      <c r="BS276" s="745"/>
      <c r="BT276" s="745"/>
      <c r="BU276" s="745"/>
      <c r="BV276" s="745"/>
      <c r="BW276" s="745"/>
      <c r="BX276" s="745"/>
      <c r="BY276" s="745"/>
      <c r="BZ276" s="745"/>
      <c r="CA276" s="745"/>
      <c r="CB276" s="747"/>
      <c r="CC276" s="872"/>
      <c r="CD276" s="872"/>
      <c r="CE276" s="872"/>
      <c r="CF276" s="872"/>
      <c r="CG276" s="872"/>
      <c r="CH276" s="872"/>
      <c r="CI276" s="872"/>
      <c r="CJ276" s="872"/>
      <c r="CK276" s="872"/>
      <c r="CL276" s="872"/>
      <c r="CM276" s="872"/>
      <c r="CN276" s="873"/>
      <c r="CO276" s="872"/>
      <c r="CP276" s="872"/>
      <c r="CQ276" s="872"/>
      <c r="CR276" s="872"/>
      <c r="CS276" s="872"/>
      <c r="CT276" s="872"/>
      <c r="CU276" s="872"/>
      <c r="CV276" s="872"/>
      <c r="CW276" s="872"/>
      <c r="CX276" s="872"/>
      <c r="CY276" s="872"/>
      <c r="CZ276" s="873"/>
      <c r="DA276" s="872"/>
      <c r="DB276" s="872"/>
      <c r="DC276" s="872"/>
      <c r="DD276" s="872"/>
      <c r="DE276" s="872"/>
      <c r="DF276" s="872"/>
      <c r="DG276" s="872"/>
      <c r="DH276" s="872"/>
      <c r="DI276" s="872"/>
      <c r="DJ276" s="872"/>
      <c r="DK276" s="872"/>
      <c r="DL276" s="873"/>
      <c r="DM276" s="872"/>
      <c r="DN276" s="872"/>
      <c r="DO276" s="872"/>
      <c r="DP276" s="872"/>
      <c r="DQ276" s="872"/>
      <c r="DR276" s="872"/>
      <c r="DS276" s="872"/>
      <c r="DT276" s="872"/>
      <c r="DU276" s="872"/>
      <c r="DV276" s="872"/>
      <c r="DW276" s="872"/>
      <c r="DX276" s="873"/>
      <c r="DY276" s="872"/>
      <c r="DZ276" s="872"/>
      <c r="EA276" s="872"/>
      <c r="EB276" s="872"/>
      <c r="EC276" s="872"/>
      <c r="ED276" s="872"/>
      <c r="EE276" s="872"/>
      <c r="EF276" s="872"/>
      <c r="EG276" s="872"/>
      <c r="EH276" s="872"/>
      <c r="EI276" s="872"/>
      <c r="EJ276" s="873"/>
      <c r="EK276" s="872"/>
      <c r="EL276" s="872"/>
      <c r="EM276" s="872"/>
      <c r="EN276" s="872"/>
      <c r="EO276" s="872"/>
      <c r="EP276" s="872"/>
      <c r="EQ276" s="872"/>
      <c r="ER276" s="872"/>
      <c r="ES276" s="872"/>
      <c r="ET276" s="872"/>
      <c r="EU276" s="872"/>
      <c r="EV276" s="872"/>
      <c r="EW276" s="878"/>
      <c r="EX276" s="872"/>
      <c r="EZ276" s="875"/>
      <c r="FA276" s="1539"/>
    </row>
    <row r="277" spans="1:157">
      <c r="A277" s="745"/>
      <c r="B277" s="745"/>
      <c r="C277" s="745"/>
      <c r="D277" s="766" t="s">
        <v>18</v>
      </c>
      <c r="E277" s="766" t="str">
        <f>Variables!$A$45</f>
        <v>Capgemini</v>
      </c>
      <c r="F277" s="766" t="s">
        <v>20</v>
      </c>
      <c r="G277" s="745"/>
      <c r="H277" s="767">
        <f t="shared" ref="H277:AM277" si="125">SUMIFS(H$5:H$254,$E$5:$E$254,$E277,$F$5:$F$254,$F277)</f>
        <v>0</v>
      </c>
      <c r="I277" s="768">
        <f t="shared" si="125"/>
        <v>0</v>
      </c>
      <c r="J277" s="768">
        <f t="shared" si="125"/>
        <v>0</v>
      </c>
      <c r="K277" s="768">
        <f t="shared" si="125"/>
        <v>0</v>
      </c>
      <c r="L277" s="768">
        <f t="shared" si="125"/>
        <v>0</v>
      </c>
      <c r="M277" s="768">
        <f t="shared" si="125"/>
        <v>0</v>
      </c>
      <c r="N277" s="768">
        <f t="shared" si="125"/>
        <v>0</v>
      </c>
      <c r="O277" s="768">
        <f t="shared" si="125"/>
        <v>0</v>
      </c>
      <c r="P277" s="768">
        <f t="shared" si="125"/>
        <v>0</v>
      </c>
      <c r="Q277" s="768">
        <f t="shared" si="125"/>
        <v>0</v>
      </c>
      <c r="R277" s="768">
        <f t="shared" si="125"/>
        <v>0</v>
      </c>
      <c r="S277" s="769">
        <f t="shared" si="125"/>
        <v>0</v>
      </c>
      <c r="T277" s="770">
        <f t="shared" si="125"/>
        <v>0</v>
      </c>
      <c r="U277" s="768">
        <f t="shared" si="125"/>
        <v>0</v>
      </c>
      <c r="V277" s="768">
        <f t="shared" si="125"/>
        <v>0</v>
      </c>
      <c r="W277" s="768">
        <f t="shared" si="125"/>
        <v>0</v>
      </c>
      <c r="X277" s="768">
        <f t="shared" si="125"/>
        <v>0</v>
      </c>
      <c r="Y277" s="768">
        <f t="shared" si="125"/>
        <v>0</v>
      </c>
      <c r="Z277" s="768">
        <f t="shared" si="125"/>
        <v>0</v>
      </c>
      <c r="AA277" s="768">
        <f t="shared" si="125"/>
        <v>0</v>
      </c>
      <c r="AB277" s="768">
        <f t="shared" si="125"/>
        <v>0</v>
      </c>
      <c r="AC277" s="768">
        <f t="shared" si="125"/>
        <v>0</v>
      </c>
      <c r="AD277" s="768">
        <f t="shared" si="125"/>
        <v>0</v>
      </c>
      <c r="AE277" s="769">
        <f t="shared" si="125"/>
        <v>0</v>
      </c>
      <c r="AF277" s="770">
        <f t="shared" si="125"/>
        <v>0</v>
      </c>
      <c r="AG277" s="768">
        <f t="shared" si="125"/>
        <v>0</v>
      </c>
      <c r="AH277" s="768">
        <f t="shared" si="125"/>
        <v>0</v>
      </c>
      <c r="AI277" s="768">
        <f t="shared" si="125"/>
        <v>0</v>
      </c>
      <c r="AJ277" s="768">
        <f t="shared" si="125"/>
        <v>0</v>
      </c>
      <c r="AK277" s="768">
        <f t="shared" si="125"/>
        <v>0</v>
      </c>
      <c r="AL277" s="768">
        <f t="shared" si="125"/>
        <v>0</v>
      </c>
      <c r="AM277" s="768">
        <f t="shared" si="125"/>
        <v>0</v>
      </c>
      <c r="AN277" s="768">
        <f t="shared" ref="AN277:BS277" si="126">SUMIFS(AN$5:AN$254,$E$5:$E$254,$E277,$F$5:$F$254,$F277)</f>
        <v>0</v>
      </c>
      <c r="AO277" s="768">
        <f t="shared" si="126"/>
        <v>0</v>
      </c>
      <c r="AP277" s="768">
        <f t="shared" si="126"/>
        <v>0</v>
      </c>
      <c r="AQ277" s="769">
        <f t="shared" si="126"/>
        <v>0</v>
      </c>
      <c r="AR277" s="768">
        <f t="shared" si="126"/>
        <v>0</v>
      </c>
      <c r="AS277" s="768">
        <f t="shared" si="126"/>
        <v>0</v>
      </c>
      <c r="AT277" s="768">
        <f t="shared" si="126"/>
        <v>0</v>
      </c>
      <c r="AU277" s="768">
        <f t="shared" si="126"/>
        <v>0</v>
      </c>
      <c r="AV277" s="768">
        <f t="shared" si="126"/>
        <v>0</v>
      </c>
      <c r="AW277" s="768">
        <f t="shared" si="126"/>
        <v>0</v>
      </c>
      <c r="AX277" s="768">
        <f t="shared" si="126"/>
        <v>0</v>
      </c>
      <c r="AY277" s="768">
        <f t="shared" si="126"/>
        <v>0</v>
      </c>
      <c r="AZ277" s="768">
        <f t="shared" si="126"/>
        <v>0</v>
      </c>
      <c r="BA277" s="768">
        <f t="shared" si="126"/>
        <v>0</v>
      </c>
      <c r="BB277" s="768">
        <f t="shared" si="126"/>
        <v>0</v>
      </c>
      <c r="BC277" s="768">
        <f t="shared" si="126"/>
        <v>0</v>
      </c>
      <c r="BD277" s="770">
        <f t="shared" si="126"/>
        <v>0</v>
      </c>
      <c r="BE277" s="768">
        <f t="shared" si="126"/>
        <v>0</v>
      </c>
      <c r="BF277" s="768">
        <f t="shared" si="126"/>
        <v>0</v>
      </c>
      <c r="BG277" s="768">
        <f t="shared" si="126"/>
        <v>0</v>
      </c>
      <c r="BH277" s="768">
        <f t="shared" si="126"/>
        <v>0</v>
      </c>
      <c r="BI277" s="768">
        <f t="shared" si="126"/>
        <v>0</v>
      </c>
      <c r="BJ277" s="768">
        <f t="shared" si="126"/>
        <v>0</v>
      </c>
      <c r="BK277" s="768">
        <f t="shared" si="126"/>
        <v>0</v>
      </c>
      <c r="BL277" s="768">
        <f t="shared" si="126"/>
        <v>0</v>
      </c>
      <c r="BM277" s="768">
        <f t="shared" si="126"/>
        <v>0</v>
      </c>
      <c r="BN277" s="768">
        <f t="shared" si="126"/>
        <v>0</v>
      </c>
      <c r="BO277" s="769">
        <f t="shared" si="126"/>
        <v>0</v>
      </c>
      <c r="BP277" s="768">
        <f t="shared" si="126"/>
        <v>0</v>
      </c>
      <c r="BQ277" s="768">
        <f t="shared" si="126"/>
        <v>0</v>
      </c>
      <c r="BR277" s="768">
        <f t="shared" si="126"/>
        <v>0</v>
      </c>
      <c r="BS277" s="768">
        <f t="shared" si="126"/>
        <v>0</v>
      </c>
      <c r="BT277" s="768">
        <f t="shared" ref="BT277:CA277" si="127">SUMIFS(BT$5:BT$254,$E$5:$E$254,$E277,$F$5:$F$254,$F277)</f>
        <v>0</v>
      </c>
      <c r="BU277" s="768">
        <f t="shared" si="127"/>
        <v>0</v>
      </c>
      <c r="BV277" s="768">
        <f t="shared" si="127"/>
        <v>0</v>
      </c>
      <c r="BW277" s="768">
        <f t="shared" si="127"/>
        <v>0</v>
      </c>
      <c r="BX277" s="768">
        <f t="shared" si="127"/>
        <v>0</v>
      </c>
      <c r="BY277" s="768">
        <f t="shared" si="127"/>
        <v>0</v>
      </c>
      <c r="BZ277" s="768">
        <f t="shared" si="127"/>
        <v>0</v>
      </c>
      <c r="CA277" s="768">
        <f t="shared" si="127"/>
        <v>0</v>
      </c>
      <c r="CB277" s="747"/>
      <c r="CC277" s="872">
        <f t="shared" ref="CC277:DH277" si="128">SUMIFS(CC$5:CC$254,$E$5:$E$254,$E277,$F$5:$F$254,$F277)</f>
        <v>0</v>
      </c>
      <c r="CD277" s="872">
        <f t="shared" si="128"/>
        <v>0</v>
      </c>
      <c r="CE277" s="872">
        <f t="shared" si="128"/>
        <v>0</v>
      </c>
      <c r="CF277" s="872">
        <f t="shared" si="128"/>
        <v>0</v>
      </c>
      <c r="CG277" s="872">
        <f t="shared" si="128"/>
        <v>0</v>
      </c>
      <c r="CH277" s="872">
        <f t="shared" si="128"/>
        <v>0</v>
      </c>
      <c r="CI277" s="872">
        <f t="shared" si="128"/>
        <v>0</v>
      </c>
      <c r="CJ277" s="872">
        <f t="shared" si="128"/>
        <v>0</v>
      </c>
      <c r="CK277" s="872">
        <f t="shared" si="128"/>
        <v>0</v>
      </c>
      <c r="CL277" s="872">
        <f t="shared" si="128"/>
        <v>0</v>
      </c>
      <c r="CM277" s="872">
        <f t="shared" si="128"/>
        <v>0</v>
      </c>
      <c r="CN277" s="873">
        <f t="shared" si="128"/>
        <v>0</v>
      </c>
      <c r="CO277" s="872">
        <f t="shared" si="128"/>
        <v>0</v>
      </c>
      <c r="CP277" s="872">
        <f t="shared" si="128"/>
        <v>0</v>
      </c>
      <c r="CQ277" s="872">
        <f t="shared" si="128"/>
        <v>0</v>
      </c>
      <c r="CR277" s="872">
        <f t="shared" si="128"/>
        <v>0</v>
      </c>
      <c r="CS277" s="872">
        <f t="shared" si="128"/>
        <v>0</v>
      </c>
      <c r="CT277" s="872">
        <f t="shared" si="128"/>
        <v>0</v>
      </c>
      <c r="CU277" s="872">
        <f t="shared" si="128"/>
        <v>0</v>
      </c>
      <c r="CV277" s="872">
        <f t="shared" si="128"/>
        <v>0</v>
      </c>
      <c r="CW277" s="872">
        <f t="shared" si="128"/>
        <v>0</v>
      </c>
      <c r="CX277" s="872">
        <f t="shared" si="128"/>
        <v>0</v>
      </c>
      <c r="CY277" s="872">
        <f t="shared" si="128"/>
        <v>0</v>
      </c>
      <c r="CZ277" s="873">
        <f t="shared" si="128"/>
        <v>0</v>
      </c>
      <c r="DA277" s="872">
        <f t="shared" si="128"/>
        <v>0</v>
      </c>
      <c r="DB277" s="872">
        <f t="shared" si="128"/>
        <v>0</v>
      </c>
      <c r="DC277" s="872">
        <f t="shared" si="128"/>
        <v>0</v>
      </c>
      <c r="DD277" s="872">
        <f t="shared" si="128"/>
        <v>0</v>
      </c>
      <c r="DE277" s="872">
        <f t="shared" si="128"/>
        <v>0</v>
      </c>
      <c r="DF277" s="872">
        <f t="shared" si="128"/>
        <v>0</v>
      </c>
      <c r="DG277" s="872">
        <f t="shared" si="128"/>
        <v>0</v>
      </c>
      <c r="DH277" s="872">
        <f t="shared" si="128"/>
        <v>0</v>
      </c>
      <c r="DI277" s="872">
        <f t="shared" ref="DI277:EN277" si="129">SUMIFS(DI$5:DI$254,$E$5:$E$254,$E277,$F$5:$F$254,$F277)</f>
        <v>0</v>
      </c>
      <c r="DJ277" s="872">
        <f t="shared" si="129"/>
        <v>0</v>
      </c>
      <c r="DK277" s="872">
        <f t="shared" si="129"/>
        <v>0</v>
      </c>
      <c r="DL277" s="873">
        <f t="shared" si="129"/>
        <v>0</v>
      </c>
      <c r="DM277" s="872">
        <f t="shared" si="129"/>
        <v>0</v>
      </c>
      <c r="DN277" s="872">
        <f t="shared" si="129"/>
        <v>0</v>
      </c>
      <c r="DO277" s="872">
        <f t="shared" si="129"/>
        <v>0</v>
      </c>
      <c r="DP277" s="872">
        <f t="shared" si="129"/>
        <v>0</v>
      </c>
      <c r="DQ277" s="872">
        <f t="shared" si="129"/>
        <v>0</v>
      </c>
      <c r="DR277" s="872">
        <f t="shared" si="129"/>
        <v>0</v>
      </c>
      <c r="DS277" s="872">
        <f t="shared" si="129"/>
        <v>0</v>
      </c>
      <c r="DT277" s="872">
        <f t="shared" si="129"/>
        <v>0</v>
      </c>
      <c r="DU277" s="872">
        <f t="shared" si="129"/>
        <v>0</v>
      </c>
      <c r="DV277" s="872">
        <f t="shared" si="129"/>
        <v>0</v>
      </c>
      <c r="DW277" s="872">
        <f t="shared" si="129"/>
        <v>0</v>
      </c>
      <c r="DX277" s="873">
        <f t="shared" si="129"/>
        <v>0</v>
      </c>
      <c r="DY277" s="872">
        <f t="shared" si="129"/>
        <v>0</v>
      </c>
      <c r="DZ277" s="872">
        <f t="shared" si="129"/>
        <v>0</v>
      </c>
      <c r="EA277" s="872">
        <f t="shared" si="129"/>
        <v>0</v>
      </c>
      <c r="EB277" s="872">
        <f t="shared" si="129"/>
        <v>0</v>
      </c>
      <c r="EC277" s="872">
        <f t="shared" si="129"/>
        <v>0</v>
      </c>
      <c r="ED277" s="872">
        <f t="shared" si="129"/>
        <v>0</v>
      </c>
      <c r="EE277" s="872">
        <f t="shared" si="129"/>
        <v>0</v>
      </c>
      <c r="EF277" s="872">
        <f t="shared" si="129"/>
        <v>0</v>
      </c>
      <c r="EG277" s="872">
        <f t="shared" si="129"/>
        <v>0</v>
      </c>
      <c r="EH277" s="872">
        <f t="shared" si="129"/>
        <v>0</v>
      </c>
      <c r="EI277" s="872">
        <f t="shared" si="129"/>
        <v>0</v>
      </c>
      <c r="EJ277" s="873">
        <f t="shared" si="129"/>
        <v>0</v>
      </c>
      <c r="EK277" s="872">
        <f t="shared" si="129"/>
        <v>0</v>
      </c>
      <c r="EL277" s="872">
        <f t="shared" si="129"/>
        <v>0</v>
      </c>
      <c r="EM277" s="872">
        <f t="shared" si="129"/>
        <v>0</v>
      </c>
      <c r="EN277" s="872">
        <f t="shared" si="129"/>
        <v>0</v>
      </c>
      <c r="EO277" s="872">
        <f t="shared" ref="EO277:EV277" si="130">SUMIFS(EO$5:EO$254,$E$5:$E$254,$E277,$F$5:$F$254,$F277)</f>
        <v>0</v>
      </c>
      <c r="EP277" s="872">
        <f t="shared" si="130"/>
        <v>0</v>
      </c>
      <c r="EQ277" s="872">
        <f t="shared" si="130"/>
        <v>0</v>
      </c>
      <c r="ER277" s="872">
        <f t="shared" si="130"/>
        <v>0</v>
      </c>
      <c r="ES277" s="872">
        <f t="shared" si="130"/>
        <v>0</v>
      </c>
      <c r="ET277" s="872">
        <f t="shared" si="130"/>
        <v>0</v>
      </c>
      <c r="EU277" s="872">
        <f t="shared" si="130"/>
        <v>0</v>
      </c>
      <c r="EV277" s="872">
        <f t="shared" si="130"/>
        <v>0</v>
      </c>
      <c r="EW277" s="878">
        <f t="shared" si="48"/>
        <v>0</v>
      </c>
      <c r="EX277" s="872">
        <f t="shared" si="118"/>
        <v>0</v>
      </c>
      <c r="EY277" s="1537">
        <f>IF((SUM('Monthly Summary'!$C$13:BV$13,'Monthly Summary'!$C$46:BV$46)-'Monthly Summary'!BW$13-'Monthly Summary'!BW$46)=0,0,(EX277+EX278)/(SUM('Monthly Summary'!$C$13:BV$13,'Monthly Summary'!$C$46:BV$46)-'Monthly Summary'!BW$13-'Monthly Summary'!BW$46))</f>
        <v>0</v>
      </c>
      <c r="EZ277" s="875">
        <f>SUMIF('Monthly Summary'!$C$75:BV$75,"",'Resource Costs'!$CC277:EV277)</f>
        <v>0</v>
      </c>
      <c r="FA277" s="1539"/>
    </row>
    <row r="278" spans="1:157">
      <c r="A278" s="745"/>
      <c r="B278" s="745"/>
      <c r="C278" s="745"/>
      <c r="D278" s="766" t="s">
        <v>18</v>
      </c>
      <c r="E278" s="766" t="str">
        <f>Variables!$A$45</f>
        <v>Capgemini</v>
      </c>
      <c r="F278" s="766" t="s">
        <v>21</v>
      </c>
      <c r="G278" s="745"/>
      <c r="H278" s="767">
        <f t="shared" ref="H278:X278" si="131">SUMIFS(H$5:H$254,$E$5:$E$254,$E278,$F$5:$F$254,$F278)</f>
        <v>0</v>
      </c>
      <c r="I278" s="768">
        <f t="shared" si="131"/>
        <v>0</v>
      </c>
      <c r="J278" s="768">
        <f>SUMIFS(J$5:J$254,$E$5:$E$254,$E278,$F$5:$F$254,$F278)</f>
        <v>0</v>
      </c>
      <c r="K278" s="768">
        <f t="shared" si="131"/>
        <v>0</v>
      </c>
      <c r="L278" s="768">
        <f t="shared" si="131"/>
        <v>0</v>
      </c>
      <c r="M278" s="768">
        <f t="shared" si="131"/>
        <v>0</v>
      </c>
      <c r="N278" s="768">
        <f t="shared" si="131"/>
        <v>0</v>
      </c>
      <c r="O278" s="768">
        <f t="shared" si="131"/>
        <v>0</v>
      </c>
      <c r="P278" s="768">
        <f t="shared" si="131"/>
        <v>0</v>
      </c>
      <c r="Q278" s="768">
        <f t="shared" si="131"/>
        <v>0</v>
      </c>
      <c r="R278" s="768">
        <f t="shared" si="131"/>
        <v>0</v>
      </c>
      <c r="S278" s="769">
        <f t="shared" si="131"/>
        <v>0</v>
      </c>
      <c r="T278" s="770">
        <f t="shared" si="131"/>
        <v>0</v>
      </c>
      <c r="U278" s="768">
        <f t="shared" si="131"/>
        <v>0</v>
      </c>
      <c r="V278" s="768">
        <f t="shared" si="131"/>
        <v>0</v>
      </c>
      <c r="W278" s="768">
        <f t="shared" si="131"/>
        <v>0</v>
      </c>
      <c r="X278" s="768">
        <f t="shared" si="131"/>
        <v>0</v>
      </c>
      <c r="Y278" s="768">
        <f t="shared" ref="Y278:BD278" si="132">SUMIFS(Y$5:Y$254,$E$5:$E$254,$E278,$F$5:$F$254,$F278)</f>
        <v>0</v>
      </c>
      <c r="Z278" s="768">
        <f t="shared" si="132"/>
        <v>0</v>
      </c>
      <c r="AA278" s="768">
        <f t="shared" si="132"/>
        <v>0</v>
      </c>
      <c r="AB278" s="768">
        <f t="shared" si="132"/>
        <v>0</v>
      </c>
      <c r="AC278" s="768">
        <f t="shared" si="132"/>
        <v>0</v>
      </c>
      <c r="AD278" s="768">
        <f t="shared" si="132"/>
        <v>0</v>
      </c>
      <c r="AE278" s="769">
        <f t="shared" si="132"/>
        <v>0</v>
      </c>
      <c r="AF278" s="770">
        <f t="shared" si="132"/>
        <v>0</v>
      </c>
      <c r="AG278" s="768">
        <f t="shared" si="132"/>
        <v>0</v>
      </c>
      <c r="AH278" s="768">
        <f t="shared" si="132"/>
        <v>0</v>
      </c>
      <c r="AI278" s="768">
        <f t="shared" si="132"/>
        <v>0</v>
      </c>
      <c r="AJ278" s="768">
        <f t="shared" si="132"/>
        <v>0</v>
      </c>
      <c r="AK278" s="768">
        <f t="shared" si="132"/>
        <v>0</v>
      </c>
      <c r="AL278" s="768">
        <f t="shared" si="132"/>
        <v>0</v>
      </c>
      <c r="AM278" s="768">
        <f t="shared" si="132"/>
        <v>0</v>
      </c>
      <c r="AN278" s="768">
        <f t="shared" si="132"/>
        <v>0</v>
      </c>
      <c r="AO278" s="768">
        <f t="shared" si="132"/>
        <v>0</v>
      </c>
      <c r="AP278" s="768">
        <f t="shared" si="132"/>
        <v>0</v>
      </c>
      <c r="AQ278" s="769">
        <f t="shared" si="132"/>
        <v>0</v>
      </c>
      <c r="AR278" s="768">
        <f t="shared" si="132"/>
        <v>0</v>
      </c>
      <c r="AS278" s="768">
        <f t="shared" si="132"/>
        <v>0</v>
      </c>
      <c r="AT278" s="768">
        <f t="shared" si="132"/>
        <v>0</v>
      </c>
      <c r="AU278" s="768">
        <f t="shared" si="132"/>
        <v>0</v>
      </c>
      <c r="AV278" s="768">
        <f t="shared" si="132"/>
        <v>0</v>
      </c>
      <c r="AW278" s="768">
        <f t="shared" si="132"/>
        <v>0</v>
      </c>
      <c r="AX278" s="768">
        <f t="shared" si="132"/>
        <v>0</v>
      </c>
      <c r="AY278" s="768">
        <f t="shared" si="132"/>
        <v>0</v>
      </c>
      <c r="AZ278" s="768">
        <f t="shared" si="132"/>
        <v>0</v>
      </c>
      <c r="BA278" s="768">
        <f t="shared" si="132"/>
        <v>0</v>
      </c>
      <c r="BB278" s="768">
        <f t="shared" si="132"/>
        <v>0</v>
      </c>
      <c r="BC278" s="768">
        <f t="shared" si="132"/>
        <v>0</v>
      </c>
      <c r="BD278" s="770">
        <f t="shared" si="132"/>
        <v>0</v>
      </c>
      <c r="BE278" s="768">
        <f t="shared" ref="BE278:CA278" si="133">SUMIFS(BE$5:BE$254,$E$5:$E$254,$E278,$F$5:$F$254,$F278)</f>
        <v>0</v>
      </c>
      <c r="BF278" s="768">
        <f t="shared" si="133"/>
        <v>0</v>
      </c>
      <c r="BG278" s="768">
        <f t="shared" si="133"/>
        <v>0</v>
      </c>
      <c r="BH278" s="768">
        <f t="shared" si="133"/>
        <v>0</v>
      </c>
      <c r="BI278" s="768">
        <f t="shared" si="133"/>
        <v>0</v>
      </c>
      <c r="BJ278" s="768">
        <f t="shared" si="133"/>
        <v>0</v>
      </c>
      <c r="BK278" s="768">
        <f t="shared" si="133"/>
        <v>0</v>
      </c>
      <c r="BL278" s="768">
        <f t="shared" si="133"/>
        <v>0</v>
      </c>
      <c r="BM278" s="768">
        <f t="shared" si="133"/>
        <v>0</v>
      </c>
      <c r="BN278" s="768">
        <f t="shared" si="133"/>
        <v>0</v>
      </c>
      <c r="BO278" s="769">
        <f t="shared" si="133"/>
        <v>0</v>
      </c>
      <c r="BP278" s="768">
        <f t="shared" si="133"/>
        <v>0</v>
      </c>
      <c r="BQ278" s="768">
        <f t="shared" si="133"/>
        <v>0</v>
      </c>
      <c r="BR278" s="768">
        <f t="shared" si="133"/>
        <v>0</v>
      </c>
      <c r="BS278" s="768">
        <f t="shared" si="133"/>
        <v>0</v>
      </c>
      <c r="BT278" s="768">
        <f t="shared" si="133"/>
        <v>0</v>
      </c>
      <c r="BU278" s="768">
        <f t="shared" si="133"/>
        <v>0</v>
      </c>
      <c r="BV278" s="768">
        <f t="shared" si="133"/>
        <v>0</v>
      </c>
      <c r="BW278" s="768">
        <f t="shared" si="133"/>
        <v>0</v>
      </c>
      <c r="BX278" s="768">
        <f t="shared" si="133"/>
        <v>0</v>
      </c>
      <c r="BY278" s="768">
        <f t="shared" si="133"/>
        <v>0</v>
      </c>
      <c r="BZ278" s="768">
        <f t="shared" si="133"/>
        <v>0</v>
      </c>
      <c r="CA278" s="768">
        <f t="shared" si="133"/>
        <v>0</v>
      </c>
      <c r="CB278" s="747"/>
      <c r="CC278" s="872">
        <f t="shared" ref="CC278:CS278" si="134">SUMIFS(CC$5:CC$254,$E$5:$E$254,$E278,$F$5:$F$254,$F278)</f>
        <v>0</v>
      </c>
      <c r="CD278" s="872">
        <f t="shared" si="134"/>
        <v>0</v>
      </c>
      <c r="CE278" s="872">
        <f>SUMIFS(CE$5:CE$254,$E$5:$E$254,$E278,$F$5:$F$254,$F278)</f>
        <v>0</v>
      </c>
      <c r="CF278" s="872">
        <f t="shared" si="134"/>
        <v>0</v>
      </c>
      <c r="CG278" s="872">
        <f t="shared" si="134"/>
        <v>0</v>
      </c>
      <c r="CH278" s="872">
        <f t="shared" si="134"/>
        <v>0</v>
      </c>
      <c r="CI278" s="872">
        <f t="shared" si="134"/>
        <v>0</v>
      </c>
      <c r="CJ278" s="872">
        <f t="shared" si="134"/>
        <v>0</v>
      </c>
      <c r="CK278" s="872">
        <f t="shared" si="134"/>
        <v>0</v>
      </c>
      <c r="CL278" s="872">
        <f t="shared" si="134"/>
        <v>0</v>
      </c>
      <c r="CM278" s="872">
        <f t="shared" si="134"/>
        <v>0</v>
      </c>
      <c r="CN278" s="873">
        <f t="shared" si="134"/>
        <v>0</v>
      </c>
      <c r="CO278" s="872">
        <f t="shared" si="134"/>
        <v>0</v>
      </c>
      <c r="CP278" s="872">
        <f t="shared" si="134"/>
        <v>0</v>
      </c>
      <c r="CQ278" s="872">
        <f t="shared" si="134"/>
        <v>0</v>
      </c>
      <c r="CR278" s="872">
        <f t="shared" si="134"/>
        <v>0</v>
      </c>
      <c r="CS278" s="872">
        <f t="shared" si="134"/>
        <v>0</v>
      </c>
      <c r="CT278" s="872">
        <f t="shared" ref="CT278:DY278" si="135">SUMIFS(CT$5:CT$254,$E$5:$E$254,$E278,$F$5:$F$254,$F278)</f>
        <v>0</v>
      </c>
      <c r="CU278" s="872">
        <f t="shared" si="135"/>
        <v>0</v>
      </c>
      <c r="CV278" s="872">
        <f t="shared" si="135"/>
        <v>0</v>
      </c>
      <c r="CW278" s="872">
        <f t="shared" si="135"/>
        <v>0</v>
      </c>
      <c r="CX278" s="872">
        <f t="shared" si="135"/>
        <v>0</v>
      </c>
      <c r="CY278" s="872">
        <f t="shared" si="135"/>
        <v>0</v>
      </c>
      <c r="CZ278" s="873">
        <f t="shared" si="135"/>
        <v>0</v>
      </c>
      <c r="DA278" s="872">
        <f t="shared" si="135"/>
        <v>0</v>
      </c>
      <c r="DB278" s="872">
        <f t="shared" si="135"/>
        <v>0</v>
      </c>
      <c r="DC278" s="872">
        <f t="shared" si="135"/>
        <v>0</v>
      </c>
      <c r="DD278" s="872">
        <f t="shared" si="135"/>
        <v>0</v>
      </c>
      <c r="DE278" s="872">
        <f t="shared" si="135"/>
        <v>0</v>
      </c>
      <c r="DF278" s="872">
        <f t="shared" si="135"/>
        <v>0</v>
      </c>
      <c r="DG278" s="872">
        <f t="shared" si="135"/>
        <v>0</v>
      </c>
      <c r="DH278" s="872">
        <f t="shared" si="135"/>
        <v>0</v>
      </c>
      <c r="DI278" s="872">
        <f t="shared" si="135"/>
        <v>0</v>
      </c>
      <c r="DJ278" s="872">
        <f t="shared" si="135"/>
        <v>0</v>
      </c>
      <c r="DK278" s="872">
        <f t="shared" si="135"/>
        <v>0</v>
      </c>
      <c r="DL278" s="873">
        <f t="shared" si="135"/>
        <v>0</v>
      </c>
      <c r="DM278" s="872">
        <f t="shared" si="135"/>
        <v>0</v>
      </c>
      <c r="DN278" s="872">
        <f t="shared" si="135"/>
        <v>0</v>
      </c>
      <c r="DO278" s="872">
        <f t="shared" si="135"/>
        <v>0</v>
      </c>
      <c r="DP278" s="872">
        <f t="shared" si="135"/>
        <v>0</v>
      </c>
      <c r="DQ278" s="872">
        <f t="shared" si="135"/>
        <v>0</v>
      </c>
      <c r="DR278" s="872">
        <f t="shared" si="135"/>
        <v>0</v>
      </c>
      <c r="DS278" s="872">
        <f t="shared" si="135"/>
        <v>0</v>
      </c>
      <c r="DT278" s="872">
        <f t="shared" si="135"/>
        <v>0</v>
      </c>
      <c r="DU278" s="872">
        <f t="shared" si="135"/>
        <v>0</v>
      </c>
      <c r="DV278" s="872">
        <f t="shared" si="135"/>
        <v>0</v>
      </c>
      <c r="DW278" s="872">
        <f t="shared" si="135"/>
        <v>0</v>
      </c>
      <c r="DX278" s="873">
        <f t="shared" si="135"/>
        <v>0</v>
      </c>
      <c r="DY278" s="872">
        <f t="shared" si="135"/>
        <v>0</v>
      </c>
      <c r="DZ278" s="872">
        <f t="shared" ref="DZ278:EV278" si="136">SUMIFS(DZ$5:DZ$254,$E$5:$E$254,$E278,$F$5:$F$254,$F278)</f>
        <v>0</v>
      </c>
      <c r="EA278" s="872">
        <f t="shared" si="136"/>
        <v>0</v>
      </c>
      <c r="EB278" s="872">
        <f t="shared" si="136"/>
        <v>0</v>
      </c>
      <c r="EC278" s="872">
        <f t="shared" si="136"/>
        <v>0</v>
      </c>
      <c r="ED278" s="872">
        <f t="shared" si="136"/>
        <v>0</v>
      </c>
      <c r="EE278" s="872">
        <f t="shared" si="136"/>
        <v>0</v>
      </c>
      <c r="EF278" s="872">
        <f t="shared" si="136"/>
        <v>0</v>
      </c>
      <c r="EG278" s="872">
        <f t="shared" si="136"/>
        <v>0</v>
      </c>
      <c r="EH278" s="872">
        <f t="shared" si="136"/>
        <v>0</v>
      </c>
      <c r="EI278" s="872">
        <f t="shared" si="136"/>
        <v>0</v>
      </c>
      <c r="EJ278" s="873">
        <f t="shared" si="136"/>
        <v>0</v>
      </c>
      <c r="EK278" s="872">
        <f t="shared" si="136"/>
        <v>0</v>
      </c>
      <c r="EL278" s="872">
        <f t="shared" si="136"/>
        <v>0</v>
      </c>
      <c r="EM278" s="872">
        <f t="shared" si="136"/>
        <v>0</v>
      </c>
      <c r="EN278" s="872">
        <f t="shared" si="136"/>
        <v>0</v>
      </c>
      <c r="EO278" s="872">
        <f t="shared" si="136"/>
        <v>0</v>
      </c>
      <c r="EP278" s="872">
        <f t="shared" si="136"/>
        <v>0</v>
      </c>
      <c r="EQ278" s="872">
        <f t="shared" si="136"/>
        <v>0</v>
      </c>
      <c r="ER278" s="872">
        <f t="shared" si="136"/>
        <v>0</v>
      </c>
      <c r="ES278" s="872">
        <f t="shared" si="136"/>
        <v>0</v>
      </c>
      <c r="ET278" s="872">
        <f t="shared" si="136"/>
        <v>0</v>
      </c>
      <c r="EU278" s="872">
        <f t="shared" si="136"/>
        <v>0</v>
      </c>
      <c r="EV278" s="872">
        <f t="shared" si="136"/>
        <v>0</v>
      </c>
      <c r="EW278" s="878">
        <f t="shared" si="48"/>
        <v>0</v>
      </c>
      <c r="EX278" s="872">
        <f t="shared" si="118"/>
        <v>0</v>
      </c>
      <c r="EY278" s="1537"/>
      <c r="EZ278" s="875">
        <f>SUMIF('Monthly Summary'!$C$74:BV$74,"",'Resource Costs'!$CC278:EV278)</f>
        <v>0</v>
      </c>
      <c r="FA278" s="1539"/>
    </row>
    <row r="279" spans="1:157">
      <c r="A279" s="745"/>
      <c r="B279" s="745"/>
      <c r="C279" s="745"/>
      <c r="D279" s="745"/>
      <c r="E279" s="772"/>
      <c r="F279" s="746"/>
      <c r="G279" s="745"/>
      <c r="H279" s="773"/>
      <c r="I279" s="768"/>
      <c r="J279" s="768"/>
      <c r="K279" s="768"/>
      <c r="L279" s="768"/>
      <c r="M279" s="768"/>
      <c r="N279" s="768"/>
      <c r="O279" s="768"/>
      <c r="P279" s="768"/>
      <c r="Q279" s="768"/>
      <c r="R279" s="768"/>
      <c r="S279" s="769"/>
      <c r="T279" s="770"/>
      <c r="U279" s="768"/>
      <c r="V279" s="768"/>
      <c r="W279" s="768"/>
      <c r="X279" s="768"/>
      <c r="Y279" s="768"/>
      <c r="Z279" s="768"/>
      <c r="AA279" s="768"/>
      <c r="AB279" s="768"/>
      <c r="AC279" s="768"/>
      <c r="AD279" s="768"/>
      <c r="AE279" s="769"/>
      <c r="AF279" s="770"/>
      <c r="AG279" s="768"/>
      <c r="AH279" s="768"/>
      <c r="AI279" s="768"/>
      <c r="AJ279" s="768"/>
      <c r="AK279" s="768"/>
      <c r="AL279" s="768"/>
      <c r="AM279" s="768"/>
      <c r="AN279" s="768"/>
      <c r="AO279" s="768"/>
      <c r="AP279" s="768"/>
      <c r="AQ279" s="769"/>
      <c r="AR279" s="768"/>
      <c r="AS279" s="768"/>
      <c r="AT279" s="768"/>
      <c r="AU279" s="768"/>
      <c r="AV279" s="768"/>
      <c r="AW279" s="768"/>
      <c r="AX279" s="768"/>
      <c r="AY279" s="768"/>
      <c r="AZ279" s="768"/>
      <c r="BA279" s="768"/>
      <c r="BB279" s="768"/>
      <c r="BC279" s="768"/>
      <c r="BD279" s="770"/>
      <c r="BE279" s="768"/>
      <c r="BF279" s="768"/>
      <c r="BG279" s="768"/>
      <c r="BH279" s="768"/>
      <c r="BI279" s="768"/>
      <c r="BJ279" s="768"/>
      <c r="BK279" s="768"/>
      <c r="BL279" s="768"/>
      <c r="BM279" s="768"/>
      <c r="BN279" s="768"/>
      <c r="BO279" s="769"/>
      <c r="BP279" s="768"/>
      <c r="BQ279" s="768"/>
      <c r="BR279" s="768"/>
      <c r="BS279" s="768"/>
      <c r="BT279" s="768"/>
      <c r="BU279" s="768"/>
      <c r="BV279" s="768"/>
      <c r="BW279" s="768"/>
      <c r="BX279" s="768"/>
      <c r="BY279" s="768"/>
      <c r="BZ279" s="768"/>
      <c r="CA279" s="768"/>
      <c r="CB279" s="747"/>
      <c r="CC279" s="872"/>
      <c r="CD279" s="872"/>
      <c r="CE279" s="872"/>
      <c r="CF279" s="872"/>
      <c r="CG279" s="872"/>
      <c r="CH279" s="872"/>
      <c r="CI279" s="872"/>
      <c r="CJ279" s="872"/>
      <c r="CK279" s="872"/>
      <c r="CL279" s="872"/>
      <c r="CM279" s="872"/>
      <c r="CN279" s="873"/>
      <c r="CO279" s="872"/>
      <c r="CP279" s="872"/>
      <c r="CQ279" s="872"/>
      <c r="CR279" s="872"/>
      <c r="CS279" s="872"/>
      <c r="CT279" s="872"/>
      <c r="CU279" s="872"/>
      <c r="CV279" s="872"/>
      <c r="CW279" s="872"/>
      <c r="CX279" s="872"/>
      <c r="CY279" s="872"/>
      <c r="CZ279" s="873"/>
      <c r="DA279" s="872"/>
      <c r="DB279" s="872"/>
      <c r="DC279" s="872"/>
      <c r="DD279" s="872"/>
      <c r="DE279" s="872"/>
      <c r="DF279" s="872"/>
      <c r="DG279" s="872"/>
      <c r="DH279" s="872"/>
      <c r="DI279" s="872"/>
      <c r="DJ279" s="872"/>
      <c r="DK279" s="872"/>
      <c r="DL279" s="873"/>
      <c r="DM279" s="872"/>
      <c r="DN279" s="872"/>
      <c r="DO279" s="872"/>
      <c r="DP279" s="872"/>
      <c r="DQ279" s="872"/>
      <c r="DR279" s="872"/>
      <c r="DS279" s="872"/>
      <c r="DT279" s="872"/>
      <c r="DU279" s="872"/>
      <c r="DV279" s="872"/>
      <c r="DW279" s="872"/>
      <c r="DX279" s="873"/>
      <c r="DY279" s="872"/>
      <c r="DZ279" s="872"/>
      <c r="EA279" s="872"/>
      <c r="EB279" s="872"/>
      <c r="EC279" s="872"/>
      <c r="ED279" s="872"/>
      <c r="EE279" s="872"/>
      <c r="EF279" s="872"/>
      <c r="EG279" s="872"/>
      <c r="EH279" s="872"/>
      <c r="EI279" s="872"/>
      <c r="EJ279" s="873"/>
      <c r="EK279" s="872"/>
      <c r="EL279" s="872"/>
      <c r="EM279" s="872"/>
      <c r="EN279" s="872"/>
      <c r="EO279" s="872"/>
      <c r="EP279" s="872"/>
      <c r="EQ279" s="872"/>
      <c r="ER279" s="872"/>
      <c r="ES279" s="872"/>
      <c r="ET279" s="872"/>
      <c r="EU279" s="872"/>
      <c r="EV279" s="872"/>
      <c r="EW279" s="878"/>
      <c r="EX279" s="872"/>
      <c r="EZ279" s="875"/>
      <c r="FA279" s="1539"/>
    </row>
    <row r="280" spans="1:157">
      <c r="A280" s="745"/>
      <c r="B280" s="745"/>
      <c r="C280" s="745"/>
      <c r="D280" s="766" t="s">
        <v>18</v>
      </c>
      <c r="E280" s="766" t="str">
        <f>Variables!$A$46</f>
        <v>User Defined #2</v>
      </c>
      <c r="F280" s="766" t="s">
        <v>20</v>
      </c>
      <c r="G280" s="745"/>
      <c r="H280" s="767">
        <f t="shared" ref="H280:AM280" si="137">SUMIFS(H$5:H$254,$E$5:$E$254,$E280,$F$5:$F$254,$F280)</f>
        <v>0</v>
      </c>
      <c r="I280" s="768">
        <f t="shared" si="137"/>
        <v>0</v>
      </c>
      <c r="J280" s="768">
        <f t="shared" si="137"/>
        <v>0</v>
      </c>
      <c r="K280" s="768">
        <f t="shared" si="137"/>
        <v>0</v>
      </c>
      <c r="L280" s="768">
        <f t="shared" si="137"/>
        <v>0</v>
      </c>
      <c r="M280" s="768">
        <f t="shared" si="137"/>
        <v>0</v>
      </c>
      <c r="N280" s="768">
        <f t="shared" si="137"/>
        <v>0</v>
      </c>
      <c r="O280" s="768">
        <f t="shared" si="137"/>
        <v>0</v>
      </c>
      <c r="P280" s="768">
        <f t="shared" si="137"/>
        <v>0</v>
      </c>
      <c r="Q280" s="768">
        <f t="shared" si="137"/>
        <v>0</v>
      </c>
      <c r="R280" s="768">
        <f t="shared" si="137"/>
        <v>0</v>
      </c>
      <c r="S280" s="769">
        <f t="shared" si="137"/>
        <v>0</v>
      </c>
      <c r="T280" s="770">
        <f t="shared" si="137"/>
        <v>0</v>
      </c>
      <c r="U280" s="768">
        <f t="shared" si="137"/>
        <v>0</v>
      </c>
      <c r="V280" s="768">
        <f t="shared" si="137"/>
        <v>0</v>
      </c>
      <c r="W280" s="768">
        <f t="shared" si="137"/>
        <v>0</v>
      </c>
      <c r="X280" s="768">
        <f t="shared" si="137"/>
        <v>0</v>
      </c>
      <c r="Y280" s="768">
        <f t="shared" si="137"/>
        <v>0</v>
      </c>
      <c r="Z280" s="768">
        <f t="shared" si="137"/>
        <v>0</v>
      </c>
      <c r="AA280" s="768">
        <f t="shared" si="137"/>
        <v>0</v>
      </c>
      <c r="AB280" s="768">
        <f t="shared" si="137"/>
        <v>0</v>
      </c>
      <c r="AC280" s="768">
        <f t="shared" si="137"/>
        <v>0</v>
      </c>
      <c r="AD280" s="768">
        <f t="shared" si="137"/>
        <v>0</v>
      </c>
      <c r="AE280" s="769">
        <f t="shared" si="137"/>
        <v>0</v>
      </c>
      <c r="AF280" s="770">
        <f t="shared" si="137"/>
        <v>0</v>
      </c>
      <c r="AG280" s="768">
        <f t="shared" si="137"/>
        <v>0</v>
      </c>
      <c r="AH280" s="768">
        <f t="shared" si="137"/>
        <v>0</v>
      </c>
      <c r="AI280" s="768">
        <f t="shared" si="137"/>
        <v>0</v>
      </c>
      <c r="AJ280" s="768">
        <f t="shared" si="137"/>
        <v>0</v>
      </c>
      <c r="AK280" s="768">
        <f t="shared" si="137"/>
        <v>0</v>
      </c>
      <c r="AL280" s="768">
        <f t="shared" si="137"/>
        <v>0</v>
      </c>
      <c r="AM280" s="768">
        <f t="shared" si="137"/>
        <v>0</v>
      </c>
      <c r="AN280" s="768">
        <f t="shared" ref="AN280:BS280" si="138">SUMIFS(AN$5:AN$254,$E$5:$E$254,$E280,$F$5:$F$254,$F280)</f>
        <v>0</v>
      </c>
      <c r="AO280" s="768">
        <f t="shared" si="138"/>
        <v>0</v>
      </c>
      <c r="AP280" s="768">
        <f t="shared" si="138"/>
        <v>0</v>
      </c>
      <c r="AQ280" s="769">
        <f t="shared" si="138"/>
        <v>0</v>
      </c>
      <c r="AR280" s="768">
        <f t="shared" si="138"/>
        <v>0</v>
      </c>
      <c r="AS280" s="768">
        <f t="shared" si="138"/>
        <v>0</v>
      </c>
      <c r="AT280" s="768">
        <f t="shared" si="138"/>
        <v>0</v>
      </c>
      <c r="AU280" s="768">
        <f t="shared" si="138"/>
        <v>0</v>
      </c>
      <c r="AV280" s="768">
        <f t="shared" si="138"/>
        <v>0</v>
      </c>
      <c r="AW280" s="768">
        <f t="shared" si="138"/>
        <v>0</v>
      </c>
      <c r="AX280" s="768">
        <f t="shared" si="138"/>
        <v>0</v>
      </c>
      <c r="AY280" s="768">
        <f t="shared" si="138"/>
        <v>0</v>
      </c>
      <c r="AZ280" s="768">
        <f t="shared" si="138"/>
        <v>0</v>
      </c>
      <c r="BA280" s="768">
        <f t="shared" si="138"/>
        <v>0</v>
      </c>
      <c r="BB280" s="768">
        <f t="shared" si="138"/>
        <v>0</v>
      </c>
      <c r="BC280" s="768">
        <f t="shared" si="138"/>
        <v>0</v>
      </c>
      <c r="BD280" s="770">
        <f t="shared" si="138"/>
        <v>0</v>
      </c>
      <c r="BE280" s="768">
        <f t="shared" si="138"/>
        <v>0</v>
      </c>
      <c r="BF280" s="768">
        <f t="shared" si="138"/>
        <v>0</v>
      </c>
      <c r="BG280" s="768">
        <f t="shared" si="138"/>
        <v>0</v>
      </c>
      <c r="BH280" s="768">
        <f t="shared" si="138"/>
        <v>0</v>
      </c>
      <c r="BI280" s="768">
        <f t="shared" si="138"/>
        <v>0</v>
      </c>
      <c r="BJ280" s="768">
        <f t="shared" si="138"/>
        <v>0</v>
      </c>
      <c r="BK280" s="768">
        <f t="shared" si="138"/>
        <v>0</v>
      </c>
      <c r="BL280" s="768">
        <f t="shared" si="138"/>
        <v>0</v>
      </c>
      <c r="BM280" s="768">
        <f t="shared" si="138"/>
        <v>0</v>
      </c>
      <c r="BN280" s="768">
        <f t="shared" si="138"/>
        <v>0</v>
      </c>
      <c r="BO280" s="769">
        <f t="shared" si="138"/>
        <v>0</v>
      </c>
      <c r="BP280" s="768">
        <f t="shared" si="138"/>
        <v>0</v>
      </c>
      <c r="BQ280" s="768">
        <f t="shared" si="138"/>
        <v>0</v>
      </c>
      <c r="BR280" s="768">
        <f t="shared" si="138"/>
        <v>0</v>
      </c>
      <c r="BS280" s="768">
        <f t="shared" si="138"/>
        <v>0</v>
      </c>
      <c r="BT280" s="768">
        <f t="shared" ref="BT280:CA280" si="139">SUMIFS(BT$5:BT$254,$E$5:$E$254,$E280,$F$5:$F$254,$F280)</f>
        <v>0</v>
      </c>
      <c r="BU280" s="768">
        <f t="shared" si="139"/>
        <v>0</v>
      </c>
      <c r="BV280" s="768">
        <f t="shared" si="139"/>
        <v>0</v>
      </c>
      <c r="BW280" s="768">
        <f t="shared" si="139"/>
        <v>0</v>
      </c>
      <c r="BX280" s="768">
        <f t="shared" si="139"/>
        <v>0</v>
      </c>
      <c r="BY280" s="768">
        <f t="shared" si="139"/>
        <v>0</v>
      </c>
      <c r="BZ280" s="768">
        <f t="shared" si="139"/>
        <v>0</v>
      </c>
      <c r="CA280" s="768">
        <f t="shared" si="139"/>
        <v>0</v>
      </c>
      <c r="CB280" s="747"/>
      <c r="CC280" s="872">
        <f t="shared" ref="CC280:DH280" si="140">SUMIFS(CC$5:CC$254,$E$5:$E$254,$E280,$F$5:$F$254,$F280)</f>
        <v>0</v>
      </c>
      <c r="CD280" s="872">
        <f t="shared" si="140"/>
        <v>0</v>
      </c>
      <c r="CE280" s="872">
        <f t="shared" si="140"/>
        <v>0</v>
      </c>
      <c r="CF280" s="872">
        <f t="shared" si="140"/>
        <v>0</v>
      </c>
      <c r="CG280" s="872">
        <f t="shared" si="140"/>
        <v>0</v>
      </c>
      <c r="CH280" s="872">
        <f t="shared" si="140"/>
        <v>0</v>
      </c>
      <c r="CI280" s="872">
        <f t="shared" si="140"/>
        <v>0</v>
      </c>
      <c r="CJ280" s="872">
        <f t="shared" si="140"/>
        <v>0</v>
      </c>
      <c r="CK280" s="872">
        <f t="shared" si="140"/>
        <v>0</v>
      </c>
      <c r="CL280" s="872">
        <f t="shared" si="140"/>
        <v>0</v>
      </c>
      <c r="CM280" s="872">
        <f t="shared" si="140"/>
        <v>0</v>
      </c>
      <c r="CN280" s="873">
        <f t="shared" si="140"/>
        <v>0</v>
      </c>
      <c r="CO280" s="872">
        <f t="shared" si="140"/>
        <v>0</v>
      </c>
      <c r="CP280" s="872">
        <f t="shared" si="140"/>
        <v>0</v>
      </c>
      <c r="CQ280" s="872">
        <f t="shared" si="140"/>
        <v>0</v>
      </c>
      <c r="CR280" s="872">
        <f t="shared" si="140"/>
        <v>0</v>
      </c>
      <c r="CS280" s="872">
        <f t="shared" si="140"/>
        <v>0</v>
      </c>
      <c r="CT280" s="872">
        <f t="shared" si="140"/>
        <v>0</v>
      </c>
      <c r="CU280" s="872">
        <f t="shared" si="140"/>
        <v>0</v>
      </c>
      <c r="CV280" s="872">
        <f t="shared" si="140"/>
        <v>0</v>
      </c>
      <c r="CW280" s="872">
        <f t="shared" si="140"/>
        <v>0</v>
      </c>
      <c r="CX280" s="872">
        <f t="shared" si="140"/>
        <v>0</v>
      </c>
      <c r="CY280" s="872">
        <f t="shared" si="140"/>
        <v>0</v>
      </c>
      <c r="CZ280" s="873">
        <f t="shared" si="140"/>
        <v>0</v>
      </c>
      <c r="DA280" s="872">
        <f t="shared" si="140"/>
        <v>0</v>
      </c>
      <c r="DB280" s="872">
        <f t="shared" si="140"/>
        <v>0</v>
      </c>
      <c r="DC280" s="872">
        <f t="shared" si="140"/>
        <v>0</v>
      </c>
      <c r="DD280" s="872">
        <f t="shared" si="140"/>
        <v>0</v>
      </c>
      <c r="DE280" s="872">
        <f t="shared" si="140"/>
        <v>0</v>
      </c>
      <c r="DF280" s="872">
        <f t="shared" si="140"/>
        <v>0</v>
      </c>
      <c r="DG280" s="872">
        <f t="shared" si="140"/>
        <v>0</v>
      </c>
      <c r="DH280" s="872">
        <f t="shared" si="140"/>
        <v>0</v>
      </c>
      <c r="DI280" s="872">
        <f t="shared" ref="DI280:EN280" si="141">SUMIFS(DI$5:DI$254,$E$5:$E$254,$E280,$F$5:$F$254,$F280)</f>
        <v>0</v>
      </c>
      <c r="DJ280" s="872">
        <f t="shared" si="141"/>
        <v>0</v>
      </c>
      <c r="DK280" s="872">
        <f t="shared" si="141"/>
        <v>0</v>
      </c>
      <c r="DL280" s="873">
        <f t="shared" si="141"/>
        <v>0</v>
      </c>
      <c r="DM280" s="872">
        <f t="shared" si="141"/>
        <v>0</v>
      </c>
      <c r="DN280" s="872">
        <f t="shared" si="141"/>
        <v>0</v>
      </c>
      <c r="DO280" s="872">
        <f t="shared" si="141"/>
        <v>0</v>
      </c>
      <c r="DP280" s="872">
        <f t="shared" si="141"/>
        <v>0</v>
      </c>
      <c r="DQ280" s="872">
        <f t="shared" si="141"/>
        <v>0</v>
      </c>
      <c r="DR280" s="872">
        <f t="shared" si="141"/>
        <v>0</v>
      </c>
      <c r="DS280" s="872">
        <f t="shared" si="141"/>
        <v>0</v>
      </c>
      <c r="DT280" s="872">
        <f t="shared" si="141"/>
        <v>0</v>
      </c>
      <c r="DU280" s="872">
        <f t="shared" si="141"/>
        <v>0</v>
      </c>
      <c r="DV280" s="872">
        <f t="shared" si="141"/>
        <v>0</v>
      </c>
      <c r="DW280" s="872">
        <f t="shared" si="141"/>
        <v>0</v>
      </c>
      <c r="DX280" s="873">
        <f t="shared" si="141"/>
        <v>0</v>
      </c>
      <c r="DY280" s="872">
        <f t="shared" si="141"/>
        <v>0</v>
      </c>
      <c r="DZ280" s="872">
        <f t="shared" si="141"/>
        <v>0</v>
      </c>
      <c r="EA280" s="872">
        <f t="shared" si="141"/>
        <v>0</v>
      </c>
      <c r="EB280" s="872">
        <f t="shared" si="141"/>
        <v>0</v>
      </c>
      <c r="EC280" s="872">
        <f t="shared" si="141"/>
        <v>0</v>
      </c>
      <c r="ED280" s="872">
        <f t="shared" si="141"/>
        <v>0</v>
      </c>
      <c r="EE280" s="872">
        <f t="shared" si="141"/>
        <v>0</v>
      </c>
      <c r="EF280" s="872">
        <f t="shared" si="141"/>
        <v>0</v>
      </c>
      <c r="EG280" s="872">
        <f t="shared" si="141"/>
        <v>0</v>
      </c>
      <c r="EH280" s="872">
        <f t="shared" si="141"/>
        <v>0</v>
      </c>
      <c r="EI280" s="872">
        <f t="shared" si="141"/>
        <v>0</v>
      </c>
      <c r="EJ280" s="873">
        <f t="shared" si="141"/>
        <v>0</v>
      </c>
      <c r="EK280" s="872">
        <f t="shared" si="141"/>
        <v>0</v>
      </c>
      <c r="EL280" s="872">
        <f t="shared" si="141"/>
        <v>0</v>
      </c>
      <c r="EM280" s="872">
        <f t="shared" si="141"/>
        <v>0</v>
      </c>
      <c r="EN280" s="872">
        <f t="shared" si="141"/>
        <v>0</v>
      </c>
      <c r="EO280" s="872">
        <f t="shared" ref="EO280:EV280" si="142">SUMIFS(EO$5:EO$254,$E$5:$E$254,$E280,$F$5:$F$254,$F280)</f>
        <v>0</v>
      </c>
      <c r="EP280" s="872">
        <f t="shared" si="142"/>
        <v>0</v>
      </c>
      <c r="EQ280" s="872">
        <f t="shared" si="142"/>
        <v>0</v>
      </c>
      <c r="ER280" s="872">
        <f t="shared" si="142"/>
        <v>0</v>
      </c>
      <c r="ES280" s="872">
        <f t="shared" si="142"/>
        <v>0</v>
      </c>
      <c r="ET280" s="872">
        <f t="shared" si="142"/>
        <v>0</v>
      </c>
      <c r="EU280" s="872">
        <f t="shared" si="142"/>
        <v>0</v>
      </c>
      <c r="EV280" s="872">
        <f t="shared" si="142"/>
        <v>0</v>
      </c>
      <c r="EW280" s="878">
        <f t="shared" si="48"/>
        <v>0</v>
      </c>
      <c r="EX280" s="872">
        <f t="shared" si="118"/>
        <v>0</v>
      </c>
      <c r="EY280" s="1537">
        <f>IF((SUM('Monthly Summary'!$C$13:BV$13,'Monthly Summary'!$C$46:BV$46)-'Monthly Summary'!BW$13-'Monthly Summary'!BW$46)=0,0,(EX280+EX281)/(SUM('Monthly Summary'!$C$13:BV$13,'Monthly Summary'!$C$46:BV$46)-'Monthly Summary'!BW$13-'Monthly Summary'!BW$46))</f>
        <v>0</v>
      </c>
      <c r="EZ280" s="875">
        <f>SUMIF('Monthly Summary'!$C$75:BV$75,"",'Resource Costs'!$CC280:EV280)</f>
        <v>0</v>
      </c>
      <c r="FA280" s="1539"/>
    </row>
    <row r="281" spans="1:157">
      <c r="A281" s="745"/>
      <c r="B281" s="745"/>
      <c r="C281" s="745"/>
      <c r="D281" s="766" t="s">
        <v>18</v>
      </c>
      <c r="E281" s="766" t="str">
        <f>Variables!$A$46</f>
        <v>User Defined #2</v>
      </c>
      <c r="F281" s="766" t="s">
        <v>21</v>
      </c>
      <c r="G281" s="745"/>
      <c r="H281" s="767">
        <f t="shared" ref="H281:X281" si="143">SUMIFS(H$5:H$254,$E$5:$E$254,$E281,$F$5:$F$254,$F281)</f>
        <v>0</v>
      </c>
      <c r="I281" s="768">
        <f t="shared" si="143"/>
        <v>0</v>
      </c>
      <c r="J281" s="768">
        <f>SUMIFS(J$5:J$254,$E$5:$E$254,$E281,$F$5:$F$254,$F281)</f>
        <v>0</v>
      </c>
      <c r="K281" s="768">
        <f t="shared" si="143"/>
        <v>0</v>
      </c>
      <c r="L281" s="768">
        <f t="shared" si="143"/>
        <v>0</v>
      </c>
      <c r="M281" s="768">
        <f t="shared" si="143"/>
        <v>0</v>
      </c>
      <c r="N281" s="768">
        <f t="shared" si="143"/>
        <v>0</v>
      </c>
      <c r="O281" s="768">
        <f t="shared" si="143"/>
        <v>0</v>
      </c>
      <c r="P281" s="768">
        <f t="shared" si="143"/>
        <v>0</v>
      </c>
      <c r="Q281" s="768">
        <f t="shared" si="143"/>
        <v>0</v>
      </c>
      <c r="R281" s="768">
        <f t="shared" si="143"/>
        <v>0</v>
      </c>
      <c r="S281" s="769">
        <f t="shared" si="143"/>
        <v>0</v>
      </c>
      <c r="T281" s="770">
        <f t="shared" si="143"/>
        <v>0</v>
      </c>
      <c r="U281" s="768">
        <f t="shared" si="143"/>
        <v>0</v>
      </c>
      <c r="V281" s="768">
        <f t="shared" si="143"/>
        <v>0</v>
      </c>
      <c r="W281" s="768">
        <f t="shared" si="143"/>
        <v>0</v>
      </c>
      <c r="X281" s="768">
        <f t="shared" si="143"/>
        <v>0</v>
      </c>
      <c r="Y281" s="768">
        <f t="shared" ref="Y281:BD281" si="144">SUMIFS(Y$5:Y$254,$E$5:$E$254,$E281,$F$5:$F$254,$F281)</f>
        <v>0</v>
      </c>
      <c r="Z281" s="768">
        <f t="shared" si="144"/>
        <v>0</v>
      </c>
      <c r="AA281" s="768">
        <f t="shared" si="144"/>
        <v>0</v>
      </c>
      <c r="AB281" s="768">
        <f t="shared" si="144"/>
        <v>0</v>
      </c>
      <c r="AC281" s="768">
        <f t="shared" si="144"/>
        <v>0</v>
      </c>
      <c r="AD281" s="768">
        <f t="shared" si="144"/>
        <v>0</v>
      </c>
      <c r="AE281" s="769">
        <f t="shared" si="144"/>
        <v>0</v>
      </c>
      <c r="AF281" s="770">
        <f t="shared" si="144"/>
        <v>0</v>
      </c>
      <c r="AG281" s="768">
        <f t="shared" si="144"/>
        <v>0</v>
      </c>
      <c r="AH281" s="768">
        <f t="shared" si="144"/>
        <v>0</v>
      </c>
      <c r="AI281" s="768">
        <f t="shared" si="144"/>
        <v>0</v>
      </c>
      <c r="AJ281" s="768">
        <f t="shared" si="144"/>
        <v>0</v>
      </c>
      <c r="AK281" s="768">
        <f t="shared" si="144"/>
        <v>0</v>
      </c>
      <c r="AL281" s="768">
        <f t="shared" si="144"/>
        <v>0</v>
      </c>
      <c r="AM281" s="768">
        <f t="shared" si="144"/>
        <v>0</v>
      </c>
      <c r="AN281" s="768">
        <f t="shared" si="144"/>
        <v>0</v>
      </c>
      <c r="AO281" s="768">
        <f t="shared" si="144"/>
        <v>0</v>
      </c>
      <c r="AP281" s="768">
        <f t="shared" si="144"/>
        <v>0</v>
      </c>
      <c r="AQ281" s="769">
        <f t="shared" si="144"/>
        <v>0</v>
      </c>
      <c r="AR281" s="768">
        <f t="shared" si="144"/>
        <v>0</v>
      </c>
      <c r="AS281" s="768">
        <f t="shared" si="144"/>
        <v>0</v>
      </c>
      <c r="AT281" s="768">
        <f t="shared" si="144"/>
        <v>0</v>
      </c>
      <c r="AU281" s="768">
        <f t="shared" si="144"/>
        <v>0</v>
      </c>
      <c r="AV281" s="768">
        <f t="shared" si="144"/>
        <v>0</v>
      </c>
      <c r="AW281" s="768">
        <f t="shared" si="144"/>
        <v>0</v>
      </c>
      <c r="AX281" s="768">
        <f t="shared" si="144"/>
        <v>0</v>
      </c>
      <c r="AY281" s="768">
        <f t="shared" si="144"/>
        <v>0</v>
      </c>
      <c r="AZ281" s="768">
        <f t="shared" si="144"/>
        <v>0</v>
      </c>
      <c r="BA281" s="768">
        <f t="shared" si="144"/>
        <v>0</v>
      </c>
      <c r="BB281" s="768">
        <f t="shared" si="144"/>
        <v>0</v>
      </c>
      <c r="BC281" s="768">
        <f t="shared" si="144"/>
        <v>0</v>
      </c>
      <c r="BD281" s="770">
        <f t="shared" si="144"/>
        <v>0</v>
      </c>
      <c r="BE281" s="768">
        <f t="shared" ref="BE281:CA281" si="145">SUMIFS(BE$5:BE$254,$E$5:$E$254,$E281,$F$5:$F$254,$F281)</f>
        <v>0</v>
      </c>
      <c r="BF281" s="768">
        <f t="shared" si="145"/>
        <v>0</v>
      </c>
      <c r="BG281" s="768">
        <f t="shared" si="145"/>
        <v>0</v>
      </c>
      <c r="BH281" s="768">
        <f t="shared" si="145"/>
        <v>0</v>
      </c>
      <c r="BI281" s="768">
        <f t="shared" si="145"/>
        <v>0</v>
      </c>
      <c r="BJ281" s="768">
        <f t="shared" si="145"/>
        <v>0</v>
      </c>
      <c r="BK281" s="768">
        <f t="shared" si="145"/>
        <v>0</v>
      </c>
      <c r="BL281" s="768">
        <f t="shared" si="145"/>
        <v>0</v>
      </c>
      <c r="BM281" s="768">
        <f t="shared" si="145"/>
        <v>0</v>
      </c>
      <c r="BN281" s="768">
        <f t="shared" si="145"/>
        <v>0</v>
      </c>
      <c r="BO281" s="769">
        <f t="shared" si="145"/>
        <v>0</v>
      </c>
      <c r="BP281" s="768">
        <f t="shared" si="145"/>
        <v>0</v>
      </c>
      <c r="BQ281" s="768">
        <f t="shared" si="145"/>
        <v>0</v>
      </c>
      <c r="BR281" s="768">
        <f t="shared" si="145"/>
        <v>0</v>
      </c>
      <c r="BS281" s="768">
        <f t="shared" si="145"/>
        <v>0</v>
      </c>
      <c r="BT281" s="768">
        <f t="shared" si="145"/>
        <v>0</v>
      </c>
      <c r="BU281" s="768">
        <f t="shared" si="145"/>
        <v>0</v>
      </c>
      <c r="BV281" s="768">
        <f t="shared" si="145"/>
        <v>0</v>
      </c>
      <c r="BW281" s="768">
        <f t="shared" si="145"/>
        <v>0</v>
      </c>
      <c r="BX281" s="768">
        <f t="shared" si="145"/>
        <v>0</v>
      </c>
      <c r="BY281" s="768">
        <f t="shared" si="145"/>
        <v>0</v>
      </c>
      <c r="BZ281" s="768">
        <f t="shared" si="145"/>
        <v>0</v>
      </c>
      <c r="CA281" s="768">
        <f t="shared" si="145"/>
        <v>0</v>
      </c>
      <c r="CB281" s="747"/>
      <c r="CC281" s="872">
        <f t="shared" ref="CC281:CS281" si="146">SUMIFS(CC$5:CC$254,$E$5:$E$254,$E281,$F$5:$F$254,$F281)</f>
        <v>0</v>
      </c>
      <c r="CD281" s="872">
        <f t="shared" si="146"/>
        <v>0</v>
      </c>
      <c r="CE281" s="872">
        <f>SUMIFS(CE$5:CE$254,$E$5:$E$254,$E281,$F$5:$F$254,$F281)</f>
        <v>0</v>
      </c>
      <c r="CF281" s="872">
        <f t="shared" si="146"/>
        <v>0</v>
      </c>
      <c r="CG281" s="872">
        <f t="shared" si="146"/>
        <v>0</v>
      </c>
      <c r="CH281" s="872">
        <f t="shared" si="146"/>
        <v>0</v>
      </c>
      <c r="CI281" s="872">
        <f t="shared" si="146"/>
        <v>0</v>
      </c>
      <c r="CJ281" s="872">
        <f t="shared" si="146"/>
        <v>0</v>
      </c>
      <c r="CK281" s="872">
        <f t="shared" si="146"/>
        <v>0</v>
      </c>
      <c r="CL281" s="872">
        <f t="shared" si="146"/>
        <v>0</v>
      </c>
      <c r="CM281" s="872">
        <f t="shared" si="146"/>
        <v>0</v>
      </c>
      <c r="CN281" s="873">
        <f t="shared" si="146"/>
        <v>0</v>
      </c>
      <c r="CO281" s="872">
        <f t="shared" si="146"/>
        <v>0</v>
      </c>
      <c r="CP281" s="872">
        <f t="shared" si="146"/>
        <v>0</v>
      </c>
      <c r="CQ281" s="872">
        <f t="shared" si="146"/>
        <v>0</v>
      </c>
      <c r="CR281" s="872">
        <f t="shared" si="146"/>
        <v>0</v>
      </c>
      <c r="CS281" s="872">
        <f t="shared" si="146"/>
        <v>0</v>
      </c>
      <c r="CT281" s="872">
        <f t="shared" ref="CT281:DY281" si="147">SUMIFS(CT$5:CT$254,$E$5:$E$254,$E281,$F$5:$F$254,$F281)</f>
        <v>0</v>
      </c>
      <c r="CU281" s="872">
        <f t="shared" si="147"/>
        <v>0</v>
      </c>
      <c r="CV281" s="872">
        <f t="shared" si="147"/>
        <v>0</v>
      </c>
      <c r="CW281" s="872">
        <f t="shared" si="147"/>
        <v>0</v>
      </c>
      <c r="CX281" s="872">
        <f t="shared" si="147"/>
        <v>0</v>
      </c>
      <c r="CY281" s="872">
        <f t="shared" si="147"/>
        <v>0</v>
      </c>
      <c r="CZ281" s="873">
        <f t="shared" si="147"/>
        <v>0</v>
      </c>
      <c r="DA281" s="872">
        <f t="shared" si="147"/>
        <v>0</v>
      </c>
      <c r="DB281" s="872">
        <f t="shared" si="147"/>
        <v>0</v>
      </c>
      <c r="DC281" s="872">
        <f t="shared" si="147"/>
        <v>0</v>
      </c>
      <c r="DD281" s="872">
        <f t="shared" si="147"/>
        <v>0</v>
      </c>
      <c r="DE281" s="872">
        <f t="shared" si="147"/>
        <v>0</v>
      </c>
      <c r="DF281" s="872">
        <f t="shared" si="147"/>
        <v>0</v>
      </c>
      <c r="DG281" s="872">
        <f t="shared" si="147"/>
        <v>0</v>
      </c>
      <c r="DH281" s="872">
        <f t="shared" si="147"/>
        <v>0</v>
      </c>
      <c r="DI281" s="872">
        <f t="shared" si="147"/>
        <v>0</v>
      </c>
      <c r="DJ281" s="872">
        <f t="shared" si="147"/>
        <v>0</v>
      </c>
      <c r="DK281" s="872">
        <f t="shared" si="147"/>
        <v>0</v>
      </c>
      <c r="DL281" s="873">
        <f t="shared" si="147"/>
        <v>0</v>
      </c>
      <c r="DM281" s="872">
        <f t="shared" si="147"/>
        <v>0</v>
      </c>
      <c r="DN281" s="872">
        <f t="shared" si="147"/>
        <v>0</v>
      </c>
      <c r="DO281" s="872">
        <f t="shared" si="147"/>
        <v>0</v>
      </c>
      <c r="DP281" s="872">
        <f t="shared" si="147"/>
        <v>0</v>
      </c>
      <c r="DQ281" s="872">
        <f t="shared" si="147"/>
        <v>0</v>
      </c>
      <c r="DR281" s="872">
        <f t="shared" si="147"/>
        <v>0</v>
      </c>
      <c r="DS281" s="872">
        <f t="shared" si="147"/>
        <v>0</v>
      </c>
      <c r="DT281" s="872">
        <f t="shared" si="147"/>
        <v>0</v>
      </c>
      <c r="DU281" s="872">
        <f t="shared" si="147"/>
        <v>0</v>
      </c>
      <c r="DV281" s="872">
        <f t="shared" si="147"/>
        <v>0</v>
      </c>
      <c r="DW281" s="872">
        <f t="shared" si="147"/>
        <v>0</v>
      </c>
      <c r="DX281" s="873">
        <f t="shared" si="147"/>
        <v>0</v>
      </c>
      <c r="DY281" s="872">
        <f t="shared" si="147"/>
        <v>0</v>
      </c>
      <c r="DZ281" s="872">
        <f t="shared" ref="DZ281:EV281" si="148">SUMIFS(DZ$5:DZ$254,$E$5:$E$254,$E281,$F$5:$F$254,$F281)</f>
        <v>0</v>
      </c>
      <c r="EA281" s="872">
        <f t="shared" si="148"/>
        <v>0</v>
      </c>
      <c r="EB281" s="872">
        <f t="shared" si="148"/>
        <v>0</v>
      </c>
      <c r="EC281" s="872">
        <f t="shared" si="148"/>
        <v>0</v>
      </c>
      <c r="ED281" s="872">
        <f t="shared" si="148"/>
        <v>0</v>
      </c>
      <c r="EE281" s="872">
        <f t="shared" si="148"/>
        <v>0</v>
      </c>
      <c r="EF281" s="872">
        <f t="shared" si="148"/>
        <v>0</v>
      </c>
      <c r="EG281" s="872">
        <f t="shared" si="148"/>
        <v>0</v>
      </c>
      <c r="EH281" s="872">
        <f t="shared" si="148"/>
        <v>0</v>
      </c>
      <c r="EI281" s="872">
        <f t="shared" si="148"/>
        <v>0</v>
      </c>
      <c r="EJ281" s="873">
        <f t="shared" si="148"/>
        <v>0</v>
      </c>
      <c r="EK281" s="872">
        <f t="shared" si="148"/>
        <v>0</v>
      </c>
      <c r="EL281" s="872">
        <f t="shared" si="148"/>
        <v>0</v>
      </c>
      <c r="EM281" s="872">
        <f t="shared" si="148"/>
        <v>0</v>
      </c>
      <c r="EN281" s="872">
        <f t="shared" si="148"/>
        <v>0</v>
      </c>
      <c r="EO281" s="872">
        <f t="shared" si="148"/>
        <v>0</v>
      </c>
      <c r="EP281" s="872">
        <f t="shared" si="148"/>
        <v>0</v>
      </c>
      <c r="EQ281" s="872">
        <f t="shared" si="148"/>
        <v>0</v>
      </c>
      <c r="ER281" s="872">
        <f t="shared" si="148"/>
        <v>0</v>
      </c>
      <c r="ES281" s="872">
        <f t="shared" si="148"/>
        <v>0</v>
      </c>
      <c r="ET281" s="872">
        <f t="shared" si="148"/>
        <v>0</v>
      </c>
      <c r="EU281" s="872">
        <f t="shared" si="148"/>
        <v>0</v>
      </c>
      <c r="EV281" s="872">
        <f t="shared" si="148"/>
        <v>0</v>
      </c>
      <c r="EW281" s="878">
        <f t="shared" si="48"/>
        <v>0</v>
      </c>
      <c r="EX281" s="872">
        <f t="shared" si="118"/>
        <v>0</v>
      </c>
      <c r="EY281" s="1537"/>
      <c r="EZ281" s="875">
        <f>SUMIF('Monthly Summary'!$C$74:BV$74,"",'Resource Costs'!$CC281:EV281)</f>
        <v>0</v>
      </c>
      <c r="FA281" s="1539"/>
    </row>
    <row r="282" spans="1:157">
      <c r="A282" s="745"/>
      <c r="B282" s="745"/>
      <c r="C282" s="745"/>
      <c r="D282" s="745"/>
      <c r="E282" s="772"/>
      <c r="F282" s="746"/>
      <c r="G282" s="745"/>
      <c r="H282" s="773"/>
      <c r="I282" s="768"/>
      <c r="J282" s="768"/>
      <c r="K282" s="768"/>
      <c r="L282" s="768"/>
      <c r="M282" s="768"/>
      <c r="N282" s="768"/>
      <c r="O282" s="768"/>
      <c r="P282" s="768"/>
      <c r="Q282" s="768"/>
      <c r="R282" s="768"/>
      <c r="S282" s="769"/>
      <c r="T282" s="770"/>
      <c r="U282" s="768"/>
      <c r="V282" s="768"/>
      <c r="W282" s="768"/>
      <c r="X282" s="768"/>
      <c r="Y282" s="768"/>
      <c r="Z282" s="768"/>
      <c r="AA282" s="768"/>
      <c r="AB282" s="768"/>
      <c r="AC282" s="768"/>
      <c r="AD282" s="768"/>
      <c r="AE282" s="769"/>
      <c r="AF282" s="770"/>
      <c r="AG282" s="768"/>
      <c r="AH282" s="768"/>
      <c r="AI282" s="768"/>
      <c r="AJ282" s="768"/>
      <c r="AK282" s="768"/>
      <c r="AL282" s="768"/>
      <c r="AM282" s="768"/>
      <c r="AN282" s="768"/>
      <c r="AO282" s="768"/>
      <c r="AP282" s="768"/>
      <c r="AQ282" s="769"/>
      <c r="AR282" s="768"/>
      <c r="AS282" s="768"/>
      <c r="AT282" s="768"/>
      <c r="AU282" s="768"/>
      <c r="AV282" s="768"/>
      <c r="AW282" s="768"/>
      <c r="AX282" s="768"/>
      <c r="AY282" s="768"/>
      <c r="AZ282" s="768"/>
      <c r="BA282" s="768"/>
      <c r="BB282" s="768"/>
      <c r="BC282" s="768"/>
      <c r="BD282" s="770"/>
      <c r="BE282" s="768"/>
      <c r="BF282" s="768"/>
      <c r="BG282" s="768"/>
      <c r="BH282" s="768"/>
      <c r="BI282" s="768"/>
      <c r="BJ282" s="768"/>
      <c r="BK282" s="768"/>
      <c r="BL282" s="768"/>
      <c r="BM282" s="768"/>
      <c r="BN282" s="768"/>
      <c r="BO282" s="769"/>
      <c r="BP282" s="768"/>
      <c r="BQ282" s="768"/>
      <c r="BR282" s="768"/>
      <c r="BS282" s="768"/>
      <c r="BT282" s="768"/>
      <c r="BU282" s="768"/>
      <c r="BV282" s="768"/>
      <c r="BW282" s="768"/>
      <c r="BX282" s="768"/>
      <c r="BY282" s="768"/>
      <c r="BZ282" s="768"/>
      <c r="CA282" s="768"/>
      <c r="CB282" s="747"/>
      <c r="CC282" s="872"/>
      <c r="CD282" s="872"/>
      <c r="CE282" s="872"/>
      <c r="CF282" s="872"/>
      <c r="CG282" s="872"/>
      <c r="CH282" s="872"/>
      <c r="CI282" s="872"/>
      <c r="CJ282" s="872"/>
      <c r="CK282" s="872"/>
      <c r="CL282" s="872"/>
      <c r="CM282" s="872"/>
      <c r="CN282" s="873"/>
      <c r="CO282" s="872"/>
      <c r="CP282" s="872"/>
      <c r="CQ282" s="872"/>
      <c r="CR282" s="872"/>
      <c r="CS282" s="872"/>
      <c r="CT282" s="872"/>
      <c r="CU282" s="872"/>
      <c r="CV282" s="872"/>
      <c r="CW282" s="872"/>
      <c r="CX282" s="872"/>
      <c r="CY282" s="872"/>
      <c r="CZ282" s="873"/>
      <c r="DA282" s="872"/>
      <c r="DB282" s="872"/>
      <c r="DC282" s="872"/>
      <c r="DD282" s="872"/>
      <c r="DE282" s="872"/>
      <c r="DF282" s="872"/>
      <c r="DG282" s="872"/>
      <c r="DH282" s="872"/>
      <c r="DI282" s="872"/>
      <c r="DJ282" s="872"/>
      <c r="DK282" s="872"/>
      <c r="DL282" s="873"/>
      <c r="DM282" s="872"/>
      <c r="DN282" s="872"/>
      <c r="DO282" s="872"/>
      <c r="DP282" s="872"/>
      <c r="DQ282" s="872"/>
      <c r="DR282" s="872"/>
      <c r="DS282" s="872"/>
      <c r="DT282" s="872"/>
      <c r="DU282" s="872"/>
      <c r="DV282" s="872"/>
      <c r="DW282" s="872"/>
      <c r="DX282" s="873"/>
      <c r="DY282" s="872"/>
      <c r="DZ282" s="872"/>
      <c r="EA282" s="872"/>
      <c r="EB282" s="872"/>
      <c r="EC282" s="872"/>
      <c r="ED282" s="872"/>
      <c r="EE282" s="872"/>
      <c r="EF282" s="872"/>
      <c r="EG282" s="872"/>
      <c r="EH282" s="872"/>
      <c r="EI282" s="872"/>
      <c r="EJ282" s="873"/>
      <c r="EK282" s="872"/>
      <c r="EL282" s="872"/>
      <c r="EM282" s="872"/>
      <c r="EN282" s="872"/>
      <c r="EO282" s="872"/>
      <c r="EP282" s="872"/>
      <c r="EQ282" s="872"/>
      <c r="ER282" s="872"/>
      <c r="ES282" s="872"/>
      <c r="ET282" s="872"/>
      <c r="EU282" s="872"/>
      <c r="EV282" s="872"/>
      <c r="EW282" s="878"/>
      <c r="EX282" s="872"/>
      <c r="EZ282" s="875"/>
      <c r="FA282" s="1539"/>
    </row>
    <row r="283" spans="1:157">
      <c r="A283" s="745"/>
      <c r="B283" s="745"/>
      <c r="C283" s="745"/>
      <c r="D283" s="766" t="s">
        <v>18</v>
      </c>
      <c r="E283" s="766" t="str">
        <f>Variables!$A$47</f>
        <v>User Defined #3</v>
      </c>
      <c r="F283" s="766" t="s">
        <v>20</v>
      </c>
      <c r="G283" s="745"/>
      <c r="H283" s="767">
        <f t="shared" ref="H283:AM283" si="149">SUMIFS(H$5:H$254,$E$5:$E$254,$E283,$F$5:$F$254,$F283)</f>
        <v>0</v>
      </c>
      <c r="I283" s="768">
        <f t="shared" si="149"/>
        <v>0</v>
      </c>
      <c r="J283" s="768">
        <f t="shared" si="149"/>
        <v>0</v>
      </c>
      <c r="K283" s="768">
        <f t="shared" si="149"/>
        <v>0</v>
      </c>
      <c r="L283" s="768">
        <f t="shared" si="149"/>
        <v>0</v>
      </c>
      <c r="M283" s="768">
        <f t="shared" si="149"/>
        <v>0</v>
      </c>
      <c r="N283" s="768">
        <f t="shared" si="149"/>
        <v>0</v>
      </c>
      <c r="O283" s="768">
        <f t="shared" si="149"/>
        <v>0</v>
      </c>
      <c r="P283" s="768">
        <f t="shared" si="149"/>
        <v>0</v>
      </c>
      <c r="Q283" s="768">
        <f t="shared" si="149"/>
        <v>0</v>
      </c>
      <c r="R283" s="768">
        <f t="shared" si="149"/>
        <v>0</v>
      </c>
      <c r="S283" s="769">
        <f t="shared" si="149"/>
        <v>0</v>
      </c>
      <c r="T283" s="770">
        <f t="shared" si="149"/>
        <v>0</v>
      </c>
      <c r="U283" s="768">
        <f t="shared" si="149"/>
        <v>0</v>
      </c>
      <c r="V283" s="768">
        <f t="shared" si="149"/>
        <v>0</v>
      </c>
      <c r="W283" s="768">
        <f t="shared" si="149"/>
        <v>0</v>
      </c>
      <c r="X283" s="768">
        <f t="shared" si="149"/>
        <v>0</v>
      </c>
      <c r="Y283" s="768">
        <f t="shared" si="149"/>
        <v>0</v>
      </c>
      <c r="Z283" s="768">
        <f t="shared" si="149"/>
        <v>0</v>
      </c>
      <c r="AA283" s="768">
        <f t="shared" si="149"/>
        <v>0</v>
      </c>
      <c r="AB283" s="768">
        <f t="shared" si="149"/>
        <v>0</v>
      </c>
      <c r="AC283" s="768">
        <f t="shared" si="149"/>
        <v>0</v>
      </c>
      <c r="AD283" s="768">
        <f t="shared" si="149"/>
        <v>0</v>
      </c>
      <c r="AE283" s="769">
        <f t="shared" si="149"/>
        <v>0</v>
      </c>
      <c r="AF283" s="770">
        <f t="shared" si="149"/>
        <v>0</v>
      </c>
      <c r="AG283" s="768">
        <f t="shared" si="149"/>
        <v>0</v>
      </c>
      <c r="AH283" s="768">
        <f t="shared" si="149"/>
        <v>0</v>
      </c>
      <c r="AI283" s="768">
        <f t="shared" si="149"/>
        <v>0</v>
      </c>
      <c r="AJ283" s="768">
        <f t="shared" si="149"/>
        <v>0</v>
      </c>
      <c r="AK283" s="768">
        <f t="shared" si="149"/>
        <v>0</v>
      </c>
      <c r="AL283" s="768">
        <f t="shared" si="149"/>
        <v>0</v>
      </c>
      <c r="AM283" s="768">
        <f t="shared" si="149"/>
        <v>0</v>
      </c>
      <c r="AN283" s="768">
        <f t="shared" ref="AN283:BS283" si="150">SUMIFS(AN$5:AN$254,$E$5:$E$254,$E283,$F$5:$F$254,$F283)</f>
        <v>0</v>
      </c>
      <c r="AO283" s="768">
        <f t="shared" si="150"/>
        <v>0</v>
      </c>
      <c r="AP283" s="768">
        <f t="shared" si="150"/>
        <v>0</v>
      </c>
      <c r="AQ283" s="769">
        <f t="shared" si="150"/>
        <v>0</v>
      </c>
      <c r="AR283" s="768">
        <f t="shared" si="150"/>
        <v>0</v>
      </c>
      <c r="AS283" s="768">
        <f t="shared" si="150"/>
        <v>0</v>
      </c>
      <c r="AT283" s="768">
        <f t="shared" si="150"/>
        <v>0</v>
      </c>
      <c r="AU283" s="768">
        <f t="shared" si="150"/>
        <v>0</v>
      </c>
      <c r="AV283" s="768">
        <f t="shared" si="150"/>
        <v>0</v>
      </c>
      <c r="AW283" s="768">
        <f t="shared" si="150"/>
        <v>0</v>
      </c>
      <c r="AX283" s="768">
        <f t="shared" si="150"/>
        <v>0</v>
      </c>
      <c r="AY283" s="768">
        <f t="shared" si="150"/>
        <v>0</v>
      </c>
      <c r="AZ283" s="768">
        <f t="shared" si="150"/>
        <v>0</v>
      </c>
      <c r="BA283" s="768">
        <f t="shared" si="150"/>
        <v>0</v>
      </c>
      <c r="BB283" s="768">
        <f t="shared" si="150"/>
        <v>0</v>
      </c>
      <c r="BC283" s="768">
        <f t="shared" si="150"/>
        <v>0</v>
      </c>
      <c r="BD283" s="770">
        <f t="shared" si="150"/>
        <v>0</v>
      </c>
      <c r="BE283" s="768">
        <f t="shared" si="150"/>
        <v>0</v>
      </c>
      <c r="BF283" s="768">
        <f t="shared" si="150"/>
        <v>0</v>
      </c>
      <c r="BG283" s="768">
        <f t="shared" si="150"/>
        <v>0</v>
      </c>
      <c r="BH283" s="768">
        <f t="shared" si="150"/>
        <v>0</v>
      </c>
      <c r="BI283" s="768">
        <f t="shared" si="150"/>
        <v>0</v>
      </c>
      <c r="BJ283" s="768">
        <f t="shared" si="150"/>
        <v>0</v>
      </c>
      <c r="BK283" s="768">
        <f t="shared" si="150"/>
        <v>0</v>
      </c>
      <c r="BL283" s="768">
        <f t="shared" si="150"/>
        <v>0</v>
      </c>
      <c r="BM283" s="768">
        <f t="shared" si="150"/>
        <v>0</v>
      </c>
      <c r="BN283" s="768">
        <f t="shared" si="150"/>
        <v>0</v>
      </c>
      <c r="BO283" s="769">
        <f t="shared" si="150"/>
        <v>0</v>
      </c>
      <c r="BP283" s="768">
        <f t="shared" si="150"/>
        <v>0</v>
      </c>
      <c r="BQ283" s="768">
        <f t="shared" si="150"/>
        <v>0</v>
      </c>
      <c r="BR283" s="768">
        <f t="shared" si="150"/>
        <v>0</v>
      </c>
      <c r="BS283" s="768">
        <f t="shared" si="150"/>
        <v>0</v>
      </c>
      <c r="BT283" s="768">
        <f t="shared" ref="BT283:CA283" si="151">SUMIFS(BT$5:BT$254,$E$5:$E$254,$E283,$F$5:$F$254,$F283)</f>
        <v>0</v>
      </c>
      <c r="BU283" s="768">
        <f t="shared" si="151"/>
        <v>0</v>
      </c>
      <c r="BV283" s="768">
        <f t="shared" si="151"/>
        <v>0</v>
      </c>
      <c r="BW283" s="768">
        <f t="shared" si="151"/>
        <v>0</v>
      </c>
      <c r="BX283" s="768">
        <f t="shared" si="151"/>
        <v>0</v>
      </c>
      <c r="BY283" s="768">
        <f t="shared" si="151"/>
        <v>0</v>
      </c>
      <c r="BZ283" s="768">
        <f t="shared" si="151"/>
        <v>0</v>
      </c>
      <c r="CA283" s="768">
        <f t="shared" si="151"/>
        <v>0</v>
      </c>
      <c r="CB283" s="747"/>
      <c r="CC283" s="872">
        <f t="shared" ref="CC283:DH283" si="152">SUMIFS(CC$5:CC$254,$E$5:$E$254,$E283,$F$5:$F$254,$F283)</f>
        <v>0</v>
      </c>
      <c r="CD283" s="872">
        <f t="shared" si="152"/>
        <v>0</v>
      </c>
      <c r="CE283" s="872">
        <f t="shared" si="152"/>
        <v>0</v>
      </c>
      <c r="CF283" s="872">
        <f t="shared" si="152"/>
        <v>0</v>
      </c>
      <c r="CG283" s="872">
        <f t="shared" si="152"/>
        <v>0</v>
      </c>
      <c r="CH283" s="872">
        <f t="shared" si="152"/>
        <v>0</v>
      </c>
      <c r="CI283" s="872">
        <f t="shared" si="152"/>
        <v>0</v>
      </c>
      <c r="CJ283" s="872">
        <f t="shared" si="152"/>
        <v>0</v>
      </c>
      <c r="CK283" s="872">
        <f t="shared" si="152"/>
        <v>0</v>
      </c>
      <c r="CL283" s="872">
        <f t="shared" si="152"/>
        <v>0</v>
      </c>
      <c r="CM283" s="872">
        <f t="shared" si="152"/>
        <v>0</v>
      </c>
      <c r="CN283" s="873">
        <f t="shared" si="152"/>
        <v>0</v>
      </c>
      <c r="CO283" s="872">
        <f t="shared" si="152"/>
        <v>0</v>
      </c>
      <c r="CP283" s="872">
        <f t="shared" si="152"/>
        <v>0</v>
      </c>
      <c r="CQ283" s="872">
        <f t="shared" si="152"/>
        <v>0</v>
      </c>
      <c r="CR283" s="872">
        <f t="shared" si="152"/>
        <v>0</v>
      </c>
      <c r="CS283" s="872">
        <f t="shared" si="152"/>
        <v>0</v>
      </c>
      <c r="CT283" s="872">
        <f t="shared" si="152"/>
        <v>0</v>
      </c>
      <c r="CU283" s="872">
        <f t="shared" si="152"/>
        <v>0</v>
      </c>
      <c r="CV283" s="872">
        <f t="shared" si="152"/>
        <v>0</v>
      </c>
      <c r="CW283" s="872">
        <f t="shared" si="152"/>
        <v>0</v>
      </c>
      <c r="CX283" s="872">
        <f t="shared" si="152"/>
        <v>0</v>
      </c>
      <c r="CY283" s="872">
        <f t="shared" si="152"/>
        <v>0</v>
      </c>
      <c r="CZ283" s="873">
        <f t="shared" si="152"/>
        <v>0</v>
      </c>
      <c r="DA283" s="872">
        <f t="shared" si="152"/>
        <v>0</v>
      </c>
      <c r="DB283" s="872">
        <f t="shared" si="152"/>
        <v>0</v>
      </c>
      <c r="DC283" s="872">
        <f t="shared" si="152"/>
        <v>0</v>
      </c>
      <c r="DD283" s="872">
        <f t="shared" si="152"/>
        <v>0</v>
      </c>
      <c r="DE283" s="872">
        <f t="shared" si="152"/>
        <v>0</v>
      </c>
      <c r="DF283" s="872">
        <f t="shared" si="152"/>
        <v>0</v>
      </c>
      <c r="DG283" s="872">
        <f t="shared" si="152"/>
        <v>0</v>
      </c>
      <c r="DH283" s="872">
        <f t="shared" si="152"/>
        <v>0</v>
      </c>
      <c r="DI283" s="872">
        <f t="shared" ref="DI283:EN283" si="153">SUMIFS(DI$5:DI$254,$E$5:$E$254,$E283,$F$5:$F$254,$F283)</f>
        <v>0</v>
      </c>
      <c r="DJ283" s="872">
        <f t="shared" si="153"/>
        <v>0</v>
      </c>
      <c r="DK283" s="872">
        <f t="shared" si="153"/>
        <v>0</v>
      </c>
      <c r="DL283" s="873">
        <f t="shared" si="153"/>
        <v>0</v>
      </c>
      <c r="DM283" s="872">
        <f t="shared" si="153"/>
        <v>0</v>
      </c>
      <c r="DN283" s="872">
        <f t="shared" si="153"/>
        <v>0</v>
      </c>
      <c r="DO283" s="872">
        <f t="shared" si="153"/>
        <v>0</v>
      </c>
      <c r="DP283" s="872">
        <f t="shared" si="153"/>
        <v>0</v>
      </c>
      <c r="DQ283" s="872">
        <f t="shared" si="153"/>
        <v>0</v>
      </c>
      <c r="DR283" s="872">
        <f t="shared" si="153"/>
        <v>0</v>
      </c>
      <c r="DS283" s="872">
        <f t="shared" si="153"/>
        <v>0</v>
      </c>
      <c r="DT283" s="872">
        <f t="shared" si="153"/>
        <v>0</v>
      </c>
      <c r="DU283" s="872">
        <f t="shared" si="153"/>
        <v>0</v>
      </c>
      <c r="DV283" s="872">
        <f t="shared" si="153"/>
        <v>0</v>
      </c>
      <c r="DW283" s="872">
        <f t="shared" si="153"/>
        <v>0</v>
      </c>
      <c r="DX283" s="873">
        <f t="shared" si="153"/>
        <v>0</v>
      </c>
      <c r="DY283" s="872">
        <f t="shared" si="153"/>
        <v>0</v>
      </c>
      <c r="DZ283" s="872">
        <f t="shared" si="153"/>
        <v>0</v>
      </c>
      <c r="EA283" s="872">
        <f t="shared" si="153"/>
        <v>0</v>
      </c>
      <c r="EB283" s="872">
        <f t="shared" si="153"/>
        <v>0</v>
      </c>
      <c r="EC283" s="872">
        <f t="shared" si="153"/>
        <v>0</v>
      </c>
      <c r="ED283" s="872">
        <f t="shared" si="153"/>
        <v>0</v>
      </c>
      <c r="EE283" s="872">
        <f t="shared" si="153"/>
        <v>0</v>
      </c>
      <c r="EF283" s="872">
        <f t="shared" si="153"/>
        <v>0</v>
      </c>
      <c r="EG283" s="872">
        <f t="shared" si="153"/>
        <v>0</v>
      </c>
      <c r="EH283" s="872">
        <f t="shared" si="153"/>
        <v>0</v>
      </c>
      <c r="EI283" s="872">
        <f t="shared" si="153"/>
        <v>0</v>
      </c>
      <c r="EJ283" s="873">
        <f t="shared" si="153"/>
        <v>0</v>
      </c>
      <c r="EK283" s="872">
        <f t="shared" si="153"/>
        <v>0</v>
      </c>
      <c r="EL283" s="872">
        <f t="shared" si="153"/>
        <v>0</v>
      </c>
      <c r="EM283" s="872">
        <f t="shared" si="153"/>
        <v>0</v>
      </c>
      <c r="EN283" s="872">
        <f t="shared" si="153"/>
        <v>0</v>
      </c>
      <c r="EO283" s="872">
        <f t="shared" ref="EO283:EV283" si="154">SUMIFS(EO$5:EO$254,$E$5:$E$254,$E283,$F$5:$F$254,$F283)</f>
        <v>0</v>
      </c>
      <c r="EP283" s="872">
        <f t="shared" si="154"/>
        <v>0</v>
      </c>
      <c r="EQ283" s="872">
        <f t="shared" si="154"/>
        <v>0</v>
      </c>
      <c r="ER283" s="872">
        <f t="shared" si="154"/>
        <v>0</v>
      </c>
      <c r="ES283" s="872">
        <f t="shared" si="154"/>
        <v>0</v>
      </c>
      <c r="ET283" s="872">
        <f t="shared" si="154"/>
        <v>0</v>
      </c>
      <c r="EU283" s="872">
        <f t="shared" si="154"/>
        <v>0</v>
      </c>
      <c r="EV283" s="872">
        <f t="shared" si="154"/>
        <v>0</v>
      </c>
      <c r="EW283" s="878">
        <f t="shared" si="48"/>
        <v>0</v>
      </c>
      <c r="EX283" s="872">
        <f t="shared" si="118"/>
        <v>0</v>
      </c>
      <c r="EY283" s="1537">
        <f>IF((SUM('Monthly Summary'!$C$13:BV$13,'Monthly Summary'!$C$46:BV$46)-'Monthly Summary'!BW$13-'Monthly Summary'!BW$46)=0,0,(EX283+EX284)/(SUM('Monthly Summary'!$C$13:BV$13,'Monthly Summary'!$C$46:BV$46)-'Monthly Summary'!BW$13-'Monthly Summary'!BW$46))</f>
        <v>0</v>
      </c>
      <c r="EZ283" s="875">
        <f>SUMIF('Monthly Summary'!$C$75:BV$75,"",'Resource Costs'!$CC283:EV283)</f>
        <v>0</v>
      </c>
      <c r="FA283" s="1539"/>
    </row>
    <row r="284" spans="1:157">
      <c r="A284" s="745"/>
      <c r="B284" s="745"/>
      <c r="C284" s="745"/>
      <c r="D284" s="766" t="s">
        <v>18</v>
      </c>
      <c r="E284" s="766" t="str">
        <f>Variables!$A$47</f>
        <v>User Defined #3</v>
      </c>
      <c r="F284" s="766" t="s">
        <v>21</v>
      </c>
      <c r="G284" s="745"/>
      <c r="H284" s="767">
        <f t="shared" ref="H284:X284" si="155">SUMIFS(H$5:H$254,$E$5:$E$254,$E284,$F$5:$F$254,$F284)</f>
        <v>0</v>
      </c>
      <c r="I284" s="768">
        <f t="shared" si="155"/>
        <v>0</v>
      </c>
      <c r="J284" s="768">
        <f>SUMIFS(J$5:J$254,$E$5:$E$254,$E284,$F$5:$F$254,$F284)</f>
        <v>0</v>
      </c>
      <c r="K284" s="768">
        <f t="shared" si="155"/>
        <v>0</v>
      </c>
      <c r="L284" s="768">
        <f t="shared" si="155"/>
        <v>0</v>
      </c>
      <c r="M284" s="768">
        <f t="shared" si="155"/>
        <v>0</v>
      </c>
      <c r="N284" s="768">
        <f t="shared" si="155"/>
        <v>0</v>
      </c>
      <c r="O284" s="768">
        <f t="shared" si="155"/>
        <v>0</v>
      </c>
      <c r="P284" s="768">
        <f t="shared" si="155"/>
        <v>0</v>
      </c>
      <c r="Q284" s="768">
        <f t="shared" si="155"/>
        <v>0</v>
      </c>
      <c r="R284" s="768">
        <f t="shared" si="155"/>
        <v>0</v>
      </c>
      <c r="S284" s="769">
        <f t="shared" si="155"/>
        <v>0</v>
      </c>
      <c r="T284" s="770">
        <f t="shared" si="155"/>
        <v>0</v>
      </c>
      <c r="U284" s="768">
        <f t="shared" si="155"/>
        <v>0</v>
      </c>
      <c r="V284" s="768">
        <f t="shared" si="155"/>
        <v>0</v>
      </c>
      <c r="W284" s="768">
        <f t="shared" si="155"/>
        <v>0</v>
      </c>
      <c r="X284" s="768">
        <f t="shared" si="155"/>
        <v>0</v>
      </c>
      <c r="Y284" s="768">
        <f t="shared" ref="Y284:BD284" si="156">SUMIFS(Y$5:Y$254,$E$5:$E$254,$E284,$F$5:$F$254,$F284)</f>
        <v>0</v>
      </c>
      <c r="Z284" s="768">
        <f t="shared" si="156"/>
        <v>0</v>
      </c>
      <c r="AA284" s="768">
        <f t="shared" si="156"/>
        <v>0</v>
      </c>
      <c r="AB284" s="768">
        <f t="shared" si="156"/>
        <v>0</v>
      </c>
      <c r="AC284" s="768">
        <f t="shared" si="156"/>
        <v>0</v>
      </c>
      <c r="AD284" s="768">
        <f t="shared" si="156"/>
        <v>0</v>
      </c>
      <c r="AE284" s="769">
        <f t="shared" si="156"/>
        <v>0</v>
      </c>
      <c r="AF284" s="770">
        <f t="shared" si="156"/>
        <v>0</v>
      </c>
      <c r="AG284" s="768">
        <f t="shared" si="156"/>
        <v>0</v>
      </c>
      <c r="AH284" s="768">
        <f t="shared" si="156"/>
        <v>0</v>
      </c>
      <c r="AI284" s="768">
        <f t="shared" si="156"/>
        <v>0</v>
      </c>
      <c r="AJ284" s="768">
        <f t="shared" si="156"/>
        <v>0</v>
      </c>
      <c r="AK284" s="768">
        <f t="shared" si="156"/>
        <v>0</v>
      </c>
      <c r="AL284" s="768">
        <f t="shared" si="156"/>
        <v>0</v>
      </c>
      <c r="AM284" s="768">
        <f t="shared" si="156"/>
        <v>0</v>
      </c>
      <c r="AN284" s="768">
        <f t="shared" si="156"/>
        <v>0</v>
      </c>
      <c r="AO284" s="768">
        <f t="shared" si="156"/>
        <v>0</v>
      </c>
      <c r="AP284" s="768">
        <f t="shared" si="156"/>
        <v>0</v>
      </c>
      <c r="AQ284" s="769">
        <f t="shared" si="156"/>
        <v>0</v>
      </c>
      <c r="AR284" s="768">
        <f t="shared" si="156"/>
        <v>0</v>
      </c>
      <c r="AS284" s="768">
        <f t="shared" si="156"/>
        <v>0</v>
      </c>
      <c r="AT284" s="768">
        <f t="shared" si="156"/>
        <v>0</v>
      </c>
      <c r="AU284" s="768">
        <f t="shared" si="156"/>
        <v>0</v>
      </c>
      <c r="AV284" s="768">
        <f t="shared" si="156"/>
        <v>0</v>
      </c>
      <c r="AW284" s="768">
        <f t="shared" si="156"/>
        <v>0</v>
      </c>
      <c r="AX284" s="768">
        <f t="shared" si="156"/>
        <v>0</v>
      </c>
      <c r="AY284" s="768">
        <f t="shared" si="156"/>
        <v>0</v>
      </c>
      <c r="AZ284" s="768">
        <f t="shared" si="156"/>
        <v>0</v>
      </c>
      <c r="BA284" s="768">
        <f t="shared" si="156"/>
        <v>0</v>
      </c>
      <c r="BB284" s="768">
        <f t="shared" si="156"/>
        <v>0</v>
      </c>
      <c r="BC284" s="768">
        <f t="shared" si="156"/>
        <v>0</v>
      </c>
      <c r="BD284" s="770">
        <f t="shared" si="156"/>
        <v>0</v>
      </c>
      <c r="BE284" s="768">
        <f t="shared" ref="BE284:CA284" si="157">SUMIFS(BE$5:BE$254,$E$5:$E$254,$E284,$F$5:$F$254,$F284)</f>
        <v>0</v>
      </c>
      <c r="BF284" s="768">
        <f t="shared" si="157"/>
        <v>0</v>
      </c>
      <c r="BG284" s="768">
        <f t="shared" si="157"/>
        <v>0</v>
      </c>
      <c r="BH284" s="768">
        <f t="shared" si="157"/>
        <v>0</v>
      </c>
      <c r="BI284" s="768">
        <f t="shared" si="157"/>
        <v>0</v>
      </c>
      <c r="BJ284" s="768">
        <f t="shared" si="157"/>
        <v>0</v>
      </c>
      <c r="BK284" s="768">
        <f t="shared" si="157"/>
        <v>0</v>
      </c>
      <c r="BL284" s="768">
        <f t="shared" si="157"/>
        <v>0</v>
      </c>
      <c r="BM284" s="768">
        <f t="shared" si="157"/>
        <v>0</v>
      </c>
      <c r="BN284" s="768">
        <f t="shared" si="157"/>
        <v>0</v>
      </c>
      <c r="BO284" s="769">
        <f t="shared" si="157"/>
        <v>0</v>
      </c>
      <c r="BP284" s="768">
        <f t="shared" si="157"/>
        <v>0</v>
      </c>
      <c r="BQ284" s="768">
        <f t="shared" si="157"/>
        <v>0</v>
      </c>
      <c r="BR284" s="768">
        <f t="shared" si="157"/>
        <v>0</v>
      </c>
      <c r="BS284" s="768">
        <f t="shared" si="157"/>
        <v>0</v>
      </c>
      <c r="BT284" s="768">
        <f t="shared" si="157"/>
        <v>0</v>
      </c>
      <c r="BU284" s="768">
        <f t="shared" si="157"/>
        <v>0</v>
      </c>
      <c r="BV284" s="768">
        <f t="shared" si="157"/>
        <v>0</v>
      </c>
      <c r="BW284" s="768">
        <f t="shared" si="157"/>
        <v>0</v>
      </c>
      <c r="BX284" s="768">
        <f t="shared" si="157"/>
        <v>0</v>
      </c>
      <c r="BY284" s="768">
        <f t="shared" si="157"/>
        <v>0</v>
      </c>
      <c r="BZ284" s="768">
        <f t="shared" si="157"/>
        <v>0</v>
      </c>
      <c r="CA284" s="768">
        <f t="shared" si="157"/>
        <v>0</v>
      </c>
      <c r="CB284" s="747"/>
      <c r="CC284" s="872">
        <f t="shared" ref="CC284:CS284" si="158">SUMIFS(CC$5:CC$254,$E$5:$E$254,$E284,$F$5:$F$254,$F284)</f>
        <v>0</v>
      </c>
      <c r="CD284" s="872">
        <f t="shared" si="158"/>
        <v>0</v>
      </c>
      <c r="CE284" s="872">
        <f>SUMIFS(CE$5:CE$254,$E$5:$E$254,$E284,$F$5:$F$254,$F284)</f>
        <v>0</v>
      </c>
      <c r="CF284" s="872">
        <f t="shared" si="158"/>
        <v>0</v>
      </c>
      <c r="CG284" s="872">
        <f t="shared" si="158"/>
        <v>0</v>
      </c>
      <c r="CH284" s="872">
        <f t="shared" si="158"/>
        <v>0</v>
      </c>
      <c r="CI284" s="872">
        <f t="shared" si="158"/>
        <v>0</v>
      </c>
      <c r="CJ284" s="872">
        <f t="shared" si="158"/>
        <v>0</v>
      </c>
      <c r="CK284" s="872">
        <f t="shared" si="158"/>
        <v>0</v>
      </c>
      <c r="CL284" s="872">
        <f t="shared" si="158"/>
        <v>0</v>
      </c>
      <c r="CM284" s="872">
        <f t="shared" si="158"/>
        <v>0</v>
      </c>
      <c r="CN284" s="873">
        <f t="shared" si="158"/>
        <v>0</v>
      </c>
      <c r="CO284" s="872">
        <f t="shared" si="158"/>
        <v>0</v>
      </c>
      <c r="CP284" s="872">
        <f t="shared" si="158"/>
        <v>0</v>
      </c>
      <c r="CQ284" s="872">
        <f t="shared" si="158"/>
        <v>0</v>
      </c>
      <c r="CR284" s="872">
        <f t="shared" si="158"/>
        <v>0</v>
      </c>
      <c r="CS284" s="872">
        <f t="shared" si="158"/>
        <v>0</v>
      </c>
      <c r="CT284" s="872">
        <f t="shared" ref="CT284:DY284" si="159">SUMIFS(CT$5:CT$254,$E$5:$E$254,$E284,$F$5:$F$254,$F284)</f>
        <v>0</v>
      </c>
      <c r="CU284" s="872">
        <f t="shared" si="159"/>
        <v>0</v>
      </c>
      <c r="CV284" s="872">
        <f t="shared" si="159"/>
        <v>0</v>
      </c>
      <c r="CW284" s="872">
        <f t="shared" si="159"/>
        <v>0</v>
      </c>
      <c r="CX284" s="872">
        <f t="shared" si="159"/>
        <v>0</v>
      </c>
      <c r="CY284" s="872">
        <f t="shared" si="159"/>
        <v>0</v>
      </c>
      <c r="CZ284" s="873">
        <f t="shared" si="159"/>
        <v>0</v>
      </c>
      <c r="DA284" s="872">
        <f t="shared" si="159"/>
        <v>0</v>
      </c>
      <c r="DB284" s="872">
        <f t="shared" si="159"/>
        <v>0</v>
      </c>
      <c r="DC284" s="872">
        <f t="shared" si="159"/>
        <v>0</v>
      </c>
      <c r="DD284" s="872">
        <f t="shared" si="159"/>
        <v>0</v>
      </c>
      <c r="DE284" s="872">
        <f t="shared" si="159"/>
        <v>0</v>
      </c>
      <c r="DF284" s="872">
        <f t="shared" si="159"/>
        <v>0</v>
      </c>
      <c r="DG284" s="872">
        <f t="shared" si="159"/>
        <v>0</v>
      </c>
      <c r="DH284" s="872">
        <f t="shared" si="159"/>
        <v>0</v>
      </c>
      <c r="DI284" s="872">
        <f t="shared" si="159"/>
        <v>0</v>
      </c>
      <c r="DJ284" s="872">
        <f t="shared" si="159"/>
        <v>0</v>
      </c>
      <c r="DK284" s="872">
        <f t="shared" si="159"/>
        <v>0</v>
      </c>
      <c r="DL284" s="873">
        <f t="shared" si="159"/>
        <v>0</v>
      </c>
      <c r="DM284" s="872">
        <f t="shared" si="159"/>
        <v>0</v>
      </c>
      <c r="DN284" s="872">
        <f t="shared" si="159"/>
        <v>0</v>
      </c>
      <c r="DO284" s="872">
        <f t="shared" si="159"/>
        <v>0</v>
      </c>
      <c r="DP284" s="872">
        <f t="shared" si="159"/>
        <v>0</v>
      </c>
      <c r="DQ284" s="872">
        <f t="shared" si="159"/>
        <v>0</v>
      </c>
      <c r="DR284" s="872">
        <f t="shared" si="159"/>
        <v>0</v>
      </c>
      <c r="DS284" s="872">
        <f t="shared" si="159"/>
        <v>0</v>
      </c>
      <c r="DT284" s="872">
        <f t="shared" si="159"/>
        <v>0</v>
      </c>
      <c r="DU284" s="872">
        <f t="shared" si="159"/>
        <v>0</v>
      </c>
      <c r="DV284" s="872">
        <f t="shared" si="159"/>
        <v>0</v>
      </c>
      <c r="DW284" s="872">
        <f t="shared" si="159"/>
        <v>0</v>
      </c>
      <c r="DX284" s="873">
        <f t="shared" si="159"/>
        <v>0</v>
      </c>
      <c r="DY284" s="872">
        <f t="shared" si="159"/>
        <v>0</v>
      </c>
      <c r="DZ284" s="872">
        <f t="shared" ref="DZ284:EV284" si="160">SUMIFS(DZ$5:DZ$254,$E$5:$E$254,$E284,$F$5:$F$254,$F284)</f>
        <v>0</v>
      </c>
      <c r="EA284" s="872">
        <f t="shared" si="160"/>
        <v>0</v>
      </c>
      <c r="EB284" s="872">
        <f t="shared" si="160"/>
        <v>0</v>
      </c>
      <c r="EC284" s="872">
        <f t="shared" si="160"/>
        <v>0</v>
      </c>
      <c r="ED284" s="872">
        <f t="shared" si="160"/>
        <v>0</v>
      </c>
      <c r="EE284" s="872">
        <f t="shared" si="160"/>
        <v>0</v>
      </c>
      <c r="EF284" s="872">
        <f t="shared" si="160"/>
        <v>0</v>
      </c>
      <c r="EG284" s="872">
        <f t="shared" si="160"/>
        <v>0</v>
      </c>
      <c r="EH284" s="872">
        <f t="shared" si="160"/>
        <v>0</v>
      </c>
      <c r="EI284" s="872">
        <f t="shared" si="160"/>
        <v>0</v>
      </c>
      <c r="EJ284" s="873">
        <f t="shared" si="160"/>
        <v>0</v>
      </c>
      <c r="EK284" s="872">
        <f t="shared" si="160"/>
        <v>0</v>
      </c>
      <c r="EL284" s="872">
        <f t="shared" si="160"/>
        <v>0</v>
      </c>
      <c r="EM284" s="872">
        <f t="shared" si="160"/>
        <v>0</v>
      </c>
      <c r="EN284" s="872">
        <f t="shared" si="160"/>
        <v>0</v>
      </c>
      <c r="EO284" s="872">
        <f t="shared" si="160"/>
        <v>0</v>
      </c>
      <c r="EP284" s="872">
        <f t="shared" si="160"/>
        <v>0</v>
      </c>
      <c r="EQ284" s="872">
        <f t="shared" si="160"/>
        <v>0</v>
      </c>
      <c r="ER284" s="872">
        <f t="shared" si="160"/>
        <v>0</v>
      </c>
      <c r="ES284" s="872">
        <f t="shared" si="160"/>
        <v>0</v>
      </c>
      <c r="ET284" s="872">
        <f t="shared" si="160"/>
        <v>0</v>
      </c>
      <c r="EU284" s="872">
        <f t="shared" si="160"/>
        <v>0</v>
      </c>
      <c r="EV284" s="872">
        <f t="shared" si="160"/>
        <v>0</v>
      </c>
      <c r="EW284" s="878">
        <f t="shared" si="48"/>
        <v>0</v>
      </c>
      <c r="EX284" s="872">
        <f t="shared" si="118"/>
        <v>0</v>
      </c>
      <c r="EY284" s="1537"/>
      <c r="EZ284" s="875">
        <f>SUMIF('Monthly Summary'!$C$74:BV$74,"",'Resource Costs'!$CC284:EV284)</f>
        <v>0</v>
      </c>
      <c r="FA284" s="1539"/>
    </row>
    <row r="285" spans="1:157">
      <c r="A285" s="745"/>
      <c r="B285" s="745"/>
      <c r="C285" s="745"/>
      <c r="D285" s="745"/>
      <c r="E285" s="772"/>
      <c r="F285" s="746"/>
      <c r="G285" s="745"/>
      <c r="H285" s="773"/>
      <c r="I285" s="768"/>
      <c r="J285" s="768"/>
      <c r="K285" s="768"/>
      <c r="L285" s="768"/>
      <c r="M285" s="768"/>
      <c r="N285" s="768"/>
      <c r="O285" s="768"/>
      <c r="P285" s="768"/>
      <c r="Q285" s="768"/>
      <c r="R285" s="768"/>
      <c r="S285" s="769"/>
      <c r="T285" s="770"/>
      <c r="U285" s="768"/>
      <c r="V285" s="768"/>
      <c r="W285" s="768"/>
      <c r="X285" s="768"/>
      <c r="Y285" s="768"/>
      <c r="Z285" s="768"/>
      <c r="AA285" s="768"/>
      <c r="AB285" s="768"/>
      <c r="AC285" s="768"/>
      <c r="AD285" s="768"/>
      <c r="AE285" s="769"/>
      <c r="AF285" s="770"/>
      <c r="AG285" s="768"/>
      <c r="AH285" s="768"/>
      <c r="AI285" s="768"/>
      <c r="AJ285" s="768"/>
      <c r="AK285" s="768"/>
      <c r="AL285" s="768"/>
      <c r="AM285" s="768"/>
      <c r="AN285" s="768"/>
      <c r="AO285" s="768"/>
      <c r="AP285" s="768"/>
      <c r="AQ285" s="769"/>
      <c r="AR285" s="768"/>
      <c r="AS285" s="768"/>
      <c r="AT285" s="768"/>
      <c r="AU285" s="768"/>
      <c r="AV285" s="768"/>
      <c r="AW285" s="768"/>
      <c r="AX285" s="768"/>
      <c r="AY285" s="768"/>
      <c r="AZ285" s="768"/>
      <c r="BA285" s="768"/>
      <c r="BB285" s="768"/>
      <c r="BC285" s="768"/>
      <c r="BD285" s="770"/>
      <c r="BE285" s="768"/>
      <c r="BF285" s="768"/>
      <c r="BG285" s="768"/>
      <c r="BH285" s="768"/>
      <c r="BI285" s="768"/>
      <c r="BJ285" s="768"/>
      <c r="BK285" s="768"/>
      <c r="BL285" s="768"/>
      <c r="BM285" s="768"/>
      <c r="BN285" s="768"/>
      <c r="BO285" s="769"/>
      <c r="BP285" s="768"/>
      <c r="BQ285" s="768"/>
      <c r="BR285" s="768"/>
      <c r="BS285" s="768"/>
      <c r="BT285" s="768"/>
      <c r="BU285" s="768"/>
      <c r="BV285" s="768"/>
      <c r="BW285" s="768"/>
      <c r="BX285" s="768"/>
      <c r="BY285" s="768"/>
      <c r="BZ285" s="768"/>
      <c r="CA285" s="768"/>
      <c r="CB285" s="747"/>
      <c r="CC285" s="872"/>
      <c r="CD285" s="872"/>
      <c r="CE285" s="872"/>
      <c r="CF285" s="872"/>
      <c r="CG285" s="872"/>
      <c r="CH285" s="872"/>
      <c r="CI285" s="872"/>
      <c r="CJ285" s="872"/>
      <c r="CK285" s="872"/>
      <c r="CL285" s="872"/>
      <c r="CM285" s="872"/>
      <c r="CN285" s="873"/>
      <c r="CO285" s="872"/>
      <c r="CP285" s="872"/>
      <c r="CQ285" s="872"/>
      <c r="CR285" s="872"/>
      <c r="CS285" s="872"/>
      <c r="CT285" s="872"/>
      <c r="CU285" s="872"/>
      <c r="CV285" s="872"/>
      <c r="CW285" s="872"/>
      <c r="CX285" s="872"/>
      <c r="CY285" s="872"/>
      <c r="CZ285" s="873"/>
      <c r="DA285" s="872"/>
      <c r="DB285" s="872"/>
      <c r="DC285" s="872"/>
      <c r="DD285" s="872"/>
      <c r="DE285" s="872"/>
      <c r="DF285" s="872"/>
      <c r="DG285" s="872"/>
      <c r="DH285" s="872"/>
      <c r="DI285" s="872"/>
      <c r="DJ285" s="872"/>
      <c r="DK285" s="872"/>
      <c r="DL285" s="873"/>
      <c r="DM285" s="872"/>
      <c r="DN285" s="872"/>
      <c r="DO285" s="872"/>
      <c r="DP285" s="872"/>
      <c r="DQ285" s="872"/>
      <c r="DR285" s="872"/>
      <c r="DS285" s="872"/>
      <c r="DT285" s="872"/>
      <c r="DU285" s="872"/>
      <c r="DV285" s="872"/>
      <c r="DW285" s="872"/>
      <c r="DX285" s="873"/>
      <c r="DY285" s="872"/>
      <c r="DZ285" s="872"/>
      <c r="EA285" s="872"/>
      <c r="EB285" s="872"/>
      <c r="EC285" s="872"/>
      <c r="ED285" s="872"/>
      <c r="EE285" s="872"/>
      <c r="EF285" s="872"/>
      <c r="EG285" s="872"/>
      <c r="EH285" s="872"/>
      <c r="EI285" s="872"/>
      <c r="EJ285" s="873"/>
      <c r="EK285" s="872"/>
      <c r="EL285" s="872"/>
      <c r="EM285" s="872"/>
      <c r="EN285" s="872"/>
      <c r="EO285" s="872"/>
      <c r="EP285" s="872"/>
      <c r="EQ285" s="872"/>
      <c r="ER285" s="872"/>
      <c r="ES285" s="872"/>
      <c r="ET285" s="872"/>
      <c r="EU285" s="872"/>
      <c r="EV285" s="872"/>
      <c r="EW285" s="878"/>
      <c r="EX285" s="872"/>
      <c r="EZ285" s="875"/>
      <c r="FA285" s="1539"/>
    </row>
    <row r="286" spans="1:157">
      <c r="A286" s="745"/>
      <c r="B286" s="745"/>
      <c r="C286" s="745"/>
      <c r="D286" s="766" t="s">
        <v>18</v>
      </c>
      <c r="E286" s="766" t="str">
        <f>Variables!$A$48</f>
        <v>User Defined #4</v>
      </c>
      <c r="F286" s="766" t="s">
        <v>20</v>
      </c>
      <c r="G286" s="745"/>
      <c r="H286" s="767">
        <f t="shared" ref="H286:AM286" si="161">SUMIFS(H$5:H$254,$E$5:$E$254,$E286,$F$5:$F$254,$F286)</f>
        <v>0</v>
      </c>
      <c r="I286" s="768">
        <f t="shared" si="161"/>
        <v>0</v>
      </c>
      <c r="J286" s="768">
        <f t="shared" si="161"/>
        <v>0</v>
      </c>
      <c r="K286" s="768">
        <f t="shared" si="161"/>
        <v>0</v>
      </c>
      <c r="L286" s="768">
        <f t="shared" si="161"/>
        <v>0</v>
      </c>
      <c r="M286" s="768">
        <f t="shared" si="161"/>
        <v>0</v>
      </c>
      <c r="N286" s="768">
        <f t="shared" si="161"/>
        <v>0</v>
      </c>
      <c r="O286" s="768">
        <f t="shared" si="161"/>
        <v>0</v>
      </c>
      <c r="P286" s="768">
        <f t="shared" si="161"/>
        <v>0</v>
      </c>
      <c r="Q286" s="768">
        <f t="shared" si="161"/>
        <v>0</v>
      </c>
      <c r="R286" s="768">
        <f t="shared" si="161"/>
        <v>0</v>
      </c>
      <c r="S286" s="769">
        <f t="shared" si="161"/>
        <v>0</v>
      </c>
      <c r="T286" s="770">
        <f t="shared" si="161"/>
        <v>0</v>
      </c>
      <c r="U286" s="768">
        <f t="shared" si="161"/>
        <v>0</v>
      </c>
      <c r="V286" s="768">
        <f t="shared" si="161"/>
        <v>0</v>
      </c>
      <c r="W286" s="768">
        <f t="shared" si="161"/>
        <v>0</v>
      </c>
      <c r="X286" s="768">
        <f t="shared" si="161"/>
        <v>0</v>
      </c>
      <c r="Y286" s="768">
        <f t="shared" si="161"/>
        <v>0</v>
      </c>
      <c r="Z286" s="768">
        <f t="shared" si="161"/>
        <v>0</v>
      </c>
      <c r="AA286" s="768">
        <f t="shared" si="161"/>
        <v>0</v>
      </c>
      <c r="AB286" s="768">
        <f t="shared" si="161"/>
        <v>0</v>
      </c>
      <c r="AC286" s="768">
        <f t="shared" si="161"/>
        <v>0</v>
      </c>
      <c r="AD286" s="768">
        <f t="shared" si="161"/>
        <v>0</v>
      </c>
      <c r="AE286" s="769">
        <f t="shared" si="161"/>
        <v>0</v>
      </c>
      <c r="AF286" s="770">
        <f t="shared" si="161"/>
        <v>0</v>
      </c>
      <c r="AG286" s="768">
        <f t="shared" si="161"/>
        <v>0</v>
      </c>
      <c r="AH286" s="768">
        <f t="shared" si="161"/>
        <v>0</v>
      </c>
      <c r="AI286" s="768">
        <f t="shared" si="161"/>
        <v>0</v>
      </c>
      <c r="AJ286" s="768">
        <f t="shared" si="161"/>
        <v>0</v>
      </c>
      <c r="AK286" s="768">
        <f t="shared" si="161"/>
        <v>0</v>
      </c>
      <c r="AL286" s="768">
        <f t="shared" si="161"/>
        <v>0</v>
      </c>
      <c r="AM286" s="768">
        <f t="shared" si="161"/>
        <v>0</v>
      </c>
      <c r="AN286" s="768">
        <f t="shared" ref="AN286:BS286" si="162">SUMIFS(AN$5:AN$254,$E$5:$E$254,$E286,$F$5:$F$254,$F286)</f>
        <v>0</v>
      </c>
      <c r="AO286" s="768">
        <f t="shared" si="162"/>
        <v>0</v>
      </c>
      <c r="AP286" s="768">
        <f t="shared" si="162"/>
        <v>0</v>
      </c>
      <c r="AQ286" s="769">
        <f t="shared" si="162"/>
        <v>0</v>
      </c>
      <c r="AR286" s="768">
        <f t="shared" si="162"/>
        <v>0</v>
      </c>
      <c r="AS286" s="768">
        <f t="shared" si="162"/>
        <v>0</v>
      </c>
      <c r="AT286" s="768">
        <f t="shared" si="162"/>
        <v>0</v>
      </c>
      <c r="AU286" s="768">
        <f t="shared" si="162"/>
        <v>0</v>
      </c>
      <c r="AV286" s="768">
        <f t="shared" si="162"/>
        <v>0</v>
      </c>
      <c r="AW286" s="768">
        <f t="shared" si="162"/>
        <v>0</v>
      </c>
      <c r="AX286" s="768">
        <f t="shared" si="162"/>
        <v>0</v>
      </c>
      <c r="AY286" s="768">
        <f t="shared" si="162"/>
        <v>0</v>
      </c>
      <c r="AZ286" s="768">
        <f t="shared" si="162"/>
        <v>0</v>
      </c>
      <c r="BA286" s="768">
        <f t="shared" si="162"/>
        <v>0</v>
      </c>
      <c r="BB286" s="768">
        <f t="shared" si="162"/>
        <v>0</v>
      </c>
      <c r="BC286" s="768">
        <f t="shared" si="162"/>
        <v>0</v>
      </c>
      <c r="BD286" s="770">
        <f t="shared" si="162"/>
        <v>0</v>
      </c>
      <c r="BE286" s="768">
        <f t="shared" si="162"/>
        <v>0</v>
      </c>
      <c r="BF286" s="768">
        <f t="shared" si="162"/>
        <v>0</v>
      </c>
      <c r="BG286" s="768">
        <f t="shared" si="162"/>
        <v>0</v>
      </c>
      <c r="BH286" s="768">
        <f t="shared" si="162"/>
        <v>0</v>
      </c>
      <c r="BI286" s="768">
        <f t="shared" si="162"/>
        <v>0</v>
      </c>
      <c r="BJ286" s="768">
        <f t="shared" si="162"/>
        <v>0</v>
      </c>
      <c r="BK286" s="768">
        <f t="shared" si="162"/>
        <v>0</v>
      </c>
      <c r="BL286" s="768">
        <f t="shared" si="162"/>
        <v>0</v>
      </c>
      <c r="BM286" s="768">
        <f t="shared" si="162"/>
        <v>0</v>
      </c>
      <c r="BN286" s="768">
        <f t="shared" si="162"/>
        <v>0</v>
      </c>
      <c r="BO286" s="769">
        <f t="shared" si="162"/>
        <v>0</v>
      </c>
      <c r="BP286" s="768">
        <f t="shared" si="162"/>
        <v>0</v>
      </c>
      <c r="BQ286" s="768">
        <f t="shared" si="162"/>
        <v>0</v>
      </c>
      <c r="BR286" s="768">
        <f t="shared" si="162"/>
        <v>0</v>
      </c>
      <c r="BS286" s="768">
        <f t="shared" si="162"/>
        <v>0</v>
      </c>
      <c r="BT286" s="768">
        <f t="shared" ref="BT286:CA286" si="163">SUMIFS(BT$5:BT$254,$E$5:$E$254,$E286,$F$5:$F$254,$F286)</f>
        <v>0</v>
      </c>
      <c r="BU286" s="768">
        <f t="shared" si="163"/>
        <v>0</v>
      </c>
      <c r="BV286" s="768">
        <f t="shared" si="163"/>
        <v>0</v>
      </c>
      <c r="BW286" s="768">
        <f t="shared" si="163"/>
        <v>0</v>
      </c>
      <c r="BX286" s="768">
        <f t="shared" si="163"/>
        <v>0</v>
      </c>
      <c r="BY286" s="768">
        <f t="shared" si="163"/>
        <v>0</v>
      </c>
      <c r="BZ286" s="768">
        <f t="shared" si="163"/>
        <v>0</v>
      </c>
      <c r="CA286" s="768">
        <f t="shared" si="163"/>
        <v>0</v>
      </c>
      <c r="CB286" s="747"/>
      <c r="CC286" s="872">
        <f t="shared" ref="CC286:DH286" si="164">SUMIFS(CC$5:CC$254,$E$5:$E$254,$E286,$F$5:$F$254,$F286)</f>
        <v>0</v>
      </c>
      <c r="CD286" s="872">
        <f t="shared" si="164"/>
        <v>0</v>
      </c>
      <c r="CE286" s="872">
        <f t="shared" si="164"/>
        <v>0</v>
      </c>
      <c r="CF286" s="872">
        <f t="shared" si="164"/>
        <v>0</v>
      </c>
      <c r="CG286" s="872">
        <f t="shared" si="164"/>
        <v>0</v>
      </c>
      <c r="CH286" s="872">
        <f t="shared" si="164"/>
        <v>0</v>
      </c>
      <c r="CI286" s="872">
        <f t="shared" si="164"/>
        <v>0</v>
      </c>
      <c r="CJ286" s="872">
        <f t="shared" si="164"/>
        <v>0</v>
      </c>
      <c r="CK286" s="872">
        <f t="shared" si="164"/>
        <v>0</v>
      </c>
      <c r="CL286" s="872">
        <f t="shared" si="164"/>
        <v>0</v>
      </c>
      <c r="CM286" s="872">
        <f t="shared" si="164"/>
        <v>0</v>
      </c>
      <c r="CN286" s="873">
        <f t="shared" si="164"/>
        <v>0</v>
      </c>
      <c r="CO286" s="872">
        <f t="shared" si="164"/>
        <v>0</v>
      </c>
      <c r="CP286" s="872">
        <f t="shared" si="164"/>
        <v>0</v>
      </c>
      <c r="CQ286" s="872">
        <f t="shared" si="164"/>
        <v>0</v>
      </c>
      <c r="CR286" s="872">
        <f t="shared" si="164"/>
        <v>0</v>
      </c>
      <c r="CS286" s="872">
        <f t="shared" si="164"/>
        <v>0</v>
      </c>
      <c r="CT286" s="872">
        <f t="shared" si="164"/>
        <v>0</v>
      </c>
      <c r="CU286" s="872">
        <f t="shared" si="164"/>
        <v>0</v>
      </c>
      <c r="CV286" s="872">
        <f t="shared" si="164"/>
        <v>0</v>
      </c>
      <c r="CW286" s="872">
        <f t="shared" si="164"/>
        <v>0</v>
      </c>
      <c r="CX286" s="872">
        <f t="shared" si="164"/>
        <v>0</v>
      </c>
      <c r="CY286" s="872">
        <f t="shared" si="164"/>
        <v>0</v>
      </c>
      <c r="CZ286" s="873">
        <f t="shared" si="164"/>
        <v>0</v>
      </c>
      <c r="DA286" s="872">
        <f t="shared" si="164"/>
        <v>0</v>
      </c>
      <c r="DB286" s="872">
        <f t="shared" si="164"/>
        <v>0</v>
      </c>
      <c r="DC286" s="872">
        <f t="shared" si="164"/>
        <v>0</v>
      </c>
      <c r="DD286" s="872">
        <f t="shared" si="164"/>
        <v>0</v>
      </c>
      <c r="DE286" s="872">
        <f t="shared" si="164"/>
        <v>0</v>
      </c>
      <c r="DF286" s="872">
        <f t="shared" si="164"/>
        <v>0</v>
      </c>
      <c r="DG286" s="872">
        <f t="shared" si="164"/>
        <v>0</v>
      </c>
      <c r="DH286" s="872">
        <f t="shared" si="164"/>
        <v>0</v>
      </c>
      <c r="DI286" s="872">
        <f t="shared" ref="DI286:EN286" si="165">SUMIFS(DI$5:DI$254,$E$5:$E$254,$E286,$F$5:$F$254,$F286)</f>
        <v>0</v>
      </c>
      <c r="DJ286" s="872">
        <f t="shared" si="165"/>
        <v>0</v>
      </c>
      <c r="DK286" s="872">
        <f t="shared" si="165"/>
        <v>0</v>
      </c>
      <c r="DL286" s="873">
        <f t="shared" si="165"/>
        <v>0</v>
      </c>
      <c r="DM286" s="872">
        <f t="shared" si="165"/>
        <v>0</v>
      </c>
      <c r="DN286" s="872">
        <f t="shared" si="165"/>
        <v>0</v>
      </c>
      <c r="DO286" s="872">
        <f t="shared" si="165"/>
        <v>0</v>
      </c>
      <c r="DP286" s="872">
        <f t="shared" si="165"/>
        <v>0</v>
      </c>
      <c r="DQ286" s="872">
        <f t="shared" si="165"/>
        <v>0</v>
      </c>
      <c r="DR286" s="872">
        <f t="shared" si="165"/>
        <v>0</v>
      </c>
      <c r="DS286" s="872">
        <f t="shared" si="165"/>
        <v>0</v>
      </c>
      <c r="DT286" s="872">
        <f t="shared" si="165"/>
        <v>0</v>
      </c>
      <c r="DU286" s="872">
        <f t="shared" si="165"/>
        <v>0</v>
      </c>
      <c r="DV286" s="872">
        <f t="shared" si="165"/>
        <v>0</v>
      </c>
      <c r="DW286" s="872">
        <f t="shared" si="165"/>
        <v>0</v>
      </c>
      <c r="DX286" s="873">
        <f t="shared" si="165"/>
        <v>0</v>
      </c>
      <c r="DY286" s="872">
        <f t="shared" si="165"/>
        <v>0</v>
      </c>
      <c r="DZ286" s="872">
        <f t="shared" si="165"/>
        <v>0</v>
      </c>
      <c r="EA286" s="872">
        <f t="shared" si="165"/>
        <v>0</v>
      </c>
      <c r="EB286" s="872">
        <f t="shared" si="165"/>
        <v>0</v>
      </c>
      <c r="EC286" s="872">
        <f t="shared" si="165"/>
        <v>0</v>
      </c>
      <c r="ED286" s="872">
        <f t="shared" si="165"/>
        <v>0</v>
      </c>
      <c r="EE286" s="872">
        <f t="shared" si="165"/>
        <v>0</v>
      </c>
      <c r="EF286" s="872">
        <f t="shared" si="165"/>
        <v>0</v>
      </c>
      <c r="EG286" s="872">
        <f t="shared" si="165"/>
        <v>0</v>
      </c>
      <c r="EH286" s="872">
        <f t="shared" si="165"/>
        <v>0</v>
      </c>
      <c r="EI286" s="872">
        <f t="shared" si="165"/>
        <v>0</v>
      </c>
      <c r="EJ286" s="873">
        <f t="shared" si="165"/>
        <v>0</v>
      </c>
      <c r="EK286" s="872">
        <f t="shared" si="165"/>
        <v>0</v>
      </c>
      <c r="EL286" s="872">
        <f t="shared" si="165"/>
        <v>0</v>
      </c>
      <c r="EM286" s="872">
        <f t="shared" si="165"/>
        <v>0</v>
      </c>
      <c r="EN286" s="872">
        <f t="shared" si="165"/>
        <v>0</v>
      </c>
      <c r="EO286" s="872">
        <f t="shared" ref="EO286:EV286" si="166">SUMIFS(EO$5:EO$254,$E$5:$E$254,$E286,$F$5:$F$254,$F286)</f>
        <v>0</v>
      </c>
      <c r="EP286" s="872">
        <f t="shared" si="166"/>
        <v>0</v>
      </c>
      <c r="EQ286" s="872">
        <f t="shared" si="166"/>
        <v>0</v>
      </c>
      <c r="ER286" s="872">
        <f t="shared" si="166"/>
        <v>0</v>
      </c>
      <c r="ES286" s="872">
        <f t="shared" si="166"/>
        <v>0</v>
      </c>
      <c r="ET286" s="872">
        <f t="shared" si="166"/>
        <v>0</v>
      </c>
      <c r="EU286" s="872">
        <f t="shared" si="166"/>
        <v>0</v>
      </c>
      <c r="EV286" s="872">
        <f t="shared" si="166"/>
        <v>0</v>
      </c>
      <c r="EW286" s="878">
        <f t="shared" si="48"/>
        <v>0</v>
      </c>
      <c r="EX286" s="872">
        <f t="shared" si="118"/>
        <v>0</v>
      </c>
      <c r="EY286" s="1537">
        <f>IF((SUM('Monthly Summary'!$C$13:BV$13,'Monthly Summary'!$C$46:BV$46)-'Monthly Summary'!BW$13-'Monthly Summary'!BW$46)=0,0,(EX286+EX287)/(SUM('Monthly Summary'!$C$13:BV$13,'Monthly Summary'!$C$46:BV$46)-'Monthly Summary'!BW$13-'Monthly Summary'!BW$46))</f>
        <v>0</v>
      </c>
      <c r="EZ286" s="875">
        <f>SUMIF('Monthly Summary'!$C$75:BV$75,"",'Resource Costs'!$CC286:EV286)</f>
        <v>0</v>
      </c>
      <c r="FA286" s="1539"/>
    </row>
    <row r="287" spans="1:157">
      <c r="A287" s="745"/>
      <c r="B287" s="745"/>
      <c r="C287" s="745"/>
      <c r="D287" s="766" t="s">
        <v>18</v>
      </c>
      <c r="E287" s="766" t="str">
        <f>Variables!$A$48</f>
        <v>User Defined #4</v>
      </c>
      <c r="F287" s="766" t="s">
        <v>21</v>
      </c>
      <c r="G287" s="745"/>
      <c r="H287" s="767">
        <f t="shared" ref="H287:X287" si="167">SUMIFS(H$5:H$254,$E$5:$E$254,$E287,$F$5:$F$254,$F287)</f>
        <v>0</v>
      </c>
      <c r="I287" s="768">
        <f t="shared" si="167"/>
        <v>0</v>
      </c>
      <c r="J287" s="768">
        <f>SUMIFS(J$5:J$254,$E$5:$E$254,$E287,$F$5:$F$254,$F287)</f>
        <v>0</v>
      </c>
      <c r="K287" s="768">
        <f t="shared" si="167"/>
        <v>0</v>
      </c>
      <c r="L287" s="768">
        <f t="shared" si="167"/>
        <v>0</v>
      </c>
      <c r="M287" s="768">
        <f t="shared" si="167"/>
        <v>0</v>
      </c>
      <c r="N287" s="768">
        <f t="shared" si="167"/>
        <v>0</v>
      </c>
      <c r="O287" s="768">
        <f t="shared" si="167"/>
        <v>0</v>
      </c>
      <c r="P287" s="768">
        <f t="shared" si="167"/>
        <v>0</v>
      </c>
      <c r="Q287" s="768">
        <f t="shared" si="167"/>
        <v>0</v>
      </c>
      <c r="R287" s="768">
        <f t="shared" si="167"/>
        <v>0</v>
      </c>
      <c r="S287" s="769">
        <f t="shared" si="167"/>
        <v>0</v>
      </c>
      <c r="T287" s="770">
        <f t="shared" si="167"/>
        <v>0</v>
      </c>
      <c r="U287" s="768">
        <f t="shared" si="167"/>
        <v>0</v>
      </c>
      <c r="V287" s="768">
        <f t="shared" si="167"/>
        <v>0</v>
      </c>
      <c r="W287" s="768">
        <f t="shared" si="167"/>
        <v>0</v>
      </c>
      <c r="X287" s="768">
        <f t="shared" si="167"/>
        <v>0</v>
      </c>
      <c r="Y287" s="768">
        <f t="shared" ref="Y287:BD287" si="168">SUMIFS(Y$5:Y$254,$E$5:$E$254,$E287,$F$5:$F$254,$F287)</f>
        <v>0</v>
      </c>
      <c r="Z287" s="768">
        <f t="shared" si="168"/>
        <v>0</v>
      </c>
      <c r="AA287" s="768">
        <f t="shared" si="168"/>
        <v>0</v>
      </c>
      <c r="AB287" s="768">
        <f t="shared" si="168"/>
        <v>0</v>
      </c>
      <c r="AC287" s="768">
        <f t="shared" si="168"/>
        <v>0</v>
      </c>
      <c r="AD287" s="768">
        <f t="shared" si="168"/>
        <v>0</v>
      </c>
      <c r="AE287" s="769">
        <f t="shared" si="168"/>
        <v>0</v>
      </c>
      <c r="AF287" s="770">
        <f t="shared" si="168"/>
        <v>0</v>
      </c>
      <c r="AG287" s="768">
        <f t="shared" si="168"/>
        <v>0</v>
      </c>
      <c r="AH287" s="768">
        <f t="shared" si="168"/>
        <v>0</v>
      </c>
      <c r="AI287" s="768">
        <f t="shared" si="168"/>
        <v>0</v>
      </c>
      <c r="AJ287" s="768">
        <f t="shared" si="168"/>
        <v>0</v>
      </c>
      <c r="AK287" s="768">
        <f t="shared" si="168"/>
        <v>0</v>
      </c>
      <c r="AL287" s="768">
        <f t="shared" si="168"/>
        <v>0</v>
      </c>
      <c r="AM287" s="768">
        <f t="shared" si="168"/>
        <v>0</v>
      </c>
      <c r="AN287" s="768">
        <f t="shared" si="168"/>
        <v>0</v>
      </c>
      <c r="AO287" s="768">
        <f t="shared" si="168"/>
        <v>0</v>
      </c>
      <c r="AP287" s="768">
        <f t="shared" si="168"/>
        <v>0</v>
      </c>
      <c r="AQ287" s="769">
        <f t="shared" si="168"/>
        <v>0</v>
      </c>
      <c r="AR287" s="768">
        <f t="shared" si="168"/>
        <v>0</v>
      </c>
      <c r="AS287" s="768">
        <f t="shared" si="168"/>
        <v>0</v>
      </c>
      <c r="AT287" s="768">
        <f t="shared" si="168"/>
        <v>0</v>
      </c>
      <c r="AU287" s="768">
        <f t="shared" si="168"/>
        <v>0</v>
      </c>
      <c r="AV287" s="768">
        <f t="shared" si="168"/>
        <v>0</v>
      </c>
      <c r="AW287" s="768">
        <f t="shared" si="168"/>
        <v>0</v>
      </c>
      <c r="AX287" s="768">
        <f t="shared" si="168"/>
        <v>0</v>
      </c>
      <c r="AY287" s="768">
        <f t="shared" si="168"/>
        <v>0</v>
      </c>
      <c r="AZ287" s="768">
        <f t="shared" si="168"/>
        <v>0</v>
      </c>
      <c r="BA287" s="768">
        <f t="shared" si="168"/>
        <v>0</v>
      </c>
      <c r="BB287" s="768">
        <f t="shared" si="168"/>
        <v>0</v>
      </c>
      <c r="BC287" s="768">
        <f t="shared" si="168"/>
        <v>0</v>
      </c>
      <c r="BD287" s="770">
        <f t="shared" si="168"/>
        <v>0</v>
      </c>
      <c r="BE287" s="768">
        <f t="shared" ref="BE287:CA287" si="169">SUMIFS(BE$5:BE$254,$E$5:$E$254,$E287,$F$5:$F$254,$F287)</f>
        <v>0</v>
      </c>
      <c r="BF287" s="768">
        <f t="shared" si="169"/>
        <v>0</v>
      </c>
      <c r="BG287" s="768">
        <f t="shared" si="169"/>
        <v>0</v>
      </c>
      <c r="BH287" s="768">
        <f t="shared" si="169"/>
        <v>0</v>
      </c>
      <c r="BI287" s="768">
        <f t="shared" si="169"/>
        <v>0</v>
      </c>
      <c r="BJ287" s="768">
        <f t="shared" si="169"/>
        <v>0</v>
      </c>
      <c r="BK287" s="768">
        <f t="shared" si="169"/>
        <v>0</v>
      </c>
      <c r="BL287" s="768">
        <f t="shared" si="169"/>
        <v>0</v>
      </c>
      <c r="BM287" s="768">
        <f t="shared" si="169"/>
        <v>0</v>
      </c>
      <c r="BN287" s="768">
        <f t="shared" si="169"/>
        <v>0</v>
      </c>
      <c r="BO287" s="769">
        <f t="shared" si="169"/>
        <v>0</v>
      </c>
      <c r="BP287" s="768">
        <f t="shared" si="169"/>
        <v>0</v>
      </c>
      <c r="BQ287" s="768">
        <f t="shared" si="169"/>
        <v>0</v>
      </c>
      <c r="BR287" s="768">
        <f t="shared" si="169"/>
        <v>0</v>
      </c>
      <c r="BS287" s="768">
        <f t="shared" si="169"/>
        <v>0</v>
      </c>
      <c r="BT287" s="768">
        <f t="shared" si="169"/>
        <v>0</v>
      </c>
      <c r="BU287" s="768">
        <f t="shared" si="169"/>
        <v>0</v>
      </c>
      <c r="BV287" s="768">
        <f t="shared" si="169"/>
        <v>0</v>
      </c>
      <c r="BW287" s="768">
        <f t="shared" si="169"/>
        <v>0</v>
      </c>
      <c r="BX287" s="768">
        <f t="shared" si="169"/>
        <v>0</v>
      </c>
      <c r="BY287" s="768">
        <f t="shared" si="169"/>
        <v>0</v>
      </c>
      <c r="BZ287" s="768">
        <f t="shared" si="169"/>
        <v>0</v>
      </c>
      <c r="CA287" s="768">
        <f t="shared" si="169"/>
        <v>0</v>
      </c>
      <c r="CB287" s="747"/>
      <c r="CC287" s="872">
        <f t="shared" ref="CC287:CS287" si="170">SUMIFS(CC$5:CC$254,$E$5:$E$254,$E287,$F$5:$F$254,$F287)</f>
        <v>0</v>
      </c>
      <c r="CD287" s="872">
        <f t="shared" si="170"/>
        <v>0</v>
      </c>
      <c r="CE287" s="872">
        <f>SUMIFS(CE$5:CE$254,$E$5:$E$254,$E287,$F$5:$F$254,$F287)</f>
        <v>0</v>
      </c>
      <c r="CF287" s="872">
        <f t="shared" si="170"/>
        <v>0</v>
      </c>
      <c r="CG287" s="872">
        <f t="shared" si="170"/>
        <v>0</v>
      </c>
      <c r="CH287" s="872">
        <f t="shared" si="170"/>
        <v>0</v>
      </c>
      <c r="CI287" s="872">
        <f t="shared" si="170"/>
        <v>0</v>
      </c>
      <c r="CJ287" s="872">
        <f t="shared" si="170"/>
        <v>0</v>
      </c>
      <c r="CK287" s="872">
        <f t="shared" si="170"/>
        <v>0</v>
      </c>
      <c r="CL287" s="872">
        <f t="shared" si="170"/>
        <v>0</v>
      </c>
      <c r="CM287" s="872">
        <f t="shared" si="170"/>
        <v>0</v>
      </c>
      <c r="CN287" s="873">
        <f t="shared" si="170"/>
        <v>0</v>
      </c>
      <c r="CO287" s="872">
        <f t="shared" si="170"/>
        <v>0</v>
      </c>
      <c r="CP287" s="872">
        <f t="shared" si="170"/>
        <v>0</v>
      </c>
      <c r="CQ287" s="872">
        <f t="shared" si="170"/>
        <v>0</v>
      </c>
      <c r="CR287" s="872">
        <f t="shared" si="170"/>
        <v>0</v>
      </c>
      <c r="CS287" s="872">
        <f t="shared" si="170"/>
        <v>0</v>
      </c>
      <c r="CT287" s="872">
        <f t="shared" ref="CT287:DY287" si="171">SUMIFS(CT$5:CT$254,$E$5:$E$254,$E287,$F$5:$F$254,$F287)</f>
        <v>0</v>
      </c>
      <c r="CU287" s="872">
        <f t="shared" si="171"/>
        <v>0</v>
      </c>
      <c r="CV287" s="872">
        <f t="shared" si="171"/>
        <v>0</v>
      </c>
      <c r="CW287" s="872">
        <f t="shared" si="171"/>
        <v>0</v>
      </c>
      <c r="CX287" s="872">
        <f t="shared" si="171"/>
        <v>0</v>
      </c>
      <c r="CY287" s="872">
        <f t="shared" si="171"/>
        <v>0</v>
      </c>
      <c r="CZ287" s="873">
        <f t="shared" si="171"/>
        <v>0</v>
      </c>
      <c r="DA287" s="872">
        <f t="shared" si="171"/>
        <v>0</v>
      </c>
      <c r="DB287" s="872">
        <f t="shared" si="171"/>
        <v>0</v>
      </c>
      <c r="DC287" s="872">
        <f t="shared" si="171"/>
        <v>0</v>
      </c>
      <c r="DD287" s="872">
        <f t="shared" si="171"/>
        <v>0</v>
      </c>
      <c r="DE287" s="872">
        <f t="shared" si="171"/>
        <v>0</v>
      </c>
      <c r="DF287" s="872">
        <f t="shared" si="171"/>
        <v>0</v>
      </c>
      <c r="DG287" s="872">
        <f t="shared" si="171"/>
        <v>0</v>
      </c>
      <c r="DH287" s="872">
        <f t="shared" si="171"/>
        <v>0</v>
      </c>
      <c r="DI287" s="872">
        <f t="shared" si="171"/>
        <v>0</v>
      </c>
      <c r="DJ287" s="872">
        <f t="shared" si="171"/>
        <v>0</v>
      </c>
      <c r="DK287" s="872">
        <f t="shared" si="171"/>
        <v>0</v>
      </c>
      <c r="DL287" s="873">
        <f t="shared" si="171"/>
        <v>0</v>
      </c>
      <c r="DM287" s="872">
        <f t="shared" si="171"/>
        <v>0</v>
      </c>
      <c r="DN287" s="872">
        <f t="shared" si="171"/>
        <v>0</v>
      </c>
      <c r="DO287" s="872">
        <f t="shared" si="171"/>
        <v>0</v>
      </c>
      <c r="DP287" s="872">
        <f t="shared" si="171"/>
        <v>0</v>
      </c>
      <c r="DQ287" s="872">
        <f t="shared" si="171"/>
        <v>0</v>
      </c>
      <c r="DR287" s="872">
        <f t="shared" si="171"/>
        <v>0</v>
      </c>
      <c r="DS287" s="872">
        <f t="shared" si="171"/>
        <v>0</v>
      </c>
      <c r="DT287" s="872">
        <f t="shared" si="171"/>
        <v>0</v>
      </c>
      <c r="DU287" s="872">
        <f t="shared" si="171"/>
        <v>0</v>
      </c>
      <c r="DV287" s="872">
        <f t="shared" si="171"/>
        <v>0</v>
      </c>
      <c r="DW287" s="872">
        <f t="shared" si="171"/>
        <v>0</v>
      </c>
      <c r="DX287" s="873">
        <f t="shared" si="171"/>
        <v>0</v>
      </c>
      <c r="DY287" s="872">
        <f t="shared" si="171"/>
        <v>0</v>
      </c>
      <c r="DZ287" s="872">
        <f t="shared" ref="DZ287:EV287" si="172">SUMIFS(DZ$5:DZ$254,$E$5:$E$254,$E287,$F$5:$F$254,$F287)</f>
        <v>0</v>
      </c>
      <c r="EA287" s="872">
        <f t="shared" si="172"/>
        <v>0</v>
      </c>
      <c r="EB287" s="872">
        <f t="shared" si="172"/>
        <v>0</v>
      </c>
      <c r="EC287" s="872">
        <f t="shared" si="172"/>
        <v>0</v>
      </c>
      <c r="ED287" s="872">
        <f t="shared" si="172"/>
        <v>0</v>
      </c>
      <c r="EE287" s="872">
        <f t="shared" si="172"/>
        <v>0</v>
      </c>
      <c r="EF287" s="872">
        <f t="shared" si="172"/>
        <v>0</v>
      </c>
      <c r="EG287" s="872">
        <f t="shared" si="172"/>
        <v>0</v>
      </c>
      <c r="EH287" s="872">
        <f t="shared" si="172"/>
        <v>0</v>
      </c>
      <c r="EI287" s="872">
        <f t="shared" si="172"/>
        <v>0</v>
      </c>
      <c r="EJ287" s="873">
        <f t="shared" si="172"/>
        <v>0</v>
      </c>
      <c r="EK287" s="872">
        <f t="shared" si="172"/>
        <v>0</v>
      </c>
      <c r="EL287" s="872">
        <f t="shared" si="172"/>
        <v>0</v>
      </c>
      <c r="EM287" s="872">
        <f t="shared" si="172"/>
        <v>0</v>
      </c>
      <c r="EN287" s="872">
        <f t="shared" si="172"/>
        <v>0</v>
      </c>
      <c r="EO287" s="872">
        <f t="shared" si="172"/>
        <v>0</v>
      </c>
      <c r="EP287" s="872">
        <f t="shared" si="172"/>
        <v>0</v>
      </c>
      <c r="EQ287" s="872">
        <f t="shared" si="172"/>
        <v>0</v>
      </c>
      <c r="ER287" s="872">
        <f t="shared" si="172"/>
        <v>0</v>
      </c>
      <c r="ES287" s="872">
        <f t="shared" si="172"/>
        <v>0</v>
      </c>
      <c r="ET287" s="872">
        <f t="shared" si="172"/>
        <v>0</v>
      </c>
      <c r="EU287" s="872">
        <f t="shared" si="172"/>
        <v>0</v>
      </c>
      <c r="EV287" s="872">
        <f t="shared" si="172"/>
        <v>0</v>
      </c>
      <c r="EW287" s="878">
        <f t="shared" si="48"/>
        <v>0</v>
      </c>
      <c r="EX287" s="872">
        <f t="shared" si="118"/>
        <v>0</v>
      </c>
      <c r="EY287" s="1537"/>
      <c r="EZ287" s="875">
        <f>SUMIF('Monthly Summary'!$C$74:BV$74,"",'Resource Costs'!$CC287:EV287)</f>
        <v>0</v>
      </c>
      <c r="FA287" s="1539"/>
    </row>
    <row r="288" spans="1:157">
      <c r="A288" s="745"/>
      <c r="B288" s="745"/>
      <c r="C288" s="745"/>
      <c r="D288" s="745"/>
      <c r="E288" s="772"/>
      <c r="F288" s="746"/>
      <c r="G288" s="745"/>
      <c r="H288" s="773"/>
      <c r="I288" s="745"/>
      <c r="J288" s="745"/>
      <c r="K288" s="745"/>
      <c r="L288" s="745"/>
      <c r="M288" s="745"/>
      <c r="N288" s="745"/>
      <c r="O288" s="745"/>
      <c r="P288" s="745"/>
      <c r="Q288" s="745"/>
      <c r="R288" s="745"/>
      <c r="S288" s="774"/>
      <c r="T288" s="773"/>
      <c r="U288" s="745"/>
      <c r="V288" s="745"/>
      <c r="W288" s="745"/>
      <c r="X288" s="745"/>
      <c r="Y288" s="745"/>
      <c r="Z288" s="745"/>
      <c r="AA288" s="745"/>
      <c r="AB288" s="745"/>
      <c r="AC288" s="745"/>
      <c r="AD288" s="745"/>
      <c r="AE288" s="774"/>
      <c r="AF288" s="773"/>
      <c r="AG288" s="745"/>
      <c r="AH288" s="745"/>
      <c r="AI288" s="745"/>
      <c r="AJ288" s="745"/>
      <c r="AK288" s="745"/>
      <c r="AL288" s="745"/>
      <c r="AM288" s="745"/>
      <c r="AN288" s="745"/>
      <c r="AO288" s="745"/>
      <c r="AP288" s="745"/>
      <c r="AQ288" s="774"/>
      <c r="AR288" s="745"/>
      <c r="AS288" s="745"/>
      <c r="AT288" s="745"/>
      <c r="AU288" s="745"/>
      <c r="AV288" s="745"/>
      <c r="AW288" s="745"/>
      <c r="AX288" s="745"/>
      <c r="AY288" s="745"/>
      <c r="AZ288" s="745"/>
      <c r="BA288" s="745"/>
      <c r="BB288" s="745"/>
      <c r="BC288" s="745"/>
      <c r="BD288" s="773"/>
      <c r="BE288" s="745"/>
      <c r="BF288" s="745"/>
      <c r="BG288" s="745"/>
      <c r="BH288" s="745"/>
      <c r="BI288" s="745"/>
      <c r="BJ288" s="745"/>
      <c r="BK288" s="745"/>
      <c r="BL288" s="745"/>
      <c r="BM288" s="745"/>
      <c r="BN288" s="745"/>
      <c r="BO288" s="774"/>
      <c r="BP288" s="745"/>
      <c r="BQ288" s="745"/>
      <c r="BR288" s="745"/>
      <c r="BS288" s="745"/>
      <c r="BT288" s="745"/>
      <c r="BU288" s="745"/>
      <c r="BV288" s="745"/>
      <c r="BW288" s="745"/>
      <c r="BX288" s="745"/>
      <c r="BY288" s="745"/>
      <c r="BZ288" s="745"/>
      <c r="CA288" s="745"/>
      <c r="CB288" s="747"/>
      <c r="CC288" s="872"/>
      <c r="CD288" s="872"/>
      <c r="CE288" s="872"/>
      <c r="CF288" s="872"/>
      <c r="CG288" s="872"/>
      <c r="CH288" s="872"/>
      <c r="CI288" s="872"/>
      <c r="CJ288" s="872"/>
      <c r="CK288" s="872"/>
      <c r="CL288" s="872"/>
      <c r="CM288" s="872"/>
      <c r="CN288" s="873"/>
      <c r="CO288" s="872"/>
      <c r="CP288" s="872"/>
      <c r="CQ288" s="872"/>
      <c r="CR288" s="872"/>
      <c r="CS288" s="872"/>
      <c r="CT288" s="872"/>
      <c r="CU288" s="872"/>
      <c r="CV288" s="872"/>
      <c r="CW288" s="872"/>
      <c r="CX288" s="872"/>
      <c r="CY288" s="872"/>
      <c r="CZ288" s="873"/>
      <c r="DA288" s="872"/>
      <c r="DB288" s="872"/>
      <c r="DC288" s="872"/>
      <c r="DD288" s="872"/>
      <c r="DE288" s="872"/>
      <c r="DF288" s="872"/>
      <c r="DG288" s="872"/>
      <c r="DH288" s="872"/>
      <c r="DI288" s="872"/>
      <c r="DJ288" s="872"/>
      <c r="DK288" s="872"/>
      <c r="DL288" s="873"/>
      <c r="DM288" s="872"/>
      <c r="DN288" s="872"/>
      <c r="DO288" s="872"/>
      <c r="DP288" s="872"/>
      <c r="DQ288" s="872"/>
      <c r="DR288" s="872"/>
      <c r="DS288" s="872"/>
      <c r="DT288" s="872"/>
      <c r="DU288" s="872"/>
      <c r="DV288" s="872"/>
      <c r="DW288" s="872"/>
      <c r="DX288" s="873"/>
      <c r="DY288" s="872"/>
      <c r="DZ288" s="872"/>
      <c r="EA288" s="872"/>
      <c r="EB288" s="872"/>
      <c r="EC288" s="872"/>
      <c r="ED288" s="872"/>
      <c r="EE288" s="872"/>
      <c r="EF288" s="872"/>
      <c r="EG288" s="872"/>
      <c r="EH288" s="872"/>
      <c r="EI288" s="872"/>
      <c r="EJ288" s="873"/>
      <c r="EK288" s="872"/>
      <c r="EL288" s="872"/>
      <c r="EM288" s="872"/>
      <c r="EN288" s="872"/>
      <c r="EO288" s="872"/>
      <c r="EP288" s="872"/>
      <c r="EQ288" s="872"/>
      <c r="ER288" s="872"/>
      <c r="ES288" s="872"/>
      <c r="ET288" s="872"/>
      <c r="EU288" s="872"/>
      <c r="EV288" s="872"/>
      <c r="EW288" s="878"/>
      <c r="EX288" s="872"/>
      <c r="EZ288" s="875"/>
      <c r="FA288" s="1539"/>
    </row>
    <row r="289" spans="1:158">
      <c r="A289" s="745"/>
      <c r="B289" s="745"/>
      <c r="C289" s="745"/>
      <c r="D289" s="766" t="s">
        <v>18</v>
      </c>
      <c r="E289" s="766" t="str">
        <f>Variables!$A$49</f>
        <v>User Defined #5</v>
      </c>
      <c r="F289" s="766" t="s">
        <v>20</v>
      </c>
      <c r="G289" s="745"/>
      <c r="H289" s="767">
        <f t="shared" ref="H289:AM289" si="173">SUMIFS(H$5:H$254,$E$5:$E$254,$E289,$F$5:$F$254,$F289)</f>
        <v>0</v>
      </c>
      <c r="I289" s="768">
        <f t="shared" si="173"/>
        <v>0</v>
      </c>
      <c r="J289" s="768">
        <f t="shared" si="173"/>
        <v>0</v>
      </c>
      <c r="K289" s="768">
        <f t="shared" si="173"/>
        <v>0</v>
      </c>
      <c r="L289" s="768">
        <f t="shared" si="173"/>
        <v>0</v>
      </c>
      <c r="M289" s="768">
        <f t="shared" si="173"/>
        <v>0</v>
      </c>
      <c r="N289" s="768">
        <f t="shared" si="173"/>
        <v>0</v>
      </c>
      <c r="O289" s="768">
        <f t="shared" si="173"/>
        <v>0</v>
      </c>
      <c r="P289" s="768">
        <f t="shared" si="173"/>
        <v>0</v>
      </c>
      <c r="Q289" s="768">
        <f t="shared" si="173"/>
        <v>0</v>
      </c>
      <c r="R289" s="768">
        <f t="shared" si="173"/>
        <v>0</v>
      </c>
      <c r="S289" s="769">
        <f t="shared" si="173"/>
        <v>0</v>
      </c>
      <c r="T289" s="770">
        <f t="shared" si="173"/>
        <v>0</v>
      </c>
      <c r="U289" s="768">
        <f t="shared" si="173"/>
        <v>0</v>
      </c>
      <c r="V289" s="768">
        <f t="shared" si="173"/>
        <v>0</v>
      </c>
      <c r="W289" s="768">
        <f t="shared" si="173"/>
        <v>0</v>
      </c>
      <c r="X289" s="768">
        <f t="shared" si="173"/>
        <v>0</v>
      </c>
      <c r="Y289" s="768">
        <f t="shared" si="173"/>
        <v>0</v>
      </c>
      <c r="Z289" s="768">
        <f t="shared" si="173"/>
        <v>0</v>
      </c>
      <c r="AA289" s="768">
        <f t="shared" si="173"/>
        <v>0</v>
      </c>
      <c r="AB289" s="768">
        <f t="shared" si="173"/>
        <v>0</v>
      </c>
      <c r="AC289" s="768">
        <f t="shared" si="173"/>
        <v>0</v>
      </c>
      <c r="AD289" s="768">
        <f t="shared" si="173"/>
        <v>0</v>
      </c>
      <c r="AE289" s="769">
        <f t="shared" si="173"/>
        <v>0</v>
      </c>
      <c r="AF289" s="770">
        <f t="shared" si="173"/>
        <v>0</v>
      </c>
      <c r="AG289" s="768">
        <f t="shared" si="173"/>
        <v>0</v>
      </c>
      <c r="AH289" s="768">
        <f t="shared" si="173"/>
        <v>0</v>
      </c>
      <c r="AI289" s="768">
        <f t="shared" si="173"/>
        <v>0</v>
      </c>
      <c r="AJ289" s="768">
        <f t="shared" si="173"/>
        <v>0</v>
      </c>
      <c r="AK289" s="768">
        <f t="shared" si="173"/>
        <v>0</v>
      </c>
      <c r="AL289" s="768">
        <f t="shared" si="173"/>
        <v>0</v>
      </c>
      <c r="AM289" s="768">
        <f t="shared" si="173"/>
        <v>0</v>
      </c>
      <c r="AN289" s="768">
        <f t="shared" ref="AN289:BS289" si="174">SUMIFS(AN$5:AN$254,$E$5:$E$254,$E289,$F$5:$F$254,$F289)</f>
        <v>0</v>
      </c>
      <c r="AO289" s="768">
        <f t="shared" si="174"/>
        <v>0</v>
      </c>
      <c r="AP289" s="768">
        <f t="shared" si="174"/>
        <v>0</v>
      </c>
      <c r="AQ289" s="769">
        <f t="shared" si="174"/>
        <v>0</v>
      </c>
      <c r="AR289" s="768">
        <f t="shared" si="174"/>
        <v>0</v>
      </c>
      <c r="AS289" s="768">
        <f t="shared" si="174"/>
        <v>0</v>
      </c>
      <c r="AT289" s="768">
        <f t="shared" si="174"/>
        <v>0</v>
      </c>
      <c r="AU289" s="768">
        <f t="shared" si="174"/>
        <v>0</v>
      </c>
      <c r="AV289" s="768">
        <f t="shared" si="174"/>
        <v>0</v>
      </c>
      <c r="AW289" s="768">
        <f t="shared" si="174"/>
        <v>0</v>
      </c>
      <c r="AX289" s="768">
        <f t="shared" si="174"/>
        <v>0</v>
      </c>
      <c r="AY289" s="768">
        <f t="shared" si="174"/>
        <v>0</v>
      </c>
      <c r="AZ289" s="768">
        <f t="shared" si="174"/>
        <v>0</v>
      </c>
      <c r="BA289" s="768">
        <f t="shared" si="174"/>
        <v>0</v>
      </c>
      <c r="BB289" s="768">
        <f t="shared" si="174"/>
        <v>0</v>
      </c>
      <c r="BC289" s="768">
        <f t="shared" si="174"/>
        <v>0</v>
      </c>
      <c r="BD289" s="770">
        <f t="shared" si="174"/>
        <v>0</v>
      </c>
      <c r="BE289" s="768">
        <f t="shared" si="174"/>
        <v>0</v>
      </c>
      <c r="BF289" s="768">
        <f t="shared" si="174"/>
        <v>0</v>
      </c>
      <c r="BG289" s="768">
        <f t="shared" si="174"/>
        <v>0</v>
      </c>
      <c r="BH289" s="768">
        <f t="shared" si="174"/>
        <v>0</v>
      </c>
      <c r="BI289" s="768">
        <f t="shared" si="174"/>
        <v>0</v>
      </c>
      <c r="BJ289" s="768">
        <f t="shared" si="174"/>
        <v>0</v>
      </c>
      <c r="BK289" s="768">
        <f t="shared" si="174"/>
        <v>0</v>
      </c>
      <c r="BL289" s="768">
        <f t="shared" si="174"/>
        <v>0</v>
      </c>
      <c r="BM289" s="768">
        <f t="shared" si="174"/>
        <v>0</v>
      </c>
      <c r="BN289" s="768">
        <f t="shared" si="174"/>
        <v>0</v>
      </c>
      <c r="BO289" s="769">
        <f t="shared" si="174"/>
        <v>0</v>
      </c>
      <c r="BP289" s="768">
        <f t="shared" si="174"/>
        <v>0</v>
      </c>
      <c r="BQ289" s="768">
        <f t="shared" si="174"/>
        <v>0</v>
      </c>
      <c r="BR289" s="768">
        <f t="shared" si="174"/>
        <v>0</v>
      </c>
      <c r="BS289" s="768">
        <f t="shared" si="174"/>
        <v>0</v>
      </c>
      <c r="BT289" s="768">
        <f t="shared" ref="BT289:CA289" si="175">SUMIFS(BT$5:BT$254,$E$5:$E$254,$E289,$F$5:$F$254,$F289)</f>
        <v>0</v>
      </c>
      <c r="BU289" s="768">
        <f t="shared" si="175"/>
        <v>0</v>
      </c>
      <c r="BV289" s="768">
        <f t="shared" si="175"/>
        <v>0</v>
      </c>
      <c r="BW289" s="768">
        <f t="shared" si="175"/>
        <v>0</v>
      </c>
      <c r="BX289" s="768">
        <f t="shared" si="175"/>
        <v>0</v>
      </c>
      <c r="BY289" s="768">
        <f t="shared" si="175"/>
        <v>0</v>
      </c>
      <c r="BZ289" s="768">
        <f t="shared" si="175"/>
        <v>0</v>
      </c>
      <c r="CA289" s="768">
        <f t="shared" si="175"/>
        <v>0</v>
      </c>
      <c r="CB289" s="747"/>
      <c r="CC289" s="872">
        <f t="shared" ref="CC289:DH289" si="176">SUMIFS(CC$5:CC$254,$E$5:$E$254,$E289,$F$5:$F$254,$F289)</f>
        <v>0</v>
      </c>
      <c r="CD289" s="872">
        <f t="shared" si="176"/>
        <v>0</v>
      </c>
      <c r="CE289" s="872">
        <f t="shared" si="176"/>
        <v>0</v>
      </c>
      <c r="CF289" s="872">
        <f t="shared" si="176"/>
        <v>0</v>
      </c>
      <c r="CG289" s="872">
        <f t="shared" si="176"/>
        <v>0</v>
      </c>
      <c r="CH289" s="872">
        <f t="shared" si="176"/>
        <v>0</v>
      </c>
      <c r="CI289" s="872">
        <f t="shared" si="176"/>
        <v>0</v>
      </c>
      <c r="CJ289" s="872">
        <f t="shared" si="176"/>
        <v>0</v>
      </c>
      <c r="CK289" s="872">
        <f t="shared" si="176"/>
        <v>0</v>
      </c>
      <c r="CL289" s="872">
        <f t="shared" si="176"/>
        <v>0</v>
      </c>
      <c r="CM289" s="872">
        <f t="shared" si="176"/>
        <v>0</v>
      </c>
      <c r="CN289" s="873">
        <f t="shared" si="176"/>
        <v>0</v>
      </c>
      <c r="CO289" s="872">
        <f t="shared" si="176"/>
        <v>0</v>
      </c>
      <c r="CP289" s="872">
        <f t="shared" si="176"/>
        <v>0</v>
      </c>
      <c r="CQ289" s="872">
        <f t="shared" si="176"/>
        <v>0</v>
      </c>
      <c r="CR289" s="872">
        <f t="shared" si="176"/>
        <v>0</v>
      </c>
      <c r="CS289" s="872">
        <f t="shared" si="176"/>
        <v>0</v>
      </c>
      <c r="CT289" s="872">
        <f t="shared" si="176"/>
        <v>0</v>
      </c>
      <c r="CU289" s="872">
        <f t="shared" si="176"/>
        <v>0</v>
      </c>
      <c r="CV289" s="872">
        <f t="shared" si="176"/>
        <v>0</v>
      </c>
      <c r="CW289" s="872">
        <f t="shared" si="176"/>
        <v>0</v>
      </c>
      <c r="CX289" s="872">
        <f t="shared" si="176"/>
        <v>0</v>
      </c>
      <c r="CY289" s="872">
        <f t="shared" si="176"/>
        <v>0</v>
      </c>
      <c r="CZ289" s="873">
        <f t="shared" si="176"/>
        <v>0</v>
      </c>
      <c r="DA289" s="872">
        <f t="shared" si="176"/>
        <v>0</v>
      </c>
      <c r="DB289" s="872">
        <f t="shared" si="176"/>
        <v>0</v>
      </c>
      <c r="DC289" s="872">
        <f t="shared" si="176"/>
        <v>0</v>
      </c>
      <c r="DD289" s="872">
        <f t="shared" si="176"/>
        <v>0</v>
      </c>
      <c r="DE289" s="872">
        <f t="shared" si="176"/>
        <v>0</v>
      </c>
      <c r="DF289" s="872">
        <f t="shared" si="176"/>
        <v>0</v>
      </c>
      <c r="DG289" s="872">
        <f t="shared" si="176"/>
        <v>0</v>
      </c>
      <c r="DH289" s="872">
        <f t="shared" si="176"/>
        <v>0</v>
      </c>
      <c r="DI289" s="872">
        <f t="shared" ref="DI289:EN289" si="177">SUMIFS(DI$5:DI$254,$E$5:$E$254,$E289,$F$5:$F$254,$F289)</f>
        <v>0</v>
      </c>
      <c r="DJ289" s="872">
        <f t="shared" si="177"/>
        <v>0</v>
      </c>
      <c r="DK289" s="872">
        <f t="shared" si="177"/>
        <v>0</v>
      </c>
      <c r="DL289" s="873">
        <f t="shared" si="177"/>
        <v>0</v>
      </c>
      <c r="DM289" s="872">
        <f t="shared" si="177"/>
        <v>0</v>
      </c>
      <c r="DN289" s="872">
        <f t="shared" si="177"/>
        <v>0</v>
      </c>
      <c r="DO289" s="872">
        <f t="shared" si="177"/>
        <v>0</v>
      </c>
      <c r="DP289" s="872">
        <f t="shared" si="177"/>
        <v>0</v>
      </c>
      <c r="DQ289" s="872">
        <f t="shared" si="177"/>
        <v>0</v>
      </c>
      <c r="DR289" s="872">
        <f t="shared" si="177"/>
        <v>0</v>
      </c>
      <c r="DS289" s="872">
        <f t="shared" si="177"/>
        <v>0</v>
      </c>
      <c r="DT289" s="872">
        <f t="shared" si="177"/>
        <v>0</v>
      </c>
      <c r="DU289" s="872">
        <f t="shared" si="177"/>
        <v>0</v>
      </c>
      <c r="DV289" s="872">
        <f t="shared" si="177"/>
        <v>0</v>
      </c>
      <c r="DW289" s="872">
        <f t="shared" si="177"/>
        <v>0</v>
      </c>
      <c r="DX289" s="873">
        <f t="shared" si="177"/>
        <v>0</v>
      </c>
      <c r="DY289" s="872">
        <f t="shared" si="177"/>
        <v>0</v>
      </c>
      <c r="DZ289" s="872">
        <f t="shared" si="177"/>
        <v>0</v>
      </c>
      <c r="EA289" s="872">
        <f t="shared" si="177"/>
        <v>0</v>
      </c>
      <c r="EB289" s="872">
        <f t="shared" si="177"/>
        <v>0</v>
      </c>
      <c r="EC289" s="872">
        <f t="shared" si="177"/>
        <v>0</v>
      </c>
      <c r="ED289" s="872">
        <f t="shared" si="177"/>
        <v>0</v>
      </c>
      <c r="EE289" s="872">
        <f t="shared" si="177"/>
        <v>0</v>
      </c>
      <c r="EF289" s="872">
        <f t="shared" si="177"/>
        <v>0</v>
      </c>
      <c r="EG289" s="872">
        <f t="shared" si="177"/>
        <v>0</v>
      </c>
      <c r="EH289" s="872">
        <f t="shared" si="177"/>
        <v>0</v>
      </c>
      <c r="EI289" s="872">
        <f t="shared" si="177"/>
        <v>0</v>
      </c>
      <c r="EJ289" s="873">
        <f t="shared" si="177"/>
        <v>0</v>
      </c>
      <c r="EK289" s="872">
        <f t="shared" si="177"/>
        <v>0</v>
      </c>
      <c r="EL289" s="872">
        <f t="shared" si="177"/>
        <v>0</v>
      </c>
      <c r="EM289" s="872">
        <f t="shared" si="177"/>
        <v>0</v>
      </c>
      <c r="EN289" s="872">
        <f t="shared" si="177"/>
        <v>0</v>
      </c>
      <c r="EO289" s="872">
        <f t="shared" ref="EO289:EV289" si="178">SUMIFS(EO$5:EO$254,$E$5:$E$254,$E289,$F$5:$F$254,$F289)</f>
        <v>0</v>
      </c>
      <c r="EP289" s="872">
        <f t="shared" si="178"/>
        <v>0</v>
      </c>
      <c r="EQ289" s="872">
        <f t="shared" si="178"/>
        <v>0</v>
      </c>
      <c r="ER289" s="872">
        <f t="shared" si="178"/>
        <v>0</v>
      </c>
      <c r="ES289" s="872">
        <f t="shared" si="178"/>
        <v>0</v>
      </c>
      <c r="ET289" s="872">
        <f t="shared" si="178"/>
        <v>0</v>
      </c>
      <c r="EU289" s="872">
        <f t="shared" si="178"/>
        <v>0</v>
      </c>
      <c r="EV289" s="872">
        <f t="shared" si="178"/>
        <v>0</v>
      </c>
      <c r="EW289" s="878">
        <f t="shared" si="48"/>
        <v>0</v>
      </c>
      <c r="EX289" s="872">
        <f t="shared" si="118"/>
        <v>0</v>
      </c>
      <c r="EY289" s="1537">
        <f>IF((SUM('Monthly Summary'!$C$13:BV$13,'Monthly Summary'!$C$46:BV$46)-'Monthly Summary'!BW$13-'Monthly Summary'!BW$46)=0,0,(EX289+EX290)/(SUM('Monthly Summary'!$C$13:BV$13,'Monthly Summary'!$C$46:BV$46)-'Monthly Summary'!BW$13-'Monthly Summary'!BW$46))</f>
        <v>0</v>
      </c>
      <c r="EZ289" s="875">
        <f>SUMIF('Monthly Summary'!$C$75:BV$75,"",'Resource Costs'!$CC289:EV289)</f>
        <v>0</v>
      </c>
      <c r="FA289" s="1539"/>
    </row>
    <row r="290" spans="1:158" ht="12.5" thickBot="1">
      <c r="A290" s="745"/>
      <c r="B290" s="745"/>
      <c r="C290" s="745"/>
      <c r="D290" s="766" t="s">
        <v>18</v>
      </c>
      <c r="E290" s="766" t="str">
        <f>Variables!$A$49</f>
        <v>User Defined #5</v>
      </c>
      <c r="F290" s="766" t="s">
        <v>21</v>
      </c>
      <c r="G290" s="745"/>
      <c r="H290" s="767">
        <f t="shared" ref="H290:X290" si="179">SUMIFS(H$5:H$254,$E$5:$E$254,$E290,$F$5:$F$254,$F290)</f>
        <v>0</v>
      </c>
      <c r="I290" s="768">
        <f t="shared" si="179"/>
        <v>0</v>
      </c>
      <c r="J290" s="768">
        <f>SUMIFS(J$5:J$254,$E$5:$E$254,$E290,$F$5:$F$254,$F290)</f>
        <v>0</v>
      </c>
      <c r="K290" s="768">
        <f t="shared" si="179"/>
        <v>0</v>
      </c>
      <c r="L290" s="768">
        <f t="shared" si="179"/>
        <v>0</v>
      </c>
      <c r="M290" s="768">
        <f t="shared" si="179"/>
        <v>0</v>
      </c>
      <c r="N290" s="768">
        <f t="shared" si="179"/>
        <v>0</v>
      </c>
      <c r="O290" s="768">
        <f t="shared" si="179"/>
        <v>0</v>
      </c>
      <c r="P290" s="768">
        <f t="shared" si="179"/>
        <v>0</v>
      </c>
      <c r="Q290" s="768">
        <f t="shared" si="179"/>
        <v>0</v>
      </c>
      <c r="R290" s="768">
        <f t="shared" si="179"/>
        <v>0</v>
      </c>
      <c r="S290" s="769">
        <f t="shared" si="179"/>
        <v>0</v>
      </c>
      <c r="T290" s="770">
        <f t="shared" si="179"/>
        <v>0</v>
      </c>
      <c r="U290" s="768">
        <f t="shared" si="179"/>
        <v>0</v>
      </c>
      <c r="V290" s="768">
        <f t="shared" si="179"/>
        <v>0</v>
      </c>
      <c r="W290" s="768">
        <f t="shared" si="179"/>
        <v>0</v>
      </c>
      <c r="X290" s="768">
        <f t="shared" si="179"/>
        <v>0</v>
      </c>
      <c r="Y290" s="768">
        <f t="shared" ref="Y290:BD290" si="180">SUMIFS(Y$5:Y$254,$E$5:$E$254,$E290,$F$5:$F$254,$F290)</f>
        <v>0</v>
      </c>
      <c r="Z290" s="768">
        <f t="shared" si="180"/>
        <v>0</v>
      </c>
      <c r="AA290" s="768">
        <f t="shared" si="180"/>
        <v>0</v>
      </c>
      <c r="AB290" s="768">
        <f t="shared" si="180"/>
        <v>0</v>
      </c>
      <c r="AC290" s="768">
        <f t="shared" si="180"/>
        <v>0</v>
      </c>
      <c r="AD290" s="768">
        <f t="shared" si="180"/>
        <v>0</v>
      </c>
      <c r="AE290" s="769">
        <f t="shared" si="180"/>
        <v>0</v>
      </c>
      <c r="AF290" s="770">
        <f t="shared" si="180"/>
        <v>0</v>
      </c>
      <c r="AG290" s="768">
        <f t="shared" si="180"/>
        <v>0</v>
      </c>
      <c r="AH290" s="768">
        <f t="shared" si="180"/>
        <v>0</v>
      </c>
      <c r="AI290" s="768">
        <f t="shared" si="180"/>
        <v>0</v>
      </c>
      <c r="AJ290" s="768">
        <f t="shared" si="180"/>
        <v>0</v>
      </c>
      <c r="AK290" s="768">
        <f t="shared" si="180"/>
        <v>0</v>
      </c>
      <c r="AL290" s="768">
        <f t="shared" si="180"/>
        <v>0</v>
      </c>
      <c r="AM290" s="768">
        <f t="shared" si="180"/>
        <v>0</v>
      </c>
      <c r="AN290" s="768">
        <f t="shared" si="180"/>
        <v>0</v>
      </c>
      <c r="AO290" s="768">
        <f t="shared" si="180"/>
        <v>0</v>
      </c>
      <c r="AP290" s="768">
        <f t="shared" si="180"/>
        <v>0</v>
      </c>
      <c r="AQ290" s="769">
        <f t="shared" si="180"/>
        <v>0</v>
      </c>
      <c r="AR290" s="768">
        <f t="shared" si="180"/>
        <v>0</v>
      </c>
      <c r="AS290" s="768">
        <f t="shared" si="180"/>
        <v>0</v>
      </c>
      <c r="AT290" s="768">
        <f t="shared" si="180"/>
        <v>0</v>
      </c>
      <c r="AU290" s="768">
        <f t="shared" si="180"/>
        <v>0</v>
      </c>
      <c r="AV290" s="768">
        <f t="shared" si="180"/>
        <v>0</v>
      </c>
      <c r="AW290" s="768">
        <f t="shared" si="180"/>
        <v>0</v>
      </c>
      <c r="AX290" s="768">
        <f t="shared" si="180"/>
        <v>0</v>
      </c>
      <c r="AY290" s="768">
        <f t="shared" si="180"/>
        <v>0</v>
      </c>
      <c r="AZ290" s="768">
        <f t="shared" si="180"/>
        <v>0</v>
      </c>
      <c r="BA290" s="768">
        <f t="shared" si="180"/>
        <v>0</v>
      </c>
      <c r="BB290" s="768">
        <f t="shared" si="180"/>
        <v>0</v>
      </c>
      <c r="BC290" s="768">
        <f t="shared" si="180"/>
        <v>0</v>
      </c>
      <c r="BD290" s="770">
        <f t="shared" si="180"/>
        <v>0</v>
      </c>
      <c r="BE290" s="768">
        <f t="shared" ref="BE290:CA290" si="181">SUMIFS(BE$5:BE$254,$E$5:$E$254,$E290,$F$5:$F$254,$F290)</f>
        <v>0</v>
      </c>
      <c r="BF290" s="768">
        <f t="shared" si="181"/>
        <v>0</v>
      </c>
      <c r="BG290" s="768">
        <f t="shared" si="181"/>
        <v>0</v>
      </c>
      <c r="BH290" s="768">
        <f t="shared" si="181"/>
        <v>0</v>
      </c>
      <c r="BI290" s="768">
        <f t="shared" si="181"/>
        <v>0</v>
      </c>
      <c r="BJ290" s="768">
        <f t="shared" si="181"/>
        <v>0</v>
      </c>
      <c r="BK290" s="768">
        <f t="shared" si="181"/>
        <v>0</v>
      </c>
      <c r="BL290" s="768">
        <f t="shared" si="181"/>
        <v>0</v>
      </c>
      <c r="BM290" s="768">
        <f t="shared" si="181"/>
        <v>0</v>
      </c>
      <c r="BN290" s="768">
        <f t="shared" si="181"/>
        <v>0</v>
      </c>
      <c r="BO290" s="769">
        <f t="shared" si="181"/>
        <v>0</v>
      </c>
      <c r="BP290" s="768">
        <f t="shared" si="181"/>
        <v>0</v>
      </c>
      <c r="BQ290" s="768">
        <f t="shared" si="181"/>
        <v>0</v>
      </c>
      <c r="BR290" s="768">
        <f t="shared" si="181"/>
        <v>0</v>
      </c>
      <c r="BS290" s="768">
        <f t="shared" si="181"/>
        <v>0</v>
      </c>
      <c r="BT290" s="768">
        <f t="shared" si="181"/>
        <v>0</v>
      </c>
      <c r="BU290" s="768">
        <f t="shared" si="181"/>
        <v>0</v>
      </c>
      <c r="BV290" s="768">
        <f t="shared" si="181"/>
        <v>0</v>
      </c>
      <c r="BW290" s="768">
        <f t="shared" si="181"/>
        <v>0</v>
      </c>
      <c r="BX290" s="768">
        <f t="shared" si="181"/>
        <v>0</v>
      </c>
      <c r="BY290" s="768">
        <f t="shared" si="181"/>
        <v>0</v>
      </c>
      <c r="BZ290" s="768">
        <f t="shared" si="181"/>
        <v>0</v>
      </c>
      <c r="CA290" s="768">
        <f t="shared" si="181"/>
        <v>0</v>
      </c>
      <c r="CB290" s="747"/>
      <c r="CC290" s="872">
        <f t="shared" ref="CC290:CS290" si="182">SUMIFS(CC$5:CC$254,$E$5:$E$254,$E290,$F$5:$F$254,$F290)</f>
        <v>0</v>
      </c>
      <c r="CD290" s="872">
        <f t="shared" si="182"/>
        <v>0</v>
      </c>
      <c r="CE290" s="872">
        <f>SUMIFS(CE$5:CE$254,$E$5:$E$254,$E290,$F$5:$F$254,$F290)</f>
        <v>0</v>
      </c>
      <c r="CF290" s="872">
        <f t="shared" si="182"/>
        <v>0</v>
      </c>
      <c r="CG290" s="872">
        <f t="shared" si="182"/>
        <v>0</v>
      </c>
      <c r="CH290" s="872">
        <f t="shared" si="182"/>
        <v>0</v>
      </c>
      <c r="CI290" s="872">
        <f t="shared" si="182"/>
        <v>0</v>
      </c>
      <c r="CJ290" s="872">
        <f t="shared" si="182"/>
        <v>0</v>
      </c>
      <c r="CK290" s="872">
        <f t="shared" si="182"/>
        <v>0</v>
      </c>
      <c r="CL290" s="872">
        <f t="shared" si="182"/>
        <v>0</v>
      </c>
      <c r="CM290" s="872">
        <f t="shared" si="182"/>
        <v>0</v>
      </c>
      <c r="CN290" s="873">
        <f t="shared" si="182"/>
        <v>0</v>
      </c>
      <c r="CO290" s="872">
        <f t="shared" si="182"/>
        <v>0</v>
      </c>
      <c r="CP290" s="872">
        <f t="shared" si="182"/>
        <v>0</v>
      </c>
      <c r="CQ290" s="872">
        <f t="shared" si="182"/>
        <v>0</v>
      </c>
      <c r="CR290" s="872">
        <f t="shared" si="182"/>
        <v>0</v>
      </c>
      <c r="CS290" s="872">
        <f t="shared" si="182"/>
        <v>0</v>
      </c>
      <c r="CT290" s="872">
        <f t="shared" ref="CT290:DY290" si="183">SUMIFS(CT$5:CT$254,$E$5:$E$254,$E290,$F$5:$F$254,$F290)</f>
        <v>0</v>
      </c>
      <c r="CU290" s="872">
        <f t="shared" si="183"/>
        <v>0</v>
      </c>
      <c r="CV290" s="872">
        <f t="shared" si="183"/>
        <v>0</v>
      </c>
      <c r="CW290" s="872">
        <f t="shared" si="183"/>
        <v>0</v>
      </c>
      <c r="CX290" s="872">
        <f t="shared" si="183"/>
        <v>0</v>
      </c>
      <c r="CY290" s="872">
        <f t="shared" si="183"/>
        <v>0</v>
      </c>
      <c r="CZ290" s="873">
        <f t="shared" si="183"/>
        <v>0</v>
      </c>
      <c r="DA290" s="872">
        <f t="shared" si="183"/>
        <v>0</v>
      </c>
      <c r="DB290" s="872">
        <f t="shared" si="183"/>
        <v>0</v>
      </c>
      <c r="DC290" s="872">
        <f t="shared" si="183"/>
        <v>0</v>
      </c>
      <c r="DD290" s="872">
        <f t="shared" si="183"/>
        <v>0</v>
      </c>
      <c r="DE290" s="872">
        <f t="shared" si="183"/>
        <v>0</v>
      </c>
      <c r="DF290" s="872">
        <f t="shared" si="183"/>
        <v>0</v>
      </c>
      <c r="DG290" s="872">
        <f t="shared" si="183"/>
        <v>0</v>
      </c>
      <c r="DH290" s="872">
        <f t="shared" si="183"/>
        <v>0</v>
      </c>
      <c r="DI290" s="872">
        <f t="shared" si="183"/>
        <v>0</v>
      </c>
      <c r="DJ290" s="872">
        <f t="shared" si="183"/>
        <v>0</v>
      </c>
      <c r="DK290" s="872">
        <f t="shared" si="183"/>
        <v>0</v>
      </c>
      <c r="DL290" s="873">
        <f t="shared" si="183"/>
        <v>0</v>
      </c>
      <c r="DM290" s="872">
        <f t="shared" si="183"/>
        <v>0</v>
      </c>
      <c r="DN290" s="872">
        <f t="shared" si="183"/>
        <v>0</v>
      </c>
      <c r="DO290" s="872">
        <f t="shared" si="183"/>
        <v>0</v>
      </c>
      <c r="DP290" s="872">
        <f t="shared" si="183"/>
        <v>0</v>
      </c>
      <c r="DQ290" s="872">
        <f t="shared" si="183"/>
        <v>0</v>
      </c>
      <c r="DR290" s="872">
        <f t="shared" si="183"/>
        <v>0</v>
      </c>
      <c r="DS290" s="872">
        <f t="shared" si="183"/>
        <v>0</v>
      </c>
      <c r="DT290" s="872">
        <f t="shared" si="183"/>
        <v>0</v>
      </c>
      <c r="DU290" s="872">
        <f t="shared" si="183"/>
        <v>0</v>
      </c>
      <c r="DV290" s="872">
        <f t="shared" si="183"/>
        <v>0</v>
      </c>
      <c r="DW290" s="872">
        <f t="shared" si="183"/>
        <v>0</v>
      </c>
      <c r="DX290" s="873">
        <f t="shared" si="183"/>
        <v>0</v>
      </c>
      <c r="DY290" s="872">
        <f t="shared" si="183"/>
        <v>0</v>
      </c>
      <c r="DZ290" s="872">
        <f t="shared" ref="DZ290:EV290" si="184">SUMIFS(DZ$5:DZ$254,$E$5:$E$254,$E290,$F$5:$F$254,$F290)</f>
        <v>0</v>
      </c>
      <c r="EA290" s="872">
        <f t="shared" si="184"/>
        <v>0</v>
      </c>
      <c r="EB290" s="872">
        <f t="shared" si="184"/>
        <v>0</v>
      </c>
      <c r="EC290" s="872">
        <f t="shared" si="184"/>
        <v>0</v>
      </c>
      <c r="ED290" s="872">
        <f t="shared" si="184"/>
        <v>0</v>
      </c>
      <c r="EE290" s="872">
        <f t="shared" si="184"/>
        <v>0</v>
      </c>
      <c r="EF290" s="872">
        <f t="shared" si="184"/>
        <v>0</v>
      </c>
      <c r="EG290" s="872">
        <f t="shared" si="184"/>
        <v>0</v>
      </c>
      <c r="EH290" s="872">
        <f t="shared" si="184"/>
        <v>0</v>
      </c>
      <c r="EI290" s="872">
        <f t="shared" si="184"/>
        <v>0</v>
      </c>
      <c r="EJ290" s="873">
        <f t="shared" si="184"/>
        <v>0</v>
      </c>
      <c r="EK290" s="872">
        <f t="shared" si="184"/>
        <v>0</v>
      </c>
      <c r="EL290" s="872">
        <f t="shared" si="184"/>
        <v>0</v>
      </c>
      <c r="EM290" s="872">
        <f t="shared" si="184"/>
        <v>0</v>
      </c>
      <c r="EN290" s="872">
        <f t="shared" si="184"/>
        <v>0</v>
      </c>
      <c r="EO290" s="872">
        <f t="shared" si="184"/>
        <v>0</v>
      </c>
      <c r="EP290" s="872">
        <f t="shared" si="184"/>
        <v>0</v>
      </c>
      <c r="EQ290" s="872">
        <f t="shared" si="184"/>
        <v>0</v>
      </c>
      <c r="ER290" s="872">
        <f t="shared" si="184"/>
        <v>0</v>
      </c>
      <c r="ES290" s="872">
        <f t="shared" si="184"/>
        <v>0</v>
      </c>
      <c r="ET290" s="872">
        <f t="shared" si="184"/>
        <v>0</v>
      </c>
      <c r="EU290" s="872">
        <f t="shared" si="184"/>
        <v>0</v>
      </c>
      <c r="EV290" s="872">
        <f t="shared" si="184"/>
        <v>0</v>
      </c>
      <c r="EW290" s="879">
        <f t="shared" si="48"/>
        <v>0</v>
      </c>
      <c r="EX290" s="882">
        <f t="shared" si="118"/>
        <v>0</v>
      </c>
      <c r="EY290" s="1541"/>
      <c r="EZ290" s="876">
        <f>SUMIF('Monthly Summary'!$C$74:BV$74,"",'Resource Costs'!$CC290:EV290)</f>
        <v>0</v>
      </c>
      <c r="FA290" s="1540"/>
    </row>
    <row r="291" spans="1:158" ht="12.5" thickBot="1">
      <c r="A291" s="745"/>
      <c r="B291" s="745"/>
      <c r="C291" s="745"/>
      <c r="D291" s="745"/>
      <c r="E291" s="745"/>
      <c r="F291" s="746"/>
      <c r="G291" s="745"/>
      <c r="H291" s="773"/>
      <c r="I291" s="745"/>
      <c r="J291" s="745"/>
      <c r="K291" s="745"/>
      <c r="L291" s="745"/>
      <c r="M291" s="745"/>
      <c r="N291" s="745"/>
      <c r="O291" s="745"/>
      <c r="P291" s="745"/>
      <c r="Q291" s="745"/>
      <c r="R291" s="745"/>
      <c r="S291" s="774"/>
      <c r="T291" s="773"/>
      <c r="U291" s="745"/>
      <c r="V291" s="745"/>
      <c r="W291" s="745"/>
      <c r="X291" s="745"/>
      <c r="Y291" s="745"/>
      <c r="Z291" s="745"/>
      <c r="AA291" s="745"/>
      <c r="AB291" s="745"/>
      <c r="AC291" s="745"/>
      <c r="AD291" s="745"/>
      <c r="AE291" s="774"/>
      <c r="AF291" s="773"/>
      <c r="AG291" s="745"/>
      <c r="AH291" s="745"/>
      <c r="AI291" s="745"/>
      <c r="AJ291" s="745"/>
      <c r="AK291" s="745"/>
      <c r="AL291" s="745"/>
      <c r="AM291" s="745"/>
      <c r="AN291" s="745"/>
      <c r="AO291" s="745"/>
      <c r="AP291" s="745"/>
      <c r="AQ291" s="774"/>
      <c r="AR291" s="745"/>
      <c r="AS291" s="745"/>
      <c r="AT291" s="745"/>
      <c r="AU291" s="745"/>
      <c r="AV291" s="745"/>
      <c r="AW291" s="745"/>
      <c r="AX291" s="745"/>
      <c r="AY291" s="745"/>
      <c r="AZ291" s="745"/>
      <c r="BA291" s="745"/>
      <c r="BB291" s="745"/>
      <c r="BC291" s="745"/>
      <c r="BD291" s="773"/>
      <c r="BE291" s="745"/>
      <c r="BF291" s="745"/>
      <c r="BG291" s="745"/>
      <c r="BH291" s="745"/>
      <c r="BI291" s="745"/>
      <c r="BJ291" s="745"/>
      <c r="BK291" s="745"/>
      <c r="BL291" s="745"/>
      <c r="BM291" s="745"/>
      <c r="BN291" s="745"/>
      <c r="BO291" s="774"/>
      <c r="BP291" s="745"/>
      <c r="BQ291" s="745"/>
      <c r="BR291" s="745"/>
      <c r="BS291" s="745"/>
      <c r="BT291" s="745"/>
      <c r="BU291" s="745"/>
      <c r="BV291" s="745"/>
      <c r="BW291" s="745"/>
      <c r="BX291" s="745"/>
      <c r="BY291" s="745"/>
      <c r="BZ291" s="745"/>
      <c r="CA291" s="745"/>
      <c r="CB291" s="747"/>
      <c r="CC291" s="872"/>
      <c r="CD291" s="872"/>
      <c r="CE291" s="872"/>
      <c r="CF291" s="872"/>
      <c r="CG291" s="872"/>
      <c r="CH291" s="872"/>
      <c r="CI291" s="872"/>
      <c r="CJ291" s="872"/>
      <c r="CK291" s="872"/>
      <c r="CL291" s="872"/>
      <c r="CM291" s="872"/>
      <c r="CN291" s="873"/>
      <c r="CO291" s="872"/>
      <c r="CP291" s="872"/>
      <c r="CQ291" s="872"/>
      <c r="CR291" s="872"/>
      <c r="CS291" s="872"/>
      <c r="CT291" s="872"/>
      <c r="CU291" s="872"/>
      <c r="CV291" s="872"/>
      <c r="CW291" s="872"/>
      <c r="CX291" s="872"/>
      <c r="CY291" s="872"/>
      <c r="CZ291" s="873"/>
      <c r="DA291" s="872"/>
      <c r="DB291" s="872"/>
      <c r="DC291" s="872"/>
      <c r="DD291" s="872"/>
      <c r="DE291" s="872"/>
      <c r="DF291" s="872"/>
      <c r="DG291" s="872"/>
      <c r="DH291" s="872"/>
      <c r="DI291" s="872"/>
      <c r="DJ291" s="872"/>
      <c r="DK291" s="872"/>
      <c r="DL291" s="873"/>
      <c r="DM291" s="872"/>
      <c r="DN291" s="872"/>
      <c r="DO291" s="872"/>
      <c r="DP291" s="872"/>
      <c r="DQ291" s="872"/>
      <c r="DR291" s="872"/>
      <c r="DS291" s="872"/>
      <c r="DT291" s="872"/>
      <c r="DU291" s="872"/>
      <c r="DV291" s="872"/>
      <c r="DW291" s="872"/>
      <c r="DX291" s="873"/>
      <c r="DY291" s="872"/>
      <c r="DZ291" s="872"/>
      <c r="EA291" s="872"/>
      <c r="EB291" s="872"/>
      <c r="EC291" s="872"/>
      <c r="ED291" s="872"/>
      <c r="EE291" s="872"/>
      <c r="EF291" s="872"/>
      <c r="EG291" s="872"/>
      <c r="EH291" s="872"/>
      <c r="EI291" s="872"/>
      <c r="EJ291" s="873"/>
      <c r="EK291" s="872"/>
      <c r="EL291" s="872"/>
      <c r="EM291" s="872"/>
      <c r="EN291" s="872"/>
      <c r="EO291" s="872"/>
      <c r="EP291" s="872"/>
      <c r="EQ291" s="872"/>
      <c r="ER291" s="872"/>
      <c r="ES291" s="872"/>
      <c r="ET291" s="872"/>
      <c r="EU291" s="872"/>
      <c r="EV291" s="873"/>
      <c r="EW291" s="872"/>
      <c r="EX291" s="872"/>
    </row>
    <row r="292" spans="1:158" ht="12" customHeight="1" thickBot="1">
      <c r="A292" s="745"/>
      <c r="B292" s="745"/>
      <c r="C292" s="775" t="s">
        <v>62</v>
      </c>
      <c r="D292" s="775" t="s">
        <v>63</v>
      </c>
      <c r="E292" s="745"/>
      <c r="F292" s="746"/>
      <c r="G292" s="745"/>
      <c r="H292" s="764"/>
      <c r="I292" s="747"/>
      <c r="J292" s="747"/>
      <c r="K292" s="747"/>
      <c r="L292" s="747"/>
      <c r="M292" s="747"/>
      <c r="N292" s="747"/>
      <c r="O292" s="747"/>
      <c r="P292" s="747"/>
      <c r="Q292" s="747"/>
      <c r="R292" s="747"/>
      <c r="S292" s="765"/>
      <c r="T292" s="764"/>
      <c r="U292" s="747"/>
      <c r="V292" s="747"/>
      <c r="W292" s="747"/>
      <c r="X292" s="747"/>
      <c r="Y292" s="747"/>
      <c r="Z292" s="747"/>
      <c r="AA292" s="747"/>
      <c r="AB292" s="747"/>
      <c r="AC292" s="747"/>
      <c r="AD292" s="747"/>
      <c r="AE292" s="765"/>
      <c r="AF292" s="764"/>
      <c r="AG292" s="747"/>
      <c r="AH292" s="747"/>
      <c r="AI292" s="747"/>
      <c r="AJ292" s="747"/>
      <c r="AK292" s="747"/>
      <c r="AL292" s="747"/>
      <c r="AM292" s="747"/>
      <c r="AN292" s="747"/>
      <c r="AO292" s="747"/>
      <c r="AP292" s="747"/>
      <c r="AQ292" s="765"/>
      <c r="AR292" s="747"/>
      <c r="AS292" s="747"/>
      <c r="AT292" s="747"/>
      <c r="AU292" s="747"/>
      <c r="AV292" s="747"/>
      <c r="AW292" s="747"/>
      <c r="AX292" s="747"/>
      <c r="AY292" s="747"/>
      <c r="AZ292" s="747"/>
      <c r="BA292" s="747"/>
      <c r="BB292" s="747"/>
      <c r="BC292" s="747"/>
      <c r="BD292" s="764"/>
      <c r="BE292" s="747"/>
      <c r="BF292" s="747"/>
      <c r="BG292" s="747"/>
      <c r="BH292" s="747"/>
      <c r="BI292" s="747"/>
      <c r="BJ292" s="747"/>
      <c r="BK292" s="747"/>
      <c r="BL292" s="747"/>
      <c r="BM292" s="747"/>
      <c r="BN292" s="747"/>
      <c r="BO292" s="765"/>
      <c r="BP292" s="747"/>
      <c r="BQ292" s="747"/>
      <c r="BR292" s="747"/>
      <c r="BS292" s="747"/>
      <c r="BT292" s="747"/>
      <c r="BU292" s="747"/>
      <c r="BV292" s="747"/>
      <c r="BW292" s="747"/>
      <c r="BX292" s="747"/>
      <c r="BY292" s="747"/>
      <c r="BZ292" s="747"/>
      <c r="CA292" s="747"/>
      <c r="CB292" s="747"/>
      <c r="CC292" s="872">
        <f>SUM(CC256:CC290)</f>
        <v>0</v>
      </c>
      <c r="CD292" s="872">
        <f t="shared" ref="CD292:DX292" si="185">SUM(CD256:CD290)</f>
        <v>0</v>
      </c>
      <c r="CE292" s="872">
        <f t="shared" si="185"/>
        <v>0</v>
      </c>
      <c r="CF292" s="872">
        <f t="shared" si="185"/>
        <v>24400</v>
      </c>
      <c r="CG292" s="872">
        <f t="shared" si="185"/>
        <v>24400</v>
      </c>
      <c r="CH292" s="872">
        <f t="shared" si="185"/>
        <v>24400</v>
      </c>
      <c r="CI292" s="872">
        <f t="shared" si="185"/>
        <v>24400</v>
      </c>
      <c r="CJ292" s="872">
        <f t="shared" si="185"/>
        <v>0</v>
      </c>
      <c r="CK292" s="872">
        <f t="shared" si="185"/>
        <v>0</v>
      </c>
      <c r="CL292" s="872">
        <f t="shared" si="185"/>
        <v>0</v>
      </c>
      <c r="CM292" s="872">
        <f t="shared" si="185"/>
        <v>0</v>
      </c>
      <c r="CN292" s="872">
        <f t="shared" si="185"/>
        <v>0</v>
      </c>
      <c r="CO292" s="880">
        <f t="shared" si="185"/>
        <v>0</v>
      </c>
      <c r="CP292" s="872">
        <f t="shared" si="185"/>
        <v>0</v>
      </c>
      <c r="CQ292" s="872">
        <f t="shared" si="185"/>
        <v>0</v>
      </c>
      <c r="CR292" s="872">
        <f t="shared" si="185"/>
        <v>0</v>
      </c>
      <c r="CS292" s="872">
        <f t="shared" si="185"/>
        <v>0</v>
      </c>
      <c r="CT292" s="872">
        <f t="shared" si="185"/>
        <v>0</v>
      </c>
      <c r="CU292" s="872">
        <f t="shared" si="185"/>
        <v>0</v>
      </c>
      <c r="CV292" s="872">
        <f t="shared" si="185"/>
        <v>0</v>
      </c>
      <c r="CW292" s="872">
        <f t="shared" si="185"/>
        <v>0</v>
      </c>
      <c r="CX292" s="872">
        <f t="shared" si="185"/>
        <v>0</v>
      </c>
      <c r="CY292" s="872">
        <f t="shared" si="185"/>
        <v>0</v>
      </c>
      <c r="CZ292" s="873">
        <f t="shared" si="185"/>
        <v>0</v>
      </c>
      <c r="DA292" s="872">
        <f>SUM(DA256:DA290)</f>
        <v>0</v>
      </c>
      <c r="DB292" s="872">
        <f t="shared" si="185"/>
        <v>0</v>
      </c>
      <c r="DC292" s="872">
        <f t="shared" si="185"/>
        <v>0</v>
      </c>
      <c r="DD292" s="872">
        <f t="shared" si="185"/>
        <v>0</v>
      </c>
      <c r="DE292" s="872">
        <f t="shared" si="185"/>
        <v>0</v>
      </c>
      <c r="DF292" s="872">
        <f t="shared" si="185"/>
        <v>0</v>
      </c>
      <c r="DG292" s="872">
        <f t="shared" si="185"/>
        <v>0</v>
      </c>
      <c r="DH292" s="872">
        <f t="shared" si="185"/>
        <v>0</v>
      </c>
      <c r="DI292" s="872">
        <f t="shared" si="185"/>
        <v>0</v>
      </c>
      <c r="DJ292" s="872">
        <f t="shared" si="185"/>
        <v>0</v>
      </c>
      <c r="DK292" s="872">
        <f t="shared" si="185"/>
        <v>0</v>
      </c>
      <c r="DL292" s="873">
        <f t="shared" si="185"/>
        <v>0</v>
      </c>
      <c r="DM292" s="872">
        <f t="shared" si="185"/>
        <v>0</v>
      </c>
      <c r="DN292" s="872">
        <f t="shared" si="185"/>
        <v>0</v>
      </c>
      <c r="DO292" s="872">
        <f t="shared" si="185"/>
        <v>0</v>
      </c>
      <c r="DP292" s="872">
        <f t="shared" si="185"/>
        <v>0</v>
      </c>
      <c r="DQ292" s="872">
        <f t="shared" si="185"/>
        <v>0</v>
      </c>
      <c r="DR292" s="872">
        <f t="shared" si="185"/>
        <v>0</v>
      </c>
      <c r="DS292" s="872">
        <f t="shared" si="185"/>
        <v>0</v>
      </c>
      <c r="DT292" s="872">
        <f t="shared" si="185"/>
        <v>0</v>
      </c>
      <c r="DU292" s="872">
        <f t="shared" si="185"/>
        <v>0</v>
      </c>
      <c r="DV292" s="872">
        <f t="shared" si="185"/>
        <v>0</v>
      </c>
      <c r="DW292" s="872">
        <f t="shared" si="185"/>
        <v>0</v>
      </c>
      <c r="DX292" s="873">
        <f t="shared" si="185"/>
        <v>0</v>
      </c>
      <c r="DY292" s="872">
        <f>SUM(DY256:DY290)</f>
        <v>0</v>
      </c>
      <c r="DZ292" s="872">
        <f t="shared" ref="DZ292:EV292" si="186">SUM(DZ256:DZ290)</f>
        <v>0</v>
      </c>
      <c r="EA292" s="872">
        <f t="shared" si="186"/>
        <v>0</v>
      </c>
      <c r="EB292" s="872">
        <f t="shared" si="186"/>
        <v>0</v>
      </c>
      <c r="EC292" s="872">
        <f t="shared" si="186"/>
        <v>0</v>
      </c>
      <c r="ED292" s="872">
        <f t="shared" si="186"/>
        <v>0</v>
      </c>
      <c r="EE292" s="872">
        <f t="shared" si="186"/>
        <v>0</v>
      </c>
      <c r="EF292" s="872">
        <f t="shared" si="186"/>
        <v>0</v>
      </c>
      <c r="EG292" s="872">
        <f t="shared" si="186"/>
        <v>0</v>
      </c>
      <c r="EH292" s="872">
        <f t="shared" si="186"/>
        <v>0</v>
      </c>
      <c r="EI292" s="872">
        <f t="shared" si="186"/>
        <v>0</v>
      </c>
      <c r="EJ292" s="873">
        <f t="shared" si="186"/>
        <v>0</v>
      </c>
      <c r="EK292" s="872">
        <f t="shared" si="186"/>
        <v>0</v>
      </c>
      <c r="EL292" s="872">
        <f t="shared" si="186"/>
        <v>0</v>
      </c>
      <c r="EM292" s="872">
        <f t="shared" si="186"/>
        <v>0</v>
      </c>
      <c r="EN292" s="872">
        <f t="shared" si="186"/>
        <v>0</v>
      </c>
      <c r="EO292" s="872">
        <f t="shared" si="186"/>
        <v>0</v>
      </c>
      <c r="EP292" s="872">
        <f t="shared" si="186"/>
        <v>0</v>
      </c>
      <c r="EQ292" s="872">
        <f t="shared" si="186"/>
        <v>0</v>
      </c>
      <c r="ER292" s="872">
        <f t="shared" si="186"/>
        <v>0</v>
      </c>
      <c r="ES292" s="872">
        <f t="shared" si="186"/>
        <v>0</v>
      </c>
      <c r="ET292" s="872">
        <f t="shared" si="186"/>
        <v>0</v>
      </c>
      <c r="EU292" s="872">
        <f t="shared" si="186"/>
        <v>0</v>
      </c>
      <c r="EV292" s="873">
        <f t="shared" si="186"/>
        <v>0</v>
      </c>
      <c r="EW292" s="872">
        <f>SUM(EW256:EW290)</f>
        <v>97600</v>
      </c>
      <c r="EX292" s="883">
        <f>SUM(EX256:EX290)</f>
        <v>0</v>
      </c>
      <c r="EY292" s="776">
        <f>IF(('Other Costs'!CE239*1000)=0,0,EX292/('Other Costs'!CE239*1000))</f>
        <v>0</v>
      </c>
      <c r="EZ292" s="777" t="s">
        <v>238</v>
      </c>
      <c r="FA292" s="779"/>
      <c r="FB292" s="1260"/>
    </row>
    <row r="293" spans="1:158">
      <c r="A293" s="745"/>
      <c r="B293" s="745"/>
      <c r="C293" s="778" t="s">
        <v>66</v>
      </c>
      <c r="D293" s="775" t="s">
        <v>64</v>
      </c>
      <c r="E293" s="745"/>
      <c r="F293" s="746"/>
      <c r="G293" s="745"/>
      <c r="H293" s="764"/>
      <c r="I293" s="747"/>
      <c r="J293" s="747"/>
      <c r="K293" s="747"/>
      <c r="L293" s="747"/>
      <c r="M293" s="747"/>
      <c r="N293" s="747"/>
      <c r="O293" s="747"/>
      <c r="P293" s="747"/>
      <c r="Q293" s="747"/>
      <c r="R293" s="747"/>
      <c r="S293" s="765"/>
      <c r="T293" s="764"/>
      <c r="U293" s="747"/>
      <c r="V293" s="747"/>
      <c r="W293" s="747"/>
      <c r="X293" s="747"/>
      <c r="Y293" s="747"/>
      <c r="Z293" s="747"/>
      <c r="AA293" s="747"/>
      <c r="AB293" s="747"/>
      <c r="AC293" s="747"/>
      <c r="AD293" s="747"/>
      <c r="AE293" s="765"/>
      <c r="AF293" s="764"/>
      <c r="AG293" s="747"/>
      <c r="AH293" s="747"/>
      <c r="AI293" s="747"/>
      <c r="AJ293" s="747"/>
      <c r="AK293" s="747"/>
      <c r="AL293" s="747"/>
      <c r="AM293" s="747"/>
      <c r="AN293" s="747"/>
      <c r="AO293" s="747"/>
      <c r="AP293" s="747"/>
      <c r="AQ293" s="765"/>
      <c r="AR293" s="747"/>
      <c r="AS293" s="747"/>
      <c r="AT293" s="747"/>
      <c r="AU293" s="747"/>
      <c r="AV293" s="747"/>
      <c r="AW293" s="747"/>
      <c r="AX293" s="747"/>
      <c r="AY293" s="747"/>
      <c r="AZ293" s="747"/>
      <c r="BA293" s="747"/>
      <c r="BB293" s="747"/>
      <c r="BC293" s="747"/>
      <c r="BD293" s="764"/>
      <c r="BE293" s="747"/>
      <c r="BF293" s="747"/>
      <c r="BG293" s="747"/>
      <c r="BH293" s="747"/>
      <c r="BI293" s="747"/>
      <c r="BJ293" s="747"/>
      <c r="BK293" s="747"/>
      <c r="BL293" s="747"/>
      <c r="BM293" s="747"/>
      <c r="BN293" s="747"/>
      <c r="BO293" s="765"/>
      <c r="BP293" s="747"/>
      <c r="BQ293" s="747"/>
      <c r="BR293" s="747"/>
      <c r="BS293" s="747"/>
      <c r="BT293" s="747"/>
      <c r="BU293" s="747"/>
      <c r="BV293" s="747"/>
      <c r="BW293" s="747"/>
      <c r="BX293" s="747"/>
      <c r="BY293" s="747"/>
      <c r="BZ293" s="747"/>
      <c r="CA293" s="747"/>
      <c r="CB293" s="747"/>
      <c r="CC293" s="872">
        <f t="shared" ref="CC293:CF293" si="187">SUM(CC5:CC153)</f>
        <v>0</v>
      </c>
      <c r="CD293" s="872">
        <f t="shared" si="187"/>
        <v>0</v>
      </c>
      <c r="CE293" s="872">
        <f t="shared" si="187"/>
        <v>0</v>
      </c>
      <c r="CF293" s="872">
        <f t="shared" si="187"/>
        <v>24400</v>
      </c>
      <c r="CG293" s="872">
        <f>SUM(CG5:CG254)</f>
        <v>24400</v>
      </c>
      <c r="CH293" s="872">
        <f t="shared" ref="CH293:ES293" si="188">SUM(CH5:CH254)</f>
        <v>24400</v>
      </c>
      <c r="CI293" s="872">
        <f t="shared" si="188"/>
        <v>24400</v>
      </c>
      <c r="CJ293" s="872">
        <f t="shared" si="188"/>
        <v>0</v>
      </c>
      <c r="CK293" s="872">
        <f t="shared" si="188"/>
        <v>0</v>
      </c>
      <c r="CL293" s="872">
        <f t="shared" si="188"/>
        <v>0</v>
      </c>
      <c r="CM293" s="872">
        <f t="shared" si="188"/>
        <v>0</v>
      </c>
      <c r="CN293" s="873">
        <f t="shared" si="188"/>
        <v>0</v>
      </c>
      <c r="CO293" s="872">
        <f t="shared" si="188"/>
        <v>0</v>
      </c>
      <c r="CP293" s="872">
        <f t="shared" si="188"/>
        <v>0</v>
      </c>
      <c r="CQ293" s="872">
        <f t="shared" si="188"/>
        <v>0</v>
      </c>
      <c r="CR293" s="872">
        <f t="shared" si="188"/>
        <v>0</v>
      </c>
      <c r="CS293" s="872">
        <f t="shared" si="188"/>
        <v>0</v>
      </c>
      <c r="CT293" s="872">
        <f t="shared" si="188"/>
        <v>0</v>
      </c>
      <c r="CU293" s="872">
        <f t="shared" si="188"/>
        <v>0</v>
      </c>
      <c r="CV293" s="872">
        <f t="shared" si="188"/>
        <v>0</v>
      </c>
      <c r="CW293" s="872">
        <f t="shared" si="188"/>
        <v>0</v>
      </c>
      <c r="CX293" s="872">
        <f t="shared" si="188"/>
        <v>0</v>
      </c>
      <c r="CY293" s="872">
        <f t="shared" si="188"/>
        <v>0</v>
      </c>
      <c r="CZ293" s="873">
        <f t="shared" si="188"/>
        <v>0</v>
      </c>
      <c r="DA293" s="872">
        <f t="shared" si="188"/>
        <v>0</v>
      </c>
      <c r="DB293" s="872">
        <f t="shared" si="188"/>
        <v>0</v>
      </c>
      <c r="DC293" s="872">
        <f t="shared" si="188"/>
        <v>0</v>
      </c>
      <c r="DD293" s="872">
        <f t="shared" si="188"/>
        <v>0</v>
      </c>
      <c r="DE293" s="872">
        <f t="shared" si="188"/>
        <v>0</v>
      </c>
      <c r="DF293" s="872">
        <f t="shared" si="188"/>
        <v>0</v>
      </c>
      <c r="DG293" s="872">
        <f t="shared" si="188"/>
        <v>0</v>
      </c>
      <c r="DH293" s="872">
        <f t="shared" si="188"/>
        <v>0</v>
      </c>
      <c r="DI293" s="872">
        <f t="shared" si="188"/>
        <v>0</v>
      </c>
      <c r="DJ293" s="872">
        <f t="shared" si="188"/>
        <v>0</v>
      </c>
      <c r="DK293" s="872">
        <f t="shared" si="188"/>
        <v>0</v>
      </c>
      <c r="DL293" s="873">
        <f t="shared" si="188"/>
        <v>0</v>
      </c>
      <c r="DM293" s="872">
        <f t="shared" si="188"/>
        <v>0</v>
      </c>
      <c r="DN293" s="872">
        <f t="shared" si="188"/>
        <v>0</v>
      </c>
      <c r="DO293" s="872">
        <f t="shared" si="188"/>
        <v>0</v>
      </c>
      <c r="DP293" s="872">
        <f t="shared" si="188"/>
        <v>0</v>
      </c>
      <c r="DQ293" s="872">
        <f t="shared" si="188"/>
        <v>0</v>
      </c>
      <c r="DR293" s="872">
        <f t="shared" si="188"/>
        <v>0</v>
      </c>
      <c r="DS293" s="872">
        <f t="shared" si="188"/>
        <v>0</v>
      </c>
      <c r="DT293" s="872">
        <f t="shared" si="188"/>
        <v>0</v>
      </c>
      <c r="DU293" s="872">
        <f t="shared" si="188"/>
        <v>0</v>
      </c>
      <c r="DV293" s="872">
        <f t="shared" si="188"/>
        <v>0</v>
      </c>
      <c r="DW293" s="872">
        <f t="shared" si="188"/>
        <v>0</v>
      </c>
      <c r="DX293" s="873">
        <f t="shared" si="188"/>
        <v>0</v>
      </c>
      <c r="DY293" s="872">
        <f t="shared" si="188"/>
        <v>0</v>
      </c>
      <c r="DZ293" s="872">
        <f t="shared" si="188"/>
        <v>0</v>
      </c>
      <c r="EA293" s="872">
        <f t="shared" si="188"/>
        <v>0</v>
      </c>
      <c r="EB293" s="872">
        <f t="shared" si="188"/>
        <v>0</v>
      </c>
      <c r="EC293" s="872">
        <f t="shared" si="188"/>
        <v>0</v>
      </c>
      <c r="ED293" s="872">
        <f t="shared" si="188"/>
        <v>0</v>
      </c>
      <c r="EE293" s="872">
        <f t="shared" si="188"/>
        <v>0</v>
      </c>
      <c r="EF293" s="872">
        <f t="shared" si="188"/>
        <v>0</v>
      </c>
      <c r="EG293" s="872">
        <f t="shared" si="188"/>
        <v>0</v>
      </c>
      <c r="EH293" s="872">
        <f t="shared" si="188"/>
        <v>0</v>
      </c>
      <c r="EI293" s="872">
        <f t="shared" si="188"/>
        <v>0</v>
      </c>
      <c r="EJ293" s="873">
        <f t="shared" si="188"/>
        <v>0</v>
      </c>
      <c r="EK293" s="872">
        <f t="shared" si="188"/>
        <v>0</v>
      </c>
      <c r="EL293" s="872">
        <f t="shared" si="188"/>
        <v>0</v>
      </c>
      <c r="EM293" s="872">
        <f t="shared" si="188"/>
        <v>0</v>
      </c>
      <c r="EN293" s="872">
        <f t="shared" si="188"/>
        <v>0</v>
      </c>
      <c r="EO293" s="872">
        <f t="shared" si="188"/>
        <v>0</v>
      </c>
      <c r="EP293" s="872">
        <f t="shared" si="188"/>
        <v>0</v>
      </c>
      <c r="EQ293" s="872">
        <f t="shared" si="188"/>
        <v>0</v>
      </c>
      <c r="ER293" s="872">
        <f t="shared" si="188"/>
        <v>0</v>
      </c>
      <c r="ES293" s="872">
        <f t="shared" si="188"/>
        <v>0</v>
      </c>
      <c r="ET293" s="872">
        <f t="shared" ref="ET293:EU293" si="189">SUM(ET5:ET254)</f>
        <v>0</v>
      </c>
      <c r="EU293" s="872">
        <f t="shared" si="189"/>
        <v>0</v>
      </c>
      <c r="EV293" s="873">
        <f>SUM(EV5:EV254)</f>
        <v>0</v>
      </c>
      <c r="EW293" s="872">
        <f>SUM(EW5:EW254)</f>
        <v>97600</v>
      </c>
      <c r="EZ293" s="779"/>
      <c r="FA293" s="779"/>
    </row>
    <row r="294" spans="1:158">
      <c r="A294" s="745"/>
      <c r="B294" s="745"/>
      <c r="C294" s="775"/>
      <c r="D294" s="775" t="s">
        <v>65</v>
      </c>
      <c r="E294" s="745"/>
      <c r="F294" s="746"/>
      <c r="G294" s="745"/>
      <c r="H294" s="764"/>
      <c r="I294" s="747"/>
      <c r="J294" s="747"/>
      <c r="K294" s="747"/>
      <c r="L294" s="747"/>
      <c r="M294" s="747"/>
      <c r="N294" s="747"/>
      <c r="O294" s="747"/>
      <c r="P294" s="747"/>
      <c r="Q294" s="747"/>
      <c r="R294" s="747"/>
      <c r="S294" s="765"/>
      <c r="T294" s="764"/>
      <c r="U294" s="747"/>
      <c r="V294" s="747"/>
      <c r="W294" s="747"/>
      <c r="X294" s="747"/>
      <c r="Y294" s="747"/>
      <c r="Z294" s="747"/>
      <c r="AA294" s="747"/>
      <c r="AB294" s="747"/>
      <c r="AC294" s="747"/>
      <c r="AD294" s="747"/>
      <c r="AE294" s="765"/>
      <c r="AF294" s="764"/>
      <c r="AG294" s="747"/>
      <c r="AH294" s="747"/>
      <c r="AI294" s="747"/>
      <c r="AJ294" s="747"/>
      <c r="AK294" s="747"/>
      <c r="AL294" s="747"/>
      <c r="AM294" s="747"/>
      <c r="AN294" s="747"/>
      <c r="AO294" s="747"/>
      <c r="AP294" s="747"/>
      <c r="AQ294" s="765"/>
      <c r="AR294" s="747"/>
      <c r="AS294" s="747"/>
      <c r="AT294" s="747"/>
      <c r="AU294" s="747"/>
      <c r="AV294" s="747"/>
      <c r="AW294" s="747"/>
      <c r="AX294" s="747"/>
      <c r="AY294" s="747"/>
      <c r="AZ294" s="747"/>
      <c r="BA294" s="747"/>
      <c r="BB294" s="747"/>
      <c r="BC294" s="747"/>
      <c r="BD294" s="764"/>
      <c r="BE294" s="747"/>
      <c r="BF294" s="747"/>
      <c r="BG294" s="747"/>
      <c r="BH294" s="747"/>
      <c r="BI294" s="747"/>
      <c r="BJ294" s="747"/>
      <c r="BK294" s="747"/>
      <c r="BL294" s="747"/>
      <c r="BM294" s="747"/>
      <c r="BN294" s="747"/>
      <c r="BO294" s="765"/>
      <c r="BP294" s="747"/>
      <c r="BQ294" s="747"/>
      <c r="BR294" s="747"/>
      <c r="BS294" s="747"/>
      <c r="BT294" s="747"/>
      <c r="BU294" s="747"/>
      <c r="BV294" s="747"/>
      <c r="BW294" s="747"/>
      <c r="BX294" s="747"/>
      <c r="BY294" s="747"/>
      <c r="BZ294" s="747"/>
      <c r="CA294" s="747"/>
      <c r="CB294" s="747"/>
      <c r="CC294" s="872">
        <f>CC292-CC293</f>
        <v>0</v>
      </c>
      <c r="CD294" s="872">
        <f t="shared" ref="CD294:CZ294" si="190">CD292-CD293</f>
        <v>0</v>
      </c>
      <c r="CE294" s="872">
        <f t="shared" si="190"/>
        <v>0</v>
      </c>
      <c r="CF294" s="872">
        <f t="shared" si="190"/>
        <v>0</v>
      </c>
      <c r="CG294" s="872">
        <f t="shared" si="190"/>
        <v>0</v>
      </c>
      <c r="CH294" s="872">
        <f t="shared" si="190"/>
        <v>0</v>
      </c>
      <c r="CI294" s="872">
        <f t="shared" si="190"/>
        <v>0</v>
      </c>
      <c r="CJ294" s="872">
        <f t="shared" si="190"/>
        <v>0</v>
      </c>
      <c r="CK294" s="872">
        <f t="shared" si="190"/>
        <v>0</v>
      </c>
      <c r="CL294" s="872">
        <f t="shared" si="190"/>
        <v>0</v>
      </c>
      <c r="CM294" s="872">
        <f t="shared" si="190"/>
        <v>0</v>
      </c>
      <c r="CN294" s="873">
        <f t="shared" si="190"/>
        <v>0</v>
      </c>
      <c r="CO294" s="872">
        <f t="shared" si="190"/>
        <v>0</v>
      </c>
      <c r="CP294" s="872">
        <f t="shared" si="190"/>
        <v>0</v>
      </c>
      <c r="CQ294" s="872">
        <f t="shared" si="190"/>
        <v>0</v>
      </c>
      <c r="CR294" s="872">
        <f t="shared" si="190"/>
        <v>0</v>
      </c>
      <c r="CS294" s="872">
        <f t="shared" si="190"/>
        <v>0</v>
      </c>
      <c r="CT294" s="872">
        <f t="shared" si="190"/>
        <v>0</v>
      </c>
      <c r="CU294" s="872">
        <f t="shared" si="190"/>
        <v>0</v>
      </c>
      <c r="CV294" s="872">
        <f t="shared" si="190"/>
        <v>0</v>
      </c>
      <c r="CW294" s="872">
        <f t="shared" si="190"/>
        <v>0</v>
      </c>
      <c r="CX294" s="872">
        <f t="shared" si="190"/>
        <v>0</v>
      </c>
      <c r="CY294" s="872">
        <f t="shared" si="190"/>
        <v>0</v>
      </c>
      <c r="CZ294" s="873">
        <f t="shared" si="190"/>
        <v>0</v>
      </c>
      <c r="DA294" s="872">
        <f t="shared" ref="DA294:DL294" si="191">DA292-DA293</f>
        <v>0</v>
      </c>
      <c r="DB294" s="872">
        <f t="shared" si="191"/>
        <v>0</v>
      </c>
      <c r="DC294" s="872">
        <f t="shared" si="191"/>
        <v>0</v>
      </c>
      <c r="DD294" s="872">
        <f t="shared" si="191"/>
        <v>0</v>
      </c>
      <c r="DE294" s="872">
        <f t="shared" si="191"/>
        <v>0</v>
      </c>
      <c r="DF294" s="872">
        <f t="shared" si="191"/>
        <v>0</v>
      </c>
      <c r="DG294" s="872">
        <f t="shared" si="191"/>
        <v>0</v>
      </c>
      <c r="DH294" s="872">
        <f t="shared" si="191"/>
        <v>0</v>
      </c>
      <c r="DI294" s="872">
        <f t="shared" si="191"/>
        <v>0</v>
      </c>
      <c r="DJ294" s="872">
        <f t="shared" si="191"/>
        <v>0</v>
      </c>
      <c r="DK294" s="872">
        <f t="shared" si="191"/>
        <v>0</v>
      </c>
      <c r="DL294" s="873">
        <f t="shared" si="191"/>
        <v>0</v>
      </c>
      <c r="DM294" s="872">
        <f t="shared" ref="DM294:EJ294" si="192">DM292-DM293</f>
        <v>0</v>
      </c>
      <c r="DN294" s="872">
        <f t="shared" si="192"/>
        <v>0</v>
      </c>
      <c r="DO294" s="872">
        <f t="shared" si="192"/>
        <v>0</v>
      </c>
      <c r="DP294" s="872">
        <f t="shared" si="192"/>
        <v>0</v>
      </c>
      <c r="DQ294" s="872">
        <f t="shared" si="192"/>
        <v>0</v>
      </c>
      <c r="DR294" s="872">
        <f t="shared" si="192"/>
        <v>0</v>
      </c>
      <c r="DS294" s="872">
        <f t="shared" si="192"/>
        <v>0</v>
      </c>
      <c r="DT294" s="872">
        <f t="shared" si="192"/>
        <v>0</v>
      </c>
      <c r="DU294" s="872">
        <f t="shared" si="192"/>
        <v>0</v>
      </c>
      <c r="DV294" s="872">
        <f t="shared" si="192"/>
        <v>0</v>
      </c>
      <c r="DW294" s="872">
        <f t="shared" si="192"/>
        <v>0</v>
      </c>
      <c r="DX294" s="873">
        <f t="shared" si="192"/>
        <v>0</v>
      </c>
      <c r="DY294" s="872">
        <f t="shared" si="192"/>
        <v>0</v>
      </c>
      <c r="DZ294" s="872">
        <f t="shared" si="192"/>
        <v>0</v>
      </c>
      <c r="EA294" s="872">
        <f t="shared" si="192"/>
        <v>0</v>
      </c>
      <c r="EB294" s="872">
        <f t="shared" si="192"/>
        <v>0</v>
      </c>
      <c r="EC294" s="872">
        <f t="shared" si="192"/>
        <v>0</v>
      </c>
      <c r="ED294" s="872">
        <f t="shared" si="192"/>
        <v>0</v>
      </c>
      <c r="EE294" s="872">
        <f t="shared" si="192"/>
        <v>0</v>
      </c>
      <c r="EF294" s="872">
        <f t="shared" si="192"/>
        <v>0</v>
      </c>
      <c r="EG294" s="872">
        <f t="shared" si="192"/>
        <v>0</v>
      </c>
      <c r="EH294" s="872">
        <f t="shared" si="192"/>
        <v>0</v>
      </c>
      <c r="EI294" s="872">
        <f t="shared" si="192"/>
        <v>0</v>
      </c>
      <c r="EJ294" s="873">
        <f t="shared" si="192"/>
        <v>0</v>
      </c>
      <c r="EK294" s="872">
        <f t="shared" ref="EK294:EV294" si="193">EK292-EK293</f>
        <v>0</v>
      </c>
      <c r="EL294" s="872">
        <f t="shared" si="193"/>
        <v>0</v>
      </c>
      <c r="EM294" s="872">
        <f t="shared" si="193"/>
        <v>0</v>
      </c>
      <c r="EN294" s="872">
        <f t="shared" si="193"/>
        <v>0</v>
      </c>
      <c r="EO294" s="872">
        <f t="shared" si="193"/>
        <v>0</v>
      </c>
      <c r="EP294" s="872">
        <f t="shared" si="193"/>
        <v>0</v>
      </c>
      <c r="EQ294" s="872">
        <f t="shared" si="193"/>
        <v>0</v>
      </c>
      <c r="ER294" s="872">
        <f t="shared" si="193"/>
        <v>0</v>
      </c>
      <c r="ES294" s="872">
        <f t="shared" si="193"/>
        <v>0</v>
      </c>
      <c r="ET294" s="872">
        <f t="shared" si="193"/>
        <v>0</v>
      </c>
      <c r="EU294" s="872">
        <f t="shared" si="193"/>
        <v>0</v>
      </c>
      <c r="EV294" s="873">
        <f t="shared" si="193"/>
        <v>0</v>
      </c>
      <c r="EW294" s="872">
        <f>EW292-EW293</f>
        <v>0</v>
      </c>
    </row>
    <row r="296" spans="1:158">
      <c r="A296" s="780" t="s">
        <v>22</v>
      </c>
      <c r="B296" s="745"/>
      <c r="F296" s="753"/>
    </row>
    <row r="297" spans="1:158">
      <c r="A297" s="781" t="s">
        <v>14</v>
      </c>
      <c r="B297" s="781"/>
      <c r="C297" s="782"/>
      <c r="D297" s="782"/>
      <c r="E297" s="782"/>
      <c r="F297" s="782"/>
      <c r="G297" s="782"/>
      <c r="H297" s="782"/>
      <c r="I297" s="782"/>
      <c r="J297" s="782"/>
      <c r="K297" s="782"/>
      <c r="L297" s="782"/>
    </row>
    <row r="298" spans="1:158">
      <c r="A298" s="781" t="s">
        <v>8477</v>
      </c>
      <c r="B298" s="781"/>
      <c r="C298" s="782"/>
      <c r="D298" s="782"/>
      <c r="E298" s="782"/>
      <c r="F298" s="782"/>
      <c r="G298" s="782"/>
      <c r="H298" s="782"/>
      <c r="I298" s="782"/>
      <c r="J298" s="782"/>
      <c r="K298" s="782"/>
      <c r="L298" s="782"/>
    </row>
    <row r="299" spans="1:158">
      <c r="A299" s="781" t="s">
        <v>15</v>
      </c>
      <c r="B299" s="781"/>
      <c r="C299" s="782"/>
      <c r="D299" s="782"/>
      <c r="E299" s="782"/>
      <c r="F299" s="782"/>
      <c r="G299" s="782"/>
      <c r="H299" s="782"/>
      <c r="I299" s="782"/>
      <c r="J299" s="782"/>
      <c r="K299" s="782"/>
      <c r="L299" s="782"/>
    </row>
    <row r="300" spans="1:158">
      <c r="A300" s="783" t="s">
        <v>108</v>
      </c>
      <c r="B300" s="783"/>
      <c r="C300" s="784"/>
      <c r="D300" s="785"/>
      <c r="E300" s="785"/>
      <c r="F300" s="785"/>
      <c r="G300" s="785"/>
      <c r="H300" s="785"/>
    </row>
    <row r="301" spans="1:158">
      <c r="A301" s="783" t="s">
        <v>8478</v>
      </c>
      <c r="B301" s="745"/>
      <c r="F301" s="753"/>
    </row>
  </sheetData>
  <sheetProtection algorithmName="SHA-512" hashValue="fHKjsiV6SGwyYB6zJHXXLihu3ri7wvIiqko4m2O9cLhbHUQmgPJEmGxAmHzysCuZow6KY/unC11eoKKfeM0YnQ==" saltValue="ip40qaaLWvAlkLu8dyOnFw==" spinCount="100000" sheet="1" formatCells="0" formatColumns="0" formatRows="0" autoFilter="0"/>
  <autoFilter ref="A4:FN4" xr:uid="{E6A81459-74F4-459A-9031-1BD14CE6915A}"/>
  <sortState xmlns:xlrd2="http://schemas.microsoft.com/office/spreadsheetml/2017/richdata2" ref="A5:AA136">
    <sortCondition ref="B5:B136"/>
  </sortState>
  <mergeCells count="40">
    <mergeCell ref="C1:D1"/>
    <mergeCell ref="EY271:EY272"/>
    <mergeCell ref="EY268:EY269"/>
    <mergeCell ref="EY265:EY266"/>
    <mergeCell ref="EY262:EY263"/>
    <mergeCell ref="EK1:EV1"/>
    <mergeCell ref="EY256:EY257"/>
    <mergeCell ref="EY259:EY260"/>
    <mergeCell ref="EK2:EV2"/>
    <mergeCell ref="DY2:EJ2"/>
    <mergeCell ref="H1:S1"/>
    <mergeCell ref="T1:AE1"/>
    <mergeCell ref="AF1:AQ1"/>
    <mergeCell ref="CC1:CN1"/>
    <mergeCell ref="CO1:CZ1"/>
    <mergeCell ref="AR1:BC1"/>
    <mergeCell ref="BD1:BO1"/>
    <mergeCell ref="BP1:CA1"/>
    <mergeCell ref="BD2:BO2"/>
    <mergeCell ref="BP2:CA2"/>
    <mergeCell ref="DY1:EJ1"/>
    <mergeCell ref="DM1:DX1"/>
    <mergeCell ref="DM2:DX2"/>
    <mergeCell ref="DA1:DL1"/>
    <mergeCell ref="A1:B1"/>
    <mergeCell ref="A2:B2"/>
    <mergeCell ref="EY274:EY275"/>
    <mergeCell ref="FA274:FA290"/>
    <mergeCell ref="EY289:EY290"/>
    <mergeCell ref="EY286:EY287"/>
    <mergeCell ref="EY283:EY284"/>
    <mergeCell ref="EY280:EY281"/>
    <mergeCell ref="EY277:EY278"/>
    <mergeCell ref="AF2:AQ2"/>
    <mergeCell ref="T2:AE2"/>
    <mergeCell ref="H2:S2"/>
    <mergeCell ref="DA2:DL2"/>
    <mergeCell ref="CC2:CN2"/>
    <mergeCell ref="CO2:CZ2"/>
    <mergeCell ref="AR2:BC2"/>
  </mergeCells>
  <conditionalFormatting sqref="CC5:DX254">
    <cfRule type="cellIs" dxfId="814" priority="99" operator="equal">
      <formula>0</formula>
    </cfRule>
  </conditionalFormatting>
  <conditionalFormatting sqref="CC294">
    <cfRule type="cellIs" dxfId="813" priority="98" operator="notEqual">
      <formula>0</formula>
    </cfRule>
  </conditionalFormatting>
  <conditionalFormatting sqref="CD294:CZ294">
    <cfRule type="cellIs" dxfId="812" priority="97" operator="notEqual">
      <formula>0</formula>
    </cfRule>
  </conditionalFormatting>
  <conditionalFormatting sqref="DA294:DL294">
    <cfRule type="cellIs" dxfId="811" priority="95" operator="notEqual">
      <formula>0</formula>
    </cfRule>
  </conditionalFormatting>
  <conditionalFormatting sqref="AR3:BC3">
    <cfRule type="cellIs" dxfId="810" priority="26" stopIfTrue="1" operator="equal">
      <formula>"Start"</formula>
    </cfRule>
    <cfRule type="cellIs" dxfId="809" priority="27" stopIfTrue="1" operator="equal">
      <formula>"Req"</formula>
    </cfRule>
    <cfRule type="cellIs" dxfId="808" priority="28" stopIfTrue="1" operator="equal">
      <formula>"Des"</formula>
    </cfRule>
    <cfRule type="cellIs" dxfId="807" priority="68" stopIfTrue="1" operator="equal">
      <formula>"Dev"</formula>
    </cfRule>
    <cfRule type="cellIs" dxfId="806" priority="69" stopIfTrue="1" operator="equal">
      <formula>"Impl"</formula>
    </cfRule>
    <cfRule type="cellIs" dxfId="805" priority="70" operator="equal">
      <formula>0</formula>
    </cfRule>
    <cfRule type="cellIs" dxfId="804" priority="71" operator="equal">
      <formula>"Sprint0"</formula>
    </cfRule>
    <cfRule type="cellIs" dxfId="803" priority="72" operator="equal">
      <formula>"Rel"</formula>
    </cfRule>
    <cfRule type="cellIs" dxfId="802" priority="73" operator="equal">
      <formula>"Close"</formula>
    </cfRule>
  </conditionalFormatting>
  <conditionalFormatting sqref="DM294:DX294">
    <cfRule type="cellIs" dxfId="801" priority="66" operator="notEqual">
      <formula>0</formula>
    </cfRule>
  </conditionalFormatting>
  <conditionalFormatting sqref="DM3:DX3">
    <cfRule type="cellIs" dxfId="800" priority="17" stopIfTrue="1" operator="equal">
      <formula>"Start"</formula>
    </cfRule>
    <cfRule type="cellIs" dxfId="799" priority="18" stopIfTrue="1" operator="equal">
      <formula>"Req"</formula>
    </cfRule>
    <cfRule type="cellIs" dxfId="798" priority="19" stopIfTrue="1" operator="equal">
      <formula>"Des"</formula>
    </cfRule>
    <cfRule type="cellIs" dxfId="797" priority="60" stopIfTrue="1" operator="equal">
      <formula>"Dev"</formula>
    </cfRule>
    <cfRule type="cellIs" dxfId="796" priority="61" stopIfTrue="1" operator="equal">
      <formula>"Impl"</formula>
    </cfRule>
    <cfRule type="cellIs" dxfId="795" priority="62" operator="equal">
      <formula>0</formula>
    </cfRule>
    <cfRule type="cellIs" dxfId="794" priority="63" operator="equal">
      <formula>"Sprint0"</formula>
    </cfRule>
    <cfRule type="cellIs" dxfId="793" priority="64" operator="equal">
      <formula>"Rel"</formula>
    </cfRule>
    <cfRule type="cellIs" dxfId="792" priority="65" operator="equal">
      <formula>"Close"</formula>
    </cfRule>
  </conditionalFormatting>
  <conditionalFormatting sqref="EW294">
    <cfRule type="cellIs" dxfId="791" priority="59" operator="notEqual">
      <formula>0</formula>
    </cfRule>
  </conditionalFormatting>
  <conditionalFormatting sqref="BD3:BO3">
    <cfRule type="cellIs" dxfId="790" priority="23" stopIfTrue="1" operator="equal">
      <formula>"Start"</formula>
    </cfRule>
    <cfRule type="cellIs" dxfId="789" priority="24" stopIfTrue="1" operator="equal">
      <formula>"Req"</formula>
    </cfRule>
    <cfRule type="cellIs" dxfId="788" priority="25" stopIfTrue="1" operator="equal">
      <formula>"Des"</formula>
    </cfRule>
    <cfRule type="cellIs" dxfId="787" priority="53" stopIfTrue="1" operator="equal">
      <formula>"Dev"</formula>
    </cfRule>
    <cfRule type="cellIs" dxfId="786" priority="54" stopIfTrue="1" operator="equal">
      <formula>"Impl"</formula>
    </cfRule>
    <cfRule type="cellIs" dxfId="785" priority="55" operator="equal">
      <formula>0</formula>
    </cfRule>
    <cfRule type="cellIs" dxfId="784" priority="56" operator="equal">
      <formula>"Sprint0"</formula>
    </cfRule>
    <cfRule type="cellIs" dxfId="783" priority="57" operator="equal">
      <formula>"Rel"</formula>
    </cfRule>
    <cfRule type="cellIs" dxfId="782" priority="58" operator="equal">
      <formula>"Close"</formula>
    </cfRule>
  </conditionalFormatting>
  <conditionalFormatting sqref="BP3:CA3">
    <cfRule type="cellIs" dxfId="781" priority="20" stopIfTrue="1" operator="equal">
      <formula>"Start"</formula>
    </cfRule>
    <cfRule type="cellIs" dxfId="780" priority="21" stopIfTrue="1" operator="equal">
      <formula>"Req"</formula>
    </cfRule>
    <cfRule type="cellIs" dxfId="779" priority="22" stopIfTrue="1" operator="equal">
      <formula>"Des"</formula>
    </cfRule>
    <cfRule type="cellIs" dxfId="778" priority="47" stopIfTrue="1" operator="equal">
      <formula>"Dev"</formula>
    </cfRule>
    <cfRule type="cellIs" dxfId="777" priority="48" stopIfTrue="1" operator="equal">
      <formula>"Impl"</formula>
    </cfRule>
    <cfRule type="cellIs" dxfId="776" priority="49" operator="equal">
      <formula>0</formula>
    </cfRule>
    <cfRule type="cellIs" dxfId="775" priority="50" operator="equal">
      <formula>"Sprint0"</formula>
    </cfRule>
    <cfRule type="cellIs" dxfId="774" priority="51" operator="equal">
      <formula>"Rel"</formula>
    </cfRule>
    <cfRule type="cellIs" dxfId="773" priority="52" operator="equal">
      <formula>"Close"</formula>
    </cfRule>
  </conditionalFormatting>
  <conditionalFormatting sqref="DY5:EV254">
    <cfRule type="cellIs" dxfId="772" priority="46" operator="equal">
      <formula>0</formula>
    </cfRule>
  </conditionalFormatting>
  <conditionalFormatting sqref="DY294:EJ294">
    <cfRule type="cellIs" dxfId="771" priority="45" operator="notEqual">
      <formula>0</formula>
    </cfRule>
  </conditionalFormatting>
  <conditionalFormatting sqref="DY3:EJ3">
    <cfRule type="cellIs" dxfId="770" priority="14" stopIfTrue="1" operator="equal">
      <formula>"Start"</formula>
    </cfRule>
    <cfRule type="cellIs" dxfId="769" priority="15" stopIfTrue="1" operator="equal">
      <formula>"Req"</formula>
    </cfRule>
    <cfRule type="cellIs" dxfId="768" priority="16" stopIfTrue="1" operator="equal">
      <formula>"Des"</formula>
    </cfRule>
    <cfRule type="cellIs" dxfId="767" priority="39" stopIfTrue="1" operator="equal">
      <formula>"Dev"</formula>
    </cfRule>
    <cfRule type="cellIs" dxfId="766" priority="40" stopIfTrue="1" operator="equal">
      <formula>"Impl"</formula>
    </cfRule>
    <cfRule type="cellIs" dxfId="765" priority="41" operator="equal">
      <formula>0</formula>
    </cfRule>
    <cfRule type="cellIs" dxfId="764" priority="42" operator="equal">
      <formula>"Sprint0"</formula>
    </cfRule>
    <cfRule type="cellIs" dxfId="763" priority="43" operator="equal">
      <formula>"Rel"</formula>
    </cfRule>
    <cfRule type="cellIs" dxfId="762" priority="44" operator="equal">
      <formula>"Close"</formula>
    </cfRule>
  </conditionalFormatting>
  <conditionalFormatting sqref="EK294:EV294">
    <cfRule type="cellIs" dxfId="761" priority="38" operator="notEqual">
      <formula>0</formula>
    </cfRule>
  </conditionalFormatting>
  <conditionalFormatting sqref="EK3:EV3">
    <cfRule type="cellIs" dxfId="760" priority="11" stopIfTrue="1" operator="equal">
      <formula>"Start"</formula>
    </cfRule>
    <cfRule type="cellIs" dxfId="759" priority="12" stopIfTrue="1" operator="equal">
      <formula>"Req"</formula>
    </cfRule>
    <cfRule type="cellIs" dxfId="758" priority="13" stopIfTrue="1" operator="equal">
      <formula>"Des"</formula>
    </cfRule>
    <cfRule type="cellIs" dxfId="757" priority="32" stopIfTrue="1" operator="equal">
      <formula>"Dev"</formula>
    </cfRule>
    <cfRule type="cellIs" dxfId="756" priority="33" stopIfTrue="1" operator="equal">
      <formula>"Impl"</formula>
    </cfRule>
    <cfRule type="cellIs" dxfId="755" priority="34" operator="equal">
      <formula>0</formula>
    </cfRule>
    <cfRule type="cellIs" dxfId="754" priority="35" operator="equal">
      <formula>"Sprint0"</formula>
    </cfRule>
    <cfRule type="cellIs" dxfId="753" priority="36" operator="equal">
      <formula>"Rel"</formula>
    </cfRule>
    <cfRule type="cellIs" dxfId="752" priority="37" operator="equal">
      <formula>"Close"</formula>
    </cfRule>
  </conditionalFormatting>
  <conditionalFormatting sqref="H3:EV3">
    <cfRule type="cellIs" dxfId="751" priority="10" operator="equal">
      <formula>"PIS"</formula>
    </cfRule>
    <cfRule type="cellIs" dxfId="750" priority="29" stopIfTrue="1" operator="equal">
      <formula>"Start"</formula>
    </cfRule>
    <cfRule type="cellIs" dxfId="749" priority="30" stopIfTrue="1" operator="equal">
      <formula>"Req"</formula>
    </cfRule>
    <cfRule type="cellIs" dxfId="748" priority="31" stopIfTrue="1" operator="equal">
      <formula>"Des"</formula>
    </cfRule>
    <cfRule type="cellIs" dxfId="747" priority="80" stopIfTrue="1" operator="equal">
      <formula>"Dev"</formula>
    </cfRule>
    <cfRule type="cellIs" dxfId="746" priority="81" stopIfTrue="1" operator="equal">
      <formula>"Impl"</formula>
    </cfRule>
    <cfRule type="cellIs" dxfId="745" priority="82" operator="equal">
      <formula>0</formula>
    </cfRule>
    <cfRule type="cellIs" dxfId="744" priority="83" operator="equal">
      <formula>"Sprint0"</formula>
    </cfRule>
    <cfRule type="cellIs" dxfId="743" priority="84" operator="equal">
      <formula>"Rel"</formula>
    </cfRule>
    <cfRule type="cellIs" dxfId="742" priority="85" operator="equal">
      <formula>"Close"</formula>
    </cfRule>
  </conditionalFormatting>
  <conditionalFormatting sqref="H5">
    <cfRule type="expression" dxfId="741" priority="9">
      <formula>AND(OR(H$3="Start",H$3="Req",H$3="Close"),H5&lt;&gt;"",$F5="Capex")</formula>
    </cfRule>
  </conditionalFormatting>
  <conditionalFormatting sqref="H6">
    <cfRule type="expression" dxfId="740" priority="7">
      <formula>AND(OR(H$3="Start",H$3="Req",H$3="Close"),H6&lt;&gt;"",$F6="Capex")</formula>
    </cfRule>
  </conditionalFormatting>
  <conditionalFormatting sqref="H7:H254">
    <cfRule type="expression" dxfId="739" priority="6">
      <formula>AND(OR(H$3="Start",H$3="Req",H$3="Close"),H7&lt;&gt;"",$F7="Capex")</formula>
    </cfRule>
  </conditionalFormatting>
  <conditionalFormatting sqref="I5:CA5">
    <cfRule type="expression" dxfId="738" priority="5">
      <formula>AND(OR(I$3="Start",I$3="Req",I$3="Close"),I5&lt;&gt;"",$F5="Capex")</formula>
    </cfRule>
  </conditionalFormatting>
  <conditionalFormatting sqref="I6:CA6">
    <cfRule type="expression" dxfId="737" priority="4">
      <formula>AND(OR(I$3="Start",I$3="Req",I$3="Close"),I6&lt;&gt;"",$F6="Capex")</formula>
    </cfRule>
  </conditionalFormatting>
  <conditionalFormatting sqref="I7:CA254">
    <cfRule type="expression" dxfId="736" priority="3">
      <formula>AND(OR(I$3="Start",I$3="Req",I$3="Close"),I7&lt;&gt;"",$F7="Capex")</formula>
    </cfRule>
  </conditionalFormatting>
  <dataValidations count="6">
    <dataValidation type="list" allowBlank="1" showInputMessage="1" showErrorMessage="1" sqref="F291:F295 F276 F255" xr:uid="{00000000-0002-0000-0800-000000000000}">
      <formula1>"Capex, Opex"</formula1>
    </dataValidation>
    <dataValidation type="list" allowBlank="1" showInputMessage="1" showErrorMessage="1" sqref="E255" xr:uid="{00000000-0002-0000-0800-000001000000}">
      <formula1>"Business, CSC, IBM, NG IS, Other, Verizon, WiPro"</formula1>
    </dataValidation>
    <dataValidation type="list" showInputMessage="1" showErrorMessage="1" sqref="E5:E254" xr:uid="{00000000-0002-0000-0800-000002000000}">
      <formula1>Firms</formula1>
    </dataValidation>
    <dataValidation type="list" allowBlank="1" showInputMessage="1" showErrorMessage="1" sqref="B5:B254" xr:uid="{FB85AA33-E1D7-45B4-9C4E-3923B186CA79}">
      <formula1>INDIRECT(A5)</formula1>
    </dataValidation>
    <dataValidation type="list" allowBlank="1" showInputMessage="1" showErrorMessage="1" sqref="C5:C254" xr:uid="{92768E9E-0C5C-46C3-B736-50AF0BE0434C}">
      <formula1>INDIRECT(CONCATENATE(A5,"_Roles"))</formula1>
    </dataValidation>
    <dataValidation type="list" allowBlank="1" showInputMessage="1" showErrorMessage="1" sqref="F5:F254" xr:uid="{004B82BB-3FD7-4EB2-944C-60733A5AFD70}">
      <formula1>Accounting_Type</formula1>
    </dataValidation>
  </dataValidations>
  <pageMargins left="0.25" right="0.25" top="0.75" bottom="0.75" header="0.3" footer="0.3"/>
  <pageSetup paperSize="5" scale="23" fitToHeight="0" orientation="landscape" r:id="rId1"/>
  <headerFooter>
    <oddHeader>&amp;C&amp;"Tahoma,Bold"&amp;14&amp;F - &amp;A</oddHeader>
    <oddFooter>&amp;L&amp;"Tahoma,Regular"&amp;P of &amp;N&amp;R&amp;"Tahoma,Regular"&amp;D</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93D23882-7EEB-4E7F-B2E5-A52B82B01A9D}">
          <x14:formula1>
            <xm:f>INDIRECT(CONCATENATE(Variables!$B$4,"_Del_Cent_Res"))</xm:f>
          </x14:formula1>
          <xm:sqref>A5:A254</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tabColor theme="3" tint="0.59999389629810485"/>
    <pageSetUpPr fitToPage="1"/>
  </sheetPr>
  <dimension ref="A1:DP241"/>
  <sheetViews>
    <sheetView workbookViewId="0">
      <pane ySplit="4" topLeftCell="A5" activePane="bottomLeft" state="frozen"/>
      <selection activeCell="A5" sqref="A5"/>
      <selection pane="bottomLeft" activeCell="C5" sqref="C5"/>
    </sheetView>
  </sheetViews>
  <sheetFormatPr defaultColWidth="9.1796875" defaultRowHeight="12"/>
  <cols>
    <col min="1" max="1" width="14.7265625" style="808" customWidth="1"/>
    <col min="2" max="2" width="21.81640625" style="808" bestFit="1" customWidth="1"/>
    <col min="3" max="3" width="48.7265625" style="808" customWidth="1"/>
    <col min="4" max="4" width="20.7265625" style="808" customWidth="1"/>
    <col min="5" max="5" width="30.7265625" style="810" customWidth="1"/>
    <col min="6" max="6" width="19.453125" style="810" customWidth="1"/>
    <col min="7" max="7" width="15.1796875" style="810" bestFit="1" customWidth="1"/>
    <col min="8" max="79" width="9.81640625" style="827" customWidth="1"/>
    <col min="80" max="105" width="11.7265625" style="814" customWidth="1"/>
    <col min="106" max="107" width="9.1796875" style="1248"/>
    <col min="108" max="108" width="9.1796875" style="814"/>
    <col min="109" max="109" width="14.7265625" style="814" customWidth="1"/>
    <col min="110" max="110" width="19.7265625" style="814" customWidth="1"/>
    <col min="111" max="111" width="45.453125" style="814" customWidth="1"/>
    <col min="112" max="112" width="15.7265625" style="814" bestFit="1" customWidth="1"/>
    <col min="113" max="120" width="9.1796875" style="814"/>
    <col min="121" max="16384" width="9.1796875" style="808"/>
  </cols>
  <sheetData>
    <row r="1" spans="1:120" s="340" customFormat="1" ht="15.75" customHeight="1" thickBot="1">
      <c r="A1" s="1534" t="s">
        <v>8550</v>
      </c>
      <c r="B1" s="1534"/>
      <c r="C1" s="1346" t="s">
        <v>8530</v>
      </c>
      <c r="D1" s="1347"/>
      <c r="G1" s="807"/>
      <c r="H1" s="1581" t="str">
        <f>CONCATENATE("Enter amounts as exact amounts (i.e. 10K entered as 10,000) in (",Variables!$C$4,")")</f>
        <v>Enter amounts as exact amounts (i.e. 10K entered as 10,000) in ($)</v>
      </c>
      <c r="I1" s="1581"/>
      <c r="J1" s="1581"/>
      <c r="K1" s="1581"/>
      <c r="L1" s="1581"/>
      <c r="M1" s="1581"/>
      <c r="N1" s="1581"/>
      <c r="O1" s="1581"/>
      <c r="P1" s="1581"/>
      <c r="Q1" s="1581"/>
      <c r="R1" s="1581"/>
      <c r="S1" s="1581"/>
      <c r="T1" s="1581" t="str">
        <f>H1</f>
        <v>Enter amounts as exact amounts (i.e. 10K entered as 10,000) in ($)</v>
      </c>
      <c r="U1" s="1581"/>
      <c r="V1" s="1581"/>
      <c r="W1" s="1581"/>
      <c r="X1" s="1581"/>
      <c r="Y1" s="1581"/>
      <c r="Z1" s="1581"/>
      <c r="AA1" s="1581"/>
      <c r="AB1" s="1581"/>
      <c r="AC1" s="1581"/>
      <c r="AD1" s="1581"/>
      <c r="AE1" s="1581"/>
      <c r="AF1" s="1581" t="str">
        <f>T1</f>
        <v>Enter amounts as exact amounts (i.e. 10K entered as 10,000) in ($)</v>
      </c>
      <c r="AG1" s="1581"/>
      <c r="AH1" s="1581"/>
      <c r="AI1" s="1581"/>
      <c r="AJ1" s="1581"/>
      <c r="AK1" s="1581"/>
      <c r="AL1" s="1581"/>
      <c r="AM1" s="1581"/>
      <c r="AN1" s="1581"/>
      <c r="AO1" s="1581"/>
      <c r="AP1" s="1581"/>
      <c r="AQ1" s="1581"/>
      <c r="AR1" s="1581" t="str">
        <f>AF1</f>
        <v>Enter amounts as exact amounts (i.e. 10K entered as 10,000) in ($)</v>
      </c>
      <c r="AS1" s="1581"/>
      <c r="AT1" s="1581"/>
      <c r="AU1" s="1581"/>
      <c r="AV1" s="1581"/>
      <c r="AW1" s="1581"/>
      <c r="AX1" s="1581"/>
      <c r="AY1" s="1581"/>
      <c r="AZ1" s="1581"/>
      <c r="BA1" s="1581"/>
      <c r="BB1" s="1581"/>
      <c r="BC1" s="1581"/>
      <c r="BD1" s="1581" t="str">
        <f>AR1</f>
        <v>Enter amounts as exact amounts (i.e. 10K entered as 10,000) in ($)</v>
      </c>
      <c r="BE1" s="1581"/>
      <c r="BF1" s="1581"/>
      <c r="BG1" s="1581"/>
      <c r="BH1" s="1581"/>
      <c r="BI1" s="1581"/>
      <c r="BJ1" s="1581"/>
      <c r="BK1" s="1581"/>
      <c r="BL1" s="1581"/>
      <c r="BM1" s="1581"/>
      <c r="BN1" s="1581"/>
      <c r="BO1" s="1581"/>
      <c r="BP1" s="1581" t="str">
        <f>BD1</f>
        <v>Enter amounts as exact amounts (i.e. 10K entered as 10,000) in ($)</v>
      </c>
      <c r="BQ1" s="1581"/>
      <c r="BR1" s="1581"/>
      <c r="BS1" s="1581"/>
      <c r="BT1" s="1581"/>
      <c r="BU1" s="1581"/>
      <c r="BV1" s="1581"/>
      <c r="BW1" s="1581"/>
      <c r="BX1" s="1581"/>
      <c r="BY1" s="1581"/>
      <c r="BZ1" s="1581"/>
      <c r="CA1" s="1581"/>
      <c r="CB1" s="745"/>
      <c r="CC1" s="745"/>
      <c r="CD1" s="745"/>
      <c r="CE1" s="745"/>
      <c r="CF1" s="745"/>
      <c r="CG1" s="745"/>
      <c r="CH1" s="745"/>
      <c r="CI1" s="745"/>
      <c r="CJ1" s="745"/>
      <c r="CK1" s="745"/>
      <c r="CL1" s="745"/>
      <c r="CM1" s="745"/>
      <c r="CN1" s="745"/>
      <c r="CO1" s="745"/>
      <c r="CP1" s="745"/>
      <c r="CQ1" s="745"/>
      <c r="CR1" s="745"/>
      <c r="CS1" s="745"/>
      <c r="CT1" s="745"/>
      <c r="CU1" s="745"/>
      <c r="CV1" s="745"/>
      <c r="CW1" s="745"/>
      <c r="CX1" s="745"/>
      <c r="CY1" s="745"/>
      <c r="CZ1" s="745"/>
      <c r="DA1" s="745"/>
      <c r="DB1" s="1246"/>
      <c r="DC1" s="1246"/>
      <c r="DD1" s="745"/>
      <c r="DE1" s="745"/>
      <c r="DF1" s="745"/>
      <c r="DG1" s="745"/>
      <c r="DH1" s="745"/>
      <c r="DI1" s="745"/>
      <c r="DJ1" s="745"/>
      <c r="DK1" s="745"/>
      <c r="DL1" s="745"/>
      <c r="DM1" s="745"/>
      <c r="DN1" s="745"/>
      <c r="DO1" s="745"/>
      <c r="DP1" s="745"/>
    </row>
    <row r="2" spans="1:120" ht="19.5" thickTop="1" thickBot="1">
      <c r="A2" s="1535" t="s">
        <v>8819</v>
      </c>
      <c r="B2" s="1535"/>
      <c r="C2" s="1535"/>
      <c r="D2" s="1344"/>
      <c r="E2" s="1345"/>
      <c r="F2" s="1369" t="s">
        <v>8823</v>
      </c>
      <c r="G2" s="1369" t="s">
        <v>8822</v>
      </c>
      <c r="H2" s="1575" t="str">
        <f>'Financial Summary'!L4</f>
        <v>FY 22</v>
      </c>
      <c r="I2" s="1576"/>
      <c r="J2" s="1576"/>
      <c r="K2" s="1576"/>
      <c r="L2" s="1576"/>
      <c r="M2" s="1576"/>
      <c r="N2" s="1576"/>
      <c r="O2" s="1576"/>
      <c r="P2" s="1576"/>
      <c r="Q2" s="1576"/>
      <c r="R2" s="1576"/>
      <c r="S2" s="1577"/>
      <c r="T2" s="1578" t="str">
        <f>'Financial Summary'!Q4</f>
        <v>FY 23</v>
      </c>
      <c r="U2" s="1579"/>
      <c r="V2" s="1579"/>
      <c r="W2" s="1579"/>
      <c r="X2" s="1579"/>
      <c r="Y2" s="1579"/>
      <c r="Z2" s="1579"/>
      <c r="AA2" s="1579"/>
      <c r="AB2" s="1579"/>
      <c r="AC2" s="1579"/>
      <c r="AD2" s="1579"/>
      <c r="AE2" s="1580"/>
      <c r="AF2" s="1586" t="str">
        <f>'Financial Summary'!V4</f>
        <v>FY 24</v>
      </c>
      <c r="AG2" s="1587"/>
      <c r="AH2" s="1587"/>
      <c r="AI2" s="1587"/>
      <c r="AJ2" s="1587"/>
      <c r="AK2" s="1587"/>
      <c r="AL2" s="1587"/>
      <c r="AM2" s="1587"/>
      <c r="AN2" s="1587"/>
      <c r="AO2" s="1587"/>
      <c r="AP2" s="1587"/>
      <c r="AQ2" s="1588"/>
      <c r="AR2" s="1583" t="str">
        <f>'Financial Summary'!AA4</f>
        <v>FY 25</v>
      </c>
      <c r="AS2" s="1584"/>
      <c r="AT2" s="1584"/>
      <c r="AU2" s="1584"/>
      <c r="AV2" s="1584"/>
      <c r="AW2" s="1584"/>
      <c r="AX2" s="1584"/>
      <c r="AY2" s="1584"/>
      <c r="AZ2" s="1584"/>
      <c r="BA2" s="1584"/>
      <c r="BB2" s="1584"/>
      <c r="BC2" s="1585"/>
      <c r="BD2" s="1589" t="str">
        <f>'Financial Summary'!AF4</f>
        <v>FY 26</v>
      </c>
      <c r="BE2" s="1590"/>
      <c r="BF2" s="1590"/>
      <c r="BG2" s="1590"/>
      <c r="BH2" s="1590"/>
      <c r="BI2" s="1590"/>
      <c r="BJ2" s="1590"/>
      <c r="BK2" s="1590"/>
      <c r="BL2" s="1590"/>
      <c r="BM2" s="1590"/>
      <c r="BN2" s="1590"/>
      <c r="BO2" s="1591"/>
      <c r="BP2" s="1592" t="str">
        <f>'Financial Summary'!AK4</f>
        <v>FY 27</v>
      </c>
      <c r="BQ2" s="1593"/>
      <c r="BR2" s="1593"/>
      <c r="BS2" s="1593"/>
      <c r="BT2" s="1593"/>
      <c r="BU2" s="1593"/>
      <c r="BV2" s="1593"/>
      <c r="BW2" s="1593"/>
      <c r="BX2" s="1593"/>
      <c r="BY2" s="1593"/>
      <c r="BZ2" s="1593"/>
      <c r="CA2" s="1594"/>
      <c r="CG2" s="833"/>
      <c r="CH2" s="833"/>
      <c r="CI2" s="833"/>
      <c r="CJ2" s="833"/>
      <c r="CL2" s="833"/>
      <c r="CM2" s="833"/>
      <c r="CN2" s="833"/>
      <c r="CO2" s="833"/>
      <c r="CP2" s="833"/>
      <c r="CQ2" s="833"/>
      <c r="CR2" s="833"/>
      <c r="CS2" s="833"/>
      <c r="CT2" s="833"/>
      <c r="CU2" s="833"/>
      <c r="CV2" s="833"/>
      <c r="CW2" s="833"/>
      <c r="DE2" s="1254" t="str">
        <f>CONCATENATE("Forecasted Remaining Other Costs Summary by Fiscal Year (",Variables!$C$4,"M)")</f>
        <v>Forecasted Remaining Other Costs Summary by Fiscal Year ($M)</v>
      </c>
    </row>
    <row r="3" spans="1:120" ht="12.5" thickBot="1">
      <c r="A3" s="1364" t="s">
        <v>8531</v>
      </c>
      <c r="B3" s="1364" t="s">
        <v>8532</v>
      </c>
      <c r="C3" s="1364" t="s">
        <v>8533</v>
      </c>
      <c r="D3" s="1364" t="s">
        <v>8534</v>
      </c>
      <c r="E3" s="1364" t="s">
        <v>8535</v>
      </c>
      <c r="F3" s="1364" t="s">
        <v>8536</v>
      </c>
      <c r="G3" s="1364" t="s">
        <v>8537</v>
      </c>
      <c r="H3" s="1204">
        <f>'Monthly Summary'!C2</f>
        <v>0</v>
      </c>
      <c r="I3" s="811">
        <f>'Monthly Summary'!D2</f>
        <v>0</v>
      </c>
      <c r="J3" s="811" t="str">
        <f>'Monthly Summary'!E2</f>
        <v>Start</v>
      </c>
      <c r="K3" s="811" t="str">
        <f>'Monthly Summary'!F2</f>
        <v>Req</v>
      </c>
      <c r="L3" s="811" t="str">
        <f>'Monthly Summary'!G2</f>
        <v>Des</v>
      </c>
      <c r="M3" s="811" t="str">
        <f>'Monthly Summary'!H2</f>
        <v>Des</v>
      </c>
      <c r="N3" s="811" t="str">
        <f>'Monthly Summary'!I2</f>
        <v>Dev</v>
      </c>
      <c r="O3" s="811" t="str">
        <f>'Monthly Summary'!J2</f>
        <v>Dev</v>
      </c>
      <c r="P3" s="811" t="str">
        <f>'Monthly Summary'!K2</f>
        <v>Dev</v>
      </c>
      <c r="Q3" s="811" t="str">
        <f>'Monthly Summary'!L2</f>
        <v>Impl</v>
      </c>
      <c r="R3" s="811" t="str">
        <f>'Monthly Summary'!M2</f>
        <v>PIS</v>
      </c>
      <c r="S3" s="1205" t="str">
        <f>'Monthly Summary'!N2</f>
        <v>Close</v>
      </c>
      <c r="T3" s="1204" t="str">
        <f>'Monthly Summary'!O2</f>
        <v>Close</v>
      </c>
      <c r="U3" s="811" t="str">
        <f>'Monthly Summary'!P2</f>
        <v>Close</v>
      </c>
      <c r="V3" s="811">
        <f>'Monthly Summary'!Q2</f>
        <v>0</v>
      </c>
      <c r="W3" s="811">
        <f>'Monthly Summary'!R2</f>
        <v>0</v>
      </c>
      <c r="X3" s="811">
        <f>'Monthly Summary'!S2</f>
        <v>0</v>
      </c>
      <c r="Y3" s="811">
        <f>'Monthly Summary'!T2</f>
        <v>0</v>
      </c>
      <c r="Z3" s="811">
        <f>'Monthly Summary'!U2</f>
        <v>0</v>
      </c>
      <c r="AA3" s="811">
        <f>'Monthly Summary'!V2</f>
        <v>0</v>
      </c>
      <c r="AB3" s="811">
        <f>'Monthly Summary'!W2</f>
        <v>0</v>
      </c>
      <c r="AC3" s="811">
        <f>'Monthly Summary'!X2</f>
        <v>0</v>
      </c>
      <c r="AD3" s="811">
        <f>'Monthly Summary'!Y2</f>
        <v>0</v>
      </c>
      <c r="AE3" s="1205">
        <f>'Monthly Summary'!Z2</f>
        <v>0</v>
      </c>
      <c r="AF3" s="1204">
        <f>'Monthly Summary'!AA2</f>
        <v>0</v>
      </c>
      <c r="AG3" s="811">
        <f>'Monthly Summary'!AB2</f>
        <v>0</v>
      </c>
      <c r="AH3" s="811">
        <f>'Monthly Summary'!AC2</f>
        <v>0</v>
      </c>
      <c r="AI3" s="811">
        <f>'Monthly Summary'!AD2</f>
        <v>0</v>
      </c>
      <c r="AJ3" s="811">
        <f>'Monthly Summary'!AE2</f>
        <v>0</v>
      </c>
      <c r="AK3" s="811">
        <f>'Monthly Summary'!AF2</f>
        <v>0</v>
      </c>
      <c r="AL3" s="811">
        <f>'Monthly Summary'!AG2</f>
        <v>0</v>
      </c>
      <c r="AM3" s="811">
        <f>'Monthly Summary'!AH2</f>
        <v>0</v>
      </c>
      <c r="AN3" s="811">
        <f>'Monthly Summary'!AI2</f>
        <v>0</v>
      </c>
      <c r="AO3" s="811">
        <f>'Monthly Summary'!AJ2</f>
        <v>0</v>
      </c>
      <c r="AP3" s="811">
        <f>'Monthly Summary'!AK2</f>
        <v>0</v>
      </c>
      <c r="AQ3" s="1205">
        <f>'Monthly Summary'!AL2</f>
        <v>0</v>
      </c>
      <c r="AR3" s="1204">
        <f>'Monthly Summary'!AM2</f>
        <v>0</v>
      </c>
      <c r="AS3" s="811">
        <f>'Monthly Summary'!AN2</f>
        <v>0</v>
      </c>
      <c r="AT3" s="811">
        <f>'Monthly Summary'!AO2</f>
        <v>0</v>
      </c>
      <c r="AU3" s="811">
        <f>'Monthly Summary'!AP2</f>
        <v>0</v>
      </c>
      <c r="AV3" s="811">
        <f>'Monthly Summary'!AQ2</f>
        <v>0</v>
      </c>
      <c r="AW3" s="811">
        <f>'Monthly Summary'!AR2</f>
        <v>0</v>
      </c>
      <c r="AX3" s="811">
        <f>'Monthly Summary'!AS2</f>
        <v>0</v>
      </c>
      <c r="AY3" s="811">
        <f>'Monthly Summary'!AT2</f>
        <v>0</v>
      </c>
      <c r="AZ3" s="811">
        <f>'Monthly Summary'!AU2</f>
        <v>0</v>
      </c>
      <c r="BA3" s="811">
        <f>'Monthly Summary'!AV2</f>
        <v>0</v>
      </c>
      <c r="BB3" s="811">
        <f>'Monthly Summary'!AW2</f>
        <v>0</v>
      </c>
      <c r="BC3" s="1205">
        <f>'Monthly Summary'!AX2</f>
        <v>0</v>
      </c>
      <c r="BD3" s="1204">
        <f>'Monthly Summary'!AY2</f>
        <v>0</v>
      </c>
      <c r="BE3" s="811">
        <f>'Monthly Summary'!AZ2</f>
        <v>0</v>
      </c>
      <c r="BF3" s="811">
        <f>'Monthly Summary'!BA2</f>
        <v>0</v>
      </c>
      <c r="BG3" s="811">
        <f>'Monthly Summary'!BB2</f>
        <v>0</v>
      </c>
      <c r="BH3" s="811">
        <f>'Monthly Summary'!BC2</f>
        <v>0</v>
      </c>
      <c r="BI3" s="811">
        <f>'Monthly Summary'!BD2</f>
        <v>0</v>
      </c>
      <c r="BJ3" s="811">
        <f>'Monthly Summary'!BE2</f>
        <v>0</v>
      </c>
      <c r="BK3" s="811">
        <f>'Monthly Summary'!BF2</f>
        <v>0</v>
      </c>
      <c r="BL3" s="811">
        <f>'Monthly Summary'!BG2</f>
        <v>0</v>
      </c>
      <c r="BM3" s="811">
        <f>'Monthly Summary'!BH2</f>
        <v>0</v>
      </c>
      <c r="BN3" s="811">
        <f>'Monthly Summary'!BI2</f>
        <v>0</v>
      </c>
      <c r="BO3" s="1205">
        <f>'Monthly Summary'!BJ2</f>
        <v>0</v>
      </c>
      <c r="BP3" s="1204">
        <f>'Monthly Summary'!BK2</f>
        <v>0</v>
      </c>
      <c r="BQ3" s="811">
        <f>'Monthly Summary'!BL2</f>
        <v>0</v>
      </c>
      <c r="BR3" s="811">
        <f>'Monthly Summary'!BM2</f>
        <v>0</v>
      </c>
      <c r="BS3" s="811">
        <f>'Monthly Summary'!BN2</f>
        <v>0</v>
      </c>
      <c r="BT3" s="811">
        <f>'Monthly Summary'!BO2</f>
        <v>0</v>
      </c>
      <c r="BU3" s="811">
        <f>'Monthly Summary'!BP2</f>
        <v>0</v>
      </c>
      <c r="BV3" s="811">
        <f>'Monthly Summary'!BQ2</f>
        <v>0</v>
      </c>
      <c r="BW3" s="811">
        <f>'Monthly Summary'!BR2</f>
        <v>0</v>
      </c>
      <c r="BX3" s="811">
        <f>'Monthly Summary'!BS2</f>
        <v>0</v>
      </c>
      <c r="BY3" s="811">
        <f>'Monthly Summary'!BT2</f>
        <v>0</v>
      </c>
      <c r="BZ3" s="811">
        <f>'Monthly Summary'!BU2</f>
        <v>0</v>
      </c>
      <c r="CA3" s="1205">
        <f>'Monthly Summary'!BV2</f>
        <v>0</v>
      </c>
    </row>
    <row r="4" spans="1:120" ht="32.5" thickTop="1" thickBot="1">
      <c r="A4" s="744" t="s">
        <v>8476</v>
      </c>
      <c r="B4" s="744" t="s">
        <v>8429</v>
      </c>
      <c r="C4" s="744" t="s">
        <v>8430</v>
      </c>
      <c r="D4" s="744" t="s">
        <v>46</v>
      </c>
      <c r="E4" s="744" t="s">
        <v>17</v>
      </c>
      <c r="F4" s="744" t="s">
        <v>8538</v>
      </c>
      <c r="G4" s="787" t="s">
        <v>226</v>
      </c>
      <c r="H4" s="1206" t="s">
        <v>0</v>
      </c>
      <c r="I4" s="812" t="s">
        <v>1</v>
      </c>
      <c r="J4" s="812" t="s">
        <v>2</v>
      </c>
      <c r="K4" s="812" t="s">
        <v>3</v>
      </c>
      <c r="L4" s="812" t="s">
        <v>4</v>
      </c>
      <c r="M4" s="812" t="s">
        <v>5</v>
      </c>
      <c r="N4" s="812" t="s">
        <v>6</v>
      </c>
      <c r="O4" s="812" t="s">
        <v>7</v>
      </c>
      <c r="P4" s="812" t="s">
        <v>8</v>
      </c>
      <c r="Q4" s="812" t="s">
        <v>9</v>
      </c>
      <c r="R4" s="812" t="s">
        <v>10</v>
      </c>
      <c r="S4" s="1207" t="s">
        <v>11</v>
      </c>
      <c r="T4" s="1206" t="s">
        <v>0</v>
      </c>
      <c r="U4" s="812" t="s">
        <v>1</v>
      </c>
      <c r="V4" s="812" t="s">
        <v>2</v>
      </c>
      <c r="W4" s="812" t="s">
        <v>3</v>
      </c>
      <c r="X4" s="812" t="s">
        <v>4</v>
      </c>
      <c r="Y4" s="812" t="s">
        <v>5</v>
      </c>
      <c r="Z4" s="812" t="s">
        <v>6</v>
      </c>
      <c r="AA4" s="812" t="s">
        <v>7</v>
      </c>
      <c r="AB4" s="812" t="s">
        <v>8</v>
      </c>
      <c r="AC4" s="812" t="s">
        <v>9</v>
      </c>
      <c r="AD4" s="812" t="s">
        <v>10</v>
      </c>
      <c r="AE4" s="1207" t="s">
        <v>11</v>
      </c>
      <c r="AF4" s="1206" t="s">
        <v>0</v>
      </c>
      <c r="AG4" s="812" t="s">
        <v>1</v>
      </c>
      <c r="AH4" s="812" t="s">
        <v>2</v>
      </c>
      <c r="AI4" s="812" t="s">
        <v>3</v>
      </c>
      <c r="AJ4" s="812" t="s">
        <v>4</v>
      </c>
      <c r="AK4" s="812" t="s">
        <v>5</v>
      </c>
      <c r="AL4" s="812" t="s">
        <v>6</v>
      </c>
      <c r="AM4" s="812" t="s">
        <v>7</v>
      </c>
      <c r="AN4" s="812" t="s">
        <v>8</v>
      </c>
      <c r="AO4" s="812" t="s">
        <v>9</v>
      </c>
      <c r="AP4" s="812" t="s">
        <v>10</v>
      </c>
      <c r="AQ4" s="1207" t="s">
        <v>11</v>
      </c>
      <c r="AR4" s="1206" t="s">
        <v>0</v>
      </c>
      <c r="AS4" s="812" t="s">
        <v>1</v>
      </c>
      <c r="AT4" s="812" t="s">
        <v>2</v>
      </c>
      <c r="AU4" s="812" t="s">
        <v>3</v>
      </c>
      <c r="AV4" s="812" t="s">
        <v>4</v>
      </c>
      <c r="AW4" s="812" t="s">
        <v>5</v>
      </c>
      <c r="AX4" s="812" t="s">
        <v>6</v>
      </c>
      <c r="AY4" s="812" t="s">
        <v>7</v>
      </c>
      <c r="AZ4" s="812" t="s">
        <v>8</v>
      </c>
      <c r="BA4" s="812" t="s">
        <v>9</v>
      </c>
      <c r="BB4" s="812" t="s">
        <v>10</v>
      </c>
      <c r="BC4" s="1207" t="s">
        <v>11</v>
      </c>
      <c r="BD4" s="1206" t="s">
        <v>0</v>
      </c>
      <c r="BE4" s="812" t="s">
        <v>1</v>
      </c>
      <c r="BF4" s="812" t="s">
        <v>2</v>
      </c>
      <c r="BG4" s="812" t="s">
        <v>3</v>
      </c>
      <c r="BH4" s="812" t="s">
        <v>4</v>
      </c>
      <c r="BI4" s="812" t="s">
        <v>5</v>
      </c>
      <c r="BJ4" s="812" t="s">
        <v>6</v>
      </c>
      <c r="BK4" s="812" t="s">
        <v>7</v>
      </c>
      <c r="BL4" s="812" t="s">
        <v>8</v>
      </c>
      <c r="BM4" s="812" t="s">
        <v>9</v>
      </c>
      <c r="BN4" s="812" t="s">
        <v>10</v>
      </c>
      <c r="BO4" s="1207" t="s">
        <v>11</v>
      </c>
      <c r="BP4" s="1206" t="s">
        <v>0</v>
      </c>
      <c r="BQ4" s="812" t="s">
        <v>1</v>
      </c>
      <c r="BR4" s="812" t="s">
        <v>2</v>
      </c>
      <c r="BS4" s="812" t="s">
        <v>3</v>
      </c>
      <c r="BT4" s="812" t="s">
        <v>4</v>
      </c>
      <c r="BU4" s="812" t="s">
        <v>5</v>
      </c>
      <c r="BV4" s="812" t="s">
        <v>6</v>
      </c>
      <c r="BW4" s="812" t="s">
        <v>7</v>
      </c>
      <c r="BX4" s="812" t="s">
        <v>8</v>
      </c>
      <c r="BY4" s="812" t="s">
        <v>9</v>
      </c>
      <c r="BZ4" s="812" t="s">
        <v>10</v>
      </c>
      <c r="CA4" s="1207" t="s">
        <v>11</v>
      </c>
      <c r="CB4" s="1275" t="str">
        <f>CONCATENATE("TotEx (",Variables!$C$4,")")</f>
        <v>TotEx ($)</v>
      </c>
      <c r="CC4" s="841" t="str">
        <f>CONCATENATE("Fixed Price TotEx (",Variables!$C$4,")")</f>
        <v>Fixed Price TotEx ($)</v>
      </c>
      <c r="CD4" s="841" t="str">
        <f>CONCATENATE("Fixed Price FTC (",Variables!$C$4,")")</f>
        <v>Fixed Price FTC ($)</v>
      </c>
      <c r="CE4" s="841" t="str">
        <f>CONCATENATE("Est. Fix Price VoWD (",Variables!$C$4,")")</f>
        <v>Est. Fix Price VoWD ($)</v>
      </c>
      <c r="CF4" s="841" t="s">
        <v>236</v>
      </c>
      <c r="CG4" s="842" t="str">
        <f>CONCATENATE("Purchased Services TotEx (",Variables!$C$4,")")</f>
        <v>Purchased Services TotEx ($)</v>
      </c>
      <c r="CH4" s="842" t="str">
        <f>CONCATENATE("Purchased Services FTC (",Variables!$C$4,")")</f>
        <v>Purchased Services FTC ($)</v>
      </c>
      <c r="CI4" s="842" t="str">
        <f>CONCATENATE("Est. Purchased Services VoWD (",Variables!$C$4,")")</f>
        <v>Est. Purchased Services VoWD ($)</v>
      </c>
      <c r="CJ4" s="842" t="s">
        <v>8504</v>
      </c>
      <c r="CK4" s="843" t="str">
        <f>CONCATENATE("Hardware Purchase TotEx (",Variables!$C$4,")")</f>
        <v>Hardware Purchase TotEx ($)</v>
      </c>
      <c r="CL4" s="843" t="str">
        <f>CONCATENATE("Hardware Purchase FTC (",Variables!$C$4,")")</f>
        <v>Hardware Purchase FTC ($)</v>
      </c>
      <c r="CM4" s="843" t="str">
        <f>CONCATENATE("Est. Hardware Purchase VoWD (",Variables!$C$4,")")</f>
        <v>Est. Hardware Purchase VoWD ($)</v>
      </c>
      <c r="CN4" s="843" t="s">
        <v>320</v>
      </c>
      <c r="CO4" s="844" t="str">
        <f>CONCATENATE("Hardware Lease TotEx (",Variables!$C$4,")")</f>
        <v>Hardware Lease TotEx ($)</v>
      </c>
      <c r="CP4" s="844" t="str">
        <f>CONCATENATE("Hardware Lease FTC (",Variables!$C$4,")")</f>
        <v>Hardware Lease FTC ($)</v>
      </c>
      <c r="CQ4" s="844" t="str">
        <f>CONCATENATE("Est. Hardware Lease   VoWD (",Variables!$C$4,")")</f>
        <v>Est. Hardware Lease   VoWD ($)</v>
      </c>
      <c r="CR4" s="844" t="s">
        <v>321</v>
      </c>
      <c r="CS4" s="845" t="str">
        <f>CONCATENATE("Software TotEx (",Variables!$C$4,")")</f>
        <v>Software TotEx ($)</v>
      </c>
      <c r="CT4" s="845" t="str">
        <f>CONCATENATE("Software FTC (",Variables!$C$4,")")</f>
        <v>Software FTC ($)</v>
      </c>
      <c r="CU4" s="845" t="str">
        <f>CONCATENATE("Est. Software VoWD (",Variables!$C$4,")")</f>
        <v>Est. Software VoWD ($)</v>
      </c>
      <c r="CV4" s="845" t="s">
        <v>322</v>
      </c>
      <c r="CW4" s="846" t="str">
        <f>CONCATENATE("Rem. Other Costs TotEx (",Variables!$C$4,")")</f>
        <v>Rem. Other Costs TotEx ($)</v>
      </c>
      <c r="CX4" s="846" t="str">
        <f>CONCATENATE("Rem. Other Costs FTC (",Variables!$C$4,")")</f>
        <v>Rem. Other Costs FTC ($)</v>
      </c>
      <c r="CY4" s="846" t="str">
        <f>CONCATENATE("Est. Rem. Other Costs VoWD (",Variables!$C$4,")")</f>
        <v>Est. Rem. Other Costs VoWD ($)</v>
      </c>
      <c r="CZ4" s="846" t="s">
        <v>237</v>
      </c>
      <c r="DA4" s="1276" t="str">
        <f>CONCATENATE("FTC (",Variables!$C$4,")")</f>
        <v>FTC ($)</v>
      </c>
      <c r="DB4" s="1564" t="s">
        <v>8742</v>
      </c>
      <c r="DC4" s="1565"/>
      <c r="DE4" s="953" t="s">
        <v>8476</v>
      </c>
      <c r="DF4" s="954" t="s">
        <v>8429</v>
      </c>
      <c r="DG4" s="954" t="s">
        <v>8430</v>
      </c>
      <c r="DH4" s="954" t="s">
        <v>8431</v>
      </c>
      <c r="DI4" s="955" t="s">
        <v>226</v>
      </c>
      <c r="DJ4" s="956" t="str">
        <f>H2</f>
        <v>FY 22</v>
      </c>
      <c r="DK4" s="956" t="str">
        <f>T2</f>
        <v>FY 23</v>
      </c>
      <c r="DL4" s="956" t="str">
        <f>AF2</f>
        <v>FY 24</v>
      </c>
      <c r="DM4" s="956" t="str">
        <f>AR2</f>
        <v>FY 25</v>
      </c>
      <c r="DN4" s="956" t="str">
        <f>BD2</f>
        <v>FY 26</v>
      </c>
      <c r="DO4" s="957" t="str">
        <f>BP2</f>
        <v>FY 27</v>
      </c>
      <c r="DP4" s="1255" t="s">
        <v>18</v>
      </c>
    </row>
    <row r="5" spans="1:120" s="809" customFormat="1">
      <c r="A5" s="1261" t="s">
        <v>168</v>
      </c>
      <c r="B5" s="1261" t="s">
        <v>8399</v>
      </c>
      <c r="C5" s="1261" t="s">
        <v>8414</v>
      </c>
      <c r="D5" s="1262" t="s">
        <v>16470</v>
      </c>
      <c r="E5" s="1263" t="s">
        <v>16471</v>
      </c>
      <c r="F5" s="1263"/>
      <c r="G5" s="1263" t="s">
        <v>21</v>
      </c>
      <c r="H5" s="1267"/>
      <c r="I5" s="1268"/>
      <c r="J5" s="1268"/>
      <c r="K5" s="1268"/>
      <c r="L5" s="1268"/>
      <c r="M5" s="1268"/>
      <c r="N5" s="1268"/>
      <c r="O5" s="1268"/>
      <c r="P5" s="1268"/>
      <c r="Q5" s="1268"/>
      <c r="R5" s="1268"/>
      <c r="S5" s="1492"/>
      <c r="T5" s="1264"/>
      <c r="U5" s="1265"/>
      <c r="V5" s="1265"/>
      <c r="W5" s="1265"/>
      <c r="X5" s="1265"/>
      <c r="Y5" s="1265"/>
      <c r="Z5" s="1265"/>
      <c r="AA5" s="1265"/>
      <c r="AB5" s="1265"/>
      <c r="AC5" s="1265"/>
      <c r="AD5" s="1265"/>
      <c r="AE5" s="1266"/>
      <c r="AF5" s="1264"/>
      <c r="AG5" s="1265"/>
      <c r="AH5" s="1265"/>
      <c r="AI5" s="1265"/>
      <c r="AJ5" s="1265"/>
      <c r="AK5" s="1265"/>
      <c r="AL5" s="1265"/>
      <c r="AM5" s="1265"/>
      <c r="AN5" s="1265"/>
      <c r="AO5" s="1265"/>
      <c r="AP5" s="1265"/>
      <c r="AQ5" s="1266"/>
      <c r="AR5" s="1264"/>
      <c r="AS5" s="1265"/>
      <c r="AT5" s="1265"/>
      <c r="AU5" s="1265"/>
      <c r="AV5" s="1265"/>
      <c r="AW5" s="1265"/>
      <c r="AX5" s="1265"/>
      <c r="AY5" s="1265"/>
      <c r="AZ5" s="1265"/>
      <c r="BA5" s="1265"/>
      <c r="BB5" s="1265"/>
      <c r="BC5" s="1266"/>
      <c r="BD5" s="1264"/>
      <c r="BE5" s="1265"/>
      <c r="BF5" s="1265"/>
      <c r="BG5" s="1265"/>
      <c r="BH5" s="1265"/>
      <c r="BI5" s="1265"/>
      <c r="BJ5" s="1265"/>
      <c r="BK5" s="1265"/>
      <c r="BL5" s="1265"/>
      <c r="BM5" s="1265"/>
      <c r="BN5" s="1265"/>
      <c r="BO5" s="1266"/>
      <c r="BP5" s="1264"/>
      <c r="BQ5" s="1265"/>
      <c r="BR5" s="1265"/>
      <c r="BS5" s="1265"/>
      <c r="BT5" s="1265"/>
      <c r="BU5" s="1265"/>
      <c r="BV5" s="1265"/>
      <c r="BW5" s="1265"/>
      <c r="BX5" s="1265"/>
      <c r="BY5" s="1265"/>
      <c r="BZ5" s="1265"/>
      <c r="CA5" s="1266"/>
      <c r="CB5" s="1277">
        <f>SUM(H5:CA5)</f>
        <v>0</v>
      </c>
      <c r="CC5" s="1277">
        <f>IF($F5=Miscellaneous!$N$8,SUM($H5:CA5),0)</f>
        <v>0</v>
      </c>
      <c r="CD5" s="1277">
        <f>IF($F5=Miscellaneous!$N$8,IF($G5="Opex",SUMIF('Monthly Summary'!$C$75:BV$75,"",$H5:CA5),SUMIF('Monthly Summary'!$C$74:BV$74,"",$H5:CA5)),0)</f>
        <v>0</v>
      </c>
      <c r="CE5" s="1277">
        <f>CC5-CD5</f>
        <v>0</v>
      </c>
      <c r="CF5" s="833"/>
      <c r="CG5" s="1277">
        <f>IF($F5=Miscellaneous!$N$9,SUM($H5:CA5),0)</f>
        <v>0</v>
      </c>
      <c r="CH5" s="1277">
        <f>IF($F5=Miscellaneous!$N$9,IF($G5="Opex",SUMIF('Monthly Summary'!$C$75:BV$75,"",$H5:CA5),SUMIF('Monthly Summary'!$C$74:BV$74,"",$H5:CA5)),0)</f>
        <v>0</v>
      </c>
      <c r="CI5" s="1277">
        <f>CG5-CH5</f>
        <v>0</v>
      </c>
      <c r="CJ5" s="833"/>
      <c r="CK5" s="1277">
        <f>IF($F5=Miscellaneous!$N$7,SUM($H5:CA5),0)</f>
        <v>0</v>
      </c>
      <c r="CL5" s="1277">
        <f>IF($F5=Miscellaneous!$N$7,IF($G5="Opex",SUMIF('Monthly Summary'!$C$75:BV$75,"",$H5:CA5),SUMIF('Monthly Summary'!$C$74:BV$74,"",$H5:CA5)),0)</f>
        <v>0</v>
      </c>
      <c r="CM5" s="1277">
        <f>CK5-CL5</f>
        <v>0</v>
      </c>
      <c r="CN5" s="833"/>
      <c r="CO5" s="1277">
        <f>IF($F5=Miscellaneous!$N$6,SUM($H5:CA5),0)</f>
        <v>0</v>
      </c>
      <c r="CP5" s="1277">
        <f>IF($F5=Miscellaneous!$N$6,IF($G5="Opex",SUMIF('Monthly Summary'!$C$75:BV$75,"",$H5:CA5),SUMIF('Monthly Summary'!$C$74:BV$74,"",$H5:CA5)),0)</f>
        <v>0</v>
      </c>
      <c r="CQ5" s="1277">
        <f>CO5-CP5</f>
        <v>0</v>
      </c>
      <c r="CR5" s="833"/>
      <c r="CS5" s="1277">
        <f>IF($A5="Software",SUM($H5:CA5),0)</f>
        <v>0</v>
      </c>
      <c r="CT5" s="1277">
        <f>IF($A5="Software",IF($G5="Opex",SUMIF('Monthly Summary'!$C$75:BV$75,"",$H5:CA5),SUMIF('Monthly Summary'!$C$74:BV$74,"",$H5:CA5)),0)</f>
        <v>0</v>
      </c>
      <c r="CU5" s="1277">
        <f>CS5-CT5</f>
        <v>0</v>
      </c>
      <c r="CV5" s="833"/>
      <c r="CW5" s="1277">
        <f t="shared" ref="CW5:CW36" si="0">CB5-CC5-CG5-CK5-CO5-CS5</f>
        <v>0</v>
      </c>
      <c r="CX5" s="1277">
        <f t="shared" ref="CX5:CX36" si="1">DA5-CD5-CH5-CL5-CP5-CT5</f>
        <v>0</v>
      </c>
      <c r="CY5" s="1277">
        <f>CW5-CX5</f>
        <v>0</v>
      </c>
      <c r="CZ5" s="833"/>
      <c r="DA5" s="1277">
        <f>IF($G5="Opex",SUMIF('Monthly Summary'!$C$75:BV$75,"",$H5:CA5),SUMIF('Monthly Summary'!$C$74:BV$74,"",$H5:CA5))</f>
        <v>0</v>
      </c>
      <c r="DB5" s="1278">
        <f t="shared" ref="DB5:DB36" si="2">IF(AND(IF(ISNA(VLOOKUP($C5,Opex_Rules,1,0)),FALSE,TRUE),$G5="Capex"),1,0)</f>
        <v>0</v>
      </c>
      <c r="DC5" s="1279">
        <f>IF(AND(OR($D5=Variables!A$38,$D5=Variables!A$43),$F5&lt;&gt;"N/A"),1,0)</f>
        <v>0</v>
      </c>
      <c r="DD5" s="1280"/>
      <c r="DE5" s="1281" t="str">
        <f t="shared" ref="DE5:DE12" si="3">IF(ISBLANK(A5),"",A5)</f>
        <v>Software</v>
      </c>
      <c r="DF5" s="1282" t="str">
        <f t="shared" ref="DF5:DF12" si="4">IF(ISBLANK(B5),"",B5)</f>
        <v>Software_Costs</v>
      </c>
      <c r="DG5" s="1282" t="str">
        <f t="shared" ref="DG5:DG12" si="5">IF(ISBLANK(C5),"",C5)</f>
        <v>SaaS software license costs</v>
      </c>
      <c r="DH5" s="1282" t="str">
        <f>IF(ISNA(VLOOKUP(DE5,Miscellaneous!E:F,2,0)),"",VLOOKUP(DE5,Miscellaneous!E:F,2,0))</f>
        <v>John Conley</v>
      </c>
      <c r="DI5" s="1282" t="str">
        <f t="shared" ref="DI5:DI12" si="6">IF(ISBLANK(G5),"",G5)</f>
        <v>Capex</v>
      </c>
      <c r="DJ5" s="1283">
        <f>IF($DI5="Opex",SUMIF('Monthly Summary'!$C$75:$N$75,"",H5:S5),SUMIF('Monthly Summary'!$C$74:$N$74,"",H5:S5))</f>
        <v>0</v>
      </c>
      <c r="DK5" s="1283">
        <f>IF($DI5="Opex",SUMIF('Monthly Summary'!$O$75:$Z$75,"",T5:AE5),SUMIF('Monthly Summary'!$O$74:$Z$74,"",T5:AE5))</f>
        <v>0</v>
      </c>
      <c r="DL5" s="1283">
        <f>IF($DI5="Opex",SUMIF('Monthly Summary'!$AA$75:$AL$75,"",AF5:AQ5),SUMIF('Monthly Summary'!$AA$74:$AL$74,"",AF5:AQ5))</f>
        <v>0</v>
      </c>
      <c r="DM5" s="1283">
        <f>IF($DI5="Opex",SUMIF('Monthly Summary'!$AM$75:$AX$75,"",AR5:BC5),SUMIF('Monthly Summary'!$AM$74:$AX$74,"",AR5:BC5))</f>
        <v>0</v>
      </c>
      <c r="DN5" s="1283">
        <f>IF($DI5="Opex",SUMIF('Monthly Summary'!$AY$75:$BJ$75,"",BD5:BO5),SUMIF('Monthly Summary'!$AY$74:$BJ$74,"",BD5:BO5))</f>
        <v>0</v>
      </c>
      <c r="DO5" s="1284">
        <f>IF($DI5="Opex",SUMIF('Monthly Summary'!$BK$75:$BV$75,"",BP5:CA5),SUMIF('Monthly Summary'!$BK$74:$BV$74,"",BP5:CA5))</f>
        <v>0</v>
      </c>
      <c r="DP5" s="1285">
        <f>SUM(DJ5:DO5)</f>
        <v>0</v>
      </c>
    </row>
    <row r="6" spans="1:120">
      <c r="A6" s="1261" t="s">
        <v>447</v>
      </c>
      <c r="B6" s="1261" t="s">
        <v>171</v>
      </c>
      <c r="C6" s="1261" t="s">
        <v>8498</v>
      </c>
      <c r="D6" s="1262" t="s">
        <v>8507</v>
      </c>
      <c r="E6" s="1263" t="s">
        <v>16472</v>
      </c>
      <c r="F6" s="1263" t="s">
        <v>12847</v>
      </c>
      <c r="G6" s="1263" t="s">
        <v>21</v>
      </c>
      <c r="H6" s="1267"/>
      <c r="I6" s="1268"/>
      <c r="J6" s="1268"/>
      <c r="K6" s="1268"/>
      <c r="L6" s="1268"/>
      <c r="M6" s="1268"/>
      <c r="N6" s="1268"/>
      <c r="O6" s="1268"/>
      <c r="P6" s="1268"/>
      <c r="Q6" s="1268"/>
      <c r="R6" s="1268"/>
      <c r="S6" s="1269"/>
      <c r="T6" s="1267"/>
      <c r="U6" s="1268"/>
      <c r="V6" s="1268"/>
      <c r="W6" s="1268"/>
      <c r="X6" s="1268"/>
      <c r="Y6" s="1268"/>
      <c r="Z6" s="1268"/>
      <c r="AA6" s="1268"/>
      <c r="AB6" s="1268"/>
      <c r="AC6" s="1268"/>
      <c r="AD6" s="1268"/>
      <c r="AE6" s="1269"/>
      <c r="AF6" s="1267"/>
      <c r="AG6" s="1268"/>
      <c r="AH6" s="1268"/>
      <c r="AI6" s="1268"/>
      <c r="AJ6" s="1268"/>
      <c r="AK6" s="1268"/>
      <c r="AL6" s="1268"/>
      <c r="AM6" s="1268"/>
      <c r="AN6" s="1268"/>
      <c r="AO6" s="1268"/>
      <c r="AP6" s="1268"/>
      <c r="AQ6" s="1269"/>
      <c r="AR6" s="1267"/>
      <c r="AS6" s="1268"/>
      <c r="AT6" s="1268"/>
      <c r="AU6" s="1268"/>
      <c r="AV6" s="1268"/>
      <c r="AW6" s="1268"/>
      <c r="AX6" s="1268"/>
      <c r="AY6" s="1268"/>
      <c r="AZ6" s="1268"/>
      <c r="BA6" s="1268"/>
      <c r="BB6" s="1268"/>
      <c r="BC6" s="1269"/>
      <c r="BD6" s="1267"/>
      <c r="BE6" s="1268"/>
      <c r="BF6" s="1268"/>
      <c r="BG6" s="1268"/>
      <c r="BH6" s="1268"/>
      <c r="BI6" s="1268"/>
      <c r="BJ6" s="1268"/>
      <c r="BK6" s="1268"/>
      <c r="BL6" s="1268"/>
      <c r="BM6" s="1268"/>
      <c r="BN6" s="1268"/>
      <c r="BO6" s="1269"/>
      <c r="BP6" s="1267"/>
      <c r="BQ6" s="1268"/>
      <c r="BR6" s="1268"/>
      <c r="BS6" s="1268"/>
      <c r="BT6" s="1268"/>
      <c r="BU6" s="1268"/>
      <c r="BV6" s="1268"/>
      <c r="BW6" s="1268"/>
      <c r="BX6" s="1268"/>
      <c r="BY6" s="1268"/>
      <c r="BZ6" s="1268"/>
      <c r="CA6" s="1269"/>
      <c r="CB6" s="1286">
        <f t="shared" ref="CB6:CB69" si="7">SUM(H6:CA6)</f>
        <v>0</v>
      </c>
      <c r="CC6" s="1277">
        <f>IF($F6=Miscellaneous!$N$8,SUM($H6:CA6),0)</f>
        <v>0</v>
      </c>
      <c r="CD6" s="1277">
        <f>IF($F6=Miscellaneous!$N$8,IF($G6="Opex",SUMIF('Monthly Summary'!$C$75:BV$75,"",$H6:CA6),SUMIF('Monthly Summary'!$C$74:BV$74,"",$H6:CA6)),0)</f>
        <v>0</v>
      </c>
      <c r="CE6" s="1286">
        <f t="shared" ref="CE6:CE69" si="8">CC6-CD6</f>
        <v>0</v>
      </c>
      <c r="CG6" s="1277">
        <f>IF($F6=Miscellaneous!$N$9,SUM($H6:CA6),0)</f>
        <v>0</v>
      </c>
      <c r="CH6" s="1277">
        <f>IF($F6=Miscellaneous!$N$9,IF($G6="Opex",SUMIF('Monthly Summary'!$C$75:BV$75,"",$H6:CA6),SUMIF('Monthly Summary'!$C$74:BV$74,"",$H6:CA6)),0)</f>
        <v>0</v>
      </c>
      <c r="CI6" s="1286">
        <f t="shared" ref="CI6:CI69" si="9">CG6-CH6</f>
        <v>0</v>
      </c>
      <c r="CK6" s="1277">
        <f>IF($F6=Miscellaneous!$N$7,SUM($H6:CA6),0)</f>
        <v>0</v>
      </c>
      <c r="CL6" s="1277">
        <f>IF($F6=Miscellaneous!$N$7,IF($G6="Opex",SUMIF('Monthly Summary'!$C$75:BV$75,"",$H6:CA6),SUMIF('Monthly Summary'!$C$74:BV$74,"",$H6:CA6)),0)</f>
        <v>0</v>
      </c>
      <c r="CM6" s="1286">
        <f t="shared" ref="CM6:CM69" si="10">CK6-CL6</f>
        <v>0</v>
      </c>
      <c r="CO6" s="1277">
        <f>IF($F6=Miscellaneous!$N$6,SUM($H6:CA6),0)</f>
        <v>0</v>
      </c>
      <c r="CP6" s="1277">
        <f>IF($F6=Miscellaneous!$N$6,IF($G6="Opex",SUMIF('Monthly Summary'!$C$75:BV$75,"",$H6:CA6),SUMIF('Monthly Summary'!$C$74:BV$74,"",$H6:CA6)),0)</f>
        <v>0</v>
      </c>
      <c r="CQ6" s="1286">
        <f t="shared" ref="CQ6:CQ69" si="11">CO6-CP6</f>
        <v>0</v>
      </c>
      <c r="CS6" s="1277">
        <f>IF($A6="Software",SUM($H6:CA6),0)</f>
        <v>0</v>
      </c>
      <c r="CT6" s="1277">
        <f>IF($A6="Software",IF($G6="Opex",SUMIF('Monthly Summary'!$C$75:BV$75,"",$H6:CA6),SUMIF('Monthly Summary'!$C$74:BV$74,"",$H6:CA6)),0)</f>
        <v>0</v>
      </c>
      <c r="CU6" s="1286">
        <f t="shared" ref="CU6:CU69" si="12">CS6-CT6</f>
        <v>0</v>
      </c>
      <c r="CW6" s="1277">
        <f t="shared" si="0"/>
        <v>0</v>
      </c>
      <c r="CX6" s="1277">
        <f t="shared" si="1"/>
        <v>0</v>
      </c>
      <c r="CY6" s="1286">
        <f t="shared" ref="CY6:CY69" si="13">CW6-CX6</f>
        <v>0</v>
      </c>
      <c r="DA6" s="1286">
        <f>IF($G6="Opex",SUMIF('Monthly Summary'!$C$75:BV$75,"",$H6:CA6),SUMIF('Monthly Summary'!$C$74:BV$74,"",$H6:CA6))</f>
        <v>0</v>
      </c>
      <c r="DB6" s="1278">
        <f t="shared" si="2"/>
        <v>0</v>
      </c>
      <c r="DC6" s="1279">
        <f>IF(AND(OR($D6=Variables!A$38,$D6=Variables!A$43),$F6&lt;&gt;"N/A"),1,0)</f>
        <v>0</v>
      </c>
      <c r="DD6" s="820"/>
      <c r="DE6" s="1281" t="str">
        <f t="shared" si="3"/>
        <v>Infra_Operations</v>
      </c>
      <c r="DF6" s="1282" t="str">
        <f t="shared" si="4"/>
        <v>Hardware</v>
      </c>
      <c r="DG6" s="1282" t="str">
        <f t="shared" si="5"/>
        <v>Server hardware (including backup and test servers)</v>
      </c>
      <c r="DH6" s="1282" t="str">
        <f>IF(ISNA(VLOOKUP(DE6,Miscellaneous!E:F,2,0)),"",VLOOKUP(DE6,Miscellaneous!E:F,2,0))</f>
        <v>Shannon Soland</v>
      </c>
      <c r="DI6" s="1282" t="str">
        <f t="shared" si="6"/>
        <v>Capex</v>
      </c>
      <c r="DJ6" s="1283">
        <f>IF($DI6="Opex",SUMIF('Monthly Summary'!$C$75:$N$75,"",H6:S6),SUMIF('Monthly Summary'!$C$74:$N$74,"",H6:S6))</f>
        <v>0</v>
      </c>
      <c r="DK6" s="1283">
        <f>IF($DI6="Opex",SUMIF('Monthly Summary'!$O$75:$Z$75,"",T6:AE6),SUMIF('Monthly Summary'!$O$74:$Z$74,"",T6:AE6))</f>
        <v>0</v>
      </c>
      <c r="DL6" s="1283">
        <f>IF($DI6="Opex",SUMIF('Monthly Summary'!$AA$75:$AL$75,"",AF6:AQ6),SUMIF('Monthly Summary'!$AA$74:$AL$74,"",AF6:AQ6))</f>
        <v>0</v>
      </c>
      <c r="DM6" s="1283">
        <f>IF($DI6="Opex",SUMIF('Monthly Summary'!$AM$75:$AX$75,"",AR6:BC6),SUMIF('Monthly Summary'!$AM$74:$AX$74,"",AR6:BC6))</f>
        <v>0</v>
      </c>
      <c r="DN6" s="1283">
        <f>IF($DI6="Opex",SUMIF('Monthly Summary'!$AY$75:$BJ$75,"",BD6:BO6),SUMIF('Monthly Summary'!$AY$74:$BJ$74,"",BD6:BO6))</f>
        <v>0</v>
      </c>
      <c r="DO6" s="1284">
        <f>IF($DI6="Opex",SUMIF('Monthly Summary'!$BK$75:$BV$75,"",BP6:CA6),SUMIF('Monthly Summary'!$BK$74:$BV$74,"",BP6:CA6))</f>
        <v>0</v>
      </c>
      <c r="DP6" s="1285">
        <f t="shared" ref="DP6:DP69" si="14">SUM(DJ6:DO6)</f>
        <v>0</v>
      </c>
    </row>
    <row r="7" spans="1:120">
      <c r="A7" s="1261"/>
      <c r="B7" s="1261"/>
      <c r="C7" s="1261"/>
      <c r="D7" s="1262"/>
      <c r="E7" s="1263"/>
      <c r="F7" s="1263"/>
      <c r="G7" s="1263"/>
      <c r="H7" s="1267"/>
      <c r="I7" s="1268"/>
      <c r="J7" s="1268"/>
      <c r="K7" s="1268"/>
      <c r="L7" s="1268"/>
      <c r="M7" s="1268"/>
      <c r="N7" s="1268"/>
      <c r="O7" s="1268"/>
      <c r="P7" s="1268"/>
      <c r="Q7" s="1268"/>
      <c r="R7" s="1268"/>
      <c r="S7" s="1269"/>
      <c r="T7" s="1267"/>
      <c r="U7" s="1268"/>
      <c r="V7" s="1268"/>
      <c r="W7" s="1268"/>
      <c r="X7" s="1268"/>
      <c r="Y7" s="1268"/>
      <c r="Z7" s="1268"/>
      <c r="AA7" s="1268"/>
      <c r="AB7" s="1268"/>
      <c r="AC7" s="1268"/>
      <c r="AD7" s="1268"/>
      <c r="AE7" s="1269"/>
      <c r="AF7" s="1267"/>
      <c r="AG7" s="1268"/>
      <c r="AH7" s="1268"/>
      <c r="AI7" s="1268"/>
      <c r="AJ7" s="1268"/>
      <c r="AK7" s="1268"/>
      <c r="AL7" s="1268"/>
      <c r="AM7" s="1268"/>
      <c r="AN7" s="1268"/>
      <c r="AO7" s="1268"/>
      <c r="AP7" s="1268"/>
      <c r="AQ7" s="1269"/>
      <c r="AR7" s="1267"/>
      <c r="AS7" s="1268"/>
      <c r="AT7" s="1268"/>
      <c r="AU7" s="1268"/>
      <c r="AV7" s="1268"/>
      <c r="AW7" s="1268"/>
      <c r="AX7" s="1268"/>
      <c r="AY7" s="1268"/>
      <c r="AZ7" s="1268"/>
      <c r="BA7" s="1268"/>
      <c r="BB7" s="1268"/>
      <c r="BC7" s="1269"/>
      <c r="BD7" s="1267"/>
      <c r="BE7" s="1268"/>
      <c r="BF7" s="1268"/>
      <c r="BG7" s="1268"/>
      <c r="BH7" s="1268"/>
      <c r="BI7" s="1268"/>
      <c r="BJ7" s="1268"/>
      <c r="BK7" s="1268"/>
      <c r="BL7" s="1268"/>
      <c r="BM7" s="1268"/>
      <c r="BN7" s="1268"/>
      <c r="BO7" s="1269"/>
      <c r="BP7" s="1267"/>
      <c r="BQ7" s="1268"/>
      <c r="BR7" s="1268"/>
      <c r="BS7" s="1268"/>
      <c r="BT7" s="1268"/>
      <c r="BU7" s="1268"/>
      <c r="BV7" s="1268"/>
      <c r="BW7" s="1268"/>
      <c r="BX7" s="1268"/>
      <c r="BY7" s="1268"/>
      <c r="BZ7" s="1268"/>
      <c r="CA7" s="1269"/>
      <c r="CB7" s="1286">
        <f t="shared" si="7"/>
        <v>0</v>
      </c>
      <c r="CC7" s="1277">
        <f>IF($F7=Miscellaneous!$N$8,SUM($H7:CA7),0)</f>
        <v>0</v>
      </c>
      <c r="CD7" s="1277">
        <f>IF($F7=Miscellaneous!$N$8,IF($G7="Opex",SUMIF('Monthly Summary'!$C$75:BV$75,"",$H7:CA7),SUMIF('Monthly Summary'!$C$74:BV$74,"",$H7:CA7)),0)</f>
        <v>0</v>
      </c>
      <c r="CE7" s="1286">
        <f t="shared" si="8"/>
        <v>0</v>
      </c>
      <c r="CG7" s="1277">
        <f>IF($F7=Miscellaneous!$N$9,SUM($H7:CA7),0)</f>
        <v>0</v>
      </c>
      <c r="CH7" s="1277">
        <f>IF($F7=Miscellaneous!$N$9,IF($G7="Opex",SUMIF('Monthly Summary'!$C$75:BV$75,"",$H7:CA7),SUMIF('Monthly Summary'!$C$74:BV$74,"",$H7:CA7)),0)</f>
        <v>0</v>
      </c>
      <c r="CI7" s="1286">
        <f t="shared" si="9"/>
        <v>0</v>
      </c>
      <c r="CK7" s="1277">
        <f>IF($F7=Miscellaneous!$N$7,SUM($H7:CA7),0)</f>
        <v>0</v>
      </c>
      <c r="CL7" s="1277">
        <f>IF($F7=Miscellaneous!$N$7,IF($G7="Opex",SUMIF('Monthly Summary'!$C$75:BV$75,"",$H7:CA7),SUMIF('Monthly Summary'!$C$74:BV$74,"",$H7:CA7)),0)</f>
        <v>0</v>
      </c>
      <c r="CM7" s="1286">
        <f t="shared" si="10"/>
        <v>0</v>
      </c>
      <c r="CO7" s="1277">
        <f>IF($F7=Miscellaneous!$N$6,SUM($H7:CA7),0)</f>
        <v>0</v>
      </c>
      <c r="CP7" s="1277">
        <f>IF($F7=Miscellaneous!$N$6,IF($G7="Opex",SUMIF('Monthly Summary'!$C$75:BV$75,"",$H7:CA7),SUMIF('Monthly Summary'!$C$74:BV$74,"",$H7:CA7)),0)</f>
        <v>0</v>
      </c>
      <c r="CQ7" s="1286">
        <f t="shared" si="11"/>
        <v>0</v>
      </c>
      <c r="CS7" s="1277">
        <f>IF($A7="Software",SUM($H7:CA7),0)</f>
        <v>0</v>
      </c>
      <c r="CT7" s="1277">
        <f>IF($A7="Software",IF($G7="Opex",SUMIF('Monthly Summary'!$C$75:BV$75,"",$H7:CA7),SUMIF('Monthly Summary'!$C$74:BV$74,"",$H7:CA7)),0)</f>
        <v>0</v>
      </c>
      <c r="CU7" s="1286">
        <f t="shared" si="12"/>
        <v>0</v>
      </c>
      <c r="CW7" s="1277">
        <f t="shared" si="0"/>
        <v>0</v>
      </c>
      <c r="CX7" s="1277">
        <f t="shared" si="1"/>
        <v>0</v>
      </c>
      <c r="CY7" s="1286">
        <f t="shared" si="13"/>
        <v>0</v>
      </c>
      <c r="DA7" s="1286">
        <f>IF($G7="Opex",SUMIF('Monthly Summary'!$C$75:BV$75,"",$H7:CA7),SUMIF('Monthly Summary'!$C$74:BV$74,"",$H7:CA7))</f>
        <v>0</v>
      </c>
      <c r="DB7" s="1278">
        <f t="shared" si="2"/>
        <v>0</v>
      </c>
      <c r="DC7" s="1279">
        <f>IF(AND(OR($D7=Variables!A$38,$D7=Variables!A$43),$F7&lt;&gt;"N/A"),1,0)</f>
        <v>0</v>
      </c>
      <c r="DD7" s="820"/>
      <c r="DE7" s="1281" t="str">
        <f t="shared" si="3"/>
        <v/>
      </c>
      <c r="DF7" s="1282" t="str">
        <f t="shared" si="4"/>
        <v/>
      </c>
      <c r="DG7" s="1282" t="str">
        <f t="shared" si="5"/>
        <v/>
      </c>
      <c r="DH7" s="1282" t="str">
        <f>IF(ISNA(VLOOKUP(DE7,Miscellaneous!E:F,2,0)),"",VLOOKUP(DE7,Miscellaneous!E:F,2,0))</f>
        <v/>
      </c>
      <c r="DI7" s="1282" t="str">
        <f t="shared" si="6"/>
        <v/>
      </c>
      <c r="DJ7" s="1283">
        <f>IF($DI7="Opex",SUMIF('Monthly Summary'!$C$75:$N$75,"",H7:S7),SUMIF('Monthly Summary'!$C$74:$N$74,"",H7:S7))</f>
        <v>0</v>
      </c>
      <c r="DK7" s="1283">
        <f>IF($DI7="Opex",SUMIF('Monthly Summary'!$O$75:$Z$75,"",T7:AE7),SUMIF('Monthly Summary'!$O$74:$Z$74,"",T7:AE7))</f>
        <v>0</v>
      </c>
      <c r="DL7" s="1283">
        <f>IF($DI7="Opex",SUMIF('Monthly Summary'!$AA$75:$AL$75,"",AF7:AQ7),SUMIF('Monthly Summary'!$AA$74:$AL$74,"",AF7:AQ7))</f>
        <v>0</v>
      </c>
      <c r="DM7" s="1283">
        <f>IF($DI7="Opex",SUMIF('Monthly Summary'!$AM$75:$AX$75,"",AR7:BC7),SUMIF('Monthly Summary'!$AM$74:$AX$74,"",AR7:BC7))</f>
        <v>0</v>
      </c>
      <c r="DN7" s="1283">
        <f>IF($DI7="Opex",SUMIF('Monthly Summary'!$AY$75:$BJ$75,"",BD7:BO7),SUMIF('Monthly Summary'!$AY$74:$BJ$74,"",BD7:BO7))</f>
        <v>0</v>
      </c>
      <c r="DO7" s="1284">
        <f>IF($DI7="Opex",SUMIF('Monthly Summary'!$BK$75:$BV$75,"",BP7:CA7),SUMIF('Monthly Summary'!$BK$74:$BV$74,"",BP7:CA7))</f>
        <v>0</v>
      </c>
      <c r="DP7" s="1285">
        <f t="shared" si="14"/>
        <v>0</v>
      </c>
    </row>
    <row r="8" spans="1:120">
      <c r="A8" s="1261"/>
      <c r="B8" s="1261"/>
      <c r="C8" s="1261"/>
      <c r="D8" s="1262"/>
      <c r="E8" s="1263"/>
      <c r="F8" s="1263"/>
      <c r="G8" s="1263"/>
      <c r="H8" s="1267"/>
      <c r="I8" s="1268"/>
      <c r="J8" s="1268"/>
      <c r="K8" s="1268"/>
      <c r="L8" s="1268"/>
      <c r="M8" s="1268"/>
      <c r="N8" s="1268"/>
      <c r="O8" s="1268"/>
      <c r="P8" s="1268"/>
      <c r="Q8" s="1268"/>
      <c r="R8" s="1268"/>
      <c r="S8" s="1269"/>
      <c r="T8" s="1267"/>
      <c r="U8" s="1268"/>
      <c r="V8" s="1268"/>
      <c r="W8" s="1268"/>
      <c r="X8" s="1268"/>
      <c r="Y8" s="1268"/>
      <c r="Z8" s="1268"/>
      <c r="AA8" s="1268"/>
      <c r="AB8" s="1268"/>
      <c r="AC8" s="1268"/>
      <c r="AD8" s="1268"/>
      <c r="AE8" s="1269"/>
      <c r="AF8" s="1267"/>
      <c r="AG8" s="1268"/>
      <c r="AH8" s="1268"/>
      <c r="AI8" s="1268"/>
      <c r="AJ8" s="1268"/>
      <c r="AK8" s="1268"/>
      <c r="AL8" s="1268"/>
      <c r="AM8" s="1268"/>
      <c r="AN8" s="1268"/>
      <c r="AO8" s="1268"/>
      <c r="AP8" s="1268"/>
      <c r="AQ8" s="1269"/>
      <c r="AR8" s="1267"/>
      <c r="AS8" s="1268"/>
      <c r="AT8" s="1268"/>
      <c r="AU8" s="1268"/>
      <c r="AV8" s="1268"/>
      <c r="AW8" s="1268"/>
      <c r="AX8" s="1268"/>
      <c r="AY8" s="1268"/>
      <c r="AZ8" s="1268"/>
      <c r="BA8" s="1268"/>
      <c r="BB8" s="1268"/>
      <c r="BC8" s="1269"/>
      <c r="BD8" s="1267"/>
      <c r="BE8" s="1268"/>
      <c r="BF8" s="1268"/>
      <c r="BG8" s="1268"/>
      <c r="BH8" s="1268"/>
      <c r="BI8" s="1268"/>
      <c r="BJ8" s="1268"/>
      <c r="BK8" s="1268"/>
      <c r="BL8" s="1268"/>
      <c r="BM8" s="1268"/>
      <c r="BN8" s="1268"/>
      <c r="BO8" s="1269"/>
      <c r="BP8" s="1267"/>
      <c r="BQ8" s="1268"/>
      <c r="BR8" s="1268"/>
      <c r="BS8" s="1268"/>
      <c r="BT8" s="1268"/>
      <c r="BU8" s="1268"/>
      <c r="BV8" s="1268"/>
      <c r="BW8" s="1268"/>
      <c r="BX8" s="1268"/>
      <c r="BY8" s="1268"/>
      <c r="BZ8" s="1268"/>
      <c r="CA8" s="1269"/>
      <c r="CB8" s="1286">
        <f t="shared" si="7"/>
        <v>0</v>
      </c>
      <c r="CC8" s="1277">
        <f>IF($F8=Miscellaneous!$N$8,SUM($H8:CA8),0)</f>
        <v>0</v>
      </c>
      <c r="CD8" s="1277">
        <f>IF($F8=Miscellaneous!$N$8,IF($G8="Opex",SUMIF('Monthly Summary'!$C$75:BV$75,"",$H8:CA8),SUMIF('Monthly Summary'!$C$74:BV$74,"",$H8:CA8)),0)</f>
        <v>0</v>
      </c>
      <c r="CE8" s="1286">
        <f t="shared" si="8"/>
        <v>0</v>
      </c>
      <c r="CG8" s="1277">
        <f>IF($F8=Miscellaneous!$N$9,SUM($H8:CA8),0)</f>
        <v>0</v>
      </c>
      <c r="CH8" s="1277">
        <f>IF($F8=Miscellaneous!$N$9,IF($G8="Opex",SUMIF('Monthly Summary'!$C$75:BV$75,"",$H8:CA8),SUMIF('Monthly Summary'!$C$74:BV$74,"",$H8:CA8)),0)</f>
        <v>0</v>
      </c>
      <c r="CI8" s="1286">
        <f t="shared" si="9"/>
        <v>0</v>
      </c>
      <c r="CK8" s="1277">
        <f>IF($F8=Miscellaneous!$N$7,SUM($H8:CA8),0)</f>
        <v>0</v>
      </c>
      <c r="CL8" s="1277">
        <f>IF($F8=Miscellaneous!$N$7,IF($G8="Opex",SUMIF('Monthly Summary'!$C$75:BV$75,"",$H8:CA8),SUMIF('Monthly Summary'!$C$74:BV$74,"",$H8:CA8)),0)</f>
        <v>0</v>
      </c>
      <c r="CM8" s="1286">
        <f t="shared" si="10"/>
        <v>0</v>
      </c>
      <c r="CO8" s="1277">
        <f>IF($F8=Miscellaneous!$N$6,SUM($H8:CA8),0)</f>
        <v>0</v>
      </c>
      <c r="CP8" s="1277">
        <f>IF($F8=Miscellaneous!$N$6,IF($G8="Opex",SUMIF('Monthly Summary'!$C$75:BV$75,"",$H8:CA8),SUMIF('Monthly Summary'!$C$74:BV$74,"",$H8:CA8)),0)</f>
        <v>0</v>
      </c>
      <c r="CQ8" s="1286">
        <f t="shared" si="11"/>
        <v>0</v>
      </c>
      <c r="CS8" s="1277">
        <f>IF($A8="Software",SUM($H8:CA8),0)</f>
        <v>0</v>
      </c>
      <c r="CT8" s="1277">
        <f>IF($A8="Software",IF($G8="Opex",SUMIF('Monthly Summary'!$C$75:BV$75,"",$H8:CA8),SUMIF('Monthly Summary'!$C$74:BV$74,"",$H8:CA8)),0)</f>
        <v>0</v>
      </c>
      <c r="CU8" s="1286">
        <f t="shared" si="12"/>
        <v>0</v>
      </c>
      <c r="CW8" s="1277">
        <f t="shared" si="0"/>
        <v>0</v>
      </c>
      <c r="CX8" s="1277">
        <f t="shared" si="1"/>
        <v>0</v>
      </c>
      <c r="CY8" s="1286">
        <f t="shared" si="13"/>
        <v>0</v>
      </c>
      <c r="DA8" s="1286">
        <f>IF($G8="Opex",SUMIF('Monthly Summary'!$C$75:BV$75,"",$H8:CA8),SUMIF('Monthly Summary'!$C$74:BV$74,"",$H8:CA8))</f>
        <v>0</v>
      </c>
      <c r="DB8" s="1278">
        <f t="shared" si="2"/>
        <v>0</v>
      </c>
      <c r="DC8" s="1279">
        <f>IF(AND(OR($D8=Variables!A$38,$D8=Variables!A$43),$F8&lt;&gt;"N/A"),1,0)</f>
        <v>0</v>
      </c>
      <c r="DD8" s="820"/>
      <c r="DE8" s="1281" t="str">
        <f t="shared" si="3"/>
        <v/>
      </c>
      <c r="DF8" s="1282" t="str">
        <f t="shared" si="4"/>
        <v/>
      </c>
      <c r="DG8" s="1282" t="str">
        <f t="shared" si="5"/>
        <v/>
      </c>
      <c r="DH8" s="1282" t="str">
        <f>IF(ISNA(VLOOKUP(DE8,Miscellaneous!E:F,2,0)),"",VLOOKUP(DE8,Miscellaneous!E:F,2,0))</f>
        <v/>
      </c>
      <c r="DI8" s="1282" t="str">
        <f t="shared" si="6"/>
        <v/>
      </c>
      <c r="DJ8" s="1283">
        <f>IF($DI8="Opex",SUMIF('Monthly Summary'!$C$75:$N$75,"",H8:S8),SUMIF('Monthly Summary'!$C$74:$N$74,"",H8:S8))</f>
        <v>0</v>
      </c>
      <c r="DK8" s="1283">
        <f>IF($DI8="Opex",SUMIF('Monthly Summary'!$O$75:$Z$75,"",T8:AE8),SUMIF('Monthly Summary'!$O$74:$Z$74,"",T8:AE8))</f>
        <v>0</v>
      </c>
      <c r="DL8" s="1283">
        <f>IF($DI8="Opex",SUMIF('Monthly Summary'!$AA$75:$AL$75,"",AF8:AQ8),SUMIF('Monthly Summary'!$AA$74:$AL$74,"",AF8:AQ8))</f>
        <v>0</v>
      </c>
      <c r="DM8" s="1283">
        <f>IF($DI8="Opex",SUMIF('Monthly Summary'!$AM$75:$AX$75,"",AR8:BC8),SUMIF('Monthly Summary'!$AM$74:$AX$74,"",AR8:BC8))</f>
        <v>0</v>
      </c>
      <c r="DN8" s="1283">
        <f>IF($DI8="Opex",SUMIF('Monthly Summary'!$AY$75:$BJ$75,"",BD8:BO8),SUMIF('Monthly Summary'!$AY$74:$BJ$74,"",BD8:BO8))</f>
        <v>0</v>
      </c>
      <c r="DO8" s="1284">
        <f>IF($DI8="Opex",SUMIF('Monthly Summary'!$BK$75:$BV$75,"",BP8:CA8),SUMIF('Monthly Summary'!$BK$74:$BV$74,"",BP8:CA8))</f>
        <v>0</v>
      </c>
      <c r="DP8" s="1285">
        <f t="shared" si="14"/>
        <v>0</v>
      </c>
    </row>
    <row r="9" spans="1:120">
      <c r="A9" s="1261"/>
      <c r="B9" s="1261"/>
      <c r="C9" s="1261"/>
      <c r="D9" s="1262"/>
      <c r="E9" s="1263"/>
      <c r="F9" s="1263"/>
      <c r="G9" s="1263"/>
      <c r="H9" s="1267"/>
      <c r="I9" s="1268"/>
      <c r="J9" s="1268"/>
      <c r="K9" s="1268"/>
      <c r="L9" s="1268"/>
      <c r="M9" s="1268"/>
      <c r="N9" s="1268"/>
      <c r="O9" s="1268"/>
      <c r="P9" s="1268"/>
      <c r="Q9" s="1268"/>
      <c r="R9" s="1268"/>
      <c r="S9" s="1269"/>
      <c r="T9" s="1267"/>
      <c r="U9" s="1268"/>
      <c r="V9" s="1268"/>
      <c r="W9" s="1268"/>
      <c r="X9" s="1268"/>
      <c r="Y9" s="1268"/>
      <c r="Z9" s="1268"/>
      <c r="AA9" s="1268"/>
      <c r="AB9" s="1268"/>
      <c r="AC9" s="1268"/>
      <c r="AD9" s="1268"/>
      <c r="AE9" s="1269"/>
      <c r="AF9" s="1267"/>
      <c r="AG9" s="1268"/>
      <c r="AH9" s="1268"/>
      <c r="AI9" s="1268"/>
      <c r="AJ9" s="1268"/>
      <c r="AK9" s="1268"/>
      <c r="AL9" s="1268"/>
      <c r="AM9" s="1268"/>
      <c r="AN9" s="1268"/>
      <c r="AO9" s="1268"/>
      <c r="AP9" s="1268"/>
      <c r="AQ9" s="1269"/>
      <c r="AR9" s="1267"/>
      <c r="AS9" s="1268"/>
      <c r="AT9" s="1268"/>
      <c r="AU9" s="1268"/>
      <c r="AV9" s="1268"/>
      <c r="AW9" s="1268"/>
      <c r="AX9" s="1268"/>
      <c r="AY9" s="1268"/>
      <c r="AZ9" s="1268"/>
      <c r="BA9" s="1268"/>
      <c r="BB9" s="1268"/>
      <c r="BC9" s="1269"/>
      <c r="BD9" s="1267"/>
      <c r="BE9" s="1268"/>
      <c r="BF9" s="1268"/>
      <c r="BG9" s="1268"/>
      <c r="BH9" s="1268"/>
      <c r="BI9" s="1268"/>
      <c r="BJ9" s="1268"/>
      <c r="BK9" s="1268"/>
      <c r="BL9" s="1268"/>
      <c r="BM9" s="1268"/>
      <c r="BN9" s="1268"/>
      <c r="BO9" s="1269"/>
      <c r="BP9" s="1267"/>
      <c r="BQ9" s="1268"/>
      <c r="BR9" s="1268"/>
      <c r="BS9" s="1268"/>
      <c r="BT9" s="1268"/>
      <c r="BU9" s="1268"/>
      <c r="BV9" s="1268"/>
      <c r="BW9" s="1268"/>
      <c r="BX9" s="1268"/>
      <c r="BY9" s="1268"/>
      <c r="BZ9" s="1268"/>
      <c r="CA9" s="1269"/>
      <c r="CB9" s="1286">
        <f t="shared" si="7"/>
        <v>0</v>
      </c>
      <c r="CC9" s="1277">
        <f>IF($F9=Miscellaneous!$N$8,SUM($H9:CA9),0)</f>
        <v>0</v>
      </c>
      <c r="CD9" s="1277">
        <f>IF($F9=Miscellaneous!$N$8,IF($G9="Opex",SUMIF('Monthly Summary'!$C$75:BV$75,"",$H9:CA9),SUMIF('Monthly Summary'!$C$74:BV$74,"",$H9:CA9)),0)</f>
        <v>0</v>
      </c>
      <c r="CE9" s="1286">
        <f t="shared" si="8"/>
        <v>0</v>
      </c>
      <c r="CG9" s="1277">
        <f>IF($F9=Miscellaneous!$N$9,SUM($H9:CA9),0)</f>
        <v>0</v>
      </c>
      <c r="CH9" s="1277">
        <f>IF($F9=Miscellaneous!$N$9,IF($G9="Opex",SUMIF('Monthly Summary'!$C$75:BV$75,"",$H9:CA9),SUMIF('Monthly Summary'!$C$74:BV$74,"",$H9:CA9)),0)</f>
        <v>0</v>
      </c>
      <c r="CI9" s="1286">
        <f t="shared" si="9"/>
        <v>0</v>
      </c>
      <c r="CK9" s="1277">
        <f>IF($F9=Miscellaneous!$N$7,SUM($H9:CA9),0)</f>
        <v>0</v>
      </c>
      <c r="CL9" s="1277">
        <f>IF($F9=Miscellaneous!$N$7,IF($G9="Opex",SUMIF('Monthly Summary'!$C$75:BV$75,"",$H9:CA9),SUMIF('Monthly Summary'!$C$74:BV$74,"",$H9:CA9)),0)</f>
        <v>0</v>
      </c>
      <c r="CM9" s="1286">
        <f t="shared" si="10"/>
        <v>0</v>
      </c>
      <c r="CO9" s="1277">
        <f>IF($F9=Miscellaneous!$N$6,SUM($H9:CA9),0)</f>
        <v>0</v>
      </c>
      <c r="CP9" s="1277">
        <f>IF($F9=Miscellaneous!$N$6,IF($G9="Opex",SUMIF('Monthly Summary'!$C$75:BV$75,"",$H9:CA9),SUMIF('Monthly Summary'!$C$74:BV$74,"",$H9:CA9)),0)</f>
        <v>0</v>
      </c>
      <c r="CQ9" s="1286">
        <f t="shared" si="11"/>
        <v>0</v>
      </c>
      <c r="CS9" s="1277">
        <f>IF($A9="Software",SUM($H9:CA9),0)</f>
        <v>0</v>
      </c>
      <c r="CT9" s="1277">
        <f>IF($A9="Software",IF($G9="Opex",SUMIF('Monthly Summary'!$C$75:BV$75,"",$H9:CA9),SUMIF('Monthly Summary'!$C$74:BV$74,"",$H9:CA9)),0)</f>
        <v>0</v>
      </c>
      <c r="CU9" s="1286">
        <f t="shared" si="12"/>
        <v>0</v>
      </c>
      <c r="CW9" s="1277">
        <f t="shared" si="0"/>
        <v>0</v>
      </c>
      <c r="CX9" s="1277">
        <f t="shared" si="1"/>
        <v>0</v>
      </c>
      <c r="CY9" s="1286">
        <f t="shared" si="13"/>
        <v>0</v>
      </c>
      <c r="DA9" s="1286">
        <f>IF($G9="Opex",SUMIF('Monthly Summary'!$C$75:BV$75,"",$H9:CA9),SUMIF('Monthly Summary'!$C$74:BV$74,"",$H9:CA9))</f>
        <v>0</v>
      </c>
      <c r="DB9" s="1278">
        <f t="shared" si="2"/>
        <v>0</v>
      </c>
      <c r="DC9" s="1279">
        <f>IF(AND(OR($D9=Variables!A$38,$D9=Variables!A$43),$F9&lt;&gt;"N/A"),1,0)</f>
        <v>0</v>
      </c>
      <c r="DD9" s="820"/>
      <c r="DE9" s="1281" t="str">
        <f t="shared" si="3"/>
        <v/>
      </c>
      <c r="DF9" s="1282" t="str">
        <f t="shared" si="4"/>
        <v/>
      </c>
      <c r="DG9" s="1282" t="str">
        <f t="shared" si="5"/>
        <v/>
      </c>
      <c r="DH9" s="1282" t="str">
        <f>IF(ISNA(VLOOKUP(DE9,Miscellaneous!E:F,2,0)),"",VLOOKUP(DE9,Miscellaneous!E:F,2,0))</f>
        <v/>
      </c>
      <c r="DI9" s="1282" t="str">
        <f t="shared" si="6"/>
        <v/>
      </c>
      <c r="DJ9" s="1283">
        <f>IF($DI9="Opex",SUMIF('Monthly Summary'!$C$75:$N$75,"",H9:S9),SUMIF('Monthly Summary'!$C$74:$N$74,"",H9:S9))</f>
        <v>0</v>
      </c>
      <c r="DK9" s="1283">
        <f>IF($DI9="Opex",SUMIF('Monthly Summary'!$O$75:$Z$75,"",T9:AE9),SUMIF('Monthly Summary'!$O$74:$Z$74,"",T9:AE9))</f>
        <v>0</v>
      </c>
      <c r="DL9" s="1283">
        <f>IF($DI9="Opex",SUMIF('Monthly Summary'!$AA$75:$AL$75,"",AF9:AQ9),SUMIF('Monthly Summary'!$AA$74:$AL$74,"",AF9:AQ9))</f>
        <v>0</v>
      </c>
      <c r="DM9" s="1283">
        <f>IF($DI9="Opex",SUMIF('Monthly Summary'!$AM$75:$AX$75,"",AR9:BC9),SUMIF('Monthly Summary'!$AM$74:$AX$74,"",AR9:BC9))</f>
        <v>0</v>
      </c>
      <c r="DN9" s="1283">
        <f>IF($DI9="Opex",SUMIF('Monthly Summary'!$AY$75:$BJ$75,"",BD9:BO9),SUMIF('Monthly Summary'!$AY$74:$BJ$74,"",BD9:BO9))</f>
        <v>0</v>
      </c>
      <c r="DO9" s="1284">
        <f>IF($DI9="Opex",SUMIF('Monthly Summary'!$BK$75:$BV$75,"",BP9:CA9),SUMIF('Monthly Summary'!$BK$74:$BV$74,"",BP9:CA9))</f>
        <v>0</v>
      </c>
      <c r="DP9" s="1285">
        <f t="shared" si="14"/>
        <v>0</v>
      </c>
    </row>
    <row r="10" spans="1:120">
      <c r="A10" s="1261"/>
      <c r="B10" s="1261"/>
      <c r="C10" s="1261"/>
      <c r="D10" s="1262"/>
      <c r="E10" s="1263"/>
      <c r="F10" s="1263"/>
      <c r="G10" s="1263"/>
      <c r="H10" s="1267"/>
      <c r="I10" s="1268"/>
      <c r="J10" s="1268"/>
      <c r="K10" s="1268"/>
      <c r="L10" s="1268"/>
      <c r="M10" s="1268"/>
      <c r="N10" s="1268"/>
      <c r="O10" s="1268"/>
      <c r="P10" s="1268"/>
      <c r="Q10" s="1268"/>
      <c r="R10" s="1268"/>
      <c r="S10" s="1269"/>
      <c r="T10" s="1267"/>
      <c r="U10" s="1268"/>
      <c r="V10" s="1268"/>
      <c r="W10" s="1268"/>
      <c r="X10" s="1268"/>
      <c r="Y10" s="1268"/>
      <c r="Z10" s="1268"/>
      <c r="AA10" s="1268"/>
      <c r="AB10" s="1268"/>
      <c r="AC10" s="1268"/>
      <c r="AD10" s="1268"/>
      <c r="AE10" s="1269"/>
      <c r="AF10" s="1267"/>
      <c r="AG10" s="1268"/>
      <c r="AH10" s="1268"/>
      <c r="AI10" s="1268"/>
      <c r="AJ10" s="1268"/>
      <c r="AK10" s="1268"/>
      <c r="AL10" s="1268"/>
      <c r="AM10" s="1268"/>
      <c r="AN10" s="1268"/>
      <c r="AO10" s="1268"/>
      <c r="AP10" s="1268"/>
      <c r="AQ10" s="1269"/>
      <c r="AR10" s="1267"/>
      <c r="AS10" s="1268"/>
      <c r="AT10" s="1268"/>
      <c r="AU10" s="1268"/>
      <c r="AV10" s="1268"/>
      <c r="AW10" s="1268"/>
      <c r="AX10" s="1268"/>
      <c r="AY10" s="1268"/>
      <c r="AZ10" s="1268"/>
      <c r="BA10" s="1268"/>
      <c r="BB10" s="1268"/>
      <c r="BC10" s="1269"/>
      <c r="BD10" s="1267"/>
      <c r="BE10" s="1268"/>
      <c r="BF10" s="1268"/>
      <c r="BG10" s="1268"/>
      <c r="BH10" s="1268"/>
      <c r="BI10" s="1268"/>
      <c r="BJ10" s="1268"/>
      <c r="BK10" s="1268"/>
      <c r="BL10" s="1268"/>
      <c r="BM10" s="1268"/>
      <c r="BN10" s="1268"/>
      <c r="BO10" s="1269"/>
      <c r="BP10" s="1267"/>
      <c r="BQ10" s="1268"/>
      <c r="BR10" s="1268"/>
      <c r="BS10" s="1268"/>
      <c r="BT10" s="1268"/>
      <c r="BU10" s="1268"/>
      <c r="BV10" s="1268"/>
      <c r="BW10" s="1268"/>
      <c r="BX10" s="1268"/>
      <c r="BY10" s="1268"/>
      <c r="BZ10" s="1268"/>
      <c r="CA10" s="1269"/>
      <c r="CB10" s="1286">
        <f t="shared" si="7"/>
        <v>0</v>
      </c>
      <c r="CC10" s="1277">
        <f>IF($F10=Miscellaneous!$N$8,SUM($H10:CA10),0)</f>
        <v>0</v>
      </c>
      <c r="CD10" s="1277">
        <f>IF($F10=Miscellaneous!$N$8,IF($G10="Opex",SUMIF('Monthly Summary'!$C$75:BV$75,"",$H10:CA10),SUMIF('Monthly Summary'!$C$74:BV$74,"",$H10:CA10)),0)</f>
        <v>0</v>
      </c>
      <c r="CE10" s="1286">
        <f t="shared" si="8"/>
        <v>0</v>
      </c>
      <c r="CG10" s="1277">
        <f>IF($F10=Miscellaneous!$N$9,SUM($H10:CA10),0)</f>
        <v>0</v>
      </c>
      <c r="CH10" s="1277">
        <f>IF($F10=Miscellaneous!$N$9,IF($G10="Opex",SUMIF('Monthly Summary'!$C$75:BV$75,"",$H10:CA10),SUMIF('Monthly Summary'!$C$74:BV$74,"",$H10:CA10)),0)</f>
        <v>0</v>
      </c>
      <c r="CI10" s="1286">
        <f t="shared" si="9"/>
        <v>0</v>
      </c>
      <c r="CK10" s="1277">
        <f>IF($F10=Miscellaneous!$N$7,SUM($H10:CA10),0)</f>
        <v>0</v>
      </c>
      <c r="CL10" s="1277">
        <f>IF($F10=Miscellaneous!$N$7,IF($G10="Opex",SUMIF('Monthly Summary'!$C$75:BV$75,"",$H10:CA10),SUMIF('Monthly Summary'!$C$74:BV$74,"",$H10:CA10)),0)</f>
        <v>0</v>
      </c>
      <c r="CM10" s="1286">
        <f t="shared" si="10"/>
        <v>0</v>
      </c>
      <c r="CO10" s="1277">
        <f>IF($F10=Miscellaneous!$N$6,SUM($H10:CA10),0)</f>
        <v>0</v>
      </c>
      <c r="CP10" s="1277">
        <f>IF($F10=Miscellaneous!$N$6,IF($G10="Opex",SUMIF('Monthly Summary'!$C$75:BV$75,"",$H10:CA10),SUMIF('Monthly Summary'!$C$74:BV$74,"",$H10:CA10)),0)</f>
        <v>0</v>
      </c>
      <c r="CQ10" s="1286">
        <f t="shared" si="11"/>
        <v>0</v>
      </c>
      <c r="CS10" s="1277">
        <f>IF($A10="Software",SUM($H10:CA10),0)</f>
        <v>0</v>
      </c>
      <c r="CT10" s="1277">
        <f>IF($A10="Software",IF($G10="Opex",SUMIF('Monthly Summary'!$C$75:BV$75,"",$H10:CA10),SUMIF('Monthly Summary'!$C$74:BV$74,"",$H10:CA10)),0)</f>
        <v>0</v>
      </c>
      <c r="CU10" s="1286">
        <f t="shared" si="12"/>
        <v>0</v>
      </c>
      <c r="CW10" s="1277">
        <f t="shared" si="0"/>
        <v>0</v>
      </c>
      <c r="CX10" s="1277">
        <f t="shared" si="1"/>
        <v>0</v>
      </c>
      <c r="CY10" s="1286">
        <f t="shared" si="13"/>
        <v>0</v>
      </c>
      <c r="DA10" s="1286">
        <f>IF($G10="Opex",SUMIF('Monthly Summary'!$C$75:BV$75,"",$H10:CA10),SUMIF('Monthly Summary'!$C$74:BV$74,"",$H10:CA10))</f>
        <v>0</v>
      </c>
      <c r="DB10" s="1278">
        <f t="shared" si="2"/>
        <v>0</v>
      </c>
      <c r="DC10" s="1279">
        <f>IF(AND(OR($D10=Variables!A$38,$D10=Variables!A$43),$F10&lt;&gt;"N/A"),1,0)</f>
        <v>0</v>
      </c>
      <c r="DD10" s="820"/>
      <c r="DE10" s="1281" t="str">
        <f t="shared" si="3"/>
        <v/>
      </c>
      <c r="DF10" s="1282" t="str">
        <f t="shared" si="4"/>
        <v/>
      </c>
      <c r="DG10" s="1282" t="str">
        <f t="shared" si="5"/>
        <v/>
      </c>
      <c r="DH10" s="1282" t="str">
        <f>IF(ISNA(VLOOKUP(DE10,Miscellaneous!E:F,2,0)),"",VLOOKUP(DE10,Miscellaneous!E:F,2,0))</f>
        <v/>
      </c>
      <c r="DI10" s="1282" t="str">
        <f t="shared" si="6"/>
        <v/>
      </c>
      <c r="DJ10" s="1283">
        <f>IF($DI10="Opex",SUMIF('Monthly Summary'!$C$75:$N$75,"",H10:S10),SUMIF('Monthly Summary'!$C$74:$N$74,"",H10:S10))</f>
        <v>0</v>
      </c>
      <c r="DK10" s="1283">
        <f>IF($DI10="Opex",SUMIF('Monthly Summary'!$O$75:$Z$75,"",T10:AE10),SUMIF('Monthly Summary'!$O$74:$Z$74,"",T10:AE10))</f>
        <v>0</v>
      </c>
      <c r="DL10" s="1283">
        <f>IF($DI10="Opex",SUMIF('Monthly Summary'!$AA$75:$AL$75,"",AF10:AQ10),SUMIF('Monthly Summary'!$AA$74:$AL$74,"",AF10:AQ10))</f>
        <v>0</v>
      </c>
      <c r="DM10" s="1283">
        <f>IF($DI10="Opex",SUMIF('Monthly Summary'!$AM$75:$AX$75,"",AR10:BC10),SUMIF('Monthly Summary'!$AM$74:$AX$74,"",AR10:BC10))</f>
        <v>0</v>
      </c>
      <c r="DN10" s="1283">
        <f>IF($DI10="Opex",SUMIF('Monthly Summary'!$AY$75:$BJ$75,"",BD10:BO10),SUMIF('Monthly Summary'!$AY$74:$BJ$74,"",BD10:BO10))</f>
        <v>0</v>
      </c>
      <c r="DO10" s="1284">
        <f>IF($DI10="Opex",SUMIF('Monthly Summary'!$BK$75:$BV$75,"",BP10:CA10),SUMIF('Monthly Summary'!$BK$74:$BV$74,"",BP10:CA10))</f>
        <v>0</v>
      </c>
      <c r="DP10" s="1285">
        <f t="shared" si="14"/>
        <v>0</v>
      </c>
    </row>
    <row r="11" spans="1:120" s="809" customFormat="1">
      <c r="A11" s="1261"/>
      <c r="B11" s="1261"/>
      <c r="C11" s="1261"/>
      <c r="D11" s="1262"/>
      <c r="E11" s="1263"/>
      <c r="F11" s="1263"/>
      <c r="G11" s="1263"/>
      <c r="H11" s="1267"/>
      <c r="I11" s="1268"/>
      <c r="J11" s="1268"/>
      <c r="K11" s="1268"/>
      <c r="L11" s="1268"/>
      <c r="M11" s="1268"/>
      <c r="N11" s="1268"/>
      <c r="O11" s="1268"/>
      <c r="P11" s="1268"/>
      <c r="Q11" s="1268"/>
      <c r="R11" s="1268"/>
      <c r="S11" s="1269"/>
      <c r="T11" s="1267"/>
      <c r="U11" s="1268"/>
      <c r="V11" s="1268"/>
      <c r="W11" s="1268"/>
      <c r="X11" s="1268"/>
      <c r="Y11" s="1268"/>
      <c r="Z11" s="1268"/>
      <c r="AA11" s="1268"/>
      <c r="AB11" s="1268"/>
      <c r="AC11" s="1268"/>
      <c r="AD11" s="1268"/>
      <c r="AE11" s="1269"/>
      <c r="AF11" s="1267"/>
      <c r="AG11" s="1268"/>
      <c r="AH11" s="1268"/>
      <c r="AI11" s="1268"/>
      <c r="AJ11" s="1268"/>
      <c r="AK11" s="1268"/>
      <c r="AL11" s="1268"/>
      <c r="AM11" s="1268"/>
      <c r="AN11" s="1268"/>
      <c r="AO11" s="1268"/>
      <c r="AP11" s="1268"/>
      <c r="AQ11" s="1269"/>
      <c r="AR11" s="1267"/>
      <c r="AS11" s="1268"/>
      <c r="AT11" s="1268"/>
      <c r="AU11" s="1268"/>
      <c r="AV11" s="1268"/>
      <c r="AW11" s="1268"/>
      <c r="AX11" s="1268"/>
      <c r="AY11" s="1268"/>
      <c r="AZ11" s="1268"/>
      <c r="BA11" s="1268"/>
      <c r="BB11" s="1268"/>
      <c r="BC11" s="1269"/>
      <c r="BD11" s="1267"/>
      <c r="BE11" s="1268"/>
      <c r="BF11" s="1268"/>
      <c r="BG11" s="1268"/>
      <c r="BH11" s="1268"/>
      <c r="BI11" s="1268"/>
      <c r="BJ11" s="1268"/>
      <c r="BK11" s="1268"/>
      <c r="BL11" s="1268"/>
      <c r="BM11" s="1268"/>
      <c r="BN11" s="1268"/>
      <c r="BO11" s="1269"/>
      <c r="BP11" s="1267"/>
      <c r="BQ11" s="1268"/>
      <c r="BR11" s="1268"/>
      <c r="BS11" s="1268"/>
      <c r="BT11" s="1268"/>
      <c r="BU11" s="1268"/>
      <c r="BV11" s="1268"/>
      <c r="BW11" s="1268"/>
      <c r="BX11" s="1268"/>
      <c r="BY11" s="1268"/>
      <c r="BZ11" s="1268"/>
      <c r="CA11" s="1269"/>
      <c r="CB11" s="1277">
        <f t="shared" si="7"/>
        <v>0</v>
      </c>
      <c r="CC11" s="1277">
        <f>IF($F11=Miscellaneous!$N$8,SUM($H11:CA11),0)</f>
        <v>0</v>
      </c>
      <c r="CD11" s="1277">
        <f>IF($F11=Miscellaneous!$N$8,IF($G11="Opex",SUMIF('Monthly Summary'!$C$75:BV$75,"",$H11:CA11),SUMIF('Monthly Summary'!$C$74:BV$74,"",$H11:CA11)),0)</f>
        <v>0</v>
      </c>
      <c r="CE11" s="1277">
        <f t="shared" si="8"/>
        <v>0</v>
      </c>
      <c r="CF11" s="833"/>
      <c r="CG11" s="1277">
        <f>IF($F11=Miscellaneous!$N$9,SUM($H11:CA11),0)</f>
        <v>0</v>
      </c>
      <c r="CH11" s="1277">
        <f>IF($F11=Miscellaneous!$N$9,IF($G11="Opex",SUMIF('Monthly Summary'!$C$75:BV$75,"",$H11:CA11),SUMIF('Monthly Summary'!$C$74:BV$74,"",$H11:CA11)),0)</f>
        <v>0</v>
      </c>
      <c r="CI11" s="1277">
        <f t="shared" si="9"/>
        <v>0</v>
      </c>
      <c r="CJ11" s="833"/>
      <c r="CK11" s="1277">
        <f>IF($F11=Miscellaneous!$N$7,SUM($H11:CA11),0)</f>
        <v>0</v>
      </c>
      <c r="CL11" s="1277">
        <f>IF($F11=Miscellaneous!$N$7,IF($G11="Opex",SUMIF('Monthly Summary'!$C$75:BV$75,"",$H11:CA11),SUMIF('Monthly Summary'!$C$74:BV$74,"",$H11:CA11)),0)</f>
        <v>0</v>
      </c>
      <c r="CM11" s="1277">
        <f t="shared" si="10"/>
        <v>0</v>
      </c>
      <c r="CN11" s="833"/>
      <c r="CO11" s="1277">
        <f>IF($F11=Miscellaneous!$N$6,SUM($H11:CA11),0)</f>
        <v>0</v>
      </c>
      <c r="CP11" s="1277">
        <f>IF($F11=Miscellaneous!$N$6,IF($G11="Opex",SUMIF('Monthly Summary'!$C$75:BV$75,"",$H11:CA11),SUMIF('Monthly Summary'!$C$74:BV$74,"",$H11:CA11)),0)</f>
        <v>0</v>
      </c>
      <c r="CQ11" s="1277">
        <f t="shared" si="11"/>
        <v>0</v>
      </c>
      <c r="CR11" s="833"/>
      <c r="CS11" s="1277">
        <f>IF($A11="Software",SUM($H11:CA11),0)</f>
        <v>0</v>
      </c>
      <c r="CT11" s="1277">
        <f>IF($A11="Software",IF($G11="Opex",SUMIF('Monthly Summary'!$C$75:BV$75,"",$H11:CA11),SUMIF('Monthly Summary'!$C$74:BV$74,"",$H11:CA11)),0)</f>
        <v>0</v>
      </c>
      <c r="CU11" s="1277">
        <f t="shared" si="12"/>
        <v>0</v>
      </c>
      <c r="CV11" s="833"/>
      <c r="CW11" s="1277">
        <f t="shared" si="0"/>
        <v>0</v>
      </c>
      <c r="CX11" s="1277">
        <f t="shared" si="1"/>
        <v>0</v>
      </c>
      <c r="CY11" s="1277">
        <f t="shared" si="13"/>
        <v>0</v>
      </c>
      <c r="CZ11" s="833"/>
      <c r="DA11" s="1277">
        <f>IF($G11="Opex",SUMIF('Monthly Summary'!$C$75:BV$75,"",$H11:CA11),SUMIF('Monthly Summary'!$C$74:BV$74,"",$H11:CA11))</f>
        <v>0</v>
      </c>
      <c r="DB11" s="1278">
        <f t="shared" si="2"/>
        <v>0</v>
      </c>
      <c r="DC11" s="1279">
        <f>IF(AND(OR($D11=Variables!A$38,$D11=Variables!A$43),$F11&lt;&gt;"N/A"),1,0)</f>
        <v>0</v>
      </c>
      <c r="DD11" s="1280"/>
      <c r="DE11" s="1281" t="str">
        <f t="shared" si="3"/>
        <v/>
      </c>
      <c r="DF11" s="1282" t="str">
        <f t="shared" si="4"/>
        <v/>
      </c>
      <c r="DG11" s="1282" t="str">
        <f t="shared" si="5"/>
        <v/>
      </c>
      <c r="DH11" s="1282" t="str">
        <f>IF(ISNA(VLOOKUP(DE11,Miscellaneous!E:F,2,0)),"",VLOOKUP(DE11,Miscellaneous!E:F,2,0))</f>
        <v/>
      </c>
      <c r="DI11" s="1282" t="str">
        <f t="shared" si="6"/>
        <v/>
      </c>
      <c r="DJ11" s="1283">
        <f>IF($DI11="Opex",SUMIF('Monthly Summary'!$C$75:$N$75,"",H11:S11),SUMIF('Monthly Summary'!$C$74:$N$74,"",H11:S11))</f>
        <v>0</v>
      </c>
      <c r="DK11" s="1283">
        <f>IF($DI11="Opex",SUMIF('Monthly Summary'!$O$75:$Z$75,"",T11:AE11),SUMIF('Monthly Summary'!$O$74:$Z$74,"",T11:AE11))</f>
        <v>0</v>
      </c>
      <c r="DL11" s="1283">
        <f>IF($DI11="Opex",SUMIF('Monthly Summary'!$AA$75:$AL$75,"",AF11:AQ11),SUMIF('Monthly Summary'!$AA$74:$AL$74,"",AF11:AQ11))</f>
        <v>0</v>
      </c>
      <c r="DM11" s="1283">
        <f>IF($DI11="Opex",SUMIF('Monthly Summary'!$AM$75:$AX$75,"",AR11:BC11),SUMIF('Monthly Summary'!$AM$74:$AX$74,"",AR11:BC11))</f>
        <v>0</v>
      </c>
      <c r="DN11" s="1283">
        <f>IF($DI11="Opex",SUMIF('Monthly Summary'!$AY$75:$BJ$75,"",BD11:BO11),SUMIF('Monthly Summary'!$AY$74:$BJ$74,"",BD11:BO11))</f>
        <v>0</v>
      </c>
      <c r="DO11" s="1284">
        <f>IF($DI11="Opex",SUMIF('Monthly Summary'!$BK$75:$BV$75,"",BP11:CA11),SUMIF('Monthly Summary'!$BK$74:$BV$74,"",BP11:CA11))</f>
        <v>0</v>
      </c>
      <c r="DP11" s="1285">
        <f t="shared" si="14"/>
        <v>0</v>
      </c>
    </row>
    <row r="12" spans="1:120">
      <c r="A12" s="1261"/>
      <c r="B12" s="1261"/>
      <c r="C12" s="1261"/>
      <c r="D12" s="1262"/>
      <c r="E12" s="1263"/>
      <c r="F12" s="1263"/>
      <c r="G12" s="1263"/>
      <c r="H12" s="1267"/>
      <c r="I12" s="1268"/>
      <c r="J12" s="1268"/>
      <c r="K12" s="1268"/>
      <c r="L12" s="1268"/>
      <c r="M12" s="1268"/>
      <c r="N12" s="1268"/>
      <c r="O12" s="1268"/>
      <c r="P12" s="1268"/>
      <c r="Q12" s="1268"/>
      <c r="R12" s="1268"/>
      <c r="S12" s="1269"/>
      <c r="T12" s="1267"/>
      <c r="U12" s="1268"/>
      <c r="V12" s="1268"/>
      <c r="W12" s="1268"/>
      <c r="X12" s="1268"/>
      <c r="Y12" s="1268"/>
      <c r="Z12" s="1268"/>
      <c r="AA12" s="1268"/>
      <c r="AB12" s="1268"/>
      <c r="AC12" s="1268"/>
      <c r="AD12" s="1268"/>
      <c r="AE12" s="1269"/>
      <c r="AF12" s="1267"/>
      <c r="AG12" s="1268"/>
      <c r="AH12" s="1268"/>
      <c r="AI12" s="1268"/>
      <c r="AJ12" s="1268"/>
      <c r="AK12" s="1268"/>
      <c r="AL12" s="1268"/>
      <c r="AM12" s="1268"/>
      <c r="AN12" s="1268"/>
      <c r="AO12" s="1268"/>
      <c r="AP12" s="1268"/>
      <c r="AQ12" s="1269"/>
      <c r="AR12" s="1267"/>
      <c r="AS12" s="1268"/>
      <c r="AT12" s="1268"/>
      <c r="AU12" s="1268"/>
      <c r="AV12" s="1268"/>
      <c r="AW12" s="1268"/>
      <c r="AX12" s="1268"/>
      <c r="AY12" s="1268"/>
      <c r="AZ12" s="1268"/>
      <c r="BA12" s="1268"/>
      <c r="BB12" s="1268"/>
      <c r="BC12" s="1269"/>
      <c r="BD12" s="1267"/>
      <c r="BE12" s="1268"/>
      <c r="BF12" s="1268"/>
      <c r="BG12" s="1268"/>
      <c r="BH12" s="1268"/>
      <c r="BI12" s="1268"/>
      <c r="BJ12" s="1268"/>
      <c r="BK12" s="1268"/>
      <c r="BL12" s="1268"/>
      <c r="BM12" s="1268"/>
      <c r="BN12" s="1268"/>
      <c r="BO12" s="1269"/>
      <c r="BP12" s="1267"/>
      <c r="BQ12" s="1268"/>
      <c r="BR12" s="1268"/>
      <c r="BS12" s="1268"/>
      <c r="BT12" s="1268"/>
      <c r="BU12" s="1268"/>
      <c r="BV12" s="1268"/>
      <c r="BW12" s="1268"/>
      <c r="BX12" s="1268"/>
      <c r="BY12" s="1268"/>
      <c r="BZ12" s="1268"/>
      <c r="CA12" s="1269"/>
      <c r="CB12" s="1286">
        <f t="shared" si="7"/>
        <v>0</v>
      </c>
      <c r="CC12" s="1277">
        <f>IF($F12=Miscellaneous!$N$8,SUM($H12:CA12),0)</f>
        <v>0</v>
      </c>
      <c r="CD12" s="1277">
        <f>IF($F12=Miscellaneous!$N$8,IF($G12="Opex",SUMIF('Monthly Summary'!$C$75:BV$75,"",$H12:CA12),SUMIF('Monthly Summary'!$C$74:BV$74,"",$H12:CA12)),0)</f>
        <v>0</v>
      </c>
      <c r="CE12" s="1286">
        <f t="shared" si="8"/>
        <v>0</v>
      </c>
      <c r="CG12" s="1277">
        <f>IF($F12=Miscellaneous!$N$9,SUM($H12:CA12),0)</f>
        <v>0</v>
      </c>
      <c r="CH12" s="1277">
        <f>IF($F12=Miscellaneous!$N$9,IF($G12="Opex",SUMIF('Monthly Summary'!$C$75:BV$75,"",$H12:CA12),SUMIF('Monthly Summary'!$C$74:BV$74,"",$H12:CA12)),0)</f>
        <v>0</v>
      </c>
      <c r="CI12" s="1286">
        <f t="shared" si="9"/>
        <v>0</v>
      </c>
      <c r="CK12" s="1277">
        <f>IF($F12=Miscellaneous!$N$7,SUM($H12:CA12),0)</f>
        <v>0</v>
      </c>
      <c r="CL12" s="1277">
        <f>IF($F12=Miscellaneous!$N$7,IF($G12="Opex",SUMIF('Monthly Summary'!$C$75:BV$75,"",$H12:CA12),SUMIF('Monthly Summary'!$C$74:BV$74,"",$H12:CA12)),0)</f>
        <v>0</v>
      </c>
      <c r="CM12" s="1286">
        <f t="shared" si="10"/>
        <v>0</v>
      </c>
      <c r="CO12" s="1277">
        <f>IF($F12=Miscellaneous!$N$6,SUM($H12:CA12),0)</f>
        <v>0</v>
      </c>
      <c r="CP12" s="1277">
        <f>IF($F12=Miscellaneous!$N$6,IF($G12="Opex",SUMIF('Monthly Summary'!$C$75:BV$75,"",$H12:CA12),SUMIF('Monthly Summary'!$C$74:BV$74,"",$H12:CA12)),0)</f>
        <v>0</v>
      </c>
      <c r="CQ12" s="1286">
        <f t="shared" si="11"/>
        <v>0</v>
      </c>
      <c r="CS12" s="1277">
        <f>IF($A12="Software",SUM($H12:CA12),0)</f>
        <v>0</v>
      </c>
      <c r="CT12" s="1277">
        <f>IF($A12="Software",IF($G12="Opex",SUMIF('Monthly Summary'!$C$75:BV$75,"",$H12:CA12),SUMIF('Monthly Summary'!$C$74:BV$74,"",$H12:CA12)),0)</f>
        <v>0</v>
      </c>
      <c r="CU12" s="1286">
        <f t="shared" si="12"/>
        <v>0</v>
      </c>
      <c r="CW12" s="1277">
        <f t="shared" si="0"/>
        <v>0</v>
      </c>
      <c r="CX12" s="1277">
        <f t="shared" si="1"/>
        <v>0</v>
      </c>
      <c r="CY12" s="1286">
        <f t="shared" si="13"/>
        <v>0</v>
      </c>
      <c r="DA12" s="1286">
        <f>IF($G12="Opex",SUMIF('Monthly Summary'!$C$75:BV$75,"",$H12:CA12),SUMIF('Monthly Summary'!$C$74:BV$74,"",$H12:CA12))</f>
        <v>0</v>
      </c>
      <c r="DB12" s="1278">
        <f t="shared" si="2"/>
        <v>0</v>
      </c>
      <c r="DC12" s="1279">
        <f>IF(AND(OR($D12=Variables!A$38,$D12=Variables!A$43),$F12&lt;&gt;"N/A"),1,0)</f>
        <v>0</v>
      </c>
      <c r="DD12" s="820"/>
      <c r="DE12" s="1281" t="str">
        <f t="shared" si="3"/>
        <v/>
      </c>
      <c r="DF12" s="1282" t="str">
        <f t="shared" si="4"/>
        <v/>
      </c>
      <c r="DG12" s="1282" t="str">
        <f t="shared" si="5"/>
        <v/>
      </c>
      <c r="DH12" s="1282" t="str">
        <f>IF(ISNA(VLOOKUP(DE12,Miscellaneous!E:F,2,0)),"",VLOOKUP(DE12,Miscellaneous!E:F,2,0))</f>
        <v/>
      </c>
      <c r="DI12" s="1282" t="str">
        <f t="shared" si="6"/>
        <v/>
      </c>
      <c r="DJ12" s="1283">
        <f>IF($DI12="Opex",SUMIF('Monthly Summary'!$C$75:$N$75,"",H12:S12),SUMIF('Monthly Summary'!$C$74:$N$74,"",H12:S12))</f>
        <v>0</v>
      </c>
      <c r="DK12" s="1283">
        <f>IF($DI12="Opex",SUMIF('Monthly Summary'!$O$75:$Z$75,"",T12:AE12),SUMIF('Monthly Summary'!$O$74:$Z$74,"",T12:AE12))</f>
        <v>0</v>
      </c>
      <c r="DL12" s="1283">
        <f>IF($DI12="Opex",SUMIF('Monthly Summary'!$AA$75:$AL$75,"",AF12:AQ12),SUMIF('Monthly Summary'!$AA$74:$AL$74,"",AF12:AQ12))</f>
        <v>0</v>
      </c>
      <c r="DM12" s="1283">
        <f>IF($DI12="Opex",SUMIF('Monthly Summary'!$AM$75:$AX$75,"",AR12:BC12),SUMIF('Monthly Summary'!$AM$74:$AX$74,"",AR12:BC12))</f>
        <v>0</v>
      </c>
      <c r="DN12" s="1283">
        <f>IF($DI12="Opex",SUMIF('Monthly Summary'!$AY$75:$BJ$75,"",BD12:BO12),SUMIF('Monthly Summary'!$AY$74:$BJ$74,"",BD12:BO12))</f>
        <v>0</v>
      </c>
      <c r="DO12" s="1284">
        <f>IF($DI12="Opex",SUMIF('Monthly Summary'!$BK$75:$BV$75,"",BP12:CA12),SUMIF('Monthly Summary'!$BK$74:$BV$74,"",BP12:CA12))</f>
        <v>0</v>
      </c>
      <c r="DP12" s="1285">
        <f t="shared" si="14"/>
        <v>0</v>
      </c>
    </row>
    <row r="13" spans="1:120">
      <c r="A13" s="1261"/>
      <c r="B13" s="1261"/>
      <c r="C13" s="1261"/>
      <c r="D13" s="1262"/>
      <c r="E13" s="1263"/>
      <c r="F13" s="1263"/>
      <c r="G13" s="1263"/>
      <c r="H13" s="1267"/>
      <c r="I13" s="1268"/>
      <c r="J13" s="1268"/>
      <c r="K13" s="1268"/>
      <c r="L13" s="1268"/>
      <c r="M13" s="1268"/>
      <c r="N13" s="1268"/>
      <c r="O13" s="1268"/>
      <c r="P13" s="1268"/>
      <c r="Q13" s="1268"/>
      <c r="R13" s="1268"/>
      <c r="S13" s="1269"/>
      <c r="T13" s="1267"/>
      <c r="U13" s="1268"/>
      <c r="V13" s="1268"/>
      <c r="W13" s="1268"/>
      <c r="X13" s="1268"/>
      <c r="Y13" s="1268"/>
      <c r="Z13" s="1268"/>
      <c r="AA13" s="1268"/>
      <c r="AB13" s="1268"/>
      <c r="AC13" s="1268"/>
      <c r="AD13" s="1268"/>
      <c r="AE13" s="1269"/>
      <c r="AF13" s="1267"/>
      <c r="AG13" s="1268"/>
      <c r="AH13" s="1268"/>
      <c r="AI13" s="1268"/>
      <c r="AJ13" s="1268"/>
      <c r="AK13" s="1268"/>
      <c r="AL13" s="1268"/>
      <c r="AM13" s="1268"/>
      <c r="AN13" s="1268"/>
      <c r="AO13" s="1268"/>
      <c r="AP13" s="1268"/>
      <c r="AQ13" s="1269"/>
      <c r="AR13" s="1267"/>
      <c r="AS13" s="1268"/>
      <c r="AT13" s="1268"/>
      <c r="AU13" s="1268"/>
      <c r="AV13" s="1268"/>
      <c r="AW13" s="1268"/>
      <c r="AX13" s="1268"/>
      <c r="AY13" s="1268"/>
      <c r="AZ13" s="1268"/>
      <c r="BA13" s="1268"/>
      <c r="BB13" s="1268"/>
      <c r="BC13" s="1269"/>
      <c r="BD13" s="1267"/>
      <c r="BE13" s="1268"/>
      <c r="BF13" s="1268"/>
      <c r="BG13" s="1268"/>
      <c r="BH13" s="1268"/>
      <c r="BI13" s="1268"/>
      <c r="BJ13" s="1268"/>
      <c r="BK13" s="1268"/>
      <c r="BL13" s="1268"/>
      <c r="BM13" s="1268"/>
      <c r="BN13" s="1268"/>
      <c r="BO13" s="1269"/>
      <c r="BP13" s="1267"/>
      <c r="BQ13" s="1268"/>
      <c r="BR13" s="1268"/>
      <c r="BS13" s="1268"/>
      <c r="BT13" s="1268"/>
      <c r="BU13" s="1268"/>
      <c r="BV13" s="1268"/>
      <c r="BW13" s="1268"/>
      <c r="BX13" s="1268"/>
      <c r="BY13" s="1268"/>
      <c r="BZ13" s="1268"/>
      <c r="CA13" s="1269"/>
      <c r="CB13" s="1286">
        <f t="shared" si="7"/>
        <v>0</v>
      </c>
      <c r="CC13" s="1277">
        <f>IF($F13=Miscellaneous!$N$8,SUM($H13:CA13),0)</f>
        <v>0</v>
      </c>
      <c r="CD13" s="1277">
        <f>IF($F13=Miscellaneous!$N$8,IF($G13="Opex",SUMIF('Monthly Summary'!$C$75:BV$75,"",$H13:CA13),SUMIF('Monthly Summary'!$C$74:BV$74,"",$H13:CA13)),0)</f>
        <v>0</v>
      </c>
      <c r="CE13" s="1286">
        <f t="shared" si="8"/>
        <v>0</v>
      </c>
      <c r="CG13" s="1277">
        <f>IF($F13=Miscellaneous!$N$9,SUM($H13:CA13),0)</f>
        <v>0</v>
      </c>
      <c r="CH13" s="1277">
        <f>IF($F13=Miscellaneous!$N$9,IF($G13="Opex",SUMIF('Monthly Summary'!$C$75:BV$75,"",$H13:CA13),SUMIF('Monthly Summary'!$C$74:BV$74,"",$H13:CA13)),0)</f>
        <v>0</v>
      </c>
      <c r="CI13" s="1286">
        <f t="shared" si="9"/>
        <v>0</v>
      </c>
      <c r="CK13" s="1277">
        <f>IF($F13=Miscellaneous!$N$7,SUM($H13:CA13),0)</f>
        <v>0</v>
      </c>
      <c r="CL13" s="1277">
        <f>IF($F13=Miscellaneous!$N$7,IF($G13="Opex",SUMIF('Monthly Summary'!$C$75:BV$75,"",$H13:CA13),SUMIF('Monthly Summary'!$C$74:BV$74,"",$H13:CA13)),0)</f>
        <v>0</v>
      </c>
      <c r="CM13" s="1286">
        <f t="shared" si="10"/>
        <v>0</v>
      </c>
      <c r="CO13" s="1277">
        <f>IF($F13=Miscellaneous!$N$6,SUM($H13:CA13),0)</f>
        <v>0</v>
      </c>
      <c r="CP13" s="1277">
        <f>IF($F13=Miscellaneous!$N$6,IF($G13="Opex",SUMIF('Monthly Summary'!$C$75:BV$75,"",$H13:CA13),SUMIF('Monthly Summary'!$C$74:BV$74,"",$H13:CA13)),0)</f>
        <v>0</v>
      </c>
      <c r="CQ13" s="1286">
        <f t="shared" si="11"/>
        <v>0</v>
      </c>
      <c r="CS13" s="1277">
        <f>IF($A13="Software",SUM($H13:CA13),0)</f>
        <v>0</v>
      </c>
      <c r="CT13" s="1277">
        <f>IF($A13="Software",IF($G13="Opex",SUMIF('Monthly Summary'!$C$75:BV$75,"",$H13:CA13),SUMIF('Monthly Summary'!$C$74:BV$74,"",$H13:CA13)),0)</f>
        <v>0</v>
      </c>
      <c r="CU13" s="1286">
        <f t="shared" si="12"/>
        <v>0</v>
      </c>
      <c r="CW13" s="1277">
        <f t="shared" si="0"/>
        <v>0</v>
      </c>
      <c r="CX13" s="1277">
        <f t="shared" si="1"/>
        <v>0</v>
      </c>
      <c r="CY13" s="1286">
        <f t="shared" si="13"/>
        <v>0</v>
      </c>
      <c r="DA13" s="1286">
        <f>IF($G13="Opex",SUMIF('Monthly Summary'!$C$75:BV$75,"",$H13:CA13),SUMIF('Monthly Summary'!$C$74:BV$74,"",$H13:CA13))</f>
        <v>0</v>
      </c>
      <c r="DB13" s="1278">
        <f t="shared" si="2"/>
        <v>0</v>
      </c>
      <c r="DC13" s="1279">
        <f>IF(AND(OR($D13=Variables!A$38,$D13=Variables!A$43),$F13&lt;&gt;"N/A"),1,0)</f>
        <v>0</v>
      </c>
      <c r="DD13" s="820"/>
      <c r="DE13" s="1281" t="str">
        <f>IF(ISBLANK(A13),"",A13)</f>
        <v/>
      </c>
      <c r="DF13" s="1282" t="str">
        <f>IF(ISBLANK(B13),"",B13)</f>
        <v/>
      </c>
      <c r="DG13" s="1282" t="str">
        <f>IF(ISBLANK(C13),"",C13)</f>
        <v/>
      </c>
      <c r="DH13" s="1282" t="str">
        <f>IF(ISNA(VLOOKUP(DE13,Miscellaneous!E:F,2,0)),"",VLOOKUP(DE13,Miscellaneous!E:F,2,0))</f>
        <v/>
      </c>
      <c r="DI13" s="1282" t="str">
        <f>IF(ISBLANK(G13),"",G13)</f>
        <v/>
      </c>
      <c r="DJ13" s="1283">
        <f>IF($DI13="Opex",SUMIF('Monthly Summary'!$C$75:$N$75,"",H13:S13),SUMIF('Monthly Summary'!$C$74:$N$74,"",H13:S13))</f>
        <v>0</v>
      </c>
      <c r="DK13" s="1283">
        <f>IF($DI13="Opex",SUMIF('Monthly Summary'!$O$75:$Z$75,"",T13:AE13),SUMIF('Monthly Summary'!$O$74:$Z$74,"",T13:AE13))</f>
        <v>0</v>
      </c>
      <c r="DL13" s="1283">
        <f>IF($DI13="Opex",SUMIF('Monthly Summary'!$AA$75:$AL$75,"",AF13:AQ13),SUMIF('Monthly Summary'!$AA$74:$AL$74,"",AF13:AQ13))</f>
        <v>0</v>
      </c>
      <c r="DM13" s="1283">
        <f>IF($DI13="Opex",SUMIF('Monthly Summary'!$AM$75:$AX$75,"",AR13:BC13),SUMIF('Monthly Summary'!$AM$74:$AX$74,"",AR13:BC13))</f>
        <v>0</v>
      </c>
      <c r="DN13" s="1283">
        <f>IF($DI13="Opex",SUMIF('Monthly Summary'!$AY$75:$BJ$75,"",BD13:BO13),SUMIF('Monthly Summary'!$AY$74:$BJ$74,"",BD13:BO13))</f>
        <v>0</v>
      </c>
      <c r="DO13" s="1284">
        <f>IF($DI13="Opex",SUMIF('Monthly Summary'!$BK$75:$BV$75,"",BP13:CA13),SUMIF('Monthly Summary'!$BK$74:$BV$74,"",BP13:CA13))</f>
        <v>0</v>
      </c>
      <c r="DP13" s="1285">
        <f t="shared" si="14"/>
        <v>0</v>
      </c>
    </row>
    <row r="14" spans="1:120" s="809" customFormat="1">
      <c r="A14" s="1261"/>
      <c r="B14" s="1261"/>
      <c r="C14" s="1261"/>
      <c r="D14" s="1262"/>
      <c r="E14" s="1263"/>
      <c r="F14" s="1263"/>
      <c r="G14" s="1263"/>
      <c r="H14" s="1267"/>
      <c r="I14" s="1268"/>
      <c r="J14" s="1268"/>
      <c r="K14" s="1268"/>
      <c r="L14" s="1268"/>
      <c r="M14" s="1268"/>
      <c r="N14" s="1268"/>
      <c r="O14" s="1268"/>
      <c r="P14" s="1268"/>
      <c r="Q14" s="1268"/>
      <c r="R14" s="1268"/>
      <c r="S14" s="1269"/>
      <c r="T14" s="1267"/>
      <c r="U14" s="1268"/>
      <c r="V14" s="1268"/>
      <c r="W14" s="1268"/>
      <c r="X14" s="1268"/>
      <c r="Y14" s="1268"/>
      <c r="Z14" s="1268"/>
      <c r="AA14" s="1268"/>
      <c r="AB14" s="1268"/>
      <c r="AC14" s="1268"/>
      <c r="AD14" s="1268"/>
      <c r="AE14" s="1269"/>
      <c r="AF14" s="1267"/>
      <c r="AG14" s="1268"/>
      <c r="AH14" s="1268"/>
      <c r="AI14" s="1268"/>
      <c r="AJ14" s="1268"/>
      <c r="AK14" s="1268"/>
      <c r="AL14" s="1268"/>
      <c r="AM14" s="1268"/>
      <c r="AN14" s="1268"/>
      <c r="AO14" s="1268"/>
      <c r="AP14" s="1268"/>
      <c r="AQ14" s="1269"/>
      <c r="AR14" s="1267"/>
      <c r="AS14" s="1268"/>
      <c r="AT14" s="1268"/>
      <c r="AU14" s="1268"/>
      <c r="AV14" s="1268"/>
      <c r="AW14" s="1268"/>
      <c r="AX14" s="1268"/>
      <c r="AY14" s="1268"/>
      <c r="AZ14" s="1268"/>
      <c r="BA14" s="1268"/>
      <c r="BB14" s="1268"/>
      <c r="BC14" s="1269"/>
      <c r="BD14" s="1267"/>
      <c r="BE14" s="1268"/>
      <c r="BF14" s="1268"/>
      <c r="BG14" s="1268"/>
      <c r="BH14" s="1268"/>
      <c r="BI14" s="1268"/>
      <c r="BJ14" s="1268"/>
      <c r="BK14" s="1268"/>
      <c r="BL14" s="1268"/>
      <c r="BM14" s="1268"/>
      <c r="BN14" s="1268"/>
      <c r="BO14" s="1269"/>
      <c r="BP14" s="1267"/>
      <c r="BQ14" s="1268"/>
      <c r="BR14" s="1268"/>
      <c r="BS14" s="1268"/>
      <c r="BT14" s="1268"/>
      <c r="BU14" s="1268"/>
      <c r="BV14" s="1268"/>
      <c r="BW14" s="1268"/>
      <c r="BX14" s="1268"/>
      <c r="BY14" s="1268"/>
      <c r="BZ14" s="1268"/>
      <c r="CA14" s="1269"/>
      <c r="CB14" s="1277">
        <f t="shared" si="7"/>
        <v>0</v>
      </c>
      <c r="CC14" s="1277">
        <f>IF($F14=Miscellaneous!$N$8,SUM($H14:CA14),0)</f>
        <v>0</v>
      </c>
      <c r="CD14" s="1277">
        <f>IF($F14=Miscellaneous!$N$8,IF($G14="Opex",SUMIF('Monthly Summary'!$C$75:BV$75,"",$H14:CA14),SUMIF('Monthly Summary'!$C$74:BV$74,"",$H14:CA14)),0)</f>
        <v>0</v>
      </c>
      <c r="CE14" s="1277">
        <f t="shared" si="8"/>
        <v>0</v>
      </c>
      <c r="CF14" s="833"/>
      <c r="CG14" s="1277">
        <f>IF($F14=Miscellaneous!$N$9,SUM($H14:CA14),0)</f>
        <v>0</v>
      </c>
      <c r="CH14" s="1277">
        <f>IF($F14=Miscellaneous!$N$9,IF($G14="Opex",SUMIF('Monthly Summary'!$C$75:BV$75,"",$H14:CA14),SUMIF('Monthly Summary'!$C$74:BV$74,"",$H14:CA14)),0)</f>
        <v>0</v>
      </c>
      <c r="CI14" s="1277">
        <f t="shared" si="9"/>
        <v>0</v>
      </c>
      <c r="CJ14" s="833"/>
      <c r="CK14" s="1277">
        <f>IF($F14=Miscellaneous!$N$7,SUM($H14:CA14),0)</f>
        <v>0</v>
      </c>
      <c r="CL14" s="1277">
        <f>IF($F14=Miscellaneous!$N$7,IF($G14="Opex",SUMIF('Monthly Summary'!$C$75:BV$75,"",$H14:CA14),SUMIF('Monthly Summary'!$C$74:BV$74,"",$H14:CA14)),0)</f>
        <v>0</v>
      </c>
      <c r="CM14" s="1277">
        <f t="shared" si="10"/>
        <v>0</v>
      </c>
      <c r="CN14" s="833"/>
      <c r="CO14" s="1277">
        <f>IF($F14=Miscellaneous!$N$6,SUM($H14:CA14),0)</f>
        <v>0</v>
      </c>
      <c r="CP14" s="1277">
        <f>IF($F14=Miscellaneous!$N$6,IF($G14="Opex",SUMIF('Monthly Summary'!$C$75:BV$75,"",$H14:CA14),SUMIF('Monthly Summary'!$C$74:BV$74,"",$H14:CA14)),0)</f>
        <v>0</v>
      </c>
      <c r="CQ14" s="1277">
        <f t="shared" si="11"/>
        <v>0</v>
      </c>
      <c r="CR14" s="833"/>
      <c r="CS14" s="1277">
        <f>IF($A14="Software",SUM($H14:CA14),0)</f>
        <v>0</v>
      </c>
      <c r="CT14" s="1277">
        <f>IF($A14="Software",IF($G14="Opex",SUMIF('Monthly Summary'!$C$75:BV$75,"",$H14:CA14),SUMIF('Monthly Summary'!$C$74:BV$74,"",$H14:CA14)),0)</f>
        <v>0</v>
      </c>
      <c r="CU14" s="1277">
        <f t="shared" si="12"/>
        <v>0</v>
      </c>
      <c r="CV14" s="833"/>
      <c r="CW14" s="1277">
        <f t="shared" si="0"/>
        <v>0</v>
      </c>
      <c r="CX14" s="1277">
        <f t="shared" si="1"/>
        <v>0</v>
      </c>
      <c r="CY14" s="1277">
        <f t="shared" si="13"/>
        <v>0</v>
      </c>
      <c r="CZ14" s="833"/>
      <c r="DA14" s="1277">
        <f>IF($G14="Opex",SUMIF('Monthly Summary'!$C$75:BV$75,"",$H14:CA14),SUMIF('Monthly Summary'!$C$74:BV$74,"",$H14:CA14))</f>
        <v>0</v>
      </c>
      <c r="DB14" s="1278">
        <f t="shared" si="2"/>
        <v>0</v>
      </c>
      <c r="DC14" s="1279">
        <f>IF(AND(OR($D14=Variables!A$38,$D14=Variables!A$43),$F14&lt;&gt;"N/A"),1,0)</f>
        <v>0</v>
      </c>
      <c r="DD14" s="1280"/>
      <c r="DE14" s="1281" t="str">
        <f t="shared" ref="DE14:DE77" si="15">IF(ISBLANK(A14),"",A14)</f>
        <v/>
      </c>
      <c r="DF14" s="1282" t="str">
        <f t="shared" ref="DF14:DF77" si="16">IF(ISBLANK(B14),"",B14)</f>
        <v/>
      </c>
      <c r="DG14" s="1282" t="str">
        <f t="shared" ref="DG14:DG77" si="17">IF(ISBLANK(C14),"",C14)</f>
        <v/>
      </c>
      <c r="DH14" s="1282" t="str">
        <f>IF(ISNA(VLOOKUP(DE14,Miscellaneous!E:F,2,0)),"",VLOOKUP(DE14,Miscellaneous!E:F,2,0))</f>
        <v/>
      </c>
      <c r="DI14" s="1282" t="str">
        <f t="shared" ref="DI14:DI77" si="18">IF(ISBLANK(G14),"",G14)</f>
        <v/>
      </c>
      <c r="DJ14" s="1283">
        <f>IF($DI14="Opex",SUMIF('Monthly Summary'!$C$75:$N$75,"",H14:S14),SUMIF('Monthly Summary'!$C$74:$N$74,"",H14:S14))</f>
        <v>0</v>
      </c>
      <c r="DK14" s="1283">
        <f>IF($DI14="Opex",SUMIF('Monthly Summary'!$O$75:$Z$75,"",T14:AE14),SUMIF('Monthly Summary'!$O$74:$Z$74,"",T14:AE14))</f>
        <v>0</v>
      </c>
      <c r="DL14" s="1283">
        <f>IF($DI14="Opex",SUMIF('Monthly Summary'!$AA$75:$AL$75,"",AF14:AQ14),SUMIF('Monthly Summary'!$AA$74:$AL$74,"",AF14:AQ14))</f>
        <v>0</v>
      </c>
      <c r="DM14" s="1283">
        <f>IF($DI14="Opex",SUMIF('Monthly Summary'!$AM$75:$AX$75,"",AR14:BC14),SUMIF('Monthly Summary'!$AM$74:$AX$74,"",AR14:BC14))</f>
        <v>0</v>
      </c>
      <c r="DN14" s="1283">
        <f>IF($DI14="Opex",SUMIF('Monthly Summary'!$AY$75:$BJ$75,"",BD14:BO14),SUMIF('Monthly Summary'!$AY$74:$BJ$74,"",BD14:BO14))</f>
        <v>0</v>
      </c>
      <c r="DO14" s="1284">
        <f>IF($DI14="Opex",SUMIF('Monthly Summary'!$BK$75:$BV$75,"",BP14:CA14),SUMIF('Monthly Summary'!$BK$74:$BV$74,"",BP14:CA14))</f>
        <v>0</v>
      </c>
      <c r="DP14" s="1285">
        <f t="shared" si="14"/>
        <v>0</v>
      </c>
    </row>
    <row r="15" spans="1:120">
      <c r="A15" s="1261"/>
      <c r="B15" s="1261"/>
      <c r="C15" s="1261"/>
      <c r="D15" s="1262"/>
      <c r="E15" s="1263"/>
      <c r="F15" s="1263"/>
      <c r="G15" s="1263"/>
      <c r="H15" s="1267"/>
      <c r="I15" s="1268"/>
      <c r="J15" s="1268"/>
      <c r="K15" s="1268"/>
      <c r="L15" s="1268"/>
      <c r="M15" s="1268"/>
      <c r="N15" s="1268"/>
      <c r="O15" s="1268"/>
      <c r="P15" s="1268"/>
      <c r="Q15" s="1268"/>
      <c r="R15" s="1268"/>
      <c r="S15" s="1269"/>
      <c r="T15" s="1267"/>
      <c r="U15" s="1268"/>
      <c r="V15" s="1268"/>
      <c r="W15" s="1268"/>
      <c r="X15" s="1268"/>
      <c r="Y15" s="1268"/>
      <c r="Z15" s="1268"/>
      <c r="AA15" s="1268"/>
      <c r="AB15" s="1268"/>
      <c r="AC15" s="1268"/>
      <c r="AD15" s="1268"/>
      <c r="AE15" s="1269"/>
      <c r="AF15" s="1267"/>
      <c r="AG15" s="1268"/>
      <c r="AH15" s="1268"/>
      <c r="AI15" s="1268"/>
      <c r="AJ15" s="1268"/>
      <c r="AK15" s="1268"/>
      <c r="AL15" s="1268"/>
      <c r="AM15" s="1268"/>
      <c r="AN15" s="1268"/>
      <c r="AO15" s="1268"/>
      <c r="AP15" s="1268"/>
      <c r="AQ15" s="1269"/>
      <c r="AR15" s="1267"/>
      <c r="AS15" s="1268"/>
      <c r="AT15" s="1268"/>
      <c r="AU15" s="1268"/>
      <c r="AV15" s="1268"/>
      <c r="AW15" s="1268"/>
      <c r="AX15" s="1268"/>
      <c r="AY15" s="1268"/>
      <c r="AZ15" s="1268"/>
      <c r="BA15" s="1268"/>
      <c r="BB15" s="1268"/>
      <c r="BC15" s="1269"/>
      <c r="BD15" s="1267"/>
      <c r="BE15" s="1268"/>
      <c r="BF15" s="1268"/>
      <c r="BG15" s="1268"/>
      <c r="BH15" s="1268"/>
      <c r="BI15" s="1268"/>
      <c r="BJ15" s="1268"/>
      <c r="BK15" s="1268"/>
      <c r="BL15" s="1268"/>
      <c r="BM15" s="1268"/>
      <c r="BN15" s="1268"/>
      <c r="BO15" s="1269"/>
      <c r="BP15" s="1267"/>
      <c r="BQ15" s="1268"/>
      <c r="BR15" s="1268"/>
      <c r="BS15" s="1268"/>
      <c r="BT15" s="1268"/>
      <c r="BU15" s="1268"/>
      <c r="BV15" s="1268"/>
      <c r="BW15" s="1268"/>
      <c r="BX15" s="1268"/>
      <c r="BY15" s="1268"/>
      <c r="BZ15" s="1268"/>
      <c r="CA15" s="1269"/>
      <c r="CB15" s="1286">
        <f t="shared" si="7"/>
        <v>0</v>
      </c>
      <c r="CC15" s="1277">
        <f>IF($F15=Miscellaneous!$N$8,SUM($H15:CA15),0)</f>
        <v>0</v>
      </c>
      <c r="CD15" s="1277">
        <f>IF($F15=Miscellaneous!$N$8,IF($G15="Opex",SUMIF('Monthly Summary'!$C$75:BV$75,"",$H15:CA15),SUMIF('Monthly Summary'!$C$74:BV$74,"",$H15:CA15)),0)</f>
        <v>0</v>
      </c>
      <c r="CE15" s="1286">
        <f t="shared" si="8"/>
        <v>0</v>
      </c>
      <c r="CG15" s="1277">
        <f>IF($F15=Miscellaneous!$N$9,SUM($H15:CA15),0)</f>
        <v>0</v>
      </c>
      <c r="CH15" s="1277">
        <f>IF($F15=Miscellaneous!$N$9,IF($G15="Opex",SUMIF('Monthly Summary'!$C$75:BV$75,"",$H15:CA15),SUMIF('Monthly Summary'!$C$74:BV$74,"",$H15:CA15)),0)</f>
        <v>0</v>
      </c>
      <c r="CI15" s="1286">
        <f t="shared" si="9"/>
        <v>0</v>
      </c>
      <c r="CK15" s="1277">
        <f>IF($F15=Miscellaneous!$N$7,SUM($H15:CA15),0)</f>
        <v>0</v>
      </c>
      <c r="CL15" s="1277">
        <f>IF($F15=Miscellaneous!$N$7,IF($G15="Opex",SUMIF('Monthly Summary'!$C$75:BV$75,"",$H15:CA15),SUMIF('Monthly Summary'!$C$74:BV$74,"",$H15:CA15)),0)</f>
        <v>0</v>
      </c>
      <c r="CM15" s="1286">
        <f t="shared" si="10"/>
        <v>0</v>
      </c>
      <c r="CO15" s="1277">
        <f>IF($F15=Miscellaneous!$N$6,SUM($H15:CA15),0)</f>
        <v>0</v>
      </c>
      <c r="CP15" s="1277">
        <f>IF($F15=Miscellaneous!$N$6,IF($G15="Opex",SUMIF('Monthly Summary'!$C$75:BV$75,"",$H15:CA15),SUMIF('Monthly Summary'!$C$74:BV$74,"",$H15:CA15)),0)</f>
        <v>0</v>
      </c>
      <c r="CQ15" s="1286">
        <f t="shared" si="11"/>
        <v>0</v>
      </c>
      <c r="CS15" s="1277">
        <f>IF($A15="Software",SUM($H15:CA15),0)</f>
        <v>0</v>
      </c>
      <c r="CT15" s="1277">
        <f>IF($A15="Software",IF($G15="Opex",SUMIF('Monthly Summary'!$C$75:BV$75,"",$H15:CA15),SUMIF('Monthly Summary'!$C$74:BV$74,"",$H15:CA15)),0)</f>
        <v>0</v>
      </c>
      <c r="CU15" s="1286">
        <f t="shared" si="12"/>
        <v>0</v>
      </c>
      <c r="CW15" s="1277">
        <f t="shared" si="0"/>
        <v>0</v>
      </c>
      <c r="CX15" s="1277">
        <f t="shared" si="1"/>
        <v>0</v>
      </c>
      <c r="CY15" s="1286">
        <f t="shared" si="13"/>
        <v>0</v>
      </c>
      <c r="DA15" s="1286">
        <f>IF($G15="Opex",SUMIF('Monthly Summary'!$C$75:BV$75,"",$H15:CA15),SUMIF('Monthly Summary'!$C$74:BV$74,"",$H15:CA15))</f>
        <v>0</v>
      </c>
      <c r="DB15" s="1278">
        <f t="shared" si="2"/>
        <v>0</v>
      </c>
      <c r="DC15" s="1279">
        <f>IF(AND(OR($D15=Variables!A$38,$D15=Variables!A$43),$F15&lt;&gt;"N/A"),1,0)</f>
        <v>0</v>
      </c>
      <c r="DD15" s="820"/>
      <c r="DE15" s="1281" t="str">
        <f t="shared" si="15"/>
        <v/>
      </c>
      <c r="DF15" s="1282" t="str">
        <f t="shared" si="16"/>
        <v/>
      </c>
      <c r="DG15" s="1282" t="str">
        <f t="shared" si="17"/>
        <v/>
      </c>
      <c r="DH15" s="1282" t="str">
        <f>IF(ISNA(VLOOKUP(DE15,Miscellaneous!E:F,2,0)),"",VLOOKUP(DE15,Miscellaneous!E:F,2,0))</f>
        <v/>
      </c>
      <c r="DI15" s="1282" t="str">
        <f t="shared" si="18"/>
        <v/>
      </c>
      <c r="DJ15" s="1283">
        <f>IF($DI15="Opex",SUMIF('Monthly Summary'!$C$75:$N$75,"",H15:S15),SUMIF('Monthly Summary'!$C$74:$N$74,"",H15:S15))</f>
        <v>0</v>
      </c>
      <c r="DK15" s="1283">
        <f>IF($DI15="Opex",SUMIF('Monthly Summary'!$O$75:$Z$75,"",T15:AE15),SUMIF('Monthly Summary'!$O$74:$Z$74,"",T15:AE15))</f>
        <v>0</v>
      </c>
      <c r="DL15" s="1283">
        <f>IF($DI15="Opex",SUMIF('Monthly Summary'!$AA$75:$AL$75,"",AF15:AQ15),SUMIF('Monthly Summary'!$AA$74:$AL$74,"",AF15:AQ15))</f>
        <v>0</v>
      </c>
      <c r="DM15" s="1283">
        <f>IF($DI15="Opex",SUMIF('Monthly Summary'!$AM$75:$AX$75,"",AR15:BC15),SUMIF('Monthly Summary'!$AM$74:$AX$74,"",AR15:BC15))</f>
        <v>0</v>
      </c>
      <c r="DN15" s="1283">
        <f>IF($DI15="Opex",SUMIF('Monthly Summary'!$AY$75:$BJ$75,"",BD15:BO15),SUMIF('Monthly Summary'!$AY$74:$BJ$74,"",BD15:BO15))</f>
        <v>0</v>
      </c>
      <c r="DO15" s="1284">
        <f>IF($DI15="Opex",SUMIF('Monthly Summary'!$BK$75:$BV$75,"",BP15:CA15),SUMIF('Monthly Summary'!$BK$74:$BV$74,"",BP15:CA15))</f>
        <v>0</v>
      </c>
      <c r="DP15" s="1285">
        <f t="shared" si="14"/>
        <v>0</v>
      </c>
    </row>
    <row r="16" spans="1:120">
      <c r="A16" s="1261"/>
      <c r="B16" s="1261"/>
      <c r="C16" s="1261"/>
      <c r="D16" s="1262"/>
      <c r="E16" s="1263"/>
      <c r="F16" s="1263"/>
      <c r="G16" s="1263"/>
      <c r="H16" s="1267"/>
      <c r="I16" s="1268"/>
      <c r="J16" s="1268"/>
      <c r="K16" s="1268"/>
      <c r="L16" s="1268"/>
      <c r="M16" s="1268"/>
      <c r="N16" s="1268"/>
      <c r="O16" s="1268"/>
      <c r="P16" s="1268"/>
      <c r="Q16" s="1268"/>
      <c r="R16" s="1268"/>
      <c r="S16" s="1269"/>
      <c r="T16" s="1267"/>
      <c r="U16" s="1268"/>
      <c r="V16" s="1268"/>
      <c r="W16" s="1268"/>
      <c r="X16" s="1268"/>
      <c r="Y16" s="1268"/>
      <c r="Z16" s="1268"/>
      <c r="AA16" s="1268"/>
      <c r="AB16" s="1268"/>
      <c r="AC16" s="1268"/>
      <c r="AD16" s="1268"/>
      <c r="AE16" s="1269"/>
      <c r="AF16" s="1267"/>
      <c r="AG16" s="1268"/>
      <c r="AH16" s="1268"/>
      <c r="AI16" s="1268"/>
      <c r="AJ16" s="1268"/>
      <c r="AK16" s="1268"/>
      <c r="AL16" s="1268"/>
      <c r="AM16" s="1268"/>
      <c r="AN16" s="1268"/>
      <c r="AO16" s="1268"/>
      <c r="AP16" s="1268"/>
      <c r="AQ16" s="1269"/>
      <c r="AR16" s="1267"/>
      <c r="AS16" s="1268"/>
      <c r="AT16" s="1268"/>
      <c r="AU16" s="1268"/>
      <c r="AV16" s="1268"/>
      <c r="AW16" s="1268"/>
      <c r="AX16" s="1268"/>
      <c r="AY16" s="1268"/>
      <c r="AZ16" s="1268"/>
      <c r="BA16" s="1268"/>
      <c r="BB16" s="1268"/>
      <c r="BC16" s="1269"/>
      <c r="BD16" s="1267"/>
      <c r="BE16" s="1268"/>
      <c r="BF16" s="1268"/>
      <c r="BG16" s="1268"/>
      <c r="BH16" s="1268"/>
      <c r="BI16" s="1268"/>
      <c r="BJ16" s="1268"/>
      <c r="BK16" s="1268"/>
      <c r="BL16" s="1268"/>
      <c r="BM16" s="1268"/>
      <c r="BN16" s="1268"/>
      <c r="BO16" s="1269"/>
      <c r="BP16" s="1267"/>
      <c r="BQ16" s="1268"/>
      <c r="BR16" s="1268"/>
      <c r="BS16" s="1268"/>
      <c r="BT16" s="1268"/>
      <c r="BU16" s="1268"/>
      <c r="BV16" s="1268"/>
      <c r="BW16" s="1268"/>
      <c r="BX16" s="1268"/>
      <c r="BY16" s="1268"/>
      <c r="BZ16" s="1268"/>
      <c r="CA16" s="1269"/>
      <c r="CB16" s="1286">
        <f t="shared" si="7"/>
        <v>0</v>
      </c>
      <c r="CC16" s="1277">
        <f>IF($F16=Miscellaneous!$N$8,SUM($H16:CA16),0)</f>
        <v>0</v>
      </c>
      <c r="CD16" s="1277">
        <f>IF($F16=Miscellaneous!$N$8,IF($G16="Opex",SUMIF('Monthly Summary'!$C$75:BV$75,"",$H16:CA16),SUMIF('Monthly Summary'!$C$74:BV$74,"",$H16:CA16)),0)</f>
        <v>0</v>
      </c>
      <c r="CE16" s="1286">
        <f t="shared" si="8"/>
        <v>0</v>
      </c>
      <c r="CG16" s="1277">
        <f>IF($F16=Miscellaneous!$N$9,SUM($H16:CA16),0)</f>
        <v>0</v>
      </c>
      <c r="CH16" s="1277">
        <f>IF($F16=Miscellaneous!$N$9,IF($G16="Opex",SUMIF('Monthly Summary'!$C$75:BV$75,"",$H16:CA16),SUMIF('Monthly Summary'!$C$74:BV$74,"",$H16:CA16)),0)</f>
        <v>0</v>
      </c>
      <c r="CI16" s="1286">
        <f t="shared" si="9"/>
        <v>0</v>
      </c>
      <c r="CK16" s="1277">
        <f>IF($F16=Miscellaneous!$N$7,SUM($H16:CA16),0)</f>
        <v>0</v>
      </c>
      <c r="CL16" s="1277">
        <f>IF($F16=Miscellaneous!$N$7,IF($G16="Opex",SUMIF('Monthly Summary'!$C$75:BV$75,"",$H16:CA16),SUMIF('Monthly Summary'!$C$74:BV$74,"",$H16:CA16)),0)</f>
        <v>0</v>
      </c>
      <c r="CM16" s="1286">
        <f t="shared" si="10"/>
        <v>0</v>
      </c>
      <c r="CO16" s="1277">
        <f>IF($F16=Miscellaneous!$N$6,SUM($H16:CA16),0)</f>
        <v>0</v>
      </c>
      <c r="CP16" s="1277">
        <f>IF($F16=Miscellaneous!$N$6,IF($G16="Opex",SUMIF('Monthly Summary'!$C$75:BV$75,"",$H16:CA16),SUMIF('Monthly Summary'!$C$74:BV$74,"",$H16:CA16)),0)</f>
        <v>0</v>
      </c>
      <c r="CQ16" s="1286">
        <f t="shared" si="11"/>
        <v>0</v>
      </c>
      <c r="CS16" s="1277">
        <f>IF($A16="Software",SUM($H16:CA16),0)</f>
        <v>0</v>
      </c>
      <c r="CT16" s="1277">
        <f>IF($A16="Software",IF($G16="Opex",SUMIF('Monthly Summary'!$C$75:BV$75,"",$H16:CA16),SUMIF('Monthly Summary'!$C$74:BV$74,"",$H16:CA16)),0)</f>
        <v>0</v>
      </c>
      <c r="CU16" s="1286">
        <f t="shared" si="12"/>
        <v>0</v>
      </c>
      <c r="CW16" s="1277">
        <f t="shared" si="0"/>
        <v>0</v>
      </c>
      <c r="CX16" s="1277">
        <f t="shared" si="1"/>
        <v>0</v>
      </c>
      <c r="CY16" s="1286">
        <f t="shared" si="13"/>
        <v>0</v>
      </c>
      <c r="DA16" s="1286">
        <f>IF($G16="Opex",SUMIF('Monthly Summary'!$C$75:BV$75,"",$H16:CA16),SUMIF('Monthly Summary'!$C$74:BV$74,"",$H16:CA16))</f>
        <v>0</v>
      </c>
      <c r="DB16" s="1278">
        <f t="shared" si="2"/>
        <v>0</v>
      </c>
      <c r="DC16" s="1279">
        <f>IF(AND(OR($D16=Variables!A$38,$D16=Variables!A$43),$F16&lt;&gt;"N/A"),1,0)</f>
        <v>0</v>
      </c>
      <c r="DD16" s="820"/>
      <c r="DE16" s="1281" t="str">
        <f t="shared" si="15"/>
        <v/>
      </c>
      <c r="DF16" s="1282" t="str">
        <f t="shared" si="16"/>
        <v/>
      </c>
      <c r="DG16" s="1282" t="str">
        <f t="shared" si="17"/>
        <v/>
      </c>
      <c r="DH16" s="1282" t="str">
        <f>IF(ISNA(VLOOKUP(DE16,Miscellaneous!E:F,2,0)),"",VLOOKUP(DE16,Miscellaneous!E:F,2,0))</f>
        <v/>
      </c>
      <c r="DI16" s="1282" t="str">
        <f t="shared" si="18"/>
        <v/>
      </c>
      <c r="DJ16" s="1283">
        <f>IF($DI16="Opex",SUMIF('Monthly Summary'!$C$75:$N$75,"",H16:S16),SUMIF('Monthly Summary'!$C$74:$N$74,"",H16:S16))</f>
        <v>0</v>
      </c>
      <c r="DK16" s="1283">
        <f>IF($DI16="Opex",SUMIF('Monthly Summary'!$O$75:$Z$75,"",T16:AE16),SUMIF('Monthly Summary'!$O$74:$Z$74,"",T16:AE16))</f>
        <v>0</v>
      </c>
      <c r="DL16" s="1283">
        <f>IF($DI16="Opex",SUMIF('Monthly Summary'!$AA$75:$AL$75,"",AF16:AQ16),SUMIF('Monthly Summary'!$AA$74:$AL$74,"",AF16:AQ16))</f>
        <v>0</v>
      </c>
      <c r="DM16" s="1283">
        <f>IF($DI16="Opex",SUMIF('Monthly Summary'!$AM$75:$AX$75,"",AR16:BC16),SUMIF('Monthly Summary'!$AM$74:$AX$74,"",AR16:BC16))</f>
        <v>0</v>
      </c>
      <c r="DN16" s="1283">
        <f>IF($DI16="Opex",SUMIF('Monthly Summary'!$AY$75:$BJ$75,"",BD16:BO16),SUMIF('Monthly Summary'!$AY$74:$BJ$74,"",BD16:BO16))</f>
        <v>0</v>
      </c>
      <c r="DO16" s="1284">
        <f>IF($DI16="Opex",SUMIF('Monthly Summary'!$BK$75:$BV$75,"",BP16:CA16),SUMIF('Monthly Summary'!$BK$74:$BV$74,"",BP16:CA16))</f>
        <v>0</v>
      </c>
      <c r="DP16" s="1285">
        <f t="shared" si="14"/>
        <v>0</v>
      </c>
    </row>
    <row r="17" spans="1:120">
      <c r="A17" s="1261"/>
      <c r="B17" s="1261"/>
      <c r="C17" s="1261"/>
      <c r="D17" s="1262"/>
      <c r="E17" s="1263"/>
      <c r="F17" s="1263"/>
      <c r="G17" s="1263"/>
      <c r="H17" s="1267"/>
      <c r="I17" s="1268"/>
      <c r="J17" s="1268"/>
      <c r="K17" s="1268"/>
      <c r="L17" s="1268"/>
      <c r="M17" s="1268"/>
      <c r="N17" s="1268"/>
      <c r="O17" s="1268"/>
      <c r="P17" s="1268"/>
      <c r="Q17" s="1268"/>
      <c r="R17" s="1268"/>
      <c r="S17" s="1269"/>
      <c r="T17" s="1267"/>
      <c r="U17" s="1268"/>
      <c r="V17" s="1268"/>
      <c r="W17" s="1268"/>
      <c r="X17" s="1268"/>
      <c r="Y17" s="1268"/>
      <c r="Z17" s="1268"/>
      <c r="AA17" s="1268"/>
      <c r="AB17" s="1268"/>
      <c r="AC17" s="1268"/>
      <c r="AD17" s="1268"/>
      <c r="AE17" s="1269"/>
      <c r="AF17" s="1267"/>
      <c r="AG17" s="1268"/>
      <c r="AH17" s="1268"/>
      <c r="AI17" s="1268"/>
      <c r="AJ17" s="1268"/>
      <c r="AK17" s="1268"/>
      <c r="AL17" s="1268"/>
      <c r="AM17" s="1268"/>
      <c r="AN17" s="1268"/>
      <c r="AO17" s="1268"/>
      <c r="AP17" s="1268"/>
      <c r="AQ17" s="1269"/>
      <c r="AR17" s="1267"/>
      <c r="AS17" s="1268"/>
      <c r="AT17" s="1268"/>
      <c r="AU17" s="1268"/>
      <c r="AV17" s="1268"/>
      <c r="AW17" s="1268"/>
      <c r="AX17" s="1268"/>
      <c r="AY17" s="1268"/>
      <c r="AZ17" s="1268"/>
      <c r="BA17" s="1268"/>
      <c r="BB17" s="1268"/>
      <c r="BC17" s="1269"/>
      <c r="BD17" s="1267"/>
      <c r="BE17" s="1268"/>
      <c r="BF17" s="1268"/>
      <c r="BG17" s="1268"/>
      <c r="BH17" s="1268"/>
      <c r="BI17" s="1268"/>
      <c r="BJ17" s="1268"/>
      <c r="BK17" s="1268"/>
      <c r="BL17" s="1268"/>
      <c r="BM17" s="1268"/>
      <c r="BN17" s="1268"/>
      <c r="BO17" s="1269"/>
      <c r="BP17" s="1267"/>
      <c r="BQ17" s="1268"/>
      <c r="BR17" s="1268"/>
      <c r="BS17" s="1268"/>
      <c r="BT17" s="1268"/>
      <c r="BU17" s="1268"/>
      <c r="BV17" s="1268"/>
      <c r="BW17" s="1268"/>
      <c r="BX17" s="1268"/>
      <c r="BY17" s="1268"/>
      <c r="BZ17" s="1268"/>
      <c r="CA17" s="1269"/>
      <c r="CB17" s="1286">
        <f t="shared" si="7"/>
        <v>0</v>
      </c>
      <c r="CC17" s="1277">
        <f>IF($F17=Miscellaneous!$N$8,SUM($H17:CA17),0)</f>
        <v>0</v>
      </c>
      <c r="CD17" s="1277">
        <f>IF($F17=Miscellaneous!$N$8,IF($G17="Opex",SUMIF('Monthly Summary'!$C$75:BV$75,"",$H17:CA17),SUMIF('Monthly Summary'!$C$74:BV$74,"",$H17:CA17)),0)</f>
        <v>0</v>
      </c>
      <c r="CE17" s="1286">
        <f t="shared" si="8"/>
        <v>0</v>
      </c>
      <c r="CG17" s="1277">
        <f>IF($F17=Miscellaneous!$N$9,SUM($H17:CA17),0)</f>
        <v>0</v>
      </c>
      <c r="CH17" s="1277">
        <f>IF($F17=Miscellaneous!$N$9,IF($G17="Opex",SUMIF('Monthly Summary'!$C$75:BV$75,"",$H17:CA17),SUMIF('Monthly Summary'!$C$74:BV$74,"",$H17:CA17)),0)</f>
        <v>0</v>
      </c>
      <c r="CI17" s="1286">
        <f t="shared" si="9"/>
        <v>0</v>
      </c>
      <c r="CK17" s="1277">
        <f>IF($F17=Miscellaneous!$N$7,SUM($H17:CA17),0)</f>
        <v>0</v>
      </c>
      <c r="CL17" s="1277">
        <f>IF($F17=Miscellaneous!$N$7,IF($G17="Opex",SUMIF('Monthly Summary'!$C$75:BV$75,"",$H17:CA17),SUMIF('Monthly Summary'!$C$74:BV$74,"",$H17:CA17)),0)</f>
        <v>0</v>
      </c>
      <c r="CM17" s="1286">
        <f t="shared" si="10"/>
        <v>0</v>
      </c>
      <c r="CO17" s="1277">
        <f>IF($F17=Miscellaneous!$N$6,SUM($H17:CA17),0)</f>
        <v>0</v>
      </c>
      <c r="CP17" s="1277">
        <f>IF($F17=Miscellaneous!$N$6,IF($G17="Opex",SUMIF('Monthly Summary'!$C$75:BV$75,"",$H17:CA17),SUMIF('Monthly Summary'!$C$74:BV$74,"",$H17:CA17)),0)</f>
        <v>0</v>
      </c>
      <c r="CQ17" s="1286">
        <f t="shared" si="11"/>
        <v>0</v>
      </c>
      <c r="CS17" s="1277">
        <f>IF($A17="Software",SUM($H17:CA17),0)</f>
        <v>0</v>
      </c>
      <c r="CT17" s="1277">
        <f>IF($A17="Software",IF($G17="Opex",SUMIF('Monthly Summary'!$C$75:BV$75,"",$H17:CA17),SUMIF('Monthly Summary'!$C$74:BV$74,"",$H17:CA17)),0)</f>
        <v>0</v>
      </c>
      <c r="CU17" s="1286">
        <f t="shared" si="12"/>
        <v>0</v>
      </c>
      <c r="CW17" s="1277">
        <f t="shared" si="0"/>
        <v>0</v>
      </c>
      <c r="CX17" s="1277">
        <f t="shared" si="1"/>
        <v>0</v>
      </c>
      <c r="CY17" s="1286">
        <f t="shared" si="13"/>
        <v>0</v>
      </c>
      <c r="DA17" s="1286">
        <f>IF($G17="Opex",SUMIF('Monthly Summary'!$C$75:BV$75,"",$H17:CA17),SUMIF('Monthly Summary'!$C$74:BV$74,"",$H17:CA17))</f>
        <v>0</v>
      </c>
      <c r="DB17" s="1278">
        <f t="shared" si="2"/>
        <v>0</v>
      </c>
      <c r="DC17" s="1279">
        <f>IF(AND(OR($D17=Variables!A$38,$D17=Variables!A$43),$F17&lt;&gt;"N/A"),1,0)</f>
        <v>0</v>
      </c>
      <c r="DD17" s="820"/>
      <c r="DE17" s="1281" t="str">
        <f t="shared" si="15"/>
        <v/>
      </c>
      <c r="DF17" s="1282" t="str">
        <f t="shared" si="16"/>
        <v/>
      </c>
      <c r="DG17" s="1282" t="str">
        <f t="shared" si="17"/>
        <v/>
      </c>
      <c r="DH17" s="1282" t="str">
        <f>IF(ISNA(VLOOKUP(DE17,Miscellaneous!E:F,2,0)),"",VLOOKUP(DE17,Miscellaneous!E:F,2,0))</f>
        <v/>
      </c>
      <c r="DI17" s="1282" t="str">
        <f t="shared" si="18"/>
        <v/>
      </c>
      <c r="DJ17" s="1283">
        <f>IF($DI17="Opex",SUMIF('Monthly Summary'!$C$75:$N$75,"",H17:S17),SUMIF('Monthly Summary'!$C$74:$N$74,"",H17:S17))</f>
        <v>0</v>
      </c>
      <c r="DK17" s="1283">
        <f>IF($DI17="Opex",SUMIF('Monthly Summary'!$O$75:$Z$75,"",T17:AE17),SUMIF('Monthly Summary'!$O$74:$Z$74,"",T17:AE17))</f>
        <v>0</v>
      </c>
      <c r="DL17" s="1283">
        <f>IF($DI17="Opex",SUMIF('Monthly Summary'!$AA$75:$AL$75,"",AF17:AQ17),SUMIF('Monthly Summary'!$AA$74:$AL$74,"",AF17:AQ17))</f>
        <v>0</v>
      </c>
      <c r="DM17" s="1283">
        <f>IF($DI17="Opex",SUMIF('Monthly Summary'!$AM$75:$AX$75,"",AR17:BC17),SUMIF('Monthly Summary'!$AM$74:$AX$74,"",AR17:BC17))</f>
        <v>0</v>
      </c>
      <c r="DN17" s="1283">
        <f>IF($DI17="Opex",SUMIF('Monthly Summary'!$AY$75:$BJ$75,"",BD17:BO17),SUMIF('Monthly Summary'!$AY$74:$BJ$74,"",BD17:BO17))</f>
        <v>0</v>
      </c>
      <c r="DO17" s="1284">
        <f>IF($DI17="Opex",SUMIF('Monthly Summary'!$BK$75:$BV$75,"",BP17:CA17),SUMIF('Monthly Summary'!$BK$74:$BV$74,"",BP17:CA17))</f>
        <v>0</v>
      </c>
      <c r="DP17" s="1285">
        <f t="shared" si="14"/>
        <v>0</v>
      </c>
    </row>
    <row r="18" spans="1:120">
      <c r="A18" s="1261"/>
      <c r="B18" s="1261"/>
      <c r="C18" s="1261"/>
      <c r="D18" s="1262"/>
      <c r="E18" s="1270"/>
      <c r="F18" s="1263"/>
      <c r="G18" s="1263"/>
      <c r="H18" s="1267"/>
      <c r="I18" s="1268"/>
      <c r="J18" s="1268"/>
      <c r="K18" s="1268"/>
      <c r="L18" s="1268"/>
      <c r="M18" s="1268"/>
      <c r="N18" s="1268"/>
      <c r="O18" s="1268"/>
      <c r="P18" s="1268"/>
      <c r="Q18" s="1268"/>
      <c r="R18" s="1268"/>
      <c r="S18" s="1269"/>
      <c r="T18" s="1267"/>
      <c r="U18" s="1268"/>
      <c r="V18" s="1268"/>
      <c r="W18" s="1268"/>
      <c r="X18" s="1268"/>
      <c r="Y18" s="1268"/>
      <c r="Z18" s="1268"/>
      <c r="AA18" s="1268"/>
      <c r="AB18" s="1268"/>
      <c r="AC18" s="1268"/>
      <c r="AD18" s="1268"/>
      <c r="AE18" s="1269"/>
      <c r="AF18" s="1267"/>
      <c r="AG18" s="1268"/>
      <c r="AH18" s="1268"/>
      <c r="AI18" s="1268"/>
      <c r="AJ18" s="1268"/>
      <c r="AK18" s="1268"/>
      <c r="AL18" s="1268"/>
      <c r="AM18" s="1268"/>
      <c r="AN18" s="1268"/>
      <c r="AO18" s="1268"/>
      <c r="AP18" s="1268"/>
      <c r="AQ18" s="1269"/>
      <c r="AR18" s="1267"/>
      <c r="AS18" s="1268"/>
      <c r="AT18" s="1268"/>
      <c r="AU18" s="1268"/>
      <c r="AV18" s="1268"/>
      <c r="AW18" s="1268"/>
      <c r="AX18" s="1268"/>
      <c r="AY18" s="1268"/>
      <c r="AZ18" s="1268"/>
      <c r="BA18" s="1268"/>
      <c r="BB18" s="1268"/>
      <c r="BC18" s="1269"/>
      <c r="BD18" s="1267"/>
      <c r="BE18" s="1268"/>
      <c r="BF18" s="1268"/>
      <c r="BG18" s="1268"/>
      <c r="BH18" s="1268"/>
      <c r="BI18" s="1268"/>
      <c r="BJ18" s="1268"/>
      <c r="BK18" s="1268"/>
      <c r="BL18" s="1268"/>
      <c r="BM18" s="1268"/>
      <c r="BN18" s="1268"/>
      <c r="BO18" s="1269"/>
      <c r="BP18" s="1267"/>
      <c r="BQ18" s="1268"/>
      <c r="BR18" s="1268"/>
      <c r="BS18" s="1268"/>
      <c r="BT18" s="1268"/>
      <c r="BU18" s="1268"/>
      <c r="BV18" s="1268"/>
      <c r="BW18" s="1268"/>
      <c r="BX18" s="1268"/>
      <c r="BY18" s="1268"/>
      <c r="BZ18" s="1268"/>
      <c r="CA18" s="1269"/>
      <c r="CB18" s="1286">
        <f t="shared" si="7"/>
        <v>0</v>
      </c>
      <c r="CC18" s="1277">
        <f>IF($F18=Miscellaneous!$N$8,SUM($H18:CA18),0)</f>
        <v>0</v>
      </c>
      <c r="CD18" s="1277">
        <f>IF($F18=Miscellaneous!$N$8,IF($G18="Opex",SUMIF('Monthly Summary'!$C$75:BV$75,"",$H18:CA18),SUMIF('Monthly Summary'!$C$74:BV$74,"",$H18:CA18)),0)</f>
        <v>0</v>
      </c>
      <c r="CE18" s="1286">
        <f t="shared" si="8"/>
        <v>0</v>
      </c>
      <c r="CG18" s="1277">
        <f>IF($F18=Miscellaneous!$N$9,SUM($H18:CA18),0)</f>
        <v>0</v>
      </c>
      <c r="CH18" s="1277">
        <f>IF($F18=Miscellaneous!$N$9,IF($G18="Opex",SUMIF('Monthly Summary'!$C$75:BV$75,"",$H18:CA18),SUMIF('Monthly Summary'!$C$74:BV$74,"",$H18:CA18)),0)</f>
        <v>0</v>
      </c>
      <c r="CI18" s="1286">
        <f t="shared" si="9"/>
        <v>0</v>
      </c>
      <c r="CK18" s="1277">
        <f>IF($F18=Miscellaneous!$N$7,SUM($H18:CA18),0)</f>
        <v>0</v>
      </c>
      <c r="CL18" s="1277">
        <f>IF($F18=Miscellaneous!$N$7,IF($G18="Opex",SUMIF('Monthly Summary'!$C$75:BV$75,"",$H18:CA18),SUMIF('Monthly Summary'!$C$74:BV$74,"",$H18:CA18)),0)</f>
        <v>0</v>
      </c>
      <c r="CM18" s="1286">
        <f t="shared" si="10"/>
        <v>0</v>
      </c>
      <c r="CO18" s="1277">
        <f>IF($F18=Miscellaneous!$N$6,SUM($H18:CA18),0)</f>
        <v>0</v>
      </c>
      <c r="CP18" s="1277">
        <f>IF($F18=Miscellaneous!$N$6,IF($G18="Opex",SUMIF('Monthly Summary'!$C$75:BV$75,"",$H18:CA18),SUMIF('Monthly Summary'!$C$74:BV$74,"",$H18:CA18)),0)</f>
        <v>0</v>
      </c>
      <c r="CQ18" s="1286">
        <f t="shared" si="11"/>
        <v>0</v>
      </c>
      <c r="CS18" s="1277">
        <f>IF($A18="Software",SUM($H18:CA18),0)</f>
        <v>0</v>
      </c>
      <c r="CT18" s="1277">
        <f>IF($A18="Software",IF($G18="Opex",SUMIF('Monthly Summary'!$C$75:BV$75,"",$H18:CA18),SUMIF('Monthly Summary'!$C$74:BV$74,"",$H18:CA18)),0)</f>
        <v>0</v>
      </c>
      <c r="CU18" s="1286">
        <f t="shared" si="12"/>
        <v>0</v>
      </c>
      <c r="CW18" s="1277">
        <f t="shared" si="0"/>
        <v>0</v>
      </c>
      <c r="CX18" s="1277">
        <f t="shared" si="1"/>
        <v>0</v>
      </c>
      <c r="CY18" s="1286">
        <f t="shared" si="13"/>
        <v>0</v>
      </c>
      <c r="DA18" s="1286">
        <f>IF($G18="Opex",SUMIF('Monthly Summary'!$C$75:BV$75,"",$H18:CA18),SUMIF('Monthly Summary'!$C$74:BV$74,"",$H18:CA18))</f>
        <v>0</v>
      </c>
      <c r="DB18" s="1278">
        <f t="shared" si="2"/>
        <v>0</v>
      </c>
      <c r="DC18" s="1279">
        <f>IF(AND(OR($D18=Variables!A$38,$D18=Variables!A$43),$F18&lt;&gt;"N/A"),1,0)</f>
        <v>0</v>
      </c>
      <c r="DD18" s="820"/>
      <c r="DE18" s="1281" t="str">
        <f t="shared" si="15"/>
        <v/>
      </c>
      <c r="DF18" s="1282" t="str">
        <f t="shared" si="16"/>
        <v/>
      </c>
      <c r="DG18" s="1282" t="str">
        <f t="shared" si="17"/>
        <v/>
      </c>
      <c r="DH18" s="1282" t="str">
        <f>IF(ISNA(VLOOKUP(DE18,Miscellaneous!E:F,2,0)),"",VLOOKUP(DE18,Miscellaneous!E:F,2,0))</f>
        <v/>
      </c>
      <c r="DI18" s="1282" t="str">
        <f t="shared" si="18"/>
        <v/>
      </c>
      <c r="DJ18" s="1283">
        <f>IF($DI18="Opex",SUMIF('Monthly Summary'!$C$75:$N$75,"",H18:S18),SUMIF('Monthly Summary'!$C$74:$N$74,"",H18:S18))</f>
        <v>0</v>
      </c>
      <c r="DK18" s="1283">
        <f>IF($DI18="Opex",SUMIF('Monthly Summary'!$O$75:$Z$75,"",T18:AE18),SUMIF('Monthly Summary'!$O$74:$Z$74,"",T18:AE18))</f>
        <v>0</v>
      </c>
      <c r="DL18" s="1283">
        <f>IF($DI18="Opex",SUMIF('Monthly Summary'!$AA$75:$AL$75,"",AF18:AQ18),SUMIF('Monthly Summary'!$AA$74:$AL$74,"",AF18:AQ18))</f>
        <v>0</v>
      </c>
      <c r="DM18" s="1283">
        <f>IF($DI18="Opex",SUMIF('Monthly Summary'!$AM$75:$AX$75,"",AR18:BC18),SUMIF('Monthly Summary'!$AM$74:$AX$74,"",AR18:BC18))</f>
        <v>0</v>
      </c>
      <c r="DN18" s="1283">
        <f>IF($DI18="Opex",SUMIF('Monthly Summary'!$AY$75:$BJ$75,"",BD18:BO18),SUMIF('Monthly Summary'!$AY$74:$BJ$74,"",BD18:BO18))</f>
        <v>0</v>
      </c>
      <c r="DO18" s="1284">
        <f>IF($DI18="Opex",SUMIF('Monthly Summary'!$BK$75:$BV$75,"",BP18:CA18),SUMIF('Monthly Summary'!$BK$74:$BV$74,"",BP18:CA18))</f>
        <v>0</v>
      </c>
      <c r="DP18" s="1285">
        <f t="shared" si="14"/>
        <v>0</v>
      </c>
    </row>
    <row r="19" spans="1:120" s="809" customFormat="1">
      <c r="A19" s="1261"/>
      <c r="B19" s="1261"/>
      <c r="C19" s="1261"/>
      <c r="D19" s="1262"/>
      <c r="E19" s="1263"/>
      <c r="F19" s="1263"/>
      <c r="G19" s="1263"/>
      <c r="H19" s="1267"/>
      <c r="I19" s="1268"/>
      <c r="J19" s="1268"/>
      <c r="K19" s="1268"/>
      <c r="L19" s="1268"/>
      <c r="M19" s="1268"/>
      <c r="N19" s="1268"/>
      <c r="O19" s="1268"/>
      <c r="P19" s="1268"/>
      <c r="Q19" s="1268"/>
      <c r="R19" s="1268"/>
      <c r="S19" s="1269"/>
      <c r="T19" s="1267"/>
      <c r="U19" s="1268"/>
      <c r="V19" s="1268"/>
      <c r="W19" s="1268"/>
      <c r="X19" s="1268"/>
      <c r="Y19" s="1268"/>
      <c r="Z19" s="1268"/>
      <c r="AA19" s="1268"/>
      <c r="AB19" s="1268"/>
      <c r="AC19" s="1268"/>
      <c r="AD19" s="1268"/>
      <c r="AE19" s="1269"/>
      <c r="AF19" s="1267"/>
      <c r="AG19" s="1268"/>
      <c r="AH19" s="1268"/>
      <c r="AI19" s="1268"/>
      <c r="AJ19" s="1268"/>
      <c r="AK19" s="1268"/>
      <c r="AL19" s="1268"/>
      <c r="AM19" s="1268"/>
      <c r="AN19" s="1268"/>
      <c r="AO19" s="1268"/>
      <c r="AP19" s="1268"/>
      <c r="AQ19" s="1269"/>
      <c r="AR19" s="1267"/>
      <c r="AS19" s="1268"/>
      <c r="AT19" s="1268"/>
      <c r="AU19" s="1268"/>
      <c r="AV19" s="1268"/>
      <c r="AW19" s="1268"/>
      <c r="AX19" s="1268"/>
      <c r="AY19" s="1268"/>
      <c r="AZ19" s="1268"/>
      <c r="BA19" s="1268"/>
      <c r="BB19" s="1268"/>
      <c r="BC19" s="1269"/>
      <c r="BD19" s="1267"/>
      <c r="BE19" s="1268"/>
      <c r="BF19" s="1268"/>
      <c r="BG19" s="1268"/>
      <c r="BH19" s="1268"/>
      <c r="BI19" s="1268"/>
      <c r="BJ19" s="1268"/>
      <c r="BK19" s="1268"/>
      <c r="BL19" s="1268"/>
      <c r="BM19" s="1268"/>
      <c r="BN19" s="1268"/>
      <c r="BO19" s="1269"/>
      <c r="BP19" s="1267"/>
      <c r="BQ19" s="1268"/>
      <c r="BR19" s="1268"/>
      <c r="BS19" s="1268"/>
      <c r="BT19" s="1268"/>
      <c r="BU19" s="1268"/>
      <c r="BV19" s="1268"/>
      <c r="BW19" s="1268"/>
      <c r="BX19" s="1268"/>
      <c r="BY19" s="1268"/>
      <c r="BZ19" s="1268"/>
      <c r="CA19" s="1269"/>
      <c r="CB19" s="1286">
        <f t="shared" si="7"/>
        <v>0</v>
      </c>
      <c r="CC19" s="1277">
        <f>IF($F19=Miscellaneous!$N$8,SUM($H19:CA19),0)</f>
        <v>0</v>
      </c>
      <c r="CD19" s="1277">
        <f>IF($F19=Miscellaneous!$N$8,IF($G19="Opex",SUMIF('Monthly Summary'!$C$75:BV$75,"",$H19:CA19),SUMIF('Monthly Summary'!$C$74:BV$74,"",$H19:CA19)),0)</f>
        <v>0</v>
      </c>
      <c r="CE19" s="1286">
        <f t="shared" si="8"/>
        <v>0</v>
      </c>
      <c r="CF19" s="833"/>
      <c r="CG19" s="1277">
        <f>IF($F19=Miscellaneous!$N$9,SUM($H19:CA19),0)</f>
        <v>0</v>
      </c>
      <c r="CH19" s="1277">
        <f>IF($F19=Miscellaneous!$N$9,IF($G19="Opex",SUMIF('Monthly Summary'!$C$75:BV$75,"",$H19:CA19),SUMIF('Monthly Summary'!$C$74:BV$74,"",$H19:CA19)),0)</f>
        <v>0</v>
      </c>
      <c r="CI19" s="1286">
        <f t="shared" si="9"/>
        <v>0</v>
      </c>
      <c r="CJ19" s="833"/>
      <c r="CK19" s="1277">
        <f>IF($F19=Miscellaneous!$N$7,SUM($H19:CA19),0)</f>
        <v>0</v>
      </c>
      <c r="CL19" s="1277">
        <f>IF($F19=Miscellaneous!$N$7,IF($G19="Opex",SUMIF('Monthly Summary'!$C$75:BV$75,"",$H19:CA19),SUMIF('Monthly Summary'!$C$74:BV$74,"",$H19:CA19)),0)</f>
        <v>0</v>
      </c>
      <c r="CM19" s="1286">
        <f t="shared" si="10"/>
        <v>0</v>
      </c>
      <c r="CN19" s="833"/>
      <c r="CO19" s="1277">
        <f>IF($F19=Miscellaneous!$N$6,SUM($H19:CA19),0)</f>
        <v>0</v>
      </c>
      <c r="CP19" s="1277">
        <f>IF($F19=Miscellaneous!$N$6,IF($G19="Opex",SUMIF('Monthly Summary'!$C$75:BV$75,"",$H19:CA19),SUMIF('Monthly Summary'!$C$74:BV$74,"",$H19:CA19)),0)</f>
        <v>0</v>
      </c>
      <c r="CQ19" s="1286">
        <f t="shared" si="11"/>
        <v>0</v>
      </c>
      <c r="CR19" s="833"/>
      <c r="CS19" s="1277">
        <f>IF($A19="Software",SUM($H19:CA19),0)</f>
        <v>0</v>
      </c>
      <c r="CT19" s="1277">
        <f>IF($A19="Software",IF($G19="Opex",SUMIF('Monthly Summary'!$C$75:BV$75,"",$H19:CA19),SUMIF('Monthly Summary'!$C$74:BV$74,"",$H19:CA19)),0)</f>
        <v>0</v>
      </c>
      <c r="CU19" s="1286">
        <f t="shared" si="12"/>
        <v>0</v>
      </c>
      <c r="CV19" s="833"/>
      <c r="CW19" s="1277">
        <f t="shared" si="0"/>
        <v>0</v>
      </c>
      <c r="CX19" s="1277">
        <f t="shared" si="1"/>
        <v>0</v>
      </c>
      <c r="CY19" s="1286">
        <f t="shared" si="13"/>
        <v>0</v>
      </c>
      <c r="CZ19" s="833"/>
      <c r="DA19" s="1286">
        <f>IF($G19="Opex",SUMIF('Monthly Summary'!$C$75:BV$75,"",$H19:CA19),SUMIF('Monthly Summary'!$C$74:BV$74,"",$H19:CA19))</f>
        <v>0</v>
      </c>
      <c r="DB19" s="1278">
        <f t="shared" si="2"/>
        <v>0</v>
      </c>
      <c r="DC19" s="1279">
        <f>IF(AND(OR($D19=Variables!A$38,$D19=Variables!A$43),$F19&lt;&gt;"N/A"),1,0)</f>
        <v>0</v>
      </c>
      <c r="DD19" s="820"/>
      <c r="DE19" s="1281" t="str">
        <f t="shared" si="15"/>
        <v/>
      </c>
      <c r="DF19" s="1282" t="str">
        <f t="shared" si="16"/>
        <v/>
      </c>
      <c r="DG19" s="1282" t="str">
        <f t="shared" si="17"/>
        <v/>
      </c>
      <c r="DH19" s="1282" t="str">
        <f>IF(ISNA(VLOOKUP(DE19,Miscellaneous!E:F,2,0)),"",VLOOKUP(DE19,Miscellaneous!E:F,2,0))</f>
        <v/>
      </c>
      <c r="DI19" s="1282" t="str">
        <f t="shared" si="18"/>
        <v/>
      </c>
      <c r="DJ19" s="1283">
        <f>IF($DI19="Opex",SUMIF('Monthly Summary'!$C$75:$N$75,"",H19:S19),SUMIF('Monthly Summary'!$C$74:$N$74,"",H19:S19))</f>
        <v>0</v>
      </c>
      <c r="DK19" s="1283">
        <f>IF($DI19="Opex",SUMIF('Monthly Summary'!$O$75:$Z$75,"",T19:AE19),SUMIF('Monthly Summary'!$O$74:$Z$74,"",T19:AE19))</f>
        <v>0</v>
      </c>
      <c r="DL19" s="1283">
        <f>IF($DI19="Opex",SUMIF('Monthly Summary'!$AA$75:$AL$75,"",AF19:AQ19),SUMIF('Monthly Summary'!$AA$74:$AL$74,"",AF19:AQ19))</f>
        <v>0</v>
      </c>
      <c r="DM19" s="1283">
        <f>IF($DI19="Opex",SUMIF('Monthly Summary'!$AM$75:$AX$75,"",AR19:BC19),SUMIF('Monthly Summary'!$AM$74:$AX$74,"",AR19:BC19))</f>
        <v>0</v>
      </c>
      <c r="DN19" s="1283">
        <f>IF($DI19="Opex",SUMIF('Monthly Summary'!$AY$75:$BJ$75,"",BD19:BO19),SUMIF('Monthly Summary'!$AY$74:$BJ$74,"",BD19:BO19))</f>
        <v>0</v>
      </c>
      <c r="DO19" s="1284">
        <f>IF($DI19="Opex",SUMIF('Monthly Summary'!$BK$75:$BV$75,"",BP19:CA19),SUMIF('Monthly Summary'!$BK$74:$BV$74,"",BP19:CA19))</f>
        <v>0</v>
      </c>
      <c r="DP19" s="1285">
        <f t="shared" si="14"/>
        <v>0</v>
      </c>
    </row>
    <row r="20" spans="1:120" s="809" customFormat="1">
      <c r="A20" s="1261"/>
      <c r="B20" s="1261"/>
      <c r="C20" s="1261"/>
      <c r="D20" s="1262"/>
      <c r="E20" s="1270"/>
      <c r="F20" s="1263"/>
      <c r="G20" s="1263"/>
      <c r="H20" s="1267"/>
      <c r="I20" s="1268"/>
      <c r="J20" s="1268"/>
      <c r="K20" s="1268"/>
      <c r="L20" s="1268"/>
      <c r="M20" s="1268"/>
      <c r="N20" s="1268"/>
      <c r="O20" s="1268"/>
      <c r="P20" s="1268"/>
      <c r="Q20" s="1268"/>
      <c r="R20" s="1268"/>
      <c r="S20" s="1269"/>
      <c r="T20" s="1267"/>
      <c r="U20" s="1268"/>
      <c r="V20" s="1268"/>
      <c r="W20" s="1268"/>
      <c r="X20" s="1268"/>
      <c r="Y20" s="1268"/>
      <c r="Z20" s="1268"/>
      <c r="AA20" s="1268"/>
      <c r="AB20" s="1268"/>
      <c r="AC20" s="1268"/>
      <c r="AD20" s="1268"/>
      <c r="AE20" s="1269"/>
      <c r="AF20" s="1267"/>
      <c r="AG20" s="1268"/>
      <c r="AH20" s="1268"/>
      <c r="AI20" s="1268"/>
      <c r="AJ20" s="1268"/>
      <c r="AK20" s="1268"/>
      <c r="AL20" s="1268"/>
      <c r="AM20" s="1268"/>
      <c r="AN20" s="1268"/>
      <c r="AO20" s="1268"/>
      <c r="AP20" s="1268"/>
      <c r="AQ20" s="1269"/>
      <c r="AR20" s="1267"/>
      <c r="AS20" s="1268"/>
      <c r="AT20" s="1268"/>
      <c r="AU20" s="1268"/>
      <c r="AV20" s="1268"/>
      <c r="AW20" s="1268"/>
      <c r="AX20" s="1268"/>
      <c r="AY20" s="1268"/>
      <c r="AZ20" s="1268"/>
      <c r="BA20" s="1268"/>
      <c r="BB20" s="1268"/>
      <c r="BC20" s="1269"/>
      <c r="BD20" s="1267"/>
      <c r="BE20" s="1268"/>
      <c r="BF20" s="1268"/>
      <c r="BG20" s="1268"/>
      <c r="BH20" s="1268"/>
      <c r="BI20" s="1268"/>
      <c r="BJ20" s="1268"/>
      <c r="BK20" s="1268"/>
      <c r="BL20" s="1268"/>
      <c r="BM20" s="1268"/>
      <c r="BN20" s="1268"/>
      <c r="BO20" s="1269"/>
      <c r="BP20" s="1267"/>
      <c r="BQ20" s="1268"/>
      <c r="BR20" s="1268"/>
      <c r="BS20" s="1268"/>
      <c r="BT20" s="1268"/>
      <c r="BU20" s="1268"/>
      <c r="BV20" s="1268"/>
      <c r="BW20" s="1268"/>
      <c r="BX20" s="1268"/>
      <c r="BY20" s="1268"/>
      <c r="BZ20" s="1268"/>
      <c r="CA20" s="1269"/>
      <c r="CB20" s="1286">
        <f t="shared" si="7"/>
        <v>0</v>
      </c>
      <c r="CC20" s="1277">
        <f>IF($F20=Miscellaneous!$N$8,SUM($H20:CA20),0)</f>
        <v>0</v>
      </c>
      <c r="CD20" s="1277">
        <f>IF($F20=Miscellaneous!$N$8,IF($G20="Opex",SUMIF('Monthly Summary'!$C$75:BV$75,"",$H20:CA20),SUMIF('Monthly Summary'!$C$74:BV$74,"",$H20:CA20)),0)</f>
        <v>0</v>
      </c>
      <c r="CE20" s="1286">
        <f t="shared" si="8"/>
        <v>0</v>
      </c>
      <c r="CF20" s="833"/>
      <c r="CG20" s="1277">
        <f>IF($F20=Miscellaneous!$N$9,SUM($H20:CA20),0)</f>
        <v>0</v>
      </c>
      <c r="CH20" s="1277">
        <f>IF($F20=Miscellaneous!$N$9,IF($G20="Opex",SUMIF('Monthly Summary'!$C$75:BV$75,"",$H20:CA20),SUMIF('Monthly Summary'!$C$74:BV$74,"",$H20:CA20)),0)</f>
        <v>0</v>
      </c>
      <c r="CI20" s="1286">
        <f t="shared" si="9"/>
        <v>0</v>
      </c>
      <c r="CJ20" s="833"/>
      <c r="CK20" s="1277">
        <f>IF($F20=Miscellaneous!$N$7,SUM($H20:CA20),0)</f>
        <v>0</v>
      </c>
      <c r="CL20" s="1277">
        <f>IF($F20=Miscellaneous!$N$7,IF($G20="Opex",SUMIF('Monthly Summary'!$C$75:BV$75,"",$H20:CA20),SUMIF('Monthly Summary'!$C$74:BV$74,"",$H20:CA20)),0)</f>
        <v>0</v>
      </c>
      <c r="CM20" s="1286">
        <f t="shared" si="10"/>
        <v>0</v>
      </c>
      <c r="CN20" s="833"/>
      <c r="CO20" s="1277">
        <f>IF($F20=Miscellaneous!$N$6,SUM($H20:CA20),0)</f>
        <v>0</v>
      </c>
      <c r="CP20" s="1277">
        <f>IF($F20=Miscellaneous!$N$6,IF($G20="Opex",SUMIF('Monthly Summary'!$C$75:BV$75,"",$H20:CA20),SUMIF('Monthly Summary'!$C$74:BV$74,"",$H20:CA20)),0)</f>
        <v>0</v>
      </c>
      <c r="CQ20" s="1286">
        <f t="shared" si="11"/>
        <v>0</v>
      </c>
      <c r="CR20" s="833"/>
      <c r="CS20" s="1277">
        <f>IF($A20="Software",SUM($H20:CA20),0)</f>
        <v>0</v>
      </c>
      <c r="CT20" s="1277">
        <f>IF($A20="Software",IF($G20="Opex",SUMIF('Monthly Summary'!$C$75:BV$75,"",$H20:CA20),SUMIF('Monthly Summary'!$C$74:BV$74,"",$H20:CA20)),0)</f>
        <v>0</v>
      </c>
      <c r="CU20" s="1286">
        <f t="shared" si="12"/>
        <v>0</v>
      </c>
      <c r="CV20" s="833"/>
      <c r="CW20" s="1277">
        <f t="shared" si="0"/>
        <v>0</v>
      </c>
      <c r="CX20" s="1277">
        <f t="shared" si="1"/>
        <v>0</v>
      </c>
      <c r="CY20" s="1286">
        <f t="shared" si="13"/>
        <v>0</v>
      </c>
      <c r="CZ20" s="833"/>
      <c r="DA20" s="1286">
        <f>IF($G20="Opex",SUMIF('Monthly Summary'!$C$75:BV$75,"",$H20:CA20),SUMIF('Monthly Summary'!$C$74:BV$74,"",$H20:CA20))</f>
        <v>0</v>
      </c>
      <c r="DB20" s="1278">
        <f t="shared" si="2"/>
        <v>0</v>
      </c>
      <c r="DC20" s="1279">
        <f>IF(AND(OR($D20=Variables!A$38,$D20=Variables!A$43),$F20&lt;&gt;"N/A"),1,0)</f>
        <v>0</v>
      </c>
      <c r="DD20" s="820"/>
      <c r="DE20" s="1281" t="str">
        <f t="shared" si="15"/>
        <v/>
      </c>
      <c r="DF20" s="1282" t="str">
        <f t="shared" si="16"/>
        <v/>
      </c>
      <c r="DG20" s="1282" t="str">
        <f t="shared" si="17"/>
        <v/>
      </c>
      <c r="DH20" s="1282" t="str">
        <f>IF(ISNA(VLOOKUP(DE20,Miscellaneous!E:F,2,0)),"",VLOOKUP(DE20,Miscellaneous!E:F,2,0))</f>
        <v/>
      </c>
      <c r="DI20" s="1282" t="str">
        <f t="shared" si="18"/>
        <v/>
      </c>
      <c r="DJ20" s="1283">
        <f>IF($DI20="Opex",SUMIF('Monthly Summary'!$C$75:$N$75,"",H20:S20),SUMIF('Monthly Summary'!$C$74:$N$74,"",H20:S20))</f>
        <v>0</v>
      </c>
      <c r="DK20" s="1283">
        <f>IF($DI20="Opex",SUMIF('Monthly Summary'!$O$75:$Z$75,"",T20:AE20),SUMIF('Monthly Summary'!$O$74:$Z$74,"",T20:AE20))</f>
        <v>0</v>
      </c>
      <c r="DL20" s="1283">
        <f>IF($DI20="Opex",SUMIF('Monthly Summary'!$AA$75:$AL$75,"",AF20:AQ20),SUMIF('Monthly Summary'!$AA$74:$AL$74,"",AF20:AQ20))</f>
        <v>0</v>
      </c>
      <c r="DM20" s="1283">
        <f>IF($DI20="Opex",SUMIF('Monthly Summary'!$AM$75:$AX$75,"",AR20:BC20),SUMIF('Monthly Summary'!$AM$74:$AX$74,"",AR20:BC20))</f>
        <v>0</v>
      </c>
      <c r="DN20" s="1283">
        <f>IF($DI20="Opex",SUMIF('Monthly Summary'!$AY$75:$BJ$75,"",BD20:BO20),SUMIF('Monthly Summary'!$AY$74:$BJ$74,"",BD20:BO20))</f>
        <v>0</v>
      </c>
      <c r="DO20" s="1284">
        <f>IF($DI20="Opex",SUMIF('Monthly Summary'!$BK$75:$BV$75,"",BP20:CA20),SUMIF('Monthly Summary'!$BK$74:$BV$74,"",BP20:CA20))</f>
        <v>0</v>
      </c>
      <c r="DP20" s="1285">
        <f t="shared" si="14"/>
        <v>0</v>
      </c>
    </row>
    <row r="21" spans="1:120" s="809" customFormat="1">
      <c r="A21" s="1261"/>
      <c r="B21" s="1261"/>
      <c r="C21" s="1261"/>
      <c r="D21" s="1262"/>
      <c r="E21" s="1270"/>
      <c r="F21" s="1263"/>
      <c r="G21" s="1263"/>
      <c r="H21" s="1267"/>
      <c r="I21" s="1268"/>
      <c r="J21" s="1268"/>
      <c r="K21" s="1268"/>
      <c r="L21" s="1268"/>
      <c r="M21" s="1268"/>
      <c r="N21" s="1268"/>
      <c r="O21" s="1268"/>
      <c r="P21" s="1268"/>
      <c r="Q21" s="1268"/>
      <c r="R21" s="1268"/>
      <c r="S21" s="1269"/>
      <c r="T21" s="1267"/>
      <c r="U21" s="1268"/>
      <c r="V21" s="1268"/>
      <c r="W21" s="1268"/>
      <c r="X21" s="1268"/>
      <c r="Y21" s="1268"/>
      <c r="Z21" s="1268"/>
      <c r="AA21" s="1268"/>
      <c r="AB21" s="1268"/>
      <c r="AC21" s="1268"/>
      <c r="AD21" s="1268"/>
      <c r="AE21" s="1269"/>
      <c r="AF21" s="1267"/>
      <c r="AG21" s="1268"/>
      <c r="AH21" s="1268"/>
      <c r="AI21" s="1268"/>
      <c r="AJ21" s="1268"/>
      <c r="AK21" s="1268"/>
      <c r="AL21" s="1268"/>
      <c r="AM21" s="1268"/>
      <c r="AN21" s="1268"/>
      <c r="AO21" s="1268"/>
      <c r="AP21" s="1268"/>
      <c r="AQ21" s="1269"/>
      <c r="AR21" s="1267"/>
      <c r="AS21" s="1268"/>
      <c r="AT21" s="1268"/>
      <c r="AU21" s="1268"/>
      <c r="AV21" s="1268"/>
      <c r="AW21" s="1268"/>
      <c r="AX21" s="1268"/>
      <c r="AY21" s="1268"/>
      <c r="AZ21" s="1268"/>
      <c r="BA21" s="1268"/>
      <c r="BB21" s="1268"/>
      <c r="BC21" s="1269"/>
      <c r="BD21" s="1267"/>
      <c r="BE21" s="1268"/>
      <c r="BF21" s="1268"/>
      <c r="BG21" s="1268"/>
      <c r="BH21" s="1268"/>
      <c r="BI21" s="1268"/>
      <c r="BJ21" s="1268"/>
      <c r="BK21" s="1268"/>
      <c r="BL21" s="1268"/>
      <c r="BM21" s="1268"/>
      <c r="BN21" s="1268"/>
      <c r="BO21" s="1269"/>
      <c r="BP21" s="1267"/>
      <c r="BQ21" s="1268"/>
      <c r="BR21" s="1268"/>
      <c r="BS21" s="1268"/>
      <c r="BT21" s="1268"/>
      <c r="BU21" s="1268"/>
      <c r="BV21" s="1268"/>
      <c r="BW21" s="1268"/>
      <c r="BX21" s="1268"/>
      <c r="BY21" s="1268"/>
      <c r="BZ21" s="1268"/>
      <c r="CA21" s="1269"/>
      <c r="CB21" s="1286">
        <f t="shared" si="7"/>
        <v>0</v>
      </c>
      <c r="CC21" s="1277">
        <f>IF($F21=Miscellaneous!$N$8,SUM($H21:CA21),0)</f>
        <v>0</v>
      </c>
      <c r="CD21" s="1277">
        <f>IF($F21=Miscellaneous!$N$8,IF($G21="Opex",SUMIF('Monthly Summary'!$C$75:BV$75,"",$H21:CA21),SUMIF('Monthly Summary'!$C$74:BV$74,"",$H21:CA21)),0)</f>
        <v>0</v>
      </c>
      <c r="CE21" s="1286">
        <f t="shared" si="8"/>
        <v>0</v>
      </c>
      <c r="CF21" s="833"/>
      <c r="CG21" s="1277">
        <f>IF($F21=Miscellaneous!$N$9,SUM($H21:CA21),0)</f>
        <v>0</v>
      </c>
      <c r="CH21" s="1277">
        <f>IF($F21=Miscellaneous!$N$9,IF($G21="Opex",SUMIF('Monthly Summary'!$C$75:BV$75,"",$H21:CA21),SUMIF('Monthly Summary'!$C$74:BV$74,"",$H21:CA21)),0)</f>
        <v>0</v>
      </c>
      <c r="CI21" s="1286">
        <f t="shared" si="9"/>
        <v>0</v>
      </c>
      <c r="CJ21" s="833"/>
      <c r="CK21" s="1277">
        <f>IF($F21=Miscellaneous!$N$7,SUM($H21:CA21),0)</f>
        <v>0</v>
      </c>
      <c r="CL21" s="1277">
        <f>IF($F21=Miscellaneous!$N$7,IF($G21="Opex",SUMIF('Monthly Summary'!$C$75:BV$75,"",$H21:CA21),SUMIF('Monthly Summary'!$C$74:BV$74,"",$H21:CA21)),0)</f>
        <v>0</v>
      </c>
      <c r="CM21" s="1286">
        <f t="shared" si="10"/>
        <v>0</v>
      </c>
      <c r="CN21" s="833"/>
      <c r="CO21" s="1277">
        <f>IF($F21=Miscellaneous!$N$6,SUM($H21:CA21),0)</f>
        <v>0</v>
      </c>
      <c r="CP21" s="1277">
        <f>IF($F21=Miscellaneous!$N$6,IF($G21="Opex",SUMIF('Monthly Summary'!$C$75:BV$75,"",$H21:CA21),SUMIF('Monthly Summary'!$C$74:BV$74,"",$H21:CA21)),0)</f>
        <v>0</v>
      </c>
      <c r="CQ21" s="1286">
        <f t="shared" si="11"/>
        <v>0</v>
      </c>
      <c r="CR21" s="833"/>
      <c r="CS21" s="1277">
        <f>IF($A21="Software",SUM($H21:CA21),0)</f>
        <v>0</v>
      </c>
      <c r="CT21" s="1277">
        <f>IF($A21="Software",IF($G21="Opex",SUMIF('Monthly Summary'!$C$75:BV$75,"",$H21:CA21),SUMIF('Monthly Summary'!$C$74:BV$74,"",$H21:CA21)),0)</f>
        <v>0</v>
      </c>
      <c r="CU21" s="1286">
        <f t="shared" si="12"/>
        <v>0</v>
      </c>
      <c r="CV21" s="833"/>
      <c r="CW21" s="1277">
        <f t="shared" si="0"/>
        <v>0</v>
      </c>
      <c r="CX21" s="1277">
        <f t="shared" si="1"/>
        <v>0</v>
      </c>
      <c r="CY21" s="1286">
        <f t="shared" si="13"/>
        <v>0</v>
      </c>
      <c r="CZ21" s="833"/>
      <c r="DA21" s="1286">
        <f>IF($G21="Opex",SUMIF('Monthly Summary'!$C$75:BV$75,"",$H21:CA21),SUMIF('Monthly Summary'!$C$74:BV$74,"",$H21:CA21))</f>
        <v>0</v>
      </c>
      <c r="DB21" s="1278">
        <f t="shared" si="2"/>
        <v>0</v>
      </c>
      <c r="DC21" s="1279">
        <f>IF(AND(OR($D21=Variables!A$38,$D21=Variables!A$43),$F21&lt;&gt;"N/A"),1,0)</f>
        <v>0</v>
      </c>
      <c r="DD21" s="820"/>
      <c r="DE21" s="1281" t="str">
        <f t="shared" si="15"/>
        <v/>
      </c>
      <c r="DF21" s="1282" t="str">
        <f t="shared" si="16"/>
        <v/>
      </c>
      <c r="DG21" s="1282" t="str">
        <f t="shared" si="17"/>
        <v/>
      </c>
      <c r="DH21" s="1282" t="str">
        <f>IF(ISNA(VLOOKUP(DE21,Miscellaneous!E:F,2,0)),"",VLOOKUP(DE21,Miscellaneous!E:F,2,0))</f>
        <v/>
      </c>
      <c r="DI21" s="1282" t="str">
        <f t="shared" si="18"/>
        <v/>
      </c>
      <c r="DJ21" s="1283">
        <f>IF($DI21="Opex",SUMIF('Monthly Summary'!$C$75:$N$75,"",H21:S21),SUMIF('Monthly Summary'!$C$74:$N$74,"",H21:S21))</f>
        <v>0</v>
      </c>
      <c r="DK21" s="1283">
        <f>IF($DI21="Opex",SUMIF('Monthly Summary'!$O$75:$Z$75,"",T21:AE21),SUMIF('Monthly Summary'!$O$74:$Z$74,"",T21:AE21))</f>
        <v>0</v>
      </c>
      <c r="DL21" s="1283">
        <f>IF($DI21="Opex",SUMIF('Monthly Summary'!$AA$75:$AL$75,"",AF21:AQ21),SUMIF('Monthly Summary'!$AA$74:$AL$74,"",AF21:AQ21))</f>
        <v>0</v>
      </c>
      <c r="DM21" s="1283">
        <f>IF($DI21="Opex",SUMIF('Monthly Summary'!$AM$75:$AX$75,"",AR21:BC21),SUMIF('Monthly Summary'!$AM$74:$AX$74,"",AR21:BC21))</f>
        <v>0</v>
      </c>
      <c r="DN21" s="1283">
        <f>IF($DI21="Opex",SUMIF('Monthly Summary'!$AY$75:$BJ$75,"",BD21:BO21),SUMIF('Monthly Summary'!$AY$74:$BJ$74,"",BD21:BO21))</f>
        <v>0</v>
      </c>
      <c r="DO21" s="1284">
        <f>IF($DI21="Opex",SUMIF('Monthly Summary'!$BK$75:$BV$75,"",BP21:CA21),SUMIF('Monthly Summary'!$BK$74:$BV$74,"",BP21:CA21))</f>
        <v>0</v>
      </c>
      <c r="DP21" s="1285">
        <f t="shared" si="14"/>
        <v>0</v>
      </c>
    </row>
    <row r="22" spans="1:120" s="809" customFormat="1">
      <c r="A22" s="1261"/>
      <c r="B22" s="1261"/>
      <c r="C22" s="1261"/>
      <c r="D22" s="1262"/>
      <c r="E22" s="1270"/>
      <c r="F22" s="1263"/>
      <c r="G22" s="1263"/>
      <c r="H22" s="1267"/>
      <c r="I22" s="1268"/>
      <c r="J22" s="1268"/>
      <c r="K22" s="1268"/>
      <c r="L22" s="1268"/>
      <c r="M22" s="1268"/>
      <c r="N22" s="1268"/>
      <c r="O22" s="1268"/>
      <c r="P22" s="1268"/>
      <c r="Q22" s="1268"/>
      <c r="R22" s="1268"/>
      <c r="S22" s="1269"/>
      <c r="T22" s="1267"/>
      <c r="U22" s="1268"/>
      <c r="V22" s="1268"/>
      <c r="W22" s="1268"/>
      <c r="X22" s="1268"/>
      <c r="Y22" s="1268"/>
      <c r="Z22" s="1268"/>
      <c r="AA22" s="1268"/>
      <c r="AB22" s="1268"/>
      <c r="AC22" s="1268"/>
      <c r="AD22" s="1268"/>
      <c r="AE22" s="1269"/>
      <c r="AF22" s="1267"/>
      <c r="AG22" s="1268"/>
      <c r="AH22" s="1268"/>
      <c r="AI22" s="1268"/>
      <c r="AJ22" s="1268"/>
      <c r="AK22" s="1268"/>
      <c r="AL22" s="1268"/>
      <c r="AM22" s="1268"/>
      <c r="AN22" s="1268"/>
      <c r="AO22" s="1268"/>
      <c r="AP22" s="1268"/>
      <c r="AQ22" s="1269"/>
      <c r="AR22" s="1267"/>
      <c r="AS22" s="1268"/>
      <c r="AT22" s="1268"/>
      <c r="AU22" s="1268"/>
      <c r="AV22" s="1268"/>
      <c r="AW22" s="1268"/>
      <c r="AX22" s="1268"/>
      <c r="AY22" s="1268"/>
      <c r="AZ22" s="1268"/>
      <c r="BA22" s="1268"/>
      <c r="BB22" s="1268"/>
      <c r="BC22" s="1269"/>
      <c r="BD22" s="1267"/>
      <c r="BE22" s="1268"/>
      <c r="BF22" s="1268"/>
      <c r="BG22" s="1268"/>
      <c r="BH22" s="1268"/>
      <c r="BI22" s="1268"/>
      <c r="BJ22" s="1268"/>
      <c r="BK22" s="1268"/>
      <c r="BL22" s="1268"/>
      <c r="BM22" s="1268"/>
      <c r="BN22" s="1268"/>
      <c r="BO22" s="1269"/>
      <c r="BP22" s="1267"/>
      <c r="BQ22" s="1268"/>
      <c r="BR22" s="1268"/>
      <c r="BS22" s="1268"/>
      <c r="BT22" s="1268"/>
      <c r="BU22" s="1268"/>
      <c r="BV22" s="1268"/>
      <c r="BW22" s="1268"/>
      <c r="BX22" s="1268"/>
      <c r="BY22" s="1268"/>
      <c r="BZ22" s="1268"/>
      <c r="CA22" s="1269"/>
      <c r="CB22" s="1286">
        <f t="shared" si="7"/>
        <v>0</v>
      </c>
      <c r="CC22" s="1277">
        <f>IF($F22=Miscellaneous!$N$8,SUM($H22:CA22),0)</f>
        <v>0</v>
      </c>
      <c r="CD22" s="1277">
        <f>IF($F22=Miscellaneous!$N$8,IF($G22="Opex",SUMIF('Monthly Summary'!$C$75:BV$75,"",$H22:CA22),SUMIF('Monthly Summary'!$C$74:BV$74,"",$H22:CA22)),0)</f>
        <v>0</v>
      </c>
      <c r="CE22" s="1286">
        <f t="shared" si="8"/>
        <v>0</v>
      </c>
      <c r="CF22" s="833"/>
      <c r="CG22" s="1277">
        <f>IF($F22=Miscellaneous!$N$9,SUM($H22:CA22),0)</f>
        <v>0</v>
      </c>
      <c r="CH22" s="1277">
        <f>IF($F22=Miscellaneous!$N$9,IF($G22="Opex",SUMIF('Monthly Summary'!$C$75:BV$75,"",$H22:CA22),SUMIF('Monthly Summary'!$C$74:BV$74,"",$H22:CA22)),0)</f>
        <v>0</v>
      </c>
      <c r="CI22" s="1286">
        <f t="shared" si="9"/>
        <v>0</v>
      </c>
      <c r="CJ22" s="833"/>
      <c r="CK22" s="1277">
        <f>IF($F22=Miscellaneous!$N$7,SUM($H22:CA22),0)</f>
        <v>0</v>
      </c>
      <c r="CL22" s="1277">
        <f>IF($F22=Miscellaneous!$N$7,IF($G22="Opex",SUMIF('Monthly Summary'!$C$75:BV$75,"",$H22:CA22),SUMIF('Monthly Summary'!$C$74:BV$74,"",$H22:CA22)),0)</f>
        <v>0</v>
      </c>
      <c r="CM22" s="1286">
        <f t="shared" si="10"/>
        <v>0</v>
      </c>
      <c r="CN22" s="833"/>
      <c r="CO22" s="1277">
        <f>IF($F22=Miscellaneous!$N$6,SUM($H22:CA22),0)</f>
        <v>0</v>
      </c>
      <c r="CP22" s="1277">
        <f>IF($F22=Miscellaneous!$N$6,IF($G22="Opex",SUMIF('Monthly Summary'!$C$75:BV$75,"",$H22:CA22),SUMIF('Monthly Summary'!$C$74:BV$74,"",$H22:CA22)),0)</f>
        <v>0</v>
      </c>
      <c r="CQ22" s="1286">
        <f t="shared" si="11"/>
        <v>0</v>
      </c>
      <c r="CR22" s="833"/>
      <c r="CS22" s="1277">
        <f>IF($A22="Software",SUM($H22:CA22),0)</f>
        <v>0</v>
      </c>
      <c r="CT22" s="1277">
        <f>IF($A22="Software",IF($G22="Opex",SUMIF('Monthly Summary'!$C$75:BV$75,"",$H22:CA22),SUMIF('Monthly Summary'!$C$74:BV$74,"",$H22:CA22)),0)</f>
        <v>0</v>
      </c>
      <c r="CU22" s="1286">
        <f t="shared" si="12"/>
        <v>0</v>
      </c>
      <c r="CV22" s="833"/>
      <c r="CW22" s="1277">
        <f t="shared" si="0"/>
        <v>0</v>
      </c>
      <c r="CX22" s="1277">
        <f t="shared" si="1"/>
        <v>0</v>
      </c>
      <c r="CY22" s="1286">
        <f t="shared" si="13"/>
        <v>0</v>
      </c>
      <c r="CZ22" s="833"/>
      <c r="DA22" s="1286">
        <f>IF($G22="Opex",SUMIF('Monthly Summary'!$C$75:BV$75,"",$H22:CA22),SUMIF('Monthly Summary'!$C$74:BV$74,"",$H22:CA22))</f>
        <v>0</v>
      </c>
      <c r="DB22" s="1278">
        <f t="shared" si="2"/>
        <v>0</v>
      </c>
      <c r="DC22" s="1279">
        <f>IF(AND(OR($D22=Variables!A$38,$D22=Variables!A$43),$F22&lt;&gt;"N/A"),1,0)</f>
        <v>0</v>
      </c>
      <c r="DD22" s="820"/>
      <c r="DE22" s="1281" t="str">
        <f t="shared" si="15"/>
        <v/>
      </c>
      <c r="DF22" s="1282" t="str">
        <f t="shared" si="16"/>
        <v/>
      </c>
      <c r="DG22" s="1282" t="str">
        <f t="shared" si="17"/>
        <v/>
      </c>
      <c r="DH22" s="1282" t="str">
        <f>IF(ISNA(VLOOKUP(DE22,Miscellaneous!E:F,2,0)),"",VLOOKUP(DE22,Miscellaneous!E:F,2,0))</f>
        <v/>
      </c>
      <c r="DI22" s="1282" t="str">
        <f t="shared" si="18"/>
        <v/>
      </c>
      <c r="DJ22" s="1283">
        <f>IF($DI22="Opex",SUMIF('Monthly Summary'!$C$75:$N$75,"",H22:S22),SUMIF('Monthly Summary'!$C$74:$N$74,"",H22:S22))</f>
        <v>0</v>
      </c>
      <c r="DK22" s="1283">
        <f>IF($DI22="Opex",SUMIF('Monthly Summary'!$O$75:$Z$75,"",T22:AE22),SUMIF('Monthly Summary'!$O$74:$Z$74,"",T22:AE22))</f>
        <v>0</v>
      </c>
      <c r="DL22" s="1283">
        <f>IF($DI22="Opex",SUMIF('Monthly Summary'!$AA$75:$AL$75,"",AF22:AQ22),SUMIF('Monthly Summary'!$AA$74:$AL$74,"",AF22:AQ22))</f>
        <v>0</v>
      </c>
      <c r="DM22" s="1283">
        <f>IF($DI22="Opex",SUMIF('Monthly Summary'!$AM$75:$AX$75,"",AR22:BC22),SUMIF('Monthly Summary'!$AM$74:$AX$74,"",AR22:BC22))</f>
        <v>0</v>
      </c>
      <c r="DN22" s="1283">
        <f>IF($DI22="Opex",SUMIF('Monthly Summary'!$AY$75:$BJ$75,"",BD22:BO22),SUMIF('Monthly Summary'!$AY$74:$BJ$74,"",BD22:BO22))</f>
        <v>0</v>
      </c>
      <c r="DO22" s="1284">
        <f>IF($DI22="Opex",SUMIF('Monthly Summary'!$BK$75:$BV$75,"",BP22:CA22),SUMIF('Monthly Summary'!$BK$74:$BV$74,"",BP22:CA22))</f>
        <v>0</v>
      </c>
      <c r="DP22" s="1285">
        <f t="shared" si="14"/>
        <v>0</v>
      </c>
    </row>
    <row r="23" spans="1:120" s="809" customFormat="1">
      <c r="A23" s="1261"/>
      <c r="B23" s="1261"/>
      <c r="C23" s="1261"/>
      <c r="D23" s="1262"/>
      <c r="E23" s="1263"/>
      <c r="F23" s="1263"/>
      <c r="G23" s="1263"/>
      <c r="H23" s="1267"/>
      <c r="I23" s="1268"/>
      <c r="J23" s="1268"/>
      <c r="K23" s="1268"/>
      <c r="L23" s="1268"/>
      <c r="M23" s="1268"/>
      <c r="N23" s="1268"/>
      <c r="O23" s="1268"/>
      <c r="P23" s="1268"/>
      <c r="Q23" s="1268"/>
      <c r="R23" s="1268"/>
      <c r="S23" s="1269"/>
      <c r="T23" s="1267"/>
      <c r="U23" s="1268"/>
      <c r="V23" s="1268"/>
      <c r="W23" s="1268"/>
      <c r="X23" s="1268"/>
      <c r="Y23" s="1268"/>
      <c r="Z23" s="1268"/>
      <c r="AA23" s="1268"/>
      <c r="AB23" s="1268"/>
      <c r="AC23" s="1268"/>
      <c r="AD23" s="1268"/>
      <c r="AE23" s="1269"/>
      <c r="AF23" s="1267"/>
      <c r="AG23" s="1268"/>
      <c r="AH23" s="1268"/>
      <c r="AI23" s="1268"/>
      <c r="AJ23" s="1268"/>
      <c r="AK23" s="1268"/>
      <c r="AL23" s="1268"/>
      <c r="AM23" s="1268"/>
      <c r="AN23" s="1268"/>
      <c r="AO23" s="1268"/>
      <c r="AP23" s="1268"/>
      <c r="AQ23" s="1269"/>
      <c r="AR23" s="1267"/>
      <c r="AS23" s="1268"/>
      <c r="AT23" s="1268"/>
      <c r="AU23" s="1268"/>
      <c r="AV23" s="1268"/>
      <c r="AW23" s="1268"/>
      <c r="AX23" s="1268"/>
      <c r="AY23" s="1268"/>
      <c r="AZ23" s="1268"/>
      <c r="BA23" s="1268"/>
      <c r="BB23" s="1268"/>
      <c r="BC23" s="1269"/>
      <c r="BD23" s="1267"/>
      <c r="BE23" s="1268"/>
      <c r="BF23" s="1268"/>
      <c r="BG23" s="1268"/>
      <c r="BH23" s="1268"/>
      <c r="BI23" s="1268"/>
      <c r="BJ23" s="1268"/>
      <c r="BK23" s="1268"/>
      <c r="BL23" s="1268"/>
      <c r="BM23" s="1268"/>
      <c r="BN23" s="1268"/>
      <c r="BO23" s="1269"/>
      <c r="BP23" s="1267"/>
      <c r="BQ23" s="1268"/>
      <c r="BR23" s="1268"/>
      <c r="BS23" s="1268"/>
      <c r="BT23" s="1268"/>
      <c r="BU23" s="1268"/>
      <c r="BV23" s="1268"/>
      <c r="BW23" s="1268"/>
      <c r="BX23" s="1268"/>
      <c r="BY23" s="1268"/>
      <c r="BZ23" s="1268"/>
      <c r="CA23" s="1269"/>
      <c r="CB23" s="1286">
        <f t="shared" si="7"/>
        <v>0</v>
      </c>
      <c r="CC23" s="1277">
        <f>IF($F23=Miscellaneous!$N$8,SUM($H23:CA23),0)</f>
        <v>0</v>
      </c>
      <c r="CD23" s="1277">
        <f>IF($F23=Miscellaneous!$N$8,IF($G23="Opex",SUMIF('Monthly Summary'!$C$75:BV$75,"",$H23:CA23),SUMIF('Monthly Summary'!$C$74:BV$74,"",$H23:CA23)),0)</f>
        <v>0</v>
      </c>
      <c r="CE23" s="1286">
        <f t="shared" si="8"/>
        <v>0</v>
      </c>
      <c r="CF23" s="833"/>
      <c r="CG23" s="1277">
        <f>IF($F23=Miscellaneous!$N$9,SUM($H23:CA23),0)</f>
        <v>0</v>
      </c>
      <c r="CH23" s="1277">
        <f>IF($F23=Miscellaneous!$N$9,IF($G23="Opex",SUMIF('Monthly Summary'!$C$75:BV$75,"",$H23:CA23),SUMIF('Monthly Summary'!$C$74:BV$74,"",$H23:CA23)),0)</f>
        <v>0</v>
      </c>
      <c r="CI23" s="1286">
        <f t="shared" si="9"/>
        <v>0</v>
      </c>
      <c r="CJ23" s="833"/>
      <c r="CK23" s="1277">
        <f>IF($F23=Miscellaneous!$N$7,SUM($H23:CA23),0)</f>
        <v>0</v>
      </c>
      <c r="CL23" s="1277">
        <f>IF($F23=Miscellaneous!$N$7,IF($G23="Opex",SUMIF('Monthly Summary'!$C$75:BV$75,"",$H23:CA23),SUMIF('Monthly Summary'!$C$74:BV$74,"",$H23:CA23)),0)</f>
        <v>0</v>
      </c>
      <c r="CM23" s="1286">
        <f t="shared" si="10"/>
        <v>0</v>
      </c>
      <c r="CN23" s="833"/>
      <c r="CO23" s="1277">
        <f>IF($F23=Miscellaneous!$N$6,SUM($H23:CA23),0)</f>
        <v>0</v>
      </c>
      <c r="CP23" s="1277">
        <f>IF($F23=Miscellaneous!$N$6,IF($G23="Opex",SUMIF('Monthly Summary'!$C$75:BV$75,"",$H23:CA23),SUMIF('Monthly Summary'!$C$74:BV$74,"",$H23:CA23)),0)</f>
        <v>0</v>
      </c>
      <c r="CQ23" s="1286">
        <f t="shared" si="11"/>
        <v>0</v>
      </c>
      <c r="CR23" s="833"/>
      <c r="CS23" s="1277">
        <f>IF($A23="Software",SUM($H23:CA23),0)</f>
        <v>0</v>
      </c>
      <c r="CT23" s="1277">
        <f>IF($A23="Software",IF($G23="Opex",SUMIF('Monthly Summary'!$C$75:BV$75,"",$H23:CA23),SUMIF('Monthly Summary'!$C$74:BV$74,"",$H23:CA23)),0)</f>
        <v>0</v>
      </c>
      <c r="CU23" s="1286">
        <f t="shared" si="12"/>
        <v>0</v>
      </c>
      <c r="CV23" s="833"/>
      <c r="CW23" s="1277">
        <f t="shared" si="0"/>
        <v>0</v>
      </c>
      <c r="CX23" s="1277">
        <f t="shared" si="1"/>
        <v>0</v>
      </c>
      <c r="CY23" s="1286">
        <f t="shared" si="13"/>
        <v>0</v>
      </c>
      <c r="CZ23" s="833"/>
      <c r="DA23" s="1286">
        <f>IF($G23="Opex",SUMIF('Monthly Summary'!$C$75:BV$75,"",$H23:CA23),SUMIF('Monthly Summary'!$C$74:BV$74,"",$H23:CA23))</f>
        <v>0</v>
      </c>
      <c r="DB23" s="1278">
        <f t="shared" si="2"/>
        <v>0</v>
      </c>
      <c r="DC23" s="1279">
        <f>IF(AND(OR($D23=Variables!A$38,$D23=Variables!A$43),$F23&lt;&gt;"N/A"),1,0)</f>
        <v>0</v>
      </c>
      <c r="DD23" s="820"/>
      <c r="DE23" s="1281" t="str">
        <f t="shared" si="15"/>
        <v/>
      </c>
      <c r="DF23" s="1282" t="str">
        <f t="shared" si="16"/>
        <v/>
      </c>
      <c r="DG23" s="1282" t="str">
        <f t="shared" si="17"/>
        <v/>
      </c>
      <c r="DH23" s="1282" t="str">
        <f>IF(ISNA(VLOOKUP(DE23,Miscellaneous!E:F,2,0)),"",VLOOKUP(DE23,Miscellaneous!E:F,2,0))</f>
        <v/>
      </c>
      <c r="DI23" s="1282" t="str">
        <f t="shared" si="18"/>
        <v/>
      </c>
      <c r="DJ23" s="1283">
        <f>IF($DI23="Opex",SUMIF('Monthly Summary'!$C$75:$N$75,"",H23:S23),SUMIF('Monthly Summary'!$C$74:$N$74,"",H23:S23))</f>
        <v>0</v>
      </c>
      <c r="DK23" s="1283">
        <f>IF($DI23="Opex",SUMIF('Monthly Summary'!$O$75:$Z$75,"",T23:AE23),SUMIF('Monthly Summary'!$O$74:$Z$74,"",T23:AE23))</f>
        <v>0</v>
      </c>
      <c r="DL23" s="1283">
        <f>IF($DI23="Opex",SUMIF('Monthly Summary'!$AA$75:$AL$75,"",AF23:AQ23),SUMIF('Monthly Summary'!$AA$74:$AL$74,"",AF23:AQ23))</f>
        <v>0</v>
      </c>
      <c r="DM23" s="1283">
        <f>IF($DI23="Opex",SUMIF('Monthly Summary'!$AM$75:$AX$75,"",AR23:BC23),SUMIF('Monthly Summary'!$AM$74:$AX$74,"",AR23:BC23))</f>
        <v>0</v>
      </c>
      <c r="DN23" s="1283">
        <f>IF($DI23="Opex",SUMIF('Monthly Summary'!$AY$75:$BJ$75,"",BD23:BO23),SUMIF('Monthly Summary'!$AY$74:$BJ$74,"",BD23:BO23))</f>
        <v>0</v>
      </c>
      <c r="DO23" s="1284">
        <f>IF($DI23="Opex",SUMIF('Monthly Summary'!$BK$75:$BV$75,"",BP23:CA23),SUMIF('Monthly Summary'!$BK$74:$BV$74,"",BP23:CA23))</f>
        <v>0</v>
      </c>
      <c r="DP23" s="1285">
        <f t="shared" si="14"/>
        <v>0</v>
      </c>
    </row>
    <row r="24" spans="1:120" s="809" customFormat="1">
      <c r="A24" s="1261"/>
      <c r="B24" s="1261"/>
      <c r="C24" s="1261"/>
      <c r="D24" s="1262"/>
      <c r="E24" s="1270"/>
      <c r="F24" s="1263"/>
      <c r="G24" s="1263"/>
      <c r="H24" s="1267"/>
      <c r="I24" s="1268"/>
      <c r="J24" s="1268"/>
      <c r="K24" s="1268"/>
      <c r="L24" s="1268"/>
      <c r="M24" s="1268"/>
      <c r="N24" s="1268"/>
      <c r="O24" s="1268"/>
      <c r="P24" s="1268"/>
      <c r="Q24" s="1268"/>
      <c r="R24" s="1268"/>
      <c r="S24" s="1269"/>
      <c r="T24" s="1267"/>
      <c r="U24" s="1268"/>
      <c r="V24" s="1268"/>
      <c r="W24" s="1268"/>
      <c r="X24" s="1268"/>
      <c r="Y24" s="1268"/>
      <c r="Z24" s="1268"/>
      <c r="AA24" s="1268"/>
      <c r="AB24" s="1268"/>
      <c r="AC24" s="1268"/>
      <c r="AD24" s="1268"/>
      <c r="AE24" s="1269"/>
      <c r="AF24" s="1267"/>
      <c r="AG24" s="1268"/>
      <c r="AH24" s="1268"/>
      <c r="AI24" s="1268"/>
      <c r="AJ24" s="1268"/>
      <c r="AK24" s="1268"/>
      <c r="AL24" s="1268"/>
      <c r="AM24" s="1268"/>
      <c r="AN24" s="1268"/>
      <c r="AO24" s="1268"/>
      <c r="AP24" s="1268"/>
      <c r="AQ24" s="1269"/>
      <c r="AR24" s="1267"/>
      <c r="AS24" s="1268"/>
      <c r="AT24" s="1268"/>
      <c r="AU24" s="1268"/>
      <c r="AV24" s="1268"/>
      <c r="AW24" s="1268"/>
      <c r="AX24" s="1268"/>
      <c r="AY24" s="1268"/>
      <c r="AZ24" s="1268"/>
      <c r="BA24" s="1268"/>
      <c r="BB24" s="1268"/>
      <c r="BC24" s="1269"/>
      <c r="BD24" s="1267"/>
      <c r="BE24" s="1268"/>
      <c r="BF24" s="1268"/>
      <c r="BG24" s="1268"/>
      <c r="BH24" s="1268"/>
      <c r="BI24" s="1268"/>
      <c r="BJ24" s="1268"/>
      <c r="BK24" s="1268"/>
      <c r="BL24" s="1268"/>
      <c r="BM24" s="1268"/>
      <c r="BN24" s="1268"/>
      <c r="BO24" s="1269"/>
      <c r="BP24" s="1267"/>
      <c r="BQ24" s="1268"/>
      <c r="BR24" s="1268"/>
      <c r="BS24" s="1268"/>
      <c r="BT24" s="1268"/>
      <c r="BU24" s="1268"/>
      <c r="BV24" s="1268"/>
      <c r="BW24" s="1268"/>
      <c r="BX24" s="1268"/>
      <c r="BY24" s="1268"/>
      <c r="BZ24" s="1268"/>
      <c r="CA24" s="1269"/>
      <c r="CB24" s="1286">
        <f t="shared" si="7"/>
        <v>0</v>
      </c>
      <c r="CC24" s="1277">
        <f>IF($F24=Miscellaneous!$N$8,SUM($H24:CA24),0)</f>
        <v>0</v>
      </c>
      <c r="CD24" s="1277">
        <f>IF($F24=Miscellaneous!$N$8,IF($G24="Opex",SUMIF('Monthly Summary'!$C$75:BV$75,"",$H24:CA24),SUMIF('Monthly Summary'!$C$74:BV$74,"",$H24:CA24)),0)</f>
        <v>0</v>
      </c>
      <c r="CE24" s="1286">
        <f t="shared" si="8"/>
        <v>0</v>
      </c>
      <c r="CF24" s="833"/>
      <c r="CG24" s="1277">
        <f>IF($F24=Miscellaneous!$N$9,SUM($H24:CA24),0)</f>
        <v>0</v>
      </c>
      <c r="CH24" s="1277">
        <f>IF($F24=Miscellaneous!$N$9,IF($G24="Opex",SUMIF('Monthly Summary'!$C$75:BV$75,"",$H24:CA24),SUMIF('Monthly Summary'!$C$74:BV$74,"",$H24:CA24)),0)</f>
        <v>0</v>
      </c>
      <c r="CI24" s="1286">
        <f t="shared" si="9"/>
        <v>0</v>
      </c>
      <c r="CJ24" s="833"/>
      <c r="CK24" s="1277">
        <f>IF($F24=Miscellaneous!$N$7,SUM($H24:CA24),0)</f>
        <v>0</v>
      </c>
      <c r="CL24" s="1277">
        <f>IF($F24=Miscellaneous!$N$7,IF($G24="Opex",SUMIF('Monthly Summary'!$C$75:BV$75,"",$H24:CA24),SUMIF('Monthly Summary'!$C$74:BV$74,"",$H24:CA24)),0)</f>
        <v>0</v>
      </c>
      <c r="CM24" s="1286">
        <f t="shared" si="10"/>
        <v>0</v>
      </c>
      <c r="CN24" s="833"/>
      <c r="CO24" s="1277">
        <f>IF($F24=Miscellaneous!$N$6,SUM($H24:CA24),0)</f>
        <v>0</v>
      </c>
      <c r="CP24" s="1277">
        <f>IF($F24=Miscellaneous!$N$6,IF($G24="Opex",SUMIF('Monthly Summary'!$C$75:BV$75,"",$H24:CA24),SUMIF('Monthly Summary'!$C$74:BV$74,"",$H24:CA24)),0)</f>
        <v>0</v>
      </c>
      <c r="CQ24" s="1286">
        <f t="shared" si="11"/>
        <v>0</v>
      </c>
      <c r="CR24" s="833"/>
      <c r="CS24" s="1277">
        <f>IF($A24="Software",SUM($H24:CA24),0)</f>
        <v>0</v>
      </c>
      <c r="CT24" s="1277">
        <f>IF($A24="Software",IF($G24="Opex",SUMIF('Monthly Summary'!$C$75:BV$75,"",$H24:CA24),SUMIF('Monthly Summary'!$C$74:BV$74,"",$H24:CA24)),0)</f>
        <v>0</v>
      </c>
      <c r="CU24" s="1286">
        <f t="shared" si="12"/>
        <v>0</v>
      </c>
      <c r="CV24" s="833"/>
      <c r="CW24" s="1277">
        <f t="shared" si="0"/>
        <v>0</v>
      </c>
      <c r="CX24" s="1277">
        <f t="shared" si="1"/>
        <v>0</v>
      </c>
      <c r="CY24" s="1286">
        <f t="shared" si="13"/>
        <v>0</v>
      </c>
      <c r="CZ24" s="833"/>
      <c r="DA24" s="1286">
        <f>IF($G24="Opex",SUMIF('Monthly Summary'!$C$75:BV$75,"",$H24:CA24),SUMIF('Monthly Summary'!$C$74:BV$74,"",$H24:CA24))</f>
        <v>0</v>
      </c>
      <c r="DB24" s="1278">
        <f t="shared" si="2"/>
        <v>0</v>
      </c>
      <c r="DC24" s="1279">
        <f>IF(AND(OR($D24=Variables!A$38,$D24=Variables!A$43),$F24&lt;&gt;"N/A"),1,0)</f>
        <v>0</v>
      </c>
      <c r="DD24" s="820"/>
      <c r="DE24" s="1281" t="str">
        <f t="shared" si="15"/>
        <v/>
      </c>
      <c r="DF24" s="1282" t="str">
        <f t="shared" si="16"/>
        <v/>
      </c>
      <c r="DG24" s="1282" t="str">
        <f t="shared" si="17"/>
        <v/>
      </c>
      <c r="DH24" s="1282" t="str">
        <f>IF(ISNA(VLOOKUP(DE24,Miscellaneous!E:F,2,0)),"",VLOOKUP(DE24,Miscellaneous!E:F,2,0))</f>
        <v/>
      </c>
      <c r="DI24" s="1282" t="str">
        <f t="shared" si="18"/>
        <v/>
      </c>
      <c r="DJ24" s="1283">
        <f>IF($DI24="Opex",SUMIF('Monthly Summary'!$C$75:$N$75,"",H24:S24),SUMIF('Monthly Summary'!$C$74:$N$74,"",H24:S24))</f>
        <v>0</v>
      </c>
      <c r="DK24" s="1283">
        <f>IF($DI24="Opex",SUMIF('Monthly Summary'!$O$75:$Z$75,"",T24:AE24),SUMIF('Monthly Summary'!$O$74:$Z$74,"",T24:AE24))</f>
        <v>0</v>
      </c>
      <c r="DL24" s="1283">
        <f>IF($DI24="Opex",SUMIF('Monthly Summary'!$AA$75:$AL$75,"",AF24:AQ24),SUMIF('Monthly Summary'!$AA$74:$AL$74,"",AF24:AQ24))</f>
        <v>0</v>
      </c>
      <c r="DM24" s="1283">
        <f>IF($DI24="Opex",SUMIF('Monthly Summary'!$AM$75:$AX$75,"",AR24:BC24),SUMIF('Monthly Summary'!$AM$74:$AX$74,"",AR24:BC24))</f>
        <v>0</v>
      </c>
      <c r="DN24" s="1283">
        <f>IF($DI24="Opex",SUMIF('Monthly Summary'!$AY$75:$BJ$75,"",BD24:BO24),SUMIF('Monthly Summary'!$AY$74:$BJ$74,"",BD24:BO24))</f>
        <v>0</v>
      </c>
      <c r="DO24" s="1284">
        <f>IF($DI24="Opex",SUMIF('Monthly Summary'!$BK$75:$BV$75,"",BP24:CA24),SUMIF('Monthly Summary'!$BK$74:$BV$74,"",BP24:CA24))</f>
        <v>0</v>
      </c>
      <c r="DP24" s="1285">
        <f t="shared" si="14"/>
        <v>0</v>
      </c>
    </row>
    <row r="25" spans="1:120" s="809" customFormat="1">
      <c r="A25" s="1261"/>
      <c r="B25" s="1261"/>
      <c r="C25" s="1261"/>
      <c r="D25" s="1262"/>
      <c r="E25" s="1270"/>
      <c r="F25" s="1263"/>
      <c r="G25" s="1263"/>
      <c r="H25" s="1267"/>
      <c r="I25" s="1268"/>
      <c r="J25" s="1268"/>
      <c r="K25" s="1268"/>
      <c r="L25" s="1268"/>
      <c r="M25" s="1268"/>
      <c r="N25" s="1268"/>
      <c r="O25" s="1268"/>
      <c r="P25" s="1268"/>
      <c r="Q25" s="1268"/>
      <c r="R25" s="1268"/>
      <c r="S25" s="1269"/>
      <c r="T25" s="1267"/>
      <c r="U25" s="1268"/>
      <c r="V25" s="1268"/>
      <c r="W25" s="1268"/>
      <c r="X25" s="1268"/>
      <c r="Y25" s="1268"/>
      <c r="Z25" s="1268"/>
      <c r="AA25" s="1268"/>
      <c r="AB25" s="1268"/>
      <c r="AC25" s="1268"/>
      <c r="AD25" s="1268"/>
      <c r="AE25" s="1269"/>
      <c r="AF25" s="1267"/>
      <c r="AG25" s="1268"/>
      <c r="AH25" s="1268"/>
      <c r="AI25" s="1268"/>
      <c r="AJ25" s="1268"/>
      <c r="AK25" s="1268"/>
      <c r="AL25" s="1268"/>
      <c r="AM25" s="1268"/>
      <c r="AN25" s="1268"/>
      <c r="AO25" s="1268"/>
      <c r="AP25" s="1268"/>
      <c r="AQ25" s="1269"/>
      <c r="AR25" s="1267"/>
      <c r="AS25" s="1268"/>
      <c r="AT25" s="1268"/>
      <c r="AU25" s="1268"/>
      <c r="AV25" s="1268"/>
      <c r="AW25" s="1268"/>
      <c r="AX25" s="1268"/>
      <c r="AY25" s="1268"/>
      <c r="AZ25" s="1268"/>
      <c r="BA25" s="1268"/>
      <c r="BB25" s="1268"/>
      <c r="BC25" s="1269"/>
      <c r="BD25" s="1267"/>
      <c r="BE25" s="1268"/>
      <c r="BF25" s="1268"/>
      <c r="BG25" s="1268"/>
      <c r="BH25" s="1268"/>
      <c r="BI25" s="1268"/>
      <c r="BJ25" s="1268"/>
      <c r="BK25" s="1268"/>
      <c r="BL25" s="1268"/>
      <c r="BM25" s="1268"/>
      <c r="BN25" s="1268"/>
      <c r="BO25" s="1269"/>
      <c r="BP25" s="1267"/>
      <c r="BQ25" s="1268"/>
      <c r="BR25" s="1268"/>
      <c r="BS25" s="1268"/>
      <c r="BT25" s="1268"/>
      <c r="BU25" s="1268"/>
      <c r="BV25" s="1268"/>
      <c r="BW25" s="1268"/>
      <c r="BX25" s="1268"/>
      <c r="BY25" s="1268"/>
      <c r="BZ25" s="1268"/>
      <c r="CA25" s="1269"/>
      <c r="CB25" s="1286">
        <f t="shared" si="7"/>
        <v>0</v>
      </c>
      <c r="CC25" s="1277">
        <f>IF($F25=Miscellaneous!$N$8,SUM($H25:CA25),0)</f>
        <v>0</v>
      </c>
      <c r="CD25" s="1277">
        <f>IF($F25=Miscellaneous!$N$8,IF($G25="Opex",SUMIF('Monthly Summary'!$C$75:BV$75,"",$H25:CA25),SUMIF('Monthly Summary'!$C$74:BV$74,"",$H25:CA25)),0)</f>
        <v>0</v>
      </c>
      <c r="CE25" s="1286">
        <f t="shared" si="8"/>
        <v>0</v>
      </c>
      <c r="CF25" s="833"/>
      <c r="CG25" s="1277">
        <f>IF($F25=Miscellaneous!$N$9,SUM($H25:CA25),0)</f>
        <v>0</v>
      </c>
      <c r="CH25" s="1277">
        <f>IF($F25=Miscellaneous!$N$9,IF($G25="Opex",SUMIF('Monthly Summary'!$C$75:BV$75,"",$H25:CA25),SUMIF('Monthly Summary'!$C$74:BV$74,"",$H25:CA25)),0)</f>
        <v>0</v>
      </c>
      <c r="CI25" s="1286">
        <f t="shared" si="9"/>
        <v>0</v>
      </c>
      <c r="CJ25" s="833"/>
      <c r="CK25" s="1277">
        <f>IF($F25=Miscellaneous!$N$7,SUM($H25:CA25),0)</f>
        <v>0</v>
      </c>
      <c r="CL25" s="1277">
        <f>IF($F25=Miscellaneous!$N$7,IF($G25="Opex",SUMIF('Monthly Summary'!$C$75:BV$75,"",$H25:CA25),SUMIF('Monthly Summary'!$C$74:BV$74,"",$H25:CA25)),0)</f>
        <v>0</v>
      </c>
      <c r="CM25" s="1286">
        <f t="shared" si="10"/>
        <v>0</v>
      </c>
      <c r="CN25" s="833"/>
      <c r="CO25" s="1277">
        <f>IF($F25=Miscellaneous!$N$6,SUM($H25:CA25),0)</f>
        <v>0</v>
      </c>
      <c r="CP25" s="1277">
        <f>IF($F25=Miscellaneous!$N$6,IF($G25="Opex",SUMIF('Monthly Summary'!$C$75:BV$75,"",$H25:CA25),SUMIF('Monthly Summary'!$C$74:BV$74,"",$H25:CA25)),0)</f>
        <v>0</v>
      </c>
      <c r="CQ25" s="1286">
        <f t="shared" si="11"/>
        <v>0</v>
      </c>
      <c r="CR25" s="833"/>
      <c r="CS25" s="1277">
        <f>IF($A25="Software",SUM($H25:CA25),0)</f>
        <v>0</v>
      </c>
      <c r="CT25" s="1277">
        <f>IF($A25="Software",IF($G25="Opex",SUMIF('Monthly Summary'!$C$75:BV$75,"",$H25:CA25),SUMIF('Monthly Summary'!$C$74:BV$74,"",$H25:CA25)),0)</f>
        <v>0</v>
      </c>
      <c r="CU25" s="1286">
        <f t="shared" si="12"/>
        <v>0</v>
      </c>
      <c r="CV25" s="833"/>
      <c r="CW25" s="1277">
        <f t="shared" si="0"/>
        <v>0</v>
      </c>
      <c r="CX25" s="1277">
        <f t="shared" si="1"/>
        <v>0</v>
      </c>
      <c r="CY25" s="1286">
        <f t="shared" si="13"/>
        <v>0</v>
      </c>
      <c r="CZ25" s="833"/>
      <c r="DA25" s="1286">
        <f>IF($G25="Opex",SUMIF('Monthly Summary'!$C$75:BV$75,"",$H25:CA25),SUMIF('Monthly Summary'!$C$74:BV$74,"",$H25:CA25))</f>
        <v>0</v>
      </c>
      <c r="DB25" s="1278">
        <f t="shared" si="2"/>
        <v>0</v>
      </c>
      <c r="DC25" s="1279">
        <f>IF(AND(OR($D25=Variables!A$38,$D25=Variables!A$43),$F25&lt;&gt;"N/A"),1,0)</f>
        <v>0</v>
      </c>
      <c r="DD25" s="820"/>
      <c r="DE25" s="1281" t="str">
        <f t="shared" si="15"/>
        <v/>
      </c>
      <c r="DF25" s="1282" t="str">
        <f t="shared" si="16"/>
        <v/>
      </c>
      <c r="DG25" s="1282" t="str">
        <f t="shared" si="17"/>
        <v/>
      </c>
      <c r="DH25" s="1282" t="str">
        <f>IF(ISNA(VLOOKUP(DE25,Miscellaneous!E:F,2,0)),"",VLOOKUP(DE25,Miscellaneous!E:F,2,0))</f>
        <v/>
      </c>
      <c r="DI25" s="1282" t="str">
        <f t="shared" si="18"/>
        <v/>
      </c>
      <c r="DJ25" s="1283">
        <f>IF($DI25="Opex",SUMIF('Monthly Summary'!$C$75:$N$75,"",H25:S25),SUMIF('Monthly Summary'!$C$74:$N$74,"",H25:S25))</f>
        <v>0</v>
      </c>
      <c r="DK25" s="1283">
        <f>IF($DI25="Opex",SUMIF('Monthly Summary'!$O$75:$Z$75,"",T25:AE25),SUMIF('Monthly Summary'!$O$74:$Z$74,"",T25:AE25))</f>
        <v>0</v>
      </c>
      <c r="DL25" s="1283">
        <f>IF($DI25="Opex",SUMIF('Monthly Summary'!$AA$75:$AL$75,"",AF25:AQ25),SUMIF('Monthly Summary'!$AA$74:$AL$74,"",AF25:AQ25))</f>
        <v>0</v>
      </c>
      <c r="DM25" s="1283">
        <f>IF($DI25="Opex",SUMIF('Monthly Summary'!$AM$75:$AX$75,"",AR25:BC25),SUMIF('Monthly Summary'!$AM$74:$AX$74,"",AR25:BC25))</f>
        <v>0</v>
      </c>
      <c r="DN25" s="1283">
        <f>IF($DI25="Opex",SUMIF('Monthly Summary'!$AY$75:$BJ$75,"",BD25:BO25),SUMIF('Monthly Summary'!$AY$74:$BJ$74,"",BD25:BO25))</f>
        <v>0</v>
      </c>
      <c r="DO25" s="1284">
        <f>IF($DI25="Opex",SUMIF('Monthly Summary'!$BK$75:$BV$75,"",BP25:CA25),SUMIF('Monthly Summary'!$BK$74:$BV$74,"",BP25:CA25))</f>
        <v>0</v>
      </c>
      <c r="DP25" s="1285">
        <f t="shared" si="14"/>
        <v>0</v>
      </c>
    </row>
    <row r="26" spans="1:120" s="809" customFormat="1">
      <c r="A26" s="1261"/>
      <c r="B26" s="1261"/>
      <c r="C26" s="1261"/>
      <c r="D26" s="1262"/>
      <c r="E26" s="1270"/>
      <c r="F26" s="1263"/>
      <c r="G26" s="1263"/>
      <c r="H26" s="1267"/>
      <c r="I26" s="1268"/>
      <c r="J26" s="1268"/>
      <c r="K26" s="1268"/>
      <c r="L26" s="1268"/>
      <c r="M26" s="1268"/>
      <c r="N26" s="1268"/>
      <c r="O26" s="1268"/>
      <c r="P26" s="1268"/>
      <c r="Q26" s="1268"/>
      <c r="R26" s="1268"/>
      <c r="S26" s="1269"/>
      <c r="T26" s="1267"/>
      <c r="U26" s="1268"/>
      <c r="V26" s="1268"/>
      <c r="W26" s="1268"/>
      <c r="X26" s="1268"/>
      <c r="Y26" s="1268"/>
      <c r="Z26" s="1268"/>
      <c r="AA26" s="1268"/>
      <c r="AB26" s="1268"/>
      <c r="AC26" s="1268"/>
      <c r="AD26" s="1268"/>
      <c r="AE26" s="1269"/>
      <c r="AF26" s="1267"/>
      <c r="AG26" s="1268"/>
      <c r="AH26" s="1268"/>
      <c r="AI26" s="1268"/>
      <c r="AJ26" s="1268"/>
      <c r="AK26" s="1268"/>
      <c r="AL26" s="1268"/>
      <c r="AM26" s="1268"/>
      <c r="AN26" s="1268"/>
      <c r="AO26" s="1268"/>
      <c r="AP26" s="1268"/>
      <c r="AQ26" s="1269"/>
      <c r="AR26" s="1267"/>
      <c r="AS26" s="1268"/>
      <c r="AT26" s="1268"/>
      <c r="AU26" s="1268"/>
      <c r="AV26" s="1268"/>
      <c r="AW26" s="1268"/>
      <c r="AX26" s="1268"/>
      <c r="AY26" s="1268"/>
      <c r="AZ26" s="1268"/>
      <c r="BA26" s="1268"/>
      <c r="BB26" s="1268"/>
      <c r="BC26" s="1269"/>
      <c r="BD26" s="1267"/>
      <c r="BE26" s="1268"/>
      <c r="BF26" s="1268"/>
      <c r="BG26" s="1268"/>
      <c r="BH26" s="1268"/>
      <c r="BI26" s="1268"/>
      <c r="BJ26" s="1268"/>
      <c r="BK26" s="1268"/>
      <c r="BL26" s="1268"/>
      <c r="BM26" s="1268"/>
      <c r="BN26" s="1268"/>
      <c r="BO26" s="1269"/>
      <c r="BP26" s="1267"/>
      <c r="BQ26" s="1268"/>
      <c r="BR26" s="1268"/>
      <c r="BS26" s="1268"/>
      <c r="BT26" s="1268"/>
      <c r="BU26" s="1268"/>
      <c r="BV26" s="1268"/>
      <c r="BW26" s="1268"/>
      <c r="BX26" s="1268"/>
      <c r="BY26" s="1268"/>
      <c r="BZ26" s="1268"/>
      <c r="CA26" s="1269"/>
      <c r="CB26" s="1286">
        <f t="shared" si="7"/>
        <v>0</v>
      </c>
      <c r="CC26" s="1277">
        <f>IF($F26=Miscellaneous!$N$8,SUM($H26:CA26),0)</f>
        <v>0</v>
      </c>
      <c r="CD26" s="1277">
        <f>IF($F26=Miscellaneous!$N$8,IF($G26="Opex",SUMIF('Monthly Summary'!$C$75:BV$75,"",$H26:CA26),SUMIF('Monthly Summary'!$C$74:BV$74,"",$H26:CA26)),0)</f>
        <v>0</v>
      </c>
      <c r="CE26" s="1286">
        <f t="shared" si="8"/>
        <v>0</v>
      </c>
      <c r="CF26" s="833"/>
      <c r="CG26" s="1277">
        <f>IF($F26=Miscellaneous!$N$9,SUM($H26:CA26),0)</f>
        <v>0</v>
      </c>
      <c r="CH26" s="1277">
        <f>IF($F26=Miscellaneous!$N$9,IF($G26="Opex",SUMIF('Monthly Summary'!$C$75:BV$75,"",$H26:CA26),SUMIF('Monthly Summary'!$C$74:BV$74,"",$H26:CA26)),0)</f>
        <v>0</v>
      </c>
      <c r="CI26" s="1286">
        <f t="shared" si="9"/>
        <v>0</v>
      </c>
      <c r="CJ26" s="833"/>
      <c r="CK26" s="1277">
        <f>IF($F26=Miscellaneous!$N$7,SUM($H26:CA26),0)</f>
        <v>0</v>
      </c>
      <c r="CL26" s="1277">
        <f>IF($F26=Miscellaneous!$N$7,IF($G26="Opex",SUMIF('Monthly Summary'!$C$75:BV$75,"",$H26:CA26),SUMIF('Monthly Summary'!$C$74:BV$74,"",$H26:CA26)),0)</f>
        <v>0</v>
      </c>
      <c r="CM26" s="1286">
        <f t="shared" si="10"/>
        <v>0</v>
      </c>
      <c r="CN26" s="833"/>
      <c r="CO26" s="1277">
        <f>IF($F26=Miscellaneous!$N$6,SUM($H26:CA26),0)</f>
        <v>0</v>
      </c>
      <c r="CP26" s="1277">
        <f>IF($F26=Miscellaneous!$N$6,IF($G26="Opex",SUMIF('Monthly Summary'!$C$75:BV$75,"",$H26:CA26),SUMIF('Monthly Summary'!$C$74:BV$74,"",$H26:CA26)),0)</f>
        <v>0</v>
      </c>
      <c r="CQ26" s="1286">
        <f t="shared" si="11"/>
        <v>0</v>
      </c>
      <c r="CR26" s="833"/>
      <c r="CS26" s="1277">
        <f>IF($A26="Software",SUM($H26:CA26),0)</f>
        <v>0</v>
      </c>
      <c r="CT26" s="1277">
        <f>IF($A26="Software",IF($G26="Opex",SUMIF('Monthly Summary'!$C$75:BV$75,"",$H26:CA26),SUMIF('Monthly Summary'!$C$74:BV$74,"",$H26:CA26)),0)</f>
        <v>0</v>
      </c>
      <c r="CU26" s="1286">
        <f t="shared" si="12"/>
        <v>0</v>
      </c>
      <c r="CV26" s="833"/>
      <c r="CW26" s="1277">
        <f t="shared" si="0"/>
        <v>0</v>
      </c>
      <c r="CX26" s="1277">
        <f t="shared" si="1"/>
        <v>0</v>
      </c>
      <c r="CY26" s="1286">
        <f t="shared" si="13"/>
        <v>0</v>
      </c>
      <c r="CZ26" s="833"/>
      <c r="DA26" s="1286">
        <f>IF($G26="Opex",SUMIF('Monthly Summary'!$C$75:BV$75,"",$H26:CA26),SUMIF('Monthly Summary'!$C$74:BV$74,"",$H26:CA26))</f>
        <v>0</v>
      </c>
      <c r="DB26" s="1278">
        <f t="shared" si="2"/>
        <v>0</v>
      </c>
      <c r="DC26" s="1279">
        <f>IF(AND(OR($D26=Variables!A$38,$D26=Variables!A$43),$F26&lt;&gt;"N/A"),1,0)</f>
        <v>0</v>
      </c>
      <c r="DD26" s="820"/>
      <c r="DE26" s="1281" t="str">
        <f t="shared" si="15"/>
        <v/>
      </c>
      <c r="DF26" s="1282" t="str">
        <f t="shared" si="16"/>
        <v/>
      </c>
      <c r="DG26" s="1282" t="str">
        <f t="shared" si="17"/>
        <v/>
      </c>
      <c r="DH26" s="1282" t="str">
        <f>IF(ISNA(VLOOKUP(DE26,Miscellaneous!E:F,2,0)),"",VLOOKUP(DE26,Miscellaneous!E:F,2,0))</f>
        <v/>
      </c>
      <c r="DI26" s="1282" t="str">
        <f t="shared" si="18"/>
        <v/>
      </c>
      <c r="DJ26" s="1283">
        <f>IF($DI26="Opex",SUMIF('Monthly Summary'!$C$75:$N$75,"",H26:S26),SUMIF('Monthly Summary'!$C$74:$N$74,"",H26:S26))</f>
        <v>0</v>
      </c>
      <c r="DK26" s="1283">
        <f>IF($DI26="Opex",SUMIF('Monthly Summary'!$O$75:$Z$75,"",T26:AE26),SUMIF('Monthly Summary'!$O$74:$Z$74,"",T26:AE26))</f>
        <v>0</v>
      </c>
      <c r="DL26" s="1283">
        <f>IF($DI26="Opex",SUMIF('Monthly Summary'!$AA$75:$AL$75,"",AF26:AQ26),SUMIF('Monthly Summary'!$AA$74:$AL$74,"",AF26:AQ26))</f>
        <v>0</v>
      </c>
      <c r="DM26" s="1283">
        <f>IF($DI26="Opex",SUMIF('Monthly Summary'!$AM$75:$AX$75,"",AR26:BC26),SUMIF('Monthly Summary'!$AM$74:$AX$74,"",AR26:BC26))</f>
        <v>0</v>
      </c>
      <c r="DN26" s="1283">
        <f>IF($DI26="Opex",SUMIF('Monthly Summary'!$AY$75:$BJ$75,"",BD26:BO26),SUMIF('Monthly Summary'!$AY$74:$BJ$74,"",BD26:BO26))</f>
        <v>0</v>
      </c>
      <c r="DO26" s="1284">
        <f>IF($DI26="Opex",SUMIF('Monthly Summary'!$BK$75:$BV$75,"",BP26:CA26),SUMIF('Monthly Summary'!$BK$74:$BV$74,"",BP26:CA26))</f>
        <v>0</v>
      </c>
      <c r="DP26" s="1285">
        <f t="shared" si="14"/>
        <v>0</v>
      </c>
    </row>
    <row r="27" spans="1:120" s="809" customFormat="1">
      <c r="A27" s="1261"/>
      <c r="B27" s="1261"/>
      <c r="C27" s="1261"/>
      <c r="D27" s="1262"/>
      <c r="E27" s="1270"/>
      <c r="F27" s="1263"/>
      <c r="G27" s="1263"/>
      <c r="H27" s="1267"/>
      <c r="I27" s="1268"/>
      <c r="J27" s="1268"/>
      <c r="K27" s="1268"/>
      <c r="L27" s="1268"/>
      <c r="M27" s="1268"/>
      <c r="N27" s="1268"/>
      <c r="O27" s="1268"/>
      <c r="P27" s="1268"/>
      <c r="Q27" s="1268"/>
      <c r="R27" s="1268"/>
      <c r="S27" s="1269"/>
      <c r="T27" s="1267"/>
      <c r="U27" s="1268"/>
      <c r="V27" s="1268"/>
      <c r="W27" s="1268"/>
      <c r="X27" s="1268"/>
      <c r="Y27" s="1268"/>
      <c r="Z27" s="1268"/>
      <c r="AA27" s="1268"/>
      <c r="AB27" s="1268"/>
      <c r="AC27" s="1268"/>
      <c r="AD27" s="1268"/>
      <c r="AE27" s="1269"/>
      <c r="AF27" s="1267"/>
      <c r="AG27" s="1268"/>
      <c r="AH27" s="1268"/>
      <c r="AI27" s="1268"/>
      <c r="AJ27" s="1268"/>
      <c r="AK27" s="1268"/>
      <c r="AL27" s="1268"/>
      <c r="AM27" s="1268"/>
      <c r="AN27" s="1268"/>
      <c r="AO27" s="1268"/>
      <c r="AP27" s="1268"/>
      <c r="AQ27" s="1269"/>
      <c r="AR27" s="1267"/>
      <c r="AS27" s="1268"/>
      <c r="AT27" s="1268"/>
      <c r="AU27" s="1268"/>
      <c r="AV27" s="1268"/>
      <c r="AW27" s="1268"/>
      <c r="AX27" s="1268"/>
      <c r="AY27" s="1268"/>
      <c r="AZ27" s="1268"/>
      <c r="BA27" s="1268"/>
      <c r="BB27" s="1268"/>
      <c r="BC27" s="1269"/>
      <c r="BD27" s="1267"/>
      <c r="BE27" s="1268"/>
      <c r="BF27" s="1268"/>
      <c r="BG27" s="1268"/>
      <c r="BH27" s="1268"/>
      <c r="BI27" s="1268"/>
      <c r="BJ27" s="1268"/>
      <c r="BK27" s="1268"/>
      <c r="BL27" s="1268"/>
      <c r="BM27" s="1268"/>
      <c r="BN27" s="1268"/>
      <c r="BO27" s="1269"/>
      <c r="BP27" s="1267"/>
      <c r="BQ27" s="1268"/>
      <c r="BR27" s="1268"/>
      <c r="BS27" s="1268"/>
      <c r="BT27" s="1268"/>
      <c r="BU27" s="1268"/>
      <c r="BV27" s="1268"/>
      <c r="BW27" s="1268"/>
      <c r="BX27" s="1268"/>
      <c r="BY27" s="1268"/>
      <c r="BZ27" s="1268"/>
      <c r="CA27" s="1269"/>
      <c r="CB27" s="1286">
        <f t="shared" si="7"/>
        <v>0</v>
      </c>
      <c r="CC27" s="1277">
        <f>IF($F27=Miscellaneous!$N$8,SUM($H27:CA27),0)</f>
        <v>0</v>
      </c>
      <c r="CD27" s="1277">
        <f>IF($F27=Miscellaneous!$N$8,IF($G27="Opex",SUMIF('Monthly Summary'!$C$75:BV$75,"",$H27:CA27),SUMIF('Monthly Summary'!$C$74:BV$74,"",$H27:CA27)),0)</f>
        <v>0</v>
      </c>
      <c r="CE27" s="1286">
        <f t="shared" si="8"/>
        <v>0</v>
      </c>
      <c r="CF27" s="833"/>
      <c r="CG27" s="1277">
        <f>IF($F27=Miscellaneous!$N$9,SUM($H27:CA27),0)</f>
        <v>0</v>
      </c>
      <c r="CH27" s="1277">
        <f>IF($F27=Miscellaneous!$N$9,IF($G27="Opex",SUMIF('Monthly Summary'!$C$75:BV$75,"",$H27:CA27),SUMIF('Monthly Summary'!$C$74:BV$74,"",$H27:CA27)),0)</f>
        <v>0</v>
      </c>
      <c r="CI27" s="1286">
        <f t="shared" si="9"/>
        <v>0</v>
      </c>
      <c r="CJ27" s="833"/>
      <c r="CK27" s="1277">
        <f>IF($F27=Miscellaneous!$N$7,SUM($H27:CA27),0)</f>
        <v>0</v>
      </c>
      <c r="CL27" s="1277">
        <f>IF($F27=Miscellaneous!$N$7,IF($G27="Opex",SUMIF('Monthly Summary'!$C$75:BV$75,"",$H27:CA27),SUMIF('Monthly Summary'!$C$74:BV$74,"",$H27:CA27)),0)</f>
        <v>0</v>
      </c>
      <c r="CM27" s="1286">
        <f t="shared" si="10"/>
        <v>0</v>
      </c>
      <c r="CN27" s="833"/>
      <c r="CO27" s="1277">
        <f>IF($F27=Miscellaneous!$N$6,SUM($H27:CA27),0)</f>
        <v>0</v>
      </c>
      <c r="CP27" s="1277">
        <f>IF($F27=Miscellaneous!$N$6,IF($G27="Opex",SUMIF('Monthly Summary'!$C$75:BV$75,"",$H27:CA27),SUMIF('Monthly Summary'!$C$74:BV$74,"",$H27:CA27)),0)</f>
        <v>0</v>
      </c>
      <c r="CQ27" s="1286">
        <f t="shared" si="11"/>
        <v>0</v>
      </c>
      <c r="CR27" s="833"/>
      <c r="CS27" s="1277">
        <f>IF($A27="Software",SUM($H27:CA27),0)</f>
        <v>0</v>
      </c>
      <c r="CT27" s="1277">
        <f>IF($A27="Software",IF($G27="Opex",SUMIF('Monthly Summary'!$C$75:BV$75,"",$H27:CA27),SUMIF('Monthly Summary'!$C$74:BV$74,"",$H27:CA27)),0)</f>
        <v>0</v>
      </c>
      <c r="CU27" s="1286">
        <f t="shared" si="12"/>
        <v>0</v>
      </c>
      <c r="CV27" s="833"/>
      <c r="CW27" s="1277">
        <f t="shared" si="0"/>
        <v>0</v>
      </c>
      <c r="CX27" s="1277">
        <f t="shared" si="1"/>
        <v>0</v>
      </c>
      <c r="CY27" s="1286">
        <f t="shared" si="13"/>
        <v>0</v>
      </c>
      <c r="CZ27" s="833"/>
      <c r="DA27" s="1286">
        <f>IF($G27="Opex",SUMIF('Monthly Summary'!$C$75:BV$75,"",$H27:CA27),SUMIF('Monthly Summary'!$C$74:BV$74,"",$H27:CA27))</f>
        <v>0</v>
      </c>
      <c r="DB27" s="1278">
        <f t="shared" si="2"/>
        <v>0</v>
      </c>
      <c r="DC27" s="1279">
        <f>IF(AND(OR($D27=Variables!A$38,$D27=Variables!A$43),$F27&lt;&gt;"N/A"),1,0)</f>
        <v>0</v>
      </c>
      <c r="DD27" s="820"/>
      <c r="DE27" s="1281" t="str">
        <f t="shared" si="15"/>
        <v/>
      </c>
      <c r="DF27" s="1282" t="str">
        <f t="shared" si="16"/>
        <v/>
      </c>
      <c r="DG27" s="1282" t="str">
        <f t="shared" si="17"/>
        <v/>
      </c>
      <c r="DH27" s="1282" t="str">
        <f>IF(ISNA(VLOOKUP(DE27,Miscellaneous!E:F,2,0)),"",VLOOKUP(DE27,Miscellaneous!E:F,2,0))</f>
        <v/>
      </c>
      <c r="DI27" s="1282" t="str">
        <f t="shared" si="18"/>
        <v/>
      </c>
      <c r="DJ27" s="1283">
        <f>IF($DI27="Opex",SUMIF('Monthly Summary'!$C$75:$N$75,"",H27:S27),SUMIF('Monthly Summary'!$C$74:$N$74,"",H27:S27))</f>
        <v>0</v>
      </c>
      <c r="DK27" s="1283">
        <f>IF($DI27="Opex",SUMIF('Monthly Summary'!$O$75:$Z$75,"",T27:AE27),SUMIF('Monthly Summary'!$O$74:$Z$74,"",T27:AE27))</f>
        <v>0</v>
      </c>
      <c r="DL27" s="1283">
        <f>IF($DI27="Opex",SUMIF('Monthly Summary'!$AA$75:$AL$75,"",AF27:AQ27),SUMIF('Monthly Summary'!$AA$74:$AL$74,"",AF27:AQ27))</f>
        <v>0</v>
      </c>
      <c r="DM27" s="1283">
        <f>IF($DI27="Opex",SUMIF('Monthly Summary'!$AM$75:$AX$75,"",AR27:BC27),SUMIF('Monthly Summary'!$AM$74:$AX$74,"",AR27:BC27))</f>
        <v>0</v>
      </c>
      <c r="DN27" s="1283">
        <f>IF($DI27="Opex",SUMIF('Monthly Summary'!$AY$75:$BJ$75,"",BD27:BO27),SUMIF('Monthly Summary'!$AY$74:$BJ$74,"",BD27:BO27))</f>
        <v>0</v>
      </c>
      <c r="DO27" s="1284">
        <f>IF($DI27="Opex",SUMIF('Monthly Summary'!$BK$75:$BV$75,"",BP27:CA27),SUMIF('Monthly Summary'!$BK$74:$BV$74,"",BP27:CA27))</f>
        <v>0</v>
      </c>
      <c r="DP27" s="1285">
        <f t="shared" si="14"/>
        <v>0</v>
      </c>
    </row>
    <row r="28" spans="1:120" s="809" customFormat="1">
      <c r="A28" s="1261"/>
      <c r="B28" s="1261"/>
      <c r="C28" s="1261"/>
      <c r="D28" s="1262"/>
      <c r="E28" s="1270"/>
      <c r="F28" s="1263"/>
      <c r="G28" s="1263"/>
      <c r="H28" s="1267"/>
      <c r="I28" s="1268"/>
      <c r="J28" s="1268"/>
      <c r="K28" s="1268"/>
      <c r="L28" s="1268"/>
      <c r="M28" s="1268"/>
      <c r="N28" s="1268"/>
      <c r="O28" s="1268"/>
      <c r="P28" s="1268"/>
      <c r="Q28" s="1268"/>
      <c r="R28" s="1268"/>
      <c r="S28" s="1269"/>
      <c r="T28" s="1267"/>
      <c r="U28" s="1268"/>
      <c r="V28" s="1268"/>
      <c r="W28" s="1268"/>
      <c r="X28" s="1268"/>
      <c r="Y28" s="1268"/>
      <c r="Z28" s="1268"/>
      <c r="AA28" s="1268"/>
      <c r="AB28" s="1268"/>
      <c r="AC28" s="1268"/>
      <c r="AD28" s="1268"/>
      <c r="AE28" s="1269"/>
      <c r="AF28" s="1267"/>
      <c r="AG28" s="1268"/>
      <c r="AH28" s="1268"/>
      <c r="AI28" s="1268"/>
      <c r="AJ28" s="1268"/>
      <c r="AK28" s="1268"/>
      <c r="AL28" s="1268"/>
      <c r="AM28" s="1268"/>
      <c r="AN28" s="1268"/>
      <c r="AO28" s="1268"/>
      <c r="AP28" s="1268"/>
      <c r="AQ28" s="1269"/>
      <c r="AR28" s="1267"/>
      <c r="AS28" s="1268"/>
      <c r="AT28" s="1268"/>
      <c r="AU28" s="1268"/>
      <c r="AV28" s="1268"/>
      <c r="AW28" s="1268"/>
      <c r="AX28" s="1268"/>
      <c r="AY28" s="1268"/>
      <c r="AZ28" s="1268"/>
      <c r="BA28" s="1268"/>
      <c r="BB28" s="1268"/>
      <c r="BC28" s="1269"/>
      <c r="BD28" s="1267"/>
      <c r="BE28" s="1268"/>
      <c r="BF28" s="1268"/>
      <c r="BG28" s="1268"/>
      <c r="BH28" s="1268"/>
      <c r="BI28" s="1268"/>
      <c r="BJ28" s="1268"/>
      <c r="BK28" s="1268"/>
      <c r="BL28" s="1268"/>
      <c r="BM28" s="1268"/>
      <c r="BN28" s="1268"/>
      <c r="BO28" s="1269"/>
      <c r="BP28" s="1267"/>
      <c r="BQ28" s="1268"/>
      <c r="BR28" s="1268"/>
      <c r="BS28" s="1268"/>
      <c r="BT28" s="1268"/>
      <c r="BU28" s="1268"/>
      <c r="BV28" s="1268"/>
      <c r="BW28" s="1268"/>
      <c r="BX28" s="1268"/>
      <c r="BY28" s="1268"/>
      <c r="BZ28" s="1268"/>
      <c r="CA28" s="1269"/>
      <c r="CB28" s="1286">
        <f t="shared" si="7"/>
        <v>0</v>
      </c>
      <c r="CC28" s="1277">
        <f>IF($F28=Miscellaneous!$N$8,SUM($H28:CA28),0)</f>
        <v>0</v>
      </c>
      <c r="CD28" s="1277">
        <f>IF($F28=Miscellaneous!$N$8,IF($G28="Opex",SUMIF('Monthly Summary'!$C$75:BV$75,"",$H28:CA28),SUMIF('Monthly Summary'!$C$74:BV$74,"",$H28:CA28)),0)</f>
        <v>0</v>
      </c>
      <c r="CE28" s="1286">
        <f t="shared" si="8"/>
        <v>0</v>
      </c>
      <c r="CF28" s="833"/>
      <c r="CG28" s="1277">
        <f>IF($F28=Miscellaneous!$N$9,SUM($H28:CA28),0)</f>
        <v>0</v>
      </c>
      <c r="CH28" s="1277">
        <f>IF($F28=Miscellaneous!$N$9,IF($G28="Opex",SUMIF('Monthly Summary'!$C$75:BV$75,"",$H28:CA28),SUMIF('Monthly Summary'!$C$74:BV$74,"",$H28:CA28)),0)</f>
        <v>0</v>
      </c>
      <c r="CI28" s="1286">
        <f t="shared" si="9"/>
        <v>0</v>
      </c>
      <c r="CJ28" s="833"/>
      <c r="CK28" s="1277">
        <f>IF($F28=Miscellaneous!$N$7,SUM($H28:CA28),0)</f>
        <v>0</v>
      </c>
      <c r="CL28" s="1277">
        <f>IF($F28=Miscellaneous!$N$7,IF($G28="Opex",SUMIF('Monthly Summary'!$C$75:BV$75,"",$H28:CA28),SUMIF('Monthly Summary'!$C$74:BV$74,"",$H28:CA28)),0)</f>
        <v>0</v>
      </c>
      <c r="CM28" s="1286">
        <f t="shared" si="10"/>
        <v>0</v>
      </c>
      <c r="CN28" s="833"/>
      <c r="CO28" s="1277">
        <f>IF($F28=Miscellaneous!$N$6,SUM($H28:CA28),0)</f>
        <v>0</v>
      </c>
      <c r="CP28" s="1277">
        <f>IF($F28=Miscellaneous!$N$6,IF($G28="Opex",SUMIF('Monthly Summary'!$C$75:BV$75,"",$H28:CA28),SUMIF('Monthly Summary'!$C$74:BV$74,"",$H28:CA28)),0)</f>
        <v>0</v>
      </c>
      <c r="CQ28" s="1286">
        <f t="shared" si="11"/>
        <v>0</v>
      </c>
      <c r="CR28" s="833"/>
      <c r="CS28" s="1277">
        <f>IF($A28="Software",SUM($H28:CA28),0)</f>
        <v>0</v>
      </c>
      <c r="CT28" s="1277">
        <f>IF($A28="Software",IF($G28="Opex",SUMIF('Monthly Summary'!$C$75:BV$75,"",$H28:CA28),SUMIF('Monthly Summary'!$C$74:BV$74,"",$H28:CA28)),0)</f>
        <v>0</v>
      </c>
      <c r="CU28" s="1286">
        <f t="shared" si="12"/>
        <v>0</v>
      </c>
      <c r="CV28" s="833"/>
      <c r="CW28" s="1277">
        <f t="shared" si="0"/>
        <v>0</v>
      </c>
      <c r="CX28" s="1277">
        <f t="shared" si="1"/>
        <v>0</v>
      </c>
      <c r="CY28" s="1286">
        <f t="shared" si="13"/>
        <v>0</v>
      </c>
      <c r="CZ28" s="833"/>
      <c r="DA28" s="1286">
        <f>IF($G28="Opex",SUMIF('Monthly Summary'!$C$75:BV$75,"",$H28:CA28),SUMIF('Monthly Summary'!$C$74:BV$74,"",$H28:CA28))</f>
        <v>0</v>
      </c>
      <c r="DB28" s="1278">
        <f t="shared" si="2"/>
        <v>0</v>
      </c>
      <c r="DC28" s="1279">
        <f>IF(AND(OR($D28=Variables!A$38,$D28=Variables!A$43),$F28&lt;&gt;"N/A"),1,0)</f>
        <v>0</v>
      </c>
      <c r="DD28" s="820"/>
      <c r="DE28" s="1281" t="str">
        <f t="shared" si="15"/>
        <v/>
      </c>
      <c r="DF28" s="1282" t="str">
        <f t="shared" si="16"/>
        <v/>
      </c>
      <c r="DG28" s="1282" t="str">
        <f t="shared" si="17"/>
        <v/>
      </c>
      <c r="DH28" s="1282" t="str">
        <f>IF(ISNA(VLOOKUP(DE28,Miscellaneous!E:F,2,0)),"",VLOOKUP(DE28,Miscellaneous!E:F,2,0))</f>
        <v/>
      </c>
      <c r="DI28" s="1282" t="str">
        <f t="shared" si="18"/>
        <v/>
      </c>
      <c r="DJ28" s="1283">
        <f>IF($DI28="Opex",SUMIF('Monthly Summary'!$C$75:$N$75,"",H28:S28),SUMIF('Monthly Summary'!$C$74:$N$74,"",H28:S28))</f>
        <v>0</v>
      </c>
      <c r="DK28" s="1283">
        <f>IF($DI28="Opex",SUMIF('Monthly Summary'!$O$75:$Z$75,"",T28:AE28),SUMIF('Monthly Summary'!$O$74:$Z$74,"",T28:AE28))</f>
        <v>0</v>
      </c>
      <c r="DL28" s="1283">
        <f>IF($DI28="Opex",SUMIF('Monthly Summary'!$AA$75:$AL$75,"",AF28:AQ28),SUMIF('Monthly Summary'!$AA$74:$AL$74,"",AF28:AQ28))</f>
        <v>0</v>
      </c>
      <c r="DM28" s="1283">
        <f>IF($DI28="Opex",SUMIF('Monthly Summary'!$AM$75:$AX$75,"",AR28:BC28),SUMIF('Monthly Summary'!$AM$74:$AX$74,"",AR28:BC28))</f>
        <v>0</v>
      </c>
      <c r="DN28" s="1283">
        <f>IF($DI28="Opex",SUMIF('Monthly Summary'!$AY$75:$BJ$75,"",BD28:BO28),SUMIF('Monthly Summary'!$AY$74:$BJ$74,"",BD28:BO28))</f>
        <v>0</v>
      </c>
      <c r="DO28" s="1284">
        <f>IF($DI28="Opex",SUMIF('Monthly Summary'!$BK$75:$BV$75,"",BP28:CA28),SUMIF('Monthly Summary'!$BK$74:$BV$74,"",BP28:CA28))</f>
        <v>0</v>
      </c>
      <c r="DP28" s="1285">
        <f t="shared" si="14"/>
        <v>0</v>
      </c>
    </row>
    <row r="29" spans="1:120" s="809" customFormat="1">
      <c r="A29" s="1261"/>
      <c r="B29" s="1261"/>
      <c r="C29" s="1261"/>
      <c r="D29" s="1262"/>
      <c r="E29" s="1270"/>
      <c r="F29" s="1263"/>
      <c r="G29" s="1263"/>
      <c r="H29" s="1267"/>
      <c r="I29" s="1268"/>
      <c r="J29" s="1268"/>
      <c r="K29" s="1268"/>
      <c r="L29" s="1268"/>
      <c r="M29" s="1268"/>
      <c r="N29" s="1268"/>
      <c r="O29" s="1268"/>
      <c r="P29" s="1268"/>
      <c r="Q29" s="1268"/>
      <c r="R29" s="1268"/>
      <c r="S29" s="1269"/>
      <c r="T29" s="1267"/>
      <c r="U29" s="1268"/>
      <c r="V29" s="1268"/>
      <c r="W29" s="1268"/>
      <c r="X29" s="1268"/>
      <c r="Y29" s="1268"/>
      <c r="Z29" s="1268"/>
      <c r="AA29" s="1268"/>
      <c r="AB29" s="1268"/>
      <c r="AC29" s="1268"/>
      <c r="AD29" s="1268"/>
      <c r="AE29" s="1269"/>
      <c r="AF29" s="1267"/>
      <c r="AG29" s="1268"/>
      <c r="AH29" s="1268"/>
      <c r="AI29" s="1268"/>
      <c r="AJ29" s="1268"/>
      <c r="AK29" s="1268"/>
      <c r="AL29" s="1268"/>
      <c r="AM29" s="1268"/>
      <c r="AN29" s="1268"/>
      <c r="AO29" s="1268"/>
      <c r="AP29" s="1268"/>
      <c r="AQ29" s="1269"/>
      <c r="AR29" s="1267"/>
      <c r="AS29" s="1268"/>
      <c r="AT29" s="1268"/>
      <c r="AU29" s="1268"/>
      <c r="AV29" s="1268"/>
      <c r="AW29" s="1268"/>
      <c r="AX29" s="1268"/>
      <c r="AY29" s="1268"/>
      <c r="AZ29" s="1268"/>
      <c r="BA29" s="1268"/>
      <c r="BB29" s="1268"/>
      <c r="BC29" s="1269"/>
      <c r="BD29" s="1267"/>
      <c r="BE29" s="1268"/>
      <c r="BF29" s="1268"/>
      <c r="BG29" s="1268"/>
      <c r="BH29" s="1268"/>
      <c r="BI29" s="1268"/>
      <c r="BJ29" s="1268"/>
      <c r="BK29" s="1268"/>
      <c r="BL29" s="1268"/>
      <c r="BM29" s="1268"/>
      <c r="BN29" s="1268"/>
      <c r="BO29" s="1269"/>
      <c r="BP29" s="1267"/>
      <c r="BQ29" s="1268"/>
      <c r="BR29" s="1268"/>
      <c r="BS29" s="1268"/>
      <c r="BT29" s="1268"/>
      <c r="BU29" s="1268"/>
      <c r="BV29" s="1268"/>
      <c r="BW29" s="1268"/>
      <c r="BX29" s="1268"/>
      <c r="BY29" s="1268"/>
      <c r="BZ29" s="1268"/>
      <c r="CA29" s="1269"/>
      <c r="CB29" s="1286">
        <f t="shared" si="7"/>
        <v>0</v>
      </c>
      <c r="CC29" s="1277">
        <f>IF($F29=Miscellaneous!$N$8,SUM($H29:CA29),0)</f>
        <v>0</v>
      </c>
      <c r="CD29" s="1277">
        <f>IF($F29=Miscellaneous!$N$8,IF($G29="Opex",SUMIF('Monthly Summary'!$C$75:BV$75,"",$H29:CA29),SUMIF('Monthly Summary'!$C$74:BV$74,"",$H29:CA29)),0)</f>
        <v>0</v>
      </c>
      <c r="CE29" s="1286">
        <f t="shared" si="8"/>
        <v>0</v>
      </c>
      <c r="CF29" s="833"/>
      <c r="CG29" s="1277">
        <f>IF($F29=Miscellaneous!$N$9,SUM($H29:CA29),0)</f>
        <v>0</v>
      </c>
      <c r="CH29" s="1277">
        <f>IF($F29=Miscellaneous!$N$9,IF($G29="Opex",SUMIF('Monthly Summary'!$C$75:BV$75,"",$H29:CA29),SUMIF('Monthly Summary'!$C$74:BV$74,"",$H29:CA29)),0)</f>
        <v>0</v>
      </c>
      <c r="CI29" s="1286">
        <f t="shared" si="9"/>
        <v>0</v>
      </c>
      <c r="CJ29" s="833"/>
      <c r="CK29" s="1277">
        <f>IF($F29=Miscellaneous!$N$7,SUM($H29:CA29),0)</f>
        <v>0</v>
      </c>
      <c r="CL29" s="1277">
        <f>IF($F29=Miscellaneous!$N$7,IF($G29="Opex",SUMIF('Monthly Summary'!$C$75:BV$75,"",$H29:CA29),SUMIF('Monthly Summary'!$C$74:BV$74,"",$H29:CA29)),0)</f>
        <v>0</v>
      </c>
      <c r="CM29" s="1286">
        <f t="shared" si="10"/>
        <v>0</v>
      </c>
      <c r="CN29" s="833"/>
      <c r="CO29" s="1277">
        <f>IF($F29=Miscellaneous!$N$6,SUM($H29:CA29),0)</f>
        <v>0</v>
      </c>
      <c r="CP29" s="1277">
        <f>IF($F29=Miscellaneous!$N$6,IF($G29="Opex",SUMIF('Monthly Summary'!$C$75:BV$75,"",$H29:CA29),SUMIF('Monthly Summary'!$C$74:BV$74,"",$H29:CA29)),0)</f>
        <v>0</v>
      </c>
      <c r="CQ29" s="1286">
        <f t="shared" si="11"/>
        <v>0</v>
      </c>
      <c r="CR29" s="833"/>
      <c r="CS29" s="1277">
        <f>IF($A29="Software",SUM($H29:CA29),0)</f>
        <v>0</v>
      </c>
      <c r="CT29" s="1277">
        <f>IF($A29="Software",IF($G29="Opex",SUMIF('Monthly Summary'!$C$75:BV$75,"",$H29:CA29),SUMIF('Monthly Summary'!$C$74:BV$74,"",$H29:CA29)),0)</f>
        <v>0</v>
      </c>
      <c r="CU29" s="1286">
        <f t="shared" si="12"/>
        <v>0</v>
      </c>
      <c r="CV29" s="833"/>
      <c r="CW29" s="1277">
        <f t="shared" si="0"/>
        <v>0</v>
      </c>
      <c r="CX29" s="1277">
        <f t="shared" si="1"/>
        <v>0</v>
      </c>
      <c r="CY29" s="1286">
        <f t="shared" si="13"/>
        <v>0</v>
      </c>
      <c r="CZ29" s="833"/>
      <c r="DA29" s="1286">
        <f>IF($G29="Opex",SUMIF('Monthly Summary'!$C$75:BV$75,"",$H29:CA29),SUMIF('Monthly Summary'!$C$74:BV$74,"",$H29:CA29))</f>
        <v>0</v>
      </c>
      <c r="DB29" s="1278">
        <f t="shared" si="2"/>
        <v>0</v>
      </c>
      <c r="DC29" s="1279">
        <f>IF(AND(OR($D29=Variables!A$38,$D29=Variables!A$43),$F29&lt;&gt;"N/A"),1,0)</f>
        <v>0</v>
      </c>
      <c r="DD29" s="820"/>
      <c r="DE29" s="1281" t="str">
        <f t="shared" si="15"/>
        <v/>
      </c>
      <c r="DF29" s="1282" t="str">
        <f t="shared" si="16"/>
        <v/>
      </c>
      <c r="DG29" s="1282" t="str">
        <f t="shared" si="17"/>
        <v/>
      </c>
      <c r="DH29" s="1282" t="str">
        <f>IF(ISNA(VLOOKUP(DE29,Miscellaneous!E:F,2,0)),"",VLOOKUP(DE29,Miscellaneous!E:F,2,0))</f>
        <v/>
      </c>
      <c r="DI29" s="1282" t="str">
        <f t="shared" si="18"/>
        <v/>
      </c>
      <c r="DJ29" s="1283">
        <f>IF($DI29="Opex",SUMIF('Monthly Summary'!$C$75:$N$75,"",H29:S29),SUMIF('Monthly Summary'!$C$74:$N$74,"",H29:S29))</f>
        <v>0</v>
      </c>
      <c r="DK29" s="1283">
        <f>IF($DI29="Opex",SUMIF('Monthly Summary'!$O$75:$Z$75,"",T29:AE29),SUMIF('Monthly Summary'!$O$74:$Z$74,"",T29:AE29))</f>
        <v>0</v>
      </c>
      <c r="DL29" s="1283">
        <f>IF($DI29="Opex",SUMIF('Monthly Summary'!$AA$75:$AL$75,"",AF29:AQ29),SUMIF('Monthly Summary'!$AA$74:$AL$74,"",AF29:AQ29))</f>
        <v>0</v>
      </c>
      <c r="DM29" s="1283">
        <f>IF($DI29="Opex",SUMIF('Monthly Summary'!$AM$75:$AX$75,"",AR29:BC29),SUMIF('Monthly Summary'!$AM$74:$AX$74,"",AR29:BC29))</f>
        <v>0</v>
      </c>
      <c r="DN29" s="1283">
        <f>IF($DI29="Opex",SUMIF('Monthly Summary'!$AY$75:$BJ$75,"",BD29:BO29),SUMIF('Monthly Summary'!$AY$74:$BJ$74,"",BD29:BO29))</f>
        <v>0</v>
      </c>
      <c r="DO29" s="1284">
        <f>IF($DI29="Opex",SUMIF('Monthly Summary'!$BK$75:$BV$75,"",BP29:CA29),SUMIF('Monthly Summary'!$BK$74:$BV$74,"",BP29:CA29))</f>
        <v>0</v>
      </c>
      <c r="DP29" s="1285">
        <f t="shared" si="14"/>
        <v>0</v>
      </c>
    </row>
    <row r="30" spans="1:120" s="809" customFormat="1">
      <c r="A30" s="1261"/>
      <c r="B30" s="1261"/>
      <c r="C30" s="1261"/>
      <c r="D30" s="1262"/>
      <c r="E30" s="1270"/>
      <c r="F30" s="1263"/>
      <c r="G30" s="1263"/>
      <c r="H30" s="1267"/>
      <c r="I30" s="1268"/>
      <c r="J30" s="1268"/>
      <c r="K30" s="1268"/>
      <c r="L30" s="1268"/>
      <c r="M30" s="1268"/>
      <c r="N30" s="1268"/>
      <c r="O30" s="1268"/>
      <c r="P30" s="1268"/>
      <c r="Q30" s="1268"/>
      <c r="R30" s="1268"/>
      <c r="S30" s="1269"/>
      <c r="T30" s="1267"/>
      <c r="U30" s="1268"/>
      <c r="V30" s="1268"/>
      <c r="W30" s="1268"/>
      <c r="X30" s="1268"/>
      <c r="Y30" s="1268"/>
      <c r="Z30" s="1268"/>
      <c r="AA30" s="1268"/>
      <c r="AB30" s="1268"/>
      <c r="AC30" s="1268"/>
      <c r="AD30" s="1268"/>
      <c r="AE30" s="1269"/>
      <c r="AF30" s="1267"/>
      <c r="AG30" s="1268"/>
      <c r="AH30" s="1268"/>
      <c r="AI30" s="1268"/>
      <c r="AJ30" s="1268"/>
      <c r="AK30" s="1268"/>
      <c r="AL30" s="1268"/>
      <c r="AM30" s="1268"/>
      <c r="AN30" s="1268"/>
      <c r="AO30" s="1268"/>
      <c r="AP30" s="1268"/>
      <c r="AQ30" s="1269"/>
      <c r="AR30" s="1267"/>
      <c r="AS30" s="1268"/>
      <c r="AT30" s="1268"/>
      <c r="AU30" s="1268"/>
      <c r="AV30" s="1268"/>
      <c r="AW30" s="1268"/>
      <c r="AX30" s="1268"/>
      <c r="AY30" s="1268"/>
      <c r="AZ30" s="1268"/>
      <c r="BA30" s="1268"/>
      <c r="BB30" s="1268"/>
      <c r="BC30" s="1269"/>
      <c r="BD30" s="1267"/>
      <c r="BE30" s="1268"/>
      <c r="BF30" s="1268"/>
      <c r="BG30" s="1268"/>
      <c r="BH30" s="1268"/>
      <c r="BI30" s="1268"/>
      <c r="BJ30" s="1268"/>
      <c r="BK30" s="1268"/>
      <c r="BL30" s="1268"/>
      <c r="BM30" s="1268"/>
      <c r="BN30" s="1268"/>
      <c r="BO30" s="1269"/>
      <c r="BP30" s="1267"/>
      <c r="BQ30" s="1268"/>
      <c r="BR30" s="1268"/>
      <c r="BS30" s="1268"/>
      <c r="BT30" s="1268"/>
      <c r="BU30" s="1268"/>
      <c r="BV30" s="1268"/>
      <c r="BW30" s="1268"/>
      <c r="BX30" s="1268"/>
      <c r="BY30" s="1268"/>
      <c r="BZ30" s="1268"/>
      <c r="CA30" s="1269"/>
      <c r="CB30" s="1286">
        <f t="shared" si="7"/>
        <v>0</v>
      </c>
      <c r="CC30" s="1277">
        <f>IF($F30=Miscellaneous!$N$8,SUM($H30:CA30),0)</f>
        <v>0</v>
      </c>
      <c r="CD30" s="1277">
        <f>IF($F30=Miscellaneous!$N$8,IF($G30="Opex",SUMIF('Monthly Summary'!$C$75:BV$75,"",$H30:CA30),SUMIF('Monthly Summary'!$C$74:BV$74,"",$H30:CA30)),0)</f>
        <v>0</v>
      </c>
      <c r="CE30" s="1286">
        <f t="shared" si="8"/>
        <v>0</v>
      </c>
      <c r="CF30" s="833"/>
      <c r="CG30" s="1277">
        <f>IF($F30=Miscellaneous!$N$9,SUM($H30:CA30),0)</f>
        <v>0</v>
      </c>
      <c r="CH30" s="1277">
        <f>IF($F30=Miscellaneous!$N$9,IF($G30="Opex",SUMIF('Monthly Summary'!$C$75:BV$75,"",$H30:CA30),SUMIF('Monthly Summary'!$C$74:BV$74,"",$H30:CA30)),0)</f>
        <v>0</v>
      </c>
      <c r="CI30" s="1286">
        <f t="shared" si="9"/>
        <v>0</v>
      </c>
      <c r="CJ30" s="833"/>
      <c r="CK30" s="1277">
        <f>IF($F30=Miscellaneous!$N$7,SUM($H30:CA30),0)</f>
        <v>0</v>
      </c>
      <c r="CL30" s="1277">
        <f>IF($F30=Miscellaneous!$N$7,IF($G30="Opex",SUMIF('Monthly Summary'!$C$75:BV$75,"",$H30:CA30),SUMIF('Monthly Summary'!$C$74:BV$74,"",$H30:CA30)),0)</f>
        <v>0</v>
      </c>
      <c r="CM30" s="1286">
        <f t="shared" si="10"/>
        <v>0</v>
      </c>
      <c r="CN30" s="833"/>
      <c r="CO30" s="1277">
        <f>IF($F30=Miscellaneous!$N$6,SUM($H30:CA30),0)</f>
        <v>0</v>
      </c>
      <c r="CP30" s="1277">
        <f>IF($F30=Miscellaneous!$N$6,IF($G30="Opex",SUMIF('Monthly Summary'!$C$75:BV$75,"",$H30:CA30),SUMIF('Monthly Summary'!$C$74:BV$74,"",$H30:CA30)),0)</f>
        <v>0</v>
      </c>
      <c r="CQ30" s="1286">
        <f t="shared" si="11"/>
        <v>0</v>
      </c>
      <c r="CR30" s="833"/>
      <c r="CS30" s="1277">
        <f>IF($A30="Software",SUM($H30:CA30),0)</f>
        <v>0</v>
      </c>
      <c r="CT30" s="1277">
        <f>IF($A30="Software",IF($G30="Opex",SUMIF('Monthly Summary'!$C$75:BV$75,"",$H30:CA30),SUMIF('Monthly Summary'!$C$74:BV$74,"",$H30:CA30)),0)</f>
        <v>0</v>
      </c>
      <c r="CU30" s="1286">
        <f t="shared" si="12"/>
        <v>0</v>
      </c>
      <c r="CV30" s="833"/>
      <c r="CW30" s="1277">
        <f t="shared" si="0"/>
        <v>0</v>
      </c>
      <c r="CX30" s="1277">
        <f t="shared" si="1"/>
        <v>0</v>
      </c>
      <c r="CY30" s="1286">
        <f t="shared" si="13"/>
        <v>0</v>
      </c>
      <c r="CZ30" s="833"/>
      <c r="DA30" s="1286">
        <f>IF($G30="Opex",SUMIF('Monthly Summary'!$C$75:BV$75,"",$H30:CA30),SUMIF('Monthly Summary'!$C$74:BV$74,"",$H30:CA30))</f>
        <v>0</v>
      </c>
      <c r="DB30" s="1278">
        <f t="shared" si="2"/>
        <v>0</v>
      </c>
      <c r="DC30" s="1279">
        <f>IF(AND(OR($D30=Variables!A$38,$D30=Variables!A$43),$F30&lt;&gt;"N/A"),1,0)</f>
        <v>0</v>
      </c>
      <c r="DD30" s="820"/>
      <c r="DE30" s="1281" t="str">
        <f t="shared" si="15"/>
        <v/>
      </c>
      <c r="DF30" s="1282" t="str">
        <f t="shared" si="16"/>
        <v/>
      </c>
      <c r="DG30" s="1282" t="str">
        <f t="shared" si="17"/>
        <v/>
      </c>
      <c r="DH30" s="1282" t="str">
        <f>IF(ISNA(VLOOKUP(DE30,Miscellaneous!E:F,2,0)),"",VLOOKUP(DE30,Miscellaneous!E:F,2,0))</f>
        <v/>
      </c>
      <c r="DI30" s="1282" t="str">
        <f t="shared" si="18"/>
        <v/>
      </c>
      <c r="DJ30" s="1283">
        <f>IF($DI30="Opex",SUMIF('Monthly Summary'!$C$75:$N$75,"",H30:S30),SUMIF('Monthly Summary'!$C$74:$N$74,"",H30:S30))</f>
        <v>0</v>
      </c>
      <c r="DK30" s="1283">
        <f>IF($DI30="Opex",SUMIF('Monthly Summary'!$O$75:$Z$75,"",T30:AE30),SUMIF('Monthly Summary'!$O$74:$Z$74,"",T30:AE30))</f>
        <v>0</v>
      </c>
      <c r="DL30" s="1283">
        <f>IF($DI30="Opex",SUMIF('Monthly Summary'!$AA$75:$AL$75,"",AF30:AQ30),SUMIF('Monthly Summary'!$AA$74:$AL$74,"",AF30:AQ30))</f>
        <v>0</v>
      </c>
      <c r="DM30" s="1283">
        <f>IF($DI30="Opex",SUMIF('Monthly Summary'!$AM$75:$AX$75,"",AR30:BC30),SUMIF('Monthly Summary'!$AM$74:$AX$74,"",AR30:BC30))</f>
        <v>0</v>
      </c>
      <c r="DN30" s="1283">
        <f>IF($DI30="Opex",SUMIF('Monthly Summary'!$AY$75:$BJ$75,"",BD30:BO30),SUMIF('Monthly Summary'!$AY$74:$BJ$74,"",BD30:BO30))</f>
        <v>0</v>
      </c>
      <c r="DO30" s="1284">
        <f>IF($DI30="Opex",SUMIF('Monthly Summary'!$BK$75:$BV$75,"",BP30:CA30),SUMIF('Monthly Summary'!$BK$74:$BV$74,"",BP30:CA30))</f>
        <v>0</v>
      </c>
      <c r="DP30" s="1285">
        <f t="shared" si="14"/>
        <v>0</v>
      </c>
    </row>
    <row r="31" spans="1:120" s="809" customFormat="1">
      <c r="A31" s="1261"/>
      <c r="B31" s="1261"/>
      <c r="C31" s="1261"/>
      <c r="D31" s="1262"/>
      <c r="E31" s="1270"/>
      <c r="F31" s="1263"/>
      <c r="G31" s="1263"/>
      <c r="H31" s="1267"/>
      <c r="I31" s="1268"/>
      <c r="J31" s="1268"/>
      <c r="K31" s="1268"/>
      <c r="L31" s="1268"/>
      <c r="M31" s="1268"/>
      <c r="N31" s="1268"/>
      <c r="O31" s="1268"/>
      <c r="P31" s="1268"/>
      <c r="Q31" s="1268"/>
      <c r="R31" s="1268"/>
      <c r="S31" s="1269"/>
      <c r="T31" s="1267"/>
      <c r="U31" s="1268"/>
      <c r="V31" s="1268"/>
      <c r="W31" s="1268"/>
      <c r="X31" s="1268"/>
      <c r="Y31" s="1268"/>
      <c r="Z31" s="1268"/>
      <c r="AA31" s="1268"/>
      <c r="AB31" s="1268"/>
      <c r="AC31" s="1268"/>
      <c r="AD31" s="1268"/>
      <c r="AE31" s="1269"/>
      <c r="AF31" s="1267"/>
      <c r="AG31" s="1268"/>
      <c r="AH31" s="1268"/>
      <c r="AI31" s="1268"/>
      <c r="AJ31" s="1268"/>
      <c r="AK31" s="1268"/>
      <c r="AL31" s="1268"/>
      <c r="AM31" s="1268"/>
      <c r="AN31" s="1268"/>
      <c r="AO31" s="1268"/>
      <c r="AP31" s="1268"/>
      <c r="AQ31" s="1269"/>
      <c r="AR31" s="1267"/>
      <c r="AS31" s="1268"/>
      <c r="AT31" s="1268"/>
      <c r="AU31" s="1268"/>
      <c r="AV31" s="1268"/>
      <c r="AW31" s="1268"/>
      <c r="AX31" s="1268"/>
      <c r="AY31" s="1268"/>
      <c r="AZ31" s="1268"/>
      <c r="BA31" s="1268"/>
      <c r="BB31" s="1268"/>
      <c r="BC31" s="1269"/>
      <c r="BD31" s="1267"/>
      <c r="BE31" s="1268"/>
      <c r="BF31" s="1268"/>
      <c r="BG31" s="1268"/>
      <c r="BH31" s="1268"/>
      <c r="BI31" s="1268"/>
      <c r="BJ31" s="1268"/>
      <c r="BK31" s="1268"/>
      <c r="BL31" s="1268"/>
      <c r="BM31" s="1268"/>
      <c r="BN31" s="1268"/>
      <c r="BO31" s="1269"/>
      <c r="BP31" s="1267"/>
      <c r="BQ31" s="1268"/>
      <c r="BR31" s="1268"/>
      <c r="BS31" s="1268"/>
      <c r="BT31" s="1268"/>
      <c r="BU31" s="1268"/>
      <c r="BV31" s="1268"/>
      <c r="BW31" s="1268"/>
      <c r="BX31" s="1268"/>
      <c r="BY31" s="1268"/>
      <c r="BZ31" s="1268"/>
      <c r="CA31" s="1269"/>
      <c r="CB31" s="1286">
        <f t="shared" si="7"/>
        <v>0</v>
      </c>
      <c r="CC31" s="1277">
        <f>IF($F31=Miscellaneous!$N$8,SUM($H31:CA31),0)</f>
        <v>0</v>
      </c>
      <c r="CD31" s="1277">
        <f>IF($F31=Miscellaneous!$N$8,IF($G31="Opex",SUMIF('Monthly Summary'!$C$75:BV$75,"",$H31:CA31),SUMIF('Monthly Summary'!$C$74:BV$74,"",$H31:CA31)),0)</f>
        <v>0</v>
      </c>
      <c r="CE31" s="1286">
        <f t="shared" si="8"/>
        <v>0</v>
      </c>
      <c r="CF31" s="833"/>
      <c r="CG31" s="1277">
        <f>IF($F31=Miscellaneous!$N$9,SUM($H31:CA31),0)</f>
        <v>0</v>
      </c>
      <c r="CH31" s="1277">
        <f>IF($F31=Miscellaneous!$N$9,IF($G31="Opex",SUMIF('Monthly Summary'!$C$75:BV$75,"",$H31:CA31),SUMIF('Monthly Summary'!$C$74:BV$74,"",$H31:CA31)),0)</f>
        <v>0</v>
      </c>
      <c r="CI31" s="1286">
        <f t="shared" si="9"/>
        <v>0</v>
      </c>
      <c r="CJ31" s="833"/>
      <c r="CK31" s="1277">
        <f>IF($F31=Miscellaneous!$N$7,SUM($H31:CA31),0)</f>
        <v>0</v>
      </c>
      <c r="CL31" s="1277">
        <f>IF($F31=Miscellaneous!$N$7,IF($G31="Opex",SUMIF('Monthly Summary'!$C$75:BV$75,"",$H31:CA31),SUMIF('Monthly Summary'!$C$74:BV$74,"",$H31:CA31)),0)</f>
        <v>0</v>
      </c>
      <c r="CM31" s="1286">
        <f t="shared" si="10"/>
        <v>0</v>
      </c>
      <c r="CN31" s="833"/>
      <c r="CO31" s="1277">
        <f>IF($F31=Miscellaneous!$N$6,SUM($H31:CA31),0)</f>
        <v>0</v>
      </c>
      <c r="CP31" s="1277">
        <f>IF($F31=Miscellaneous!$N$6,IF($G31="Opex",SUMIF('Monthly Summary'!$C$75:BV$75,"",$H31:CA31),SUMIF('Monthly Summary'!$C$74:BV$74,"",$H31:CA31)),0)</f>
        <v>0</v>
      </c>
      <c r="CQ31" s="1286">
        <f t="shared" si="11"/>
        <v>0</v>
      </c>
      <c r="CR31" s="833"/>
      <c r="CS31" s="1277">
        <f>IF($A31="Software",SUM($H31:CA31),0)</f>
        <v>0</v>
      </c>
      <c r="CT31" s="1277">
        <f>IF($A31="Software",IF($G31="Opex",SUMIF('Monthly Summary'!$C$75:BV$75,"",$H31:CA31),SUMIF('Monthly Summary'!$C$74:BV$74,"",$H31:CA31)),0)</f>
        <v>0</v>
      </c>
      <c r="CU31" s="1286">
        <f t="shared" si="12"/>
        <v>0</v>
      </c>
      <c r="CV31" s="833"/>
      <c r="CW31" s="1277">
        <f t="shared" si="0"/>
        <v>0</v>
      </c>
      <c r="CX31" s="1277">
        <f t="shared" si="1"/>
        <v>0</v>
      </c>
      <c r="CY31" s="1286">
        <f t="shared" si="13"/>
        <v>0</v>
      </c>
      <c r="CZ31" s="833"/>
      <c r="DA31" s="1286">
        <f>IF($G31="Opex",SUMIF('Monthly Summary'!$C$75:BV$75,"",$H31:CA31),SUMIF('Monthly Summary'!$C$74:BV$74,"",$H31:CA31))</f>
        <v>0</v>
      </c>
      <c r="DB31" s="1278">
        <f t="shared" si="2"/>
        <v>0</v>
      </c>
      <c r="DC31" s="1279">
        <f>IF(AND(OR($D31=Variables!A$38,$D31=Variables!A$43),$F31&lt;&gt;"N/A"),1,0)</f>
        <v>0</v>
      </c>
      <c r="DD31" s="820"/>
      <c r="DE31" s="1281" t="str">
        <f t="shared" si="15"/>
        <v/>
      </c>
      <c r="DF31" s="1282" t="str">
        <f t="shared" si="16"/>
        <v/>
      </c>
      <c r="DG31" s="1282" t="str">
        <f t="shared" si="17"/>
        <v/>
      </c>
      <c r="DH31" s="1282" t="str">
        <f>IF(ISNA(VLOOKUP(DE31,Miscellaneous!E:F,2,0)),"",VLOOKUP(DE31,Miscellaneous!E:F,2,0))</f>
        <v/>
      </c>
      <c r="DI31" s="1282" t="str">
        <f t="shared" si="18"/>
        <v/>
      </c>
      <c r="DJ31" s="1283">
        <f>IF($DI31="Opex",SUMIF('Monthly Summary'!$C$75:$N$75,"",H31:S31),SUMIF('Monthly Summary'!$C$74:$N$74,"",H31:S31))</f>
        <v>0</v>
      </c>
      <c r="DK31" s="1283">
        <f>IF($DI31="Opex",SUMIF('Monthly Summary'!$O$75:$Z$75,"",T31:AE31),SUMIF('Monthly Summary'!$O$74:$Z$74,"",T31:AE31))</f>
        <v>0</v>
      </c>
      <c r="DL31" s="1283">
        <f>IF($DI31="Opex",SUMIF('Monthly Summary'!$AA$75:$AL$75,"",AF31:AQ31),SUMIF('Monthly Summary'!$AA$74:$AL$74,"",AF31:AQ31))</f>
        <v>0</v>
      </c>
      <c r="DM31" s="1283">
        <f>IF($DI31="Opex",SUMIF('Monthly Summary'!$AM$75:$AX$75,"",AR31:BC31),SUMIF('Monthly Summary'!$AM$74:$AX$74,"",AR31:BC31))</f>
        <v>0</v>
      </c>
      <c r="DN31" s="1283">
        <f>IF($DI31="Opex",SUMIF('Monthly Summary'!$AY$75:$BJ$75,"",BD31:BO31),SUMIF('Monthly Summary'!$AY$74:$BJ$74,"",BD31:BO31))</f>
        <v>0</v>
      </c>
      <c r="DO31" s="1284">
        <f>IF($DI31="Opex",SUMIF('Monthly Summary'!$BK$75:$BV$75,"",BP31:CA31),SUMIF('Monthly Summary'!$BK$74:$BV$74,"",BP31:CA31))</f>
        <v>0</v>
      </c>
      <c r="DP31" s="1285">
        <f t="shared" si="14"/>
        <v>0</v>
      </c>
    </row>
    <row r="32" spans="1:120" s="813" customFormat="1">
      <c r="A32" s="1261"/>
      <c r="B32" s="1261"/>
      <c r="C32" s="1261"/>
      <c r="D32" s="1262"/>
      <c r="E32" s="1270"/>
      <c r="F32" s="1263"/>
      <c r="G32" s="1263"/>
      <c r="H32" s="1267"/>
      <c r="I32" s="1268"/>
      <c r="J32" s="1268"/>
      <c r="K32" s="1268"/>
      <c r="L32" s="1268"/>
      <c r="M32" s="1268"/>
      <c r="N32" s="1268"/>
      <c r="O32" s="1268"/>
      <c r="P32" s="1268"/>
      <c r="Q32" s="1268"/>
      <c r="R32" s="1268"/>
      <c r="S32" s="1269"/>
      <c r="T32" s="1267"/>
      <c r="U32" s="1268"/>
      <c r="V32" s="1268"/>
      <c r="W32" s="1268"/>
      <c r="X32" s="1268"/>
      <c r="Y32" s="1268"/>
      <c r="Z32" s="1268"/>
      <c r="AA32" s="1268"/>
      <c r="AB32" s="1268"/>
      <c r="AC32" s="1268"/>
      <c r="AD32" s="1268"/>
      <c r="AE32" s="1269"/>
      <c r="AF32" s="1267"/>
      <c r="AG32" s="1268"/>
      <c r="AH32" s="1268"/>
      <c r="AI32" s="1268"/>
      <c r="AJ32" s="1268"/>
      <c r="AK32" s="1268"/>
      <c r="AL32" s="1268"/>
      <c r="AM32" s="1268"/>
      <c r="AN32" s="1268"/>
      <c r="AO32" s="1268"/>
      <c r="AP32" s="1268"/>
      <c r="AQ32" s="1269"/>
      <c r="AR32" s="1267"/>
      <c r="AS32" s="1268"/>
      <c r="AT32" s="1268"/>
      <c r="AU32" s="1268"/>
      <c r="AV32" s="1268"/>
      <c r="AW32" s="1268"/>
      <c r="AX32" s="1268"/>
      <c r="AY32" s="1268"/>
      <c r="AZ32" s="1268"/>
      <c r="BA32" s="1268"/>
      <c r="BB32" s="1268"/>
      <c r="BC32" s="1269"/>
      <c r="BD32" s="1267"/>
      <c r="BE32" s="1268"/>
      <c r="BF32" s="1268"/>
      <c r="BG32" s="1268"/>
      <c r="BH32" s="1268"/>
      <c r="BI32" s="1268"/>
      <c r="BJ32" s="1268"/>
      <c r="BK32" s="1268"/>
      <c r="BL32" s="1268"/>
      <c r="BM32" s="1268"/>
      <c r="BN32" s="1268"/>
      <c r="BO32" s="1269"/>
      <c r="BP32" s="1267"/>
      <c r="BQ32" s="1268"/>
      <c r="BR32" s="1268"/>
      <c r="BS32" s="1268"/>
      <c r="BT32" s="1268"/>
      <c r="BU32" s="1268"/>
      <c r="BV32" s="1268"/>
      <c r="BW32" s="1268"/>
      <c r="BX32" s="1268"/>
      <c r="BY32" s="1268"/>
      <c r="BZ32" s="1268"/>
      <c r="CA32" s="1269"/>
      <c r="CB32" s="1286">
        <f t="shared" si="7"/>
        <v>0</v>
      </c>
      <c r="CC32" s="1277">
        <f>IF($F32=Miscellaneous!$N$8,SUM($H32:CA32),0)</f>
        <v>0</v>
      </c>
      <c r="CD32" s="1277">
        <f>IF($F32=Miscellaneous!$N$8,IF($G32="Opex",SUMIF('Monthly Summary'!$C$75:BV$75,"",$H32:CA32),SUMIF('Monthly Summary'!$C$74:BV$74,"",$H32:CA32)),0)</f>
        <v>0</v>
      </c>
      <c r="CE32" s="1286">
        <f t="shared" si="8"/>
        <v>0</v>
      </c>
      <c r="CF32" s="1287"/>
      <c r="CG32" s="1277">
        <f>IF($F32=Miscellaneous!$N$9,SUM($H32:CA32),0)</f>
        <v>0</v>
      </c>
      <c r="CH32" s="1277">
        <f>IF($F32=Miscellaneous!$N$9,IF($G32="Opex",SUMIF('Monthly Summary'!$C$75:BV$75,"",$H32:CA32),SUMIF('Monthly Summary'!$C$74:BV$74,"",$H32:CA32)),0)</f>
        <v>0</v>
      </c>
      <c r="CI32" s="1286">
        <f t="shared" si="9"/>
        <v>0</v>
      </c>
      <c r="CJ32" s="1287"/>
      <c r="CK32" s="1277">
        <f>IF($F32=Miscellaneous!$N$7,SUM($H32:CA32),0)</f>
        <v>0</v>
      </c>
      <c r="CL32" s="1277">
        <f>IF($F32=Miscellaneous!$N$7,IF($G32="Opex",SUMIF('Monthly Summary'!$C$75:BV$75,"",$H32:CA32),SUMIF('Monthly Summary'!$C$74:BV$74,"",$H32:CA32)),0)</f>
        <v>0</v>
      </c>
      <c r="CM32" s="1286">
        <f t="shared" si="10"/>
        <v>0</v>
      </c>
      <c r="CN32" s="1287"/>
      <c r="CO32" s="1277">
        <f>IF($F32=Miscellaneous!$N$6,SUM($H32:CA32),0)</f>
        <v>0</v>
      </c>
      <c r="CP32" s="1277">
        <f>IF($F32=Miscellaneous!$N$6,IF($G32="Opex",SUMIF('Monthly Summary'!$C$75:BV$75,"",$H32:CA32),SUMIF('Monthly Summary'!$C$74:BV$74,"",$H32:CA32)),0)</f>
        <v>0</v>
      </c>
      <c r="CQ32" s="1286">
        <f t="shared" si="11"/>
        <v>0</v>
      </c>
      <c r="CR32" s="1287"/>
      <c r="CS32" s="1277">
        <f>IF($A32="Software",SUM($H32:CA32),0)</f>
        <v>0</v>
      </c>
      <c r="CT32" s="1277">
        <f>IF($A32="Software",IF($G32="Opex",SUMIF('Monthly Summary'!$C$75:BV$75,"",$H32:CA32),SUMIF('Monthly Summary'!$C$74:BV$74,"",$H32:CA32)),0)</f>
        <v>0</v>
      </c>
      <c r="CU32" s="1286">
        <f t="shared" si="12"/>
        <v>0</v>
      </c>
      <c r="CV32" s="1287"/>
      <c r="CW32" s="1277">
        <f t="shared" si="0"/>
        <v>0</v>
      </c>
      <c r="CX32" s="1277">
        <f t="shared" si="1"/>
        <v>0</v>
      </c>
      <c r="CY32" s="1286">
        <f t="shared" si="13"/>
        <v>0</v>
      </c>
      <c r="CZ32" s="1287"/>
      <c r="DA32" s="1286">
        <f>IF($G32="Opex",SUMIF('Monthly Summary'!$C$75:BV$75,"",$H32:CA32),SUMIF('Monthly Summary'!$C$74:BV$74,"",$H32:CA32))</f>
        <v>0</v>
      </c>
      <c r="DB32" s="1278">
        <f t="shared" si="2"/>
        <v>0</v>
      </c>
      <c r="DC32" s="1279">
        <f>IF(AND(OR($D32=Variables!A$38,$D32=Variables!A$43),$F32&lt;&gt;"N/A"),1,0)</f>
        <v>0</v>
      </c>
      <c r="DD32" s="820"/>
      <c r="DE32" s="1281" t="str">
        <f t="shared" si="15"/>
        <v/>
      </c>
      <c r="DF32" s="1282" t="str">
        <f t="shared" si="16"/>
        <v/>
      </c>
      <c r="DG32" s="1282" t="str">
        <f t="shared" si="17"/>
        <v/>
      </c>
      <c r="DH32" s="1282" t="str">
        <f>IF(ISNA(VLOOKUP(DE32,Miscellaneous!E:F,2,0)),"",VLOOKUP(DE32,Miscellaneous!E:F,2,0))</f>
        <v/>
      </c>
      <c r="DI32" s="1282" t="str">
        <f t="shared" si="18"/>
        <v/>
      </c>
      <c r="DJ32" s="1283">
        <f>IF($DI32="Opex",SUMIF('Monthly Summary'!$C$75:$N$75,"",H32:S32),SUMIF('Monthly Summary'!$C$74:$N$74,"",H32:S32))</f>
        <v>0</v>
      </c>
      <c r="DK32" s="1283">
        <f>IF($DI32="Opex",SUMIF('Monthly Summary'!$O$75:$Z$75,"",T32:AE32),SUMIF('Monthly Summary'!$O$74:$Z$74,"",T32:AE32))</f>
        <v>0</v>
      </c>
      <c r="DL32" s="1283">
        <f>IF($DI32="Opex",SUMIF('Monthly Summary'!$AA$75:$AL$75,"",AF32:AQ32),SUMIF('Monthly Summary'!$AA$74:$AL$74,"",AF32:AQ32))</f>
        <v>0</v>
      </c>
      <c r="DM32" s="1283">
        <f>IF($DI32="Opex",SUMIF('Monthly Summary'!$AM$75:$AX$75,"",AR32:BC32),SUMIF('Monthly Summary'!$AM$74:$AX$74,"",AR32:BC32))</f>
        <v>0</v>
      </c>
      <c r="DN32" s="1283">
        <f>IF($DI32="Opex",SUMIF('Monthly Summary'!$AY$75:$BJ$75,"",BD32:BO32),SUMIF('Monthly Summary'!$AY$74:$BJ$74,"",BD32:BO32))</f>
        <v>0</v>
      </c>
      <c r="DO32" s="1284">
        <f>IF($DI32="Opex",SUMIF('Monthly Summary'!$BK$75:$BV$75,"",BP32:CA32),SUMIF('Monthly Summary'!$BK$74:$BV$74,"",BP32:CA32))</f>
        <v>0</v>
      </c>
      <c r="DP32" s="1285">
        <f t="shared" si="14"/>
        <v>0</v>
      </c>
    </row>
    <row r="33" spans="1:120" s="813" customFormat="1">
      <c r="A33" s="1261"/>
      <c r="B33" s="1261"/>
      <c r="C33" s="1261"/>
      <c r="D33" s="1262"/>
      <c r="E33" s="1270"/>
      <c r="F33" s="1263"/>
      <c r="G33" s="1263"/>
      <c r="H33" s="1267"/>
      <c r="I33" s="1268"/>
      <c r="J33" s="1268"/>
      <c r="K33" s="1268"/>
      <c r="L33" s="1268"/>
      <c r="M33" s="1268"/>
      <c r="N33" s="1268"/>
      <c r="O33" s="1268"/>
      <c r="P33" s="1268"/>
      <c r="Q33" s="1268"/>
      <c r="R33" s="1268"/>
      <c r="S33" s="1269"/>
      <c r="T33" s="1267"/>
      <c r="U33" s="1268"/>
      <c r="V33" s="1268"/>
      <c r="W33" s="1268"/>
      <c r="X33" s="1268"/>
      <c r="Y33" s="1268"/>
      <c r="Z33" s="1268"/>
      <c r="AA33" s="1268"/>
      <c r="AB33" s="1268"/>
      <c r="AC33" s="1268"/>
      <c r="AD33" s="1268"/>
      <c r="AE33" s="1269"/>
      <c r="AF33" s="1267"/>
      <c r="AG33" s="1268"/>
      <c r="AH33" s="1268"/>
      <c r="AI33" s="1268"/>
      <c r="AJ33" s="1268"/>
      <c r="AK33" s="1268"/>
      <c r="AL33" s="1268"/>
      <c r="AM33" s="1268"/>
      <c r="AN33" s="1268"/>
      <c r="AO33" s="1268"/>
      <c r="AP33" s="1268"/>
      <c r="AQ33" s="1269"/>
      <c r="AR33" s="1267"/>
      <c r="AS33" s="1268"/>
      <c r="AT33" s="1268"/>
      <c r="AU33" s="1268"/>
      <c r="AV33" s="1268"/>
      <c r="AW33" s="1268"/>
      <c r="AX33" s="1268"/>
      <c r="AY33" s="1268"/>
      <c r="AZ33" s="1268"/>
      <c r="BA33" s="1268"/>
      <c r="BB33" s="1268"/>
      <c r="BC33" s="1269"/>
      <c r="BD33" s="1267"/>
      <c r="BE33" s="1268"/>
      <c r="BF33" s="1268"/>
      <c r="BG33" s="1268"/>
      <c r="BH33" s="1268"/>
      <c r="BI33" s="1268"/>
      <c r="BJ33" s="1268"/>
      <c r="BK33" s="1268"/>
      <c r="BL33" s="1268"/>
      <c r="BM33" s="1268"/>
      <c r="BN33" s="1268"/>
      <c r="BO33" s="1269"/>
      <c r="BP33" s="1267"/>
      <c r="BQ33" s="1268"/>
      <c r="BR33" s="1268"/>
      <c r="BS33" s="1268"/>
      <c r="BT33" s="1268"/>
      <c r="BU33" s="1268"/>
      <c r="BV33" s="1268"/>
      <c r="BW33" s="1268"/>
      <c r="BX33" s="1268"/>
      <c r="BY33" s="1268"/>
      <c r="BZ33" s="1268"/>
      <c r="CA33" s="1269"/>
      <c r="CB33" s="1286">
        <f t="shared" si="7"/>
        <v>0</v>
      </c>
      <c r="CC33" s="1277">
        <f>IF($F33=Miscellaneous!$N$8,SUM($H33:CA33),0)</f>
        <v>0</v>
      </c>
      <c r="CD33" s="1277">
        <f>IF($F33=Miscellaneous!$N$8,IF($G33="Opex",SUMIF('Monthly Summary'!$C$75:BV$75,"",$H33:CA33),SUMIF('Monthly Summary'!$C$74:BV$74,"",$H33:CA33)),0)</f>
        <v>0</v>
      </c>
      <c r="CE33" s="1286">
        <f t="shared" si="8"/>
        <v>0</v>
      </c>
      <c r="CF33" s="1287"/>
      <c r="CG33" s="1277">
        <f>IF($F33=Miscellaneous!$N$9,SUM($H33:CA33),0)</f>
        <v>0</v>
      </c>
      <c r="CH33" s="1277">
        <f>IF($F33=Miscellaneous!$N$9,IF($G33="Opex",SUMIF('Monthly Summary'!$C$75:BV$75,"",$H33:CA33),SUMIF('Monthly Summary'!$C$74:BV$74,"",$H33:CA33)),0)</f>
        <v>0</v>
      </c>
      <c r="CI33" s="1286">
        <f t="shared" si="9"/>
        <v>0</v>
      </c>
      <c r="CJ33" s="1287"/>
      <c r="CK33" s="1277">
        <f>IF($F33=Miscellaneous!$N$7,SUM($H33:CA33),0)</f>
        <v>0</v>
      </c>
      <c r="CL33" s="1277">
        <f>IF($F33=Miscellaneous!$N$7,IF($G33="Opex",SUMIF('Monthly Summary'!$C$75:BV$75,"",$H33:CA33),SUMIF('Monthly Summary'!$C$74:BV$74,"",$H33:CA33)),0)</f>
        <v>0</v>
      </c>
      <c r="CM33" s="1286">
        <f t="shared" si="10"/>
        <v>0</v>
      </c>
      <c r="CN33" s="1287"/>
      <c r="CO33" s="1277">
        <f>IF($F33=Miscellaneous!$N$6,SUM($H33:CA33),0)</f>
        <v>0</v>
      </c>
      <c r="CP33" s="1277">
        <f>IF($F33=Miscellaneous!$N$6,IF($G33="Opex",SUMIF('Monthly Summary'!$C$75:BV$75,"",$H33:CA33),SUMIF('Monthly Summary'!$C$74:BV$74,"",$H33:CA33)),0)</f>
        <v>0</v>
      </c>
      <c r="CQ33" s="1286">
        <f t="shared" si="11"/>
        <v>0</v>
      </c>
      <c r="CR33" s="1287"/>
      <c r="CS33" s="1277">
        <f>IF($A33="Software",SUM($H33:CA33),0)</f>
        <v>0</v>
      </c>
      <c r="CT33" s="1277">
        <f>IF($A33="Software",IF($G33="Opex",SUMIF('Monthly Summary'!$C$75:BV$75,"",$H33:CA33),SUMIF('Monthly Summary'!$C$74:BV$74,"",$H33:CA33)),0)</f>
        <v>0</v>
      </c>
      <c r="CU33" s="1286">
        <f t="shared" si="12"/>
        <v>0</v>
      </c>
      <c r="CV33" s="1287"/>
      <c r="CW33" s="1277">
        <f t="shared" si="0"/>
        <v>0</v>
      </c>
      <c r="CX33" s="1277">
        <f t="shared" si="1"/>
        <v>0</v>
      </c>
      <c r="CY33" s="1286">
        <f t="shared" si="13"/>
        <v>0</v>
      </c>
      <c r="CZ33" s="1287"/>
      <c r="DA33" s="1286">
        <f>IF($G33="Opex",SUMIF('Monthly Summary'!$C$75:BV$75,"",$H33:CA33),SUMIF('Monthly Summary'!$C$74:BV$74,"",$H33:CA33))</f>
        <v>0</v>
      </c>
      <c r="DB33" s="1278">
        <f t="shared" si="2"/>
        <v>0</v>
      </c>
      <c r="DC33" s="1279">
        <f>IF(AND(OR($D33=Variables!A$38,$D33=Variables!A$43),$F33&lt;&gt;"N/A"),1,0)</f>
        <v>0</v>
      </c>
      <c r="DD33" s="820"/>
      <c r="DE33" s="1281" t="str">
        <f t="shared" si="15"/>
        <v/>
      </c>
      <c r="DF33" s="1282" t="str">
        <f t="shared" si="16"/>
        <v/>
      </c>
      <c r="DG33" s="1282" t="str">
        <f t="shared" si="17"/>
        <v/>
      </c>
      <c r="DH33" s="1282" t="str">
        <f>IF(ISNA(VLOOKUP(DE33,Miscellaneous!E:F,2,0)),"",VLOOKUP(DE33,Miscellaneous!E:F,2,0))</f>
        <v/>
      </c>
      <c r="DI33" s="1282" t="str">
        <f t="shared" si="18"/>
        <v/>
      </c>
      <c r="DJ33" s="1283">
        <f>IF($DI33="Opex",SUMIF('Monthly Summary'!$C$75:$N$75,"",H33:S33),SUMIF('Monthly Summary'!$C$74:$N$74,"",H33:S33))</f>
        <v>0</v>
      </c>
      <c r="DK33" s="1283">
        <f>IF($DI33="Opex",SUMIF('Monthly Summary'!$O$75:$Z$75,"",T33:AE33),SUMIF('Monthly Summary'!$O$74:$Z$74,"",T33:AE33))</f>
        <v>0</v>
      </c>
      <c r="DL33" s="1283">
        <f>IF($DI33="Opex",SUMIF('Monthly Summary'!$AA$75:$AL$75,"",AF33:AQ33),SUMIF('Monthly Summary'!$AA$74:$AL$74,"",AF33:AQ33))</f>
        <v>0</v>
      </c>
      <c r="DM33" s="1283">
        <f>IF($DI33="Opex",SUMIF('Monthly Summary'!$AM$75:$AX$75,"",AR33:BC33),SUMIF('Monthly Summary'!$AM$74:$AX$74,"",AR33:BC33))</f>
        <v>0</v>
      </c>
      <c r="DN33" s="1283">
        <f>IF($DI33="Opex",SUMIF('Monthly Summary'!$AY$75:$BJ$75,"",BD33:BO33),SUMIF('Monthly Summary'!$AY$74:$BJ$74,"",BD33:BO33))</f>
        <v>0</v>
      </c>
      <c r="DO33" s="1284">
        <f>IF($DI33="Opex",SUMIF('Monthly Summary'!$BK$75:$BV$75,"",BP33:CA33),SUMIF('Monthly Summary'!$BK$74:$BV$74,"",BP33:CA33))</f>
        <v>0</v>
      </c>
      <c r="DP33" s="1285">
        <f t="shared" si="14"/>
        <v>0</v>
      </c>
    </row>
    <row r="34" spans="1:120" s="813" customFormat="1">
      <c r="A34" s="1261"/>
      <c r="B34" s="1261"/>
      <c r="C34" s="1261"/>
      <c r="D34" s="1262"/>
      <c r="E34" s="1270"/>
      <c r="F34" s="1263"/>
      <c r="G34" s="1263"/>
      <c r="H34" s="1267"/>
      <c r="I34" s="1268"/>
      <c r="J34" s="1268"/>
      <c r="K34" s="1268"/>
      <c r="L34" s="1268"/>
      <c r="M34" s="1268"/>
      <c r="N34" s="1268"/>
      <c r="O34" s="1268"/>
      <c r="P34" s="1268"/>
      <c r="Q34" s="1268"/>
      <c r="R34" s="1268"/>
      <c r="S34" s="1269"/>
      <c r="T34" s="1267"/>
      <c r="U34" s="1268"/>
      <c r="V34" s="1268"/>
      <c r="W34" s="1268"/>
      <c r="X34" s="1268"/>
      <c r="Y34" s="1268"/>
      <c r="Z34" s="1268"/>
      <c r="AA34" s="1268"/>
      <c r="AB34" s="1268"/>
      <c r="AC34" s="1268"/>
      <c r="AD34" s="1268"/>
      <c r="AE34" s="1269"/>
      <c r="AF34" s="1267"/>
      <c r="AG34" s="1268"/>
      <c r="AH34" s="1268"/>
      <c r="AI34" s="1268"/>
      <c r="AJ34" s="1268"/>
      <c r="AK34" s="1268"/>
      <c r="AL34" s="1268"/>
      <c r="AM34" s="1268"/>
      <c r="AN34" s="1268"/>
      <c r="AO34" s="1268"/>
      <c r="AP34" s="1268"/>
      <c r="AQ34" s="1269"/>
      <c r="AR34" s="1267"/>
      <c r="AS34" s="1268"/>
      <c r="AT34" s="1268"/>
      <c r="AU34" s="1268"/>
      <c r="AV34" s="1268"/>
      <c r="AW34" s="1268"/>
      <c r="AX34" s="1268"/>
      <c r="AY34" s="1268"/>
      <c r="AZ34" s="1268"/>
      <c r="BA34" s="1268"/>
      <c r="BB34" s="1268"/>
      <c r="BC34" s="1269"/>
      <c r="BD34" s="1267"/>
      <c r="BE34" s="1268"/>
      <c r="BF34" s="1268"/>
      <c r="BG34" s="1268"/>
      <c r="BH34" s="1268"/>
      <c r="BI34" s="1268"/>
      <c r="BJ34" s="1268"/>
      <c r="BK34" s="1268"/>
      <c r="BL34" s="1268"/>
      <c r="BM34" s="1268"/>
      <c r="BN34" s="1268"/>
      <c r="BO34" s="1269"/>
      <c r="BP34" s="1267"/>
      <c r="BQ34" s="1268"/>
      <c r="BR34" s="1268"/>
      <c r="BS34" s="1268"/>
      <c r="BT34" s="1268"/>
      <c r="BU34" s="1268"/>
      <c r="BV34" s="1268"/>
      <c r="BW34" s="1268"/>
      <c r="BX34" s="1268"/>
      <c r="BY34" s="1268"/>
      <c r="BZ34" s="1268"/>
      <c r="CA34" s="1269"/>
      <c r="CB34" s="1286">
        <f t="shared" si="7"/>
        <v>0</v>
      </c>
      <c r="CC34" s="1277">
        <f>IF($F34=Miscellaneous!$N$8,SUM($H34:CA34),0)</f>
        <v>0</v>
      </c>
      <c r="CD34" s="1277">
        <f>IF($F34=Miscellaneous!$N$8,IF($G34="Opex",SUMIF('Monthly Summary'!$C$75:BV$75,"",$H34:CA34),SUMIF('Monthly Summary'!$C$74:BV$74,"",$H34:CA34)),0)</f>
        <v>0</v>
      </c>
      <c r="CE34" s="1286">
        <f t="shared" si="8"/>
        <v>0</v>
      </c>
      <c r="CF34" s="1287"/>
      <c r="CG34" s="1277">
        <f>IF($F34=Miscellaneous!$N$9,SUM($H34:CA34),0)</f>
        <v>0</v>
      </c>
      <c r="CH34" s="1277">
        <f>IF($F34=Miscellaneous!$N$9,IF($G34="Opex",SUMIF('Monthly Summary'!$C$75:BV$75,"",$H34:CA34),SUMIF('Monthly Summary'!$C$74:BV$74,"",$H34:CA34)),0)</f>
        <v>0</v>
      </c>
      <c r="CI34" s="1286">
        <f t="shared" si="9"/>
        <v>0</v>
      </c>
      <c r="CJ34" s="1287"/>
      <c r="CK34" s="1277">
        <f>IF($F34=Miscellaneous!$N$7,SUM($H34:CA34),0)</f>
        <v>0</v>
      </c>
      <c r="CL34" s="1277">
        <f>IF($F34=Miscellaneous!$N$7,IF($G34="Opex",SUMIF('Monthly Summary'!$C$75:BV$75,"",$H34:CA34),SUMIF('Monthly Summary'!$C$74:BV$74,"",$H34:CA34)),0)</f>
        <v>0</v>
      </c>
      <c r="CM34" s="1286">
        <f t="shared" si="10"/>
        <v>0</v>
      </c>
      <c r="CN34" s="1287"/>
      <c r="CO34" s="1277">
        <f>IF($F34=Miscellaneous!$N$6,SUM($H34:CA34),0)</f>
        <v>0</v>
      </c>
      <c r="CP34" s="1277">
        <f>IF($F34=Miscellaneous!$N$6,IF($G34="Opex",SUMIF('Monthly Summary'!$C$75:BV$75,"",$H34:CA34),SUMIF('Monthly Summary'!$C$74:BV$74,"",$H34:CA34)),0)</f>
        <v>0</v>
      </c>
      <c r="CQ34" s="1286">
        <f t="shared" si="11"/>
        <v>0</v>
      </c>
      <c r="CR34" s="1287"/>
      <c r="CS34" s="1277">
        <f>IF($A34="Software",SUM($H34:CA34),0)</f>
        <v>0</v>
      </c>
      <c r="CT34" s="1277">
        <f>IF($A34="Software",IF($G34="Opex",SUMIF('Monthly Summary'!$C$75:BV$75,"",$H34:CA34),SUMIF('Monthly Summary'!$C$74:BV$74,"",$H34:CA34)),0)</f>
        <v>0</v>
      </c>
      <c r="CU34" s="1286">
        <f t="shared" si="12"/>
        <v>0</v>
      </c>
      <c r="CV34" s="1287"/>
      <c r="CW34" s="1277">
        <f t="shared" si="0"/>
        <v>0</v>
      </c>
      <c r="CX34" s="1277">
        <f t="shared" si="1"/>
        <v>0</v>
      </c>
      <c r="CY34" s="1286">
        <f t="shared" si="13"/>
        <v>0</v>
      </c>
      <c r="CZ34" s="1287"/>
      <c r="DA34" s="1286">
        <f>IF($G34="Opex",SUMIF('Monthly Summary'!$C$75:BV$75,"",$H34:CA34),SUMIF('Monthly Summary'!$C$74:BV$74,"",$H34:CA34))</f>
        <v>0</v>
      </c>
      <c r="DB34" s="1278">
        <f t="shared" si="2"/>
        <v>0</v>
      </c>
      <c r="DC34" s="1279">
        <f>IF(AND(OR($D34=Variables!A$38,$D34=Variables!A$43),$F34&lt;&gt;"N/A"),1,0)</f>
        <v>0</v>
      </c>
      <c r="DD34" s="820"/>
      <c r="DE34" s="1281" t="str">
        <f t="shared" si="15"/>
        <v/>
      </c>
      <c r="DF34" s="1282" t="str">
        <f t="shared" si="16"/>
        <v/>
      </c>
      <c r="DG34" s="1282" t="str">
        <f t="shared" si="17"/>
        <v/>
      </c>
      <c r="DH34" s="1282" t="str">
        <f>IF(ISNA(VLOOKUP(DE34,Miscellaneous!E:F,2,0)),"",VLOOKUP(DE34,Miscellaneous!E:F,2,0))</f>
        <v/>
      </c>
      <c r="DI34" s="1282" t="str">
        <f t="shared" si="18"/>
        <v/>
      </c>
      <c r="DJ34" s="1283">
        <f>IF($DI34="Opex",SUMIF('Monthly Summary'!$C$75:$N$75,"",H34:S34),SUMIF('Monthly Summary'!$C$74:$N$74,"",H34:S34))</f>
        <v>0</v>
      </c>
      <c r="DK34" s="1283">
        <f>IF($DI34="Opex",SUMIF('Monthly Summary'!$O$75:$Z$75,"",T34:AE34),SUMIF('Monthly Summary'!$O$74:$Z$74,"",T34:AE34))</f>
        <v>0</v>
      </c>
      <c r="DL34" s="1283">
        <f>IF($DI34="Opex",SUMIF('Monthly Summary'!$AA$75:$AL$75,"",AF34:AQ34),SUMIF('Monthly Summary'!$AA$74:$AL$74,"",AF34:AQ34))</f>
        <v>0</v>
      </c>
      <c r="DM34" s="1283">
        <f>IF($DI34="Opex",SUMIF('Monthly Summary'!$AM$75:$AX$75,"",AR34:BC34),SUMIF('Monthly Summary'!$AM$74:$AX$74,"",AR34:BC34))</f>
        <v>0</v>
      </c>
      <c r="DN34" s="1283">
        <f>IF($DI34="Opex",SUMIF('Monthly Summary'!$AY$75:$BJ$75,"",BD34:BO34),SUMIF('Monthly Summary'!$AY$74:$BJ$74,"",BD34:BO34))</f>
        <v>0</v>
      </c>
      <c r="DO34" s="1284">
        <f>IF($DI34="Opex",SUMIF('Monthly Summary'!$BK$75:$BV$75,"",BP34:CA34),SUMIF('Monthly Summary'!$BK$74:$BV$74,"",BP34:CA34))</f>
        <v>0</v>
      </c>
      <c r="DP34" s="1285">
        <f t="shared" si="14"/>
        <v>0</v>
      </c>
    </row>
    <row r="35" spans="1:120" s="813" customFormat="1">
      <c r="A35" s="1261"/>
      <c r="B35" s="1261"/>
      <c r="C35" s="1261"/>
      <c r="D35" s="1262"/>
      <c r="E35" s="1271"/>
      <c r="F35" s="1263"/>
      <c r="G35" s="1263"/>
      <c r="H35" s="1267"/>
      <c r="I35" s="1268"/>
      <c r="J35" s="1268"/>
      <c r="K35" s="1268"/>
      <c r="L35" s="1268"/>
      <c r="M35" s="1268"/>
      <c r="N35" s="1268"/>
      <c r="O35" s="1268"/>
      <c r="P35" s="1268"/>
      <c r="Q35" s="1268"/>
      <c r="R35" s="1268"/>
      <c r="S35" s="1269"/>
      <c r="T35" s="1267"/>
      <c r="U35" s="1268"/>
      <c r="V35" s="1268"/>
      <c r="W35" s="1268"/>
      <c r="X35" s="1268"/>
      <c r="Y35" s="1268"/>
      <c r="Z35" s="1268"/>
      <c r="AA35" s="1268"/>
      <c r="AB35" s="1268"/>
      <c r="AC35" s="1268"/>
      <c r="AD35" s="1268"/>
      <c r="AE35" s="1269"/>
      <c r="AF35" s="1267"/>
      <c r="AG35" s="1268"/>
      <c r="AH35" s="1268"/>
      <c r="AI35" s="1268"/>
      <c r="AJ35" s="1268"/>
      <c r="AK35" s="1268"/>
      <c r="AL35" s="1268"/>
      <c r="AM35" s="1268"/>
      <c r="AN35" s="1268"/>
      <c r="AO35" s="1268"/>
      <c r="AP35" s="1268"/>
      <c r="AQ35" s="1269"/>
      <c r="AR35" s="1267"/>
      <c r="AS35" s="1268"/>
      <c r="AT35" s="1268"/>
      <c r="AU35" s="1268"/>
      <c r="AV35" s="1268"/>
      <c r="AW35" s="1268"/>
      <c r="AX35" s="1268"/>
      <c r="AY35" s="1268"/>
      <c r="AZ35" s="1268"/>
      <c r="BA35" s="1268"/>
      <c r="BB35" s="1268"/>
      <c r="BC35" s="1269"/>
      <c r="BD35" s="1267"/>
      <c r="BE35" s="1268"/>
      <c r="BF35" s="1268"/>
      <c r="BG35" s="1268"/>
      <c r="BH35" s="1268"/>
      <c r="BI35" s="1268"/>
      <c r="BJ35" s="1268"/>
      <c r="BK35" s="1268"/>
      <c r="BL35" s="1268"/>
      <c r="BM35" s="1268"/>
      <c r="BN35" s="1268"/>
      <c r="BO35" s="1269"/>
      <c r="BP35" s="1267"/>
      <c r="BQ35" s="1268"/>
      <c r="BR35" s="1268"/>
      <c r="BS35" s="1268"/>
      <c r="BT35" s="1268"/>
      <c r="BU35" s="1268"/>
      <c r="BV35" s="1268"/>
      <c r="BW35" s="1268"/>
      <c r="BX35" s="1268"/>
      <c r="BY35" s="1268"/>
      <c r="BZ35" s="1268"/>
      <c r="CA35" s="1269"/>
      <c r="CB35" s="1286">
        <f t="shared" si="7"/>
        <v>0</v>
      </c>
      <c r="CC35" s="1277">
        <f>IF($F35=Miscellaneous!$N$8,SUM($H35:CA35),0)</f>
        <v>0</v>
      </c>
      <c r="CD35" s="1277">
        <f>IF($F35=Miscellaneous!$N$8,IF($G35="Opex",SUMIF('Monthly Summary'!$C$75:BV$75,"",$H35:CA35),SUMIF('Monthly Summary'!$C$74:BV$74,"",$H35:CA35)),0)</f>
        <v>0</v>
      </c>
      <c r="CE35" s="1286">
        <f t="shared" si="8"/>
        <v>0</v>
      </c>
      <c r="CF35" s="1287"/>
      <c r="CG35" s="1277">
        <f>IF($F35=Miscellaneous!$N$9,SUM($H35:CA35),0)</f>
        <v>0</v>
      </c>
      <c r="CH35" s="1277">
        <f>IF($F35=Miscellaneous!$N$9,IF($G35="Opex",SUMIF('Monthly Summary'!$C$75:BV$75,"",$H35:CA35),SUMIF('Monthly Summary'!$C$74:BV$74,"",$H35:CA35)),0)</f>
        <v>0</v>
      </c>
      <c r="CI35" s="1286">
        <f t="shared" si="9"/>
        <v>0</v>
      </c>
      <c r="CJ35" s="1287"/>
      <c r="CK35" s="1277">
        <f>IF($F35=Miscellaneous!$N$7,SUM($H35:CA35),0)</f>
        <v>0</v>
      </c>
      <c r="CL35" s="1277">
        <f>IF($F35=Miscellaneous!$N$7,IF($G35="Opex",SUMIF('Monthly Summary'!$C$75:BV$75,"",$H35:CA35),SUMIF('Monthly Summary'!$C$74:BV$74,"",$H35:CA35)),0)</f>
        <v>0</v>
      </c>
      <c r="CM35" s="1286">
        <f t="shared" si="10"/>
        <v>0</v>
      </c>
      <c r="CN35" s="1287"/>
      <c r="CO35" s="1277">
        <f>IF($F35=Miscellaneous!$N$6,SUM($H35:CA35),0)</f>
        <v>0</v>
      </c>
      <c r="CP35" s="1277">
        <f>IF($F35=Miscellaneous!$N$6,IF($G35="Opex",SUMIF('Monthly Summary'!$C$75:BV$75,"",$H35:CA35),SUMIF('Monthly Summary'!$C$74:BV$74,"",$H35:CA35)),0)</f>
        <v>0</v>
      </c>
      <c r="CQ35" s="1286">
        <f t="shared" si="11"/>
        <v>0</v>
      </c>
      <c r="CR35" s="1287"/>
      <c r="CS35" s="1277">
        <f>IF($A35="Software",SUM($H35:CA35),0)</f>
        <v>0</v>
      </c>
      <c r="CT35" s="1277">
        <f>IF($A35="Software",IF($G35="Opex",SUMIF('Monthly Summary'!$C$75:BV$75,"",$H35:CA35),SUMIF('Monthly Summary'!$C$74:BV$74,"",$H35:CA35)),0)</f>
        <v>0</v>
      </c>
      <c r="CU35" s="1286">
        <f t="shared" si="12"/>
        <v>0</v>
      </c>
      <c r="CV35" s="1287"/>
      <c r="CW35" s="1277">
        <f t="shared" si="0"/>
        <v>0</v>
      </c>
      <c r="CX35" s="1277">
        <f t="shared" si="1"/>
        <v>0</v>
      </c>
      <c r="CY35" s="1286">
        <f t="shared" si="13"/>
        <v>0</v>
      </c>
      <c r="CZ35" s="1287"/>
      <c r="DA35" s="1286">
        <f>IF($G35="Opex",SUMIF('Monthly Summary'!$C$75:BV$75,"",$H35:CA35),SUMIF('Monthly Summary'!$C$74:BV$74,"",$H35:CA35))</f>
        <v>0</v>
      </c>
      <c r="DB35" s="1278">
        <f t="shared" si="2"/>
        <v>0</v>
      </c>
      <c r="DC35" s="1279">
        <f>IF(AND(OR($D35=Variables!A$38,$D35=Variables!A$43),$F35&lt;&gt;"N/A"),1,0)</f>
        <v>0</v>
      </c>
      <c r="DD35" s="820"/>
      <c r="DE35" s="1281" t="str">
        <f t="shared" si="15"/>
        <v/>
      </c>
      <c r="DF35" s="1282" t="str">
        <f t="shared" si="16"/>
        <v/>
      </c>
      <c r="DG35" s="1282" t="str">
        <f t="shared" si="17"/>
        <v/>
      </c>
      <c r="DH35" s="1282" t="str">
        <f>IF(ISNA(VLOOKUP(DE35,Miscellaneous!E:F,2,0)),"",VLOOKUP(DE35,Miscellaneous!E:F,2,0))</f>
        <v/>
      </c>
      <c r="DI35" s="1282" t="str">
        <f t="shared" si="18"/>
        <v/>
      </c>
      <c r="DJ35" s="1283">
        <f>IF($DI35="Opex",SUMIF('Monthly Summary'!$C$75:$N$75,"",H35:S35),SUMIF('Monthly Summary'!$C$74:$N$74,"",H35:S35))</f>
        <v>0</v>
      </c>
      <c r="DK35" s="1283">
        <f>IF($DI35="Opex",SUMIF('Monthly Summary'!$O$75:$Z$75,"",T35:AE35),SUMIF('Monthly Summary'!$O$74:$Z$74,"",T35:AE35))</f>
        <v>0</v>
      </c>
      <c r="DL35" s="1283">
        <f>IF($DI35="Opex",SUMIF('Monthly Summary'!$AA$75:$AL$75,"",AF35:AQ35),SUMIF('Monthly Summary'!$AA$74:$AL$74,"",AF35:AQ35))</f>
        <v>0</v>
      </c>
      <c r="DM35" s="1283">
        <f>IF($DI35="Opex",SUMIF('Monthly Summary'!$AM$75:$AX$75,"",AR35:BC35),SUMIF('Monthly Summary'!$AM$74:$AX$74,"",AR35:BC35))</f>
        <v>0</v>
      </c>
      <c r="DN35" s="1283">
        <f>IF($DI35="Opex",SUMIF('Monthly Summary'!$AY$75:$BJ$75,"",BD35:BO35),SUMIF('Monthly Summary'!$AY$74:$BJ$74,"",BD35:BO35))</f>
        <v>0</v>
      </c>
      <c r="DO35" s="1284">
        <f>IF($DI35="Opex",SUMIF('Monthly Summary'!$BK$75:$BV$75,"",BP35:CA35),SUMIF('Monthly Summary'!$BK$74:$BV$74,"",BP35:CA35))</f>
        <v>0</v>
      </c>
      <c r="DP35" s="1285">
        <f t="shared" si="14"/>
        <v>0</v>
      </c>
    </row>
    <row r="36" spans="1:120" s="813" customFormat="1">
      <c r="A36" s="1261"/>
      <c r="B36" s="1261"/>
      <c r="C36" s="1261"/>
      <c r="D36" s="1262"/>
      <c r="E36" s="1271"/>
      <c r="F36" s="1263"/>
      <c r="G36" s="1263"/>
      <c r="H36" s="1267"/>
      <c r="I36" s="1268"/>
      <c r="J36" s="1268"/>
      <c r="K36" s="1268"/>
      <c r="L36" s="1268"/>
      <c r="M36" s="1268"/>
      <c r="N36" s="1268"/>
      <c r="O36" s="1268"/>
      <c r="P36" s="1268"/>
      <c r="Q36" s="1268"/>
      <c r="R36" s="1268"/>
      <c r="S36" s="1269"/>
      <c r="T36" s="1267"/>
      <c r="U36" s="1268"/>
      <c r="V36" s="1268"/>
      <c r="W36" s="1268"/>
      <c r="X36" s="1268"/>
      <c r="Y36" s="1268"/>
      <c r="Z36" s="1268"/>
      <c r="AA36" s="1268"/>
      <c r="AB36" s="1268"/>
      <c r="AC36" s="1268"/>
      <c r="AD36" s="1268"/>
      <c r="AE36" s="1269"/>
      <c r="AF36" s="1267"/>
      <c r="AG36" s="1268"/>
      <c r="AH36" s="1268"/>
      <c r="AI36" s="1268"/>
      <c r="AJ36" s="1268"/>
      <c r="AK36" s="1268"/>
      <c r="AL36" s="1268"/>
      <c r="AM36" s="1268"/>
      <c r="AN36" s="1268"/>
      <c r="AO36" s="1268"/>
      <c r="AP36" s="1268"/>
      <c r="AQ36" s="1269"/>
      <c r="AR36" s="1267"/>
      <c r="AS36" s="1268"/>
      <c r="AT36" s="1268"/>
      <c r="AU36" s="1268"/>
      <c r="AV36" s="1268"/>
      <c r="AW36" s="1268"/>
      <c r="AX36" s="1268"/>
      <c r="AY36" s="1268"/>
      <c r="AZ36" s="1268"/>
      <c r="BA36" s="1268"/>
      <c r="BB36" s="1268"/>
      <c r="BC36" s="1269"/>
      <c r="BD36" s="1267"/>
      <c r="BE36" s="1268"/>
      <c r="BF36" s="1268"/>
      <c r="BG36" s="1268"/>
      <c r="BH36" s="1268"/>
      <c r="BI36" s="1268"/>
      <c r="BJ36" s="1268"/>
      <c r="BK36" s="1268"/>
      <c r="BL36" s="1268"/>
      <c r="BM36" s="1268"/>
      <c r="BN36" s="1268"/>
      <c r="BO36" s="1269"/>
      <c r="BP36" s="1267"/>
      <c r="BQ36" s="1268"/>
      <c r="BR36" s="1268"/>
      <c r="BS36" s="1268"/>
      <c r="BT36" s="1268"/>
      <c r="BU36" s="1268"/>
      <c r="BV36" s="1268"/>
      <c r="BW36" s="1268"/>
      <c r="BX36" s="1268"/>
      <c r="BY36" s="1268"/>
      <c r="BZ36" s="1268"/>
      <c r="CA36" s="1269"/>
      <c r="CB36" s="1286">
        <f t="shared" si="7"/>
        <v>0</v>
      </c>
      <c r="CC36" s="1277">
        <f>IF($F36=Miscellaneous!$N$8,SUM($H36:CA36),0)</f>
        <v>0</v>
      </c>
      <c r="CD36" s="1277">
        <f>IF($F36=Miscellaneous!$N$8,IF($G36="Opex",SUMIF('Monthly Summary'!$C$75:BV$75,"",$H36:CA36),SUMIF('Monthly Summary'!$C$74:BV$74,"",$H36:CA36)),0)</f>
        <v>0</v>
      </c>
      <c r="CE36" s="1286">
        <f t="shared" si="8"/>
        <v>0</v>
      </c>
      <c r="CF36" s="1287"/>
      <c r="CG36" s="1277">
        <f>IF($F36=Miscellaneous!$N$9,SUM($H36:CA36),0)</f>
        <v>0</v>
      </c>
      <c r="CH36" s="1277">
        <f>IF($F36=Miscellaneous!$N$9,IF($G36="Opex",SUMIF('Monthly Summary'!$C$75:BV$75,"",$H36:CA36),SUMIF('Monthly Summary'!$C$74:BV$74,"",$H36:CA36)),0)</f>
        <v>0</v>
      </c>
      <c r="CI36" s="1286">
        <f t="shared" si="9"/>
        <v>0</v>
      </c>
      <c r="CJ36" s="1287"/>
      <c r="CK36" s="1277">
        <f>IF($F36=Miscellaneous!$N$7,SUM($H36:CA36),0)</f>
        <v>0</v>
      </c>
      <c r="CL36" s="1277">
        <f>IF($F36=Miscellaneous!$N$7,IF($G36="Opex",SUMIF('Monthly Summary'!$C$75:BV$75,"",$H36:CA36),SUMIF('Monthly Summary'!$C$74:BV$74,"",$H36:CA36)),0)</f>
        <v>0</v>
      </c>
      <c r="CM36" s="1286">
        <f t="shared" si="10"/>
        <v>0</v>
      </c>
      <c r="CN36" s="1287"/>
      <c r="CO36" s="1277">
        <f>IF($F36=Miscellaneous!$N$6,SUM($H36:CA36),0)</f>
        <v>0</v>
      </c>
      <c r="CP36" s="1277">
        <f>IF($F36=Miscellaneous!$N$6,IF($G36="Opex",SUMIF('Monthly Summary'!$C$75:BV$75,"",$H36:CA36),SUMIF('Monthly Summary'!$C$74:BV$74,"",$H36:CA36)),0)</f>
        <v>0</v>
      </c>
      <c r="CQ36" s="1286">
        <f t="shared" si="11"/>
        <v>0</v>
      </c>
      <c r="CR36" s="1287"/>
      <c r="CS36" s="1277">
        <f>IF($A36="Software",SUM($H36:CA36),0)</f>
        <v>0</v>
      </c>
      <c r="CT36" s="1277">
        <f>IF($A36="Software",IF($G36="Opex",SUMIF('Monthly Summary'!$C$75:BV$75,"",$H36:CA36),SUMIF('Monthly Summary'!$C$74:BV$74,"",$H36:CA36)),0)</f>
        <v>0</v>
      </c>
      <c r="CU36" s="1286">
        <f t="shared" si="12"/>
        <v>0</v>
      </c>
      <c r="CV36" s="1287"/>
      <c r="CW36" s="1277">
        <f t="shared" si="0"/>
        <v>0</v>
      </c>
      <c r="CX36" s="1277">
        <f t="shared" si="1"/>
        <v>0</v>
      </c>
      <c r="CY36" s="1286">
        <f t="shared" si="13"/>
        <v>0</v>
      </c>
      <c r="CZ36" s="1287"/>
      <c r="DA36" s="1286">
        <f>IF($G36="Opex",SUMIF('Monthly Summary'!$C$75:BV$75,"",$H36:CA36),SUMIF('Monthly Summary'!$C$74:BV$74,"",$H36:CA36))</f>
        <v>0</v>
      </c>
      <c r="DB36" s="1278">
        <f t="shared" si="2"/>
        <v>0</v>
      </c>
      <c r="DC36" s="1279">
        <f>IF(AND(OR($D36=Variables!A$38,$D36=Variables!A$43),$F36&lt;&gt;"N/A"),1,0)</f>
        <v>0</v>
      </c>
      <c r="DD36" s="820"/>
      <c r="DE36" s="1281" t="str">
        <f t="shared" si="15"/>
        <v/>
      </c>
      <c r="DF36" s="1282" t="str">
        <f t="shared" si="16"/>
        <v/>
      </c>
      <c r="DG36" s="1282" t="str">
        <f t="shared" si="17"/>
        <v/>
      </c>
      <c r="DH36" s="1282" t="str">
        <f>IF(ISNA(VLOOKUP(DE36,Miscellaneous!E:F,2,0)),"",VLOOKUP(DE36,Miscellaneous!E:F,2,0))</f>
        <v/>
      </c>
      <c r="DI36" s="1282" t="str">
        <f t="shared" si="18"/>
        <v/>
      </c>
      <c r="DJ36" s="1283">
        <f>IF($DI36="Opex",SUMIF('Monthly Summary'!$C$75:$N$75,"",H36:S36),SUMIF('Monthly Summary'!$C$74:$N$74,"",H36:S36))</f>
        <v>0</v>
      </c>
      <c r="DK36" s="1283">
        <f>IF($DI36="Opex",SUMIF('Monthly Summary'!$O$75:$Z$75,"",T36:AE36),SUMIF('Monthly Summary'!$O$74:$Z$74,"",T36:AE36))</f>
        <v>0</v>
      </c>
      <c r="DL36" s="1283">
        <f>IF($DI36="Opex",SUMIF('Monthly Summary'!$AA$75:$AL$75,"",AF36:AQ36),SUMIF('Monthly Summary'!$AA$74:$AL$74,"",AF36:AQ36))</f>
        <v>0</v>
      </c>
      <c r="DM36" s="1283">
        <f>IF($DI36="Opex",SUMIF('Monthly Summary'!$AM$75:$AX$75,"",AR36:BC36),SUMIF('Monthly Summary'!$AM$74:$AX$74,"",AR36:BC36))</f>
        <v>0</v>
      </c>
      <c r="DN36" s="1283">
        <f>IF($DI36="Opex",SUMIF('Monthly Summary'!$AY$75:$BJ$75,"",BD36:BO36),SUMIF('Monthly Summary'!$AY$74:$BJ$74,"",BD36:BO36))</f>
        <v>0</v>
      </c>
      <c r="DO36" s="1284">
        <f>IF($DI36="Opex",SUMIF('Monthly Summary'!$BK$75:$BV$75,"",BP36:CA36),SUMIF('Monthly Summary'!$BK$74:$BV$74,"",BP36:CA36))</f>
        <v>0</v>
      </c>
      <c r="DP36" s="1285">
        <f t="shared" si="14"/>
        <v>0</v>
      </c>
    </row>
    <row r="37" spans="1:120" s="813" customFormat="1">
      <c r="A37" s="1261"/>
      <c r="B37" s="1261"/>
      <c r="C37" s="1261"/>
      <c r="D37" s="1262"/>
      <c r="E37" s="1270"/>
      <c r="F37" s="1263"/>
      <c r="G37" s="1263"/>
      <c r="H37" s="1267"/>
      <c r="I37" s="1268"/>
      <c r="J37" s="1268"/>
      <c r="K37" s="1268"/>
      <c r="L37" s="1268"/>
      <c r="M37" s="1268"/>
      <c r="N37" s="1268"/>
      <c r="O37" s="1268"/>
      <c r="P37" s="1268"/>
      <c r="Q37" s="1268"/>
      <c r="R37" s="1268"/>
      <c r="S37" s="1269"/>
      <c r="T37" s="1267"/>
      <c r="U37" s="1268"/>
      <c r="V37" s="1268"/>
      <c r="W37" s="1268"/>
      <c r="X37" s="1268"/>
      <c r="Y37" s="1268"/>
      <c r="Z37" s="1268"/>
      <c r="AA37" s="1268"/>
      <c r="AB37" s="1268"/>
      <c r="AC37" s="1268"/>
      <c r="AD37" s="1268"/>
      <c r="AE37" s="1269"/>
      <c r="AF37" s="1267"/>
      <c r="AG37" s="1268"/>
      <c r="AH37" s="1268"/>
      <c r="AI37" s="1268"/>
      <c r="AJ37" s="1268"/>
      <c r="AK37" s="1268"/>
      <c r="AL37" s="1268"/>
      <c r="AM37" s="1268"/>
      <c r="AN37" s="1268"/>
      <c r="AO37" s="1268"/>
      <c r="AP37" s="1268"/>
      <c r="AQ37" s="1269"/>
      <c r="AR37" s="1267"/>
      <c r="AS37" s="1268"/>
      <c r="AT37" s="1268"/>
      <c r="AU37" s="1268"/>
      <c r="AV37" s="1268"/>
      <c r="AW37" s="1268"/>
      <c r="AX37" s="1268"/>
      <c r="AY37" s="1268"/>
      <c r="AZ37" s="1268"/>
      <c r="BA37" s="1268"/>
      <c r="BB37" s="1268"/>
      <c r="BC37" s="1269"/>
      <c r="BD37" s="1267"/>
      <c r="BE37" s="1268"/>
      <c r="BF37" s="1268"/>
      <c r="BG37" s="1268"/>
      <c r="BH37" s="1268"/>
      <c r="BI37" s="1268"/>
      <c r="BJ37" s="1268"/>
      <c r="BK37" s="1268"/>
      <c r="BL37" s="1268"/>
      <c r="BM37" s="1268"/>
      <c r="BN37" s="1268"/>
      <c r="BO37" s="1269"/>
      <c r="BP37" s="1267"/>
      <c r="BQ37" s="1268"/>
      <c r="BR37" s="1268"/>
      <c r="BS37" s="1268"/>
      <c r="BT37" s="1268"/>
      <c r="BU37" s="1268"/>
      <c r="BV37" s="1268"/>
      <c r="BW37" s="1268"/>
      <c r="BX37" s="1268"/>
      <c r="BY37" s="1268"/>
      <c r="BZ37" s="1268"/>
      <c r="CA37" s="1269"/>
      <c r="CB37" s="1286">
        <f t="shared" si="7"/>
        <v>0</v>
      </c>
      <c r="CC37" s="1277">
        <f>IF($F37=Miscellaneous!$N$8,SUM($H37:CA37),0)</f>
        <v>0</v>
      </c>
      <c r="CD37" s="1277">
        <f>IF($F37=Miscellaneous!$N$8,IF($G37="Opex",SUMIF('Monthly Summary'!$C$75:BV$75,"",$H37:CA37),SUMIF('Monthly Summary'!$C$74:BV$74,"",$H37:CA37)),0)</f>
        <v>0</v>
      </c>
      <c r="CE37" s="1286">
        <f t="shared" si="8"/>
        <v>0</v>
      </c>
      <c r="CF37" s="1287"/>
      <c r="CG37" s="1277">
        <f>IF($F37=Miscellaneous!$N$9,SUM($H37:CA37),0)</f>
        <v>0</v>
      </c>
      <c r="CH37" s="1277">
        <f>IF($F37=Miscellaneous!$N$9,IF($G37="Opex",SUMIF('Monthly Summary'!$C$75:BV$75,"",$H37:CA37),SUMIF('Monthly Summary'!$C$74:BV$74,"",$H37:CA37)),0)</f>
        <v>0</v>
      </c>
      <c r="CI37" s="1286">
        <f t="shared" si="9"/>
        <v>0</v>
      </c>
      <c r="CJ37" s="1287"/>
      <c r="CK37" s="1277">
        <f>IF($F37=Miscellaneous!$N$7,SUM($H37:CA37),0)</f>
        <v>0</v>
      </c>
      <c r="CL37" s="1277">
        <f>IF($F37=Miscellaneous!$N$7,IF($G37="Opex",SUMIF('Monthly Summary'!$C$75:BV$75,"",$H37:CA37),SUMIF('Monthly Summary'!$C$74:BV$74,"",$H37:CA37)),0)</f>
        <v>0</v>
      </c>
      <c r="CM37" s="1286">
        <f t="shared" si="10"/>
        <v>0</v>
      </c>
      <c r="CN37" s="1287"/>
      <c r="CO37" s="1277">
        <f>IF($F37=Miscellaneous!$N$6,SUM($H37:CA37),0)</f>
        <v>0</v>
      </c>
      <c r="CP37" s="1277">
        <f>IF($F37=Miscellaneous!$N$6,IF($G37="Opex",SUMIF('Monthly Summary'!$C$75:BV$75,"",$H37:CA37),SUMIF('Monthly Summary'!$C$74:BV$74,"",$H37:CA37)),0)</f>
        <v>0</v>
      </c>
      <c r="CQ37" s="1286">
        <f t="shared" si="11"/>
        <v>0</v>
      </c>
      <c r="CR37" s="1287"/>
      <c r="CS37" s="1277">
        <f>IF($A37="Software",SUM($H37:CA37),0)</f>
        <v>0</v>
      </c>
      <c r="CT37" s="1277">
        <f>IF($A37="Software",IF($G37="Opex",SUMIF('Monthly Summary'!$C$75:BV$75,"",$H37:CA37),SUMIF('Monthly Summary'!$C$74:BV$74,"",$H37:CA37)),0)</f>
        <v>0</v>
      </c>
      <c r="CU37" s="1286">
        <f t="shared" si="12"/>
        <v>0</v>
      </c>
      <c r="CV37" s="1287"/>
      <c r="CW37" s="1277">
        <f t="shared" ref="CW37:CW68" si="19">CB37-CC37-CG37-CK37-CO37-CS37</f>
        <v>0</v>
      </c>
      <c r="CX37" s="1277">
        <f t="shared" ref="CX37:CX68" si="20">DA37-CD37-CH37-CL37-CP37-CT37</f>
        <v>0</v>
      </c>
      <c r="CY37" s="1286">
        <f t="shared" si="13"/>
        <v>0</v>
      </c>
      <c r="CZ37" s="1287"/>
      <c r="DA37" s="1286">
        <f>IF($G37="Opex",SUMIF('Monthly Summary'!$C$75:BV$75,"",$H37:CA37),SUMIF('Monthly Summary'!$C$74:BV$74,"",$H37:CA37))</f>
        <v>0</v>
      </c>
      <c r="DB37" s="1278">
        <f t="shared" ref="DB37:DB68" si="21">IF(AND(IF(ISNA(VLOOKUP($C37,Opex_Rules,1,0)),FALSE,TRUE),$G37="Capex"),1,0)</f>
        <v>0</v>
      </c>
      <c r="DC37" s="1279">
        <f>IF(AND(OR($D37=Variables!A$38,$D37=Variables!A$43),$F37&lt;&gt;"N/A"),1,0)</f>
        <v>0</v>
      </c>
      <c r="DD37" s="820"/>
      <c r="DE37" s="1281" t="str">
        <f t="shared" si="15"/>
        <v/>
      </c>
      <c r="DF37" s="1282" t="str">
        <f t="shared" si="16"/>
        <v/>
      </c>
      <c r="DG37" s="1282" t="str">
        <f t="shared" si="17"/>
        <v/>
      </c>
      <c r="DH37" s="1282" t="str">
        <f>IF(ISNA(VLOOKUP(DE37,Miscellaneous!E:F,2,0)),"",VLOOKUP(DE37,Miscellaneous!E:F,2,0))</f>
        <v/>
      </c>
      <c r="DI37" s="1282" t="str">
        <f t="shared" si="18"/>
        <v/>
      </c>
      <c r="DJ37" s="1283">
        <f>IF($DI37="Opex",SUMIF('Monthly Summary'!$C$75:$N$75,"",H37:S37),SUMIF('Monthly Summary'!$C$74:$N$74,"",H37:S37))</f>
        <v>0</v>
      </c>
      <c r="DK37" s="1283">
        <f>IF($DI37="Opex",SUMIF('Monthly Summary'!$O$75:$Z$75,"",T37:AE37),SUMIF('Monthly Summary'!$O$74:$Z$74,"",T37:AE37))</f>
        <v>0</v>
      </c>
      <c r="DL37" s="1283">
        <f>IF($DI37="Opex",SUMIF('Monthly Summary'!$AA$75:$AL$75,"",AF37:AQ37),SUMIF('Monthly Summary'!$AA$74:$AL$74,"",AF37:AQ37))</f>
        <v>0</v>
      </c>
      <c r="DM37" s="1283">
        <f>IF($DI37="Opex",SUMIF('Monthly Summary'!$AM$75:$AX$75,"",AR37:BC37),SUMIF('Monthly Summary'!$AM$74:$AX$74,"",AR37:BC37))</f>
        <v>0</v>
      </c>
      <c r="DN37" s="1283">
        <f>IF($DI37="Opex",SUMIF('Monthly Summary'!$AY$75:$BJ$75,"",BD37:BO37),SUMIF('Monthly Summary'!$AY$74:$BJ$74,"",BD37:BO37))</f>
        <v>0</v>
      </c>
      <c r="DO37" s="1284">
        <f>IF($DI37="Opex",SUMIF('Monthly Summary'!$BK$75:$BV$75,"",BP37:CA37),SUMIF('Monthly Summary'!$BK$74:$BV$74,"",BP37:CA37))</f>
        <v>0</v>
      </c>
      <c r="DP37" s="1285">
        <f t="shared" si="14"/>
        <v>0</v>
      </c>
    </row>
    <row r="38" spans="1:120" s="813" customFormat="1">
      <c r="A38" s="1261"/>
      <c r="B38" s="1261"/>
      <c r="C38" s="1261"/>
      <c r="D38" s="1262"/>
      <c r="E38" s="1270"/>
      <c r="F38" s="1263"/>
      <c r="G38" s="1263"/>
      <c r="H38" s="1267"/>
      <c r="I38" s="1268"/>
      <c r="J38" s="1268"/>
      <c r="K38" s="1268"/>
      <c r="L38" s="1268"/>
      <c r="M38" s="1268"/>
      <c r="N38" s="1268"/>
      <c r="O38" s="1268"/>
      <c r="P38" s="1268"/>
      <c r="Q38" s="1268"/>
      <c r="R38" s="1268"/>
      <c r="S38" s="1269"/>
      <c r="T38" s="1267"/>
      <c r="U38" s="1268"/>
      <c r="V38" s="1268"/>
      <c r="W38" s="1268"/>
      <c r="X38" s="1268"/>
      <c r="Y38" s="1268"/>
      <c r="Z38" s="1268"/>
      <c r="AA38" s="1268"/>
      <c r="AB38" s="1268"/>
      <c r="AC38" s="1268"/>
      <c r="AD38" s="1268"/>
      <c r="AE38" s="1269"/>
      <c r="AF38" s="1267"/>
      <c r="AG38" s="1268"/>
      <c r="AH38" s="1268"/>
      <c r="AI38" s="1268"/>
      <c r="AJ38" s="1268"/>
      <c r="AK38" s="1268"/>
      <c r="AL38" s="1268"/>
      <c r="AM38" s="1268"/>
      <c r="AN38" s="1268"/>
      <c r="AO38" s="1268"/>
      <c r="AP38" s="1268"/>
      <c r="AQ38" s="1269"/>
      <c r="AR38" s="1267"/>
      <c r="AS38" s="1268"/>
      <c r="AT38" s="1268"/>
      <c r="AU38" s="1268"/>
      <c r="AV38" s="1268"/>
      <c r="AW38" s="1268"/>
      <c r="AX38" s="1268"/>
      <c r="AY38" s="1268"/>
      <c r="AZ38" s="1268"/>
      <c r="BA38" s="1268"/>
      <c r="BB38" s="1268"/>
      <c r="BC38" s="1269"/>
      <c r="BD38" s="1267"/>
      <c r="BE38" s="1268"/>
      <c r="BF38" s="1268"/>
      <c r="BG38" s="1268"/>
      <c r="BH38" s="1268"/>
      <c r="BI38" s="1268"/>
      <c r="BJ38" s="1268"/>
      <c r="BK38" s="1268"/>
      <c r="BL38" s="1268"/>
      <c r="BM38" s="1268"/>
      <c r="BN38" s="1268"/>
      <c r="BO38" s="1269"/>
      <c r="BP38" s="1267"/>
      <c r="BQ38" s="1268"/>
      <c r="BR38" s="1268"/>
      <c r="BS38" s="1268"/>
      <c r="BT38" s="1268"/>
      <c r="BU38" s="1268"/>
      <c r="BV38" s="1268"/>
      <c r="BW38" s="1268"/>
      <c r="BX38" s="1268"/>
      <c r="BY38" s="1268"/>
      <c r="BZ38" s="1268"/>
      <c r="CA38" s="1269"/>
      <c r="CB38" s="1286">
        <f t="shared" si="7"/>
        <v>0</v>
      </c>
      <c r="CC38" s="1277">
        <f>IF($F38=Miscellaneous!$N$8,SUM($H38:CA38),0)</f>
        <v>0</v>
      </c>
      <c r="CD38" s="1277">
        <f>IF($F38=Miscellaneous!$N$8,IF($G38="Opex",SUMIF('Monthly Summary'!$C$75:BV$75,"",$H38:CA38),SUMIF('Monthly Summary'!$C$74:BV$74,"",$H38:CA38)),0)</f>
        <v>0</v>
      </c>
      <c r="CE38" s="1286">
        <f t="shared" si="8"/>
        <v>0</v>
      </c>
      <c r="CF38" s="1287"/>
      <c r="CG38" s="1277">
        <f>IF($F38=Miscellaneous!$N$9,SUM($H38:CA38),0)</f>
        <v>0</v>
      </c>
      <c r="CH38" s="1277">
        <f>IF($F38=Miscellaneous!$N$9,IF($G38="Opex",SUMIF('Monthly Summary'!$C$75:BV$75,"",$H38:CA38),SUMIF('Monthly Summary'!$C$74:BV$74,"",$H38:CA38)),0)</f>
        <v>0</v>
      </c>
      <c r="CI38" s="1286">
        <f t="shared" si="9"/>
        <v>0</v>
      </c>
      <c r="CJ38" s="1287"/>
      <c r="CK38" s="1277">
        <f>IF($F38=Miscellaneous!$N$7,SUM($H38:CA38),0)</f>
        <v>0</v>
      </c>
      <c r="CL38" s="1277">
        <f>IF($F38=Miscellaneous!$N$7,IF($G38="Opex",SUMIF('Monthly Summary'!$C$75:BV$75,"",$H38:CA38),SUMIF('Monthly Summary'!$C$74:BV$74,"",$H38:CA38)),0)</f>
        <v>0</v>
      </c>
      <c r="CM38" s="1286">
        <f t="shared" si="10"/>
        <v>0</v>
      </c>
      <c r="CN38" s="1287"/>
      <c r="CO38" s="1277">
        <f>IF($F38=Miscellaneous!$N$6,SUM($H38:CA38),0)</f>
        <v>0</v>
      </c>
      <c r="CP38" s="1277">
        <f>IF($F38=Miscellaneous!$N$6,IF($G38="Opex",SUMIF('Monthly Summary'!$C$75:BV$75,"",$H38:CA38),SUMIF('Monthly Summary'!$C$74:BV$74,"",$H38:CA38)),0)</f>
        <v>0</v>
      </c>
      <c r="CQ38" s="1286">
        <f t="shared" si="11"/>
        <v>0</v>
      </c>
      <c r="CR38" s="1287"/>
      <c r="CS38" s="1277">
        <f>IF($A38="Software",SUM($H38:CA38),0)</f>
        <v>0</v>
      </c>
      <c r="CT38" s="1277">
        <f>IF($A38="Software",IF($G38="Opex",SUMIF('Monthly Summary'!$C$75:BV$75,"",$H38:CA38),SUMIF('Monthly Summary'!$C$74:BV$74,"",$H38:CA38)),0)</f>
        <v>0</v>
      </c>
      <c r="CU38" s="1286">
        <f t="shared" si="12"/>
        <v>0</v>
      </c>
      <c r="CV38" s="1287"/>
      <c r="CW38" s="1277">
        <f t="shared" si="19"/>
        <v>0</v>
      </c>
      <c r="CX38" s="1277">
        <f t="shared" si="20"/>
        <v>0</v>
      </c>
      <c r="CY38" s="1286">
        <f t="shared" si="13"/>
        <v>0</v>
      </c>
      <c r="CZ38" s="1287"/>
      <c r="DA38" s="1286">
        <f>IF($G38="Opex",SUMIF('Monthly Summary'!$C$75:BV$75,"",$H38:CA38),SUMIF('Monthly Summary'!$C$74:BV$74,"",$H38:CA38))</f>
        <v>0</v>
      </c>
      <c r="DB38" s="1278">
        <f t="shared" si="21"/>
        <v>0</v>
      </c>
      <c r="DC38" s="1279">
        <f>IF(AND(OR($D38=Variables!A$38,$D38=Variables!A$43),$F38&lt;&gt;"N/A"),1,0)</f>
        <v>0</v>
      </c>
      <c r="DD38" s="820"/>
      <c r="DE38" s="1281" t="str">
        <f t="shared" si="15"/>
        <v/>
      </c>
      <c r="DF38" s="1282" t="str">
        <f t="shared" si="16"/>
        <v/>
      </c>
      <c r="DG38" s="1282" t="str">
        <f t="shared" si="17"/>
        <v/>
      </c>
      <c r="DH38" s="1282" t="str">
        <f>IF(ISNA(VLOOKUP(DE38,Miscellaneous!E:F,2,0)),"",VLOOKUP(DE38,Miscellaneous!E:F,2,0))</f>
        <v/>
      </c>
      <c r="DI38" s="1282" t="str">
        <f t="shared" si="18"/>
        <v/>
      </c>
      <c r="DJ38" s="1283">
        <f>IF($DI38="Opex",SUMIF('Monthly Summary'!$C$75:$N$75,"",H38:S38),SUMIF('Monthly Summary'!$C$74:$N$74,"",H38:S38))</f>
        <v>0</v>
      </c>
      <c r="DK38" s="1283">
        <f>IF($DI38="Opex",SUMIF('Monthly Summary'!$O$75:$Z$75,"",T38:AE38),SUMIF('Monthly Summary'!$O$74:$Z$74,"",T38:AE38))</f>
        <v>0</v>
      </c>
      <c r="DL38" s="1283">
        <f>IF($DI38="Opex",SUMIF('Monthly Summary'!$AA$75:$AL$75,"",AF38:AQ38),SUMIF('Monthly Summary'!$AA$74:$AL$74,"",AF38:AQ38))</f>
        <v>0</v>
      </c>
      <c r="DM38" s="1283">
        <f>IF($DI38="Opex",SUMIF('Monthly Summary'!$AM$75:$AX$75,"",AR38:BC38),SUMIF('Monthly Summary'!$AM$74:$AX$74,"",AR38:BC38))</f>
        <v>0</v>
      </c>
      <c r="DN38" s="1283">
        <f>IF($DI38="Opex",SUMIF('Monthly Summary'!$AY$75:$BJ$75,"",BD38:BO38),SUMIF('Monthly Summary'!$AY$74:$BJ$74,"",BD38:BO38))</f>
        <v>0</v>
      </c>
      <c r="DO38" s="1284">
        <f>IF($DI38="Opex",SUMIF('Monthly Summary'!$BK$75:$BV$75,"",BP38:CA38),SUMIF('Monthly Summary'!$BK$74:$BV$74,"",BP38:CA38))</f>
        <v>0</v>
      </c>
      <c r="DP38" s="1285">
        <f t="shared" si="14"/>
        <v>0</v>
      </c>
    </row>
    <row r="39" spans="1:120" s="813" customFormat="1">
      <c r="A39" s="1261"/>
      <c r="B39" s="1261"/>
      <c r="C39" s="1261"/>
      <c r="D39" s="1262"/>
      <c r="E39" s="1270"/>
      <c r="F39" s="1263"/>
      <c r="G39" s="1263"/>
      <c r="H39" s="1267"/>
      <c r="I39" s="1268"/>
      <c r="J39" s="1268"/>
      <c r="K39" s="1268"/>
      <c r="L39" s="1268"/>
      <c r="M39" s="1268"/>
      <c r="N39" s="1268"/>
      <c r="O39" s="1268"/>
      <c r="P39" s="1268"/>
      <c r="Q39" s="1268"/>
      <c r="R39" s="1268"/>
      <c r="S39" s="1269"/>
      <c r="T39" s="1267"/>
      <c r="U39" s="1268"/>
      <c r="V39" s="1268"/>
      <c r="W39" s="1268"/>
      <c r="X39" s="1268"/>
      <c r="Y39" s="1268"/>
      <c r="Z39" s="1268"/>
      <c r="AA39" s="1268"/>
      <c r="AB39" s="1268"/>
      <c r="AC39" s="1268"/>
      <c r="AD39" s="1268"/>
      <c r="AE39" s="1269"/>
      <c r="AF39" s="1267"/>
      <c r="AG39" s="1268"/>
      <c r="AH39" s="1268"/>
      <c r="AI39" s="1268"/>
      <c r="AJ39" s="1268"/>
      <c r="AK39" s="1268"/>
      <c r="AL39" s="1268"/>
      <c r="AM39" s="1268"/>
      <c r="AN39" s="1268"/>
      <c r="AO39" s="1268"/>
      <c r="AP39" s="1268"/>
      <c r="AQ39" s="1269"/>
      <c r="AR39" s="1267"/>
      <c r="AS39" s="1268"/>
      <c r="AT39" s="1268"/>
      <c r="AU39" s="1268"/>
      <c r="AV39" s="1268"/>
      <c r="AW39" s="1268"/>
      <c r="AX39" s="1268"/>
      <c r="AY39" s="1268"/>
      <c r="AZ39" s="1268"/>
      <c r="BA39" s="1268"/>
      <c r="BB39" s="1268"/>
      <c r="BC39" s="1269"/>
      <c r="BD39" s="1267"/>
      <c r="BE39" s="1268"/>
      <c r="BF39" s="1268"/>
      <c r="BG39" s="1268"/>
      <c r="BH39" s="1268"/>
      <c r="BI39" s="1268"/>
      <c r="BJ39" s="1268"/>
      <c r="BK39" s="1268"/>
      <c r="BL39" s="1268"/>
      <c r="BM39" s="1268"/>
      <c r="BN39" s="1268"/>
      <c r="BO39" s="1269"/>
      <c r="BP39" s="1267"/>
      <c r="BQ39" s="1268"/>
      <c r="BR39" s="1268"/>
      <c r="BS39" s="1268"/>
      <c r="BT39" s="1268"/>
      <c r="BU39" s="1268"/>
      <c r="BV39" s="1268"/>
      <c r="BW39" s="1268"/>
      <c r="BX39" s="1268"/>
      <c r="BY39" s="1268"/>
      <c r="BZ39" s="1268"/>
      <c r="CA39" s="1269"/>
      <c r="CB39" s="1286">
        <f t="shared" si="7"/>
        <v>0</v>
      </c>
      <c r="CC39" s="1277">
        <f>IF($F39=Miscellaneous!$N$8,SUM($H39:CA39),0)</f>
        <v>0</v>
      </c>
      <c r="CD39" s="1277">
        <f>IF($F39=Miscellaneous!$N$8,IF($G39="Opex",SUMIF('Monthly Summary'!$C$75:BV$75,"",$H39:CA39),SUMIF('Monthly Summary'!$C$74:BV$74,"",$H39:CA39)),0)</f>
        <v>0</v>
      </c>
      <c r="CE39" s="1286">
        <f t="shared" si="8"/>
        <v>0</v>
      </c>
      <c r="CF39" s="1287"/>
      <c r="CG39" s="1277">
        <f>IF($F39=Miscellaneous!$N$9,SUM($H39:CA39),0)</f>
        <v>0</v>
      </c>
      <c r="CH39" s="1277">
        <f>IF($F39=Miscellaneous!$N$9,IF($G39="Opex",SUMIF('Monthly Summary'!$C$75:BV$75,"",$H39:CA39),SUMIF('Monthly Summary'!$C$74:BV$74,"",$H39:CA39)),0)</f>
        <v>0</v>
      </c>
      <c r="CI39" s="1286">
        <f t="shared" si="9"/>
        <v>0</v>
      </c>
      <c r="CJ39" s="1287"/>
      <c r="CK39" s="1277">
        <f>IF($F39=Miscellaneous!$N$7,SUM($H39:CA39),0)</f>
        <v>0</v>
      </c>
      <c r="CL39" s="1277">
        <f>IF($F39=Miscellaneous!$N$7,IF($G39="Opex",SUMIF('Monthly Summary'!$C$75:BV$75,"",$H39:CA39),SUMIF('Monthly Summary'!$C$74:BV$74,"",$H39:CA39)),0)</f>
        <v>0</v>
      </c>
      <c r="CM39" s="1286">
        <f t="shared" si="10"/>
        <v>0</v>
      </c>
      <c r="CN39" s="1287"/>
      <c r="CO39" s="1277">
        <f>IF($F39=Miscellaneous!$N$6,SUM($H39:CA39),0)</f>
        <v>0</v>
      </c>
      <c r="CP39" s="1277">
        <f>IF($F39=Miscellaneous!$N$6,IF($G39="Opex",SUMIF('Monthly Summary'!$C$75:BV$75,"",$H39:CA39),SUMIF('Monthly Summary'!$C$74:BV$74,"",$H39:CA39)),0)</f>
        <v>0</v>
      </c>
      <c r="CQ39" s="1286">
        <f t="shared" si="11"/>
        <v>0</v>
      </c>
      <c r="CR39" s="1287"/>
      <c r="CS39" s="1277">
        <f>IF($A39="Software",SUM($H39:CA39),0)</f>
        <v>0</v>
      </c>
      <c r="CT39" s="1277">
        <f>IF($A39="Software",IF($G39="Opex",SUMIF('Monthly Summary'!$C$75:BV$75,"",$H39:CA39),SUMIF('Monthly Summary'!$C$74:BV$74,"",$H39:CA39)),0)</f>
        <v>0</v>
      </c>
      <c r="CU39" s="1286">
        <f t="shared" si="12"/>
        <v>0</v>
      </c>
      <c r="CV39" s="1287"/>
      <c r="CW39" s="1277">
        <f t="shared" si="19"/>
        <v>0</v>
      </c>
      <c r="CX39" s="1277">
        <f t="shared" si="20"/>
        <v>0</v>
      </c>
      <c r="CY39" s="1286">
        <f t="shared" si="13"/>
        <v>0</v>
      </c>
      <c r="CZ39" s="1287"/>
      <c r="DA39" s="1286">
        <f>IF($G39="Opex",SUMIF('Monthly Summary'!$C$75:BV$75,"",$H39:CA39),SUMIF('Monthly Summary'!$C$74:BV$74,"",$H39:CA39))</f>
        <v>0</v>
      </c>
      <c r="DB39" s="1278">
        <f t="shared" si="21"/>
        <v>0</v>
      </c>
      <c r="DC39" s="1279">
        <f>IF(AND(OR($D39=Variables!A$38,$D39=Variables!A$43),$F39&lt;&gt;"N/A"),1,0)</f>
        <v>0</v>
      </c>
      <c r="DD39" s="820"/>
      <c r="DE39" s="1281" t="str">
        <f t="shared" si="15"/>
        <v/>
      </c>
      <c r="DF39" s="1282" t="str">
        <f t="shared" si="16"/>
        <v/>
      </c>
      <c r="DG39" s="1282" t="str">
        <f t="shared" si="17"/>
        <v/>
      </c>
      <c r="DH39" s="1282" t="str">
        <f>IF(ISNA(VLOOKUP(DE39,Miscellaneous!E:F,2,0)),"",VLOOKUP(DE39,Miscellaneous!E:F,2,0))</f>
        <v/>
      </c>
      <c r="DI39" s="1282" t="str">
        <f t="shared" si="18"/>
        <v/>
      </c>
      <c r="DJ39" s="1283">
        <f>IF($DI39="Opex",SUMIF('Monthly Summary'!$C$75:$N$75,"",H39:S39),SUMIF('Monthly Summary'!$C$74:$N$74,"",H39:S39))</f>
        <v>0</v>
      </c>
      <c r="DK39" s="1283">
        <f>IF($DI39="Opex",SUMIF('Monthly Summary'!$O$75:$Z$75,"",T39:AE39),SUMIF('Monthly Summary'!$O$74:$Z$74,"",T39:AE39))</f>
        <v>0</v>
      </c>
      <c r="DL39" s="1283">
        <f>IF($DI39="Opex",SUMIF('Monthly Summary'!$AA$75:$AL$75,"",AF39:AQ39),SUMIF('Monthly Summary'!$AA$74:$AL$74,"",AF39:AQ39))</f>
        <v>0</v>
      </c>
      <c r="DM39" s="1283">
        <f>IF($DI39="Opex",SUMIF('Monthly Summary'!$AM$75:$AX$75,"",AR39:BC39),SUMIF('Monthly Summary'!$AM$74:$AX$74,"",AR39:BC39))</f>
        <v>0</v>
      </c>
      <c r="DN39" s="1283">
        <f>IF($DI39="Opex",SUMIF('Monthly Summary'!$AY$75:$BJ$75,"",BD39:BO39),SUMIF('Monthly Summary'!$AY$74:$BJ$74,"",BD39:BO39))</f>
        <v>0</v>
      </c>
      <c r="DO39" s="1284">
        <f>IF($DI39="Opex",SUMIF('Monthly Summary'!$BK$75:$BV$75,"",BP39:CA39),SUMIF('Monthly Summary'!$BK$74:$BV$74,"",BP39:CA39))</f>
        <v>0</v>
      </c>
      <c r="DP39" s="1285">
        <f t="shared" si="14"/>
        <v>0</v>
      </c>
    </row>
    <row r="40" spans="1:120" s="813" customFormat="1">
      <c r="A40" s="1261"/>
      <c r="B40" s="1261"/>
      <c r="C40" s="1261"/>
      <c r="D40" s="1262"/>
      <c r="E40" s="1270"/>
      <c r="F40" s="1263"/>
      <c r="G40" s="1263"/>
      <c r="H40" s="1267"/>
      <c r="I40" s="1268"/>
      <c r="J40" s="1268"/>
      <c r="K40" s="1268"/>
      <c r="L40" s="1268"/>
      <c r="M40" s="1268"/>
      <c r="N40" s="1268"/>
      <c r="O40" s="1268"/>
      <c r="P40" s="1268"/>
      <c r="Q40" s="1268"/>
      <c r="R40" s="1268"/>
      <c r="S40" s="1269"/>
      <c r="T40" s="1267"/>
      <c r="U40" s="1268"/>
      <c r="V40" s="1268"/>
      <c r="W40" s="1268"/>
      <c r="X40" s="1268"/>
      <c r="Y40" s="1268"/>
      <c r="Z40" s="1268"/>
      <c r="AA40" s="1268"/>
      <c r="AB40" s="1268"/>
      <c r="AC40" s="1268"/>
      <c r="AD40" s="1268"/>
      <c r="AE40" s="1269"/>
      <c r="AF40" s="1267"/>
      <c r="AG40" s="1268"/>
      <c r="AH40" s="1268"/>
      <c r="AI40" s="1268"/>
      <c r="AJ40" s="1268"/>
      <c r="AK40" s="1268"/>
      <c r="AL40" s="1268"/>
      <c r="AM40" s="1268"/>
      <c r="AN40" s="1268"/>
      <c r="AO40" s="1268"/>
      <c r="AP40" s="1268"/>
      <c r="AQ40" s="1269"/>
      <c r="AR40" s="1267"/>
      <c r="AS40" s="1268"/>
      <c r="AT40" s="1268"/>
      <c r="AU40" s="1268"/>
      <c r="AV40" s="1268"/>
      <c r="AW40" s="1268"/>
      <c r="AX40" s="1268"/>
      <c r="AY40" s="1268"/>
      <c r="AZ40" s="1268"/>
      <c r="BA40" s="1268"/>
      <c r="BB40" s="1268"/>
      <c r="BC40" s="1269"/>
      <c r="BD40" s="1267"/>
      <c r="BE40" s="1268"/>
      <c r="BF40" s="1268"/>
      <c r="BG40" s="1268"/>
      <c r="BH40" s="1268"/>
      <c r="BI40" s="1268"/>
      <c r="BJ40" s="1268"/>
      <c r="BK40" s="1268"/>
      <c r="BL40" s="1268"/>
      <c r="BM40" s="1268"/>
      <c r="BN40" s="1268"/>
      <c r="BO40" s="1269"/>
      <c r="BP40" s="1267"/>
      <c r="BQ40" s="1268"/>
      <c r="BR40" s="1268"/>
      <c r="BS40" s="1268"/>
      <c r="BT40" s="1268"/>
      <c r="BU40" s="1268"/>
      <c r="BV40" s="1268"/>
      <c r="BW40" s="1268"/>
      <c r="BX40" s="1268"/>
      <c r="BY40" s="1268"/>
      <c r="BZ40" s="1268"/>
      <c r="CA40" s="1269"/>
      <c r="CB40" s="1286">
        <f t="shared" si="7"/>
        <v>0</v>
      </c>
      <c r="CC40" s="1277">
        <f>IF($F40=Miscellaneous!$N$8,SUM($H40:CA40),0)</f>
        <v>0</v>
      </c>
      <c r="CD40" s="1277">
        <f>IF($F40=Miscellaneous!$N$8,IF($G40="Opex",SUMIF('Monthly Summary'!$C$75:BV$75,"",$H40:CA40),SUMIF('Monthly Summary'!$C$74:BV$74,"",$H40:CA40)),0)</f>
        <v>0</v>
      </c>
      <c r="CE40" s="1286">
        <f t="shared" si="8"/>
        <v>0</v>
      </c>
      <c r="CF40" s="1287"/>
      <c r="CG40" s="1277">
        <f>IF($F40=Miscellaneous!$N$9,SUM($H40:CA40),0)</f>
        <v>0</v>
      </c>
      <c r="CH40" s="1277">
        <f>IF($F40=Miscellaneous!$N$9,IF($G40="Opex",SUMIF('Monthly Summary'!$C$75:BV$75,"",$H40:CA40),SUMIF('Monthly Summary'!$C$74:BV$74,"",$H40:CA40)),0)</f>
        <v>0</v>
      </c>
      <c r="CI40" s="1286">
        <f t="shared" si="9"/>
        <v>0</v>
      </c>
      <c r="CJ40" s="1287"/>
      <c r="CK40" s="1277">
        <f>IF($F40=Miscellaneous!$N$7,SUM($H40:CA40),0)</f>
        <v>0</v>
      </c>
      <c r="CL40" s="1277">
        <f>IF($F40=Miscellaneous!$N$7,IF($G40="Opex",SUMIF('Monthly Summary'!$C$75:BV$75,"",$H40:CA40),SUMIF('Monthly Summary'!$C$74:BV$74,"",$H40:CA40)),0)</f>
        <v>0</v>
      </c>
      <c r="CM40" s="1286">
        <f t="shared" si="10"/>
        <v>0</v>
      </c>
      <c r="CN40" s="1287"/>
      <c r="CO40" s="1277">
        <f>IF($F40=Miscellaneous!$N$6,SUM($H40:CA40),0)</f>
        <v>0</v>
      </c>
      <c r="CP40" s="1277">
        <f>IF($F40=Miscellaneous!$N$6,IF($G40="Opex",SUMIF('Monthly Summary'!$C$75:BV$75,"",$H40:CA40),SUMIF('Monthly Summary'!$C$74:BV$74,"",$H40:CA40)),0)</f>
        <v>0</v>
      </c>
      <c r="CQ40" s="1286">
        <f t="shared" si="11"/>
        <v>0</v>
      </c>
      <c r="CR40" s="1287"/>
      <c r="CS40" s="1277">
        <f>IF($A40="Software",SUM($H40:CA40),0)</f>
        <v>0</v>
      </c>
      <c r="CT40" s="1277">
        <f>IF($A40="Software",IF($G40="Opex",SUMIF('Monthly Summary'!$C$75:BV$75,"",$H40:CA40),SUMIF('Monthly Summary'!$C$74:BV$74,"",$H40:CA40)),0)</f>
        <v>0</v>
      </c>
      <c r="CU40" s="1286">
        <f t="shared" si="12"/>
        <v>0</v>
      </c>
      <c r="CV40" s="1287"/>
      <c r="CW40" s="1277">
        <f t="shared" si="19"/>
        <v>0</v>
      </c>
      <c r="CX40" s="1277">
        <f t="shared" si="20"/>
        <v>0</v>
      </c>
      <c r="CY40" s="1286">
        <f t="shared" si="13"/>
        <v>0</v>
      </c>
      <c r="CZ40" s="1287"/>
      <c r="DA40" s="1286">
        <f>IF($G40="Opex",SUMIF('Monthly Summary'!$C$75:BV$75,"",$H40:CA40),SUMIF('Monthly Summary'!$C$74:BV$74,"",$H40:CA40))</f>
        <v>0</v>
      </c>
      <c r="DB40" s="1278">
        <f t="shared" si="21"/>
        <v>0</v>
      </c>
      <c r="DC40" s="1279">
        <f>IF(AND(OR($D40=Variables!A$38,$D40=Variables!A$43),$F40&lt;&gt;"N/A"),1,0)</f>
        <v>0</v>
      </c>
      <c r="DD40" s="820"/>
      <c r="DE40" s="1281" t="str">
        <f t="shared" si="15"/>
        <v/>
      </c>
      <c r="DF40" s="1282" t="str">
        <f t="shared" si="16"/>
        <v/>
      </c>
      <c r="DG40" s="1282" t="str">
        <f t="shared" si="17"/>
        <v/>
      </c>
      <c r="DH40" s="1282" t="str">
        <f>IF(ISNA(VLOOKUP(DE40,Miscellaneous!E:F,2,0)),"",VLOOKUP(DE40,Miscellaneous!E:F,2,0))</f>
        <v/>
      </c>
      <c r="DI40" s="1282" t="str">
        <f t="shared" si="18"/>
        <v/>
      </c>
      <c r="DJ40" s="1283">
        <f>IF($DI40="Opex",SUMIF('Monthly Summary'!$C$75:$N$75,"",H40:S40),SUMIF('Monthly Summary'!$C$74:$N$74,"",H40:S40))</f>
        <v>0</v>
      </c>
      <c r="DK40" s="1283">
        <f>IF($DI40="Opex",SUMIF('Monthly Summary'!$O$75:$Z$75,"",T40:AE40),SUMIF('Monthly Summary'!$O$74:$Z$74,"",T40:AE40))</f>
        <v>0</v>
      </c>
      <c r="DL40" s="1283">
        <f>IF($DI40="Opex",SUMIF('Monthly Summary'!$AA$75:$AL$75,"",AF40:AQ40),SUMIF('Monthly Summary'!$AA$74:$AL$74,"",AF40:AQ40))</f>
        <v>0</v>
      </c>
      <c r="DM40" s="1283">
        <f>IF($DI40="Opex",SUMIF('Monthly Summary'!$AM$75:$AX$75,"",AR40:BC40),SUMIF('Monthly Summary'!$AM$74:$AX$74,"",AR40:BC40))</f>
        <v>0</v>
      </c>
      <c r="DN40" s="1283">
        <f>IF($DI40="Opex",SUMIF('Monthly Summary'!$AY$75:$BJ$75,"",BD40:BO40),SUMIF('Monthly Summary'!$AY$74:$BJ$74,"",BD40:BO40))</f>
        <v>0</v>
      </c>
      <c r="DO40" s="1284">
        <f>IF($DI40="Opex",SUMIF('Monthly Summary'!$BK$75:$BV$75,"",BP40:CA40),SUMIF('Monthly Summary'!$BK$74:$BV$74,"",BP40:CA40))</f>
        <v>0</v>
      </c>
      <c r="DP40" s="1285">
        <f t="shared" si="14"/>
        <v>0</v>
      </c>
    </row>
    <row r="41" spans="1:120" s="813" customFormat="1">
      <c r="A41" s="1261"/>
      <c r="B41" s="1261"/>
      <c r="C41" s="1261"/>
      <c r="D41" s="1262"/>
      <c r="E41" s="1270"/>
      <c r="F41" s="1263"/>
      <c r="G41" s="1263"/>
      <c r="H41" s="1267"/>
      <c r="I41" s="1268"/>
      <c r="J41" s="1268"/>
      <c r="K41" s="1268"/>
      <c r="L41" s="1268"/>
      <c r="M41" s="1268"/>
      <c r="N41" s="1268"/>
      <c r="O41" s="1268"/>
      <c r="P41" s="1268"/>
      <c r="Q41" s="1268"/>
      <c r="R41" s="1268"/>
      <c r="S41" s="1269"/>
      <c r="T41" s="1267"/>
      <c r="U41" s="1268"/>
      <c r="V41" s="1268"/>
      <c r="W41" s="1268"/>
      <c r="X41" s="1268"/>
      <c r="Y41" s="1268"/>
      <c r="Z41" s="1268"/>
      <c r="AA41" s="1268"/>
      <c r="AB41" s="1268"/>
      <c r="AC41" s="1268"/>
      <c r="AD41" s="1268"/>
      <c r="AE41" s="1269"/>
      <c r="AF41" s="1267"/>
      <c r="AG41" s="1268"/>
      <c r="AH41" s="1268"/>
      <c r="AI41" s="1268"/>
      <c r="AJ41" s="1268"/>
      <c r="AK41" s="1268"/>
      <c r="AL41" s="1268"/>
      <c r="AM41" s="1268"/>
      <c r="AN41" s="1268"/>
      <c r="AO41" s="1268"/>
      <c r="AP41" s="1268"/>
      <c r="AQ41" s="1269"/>
      <c r="AR41" s="1267"/>
      <c r="AS41" s="1268"/>
      <c r="AT41" s="1268"/>
      <c r="AU41" s="1268"/>
      <c r="AV41" s="1268"/>
      <c r="AW41" s="1268"/>
      <c r="AX41" s="1268"/>
      <c r="AY41" s="1268"/>
      <c r="AZ41" s="1268"/>
      <c r="BA41" s="1268"/>
      <c r="BB41" s="1268"/>
      <c r="BC41" s="1269"/>
      <c r="BD41" s="1267"/>
      <c r="BE41" s="1268"/>
      <c r="BF41" s="1268"/>
      <c r="BG41" s="1268"/>
      <c r="BH41" s="1268"/>
      <c r="BI41" s="1268"/>
      <c r="BJ41" s="1268"/>
      <c r="BK41" s="1268"/>
      <c r="BL41" s="1268"/>
      <c r="BM41" s="1268"/>
      <c r="BN41" s="1268"/>
      <c r="BO41" s="1269"/>
      <c r="BP41" s="1267"/>
      <c r="BQ41" s="1268"/>
      <c r="BR41" s="1268"/>
      <c r="BS41" s="1268"/>
      <c r="BT41" s="1268"/>
      <c r="BU41" s="1268"/>
      <c r="BV41" s="1268"/>
      <c r="BW41" s="1268"/>
      <c r="BX41" s="1268"/>
      <c r="BY41" s="1268"/>
      <c r="BZ41" s="1268"/>
      <c r="CA41" s="1269"/>
      <c r="CB41" s="1286">
        <f t="shared" si="7"/>
        <v>0</v>
      </c>
      <c r="CC41" s="1277">
        <f>IF($F41=Miscellaneous!$N$8,SUM($H41:CA41),0)</f>
        <v>0</v>
      </c>
      <c r="CD41" s="1277">
        <f>IF($F41=Miscellaneous!$N$8,IF($G41="Opex",SUMIF('Monthly Summary'!$C$75:BV$75,"",$H41:CA41),SUMIF('Monthly Summary'!$C$74:BV$74,"",$H41:CA41)),0)</f>
        <v>0</v>
      </c>
      <c r="CE41" s="1286">
        <f t="shared" si="8"/>
        <v>0</v>
      </c>
      <c r="CF41" s="1287"/>
      <c r="CG41" s="1277">
        <f>IF($F41=Miscellaneous!$N$9,SUM($H41:CA41),0)</f>
        <v>0</v>
      </c>
      <c r="CH41" s="1277">
        <f>IF($F41=Miscellaneous!$N$9,IF($G41="Opex",SUMIF('Monthly Summary'!$C$75:BV$75,"",$H41:CA41),SUMIF('Monthly Summary'!$C$74:BV$74,"",$H41:CA41)),0)</f>
        <v>0</v>
      </c>
      <c r="CI41" s="1286">
        <f t="shared" si="9"/>
        <v>0</v>
      </c>
      <c r="CJ41" s="1287"/>
      <c r="CK41" s="1277">
        <f>IF($F41=Miscellaneous!$N$7,SUM($H41:CA41),0)</f>
        <v>0</v>
      </c>
      <c r="CL41" s="1277">
        <f>IF($F41=Miscellaneous!$N$7,IF($G41="Opex",SUMIF('Monthly Summary'!$C$75:BV$75,"",$H41:CA41),SUMIF('Monthly Summary'!$C$74:BV$74,"",$H41:CA41)),0)</f>
        <v>0</v>
      </c>
      <c r="CM41" s="1286">
        <f t="shared" si="10"/>
        <v>0</v>
      </c>
      <c r="CN41" s="1287"/>
      <c r="CO41" s="1277">
        <f>IF($F41=Miscellaneous!$N$6,SUM($H41:CA41),0)</f>
        <v>0</v>
      </c>
      <c r="CP41" s="1277">
        <f>IF($F41=Miscellaneous!$N$6,IF($G41="Opex",SUMIF('Monthly Summary'!$C$75:BV$75,"",$H41:CA41),SUMIF('Monthly Summary'!$C$74:BV$74,"",$H41:CA41)),0)</f>
        <v>0</v>
      </c>
      <c r="CQ41" s="1286">
        <f t="shared" si="11"/>
        <v>0</v>
      </c>
      <c r="CR41" s="1287"/>
      <c r="CS41" s="1277">
        <f>IF($A41="Software",SUM($H41:CA41),0)</f>
        <v>0</v>
      </c>
      <c r="CT41" s="1277">
        <f>IF($A41="Software",IF($G41="Opex",SUMIF('Monthly Summary'!$C$75:BV$75,"",$H41:CA41),SUMIF('Monthly Summary'!$C$74:BV$74,"",$H41:CA41)),0)</f>
        <v>0</v>
      </c>
      <c r="CU41" s="1286">
        <f t="shared" si="12"/>
        <v>0</v>
      </c>
      <c r="CV41" s="1287"/>
      <c r="CW41" s="1277">
        <f t="shared" si="19"/>
        <v>0</v>
      </c>
      <c r="CX41" s="1277">
        <f t="shared" si="20"/>
        <v>0</v>
      </c>
      <c r="CY41" s="1286">
        <f t="shared" si="13"/>
        <v>0</v>
      </c>
      <c r="CZ41" s="1287"/>
      <c r="DA41" s="1286">
        <f>IF($G41="Opex",SUMIF('Monthly Summary'!$C$75:BV$75,"",$H41:CA41),SUMIF('Monthly Summary'!$C$74:BV$74,"",$H41:CA41))</f>
        <v>0</v>
      </c>
      <c r="DB41" s="1278">
        <f t="shared" si="21"/>
        <v>0</v>
      </c>
      <c r="DC41" s="1279">
        <f>IF(AND(OR($D41=Variables!A$38,$D41=Variables!A$43),$F41&lt;&gt;"N/A"),1,0)</f>
        <v>0</v>
      </c>
      <c r="DD41" s="820"/>
      <c r="DE41" s="1281" t="str">
        <f t="shared" si="15"/>
        <v/>
      </c>
      <c r="DF41" s="1282" t="str">
        <f t="shared" si="16"/>
        <v/>
      </c>
      <c r="DG41" s="1282" t="str">
        <f t="shared" si="17"/>
        <v/>
      </c>
      <c r="DH41" s="1282" t="str">
        <f>IF(ISNA(VLOOKUP(DE41,Miscellaneous!E:F,2,0)),"",VLOOKUP(DE41,Miscellaneous!E:F,2,0))</f>
        <v/>
      </c>
      <c r="DI41" s="1282" t="str">
        <f t="shared" si="18"/>
        <v/>
      </c>
      <c r="DJ41" s="1283">
        <f>IF($DI41="Opex",SUMIF('Monthly Summary'!$C$75:$N$75,"",H41:S41),SUMIF('Monthly Summary'!$C$74:$N$74,"",H41:S41))</f>
        <v>0</v>
      </c>
      <c r="DK41" s="1283">
        <f>IF($DI41="Opex",SUMIF('Monthly Summary'!$O$75:$Z$75,"",T41:AE41),SUMIF('Monthly Summary'!$O$74:$Z$74,"",T41:AE41))</f>
        <v>0</v>
      </c>
      <c r="DL41" s="1283">
        <f>IF($DI41="Opex",SUMIF('Monthly Summary'!$AA$75:$AL$75,"",AF41:AQ41),SUMIF('Monthly Summary'!$AA$74:$AL$74,"",AF41:AQ41))</f>
        <v>0</v>
      </c>
      <c r="DM41" s="1283">
        <f>IF($DI41="Opex",SUMIF('Monthly Summary'!$AM$75:$AX$75,"",AR41:BC41),SUMIF('Monthly Summary'!$AM$74:$AX$74,"",AR41:BC41))</f>
        <v>0</v>
      </c>
      <c r="DN41" s="1283">
        <f>IF($DI41="Opex",SUMIF('Monthly Summary'!$AY$75:$BJ$75,"",BD41:BO41),SUMIF('Monthly Summary'!$AY$74:$BJ$74,"",BD41:BO41))</f>
        <v>0</v>
      </c>
      <c r="DO41" s="1284">
        <f>IF($DI41="Opex",SUMIF('Monthly Summary'!$BK$75:$BV$75,"",BP41:CA41),SUMIF('Monthly Summary'!$BK$74:$BV$74,"",BP41:CA41))</f>
        <v>0</v>
      </c>
      <c r="DP41" s="1285">
        <f t="shared" si="14"/>
        <v>0</v>
      </c>
    </row>
    <row r="42" spans="1:120" s="813" customFormat="1">
      <c r="A42" s="1261"/>
      <c r="B42" s="1261"/>
      <c r="C42" s="1261"/>
      <c r="D42" s="1262"/>
      <c r="E42" s="1270"/>
      <c r="F42" s="1263"/>
      <c r="G42" s="1263"/>
      <c r="H42" s="1267"/>
      <c r="I42" s="1268"/>
      <c r="J42" s="1268"/>
      <c r="K42" s="1268"/>
      <c r="L42" s="1268"/>
      <c r="M42" s="1268"/>
      <c r="N42" s="1268"/>
      <c r="O42" s="1268"/>
      <c r="P42" s="1268"/>
      <c r="Q42" s="1268"/>
      <c r="R42" s="1268"/>
      <c r="S42" s="1269"/>
      <c r="T42" s="1267"/>
      <c r="U42" s="1268"/>
      <c r="V42" s="1268"/>
      <c r="W42" s="1268"/>
      <c r="X42" s="1268"/>
      <c r="Y42" s="1268"/>
      <c r="Z42" s="1268"/>
      <c r="AA42" s="1268"/>
      <c r="AB42" s="1268"/>
      <c r="AC42" s="1268"/>
      <c r="AD42" s="1268"/>
      <c r="AE42" s="1269"/>
      <c r="AF42" s="1267"/>
      <c r="AG42" s="1268"/>
      <c r="AH42" s="1268"/>
      <c r="AI42" s="1268"/>
      <c r="AJ42" s="1268"/>
      <c r="AK42" s="1268"/>
      <c r="AL42" s="1268"/>
      <c r="AM42" s="1268"/>
      <c r="AN42" s="1268"/>
      <c r="AO42" s="1268"/>
      <c r="AP42" s="1268"/>
      <c r="AQ42" s="1269"/>
      <c r="AR42" s="1267"/>
      <c r="AS42" s="1268"/>
      <c r="AT42" s="1268"/>
      <c r="AU42" s="1268"/>
      <c r="AV42" s="1268"/>
      <c r="AW42" s="1268"/>
      <c r="AX42" s="1268"/>
      <c r="AY42" s="1268"/>
      <c r="AZ42" s="1268"/>
      <c r="BA42" s="1268"/>
      <c r="BB42" s="1268"/>
      <c r="BC42" s="1269"/>
      <c r="BD42" s="1267"/>
      <c r="BE42" s="1268"/>
      <c r="BF42" s="1268"/>
      <c r="BG42" s="1268"/>
      <c r="BH42" s="1268"/>
      <c r="BI42" s="1268"/>
      <c r="BJ42" s="1268"/>
      <c r="BK42" s="1268"/>
      <c r="BL42" s="1268"/>
      <c r="BM42" s="1268"/>
      <c r="BN42" s="1268"/>
      <c r="BO42" s="1269"/>
      <c r="BP42" s="1267"/>
      <c r="BQ42" s="1268"/>
      <c r="BR42" s="1268"/>
      <c r="BS42" s="1268"/>
      <c r="BT42" s="1268"/>
      <c r="BU42" s="1268"/>
      <c r="BV42" s="1268"/>
      <c r="BW42" s="1268"/>
      <c r="BX42" s="1268"/>
      <c r="BY42" s="1268"/>
      <c r="BZ42" s="1268"/>
      <c r="CA42" s="1269"/>
      <c r="CB42" s="1286">
        <f t="shared" si="7"/>
        <v>0</v>
      </c>
      <c r="CC42" s="1277">
        <f>IF($F42=Miscellaneous!$N$8,SUM($H42:CA42),0)</f>
        <v>0</v>
      </c>
      <c r="CD42" s="1277">
        <f>IF($F42=Miscellaneous!$N$8,IF($G42="Opex",SUMIF('Monthly Summary'!$C$75:BV$75,"",$H42:CA42),SUMIF('Monthly Summary'!$C$74:BV$74,"",$H42:CA42)),0)</f>
        <v>0</v>
      </c>
      <c r="CE42" s="1286">
        <f t="shared" si="8"/>
        <v>0</v>
      </c>
      <c r="CF42" s="1287"/>
      <c r="CG42" s="1277">
        <f>IF($F42=Miscellaneous!$N$9,SUM($H42:CA42),0)</f>
        <v>0</v>
      </c>
      <c r="CH42" s="1277">
        <f>IF($F42=Miscellaneous!$N$9,IF($G42="Opex",SUMIF('Monthly Summary'!$C$75:BV$75,"",$H42:CA42),SUMIF('Monthly Summary'!$C$74:BV$74,"",$H42:CA42)),0)</f>
        <v>0</v>
      </c>
      <c r="CI42" s="1286">
        <f t="shared" si="9"/>
        <v>0</v>
      </c>
      <c r="CJ42" s="1287"/>
      <c r="CK42" s="1277">
        <f>IF($F42=Miscellaneous!$N$7,SUM($H42:CA42),0)</f>
        <v>0</v>
      </c>
      <c r="CL42" s="1277">
        <f>IF($F42=Miscellaneous!$N$7,IF($G42="Opex",SUMIF('Monthly Summary'!$C$75:BV$75,"",$H42:CA42),SUMIF('Monthly Summary'!$C$74:BV$74,"",$H42:CA42)),0)</f>
        <v>0</v>
      </c>
      <c r="CM42" s="1286">
        <f t="shared" si="10"/>
        <v>0</v>
      </c>
      <c r="CN42" s="1287"/>
      <c r="CO42" s="1277">
        <f>IF($F42=Miscellaneous!$N$6,SUM($H42:CA42),0)</f>
        <v>0</v>
      </c>
      <c r="CP42" s="1277">
        <f>IF($F42=Miscellaneous!$N$6,IF($G42="Opex",SUMIF('Monthly Summary'!$C$75:BV$75,"",$H42:CA42),SUMIF('Monthly Summary'!$C$74:BV$74,"",$H42:CA42)),0)</f>
        <v>0</v>
      </c>
      <c r="CQ42" s="1286">
        <f t="shared" si="11"/>
        <v>0</v>
      </c>
      <c r="CR42" s="1287"/>
      <c r="CS42" s="1277">
        <f>IF($A42="Software",SUM($H42:CA42),0)</f>
        <v>0</v>
      </c>
      <c r="CT42" s="1277">
        <f>IF($A42="Software",IF($G42="Opex",SUMIF('Monthly Summary'!$C$75:BV$75,"",$H42:CA42),SUMIF('Monthly Summary'!$C$74:BV$74,"",$H42:CA42)),0)</f>
        <v>0</v>
      </c>
      <c r="CU42" s="1286">
        <f t="shared" si="12"/>
        <v>0</v>
      </c>
      <c r="CV42" s="1287"/>
      <c r="CW42" s="1277">
        <f t="shared" si="19"/>
        <v>0</v>
      </c>
      <c r="CX42" s="1277">
        <f t="shared" si="20"/>
        <v>0</v>
      </c>
      <c r="CY42" s="1286">
        <f t="shared" si="13"/>
        <v>0</v>
      </c>
      <c r="CZ42" s="1287"/>
      <c r="DA42" s="1286">
        <f>IF($G42="Opex",SUMIF('Monthly Summary'!$C$75:BV$75,"",$H42:CA42),SUMIF('Monthly Summary'!$C$74:BV$74,"",$H42:CA42))</f>
        <v>0</v>
      </c>
      <c r="DB42" s="1278">
        <f t="shared" si="21"/>
        <v>0</v>
      </c>
      <c r="DC42" s="1279">
        <f>IF(AND(OR($D42=Variables!A$38,$D42=Variables!A$43),$F42&lt;&gt;"N/A"),1,0)</f>
        <v>0</v>
      </c>
      <c r="DD42" s="820"/>
      <c r="DE42" s="1281" t="str">
        <f t="shared" si="15"/>
        <v/>
      </c>
      <c r="DF42" s="1282" t="str">
        <f t="shared" si="16"/>
        <v/>
      </c>
      <c r="DG42" s="1282" t="str">
        <f t="shared" si="17"/>
        <v/>
      </c>
      <c r="DH42" s="1282" t="str">
        <f>IF(ISNA(VLOOKUP(DE42,Miscellaneous!E:F,2,0)),"",VLOOKUP(DE42,Miscellaneous!E:F,2,0))</f>
        <v/>
      </c>
      <c r="DI42" s="1282" t="str">
        <f t="shared" si="18"/>
        <v/>
      </c>
      <c r="DJ42" s="1283">
        <f>IF($DI42="Opex",SUMIF('Monthly Summary'!$C$75:$N$75,"",H42:S42),SUMIF('Monthly Summary'!$C$74:$N$74,"",H42:S42))</f>
        <v>0</v>
      </c>
      <c r="DK42" s="1283">
        <f>IF($DI42="Opex",SUMIF('Monthly Summary'!$O$75:$Z$75,"",T42:AE42),SUMIF('Monthly Summary'!$O$74:$Z$74,"",T42:AE42))</f>
        <v>0</v>
      </c>
      <c r="DL42" s="1283">
        <f>IF($DI42="Opex",SUMIF('Monthly Summary'!$AA$75:$AL$75,"",AF42:AQ42),SUMIF('Monthly Summary'!$AA$74:$AL$74,"",AF42:AQ42))</f>
        <v>0</v>
      </c>
      <c r="DM42" s="1283">
        <f>IF($DI42="Opex",SUMIF('Monthly Summary'!$AM$75:$AX$75,"",AR42:BC42),SUMIF('Monthly Summary'!$AM$74:$AX$74,"",AR42:BC42))</f>
        <v>0</v>
      </c>
      <c r="DN42" s="1283">
        <f>IF($DI42="Opex",SUMIF('Monthly Summary'!$AY$75:$BJ$75,"",BD42:BO42),SUMIF('Monthly Summary'!$AY$74:$BJ$74,"",BD42:BO42))</f>
        <v>0</v>
      </c>
      <c r="DO42" s="1284">
        <f>IF($DI42="Opex",SUMIF('Monthly Summary'!$BK$75:$BV$75,"",BP42:CA42),SUMIF('Monthly Summary'!$BK$74:$BV$74,"",BP42:CA42))</f>
        <v>0</v>
      </c>
      <c r="DP42" s="1285">
        <f t="shared" si="14"/>
        <v>0</v>
      </c>
    </row>
    <row r="43" spans="1:120" s="813" customFormat="1">
      <c r="A43" s="1261"/>
      <c r="B43" s="1261"/>
      <c r="C43" s="1261"/>
      <c r="D43" s="1262"/>
      <c r="E43" s="1270"/>
      <c r="F43" s="1263"/>
      <c r="G43" s="1263"/>
      <c r="H43" s="1267"/>
      <c r="I43" s="1268"/>
      <c r="J43" s="1268"/>
      <c r="K43" s="1268"/>
      <c r="L43" s="1268"/>
      <c r="M43" s="1268"/>
      <c r="N43" s="1268"/>
      <c r="O43" s="1268"/>
      <c r="P43" s="1268"/>
      <c r="Q43" s="1268"/>
      <c r="R43" s="1268"/>
      <c r="S43" s="1269"/>
      <c r="T43" s="1267"/>
      <c r="U43" s="1268"/>
      <c r="V43" s="1268"/>
      <c r="W43" s="1268"/>
      <c r="X43" s="1268"/>
      <c r="Y43" s="1268"/>
      <c r="Z43" s="1268"/>
      <c r="AA43" s="1268"/>
      <c r="AB43" s="1268"/>
      <c r="AC43" s="1268"/>
      <c r="AD43" s="1268"/>
      <c r="AE43" s="1269"/>
      <c r="AF43" s="1267"/>
      <c r="AG43" s="1268"/>
      <c r="AH43" s="1268"/>
      <c r="AI43" s="1268"/>
      <c r="AJ43" s="1268"/>
      <c r="AK43" s="1268"/>
      <c r="AL43" s="1268"/>
      <c r="AM43" s="1268"/>
      <c r="AN43" s="1268"/>
      <c r="AO43" s="1268"/>
      <c r="AP43" s="1268"/>
      <c r="AQ43" s="1269"/>
      <c r="AR43" s="1267"/>
      <c r="AS43" s="1268"/>
      <c r="AT43" s="1268"/>
      <c r="AU43" s="1268"/>
      <c r="AV43" s="1268"/>
      <c r="AW43" s="1268"/>
      <c r="AX43" s="1268"/>
      <c r="AY43" s="1268"/>
      <c r="AZ43" s="1268"/>
      <c r="BA43" s="1268"/>
      <c r="BB43" s="1268"/>
      <c r="BC43" s="1269"/>
      <c r="BD43" s="1267"/>
      <c r="BE43" s="1268"/>
      <c r="BF43" s="1268"/>
      <c r="BG43" s="1268"/>
      <c r="BH43" s="1268"/>
      <c r="BI43" s="1268"/>
      <c r="BJ43" s="1268"/>
      <c r="BK43" s="1268"/>
      <c r="BL43" s="1268"/>
      <c r="BM43" s="1268"/>
      <c r="BN43" s="1268"/>
      <c r="BO43" s="1269"/>
      <c r="BP43" s="1267"/>
      <c r="BQ43" s="1268"/>
      <c r="BR43" s="1268"/>
      <c r="BS43" s="1268"/>
      <c r="BT43" s="1268"/>
      <c r="BU43" s="1268"/>
      <c r="BV43" s="1268"/>
      <c r="BW43" s="1268"/>
      <c r="BX43" s="1268"/>
      <c r="BY43" s="1268"/>
      <c r="BZ43" s="1268"/>
      <c r="CA43" s="1269"/>
      <c r="CB43" s="1286">
        <f t="shared" si="7"/>
        <v>0</v>
      </c>
      <c r="CC43" s="1277">
        <f>IF($F43=Miscellaneous!$N$8,SUM($H43:CA43),0)</f>
        <v>0</v>
      </c>
      <c r="CD43" s="1277">
        <f>IF($F43=Miscellaneous!$N$8,IF($G43="Opex",SUMIF('Monthly Summary'!$C$75:BV$75,"",$H43:CA43),SUMIF('Monthly Summary'!$C$74:BV$74,"",$H43:CA43)),0)</f>
        <v>0</v>
      </c>
      <c r="CE43" s="1286">
        <f t="shared" si="8"/>
        <v>0</v>
      </c>
      <c r="CF43" s="1287"/>
      <c r="CG43" s="1277">
        <f>IF($F43=Miscellaneous!$N$9,SUM($H43:CA43),0)</f>
        <v>0</v>
      </c>
      <c r="CH43" s="1277">
        <f>IF($F43=Miscellaneous!$N$9,IF($G43="Opex",SUMIF('Monthly Summary'!$C$75:BV$75,"",$H43:CA43),SUMIF('Monthly Summary'!$C$74:BV$74,"",$H43:CA43)),0)</f>
        <v>0</v>
      </c>
      <c r="CI43" s="1286">
        <f t="shared" si="9"/>
        <v>0</v>
      </c>
      <c r="CJ43" s="1287"/>
      <c r="CK43" s="1277">
        <f>IF($F43=Miscellaneous!$N$7,SUM($H43:CA43),0)</f>
        <v>0</v>
      </c>
      <c r="CL43" s="1277">
        <f>IF($F43=Miscellaneous!$N$7,IF($G43="Opex",SUMIF('Monthly Summary'!$C$75:BV$75,"",$H43:CA43),SUMIF('Monthly Summary'!$C$74:BV$74,"",$H43:CA43)),0)</f>
        <v>0</v>
      </c>
      <c r="CM43" s="1286">
        <f t="shared" si="10"/>
        <v>0</v>
      </c>
      <c r="CN43" s="1287"/>
      <c r="CO43" s="1277">
        <f>IF($F43=Miscellaneous!$N$6,SUM($H43:CA43),0)</f>
        <v>0</v>
      </c>
      <c r="CP43" s="1277">
        <f>IF($F43=Miscellaneous!$N$6,IF($G43="Opex",SUMIF('Monthly Summary'!$C$75:BV$75,"",$H43:CA43),SUMIF('Monthly Summary'!$C$74:BV$74,"",$H43:CA43)),0)</f>
        <v>0</v>
      </c>
      <c r="CQ43" s="1286">
        <f t="shared" si="11"/>
        <v>0</v>
      </c>
      <c r="CR43" s="1287"/>
      <c r="CS43" s="1277">
        <f>IF($A43="Software",SUM($H43:CA43),0)</f>
        <v>0</v>
      </c>
      <c r="CT43" s="1277">
        <f>IF($A43="Software",IF($G43="Opex",SUMIF('Monthly Summary'!$C$75:BV$75,"",$H43:CA43),SUMIF('Monthly Summary'!$C$74:BV$74,"",$H43:CA43)),0)</f>
        <v>0</v>
      </c>
      <c r="CU43" s="1286">
        <f t="shared" si="12"/>
        <v>0</v>
      </c>
      <c r="CV43" s="1287"/>
      <c r="CW43" s="1277">
        <f t="shared" si="19"/>
        <v>0</v>
      </c>
      <c r="CX43" s="1277">
        <f t="shared" si="20"/>
        <v>0</v>
      </c>
      <c r="CY43" s="1286">
        <f t="shared" si="13"/>
        <v>0</v>
      </c>
      <c r="CZ43" s="1287"/>
      <c r="DA43" s="1286">
        <f>IF($G43="Opex",SUMIF('Monthly Summary'!$C$75:BV$75,"",$H43:CA43),SUMIF('Monthly Summary'!$C$74:BV$74,"",$H43:CA43))</f>
        <v>0</v>
      </c>
      <c r="DB43" s="1278">
        <f t="shared" si="21"/>
        <v>0</v>
      </c>
      <c r="DC43" s="1279">
        <f>IF(AND(OR($D43=Variables!A$38,$D43=Variables!A$43),$F43&lt;&gt;"N/A"),1,0)</f>
        <v>0</v>
      </c>
      <c r="DD43" s="820"/>
      <c r="DE43" s="1281" t="str">
        <f t="shared" si="15"/>
        <v/>
      </c>
      <c r="DF43" s="1282" t="str">
        <f t="shared" si="16"/>
        <v/>
      </c>
      <c r="DG43" s="1282" t="str">
        <f t="shared" si="17"/>
        <v/>
      </c>
      <c r="DH43" s="1282" t="str">
        <f>IF(ISNA(VLOOKUP(DE43,Miscellaneous!E:F,2,0)),"",VLOOKUP(DE43,Miscellaneous!E:F,2,0))</f>
        <v/>
      </c>
      <c r="DI43" s="1282" t="str">
        <f t="shared" si="18"/>
        <v/>
      </c>
      <c r="DJ43" s="1283">
        <f>IF($DI43="Opex",SUMIF('Monthly Summary'!$C$75:$N$75,"",H43:S43),SUMIF('Monthly Summary'!$C$74:$N$74,"",H43:S43))</f>
        <v>0</v>
      </c>
      <c r="DK43" s="1283">
        <f>IF($DI43="Opex",SUMIF('Monthly Summary'!$O$75:$Z$75,"",T43:AE43),SUMIF('Monthly Summary'!$O$74:$Z$74,"",T43:AE43))</f>
        <v>0</v>
      </c>
      <c r="DL43" s="1283">
        <f>IF($DI43="Opex",SUMIF('Monthly Summary'!$AA$75:$AL$75,"",AF43:AQ43),SUMIF('Monthly Summary'!$AA$74:$AL$74,"",AF43:AQ43))</f>
        <v>0</v>
      </c>
      <c r="DM43" s="1283">
        <f>IF($DI43="Opex",SUMIF('Monthly Summary'!$AM$75:$AX$75,"",AR43:BC43),SUMIF('Monthly Summary'!$AM$74:$AX$74,"",AR43:BC43))</f>
        <v>0</v>
      </c>
      <c r="DN43" s="1283">
        <f>IF($DI43="Opex",SUMIF('Monthly Summary'!$AY$75:$BJ$75,"",BD43:BO43),SUMIF('Monthly Summary'!$AY$74:$BJ$74,"",BD43:BO43))</f>
        <v>0</v>
      </c>
      <c r="DO43" s="1284">
        <f>IF($DI43="Opex",SUMIF('Monthly Summary'!$BK$75:$BV$75,"",BP43:CA43),SUMIF('Monthly Summary'!$BK$74:$BV$74,"",BP43:CA43))</f>
        <v>0</v>
      </c>
      <c r="DP43" s="1285">
        <f t="shared" si="14"/>
        <v>0</v>
      </c>
    </row>
    <row r="44" spans="1:120" s="813" customFormat="1">
      <c r="A44" s="1261"/>
      <c r="B44" s="1261"/>
      <c r="C44" s="1261"/>
      <c r="D44" s="1262"/>
      <c r="E44" s="1270"/>
      <c r="F44" s="1263"/>
      <c r="G44" s="1263"/>
      <c r="H44" s="1267"/>
      <c r="I44" s="1268"/>
      <c r="J44" s="1268"/>
      <c r="K44" s="1268"/>
      <c r="L44" s="1268"/>
      <c r="M44" s="1268"/>
      <c r="N44" s="1268"/>
      <c r="O44" s="1268"/>
      <c r="P44" s="1268"/>
      <c r="Q44" s="1268"/>
      <c r="R44" s="1268"/>
      <c r="S44" s="1269"/>
      <c r="T44" s="1267"/>
      <c r="U44" s="1268"/>
      <c r="V44" s="1268"/>
      <c r="W44" s="1268"/>
      <c r="X44" s="1268"/>
      <c r="Y44" s="1268"/>
      <c r="Z44" s="1268"/>
      <c r="AA44" s="1268"/>
      <c r="AB44" s="1268"/>
      <c r="AC44" s="1268"/>
      <c r="AD44" s="1268"/>
      <c r="AE44" s="1269"/>
      <c r="AF44" s="1267"/>
      <c r="AG44" s="1268"/>
      <c r="AH44" s="1268"/>
      <c r="AI44" s="1268"/>
      <c r="AJ44" s="1268"/>
      <c r="AK44" s="1268"/>
      <c r="AL44" s="1268"/>
      <c r="AM44" s="1268"/>
      <c r="AN44" s="1268"/>
      <c r="AO44" s="1268"/>
      <c r="AP44" s="1268"/>
      <c r="AQ44" s="1269"/>
      <c r="AR44" s="1267"/>
      <c r="AS44" s="1268"/>
      <c r="AT44" s="1268"/>
      <c r="AU44" s="1268"/>
      <c r="AV44" s="1268"/>
      <c r="AW44" s="1268"/>
      <c r="AX44" s="1268"/>
      <c r="AY44" s="1268"/>
      <c r="AZ44" s="1268"/>
      <c r="BA44" s="1268"/>
      <c r="BB44" s="1268"/>
      <c r="BC44" s="1269"/>
      <c r="BD44" s="1267"/>
      <c r="BE44" s="1268"/>
      <c r="BF44" s="1268"/>
      <c r="BG44" s="1268"/>
      <c r="BH44" s="1268"/>
      <c r="BI44" s="1268"/>
      <c r="BJ44" s="1268"/>
      <c r="BK44" s="1268"/>
      <c r="BL44" s="1268"/>
      <c r="BM44" s="1268"/>
      <c r="BN44" s="1268"/>
      <c r="BO44" s="1269"/>
      <c r="BP44" s="1267"/>
      <c r="BQ44" s="1268"/>
      <c r="BR44" s="1268"/>
      <c r="BS44" s="1268"/>
      <c r="BT44" s="1268"/>
      <c r="BU44" s="1268"/>
      <c r="BV44" s="1268"/>
      <c r="BW44" s="1268"/>
      <c r="BX44" s="1268"/>
      <c r="BY44" s="1268"/>
      <c r="BZ44" s="1268"/>
      <c r="CA44" s="1269"/>
      <c r="CB44" s="1286">
        <f t="shared" si="7"/>
        <v>0</v>
      </c>
      <c r="CC44" s="1277">
        <f>IF($F44=Miscellaneous!$N$8,SUM($H44:CA44),0)</f>
        <v>0</v>
      </c>
      <c r="CD44" s="1277">
        <f>IF($F44=Miscellaneous!$N$8,IF($G44="Opex",SUMIF('Monthly Summary'!$C$75:BV$75,"",$H44:CA44),SUMIF('Monthly Summary'!$C$74:BV$74,"",$H44:CA44)),0)</f>
        <v>0</v>
      </c>
      <c r="CE44" s="1286">
        <f t="shared" si="8"/>
        <v>0</v>
      </c>
      <c r="CF44" s="1287"/>
      <c r="CG44" s="1277">
        <f>IF($F44=Miscellaneous!$N$9,SUM($H44:CA44),0)</f>
        <v>0</v>
      </c>
      <c r="CH44" s="1277">
        <f>IF($F44=Miscellaneous!$N$9,IF($G44="Opex",SUMIF('Monthly Summary'!$C$75:BV$75,"",$H44:CA44),SUMIF('Monthly Summary'!$C$74:BV$74,"",$H44:CA44)),0)</f>
        <v>0</v>
      </c>
      <c r="CI44" s="1286">
        <f t="shared" si="9"/>
        <v>0</v>
      </c>
      <c r="CJ44" s="1287"/>
      <c r="CK44" s="1277">
        <f>IF($F44=Miscellaneous!$N$7,SUM($H44:CA44),0)</f>
        <v>0</v>
      </c>
      <c r="CL44" s="1277">
        <f>IF($F44=Miscellaneous!$N$7,IF($G44="Opex",SUMIF('Monthly Summary'!$C$75:BV$75,"",$H44:CA44),SUMIF('Monthly Summary'!$C$74:BV$74,"",$H44:CA44)),0)</f>
        <v>0</v>
      </c>
      <c r="CM44" s="1286">
        <f t="shared" si="10"/>
        <v>0</v>
      </c>
      <c r="CN44" s="1287"/>
      <c r="CO44" s="1277">
        <f>IF($F44=Miscellaneous!$N$6,SUM($H44:CA44),0)</f>
        <v>0</v>
      </c>
      <c r="CP44" s="1277">
        <f>IF($F44=Miscellaneous!$N$6,IF($G44="Opex",SUMIF('Monthly Summary'!$C$75:BV$75,"",$H44:CA44),SUMIF('Monthly Summary'!$C$74:BV$74,"",$H44:CA44)),0)</f>
        <v>0</v>
      </c>
      <c r="CQ44" s="1286">
        <f t="shared" si="11"/>
        <v>0</v>
      </c>
      <c r="CR44" s="1287"/>
      <c r="CS44" s="1277">
        <f>IF($A44="Software",SUM($H44:CA44),0)</f>
        <v>0</v>
      </c>
      <c r="CT44" s="1277">
        <f>IF($A44="Software",IF($G44="Opex",SUMIF('Monthly Summary'!$C$75:BV$75,"",$H44:CA44),SUMIF('Monthly Summary'!$C$74:BV$74,"",$H44:CA44)),0)</f>
        <v>0</v>
      </c>
      <c r="CU44" s="1286">
        <f t="shared" si="12"/>
        <v>0</v>
      </c>
      <c r="CV44" s="1287"/>
      <c r="CW44" s="1277">
        <f t="shared" si="19"/>
        <v>0</v>
      </c>
      <c r="CX44" s="1277">
        <f t="shared" si="20"/>
        <v>0</v>
      </c>
      <c r="CY44" s="1286">
        <f t="shared" si="13"/>
        <v>0</v>
      </c>
      <c r="CZ44" s="1287"/>
      <c r="DA44" s="1286">
        <f>IF($G44="Opex",SUMIF('Monthly Summary'!$C$75:BV$75,"",$H44:CA44),SUMIF('Monthly Summary'!$C$74:BV$74,"",$H44:CA44))</f>
        <v>0</v>
      </c>
      <c r="DB44" s="1278">
        <f t="shared" si="21"/>
        <v>0</v>
      </c>
      <c r="DC44" s="1279">
        <f>IF(AND(OR($D44=Variables!A$38,$D44=Variables!A$43),$F44&lt;&gt;"N/A"),1,0)</f>
        <v>0</v>
      </c>
      <c r="DD44" s="820"/>
      <c r="DE44" s="1281" t="str">
        <f t="shared" si="15"/>
        <v/>
      </c>
      <c r="DF44" s="1282" t="str">
        <f t="shared" si="16"/>
        <v/>
      </c>
      <c r="DG44" s="1282" t="str">
        <f t="shared" si="17"/>
        <v/>
      </c>
      <c r="DH44" s="1282" t="str">
        <f>IF(ISNA(VLOOKUP(DE44,Miscellaneous!E:F,2,0)),"",VLOOKUP(DE44,Miscellaneous!E:F,2,0))</f>
        <v/>
      </c>
      <c r="DI44" s="1282" t="str">
        <f t="shared" si="18"/>
        <v/>
      </c>
      <c r="DJ44" s="1283">
        <f>IF($DI44="Opex",SUMIF('Monthly Summary'!$C$75:$N$75,"",H44:S44),SUMIF('Monthly Summary'!$C$74:$N$74,"",H44:S44))</f>
        <v>0</v>
      </c>
      <c r="DK44" s="1283">
        <f>IF($DI44="Opex",SUMIF('Monthly Summary'!$O$75:$Z$75,"",T44:AE44),SUMIF('Monthly Summary'!$O$74:$Z$74,"",T44:AE44))</f>
        <v>0</v>
      </c>
      <c r="DL44" s="1283">
        <f>IF($DI44="Opex",SUMIF('Monthly Summary'!$AA$75:$AL$75,"",AF44:AQ44),SUMIF('Monthly Summary'!$AA$74:$AL$74,"",AF44:AQ44))</f>
        <v>0</v>
      </c>
      <c r="DM44" s="1283">
        <f>IF($DI44="Opex",SUMIF('Monthly Summary'!$AM$75:$AX$75,"",AR44:BC44),SUMIF('Monthly Summary'!$AM$74:$AX$74,"",AR44:BC44))</f>
        <v>0</v>
      </c>
      <c r="DN44" s="1283">
        <f>IF($DI44="Opex",SUMIF('Monthly Summary'!$AY$75:$BJ$75,"",BD44:BO44),SUMIF('Monthly Summary'!$AY$74:$BJ$74,"",BD44:BO44))</f>
        <v>0</v>
      </c>
      <c r="DO44" s="1284">
        <f>IF($DI44="Opex",SUMIF('Monthly Summary'!$BK$75:$BV$75,"",BP44:CA44),SUMIF('Monthly Summary'!$BK$74:$BV$74,"",BP44:CA44))</f>
        <v>0</v>
      </c>
      <c r="DP44" s="1285">
        <f t="shared" si="14"/>
        <v>0</v>
      </c>
    </row>
    <row r="45" spans="1:120" s="813" customFormat="1">
      <c r="A45" s="1261"/>
      <c r="B45" s="1261"/>
      <c r="C45" s="1261"/>
      <c r="D45" s="1262"/>
      <c r="E45" s="1270"/>
      <c r="F45" s="1263"/>
      <c r="G45" s="1263"/>
      <c r="H45" s="1267"/>
      <c r="I45" s="1268"/>
      <c r="J45" s="1268"/>
      <c r="K45" s="1268"/>
      <c r="L45" s="1268"/>
      <c r="M45" s="1268"/>
      <c r="N45" s="1268"/>
      <c r="O45" s="1268"/>
      <c r="P45" s="1268"/>
      <c r="Q45" s="1268"/>
      <c r="R45" s="1268"/>
      <c r="S45" s="1269"/>
      <c r="T45" s="1267"/>
      <c r="U45" s="1268"/>
      <c r="V45" s="1268"/>
      <c r="W45" s="1268"/>
      <c r="X45" s="1268"/>
      <c r="Y45" s="1268"/>
      <c r="Z45" s="1268"/>
      <c r="AA45" s="1268"/>
      <c r="AB45" s="1268"/>
      <c r="AC45" s="1268"/>
      <c r="AD45" s="1268"/>
      <c r="AE45" s="1269"/>
      <c r="AF45" s="1267"/>
      <c r="AG45" s="1268"/>
      <c r="AH45" s="1268"/>
      <c r="AI45" s="1268"/>
      <c r="AJ45" s="1268"/>
      <c r="AK45" s="1268"/>
      <c r="AL45" s="1268"/>
      <c r="AM45" s="1268"/>
      <c r="AN45" s="1268"/>
      <c r="AO45" s="1268"/>
      <c r="AP45" s="1268"/>
      <c r="AQ45" s="1269"/>
      <c r="AR45" s="1267"/>
      <c r="AS45" s="1268"/>
      <c r="AT45" s="1268"/>
      <c r="AU45" s="1268"/>
      <c r="AV45" s="1268"/>
      <c r="AW45" s="1268"/>
      <c r="AX45" s="1268"/>
      <c r="AY45" s="1268"/>
      <c r="AZ45" s="1268"/>
      <c r="BA45" s="1268"/>
      <c r="BB45" s="1268"/>
      <c r="BC45" s="1269"/>
      <c r="BD45" s="1267"/>
      <c r="BE45" s="1268"/>
      <c r="BF45" s="1268"/>
      <c r="BG45" s="1268"/>
      <c r="BH45" s="1268"/>
      <c r="BI45" s="1268"/>
      <c r="BJ45" s="1268"/>
      <c r="BK45" s="1268"/>
      <c r="BL45" s="1268"/>
      <c r="BM45" s="1268"/>
      <c r="BN45" s="1268"/>
      <c r="BO45" s="1269"/>
      <c r="BP45" s="1267"/>
      <c r="BQ45" s="1268"/>
      <c r="BR45" s="1268"/>
      <c r="BS45" s="1268"/>
      <c r="BT45" s="1268"/>
      <c r="BU45" s="1268"/>
      <c r="BV45" s="1268"/>
      <c r="BW45" s="1268"/>
      <c r="BX45" s="1268"/>
      <c r="BY45" s="1268"/>
      <c r="BZ45" s="1268"/>
      <c r="CA45" s="1269"/>
      <c r="CB45" s="1286">
        <f t="shared" si="7"/>
        <v>0</v>
      </c>
      <c r="CC45" s="1277">
        <f>IF($F45=Miscellaneous!$N$8,SUM($H45:CA45),0)</f>
        <v>0</v>
      </c>
      <c r="CD45" s="1277">
        <f>IF($F45=Miscellaneous!$N$8,IF($G45="Opex",SUMIF('Monthly Summary'!$C$75:BV$75,"",$H45:CA45),SUMIF('Monthly Summary'!$C$74:BV$74,"",$H45:CA45)),0)</f>
        <v>0</v>
      </c>
      <c r="CE45" s="1286">
        <f t="shared" si="8"/>
        <v>0</v>
      </c>
      <c r="CF45" s="1287"/>
      <c r="CG45" s="1277">
        <f>IF($F45=Miscellaneous!$N$9,SUM($H45:CA45),0)</f>
        <v>0</v>
      </c>
      <c r="CH45" s="1277">
        <f>IF($F45=Miscellaneous!$N$9,IF($G45="Opex",SUMIF('Monthly Summary'!$C$75:BV$75,"",$H45:CA45),SUMIF('Monthly Summary'!$C$74:BV$74,"",$H45:CA45)),0)</f>
        <v>0</v>
      </c>
      <c r="CI45" s="1286">
        <f t="shared" si="9"/>
        <v>0</v>
      </c>
      <c r="CJ45" s="1287"/>
      <c r="CK45" s="1277">
        <f>IF($F45=Miscellaneous!$N$7,SUM($H45:CA45),0)</f>
        <v>0</v>
      </c>
      <c r="CL45" s="1277">
        <f>IF($F45=Miscellaneous!$N$7,IF($G45="Opex",SUMIF('Monthly Summary'!$C$75:BV$75,"",$H45:CA45),SUMIF('Monthly Summary'!$C$74:BV$74,"",$H45:CA45)),0)</f>
        <v>0</v>
      </c>
      <c r="CM45" s="1286">
        <f t="shared" si="10"/>
        <v>0</v>
      </c>
      <c r="CN45" s="1287"/>
      <c r="CO45" s="1277">
        <f>IF($F45=Miscellaneous!$N$6,SUM($H45:CA45),0)</f>
        <v>0</v>
      </c>
      <c r="CP45" s="1277">
        <f>IF($F45=Miscellaneous!$N$6,IF($G45="Opex",SUMIF('Monthly Summary'!$C$75:BV$75,"",$H45:CA45),SUMIF('Monthly Summary'!$C$74:BV$74,"",$H45:CA45)),0)</f>
        <v>0</v>
      </c>
      <c r="CQ45" s="1286">
        <f t="shared" si="11"/>
        <v>0</v>
      </c>
      <c r="CR45" s="1287"/>
      <c r="CS45" s="1277">
        <f>IF($A45="Software",SUM($H45:CA45),0)</f>
        <v>0</v>
      </c>
      <c r="CT45" s="1277">
        <f>IF($A45="Software",IF($G45="Opex",SUMIF('Monthly Summary'!$C$75:BV$75,"",$H45:CA45),SUMIF('Monthly Summary'!$C$74:BV$74,"",$H45:CA45)),0)</f>
        <v>0</v>
      </c>
      <c r="CU45" s="1286">
        <f t="shared" si="12"/>
        <v>0</v>
      </c>
      <c r="CV45" s="1287"/>
      <c r="CW45" s="1277">
        <f t="shared" si="19"/>
        <v>0</v>
      </c>
      <c r="CX45" s="1277">
        <f t="shared" si="20"/>
        <v>0</v>
      </c>
      <c r="CY45" s="1286">
        <f t="shared" si="13"/>
        <v>0</v>
      </c>
      <c r="CZ45" s="1287"/>
      <c r="DA45" s="1286">
        <f>IF($G45="Opex",SUMIF('Monthly Summary'!$C$75:BV$75,"",$H45:CA45),SUMIF('Monthly Summary'!$C$74:BV$74,"",$H45:CA45))</f>
        <v>0</v>
      </c>
      <c r="DB45" s="1278">
        <f t="shared" si="21"/>
        <v>0</v>
      </c>
      <c r="DC45" s="1279">
        <f>IF(AND(OR($D45=Variables!A$38,$D45=Variables!A$43),$F45&lt;&gt;"N/A"),1,0)</f>
        <v>0</v>
      </c>
      <c r="DD45" s="820"/>
      <c r="DE45" s="1281" t="str">
        <f t="shared" si="15"/>
        <v/>
      </c>
      <c r="DF45" s="1282" t="str">
        <f t="shared" si="16"/>
        <v/>
      </c>
      <c r="DG45" s="1282" t="str">
        <f t="shared" si="17"/>
        <v/>
      </c>
      <c r="DH45" s="1282" t="str">
        <f>IF(ISNA(VLOOKUP(DE45,Miscellaneous!E:F,2,0)),"",VLOOKUP(DE45,Miscellaneous!E:F,2,0))</f>
        <v/>
      </c>
      <c r="DI45" s="1282" t="str">
        <f t="shared" si="18"/>
        <v/>
      </c>
      <c r="DJ45" s="1283">
        <f>IF($DI45="Opex",SUMIF('Monthly Summary'!$C$75:$N$75,"",H45:S45),SUMIF('Monthly Summary'!$C$74:$N$74,"",H45:S45))</f>
        <v>0</v>
      </c>
      <c r="DK45" s="1283">
        <f>IF($DI45="Opex",SUMIF('Monthly Summary'!$O$75:$Z$75,"",T45:AE45),SUMIF('Monthly Summary'!$O$74:$Z$74,"",T45:AE45))</f>
        <v>0</v>
      </c>
      <c r="DL45" s="1283">
        <f>IF($DI45="Opex",SUMIF('Monthly Summary'!$AA$75:$AL$75,"",AF45:AQ45),SUMIF('Monthly Summary'!$AA$74:$AL$74,"",AF45:AQ45))</f>
        <v>0</v>
      </c>
      <c r="DM45" s="1283">
        <f>IF($DI45="Opex",SUMIF('Monthly Summary'!$AM$75:$AX$75,"",AR45:BC45),SUMIF('Monthly Summary'!$AM$74:$AX$74,"",AR45:BC45))</f>
        <v>0</v>
      </c>
      <c r="DN45" s="1283">
        <f>IF($DI45="Opex",SUMIF('Monthly Summary'!$AY$75:$BJ$75,"",BD45:BO45),SUMIF('Monthly Summary'!$AY$74:$BJ$74,"",BD45:BO45))</f>
        <v>0</v>
      </c>
      <c r="DO45" s="1284">
        <f>IF($DI45="Opex",SUMIF('Monthly Summary'!$BK$75:$BV$75,"",BP45:CA45),SUMIF('Monthly Summary'!$BK$74:$BV$74,"",BP45:CA45))</f>
        <v>0</v>
      </c>
      <c r="DP45" s="1285">
        <f t="shared" si="14"/>
        <v>0</v>
      </c>
    </row>
    <row r="46" spans="1:120" s="813" customFormat="1">
      <c r="A46" s="1261"/>
      <c r="B46" s="1261"/>
      <c r="C46" s="1261"/>
      <c r="D46" s="1262"/>
      <c r="E46" s="1271"/>
      <c r="F46" s="1263"/>
      <c r="G46" s="1263"/>
      <c r="H46" s="1267"/>
      <c r="I46" s="1268"/>
      <c r="J46" s="1268"/>
      <c r="K46" s="1268"/>
      <c r="L46" s="1268"/>
      <c r="M46" s="1268"/>
      <c r="N46" s="1268"/>
      <c r="O46" s="1268"/>
      <c r="P46" s="1268"/>
      <c r="Q46" s="1268"/>
      <c r="R46" s="1268"/>
      <c r="S46" s="1269"/>
      <c r="T46" s="1267"/>
      <c r="U46" s="1268"/>
      <c r="V46" s="1268"/>
      <c r="W46" s="1268"/>
      <c r="X46" s="1268"/>
      <c r="Y46" s="1268"/>
      <c r="Z46" s="1268"/>
      <c r="AA46" s="1268"/>
      <c r="AB46" s="1268"/>
      <c r="AC46" s="1268"/>
      <c r="AD46" s="1268"/>
      <c r="AE46" s="1269"/>
      <c r="AF46" s="1267"/>
      <c r="AG46" s="1268"/>
      <c r="AH46" s="1268"/>
      <c r="AI46" s="1268"/>
      <c r="AJ46" s="1268"/>
      <c r="AK46" s="1268"/>
      <c r="AL46" s="1268"/>
      <c r="AM46" s="1268"/>
      <c r="AN46" s="1268"/>
      <c r="AO46" s="1268"/>
      <c r="AP46" s="1268"/>
      <c r="AQ46" s="1269"/>
      <c r="AR46" s="1267"/>
      <c r="AS46" s="1268"/>
      <c r="AT46" s="1268"/>
      <c r="AU46" s="1268"/>
      <c r="AV46" s="1268"/>
      <c r="AW46" s="1268"/>
      <c r="AX46" s="1268"/>
      <c r="AY46" s="1268"/>
      <c r="AZ46" s="1268"/>
      <c r="BA46" s="1268"/>
      <c r="BB46" s="1268"/>
      <c r="BC46" s="1269"/>
      <c r="BD46" s="1267"/>
      <c r="BE46" s="1268"/>
      <c r="BF46" s="1268"/>
      <c r="BG46" s="1268"/>
      <c r="BH46" s="1268"/>
      <c r="BI46" s="1268"/>
      <c r="BJ46" s="1268"/>
      <c r="BK46" s="1268"/>
      <c r="BL46" s="1268"/>
      <c r="BM46" s="1268"/>
      <c r="BN46" s="1268"/>
      <c r="BO46" s="1269"/>
      <c r="BP46" s="1267"/>
      <c r="BQ46" s="1268"/>
      <c r="BR46" s="1268"/>
      <c r="BS46" s="1268"/>
      <c r="BT46" s="1268"/>
      <c r="BU46" s="1268"/>
      <c r="BV46" s="1268"/>
      <c r="BW46" s="1268"/>
      <c r="BX46" s="1268"/>
      <c r="BY46" s="1268"/>
      <c r="BZ46" s="1268"/>
      <c r="CA46" s="1269"/>
      <c r="CB46" s="1286">
        <f t="shared" si="7"/>
        <v>0</v>
      </c>
      <c r="CC46" s="1277">
        <f>IF($F46=Miscellaneous!$N$8,SUM($H46:CA46),0)</f>
        <v>0</v>
      </c>
      <c r="CD46" s="1277">
        <f>IF($F46=Miscellaneous!$N$8,IF($G46="Opex",SUMIF('Monthly Summary'!$C$75:BV$75,"",$H46:CA46),SUMIF('Monthly Summary'!$C$74:BV$74,"",$H46:CA46)),0)</f>
        <v>0</v>
      </c>
      <c r="CE46" s="1286">
        <f t="shared" si="8"/>
        <v>0</v>
      </c>
      <c r="CF46" s="1287"/>
      <c r="CG46" s="1277">
        <f>IF($F46=Miscellaneous!$N$9,SUM($H46:CA46),0)</f>
        <v>0</v>
      </c>
      <c r="CH46" s="1277">
        <f>IF($F46=Miscellaneous!$N$9,IF($G46="Opex",SUMIF('Monthly Summary'!$C$75:BV$75,"",$H46:CA46),SUMIF('Monthly Summary'!$C$74:BV$74,"",$H46:CA46)),0)</f>
        <v>0</v>
      </c>
      <c r="CI46" s="1286">
        <f t="shared" si="9"/>
        <v>0</v>
      </c>
      <c r="CJ46" s="1287"/>
      <c r="CK46" s="1277">
        <f>IF($F46=Miscellaneous!$N$7,SUM($H46:CA46),0)</f>
        <v>0</v>
      </c>
      <c r="CL46" s="1277">
        <f>IF($F46=Miscellaneous!$N$7,IF($G46="Opex",SUMIF('Monthly Summary'!$C$75:BV$75,"",$H46:CA46),SUMIF('Monthly Summary'!$C$74:BV$74,"",$H46:CA46)),0)</f>
        <v>0</v>
      </c>
      <c r="CM46" s="1286">
        <f t="shared" si="10"/>
        <v>0</v>
      </c>
      <c r="CN46" s="1287"/>
      <c r="CO46" s="1277">
        <f>IF($F46=Miscellaneous!$N$6,SUM($H46:CA46),0)</f>
        <v>0</v>
      </c>
      <c r="CP46" s="1277">
        <f>IF($F46=Miscellaneous!$N$6,IF($G46="Opex",SUMIF('Monthly Summary'!$C$75:BV$75,"",$H46:CA46),SUMIF('Monthly Summary'!$C$74:BV$74,"",$H46:CA46)),0)</f>
        <v>0</v>
      </c>
      <c r="CQ46" s="1286">
        <f t="shared" si="11"/>
        <v>0</v>
      </c>
      <c r="CR46" s="1287"/>
      <c r="CS46" s="1277">
        <f>IF($A46="Software",SUM($H46:CA46),0)</f>
        <v>0</v>
      </c>
      <c r="CT46" s="1277">
        <f>IF($A46="Software",IF($G46="Opex",SUMIF('Monthly Summary'!$C$75:BV$75,"",$H46:CA46),SUMIF('Monthly Summary'!$C$74:BV$74,"",$H46:CA46)),0)</f>
        <v>0</v>
      </c>
      <c r="CU46" s="1286">
        <f t="shared" si="12"/>
        <v>0</v>
      </c>
      <c r="CV46" s="1287"/>
      <c r="CW46" s="1277">
        <f t="shared" si="19"/>
        <v>0</v>
      </c>
      <c r="CX46" s="1277">
        <f t="shared" si="20"/>
        <v>0</v>
      </c>
      <c r="CY46" s="1286">
        <f t="shared" si="13"/>
        <v>0</v>
      </c>
      <c r="CZ46" s="1287"/>
      <c r="DA46" s="1286">
        <f>IF($G46="Opex",SUMIF('Monthly Summary'!$C$75:BV$75,"",$H46:CA46),SUMIF('Monthly Summary'!$C$74:BV$74,"",$H46:CA46))</f>
        <v>0</v>
      </c>
      <c r="DB46" s="1278">
        <f t="shared" si="21"/>
        <v>0</v>
      </c>
      <c r="DC46" s="1279">
        <f>IF(AND(OR($D46=Variables!A$38,$D46=Variables!A$43),$F46&lt;&gt;"N/A"),1,0)</f>
        <v>0</v>
      </c>
      <c r="DD46" s="820"/>
      <c r="DE46" s="1281" t="str">
        <f t="shared" si="15"/>
        <v/>
      </c>
      <c r="DF46" s="1282" t="str">
        <f t="shared" si="16"/>
        <v/>
      </c>
      <c r="DG46" s="1282" t="str">
        <f t="shared" si="17"/>
        <v/>
      </c>
      <c r="DH46" s="1282" t="str">
        <f>IF(ISNA(VLOOKUP(DE46,Miscellaneous!E:F,2,0)),"",VLOOKUP(DE46,Miscellaneous!E:F,2,0))</f>
        <v/>
      </c>
      <c r="DI46" s="1282" t="str">
        <f t="shared" si="18"/>
        <v/>
      </c>
      <c r="DJ46" s="1283">
        <f>IF($DI46="Opex",SUMIF('Monthly Summary'!$C$75:$N$75,"",H46:S46),SUMIF('Monthly Summary'!$C$74:$N$74,"",H46:S46))</f>
        <v>0</v>
      </c>
      <c r="DK46" s="1283">
        <f>IF($DI46="Opex",SUMIF('Monthly Summary'!$O$75:$Z$75,"",T46:AE46),SUMIF('Monthly Summary'!$O$74:$Z$74,"",T46:AE46))</f>
        <v>0</v>
      </c>
      <c r="DL46" s="1283">
        <f>IF($DI46="Opex",SUMIF('Monthly Summary'!$AA$75:$AL$75,"",AF46:AQ46),SUMIF('Monthly Summary'!$AA$74:$AL$74,"",AF46:AQ46))</f>
        <v>0</v>
      </c>
      <c r="DM46" s="1283">
        <f>IF($DI46="Opex",SUMIF('Monthly Summary'!$AM$75:$AX$75,"",AR46:BC46),SUMIF('Monthly Summary'!$AM$74:$AX$74,"",AR46:BC46))</f>
        <v>0</v>
      </c>
      <c r="DN46" s="1283">
        <f>IF($DI46="Opex",SUMIF('Monthly Summary'!$AY$75:$BJ$75,"",BD46:BO46),SUMIF('Monthly Summary'!$AY$74:$BJ$74,"",BD46:BO46))</f>
        <v>0</v>
      </c>
      <c r="DO46" s="1284">
        <f>IF($DI46="Opex",SUMIF('Monthly Summary'!$BK$75:$BV$75,"",BP46:CA46),SUMIF('Monthly Summary'!$BK$74:$BV$74,"",BP46:CA46))</f>
        <v>0</v>
      </c>
      <c r="DP46" s="1285">
        <f t="shared" si="14"/>
        <v>0</v>
      </c>
    </row>
    <row r="47" spans="1:120" s="813" customFormat="1">
      <c r="A47" s="1261"/>
      <c r="B47" s="1261"/>
      <c r="C47" s="1261"/>
      <c r="D47" s="1262"/>
      <c r="E47" s="1270"/>
      <c r="F47" s="1263"/>
      <c r="G47" s="1263"/>
      <c r="H47" s="1267"/>
      <c r="I47" s="1268"/>
      <c r="J47" s="1268"/>
      <c r="K47" s="1268"/>
      <c r="L47" s="1268"/>
      <c r="M47" s="1268"/>
      <c r="N47" s="1268"/>
      <c r="O47" s="1268"/>
      <c r="P47" s="1268"/>
      <c r="Q47" s="1268"/>
      <c r="R47" s="1268"/>
      <c r="S47" s="1269"/>
      <c r="T47" s="1267"/>
      <c r="U47" s="1268"/>
      <c r="V47" s="1268"/>
      <c r="W47" s="1268"/>
      <c r="X47" s="1268"/>
      <c r="Y47" s="1268"/>
      <c r="Z47" s="1268"/>
      <c r="AA47" s="1268"/>
      <c r="AB47" s="1268"/>
      <c r="AC47" s="1268"/>
      <c r="AD47" s="1268"/>
      <c r="AE47" s="1269"/>
      <c r="AF47" s="1267"/>
      <c r="AG47" s="1268"/>
      <c r="AH47" s="1268"/>
      <c r="AI47" s="1268"/>
      <c r="AJ47" s="1268"/>
      <c r="AK47" s="1268"/>
      <c r="AL47" s="1268"/>
      <c r="AM47" s="1268"/>
      <c r="AN47" s="1268"/>
      <c r="AO47" s="1268"/>
      <c r="AP47" s="1268"/>
      <c r="AQ47" s="1269"/>
      <c r="AR47" s="1267"/>
      <c r="AS47" s="1268"/>
      <c r="AT47" s="1268"/>
      <c r="AU47" s="1268"/>
      <c r="AV47" s="1268"/>
      <c r="AW47" s="1268"/>
      <c r="AX47" s="1268"/>
      <c r="AY47" s="1268"/>
      <c r="AZ47" s="1268"/>
      <c r="BA47" s="1268"/>
      <c r="BB47" s="1268"/>
      <c r="BC47" s="1269"/>
      <c r="BD47" s="1267"/>
      <c r="BE47" s="1268"/>
      <c r="BF47" s="1268"/>
      <c r="BG47" s="1268"/>
      <c r="BH47" s="1268"/>
      <c r="BI47" s="1268"/>
      <c r="BJ47" s="1268"/>
      <c r="BK47" s="1268"/>
      <c r="BL47" s="1268"/>
      <c r="BM47" s="1268"/>
      <c r="BN47" s="1268"/>
      <c r="BO47" s="1269"/>
      <c r="BP47" s="1267"/>
      <c r="BQ47" s="1268"/>
      <c r="BR47" s="1268"/>
      <c r="BS47" s="1268"/>
      <c r="BT47" s="1268"/>
      <c r="BU47" s="1268"/>
      <c r="BV47" s="1268"/>
      <c r="BW47" s="1268"/>
      <c r="BX47" s="1268"/>
      <c r="BY47" s="1268"/>
      <c r="BZ47" s="1268"/>
      <c r="CA47" s="1269"/>
      <c r="CB47" s="1286">
        <f t="shared" si="7"/>
        <v>0</v>
      </c>
      <c r="CC47" s="1277">
        <f>IF($F47=Miscellaneous!$N$8,SUM($H47:CA47),0)</f>
        <v>0</v>
      </c>
      <c r="CD47" s="1277">
        <f>IF($F47=Miscellaneous!$N$8,IF($G47="Opex",SUMIF('Monthly Summary'!$C$75:BV$75,"",$H47:CA47),SUMIF('Monthly Summary'!$C$74:BV$74,"",$H47:CA47)),0)</f>
        <v>0</v>
      </c>
      <c r="CE47" s="1286">
        <f t="shared" si="8"/>
        <v>0</v>
      </c>
      <c r="CF47" s="1287"/>
      <c r="CG47" s="1277">
        <f>IF($F47=Miscellaneous!$N$9,SUM($H47:CA47),0)</f>
        <v>0</v>
      </c>
      <c r="CH47" s="1277">
        <f>IF($F47=Miscellaneous!$N$9,IF($G47="Opex",SUMIF('Monthly Summary'!$C$75:BV$75,"",$H47:CA47),SUMIF('Monthly Summary'!$C$74:BV$74,"",$H47:CA47)),0)</f>
        <v>0</v>
      </c>
      <c r="CI47" s="1286">
        <f t="shared" si="9"/>
        <v>0</v>
      </c>
      <c r="CJ47" s="1287"/>
      <c r="CK47" s="1277">
        <f>IF($F47=Miscellaneous!$N$7,SUM($H47:CA47),0)</f>
        <v>0</v>
      </c>
      <c r="CL47" s="1277">
        <f>IF($F47=Miscellaneous!$N$7,IF($G47="Opex",SUMIF('Monthly Summary'!$C$75:BV$75,"",$H47:CA47),SUMIF('Monthly Summary'!$C$74:BV$74,"",$H47:CA47)),0)</f>
        <v>0</v>
      </c>
      <c r="CM47" s="1286">
        <f t="shared" si="10"/>
        <v>0</v>
      </c>
      <c r="CN47" s="1287"/>
      <c r="CO47" s="1277">
        <f>IF($F47=Miscellaneous!$N$6,SUM($H47:CA47),0)</f>
        <v>0</v>
      </c>
      <c r="CP47" s="1277">
        <f>IF($F47=Miscellaneous!$N$6,IF($G47="Opex",SUMIF('Monthly Summary'!$C$75:BV$75,"",$H47:CA47),SUMIF('Monthly Summary'!$C$74:BV$74,"",$H47:CA47)),0)</f>
        <v>0</v>
      </c>
      <c r="CQ47" s="1286">
        <f t="shared" si="11"/>
        <v>0</v>
      </c>
      <c r="CR47" s="1287"/>
      <c r="CS47" s="1277">
        <f>IF($A47="Software",SUM($H47:CA47),0)</f>
        <v>0</v>
      </c>
      <c r="CT47" s="1277">
        <f>IF($A47="Software",IF($G47="Opex",SUMIF('Monthly Summary'!$C$75:BV$75,"",$H47:CA47),SUMIF('Monthly Summary'!$C$74:BV$74,"",$H47:CA47)),0)</f>
        <v>0</v>
      </c>
      <c r="CU47" s="1286">
        <f t="shared" si="12"/>
        <v>0</v>
      </c>
      <c r="CV47" s="1287"/>
      <c r="CW47" s="1277">
        <f t="shared" si="19"/>
        <v>0</v>
      </c>
      <c r="CX47" s="1277">
        <f t="shared" si="20"/>
        <v>0</v>
      </c>
      <c r="CY47" s="1286">
        <f t="shared" si="13"/>
        <v>0</v>
      </c>
      <c r="CZ47" s="1287"/>
      <c r="DA47" s="1286">
        <f>IF($G47="Opex",SUMIF('Monthly Summary'!$C$75:BV$75,"",$H47:CA47),SUMIF('Monthly Summary'!$C$74:BV$74,"",$H47:CA47))</f>
        <v>0</v>
      </c>
      <c r="DB47" s="1278">
        <f t="shared" si="21"/>
        <v>0</v>
      </c>
      <c r="DC47" s="1279">
        <f>IF(AND(OR($D47=Variables!A$38,$D47=Variables!A$43),$F47&lt;&gt;"N/A"),1,0)</f>
        <v>0</v>
      </c>
      <c r="DD47" s="820"/>
      <c r="DE47" s="1281" t="str">
        <f t="shared" si="15"/>
        <v/>
      </c>
      <c r="DF47" s="1282" t="str">
        <f t="shared" si="16"/>
        <v/>
      </c>
      <c r="DG47" s="1282" t="str">
        <f t="shared" si="17"/>
        <v/>
      </c>
      <c r="DH47" s="1282" t="str">
        <f>IF(ISNA(VLOOKUP(DE47,Miscellaneous!E:F,2,0)),"",VLOOKUP(DE47,Miscellaneous!E:F,2,0))</f>
        <v/>
      </c>
      <c r="DI47" s="1282" t="str">
        <f t="shared" si="18"/>
        <v/>
      </c>
      <c r="DJ47" s="1283">
        <f>IF($DI47="Opex",SUMIF('Monthly Summary'!$C$75:$N$75,"",H47:S47),SUMIF('Monthly Summary'!$C$74:$N$74,"",H47:S47))</f>
        <v>0</v>
      </c>
      <c r="DK47" s="1283">
        <f>IF($DI47="Opex",SUMIF('Monthly Summary'!$O$75:$Z$75,"",T47:AE47),SUMIF('Monthly Summary'!$O$74:$Z$74,"",T47:AE47))</f>
        <v>0</v>
      </c>
      <c r="DL47" s="1283">
        <f>IF($DI47="Opex",SUMIF('Monthly Summary'!$AA$75:$AL$75,"",AF47:AQ47),SUMIF('Monthly Summary'!$AA$74:$AL$74,"",AF47:AQ47))</f>
        <v>0</v>
      </c>
      <c r="DM47" s="1283">
        <f>IF($DI47="Opex",SUMIF('Monthly Summary'!$AM$75:$AX$75,"",AR47:BC47),SUMIF('Monthly Summary'!$AM$74:$AX$74,"",AR47:BC47))</f>
        <v>0</v>
      </c>
      <c r="DN47" s="1283">
        <f>IF($DI47="Opex",SUMIF('Monthly Summary'!$AY$75:$BJ$75,"",BD47:BO47),SUMIF('Monthly Summary'!$AY$74:$BJ$74,"",BD47:BO47))</f>
        <v>0</v>
      </c>
      <c r="DO47" s="1284">
        <f>IF($DI47="Opex",SUMIF('Monthly Summary'!$BK$75:$BV$75,"",BP47:CA47),SUMIF('Monthly Summary'!$BK$74:$BV$74,"",BP47:CA47))</f>
        <v>0</v>
      </c>
      <c r="DP47" s="1285">
        <f t="shared" si="14"/>
        <v>0</v>
      </c>
    </row>
    <row r="48" spans="1:120" s="813" customFormat="1">
      <c r="A48" s="1261"/>
      <c r="B48" s="1261"/>
      <c r="C48" s="1261"/>
      <c r="D48" s="1262"/>
      <c r="E48" s="1270"/>
      <c r="F48" s="1263"/>
      <c r="G48" s="1263"/>
      <c r="H48" s="1267"/>
      <c r="I48" s="1268"/>
      <c r="J48" s="1268"/>
      <c r="K48" s="1268"/>
      <c r="L48" s="1268"/>
      <c r="M48" s="1268"/>
      <c r="N48" s="1268"/>
      <c r="O48" s="1268"/>
      <c r="P48" s="1268"/>
      <c r="Q48" s="1268"/>
      <c r="R48" s="1268"/>
      <c r="S48" s="1269"/>
      <c r="T48" s="1267"/>
      <c r="U48" s="1268"/>
      <c r="V48" s="1268"/>
      <c r="W48" s="1268"/>
      <c r="X48" s="1268"/>
      <c r="Y48" s="1268"/>
      <c r="Z48" s="1268"/>
      <c r="AA48" s="1268"/>
      <c r="AB48" s="1268"/>
      <c r="AC48" s="1268"/>
      <c r="AD48" s="1268"/>
      <c r="AE48" s="1269"/>
      <c r="AF48" s="1267"/>
      <c r="AG48" s="1268"/>
      <c r="AH48" s="1268"/>
      <c r="AI48" s="1268"/>
      <c r="AJ48" s="1268"/>
      <c r="AK48" s="1268"/>
      <c r="AL48" s="1268"/>
      <c r="AM48" s="1268"/>
      <c r="AN48" s="1268"/>
      <c r="AO48" s="1268"/>
      <c r="AP48" s="1268"/>
      <c r="AQ48" s="1269"/>
      <c r="AR48" s="1267"/>
      <c r="AS48" s="1268"/>
      <c r="AT48" s="1268"/>
      <c r="AU48" s="1268"/>
      <c r="AV48" s="1268"/>
      <c r="AW48" s="1268"/>
      <c r="AX48" s="1268"/>
      <c r="AY48" s="1268"/>
      <c r="AZ48" s="1268"/>
      <c r="BA48" s="1268"/>
      <c r="BB48" s="1268"/>
      <c r="BC48" s="1269"/>
      <c r="BD48" s="1267"/>
      <c r="BE48" s="1268"/>
      <c r="BF48" s="1268"/>
      <c r="BG48" s="1268"/>
      <c r="BH48" s="1268"/>
      <c r="BI48" s="1268"/>
      <c r="BJ48" s="1268"/>
      <c r="BK48" s="1268"/>
      <c r="BL48" s="1268"/>
      <c r="BM48" s="1268"/>
      <c r="BN48" s="1268"/>
      <c r="BO48" s="1269"/>
      <c r="BP48" s="1267"/>
      <c r="BQ48" s="1268"/>
      <c r="BR48" s="1268"/>
      <c r="BS48" s="1268"/>
      <c r="BT48" s="1268"/>
      <c r="BU48" s="1268"/>
      <c r="BV48" s="1268"/>
      <c r="BW48" s="1268"/>
      <c r="BX48" s="1268"/>
      <c r="BY48" s="1268"/>
      <c r="BZ48" s="1268"/>
      <c r="CA48" s="1269"/>
      <c r="CB48" s="1286">
        <f t="shared" si="7"/>
        <v>0</v>
      </c>
      <c r="CC48" s="1277">
        <f>IF($F48=Miscellaneous!$N$8,SUM($H48:CA48),0)</f>
        <v>0</v>
      </c>
      <c r="CD48" s="1277">
        <f>IF($F48=Miscellaneous!$N$8,IF($G48="Opex",SUMIF('Monthly Summary'!$C$75:BV$75,"",$H48:CA48),SUMIF('Monthly Summary'!$C$74:BV$74,"",$H48:CA48)),0)</f>
        <v>0</v>
      </c>
      <c r="CE48" s="1286">
        <f t="shared" si="8"/>
        <v>0</v>
      </c>
      <c r="CF48" s="1287"/>
      <c r="CG48" s="1277">
        <f>IF($F48=Miscellaneous!$N$9,SUM($H48:CA48),0)</f>
        <v>0</v>
      </c>
      <c r="CH48" s="1277">
        <f>IF($F48=Miscellaneous!$N$9,IF($G48="Opex",SUMIF('Monthly Summary'!$C$75:BV$75,"",$H48:CA48),SUMIF('Monthly Summary'!$C$74:BV$74,"",$H48:CA48)),0)</f>
        <v>0</v>
      </c>
      <c r="CI48" s="1286">
        <f t="shared" si="9"/>
        <v>0</v>
      </c>
      <c r="CJ48" s="1287"/>
      <c r="CK48" s="1277">
        <f>IF($F48=Miscellaneous!$N$7,SUM($H48:CA48),0)</f>
        <v>0</v>
      </c>
      <c r="CL48" s="1277">
        <f>IF($F48=Miscellaneous!$N$7,IF($G48="Opex",SUMIF('Monthly Summary'!$C$75:BV$75,"",$H48:CA48),SUMIF('Monthly Summary'!$C$74:BV$74,"",$H48:CA48)),0)</f>
        <v>0</v>
      </c>
      <c r="CM48" s="1286">
        <f t="shared" si="10"/>
        <v>0</v>
      </c>
      <c r="CN48" s="1287"/>
      <c r="CO48" s="1277">
        <f>IF($F48=Miscellaneous!$N$6,SUM($H48:CA48),0)</f>
        <v>0</v>
      </c>
      <c r="CP48" s="1277">
        <f>IF($F48=Miscellaneous!$N$6,IF($G48="Opex",SUMIF('Monthly Summary'!$C$75:BV$75,"",$H48:CA48),SUMIF('Monthly Summary'!$C$74:BV$74,"",$H48:CA48)),0)</f>
        <v>0</v>
      </c>
      <c r="CQ48" s="1286">
        <f t="shared" si="11"/>
        <v>0</v>
      </c>
      <c r="CR48" s="1287"/>
      <c r="CS48" s="1277">
        <f>IF($A48="Software",SUM($H48:CA48),0)</f>
        <v>0</v>
      </c>
      <c r="CT48" s="1277">
        <f>IF($A48="Software",IF($G48="Opex",SUMIF('Monthly Summary'!$C$75:BV$75,"",$H48:CA48),SUMIF('Monthly Summary'!$C$74:BV$74,"",$H48:CA48)),0)</f>
        <v>0</v>
      </c>
      <c r="CU48" s="1286">
        <f t="shared" si="12"/>
        <v>0</v>
      </c>
      <c r="CV48" s="1287"/>
      <c r="CW48" s="1277">
        <f t="shared" si="19"/>
        <v>0</v>
      </c>
      <c r="CX48" s="1277">
        <f t="shared" si="20"/>
        <v>0</v>
      </c>
      <c r="CY48" s="1286">
        <f t="shared" si="13"/>
        <v>0</v>
      </c>
      <c r="CZ48" s="1287"/>
      <c r="DA48" s="1286">
        <f>IF($G48="Opex",SUMIF('Monthly Summary'!$C$75:BV$75,"",$H48:CA48),SUMIF('Monthly Summary'!$C$74:BV$74,"",$H48:CA48))</f>
        <v>0</v>
      </c>
      <c r="DB48" s="1278">
        <f t="shared" si="21"/>
        <v>0</v>
      </c>
      <c r="DC48" s="1279">
        <f>IF(AND(OR($D48=Variables!A$38,$D48=Variables!A$43),$F48&lt;&gt;"N/A"),1,0)</f>
        <v>0</v>
      </c>
      <c r="DD48" s="820"/>
      <c r="DE48" s="1281" t="str">
        <f t="shared" si="15"/>
        <v/>
      </c>
      <c r="DF48" s="1282" t="str">
        <f t="shared" si="16"/>
        <v/>
      </c>
      <c r="DG48" s="1282" t="str">
        <f t="shared" si="17"/>
        <v/>
      </c>
      <c r="DH48" s="1282" t="str">
        <f>IF(ISNA(VLOOKUP(DE48,Miscellaneous!E:F,2,0)),"",VLOOKUP(DE48,Miscellaneous!E:F,2,0))</f>
        <v/>
      </c>
      <c r="DI48" s="1282" t="str">
        <f t="shared" si="18"/>
        <v/>
      </c>
      <c r="DJ48" s="1283">
        <f>IF($DI48="Opex",SUMIF('Monthly Summary'!$C$75:$N$75,"",H48:S48),SUMIF('Monthly Summary'!$C$74:$N$74,"",H48:S48))</f>
        <v>0</v>
      </c>
      <c r="DK48" s="1283">
        <f>IF($DI48="Opex",SUMIF('Monthly Summary'!$O$75:$Z$75,"",T48:AE48),SUMIF('Monthly Summary'!$O$74:$Z$74,"",T48:AE48))</f>
        <v>0</v>
      </c>
      <c r="DL48" s="1283">
        <f>IF($DI48="Opex",SUMIF('Monthly Summary'!$AA$75:$AL$75,"",AF48:AQ48),SUMIF('Monthly Summary'!$AA$74:$AL$74,"",AF48:AQ48))</f>
        <v>0</v>
      </c>
      <c r="DM48" s="1283">
        <f>IF($DI48="Opex",SUMIF('Monthly Summary'!$AM$75:$AX$75,"",AR48:BC48),SUMIF('Monthly Summary'!$AM$74:$AX$74,"",AR48:BC48))</f>
        <v>0</v>
      </c>
      <c r="DN48" s="1283">
        <f>IF($DI48="Opex",SUMIF('Monthly Summary'!$AY$75:$BJ$75,"",BD48:BO48),SUMIF('Monthly Summary'!$AY$74:$BJ$74,"",BD48:BO48))</f>
        <v>0</v>
      </c>
      <c r="DO48" s="1284">
        <f>IF($DI48="Opex",SUMIF('Monthly Summary'!$BK$75:$BV$75,"",BP48:CA48),SUMIF('Monthly Summary'!$BK$74:$BV$74,"",BP48:CA48))</f>
        <v>0</v>
      </c>
      <c r="DP48" s="1285">
        <f t="shared" si="14"/>
        <v>0</v>
      </c>
    </row>
    <row r="49" spans="1:120" s="813" customFormat="1">
      <c r="A49" s="1261"/>
      <c r="B49" s="1261"/>
      <c r="C49" s="1261"/>
      <c r="D49" s="1262"/>
      <c r="E49" s="1270"/>
      <c r="F49" s="1263"/>
      <c r="G49" s="1263"/>
      <c r="H49" s="1267"/>
      <c r="I49" s="1268"/>
      <c r="J49" s="1268"/>
      <c r="K49" s="1268"/>
      <c r="L49" s="1268"/>
      <c r="M49" s="1268"/>
      <c r="N49" s="1268"/>
      <c r="O49" s="1268"/>
      <c r="P49" s="1268"/>
      <c r="Q49" s="1268"/>
      <c r="R49" s="1268"/>
      <c r="S49" s="1269"/>
      <c r="T49" s="1267"/>
      <c r="U49" s="1268"/>
      <c r="V49" s="1268"/>
      <c r="W49" s="1268"/>
      <c r="X49" s="1268"/>
      <c r="Y49" s="1268"/>
      <c r="Z49" s="1268"/>
      <c r="AA49" s="1268"/>
      <c r="AB49" s="1268"/>
      <c r="AC49" s="1268"/>
      <c r="AD49" s="1268"/>
      <c r="AE49" s="1269"/>
      <c r="AF49" s="1267"/>
      <c r="AG49" s="1268"/>
      <c r="AH49" s="1268"/>
      <c r="AI49" s="1268"/>
      <c r="AJ49" s="1268"/>
      <c r="AK49" s="1268"/>
      <c r="AL49" s="1268"/>
      <c r="AM49" s="1268"/>
      <c r="AN49" s="1268"/>
      <c r="AO49" s="1268"/>
      <c r="AP49" s="1268"/>
      <c r="AQ49" s="1269"/>
      <c r="AR49" s="1267"/>
      <c r="AS49" s="1268"/>
      <c r="AT49" s="1268"/>
      <c r="AU49" s="1268"/>
      <c r="AV49" s="1268"/>
      <c r="AW49" s="1268"/>
      <c r="AX49" s="1268"/>
      <c r="AY49" s="1268"/>
      <c r="AZ49" s="1268"/>
      <c r="BA49" s="1268"/>
      <c r="BB49" s="1268"/>
      <c r="BC49" s="1269"/>
      <c r="BD49" s="1267"/>
      <c r="BE49" s="1268"/>
      <c r="BF49" s="1268"/>
      <c r="BG49" s="1268"/>
      <c r="BH49" s="1268"/>
      <c r="BI49" s="1268"/>
      <c r="BJ49" s="1268"/>
      <c r="BK49" s="1268"/>
      <c r="BL49" s="1268"/>
      <c r="BM49" s="1268"/>
      <c r="BN49" s="1268"/>
      <c r="BO49" s="1269"/>
      <c r="BP49" s="1267"/>
      <c r="BQ49" s="1268"/>
      <c r="BR49" s="1268"/>
      <c r="BS49" s="1268"/>
      <c r="BT49" s="1268"/>
      <c r="BU49" s="1268"/>
      <c r="BV49" s="1268"/>
      <c r="BW49" s="1268"/>
      <c r="BX49" s="1268"/>
      <c r="BY49" s="1268"/>
      <c r="BZ49" s="1268"/>
      <c r="CA49" s="1269"/>
      <c r="CB49" s="1286">
        <f t="shared" si="7"/>
        <v>0</v>
      </c>
      <c r="CC49" s="1277">
        <f>IF($F49=Miscellaneous!$N$8,SUM($H49:CA49),0)</f>
        <v>0</v>
      </c>
      <c r="CD49" s="1277">
        <f>IF($F49=Miscellaneous!$N$8,IF($G49="Opex",SUMIF('Monthly Summary'!$C$75:BV$75,"",$H49:CA49),SUMIF('Monthly Summary'!$C$74:BV$74,"",$H49:CA49)),0)</f>
        <v>0</v>
      </c>
      <c r="CE49" s="1286">
        <f t="shared" si="8"/>
        <v>0</v>
      </c>
      <c r="CF49" s="1287"/>
      <c r="CG49" s="1277">
        <f>IF($F49=Miscellaneous!$N$9,SUM($H49:CA49),0)</f>
        <v>0</v>
      </c>
      <c r="CH49" s="1277">
        <f>IF($F49=Miscellaneous!$N$9,IF($G49="Opex",SUMIF('Monthly Summary'!$C$75:BV$75,"",$H49:CA49),SUMIF('Monthly Summary'!$C$74:BV$74,"",$H49:CA49)),0)</f>
        <v>0</v>
      </c>
      <c r="CI49" s="1286">
        <f t="shared" si="9"/>
        <v>0</v>
      </c>
      <c r="CJ49" s="1287"/>
      <c r="CK49" s="1277">
        <f>IF($F49=Miscellaneous!$N$7,SUM($H49:CA49),0)</f>
        <v>0</v>
      </c>
      <c r="CL49" s="1277">
        <f>IF($F49=Miscellaneous!$N$7,IF($G49="Opex",SUMIF('Monthly Summary'!$C$75:BV$75,"",$H49:CA49),SUMIF('Monthly Summary'!$C$74:BV$74,"",$H49:CA49)),0)</f>
        <v>0</v>
      </c>
      <c r="CM49" s="1286">
        <f t="shared" si="10"/>
        <v>0</v>
      </c>
      <c r="CN49" s="1287"/>
      <c r="CO49" s="1277">
        <f>IF($F49=Miscellaneous!$N$6,SUM($H49:CA49),0)</f>
        <v>0</v>
      </c>
      <c r="CP49" s="1277">
        <f>IF($F49=Miscellaneous!$N$6,IF($G49="Opex",SUMIF('Monthly Summary'!$C$75:BV$75,"",$H49:CA49),SUMIF('Monthly Summary'!$C$74:BV$74,"",$H49:CA49)),0)</f>
        <v>0</v>
      </c>
      <c r="CQ49" s="1286">
        <f t="shared" si="11"/>
        <v>0</v>
      </c>
      <c r="CR49" s="1287"/>
      <c r="CS49" s="1277">
        <f>IF($A49="Software",SUM($H49:CA49),0)</f>
        <v>0</v>
      </c>
      <c r="CT49" s="1277">
        <f>IF($A49="Software",IF($G49="Opex",SUMIF('Monthly Summary'!$C$75:BV$75,"",$H49:CA49),SUMIF('Monthly Summary'!$C$74:BV$74,"",$H49:CA49)),0)</f>
        <v>0</v>
      </c>
      <c r="CU49" s="1286">
        <f t="shared" si="12"/>
        <v>0</v>
      </c>
      <c r="CV49" s="1287"/>
      <c r="CW49" s="1277">
        <f t="shared" si="19"/>
        <v>0</v>
      </c>
      <c r="CX49" s="1277">
        <f t="shared" si="20"/>
        <v>0</v>
      </c>
      <c r="CY49" s="1286">
        <f t="shared" si="13"/>
        <v>0</v>
      </c>
      <c r="CZ49" s="1287"/>
      <c r="DA49" s="1286">
        <f>IF($G49="Opex",SUMIF('Monthly Summary'!$C$75:BV$75,"",$H49:CA49),SUMIF('Monthly Summary'!$C$74:BV$74,"",$H49:CA49))</f>
        <v>0</v>
      </c>
      <c r="DB49" s="1278">
        <f t="shared" si="21"/>
        <v>0</v>
      </c>
      <c r="DC49" s="1279">
        <f>IF(AND(OR($D49=Variables!A$38,$D49=Variables!A$43),$F49&lt;&gt;"N/A"),1,0)</f>
        <v>0</v>
      </c>
      <c r="DD49" s="820"/>
      <c r="DE49" s="1281" t="str">
        <f t="shared" si="15"/>
        <v/>
      </c>
      <c r="DF49" s="1282" t="str">
        <f t="shared" si="16"/>
        <v/>
      </c>
      <c r="DG49" s="1282" t="str">
        <f t="shared" si="17"/>
        <v/>
      </c>
      <c r="DH49" s="1282" t="str">
        <f>IF(ISNA(VLOOKUP(DE49,Miscellaneous!E:F,2,0)),"",VLOOKUP(DE49,Miscellaneous!E:F,2,0))</f>
        <v/>
      </c>
      <c r="DI49" s="1282" t="str">
        <f t="shared" si="18"/>
        <v/>
      </c>
      <c r="DJ49" s="1283">
        <f>IF($DI49="Opex",SUMIF('Monthly Summary'!$C$75:$N$75,"",H49:S49),SUMIF('Monthly Summary'!$C$74:$N$74,"",H49:S49))</f>
        <v>0</v>
      </c>
      <c r="DK49" s="1283">
        <f>IF($DI49="Opex",SUMIF('Monthly Summary'!$O$75:$Z$75,"",T49:AE49),SUMIF('Monthly Summary'!$O$74:$Z$74,"",T49:AE49))</f>
        <v>0</v>
      </c>
      <c r="DL49" s="1283">
        <f>IF($DI49="Opex",SUMIF('Monthly Summary'!$AA$75:$AL$75,"",AF49:AQ49),SUMIF('Monthly Summary'!$AA$74:$AL$74,"",AF49:AQ49))</f>
        <v>0</v>
      </c>
      <c r="DM49" s="1283">
        <f>IF($DI49="Opex",SUMIF('Monthly Summary'!$AM$75:$AX$75,"",AR49:BC49),SUMIF('Monthly Summary'!$AM$74:$AX$74,"",AR49:BC49))</f>
        <v>0</v>
      </c>
      <c r="DN49" s="1283">
        <f>IF($DI49="Opex",SUMIF('Monthly Summary'!$AY$75:$BJ$75,"",BD49:BO49),SUMIF('Monthly Summary'!$AY$74:$BJ$74,"",BD49:BO49))</f>
        <v>0</v>
      </c>
      <c r="DO49" s="1284">
        <f>IF($DI49="Opex",SUMIF('Monthly Summary'!$BK$75:$BV$75,"",BP49:CA49),SUMIF('Monthly Summary'!$BK$74:$BV$74,"",BP49:CA49))</f>
        <v>0</v>
      </c>
      <c r="DP49" s="1285">
        <f t="shared" si="14"/>
        <v>0</v>
      </c>
    </row>
    <row r="50" spans="1:120" s="813" customFormat="1">
      <c r="A50" s="1261"/>
      <c r="B50" s="1261"/>
      <c r="C50" s="1261"/>
      <c r="D50" s="1262"/>
      <c r="E50" s="1270"/>
      <c r="F50" s="1263"/>
      <c r="G50" s="1263"/>
      <c r="H50" s="1267"/>
      <c r="I50" s="1268"/>
      <c r="J50" s="1268"/>
      <c r="K50" s="1268"/>
      <c r="L50" s="1268"/>
      <c r="M50" s="1268"/>
      <c r="N50" s="1268"/>
      <c r="O50" s="1268"/>
      <c r="P50" s="1268"/>
      <c r="Q50" s="1268"/>
      <c r="R50" s="1268"/>
      <c r="S50" s="1269"/>
      <c r="T50" s="1267"/>
      <c r="U50" s="1268"/>
      <c r="V50" s="1268"/>
      <c r="W50" s="1268"/>
      <c r="X50" s="1268"/>
      <c r="Y50" s="1268"/>
      <c r="Z50" s="1268"/>
      <c r="AA50" s="1268"/>
      <c r="AB50" s="1268"/>
      <c r="AC50" s="1268"/>
      <c r="AD50" s="1268"/>
      <c r="AE50" s="1269"/>
      <c r="AF50" s="1267"/>
      <c r="AG50" s="1268"/>
      <c r="AH50" s="1268"/>
      <c r="AI50" s="1268"/>
      <c r="AJ50" s="1268"/>
      <c r="AK50" s="1268"/>
      <c r="AL50" s="1268"/>
      <c r="AM50" s="1268"/>
      <c r="AN50" s="1268"/>
      <c r="AO50" s="1268"/>
      <c r="AP50" s="1268"/>
      <c r="AQ50" s="1269"/>
      <c r="AR50" s="1267"/>
      <c r="AS50" s="1268"/>
      <c r="AT50" s="1268"/>
      <c r="AU50" s="1268"/>
      <c r="AV50" s="1268"/>
      <c r="AW50" s="1268"/>
      <c r="AX50" s="1268"/>
      <c r="AY50" s="1268"/>
      <c r="AZ50" s="1268"/>
      <c r="BA50" s="1268"/>
      <c r="BB50" s="1268"/>
      <c r="BC50" s="1269"/>
      <c r="BD50" s="1267"/>
      <c r="BE50" s="1268"/>
      <c r="BF50" s="1268"/>
      <c r="BG50" s="1268"/>
      <c r="BH50" s="1268"/>
      <c r="BI50" s="1268"/>
      <c r="BJ50" s="1268"/>
      <c r="BK50" s="1268"/>
      <c r="BL50" s="1268"/>
      <c r="BM50" s="1268"/>
      <c r="BN50" s="1268"/>
      <c r="BO50" s="1269"/>
      <c r="BP50" s="1267"/>
      <c r="BQ50" s="1268"/>
      <c r="BR50" s="1268"/>
      <c r="BS50" s="1268"/>
      <c r="BT50" s="1268"/>
      <c r="BU50" s="1268"/>
      <c r="BV50" s="1268"/>
      <c r="BW50" s="1268"/>
      <c r="BX50" s="1268"/>
      <c r="BY50" s="1268"/>
      <c r="BZ50" s="1268"/>
      <c r="CA50" s="1269"/>
      <c r="CB50" s="1286">
        <f t="shared" si="7"/>
        <v>0</v>
      </c>
      <c r="CC50" s="1277">
        <f>IF($F50=Miscellaneous!$N$8,SUM($H50:CA50),0)</f>
        <v>0</v>
      </c>
      <c r="CD50" s="1277">
        <f>IF($F50=Miscellaneous!$N$8,IF($G50="Opex",SUMIF('Monthly Summary'!$C$75:BV$75,"",$H50:CA50),SUMIF('Monthly Summary'!$C$74:BV$74,"",$H50:CA50)),0)</f>
        <v>0</v>
      </c>
      <c r="CE50" s="1286">
        <f t="shared" si="8"/>
        <v>0</v>
      </c>
      <c r="CF50" s="1287"/>
      <c r="CG50" s="1277">
        <f>IF($F50=Miscellaneous!$N$9,SUM($H50:CA50),0)</f>
        <v>0</v>
      </c>
      <c r="CH50" s="1277">
        <f>IF($F50=Miscellaneous!$N$9,IF($G50="Opex",SUMIF('Monthly Summary'!$C$75:BV$75,"",$H50:CA50),SUMIF('Monthly Summary'!$C$74:BV$74,"",$H50:CA50)),0)</f>
        <v>0</v>
      </c>
      <c r="CI50" s="1286">
        <f t="shared" si="9"/>
        <v>0</v>
      </c>
      <c r="CJ50" s="1287"/>
      <c r="CK50" s="1277">
        <f>IF($F50=Miscellaneous!$N$7,SUM($H50:CA50),0)</f>
        <v>0</v>
      </c>
      <c r="CL50" s="1277">
        <f>IF($F50=Miscellaneous!$N$7,IF($G50="Opex",SUMIF('Monthly Summary'!$C$75:BV$75,"",$H50:CA50),SUMIF('Monthly Summary'!$C$74:BV$74,"",$H50:CA50)),0)</f>
        <v>0</v>
      </c>
      <c r="CM50" s="1286">
        <f t="shared" si="10"/>
        <v>0</v>
      </c>
      <c r="CN50" s="1287"/>
      <c r="CO50" s="1277">
        <f>IF($F50=Miscellaneous!$N$6,SUM($H50:CA50),0)</f>
        <v>0</v>
      </c>
      <c r="CP50" s="1277">
        <f>IF($F50=Miscellaneous!$N$6,IF($G50="Opex",SUMIF('Monthly Summary'!$C$75:BV$75,"",$H50:CA50),SUMIF('Monthly Summary'!$C$74:BV$74,"",$H50:CA50)),0)</f>
        <v>0</v>
      </c>
      <c r="CQ50" s="1286">
        <f t="shared" si="11"/>
        <v>0</v>
      </c>
      <c r="CR50" s="1287"/>
      <c r="CS50" s="1277">
        <f>IF($A50="Software",SUM($H50:CA50),0)</f>
        <v>0</v>
      </c>
      <c r="CT50" s="1277">
        <f>IF($A50="Software",IF($G50="Opex",SUMIF('Monthly Summary'!$C$75:BV$75,"",$H50:CA50),SUMIF('Monthly Summary'!$C$74:BV$74,"",$H50:CA50)),0)</f>
        <v>0</v>
      </c>
      <c r="CU50" s="1286">
        <f t="shared" si="12"/>
        <v>0</v>
      </c>
      <c r="CV50" s="1287"/>
      <c r="CW50" s="1277">
        <f t="shared" si="19"/>
        <v>0</v>
      </c>
      <c r="CX50" s="1277">
        <f t="shared" si="20"/>
        <v>0</v>
      </c>
      <c r="CY50" s="1286">
        <f t="shared" si="13"/>
        <v>0</v>
      </c>
      <c r="CZ50" s="1287"/>
      <c r="DA50" s="1286">
        <f>IF($G50="Opex",SUMIF('Monthly Summary'!$C$75:BV$75,"",$H50:CA50),SUMIF('Monthly Summary'!$C$74:BV$74,"",$H50:CA50))</f>
        <v>0</v>
      </c>
      <c r="DB50" s="1278">
        <f t="shared" si="21"/>
        <v>0</v>
      </c>
      <c r="DC50" s="1279">
        <f>IF(AND(OR($D50=Variables!A$38,$D50=Variables!A$43),$F50&lt;&gt;"N/A"),1,0)</f>
        <v>0</v>
      </c>
      <c r="DD50" s="820"/>
      <c r="DE50" s="1281" t="str">
        <f t="shared" si="15"/>
        <v/>
      </c>
      <c r="DF50" s="1282" t="str">
        <f t="shared" si="16"/>
        <v/>
      </c>
      <c r="DG50" s="1282" t="str">
        <f t="shared" si="17"/>
        <v/>
      </c>
      <c r="DH50" s="1282" t="str">
        <f>IF(ISNA(VLOOKUP(DE50,Miscellaneous!E:F,2,0)),"",VLOOKUP(DE50,Miscellaneous!E:F,2,0))</f>
        <v/>
      </c>
      <c r="DI50" s="1282" t="str">
        <f t="shared" si="18"/>
        <v/>
      </c>
      <c r="DJ50" s="1283">
        <f>IF($DI50="Opex",SUMIF('Monthly Summary'!$C$75:$N$75,"",H50:S50),SUMIF('Monthly Summary'!$C$74:$N$74,"",H50:S50))</f>
        <v>0</v>
      </c>
      <c r="DK50" s="1283">
        <f>IF($DI50="Opex",SUMIF('Monthly Summary'!$O$75:$Z$75,"",T50:AE50),SUMIF('Monthly Summary'!$O$74:$Z$74,"",T50:AE50))</f>
        <v>0</v>
      </c>
      <c r="DL50" s="1283">
        <f>IF($DI50="Opex",SUMIF('Monthly Summary'!$AA$75:$AL$75,"",AF50:AQ50),SUMIF('Monthly Summary'!$AA$74:$AL$74,"",AF50:AQ50))</f>
        <v>0</v>
      </c>
      <c r="DM50" s="1283">
        <f>IF($DI50="Opex",SUMIF('Monthly Summary'!$AM$75:$AX$75,"",AR50:BC50),SUMIF('Monthly Summary'!$AM$74:$AX$74,"",AR50:BC50))</f>
        <v>0</v>
      </c>
      <c r="DN50" s="1283">
        <f>IF($DI50="Opex",SUMIF('Monthly Summary'!$AY$75:$BJ$75,"",BD50:BO50),SUMIF('Monthly Summary'!$AY$74:$BJ$74,"",BD50:BO50))</f>
        <v>0</v>
      </c>
      <c r="DO50" s="1284">
        <f>IF($DI50="Opex",SUMIF('Monthly Summary'!$BK$75:$BV$75,"",BP50:CA50),SUMIF('Monthly Summary'!$BK$74:$BV$74,"",BP50:CA50))</f>
        <v>0</v>
      </c>
      <c r="DP50" s="1285">
        <f t="shared" si="14"/>
        <v>0</v>
      </c>
    </row>
    <row r="51" spans="1:120" s="813" customFormat="1">
      <c r="A51" s="1261"/>
      <c r="B51" s="1261"/>
      <c r="C51" s="1261"/>
      <c r="D51" s="1262"/>
      <c r="E51" s="1270"/>
      <c r="F51" s="1263"/>
      <c r="G51" s="1263"/>
      <c r="H51" s="1267"/>
      <c r="I51" s="1268"/>
      <c r="J51" s="1268"/>
      <c r="K51" s="1268"/>
      <c r="L51" s="1268"/>
      <c r="M51" s="1268"/>
      <c r="N51" s="1268"/>
      <c r="O51" s="1268"/>
      <c r="P51" s="1268"/>
      <c r="Q51" s="1268"/>
      <c r="R51" s="1268"/>
      <c r="S51" s="1269"/>
      <c r="T51" s="1267"/>
      <c r="U51" s="1268"/>
      <c r="V51" s="1268"/>
      <c r="W51" s="1268"/>
      <c r="X51" s="1268"/>
      <c r="Y51" s="1268"/>
      <c r="Z51" s="1268"/>
      <c r="AA51" s="1268"/>
      <c r="AB51" s="1268"/>
      <c r="AC51" s="1268"/>
      <c r="AD51" s="1268"/>
      <c r="AE51" s="1269"/>
      <c r="AF51" s="1267"/>
      <c r="AG51" s="1268"/>
      <c r="AH51" s="1268"/>
      <c r="AI51" s="1268"/>
      <c r="AJ51" s="1268"/>
      <c r="AK51" s="1268"/>
      <c r="AL51" s="1268"/>
      <c r="AM51" s="1268"/>
      <c r="AN51" s="1268"/>
      <c r="AO51" s="1268"/>
      <c r="AP51" s="1268"/>
      <c r="AQ51" s="1269"/>
      <c r="AR51" s="1267"/>
      <c r="AS51" s="1268"/>
      <c r="AT51" s="1268"/>
      <c r="AU51" s="1268"/>
      <c r="AV51" s="1268"/>
      <c r="AW51" s="1268"/>
      <c r="AX51" s="1268"/>
      <c r="AY51" s="1268"/>
      <c r="AZ51" s="1268"/>
      <c r="BA51" s="1268"/>
      <c r="BB51" s="1268"/>
      <c r="BC51" s="1269"/>
      <c r="BD51" s="1267"/>
      <c r="BE51" s="1268"/>
      <c r="BF51" s="1268"/>
      <c r="BG51" s="1268"/>
      <c r="BH51" s="1268"/>
      <c r="BI51" s="1268"/>
      <c r="BJ51" s="1268"/>
      <c r="BK51" s="1268"/>
      <c r="BL51" s="1268"/>
      <c r="BM51" s="1268"/>
      <c r="BN51" s="1268"/>
      <c r="BO51" s="1269"/>
      <c r="BP51" s="1267"/>
      <c r="BQ51" s="1268"/>
      <c r="BR51" s="1268"/>
      <c r="BS51" s="1268"/>
      <c r="BT51" s="1268"/>
      <c r="BU51" s="1268"/>
      <c r="BV51" s="1268"/>
      <c r="BW51" s="1268"/>
      <c r="BX51" s="1268"/>
      <c r="BY51" s="1268"/>
      <c r="BZ51" s="1268"/>
      <c r="CA51" s="1269"/>
      <c r="CB51" s="1286">
        <f t="shared" si="7"/>
        <v>0</v>
      </c>
      <c r="CC51" s="1277">
        <f>IF($F51=Miscellaneous!$N$8,SUM($H51:CA51),0)</f>
        <v>0</v>
      </c>
      <c r="CD51" s="1277">
        <f>IF($F51=Miscellaneous!$N$8,IF($G51="Opex",SUMIF('Monthly Summary'!$C$75:BV$75,"",$H51:CA51),SUMIF('Monthly Summary'!$C$74:BV$74,"",$H51:CA51)),0)</f>
        <v>0</v>
      </c>
      <c r="CE51" s="1286">
        <f t="shared" si="8"/>
        <v>0</v>
      </c>
      <c r="CF51" s="1287"/>
      <c r="CG51" s="1277">
        <f>IF($F51=Miscellaneous!$N$9,SUM($H51:CA51),0)</f>
        <v>0</v>
      </c>
      <c r="CH51" s="1277">
        <f>IF($F51=Miscellaneous!$N$9,IF($G51="Opex",SUMIF('Monthly Summary'!$C$75:BV$75,"",$H51:CA51),SUMIF('Monthly Summary'!$C$74:BV$74,"",$H51:CA51)),0)</f>
        <v>0</v>
      </c>
      <c r="CI51" s="1286">
        <f t="shared" si="9"/>
        <v>0</v>
      </c>
      <c r="CJ51" s="1287"/>
      <c r="CK51" s="1277">
        <f>IF($F51=Miscellaneous!$N$7,SUM($H51:CA51),0)</f>
        <v>0</v>
      </c>
      <c r="CL51" s="1277">
        <f>IF($F51=Miscellaneous!$N$7,IF($G51="Opex",SUMIF('Monthly Summary'!$C$75:BV$75,"",$H51:CA51),SUMIF('Monthly Summary'!$C$74:BV$74,"",$H51:CA51)),0)</f>
        <v>0</v>
      </c>
      <c r="CM51" s="1286">
        <f t="shared" si="10"/>
        <v>0</v>
      </c>
      <c r="CN51" s="1287"/>
      <c r="CO51" s="1277">
        <f>IF($F51=Miscellaneous!$N$6,SUM($H51:CA51),0)</f>
        <v>0</v>
      </c>
      <c r="CP51" s="1277">
        <f>IF($F51=Miscellaneous!$N$6,IF($G51="Opex",SUMIF('Monthly Summary'!$C$75:BV$75,"",$H51:CA51),SUMIF('Monthly Summary'!$C$74:BV$74,"",$H51:CA51)),0)</f>
        <v>0</v>
      </c>
      <c r="CQ51" s="1286">
        <f t="shared" si="11"/>
        <v>0</v>
      </c>
      <c r="CR51" s="1287"/>
      <c r="CS51" s="1277">
        <f>IF($A51="Software",SUM($H51:CA51),0)</f>
        <v>0</v>
      </c>
      <c r="CT51" s="1277">
        <f>IF($A51="Software",IF($G51="Opex",SUMIF('Monthly Summary'!$C$75:BV$75,"",$H51:CA51),SUMIF('Monthly Summary'!$C$74:BV$74,"",$H51:CA51)),0)</f>
        <v>0</v>
      </c>
      <c r="CU51" s="1286">
        <f t="shared" si="12"/>
        <v>0</v>
      </c>
      <c r="CV51" s="1287"/>
      <c r="CW51" s="1277">
        <f t="shared" si="19"/>
        <v>0</v>
      </c>
      <c r="CX51" s="1277">
        <f t="shared" si="20"/>
        <v>0</v>
      </c>
      <c r="CY51" s="1286">
        <f t="shared" si="13"/>
        <v>0</v>
      </c>
      <c r="CZ51" s="1287"/>
      <c r="DA51" s="1286">
        <f>IF($G51="Opex",SUMIF('Monthly Summary'!$C$75:BV$75,"",$H51:CA51),SUMIF('Monthly Summary'!$C$74:BV$74,"",$H51:CA51))</f>
        <v>0</v>
      </c>
      <c r="DB51" s="1278">
        <f t="shared" si="21"/>
        <v>0</v>
      </c>
      <c r="DC51" s="1279">
        <f>IF(AND(OR($D51=Variables!A$38,$D51=Variables!A$43),$F51&lt;&gt;"N/A"),1,0)</f>
        <v>0</v>
      </c>
      <c r="DD51" s="820"/>
      <c r="DE51" s="1281" t="str">
        <f t="shared" si="15"/>
        <v/>
      </c>
      <c r="DF51" s="1282" t="str">
        <f t="shared" si="16"/>
        <v/>
      </c>
      <c r="DG51" s="1282" t="str">
        <f t="shared" si="17"/>
        <v/>
      </c>
      <c r="DH51" s="1282" t="str">
        <f>IF(ISNA(VLOOKUP(DE51,Miscellaneous!E:F,2,0)),"",VLOOKUP(DE51,Miscellaneous!E:F,2,0))</f>
        <v/>
      </c>
      <c r="DI51" s="1282" t="str">
        <f t="shared" si="18"/>
        <v/>
      </c>
      <c r="DJ51" s="1283">
        <f>IF($DI51="Opex",SUMIF('Monthly Summary'!$C$75:$N$75,"",H51:S51),SUMIF('Monthly Summary'!$C$74:$N$74,"",H51:S51))</f>
        <v>0</v>
      </c>
      <c r="DK51" s="1283">
        <f>IF($DI51="Opex",SUMIF('Monthly Summary'!$O$75:$Z$75,"",T51:AE51),SUMIF('Monthly Summary'!$O$74:$Z$74,"",T51:AE51))</f>
        <v>0</v>
      </c>
      <c r="DL51" s="1283">
        <f>IF($DI51="Opex",SUMIF('Monthly Summary'!$AA$75:$AL$75,"",AF51:AQ51),SUMIF('Monthly Summary'!$AA$74:$AL$74,"",AF51:AQ51))</f>
        <v>0</v>
      </c>
      <c r="DM51" s="1283">
        <f>IF($DI51="Opex",SUMIF('Monthly Summary'!$AM$75:$AX$75,"",AR51:BC51),SUMIF('Monthly Summary'!$AM$74:$AX$74,"",AR51:BC51))</f>
        <v>0</v>
      </c>
      <c r="DN51" s="1283">
        <f>IF($DI51="Opex",SUMIF('Monthly Summary'!$AY$75:$BJ$75,"",BD51:BO51),SUMIF('Monthly Summary'!$AY$74:$BJ$74,"",BD51:BO51))</f>
        <v>0</v>
      </c>
      <c r="DO51" s="1284">
        <f>IF($DI51="Opex",SUMIF('Monthly Summary'!$BK$75:$BV$75,"",BP51:CA51),SUMIF('Monthly Summary'!$BK$74:$BV$74,"",BP51:CA51))</f>
        <v>0</v>
      </c>
      <c r="DP51" s="1285">
        <f t="shared" si="14"/>
        <v>0</v>
      </c>
    </row>
    <row r="52" spans="1:120" s="813" customFormat="1">
      <c r="A52" s="1261"/>
      <c r="B52" s="1261"/>
      <c r="C52" s="1261"/>
      <c r="D52" s="1262"/>
      <c r="E52" s="1271"/>
      <c r="F52" s="1263"/>
      <c r="G52" s="1263"/>
      <c r="H52" s="1267"/>
      <c r="I52" s="1268"/>
      <c r="J52" s="1268"/>
      <c r="K52" s="1268"/>
      <c r="L52" s="1268"/>
      <c r="M52" s="1268"/>
      <c r="N52" s="1268"/>
      <c r="O52" s="1268"/>
      <c r="P52" s="1268"/>
      <c r="Q52" s="1268"/>
      <c r="R52" s="1268"/>
      <c r="S52" s="1269"/>
      <c r="T52" s="1267"/>
      <c r="U52" s="1268"/>
      <c r="V52" s="1268"/>
      <c r="W52" s="1268"/>
      <c r="X52" s="1268"/>
      <c r="Y52" s="1268"/>
      <c r="Z52" s="1268"/>
      <c r="AA52" s="1268"/>
      <c r="AB52" s="1268"/>
      <c r="AC52" s="1268"/>
      <c r="AD52" s="1268"/>
      <c r="AE52" s="1269"/>
      <c r="AF52" s="1267"/>
      <c r="AG52" s="1268"/>
      <c r="AH52" s="1268"/>
      <c r="AI52" s="1268"/>
      <c r="AJ52" s="1268"/>
      <c r="AK52" s="1268"/>
      <c r="AL52" s="1268"/>
      <c r="AM52" s="1268"/>
      <c r="AN52" s="1268"/>
      <c r="AO52" s="1268"/>
      <c r="AP52" s="1268"/>
      <c r="AQ52" s="1269"/>
      <c r="AR52" s="1267"/>
      <c r="AS52" s="1268"/>
      <c r="AT52" s="1268"/>
      <c r="AU52" s="1268"/>
      <c r="AV52" s="1268"/>
      <c r="AW52" s="1268"/>
      <c r="AX52" s="1268"/>
      <c r="AY52" s="1268"/>
      <c r="AZ52" s="1268"/>
      <c r="BA52" s="1268"/>
      <c r="BB52" s="1268"/>
      <c r="BC52" s="1269"/>
      <c r="BD52" s="1267"/>
      <c r="BE52" s="1268"/>
      <c r="BF52" s="1268"/>
      <c r="BG52" s="1268"/>
      <c r="BH52" s="1268"/>
      <c r="BI52" s="1268"/>
      <c r="BJ52" s="1268"/>
      <c r="BK52" s="1268"/>
      <c r="BL52" s="1268"/>
      <c r="BM52" s="1268"/>
      <c r="BN52" s="1268"/>
      <c r="BO52" s="1269"/>
      <c r="BP52" s="1267"/>
      <c r="BQ52" s="1268"/>
      <c r="BR52" s="1268"/>
      <c r="BS52" s="1268"/>
      <c r="BT52" s="1268"/>
      <c r="BU52" s="1268"/>
      <c r="BV52" s="1268"/>
      <c r="BW52" s="1268"/>
      <c r="BX52" s="1268"/>
      <c r="BY52" s="1268"/>
      <c r="BZ52" s="1268"/>
      <c r="CA52" s="1269"/>
      <c r="CB52" s="1286">
        <f t="shared" si="7"/>
        <v>0</v>
      </c>
      <c r="CC52" s="1277">
        <f>IF($F52=Miscellaneous!$N$8,SUM($H52:CA52),0)</f>
        <v>0</v>
      </c>
      <c r="CD52" s="1277">
        <f>IF($F52=Miscellaneous!$N$8,IF($G52="Opex",SUMIF('Monthly Summary'!$C$75:BV$75,"",$H52:CA52),SUMIF('Monthly Summary'!$C$74:BV$74,"",$H52:CA52)),0)</f>
        <v>0</v>
      </c>
      <c r="CE52" s="1286">
        <f t="shared" si="8"/>
        <v>0</v>
      </c>
      <c r="CF52" s="1287"/>
      <c r="CG52" s="1277">
        <f>IF($F52=Miscellaneous!$N$9,SUM($H52:CA52),0)</f>
        <v>0</v>
      </c>
      <c r="CH52" s="1277">
        <f>IF($F52=Miscellaneous!$N$9,IF($G52="Opex",SUMIF('Monthly Summary'!$C$75:BV$75,"",$H52:CA52),SUMIF('Monthly Summary'!$C$74:BV$74,"",$H52:CA52)),0)</f>
        <v>0</v>
      </c>
      <c r="CI52" s="1286">
        <f t="shared" si="9"/>
        <v>0</v>
      </c>
      <c r="CJ52" s="1287"/>
      <c r="CK52" s="1277">
        <f>IF($F52=Miscellaneous!$N$7,SUM($H52:CA52),0)</f>
        <v>0</v>
      </c>
      <c r="CL52" s="1277">
        <f>IF($F52=Miscellaneous!$N$7,IF($G52="Opex",SUMIF('Monthly Summary'!$C$75:BV$75,"",$H52:CA52),SUMIF('Monthly Summary'!$C$74:BV$74,"",$H52:CA52)),0)</f>
        <v>0</v>
      </c>
      <c r="CM52" s="1286">
        <f t="shared" si="10"/>
        <v>0</v>
      </c>
      <c r="CN52" s="1287"/>
      <c r="CO52" s="1277">
        <f>IF($F52=Miscellaneous!$N$6,SUM($H52:CA52),0)</f>
        <v>0</v>
      </c>
      <c r="CP52" s="1277">
        <f>IF($F52=Miscellaneous!$N$6,IF($G52="Opex",SUMIF('Monthly Summary'!$C$75:BV$75,"",$H52:CA52),SUMIF('Monthly Summary'!$C$74:BV$74,"",$H52:CA52)),0)</f>
        <v>0</v>
      </c>
      <c r="CQ52" s="1286">
        <f t="shared" si="11"/>
        <v>0</v>
      </c>
      <c r="CR52" s="1287"/>
      <c r="CS52" s="1277">
        <f>IF($A52="Software",SUM($H52:CA52),0)</f>
        <v>0</v>
      </c>
      <c r="CT52" s="1277">
        <f>IF($A52="Software",IF($G52="Opex",SUMIF('Monthly Summary'!$C$75:BV$75,"",$H52:CA52),SUMIF('Monthly Summary'!$C$74:BV$74,"",$H52:CA52)),0)</f>
        <v>0</v>
      </c>
      <c r="CU52" s="1286">
        <f t="shared" si="12"/>
        <v>0</v>
      </c>
      <c r="CV52" s="1287"/>
      <c r="CW52" s="1277">
        <f t="shared" si="19"/>
        <v>0</v>
      </c>
      <c r="CX52" s="1277">
        <f t="shared" si="20"/>
        <v>0</v>
      </c>
      <c r="CY52" s="1286">
        <f t="shared" si="13"/>
        <v>0</v>
      </c>
      <c r="CZ52" s="1287"/>
      <c r="DA52" s="1286">
        <f>IF($G52="Opex",SUMIF('Monthly Summary'!$C$75:BV$75,"",$H52:CA52),SUMIF('Monthly Summary'!$C$74:BV$74,"",$H52:CA52))</f>
        <v>0</v>
      </c>
      <c r="DB52" s="1278">
        <f t="shared" si="21"/>
        <v>0</v>
      </c>
      <c r="DC52" s="1279">
        <f>IF(AND(OR($D52=Variables!A$38,$D52=Variables!A$43),$F52&lt;&gt;"N/A"),1,0)</f>
        <v>0</v>
      </c>
      <c r="DD52" s="820"/>
      <c r="DE52" s="1281" t="str">
        <f t="shared" si="15"/>
        <v/>
      </c>
      <c r="DF52" s="1282" t="str">
        <f t="shared" si="16"/>
        <v/>
      </c>
      <c r="DG52" s="1282" t="str">
        <f t="shared" si="17"/>
        <v/>
      </c>
      <c r="DH52" s="1282" t="str">
        <f>IF(ISNA(VLOOKUP(DE52,Miscellaneous!E:F,2,0)),"",VLOOKUP(DE52,Miscellaneous!E:F,2,0))</f>
        <v/>
      </c>
      <c r="DI52" s="1282" t="str">
        <f t="shared" si="18"/>
        <v/>
      </c>
      <c r="DJ52" s="1283">
        <f>IF($DI52="Opex",SUMIF('Monthly Summary'!$C$75:$N$75,"",H52:S52),SUMIF('Monthly Summary'!$C$74:$N$74,"",H52:S52))</f>
        <v>0</v>
      </c>
      <c r="DK52" s="1283">
        <f>IF($DI52="Opex",SUMIF('Monthly Summary'!$O$75:$Z$75,"",T52:AE52),SUMIF('Monthly Summary'!$O$74:$Z$74,"",T52:AE52))</f>
        <v>0</v>
      </c>
      <c r="DL52" s="1283">
        <f>IF($DI52="Opex",SUMIF('Monthly Summary'!$AA$75:$AL$75,"",AF52:AQ52),SUMIF('Monthly Summary'!$AA$74:$AL$74,"",AF52:AQ52))</f>
        <v>0</v>
      </c>
      <c r="DM52" s="1283">
        <f>IF($DI52="Opex",SUMIF('Monthly Summary'!$AM$75:$AX$75,"",AR52:BC52),SUMIF('Monthly Summary'!$AM$74:$AX$74,"",AR52:BC52))</f>
        <v>0</v>
      </c>
      <c r="DN52" s="1283">
        <f>IF($DI52="Opex",SUMIF('Monthly Summary'!$AY$75:$BJ$75,"",BD52:BO52),SUMIF('Monthly Summary'!$AY$74:$BJ$74,"",BD52:BO52))</f>
        <v>0</v>
      </c>
      <c r="DO52" s="1284">
        <f>IF($DI52="Opex",SUMIF('Monthly Summary'!$BK$75:$BV$75,"",BP52:CA52),SUMIF('Monthly Summary'!$BK$74:$BV$74,"",BP52:CA52))</f>
        <v>0</v>
      </c>
      <c r="DP52" s="1285">
        <f t="shared" si="14"/>
        <v>0</v>
      </c>
    </row>
    <row r="53" spans="1:120" s="813" customFormat="1">
      <c r="A53" s="1261"/>
      <c r="B53" s="1261"/>
      <c r="C53" s="1261"/>
      <c r="D53" s="1262"/>
      <c r="E53" s="1270"/>
      <c r="F53" s="1263"/>
      <c r="G53" s="1263"/>
      <c r="H53" s="1267"/>
      <c r="I53" s="1268"/>
      <c r="J53" s="1268"/>
      <c r="K53" s="1268"/>
      <c r="L53" s="1268"/>
      <c r="M53" s="1268"/>
      <c r="N53" s="1268"/>
      <c r="O53" s="1268"/>
      <c r="P53" s="1268"/>
      <c r="Q53" s="1268"/>
      <c r="R53" s="1268"/>
      <c r="S53" s="1269"/>
      <c r="T53" s="1267"/>
      <c r="U53" s="1268"/>
      <c r="V53" s="1268"/>
      <c r="W53" s="1268"/>
      <c r="X53" s="1268"/>
      <c r="Y53" s="1268"/>
      <c r="Z53" s="1268"/>
      <c r="AA53" s="1268"/>
      <c r="AB53" s="1268"/>
      <c r="AC53" s="1268"/>
      <c r="AD53" s="1268"/>
      <c r="AE53" s="1269"/>
      <c r="AF53" s="1267"/>
      <c r="AG53" s="1268"/>
      <c r="AH53" s="1268"/>
      <c r="AI53" s="1268"/>
      <c r="AJ53" s="1268"/>
      <c r="AK53" s="1268"/>
      <c r="AL53" s="1268"/>
      <c r="AM53" s="1268"/>
      <c r="AN53" s="1268"/>
      <c r="AO53" s="1268"/>
      <c r="AP53" s="1268"/>
      <c r="AQ53" s="1269"/>
      <c r="AR53" s="1267"/>
      <c r="AS53" s="1268"/>
      <c r="AT53" s="1268"/>
      <c r="AU53" s="1268"/>
      <c r="AV53" s="1268"/>
      <c r="AW53" s="1268"/>
      <c r="AX53" s="1268"/>
      <c r="AY53" s="1268"/>
      <c r="AZ53" s="1268"/>
      <c r="BA53" s="1268"/>
      <c r="BB53" s="1268"/>
      <c r="BC53" s="1269"/>
      <c r="BD53" s="1267"/>
      <c r="BE53" s="1268"/>
      <c r="BF53" s="1268"/>
      <c r="BG53" s="1268"/>
      <c r="BH53" s="1268"/>
      <c r="BI53" s="1268"/>
      <c r="BJ53" s="1268"/>
      <c r="BK53" s="1268"/>
      <c r="BL53" s="1268"/>
      <c r="BM53" s="1268"/>
      <c r="BN53" s="1268"/>
      <c r="BO53" s="1269"/>
      <c r="BP53" s="1267"/>
      <c r="BQ53" s="1268"/>
      <c r="BR53" s="1268"/>
      <c r="BS53" s="1268"/>
      <c r="BT53" s="1268"/>
      <c r="BU53" s="1268"/>
      <c r="BV53" s="1268"/>
      <c r="BW53" s="1268"/>
      <c r="BX53" s="1268"/>
      <c r="BY53" s="1268"/>
      <c r="BZ53" s="1268"/>
      <c r="CA53" s="1269"/>
      <c r="CB53" s="1286">
        <f t="shared" si="7"/>
        <v>0</v>
      </c>
      <c r="CC53" s="1277">
        <f>IF($F53=Miscellaneous!$N$8,SUM($H53:CA53),0)</f>
        <v>0</v>
      </c>
      <c r="CD53" s="1277">
        <f>IF($F53=Miscellaneous!$N$8,IF($G53="Opex",SUMIF('Monthly Summary'!$C$75:BV$75,"",$H53:CA53),SUMIF('Monthly Summary'!$C$74:BV$74,"",$H53:CA53)),0)</f>
        <v>0</v>
      </c>
      <c r="CE53" s="1286">
        <f t="shared" si="8"/>
        <v>0</v>
      </c>
      <c r="CF53" s="1287"/>
      <c r="CG53" s="1277">
        <f>IF($F53=Miscellaneous!$N$9,SUM($H53:CA53),0)</f>
        <v>0</v>
      </c>
      <c r="CH53" s="1277">
        <f>IF($F53=Miscellaneous!$N$9,IF($G53="Opex",SUMIF('Monthly Summary'!$C$75:BV$75,"",$H53:CA53),SUMIF('Monthly Summary'!$C$74:BV$74,"",$H53:CA53)),0)</f>
        <v>0</v>
      </c>
      <c r="CI53" s="1286">
        <f t="shared" si="9"/>
        <v>0</v>
      </c>
      <c r="CJ53" s="1287"/>
      <c r="CK53" s="1277">
        <f>IF($F53=Miscellaneous!$N$7,SUM($H53:CA53),0)</f>
        <v>0</v>
      </c>
      <c r="CL53" s="1277">
        <f>IF($F53=Miscellaneous!$N$7,IF($G53="Opex",SUMIF('Monthly Summary'!$C$75:BV$75,"",$H53:CA53),SUMIF('Monthly Summary'!$C$74:BV$74,"",$H53:CA53)),0)</f>
        <v>0</v>
      </c>
      <c r="CM53" s="1286">
        <f t="shared" si="10"/>
        <v>0</v>
      </c>
      <c r="CN53" s="1287"/>
      <c r="CO53" s="1277">
        <f>IF($F53=Miscellaneous!$N$6,SUM($H53:CA53),0)</f>
        <v>0</v>
      </c>
      <c r="CP53" s="1277">
        <f>IF($F53=Miscellaneous!$N$6,IF($G53="Opex",SUMIF('Monthly Summary'!$C$75:BV$75,"",$H53:CA53),SUMIF('Monthly Summary'!$C$74:BV$74,"",$H53:CA53)),0)</f>
        <v>0</v>
      </c>
      <c r="CQ53" s="1286">
        <f t="shared" si="11"/>
        <v>0</v>
      </c>
      <c r="CR53" s="1287"/>
      <c r="CS53" s="1277">
        <f>IF($A53="Software",SUM($H53:CA53),0)</f>
        <v>0</v>
      </c>
      <c r="CT53" s="1277">
        <f>IF($A53="Software",IF($G53="Opex",SUMIF('Monthly Summary'!$C$75:BV$75,"",$H53:CA53),SUMIF('Monthly Summary'!$C$74:BV$74,"",$H53:CA53)),0)</f>
        <v>0</v>
      </c>
      <c r="CU53" s="1286">
        <f t="shared" si="12"/>
        <v>0</v>
      </c>
      <c r="CV53" s="1287"/>
      <c r="CW53" s="1277">
        <f t="shared" si="19"/>
        <v>0</v>
      </c>
      <c r="CX53" s="1277">
        <f t="shared" si="20"/>
        <v>0</v>
      </c>
      <c r="CY53" s="1286">
        <f t="shared" si="13"/>
        <v>0</v>
      </c>
      <c r="CZ53" s="1287"/>
      <c r="DA53" s="1286">
        <f>IF($G53="Opex",SUMIF('Monthly Summary'!$C$75:BV$75,"",$H53:CA53),SUMIF('Monthly Summary'!$C$74:BV$74,"",$H53:CA53))</f>
        <v>0</v>
      </c>
      <c r="DB53" s="1278">
        <f t="shared" si="21"/>
        <v>0</v>
      </c>
      <c r="DC53" s="1279">
        <f>IF(AND(OR($D53=Variables!A$38,$D53=Variables!A$43),$F53&lt;&gt;"N/A"),1,0)</f>
        <v>0</v>
      </c>
      <c r="DD53" s="820"/>
      <c r="DE53" s="1281" t="str">
        <f t="shared" si="15"/>
        <v/>
      </c>
      <c r="DF53" s="1282" t="str">
        <f t="shared" si="16"/>
        <v/>
      </c>
      <c r="DG53" s="1282" t="str">
        <f t="shared" si="17"/>
        <v/>
      </c>
      <c r="DH53" s="1282" t="str">
        <f>IF(ISNA(VLOOKUP(DE53,Miscellaneous!E:F,2,0)),"",VLOOKUP(DE53,Miscellaneous!E:F,2,0))</f>
        <v/>
      </c>
      <c r="DI53" s="1282" t="str">
        <f t="shared" si="18"/>
        <v/>
      </c>
      <c r="DJ53" s="1283">
        <f>IF($DI53="Opex",SUMIF('Monthly Summary'!$C$75:$N$75,"",H53:S53),SUMIF('Monthly Summary'!$C$74:$N$74,"",H53:S53))</f>
        <v>0</v>
      </c>
      <c r="DK53" s="1283">
        <f>IF($DI53="Opex",SUMIF('Monthly Summary'!$O$75:$Z$75,"",T53:AE53),SUMIF('Monthly Summary'!$O$74:$Z$74,"",T53:AE53))</f>
        <v>0</v>
      </c>
      <c r="DL53" s="1283">
        <f>IF($DI53="Opex",SUMIF('Monthly Summary'!$AA$75:$AL$75,"",AF53:AQ53),SUMIF('Monthly Summary'!$AA$74:$AL$74,"",AF53:AQ53))</f>
        <v>0</v>
      </c>
      <c r="DM53" s="1283">
        <f>IF($DI53="Opex",SUMIF('Monthly Summary'!$AM$75:$AX$75,"",AR53:BC53),SUMIF('Monthly Summary'!$AM$74:$AX$74,"",AR53:BC53))</f>
        <v>0</v>
      </c>
      <c r="DN53" s="1283">
        <f>IF($DI53="Opex",SUMIF('Monthly Summary'!$AY$75:$BJ$75,"",BD53:BO53),SUMIF('Monthly Summary'!$AY$74:$BJ$74,"",BD53:BO53))</f>
        <v>0</v>
      </c>
      <c r="DO53" s="1284">
        <f>IF($DI53="Opex",SUMIF('Monthly Summary'!$BK$75:$BV$75,"",BP53:CA53),SUMIF('Monthly Summary'!$BK$74:$BV$74,"",BP53:CA53))</f>
        <v>0</v>
      </c>
      <c r="DP53" s="1285">
        <f t="shared" si="14"/>
        <v>0</v>
      </c>
    </row>
    <row r="54" spans="1:120" s="813" customFormat="1">
      <c r="A54" s="1261"/>
      <c r="B54" s="1261"/>
      <c r="C54" s="1261"/>
      <c r="D54" s="1262"/>
      <c r="E54" s="1270"/>
      <c r="F54" s="1263"/>
      <c r="G54" s="1263"/>
      <c r="H54" s="1267"/>
      <c r="I54" s="1268"/>
      <c r="J54" s="1268"/>
      <c r="K54" s="1268"/>
      <c r="L54" s="1268"/>
      <c r="M54" s="1268"/>
      <c r="N54" s="1268"/>
      <c r="O54" s="1268"/>
      <c r="P54" s="1268"/>
      <c r="Q54" s="1268"/>
      <c r="R54" s="1268"/>
      <c r="S54" s="1269"/>
      <c r="T54" s="1267"/>
      <c r="U54" s="1268"/>
      <c r="V54" s="1268"/>
      <c r="W54" s="1268"/>
      <c r="X54" s="1268"/>
      <c r="Y54" s="1268"/>
      <c r="Z54" s="1268"/>
      <c r="AA54" s="1268"/>
      <c r="AB54" s="1268"/>
      <c r="AC54" s="1268"/>
      <c r="AD54" s="1268"/>
      <c r="AE54" s="1269"/>
      <c r="AF54" s="1267"/>
      <c r="AG54" s="1268"/>
      <c r="AH54" s="1268"/>
      <c r="AI54" s="1268"/>
      <c r="AJ54" s="1268"/>
      <c r="AK54" s="1268"/>
      <c r="AL54" s="1268"/>
      <c r="AM54" s="1268"/>
      <c r="AN54" s="1268"/>
      <c r="AO54" s="1268"/>
      <c r="AP54" s="1268"/>
      <c r="AQ54" s="1269"/>
      <c r="AR54" s="1267"/>
      <c r="AS54" s="1268"/>
      <c r="AT54" s="1268"/>
      <c r="AU54" s="1268"/>
      <c r="AV54" s="1268"/>
      <c r="AW54" s="1268"/>
      <c r="AX54" s="1268"/>
      <c r="AY54" s="1268"/>
      <c r="AZ54" s="1268"/>
      <c r="BA54" s="1268"/>
      <c r="BB54" s="1268"/>
      <c r="BC54" s="1269"/>
      <c r="BD54" s="1267"/>
      <c r="BE54" s="1268"/>
      <c r="BF54" s="1268"/>
      <c r="BG54" s="1268"/>
      <c r="BH54" s="1268"/>
      <c r="BI54" s="1268"/>
      <c r="BJ54" s="1268"/>
      <c r="BK54" s="1268"/>
      <c r="BL54" s="1268"/>
      <c r="BM54" s="1268"/>
      <c r="BN54" s="1268"/>
      <c r="BO54" s="1269"/>
      <c r="BP54" s="1267"/>
      <c r="BQ54" s="1268"/>
      <c r="BR54" s="1268"/>
      <c r="BS54" s="1268"/>
      <c r="BT54" s="1268"/>
      <c r="BU54" s="1268"/>
      <c r="BV54" s="1268"/>
      <c r="BW54" s="1268"/>
      <c r="BX54" s="1268"/>
      <c r="BY54" s="1268"/>
      <c r="BZ54" s="1268"/>
      <c r="CA54" s="1269"/>
      <c r="CB54" s="1286">
        <f t="shared" si="7"/>
        <v>0</v>
      </c>
      <c r="CC54" s="1277">
        <f>IF($F54=Miscellaneous!$N$8,SUM($H54:CA54),0)</f>
        <v>0</v>
      </c>
      <c r="CD54" s="1277">
        <f>IF($F54=Miscellaneous!$N$8,IF($G54="Opex",SUMIF('Monthly Summary'!$C$75:BV$75,"",$H54:CA54),SUMIF('Monthly Summary'!$C$74:BV$74,"",$H54:CA54)),0)</f>
        <v>0</v>
      </c>
      <c r="CE54" s="1286">
        <f t="shared" si="8"/>
        <v>0</v>
      </c>
      <c r="CF54" s="1287"/>
      <c r="CG54" s="1277">
        <f>IF($F54=Miscellaneous!$N$9,SUM($H54:CA54),0)</f>
        <v>0</v>
      </c>
      <c r="CH54" s="1277">
        <f>IF($F54=Miscellaneous!$N$9,IF($G54="Opex",SUMIF('Monthly Summary'!$C$75:BV$75,"",$H54:CA54),SUMIF('Monthly Summary'!$C$74:BV$74,"",$H54:CA54)),0)</f>
        <v>0</v>
      </c>
      <c r="CI54" s="1286">
        <f t="shared" si="9"/>
        <v>0</v>
      </c>
      <c r="CJ54" s="1287"/>
      <c r="CK54" s="1277">
        <f>IF($F54=Miscellaneous!$N$7,SUM($H54:CA54),0)</f>
        <v>0</v>
      </c>
      <c r="CL54" s="1277">
        <f>IF($F54=Miscellaneous!$N$7,IF($G54="Opex",SUMIF('Monthly Summary'!$C$75:BV$75,"",$H54:CA54),SUMIF('Monthly Summary'!$C$74:BV$74,"",$H54:CA54)),0)</f>
        <v>0</v>
      </c>
      <c r="CM54" s="1286">
        <f t="shared" si="10"/>
        <v>0</v>
      </c>
      <c r="CN54" s="1287"/>
      <c r="CO54" s="1277">
        <f>IF($F54=Miscellaneous!$N$6,SUM($H54:CA54),0)</f>
        <v>0</v>
      </c>
      <c r="CP54" s="1277">
        <f>IF($F54=Miscellaneous!$N$6,IF($G54="Opex",SUMIF('Monthly Summary'!$C$75:BV$75,"",$H54:CA54),SUMIF('Monthly Summary'!$C$74:BV$74,"",$H54:CA54)),0)</f>
        <v>0</v>
      </c>
      <c r="CQ54" s="1286">
        <f t="shared" si="11"/>
        <v>0</v>
      </c>
      <c r="CR54" s="1287"/>
      <c r="CS54" s="1277">
        <f>IF($A54="Software",SUM($H54:CA54),0)</f>
        <v>0</v>
      </c>
      <c r="CT54" s="1277">
        <f>IF($A54="Software",IF($G54="Opex",SUMIF('Monthly Summary'!$C$75:BV$75,"",$H54:CA54),SUMIF('Monthly Summary'!$C$74:BV$74,"",$H54:CA54)),0)</f>
        <v>0</v>
      </c>
      <c r="CU54" s="1286">
        <f t="shared" si="12"/>
        <v>0</v>
      </c>
      <c r="CV54" s="1287"/>
      <c r="CW54" s="1277">
        <f t="shared" si="19"/>
        <v>0</v>
      </c>
      <c r="CX54" s="1277">
        <f t="shared" si="20"/>
        <v>0</v>
      </c>
      <c r="CY54" s="1286">
        <f t="shared" si="13"/>
        <v>0</v>
      </c>
      <c r="CZ54" s="1287"/>
      <c r="DA54" s="1286">
        <f>IF($G54="Opex",SUMIF('Monthly Summary'!$C$75:BV$75,"",$H54:CA54),SUMIF('Monthly Summary'!$C$74:BV$74,"",$H54:CA54))</f>
        <v>0</v>
      </c>
      <c r="DB54" s="1278">
        <f t="shared" si="21"/>
        <v>0</v>
      </c>
      <c r="DC54" s="1279">
        <f>IF(AND(OR($D54=Variables!A$38,$D54=Variables!A$43),$F54&lt;&gt;"N/A"),1,0)</f>
        <v>0</v>
      </c>
      <c r="DD54" s="820"/>
      <c r="DE54" s="1281" t="str">
        <f t="shared" si="15"/>
        <v/>
      </c>
      <c r="DF54" s="1282" t="str">
        <f t="shared" si="16"/>
        <v/>
      </c>
      <c r="DG54" s="1282" t="str">
        <f t="shared" si="17"/>
        <v/>
      </c>
      <c r="DH54" s="1282" t="str">
        <f>IF(ISNA(VLOOKUP(DE54,Miscellaneous!E:F,2,0)),"",VLOOKUP(DE54,Miscellaneous!E:F,2,0))</f>
        <v/>
      </c>
      <c r="DI54" s="1282" t="str">
        <f t="shared" si="18"/>
        <v/>
      </c>
      <c r="DJ54" s="1283">
        <f>IF($DI54="Opex",SUMIF('Monthly Summary'!$C$75:$N$75,"",H54:S54),SUMIF('Monthly Summary'!$C$74:$N$74,"",H54:S54))</f>
        <v>0</v>
      </c>
      <c r="DK54" s="1283">
        <f>IF($DI54="Opex",SUMIF('Monthly Summary'!$O$75:$Z$75,"",T54:AE54),SUMIF('Monthly Summary'!$O$74:$Z$74,"",T54:AE54))</f>
        <v>0</v>
      </c>
      <c r="DL54" s="1283">
        <f>IF($DI54="Opex",SUMIF('Monthly Summary'!$AA$75:$AL$75,"",AF54:AQ54),SUMIF('Monthly Summary'!$AA$74:$AL$74,"",AF54:AQ54))</f>
        <v>0</v>
      </c>
      <c r="DM54" s="1283">
        <f>IF($DI54="Opex",SUMIF('Monthly Summary'!$AM$75:$AX$75,"",AR54:BC54),SUMIF('Monthly Summary'!$AM$74:$AX$74,"",AR54:BC54))</f>
        <v>0</v>
      </c>
      <c r="DN54" s="1283">
        <f>IF($DI54="Opex",SUMIF('Monthly Summary'!$AY$75:$BJ$75,"",BD54:BO54),SUMIF('Monthly Summary'!$AY$74:$BJ$74,"",BD54:BO54))</f>
        <v>0</v>
      </c>
      <c r="DO54" s="1284">
        <f>IF($DI54="Opex",SUMIF('Monthly Summary'!$BK$75:$BV$75,"",BP54:CA54),SUMIF('Monthly Summary'!$BK$74:$BV$74,"",BP54:CA54))</f>
        <v>0</v>
      </c>
      <c r="DP54" s="1285">
        <f t="shared" si="14"/>
        <v>0</v>
      </c>
    </row>
    <row r="55" spans="1:120" s="813" customFormat="1">
      <c r="A55" s="1261"/>
      <c r="B55" s="1261"/>
      <c r="C55" s="1261"/>
      <c r="D55" s="1262"/>
      <c r="E55" s="1270"/>
      <c r="F55" s="1263"/>
      <c r="G55" s="1263"/>
      <c r="H55" s="1267"/>
      <c r="I55" s="1268"/>
      <c r="J55" s="1268"/>
      <c r="K55" s="1268"/>
      <c r="L55" s="1268"/>
      <c r="M55" s="1268"/>
      <c r="N55" s="1268"/>
      <c r="O55" s="1268"/>
      <c r="P55" s="1268"/>
      <c r="Q55" s="1268"/>
      <c r="R55" s="1268"/>
      <c r="S55" s="1269"/>
      <c r="T55" s="1267"/>
      <c r="U55" s="1268"/>
      <c r="V55" s="1268"/>
      <c r="W55" s="1268"/>
      <c r="X55" s="1268"/>
      <c r="Y55" s="1268"/>
      <c r="Z55" s="1268"/>
      <c r="AA55" s="1268"/>
      <c r="AB55" s="1268"/>
      <c r="AC55" s="1268"/>
      <c r="AD55" s="1268"/>
      <c r="AE55" s="1269"/>
      <c r="AF55" s="1267"/>
      <c r="AG55" s="1268"/>
      <c r="AH55" s="1268"/>
      <c r="AI55" s="1268"/>
      <c r="AJ55" s="1268"/>
      <c r="AK55" s="1268"/>
      <c r="AL55" s="1268"/>
      <c r="AM55" s="1268"/>
      <c r="AN55" s="1268"/>
      <c r="AO55" s="1268"/>
      <c r="AP55" s="1268"/>
      <c r="AQ55" s="1269"/>
      <c r="AR55" s="1267"/>
      <c r="AS55" s="1268"/>
      <c r="AT55" s="1268"/>
      <c r="AU55" s="1268"/>
      <c r="AV55" s="1268"/>
      <c r="AW55" s="1268"/>
      <c r="AX55" s="1268"/>
      <c r="AY55" s="1268"/>
      <c r="AZ55" s="1268"/>
      <c r="BA55" s="1268"/>
      <c r="BB55" s="1268"/>
      <c r="BC55" s="1269"/>
      <c r="BD55" s="1267"/>
      <c r="BE55" s="1268"/>
      <c r="BF55" s="1268"/>
      <c r="BG55" s="1268"/>
      <c r="BH55" s="1268"/>
      <c r="BI55" s="1268"/>
      <c r="BJ55" s="1268"/>
      <c r="BK55" s="1268"/>
      <c r="BL55" s="1268"/>
      <c r="BM55" s="1268"/>
      <c r="BN55" s="1268"/>
      <c r="BO55" s="1269"/>
      <c r="BP55" s="1267"/>
      <c r="BQ55" s="1268"/>
      <c r="BR55" s="1268"/>
      <c r="BS55" s="1268"/>
      <c r="BT55" s="1268"/>
      <c r="BU55" s="1268"/>
      <c r="BV55" s="1268"/>
      <c r="BW55" s="1268"/>
      <c r="BX55" s="1268"/>
      <c r="BY55" s="1268"/>
      <c r="BZ55" s="1268"/>
      <c r="CA55" s="1269"/>
      <c r="CB55" s="1286">
        <f t="shared" si="7"/>
        <v>0</v>
      </c>
      <c r="CC55" s="1277">
        <f>IF($F55=Miscellaneous!$N$8,SUM($H55:CA55),0)</f>
        <v>0</v>
      </c>
      <c r="CD55" s="1277">
        <f>IF($F55=Miscellaneous!$N$8,IF($G55="Opex",SUMIF('Monthly Summary'!$C$75:BV$75,"",$H55:CA55),SUMIF('Monthly Summary'!$C$74:BV$74,"",$H55:CA55)),0)</f>
        <v>0</v>
      </c>
      <c r="CE55" s="1286">
        <f t="shared" si="8"/>
        <v>0</v>
      </c>
      <c r="CF55" s="1287"/>
      <c r="CG55" s="1277">
        <f>IF($F55=Miscellaneous!$N$9,SUM($H55:CA55),0)</f>
        <v>0</v>
      </c>
      <c r="CH55" s="1277">
        <f>IF($F55=Miscellaneous!$N$9,IF($G55="Opex",SUMIF('Monthly Summary'!$C$75:BV$75,"",$H55:CA55),SUMIF('Monthly Summary'!$C$74:BV$74,"",$H55:CA55)),0)</f>
        <v>0</v>
      </c>
      <c r="CI55" s="1286">
        <f t="shared" si="9"/>
        <v>0</v>
      </c>
      <c r="CJ55" s="1287"/>
      <c r="CK55" s="1277">
        <f>IF($F55=Miscellaneous!$N$7,SUM($H55:CA55),0)</f>
        <v>0</v>
      </c>
      <c r="CL55" s="1277">
        <f>IF($F55=Miscellaneous!$N$7,IF($G55="Opex",SUMIF('Monthly Summary'!$C$75:BV$75,"",$H55:CA55),SUMIF('Monthly Summary'!$C$74:BV$74,"",$H55:CA55)),0)</f>
        <v>0</v>
      </c>
      <c r="CM55" s="1286">
        <f t="shared" si="10"/>
        <v>0</v>
      </c>
      <c r="CN55" s="1287"/>
      <c r="CO55" s="1277">
        <f>IF($F55=Miscellaneous!$N$6,SUM($H55:CA55),0)</f>
        <v>0</v>
      </c>
      <c r="CP55" s="1277">
        <f>IF($F55=Miscellaneous!$N$6,IF($G55="Opex",SUMIF('Monthly Summary'!$C$75:BV$75,"",$H55:CA55),SUMIF('Monthly Summary'!$C$74:BV$74,"",$H55:CA55)),0)</f>
        <v>0</v>
      </c>
      <c r="CQ55" s="1286">
        <f t="shared" si="11"/>
        <v>0</v>
      </c>
      <c r="CR55" s="1287"/>
      <c r="CS55" s="1277">
        <f>IF($A55="Software",SUM($H55:CA55),0)</f>
        <v>0</v>
      </c>
      <c r="CT55" s="1277">
        <f>IF($A55="Software",IF($G55="Opex",SUMIF('Monthly Summary'!$C$75:BV$75,"",$H55:CA55),SUMIF('Monthly Summary'!$C$74:BV$74,"",$H55:CA55)),0)</f>
        <v>0</v>
      </c>
      <c r="CU55" s="1286">
        <f t="shared" si="12"/>
        <v>0</v>
      </c>
      <c r="CV55" s="1287"/>
      <c r="CW55" s="1277">
        <f t="shared" si="19"/>
        <v>0</v>
      </c>
      <c r="CX55" s="1277">
        <f t="shared" si="20"/>
        <v>0</v>
      </c>
      <c r="CY55" s="1286">
        <f t="shared" si="13"/>
        <v>0</v>
      </c>
      <c r="CZ55" s="1287"/>
      <c r="DA55" s="1286">
        <f>IF($G55="Opex",SUMIF('Monthly Summary'!$C$75:BV$75,"",$H55:CA55),SUMIF('Monthly Summary'!$C$74:BV$74,"",$H55:CA55))</f>
        <v>0</v>
      </c>
      <c r="DB55" s="1278">
        <f t="shared" si="21"/>
        <v>0</v>
      </c>
      <c r="DC55" s="1279">
        <f>IF(AND(OR($D55=Variables!A$38,$D55=Variables!A$43),$F55&lt;&gt;"N/A"),1,0)</f>
        <v>0</v>
      </c>
      <c r="DD55" s="820"/>
      <c r="DE55" s="1281" t="str">
        <f t="shared" si="15"/>
        <v/>
      </c>
      <c r="DF55" s="1282" t="str">
        <f t="shared" si="16"/>
        <v/>
      </c>
      <c r="DG55" s="1282" t="str">
        <f t="shared" si="17"/>
        <v/>
      </c>
      <c r="DH55" s="1282" t="str">
        <f>IF(ISNA(VLOOKUP(DE55,Miscellaneous!E:F,2,0)),"",VLOOKUP(DE55,Miscellaneous!E:F,2,0))</f>
        <v/>
      </c>
      <c r="DI55" s="1282" t="str">
        <f t="shared" si="18"/>
        <v/>
      </c>
      <c r="DJ55" s="1283">
        <f>IF($DI55="Opex",SUMIF('Monthly Summary'!$C$75:$N$75,"",H55:S55),SUMIF('Monthly Summary'!$C$74:$N$74,"",H55:S55))</f>
        <v>0</v>
      </c>
      <c r="DK55" s="1283">
        <f>IF($DI55="Opex",SUMIF('Monthly Summary'!$O$75:$Z$75,"",T55:AE55),SUMIF('Monthly Summary'!$O$74:$Z$74,"",T55:AE55))</f>
        <v>0</v>
      </c>
      <c r="DL55" s="1283">
        <f>IF($DI55="Opex",SUMIF('Monthly Summary'!$AA$75:$AL$75,"",AF55:AQ55),SUMIF('Monthly Summary'!$AA$74:$AL$74,"",AF55:AQ55))</f>
        <v>0</v>
      </c>
      <c r="DM55" s="1283">
        <f>IF($DI55="Opex",SUMIF('Monthly Summary'!$AM$75:$AX$75,"",AR55:BC55),SUMIF('Monthly Summary'!$AM$74:$AX$74,"",AR55:BC55))</f>
        <v>0</v>
      </c>
      <c r="DN55" s="1283">
        <f>IF($DI55="Opex",SUMIF('Monthly Summary'!$AY$75:$BJ$75,"",BD55:BO55),SUMIF('Monthly Summary'!$AY$74:$BJ$74,"",BD55:BO55))</f>
        <v>0</v>
      </c>
      <c r="DO55" s="1284">
        <f>IF($DI55="Opex",SUMIF('Monthly Summary'!$BK$75:$BV$75,"",BP55:CA55),SUMIF('Monthly Summary'!$BK$74:$BV$74,"",BP55:CA55))</f>
        <v>0</v>
      </c>
      <c r="DP55" s="1285">
        <f t="shared" si="14"/>
        <v>0</v>
      </c>
    </row>
    <row r="56" spans="1:120" s="813" customFormat="1">
      <c r="A56" s="1261"/>
      <c r="B56" s="1261"/>
      <c r="C56" s="1261"/>
      <c r="D56" s="1262"/>
      <c r="E56" s="1270"/>
      <c r="F56" s="1263"/>
      <c r="G56" s="1263"/>
      <c r="H56" s="1267"/>
      <c r="I56" s="1268"/>
      <c r="J56" s="1268"/>
      <c r="K56" s="1268"/>
      <c r="L56" s="1268"/>
      <c r="M56" s="1268"/>
      <c r="N56" s="1268"/>
      <c r="O56" s="1268"/>
      <c r="P56" s="1268"/>
      <c r="Q56" s="1268"/>
      <c r="R56" s="1268"/>
      <c r="S56" s="1269"/>
      <c r="T56" s="1267"/>
      <c r="U56" s="1268"/>
      <c r="V56" s="1268"/>
      <c r="W56" s="1268"/>
      <c r="X56" s="1268"/>
      <c r="Y56" s="1268"/>
      <c r="Z56" s="1268"/>
      <c r="AA56" s="1268"/>
      <c r="AB56" s="1268"/>
      <c r="AC56" s="1268"/>
      <c r="AD56" s="1268"/>
      <c r="AE56" s="1269"/>
      <c r="AF56" s="1267"/>
      <c r="AG56" s="1268"/>
      <c r="AH56" s="1268"/>
      <c r="AI56" s="1268"/>
      <c r="AJ56" s="1268"/>
      <c r="AK56" s="1268"/>
      <c r="AL56" s="1268"/>
      <c r="AM56" s="1268"/>
      <c r="AN56" s="1268"/>
      <c r="AO56" s="1268"/>
      <c r="AP56" s="1268"/>
      <c r="AQ56" s="1269"/>
      <c r="AR56" s="1267"/>
      <c r="AS56" s="1268"/>
      <c r="AT56" s="1268"/>
      <c r="AU56" s="1268"/>
      <c r="AV56" s="1268"/>
      <c r="AW56" s="1268"/>
      <c r="AX56" s="1268"/>
      <c r="AY56" s="1268"/>
      <c r="AZ56" s="1268"/>
      <c r="BA56" s="1268"/>
      <c r="BB56" s="1268"/>
      <c r="BC56" s="1269"/>
      <c r="BD56" s="1267"/>
      <c r="BE56" s="1268"/>
      <c r="BF56" s="1268"/>
      <c r="BG56" s="1268"/>
      <c r="BH56" s="1268"/>
      <c r="BI56" s="1268"/>
      <c r="BJ56" s="1268"/>
      <c r="BK56" s="1268"/>
      <c r="BL56" s="1268"/>
      <c r="BM56" s="1268"/>
      <c r="BN56" s="1268"/>
      <c r="BO56" s="1269"/>
      <c r="BP56" s="1267"/>
      <c r="BQ56" s="1268"/>
      <c r="BR56" s="1268"/>
      <c r="BS56" s="1268"/>
      <c r="BT56" s="1268"/>
      <c r="BU56" s="1268"/>
      <c r="BV56" s="1268"/>
      <c r="BW56" s="1268"/>
      <c r="BX56" s="1268"/>
      <c r="BY56" s="1268"/>
      <c r="BZ56" s="1268"/>
      <c r="CA56" s="1269"/>
      <c r="CB56" s="1286">
        <f t="shared" si="7"/>
        <v>0</v>
      </c>
      <c r="CC56" s="1277">
        <f>IF($F56=Miscellaneous!$N$8,SUM($H56:CA56),0)</f>
        <v>0</v>
      </c>
      <c r="CD56" s="1277">
        <f>IF($F56=Miscellaneous!$N$8,IF($G56="Opex",SUMIF('Monthly Summary'!$C$75:BV$75,"",$H56:CA56),SUMIF('Monthly Summary'!$C$74:BV$74,"",$H56:CA56)),0)</f>
        <v>0</v>
      </c>
      <c r="CE56" s="1286">
        <f t="shared" si="8"/>
        <v>0</v>
      </c>
      <c r="CF56" s="1287"/>
      <c r="CG56" s="1277">
        <f>IF($F56=Miscellaneous!$N$9,SUM($H56:CA56),0)</f>
        <v>0</v>
      </c>
      <c r="CH56" s="1277">
        <f>IF($F56=Miscellaneous!$N$9,IF($G56="Opex",SUMIF('Monthly Summary'!$C$75:BV$75,"",$H56:CA56),SUMIF('Monthly Summary'!$C$74:BV$74,"",$H56:CA56)),0)</f>
        <v>0</v>
      </c>
      <c r="CI56" s="1286">
        <f t="shared" si="9"/>
        <v>0</v>
      </c>
      <c r="CJ56" s="1287"/>
      <c r="CK56" s="1277">
        <f>IF($F56=Miscellaneous!$N$7,SUM($H56:CA56),0)</f>
        <v>0</v>
      </c>
      <c r="CL56" s="1277">
        <f>IF($F56=Miscellaneous!$N$7,IF($G56="Opex",SUMIF('Monthly Summary'!$C$75:BV$75,"",$H56:CA56),SUMIF('Monthly Summary'!$C$74:BV$74,"",$H56:CA56)),0)</f>
        <v>0</v>
      </c>
      <c r="CM56" s="1286">
        <f t="shared" si="10"/>
        <v>0</v>
      </c>
      <c r="CN56" s="1287"/>
      <c r="CO56" s="1277">
        <f>IF($F56=Miscellaneous!$N$6,SUM($H56:CA56),0)</f>
        <v>0</v>
      </c>
      <c r="CP56" s="1277">
        <f>IF($F56=Miscellaneous!$N$6,IF($G56="Opex",SUMIF('Monthly Summary'!$C$75:BV$75,"",$H56:CA56),SUMIF('Monthly Summary'!$C$74:BV$74,"",$H56:CA56)),0)</f>
        <v>0</v>
      </c>
      <c r="CQ56" s="1286">
        <f t="shared" si="11"/>
        <v>0</v>
      </c>
      <c r="CR56" s="1287"/>
      <c r="CS56" s="1277">
        <f>IF($A56="Software",SUM($H56:CA56),0)</f>
        <v>0</v>
      </c>
      <c r="CT56" s="1277">
        <f>IF($A56="Software",IF($G56="Opex",SUMIF('Monthly Summary'!$C$75:BV$75,"",$H56:CA56),SUMIF('Monthly Summary'!$C$74:BV$74,"",$H56:CA56)),0)</f>
        <v>0</v>
      </c>
      <c r="CU56" s="1286">
        <f t="shared" si="12"/>
        <v>0</v>
      </c>
      <c r="CV56" s="1287"/>
      <c r="CW56" s="1277">
        <f t="shared" si="19"/>
        <v>0</v>
      </c>
      <c r="CX56" s="1277">
        <f t="shared" si="20"/>
        <v>0</v>
      </c>
      <c r="CY56" s="1286">
        <f t="shared" si="13"/>
        <v>0</v>
      </c>
      <c r="CZ56" s="1287"/>
      <c r="DA56" s="1286">
        <f>IF($G56="Opex",SUMIF('Monthly Summary'!$C$75:BV$75,"",$H56:CA56),SUMIF('Monthly Summary'!$C$74:BV$74,"",$H56:CA56))</f>
        <v>0</v>
      </c>
      <c r="DB56" s="1278">
        <f t="shared" si="21"/>
        <v>0</v>
      </c>
      <c r="DC56" s="1279">
        <f>IF(AND(OR($D56=Variables!A$38,$D56=Variables!A$43),$F56&lt;&gt;"N/A"),1,0)</f>
        <v>0</v>
      </c>
      <c r="DD56" s="820"/>
      <c r="DE56" s="1281" t="str">
        <f t="shared" si="15"/>
        <v/>
      </c>
      <c r="DF56" s="1282" t="str">
        <f t="shared" si="16"/>
        <v/>
      </c>
      <c r="DG56" s="1282" t="str">
        <f t="shared" si="17"/>
        <v/>
      </c>
      <c r="DH56" s="1282" t="str">
        <f>IF(ISNA(VLOOKUP(DE56,Miscellaneous!E:F,2,0)),"",VLOOKUP(DE56,Miscellaneous!E:F,2,0))</f>
        <v/>
      </c>
      <c r="DI56" s="1282" t="str">
        <f t="shared" si="18"/>
        <v/>
      </c>
      <c r="DJ56" s="1283">
        <f>IF($DI56="Opex",SUMIF('Monthly Summary'!$C$75:$N$75,"",H56:S56),SUMIF('Monthly Summary'!$C$74:$N$74,"",H56:S56))</f>
        <v>0</v>
      </c>
      <c r="DK56" s="1283">
        <f>IF($DI56="Opex",SUMIF('Monthly Summary'!$O$75:$Z$75,"",T56:AE56),SUMIF('Monthly Summary'!$O$74:$Z$74,"",T56:AE56))</f>
        <v>0</v>
      </c>
      <c r="DL56" s="1283">
        <f>IF($DI56="Opex",SUMIF('Monthly Summary'!$AA$75:$AL$75,"",AF56:AQ56),SUMIF('Monthly Summary'!$AA$74:$AL$74,"",AF56:AQ56))</f>
        <v>0</v>
      </c>
      <c r="DM56" s="1283">
        <f>IF($DI56="Opex",SUMIF('Monthly Summary'!$AM$75:$AX$75,"",AR56:BC56),SUMIF('Monthly Summary'!$AM$74:$AX$74,"",AR56:BC56))</f>
        <v>0</v>
      </c>
      <c r="DN56" s="1283">
        <f>IF($DI56="Opex",SUMIF('Monthly Summary'!$AY$75:$BJ$75,"",BD56:BO56),SUMIF('Monthly Summary'!$AY$74:$BJ$74,"",BD56:BO56))</f>
        <v>0</v>
      </c>
      <c r="DO56" s="1284">
        <f>IF($DI56="Opex",SUMIF('Monthly Summary'!$BK$75:$BV$75,"",BP56:CA56),SUMIF('Monthly Summary'!$BK$74:$BV$74,"",BP56:CA56))</f>
        <v>0</v>
      </c>
      <c r="DP56" s="1285">
        <f t="shared" si="14"/>
        <v>0</v>
      </c>
    </row>
    <row r="57" spans="1:120" s="813" customFormat="1">
      <c r="A57" s="1261"/>
      <c r="B57" s="1261"/>
      <c r="C57" s="1261"/>
      <c r="D57" s="1262"/>
      <c r="E57" s="1270"/>
      <c r="F57" s="1263"/>
      <c r="G57" s="1263"/>
      <c r="H57" s="1267"/>
      <c r="I57" s="1268"/>
      <c r="J57" s="1268"/>
      <c r="K57" s="1268"/>
      <c r="L57" s="1268"/>
      <c r="M57" s="1268"/>
      <c r="N57" s="1268"/>
      <c r="O57" s="1268"/>
      <c r="P57" s="1268"/>
      <c r="Q57" s="1268"/>
      <c r="R57" s="1268"/>
      <c r="S57" s="1269"/>
      <c r="T57" s="1267"/>
      <c r="U57" s="1268"/>
      <c r="V57" s="1268"/>
      <c r="W57" s="1268"/>
      <c r="X57" s="1268"/>
      <c r="Y57" s="1268"/>
      <c r="Z57" s="1268"/>
      <c r="AA57" s="1268"/>
      <c r="AB57" s="1268"/>
      <c r="AC57" s="1268"/>
      <c r="AD57" s="1268"/>
      <c r="AE57" s="1269"/>
      <c r="AF57" s="1267"/>
      <c r="AG57" s="1268"/>
      <c r="AH57" s="1268"/>
      <c r="AI57" s="1268"/>
      <c r="AJ57" s="1268"/>
      <c r="AK57" s="1268"/>
      <c r="AL57" s="1268"/>
      <c r="AM57" s="1268"/>
      <c r="AN57" s="1268"/>
      <c r="AO57" s="1268"/>
      <c r="AP57" s="1268"/>
      <c r="AQ57" s="1269"/>
      <c r="AR57" s="1267"/>
      <c r="AS57" s="1268"/>
      <c r="AT57" s="1268"/>
      <c r="AU57" s="1268"/>
      <c r="AV57" s="1268"/>
      <c r="AW57" s="1268"/>
      <c r="AX57" s="1268"/>
      <c r="AY57" s="1268"/>
      <c r="AZ57" s="1268"/>
      <c r="BA57" s="1268"/>
      <c r="BB57" s="1268"/>
      <c r="BC57" s="1269"/>
      <c r="BD57" s="1267"/>
      <c r="BE57" s="1268"/>
      <c r="BF57" s="1268"/>
      <c r="BG57" s="1268"/>
      <c r="BH57" s="1268"/>
      <c r="BI57" s="1268"/>
      <c r="BJ57" s="1268"/>
      <c r="BK57" s="1268"/>
      <c r="BL57" s="1268"/>
      <c r="BM57" s="1268"/>
      <c r="BN57" s="1268"/>
      <c r="BO57" s="1269"/>
      <c r="BP57" s="1267"/>
      <c r="BQ57" s="1268"/>
      <c r="BR57" s="1268"/>
      <c r="BS57" s="1268"/>
      <c r="BT57" s="1268"/>
      <c r="BU57" s="1268"/>
      <c r="BV57" s="1268"/>
      <c r="BW57" s="1268"/>
      <c r="BX57" s="1268"/>
      <c r="BY57" s="1268"/>
      <c r="BZ57" s="1268"/>
      <c r="CA57" s="1269"/>
      <c r="CB57" s="1286">
        <f t="shared" si="7"/>
        <v>0</v>
      </c>
      <c r="CC57" s="1277">
        <f>IF($F57=Miscellaneous!$N$8,SUM($H57:CA57),0)</f>
        <v>0</v>
      </c>
      <c r="CD57" s="1277">
        <f>IF($F57=Miscellaneous!$N$8,IF($G57="Opex",SUMIF('Monthly Summary'!$C$75:BV$75,"",$H57:CA57),SUMIF('Monthly Summary'!$C$74:BV$74,"",$H57:CA57)),0)</f>
        <v>0</v>
      </c>
      <c r="CE57" s="1286">
        <f t="shared" si="8"/>
        <v>0</v>
      </c>
      <c r="CF57" s="1287"/>
      <c r="CG57" s="1277">
        <f>IF($F57=Miscellaneous!$N$9,SUM($H57:CA57),0)</f>
        <v>0</v>
      </c>
      <c r="CH57" s="1277">
        <f>IF($F57=Miscellaneous!$N$9,IF($G57="Opex",SUMIF('Monthly Summary'!$C$75:BV$75,"",$H57:CA57),SUMIF('Monthly Summary'!$C$74:BV$74,"",$H57:CA57)),0)</f>
        <v>0</v>
      </c>
      <c r="CI57" s="1286">
        <f t="shared" si="9"/>
        <v>0</v>
      </c>
      <c r="CJ57" s="1287"/>
      <c r="CK57" s="1277">
        <f>IF($F57=Miscellaneous!$N$7,SUM($H57:CA57),0)</f>
        <v>0</v>
      </c>
      <c r="CL57" s="1277">
        <f>IF($F57=Miscellaneous!$N$7,IF($G57="Opex",SUMIF('Monthly Summary'!$C$75:BV$75,"",$H57:CA57),SUMIF('Monthly Summary'!$C$74:BV$74,"",$H57:CA57)),0)</f>
        <v>0</v>
      </c>
      <c r="CM57" s="1286">
        <f t="shared" si="10"/>
        <v>0</v>
      </c>
      <c r="CN57" s="1287"/>
      <c r="CO57" s="1277">
        <f>IF($F57=Miscellaneous!$N$6,SUM($H57:CA57),0)</f>
        <v>0</v>
      </c>
      <c r="CP57" s="1277">
        <f>IF($F57=Miscellaneous!$N$6,IF($G57="Opex",SUMIF('Monthly Summary'!$C$75:BV$75,"",$H57:CA57),SUMIF('Monthly Summary'!$C$74:BV$74,"",$H57:CA57)),0)</f>
        <v>0</v>
      </c>
      <c r="CQ57" s="1286">
        <f t="shared" si="11"/>
        <v>0</v>
      </c>
      <c r="CR57" s="1287"/>
      <c r="CS57" s="1277">
        <f>IF($A57="Software",SUM($H57:CA57),0)</f>
        <v>0</v>
      </c>
      <c r="CT57" s="1277">
        <f>IF($A57="Software",IF($G57="Opex",SUMIF('Monthly Summary'!$C$75:BV$75,"",$H57:CA57),SUMIF('Monthly Summary'!$C$74:BV$74,"",$H57:CA57)),0)</f>
        <v>0</v>
      </c>
      <c r="CU57" s="1286">
        <f t="shared" si="12"/>
        <v>0</v>
      </c>
      <c r="CV57" s="1287"/>
      <c r="CW57" s="1277">
        <f t="shared" si="19"/>
        <v>0</v>
      </c>
      <c r="CX57" s="1277">
        <f t="shared" si="20"/>
        <v>0</v>
      </c>
      <c r="CY57" s="1286">
        <f t="shared" si="13"/>
        <v>0</v>
      </c>
      <c r="CZ57" s="1287"/>
      <c r="DA57" s="1286">
        <f>IF($G57="Opex",SUMIF('Monthly Summary'!$C$75:BV$75,"",$H57:CA57),SUMIF('Monthly Summary'!$C$74:BV$74,"",$H57:CA57))</f>
        <v>0</v>
      </c>
      <c r="DB57" s="1278">
        <f t="shared" si="21"/>
        <v>0</v>
      </c>
      <c r="DC57" s="1279">
        <f>IF(AND(OR($D57=Variables!A$38,$D57=Variables!A$43),$F57&lt;&gt;"N/A"),1,0)</f>
        <v>0</v>
      </c>
      <c r="DD57" s="820"/>
      <c r="DE57" s="1281" t="str">
        <f t="shared" si="15"/>
        <v/>
      </c>
      <c r="DF57" s="1282" t="str">
        <f t="shared" si="16"/>
        <v/>
      </c>
      <c r="DG57" s="1282" t="str">
        <f t="shared" si="17"/>
        <v/>
      </c>
      <c r="DH57" s="1282" t="str">
        <f>IF(ISNA(VLOOKUP(DE57,Miscellaneous!E:F,2,0)),"",VLOOKUP(DE57,Miscellaneous!E:F,2,0))</f>
        <v/>
      </c>
      <c r="DI57" s="1282" t="str">
        <f t="shared" si="18"/>
        <v/>
      </c>
      <c r="DJ57" s="1283">
        <f>IF($DI57="Opex",SUMIF('Monthly Summary'!$C$75:$N$75,"",H57:S57),SUMIF('Monthly Summary'!$C$74:$N$74,"",H57:S57))</f>
        <v>0</v>
      </c>
      <c r="DK57" s="1283">
        <f>IF($DI57="Opex",SUMIF('Monthly Summary'!$O$75:$Z$75,"",T57:AE57),SUMIF('Monthly Summary'!$O$74:$Z$74,"",T57:AE57))</f>
        <v>0</v>
      </c>
      <c r="DL57" s="1283">
        <f>IF($DI57="Opex",SUMIF('Monthly Summary'!$AA$75:$AL$75,"",AF57:AQ57),SUMIF('Monthly Summary'!$AA$74:$AL$74,"",AF57:AQ57))</f>
        <v>0</v>
      </c>
      <c r="DM57" s="1283">
        <f>IF($DI57="Opex",SUMIF('Monthly Summary'!$AM$75:$AX$75,"",AR57:BC57),SUMIF('Monthly Summary'!$AM$74:$AX$74,"",AR57:BC57))</f>
        <v>0</v>
      </c>
      <c r="DN57" s="1283">
        <f>IF($DI57="Opex",SUMIF('Monthly Summary'!$AY$75:$BJ$75,"",BD57:BO57),SUMIF('Monthly Summary'!$AY$74:$BJ$74,"",BD57:BO57))</f>
        <v>0</v>
      </c>
      <c r="DO57" s="1284">
        <f>IF($DI57="Opex",SUMIF('Monthly Summary'!$BK$75:$BV$75,"",BP57:CA57),SUMIF('Monthly Summary'!$BK$74:$BV$74,"",BP57:CA57))</f>
        <v>0</v>
      </c>
      <c r="DP57" s="1285">
        <f t="shared" si="14"/>
        <v>0</v>
      </c>
    </row>
    <row r="58" spans="1:120" s="813" customFormat="1">
      <c r="A58" s="1261"/>
      <c r="B58" s="1261"/>
      <c r="C58" s="1261"/>
      <c r="D58" s="1262"/>
      <c r="E58" s="1270"/>
      <c r="F58" s="1263"/>
      <c r="G58" s="1263"/>
      <c r="H58" s="1267"/>
      <c r="I58" s="1268"/>
      <c r="J58" s="1268"/>
      <c r="K58" s="1268"/>
      <c r="L58" s="1268"/>
      <c r="M58" s="1268"/>
      <c r="N58" s="1268"/>
      <c r="O58" s="1268"/>
      <c r="P58" s="1268"/>
      <c r="Q58" s="1268"/>
      <c r="R58" s="1268"/>
      <c r="S58" s="1269"/>
      <c r="T58" s="1267"/>
      <c r="U58" s="1268"/>
      <c r="V58" s="1268"/>
      <c r="W58" s="1268"/>
      <c r="X58" s="1268"/>
      <c r="Y58" s="1268"/>
      <c r="Z58" s="1268"/>
      <c r="AA58" s="1268"/>
      <c r="AB58" s="1268"/>
      <c r="AC58" s="1268"/>
      <c r="AD58" s="1268"/>
      <c r="AE58" s="1269"/>
      <c r="AF58" s="1267"/>
      <c r="AG58" s="1268"/>
      <c r="AH58" s="1268"/>
      <c r="AI58" s="1268"/>
      <c r="AJ58" s="1268"/>
      <c r="AK58" s="1268"/>
      <c r="AL58" s="1268"/>
      <c r="AM58" s="1268"/>
      <c r="AN58" s="1268"/>
      <c r="AO58" s="1268"/>
      <c r="AP58" s="1268"/>
      <c r="AQ58" s="1269"/>
      <c r="AR58" s="1267"/>
      <c r="AS58" s="1268"/>
      <c r="AT58" s="1268"/>
      <c r="AU58" s="1268"/>
      <c r="AV58" s="1268"/>
      <c r="AW58" s="1268"/>
      <c r="AX58" s="1268"/>
      <c r="AY58" s="1268"/>
      <c r="AZ58" s="1268"/>
      <c r="BA58" s="1268"/>
      <c r="BB58" s="1268"/>
      <c r="BC58" s="1269"/>
      <c r="BD58" s="1267"/>
      <c r="BE58" s="1268"/>
      <c r="BF58" s="1268"/>
      <c r="BG58" s="1268"/>
      <c r="BH58" s="1268"/>
      <c r="BI58" s="1268"/>
      <c r="BJ58" s="1268"/>
      <c r="BK58" s="1268"/>
      <c r="BL58" s="1268"/>
      <c r="BM58" s="1268"/>
      <c r="BN58" s="1268"/>
      <c r="BO58" s="1269"/>
      <c r="BP58" s="1267"/>
      <c r="BQ58" s="1268"/>
      <c r="BR58" s="1268"/>
      <c r="BS58" s="1268"/>
      <c r="BT58" s="1268"/>
      <c r="BU58" s="1268"/>
      <c r="BV58" s="1268"/>
      <c r="BW58" s="1268"/>
      <c r="BX58" s="1268"/>
      <c r="BY58" s="1268"/>
      <c r="BZ58" s="1268"/>
      <c r="CA58" s="1269"/>
      <c r="CB58" s="1286">
        <f t="shared" si="7"/>
        <v>0</v>
      </c>
      <c r="CC58" s="1277">
        <f>IF($F58=Miscellaneous!$N$8,SUM($H58:CA58),0)</f>
        <v>0</v>
      </c>
      <c r="CD58" s="1277">
        <f>IF($F58=Miscellaneous!$N$8,IF($G58="Opex",SUMIF('Monthly Summary'!$C$75:BV$75,"",$H58:CA58),SUMIF('Monthly Summary'!$C$74:BV$74,"",$H58:CA58)),0)</f>
        <v>0</v>
      </c>
      <c r="CE58" s="1286">
        <f t="shared" si="8"/>
        <v>0</v>
      </c>
      <c r="CF58" s="1287"/>
      <c r="CG58" s="1277">
        <f>IF($F58=Miscellaneous!$N$9,SUM($H58:CA58),0)</f>
        <v>0</v>
      </c>
      <c r="CH58" s="1277">
        <f>IF($F58=Miscellaneous!$N$9,IF($G58="Opex",SUMIF('Monthly Summary'!$C$75:BV$75,"",$H58:CA58),SUMIF('Monthly Summary'!$C$74:BV$74,"",$H58:CA58)),0)</f>
        <v>0</v>
      </c>
      <c r="CI58" s="1286">
        <f t="shared" si="9"/>
        <v>0</v>
      </c>
      <c r="CJ58" s="1287"/>
      <c r="CK58" s="1277">
        <f>IF($F58=Miscellaneous!$N$7,SUM($H58:CA58),0)</f>
        <v>0</v>
      </c>
      <c r="CL58" s="1277">
        <f>IF($F58=Miscellaneous!$N$7,IF($G58="Opex",SUMIF('Monthly Summary'!$C$75:BV$75,"",$H58:CA58),SUMIF('Monthly Summary'!$C$74:BV$74,"",$H58:CA58)),0)</f>
        <v>0</v>
      </c>
      <c r="CM58" s="1286">
        <f t="shared" si="10"/>
        <v>0</v>
      </c>
      <c r="CN58" s="1287"/>
      <c r="CO58" s="1277">
        <f>IF($F58=Miscellaneous!$N$6,SUM($H58:CA58),0)</f>
        <v>0</v>
      </c>
      <c r="CP58" s="1277">
        <f>IF($F58=Miscellaneous!$N$6,IF($G58="Opex",SUMIF('Monthly Summary'!$C$75:BV$75,"",$H58:CA58),SUMIF('Monthly Summary'!$C$74:BV$74,"",$H58:CA58)),0)</f>
        <v>0</v>
      </c>
      <c r="CQ58" s="1286">
        <f t="shared" si="11"/>
        <v>0</v>
      </c>
      <c r="CR58" s="1287"/>
      <c r="CS58" s="1277">
        <f>IF($A58="Software",SUM($H58:CA58),0)</f>
        <v>0</v>
      </c>
      <c r="CT58" s="1277">
        <f>IF($A58="Software",IF($G58="Opex",SUMIF('Monthly Summary'!$C$75:BV$75,"",$H58:CA58),SUMIF('Monthly Summary'!$C$74:BV$74,"",$H58:CA58)),0)</f>
        <v>0</v>
      </c>
      <c r="CU58" s="1286">
        <f t="shared" si="12"/>
        <v>0</v>
      </c>
      <c r="CV58" s="1287"/>
      <c r="CW58" s="1277">
        <f t="shared" si="19"/>
        <v>0</v>
      </c>
      <c r="CX58" s="1277">
        <f t="shared" si="20"/>
        <v>0</v>
      </c>
      <c r="CY58" s="1286">
        <f t="shared" si="13"/>
        <v>0</v>
      </c>
      <c r="CZ58" s="1287"/>
      <c r="DA58" s="1286">
        <f>IF($G58="Opex",SUMIF('Monthly Summary'!$C$75:BV$75,"",$H58:CA58),SUMIF('Monthly Summary'!$C$74:BV$74,"",$H58:CA58))</f>
        <v>0</v>
      </c>
      <c r="DB58" s="1278">
        <f t="shared" si="21"/>
        <v>0</v>
      </c>
      <c r="DC58" s="1279">
        <f>IF(AND(OR($D58=Variables!A$38,$D58=Variables!A$43),$F58&lt;&gt;"N/A"),1,0)</f>
        <v>0</v>
      </c>
      <c r="DD58" s="820"/>
      <c r="DE58" s="1281" t="str">
        <f t="shared" si="15"/>
        <v/>
      </c>
      <c r="DF58" s="1282" t="str">
        <f t="shared" si="16"/>
        <v/>
      </c>
      <c r="DG58" s="1282" t="str">
        <f t="shared" si="17"/>
        <v/>
      </c>
      <c r="DH58" s="1282" t="str">
        <f>IF(ISNA(VLOOKUP(DE58,Miscellaneous!E:F,2,0)),"",VLOOKUP(DE58,Miscellaneous!E:F,2,0))</f>
        <v/>
      </c>
      <c r="DI58" s="1282" t="str">
        <f t="shared" si="18"/>
        <v/>
      </c>
      <c r="DJ58" s="1283">
        <f>IF($DI58="Opex",SUMIF('Monthly Summary'!$C$75:$N$75,"",H58:S58),SUMIF('Monthly Summary'!$C$74:$N$74,"",H58:S58))</f>
        <v>0</v>
      </c>
      <c r="DK58" s="1283">
        <f>IF($DI58="Opex",SUMIF('Monthly Summary'!$O$75:$Z$75,"",T58:AE58),SUMIF('Monthly Summary'!$O$74:$Z$74,"",T58:AE58))</f>
        <v>0</v>
      </c>
      <c r="DL58" s="1283">
        <f>IF($DI58="Opex",SUMIF('Monthly Summary'!$AA$75:$AL$75,"",AF58:AQ58),SUMIF('Monthly Summary'!$AA$74:$AL$74,"",AF58:AQ58))</f>
        <v>0</v>
      </c>
      <c r="DM58" s="1283">
        <f>IF($DI58="Opex",SUMIF('Monthly Summary'!$AM$75:$AX$75,"",AR58:BC58),SUMIF('Monthly Summary'!$AM$74:$AX$74,"",AR58:BC58))</f>
        <v>0</v>
      </c>
      <c r="DN58" s="1283">
        <f>IF($DI58="Opex",SUMIF('Monthly Summary'!$AY$75:$BJ$75,"",BD58:BO58),SUMIF('Monthly Summary'!$AY$74:$BJ$74,"",BD58:BO58))</f>
        <v>0</v>
      </c>
      <c r="DO58" s="1284">
        <f>IF($DI58="Opex",SUMIF('Monthly Summary'!$BK$75:$BV$75,"",BP58:CA58),SUMIF('Monthly Summary'!$BK$74:$BV$74,"",BP58:CA58))</f>
        <v>0</v>
      </c>
      <c r="DP58" s="1285">
        <f t="shared" si="14"/>
        <v>0</v>
      </c>
    </row>
    <row r="59" spans="1:120" s="813" customFormat="1">
      <c r="A59" s="1261"/>
      <c r="B59" s="1261"/>
      <c r="C59" s="1261"/>
      <c r="D59" s="1262"/>
      <c r="E59" s="1270"/>
      <c r="F59" s="1263"/>
      <c r="G59" s="1263"/>
      <c r="H59" s="1267"/>
      <c r="I59" s="1268"/>
      <c r="J59" s="1268"/>
      <c r="K59" s="1268"/>
      <c r="L59" s="1268"/>
      <c r="M59" s="1268"/>
      <c r="N59" s="1268"/>
      <c r="O59" s="1268"/>
      <c r="P59" s="1268"/>
      <c r="Q59" s="1268"/>
      <c r="R59" s="1268"/>
      <c r="S59" s="1269"/>
      <c r="T59" s="1267"/>
      <c r="U59" s="1268"/>
      <c r="V59" s="1268"/>
      <c r="W59" s="1268"/>
      <c r="X59" s="1268"/>
      <c r="Y59" s="1268"/>
      <c r="Z59" s="1268"/>
      <c r="AA59" s="1268"/>
      <c r="AB59" s="1268"/>
      <c r="AC59" s="1268"/>
      <c r="AD59" s="1268"/>
      <c r="AE59" s="1269"/>
      <c r="AF59" s="1267"/>
      <c r="AG59" s="1268"/>
      <c r="AH59" s="1268"/>
      <c r="AI59" s="1268"/>
      <c r="AJ59" s="1268"/>
      <c r="AK59" s="1268"/>
      <c r="AL59" s="1268"/>
      <c r="AM59" s="1268"/>
      <c r="AN59" s="1268"/>
      <c r="AO59" s="1268"/>
      <c r="AP59" s="1268"/>
      <c r="AQ59" s="1269"/>
      <c r="AR59" s="1267"/>
      <c r="AS59" s="1268"/>
      <c r="AT59" s="1268"/>
      <c r="AU59" s="1268"/>
      <c r="AV59" s="1268"/>
      <c r="AW59" s="1268"/>
      <c r="AX59" s="1268"/>
      <c r="AY59" s="1268"/>
      <c r="AZ59" s="1268"/>
      <c r="BA59" s="1268"/>
      <c r="BB59" s="1268"/>
      <c r="BC59" s="1269"/>
      <c r="BD59" s="1267"/>
      <c r="BE59" s="1268"/>
      <c r="BF59" s="1268"/>
      <c r="BG59" s="1268"/>
      <c r="BH59" s="1268"/>
      <c r="BI59" s="1268"/>
      <c r="BJ59" s="1268"/>
      <c r="BK59" s="1268"/>
      <c r="BL59" s="1268"/>
      <c r="BM59" s="1268"/>
      <c r="BN59" s="1268"/>
      <c r="BO59" s="1269"/>
      <c r="BP59" s="1267"/>
      <c r="BQ59" s="1268"/>
      <c r="BR59" s="1268"/>
      <c r="BS59" s="1268"/>
      <c r="BT59" s="1268"/>
      <c r="BU59" s="1268"/>
      <c r="BV59" s="1268"/>
      <c r="BW59" s="1268"/>
      <c r="BX59" s="1268"/>
      <c r="BY59" s="1268"/>
      <c r="BZ59" s="1268"/>
      <c r="CA59" s="1269"/>
      <c r="CB59" s="1286">
        <f t="shared" si="7"/>
        <v>0</v>
      </c>
      <c r="CC59" s="1277">
        <f>IF($F59=Miscellaneous!$N$8,SUM($H59:CA59),0)</f>
        <v>0</v>
      </c>
      <c r="CD59" s="1277">
        <f>IF($F59=Miscellaneous!$N$8,IF($G59="Opex",SUMIF('Monthly Summary'!$C$75:BV$75,"",$H59:CA59),SUMIF('Monthly Summary'!$C$74:BV$74,"",$H59:CA59)),0)</f>
        <v>0</v>
      </c>
      <c r="CE59" s="1286">
        <f t="shared" si="8"/>
        <v>0</v>
      </c>
      <c r="CF59" s="1287"/>
      <c r="CG59" s="1277">
        <f>IF($F59=Miscellaneous!$N$9,SUM($H59:CA59),0)</f>
        <v>0</v>
      </c>
      <c r="CH59" s="1277">
        <f>IF($F59=Miscellaneous!$N$9,IF($G59="Opex",SUMIF('Monthly Summary'!$C$75:BV$75,"",$H59:CA59),SUMIF('Monthly Summary'!$C$74:BV$74,"",$H59:CA59)),0)</f>
        <v>0</v>
      </c>
      <c r="CI59" s="1286">
        <f t="shared" si="9"/>
        <v>0</v>
      </c>
      <c r="CJ59" s="1287"/>
      <c r="CK59" s="1277">
        <f>IF($F59=Miscellaneous!$N$7,SUM($H59:CA59),0)</f>
        <v>0</v>
      </c>
      <c r="CL59" s="1277">
        <f>IF($F59=Miscellaneous!$N$7,IF($G59="Opex",SUMIF('Monthly Summary'!$C$75:BV$75,"",$H59:CA59),SUMIF('Monthly Summary'!$C$74:BV$74,"",$H59:CA59)),0)</f>
        <v>0</v>
      </c>
      <c r="CM59" s="1286">
        <f t="shared" si="10"/>
        <v>0</v>
      </c>
      <c r="CN59" s="1287"/>
      <c r="CO59" s="1277">
        <f>IF($F59=Miscellaneous!$N$6,SUM($H59:CA59),0)</f>
        <v>0</v>
      </c>
      <c r="CP59" s="1277">
        <f>IF($F59=Miscellaneous!$N$6,IF($G59="Opex",SUMIF('Monthly Summary'!$C$75:BV$75,"",$H59:CA59),SUMIF('Monthly Summary'!$C$74:BV$74,"",$H59:CA59)),0)</f>
        <v>0</v>
      </c>
      <c r="CQ59" s="1286">
        <f t="shared" si="11"/>
        <v>0</v>
      </c>
      <c r="CR59" s="1287"/>
      <c r="CS59" s="1277">
        <f>IF($A59="Software",SUM($H59:CA59),0)</f>
        <v>0</v>
      </c>
      <c r="CT59" s="1277">
        <f>IF($A59="Software",IF($G59="Opex",SUMIF('Monthly Summary'!$C$75:BV$75,"",$H59:CA59),SUMIF('Monthly Summary'!$C$74:BV$74,"",$H59:CA59)),0)</f>
        <v>0</v>
      </c>
      <c r="CU59" s="1286">
        <f t="shared" si="12"/>
        <v>0</v>
      </c>
      <c r="CV59" s="1287"/>
      <c r="CW59" s="1277">
        <f t="shared" si="19"/>
        <v>0</v>
      </c>
      <c r="CX59" s="1277">
        <f t="shared" si="20"/>
        <v>0</v>
      </c>
      <c r="CY59" s="1286">
        <f t="shared" si="13"/>
        <v>0</v>
      </c>
      <c r="CZ59" s="1287"/>
      <c r="DA59" s="1286">
        <f>IF($G59="Opex",SUMIF('Monthly Summary'!$C$75:BV$75,"",$H59:CA59),SUMIF('Monthly Summary'!$C$74:BV$74,"",$H59:CA59))</f>
        <v>0</v>
      </c>
      <c r="DB59" s="1278">
        <f t="shared" si="21"/>
        <v>0</v>
      </c>
      <c r="DC59" s="1279">
        <f>IF(AND(OR($D59=Variables!A$38,$D59=Variables!A$43),$F59&lt;&gt;"N/A"),1,0)</f>
        <v>0</v>
      </c>
      <c r="DD59" s="820"/>
      <c r="DE59" s="1281" t="str">
        <f t="shared" si="15"/>
        <v/>
      </c>
      <c r="DF59" s="1282" t="str">
        <f t="shared" si="16"/>
        <v/>
      </c>
      <c r="DG59" s="1282" t="str">
        <f t="shared" si="17"/>
        <v/>
      </c>
      <c r="DH59" s="1282" t="str">
        <f>IF(ISNA(VLOOKUP(DE59,Miscellaneous!E:F,2,0)),"",VLOOKUP(DE59,Miscellaneous!E:F,2,0))</f>
        <v/>
      </c>
      <c r="DI59" s="1282" t="str">
        <f t="shared" si="18"/>
        <v/>
      </c>
      <c r="DJ59" s="1283">
        <f>IF($DI59="Opex",SUMIF('Monthly Summary'!$C$75:$N$75,"",H59:S59),SUMIF('Monthly Summary'!$C$74:$N$74,"",H59:S59))</f>
        <v>0</v>
      </c>
      <c r="DK59" s="1283">
        <f>IF($DI59="Opex",SUMIF('Monthly Summary'!$O$75:$Z$75,"",T59:AE59),SUMIF('Monthly Summary'!$O$74:$Z$74,"",T59:AE59))</f>
        <v>0</v>
      </c>
      <c r="DL59" s="1283">
        <f>IF($DI59="Opex",SUMIF('Monthly Summary'!$AA$75:$AL$75,"",AF59:AQ59),SUMIF('Monthly Summary'!$AA$74:$AL$74,"",AF59:AQ59))</f>
        <v>0</v>
      </c>
      <c r="DM59" s="1283">
        <f>IF($DI59="Opex",SUMIF('Monthly Summary'!$AM$75:$AX$75,"",AR59:BC59),SUMIF('Monthly Summary'!$AM$74:$AX$74,"",AR59:BC59))</f>
        <v>0</v>
      </c>
      <c r="DN59" s="1283">
        <f>IF($DI59="Opex",SUMIF('Monthly Summary'!$AY$75:$BJ$75,"",BD59:BO59),SUMIF('Monthly Summary'!$AY$74:$BJ$74,"",BD59:BO59))</f>
        <v>0</v>
      </c>
      <c r="DO59" s="1284">
        <f>IF($DI59="Opex",SUMIF('Monthly Summary'!$BK$75:$BV$75,"",BP59:CA59),SUMIF('Monthly Summary'!$BK$74:$BV$74,"",BP59:CA59))</f>
        <v>0</v>
      </c>
      <c r="DP59" s="1285">
        <f t="shared" si="14"/>
        <v>0</v>
      </c>
    </row>
    <row r="60" spans="1:120" s="813" customFormat="1">
      <c r="A60" s="1261"/>
      <c r="B60" s="1261"/>
      <c r="C60" s="1261"/>
      <c r="D60" s="1262"/>
      <c r="E60" s="1270"/>
      <c r="F60" s="1263"/>
      <c r="G60" s="1263"/>
      <c r="H60" s="1267"/>
      <c r="I60" s="1268"/>
      <c r="J60" s="1268"/>
      <c r="K60" s="1268"/>
      <c r="L60" s="1268"/>
      <c r="M60" s="1268"/>
      <c r="N60" s="1268"/>
      <c r="O60" s="1268"/>
      <c r="P60" s="1268"/>
      <c r="Q60" s="1268"/>
      <c r="R60" s="1268"/>
      <c r="S60" s="1269"/>
      <c r="T60" s="1267"/>
      <c r="U60" s="1268"/>
      <c r="V60" s="1268"/>
      <c r="W60" s="1268"/>
      <c r="X60" s="1268"/>
      <c r="Y60" s="1268"/>
      <c r="Z60" s="1268"/>
      <c r="AA60" s="1268"/>
      <c r="AB60" s="1268"/>
      <c r="AC60" s="1268"/>
      <c r="AD60" s="1268"/>
      <c r="AE60" s="1269"/>
      <c r="AF60" s="1267"/>
      <c r="AG60" s="1268"/>
      <c r="AH60" s="1268"/>
      <c r="AI60" s="1268"/>
      <c r="AJ60" s="1268"/>
      <c r="AK60" s="1268"/>
      <c r="AL60" s="1268"/>
      <c r="AM60" s="1268"/>
      <c r="AN60" s="1268"/>
      <c r="AO60" s="1268"/>
      <c r="AP60" s="1268"/>
      <c r="AQ60" s="1269"/>
      <c r="AR60" s="1267"/>
      <c r="AS60" s="1268"/>
      <c r="AT60" s="1268"/>
      <c r="AU60" s="1268"/>
      <c r="AV60" s="1268"/>
      <c r="AW60" s="1268"/>
      <c r="AX60" s="1268"/>
      <c r="AY60" s="1268"/>
      <c r="AZ60" s="1268"/>
      <c r="BA60" s="1268"/>
      <c r="BB60" s="1268"/>
      <c r="BC60" s="1269"/>
      <c r="BD60" s="1267"/>
      <c r="BE60" s="1268"/>
      <c r="BF60" s="1268"/>
      <c r="BG60" s="1268"/>
      <c r="BH60" s="1268"/>
      <c r="BI60" s="1268"/>
      <c r="BJ60" s="1268"/>
      <c r="BK60" s="1268"/>
      <c r="BL60" s="1268"/>
      <c r="BM60" s="1268"/>
      <c r="BN60" s="1268"/>
      <c r="BO60" s="1269"/>
      <c r="BP60" s="1267"/>
      <c r="BQ60" s="1268"/>
      <c r="BR60" s="1268"/>
      <c r="BS60" s="1268"/>
      <c r="BT60" s="1268"/>
      <c r="BU60" s="1268"/>
      <c r="BV60" s="1268"/>
      <c r="BW60" s="1268"/>
      <c r="BX60" s="1268"/>
      <c r="BY60" s="1268"/>
      <c r="BZ60" s="1268"/>
      <c r="CA60" s="1269"/>
      <c r="CB60" s="1286">
        <f t="shared" si="7"/>
        <v>0</v>
      </c>
      <c r="CC60" s="1277">
        <f>IF($F60=Miscellaneous!$N$8,SUM($H60:CA60),0)</f>
        <v>0</v>
      </c>
      <c r="CD60" s="1277">
        <f>IF($F60=Miscellaneous!$N$8,IF($G60="Opex",SUMIF('Monthly Summary'!$C$75:BV$75,"",$H60:CA60),SUMIF('Monthly Summary'!$C$74:BV$74,"",$H60:CA60)),0)</f>
        <v>0</v>
      </c>
      <c r="CE60" s="1286">
        <f t="shared" si="8"/>
        <v>0</v>
      </c>
      <c r="CF60" s="1287"/>
      <c r="CG60" s="1277">
        <f>IF($F60=Miscellaneous!$N$9,SUM($H60:CA60),0)</f>
        <v>0</v>
      </c>
      <c r="CH60" s="1277">
        <f>IF($F60=Miscellaneous!$N$9,IF($G60="Opex",SUMIF('Monthly Summary'!$C$75:BV$75,"",$H60:CA60),SUMIF('Monthly Summary'!$C$74:BV$74,"",$H60:CA60)),0)</f>
        <v>0</v>
      </c>
      <c r="CI60" s="1286">
        <f t="shared" si="9"/>
        <v>0</v>
      </c>
      <c r="CJ60" s="1287"/>
      <c r="CK60" s="1277">
        <f>IF($F60=Miscellaneous!$N$7,SUM($H60:CA60),0)</f>
        <v>0</v>
      </c>
      <c r="CL60" s="1277">
        <f>IF($F60=Miscellaneous!$N$7,IF($G60="Opex",SUMIF('Monthly Summary'!$C$75:BV$75,"",$H60:CA60),SUMIF('Monthly Summary'!$C$74:BV$74,"",$H60:CA60)),0)</f>
        <v>0</v>
      </c>
      <c r="CM60" s="1286">
        <f t="shared" si="10"/>
        <v>0</v>
      </c>
      <c r="CN60" s="1287"/>
      <c r="CO60" s="1277">
        <f>IF($F60=Miscellaneous!$N$6,SUM($H60:CA60),0)</f>
        <v>0</v>
      </c>
      <c r="CP60" s="1277">
        <f>IF($F60=Miscellaneous!$N$6,IF($G60="Opex",SUMIF('Monthly Summary'!$C$75:BV$75,"",$H60:CA60),SUMIF('Monthly Summary'!$C$74:BV$74,"",$H60:CA60)),0)</f>
        <v>0</v>
      </c>
      <c r="CQ60" s="1286">
        <f t="shared" si="11"/>
        <v>0</v>
      </c>
      <c r="CR60" s="1287"/>
      <c r="CS60" s="1277">
        <f>IF($A60="Software",SUM($H60:CA60),0)</f>
        <v>0</v>
      </c>
      <c r="CT60" s="1277">
        <f>IF($A60="Software",IF($G60="Opex",SUMIF('Monthly Summary'!$C$75:BV$75,"",$H60:CA60),SUMIF('Monthly Summary'!$C$74:BV$74,"",$H60:CA60)),0)</f>
        <v>0</v>
      </c>
      <c r="CU60" s="1286">
        <f t="shared" si="12"/>
        <v>0</v>
      </c>
      <c r="CV60" s="1287"/>
      <c r="CW60" s="1277">
        <f t="shared" si="19"/>
        <v>0</v>
      </c>
      <c r="CX60" s="1277">
        <f t="shared" si="20"/>
        <v>0</v>
      </c>
      <c r="CY60" s="1286">
        <f t="shared" si="13"/>
        <v>0</v>
      </c>
      <c r="CZ60" s="1287"/>
      <c r="DA60" s="1286">
        <f>IF($G60="Opex",SUMIF('Monthly Summary'!$C$75:BV$75,"",$H60:CA60),SUMIF('Monthly Summary'!$C$74:BV$74,"",$H60:CA60))</f>
        <v>0</v>
      </c>
      <c r="DB60" s="1278">
        <f t="shared" si="21"/>
        <v>0</v>
      </c>
      <c r="DC60" s="1279">
        <f>IF(AND(OR($D60=Variables!A$38,$D60=Variables!A$43),$F60&lt;&gt;"N/A"),1,0)</f>
        <v>0</v>
      </c>
      <c r="DD60" s="820"/>
      <c r="DE60" s="1281" t="str">
        <f t="shared" si="15"/>
        <v/>
      </c>
      <c r="DF60" s="1282" t="str">
        <f t="shared" si="16"/>
        <v/>
      </c>
      <c r="DG60" s="1282" t="str">
        <f t="shared" si="17"/>
        <v/>
      </c>
      <c r="DH60" s="1282" t="str">
        <f>IF(ISNA(VLOOKUP(DE60,Miscellaneous!E:F,2,0)),"",VLOOKUP(DE60,Miscellaneous!E:F,2,0))</f>
        <v/>
      </c>
      <c r="DI60" s="1282" t="str">
        <f t="shared" si="18"/>
        <v/>
      </c>
      <c r="DJ60" s="1283">
        <f>IF($DI60="Opex",SUMIF('Monthly Summary'!$C$75:$N$75,"",H60:S60),SUMIF('Monthly Summary'!$C$74:$N$74,"",H60:S60))</f>
        <v>0</v>
      </c>
      <c r="DK60" s="1283">
        <f>IF($DI60="Opex",SUMIF('Monthly Summary'!$O$75:$Z$75,"",T60:AE60),SUMIF('Monthly Summary'!$O$74:$Z$74,"",T60:AE60))</f>
        <v>0</v>
      </c>
      <c r="DL60" s="1283">
        <f>IF($DI60="Opex",SUMIF('Monthly Summary'!$AA$75:$AL$75,"",AF60:AQ60),SUMIF('Monthly Summary'!$AA$74:$AL$74,"",AF60:AQ60))</f>
        <v>0</v>
      </c>
      <c r="DM60" s="1283">
        <f>IF($DI60="Opex",SUMIF('Monthly Summary'!$AM$75:$AX$75,"",AR60:BC60),SUMIF('Monthly Summary'!$AM$74:$AX$74,"",AR60:BC60))</f>
        <v>0</v>
      </c>
      <c r="DN60" s="1283">
        <f>IF($DI60="Opex",SUMIF('Monthly Summary'!$AY$75:$BJ$75,"",BD60:BO60),SUMIF('Monthly Summary'!$AY$74:$BJ$74,"",BD60:BO60))</f>
        <v>0</v>
      </c>
      <c r="DO60" s="1284">
        <f>IF($DI60="Opex",SUMIF('Monthly Summary'!$BK$75:$BV$75,"",BP60:CA60),SUMIF('Monthly Summary'!$BK$74:$BV$74,"",BP60:CA60))</f>
        <v>0</v>
      </c>
      <c r="DP60" s="1285">
        <f t="shared" si="14"/>
        <v>0</v>
      </c>
    </row>
    <row r="61" spans="1:120" s="813" customFormat="1">
      <c r="A61" s="1261"/>
      <c r="B61" s="1261"/>
      <c r="C61" s="1261"/>
      <c r="D61" s="1262"/>
      <c r="E61" s="1270"/>
      <c r="F61" s="1263"/>
      <c r="G61" s="1263"/>
      <c r="H61" s="1267"/>
      <c r="I61" s="1268"/>
      <c r="J61" s="1268"/>
      <c r="K61" s="1268"/>
      <c r="L61" s="1268"/>
      <c r="M61" s="1268"/>
      <c r="N61" s="1268"/>
      <c r="O61" s="1268"/>
      <c r="P61" s="1268"/>
      <c r="Q61" s="1268"/>
      <c r="R61" s="1268"/>
      <c r="S61" s="1269"/>
      <c r="T61" s="1267"/>
      <c r="U61" s="1268"/>
      <c r="V61" s="1268"/>
      <c r="W61" s="1268"/>
      <c r="X61" s="1268"/>
      <c r="Y61" s="1268"/>
      <c r="Z61" s="1268"/>
      <c r="AA61" s="1268"/>
      <c r="AB61" s="1268"/>
      <c r="AC61" s="1268"/>
      <c r="AD61" s="1268"/>
      <c r="AE61" s="1269"/>
      <c r="AF61" s="1267"/>
      <c r="AG61" s="1268"/>
      <c r="AH61" s="1268"/>
      <c r="AI61" s="1268"/>
      <c r="AJ61" s="1268"/>
      <c r="AK61" s="1268"/>
      <c r="AL61" s="1268"/>
      <c r="AM61" s="1268"/>
      <c r="AN61" s="1268"/>
      <c r="AO61" s="1268"/>
      <c r="AP61" s="1268"/>
      <c r="AQ61" s="1269"/>
      <c r="AR61" s="1267"/>
      <c r="AS61" s="1268"/>
      <c r="AT61" s="1268"/>
      <c r="AU61" s="1268"/>
      <c r="AV61" s="1268"/>
      <c r="AW61" s="1268"/>
      <c r="AX61" s="1268"/>
      <c r="AY61" s="1268"/>
      <c r="AZ61" s="1268"/>
      <c r="BA61" s="1268"/>
      <c r="BB61" s="1268"/>
      <c r="BC61" s="1269"/>
      <c r="BD61" s="1267"/>
      <c r="BE61" s="1268"/>
      <c r="BF61" s="1268"/>
      <c r="BG61" s="1268"/>
      <c r="BH61" s="1268"/>
      <c r="BI61" s="1268"/>
      <c r="BJ61" s="1268"/>
      <c r="BK61" s="1268"/>
      <c r="BL61" s="1268"/>
      <c r="BM61" s="1268"/>
      <c r="BN61" s="1268"/>
      <c r="BO61" s="1269"/>
      <c r="BP61" s="1267"/>
      <c r="BQ61" s="1268"/>
      <c r="BR61" s="1268"/>
      <c r="BS61" s="1268"/>
      <c r="BT61" s="1268"/>
      <c r="BU61" s="1268"/>
      <c r="BV61" s="1268"/>
      <c r="BW61" s="1268"/>
      <c r="BX61" s="1268"/>
      <c r="BY61" s="1268"/>
      <c r="BZ61" s="1268"/>
      <c r="CA61" s="1269"/>
      <c r="CB61" s="1286">
        <f t="shared" si="7"/>
        <v>0</v>
      </c>
      <c r="CC61" s="1277">
        <f>IF($F61=Miscellaneous!$N$8,SUM($H61:CA61),0)</f>
        <v>0</v>
      </c>
      <c r="CD61" s="1277">
        <f>IF($F61=Miscellaneous!$N$8,IF($G61="Opex",SUMIF('Monthly Summary'!$C$75:BV$75,"",$H61:CA61),SUMIF('Monthly Summary'!$C$74:BV$74,"",$H61:CA61)),0)</f>
        <v>0</v>
      </c>
      <c r="CE61" s="1286">
        <f t="shared" si="8"/>
        <v>0</v>
      </c>
      <c r="CF61" s="1287"/>
      <c r="CG61" s="1277">
        <f>IF($F61=Miscellaneous!$N$9,SUM($H61:CA61),0)</f>
        <v>0</v>
      </c>
      <c r="CH61" s="1277">
        <f>IF($F61=Miscellaneous!$N$9,IF($G61="Opex",SUMIF('Monthly Summary'!$C$75:BV$75,"",$H61:CA61),SUMIF('Monthly Summary'!$C$74:BV$74,"",$H61:CA61)),0)</f>
        <v>0</v>
      </c>
      <c r="CI61" s="1286">
        <f t="shared" si="9"/>
        <v>0</v>
      </c>
      <c r="CJ61" s="1287"/>
      <c r="CK61" s="1277">
        <f>IF($F61=Miscellaneous!$N$7,SUM($H61:CA61),0)</f>
        <v>0</v>
      </c>
      <c r="CL61" s="1277">
        <f>IF($F61=Miscellaneous!$N$7,IF($G61="Opex",SUMIF('Monthly Summary'!$C$75:BV$75,"",$H61:CA61),SUMIF('Monthly Summary'!$C$74:BV$74,"",$H61:CA61)),0)</f>
        <v>0</v>
      </c>
      <c r="CM61" s="1286">
        <f t="shared" si="10"/>
        <v>0</v>
      </c>
      <c r="CN61" s="1287"/>
      <c r="CO61" s="1277">
        <f>IF($F61=Miscellaneous!$N$6,SUM($H61:CA61),0)</f>
        <v>0</v>
      </c>
      <c r="CP61" s="1277">
        <f>IF($F61=Miscellaneous!$N$6,IF($G61="Opex",SUMIF('Monthly Summary'!$C$75:BV$75,"",$H61:CA61),SUMIF('Monthly Summary'!$C$74:BV$74,"",$H61:CA61)),0)</f>
        <v>0</v>
      </c>
      <c r="CQ61" s="1286">
        <f t="shared" si="11"/>
        <v>0</v>
      </c>
      <c r="CR61" s="1287"/>
      <c r="CS61" s="1277">
        <f>IF($A61="Software",SUM($H61:CA61),0)</f>
        <v>0</v>
      </c>
      <c r="CT61" s="1277">
        <f>IF($A61="Software",IF($G61="Opex",SUMIF('Monthly Summary'!$C$75:BV$75,"",$H61:CA61),SUMIF('Monthly Summary'!$C$74:BV$74,"",$H61:CA61)),0)</f>
        <v>0</v>
      </c>
      <c r="CU61" s="1286">
        <f t="shared" si="12"/>
        <v>0</v>
      </c>
      <c r="CV61" s="1287"/>
      <c r="CW61" s="1277">
        <f t="shared" si="19"/>
        <v>0</v>
      </c>
      <c r="CX61" s="1277">
        <f t="shared" si="20"/>
        <v>0</v>
      </c>
      <c r="CY61" s="1286">
        <f t="shared" si="13"/>
        <v>0</v>
      </c>
      <c r="CZ61" s="1287"/>
      <c r="DA61" s="1286">
        <f>IF($G61="Opex",SUMIF('Monthly Summary'!$C$75:BV$75,"",$H61:CA61),SUMIF('Monthly Summary'!$C$74:BV$74,"",$H61:CA61))</f>
        <v>0</v>
      </c>
      <c r="DB61" s="1278">
        <f t="shared" si="21"/>
        <v>0</v>
      </c>
      <c r="DC61" s="1279">
        <f>IF(AND(OR($D61=Variables!A$38,$D61=Variables!A$43),$F61&lt;&gt;"N/A"),1,0)</f>
        <v>0</v>
      </c>
      <c r="DD61" s="820"/>
      <c r="DE61" s="1281" t="str">
        <f t="shared" si="15"/>
        <v/>
      </c>
      <c r="DF61" s="1282" t="str">
        <f t="shared" si="16"/>
        <v/>
      </c>
      <c r="DG61" s="1282" t="str">
        <f t="shared" si="17"/>
        <v/>
      </c>
      <c r="DH61" s="1282" t="str">
        <f>IF(ISNA(VLOOKUP(DE61,Miscellaneous!E:F,2,0)),"",VLOOKUP(DE61,Miscellaneous!E:F,2,0))</f>
        <v/>
      </c>
      <c r="DI61" s="1282" t="str">
        <f t="shared" si="18"/>
        <v/>
      </c>
      <c r="DJ61" s="1283">
        <f>IF($DI61="Opex",SUMIF('Monthly Summary'!$C$75:$N$75,"",H61:S61),SUMIF('Monthly Summary'!$C$74:$N$74,"",H61:S61))</f>
        <v>0</v>
      </c>
      <c r="DK61" s="1283">
        <f>IF($DI61="Opex",SUMIF('Monthly Summary'!$O$75:$Z$75,"",T61:AE61),SUMIF('Monthly Summary'!$O$74:$Z$74,"",T61:AE61))</f>
        <v>0</v>
      </c>
      <c r="DL61" s="1283">
        <f>IF($DI61="Opex",SUMIF('Monthly Summary'!$AA$75:$AL$75,"",AF61:AQ61),SUMIF('Monthly Summary'!$AA$74:$AL$74,"",AF61:AQ61))</f>
        <v>0</v>
      </c>
      <c r="DM61" s="1283">
        <f>IF($DI61="Opex",SUMIF('Monthly Summary'!$AM$75:$AX$75,"",AR61:BC61),SUMIF('Monthly Summary'!$AM$74:$AX$74,"",AR61:BC61))</f>
        <v>0</v>
      </c>
      <c r="DN61" s="1283">
        <f>IF($DI61="Opex",SUMIF('Monthly Summary'!$AY$75:$BJ$75,"",BD61:BO61),SUMIF('Monthly Summary'!$AY$74:$BJ$74,"",BD61:BO61))</f>
        <v>0</v>
      </c>
      <c r="DO61" s="1284">
        <f>IF($DI61="Opex",SUMIF('Monthly Summary'!$BK$75:$BV$75,"",BP61:CA61),SUMIF('Monthly Summary'!$BK$74:$BV$74,"",BP61:CA61))</f>
        <v>0</v>
      </c>
      <c r="DP61" s="1285">
        <f t="shared" si="14"/>
        <v>0</v>
      </c>
    </row>
    <row r="62" spans="1:120" s="813" customFormat="1">
      <c r="A62" s="1261"/>
      <c r="B62" s="1261"/>
      <c r="C62" s="1261"/>
      <c r="D62" s="1262"/>
      <c r="E62" s="1270"/>
      <c r="F62" s="1263"/>
      <c r="G62" s="1263"/>
      <c r="H62" s="1267"/>
      <c r="I62" s="1268"/>
      <c r="J62" s="1268"/>
      <c r="K62" s="1268"/>
      <c r="L62" s="1268"/>
      <c r="M62" s="1268"/>
      <c r="N62" s="1268"/>
      <c r="O62" s="1268"/>
      <c r="P62" s="1268"/>
      <c r="Q62" s="1268"/>
      <c r="R62" s="1268"/>
      <c r="S62" s="1269"/>
      <c r="T62" s="1267"/>
      <c r="U62" s="1268"/>
      <c r="V62" s="1268"/>
      <c r="W62" s="1268"/>
      <c r="X62" s="1268"/>
      <c r="Y62" s="1268"/>
      <c r="Z62" s="1268"/>
      <c r="AA62" s="1268"/>
      <c r="AB62" s="1268"/>
      <c r="AC62" s="1268"/>
      <c r="AD62" s="1268"/>
      <c r="AE62" s="1269"/>
      <c r="AF62" s="1267"/>
      <c r="AG62" s="1268"/>
      <c r="AH62" s="1268"/>
      <c r="AI62" s="1268"/>
      <c r="AJ62" s="1268"/>
      <c r="AK62" s="1268"/>
      <c r="AL62" s="1268"/>
      <c r="AM62" s="1268"/>
      <c r="AN62" s="1268"/>
      <c r="AO62" s="1268"/>
      <c r="AP62" s="1268"/>
      <c r="AQ62" s="1269"/>
      <c r="AR62" s="1267"/>
      <c r="AS62" s="1268"/>
      <c r="AT62" s="1268"/>
      <c r="AU62" s="1268"/>
      <c r="AV62" s="1268"/>
      <c r="AW62" s="1268"/>
      <c r="AX62" s="1268"/>
      <c r="AY62" s="1268"/>
      <c r="AZ62" s="1268"/>
      <c r="BA62" s="1268"/>
      <c r="BB62" s="1268"/>
      <c r="BC62" s="1269"/>
      <c r="BD62" s="1267"/>
      <c r="BE62" s="1268"/>
      <c r="BF62" s="1268"/>
      <c r="BG62" s="1268"/>
      <c r="BH62" s="1268"/>
      <c r="BI62" s="1268"/>
      <c r="BJ62" s="1268"/>
      <c r="BK62" s="1268"/>
      <c r="BL62" s="1268"/>
      <c r="BM62" s="1268"/>
      <c r="BN62" s="1268"/>
      <c r="BO62" s="1269"/>
      <c r="BP62" s="1267"/>
      <c r="BQ62" s="1268"/>
      <c r="BR62" s="1268"/>
      <c r="BS62" s="1268"/>
      <c r="BT62" s="1268"/>
      <c r="BU62" s="1268"/>
      <c r="BV62" s="1268"/>
      <c r="BW62" s="1268"/>
      <c r="BX62" s="1268"/>
      <c r="BY62" s="1268"/>
      <c r="BZ62" s="1268"/>
      <c r="CA62" s="1269"/>
      <c r="CB62" s="1286">
        <f t="shared" si="7"/>
        <v>0</v>
      </c>
      <c r="CC62" s="1277">
        <f>IF($F62=Miscellaneous!$N$8,SUM($H62:CA62),0)</f>
        <v>0</v>
      </c>
      <c r="CD62" s="1277">
        <f>IF($F62=Miscellaneous!$N$8,IF($G62="Opex",SUMIF('Monthly Summary'!$C$75:BV$75,"",$H62:CA62),SUMIF('Monthly Summary'!$C$74:BV$74,"",$H62:CA62)),0)</f>
        <v>0</v>
      </c>
      <c r="CE62" s="1286">
        <f t="shared" si="8"/>
        <v>0</v>
      </c>
      <c r="CF62" s="1287"/>
      <c r="CG62" s="1277">
        <f>IF($F62=Miscellaneous!$N$9,SUM($H62:CA62),0)</f>
        <v>0</v>
      </c>
      <c r="CH62" s="1277">
        <f>IF($F62=Miscellaneous!$N$9,IF($G62="Opex",SUMIF('Monthly Summary'!$C$75:BV$75,"",$H62:CA62),SUMIF('Monthly Summary'!$C$74:BV$74,"",$H62:CA62)),0)</f>
        <v>0</v>
      </c>
      <c r="CI62" s="1286">
        <f t="shared" si="9"/>
        <v>0</v>
      </c>
      <c r="CJ62" s="1287"/>
      <c r="CK62" s="1277">
        <f>IF($F62=Miscellaneous!$N$7,SUM($H62:CA62),0)</f>
        <v>0</v>
      </c>
      <c r="CL62" s="1277">
        <f>IF($F62=Miscellaneous!$N$7,IF($G62="Opex",SUMIF('Monthly Summary'!$C$75:BV$75,"",$H62:CA62),SUMIF('Monthly Summary'!$C$74:BV$74,"",$H62:CA62)),0)</f>
        <v>0</v>
      </c>
      <c r="CM62" s="1286">
        <f t="shared" si="10"/>
        <v>0</v>
      </c>
      <c r="CN62" s="1287"/>
      <c r="CO62" s="1277">
        <f>IF($F62=Miscellaneous!$N$6,SUM($H62:CA62),0)</f>
        <v>0</v>
      </c>
      <c r="CP62" s="1277">
        <f>IF($F62=Miscellaneous!$N$6,IF($G62="Opex",SUMIF('Monthly Summary'!$C$75:BV$75,"",$H62:CA62),SUMIF('Monthly Summary'!$C$74:BV$74,"",$H62:CA62)),0)</f>
        <v>0</v>
      </c>
      <c r="CQ62" s="1286">
        <f t="shared" si="11"/>
        <v>0</v>
      </c>
      <c r="CR62" s="1287"/>
      <c r="CS62" s="1277">
        <f>IF($A62="Software",SUM($H62:CA62),0)</f>
        <v>0</v>
      </c>
      <c r="CT62" s="1277">
        <f>IF($A62="Software",IF($G62="Opex",SUMIF('Monthly Summary'!$C$75:BV$75,"",$H62:CA62),SUMIF('Monthly Summary'!$C$74:BV$74,"",$H62:CA62)),0)</f>
        <v>0</v>
      </c>
      <c r="CU62" s="1286">
        <f t="shared" si="12"/>
        <v>0</v>
      </c>
      <c r="CV62" s="1287"/>
      <c r="CW62" s="1277">
        <f t="shared" si="19"/>
        <v>0</v>
      </c>
      <c r="CX62" s="1277">
        <f t="shared" si="20"/>
        <v>0</v>
      </c>
      <c r="CY62" s="1286">
        <f t="shared" si="13"/>
        <v>0</v>
      </c>
      <c r="CZ62" s="1287"/>
      <c r="DA62" s="1286">
        <f>IF($G62="Opex",SUMIF('Monthly Summary'!$C$75:BV$75,"",$H62:CA62),SUMIF('Monthly Summary'!$C$74:BV$74,"",$H62:CA62))</f>
        <v>0</v>
      </c>
      <c r="DB62" s="1278">
        <f t="shared" si="21"/>
        <v>0</v>
      </c>
      <c r="DC62" s="1279">
        <f>IF(AND(OR($D62=Variables!A$38,$D62=Variables!A$43),$F62&lt;&gt;"N/A"),1,0)</f>
        <v>0</v>
      </c>
      <c r="DD62" s="820"/>
      <c r="DE62" s="1281" t="str">
        <f t="shared" si="15"/>
        <v/>
      </c>
      <c r="DF62" s="1282" t="str">
        <f t="shared" si="16"/>
        <v/>
      </c>
      <c r="DG62" s="1282" t="str">
        <f t="shared" si="17"/>
        <v/>
      </c>
      <c r="DH62" s="1282" t="str">
        <f>IF(ISNA(VLOOKUP(DE62,Miscellaneous!E:F,2,0)),"",VLOOKUP(DE62,Miscellaneous!E:F,2,0))</f>
        <v/>
      </c>
      <c r="DI62" s="1282" t="str">
        <f t="shared" si="18"/>
        <v/>
      </c>
      <c r="DJ62" s="1283">
        <f>IF($DI62="Opex",SUMIF('Monthly Summary'!$C$75:$N$75,"",H62:S62),SUMIF('Monthly Summary'!$C$74:$N$74,"",H62:S62))</f>
        <v>0</v>
      </c>
      <c r="DK62" s="1283">
        <f>IF($DI62="Opex",SUMIF('Monthly Summary'!$O$75:$Z$75,"",T62:AE62),SUMIF('Monthly Summary'!$O$74:$Z$74,"",T62:AE62))</f>
        <v>0</v>
      </c>
      <c r="DL62" s="1283">
        <f>IF($DI62="Opex",SUMIF('Monthly Summary'!$AA$75:$AL$75,"",AF62:AQ62),SUMIF('Monthly Summary'!$AA$74:$AL$74,"",AF62:AQ62))</f>
        <v>0</v>
      </c>
      <c r="DM62" s="1283">
        <f>IF($DI62="Opex",SUMIF('Monthly Summary'!$AM$75:$AX$75,"",AR62:BC62),SUMIF('Monthly Summary'!$AM$74:$AX$74,"",AR62:BC62))</f>
        <v>0</v>
      </c>
      <c r="DN62" s="1283">
        <f>IF($DI62="Opex",SUMIF('Monthly Summary'!$AY$75:$BJ$75,"",BD62:BO62),SUMIF('Monthly Summary'!$AY$74:$BJ$74,"",BD62:BO62))</f>
        <v>0</v>
      </c>
      <c r="DO62" s="1284">
        <f>IF($DI62="Opex",SUMIF('Monthly Summary'!$BK$75:$BV$75,"",BP62:CA62),SUMIF('Monthly Summary'!$BK$74:$BV$74,"",BP62:CA62))</f>
        <v>0</v>
      </c>
      <c r="DP62" s="1285">
        <f t="shared" si="14"/>
        <v>0</v>
      </c>
    </row>
    <row r="63" spans="1:120" s="813" customFormat="1">
      <c r="A63" s="1261"/>
      <c r="B63" s="1261"/>
      <c r="C63" s="1261"/>
      <c r="D63" s="1262"/>
      <c r="E63" s="1270"/>
      <c r="F63" s="1263"/>
      <c r="G63" s="1263"/>
      <c r="H63" s="1267"/>
      <c r="I63" s="1268"/>
      <c r="J63" s="1268"/>
      <c r="K63" s="1268"/>
      <c r="L63" s="1268"/>
      <c r="M63" s="1268"/>
      <c r="N63" s="1268"/>
      <c r="O63" s="1268"/>
      <c r="P63" s="1268"/>
      <c r="Q63" s="1268"/>
      <c r="R63" s="1268"/>
      <c r="S63" s="1269"/>
      <c r="T63" s="1267"/>
      <c r="U63" s="1268"/>
      <c r="V63" s="1268"/>
      <c r="W63" s="1268"/>
      <c r="X63" s="1268"/>
      <c r="Y63" s="1268"/>
      <c r="Z63" s="1268"/>
      <c r="AA63" s="1268"/>
      <c r="AB63" s="1268"/>
      <c r="AC63" s="1268"/>
      <c r="AD63" s="1268"/>
      <c r="AE63" s="1269"/>
      <c r="AF63" s="1267"/>
      <c r="AG63" s="1268"/>
      <c r="AH63" s="1268"/>
      <c r="AI63" s="1268"/>
      <c r="AJ63" s="1268"/>
      <c r="AK63" s="1268"/>
      <c r="AL63" s="1268"/>
      <c r="AM63" s="1268"/>
      <c r="AN63" s="1268"/>
      <c r="AO63" s="1268"/>
      <c r="AP63" s="1268"/>
      <c r="AQ63" s="1269"/>
      <c r="AR63" s="1267"/>
      <c r="AS63" s="1268"/>
      <c r="AT63" s="1268"/>
      <c r="AU63" s="1268"/>
      <c r="AV63" s="1268"/>
      <c r="AW63" s="1268"/>
      <c r="AX63" s="1268"/>
      <c r="AY63" s="1268"/>
      <c r="AZ63" s="1268"/>
      <c r="BA63" s="1268"/>
      <c r="BB63" s="1268"/>
      <c r="BC63" s="1269"/>
      <c r="BD63" s="1267"/>
      <c r="BE63" s="1268"/>
      <c r="BF63" s="1268"/>
      <c r="BG63" s="1268"/>
      <c r="BH63" s="1268"/>
      <c r="BI63" s="1268"/>
      <c r="BJ63" s="1268"/>
      <c r="BK63" s="1268"/>
      <c r="BL63" s="1268"/>
      <c r="BM63" s="1268"/>
      <c r="BN63" s="1268"/>
      <c r="BO63" s="1269"/>
      <c r="BP63" s="1267"/>
      <c r="BQ63" s="1268"/>
      <c r="BR63" s="1268"/>
      <c r="BS63" s="1268"/>
      <c r="BT63" s="1268"/>
      <c r="BU63" s="1268"/>
      <c r="BV63" s="1268"/>
      <c r="BW63" s="1268"/>
      <c r="BX63" s="1268"/>
      <c r="BY63" s="1268"/>
      <c r="BZ63" s="1268"/>
      <c r="CA63" s="1269"/>
      <c r="CB63" s="1286">
        <f t="shared" si="7"/>
        <v>0</v>
      </c>
      <c r="CC63" s="1277">
        <f>IF($F63=Miscellaneous!$N$8,SUM($H63:CA63),0)</f>
        <v>0</v>
      </c>
      <c r="CD63" s="1277">
        <f>IF($F63=Miscellaneous!$N$8,IF($G63="Opex",SUMIF('Monthly Summary'!$C$75:BV$75,"",$H63:CA63),SUMIF('Monthly Summary'!$C$74:BV$74,"",$H63:CA63)),0)</f>
        <v>0</v>
      </c>
      <c r="CE63" s="1286">
        <f t="shared" si="8"/>
        <v>0</v>
      </c>
      <c r="CF63" s="1287"/>
      <c r="CG63" s="1277">
        <f>IF($F63=Miscellaneous!$N$9,SUM($H63:CA63),0)</f>
        <v>0</v>
      </c>
      <c r="CH63" s="1277">
        <f>IF($F63=Miscellaneous!$N$9,IF($G63="Opex",SUMIF('Monthly Summary'!$C$75:BV$75,"",$H63:CA63),SUMIF('Monthly Summary'!$C$74:BV$74,"",$H63:CA63)),0)</f>
        <v>0</v>
      </c>
      <c r="CI63" s="1286">
        <f t="shared" si="9"/>
        <v>0</v>
      </c>
      <c r="CJ63" s="1287"/>
      <c r="CK63" s="1277">
        <f>IF($F63=Miscellaneous!$N$7,SUM($H63:CA63),0)</f>
        <v>0</v>
      </c>
      <c r="CL63" s="1277">
        <f>IF($F63=Miscellaneous!$N$7,IF($G63="Opex",SUMIF('Monthly Summary'!$C$75:BV$75,"",$H63:CA63),SUMIF('Monthly Summary'!$C$74:BV$74,"",$H63:CA63)),0)</f>
        <v>0</v>
      </c>
      <c r="CM63" s="1286">
        <f t="shared" si="10"/>
        <v>0</v>
      </c>
      <c r="CN63" s="1287"/>
      <c r="CO63" s="1277">
        <f>IF($F63=Miscellaneous!$N$6,SUM($H63:CA63),0)</f>
        <v>0</v>
      </c>
      <c r="CP63" s="1277">
        <f>IF($F63=Miscellaneous!$N$6,IF($G63="Opex",SUMIF('Monthly Summary'!$C$75:BV$75,"",$H63:CA63),SUMIF('Monthly Summary'!$C$74:BV$74,"",$H63:CA63)),0)</f>
        <v>0</v>
      </c>
      <c r="CQ63" s="1286">
        <f t="shared" si="11"/>
        <v>0</v>
      </c>
      <c r="CR63" s="1287"/>
      <c r="CS63" s="1277">
        <f>IF($A63="Software",SUM($H63:CA63),0)</f>
        <v>0</v>
      </c>
      <c r="CT63" s="1277">
        <f>IF($A63="Software",IF($G63="Opex",SUMIF('Monthly Summary'!$C$75:BV$75,"",$H63:CA63),SUMIF('Monthly Summary'!$C$74:BV$74,"",$H63:CA63)),0)</f>
        <v>0</v>
      </c>
      <c r="CU63" s="1286">
        <f t="shared" si="12"/>
        <v>0</v>
      </c>
      <c r="CV63" s="1287"/>
      <c r="CW63" s="1277">
        <f t="shared" si="19"/>
        <v>0</v>
      </c>
      <c r="CX63" s="1277">
        <f t="shared" si="20"/>
        <v>0</v>
      </c>
      <c r="CY63" s="1286">
        <f t="shared" si="13"/>
        <v>0</v>
      </c>
      <c r="CZ63" s="1287"/>
      <c r="DA63" s="1286">
        <f>IF($G63="Opex",SUMIF('Monthly Summary'!$C$75:BV$75,"",$H63:CA63),SUMIF('Monthly Summary'!$C$74:BV$74,"",$H63:CA63))</f>
        <v>0</v>
      </c>
      <c r="DB63" s="1278">
        <f t="shared" si="21"/>
        <v>0</v>
      </c>
      <c r="DC63" s="1279">
        <f>IF(AND(OR($D63=Variables!A$38,$D63=Variables!A$43),$F63&lt;&gt;"N/A"),1,0)</f>
        <v>0</v>
      </c>
      <c r="DD63" s="820"/>
      <c r="DE63" s="1281" t="str">
        <f t="shared" si="15"/>
        <v/>
      </c>
      <c r="DF63" s="1282" t="str">
        <f t="shared" si="16"/>
        <v/>
      </c>
      <c r="DG63" s="1282" t="str">
        <f t="shared" si="17"/>
        <v/>
      </c>
      <c r="DH63" s="1282" t="str">
        <f>IF(ISNA(VLOOKUP(DE63,Miscellaneous!E:F,2,0)),"",VLOOKUP(DE63,Miscellaneous!E:F,2,0))</f>
        <v/>
      </c>
      <c r="DI63" s="1282" t="str">
        <f t="shared" si="18"/>
        <v/>
      </c>
      <c r="DJ63" s="1283">
        <f>IF($DI63="Opex",SUMIF('Monthly Summary'!$C$75:$N$75,"",H63:S63),SUMIF('Monthly Summary'!$C$74:$N$74,"",H63:S63))</f>
        <v>0</v>
      </c>
      <c r="DK63" s="1283">
        <f>IF($DI63="Opex",SUMIF('Monthly Summary'!$O$75:$Z$75,"",T63:AE63),SUMIF('Monthly Summary'!$O$74:$Z$74,"",T63:AE63))</f>
        <v>0</v>
      </c>
      <c r="DL63" s="1283">
        <f>IF($DI63="Opex",SUMIF('Monthly Summary'!$AA$75:$AL$75,"",AF63:AQ63),SUMIF('Monthly Summary'!$AA$74:$AL$74,"",AF63:AQ63))</f>
        <v>0</v>
      </c>
      <c r="DM63" s="1283">
        <f>IF($DI63="Opex",SUMIF('Monthly Summary'!$AM$75:$AX$75,"",AR63:BC63),SUMIF('Monthly Summary'!$AM$74:$AX$74,"",AR63:BC63))</f>
        <v>0</v>
      </c>
      <c r="DN63" s="1283">
        <f>IF($DI63="Opex",SUMIF('Monthly Summary'!$AY$75:$BJ$75,"",BD63:BO63),SUMIF('Monthly Summary'!$AY$74:$BJ$74,"",BD63:BO63))</f>
        <v>0</v>
      </c>
      <c r="DO63" s="1284">
        <f>IF($DI63="Opex",SUMIF('Monthly Summary'!$BK$75:$BV$75,"",BP63:CA63),SUMIF('Monthly Summary'!$BK$74:$BV$74,"",BP63:CA63))</f>
        <v>0</v>
      </c>
      <c r="DP63" s="1285">
        <f t="shared" si="14"/>
        <v>0</v>
      </c>
    </row>
    <row r="64" spans="1:120" s="813" customFormat="1">
      <c r="A64" s="1261"/>
      <c r="B64" s="1261"/>
      <c r="C64" s="1261"/>
      <c r="D64" s="1262"/>
      <c r="E64" s="1270"/>
      <c r="F64" s="1263"/>
      <c r="G64" s="1263"/>
      <c r="H64" s="1267"/>
      <c r="I64" s="1268"/>
      <c r="J64" s="1268"/>
      <c r="K64" s="1268"/>
      <c r="L64" s="1268"/>
      <c r="M64" s="1268"/>
      <c r="N64" s="1268"/>
      <c r="O64" s="1268"/>
      <c r="P64" s="1268"/>
      <c r="Q64" s="1268"/>
      <c r="R64" s="1268"/>
      <c r="S64" s="1269"/>
      <c r="T64" s="1267"/>
      <c r="U64" s="1268"/>
      <c r="V64" s="1268"/>
      <c r="W64" s="1268"/>
      <c r="X64" s="1268"/>
      <c r="Y64" s="1268"/>
      <c r="Z64" s="1268"/>
      <c r="AA64" s="1268"/>
      <c r="AB64" s="1268"/>
      <c r="AC64" s="1268"/>
      <c r="AD64" s="1268"/>
      <c r="AE64" s="1269"/>
      <c r="AF64" s="1267"/>
      <c r="AG64" s="1268"/>
      <c r="AH64" s="1268"/>
      <c r="AI64" s="1268"/>
      <c r="AJ64" s="1268"/>
      <c r="AK64" s="1268"/>
      <c r="AL64" s="1268"/>
      <c r="AM64" s="1268"/>
      <c r="AN64" s="1268"/>
      <c r="AO64" s="1268"/>
      <c r="AP64" s="1268"/>
      <c r="AQ64" s="1269"/>
      <c r="AR64" s="1267"/>
      <c r="AS64" s="1268"/>
      <c r="AT64" s="1268"/>
      <c r="AU64" s="1268"/>
      <c r="AV64" s="1268"/>
      <c r="AW64" s="1268"/>
      <c r="AX64" s="1268"/>
      <c r="AY64" s="1268"/>
      <c r="AZ64" s="1268"/>
      <c r="BA64" s="1268"/>
      <c r="BB64" s="1268"/>
      <c r="BC64" s="1269"/>
      <c r="BD64" s="1267"/>
      <c r="BE64" s="1268"/>
      <c r="BF64" s="1268"/>
      <c r="BG64" s="1268"/>
      <c r="BH64" s="1268"/>
      <c r="BI64" s="1268"/>
      <c r="BJ64" s="1268"/>
      <c r="BK64" s="1268"/>
      <c r="BL64" s="1268"/>
      <c r="BM64" s="1268"/>
      <c r="BN64" s="1268"/>
      <c r="BO64" s="1269"/>
      <c r="BP64" s="1267"/>
      <c r="BQ64" s="1268"/>
      <c r="BR64" s="1268"/>
      <c r="BS64" s="1268"/>
      <c r="BT64" s="1268"/>
      <c r="BU64" s="1268"/>
      <c r="BV64" s="1268"/>
      <c r="BW64" s="1268"/>
      <c r="BX64" s="1268"/>
      <c r="BY64" s="1268"/>
      <c r="BZ64" s="1268"/>
      <c r="CA64" s="1269"/>
      <c r="CB64" s="1286">
        <f t="shared" si="7"/>
        <v>0</v>
      </c>
      <c r="CC64" s="1277">
        <f>IF($F64=Miscellaneous!$N$8,SUM($H64:CA64),0)</f>
        <v>0</v>
      </c>
      <c r="CD64" s="1277">
        <f>IF($F64=Miscellaneous!$N$8,IF($G64="Opex",SUMIF('Monthly Summary'!$C$75:BV$75,"",$H64:CA64),SUMIF('Monthly Summary'!$C$74:BV$74,"",$H64:CA64)),0)</f>
        <v>0</v>
      </c>
      <c r="CE64" s="1286">
        <f t="shared" si="8"/>
        <v>0</v>
      </c>
      <c r="CF64" s="1287"/>
      <c r="CG64" s="1277">
        <f>IF($F64=Miscellaneous!$N$9,SUM($H64:CA64),0)</f>
        <v>0</v>
      </c>
      <c r="CH64" s="1277">
        <f>IF($F64=Miscellaneous!$N$9,IF($G64="Opex",SUMIF('Monthly Summary'!$C$75:BV$75,"",$H64:CA64),SUMIF('Monthly Summary'!$C$74:BV$74,"",$H64:CA64)),0)</f>
        <v>0</v>
      </c>
      <c r="CI64" s="1286">
        <f t="shared" si="9"/>
        <v>0</v>
      </c>
      <c r="CJ64" s="1287"/>
      <c r="CK64" s="1277">
        <f>IF($F64=Miscellaneous!$N$7,SUM($H64:CA64),0)</f>
        <v>0</v>
      </c>
      <c r="CL64" s="1277">
        <f>IF($F64=Miscellaneous!$N$7,IF($G64="Opex",SUMIF('Monthly Summary'!$C$75:BV$75,"",$H64:CA64),SUMIF('Monthly Summary'!$C$74:BV$74,"",$H64:CA64)),0)</f>
        <v>0</v>
      </c>
      <c r="CM64" s="1286">
        <f t="shared" si="10"/>
        <v>0</v>
      </c>
      <c r="CN64" s="1287"/>
      <c r="CO64" s="1277">
        <f>IF($F64=Miscellaneous!$N$6,SUM($H64:CA64),0)</f>
        <v>0</v>
      </c>
      <c r="CP64" s="1277">
        <f>IF($F64=Miscellaneous!$N$6,IF($G64="Opex",SUMIF('Monthly Summary'!$C$75:BV$75,"",$H64:CA64),SUMIF('Monthly Summary'!$C$74:BV$74,"",$H64:CA64)),0)</f>
        <v>0</v>
      </c>
      <c r="CQ64" s="1286">
        <f t="shared" si="11"/>
        <v>0</v>
      </c>
      <c r="CR64" s="1287"/>
      <c r="CS64" s="1277">
        <f>IF($A64="Software",SUM($H64:CA64),0)</f>
        <v>0</v>
      </c>
      <c r="CT64" s="1277">
        <f>IF($A64="Software",IF($G64="Opex",SUMIF('Monthly Summary'!$C$75:BV$75,"",$H64:CA64),SUMIF('Monthly Summary'!$C$74:BV$74,"",$H64:CA64)),0)</f>
        <v>0</v>
      </c>
      <c r="CU64" s="1286">
        <f t="shared" si="12"/>
        <v>0</v>
      </c>
      <c r="CV64" s="1287"/>
      <c r="CW64" s="1277">
        <f t="shared" si="19"/>
        <v>0</v>
      </c>
      <c r="CX64" s="1277">
        <f t="shared" si="20"/>
        <v>0</v>
      </c>
      <c r="CY64" s="1286">
        <f t="shared" si="13"/>
        <v>0</v>
      </c>
      <c r="CZ64" s="1287"/>
      <c r="DA64" s="1286">
        <f>IF($G64="Opex",SUMIF('Monthly Summary'!$C$75:BV$75,"",$H64:CA64),SUMIF('Monthly Summary'!$C$74:BV$74,"",$H64:CA64))</f>
        <v>0</v>
      </c>
      <c r="DB64" s="1278">
        <f t="shared" si="21"/>
        <v>0</v>
      </c>
      <c r="DC64" s="1279">
        <f>IF(AND(OR($D64=Variables!A$38,$D64=Variables!A$43),$F64&lt;&gt;"N/A"),1,0)</f>
        <v>0</v>
      </c>
      <c r="DD64" s="820"/>
      <c r="DE64" s="1281" t="str">
        <f t="shared" si="15"/>
        <v/>
      </c>
      <c r="DF64" s="1282" t="str">
        <f t="shared" si="16"/>
        <v/>
      </c>
      <c r="DG64" s="1282" t="str">
        <f t="shared" si="17"/>
        <v/>
      </c>
      <c r="DH64" s="1282" t="str">
        <f>IF(ISNA(VLOOKUP(DE64,Miscellaneous!E:F,2,0)),"",VLOOKUP(DE64,Miscellaneous!E:F,2,0))</f>
        <v/>
      </c>
      <c r="DI64" s="1282" t="str">
        <f t="shared" si="18"/>
        <v/>
      </c>
      <c r="DJ64" s="1283">
        <f>IF($DI64="Opex",SUMIF('Monthly Summary'!$C$75:$N$75,"",H64:S64),SUMIF('Monthly Summary'!$C$74:$N$74,"",H64:S64))</f>
        <v>0</v>
      </c>
      <c r="DK64" s="1283">
        <f>IF($DI64="Opex",SUMIF('Monthly Summary'!$O$75:$Z$75,"",T64:AE64),SUMIF('Monthly Summary'!$O$74:$Z$74,"",T64:AE64))</f>
        <v>0</v>
      </c>
      <c r="DL64" s="1283">
        <f>IF($DI64="Opex",SUMIF('Monthly Summary'!$AA$75:$AL$75,"",AF64:AQ64),SUMIF('Monthly Summary'!$AA$74:$AL$74,"",AF64:AQ64))</f>
        <v>0</v>
      </c>
      <c r="DM64" s="1283">
        <f>IF($DI64="Opex",SUMIF('Monthly Summary'!$AM$75:$AX$75,"",AR64:BC64),SUMIF('Monthly Summary'!$AM$74:$AX$74,"",AR64:BC64))</f>
        <v>0</v>
      </c>
      <c r="DN64" s="1283">
        <f>IF($DI64="Opex",SUMIF('Monthly Summary'!$AY$75:$BJ$75,"",BD64:BO64),SUMIF('Monthly Summary'!$AY$74:$BJ$74,"",BD64:BO64))</f>
        <v>0</v>
      </c>
      <c r="DO64" s="1284">
        <f>IF($DI64="Opex",SUMIF('Monthly Summary'!$BK$75:$BV$75,"",BP64:CA64),SUMIF('Monthly Summary'!$BK$74:$BV$74,"",BP64:CA64))</f>
        <v>0</v>
      </c>
      <c r="DP64" s="1285">
        <f t="shared" si="14"/>
        <v>0</v>
      </c>
    </row>
    <row r="65" spans="1:120" s="813" customFormat="1">
      <c r="A65" s="1261"/>
      <c r="B65" s="1261"/>
      <c r="C65" s="1261"/>
      <c r="D65" s="1262"/>
      <c r="E65" s="1271"/>
      <c r="F65" s="1263"/>
      <c r="G65" s="1263"/>
      <c r="H65" s="1267"/>
      <c r="I65" s="1268"/>
      <c r="J65" s="1268"/>
      <c r="K65" s="1268"/>
      <c r="L65" s="1268"/>
      <c r="M65" s="1268"/>
      <c r="N65" s="1268"/>
      <c r="O65" s="1268"/>
      <c r="P65" s="1268"/>
      <c r="Q65" s="1268"/>
      <c r="R65" s="1268"/>
      <c r="S65" s="1269"/>
      <c r="T65" s="1267"/>
      <c r="U65" s="1268"/>
      <c r="V65" s="1268"/>
      <c r="W65" s="1268"/>
      <c r="X65" s="1268"/>
      <c r="Y65" s="1268"/>
      <c r="Z65" s="1268"/>
      <c r="AA65" s="1268"/>
      <c r="AB65" s="1268"/>
      <c r="AC65" s="1268"/>
      <c r="AD65" s="1268"/>
      <c r="AE65" s="1269"/>
      <c r="AF65" s="1267"/>
      <c r="AG65" s="1268"/>
      <c r="AH65" s="1268"/>
      <c r="AI65" s="1268"/>
      <c r="AJ65" s="1268"/>
      <c r="AK65" s="1268"/>
      <c r="AL65" s="1268"/>
      <c r="AM65" s="1268"/>
      <c r="AN65" s="1268"/>
      <c r="AO65" s="1268"/>
      <c r="AP65" s="1268"/>
      <c r="AQ65" s="1269"/>
      <c r="AR65" s="1267"/>
      <c r="AS65" s="1268"/>
      <c r="AT65" s="1268"/>
      <c r="AU65" s="1268"/>
      <c r="AV65" s="1268"/>
      <c r="AW65" s="1268"/>
      <c r="AX65" s="1268"/>
      <c r="AY65" s="1268"/>
      <c r="AZ65" s="1268"/>
      <c r="BA65" s="1268"/>
      <c r="BB65" s="1268"/>
      <c r="BC65" s="1269"/>
      <c r="BD65" s="1267"/>
      <c r="BE65" s="1268"/>
      <c r="BF65" s="1268"/>
      <c r="BG65" s="1268"/>
      <c r="BH65" s="1268"/>
      <c r="BI65" s="1268"/>
      <c r="BJ65" s="1268"/>
      <c r="BK65" s="1268"/>
      <c r="BL65" s="1268"/>
      <c r="BM65" s="1268"/>
      <c r="BN65" s="1268"/>
      <c r="BO65" s="1269"/>
      <c r="BP65" s="1267"/>
      <c r="BQ65" s="1268"/>
      <c r="BR65" s="1268"/>
      <c r="BS65" s="1268"/>
      <c r="BT65" s="1268"/>
      <c r="BU65" s="1268"/>
      <c r="BV65" s="1268"/>
      <c r="BW65" s="1268"/>
      <c r="BX65" s="1268"/>
      <c r="BY65" s="1268"/>
      <c r="BZ65" s="1268"/>
      <c r="CA65" s="1269"/>
      <c r="CB65" s="1286">
        <f t="shared" si="7"/>
        <v>0</v>
      </c>
      <c r="CC65" s="1277">
        <f>IF($F65=Miscellaneous!$N$8,SUM($H65:CA65),0)</f>
        <v>0</v>
      </c>
      <c r="CD65" s="1277">
        <f>IF($F65=Miscellaneous!$N$8,IF($G65="Opex",SUMIF('Monthly Summary'!$C$75:BV$75,"",$H65:CA65),SUMIF('Monthly Summary'!$C$74:BV$74,"",$H65:CA65)),0)</f>
        <v>0</v>
      </c>
      <c r="CE65" s="1286">
        <f t="shared" si="8"/>
        <v>0</v>
      </c>
      <c r="CF65" s="1287"/>
      <c r="CG65" s="1277">
        <f>IF($F65=Miscellaneous!$N$9,SUM($H65:CA65),0)</f>
        <v>0</v>
      </c>
      <c r="CH65" s="1277">
        <f>IF($F65=Miscellaneous!$N$9,IF($G65="Opex",SUMIF('Monthly Summary'!$C$75:BV$75,"",$H65:CA65),SUMIF('Monthly Summary'!$C$74:BV$74,"",$H65:CA65)),0)</f>
        <v>0</v>
      </c>
      <c r="CI65" s="1286">
        <f t="shared" si="9"/>
        <v>0</v>
      </c>
      <c r="CJ65" s="1287"/>
      <c r="CK65" s="1277">
        <f>IF($F65=Miscellaneous!$N$7,SUM($H65:CA65),0)</f>
        <v>0</v>
      </c>
      <c r="CL65" s="1277">
        <f>IF($F65=Miscellaneous!$N$7,IF($G65="Opex",SUMIF('Monthly Summary'!$C$75:BV$75,"",$H65:CA65),SUMIF('Monthly Summary'!$C$74:BV$74,"",$H65:CA65)),0)</f>
        <v>0</v>
      </c>
      <c r="CM65" s="1286">
        <f t="shared" si="10"/>
        <v>0</v>
      </c>
      <c r="CN65" s="1287"/>
      <c r="CO65" s="1277">
        <f>IF($F65=Miscellaneous!$N$6,SUM($H65:CA65),0)</f>
        <v>0</v>
      </c>
      <c r="CP65" s="1277">
        <f>IF($F65=Miscellaneous!$N$6,IF($G65="Opex",SUMIF('Monthly Summary'!$C$75:BV$75,"",$H65:CA65),SUMIF('Monthly Summary'!$C$74:BV$74,"",$H65:CA65)),0)</f>
        <v>0</v>
      </c>
      <c r="CQ65" s="1286">
        <f t="shared" si="11"/>
        <v>0</v>
      </c>
      <c r="CR65" s="1287"/>
      <c r="CS65" s="1277">
        <f>IF($A65="Software",SUM($H65:CA65),0)</f>
        <v>0</v>
      </c>
      <c r="CT65" s="1277">
        <f>IF($A65="Software",IF($G65="Opex",SUMIF('Monthly Summary'!$C$75:BV$75,"",$H65:CA65),SUMIF('Monthly Summary'!$C$74:BV$74,"",$H65:CA65)),0)</f>
        <v>0</v>
      </c>
      <c r="CU65" s="1286">
        <f t="shared" si="12"/>
        <v>0</v>
      </c>
      <c r="CV65" s="1287"/>
      <c r="CW65" s="1277">
        <f t="shared" si="19"/>
        <v>0</v>
      </c>
      <c r="CX65" s="1277">
        <f t="shared" si="20"/>
        <v>0</v>
      </c>
      <c r="CY65" s="1286">
        <f t="shared" si="13"/>
        <v>0</v>
      </c>
      <c r="CZ65" s="1287"/>
      <c r="DA65" s="1286">
        <f>IF($G65="Opex",SUMIF('Monthly Summary'!$C$75:BV$75,"",$H65:CA65),SUMIF('Monthly Summary'!$C$74:BV$74,"",$H65:CA65))</f>
        <v>0</v>
      </c>
      <c r="DB65" s="1278">
        <f t="shared" si="21"/>
        <v>0</v>
      </c>
      <c r="DC65" s="1279">
        <f>IF(AND(OR($D65=Variables!A$38,$D65=Variables!A$43),$F65&lt;&gt;"N/A"),1,0)</f>
        <v>0</v>
      </c>
      <c r="DD65" s="820"/>
      <c r="DE65" s="1281" t="str">
        <f t="shared" si="15"/>
        <v/>
      </c>
      <c r="DF65" s="1282" t="str">
        <f t="shared" si="16"/>
        <v/>
      </c>
      <c r="DG65" s="1282" t="str">
        <f t="shared" si="17"/>
        <v/>
      </c>
      <c r="DH65" s="1282" t="str">
        <f>IF(ISNA(VLOOKUP(DE65,Miscellaneous!E:F,2,0)),"",VLOOKUP(DE65,Miscellaneous!E:F,2,0))</f>
        <v/>
      </c>
      <c r="DI65" s="1282" t="str">
        <f t="shared" si="18"/>
        <v/>
      </c>
      <c r="DJ65" s="1283">
        <f>IF($DI65="Opex",SUMIF('Monthly Summary'!$C$75:$N$75,"",H65:S65),SUMIF('Monthly Summary'!$C$74:$N$74,"",H65:S65))</f>
        <v>0</v>
      </c>
      <c r="DK65" s="1283">
        <f>IF($DI65="Opex",SUMIF('Monthly Summary'!$O$75:$Z$75,"",T65:AE65),SUMIF('Monthly Summary'!$O$74:$Z$74,"",T65:AE65))</f>
        <v>0</v>
      </c>
      <c r="DL65" s="1283">
        <f>IF($DI65="Opex",SUMIF('Monthly Summary'!$AA$75:$AL$75,"",AF65:AQ65),SUMIF('Monthly Summary'!$AA$74:$AL$74,"",AF65:AQ65))</f>
        <v>0</v>
      </c>
      <c r="DM65" s="1283">
        <f>IF($DI65="Opex",SUMIF('Monthly Summary'!$AM$75:$AX$75,"",AR65:BC65),SUMIF('Monthly Summary'!$AM$74:$AX$74,"",AR65:BC65))</f>
        <v>0</v>
      </c>
      <c r="DN65" s="1283">
        <f>IF($DI65="Opex",SUMIF('Monthly Summary'!$AY$75:$BJ$75,"",BD65:BO65),SUMIF('Monthly Summary'!$AY$74:$BJ$74,"",BD65:BO65))</f>
        <v>0</v>
      </c>
      <c r="DO65" s="1284">
        <f>IF($DI65="Opex",SUMIF('Monthly Summary'!$BK$75:$BV$75,"",BP65:CA65),SUMIF('Monthly Summary'!$BK$74:$BV$74,"",BP65:CA65))</f>
        <v>0</v>
      </c>
      <c r="DP65" s="1285">
        <f t="shared" si="14"/>
        <v>0</v>
      </c>
    </row>
    <row r="66" spans="1:120" s="813" customFormat="1">
      <c r="A66" s="1261"/>
      <c r="B66" s="1261"/>
      <c r="C66" s="1261"/>
      <c r="D66" s="1262"/>
      <c r="E66" s="1271"/>
      <c r="F66" s="1263"/>
      <c r="G66" s="1263"/>
      <c r="H66" s="1267"/>
      <c r="I66" s="1268"/>
      <c r="J66" s="1268"/>
      <c r="K66" s="1268"/>
      <c r="L66" s="1268"/>
      <c r="M66" s="1268"/>
      <c r="N66" s="1268"/>
      <c r="O66" s="1268"/>
      <c r="P66" s="1268"/>
      <c r="Q66" s="1268"/>
      <c r="R66" s="1268"/>
      <c r="S66" s="1269"/>
      <c r="T66" s="1267"/>
      <c r="U66" s="1268"/>
      <c r="V66" s="1268"/>
      <c r="W66" s="1268"/>
      <c r="X66" s="1268"/>
      <c r="Y66" s="1268"/>
      <c r="Z66" s="1268"/>
      <c r="AA66" s="1268"/>
      <c r="AB66" s="1268"/>
      <c r="AC66" s="1268"/>
      <c r="AD66" s="1268"/>
      <c r="AE66" s="1269"/>
      <c r="AF66" s="1267"/>
      <c r="AG66" s="1268"/>
      <c r="AH66" s="1268"/>
      <c r="AI66" s="1268"/>
      <c r="AJ66" s="1268"/>
      <c r="AK66" s="1268"/>
      <c r="AL66" s="1268"/>
      <c r="AM66" s="1268"/>
      <c r="AN66" s="1268"/>
      <c r="AO66" s="1268"/>
      <c r="AP66" s="1268"/>
      <c r="AQ66" s="1269"/>
      <c r="AR66" s="1267"/>
      <c r="AS66" s="1268"/>
      <c r="AT66" s="1268"/>
      <c r="AU66" s="1268"/>
      <c r="AV66" s="1268"/>
      <c r="AW66" s="1268"/>
      <c r="AX66" s="1268"/>
      <c r="AY66" s="1268"/>
      <c r="AZ66" s="1268"/>
      <c r="BA66" s="1268"/>
      <c r="BB66" s="1268"/>
      <c r="BC66" s="1269"/>
      <c r="BD66" s="1267"/>
      <c r="BE66" s="1268"/>
      <c r="BF66" s="1268"/>
      <c r="BG66" s="1268"/>
      <c r="BH66" s="1268"/>
      <c r="BI66" s="1268"/>
      <c r="BJ66" s="1268"/>
      <c r="BK66" s="1268"/>
      <c r="BL66" s="1268"/>
      <c r="BM66" s="1268"/>
      <c r="BN66" s="1268"/>
      <c r="BO66" s="1269"/>
      <c r="BP66" s="1267"/>
      <c r="BQ66" s="1268"/>
      <c r="BR66" s="1268"/>
      <c r="BS66" s="1268"/>
      <c r="BT66" s="1268"/>
      <c r="BU66" s="1268"/>
      <c r="BV66" s="1268"/>
      <c r="BW66" s="1268"/>
      <c r="BX66" s="1268"/>
      <c r="BY66" s="1268"/>
      <c r="BZ66" s="1268"/>
      <c r="CA66" s="1269"/>
      <c r="CB66" s="1286">
        <f t="shared" si="7"/>
        <v>0</v>
      </c>
      <c r="CC66" s="1277">
        <f>IF($F66=Miscellaneous!$N$8,SUM($H66:CA66),0)</f>
        <v>0</v>
      </c>
      <c r="CD66" s="1277">
        <f>IF($F66=Miscellaneous!$N$8,IF($G66="Opex",SUMIF('Monthly Summary'!$C$75:BV$75,"",$H66:CA66),SUMIF('Monthly Summary'!$C$74:BV$74,"",$H66:CA66)),0)</f>
        <v>0</v>
      </c>
      <c r="CE66" s="1286">
        <f t="shared" si="8"/>
        <v>0</v>
      </c>
      <c r="CF66" s="1287"/>
      <c r="CG66" s="1277">
        <f>IF($F66=Miscellaneous!$N$9,SUM($H66:CA66),0)</f>
        <v>0</v>
      </c>
      <c r="CH66" s="1277">
        <f>IF($F66=Miscellaneous!$N$9,IF($G66="Opex",SUMIF('Monthly Summary'!$C$75:BV$75,"",$H66:CA66),SUMIF('Monthly Summary'!$C$74:BV$74,"",$H66:CA66)),0)</f>
        <v>0</v>
      </c>
      <c r="CI66" s="1286">
        <f t="shared" si="9"/>
        <v>0</v>
      </c>
      <c r="CJ66" s="1287"/>
      <c r="CK66" s="1277">
        <f>IF($F66=Miscellaneous!$N$7,SUM($H66:CA66),0)</f>
        <v>0</v>
      </c>
      <c r="CL66" s="1277">
        <f>IF($F66=Miscellaneous!$N$7,IF($G66="Opex",SUMIF('Monthly Summary'!$C$75:BV$75,"",$H66:CA66),SUMIF('Monthly Summary'!$C$74:BV$74,"",$H66:CA66)),0)</f>
        <v>0</v>
      </c>
      <c r="CM66" s="1286">
        <f t="shared" si="10"/>
        <v>0</v>
      </c>
      <c r="CN66" s="1287"/>
      <c r="CO66" s="1277">
        <f>IF($F66=Miscellaneous!$N$6,SUM($H66:CA66),0)</f>
        <v>0</v>
      </c>
      <c r="CP66" s="1277">
        <f>IF($F66=Miscellaneous!$N$6,IF($G66="Opex",SUMIF('Monthly Summary'!$C$75:BV$75,"",$H66:CA66),SUMIF('Monthly Summary'!$C$74:BV$74,"",$H66:CA66)),0)</f>
        <v>0</v>
      </c>
      <c r="CQ66" s="1286">
        <f t="shared" si="11"/>
        <v>0</v>
      </c>
      <c r="CR66" s="1287"/>
      <c r="CS66" s="1277">
        <f>IF($A66="Software",SUM($H66:CA66),0)</f>
        <v>0</v>
      </c>
      <c r="CT66" s="1277">
        <f>IF($A66="Software",IF($G66="Opex",SUMIF('Monthly Summary'!$C$75:BV$75,"",$H66:CA66),SUMIF('Monthly Summary'!$C$74:BV$74,"",$H66:CA66)),0)</f>
        <v>0</v>
      </c>
      <c r="CU66" s="1286">
        <f t="shared" si="12"/>
        <v>0</v>
      </c>
      <c r="CV66" s="1287"/>
      <c r="CW66" s="1277">
        <f t="shared" si="19"/>
        <v>0</v>
      </c>
      <c r="CX66" s="1277">
        <f t="shared" si="20"/>
        <v>0</v>
      </c>
      <c r="CY66" s="1286">
        <f t="shared" si="13"/>
        <v>0</v>
      </c>
      <c r="CZ66" s="1287"/>
      <c r="DA66" s="1286">
        <f>IF($G66="Opex",SUMIF('Monthly Summary'!$C$75:BV$75,"",$H66:CA66),SUMIF('Monthly Summary'!$C$74:BV$74,"",$H66:CA66))</f>
        <v>0</v>
      </c>
      <c r="DB66" s="1278">
        <f t="shared" si="21"/>
        <v>0</v>
      </c>
      <c r="DC66" s="1279">
        <f>IF(AND(OR($D66=Variables!A$38,$D66=Variables!A$43),$F66&lt;&gt;"N/A"),1,0)</f>
        <v>0</v>
      </c>
      <c r="DD66" s="820"/>
      <c r="DE66" s="1281" t="str">
        <f t="shared" si="15"/>
        <v/>
      </c>
      <c r="DF66" s="1282" t="str">
        <f t="shared" si="16"/>
        <v/>
      </c>
      <c r="DG66" s="1282" t="str">
        <f t="shared" si="17"/>
        <v/>
      </c>
      <c r="DH66" s="1282" t="str">
        <f>IF(ISNA(VLOOKUP(DE66,Miscellaneous!E:F,2,0)),"",VLOOKUP(DE66,Miscellaneous!E:F,2,0))</f>
        <v/>
      </c>
      <c r="DI66" s="1282" t="str">
        <f t="shared" si="18"/>
        <v/>
      </c>
      <c r="DJ66" s="1283">
        <f>IF($DI66="Opex",SUMIF('Monthly Summary'!$C$75:$N$75,"",H66:S66),SUMIF('Monthly Summary'!$C$74:$N$74,"",H66:S66))</f>
        <v>0</v>
      </c>
      <c r="DK66" s="1283">
        <f>IF($DI66="Opex",SUMIF('Monthly Summary'!$O$75:$Z$75,"",T66:AE66),SUMIF('Monthly Summary'!$O$74:$Z$74,"",T66:AE66))</f>
        <v>0</v>
      </c>
      <c r="DL66" s="1283">
        <f>IF($DI66="Opex",SUMIF('Monthly Summary'!$AA$75:$AL$75,"",AF66:AQ66),SUMIF('Monthly Summary'!$AA$74:$AL$74,"",AF66:AQ66))</f>
        <v>0</v>
      </c>
      <c r="DM66" s="1283">
        <f>IF($DI66="Opex",SUMIF('Monthly Summary'!$AM$75:$AX$75,"",AR66:BC66),SUMIF('Monthly Summary'!$AM$74:$AX$74,"",AR66:BC66))</f>
        <v>0</v>
      </c>
      <c r="DN66" s="1283">
        <f>IF($DI66="Opex",SUMIF('Monthly Summary'!$AY$75:$BJ$75,"",BD66:BO66),SUMIF('Monthly Summary'!$AY$74:$BJ$74,"",BD66:BO66))</f>
        <v>0</v>
      </c>
      <c r="DO66" s="1284">
        <f>IF($DI66="Opex",SUMIF('Monthly Summary'!$BK$75:$BV$75,"",BP66:CA66),SUMIF('Monthly Summary'!$BK$74:$BV$74,"",BP66:CA66))</f>
        <v>0</v>
      </c>
      <c r="DP66" s="1285">
        <f t="shared" si="14"/>
        <v>0</v>
      </c>
    </row>
    <row r="67" spans="1:120" s="813" customFormat="1">
      <c r="A67" s="1261"/>
      <c r="B67" s="1261"/>
      <c r="C67" s="1261"/>
      <c r="D67" s="1262"/>
      <c r="E67" s="1263"/>
      <c r="F67" s="1263"/>
      <c r="G67" s="1263"/>
      <c r="H67" s="1267"/>
      <c r="I67" s="1268"/>
      <c r="J67" s="1268"/>
      <c r="K67" s="1268"/>
      <c r="L67" s="1268"/>
      <c r="M67" s="1268"/>
      <c r="N67" s="1268"/>
      <c r="O67" s="1268"/>
      <c r="P67" s="1268"/>
      <c r="Q67" s="1268"/>
      <c r="R67" s="1268"/>
      <c r="S67" s="1269"/>
      <c r="T67" s="1267"/>
      <c r="U67" s="1268"/>
      <c r="V67" s="1268"/>
      <c r="W67" s="1268"/>
      <c r="X67" s="1268"/>
      <c r="Y67" s="1268"/>
      <c r="Z67" s="1268"/>
      <c r="AA67" s="1268"/>
      <c r="AB67" s="1268"/>
      <c r="AC67" s="1268"/>
      <c r="AD67" s="1268"/>
      <c r="AE67" s="1269"/>
      <c r="AF67" s="1267"/>
      <c r="AG67" s="1268"/>
      <c r="AH67" s="1268"/>
      <c r="AI67" s="1268"/>
      <c r="AJ67" s="1268"/>
      <c r="AK67" s="1268"/>
      <c r="AL67" s="1268"/>
      <c r="AM67" s="1268"/>
      <c r="AN67" s="1268"/>
      <c r="AO67" s="1268"/>
      <c r="AP67" s="1268"/>
      <c r="AQ67" s="1269"/>
      <c r="AR67" s="1267"/>
      <c r="AS67" s="1268"/>
      <c r="AT67" s="1268"/>
      <c r="AU67" s="1268"/>
      <c r="AV67" s="1268"/>
      <c r="AW67" s="1268"/>
      <c r="AX67" s="1268"/>
      <c r="AY67" s="1268"/>
      <c r="AZ67" s="1268"/>
      <c r="BA67" s="1268"/>
      <c r="BB67" s="1268"/>
      <c r="BC67" s="1269"/>
      <c r="BD67" s="1267"/>
      <c r="BE67" s="1268"/>
      <c r="BF67" s="1268"/>
      <c r="BG67" s="1268"/>
      <c r="BH67" s="1268"/>
      <c r="BI67" s="1268"/>
      <c r="BJ67" s="1268"/>
      <c r="BK67" s="1268"/>
      <c r="BL67" s="1268"/>
      <c r="BM67" s="1268"/>
      <c r="BN67" s="1268"/>
      <c r="BO67" s="1269"/>
      <c r="BP67" s="1267"/>
      <c r="BQ67" s="1268"/>
      <c r="BR67" s="1268"/>
      <c r="BS67" s="1268"/>
      <c r="BT67" s="1268"/>
      <c r="BU67" s="1268"/>
      <c r="BV67" s="1268"/>
      <c r="BW67" s="1268"/>
      <c r="BX67" s="1268"/>
      <c r="BY67" s="1268"/>
      <c r="BZ67" s="1268"/>
      <c r="CA67" s="1269"/>
      <c r="CB67" s="1286">
        <f t="shared" si="7"/>
        <v>0</v>
      </c>
      <c r="CC67" s="1277">
        <f>IF($F67=Miscellaneous!$N$8,SUM($H67:CA67),0)</f>
        <v>0</v>
      </c>
      <c r="CD67" s="1277">
        <f>IF($F67=Miscellaneous!$N$8,IF($G67="Opex",SUMIF('Monthly Summary'!$C$75:BV$75,"",$H67:CA67),SUMIF('Monthly Summary'!$C$74:BV$74,"",$H67:CA67)),0)</f>
        <v>0</v>
      </c>
      <c r="CE67" s="1286">
        <f t="shared" si="8"/>
        <v>0</v>
      </c>
      <c r="CF67" s="1287"/>
      <c r="CG67" s="1277">
        <f>IF($F67=Miscellaneous!$N$9,SUM($H67:CA67),0)</f>
        <v>0</v>
      </c>
      <c r="CH67" s="1277">
        <f>IF($F67=Miscellaneous!$N$9,IF($G67="Opex",SUMIF('Monthly Summary'!$C$75:BV$75,"",$H67:CA67),SUMIF('Monthly Summary'!$C$74:BV$74,"",$H67:CA67)),0)</f>
        <v>0</v>
      </c>
      <c r="CI67" s="1286">
        <f t="shared" si="9"/>
        <v>0</v>
      </c>
      <c r="CJ67" s="1287"/>
      <c r="CK67" s="1277">
        <f>IF($F67=Miscellaneous!$N$7,SUM($H67:CA67),0)</f>
        <v>0</v>
      </c>
      <c r="CL67" s="1277">
        <f>IF($F67=Miscellaneous!$N$7,IF($G67="Opex",SUMIF('Monthly Summary'!$C$75:BV$75,"",$H67:CA67),SUMIF('Monthly Summary'!$C$74:BV$74,"",$H67:CA67)),0)</f>
        <v>0</v>
      </c>
      <c r="CM67" s="1286">
        <f t="shared" si="10"/>
        <v>0</v>
      </c>
      <c r="CN67" s="1287"/>
      <c r="CO67" s="1277">
        <f>IF($F67=Miscellaneous!$N$6,SUM($H67:CA67),0)</f>
        <v>0</v>
      </c>
      <c r="CP67" s="1277">
        <f>IF($F67=Miscellaneous!$N$6,IF($G67="Opex",SUMIF('Monthly Summary'!$C$75:BV$75,"",$H67:CA67),SUMIF('Monthly Summary'!$C$74:BV$74,"",$H67:CA67)),0)</f>
        <v>0</v>
      </c>
      <c r="CQ67" s="1286">
        <f t="shared" si="11"/>
        <v>0</v>
      </c>
      <c r="CR67" s="1287"/>
      <c r="CS67" s="1277">
        <f>IF($A67="Software",SUM($H67:CA67),0)</f>
        <v>0</v>
      </c>
      <c r="CT67" s="1277">
        <f>IF($A67="Software",IF($G67="Opex",SUMIF('Monthly Summary'!$C$75:BV$75,"",$H67:CA67),SUMIF('Monthly Summary'!$C$74:BV$74,"",$H67:CA67)),0)</f>
        <v>0</v>
      </c>
      <c r="CU67" s="1286">
        <f t="shared" si="12"/>
        <v>0</v>
      </c>
      <c r="CV67" s="1287"/>
      <c r="CW67" s="1277">
        <f t="shared" si="19"/>
        <v>0</v>
      </c>
      <c r="CX67" s="1277">
        <f t="shared" si="20"/>
        <v>0</v>
      </c>
      <c r="CY67" s="1286">
        <f t="shared" si="13"/>
        <v>0</v>
      </c>
      <c r="CZ67" s="1287"/>
      <c r="DA67" s="1286">
        <f>IF($G67="Opex",SUMIF('Monthly Summary'!$C$75:BV$75,"",$H67:CA67),SUMIF('Monthly Summary'!$C$74:BV$74,"",$H67:CA67))</f>
        <v>0</v>
      </c>
      <c r="DB67" s="1278">
        <f t="shared" si="21"/>
        <v>0</v>
      </c>
      <c r="DC67" s="1279">
        <f>IF(AND(OR($D67=Variables!A$38,$D67=Variables!A$43),$F67&lt;&gt;"N/A"),1,0)</f>
        <v>0</v>
      </c>
      <c r="DD67" s="820"/>
      <c r="DE67" s="1281" t="str">
        <f t="shared" si="15"/>
        <v/>
      </c>
      <c r="DF67" s="1282" t="str">
        <f t="shared" si="16"/>
        <v/>
      </c>
      <c r="DG67" s="1282" t="str">
        <f t="shared" si="17"/>
        <v/>
      </c>
      <c r="DH67" s="1282" t="str">
        <f>IF(ISNA(VLOOKUP(DE67,Miscellaneous!E:F,2,0)),"",VLOOKUP(DE67,Miscellaneous!E:F,2,0))</f>
        <v/>
      </c>
      <c r="DI67" s="1282" t="str">
        <f t="shared" si="18"/>
        <v/>
      </c>
      <c r="DJ67" s="1283">
        <f>IF($DI67="Opex",SUMIF('Monthly Summary'!$C$75:$N$75,"",H67:S67),SUMIF('Monthly Summary'!$C$74:$N$74,"",H67:S67))</f>
        <v>0</v>
      </c>
      <c r="DK67" s="1283">
        <f>IF($DI67="Opex",SUMIF('Monthly Summary'!$O$75:$Z$75,"",T67:AE67),SUMIF('Monthly Summary'!$O$74:$Z$74,"",T67:AE67))</f>
        <v>0</v>
      </c>
      <c r="DL67" s="1283">
        <f>IF($DI67="Opex",SUMIF('Monthly Summary'!$AA$75:$AL$75,"",AF67:AQ67),SUMIF('Monthly Summary'!$AA$74:$AL$74,"",AF67:AQ67))</f>
        <v>0</v>
      </c>
      <c r="DM67" s="1283">
        <f>IF($DI67="Opex",SUMIF('Monthly Summary'!$AM$75:$AX$75,"",AR67:BC67),SUMIF('Monthly Summary'!$AM$74:$AX$74,"",AR67:BC67))</f>
        <v>0</v>
      </c>
      <c r="DN67" s="1283">
        <f>IF($DI67="Opex",SUMIF('Monthly Summary'!$AY$75:$BJ$75,"",BD67:BO67),SUMIF('Monthly Summary'!$AY$74:$BJ$74,"",BD67:BO67))</f>
        <v>0</v>
      </c>
      <c r="DO67" s="1284">
        <f>IF($DI67="Opex",SUMIF('Monthly Summary'!$BK$75:$BV$75,"",BP67:CA67),SUMIF('Monthly Summary'!$BK$74:$BV$74,"",BP67:CA67))</f>
        <v>0</v>
      </c>
      <c r="DP67" s="1285">
        <f t="shared" si="14"/>
        <v>0</v>
      </c>
    </row>
    <row r="68" spans="1:120" s="813" customFormat="1">
      <c r="A68" s="1261"/>
      <c r="B68" s="1261"/>
      <c r="C68" s="1261"/>
      <c r="D68" s="1262"/>
      <c r="E68" s="1263"/>
      <c r="F68" s="1263"/>
      <c r="G68" s="1263"/>
      <c r="H68" s="1267"/>
      <c r="I68" s="1268"/>
      <c r="J68" s="1268"/>
      <c r="K68" s="1268"/>
      <c r="L68" s="1268"/>
      <c r="M68" s="1268"/>
      <c r="N68" s="1268"/>
      <c r="O68" s="1268"/>
      <c r="P68" s="1268"/>
      <c r="Q68" s="1268"/>
      <c r="R68" s="1268"/>
      <c r="S68" s="1269"/>
      <c r="T68" s="1267"/>
      <c r="U68" s="1268"/>
      <c r="V68" s="1268"/>
      <c r="W68" s="1268"/>
      <c r="X68" s="1268"/>
      <c r="Y68" s="1268"/>
      <c r="Z68" s="1268"/>
      <c r="AA68" s="1268"/>
      <c r="AB68" s="1268"/>
      <c r="AC68" s="1268"/>
      <c r="AD68" s="1268"/>
      <c r="AE68" s="1269"/>
      <c r="AF68" s="1267"/>
      <c r="AG68" s="1268"/>
      <c r="AH68" s="1268"/>
      <c r="AI68" s="1268"/>
      <c r="AJ68" s="1268"/>
      <c r="AK68" s="1268"/>
      <c r="AL68" s="1268"/>
      <c r="AM68" s="1268"/>
      <c r="AN68" s="1268"/>
      <c r="AO68" s="1268"/>
      <c r="AP68" s="1268"/>
      <c r="AQ68" s="1269"/>
      <c r="AR68" s="1267"/>
      <c r="AS68" s="1268"/>
      <c r="AT68" s="1268"/>
      <c r="AU68" s="1268"/>
      <c r="AV68" s="1268"/>
      <c r="AW68" s="1268"/>
      <c r="AX68" s="1268"/>
      <c r="AY68" s="1268"/>
      <c r="AZ68" s="1268"/>
      <c r="BA68" s="1268"/>
      <c r="BB68" s="1268"/>
      <c r="BC68" s="1269"/>
      <c r="BD68" s="1267"/>
      <c r="BE68" s="1268"/>
      <c r="BF68" s="1268"/>
      <c r="BG68" s="1268"/>
      <c r="BH68" s="1268"/>
      <c r="BI68" s="1268"/>
      <c r="BJ68" s="1268"/>
      <c r="BK68" s="1268"/>
      <c r="BL68" s="1268"/>
      <c r="BM68" s="1268"/>
      <c r="BN68" s="1268"/>
      <c r="BO68" s="1269"/>
      <c r="BP68" s="1267"/>
      <c r="BQ68" s="1268"/>
      <c r="BR68" s="1268"/>
      <c r="BS68" s="1268"/>
      <c r="BT68" s="1268"/>
      <c r="BU68" s="1268"/>
      <c r="BV68" s="1268"/>
      <c r="BW68" s="1268"/>
      <c r="BX68" s="1268"/>
      <c r="BY68" s="1268"/>
      <c r="BZ68" s="1268"/>
      <c r="CA68" s="1269"/>
      <c r="CB68" s="1286">
        <f t="shared" si="7"/>
        <v>0</v>
      </c>
      <c r="CC68" s="1277">
        <f>IF($F68=Miscellaneous!$N$8,SUM($H68:CA68),0)</f>
        <v>0</v>
      </c>
      <c r="CD68" s="1277">
        <f>IF($F68=Miscellaneous!$N$8,IF($G68="Opex",SUMIF('Monthly Summary'!$C$75:BV$75,"",$H68:CA68),SUMIF('Monthly Summary'!$C$74:BV$74,"",$H68:CA68)),0)</f>
        <v>0</v>
      </c>
      <c r="CE68" s="1286">
        <f t="shared" si="8"/>
        <v>0</v>
      </c>
      <c r="CF68" s="1287"/>
      <c r="CG68" s="1277">
        <f>IF($F68=Miscellaneous!$N$9,SUM($H68:CA68),0)</f>
        <v>0</v>
      </c>
      <c r="CH68" s="1277">
        <f>IF($F68=Miscellaneous!$N$9,IF($G68="Opex",SUMIF('Monthly Summary'!$C$75:BV$75,"",$H68:CA68),SUMIF('Monthly Summary'!$C$74:BV$74,"",$H68:CA68)),0)</f>
        <v>0</v>
      </c>
      <c r="CI68" s="1286">
        <f t="shared" si="9"/>
        <v>0</v>
      </c>
      <c r="CJ68" s="1287"/>
      <c r="CK68" s="1277">
        <f>IF($F68=Miscellaneous!$N$7,SUM($H68:CA68),0)</f>
        <v>0</v>
      </c>
      <c r="CL68" s="1277">
        <f>IF($F68=Miscellaneous!$N$7,IF($G68="Opex",SUMIF('Monthly Summary'!$C$75:BV$75,"",$H68:CA68),SUMIF('Monthly Summary'!$C$74:BV$74,"",$H68:CA68)),0)</f>
        <v>0</v>
      </c>
      <c r="CM68" s="1286">
        <f t="shared" si="10"/>
        <v>0</v>
      </c>
      <c r="CN68" s="1287"/>
      <c r="CO68" s="1277">
        <f>IF($F68=Miscellaneous!$N$6,SUM($H68:CA68),0)</f>
        <v>0</v>
      </c>
      <c r="CP68" s="1277">
        <f>IF($F68=Miscellaneous!$N$6,IF($G68="Opex",SUMIF('Monthly Summary'!$C$75:BV$75,"",$H68:CA68),SUMIF('Monthly Summary'!$C$74:BV$74,"",$H68:CA68)),0)</f>
        <v>0</v>
      </c>
      <c r="CQ68" s="1286">
        <f t="shared" si="11"/>
        <v>0</v>
      </c>
      <c r="CR68" s="1287"/>
      <c r="CS68" s="1277">
        <f>IF($A68="Software",SUM($H68:CA68),0)</f>
        <v>0</v>
      </c>
      <c r="CT68" s="1277">
        <f>IF($A68="Software",IF($G68="Opex",SUMIF('Monthly Summary'!$C$75:BV$75,"",$H68:CA68),SUMIF('Monthly Summary'!$C$74:BV$74,"",$H68:CA68)),0)</f>
        <v>0</v>
      </c>
      <c r="CU68" s="1286">
        <f t="shared" si="12"/>
        <v>0</v>
      </c>
      <c r="CV68" s="1287"/>
      <c r="CW68" s="1277">
        <f t="shared" si="19"/>
        <v>0</v>
      </c>
      <c r="CX68" s="1277">
        <f t="shared" si="20"/>
        <v>0</v>
      </c>
      <c r="CY68" s="1286">
        <f t="shared" si="13"/>
        <v>0</v>
      </c>
      <c r="CZ68" s="1287"/>
      <c r="DA68" s="1286">
        <f>IF($G68="Opex",SUMIF('Monthly Summary'!$C$75:BV$75,"",$H68:CA68),SUMIF('Monthly Summary'!$C$74:BV$74,"",$H68:CA68))</f>
        <v>0</v>
      </c>
      <c r="DB68" s="1278">
        <f t="shared" si="21"/>
        <v>0</v>
      </c>
      <c r="DC68" s="1279">
        <f>IF(AND(OR($D68=Variables!A$38,$D68=Variables!A$43),$F68&lt;&gt;"N/A"),1,0)</f>
        <v>0</v>
      </c>
      <c r="DD68" s="820"/>
      <c r="DE68" s="1281" t="str">
        <f t="shared" si="15"/>
        <v/>
      </c>
      <c r="DF68" s="1282" t="str">
        <f t="shared" si="16"/>
        <v/>
      </c>
      <c r="DG68" s="1282" t="str">
        <f t="shared" si="17"/>
        <v/>
      </c>
      <c r="DH68" s="1282" t="str">
        <f>IF(ISNA(VLOOKUP(DE68,Miscellaneous!E:F,2,0)),"",VLOOKUP(DE68,Miscellaneous!E:F,2,0))</f>
        <v/>
      </c>
      <c r="DI68" s="1282" t="str">
        <f t="shared" si="18"/>
        <v/>
      </c>
      <c r="DJ68" s="1283">
        <f>IF($DI68="Opex",SUMIF('Monthly Summary'!$C$75:$N$75,"",H68:S68),SUMIF('Monthly Summary'!$C$74:$N$74,"",H68:S68))</f>
        <v>0</v>
      </c>
      <c r="DK68" s="1283">
        <f>IF($DI68="Opex",SUMIF('Monthly Summary'!$O$75:$Z$75,"",T68:AE68),SUMIF('Monthly Summary'!$O$74:$Z$74,"",T68:AE68))</f>
        <v>0</v>
      </c>
      <c r="DL68" s="1283">
        <f>IF($DI68="Opex",SUMIF('Monthly Summary'!$AA$75:$AL$75,"",AF68:AQ68),SUMIF('Monthly Summary'!$AA$74:$AL$74,"",AF68:AQ68))</f>
        <v>0</v>
      </c>
      <c r="DM68" s="1283">
        <f>IF($DI68="Opex",SUMIF('Monthly Summary'!$AM$75:$AX$75,"",AR68:BC68),SUMIF('Monthly Summary'!$AM$74:$AX$74,"",AR68:BC68))</f>
        <v>0</v>
      </c>
      <c r="DN68" s="1283">
        <f>IF($DI68="Opex",SUMIF('Monthly Summary'!$AY$75:$BJ$75,"",BD68:BO68),SUMIF('Monthly Summary'!$AY$74:$BJ$74,"",BD68:BO68))</f>
        <v>0</v>
      </c>
      <c r="DO68" s="1284">
        <f>IF($DI68="Opex",SUMIF('Monthly Summary'!$BK$75:$BV$75,"",BP68:CA68),SUMIF('Monthly Summary'!$BK$74:$BV$74,"",BP68:CA68))</f>
        <v>0</v>
      </c>
      <c r="DP68" s="1285">
        <f t="shared" si="14"/>
        <v>0</v>
      </c>
    </row>
    <row r="69" spans="1:120" s="813" customFormat="1">
      <c r="A69" s="1261"/>
      <c r="B69" s="1261"/>
      <c r="C69" s="1261"/>
      <c r="D69" s="1262"/>
      <c r="E69" s="1270"/>
      <c r="F69" s="1263"/>
      <c r="G69" s="1263"/>
      <c r="H69" s="1267"/>
      <c r="I69" s="1268"/>
      <c r="J69" s="1268"/>
      <c r="K69" s="1268"/>
      <c r="L69" s="1268"/>
      <c r="M69" s="1268"/>
      <c r="N69" s="1268"/>
      <c r="O69" s="1268"/>
      <c r="P69" s="1268"/>
      <c r="Q69" s="1268"/>
      <c r="R69" s="1268"/>
      <c r="S69" s="1269"/>
      <c r="T69" s="1267"/>
      <c r="U69" s="1268"/>
      <c r="V69" s="1268"/>
      <c r="W69" s="1268"/>
      <c r="X69" s="1268"/>
      <c r="Y69" s="1268"/>
      <c r="Z69" s="1268"/>
      <c r="AA69" s="1268"/>
      <c r="AB69" s="1268"/>
      <c r="AC69" s="1268"/>
      <c r="AD69" s="1268"/>
      <c r="AE69" s="1269"/>
      <c r="AF69" s="1267"/>
      <c r="AG69" s="1268"/>
      <c r="AH69" s="1268"/>
      <c r="AI69" s="1268"/>
      <c r="AJ69" s="1268"/>
      <c r="AK69" s="1268"/>
      <c r="AL69" s="1268"/>
      <c r="AM69" s="1268"/>
      <c r="AN69" s="1268"/>
      <c r="AO69" s="1268"/>
      <c r="AP69" s="1268"/>
      <c r="AQ69" s="1269"/>
      <c r="AR69" s="1267"/>
      <c r="AS69" s="1268"/>
      <c r="AT69" s="1268"/>
      <c r="AU69" s="1268"/>
      <c r="AV69" s="1268"/>
      <c r="AW69" s="1268"/>
      <c r="AX69" s="1268"/>
      <c r="AY69" s="1268"/>
      <c r="AZ69" s="1268"/>
      <c r="BA69" s="1268"/>
      <c r="BB69" s="1268"/>
      <c r="BC69" s="1269"/>
      <c r="BD69" s="1267"/>
      <c r="BE69" s="1268"/>
      <c r="BF69" s="1268"/>
      <c r="BG69" s="1268"/>
      <c r="BH69" s="1268"/>
      <c r="BI69" s="1268"/>
      <c r="BJ69" s="1268"/>
      <c r="BK69" s="1268"/>
      <c r="BL69" s="1268"/>
      <c r="BM69" s="1268"/>
      <c r="BN69" s="1268"/>
      <c r="BO69" s="1269"/>
      <c r="BP69" s="1267"/>
      <c r="BQ69" s="1268"/>
      <c r="BR69" s="1268"/>
      <c r="BS69" s="1268"/>
      <c r="BT69" s="1268"/>
      <c r="BU69" s="1268"/>
      <c r="BV69" s="1268"/>
      <c r="BW69" s="1268"/>
      <c r="BX69" s="1268"/>
      <c r="BY69" s="1268"/>
      <c r="BZ69" s="1268"/>
      <c r="CA69" s="1269"/>
      <c r="CB69" s="1286">
        <f t="shared" si="7"/>
        <v>0</v>
      </c>
      <c r="CC69" s="1277">
        <f>IF($F69=Miscellaneous!$N$8,SUM($H69:CA69),0)</f>
        <v>0</v>
      </c>
      <c r="CD69" s="1277">
        <f>IF($F69=Miscellaneous!$N$8,IF($G69="Opex",SUMIF('Monthly Summary'!$C$75:BV$75,"",$H69:CA69),SUMIF('Monthly Summary'!$C$74:BV$74,"",$H69:CA69)),0)</f>
        <v>0</v>
      </c>
      <c r="CE69" s="1286">
        <f t="shared" si="8"/>
        <v>0</v>
      </c>
      <c r="CF69" s="1287"/>
      <c r="CG69" s="1277">
        <f>IF($F69=Miscellaneous!$N$9,SUM($H69:CA69),0)</f>
        <v>0</v>
      </c>
      <c r="CH69" s="1277">
        <f>IF($F69=Miscellaneous!$N$9,IF($G69="Opex",SUMIF('Monthly Summary'!$C$75:BV$75,"",$H69:CA69),SUMIF('Monthly Summary'!$C$74:BV$74,"",$H69:CA69)),0)</f>
        <v>0</v>
      </c>
      <c r="CI69" s="1286">
        <f t="shared" si="9"/>
        <v>0</v>
      </c>
      <c r="CJ69" s="1287"/>
      <c r="CK69" s="1277">
        <f>IF($F69=Miscellaneous!$N$7,SUM($H69:CA69),0)</f>
        <v>0</v>
      </c>
      <c r="CL69" s="1277">
        <f>IF($F69=Miscellaneous!$N$7,IF($G69="Opex",SUMIF('Monthly Summary'!$C$75:BV$75,"",$H69:CA69),SUMIF('Monthly Summary'!$C$74:BV$74,"",$H69:CA69)),0)</f>
        <v>0</v>
      </c>
      <c r="CM69" s="1286">
        <f t="shared" si="10"/>
        <v>0</v>
      </c>
      <c r="CN69" s="1287"/>
      <c r="CO69" s="1277">
        <f>IF($F69=Miscellaneous!$N$6,SUM($H69:CA69),0)</f>
        <v>0</v>
      </c>
      <c r="CP69" s="1277">
        <f>IF($F69=Miscellaneous!$N$6,IF($G69="Opex",SUMIF('Monthly Summary'!$C$75:BV$75,"",$H69:CA69),SUMIF('Monthly Summary'!$C$74:BV$74,"",$H69:CA69)),0)</f>
        <v>0</v>
      </c>
      <c r="CQ69" s="1286">
        <f t="shared" si="11"/>
        <v>0</v>
      </c>
      <c r="CR69" s="1287"/>
      <c r="CS69" s="1277">
        <f>IF($A69="Software",SUM($H69:CA69),0)</f>
        <v>0</v>
      </c>
      <c r="CT69" s="1277">
        <f>IF($A69="Software",IF($G69="Opex",SUMIF('Monthly Summary'!$C$75:BV$75,"",$H69:CA69),SUMIF('Monthly Summary'!$C$74:BV$74,"",$H69:CA69)),0)</f>
        <v>0</v>
      </c>
      <c r="CU69" s="1286">
        <f t="shared" si="12"/>
        <v>0</v>
      </c>
      <c r="CV69" s="1287"/>
      <c r="CW69" s="1277">
        <f t="shared" ref="CW69:CW100" si="22">CB69-CC69-CG69-CK69-CO69-CS69</f>
        <v>0</v>
      </c>
      <c r="CX69" s="1277">
        <f t="shared" ref="CX69:CX100" si="23">DA69-CD69-CH69-CL69-CP69-CT69</f>
        <v>0</v>
      </c>
      <c r="CY69" s="1286">
        <f t="shared" si="13"/>
        <v>0</v>
      </c>
      <c r="CZ69" s="1287"/>
      <c r="DA69" s="1286">
        <f>IF($G69="Opex",SUMIF('Monthly Summary'!$C$75:BV$75,"",$H69:CA69),SUMIF('Monthly Summary'!$C$74:BV$74,"",$H69:CA69))</f>
        <v>0</v>
      </c>
      <c r="DB69" s="1278">
        <f t="shared" ref="DB69:DB100" si="24">IF(AND(IF(ISNA(VLOOKUP($C69,Opex_Rules,1,0)),FALSE,TRUE),$G69="Capex"),1,0)</f>
        <v>0</v>
      </c>
      <c r="DC69" s="1279">
        <f>IF(AND(OR($D69=Variables!A$38,$D69=Variables!A$43),$F69&lt;&gt;"N/A"),1,0)</f>
        <v>0</v>
      </c>
      <c r="DD69" s="820"/>
      <c r="DE69" s="1281" t="str">
        <f t="shared" si="15"/>
        <v/>
      </c>
      <c r="DF69" s="1282" t="str">
        <f t="shared" si="16"/>
        <v/>
      </c>
      <c r="DG69" s="1282" t="str">
        <f t="shared" si="17"/>
        <v/>
      </c>
      <c r="DH69" s="1282" t="str">
        <f>IF(ISNA(VLOOKUP(DE69,Miscellaneous!E:F,2,0)),"",VLOOKUP(DE69,Miscellaneous!E:F,2,0))</f>
        <v/>
      </c>
      <c r="DI69" s="1282" t="str">
        <f t="shared" si="18"/>
        <v/>
      </c>
      <c r="DJ69" s="1283">
        <f>IF($DI69="Opex",SUMIF('Monthly Summary'!$C$75:$N$75,"",H69:S69),SUMIF('Monthly Summary'!$C$74:$N$74,"",H69:S69))</f>
        <v>0</v>
      </c>
      <c r="DK69" s="1283">
        <f>IF($DI69="Opex",SUMIF('Monthly Summary'!$O$75:$Z$75,"",T69:AE69),SUMIF('Monthly Summary'!$O$74:$Z$74,"",T69:AE69))</f>
        <v>0</v>
      </c>
      <c r="DL69" s="1283">
        <f>IF($DI69="Opex",SUMIF('Monthly Summary'!$AA$75:$AL$75,"",AF69:AQ69),SUMIF('Monthly Summary'!$AA$74:$AL$74,"",AF69:AQ69))</f>
        <v>0</v>
      </c>
      <c r="DM69" s="1283">
        <f>IF($DI69="Opex",SUMIF('Monthly Summary'!$AM$75:$AX$75,"",AR69:BC69),SUMIF('Monthly Summary'!$AM$74:$AX$74,"",AR69:BC69))</f>
        <v>0</v>
      </c>
      <c r="DN69" s="1283">
        <f>IF($DI69="Opex",SUMIF('Monthly Summary'!$AY$75:$BJ$75,"",BD69:BO69),SUMIF('Monthly Summary'!$AY$74:$BJ$74,"",BD69:BO69))</f>
        <v>0</v>
      </c>
      <c r="DO69" s="1284">
        <f>IF($DI69="Opex",SUMIF('Monthly Summary'!$BK$75:$BV$75,"",BP69:CA69),SUMIF('Monthly Summary'!$BK$74:$BV$74,"",BP69:CA69))</f>
        <v>0</v>
      </c>
      <c r="DP69" s="1285">
        <f t="shared" si="14"/>
        <v>0</v>
      </c>
    </row>
    <row r="70" spans="1:120" s="813" customFormat="1">
      <c r="A70" s="1261"/>
      <c r="B70" s="1261"/>
      <c r="C70" s="1261"/>
      <c r="D70" s="1262"/>
      <c r="E70" s="1271"/>
      <c r="F70" s="1263"/>
      <c r="G70" s="1263"/>
      <c r="H70" s="1267"/>
      <c r="I70" s="1268"/>
      <c r="J70" s="1268"/>
      <c r="K70" s="1268"/>
      <c r="L70" s="1268"/>
      <c r="M70" s="1268"/>
      <c r="N70" s="1268"/>
      <c r="O70" s="1268"/>
      <c r="P70" s="1268"/>
      <c r="Q70" s="1268"/>
      <c r="R70" s="1268"/>
      <c r="S70" s="1269"/>
      <c r="T70" s="1267"/>
      <c r="U70" s="1268"/>
      <c r="V70" s="1268"/>
      <c r="W70" s="1268"/>
      <c r="X70" s="1268"/>
      <c r="Y70" s="1268"/>
      <c r="Z70" s="1268"/>
      <c r="AA70" s="1268"/>
      <c r="AB70" s="1268"/>
      <c r="AC70" s="1268"/>
      <c r="AD70" s="1268"/>
      <c r="AE70" s="1269"/>
      <c r="AF70" s="1267"/>
      <c r="AG70" s="1268"/>
      <c r="AH70" s="1268"/>
      <c r="AI70" s="1268"/>
      <c r="AJ70" s="1268"/>
      <c r="AK70" s="1268"/>
      <c r="AL70" s="1268"/>
      <c r="AM70" s="1268"/>
      <c r="AN70" s="1268"/>
      <c r="AO70" s="1268"/>
      <c r="AP70" s="1268"/>
      <c r="AQ70" s="1269"/>
      <c r="AR70" s="1267"/>
      <c r="AS70" s="1268"/>
      <c r="AT70" s="1268"/>
      <c r="AU70" s="1268"/>
      <c r="AV70" s="1268"/>
      <c r="AW70" s="1268"/>
      <c r="AX70" s="1268"/>
      <c r="AY70" s="1268"/>
      <c r="AZ70" s="1268"/>
      <c r="BA70" s="1268"/>
      <c r="BB70" s="1268"/>
      <c r="BC70" s="1269"/>
      <c r="BD70" s="1267"/>
      <c r="BE70" s="1268"/>
      <c r="BF70" s="1268"/>
      <c r="BG70" s="1268"/>
      <c r="BH70" s="1268"/>
      <c r="BI70" s="1268"/>
      <c r="BJ70" s="1268"/>
      <c r="BK70" s="1268"/>
      <c r="BL70" s="1268"/>
      <c r="BM70" s="1268"/>
      <c r="BN70" s="1268"/>
      <c r="BO70" s="1269"/>
      <c r="BP70" s="1267"/>
      <c r="BQ70" s="1268"/>
      <c r="BR70" s="1268"/>
      <c r="BS70" s="1268"/>
      <c r="BT70" s="1268"/>
      <c r="BU70" s="1268"/>
      <c r="BV70" s="1268"/>
      <c r="BW70" s="1268"/>
      <c r="BX70" s="1268"/>
      <c r="BY70" s="1268"/>
      <c r="BZ70" s="1268"/>
      <c r="CA70" s="1269"/>
      <c r="CB70" s="1286">
        <f t="shared" ref="CB70:CB133" si="25">SUM(H70:CA70)</f>
        <v>0</v>
      </c>
      <c r="CC70" s="1277">
        <f>IF($F70=Miscellaneous!$N$8,SUM($H70:CA70),0)</f>
        <v>0</v>
      </c>
      <c r="CD70" s="1277">
        <f>IF($F70=Miscellaneous!$N$8,IF($G70="Opex",SUMIF('Monthly Summary'!$C$75:BV$75,"",$H70:CA70),SUMIF('Monthly Summary'!$C$74:BV$74,"",$H70:CA70)),0)</f>
        <v>0</v>
      </c>
      <c r="CE70" s="1286">
        <f t="shared" ref="CE70:CE133" si="26">CC70-CD70</f>
        <v>0</v>
      </c>
      <c r="CF70" s="1287"/>
      <c r="CG70" s="1277">
        <f>IF($F70=Miscellaneous!$N$9,SUM($H70:CA70),0)</f>
        <v>0</v>
      </c>
      <c r="CH70" s="1277">
        <f>IF($F70=Miscellaneous!$N$9,IF($G70="Opex",SUMIF('Monthly Summary'!$C$75:BV$75,"",$H70:CA70),SUMIF('Monthly Summary'!$C$74:BV$74,"",$H70:CA70)),0)</f>
        <v>0</v>
      </c>
      <c r="CI70" s="1286">
        <f t="shared" ref="CI70:CI133" si="27">CG70-CH70</f>
        <v>0</v>
      </c>
      <c r="CJ70" s="1287"/>
      <c r="CK70" s="1277">
        <f>IF($F70=Miscellaneous!$N$7,SUM($H70:CA70),0)</f>
        <v>0</v>
      </c>
      <c r="CL70" s="1277">
        <f>IF($F70=Miscellaneous!$N$7,IF($G70="Opex",SUMIF('Monthly Summary'!$C$75:BV$75,"",$H70:CA70),SUMIF('Monthly Summary'!$C$74:BV$74,"",$H70:CA70)),0)</f>
        <v>0</v>
      </c>
      <c r="CM70" s="1286">
        <f t="shared" ref="CM70:CM133" si="28">CK70-CL70</f>
        <v>0</v>
      </c>
      <c r="CN70" s="1287"/>
      <c r="CO70" s="1277">
        <f>IF($F70=Miscellaneous!$N$6,SUM($H70:CA70),0)</f>
        <v>0</v>
      </c>
      <c r="CP70" s="1277">
        <f>IF($F70=Miscellaneous!$N$6,IF($G70="Opex",SUMIF('Monthly Summary'!$C$75:BV$75,"",$H70:CA70),SUMIF('Monthly Summary'!$C$74:BV$74,"",$H70:CA70)),0)</f>
        <v>0</v>
      </c>
      <c r="CQ70" s="1286">
        <f t="shared" ref="CQ70:CQ133" si="29">CO70-CP70</f>
        <v>0</v>
      </c>
      <c r="CR70" s="1287"/>
      <c r="CS70" s="1277">
        <f>IF($A70="Software",SUM($H70:CA70),0)</f>
        <v>0</v>
      </c>
      <c r="CT70" s="1277">
        <f>IF($A70="Software",IF($G70="Opex",SUMIF('Monthly Summary'!$C$75:BV$75,"",$H70:CA70),SUMIF('Monthly Summary'!$C$74:BV$74,"",$H70:CA70)),0)</f>
        <v>0</v>
      </c>
      <c r="CU70" s="1286">
        <f t="shared" ref="CU70:CU133" si="30">CS70-CT70</f>
        <v>0</v>
      </c>
      <c r="CV70" s="1287"/>
      <c r="CW70" s="1277">
        <f t="shared" si="22"/>
        <v>0</v>
      </c>
      <c r="CX70" s="1277">
        <f t="shared" si="23"/>
        <v>0</v>
      </c>
      <c r="CY70" s="1286">
        <f t="shared" ref="CY70:CY133" si="31">CW70-CX70</f>
        <v>0</v>
      </c>
      <c r="CZ70" s="1287"/>
      <c r="DA70" s="1286">
        <f>IF($G70="Opex",SUMIF('Monthly Summary'!$C$75:BV$75,"",$H70:CA70),SUMIF('Monthly Summary'!$C$74:BV$74,"",$H70:CA70))</f>
        <v>0</v>
      </c>
      <c r="DB70" s="1278">
        <f t="shared" si="24"/>
        <v>0</v>
      </c>
      <c r="DC70" s="1279">
        <f>IF(AND(OR($D70=Variables!A$38,$D70=Variables!A$43),$F70&lt;&gt;"N/A"),1,0)</f>
        <v>0</v>
      </c>
      <c r="DD70" s="820"/>
      <c r="DE70" s="1281" t="str">
        <f t="shared" si="15"/>
        <v/>
      </c>
      <c r="DF70" s="1282" t="str">
        <f t="shared" si="16"/>
        <v/>
      </c>
      <c r="DG70" s="1282" t="str">
        <f t="shared" si="17"/>
        <v/>
      </c>
      <c r="DH70" s="1282" t="str">
        <f>IF(ISNA(VLOOKUP(DE70,Miscellaneous!E:F,2,0)),"",VLOOKUP(DE70,Miscellaneous!E:F,2,0))</f>
        <v/>
      </c>
      <c r="DI70" s="1282" t="str">
        <f t="shared" si="18"/>
        <v/>
      </c>
      <c r="DJ70" s="1283">
        <f>IF($DI70="Opex",SUMIF('Monthly Summary'!$C$75:$N$75,"",H70:S70),SUMIF('Monthly Summary'!$C$74:$N$74,"",H70:S70))</f>
        <v>0</v>
      </c>
      <c r="DK70" s="1283">
        <f>IF($DI70="Opex",SUMIF('Monthly Summary'!$O$75:$Z$75,"",T70:AE70),SUMIF('Monthly Summary'!$O$74:$Z$74,"",T70:AE70))</f>
        <v>0</v>
      </c>
      <c r="DL70" s="1283">
        <f>IF($DI70="Opex",SUMIF('Monthly Summary'!$AA$75:$AL$75,"",AF70:AQ70),SUMIF('Monthly Summary'!$AA$74:$AL$74,"",AF70:AQ70))</f>
        <v>0</v>
      </c>
      <c r="DM70" s="1283">
        <f>IF($DI70="Opex",SUMIF('Monthly Summary'!$AM$75:$AX$75,"",AR70:BC70),SUMIF('Monthly Summary'!$AM$74:$AX$74,"",AR70:BC70))</f>
        <v>0</v>
      </c>
      <c r="DN70" s="1283">
        <f>IF($DI70="Opex",SUMIF('Monthly Summary'!$AY$75:$BJ$75,"",BD70:BO70),SUMIF('Monthly Summary'!$AY$74:$BJ$74,"",BD70:BO70))</f>
        <v>0</v>
      </c>
      <c r="DO70" s="1284">
        <f>IF($DI70="Opex",SUMIF('Monthly Summary'!$BK$75:$BV$75,"",BP70:CA70),SUMIF('Monthly Summary'!$BK$74:$BV$74,"",BP70:CA70))</f>
        <v>0</v>
      </c>
      <c r="DP70" s="1285">
        <f t="shared" ref="DP70:DP133" si="32">SUM(DJ70:DO70)</f>
        <v>0</v>
      </c>
    </row>
    <row r="71" spans="1:120" s="813" customFormat="1">
      <c r="A71" s="1261"/>
      <c r="B71" s="1261"/>
      <c r="C71" s="1261"/>
      <c r="D71" s="1262"/>
      <c r="E71" s="1270"/>
      <c r="F71" s="1263"/>
      <c r="G71" s="1263"/>
      <c r="H71" s="1267"/>
      <c r="I71" s="1268"/>
      <c r="J71" s="1268"/>
      <c r="K71" s="1268"/>
      <c r="L71" s="1268"/>
      <c r="M71" s="1268"/>
      <c r="N71" s="1268"/>
      <c r="O71" s="1268"/>
      <c r="P71" s="1268"/>
      <c r="Q71" s="1268"/>
      <c r="R71" s="1268"/>
      <c r="S71" s="1269"/>
      <c r="T71" s="1267"/>
      <c r="U71" s="1268"/>
      <c r="V71" s="1268"/>
      <c r="W71" s="1268"/>
      <c r="X71" s="1268"/>
      <c r="Y71" s="1268"/>
      <c r="Z71" s="1268"/>
      <c r="AA71" s="1268"/>
      <c r="AB71" s="1268"/>
      <c r="AC71" s="1268"/>
      <c r="AD71" s="1268"/>
      <c r="AE71" s="1269"/>
      <c r="AF71" s="1267"/>
      <c r="AG71" s="1268"/>
      <c r="AH71" s="1268"/>
      <c r="AI71" s="1268"/>
      <c r="AJ71" s="1268"/>
      <c r="AK71" s="1268"/>
      <c r="AL71" s="1268"/>
      <c r="AM71" s="1268"/>
      <c r="AN71" s="1268"/>
      <c r="AO71" s="1268"/>
      <c r="AP71" s="1268"/>
      <c r="AQ71" s="1269"/>
      <c r="AR71" s="1267"/>
      <c r="AS71" s="1268"/>
      <c r="AT71" s="1268"/>
      <c r="AU71" s="1268"/>
      <c r="AV71" s="1268"/>
      <c r="AW71" s="1268"/>
      <c r="AX71" s="1268"/>
      <c r="AY71" s="1268"/>
      <c r="AZ71" s="1268"/>
      <c r="BA71" s="1268"/>
      <c r="BB71" s="1268"/>
      <c r="BC71" s="1269"/>
      <c r="BD71" s="1267"/>
      <c r="BE71" s="1268"/>
      <c r="BF71" s="1268"/>
      <c r="BG71" s="1268"/>
      <c r="BH71" s="1268"/>
      <c r="BI71" s="1268"/>
      <c r="BJ71" s="1268"/>
      <c r="BK71" s="1268"/>
      <c r="BL71" s="1268"/>
      <c r="BM71" s="1268"/>
      <c r="BN71" s="1268"/>
      <c r="BO71" s="1269"/>
      <c r="BP71" s="1267"/>
      <c r="BQ71" s="1268"/>
      <c r="BR71" s="1268"/>
      <c r="BS71" s="1268"/>
      <c r="BT71" s="1268"/>
      <c r="BU71" s="1268"/>
      <c r="BV71" s="1268"/>
      <c r="BW71" s="1268"/>
      <c r="BX71" s="1268"/>
      <c r="BY71" s="1268"/>
      <c r="BZ71" s="1268"/>
      <c r="CA71" s="1269"/>
      <c r="CB71" s="1286">
        <f t="shared" si="25"/>
        <v>0</v>
      </c>
      <c r="CC71" s="1277">
        <f>IF($F71=Miscellaneous!$N$8,SUM($H71:CA71),0)</f>
        <v>0</v>
      </c>
      <c r="CD71" s="1277">
        <f>IF($F71=Miscellaneous!$N$8,IF($G71="Opex",SUMIF('Monthly Summary'!$C$75:BV$75,"",$H71:CA71),SUMIF('Monthly Summary'!$C$74:BV$74,"",$H71:CA71)),0)</f>
        <v>0</v>
      </c>
      <c r="CE71" s="1286">
        <f t="shared" si="26"/>
        <v>0</v>
      </c>
      <c r="CF71" s="1287"/>
      <c r="CG71" s="1277">
        <f>IF($F71=Miscellaneous!$N$9,SUM($H71:CA71),0)</f>
        <v>0</v>
      </c>
      <c r="CH71" s="1277">
        <f>IF($F71=Miscellaneous!$N$9,IF($G71="Opex",SUMIF('Monthly Summary'!$C$75:BV$75,"",$H71:CA71),SUMIF('Monthly Summary'!$C$74:BV$74,"",$H71:CA71)),0)</f>
        <v>0</v>
      </c>
      <c r="CI71" s="1286">
        <f t="shared" si="27"/>
        <v>0</v>
      </c>
      <c r="CJ71" s="1287"/>
      <c r="CK71" s="1277">
        <f>IF($F71=Miscellaneous!$N$7,SUM($H71:CA71),0)</f>
        <v>0</v>
      </c>
      <c r="CL71" s="1277">
        <f>IF($F71=Miscellaneous!$N$7,IF($G71="Opex",SUMIF('Monthly Summary'!$C$75:BV$75,"",$H71:CA71),SUMIF('Monthly Summary'!$C$74:BV$74,"",$H71:CA71)),0)</f>
        <v>0</v>
      </c>
      <c r="CM71" s="1286">
        <f t="shared" si="28"/>
        <v>0</v>
      </c>
      <c r="CN71" s="1287"/>
      <c r="CO71" s="1277">
        <f>IF($F71=Miscellaneous!$N$6,SUM($H71:CA71),0)</f>
        <v>0</v>
      </c>
      <c r="CP71" s="1277">
        <f>IF($F71=Miscellaneous!$N$6,IF($G71="Opex",SUMIF('Monthly Summary'!$C$75:BV$75,"",$H71:CA71),SUMIF('Monthly Summary'!$C$74:BV$74,"",$H71:CA71)),0)</f>
        <v>0</v>
      </c>
      <c r="CQ71" s="1286">
        <f t="shared" si="29"/>
        <v>0</v>
      </c>
      <c r="CR71" s="1287"/>
      <c r="CS71" s="1277">
        <f>IF($A71="Software",SUM($H71:CA71),0)</f>
        <v>0</v>
      </c>
      <c r="CT71" s="1277">
        <f>IF($A71="Software",IF($G71="Opex",SUMIF('Monthly Summary'!$C$75:BV$75,"",$H71:CA71),SUMIF('Monthly Summary'!$C$74:BV$74,"",$H71:CA71)),0)</f>
        <v>0</v>
      </c>
      <c r="CU71" s="1286">
        <f t="shared" si="30"/>
        <v>0</v>
      </c>
      <c r="CV71" s="1287"/>
      <c r="CW71" s="1277">
        <f t="shared" si="22"/>
        <v>0</v>
      </c>
      <c r="CX71" s="1277">
        <f t="shared" si="23"/>
        <v>0</v>
      </c>
      <c r="CY71" s="1286">
        <f t="shared" si="31"/>
        <v>0</v>
      </c>
      <c r="CZ71" s="1287"/>
      <c r="DA71" s="1286">
        <f>IF($G71="Opex",SUMIF('Monthly Summary'!$C$75:BV$75,"",$H71:CA71),SUMIF('Monthly Summary'!$C$74:BV$74,"",$H71:CA71))</f>
        <v>0</v>
      </c>
      <c r="DB71" s="1278">
        <f t="shared" si="24"/>
        <v>0</v>
      </c>
      <c r="DC71" s="1279">
        <f>IF(AND(OR($D71=Variables!A$38,$D71=Variables!A$43),$F71&lt;&gt;"N/A"),1,0)</f>
        <v>0</v>
      </c>
      <c r="DD71" s="820"/>
      <c r="DE71" s="1281" t="str">
        <f t="shared" si="15"/>
        <v/>
      </c>
      <c r="DF71" s="1282" t="str">
        <f t="shared" si="16"/>
        <v/>
      </c>
      <c r="DG71" s="1282" t="str">
        <f t="shared" si="17"/>
        <v/>
      </c>
      <c r="DH71" s="1282" t="str">
        <f>IF(ISNA(VLOOKUP(DE71,Miscellaneous!E:F,2,0)),"",VLOOKUP(DE71,Miscellaneous!E:F,2,0))</f>
        <v/>
      </c>
      <c r="DI71" s="1282" t="str">
        <f t="shared" si="18"/>
        <v/>
      </c>
      <c r="DJ71" s="1283">
        <f>IF($DI71="Opex",SUMIF('Monthly Summary'!$C$75:$N$75,"",H71:S71),SUMIF('Monthly Summary'!$C$74:$N$74,"",H71:S71))</f>
        <v>0</v>
      </c>
      <c r="DK71" s="1283">
        <f>IF($DI71="Opex",SUMIF('Monthly Summary'!$O$75:$Z$75,"",T71:AE71),SUMIF('Monthly Summary'!$O$74:$Z$74,"",T71:AE71))</f>
        <v>0</v>
      </c>
      <c r="DL71" s="1283">
        <f>IF($DI71="Opex",SUMIF('Monthly Summary'!$AA$75:$AL$75,"",AF71:AQ71),SUMIF('Monthly Summary'!$AA$74:$AL$74,"",AF71:AQ71))</f>
        <v>0</v>
      </c>
      <c r="DM71" s="1283">
        <f>IF($DI71="Opex",SUMIF('Monthly Summary'!$AM$75:$AX$75,"",AR71:BC71),SUMIF('Monthly Summary'!$AM$74:$AX$74,"",AR71:BC71))</f>
        <v>0</v>
      </c>
      <c r="DN71" s="1283">
        <f>IF($DI71="Opex",SUMIF('Monthly Summary'!$AY$75:$BJ$75,"",BD71:BO71),SUMIF('Monthly Summary'!$AY$74:$BJ$74,"",BD71:BO71))</f>
        <v>0</v>
      </c>
      <c r="DO71" s="1284">
        <f>IF($DI71="Opex",SUMIF('Monthly Summary'!$BK$75:$BV$75,"",BP71:CA71),SUMIF('Monthly Summary'!$BK$74:$BV$74,"",BP71:CA71))</f>
        <v>0</v>
      </c>
      <c r="DP71" s="1285">
        <f t="shared" si="32"/>
        <v>0</v>
      </c>
    </row>
    <row r="72" spans="1:120" s="813" customFormat="1">
      <c r="A72" s="1261"/>
      <c r="B72" s="1261"/>
      <c r="C72" s="1261"/>
      <c r="D72" s="1262"/>
      <c r="E72" s="1270"/>
      <c r="F72" s="1263"/>
      <c r="G72" s="1263"/>
      <c r="H72" s="1267"/>
      <c r="I72" s="1268"/>
      <c r="J72" s="1268"/>
      <c r="K72" s="1268"/>
      <c r="L72" s="1268"/>
      <c r="M72" s="1268"/>
      <c r="N72" s="1268"/>
      <c r="O72" s="1268"/>
      <c r="P72" s="1268"/>
      <c r="Q72" s="1268"/>
      <c r="R72" s="1268"/>
      <c r="S72" s="1269"/>
      <c r="T72" s="1267"/>
      <c r="U72" s="1268"/>
      <c r="V72" s="1268"/>
      <c r="W72" s="1268"/>
      <c r="X72" s="1268"/>
      <c r="Y72" s="1268"/>
      <c r="Z72" s="1268"/>
      <c r="AA72" s="1268"/>
      <c r="AB72" s="1268"/>
      <c r="AC72" s="1268"/>
      <c r="AD72" s="1268"/>
      <c r="AE72" s="1269"/>
      <c r="AF72" s="1267"/>
      <c r="AG72" s="1268"/>
      <c r="AH72" s="1268"/>
      <c r="AI72" s="1268"/>
      <c r="AJ72" s="1268"/>
      <c r="AK72" s="1268"/>
      <c r="AL72" s="1268"/>
      <c r="AM72" s="1268"/>
      <c r="AN72" s="1268"/>
      <c r="AO72" s="1268"/>
      <c r="AP72" s="1268"/>
      <c r="AQ72" s="1269"/>
      <c r="AR72" s="1267"/>
      <c r="AS72" s="1268"/>
      <c r="AT72" s="1268"/>
      <c r="AU72" s="1268"/>
      <c r="AV72" s="1268"/>
      <c r="AW72" s="1268"/>
      <c r="AX72" s="1268"/>
      <c r="AY72" s="1268"/>
      <c r="AZ72" s="1268"/>
      <c r="BA72" s="1268"/>
      <c r="BB72" s="1268"/>
      <c r="BC72" s="1269"/>
      <c r="BD72" s="1267"/>
      <c r="BE72" s="1268"/>
      <c r="BF72" s="1268"/>
      <c r="BG72" s="1268"/>
      <c r="BH72" s="1268"/>
      <c r="BI72" s="1268"/>
      <c r="BJ72" s="1268"/>
      <c r="BK72" s="1268"/>
      <c r="BL72" s="1268"/>
      <c r="BM72" s="1268"/>
      <c r="BN72" s="1268"/>
      <c r="BO72" s="1269"/>
      <c r="BP72" s="1267"/>
      <c r="BQ72" s="1268"/>
      <c r="BR72" s="1268"/>
      <c r="BS72" s="1268"/>
      <c r="BT72" s="1268"/>
      <c r="BU72" s="1268"/>
      <c r="BV72" s="1268"/>
      <c r="BW72" s="1268"/>
      <c r="BX72" s="1268"/>
      <c r="BY72" s="1268"/>
      <c r="BZ72" s="1268"/>
      <c r="CA72" s="1269"/>
      <c r="CB72" s="1286">
        <f t="shared" si="25"/>
        <v>0</v>
      </c>
      <c r="CC72" s="1277">
        <f>IF($F72=Miscellaneous!$N$8,SUM($H72:CA72),0)</f>
        <v>0</v>
      </c>
      <c r="CD72" s="1277">
        <f>IF($F72=Miscellaneous!$N$8,IF($G72="Opex",SUMIF('Monthly Summary'!$C$75:BV$75,"",$H72:CA72),SUMIF('Monthly Summary'!$C$74:BV$74,"",$H72:CA72)),0)</f>
        <v>0</v>
      </c>
      <c r="CE72" s="1286">
        <f t="shared" si="26"/>
        <v>0</v>
      </c>
      <c r="CF72" s="1287"/>
      <c r="CG72" s="1277">
        <f>IF($F72=Miscellaneous!$N$9,SUM($H72:CA72),0)</f>
        <v>0</v>
      </c>
      <c r="CH72" s="1277">
        <f>IF($F72=Miscellaneous!$N$9,IF($G72="Opex",SUMIF('Monthly Summary'!$C$75:BV$75,"",$H72:CA72),SUMIF('Monthly Summary'!$C$74:BV$74,"",$H72:CA72)),0)</f>
        <v>0</v>
      </c>
      <c r="CI72" s="1286">
        <f t="shared" si="27"/>
        <v>0</v>
      </c>
      <c r="CJ72" s="1287"/>
      <c r="CK72" s="1277">
        <f>IF($F72=Miscellaneous!$N$7,SUM($H72:CA72),0)</f>
        <v>0</v>
      </c>
      <c r="CL72" s="1277">
        <f>IF($F72=Miscellaneous!$N$7,IF($G72="Opex",SUMIF('Monthly Summary'!$C$75:BV$75,"",$H72:CA72),SUMIF('Monthly Summary'!$C$74:BV$74,"",$H72:CA72)),0)</f>
        <v>0</v>
      </c>
      <c r="CM72" s="1286">
        <f t="shared" si="28"/>
        <v>0</v>
      </c>
      <c r="CN72" s="1287"/>
      <c r="CO72" s="1277">
        <f>IF($F72=Miscellaneous!$N$6,SUM($H72:CA72),0)</f>
        <v>0</v>
      </c>
      <c r="CP72" s="1277">
        <f>IF($F72=Miscellaneous!$N$6,IF($G72="Opex",SUMIF('Monthly Summary'!$C$75:BV$75,"",$H72:CA72),SUMIF('Monthly Summary'!$C$74:BV$74,"",$H72:CA72)),0)</f>
        <v>0</v>
      </c>
      <c r="CQ72" s="1286">
        <f t="shared" si="29"/>
        <v>0</v>
      </c>
      <c r="CR72" s="1287"/>
      <c r="CS72" s="1277">
        <f>IF($A72="Software",SUM($H72:CA72),0)</f>
        <v>0</v>
      </c>
      <c r="CT72" s="1277">
        <f>IF($A72="Software",IF($G72="Opex",SUMIF('Monthly Summary'!$C$75:BV$75,"",$H72:CA72),SUMIF('Monthly Summary'!$C$74:BV$74,"",$H72:CA72)),0)</f>
        <v>0</v>
      </c>
      <c r="CU72" s="1286">
        <f t="shared" si="30"/>
        <v>0</v>
      </c>
      <c r="CV72" s="1287"/>
      <c r="CW72" s="1277">
        <f t="shared" si="22"/>
        <v>0</v>
      </c>
      <c r="CX72" s="1277">
        <f t="shared" si="23"/>
        <v>0</v>
      </c>
      <c r="CY72" s="1286">
        <f t="shared" si="31"/>
        <v>0</v>
      </c>
      <c r="CZ72" s="1287"/>
      <c r="DA72" s="1286">
        <f>IF($G72="Opex",SUMIF('Monthly Summary'!$C$75:BV$75,"",$H72:CA72),SUMIF('Monthly Summary'!$C$74:BV$74,"",$H72:CA72))</f>
        <v>0</v>
      </c>
      <c r="DB72" s="1278">
        <f t="shared" si="24"/>
        <v>0</v>
      </c>
      <c r="DC72" s="1279">
        <f>IF(AND(OR($D72=Variables!A$38,$D72=Variables!A$43),$F72&lt;&gt;"N/A"),1,0)</f>
        <v>0</v>
      </c>
      <c r="DD72" s="820"/>
      <c r="DE72" s="1281" t="str">
        <f t="shared" si="15"/>
        <v/>
      </c>
      <c r="DF72" s="1282" t="str">
        <f t="shared" si="16"/>
        <v/>
      </c>
      <c r="DG72" s="1282" t="str">
        <f t="shared" si="17"/>
        <v/>
      </c>
      <c r="DH72" s="1282" t="str">
        <f>IF(ISNA(VLOOKUP(DE72,Miscellaneous!E:F,2,0)),"",VLOOKUP(DE72,Miscellaneous!E:F,2,0))</f>
        <v/>
      </c>
      <c r="DI72" s="1282" t="str">
        <f t="shared" si="18"/>
        <v/>
      </c>
      <c r="DJ72" s="1283">
        <f>IF($DI72="Opex",SUMIF('Monthly Summary'!$C$75:$N$75,"",H72:S72),SUMIF('Monthly Summary'!$C$74:$N$74,"",H72:S72))</f>
        <v>0</v>
      </c>
      <c r="DK72" s="1283">
        <f>IF($DI72="Opex",SUMIF('Monthly Summary'!$O$75:$Z$75,"",T72:AE72),SUMIF('Monthly Summary'!$O$74:$Z$74,"",T72:AE72))</f>
        <v>0</v>
      </c>
      <c r="DL72" s="1283">
        <f>IF($DI72="Opex",SUMIF('Monthly Summary'!$AA$75:$AL$75,"",AF72:AQ72),SUMIF('Monthly Summary'!$AA$74:$AL$74,"",AF72:AQ72))</f>
        <v>0</v>
      </c>
      <c r="DM72" s="1283">
        <f>IF($DI72="Opex",SUMIF('Monthly Summary'!$AM$75:$AX$75,"",AR72:BC72),SUMIF('Monthly Summary'!$AM$74:$AX$74,"",AR72:BC72))</f>
        <v>0</v>
      </c>
      <c r="DN72" s="1283">
        <f>IF($DI72="Opex",SUMIF('Monthly Summary'!$AY$75:$BJ$75,"",BD72:BO72),SUMIF('Monthly Summary'!$AY$74:$BJ$74,"",BD72:BO72))</f>
        <v>0</v>
      </c>
      <c r="DO72" s="1284">
        <f>IF($DI72="Opex",SUMIF('Monthly Summary'!$BK$75:$BV$75,"",BP72:CA72),SUMIF('Monthly Summary'!$BK$74:$BV$74,"",BP72:CA72))</f>
        <v>0</v>
      </c>
      <c r="DP72" s="1285">
        <f t="shared" si="32"/>
        <v>0</v>
      </c>
    </row>
    <row r="73" spans="1:120" s="813" customFormat="1">
      <c r="A73" s="1261"/>
      <c r="B73" s="1261"/>
      <c r="C73" s="1261"/>
      <c r="D73" s="1262"/>
      <c r="E73" s="1271"/>
      <c r="F73" s="1263"/>
      <c r="G73" s="1263"/>
      <c r="H73" s="1267"/>
      <c r="I73" s="1268"/>
      <c r="J73" s="1268"/>
      <c r="K73" s="1268"/>
      <c r="L73" s="1268"/>
      <c r="M73" s="1268"/>
      <c r="N73" s="1268"/>
      <c r="O73" s="1268"/>
      <c r="P73" s="1268"/>
      <c r="Q73" s="1268"/>
      <c r="R73" s="1268"/>
      <c r="S73" s="1269"/>
      <c r="T73" s="1267"/>
      <c r="U73" s="1268"/>
      <c r="V73" s="1268"/>
      <c r="W73" s="1268"/>
      <c r="X73" s="1268"/>
      <c r="Y73" s="1268"/>
      <c r="Z73" s="1268"/>
      <c r="AA73" s="1268"/>
      <c r="AB73" s="1268"/>
      <c r="AC73" s="1268"/>
      <c r="AD73" s="1268"/>
      <c r="AE73" s="1269"/>
      <c r="AF73" s="1267"/>
      <c r="AG73" s="1268"/>
      <c r="AH73" s="1268"/>
      <c r="AI73" s="1268"/>
      <c r="AJ73" s="1268"/>
      <c r="AK73" s="1268"/>
      <c r="AL73" s="1268"/>
      <c r="AM73" s="1268"/>
      <c r="AN73" s="1268"/>
      <c r="AO73" s="1268"/>
      <c r="AP73" s="1268"/>
      <c r="AQ73" s="1269"/>
      <c r="AR73" s="1267"/>
      <c r="AS73" s="1268"/>
      <c r="AT73" s="1268"/>
      <c r="AU73" s="1268"/>
      <c r="AV73" s="1268"/>
      <c r="AW73" s="1268"/>
      <c r="AX73" s="1268"/>
      <c r="AY73" s="1268"/>
      <c r="AZ73" s="1268"/>
      <c r="BA73" s="1268"/>
      <c r="BB73" s="1268"/>
      <c r="BC73" s="1269"/>
      <c r="BD73" s="1267"/>
      <c r="BE73" s="1268"/>
      <c r="BF73" s="1268"/>
      <c r="BG73" s="1268"/>
      <c r="BH73" s="1268"/>
      <c r="BI73" s="1268"/>
      <c r="BJ73" s="1268"/>
      <c r="BK73" s="1268"/>
      <c r="BL73" s="1268"/>
      <c r="BM73" s="1268"/>
      <c r="BN73" s="1268"/>
      <c r="BO73" s="1269"/>
      <c r="BP73" s="1267"/>
      <c r="BQ73" s="1268"/>
      <c r="BR73" s="1268"/>
      <c r="BS73" s="1268"/>
      <c r="BT73" s="1268"/>
      <c r="BU73" s="1268"/>
      <c r="BV73" s="1268"/>
      <c r="BW73" s="1268"/>
      <c r="BX73" s="1268"/>
      <c r="BY73" s="1268"/>
      <c r="BZ73" s="1268"/>
      <c r="CA73" s="1269"/>
      <c r="CB73" s="1286">
        <f t="shared" si="25"/>
        <v>0</v>
      </c>
      <c r="CC73" s="1277">
        <f>IF($F73=Miscellaneous!$N$8,SUM($H73:CA73),0)</f>
        <v>0</v>
      </c>
      <c r="CD73" s="1277">
        <f>IF($F73=Miscellaneous!$N$8,IF($G73="Opex",SUMIF('Monthly Summary'!$C$75:BV$75,"",$H73:CA73),SUMIF('Monthly Summary'!$C$74:BV$74,"",$H73:CA73)),0)</f>
        <v>0</v>
      </c>
      <c r="CE73" s="1286">
        <f t="shared" si="26"/>
        <v>0</v>
      </c>
      <c r="CF73" s="1287"/>
      <c r="CG73" s="1277">
        <f>IF($F73=Miscellaneous!$N$9,SUM($H73:CA73),0)</f>
        <v>0</v>
      </c>
      <c r="CH73" s="1277">
        <f>IF($F73=Miscellaneous!$N$9,IF($G73="Opex",SUMIF('Monthly Summary'!$C$75:BV$75,"",$H73:CA73),SUMIF('Monthly Summary'!$C$74:BV$74,"",$H73:CA73)),0)</f>
        <v>0</v>
      </c>
      <c r="CI73" s="1286">
        <f t="shared" si="27"/>
        <v>0</v>
      </c>
      <c r="CJ73" s="1287"/>
      <c r="CK73" s="1277">
        <f>IF($F73=Miscellaneous!$N$7,SUM($H73:CA73),0)</f>
        <v>0</v>
      </c>
      <c r="CL73" s="1277">
        <f>IF($F73=Miscellaneous!$N$7,IF($G73="Opex",SUMIF('Monthly Summary'!$C$75:BV$75,"",$H73:CA73),SUMIF('Monthly Summary'!$C$74:BV$74,"",$H73:CA73)),0)</f>
        <v>0</v>
      </c>
      <c r="CM73" s="1286">
        <f t="shared" si="28"/>
        <v>0</v>
      </c>
      <c r="CN73" s="1287"/>
      <c r="CO73" s="1277">
        <f>IF($F73=Miscellaneous!$N$6,SUM($H73:CA73),0)</f>
        <v>0</v>
      </c>
      <c r="CP73" s="1277">
        <f>IF($F73=Miscellaneous!$N$6,IF($G73="Opex",SUMIF('Monthly Summary'!$C$75:BV$75,"",$H73:CA73),SUMIF('Monthly Summary'!$C$74:BV$74,"",$H73:CA73)),0)</f>
        <v>0</v>
      </c>
      <c r="CQ73" s="1286">
        <f t="shared" si="29"/>
        <v>0</v>
      </c>
      <c r="CR73" s="1287"/>
      <c r="CS73" s="1277">
        <f>IF($A73="Software",SUM($H73:CA73),0)</f>
        <v>0</v>
      </c>
      <c r="CT73" s="1277">
        <f>IF($A73="Software",IF($G73="Opex",SUMIF('Monthly Summary'!$C$75:BV$75,"",$H73:CA73),SUMIF('Monthly Summary'!$C$74:BV$74,"",$H73:CA73)),0)</f>
        <v>0</v>
      </c>
      <c r="CU73" s="1286">
        <f t="shared" si="30"/>
        <v>0</v>
      </c>
      <c r="CV73" s="1287"/>
      <c r="CW73" s="1277">
        <f t="shared" si="22"/>
        <v>0</v>
      </c>
      <c r="CX73" s="1277">
        <f t="shared" si="23"/>
        <v>0</v>
      </c>
      <c r="CY73" s="1286">
        <f t="shared" si="31"/>
        <v>0</v>
      </c>
      <c r="CZ73" s="1287"/>
      <c r="DA73" s="1286">
        <f>IF($G73="Opex",SUMIF('Monthly Summary'!$C$75:BV$75,"",$H73:CA73),SUMIF('Monthly Summary'!$C$74:BV$74,"",$H73:CA73))</f>
        <v>0</v>
      </c>
      <c r="DB73" s="1278">
        <f t="shared" si="24"/>
        <v>0</v>
      </c>
      <c r="DC73" s="1279">
        <f>IF(AND(OR($D73=Variables!A$38,$D73=Variables!A$43),$F73&lt;&gt;"N/A"),1,0)</f>
        <v>0</v>
      </c>
      <c r="DD73" s="820"/>
      <c r="DE73" s="1281" t="str">
        <f t="shared" si="15"/>
        <v/>
      </c>
      <c r="DF73" s="1282" t="str">
        <f t="shared" si="16"/>
        <v/>
      </c>
      <c r="DG73" s="1282" t="str">
        <f t="shared" si="17"/>
        <v/>
      </c>
      <c r="DH73" s="1282" t="str">
        <f>IF(ISNA(VLOOKUP(DE73,Miscellaneous!E:F,2,0)),"",VLOOKUP(DE73,Miscellaneous!E:F,2,0))</f>
        <v/>
      </c>
      <c r="DI73" s="1282" t="str">
        <f t="shared" si="18"/>
        <v/>
      </c>
      <c r="DJ73" s="1283">
        <f>IF($DI73="Opex",SUMIF('Monthly Summary'!$C$75:$N$75,"",H73:S73),SUMIF('Monthly Summary'!$C$74:$N$74,"",H73:S73))</f>
        <v>0</v>
      </c>
      <c r="DK73" s="1283">
        <f>IF($DI73="Opex",SUMIF('Monthly Summary'!$O$75:$Z$75,"",T73:AE73),SUMIF('Monthly Summary'!$O$74:$Z$74,"",T73:AE73))</f>
        <v>0</v>
      </c>
      <c r="DL73" s="1283">
        <f>IF($DI73="Opex",SUMIF('Monthly Summary'!$AA$75:$AL$75,"",AF73:AQ73),SUMIF('Monthly Summary'!$AA$74:$AL$74,"",AF73:AQ73))</f>
        <v>0</v>
      </c>
      <c r="DM73" s="1283">
        <f>IF($DI73="Opex",SUMIF('Monthly Summary'!$AM$75:$AX$75,"",AR73:BC73),SUMIF('Monthly Summary'!$AM$74:$AX$74,"",AR73:BC73))</f>
        <v>0</v>
      </c>
      <c r="DN73" s="1283">
        <f>IF($DI73="Opex",SUMIF('Monthly Summary'!$AY$75:$BJ$75,"",BD73:BO73),SUMIF('Monthly Summary'!$AY$74:$BJ$74,"",BD73:BO73))</f>
        <v>0</v>
      </c>
      <c r="DO73" s="1284">
        <f>IF($DI73="Opex",SUMIF('Monthly Summary'!$BK$75:$BV$75,"",BP73:CA73),SUMIF('Monthly Summary'!$BK$74:$BV$74,"",BP73:CA73))</f>
        <v>0</v>
      </c>
      <c r="DP73" s="1285">
        <f t="shared" si="32"/>
        <v>0</v>
      </c>
    </row>
    <row r="74" spans="1:120" s="809" customFormat="1">
      <c r="A74" s="1261"/>
      <c r="B74" s="1261"/>
      <c r="C74" s="1261"/>
      <c r="D74" s="1262"/>
      <c r="E74" s="1270"/>
      <c r="F74" s="1263"/>
      <c r="G74" s="1263"/>
      <c r="H74" s="1267"/>
      <c r="I74" s="1268"/>
      <c r="J74" s="1268"/>
      <c r="K74" s="1268"/>
      <c r="L74" s="1268"/>
      <c r="M74" s="1268"/>
      <c r="N74" s="1268"/>
      <c r="O74" s="1268"/>
      <c r="P74" s="1268"/>
      <c r="Q74" s="1268"/>
      <c r="R74" s="1268"/>
      <c r="S74" s="1269"/>
      <c r="T74" s="1267"/>
      <c r="U74" s="1268"/>
      <c r="V74" s="1268"/>
      <c r="W74" s="1268"/>
      <c r="X74" s="1268"/>
      <c r="Y74" s="1268"/>
      <c r="Z74" s="1268"/>
      <c r="AA74" s="1268"/>
      <c r="AB74" s="1268"/>
      <c r="AC74" s="1268"/>
      <c r="AD74" s="1268"/>
      <c r="AE74" s="1269"/>
      <c r="AF74" s="1267"/>
      <c r="AG74" s="1268"/>
      <c r="AH74" s="1268"/>
      <c r="AI74" s="1268"/>
      <c r="AJ74" s="1268"/>
      <c r="AK74" s="1268"/>
      <c r="AL74" s="1268"/>
      <c r="AM74" s="1268"/>
      <c r="AN74" s="1268"/>
      <c r="AO74" s="1268"/>
      <c r="AP74" s="1268"/>
      <c r="AQ74" s="1269"/>
      <c r="AR74" s="1267"/>
      <c r="AS74" s="1268"/>
      <c r="AT74" s="1268"/>
      <c r="AU74" s="1268"/>
      <c r="AV74" s="1268"/>
      <c r="AW74" s="1268"/>
      <c r="AX74" s="1268"/>
      <c r="AY74" s="1268"/>
      <c r="AZ74" s="1268"/>
      <c r="BA74" s="1268"/>
      <c r="BB74" s="1268"/>
      <c r="BC74" s="1269"/>
      <c r="BD74" s="1267"/>
      <c r="BE74" s="1268"/>
      <c r="BF74" s="1268"/>
      <c r="BG74" s="1268"/>
      <c r="BH74" s="1268"/>
      <c r="BI74" s="1268"/>
      <c r="BJ74" s="1268"/>
      <c r="BK74" s="1268"/>
      <c r="BL74" s="1268"/>
      <c r="BM74" s="1268"/>
      <c r="BN74" s="1268"/>
      <c r="BO74" s="1269"/>
      <c r="BP74" s="1267"/>
      <c r="BQ74" s="1268"/>
      <c r="BR74" s="1268"/>
      <c r="BS74" s="1268"/>
      <c r="BT74" s="1268"/>
      <c r="BU74" s="1268"/>
      <c r="BV74" s="1268"/>
      <c r="BW74" s="1268"/>
      <c r="BX74" s="1268"/>
      <c r="BY74" s="1268"/>
      <c r="BZ74" s="1268"/>
      <c r="CA74" s="1269"/>
      <c r="CB74" s="1286">
        <f t="shared" si="25"/>
        <v>0</v>
      </c>
      <c r="CC74" s="1277">
        <f>IF($F74=Miscellaneous!$N$8,SUM($H74:CA74),0)</f>
        <v>0</v>
      </c>
      <c r="CD74" s="1277">
        <f>IF($F74=Miscellaneous!$N$8,IF($G74="Opex",SUMIF('Monthly Summary'!$C$75:BV$75,"",$H74:CA74),SUMIF('Monthly Summary'!$C$74:BV$74,"",$H74:CA74)),0)</f>
        <v>0</v>
      </c>
      <c r="CE74" s="1286">
        <f t="shared" si="26"/>
        <v>0</v>
      </c>
      <c r="CF74" s="833"/>
      <c r="CG74" s="1277">
        <f>IF($F74=Miscellaneous!$N$9,SUM($H74:CA74),0)</f>
        <v>0</v>
      </c>
      <c r="CH74" s="1277">
        <f>IF($F74=Miscellaneous!$N$9,IF($G74="Opex",SUMIF('Monthly Summary'!$C$75:BV$75,"",$H74:CA74),SUMIF('Monthly Summary'!$C$74:BV$74,"",$H74:CA74)),0)</f>
        <v>0</v>
      </c>
      <c r="CI74" s="1286">
        <f t="shared" si="27"/>
        <v>0</v>
      </c>
      <c r="CJ74" s="833"/>
      <c r="CK74" s="1277">
        <f>IF($F74=Miscellaneous!$N$7,SUM($H74:CA74),0)</f>
        <v>0</v>
      </c>
      <c r="CL74" s="1277">
        <f>IF($F74=Miscellaneous!$N$7,IF($G74="Opex",SUMIF('Monthly Summary'!$C$75:BV$75,"",$H74:CA74),SUMIF('Monthly Summary'!$C$74:BV$74,"",$H74:CA74)),0)</f>
        <v>0</v>
      </c>
      <c r="CM74" s="1286">
        <f t="shared" si="28"/>
        <v>0</v>
      </c>
      <c r="CN74" s="833"/>
      <c r="CO74" s="1277">
        <f>IF($F74=Miscellaneous!$N$6,SUM($H74:CA74),0)</f>
        <v>0</v>
      </c>
      <c r="CP74" s="1277">
        <f>IF($F74=Miscellaneous!$N$6,IF($G74="Opex",SUMIF('Monthly Summary'!$C$75:BV$75,"",$H74:CA74),SUMIF('Monthly Summary'!$C$74:BV$74,"",$H74:CA74)),0)</f>
        <v>0</v>
      </c>
      <c r="CQ74" s="1286">
        <f t="shared" si="29"/>
        <v>0</v>
      </c>
      <c r="CR74" s="833"/>
      <c r="CS74" s="1277">
        <f>IF($A74="Software",SUM($H74:CA74),0)</f>
        <v>0</v>
      </c>
      <c r="CT74" s="1277">
        <f>IF($A74="Software",IF($G74="Opex",SUMIF('Monthly Summary'!$C$75:BV$75,"",$H74:CA74),SUMIF('Monthly Summary'!$C$74:BV$74,"",$H74:CA74)),0)</f>
        <v>0</v>
      </c>
      <c r="CU74" s="1286">
        <f t="shared" si="30"/>
        <v>0</v>
      </c>
      <c r="CV74" s="833"/>
      <c r="CW74" s="1277">
        <f t="shared" si="22"/>
        <v>0</v>
      </c>
      <c r="CX74" s="1277">
        <f t="shared" si="23"/>
        <v>0</v>
      </c>
      <c r="CY74" s="1286">
        <f t="shared" si="31"/>
        <v>0</v>
      </c>
      <c r="CZ74" s="833"/>
      <c r="DA74" s="1286">
        <f>IF($G74="Opex",SUMIF('Monthly Summary'!$C$75:BV$75,"",$H74:CA74),SUMIF('Monthly Summary'!$C$74:BV$74,"",$H74:CA74))</f>
        <v>0</v>
      </c>
      <c r="DB74" s="1278">
        <f t="shared" si="24"/>
        <v>0</v>
      </c>
      <c r="DC74" s="1279">
        <f>IF(AND(OR($D74=Variables!A$38,$D74=Variables!A$43),$F74&lt;&gt;"N/A"),1,0)</f>
        <v>0</v>
      </c>
      <c r="DD74" s="820"/>
      <c r="DE74" s="1281" t="str">
        <f t="shared" si="15"/>
        <v/>
      </c>
      <c r="DF74" s="1282" t="str">
        <f t="shared" si="16"/>
        <v/>
      </c>
      <c r="DG74" s="1282" t="str">
        <f t="shared" si="17"/>
        <v/>
      </c>
      <c r="DH74" s="1282" t="str">
        <f>IF(ISNA(VLOOKUP(DE74,Miscellaneous!E:F,2,0)),"",VLOOKUP(DE74,Miscellaneous!E:F,2,0))</f>
        <v/>
      </c>
      <c r="DI74" s="1282" t="str">
        <f t="shared" si="18"/>
        <v/>
      </c>
      <c r="DJ74" s="1283">
        <f>IF($DI74="Opex",SUMIF('Monthly Summary'!$C$75:$N$75,"",H74:S74),SUMIF('Monthly Summary'!$C$74:$N$74,"",H74:S74))</f>
        <v>0</v>
      </c>
      <c r="DK74" s="1283">
        <f>IF($DI74="Opex",SUMIF('Monthly Summary'!$O$75:$Z$75,"",T74:AE74),SUMIF('Monthly Summary'!$O$74:$Z$74,"",T74:AE74))</f>
        <v>0</v>
      </c>
      <c r="DL74" s="1283">
        <f>IF($DI74="Opex",SUMIF('Monthly Summary'!$AA$75:$AL$75,"",AF74:AQ74),SUMIF('Monthly Summary'!$AA$74:$AL$74,"",AF74:AQ74))</f>
        <v>0</v>
      </c>
      <c r="DM74" s="1283">
        <f>IF($DI74="Opex",SUMIF('Monthly Summary'!$AM$75:$AX$75,"",AR74:BC74),SUMIF('Monthly Summary'!$AM$74:$AX$74,"",AR74:BC74))</f>
        <v>0</v>
      </c>
      <c r="DN74" s="1283">
        <f>IF($DI74="Opex",SUMIF('Monthly Summary'!$AY$75:$BJ$75,"",BD74:BO74),SUMIF('Monthly Summary'!$AY$74:$BJ$74,"",BD74:BO74))</f>
        <v>0</v>
      </c>
      <c r="DO74" s="1284">
        <f>IF($DI74="Opex",SUMIF('Monthly Summary'!$BK$75:$BV$75,"",BP74:CA74),SUMIF('Monthly Summary'!$BK$74:$BV$74,"",BP74:CA74))</f>
        <v>0</v>
      </c>
      <c r="DP74" s="1285">
        <f t="shared" si="32"/>
        <v>0</v>
      </c>
    </row>
    <row r="75" spans="1:120" s="809" customFormat="1">
      <c r="A75" s="1261"/>
      <c r="B75" s="1261"/>
      <c r="C75" s="1261"/>
      <c r="D75" s="1262"/>
      <c r="E75" s="1270"/>
      <c r="F75" s="1263"/>
      <c r="G75" s="1263"/>
      <c r="H75" s="1267"/>
      <c r="I75" s="1268"/>
      <c r="J75" s="1268"/>
      <c r="K75" s="1268"/>
      <c r="L75" s="1268"/>
      <c r="M75" s="1268"/>
      <c r="N75" s="1268"/>
      <c r="O75" s="1268"/>
      <c r="P75" s="1268"/>
      <c r="Q75" s="1268"/>
      <c r="R75" s="1268"/>
      <c r="S75" s="1269"/>
      <c r="T75" s="1267"/>
      <c r="U75" s="1268"/>
      <c r="V75" s="1268"/>
      <c r="W75" s="1268"/>
      <c r="X75" s="1268"/>
      <c r="Y75" s="1268"/>
      <c r="Z75" s="1268"/>
      <c r="AA75" s="1268"/>
      <c r="AB75" s="1268"/>
      <c r="AC75" s="1268"/>
      <c r="AD75" s="1268"/>
      <c r="AE75" s="1269"/>
      <c r="AF75" s="1267"/>
      <c r="AG75" s="1268"/>
      <c r="AH75" s="1268"/>
      <c r="AI75" s="1268"/>
      <c r="AJ75" s="1268"/>
      <c r="AK75" s="1268"/>
      <c r="AL75" s="1268"/>
      <c r="AM75" s="1268"/>
      <c r="AN75" s="1268"/>
      <c r="AO75" s="1268"/>
      <c r="AP75" s="1268"/>
      <c r="AQ75" s="1269"/>
      <c r="AR75" s="1267"/>
      <c r="AS75" s="1268"/>
      <c r="AT75" s="1268"/>
      <c r="AU75" s="1268"/>
      <c r="AV75" s="1268"/>
      <c r="AW75" s="1268"/>
      <c r="AX75" s="1268"/>
      <c r="AY75" s="1268"/>
      <c r="AZ75" s="1268"/>
      <c r="BA75" s="1268"/>
      <c r="BB75" s="1268"/>
      <c r="BC75" s="1269"/>
      <c r="BD75" s="1267"/>
      <c r="BE75" s="1268"/>
      <c r="BF75" s="1268"/>
      <c r="BG75" s="1268"/>
      <c r="BH75" s="1268"/>
      <c r="BI75" s="1268"/>
      <c r="BJ75" s="1268"/>
      <c r="BK75" s="1268"/>
      <c r="BL75" s="1268"/>
      <c r="BM75" s="1268"/>
      <c r="BN75" s="1268"/>
      <c r="BO75" s="1269"/>
      <c r="BP75" s="1267"/>
      <c r="BQ75" s="1268"/>
      <c r="BR75" s="1268"/>
      <c r="BS75" s="1268"/>
      <c r="BT75" s="1268"/>
      <c r="BU75" s="1268"/>
      <c r="BV75" s="1268"/>
      <c r="BW75" s="1268"/>
      <c r="BX75" s="1268"/>
      <c r="BY75" s="1268"/>
      <c r="BZ75" s="1268"/>
      <c r="CA75" s="1269"/>
      <c r="CB75" s="1286">
        <f t="shared" si="25"/>
        <v>0</v>
      </c>
      <c r="CC75" s="1277">
        <f>IF($F75=Miscellaneous!$N$8,SUM($H75:CA75),0)</f>
        <v>0</v>
      </c>
      <c r="CD75" s="1277">
        <f>IF($F75=Miscellaneous!$N$8,IF($G75="Opex",SUMIF('Monthly Summary'!$C$75:BV$75,"",$H75:CA75),SUMIF('Monthly Summary'!$C$74:BV$74,"",$H75:CA75)),0)</f>
        <v>0</v>
      </c>
      <c r="CE75" s="1286">
        <f t="shared" si="26"/>
        <v>0</v>
      </c>
      <c r="CF75" s="833"/>
      <c r="CG75" s="1277">
        <f>IF($F75=Miscellaneous!$N$9,SUM($H75:CA75),0)</f>
        <v>0</v>
      </c>
      <c r="CH75" s="1277">
        <f>IF($F75=Miscellaneous!$N$9,IF($G75="Opex",SUMIF('Monthly Summary'!$C$75:BV$75,"",$H75:CA75),SUMIF('Monthly Summary'!$C$74:BV$74,"",$H75:CA75)),0)</f>
        <v>0</v>
      </c>
      <c r="CI75" s="1286">
        <f t="shared" si="27"/>
        <v>0</v>
      </c>
      <c r="CJ75" s="833"/>
      <c r="CK75" s="1277">
        <f>IF($F75=Miscellaneous!$N$7,SUM($H75:CA75),0)</f>
        <v>0</v>
      </c>
      <c r="CL75" s="1277">
        <f>IF($F75=Miscellaneous!$N$7,IF($G75="Opex",SUMIF('Monthly Summary'!$C$75:BV$75,"",$H75:CA75),SUMIF('Monthly Summary'!$C$74:BV$74,"",$H75:CA75)),0)</f>
        <v>0</v>
      </c>
      <c r="CM75" s="1286">
        <f t="shared" si="28"/>
        <v>0</v>
      </c>
      <c r="CN75" s="833"/>
      <c r="CO75" s="1277">
        <f>IF($F75=Miscellaneous!$N$6,SUM($H75:CA75),0)</f>
        <v>0</v>
      </c>
      <c r="CP75" s="1277">
        <f>IF($F75=Miscellaneous!$N$6,IF($G75="Opex",SUMIF('Monthly Summary'!$C$75:BV$75,"",$H75:CA75),SUMIF('Monthly Summary'!$C$74:BV$74,"",$H75:CA75)),0)</f>
        <v>0</v>
      </c>
      <c r="CQ75" s="1286">
        <f t="shared" si="29"/>
        <v>0</v>
      </c>
      <c r="CR75" s="833"/>
      <c r="CS75" s="1277">
        <f>IF($A75="Software",SUM($H75:CA75),0)</f>
        <v>0</v>
      </c>
      <c r="CT75" s="1277">
        <f>IF($A75="Software",IF($G75="Opex",SUMIF('Monthly Summary'!$C$75:BV$75,"",$H75:CA75),SUMIF('Monthly Summary'!$C$74:BV$74,"",$H75:CA75)),0)</f>
        <v>0</v>
      </c>
      <c r="CU75" s="1286">
        <f t="shared" si="30"/>
        <v>0</v>
      </c>
      <c r="CV75" s="833"/>
      <c r="CW75" s="1277">
        <f t="shared" si="22"/>
        <v>0</v>
      </c>
      <c r="CX75" s="1277">
        <f t="shared" si="23"/>
        <v>0</v>
      </c>
      <c r="CY75" s="1286">
        <f t="shared" si="31"/>
        <v>0</v>
      </c>
      <c r="CZ75" s="833"/>
      <c r="DA75" s="1286">
        <f>IF($G75="Opex",SUMIF('Monthly Summary'!$C$75:BV$75,"",$H75:CA75),SUMIF('Monthly Summary'!$C$74:BV$74,"",$H75:CA75))</f>
        <v>0</v>
      </c>
      <c r="DB75" s="1278">
        <f t="shared" si="24"/>
        <v>0</v>
      </c>
      <c r="DC75" s="1279">
        <f>IF(AND(OR($D75=Variables!A$38,$D75=Variables!A$43),$F75&lt;&gt;"N/A"),1,0)</f>
        <v>0</v>
      </c>
      <c r="DD75" s="820"/>
      <c r="DE75" s="1281" t="str">
        <f t="shared" si="15"/>
        <v/>
      </c>
      <c r="DF75" s="1282" t="str">
        <f t="shared" si="16"/>
        <v/>
      </c>
      <c r="DG75" s="1282" t="str">
        <f t="shared" si="17"/>
        <v/>
      </c>
      <c r="DH75" s="1282" t="str">
        <f>IF(ISNA(VLOOKUP(DE75,Miscellaneous!E:F,2,0)),"",VLOOKUP(DE75,Miscellaneous!E:F,2,0))</f>
        <v/>
      </c>
      <c r="DI75" s="1282" t="str">
        <f t="shared" si="18"/>
        <v/>
      </c>
      <c r="DJ75" s="1283">
        <f>IF($DI75="Opex",SUMIF('Monthly Summary'!$C$75:$N$75,"",H75:S75),SUMIF('Monthly Summary'!$C$74:$N$74,"",H75:S75))</f>
        <v>0</v>
      </c>
      <c r="DK75" s="1283">
        <f>IF($DI75="Opex",SUMIF('Monthly Summary'!$O$75:$Z$75,"",T75:AE75),SUMIF('Monthly Summary'!$O$74:$Z$74,"",T75:AE75))</f>
        <v>0</v>
      </c>
      <c r="DL75" s="1283">
        <f>IF($DI75="Opex",SUMIF('Monthly Summary'!$AA$75:$AL$75,"",AF75:AQ75),SUMIF('Monthly Summary'!$AA$74:$AL$74,"",AF75:AQ75))</f>
        <v>0</v>
      </c>
      <c r="DM75" s="1283">
        <f>IF($DI75="Opex",SUMIF('Monthly Summary'!$AM$75:$AX$75,"",AR75:BC75),SUMIF('Monthly Summary'!$AM$74:$AX$74,"",AR75:BC75))</f>
        <v>0</v>
      </c>
      <c r="DN75" s="1283">
        <f>IF($DI75="Opex",SUMIF('Monthly Summary'!$AY$75:$BJ$75,"",BD75:BO75),SUMIF('Monthly Summary'!$AY$74:$BJ$74,"",BD75:BO75))</f>
        <v>0</v>
      </c>
      <c r="DO75" s="1284">
        <f>IF($DI75="Opex",SUMIF('Monthly Summary'!$BK$75:$BV$75,"",BP75:CA75),SUMIF('Monthly Summary'!$BK$74:$BV$74,"",BP75:CA75))</f>
        <v>0</v>
      </c>
      <c r="DP75" s="1285">
        <f t="shared" si="32"/>
        <v>0</v>
      </c>
    </row>
    <row r="76" spans="1:120" s="809" customFormat="1">
      <c r="A76" s="1261"/>
      <c r="B76" s="1261"/>
      <c r="C76" s="1261"/>
      <c r="D76" s="1262"/>
      <c r="E76" s="1270"/>
      <c r="F76" s="1263"/>
      <c r="G76" s="1263"/>
      <c r="H76" s="1267"/>
      <c r="I76" s="1268"/>
      <c r="J76" s="1268"/>
      <c r="K76" s="1268"/>
      <c r="L76" s="1268"/>
      <c r="M76" s="1268"/>
      <c r="N76" s="1268"/>
      <c r="O76" s="1268"/>
      <c r="P76" s="1268"/>
      <c r="Q76" s="1268"/>
      <c r="R76" s="1268"/>
      <c r="S76" s="1269"/>
      <c r="T76" s="1267"/>
      <c r="U76" s="1268"/>
      <c r="V76" s="1268"/>
      <c r="W76" s="1268"/>
      <c r="X76" s="1268"/>
      <c r="Y76" s="1268"/>
      <c r="Z76" s="1268"/>
      <c r="AA76" s="1268"/>
      <c r="AB76" s="1268"/>
      <c r="AC76" s="1268"/>
      <c r="AD76" s="1268"/>
      <c r="AE76" s="1269"/>
      <c r="AF76" s="1267"/>
      <c r="AG76" s="1268"/>
      <c r="AH76" s="1268"/>
      <c r="AI76" s="1268"/>
      <c r="AJ76" s="1268"/>
      <c r="AK76" s="1268"/>
      <c r="AL76" s="1268"/>
      <c r="AM76" s="1268"/>
      <c r="AN76" s="1268"/>
      <c r="AO76" s="1268"/>
      <c r="AP76" s="1268"/>
      <c r="AQ76" s="1269"/>
      <c r="AR76" s="1267"/>
      <c r="AS76" s="1268"/>
      <c r="AT76" s="1268"/>
      <c r="AU76" s="1268"/>
      <c r="AV76" s="1268"/>
      <c r="AW76" s="1268"/>
      <c r="AX76" s="1268"/>
      <c r="AY76" s="1268"/>
      <c r="AZ76" s="1268"/>
      <c r="BA76" s="1268"/>
      <c r="BB76" s="1268"/>
      <c r="BC76" s="1269"/>
      <c r="BD76" s="1267"/>
      <c r="BE76" s="1268"/>
      <c r="BF76" s="1268"/>
      <c r="BG76" s="1268"/>
      <c r="BH76" s="1268"/>
      <c r="BI76" s="1268"/>
      <c r="BJ76" s="1268"/>
      <c r="BK76" s="1268"/>
      <c r="BL76" s="1268"/>
      <c r="BM76" s="1268"/>
      <c r="BN76" s="1268"/>
      <c r="BO76" s="1269"/>
      <c r="BP76" s="1267"/>
      <c r="BQ76" s="1268"/>
      <c r="BR76" s="1268"/>
      <c r="BS76" s="1268"/>
      <c r="BT76" s="1268"/>
      <c r="BU76" s="1268"/>
      <c r="BV76" s="1268"/>
      <c r="BW76" s="1268"/>
      <c r="BX76" s="1268"/>
      <c r="BY76" s="1268"/>
      <c r="BZ76" s="1268"/>
      <c r="CA76" s="1269"/>
      <c r="CB76" s="1286">
        <f t="shared" si="25"/>
        <v>0</v>
      </c>
      <c r="CC76" s="1277">
        <f>IF($F76=Miscellaneous!$N$8,SUM($H76:CA76),0)</f>
        <v>0</v>
      </c>
      <c r="CD76" s="1277">
        <f>IF($F76=Miscellaneous!$N$8,IF($G76="Opex",SUMIF('Monthly Summary'!$C$75:BV$75,"",$H76:CA76),SUMIF('Monthly Summary'!$C$74:BV$74,"",$H76:CA76)),0)</f>
        <v>0</v>
      </c>
      <c r="CE76" s="1286">
        <f t="shared" si="26"/>
        <v>0</v>
      </c>
      <c r="CF76" s="833"/>
      <c r="CG76" s="1277">
        <f>IF($F76=Miscellaneous!$N$9,SUM($H76:CA76),0)</f>
        <v>0</v>
      </c>
      <c r="CH76" s="1277">
        <f>IF($F76=Miscellaneous!$N$9,IF($G76="Opex",SUMIF('Monthly Summary'!$C$75:BV$75,"",$H76:CA76),SUMIF('Monthly Summary'!$C$74:BV$74,"",$H76:CA76)),0)</f>
        <v>0</v>
      </c>
      <c r="CI76" s="1286">
        <f t="shared" si="27"/>
        <v>0</v>
      </c>
      <c r="CJ76" s="833"/>
      <c r="CK76" s="1277">
        <f>IF($F76=Miscellaneous!$N$7,SUM($H76:CA76),0)</f>
        <v>0</v>
      </c>
      <c r="CL76" s="1277">
        <f>IF($F76=Miscellaneous!$N$7,IF($G76="Opex",SUMIF('Monthly Summary'!$C$75:BV$75,"",$H76:CA76),SUMIF('Monthly Summary'!$C$74:BV$74,"",$H76:CA76)),0)</f>
        <v>0</v>
      </c>
      <c r="CM76" s="1286">
        <f t="shared" si="28"/>
        <v>0</v>
      </c>
      <c r="CN76" s="833"/>
      <c r="CO76" s="1277">
        <f>IF($F76=Miscellaneous!$N$6,SUM($H76:CA76),0)</f>
        <v>0</v>
      </c>
      <c r="CP76" s="1277">
        <f>IF($F76=Miscellaneous!$N$6,IF($G76="Opex",SUMIF('Monthly Summary'!$C$75:BV$75,"",$H76:CA76),SUMIF('Monthly Summary'!$C$74:BV$74,"",$H76:CA76)),0)</f>
        <v>0</v>
      </c>
      <c r="CQ76" s="1286">
        <f t="shared" si="29"/>
        <v>0</v>
      </c>
      <c r="CR76" s="833"/>
      <c r="CS76" s="1277">
        <f>IF($A76="Software",SUM($H76:CA76),0)</f>
        <v>0</v>
      </c>
      <c r="CT76" s="1277">
        <f>IF($A76="Software",IF($G76="Opex",SUMIF('Monthly Summary'!$C$75:BV$75,"",$H76:CA76),SUMIF('Monthly Summary'!$C$74:BV$74,"",$H76:CA76)),0)</f>
        <v>0</v>
      </c>
      <c r="CU76" s="1286">
        <f t="shared" si="30"/>
        <v>0</v>
      </c>
      <c r="CV76" s="833"/>
      <c r="CW76" s="1277">
        <f t="shared" si="22"/>
        <v>0</v>
      </c>
      <c r="CX76" s="1277">
        <f t="shared" si="23"/>
        <v>0</v>
      </c>
      <c r="CY76" s="1286">
        <f t="shared" si="31"/>
        <v>0</v>
      </c>
      <c r="CZ76" s="833"/>
      <c r="DA76" s="1286">
        <f>IF($G76="Opex",SUMIF('Monthly Summary'!$C$75:BV$75,"",$H76:CA76),SUMIF('Monthly Summary'!$C$74:BV$74,"",$H76:CA76))</f>
        <v>0</v>
      </c>
      <c r="DB76" s="1278">
        <f t="shared" si="24"/>
        <v>0</v>
      </c>
      <c r="DC76" s="1279">
        <f>IF(AND(OR($D76=Variables!A$38,$D76=Variables!A$43),$F76&lt;&gt;"N/A"),1,0)</f>
        <v>0</v>
      </c>
      <c r="DD76" s="820"/>
      <c r="DE76" s="1281" t="str">
        <f t="shared" si="15"/>
        <v/>
      </c>
      <c r="DF76" s="1282" t="str">
        <f t="shared" si="16"/>
        <v/>
      </c>
      <c r="DG76" s="1282" t="str">
        <f t="shared" si="17"/>
        <v/>
      </c>
      <c r="DH76" s="1282" t="str">
        <f>IF(ISNA(VLOOKUP(DE76,Miscellaneous!E:F,2,0)),"",VLOOKUP(DE76,Miscellaneous!E:F,2,0))</f>
        <v/>
      </c>
      <c r="DI76" s="1282" t="str">
        <f t="shared" si="18"/>
        <v/>
      </c>
      <c r="DJ76" s="1283">
        <f>IF($DI76="Opex",SUMIF('Monthly Summary'!$C$75:$N$75,"",H76:S76),SUMIF('Monthly Summary'!$C$74:$N$74,"",H76:S76))</f>
        <v>0</v>
      </c>
      <c r="DK76" s="1283">
        <f>IF($DI76="Opex",SUMIF('Monthly Summary'!$O$75:$Z$75,"",T76:AE76),SUMIF('Monthly Summary'!$O$74:$Z$74,"",T76:AE76))</f>
        <v>0</v>
      </c>
      <c r="DL76" s="1283">
        <f>IF($DI76="Opex",SUMIF('Monthly Summary'!$AA$75:$AL$75,"",AF76:AQ76),SUMIF('Monthly Summary'!$AA$74:$AL$74,"",AF76:AQ76))</f>
        <v>0</v>
      </c>
      <c r="DM76" s="1283">
        <f>IF($DI76="Opex",SUMIF('Monthly Summary'!$AM$75:$AX$75,"",AR76:BC76),SUMIF('Monthly Summary'!$AM$74:$AX$74,"",AR76:BC76))</f>
        <v>0</v>
      </c>
      <c r="DN76" s="1283">
        <f>IF($DI76="Opex",SUMIF('Monthly Summary'!$AY$75:$BJ$75,"",BD76:BO76),SUMIF('Monthly Summary'!$AY$74:$BJ$74,"",BD76:BO76))</f>
        <v>0</v>
      </c>
      <c r="DO76" s="1284">
        <f>IF($DI76="Opex",SUMIF('Monthly Summary'!$BK$75:$BV$75,"",BP76:CA76),SUMIF('Monthly Summary'!$BK$74:$BV$74,"",BP76:CA76))</f>
        <v>0</v>
      </c>
      <c r="DP76" s="1285">
        <f t="shared" si="32"/>
        <v>0</v>
      </c>
    </row>
    <row r="77" spans="1:120" s="809" customFormat="1">
      <c r="A77" s="1261"/>
      <c r="B77" s="1261"/>
      <c r="C77" s="1261"/>
      <c r="D77" s="1262"/>
      <c r="E77" s="1270"/>
      <c r="F77" s="1263"/>
      <c r="G77" s="1263"/>
      <c r="H77" s="1267"/>
      <c r="I77" s="1268"/>
      <c r="J77" s="1268"/>
      <c r="K77" s="1268"/>
      <c r="L77" s="1268"/>
      <c r="M77" s="1268"/>
      <c r="N77" s="1268"/>
      <c r="O77" s="1268"/>
      <c r="P77" s="1268"/>
      <c r="Q77" s="1268"/>
      <c r="R77" s="1268"/>
      <c r="S77" s="1269"/>
      <c r="T77" s="1267"/>
      <c r="U77" s="1268"/>
      <c r="V77" s="1268"/>
      <c r="W77" s="1268"/>
      <c r="X77" s="1268"/>
      <c r="Y77" s="1268"/>
      <c r="Z77" s="1268"/>
      <c r="AA77" s="1268"/>
      <c r="AB77" s="1268"/>
      <c r="AC77" s="1268"/>
      <c r="AD77" s="1268"/>
      <c r="AE77" s="1269"/>
      <c r="AF77" s="1267"/>
      <c r="AG77" s="1268"/>
      <c r="AH77" s="1268"/>
      <c r="AI77" s="1268"/>
      <c r="AJ77" s="1268"/>
      <c r="AK77" s="1268"/>
      <c r="AL77" s="1268"/>
      <c r="AM77" s="1268"/>
      <c r="AN77" s="1268"/>
      <c r="AO77" s="1268"/>
      <c r="AP77" s="1268"/>
      <c r="AQ77" s="1269"/>
      <c r="AR77" s="1267"/>
      <c r="AS77" s="1268"/>
      <c r="AT77" s="1268"/>
      <c r="AU77" s="1268"/>
      <c r="AV77" s="1268"/>
      <c r="AW77" s="1268"/>
      <c r="AX77" s="1268"/>
      <c r="AY77" s="1268"/>
      <c r="AZ77" s="1268"/>
      <c r="BA77" s="1268"/>
      <c r="BB77" s="1268"/>
      <c r="BC77" s="1269"/>
      <c r="BD77" s="1267"/>
      <c r="BE77" s="1268"/>
      <c r="BF77" s="1268"/>
      <c r="BG77" s="1268"/>
      <c r="BH77" s="1268"/>
      <c r="BI77" s="1268"/>
      <c r="BJ77" s="1268"/>
      <c r="BK77" s="1268"/>
      <c r="BL77" s="1268"/>
      <c r="BM77" s="1268"/>
      <c r="BN77" s="1268"/>
      <c r="BO77" s="1269"/>
      <c r="BP77" s="1267"/>
      <c r="BQ77" s="1268"/>
      <c r="BR77" s="1268"/>
      <c r="BS77" s="1268"/>
      <c r="BT77" s="1268"/>
      <c r="BU77" s="1268"/>
      <c r="BV77" s="1268"/>
      <c r="BW77" s="1268"/>
      <c r="BX77" s="1268"/>
      <c r="BY77" s="1268"/>
      <c r="BZ77" s="1268"/>
      <c r="CA77" s="1269"/>
      <c r="CB77" s="1286">
        <f t="shared" si="25"/>
        <v>0</v>
      </c>
      <c r="CC77" s="1277">
        <f>IF($F77=Miscellaneous!$N$8,SUM($H77:CA77),0)</f>
        <v>0</v>
      </c>
      <c r="CD77" s="1277">
        <f>IF($F77=Miscellaneous!$N$8,IF($G77="Opex",SUMIF('Monthly Summary'!$C$75:BV$75,"",$H77:CA77),SUMIF('Monthly Summary'!$C$74:BV$74,"",$H77:CA77)),0)</f>
        <v>0</v>
      </c>
      <c r="CE77" s="1286">
        <f t="shared" si="26"/>
        <v>0</v>
      </c>
      <c r="CF77" s="833"/>
      <c r="CG77" s="1277">
        <f>IF($F77=Miscellaneous!$N$9,SUM($H77:CA77),0)</f>
        <v>0</v>
      </c>
      <c r="CH77" s="1277">
        <f>IF($F77=Miscellaneous!$N$9,IF($G77="Opex",SUMIF('Monthly Summary'!$C$75:BV$75,"",$H77:CA77),SUMIF('Monthly Summary'!$C$74:BV$74,"",$H77:CA77)),0)</f>
        <v>0</v>
      </c>
      <c r="CI77" s="1286">
        <f t="shared" si="27"/>
        <v>0</v>
      </c>
      <c r="CJ77" s="833"/>
      <c r="CK77" s="1277">
        <f>IF($F77=Miscellaneous!$N$7,SUM($H77:CA77),0)</f>
        <v>0</v>
      </c>
      <c r="CL77" s="1277">
        <f>IF($F77=Miscellaneous!$N$7,IF($G77="Opex",SUMIF('Monthly Summary'!$C$75:BV$75,"",$H77:CA77),SUMIF('Monthly Summary'!$C$74:BV$74,"",$H77:CA77)),0)</f>
        <v>0</v>
      </c>
      <c r="CM77" s="1286">
        <f t="shared" si="28"/>
        <v>0</v>
      </c>
      <c r="CN77" s="833"/>
      <c r="CO77" s="1277">
        <f>IF($F77=Miscellaneous!$N$6,SUM($H77:CA77),0)</f>
        <v>0</v>
      </c>
      <c r="CP77" s="1277">
        <f>IF($F77=Miscellaneous!$N$6,IF($G77="Opex",SUMIF('Monthly Summary'!$C$75:BV$75,"",$H77:CA77),SUMIF('Monthly Summary'!$C$74:BV$74,"",$H77:CA77)),0)</f>
        <v>0</v>
      </c>
      <c r="CQ77" s="1286">
        <f t="shared" si="29"/>
        <v>0</v>
      </c>
      <c r="CR77" s="833"/>
      <c r="CS77" s="1277">
        <f>IF($A77="Software",SUM($H77:CA77),0)</f>
        <v>0</v>
      </c>
      <c r="CT77" s="1277">
        <f>IF($A77="Software",IF($G77="Opex",SUMIF('Monthly Summary'!$C$75:BV$75,"",$H77:CA77),SUMIF('Monthly Summary'!$C$74:BV$74,"",$H77:CA77)),0)</f>
        <v>0</v>
      </c>
      <c r="CU77" s="1286">
        <f t="shared" si="30"/>
        <v>0</v>
      </c>
      <c r="CV77" s="833"/>
      <c r="CW77" s="1277">
        <f t="shared" si="22"/>
        <v>0</v>
      </c>
      <c r="CX77" s="1277">
        <f t="shared" si="23"/>
        <v>0</v>
      </c>
      <c r="CY77" s="1286">
        <f t="shared" si="31"/>
        <v>0</v>
      </c>
      <c r="CZ77" s="833"/>
      <c r="DA77" s="1286">
        <f>IF($G77="Opex",SUMIF('Monthly Summary'!$C$75:BV$75,"",$H77:CA77),SUMIF('Monthly Summary'!$C$74:BV$74,"",$H77:CA77))</f>
        <v>0</v>
      </c>
      <c r="DB77" s="1278">
        <f t="shared" si="24"/>
        <v>0</v>
      </c>
      <c r="DC77" s="1279">
        <f>IF(AND(OR($D77=Variables!A$38,$D77=Variables!A$43),$F77&lt;&gt;"N/A"),1,0)</f>
        <v>0</v>
      </c>
      <c r="DD77" s="820"/>
      <c r="DE77" s="1281" t="str">
        <f t="shared" si="15"/>
        <v/>
      </c>
      <c r="DF77" s="1282" t="str">
        <f t="shared" si="16"/>
        <v/>
      </c>
      <c r="DG77" s="1282" t="str">
        <f t="shared" si="17"/>
        <v/>
      </c>
      <c r="DH77" s="1282" t="str">
        <f>IF(ISNA(VLOOKUP(DE77,Miscellaneous!E:F,2,0)),"",VLOOKUP(DE77,Miscellaneous!E:F,2,0))</f>
        <v/>
      </c>
      <c r="DI77" s="1282" t="str">
        <f t="shared" si="18"/>
        <v/>
      </c>
      <c r="DJ77" s="1283">
        <f>IF($DI77="Opex",SUMIF('Monthly Summary'!$C$75:$N$75,"",H77:S77),SUMIF('Monthly Summary'!$C$74:$N$74,"",H77:S77))</f>
        <v>0</v>
      </c>
      <c r="DK77" s="1283">
        <f>IF($DI77="Opex",SUMIF('Monthly Summary'!$O$75:$Z$75,"",T77:AE77),SUMIF('Monthly Summary'!$O$74:$Z$74,"",T77:AE77))</f>
        <v>0</v>
      </c>
      <c r="DL77" s="1283">
        <f>IF($DI77="Opex",SUMIF('Monthly Summary'!$AA$75:$AL$75,"",AF77:AQ77),SUMIF('Monthly Summary'!$AA$74:$AL$74,"",AF77:AQ77))</f>
        <v>0</v>
      </c>
      <c r="DM77" s="1283">
        <f>IF($DI77="Opex",SUMIF('Monthly Summary'!$AM$75:$AX$75,"",AR77:BC77),SUMIF('Monthly Summary'!$AM$74:$AX$74,"",AR77:BC77))</f>
        <v>0</v>
      </c>
      <c r="DN77" s="1283">
        <f>IF($DI77="Opex",SUMIF('Monthly Summary'!$AY$75:$BJ$75,"",BD77:BO77),SUMIF('Monthly Summary'!$AY$74:$BJ$74,"",BD77:BO77))</f>
        <v>0</v>
      </c>
      <c r="DO77" s="1284">
        <f>IF($DI77="Opex",SUMIF('Monthly Summary'!$BK$75:$BV$75,"",BP77:CA77),SUMIF('Monthly Summary'!$BK$74:$BV$74,"",BP77:CA77))</f>
        <v>0</v>
      </c>
      <c r="DP77" s="1285">
        <f t="shared" si="32"/>
        <v>0</v>
      </c>
    </row>
    <row r="78" spans="1:120" s="809" customFormat="1">
      <c r="A78" s="1261"/>
      <c r="B78" s="1261"/>
      <c r="C78" s="1261"/>
      <c r="D78" s="1262"/>
      <c r="E78" s="1270"/>
      <c r="F78" s="1263"/>
      <c r="G78" s="1263"/>
      <c r="H78" s="1267"/>
      <c r="I78" s="1268"/>
      <c r="J78" s="1268"/>
      <c r="K78" s="1268"/>
      <c r="L78" s="1268"/>
      <c r="M78" s="1268"/>
      <c r="N78" s="1268"/>
      <c r="O78" s="1268"/>
      <c r="P78" s="1268"/>
      <c r="Q78" s="1268"/>
      <c r="R78" s="1268"/>
      <c r="S78" s="1269"/>
      <c r="T78" s="1267"/>
      <c r="U78" s="1268"/>
      <c r="V78" s="1268"/>
      <c r="W78" s="1268"/>
      <c r="X78" s="1268"/>
      <c r="Y78" s="1268"/>
      <c r="Z78" s="1268"/>
      <c r="AA78" s="1268"/>
      <c r="AB78" s="1268"/>
      <c r="AC78" s="1268"/>
      <c r="AD78" s="1268"/>
      <c r="AE78" s="1269"/>
      <c r="AF78" s="1267"/>
      <c r="AG78" s="1268"/>
      <c r="AH78" s="1268"/>
      <c r="AI78" s="1268"/>
      <c r="AJ78" s="1268"/>
      <c r="AK78" s="1268"/>
      <c r="AL78" s="1268"/>
      <c r="AM78" s="1268"/>
      <c r="AN78" s="1268"/>
      <c r="AO78" s="1268"/>
      <c r="AP78" s="1268"/>
      <c r="AQ78" s="1269"/>
      <c r="AR78" s="1267"/>
      <c r="AS78" s="1268"/>
      <c r="AT78" s="1268"/>
      <c r="AU78" s="1268"/>
      <c r="AV78" s="1268"/>
      <c r="AW78" s="1268"/>
      <c r="AX78" s="1268"/>
      <c r="AY78" s="1268"/>
      <c r="AZ78" s="1268"/>
      <c r="BA78" s="1268"/>
      <c r="BB78" s="1268"/>
      <c r="BC78" s="1269"/>
      <c r="BD78" s="1267"/>
      <c r="BE78" s="1268"/>
      <c r="BF78" s="1268"/>
      <c r="BG78" s="1268"/>
      <c r="BH78" s="1268"/>
      <c r="BI78" s="1268"/>
      <c r="BJ78" s="1268"/>
      <c r="BK78" s="1268"/>
      <c r="BL78" s="1268"/>
      <c r="BM78" s="1268"/>
      <c r="BN78" s="1268"/>
      <c r="BO78" s="1269"/>
      <c r="BP78" s="1267"/>
      <c r="BQ78" s="1268"/>
      <c r="BR78" s="1268"/>
      <c r="BS78" s="1268"/>
      <c r="BT78" s="1268"/>
      <c r="BU78" s="1268"/>
      <c r="BV78" s="1268"/>
      <c r="BW78" s="1268"/>
      <c r="BX78" s="1268"/>
      <c r="BY78" s="1268"/>
      <c r="BZ78" s="1268"/>
      <c r="CA78" s="1269"/>
      <c r="CB78" s="1286">
        <f t="shared" si="25"/>
        <v>0</v>
      </c>
      <c r="CC78" s="1277">
        <f>IF($F78=Miscellaneous!$N$8,SUM($H78:CA78),0)</f>
        <v>0</v>
      </c>
      <c r="CD78" s="1277">
        <f>IF($F78=Miscellaneous!$N$8,IF($G78="Opex",SUMIF('Monthly Summary'!$C$75:BV$75,"",$H78:CA78),SUMIF('Monthly Summary'!$C$74:BV$74,"",$H78:CA78)),0)</f>
        <v>0</v>
      </c>
      <c r="CE78" s="1286">
        <f t="shared" si="26"/>
        <v>0</v>
      </c>
      <c r="CF78" s="833"/>
      <c r="CG78" s="1277">
        <f>IF($F78=Miscellaneous!$N$9,SUM($H78:CA78),0)</f>
        <v>0</v>
      </c>
      <c r="CH78" s="1277">
        <f>IF($F78=Miscellaneous!$N$9,IF($G78="Opex",SUMIF('Monthly Summary'!$C$75:BV$75,"",$H78:CA78),SUMIF('Monthly Summary'!$C$74:BV$74,"",$H78:CA78)),0)</f>
        <v>0</v>
      </c>
      <c r="CI78" s="1286">
        <f t="shared" si="27"/>
        <v>0</v>
      </c>
      <c r="CJ78" s="833"/>
      <c r="CK78" s="1277">
        <f>IF($F78=Miscellaneous!$N$7,SUM($H78:CA78),0)</f>
        <v>0</v>
      </c>
      <c r="CL78" s="1277">
        <f>IF($F78=Miscellaneous!$N$7,IF($G78="Opex",SUMIF('Monthly Summary'!$C$75:BV$75,"",$H78:CA78),SUMIF('Monthly Summary'!$C$74:BV$74,"",$H78:CA78)),0)</f>
        <v>0</v>
      </c>
      <c r="CM78" s="1286">
        <f t="shared" si="28"/>
        <v>0</v>
      </c>
      <c r="CN78" s="833"/>
      <c r="CO78" s="1277">
        <f>IF($F78=Miscellaneous!$N$6,SUM($H78:CA78),0)</f>
        <v>0</v>
      </c>
      <c r="CP78" s="1277">
        <f>IF($F78=Miscellaneous!$N$6,IF($G78="Opex",SUMIF('Monthly Summary'!$C$75:BV$75,"",$H78:CA78),SUMIF('Monthly Summary'!$C$74:BV$74,"",$H78:CA78)),0)</f>
        <v>0</v>
      </c>
      <c r="CQ78" s="1286">
        <f t="shared" si="29"/>
        <v>0</v>
      </c>
      <c r="CR78" s="833"/>
      <c r="CS78" s="1277">
        <f>IF($A78="Software",SUM($H78:CA78),0)</f>
        <v>0</v>
      </c>
      <c r="CT78" s="1277">
        <f>IF($A78="Software",IF($G78="Opex",SUMIF('Monthly Summary'!$C$75:BV$75,"",$H78:CA78),SUMIF('Monthly Summary'!$C$74:BV$74,"",$H78:CA78)),0)</f>
        <v>0</v>
      </c>
      <c r="CU78" s="1286">
        <f t="shared" si="30"/>
        <v>0</v>
      </c>
      <c r="CV78" s="833"/>
      <c r="CW78" s="1277">
        <f t="shared" si="22"/>
        <v>0</v>
      </c>
      <c r="CX78" s="1277">
        <f t="shared" si="23"/>
        <v>0</v>
      </c>
      <c r="CY78" s="1286">
        <f t="shared" si="31"/>
        <v>0</v>
      </c>
      <c r="CZ78" s="833"/>
      <c r="DA78" s="1286">
        <f>IF($G78="Opex",SUMIF('Monthly Summary'!$C$75:BV$75,"",$H78:CA78),SUMIF('Monthly Summary'!$C$74:BV$74,"",$H78:CA78))</f>
        <v>0</v>
      </c>
      <c r="DB78" s="1278">
        <f t="shared" si="24"/>
        <v>0</v>
      </c>
      <c r="DC78" s="1279">
        <f>IF(AND(OR($D78=Variables!A$38,$D78=Variables!A$43),$F78&lt;&gt;"N/A"),1,0)</f>
        <v>0</v>
      </c>
      <c r="DD78" s="820"/>
      <c r="DE78" s="1281" t="str">
        <f t="shared" ref="DE78:DE141" si="33">IF(ISBLANK(A78),"",A78)</f>
        <v/>
      </c>
      <c r="DF78" s="1282" t="str">
        <f t="shared" ref="DF78:DF141" si="34">IF(ISBLANK(B78),"",B78)</f>
        <v/>
      </c>
      <c r="DG78" s="1282" t="str">
        <f t="shared" ref="DG78:DG141" si="35">IF(ISBLANK(C78),"",C78)</f>
        <v/>
      </c>
      <c r="DH78" s="1282" t="str">
        <f>IF(ISNA(VLOOKUP(DE78,Miscellaneous!E:F,2,0)),"",VLOOKUP(DE78,Miscellaneous!E:F,2,0))</f>
        <v/>
      </c>
      <c r="DI78" s="1282" t="str">
        <f t="shared" ref="DI78:DI141" si="36">IF(ISBLANK(G78),"",G78)</f>
        <v/>
      </c>
      <c r="DJ78" s="1283">
        <f>IF($DI78="Opex",SUMIF('Monthly Summary'!$C$75:$N$75,"",H78:S78),SUMIF('Monthly Summary'!$C$74:$N$74,"",H78:S78))</f>
        <v>0</v>
      </c>
      <c r="DK78" s="1283">
        <f>IF($DI78="Opex",SUMIF('Monthly Summary'!$O$75:$Z$75,"",T78:AE78),SUMIF('Monthly Summary'!$O$74:$Z$74,"",T78:AE78))</f>
        <v>0</v>
      </c>
      <c r="DL78" s="1283">
        <f>IF($DI78="Opex",SUMIF('Monthly Summary'!$AA$75:$AL$75,"",AF78:AQ78),SUMIF('Monthly Summary'!$AA$74:$AL$74,"",AF78:AQ78))</f>
        <v>0</v>
      </c>
      <c r="DM78" s="1283">
        <f>IF($DI78="Opex",SUMIF('Monthly Summary'!$AM$75:$AX$75,"",AR78:BC78),SUMIF('Monthly Summary'!$AM$74:$AX$74,"",AR78:BC78))</f>
        <v>0</v>
      </c>
      <c r="DN78" s="1283">
        <f>IF($DI78="Opex",SUMIF('Monthly Summary'!$AY$75:$BJ$75,"",BD78:BO78),SUMIF('Monthly Summary'!$AY$74:$BJ$74,"",BD78:BO78))</f>
        <v>0</v>
      </c>
      <c r="DO78" s="1284">
        <f>IF($DI78="Opex",SUMIF('Monthly Summary'!$BK$75:$BV$75,"",BP78:CA78),SUMIF('Monthly Summary'!$BK$74:$BV$74,"",BP78:CA78))</f>
        <v>0</v>
      </c>
      <c r="DP78" s="1285">
        <f t="shared" si="32"/>
        <v>0</v>
      </c>
    </row>
    <row r="79" spans="1:120" s="809" customFormat="1">
      <c r="A79" s="1261"/>
      <c r="B79" s="1261"/>
      <c r="C79" s="1261"/>
      <c r="D79" s="1262"/>
      <c r="E79" s="1270"/>
      <c r="F79" s="1263"/>
      <c r="G79" s="1263"/>
      <c r="H79" s="1267"/>
      <c r="I79" s="1268"/>
      <c r="J79" s="1268"/>
      <c r="K79" s="1268"/>
      <c r="L79" s="1268"/>
      <c r="M79" s="1268"/>
      <c r="N79" s="1268"/>
      <c r="O79" s="1268"/>
      <c r="P79" s="1268"/>
      <c r="Q79" s="1268"/>
      <c r="R79" s="1268"/>
      <c r="S79" s="1269"/>
      <c r="T79" s="1267"/>
      <c r="U79" s="1268"/>
      <c r="V79" s="1268"/>
      <c r="W79" s="1268"/>
      <c r="X79" s="1268"/>
      <c r="Y79" s="1268"/>
      <c r="Z79" s="1268"/>
      <c r="AA79" s="1268"/>
      <c r="AB79" s="1268"/>
      <c r="AC79" s="1268"/>
      <c r="AD79" s="1268"/>
      <c r="AE79" s="1269"/>
      <c r="AF79" s="1267"/>
      <c r="AG79" s="1268"/>
      <c r="AH79" s="1268"/>
      <c r="AI79" s="1268"/>
      <c r="AJ79" s="1268"/>
      <c r="AK79" s="1268"/>
      <c r="AL79" s="1268"/>
      <c r="AM79" s="1268"/>
      <c r="AN79" s="1268"/>
      <c r="AO79" s="1268"/>
      <c r="AP79" s="1268"/>
      <c r="AQ79" s="1269"/>
      <c r="AR79" s="1267"/>
      <c r="AS79" s="1268"/>
      <c r="AT79" s="1268"/>
      <c r="AU79" s="1268"/>
      <c r="AV79" s="1268"/>
      <c r="AW79" s="1268"/>
      <c r="AX79" s="1268"/>
      <c r="AY79" s="1268"/>
      <c r="AZ79" s="1268"/>
      <c r="BA79" s="1268"/>
      <c r="BB79" s="1268"/>
      <c r="BC79" s="1269"/>
      <c r="BD79" s="1267"/>
      <c r="BE79" s="1268"/>
      <c r="BF79" s="1268"/>
      <c r="BG79" s="1268"/>
      <c r="BH79" s="1268"/>
      <c r="BI79" s="1268"/>
      <c r="BJ79" s="1268"/>
      <c r="BK79" s="1268"/>
      <c r="BL79" s="1268"/>
      <c r="BM79" s="1268"/>
      <c r="BN79" s="1268"/>
      <c r="BO79" s="1269"/>
      <c r="BP79" s="1267"/>
      <c r="BQ79" s="1268"/>
      <c r="BR79" s="1268"/>
      <c r="BS79" s="1268"/>
      <c r="BT79" s="1268"/>
      <c r="BU79" s="1268"/>
      <c r="BV79" s="1268"/>
      <c r="BW79" s="1268"/>
      <c r="BX79" s="1268"/>
      <c r="BY79" s="1268"/>
      <c r="BZ79" s="1268"/>
      <c r="CA79" s="1269"/>
      <c r="CB79" s="1286">
        <f t="shared" si="25"/>
        <v>0</v>
      </c>
      <c r="CC79" s="1277">
        <f>IF($F79=Miscellaneous!$N$8,SUM($H79:CA79),0)</f>
        <v>0</v>
      </c>
      <c r="CD79" s="1277">
        <f>IF($F79=Miscellaneous!$N$8,IF($G79="Opex",SUMIF('Monthly Summary'!$C$75:BV$75,"",$H79:CA79),SUMIF('Monthly Summary'!$C$74:BV$74,"",$H79:CA79)),0)</f>
        <v>0</v>
      </c>
      <c r="CE79" s="1286">
        <f t="shared" si="26"/>
        <v>0</v>
      </c>
      <c r="CF79" s="833"/>
      <c r="CG79" s="1277">
        <f>IF($F79=Miscellaneous!$N$9,SUM($H79:CA79),0)</f>
        <v>0</v>
      </c>
      <c r="CH79" s="1277">
        <f>IF($F79=Miscellaneous!$N$9,IF($G79="Opex",SUMIF('Monthly Summary'!$C$75:BV$75,"",$H79:CA79),SUMIF('Monthly Summary'!$C$74:BV$74,"",$H79:CA79)),0)</f>
        <v>0</v>
      </c>
      <c r="CI79" s="1286">
        <f t="shared" si="27"/>
        <v>0</v>
      </c>
      <c r="CJ79" s="833"/>
      <c r="CK79" s="1277">
        <f>IF($F79=Miscellaneous!$N$7,SUM($H79:CA79),0)</f>
        <v>0</v>
      </c>
      <c r="CL79" s="1277">
        <f>IF($F79=Miscellaneous!$N$7,IF($G79="Opex",SUMIF('Monthly Summary'!$C$75:BV$75,"",$H79:CA79),SUMIF('Monthly Summary'!$C$74:BV$74,"",$H79:CA79)),0)</f>
        <v>0</v>
      </c>
      <c r="CM79" s="1286">
        <f t="shared" si="28"/>
        <v>0</v>
      </c>
      <c r="CN79" s="833"/>
      <c r="CO79" s="1277">
        <f>IF($F79=Miscellaneous!$N$6,SUM($H79:CA79),0)</f>
        <v>0</v>
      </c>
      <c r="CP79" s="1277">
        <f>IF($F79=Miscellaneous!$N$6,IF($G79="Opex",SUMIF('Monthly Summary'!$C$75:BV$75,"",$H79:CA79),SUMIF('Monthly Summary'!$C$74:BV$74,"",$H79:CA79)),0)</f>
        <v>0</v>
      </c>
      <c r="CQ79" s="1286">
        <f t="shared" si="29"/>
        <v>0</v>
      </c>
      <c r="CR79" s="833"/>
      <c r="CS79" s="1277">
        <f>IF($A79="Software",SUM($H79:CA79),0)</f>
        <v>0</v>
      </c>
      <c r="CT79" s="1277">
        <f>IF($A79="Software",IF($G79="Opex",SUMIF('Monthly Summary'!$C$75:BV$75,"",$H79:CA79),SUMIF('Monthly Summary'!$C$74:BV$74,"",$H79:CA79)),0)</f>
        <v>0</v>
      </c>
      <c r="CU79" s="1286">
        <f t="shared" si="30"/>
        <v>0</v>
      </c>
      <c r="CV79" s="833"/>
      <c r="CW79" s="1277">
        <f t="shared" si="22"/>
        <v>0</v>
      </c>
      <c r="CX79" s="1277">
        <f t="shared" si="23"/>
        <v>0</v>
      </c>
      <c r="CY79" s="1286">
        <f t="shared" si="31"/>
        <v>0</v>
      </c>
      <c r="CZ79" s="833"/>
      <c r="DA79" s="1286">
        <f>IF($G79="Opex",SUMIF('Monthly Summary'!$C$75:BV$75,"",$H79:CA79),SUMIF('Monthly Summary'!$C$74:BV$74,"",$H79:CA79))</f>
        <v>0</v>
      </c>
      <c r="DB79" s="1278">
        <f t="shared" si="24"/>
        <v>0</v>
      </c>
      <c r="DC79" s="1279">
        <f>IF(AND(OR($D79=Variables!A$38,$D79=Variables!A$43),$F79&lt;&gt;"N/A"),1,0)</f>
        <v>0</v>
      </c>
      <c r="DD79" s="820"/>
      <c r="DE79" s="1281" t="str">
        <f t="shared" si="33"/>
        <v/>
      </c>
      <c r="DF79" s="1282" t="str">
        <f t="shared" si="34"/>
        <v/>
      </c>
      <c r="DG79" s="1282" t="str">
        <f t="shared" si="35"/>
        <v/>
      </c>
      <c r="DH79" s="1282" t="str">
        <f>IF(ISNA(VLOOKUP(DE79,Miscellaneous!E:F,2,0)),"",VLOOKUP(DE79,Miscellaneous!E:F,2,0))</f>
        <v/>
      </c>
      <c r="DI79" s="1282" t="str">
        <f t="shared" si="36"/>
        <v/>
      </c>
      <c r="DJ79" s="1283">
        <f>IF($DI79="Opex",SUMIF('Monthly Summary'!$C$75:$N$75,"",H79:S79),SUMIF('Monthly Summary'!$C$74:$N$74,"",H79:S79))</f>
        <v>0</v>
      </c>
      <c r="DK79" s="1283">
        <f>IF($DI79="Opex",SUMIF('Monthly Summary'!$O$75:$Z$75,"",T79:AE79),SUMIF('Monthly Summary'!$O$74:$Z$74,"",T79:AE79))</f>
        <v>0</v>
      </c>
      <c r="DL79" s="1283">
        <f>IF($DI79="Opex",SUMIF('Monthly Summary'!$AA$75:$AL$75,"",AF79:AQ79),SUMIF('Monthly Summary'!$AA$74:$AL$74,"",AF79:AQ79))</f>
        <v>0</v>
      </c>
      <c r="DM79" s="1283">
        <f>IF($DI79="Opex",SUMIF('Monthly Summary'!$AM$75:$AX$75,"",AR79:BC79),SUMIF('Monthly Summary'!$AM$74:$AX$74,"",AR79:BC79))</f>
        <v>0</v>
      </c>
      <c r="DN79" s="1283">
        <f>IF($DI79="Opex",SUMIF('Monthly Summary'!$AY$75:$BJ$75,"",BD79:BO79),SUMIF('Monthly Summary'!$AY$74:$BJ$74,"",BD79:BO79))</f>
        <v>0</v>
      </c>
      <c r="DO79" s="1284">
        <f>IF($DI79="Opex",SUMIF('Monthly Summary'!$BK$75:$BV$75,"",BP79:CA79),SUMIF('Monthly Summary'!$BK$74:$BV$74,"",BP79:CA79))</f>
        <v>0</v>
      </c>
      <c r="DP79" s="1285">
        <f t="shared" si="32"/>
        <v>0</v>
      </c>
    </row>
    <row r="80" spans="1:120" s="809" customFormat="1">
      <c r="A80" s="1261"/>
      <c r="B80" s="1261"/>
      <c r="C80" s="1261"/>
      <c r="D80" s="1262"/>
      <c r="E80" s="1270"/>
      <c r="F80" s="1263"/>
      <c r="G80" s="1263"/>
      <c r="H80" s="1267"/>
      <c r="I80" s="1268"/>
      <c r="J80" s="1268"/>
      <c r="K80" s="1268"/>
      <c r="L80" s="1268"/>
      <c r="M80" s="1268"/>
      <c r="N80" s="1268"/>
      <c r="O80" s="1268"/>
      <c r="P80" s="1268"/>
      <c r="Q80" s="1268"/>
      <c r="R80" s="1268"/>
      <c r="S80" s="1269"/>
      <c r="T80" s="1267"/>
      <c r="U80" s="1268"/>
      <c r="V80" s="1268"/>
      <c r="W80" s="1268"/>
      <c r="X80" s="1268"/>
      <c r="Y80" s="1268"/>
      <c r="Z80" s="1268"/>
      <c r="AA80" s="1268"/>
      <c r="AB80" s="1268"/>
      <c r="AC80" s="1268"/>
      <c r="AD80" s="1268"/>
      <c r="AE80" s="1269"/>
      <c r="AF80" s="1267"/>
      <c r="AG80" s="1268"/>
      <c r="AH80" s="1268"/>
      <c r="AI80" s="1268"/>
      <c r="AJ80" s="1268"/>
      <c r="AK80" s="1268"/>
      <c r="AL80" s="1268"/>
      <c r="AM80" s="1268"/>
      <c r="AN80" s="1268"/>
      <c r="AO80" s="1268"/>
      <c r="AP80" s="1268"/>
      <c r="AQ80" s="1269"/>
      <c r="AR80" s="1267"/>
      <c r="AS80" s="1268"/>
      <c r="AT80" s="1268"/>
      <c r="AU80" s="1268"/>
      <c r="AV80" s="1268"/>
      <c r="AW80" s="1268"/>
      <c r="AX80" s="1268"/>
      <c r="AY80" s="1268"/>
      <c r="AZ80" s="1268"/>
      <c r="BA80" s="1268"/>
      <c r="BB80" s="1268"/>
      <c r="BC80" s="1269"/>
      <c r="BD80" s="1267"/>
      <c r="BE80" s="1268"/>
      <c r="BF80" s="1268"/>
      <c r="BG80" s="1268"/>
      <c r="BH80" s="1268"/>
      <c r="BI80" s="1268"/>
      <c r="BJ80" s="1268"/>
      <c r="BK80" s="1268"/>
      <c r="BL80" s="1268"/>
      <c r="BM80" s="1268"/>
      <c r="BN80" s="1268"/>
      <c r="BO80" s="1269"/>
      <c r="BP80" s="1267"/>
      <c r="BQ80" s="1268"/>
      <c r="BR80" s="1268"/>
      <c r="BS80" s="1268"/>
      <c r="BT80" s="1268"/>
      <c r="BU80" s="1268"/>
      <c r="BV80" s="1268"/>
      <c r="BW80" s="1268"/>
      <c r="BX80" s="1268"/>
      <c r="BY80" s="1268"/>
      <c r="BZ80" s="1268"/>
      <c r="CA80" s="1269"/>
      <c r="CB80" s="1286">
        <f t="shared" si="25"/>
        <v>0</v>
      </c>
      <c r="CC80" s="1277">
        <f>IF($F80=Miscellaneous!$N$8,SUM($H80:CA80),0)</f>
        <v>0</v>
      </c>
      <c r="CD80" s="1277">
        <f>IF($F80=Miscellaneous!$N$8,IF($G80="Opex",SUMIF('Monthly Summary'!$C$75:BV$75,"",$H80:CA80),SUMIF('Monthly Summary'!$C$74:BV$74,"",$H80:CA80)),0)</f>
        <v>0</v>
      </c>
      <c r="CE80" s="1286">
        <f t="shared" si="26"/>
        <v>0</v>
      </c>
      <c r="CF80" s="833"/>
      <c r="CG80" s="1277">
        <f>IF($F80=Miscellaneous!$N$9,SUM($H80:CA80),0)</f>
        <v>0</v>
      </c>
      <c r="CH80" s="1277">
        <f>IF($F80=Miscellaneous!$N$9,IF($G80="Opex",SUMIF('Monthly Summary'!$C$75:BV$75,"",$H80:CA80),SUMIF('Monthly Summary'!$C$74:BV$74,"",$H80:CA80)),0)</f>
        <v>0</v>
      </c>
      <c r="CI80" s="1286">
        <f t="shared" si="27"/>
        <v>0</v>
      </c>
      <c r="CJ80" s="833"/>
      <c r="CK80" s="1277">
        <f>IF($F80=Miscellaneous!$N$7,SUM($H80:CA80),0)</f>
        <v>0</v>
      </c>
      <c r="CL80" s="1277">
        <f>IF($F80=Miscellaneous!$N$7,IF($G80="Opex",SUMIF('Monthly Summary'!$C$75:BV$75,"",$H80:CA80),SUMIF('Monthly Summary'!$C$74:BV$74,"",$H80:CA80)),0)</f>
        <v>0</v>
      </c>
      <c r="CM80" s="1286">
        <f t="shared" si="28"/>
        <v>0</v>
      </c>
      <c r="CN80" s="833"/>
      <c r="CO80" s="1277">
        <f>IF($F80=Miscellaneous!$N$6,SUM($H80:CA80),0)</f>
        <v>0</v>
      </c>
      <c r="CP80" s="1277">
        <f>IF($F80=Miscellaneous!$N$6,IF($G80="Opex",SUMIF('Monthly Summary'!$C$75:BV$75,"",$H80:CA80),SUMIF('Monthly Summary'!$C$74:BV$74,"",$H80:CA80)),0)</f>
        <v>0</v>
      </c>
      <c r="CQ80" s="1286">
        <f t="shared" si="29"/>
        <v>0</v>
      </c>
      <c r="CR80" s="833"/>
      <c r="CS80" s="1277">
        <f>IF($A80="Software",SUM($H80:CA80),0)</f>
        <v>0</v>
      </c>
      <c r="CT80" s="1277">
        <f>IF($A80="Software",IF($G80="Opex",SUMIF('Monthly Summary'!$C$75:BV$75,"",$H80:CA80),SUMIF('Monthly Summary'!$C$74:BV$74,"",$H80:CA80)),0)</f>
        <v>0</v>
      </c>
      <c r="CU80" s="1286">
        <f t="shared" si="30"/>
        <v>0</v>
      </c>
      <c r="CV80" s="833"/>
      <c r="CW80" s="1277">
        <f t="shared" si="22"/>
        <v>0</v>
      </c>
      <c r="CX80" s="1277">
        <f t="shared" si="23"/>
        <v>0</v>
      </c>
      <c r="CY80" s="1286">
        <f t="shared" si="31"/>
        <v>0</v>
      </c>
      <c r="CZ80" s="833"/>
      <c r="DA80" s="1286">
        <f>IF($G80="Opex",SUMIF('Monthly Summary'!$C$75:BV$75,"",$H80:CA80),SUMIF('Monthly Summary'!$C$74:BV$74,"",$H80:CA80))</f>
        <v>0</v>
      </c>
      <c r="DB80" s="1278">
        <f t="shared" si="24"/>
        <v>0</v>
      </c>
      <c r="DC80" s="1279">
        <f>IF(AND(OR($D80=Variables!A$38,$D80=Variables!A$43),$F80&lt;&gt;"N/A"),1,0)</f>
        <v>0</v>
      </c>
      <c r="DD80" s="820"/>
      <c r="DE80" s="1281" t="str">
        <f t="shared" si="33"/>
        <v/>
      </c>
      <c r="DF80" s="1282" t="str">
        <f t="shared" si="34"/>
        <v/>
      </c>
      <c r="DG80" s="1282" t="str">
        <f t="shared" si="35"/>
        <v/>
      </c>
      <c r="DH80" s="1282" t="str">
        <f>IF(ISNA(VLOOKUP(DE80,Miscellaneous!E:F,2,0)),"",VLOOKUP(DE80,Miscellaneous!E:F,2,0))</f>
        <v/>
      </c>
      <c r="DI80" s="1282" t="str">
        <f t="shared" si="36"/>
        <v/>
      </c>
      <c r="DJ80" s="1283">
        <f>IF($DI80="Opex",SUMIF('Monthly Summary'!$C$75:$N$75,"",H80:S80),SUMIF('Monthly Summary'!$C$74:$N$74,"",H80:S80))</f>
        <v>0</v>
      </c>
      <c r="DK80" s="1283">
        <f>IF($DI80="Opex",SUMIF('Monthly Summary'!$O$75:$Z$75,"",T80:AE80),SUMIF('Monthly Summary'!$O$74:$Z$74,"",T80:AE80))</f>
        <v>0</v>
      </c>
      <c r="DL80" s="1283">
        <f>IF($DI80="Opex",SUMIF('Monthly Summary'!$AA$75:$AL$75,"",AF80:AQ80),SUMIF('Monthly Summary'!$AA$74:$AL$74,"",AF80:AQ80))</f>
        <v>0</v>
      </c>
      <c r="DM80" s="1283">
        <f>IF($DI80="Opex",SUMIF('Monthly Summary'!$AM$75:$AX$75,"",AR80:BC80),SUMIF('Monthly Summary'!$AM$74:$AX$74,"",AR80:BC80))</f>
        <v>0</v>
      </c>
      <c r="DN80" s="1283">
        <f>IF($DI80="Opex",SUMIF('Monthly Summary'!$AY$75:$BJ$75,"",BD80:BO80),SUMIF('Monthly Summary'!$AY$74:$BJ$74,"",BD80:BO80))</f>
        <v>0</v>
      </c>
      <c r="DO80" s="1284">
        <f>IF($DI80="Opex",SUMIF('Monthly Summary'!$BK$75:$BV$75,"",BP80:CA80),SUMIF('Monthly Summary'!$BK$74:$BV$74,"",BP80:CA80))</f>
        <v>0</v>
      </c>
      <c r="DP80" s="1285">
        <f t="shared" si="32"/>
        <v>0</v>
      </c>
    </row>
    <row r="81" spans="1:120" s="809" customFormat="1">
      <c r="A81" s="1261"/>
      <c r="B81" s="1261"/>
      <c r="C81" s="1261"/>
      <c r="D81" s="1262"/>
      <c r="E81" s="1270"/>
      <c r="F81" s="1263"/>
      <c r="G81" s="1263"/>
      <c r="H81" s="1267"/>
      <c r="I81" s="1268"/>
      <c r="J81" s="1268"/>
      <c r="K81" s="1268"/>
      <c r="L81" s="1268"/>
      <c r="M81" s="1268"/>
      <c r="N81" s="1268"/>
      <c r="O81" s="1268"/>
      <c r="P81" s="1268"/>
      <c r="Q81" s="1268"/>
      <c r="R81" s="1268"/>
      <c r="S81" s="1269"/>
      <c r="T81" s="1267"/>
      <c r="U81" s="1268"/>
      <c r="V81" s="1268"/>
      <c r="W81" s="1268"/>
      <c r="X81" s="1268"/>
      <c r="Y81" s="1268"/>
      <c r="Z81" s="1268"/>
      <c r="AA81" s="1268"/>
      <c r="AB81" s="1268"/>
      <c r="AC81" s="1268"/>
      <c r="AD81" s="1268"/>
      <c r="AE81" s="1269"/>
      <c r="AF81" s="1267"/>
      <c r="AG81" s="1268"/>
      <c r="AH81" s="1268"/>
      <c r="AI81" s="1268"/>
      <c r="AJ81" s="1268"/>
      <c r="AK81" s="1268"/>
      <c r="AL81" s="1268"/>
      <c r="AM81" s="1268"/>
      <c r="AN81" s="1268"/>
      <c r="AO81" s="1268"/>
      <c r="AP81" s="1268"/>
      <c r="AQ81" s="1269"/>
      <c r="AR81" s="1267"/>
      <c r="AS81" s="1268"/>
      <c r="AT81" s="1268"/>
      <c r="AU81" s="1268"/>
      <c r="AV81" s="1268"/>
      <c r="AW81" s="1268"/>
      <c r="AX81" s="1268"/>
      <c r="AY81" s="1268"/>
      <c r="AZ81" s="1268"/>
      <c r="BA81" s="1268"/>
      <c r="BB81" s="1268"/>
      <c r="BC81" s="1269"/>
      <c r="BD81" s="1267"/>
      <c r="BE81" s="1268"/>
      <c r="BF81" s="1268"/>
      <c r="BG81" s="1268"/>
      <c r="BH81" s="1268"/>
      <c r="BI81" s="1268"/>
      <c r="BJ81" s="1268"/>
      <c r="BK81" s="1268"/>
      <c r="BL81" s="1268"/>
      <c r="BM81" s="1268"/>
      <c r="BN81" s="1268"/>
      <c r="BO81" s="1269"/>
      <c r="BP81" s="1267"/>
      <c r="BQ81" s="1268"/>
      <c r="BR81" s="1268"/>
      <c r="BS81" s="1268"/>
      <c r="BT81" s="1268"/>
      <c r="BU81" s="1268"/>
      <c r="BV81" s="1268"/>
      <c r="BW81" s="1268"/>
      <c r="BX81" s="1268"/>
      <c r="BY81" s="1268"/>
      <c r="BZ81" s="1268"/>
      <c r="CA81" s="1269"/>
      <c r="CB81" s="1286">
        <f t="shared" si="25"/>
        <v>0</v>
      </c>
      <c r="CC81" s="1277">
        <f>IF($F81=Miscellaneous!$N$8,SUM($H81:CA81),0)</f>
        <v>0</v>
      </c>
      <c r="CD81" s="1277">
        <f>IF($F81=Miscellaneous!$N$8,IF($G81="Opex",SUMIF('Monthly Summary'!$C$75:BV$75,"",$H81:CA81),SUMIF('Monthly Summary'!$C$74:BV$74,"",$H81:CA81)),0)</f>
        <v>0</v>
      </c>
      <c r="CE81" s="1286">
        <f t="shared" si="26"/>
        <v>0</v>
      </c>
      <c r="CF81" s="833"/>
      <c r="CG81" s="1277">
        <f>IF($F81=Miscellaneous!$N$9,SUM($H81:CA81),0)</f>
        <v>0</v>
      </c>
      <c r="CH81" s="1277">
        <f>IF($F81=Miscellaneous!$N$9,IF($G81="Opex",SUMIF('Monthly Summary'!$C$75:BV$75,"",$H81:CA81),SUMIF('Monthly Summary'!$C$74:BV$74,"",$H81:CA81)),0)</f>
        <v>0</v>
      </c>
      <c r="CI81" s="1286">
        <f t="shared" si="27"/>
        <v>0</v>
      </c>
      <c r="CJ81" s="833"/>
      <c r="CK81" s="1277">
        <f>IF($F81=Miscellaneous!$N$7,SUM($H81:CA81),0)</f>
        <v>0</v>
      </c>
      <c r="CL81" s="1277">
        <f>IF($F81=Miscellaneous!$N$7,IF($G81="Opex",SUMIF('Monthly Summary'!$C$75:BV$75,"",$H81:CA81),SUMIF('Monthly Summary'!$C$74:BV$74,"",$H81:CA81)),0)</f>
        <v>0</v>
      </c>
      <c r="CM81" s="1286">
        <f t="shared" si="28"/>
        <v>0</v>
      </c>
      <c r="CN81" s="833"/>
      <c r="CO81" s="1277">
        <f>IF($F81=Miscellaneous!$N$6,SUM($H81:CA81),0)</f>
        <v>0</v>
      </c>
      <c r="CP81" s="1277">
        <f>IF($F81=Miscellaneous!$N$6,IF($G81="Opex",SUMIF('Monthly Summary'!$C$75:BV$75,"",$H81:CA81),SUMIF('Monthly Summary'!$C$74:BV$74,"",$H81:CA81)),0)</f>
        <v>0</v>
      </c>
      <c r="CQ81" s="1286">
        <f t="shared" si="29"/>
        <v>0</v>
      </c>
      <c r="CR81" s="833"/>
      <c r="CS81" s="1277">
        <f>IF($A81="Software",SUM($H81:CA81),0)</f>
        <v>0</v>
      </c>
      <c r="CT81" s="1277">
        <f>IF($A81="Software",IF($G81="Opex",SUMIF('Monthly Summary'!$C$75:BV$75,"",$H81:CA81),SUMIF('Monthly Summary'!$C$74:BV$74,"",$H81:CA81)),0)</f>
        <v>0</v>
      </c>
      <c r="CU81" s="1286">
        <f t="shared" si="30"/>
        <v>0</v>
      </c>
      <c r="CV81" s="833"/>
      <c r="CW81" s="1277">
        <f t="shared" si="22"/>
        <v>0</v>
      </c>
      <c r="CX81" s="1277">
        <f t="shared" si="23"/>
        <v>0</v>
      </c>
      <c r="CY81" s="1286">
        <f t="shared" si="31"/>
        <v>0</v>
      </c>
      <c r="CZ81" s="833"/>
      <c r="DA81" s="1286">
        <f>IF($G81="Opex",SUMIF('Monthly Summary'!$C$75:BV$75,"",$H81:CA81),SUMIF('Monthly Summary'!$C$74:BV$74,"",$H81:CA81))</f>
        <v>0</v>
      </c>
      <c r="DB81" s="1278">
        <f t="shared" si="24"/>
        <v>0</v>
      </c>
      <c r="DC81" s="1279">
        <f>IF(AND(OR($D81=Variables!A$38,$D81=Variables!A$43),$F81&lt;&gt;"N/A"),1,0)</f>
        <v>0</v>
      </c>
      <c r="DD81" s="820"/>
      <c r="DE81" s="1281" t="str">
        <f t="shared" si="33"/>
        <v/>
      </c>
      <c r="DF81" s="1282" t="str">
        <f t="shared" si="34"/>
        <v/>
      </c>
      <c r="DG81" s="1282" t="str">
        <f t="shared" si="35"/>
        <v/>
      </c>
      <c r="DH81" s="1282" t="str">
        <f>IF(ISNA(VLOOKUP(DE81,Miscellaneous!E:F,2,0)),"",VLOOKUP(DE81,Miscellaneous!E:F,2,0))</f>
        <v/>
      </c>
      <c r="DI81" s="1282" t="str">
        <f t="shared" si="36"/>
        <v/>
      </c>
      <c r="DJ81" s="1283">
        <f>IF($DI81="Opex",SUMIF('Monthly Summary'!$C$75:$N$75,"",H81:S81),SUMIF('Monthly Summary'!$C$74:$N$74,"",H81:S81))</f>
        <v>0</v>
      </c>
      <c r="DK81" s="1283">
        <f>IF($DI81="Opex",SUMIF('Monthly Summary'!$O$75:$Z$75,"",T81:AE81),SUMIF('Monthly Summary'!$O$74:$Z$74,"",T81:AE81))</f>
        <v>0</v>
      </c>
      <c r="DL81" s="1283">
        <f>IF($DI81="Opex",SUMIF('Monthly Summary'!$AA$75:$AL$75,"",AF81:AQ81),SUMIF('Monthly Summary'!$AA$74:$AL$74,"",AF81:AQ81))</f>
        <v>0</v>
      </c>
      <c r="DM81" s="1283">
        <f>IF($DI81="Opex",SUMIF('Monthly Summary'!$AM$75:$AX$75,"",AR81:BC81),SUMIF('Monthly Summary'!$AM$74:$AX$74,"",AR81:BC81))</f>
        <v>0</v>
      </c>
      <c r="DN81" s="1283">
        <f>IF($DI81="Opex",SUMIF('Monthly Summary'!$AY$75:$BJ$75,"",BD81:BO81),SUMIF('Monthly Summary'!$AY$74:$BJ$74,"",BD81:BO81))</f>
        <v>0</v>
      </c>
      <c r="DO81" s="1284">
        <f>IF($DI81="Opex",SUMIF('Monthly Summary'!$BK$75:$BV$75,"",BP81:CA81),SUMIF('Monthly Summary'!$BK$74:$BV$74,"",BP81:CA81))</f>
        <v>0</v>
      </c>
      <c r="DP81" s="1285">
        <f t="shared" si="32"/>
        <v>0</v>
      </c>
    </row>
    <row r="82" spans="1:120" s="809" customFormat="1">
      <c r="A82" s="1261"/>
      <c r="B82" s="1261"/>
      <c r="C82" s="1261"/>
      <c r="D82" s="1262"/>
      <c r="E82" s="1270"/>
      <c r="F82" s="1263"/>
      <c r="G82" s="1263"/>
      <c r="H82" s="1267"/>
      <c r="I82" s="1268"/>
      <c r="J82" s="1268"/>
      <c r="K82" s="1268"/>
      <c r="L82" s="1268"/>
      <c r="M82" s="1268"/>
      <c r="N82" s="1268"/>
      <c r="O82" s="1268"/>
      <c r="P82" s="1268"/>
      <c r="Q82" s="1268"/>
      <c r="R82" s="1268"/>
      <c r="S82" s="1269"/>
      <c r="T82" s="1267"/>
      <c r="U82" s="1268"/>
      <c r="V82" s="1268"/>
      <c r="W82" s="1268"/>
      <c r="X82" s="1268"/>
      <c r="Y82" s="1268"/>
      <c r="Z82" s="1268"/>
      <c r="AA82" s="1268"/>
      <c r="AB82" s="1268"/>
      <c r="AC82" s="1268"/>
      <c r="AD82" s="1268"/>
      <c r="AE82" s="1269"/>
      <c r="AF82" s="1267"/>
      <c r="AG82" s="1268"/>
      <c r="AH82" s="1268"/>
      <c r="AI82" s="1268"/>
      <c r="AJ82" s="1268"/>
      <c r="AK82" s="1268"/>
      <c r="AL82" s="1268"/>
      <c r="AM82" s="1268"/>
      <c r="AN82" s="1268"/>
      <c r="AO82" s="1268"/>
      <c r="AP82" s="1268"/>
      <c r="AQ82" s="1269"/>
      <c r="AR82" s="1267"/>
      <c r="AS82" s="1268"/>
      <c r="AT82" s="1268"/>
      <c r="AU82" s="1268"/>
      <c r="AV82" s="1268"/>
      <c r="AW82" s="1268"/>
      <c r="AX82" s="1268"/>
      <c r="AY82" s="1268"/>
      <c r="AZ82" s="1268"/>
      <c r="BA82" s="1268"/>
      <c r="BB82" s="1268"/>
      <c r="BC82" s="1269"/>
      <c r="BD82" s="1267"/>
      <c r="BE82" s="1268"/>
      <c r="BF82" s="1268"/>
      <c r="BG82" s="1268"/>
      <c r="BH82" s="1268"/>
      <c r="BI82" s="1268"/>
      <c r="BJ82" s="1268"/>
      <c r="BK82" s="1268"/>
      <c r="BL82" s="1268"/>
      <c r="BM82" s="1268"/>
      <c r="BN82" s="1268"/>
      <c r="BO82" s="1269"/>
      <c r="BP82" s="1267"/>
      <c r="BQ82" s="1268"/>
      <c r="BR82" s="1268"/>
      <c r="BS82" s="1268"/>
      <c r="BT82" s="1268"/>
      <c r="BU82" s="1268"/>
      <c r="BV82" s="1268"/>
      <c r="BW82" s="1268"/>
      <c r="BX82" s="1268"/>
      <c r="BY82" s="1268"/>
      <c r="BZ82" s="1268"/>
      <c r="CA82" s="1269"/>
      <c r="CB82" s="1286">
        <f t="shared" si="25"/>
        <v>0</v>
      </c>
      <c r="CC82" s="1277">
        <f>IF($F82=Miscellaneous!$N$8,SUM($H82:CA82),0)</f>
        <v>0</v>
      </c>
      <c r="CD82" s="1277">
        <f>IF($F82=Miscellaneous!$N$8,IF($G82="Opex",SUMIF('Monthly Summary'!$C$75:BV$75,"",$H82:CA82),SUMIF('Monthly Summary'!$C$74:BV$74,"",$H82:CA82)),0)</f>
        <v>0</v>
      </c>
      <c r="CE82" s="1286">
        <f t="shared" si="26"/>
        <v>0</v>
      </c>
      <c r="CF82" s="833"/>
      <c r="CG82" s="1277">
        <f>IF($F82=Miscellaneous!$N$9,SUM($H82:CA82),0)</f>
        <v>0</v>
      </c>
      <c r="CH82" s="1277">
        <f>IF($F82=Miscellaneous!$N$9,IF($G82="Opex",SUMIF('Monthly Summary'!$C$75:BV$75,"",$H82:CA82),SUMIF('Monthly Summary'!$C$74:BV$74,"",$H82:CA82)),0)</f>
        <v>0</v>
      </c>
      <c r="CI82" s="1286">
        <f t="shared" si="27"/>
        <v>0</v>
      </c>
      <c r="CJ82" s="833"/>
      <c r="CK82" s="1277">
        <f>IF($F82=Miscellaneous!$N$7,SUM($H82:CA82),0)</f>
        <v>0</v>
      </c>
      <c r="CL82" s="1277">
        <f>IF($F82=Miscellaneous!$N$7,IF($G82="Opex",SUMIF('Monthly Summary'!$C$75:BV$75,"",$H82:CA82),SUMIF('Monthly Summary'!$C$74:BV$74,"",$H82:CA82)),0)</f>
        <v>0</v>
      </c>
      <c r="CM82" s="1286">
        <f t="shared" si="28"/>
        <v>0</v>
      </c>
      <c r="CN82" s="833"/>
      <c r="CO82" s="1277">
        <f>IF($F82=Miscellaneous!$N$6,SUM($H82:CA82),0)</f>
        <v>0</v>
      </c>
      <c r="CP82" s="1277">
        <f>IF($F82=Miscellaneous!$N$6,IF($G82="Opex",SUMIF('Monthly Summary'!$C$75:BV$75,"",$H82:CA82),SUMIF('Monthly Summary'!$C$74:BV$74,"",$H82:CA82)),0)</f>
        <v>0</v>
      </c>
      <c r="CQ82" s="1286">
        <f t="shared" si="29"/>
        <v>0</v>
      </c>
      <c r="CR82" s="833"/>
      <c r="CS82" s="1277">
        <f>IF($A82="Software",SUM($H82:CA82),0)</f>
        <v>0</v>
      </c>
      <c r="CT82" s="1277">
        <f>IF($A82="Software",IF($G82="Opex",SUMIF('Monthly Summary'!$C$75:BV$75,"",$H82:CA82),SUMIF('Monthly Summary'!$C$74:BV$74,"",$H82:CA82)),0)</f>
        <v>0</v>
      </c>
      <c r="CU82" s="1286">
        <f t="shared" si="30"/>
        <v>0</v>
      </c>
      <c r="CV82" s="833"/>
      <c r="CW82" s="1277">
        <f t="shared" si="22"/>
        <v>0</v>
      </c>
      <c r="CX82" s="1277">
        <f t="shared" si="23"/>
        <v>0</v>
      </c>
      <c r="CY82" s="1286">
        <f t="shared" si="31"/>
        <v>0</v>
      </c>
      <c r="CZ82" s="833"/>
      <c r="DA82" s="1286">
        <f>IF($G82="Opex",SUMIF('Monthly Summary'!$C$75:BV$75,"",$H82:CA82),SUMIF('Monthly Summary'!$C$74:BV$74,"",$H82:CA82))</f>
        <v>0</v>
      </c>
      <c r="DB82" s="1278">
        <f t="shared" si="24"/>
        <v>0</v>
      </c>
      <c r="DC82" s="1279">
        <f>IF(AND(OR($D82=Variables!A$38,$D82=Variables!A$43),$F82&lt;&gt;"N/A"),1,0)</f>
        <v>0</v>
      </c>
      <c r="DD82" s="820"/>
      <c r="DE82" s="1281" t="str">
        <f t="shared" si="33"/>
        <v/>
      </c>
      <c r="DF82" s="1282" t="str">
        <f t="shared" si="34"/>
        <v/>
      </c>
      <c r="DG82" s="1282" t="str">
        <f t="shared" si="35"/>
        <v/>
      </c>
      <c r="DH82" s="1282" t="str">
        <f>IF(ISNA(VLOOKUP(DE82,Miscellaneous!E:F,2,0)),"",VLOOKUP(DE82,Miscellaneous!E:F,2,0))</f>
        <v/>
      </c>
      <c r="DI82" s="1282" t="str">
        <f t="shared" si="36"/>
        <v/>
      </c>
      <c r="DJ82" s="1283">
        <f>IF($DI82="Opex",SUMIF('Monthly Summary'!$C$75:$N$75,"",H82:S82),SUMIF('Monthly Summary'!$C$74:$N$74,"",H82:S82))</f>
        <v>0</v>
      </c>
      <c r="DK82" s="1283">
        <f>IF($DI82="Opex",SUMIF('Monthly Summary'!$O$75:$Z$75,"",T82:AE82),SUMIF('Monthly Summary'!$O$74:$Z$74,"",T82:AE82))</f>
        <v>0</v>
      </c>
      <c r="DL82" s="1283">
        <f>IF($DI82="Opex",SUMIF('Monthly Summary'!$AA$75:$AL$75,"",AF82:AQ82),SUMIF('Monthly Summary'!$AA$74:$AL$74,"",AF82:AQ82))</f>
        <v>0</v>
      </c>
      <c r="DM82" s="1283">
        <f>IF($DI82="Opex",SUMIF('Monthly Summary'!$AM$75:$AX$75,"",AR82:BC82),SUMIF('Monthly Summary'!$AM$74:$AX$74,"",AR82:BC82))</f>
        <v>0</v>
      </c>
      <c r="DN82" s="1283">
        <f>IF($DI82="Opex",SUMIF('Monthly Summary'!$AY$75:$BJ$75,"",BD82:BO82),SUMIF('Monthly Summary'!$AY$74:$BJ$74,"",BD82:BO82))</f>
        <v>0</v>
      </c>
      <c r="DO82" s="1284">
        <f>IF($DI82="Opex",SUMIF('Monthly Summary'!$BK$75:$BV$75,"",BP82:CA82),SUMIF('Monthly Summary'!$BK$74:$BV$74,"",BP82:CA82))</f>
        <v>0</v>
      </c>
      <c r="DP82" s="1285">
        <f t="shared" si="32"/>
        <v>0</v>
      </c>
    </row>
    <row r="83" spans="1:120" s="809" customFormat="1">
      <c r="A83" s="1261"/>
      <c r="B83" s="1261"/>
      <c r="C83" s="1261"/>
      <c r="D83" s="1262"/>
      <c r="E83" s="1270"/>
      <c r="F83" s="1263"/>
      <c r="G83" s="1263"/>
      <c r="H83" s="1267"/>
      <c r="I83" s="1268"/>
      <c r="J83" s="1268"/>
      <c r="K83" s="1268"/>
      <c r="L83" s="1268"/>
      <c r="M83" s="1268"/>
      <c r="N83" s="1268"/>
      <c r="O83" s="1268"/>
      <c r="P83" s="1268"/>
      <c r="Q83" s="1268"/>
      <c r="R83" s="1268"/>
      <c r="S83" s="1269"/>
      <c r="T83" s="1267"/>
      <c r="U83" s="1268"/>
      <c r="V83" s="1268"/>
      <c r="W83" s="1268"/>
      <c r="X83" s="1268"/>
      <c r="Y83" s="1268"/>
      <c r="Z83" s="1268"/>
      <c r="AA83" s="1268"/>
      <c r="AB83" s="1268"/>
      <c r="AC83" s="1268"/>
      <c r="AD83" s="1268"/>
      <c r="AE83" s="1269"/>
      <c r="AF83" s="1267"/>
      <c r="AG83" s="1268"/>
      <c r="AH83" s="1268"/>
      <c r="AI83" s="1268"/>
      <c r="AJ83" s="1268"/>
      <c r="AK83" s="1268"/>
      <c r="AL83" s="1268"/>
      <c r="AM83" s="1268"/>
      <c r="AN83" s="1268"/>
      <c r="AO83" s="1268"/>
      <c r="AP83" s="1268"/>
      <c r="AQ83" s="1269"/>
      <c r="AR83" s="1267"/>
      <c r="AS83" s="1268"/>
      <c r="AT83" s="1268"/>
      <c r="AU83" s="1268"/>
      <c r="AV83" s="1268"/>
      <c r="AW83" s="1268"/>
      <c r="AX83" s="1268"/>
      <c r="AY83" s="1268"/>
      <c r="AZ83" s="1268"/>
      <c r="BA83" s="1268"/>
      <c r="BB83" s="1268"/>
      <c r="BC83" s="1269"/>
      <c r="BD83" s="1267"/>
      <c r="BE83" s="1268"/>
      <c r="BF83" s="1268"/>
      <c r="BG83" s="1268"/>
      <c r="BH83" s="1268"/>
      <c r="BI83" s="1268"/>
      <c r="BJ83" s="1268"/>
      <c r="BK83" s="1268"/>
      <c r="BL83" s="1268"/>
      <c r="BM83" s="1268"/>
      <c r="BN83" s="1268"/>
      <c r="BO83" s="1269"/>
      <c r="BP83" s="1267"/>
      <c r="BQ83" s="1268"/>
      <c r="BR83" s="1268"/>
      <c r="BS83" s="1268"/>
      <c r="BT83" s="1268"/>
      <c r="BU83" s="1268"/>
      <c r="BV83" s="1268"/>
      <c r="BW83" s="1268"/>
      <c r="BX83" s="1268"/>
      <c r="BY83" s="1268"/>
      <c r="BZ83" s="1268"/>
      <c r="CA83" s="1269"/>
      <c r="CB83" s="1286">
        <f t="shared" si="25"/>
        <v>0</v>
      </c>
      <c r="CC83" s="1277">
        <f>IF($F83=Miscellaneous!$N$8,SUM($H83:CA83),0)</f>
        <v>0</v>
      </c>
      <c r="CD83" s="1277">
        <f>IF($F83=Miscellaneous!$N$8,IF($G83="Opex",SUMIF('Monthly Summary'!$C$75:BV$75,"",$H83:CA83),SUMIF('Monthly Summary'!$C$74:BV$74,"",$H83:CA83)),0)</f>
        <v>0</v>
      </c>
      <c r="CE83" s="1286">
        <f t="shared" si="26"/>
        <v>0</v>
      </c>
      <c r="CF83" s="833"/>
      <c r="CG83" s="1277">
        <f>IF($F83=Miscellaneous!$N$9,SUM($H83:CA83),0)</f>
        <v>0</v>
      </c>
      <c r="CH83" s="1277">
        <f>IF($F83=Miscellaneous!$N$9,IF($G83="Opex",SUMIF('Monthly Summary'!$C$75:BV$75,"",$H83:CA83),SUMIF('Monthly Summary'!$C$74:BV$74,"",$H83:CA83)),0)</f>
        <v>0</v>
      </c>
      <c r="CI83" s="1286">
        <f t="shared" si="27"/>
        <v>0</v>
      </c>
      <c r="CJ83" s="833"/>
      <c r="CK83" s="1277">
        <f>IF($F83=Miscellaneous!$N$7,SUM($H83:CA83),0)</f>
        <v>0</v>
      </c>
      <c r="CL83" s="1277">
        <f>IF($F83=Miscellaneous!$N$7,IF($G83="Opex",SUMIF('Monthly Summary'!$C$75:BV$75,"",$H83:CA83),SUMIF('Monthly Summary'!$C$74:BV$74,"",$H83:CA83)),0)</f>
        <v>0</v>
      </c>
      <c r="CM83" s="1286">
        <f t="shared" si="28"/>
        <v>0</v>
      </c>
      <c r="CN83" s="833"/>
      <c r="CO83" s="1277">
        <f>IF($F83=Miscellaneous!$N$6,SUM($H83:CA83),0)</f>
        <v>0</v>
      </c>
      <c r="CP83" s="1277">
        <f>IF($F83=Miscellaneous!$N$6,IF($G83="Opex",SUMIF('Monthly Summary'!$C$75:BV$75,"",$H83:CA83),SUMIF('Monthly Summary'!$C$74:BV$74,"",$H83:CA83)),0)</f>
        <v>0</v>
      </c>
      <c r="CQ83" s="1286">
        <f t="shared" si="29"/>
        <v>0</v>
      </c>
      <c r="CR83" s="833"/>
      <c r="CS83" s="1277">
        <f>IF($A83="Software",SUM($H83:CA83),0)</f>
        <v>0</v>
      </c>
      <c r="CT83" s="1277">
        <f>IF($A83="Software",IF($G83="Opex",SUMIF('Monthly Summary'!$C$75:BV$75,"",$H83:CA83),SUMIF('Monthly Summary'!$C$74:BV$74,"",$H83:CA83)),0)</f>
        <v>0</v>
      </c>
      <c r="CU83" s="1286">
        <f t="shared" si="30"/>
        <v>0</v>
      </c>
      <c r="CV83" s="833"/>
      <c r="CW83" s="1277">
        <f t="shared" si="22"/>
        <v>0</v>
      </c>
      <c r="CX83" s="1277">
        <f t="shared" si="23"/>
        <v>0</v>
      </c>
      <c r="CY83" s="1286">
        <f t="shared" si="31"/>
        <v>0</v>
      </c>
      <c r="CZ83" s="833"/>
      <c r="DA83" s="1286">
        <f>IF($G83="Opex",SUMIF('Monthly Summary'!$C$75:BV$75,"",$H83:CA83),SUMIF('Monthly Summary'!$C$74:BV$74,"",$H83:CA83))</f>
        <v>0</v>
      </c>
      <c r="DB83" s="1278">
        <f t="shared" si="24"/>
        <v>0</v>
      </c>
      <c r="DC83" s="1279">
        <f>IF(AND(OR($D83=Variables!A$38,$D83=Variables!A$43),$F83&lt;&gt;"N/A"),1,0)</f>
        <v>0</v>
      </c>
      <c r="DD83" s="820"/>
      <c r="DE83" s="1281" t="str">
        <f t="shared" si="33"/>
        <v/>
      </c>
      <c r="DF83" s="1282" t="str">
        <f t="shared" si="34"/>
        <v/>
      </c>
      <c r="DG83" s="1282" t="str">
        <f t="shared" si="35"/>
        <v/>
      </c>
      <c r="DH83" s="1282" t="str">
        <f>IF(ISNA(VLOOKUP(DE83,Miscellaneous!E:F,2,0)),"",VLOOKUP(DE83,Miscellaneous!E:F,2,0))</f>
        <v/>
      </c>
      <c r="DI83" s="1282" t="str">
        <f t="shared" si="36"/>
        <v/>
      </c>
      <c r="DJ83" s="1283">
        <f>IF($DI83="Opex",SUMIF('Monthly Summary'!$C$75:$N$75,"",H83:S83),SUMIF('Monthly Summary'!$C$74:$N$74,"",H83:S83))</f>
        <v>0</v>
      </c>
      <c r="DK83" s="1283">
        <f>IF($DI83="Opex",SUMIF('Monthly Summary'!$O$75:$Z$75,"",T83:AE83),SUMIF('Monthly Summary'!$O$74:$Z$74,"",T83:AE83))</f>
        <v>0</v>
      </c>
      <c r="DL83" s="1283">
        <f>IF($DI83="Opex",SUMIF('Monthly Summary'!$AA$75:$AL$75,"",AF83:AQ83),SUMIF('Monthly Summary'!$AA$74:$AL$74,"",AF83:AQ83))</f>
        <v>0</v>
      </c>
      <c r="DM83" s="1283">
        <f>IF($DI83="Opex",SUMIF('Monthly Summary'!$AM$75:$AX$75,"",AR83:BC83),SUMIF('Monthly Summary'!$AM$74:$AX$74,"",AR83:BC83))</f>
        <v>0</v>
      </c>
      <c r="DN83" s="1283">
        <f>IF($DI83="Opex",SUMIF('Monthly Summary'!$AY$75:$BJ$75,"",BD83:BO83),SUMIF('Monthly Summary'!$AY$74:$BJ$74,"",BD83:BO83))</f>
        <v>0</v>
      </c>
      <c r="DO83" s="1284">
        <f>IF($DI83="Opex",SUMIF('Monthly Summary'!$BK$75:$BV$75,"",BP83:CA83),SUMIF('Monthly Summary'!$BK$74:$BV$74,"",BP83:CA83))</f>
        <v>0</v>
      </c>
      <c r="DP83" s="1285">
        <f t="shared" si="32"/>
        <v>0</v>
      </c>
    </row>
    <row r="84" spans="1:120" s="809" customFormat="1">
      <c r="A84" s="1261"/>
      <c r="B84" s="1261"/>
      <c r="C84" s="1261"/>
      <c r="D84" s="1262"/>
      <c r="E84" s="1270"/>
      <c r="F84" s="1263"/>
      <c r="G84" s="1263"/>
      <c r="H84" s="1267"/>
      <c r="I84" s="1268"/>
      <c r="J84" s="1268"/>
      <c r="K84" s="1268"/>
      <c r="L84" s="1268"/>
      <c r="M84" s="1268"/>
      <c r="N84" s="1268"/>
      <c r="O84" s="1268"/>
      <c r="P84" s="1268"/>
      <c r="Q84" s="1268"/>
      <c r="R84" s="1268"/>
      <c r="S84" s="1269"/>
      <c r="T84" s="1267"/>
      <c r="U84" s="1268"/>
      <c r="V84" s="1268"/>
      <c r="W84" s="1268"/>
      <c r="X84" s="1268"/>
      <c r="Y84" s="1268"/>
      <c r="Z84" s="1268"/>
      <c r="AA84" s="1268"/>
      <c r="AB84" s="1268"/>
      <c r="AC84" s="1268"/>
      <c r="AD84" s="1268"/>
      <c r="AE84" s="1269"/>
      <c r="AF84" s="1267"/>
      <c r="AG84" s="1268"/>
      <c r="AH84" s="1268"/>
      <c r="AI84" s="1268"/>
      <c r="AJ84" s="1268"/>
      <c r="AK84" s="1268"/>
      <c r="AL84" s="1268"/>
      <c r="AM84" s="1268"/>
      <c r="AN84" s="1268"/>
      <c r="AO84" s="1268"/>
      <c r="AP84" s="1268"/>
      <c r="AQ84" s="1269"/>
      <c r="AR84" s="1267"/>
      <c r="AS84" s="1268"/>
      <c r="AT84" s="1268"/>
      <c r="AU84" s="1268"/>
      <c r="AV84" s="1268"/>
      <c r="AW84" s="1268"/>
      <c r="AX84" s="1268"/>
      <c r="AY84" s="1268"/>
      <c r="AZ84" s="1268"/>
      <c r="BA84" s="1268"/>
      <c r="BB84" s="1268"/>
      <c r="BC84" s="1269"/>
      <c r="BD84" s="1267"/>
      <c r="BE84" s="1268"/>
      <c r="BF84" s="1268"/>
      <c r="BG84" s="1268"/>
      <c r="BH84" s="1268"/>
      <c r="BI84" s="1268"/>
      <c r="BJ84" s="1268"/>
      <c r="BK84" s="1268"/>
      <c r="BL84" s="1268"/>
      <c r="BM84" s="1268"/>
      <c r="BN84" s="1268"/>
      <c r="BO84" s="1269"/>
      <c r="BP84" s="1267"/>
      <c r="BQ84" s="1268"/>
      <c r="BR84" s="1268"/>
      <c r="BS84" s="1268"/>
      <c r="BT84" s="1268"/>
      <c r="BU84" s="1268"/>
      <c r="BV84" s="1268"/>
      <c r="BW84" s="1268"/>
      <c r="BX84" s="1268"/>
      <c r="BY84" s="1268"/>
      <c r="BZ84" s="1268"/>
      <c r="CA84" s="1269"/>
      <c r="CB84" s="1286">
        <f t="shared" si="25"/>
        <v>0</v>
      </c>
      <c r="CC84" s="1277">
        <f>IF($F84=Miscellaneous!$N$8,SUM($H84:CA84),0)</f>
        <v>0</v>
      </c>
      <c r="CD84" s="1277">
        <f>IF($F84=Miscellaneous!$N$8,IF($G84="Opex",SUMIF('Monthly Summary'!$C$75:BV$75,"",$H84:CA84),SUMIF('Monthly Summary'!$C$74:BV$74,"",$H84:CA84)),0)</f>
        <v>0</v>
      </c>
      <c r="CE84" s="1286">
        <f t="shared" si="26"/>
        <v>0</v>
      </c>
      <c r="CF84" s="833"/>
      <c r="CG84" s="1277">
        <f>IF($F84=Miscellaneous!$N$9,SUM($H84:CA84),0)</f>
        <v>0</v>
      </c>
      <c r="CH84" s="1277">
        <f>IF($F84=Miscellaneous!$N$9,IF($G84="Opex",SUMIF('Monthly Summary'!$C$75:BV$75,"",$H84:CA84),SUMIF('Monthly Summary'!$C$74:BV$74,"",$H84:CA84)),0)</f>
        <v>0</v>
      </c>
      <c r="CI84" s="1286">
        <f t="shared" si="27"/>
        <v>0</v>
      </c>
      <c r="CJ84" s="833"/>
      <c r="CK84" s="1277">
        <f>IF($F84=Miscellaneous!$N$7,SUM($H84:CA84),0)</f>
        <v>0</v>
      </c>
      <c r="CL84" s="1277">
        <f>IF($F84=Miscellaneous!$N$7,IF($G84="Opex",SUMIF('Monthly Summary'!$C$75:BV$75,"",$H84:CA84),SUMIF('Monthly Summary'!$C$74:BV$74,"",$H84:CA84)),0)</f>
        <v>0</v>
      </c>
      <c r="CM84" s="1286">
        <f t="shared" si="28"/>
        <v>0</v>
      </c>
      <c r="CN84" s="833"/>
      <c r="CO84" s="1277">
        <f>IF($F84=Miscellaneous!$N$6,SUM($H84:CA84),0)</f>
        <v>0</v>
      </c>
      <c r="CP84" s="1277">
        <f>IF($F84=Miscellaneous!$N$6,IF($G84="Opex",SUMIF('Monthly Summary'!$C$75:BV$75,"",$H84:CA84),SUMIF('Monthly Summary'!$C$74:BV$74,"",$H84:CA84)),0)</f>
        <v>0</v>
      </c>
      <c r="CQ84" s="1286">
        <f t="shared" si="29"/>
        <v>0</v>
      </c>
      <c r="CR84" s="833"/>
      <c r="CS84" s="1277">
        <f>IF($A84="Software",SUM($H84:CA84),0)</f>
        <v>0</v>
      </c>
      <c r="CT84" s="1277">
        <f>IF($A84="Software",IF($G84="Opex",SUMIF('Monthly Summary'!$C$75:BV$75,"",$H84:CA84),SUMIF('Monthly Summary'!$C$74:BV$74,"",$H84:CA84)),0)</f>
        <v>0</v>
      </c>
      <c r="CU84" s="1286">
        <f t="shared" si="30"/>
        <v>0</v>
      </c>
      <c r="CV84" s="833"/>
      <c r="CW84" s="1277">
        <f t="shared" si="22"/>
        <v>0</v>
      </c>
      <c r="CX84" s="1277">
        <f t="shared" si="23"/>
        <v>0</v>
      </c>
      <c r="CY84" s="1286">
        <f t="shared" si="31"/>
        <v>0</v>
      </c>
      <c r="CZ84" s="833"/>
      <c r="DA84" s="1286">
        <f>IF($G84="Opex",SUMIF('Monthly Summary'!$C$75:BV$75,"",$H84:CA84),SUMIF('Monthly Summary'!$C$74:BV$74,"",$H84:CA84))</f>
        <v>0</v>
      </c>
      <c r="DB84" s="1278">
        <f t="shared" si="24"/>
        <v>0</v>
      </c>
      <c r="DC84" s="1279">
        <f>IF(AND(OR($D84=Variables!A$38,$D84=Variables!A$43),$F84&lt;&gt;"N/A"),1,0)</f>
        <v>0</v>
      </c>
      <c r="DD84" s="820"/>
      <c r="DE84" s="1281" t="str">
        <f t="shared" si="33"/>
        <v/>
      </c>
      <c r="DF84" s="1282" t="str">
        <f t="shared" si="34"/>
        <v/>
      </c>
      <c r="DG84" s="1282" t="str">
        <f t="shared" si="35"/>
        <v/>
      </c>
      <c r="DH84" s="1282" t="str">
        <f>IF(ISNA(VLOOKUP(DE84,Miscellaneous!E:F,2,0)),"",VLOOKUP(DE84,Miscellaneous!E:F,2,0))</f>
        <v/>
      </c>
      <c r="DI84" s="1282" t="str">
        <f t="shared" si="36"/>
        <v/>
      </c>
      <c r="DJ84" s="1283">
        <f>IF($DI84="Opex",SUMIF('Monthly Summary'!$C$75:$N$75,"",H84:S84),SUMIF('Monthly Summary'!$C$74:$N$74,"",H84:S84))</f>
        <v>0</v>
      </c>
      <c r="DK84" s="1283">
        <f>IF($DI84="Opex",SUMIF('Monthly Summary'!$O$75:$Z$75,"",T84:AE84),SUMIF('Monthly Summary'!$O$74:$Z$74,"",T84:AE84))</f>
        <v>0</v>
      </c>
      <c r="DL84" s="1283">
        <f>IF($DI84="Opex",SUMIF('Monthly Summary'!$AA$75:$AL$75,"",AF84:AQ84),SUMIF('Monthly Summary'!$AA$74:$AL$74,"",AF84:AQ84))</f>
        <v>0</v>
      </c>
      <c r="DM84" s="1283">
        <f>IF($DI84="Opex",SUMIF('Monthly Summary'!$AM$75:$AX$75,"",AR84:BC84),SUMIF('Monthly Summary'!$AM$74:$AX$74,"",AR84:BC84))</f>
        <v>0</v>
      </c>
      <c r="DN84" s="1283">
        <f>IF($DI84="Opex",SUMIF('Monthly Summary'!$AY$75:$BJ$75,"",BD84:BO84),SUMIF('Monthly Summary'!$AY$74:$BJ$74,"",BD84:BO84))</f>
        <v>0</v>
      </c>
      <c r="DO84" s="1284">
        <f>IF($DI84="Opex",SUMIF('Monthly Summary'!$BK$75:$BV$75,"",BP84:CA84),SUMIF('Monthly Summary'!$BK$74:$BV$74,"",BP84:CA84))</f>
        <v>0</v>
      </c>
      <c r="DP84" s="1285">
        <f t="shared" si="32"/>
        <v>0</v>
      </c>
    </row>
    <row r="85" spans="1:120" s="809" customFormat="1">
      <c r="A85" s="1261"/>
      <c r="B85" s="1261"/>
      <c r="C85" s="1261"/>
      <c r="D85" s="1262"/>
      <c r="E85" s="1270"/>
      <c r="F85" s="1263"/>
      <c r="G85" s="1263"/>
      <c r="H85" s="1267"/>
      <c r="I85" s="1268"/>
      <c r="J85" s="1268"/>
      <c r="K85" s="1268"/>
      <c r="L85" s="1268"/>
      <c r="M85" s="1268"/>
      <c r="N85" s="1268"/>
      <c r="O85" s="1268"/>
      <c r="P85" s="1268"/>
      <c r="Q85" s="1268"/>
      <c r="R85" s="1268"/>
      <c r="S85" s="1269"/>
      <c r="T85" s="1267"/>
      <c r="U85" s="1268"/>
      <c r="V85" s="1268"/>
      <c r="W85" s="1268"/>
      <c r="X85" s="1268"/>
      <c r="Y85" s="1268"/>
      <c r="Z85" s="1268"/>
      <c r="AA85" s="1268"/>
      <c r="AB85" s="1268"/>
      <c r="AC85" s="1268"/>
      <c r="AD85" s="1268"/>
      <c r="AE85" s="1269"/>
      <c r="AF85" s="1267"/>
      <c r="AG85" s="1268"/>
      <c r="AH85" s="1268"/>
      <c r="AI85" s="1268"/>
      <c r="AJ85" s="1268"/>
      <c r="AK85" s="1268"/>
      <c r="AL85" s="1268"/>
      <c r="AM85" s="1268"/>
      <c r="AN85" s="1268"/>
      <c r="AO85" s="1268"/>
      <c r="AP85" s="1268"/>
      <c r="AQ85" s="1269"/>
      <c r="AR85" s="1267"/>
      <c r="AS85" s="1268"/>
      <c r="AT85" s="1268"/>
      <c r="AU85" s="1268"/>
      <c r="AV85" s="1268"/>
      <c r="AW85" s="1268"/>
      <c r="AX85" s="1268"/>
      <c r="AY85" s="1268"/>
      <c r="AZ85" s="1268"/>
      <c r="BA85" s="1268"/>
      <c r="BB85" s="1268"/>
      <c r="BC85" s="1269"/>
      <c r="BD85" s="1267"/>
      <c r="BE85" s="1268"/>
      <c r="BF85" s="1268"/>
      <c r="BG85" s="1268"/>
      <c r="BH85" s="1268"/>
      <c r="BI85" s="1268"/>
      <c r="BJ85" s="1268"/>
      <c r="BK85" s="1268"/>
      <c r="BL85" s="1268"/>
      <c r="BM85" s="1268"/>
      <c r="BN85" s="1268"/>
      <c r="BO85" s="1269"/>
      <c r="BP85" s="1267"/>
      <c r="BQ85" s="1268"/>
      <c r="BR85" s="1268"/>
      <c r="BS85" s="1268"/>
      <c r="BT85" s="1268"/>
      <c r="BU85" s="1268"/>
      <c r="BV85" s="1268"/>
      <c r="BW85" s="1268"/>
      <c r="BX85" s="1268"/>
      <c r="BY85" s="1268"/>
      <c r="BZ85" s="1268"/>
      <c r="CA85" s="1269"/>
      <c r="CB85" s="1286">
        <f t="shared" si="25"/>
        <v>0</v>
      </c>
      <c r="CC85" s="1277">
        <f>IF($F85=Miscellaneous!$N$8,SUM($H85:CA85),0)</f>
        <v>0</v>
      </c>
      <c r="CD85" s="1277">
        <f>IF($F85=Miscellaneous!$N$8,IF($G85="Opex",SUMIF('Monthly Summary'!$C$75:BV$75,"",$H85:CA85),SUMIF('Monthly Summary'!$C$74:BV$74,"",$H85:CA85)),0)</f>
        <v>0</v>
      </c>
      <c r="CE85" s="1286">
        <f t="shared" si="26"/>
        <v>0</v>
      </c>
      <c r="CF85" s="833"/>
      <c r="CG85" s="1277">
        <f>IF($F85=Miscellaneous!$N$9,SUM($H85:CA85),0)</f>
        <v>0</v>
      </c>
      <c r="CH85" s="1277">
        <f>IF($F85=Miscellaneous!$N$9,IF($G85="Opex",SUMIF('Monthly Summary'!$C$75:BV$75,"",$H85:CA85),SUMIF('Monthly Summary'!$C$74:BV$74,"",$H85:CA85)),0)</f>
        <v>0</v>
      </c>
      <c r="CI85" s="1286">
        <f t="shared" si="27"/>
        <v>0</v>
      </c>
      <c r="CJ85" s="833"/>
      <c r="CK85" s="1277">
        <f>IF($F85=Miscellaneous!$N$7,SUM($H85:CA85),0)</f>
        <v>0</v>
      </c>
      <c r="CL85" s="1277">
        <f>IF($F85=Miscellaneous!$N$7,IF($G85="Opex",SUMIF('Monthly Summary'!$C$75:BV$75,"",$H85:CA85),SUMIF('Monthly Summary'!$C$74:BV$74,"",$H85:CA85)),0)</f>
        <v>0</v>
      </c>
      <c r="CM85" s="1286">
        <f t="shared" si="28"/>
        <v>0</v>
      </c>
      <c r="CN85" s="833"/>
      <c r="CO85" s="1277">
        <f>IF($F85=Miscellaneous!$N$6,SUM($H85:CA85),0)</f>
        <v>0</v>
      </c>
      <c r="CP85" s="1277">
        <f>IF($F85=Miscellaneous!$N$6,IF($G85="Opex",SUMIF('Monthly Summary'!$C$75:BV$75,"",$H85:CA85),SUMIF('Monthly Summary'!$C$74:BV$74,"",$H85:CA85)),0)</f>
        <v>0</v>
      </c>
      <c r="CQ85" s="1286">
        <f t="shared" si="29"/>
        <v>0</v>
      </c>
      <c r="CR85" s="833"/>
      <c r="CS85" s="1277">
        <f>IF($A85="Software",SUM($H85:CA85),0)</f>
        <v>0</v>
      </c>
      <c r="CT85" s="1277">
        <f>IF($A85="Software",IF($G85="Opex",SUMIF('Monthly Summary'!$C$75:BV$75,"",$H85:CA85),SUMIF('Monthly Summary'!$C$74:BV$74,"",$H85:CA85)),0)</f>
        <v>0</v>
      </c>
      <c r="CU85" s="1286">
        <f t="shared" si="30"/>
        <v>0</v>
      </c>
      <c r="CV85" s="833"/>
      <c r="CW85" s="1277">
        <f t="shared" si="22"/>
        <v>0</v>
      </c>
      <c r="CX85" s="1277">
        <f t="shared" si="23"/>
        <v>0</v>
      </c>
      <c r="CY85" s="1286">
        <f t="shared" si="31"/>
        <v>0</v>
      </c>
      <c r="CZ85" s="833"/>
      <c r="DA85" s="1286">
        <f>IF($G85="Opex",SUMIF('Monthly Summary'!$C$75:BV$75,"",$H85:CA85),SUMIF('Monthly Summary'!$C$74:BV$74,"",$H85:CA85))</f>
        <v>0</v>
      </c>
      <c r="DB85" s="1278">
        <f t="shared" si="24"/>
        <v>0</v>
      </c>
      <c r="DC85" s="1279">
        <f>IF(AND(OR($D85=Variables!A$38,$D85=Variables!A$43),$F85&lt;&gt;"N/A"),1,0)</f>
        <v>0</v>
      </c>
      <c r="DD85" s="820"/>
      <c r="DE85" s="1281" t="str">
        <f t="shared" si="33"/>
        <v/>
      </c>
      <c r="DF85" s="1282" t="str">
        <f t="shared" si="34"/>
        <v/>
      </c>
      <c r="DG85" s="1282" t="str">
        <f t="shared" si="35"/>
        <v/>
      </c>
      <c r="DH85" s="1282" t="str">
        <f>IF(ISNA(VLOOKUP(DE85,Miscellaneous!E:F,2,0)),"",VLOOKUP(DE85,Miscellaneous!E:F,2,0))</f>
        <v/>
      </c>
      <c r="DI85" s="1282" t="str">
        <f t="shared" si="36"/>
        <v/>
      </c>
      <c r="DJ85" s="1283">
        <f>IF($DI85="Opex",SUMIF('Monthly Summary'!$C$75:$N$75,"",H85:S85),SUMIF('Monthly Summary'!$C$74:$N$74,"",H85:S85))</f>
        <v>0</v>
      </c>
      <c r="DK85" s="1283">
        <f>IF($DI85="Opex",SUMIF('Monthly Summary'!$O$75:$Z$75,"",T85:AE85),SUMIF('Monthly Summary'!$O$74:$Z$74,"",T85:AE85))</f>
        <v>0</v>
      </c>
      <c r="DL85" s="1283">
        <f>IF($DI85="Opex",SUMIF('Monthly Summary'!$AA$75:$AL$75,"",AF85:AQ85),SUMIF('Monthly Summary'!$AA$74:$AL$74,"",AF85:AQ85))</f>
        <v>0</v>
      </c>
      <c r="DM85" s="1283">
        <f>IF($DI85="Opex",SUMIF('Monthly Summary'!$AM$75:$AX$75,"",AR85:BC85),SUMIF('Monthly Summary'!$AM$74:$AX$74,"",AR85:BC85))</f>
        <v>0</v>
      </c>
      <c r="DN85" s="1283">
        <f>IF($DI85="Opex",SUMIF('Monthly Summary'!$AY$75:$BJ$75,"",BD85:BO85),SUMIF('Monthly Summary'!$AY$74:$BJ$74,"",BD85:BO85))</f>
        <v>0</v>
      </c>
      <c r="DO85" s="1284">
        <f>IF($DI85="Opex",SUMIF('Monthly Summary'!$BK$75:$BV$75,"",BP85:CA85),SUMIF('Monthly Summary'!$BK$74:$BV$74,"",BP85:CA85))</f>
        <v>0</v>
      </c>
      <c r="DP85" s="1285">
        <f t="shared" si="32"/>
        <v>0</v>
      </c>
    </row>
    <row r="86" spans="1:120" s="809" customFormat="1">
      <c r="A86" s="1261"/>
      <c r="B86" s="1261"/>
      <c r="C86" s="1261"/>
      <c r="D86" s="1262"/>
      <c r="E86" s="1270"/>
      <c r="F86" s="1263"/>
      <c r="G86" s="1263"/>
      <c r="H86" s="1267"/>
      <c r="I86" s="1268"/>
      <c r="J86" s="1268"/>
      <c r="K86" s="1268"/>
      <c r="L86" s="1268"/>
      <c r="M86" s="1268"/>
      <c r="N86" s="1268"/>
      <c r="O86" s="1268"/>
      <c r="P86" s="1268"/>
      <c r="Q86" s="1268"/>
      <c r="R86" s="1268"/>
      <c r="S86" s="1269"/>
      <c r="T86" s="1267"/>
      <c r="U86" s="1268"/>
      <c r="V86" s="1268"/>
      <c r="W86" s="1268"/>
      <c r="X86" s="1268"/>
      <c r="Y86" s="1268"/>
      <c r="Z86" s="1268"/>
      <c r="AA86" s="1268"/>
      <c r="AB86" s="1268"/>
      <c r="AC86" s="1268"/>
      <c r="AD86" s="1268"/>
      <c r="AE86" s="1269"/>
      <c r="AF86" s="1267"/>
      <c r="AG86" s="1268"/>
      <c r="AH86" s="1268"/>
      <c r="AI86" s="1268"/>
      <c r="AJ86" s="1268"/>
      <c r="AK86" s="1268"/>
      <c r="AL86" s="1268"/>
      <c r="AM86" s="1268"/>
      <c r="AN86" s="1268"/>
      <c r="AO86" s="1268"/>
      <c r="AP86" s="1268"/>
      <c r="AQ86" s="1269"/>
      <c r="AR86" s="1267"/>
      <c r="AS86" s="1268"/>
      <c r="AT86" s="1268"/>
      <c r="AU86" s="1268"/>
      <c r="AV86" s="1268"/>
      <c r="AW86" s="1268"/>
      <c r="AX86" s="1268"/>
      <c r="AY86" s="1268"/>
      <c r="AZ86" s="1268"/>
      <c r="BA86" s="1268"/>
      <c r="BB86" s="1268"/>
      <c r="BC86" s="1269"/>
      <c r="BD86" s="1267"/>
      <c r="BE86" s="1268"/>
      <c r="BF86" s="1268"/>
      <c r="BG86" s="1268"/>
      <c r="BH86" s="1268"/>
      <c r="BI86" s="1268"/>
      <c r="BJ86" s="1268"/>
      <c r="BK86" s="1268"/>
      <c r="BL86" s="1268"/>
      <c r="BM86" s="1268"/>
      <c r="BN86" s="1268"/>
      <c r="BO86" s="1269"/>
      <c r="BP86" s="1267"/>
      <c r="BQ86" s="1268"/>
      <c r="BR86" s="1268"/>
      <c r="BS86" s="1268"/>
      <c r="BT86" s="1268"/>
      <c r="BU86" s="1268"/>
      <c r="BV86" s="1268"/>
      <c r="BW86" s="1268"/>
      <c r="BX86" s="1268"/>
      <c r="BY86" s="1268"/>
      <c r="BZ86" s="1268"/>
      <c r="CA86" s="1269"/>
      <c r="CB86" s="1286">
        <f t="shared" si="25"/>
        <v>0</v>
      </c>
      <c r="CC86" s="1277">
        <f>IF($F86=Miscellaneous!$N$8,SUM($H86:CA86),0)</f>
        <v>0</v>
      </c>
      <c r="CD86" s="1277">
        <f>IF($F86=Miscellaneous!$N$8,IF($G86="Opex",SUMIF('Monthly Summary'!$C$75:BV$75,"",$H86:CA86),SUMIF('Monthly Summary'!$C$74:BV$74,"",$H86:CA86)),0)</f>
        <v>0</v>
      </c>
      <c r="CE86" s="1286">
        <f t="shared" si="26"/>
        <v>0</v>
      </c>
      <c r="CF86" s="833"/>
      <c r="CG86" s="1277">
        <f>IF($F86=Miscellaneous!$N$9,SUM($H86:CA86),0)</f>
        <v>0</v>
      </c>
      <c r="CH86" s="1277">
        <f>IF($F86=Miscellaneous!$N$9,IF($G86="Opex",SUMIF('Monthly Summary'!$C$75:BV$75,"",$H86:CA86),SUMIF('Monthly Summary'!$C$74:BV$74,"",$H86:CA86)),0)</f>
        <v>0</v>
      </c>
      <c r="CI86" s="1286">
        <f t="shared" si="27"/>
        <v>0</v>
      </c>
      <c r="CJ86" s="833"/>
      <c r="CK86" s="1277">
        <f>IF($F86=Miscellaneous!$N$7,SUM($H86:CA86),0)</f>
        <v>0</v>
      </c>
      <c r="CL86" s="1277">
        <f>IF($F86=Miscellaneous!$N$7,IF($G86="Opex",SUMIF('Monthly Summary'!$C$75:BV$75,"",$H86:CA86),SUMIF('Monthly Summary'!$C$74:BV$74,"",$H86:CA86)),0)</f>
        <v>0</v>
      </c>
      <c r="CM86" s="1286">
        <f t="shared" si="28"/>
        <v>0</v>
      </c>
      <c r="CN86" s="833"/>
      <c r="CO86" s="1277">
        <f>IF($F86=Miscellaneous!$N$6,SUM($H86:CA86),0)</f>
        <v>0</v>
      </c>
      <c r="CP86" s="1277">
        <f>IF($F86=Miscellaneous!$N$6,IF($G86="Opex",SUMIF('Monthly Summary'!$C$75:BV$75,"",$H86:CA86),SUMIF('Monthly Summary'!$C$74:BV$74,"",$H86:CA86)),0)</f>
        <v>0</v>
      </c>
      <c r="CQ86" s="1286">
        <f t="shared" si="29"/>
        <v>0</v>
      </c>
      <c r="CR86" s="833"/>
      <c r="CS86" s="1277">
        <f>IF($A86="Software",SUM($H86:CA86),0)</f>
        <v>0</v>
      </c>
      <c r="CT86" s="1277">
        <f>IF($A86="Software",IF($G86="Opex",SUMIF('Monthly Summary'!$C$75:BV$75,"",$H86:CA86),SUMIF('Monthly Summary'!$C$74:BV$74,"",$H86:CA86)),0)</f>
        <v>0</v>
      </c>
      <c r="CU86" s="1286">
        <f t="shared" si="30"/>
        <v>0</v>
      </c>
      <c r="CV86" s="833"/>
      <c r="CW86" s="1277">
        <f t="shared" si="22"/>
        <v>0</v>
      </c>
      <c r="CX86" s="1277">
        <f t="shared" si="23"/>
        <v>0</v>
      </c>
      <c r="CY86" s="1286">
        <f t="shared" si="31"/>
        <v>0</v>
      </c>
      <c r="CZ86" s="833"/>
      <c r="DA86" s="1286">
        <f>IF($G86="Opex",SUMIF('Monthly Summary'!$C$75:BV$75,"",$H86:CA86),SUMIF('Monthly Summary'!$C$74:BV$74,"",$H86:CA86))</f>
        <v>0</v>
      </c>
      <c r="DB86" s="1278">
        <f t="shared" si="24"/>
        <v>0</v>
      </c>
      <c r="DC86" s="1279">
        <f>IF(AND(OR($D86=Variables!A$38,$D86=Variables!A$43),$F86&lt;&gt;"N/A"),1,0)</f>
        <v>0</v>
      </c>
      <c r="DD86" s="820"/>
      <c r="DE86" s="1281" t="str">
        <f t="shared" si="33"/>
        <v/>
      </c>
      <c r="DF86" s="1282" t="str">
        <f t="shared" si="34"/>
        <v/>
      </c>
      <c r="DG86" s="1282" t="str">
        <f t="shared" si="35"/>
        <v/>
      </c>
      <c r="DH86" s="1282" t="str">
        <f>IF(ISNA(VLOOKUP(DE86,Miscellaneous!E:F,2,0)),"",VLOOKUP(DE86,Miscellaneous!E:F,2,0))</f>
        <v/>
      </c>
      <c r="DI86" s="1282" t="str">
        <f t="shared" si="36"/>
        <v/>
      </c>
      <c r="DJ86" s="1283">
        <f>IF($DI86="Opex",SUMIF('Monthly Summary'!$C$75:$N$75,"",H86:S86),SUMIF('Monthly Summary'!$C$74:$N$74,"",H86:S86))</f>
        <v>0</v>
      </c>
      <c r="DK86" s="1283">
        <f>IF($DI86="Opex",SUMIF('Monthly Summary'!$O$75:$Z$75,"",T86:AE86),SUMIF('Monthly Summary'!$O$74:$Z$74,"",T86:AE86))</f>
        <v>0</v>
      </c>
      <c r="DL86" s="1283">
        <f>IF($DI86="Opex",SUMIF('Monthly Summary'!$AA$75:$AL$75,"",AF86:AQ86),SUMIF('Monthly Summary'!$AA$74:$AL$74,"",AF86:AQ86))</f>
        <v>0</v>
      </c>
      <c r="DM86" s="1283">
        <f>IF($DI86="Opex",SUMIF('Monthly Summary'!$AM$75:$AX$75,"",AR86:BC86),SUMIF('Monthly Summary'!$AM$74:$AX$74,"",AR86:BC86))</f>
        <v>0</v>
      </c>
      <c r="DN86" s="1283">
        <f>IF($DI86="Opex",SUMIF('Monthly Summary'!$AY$75:$BJ$75,"",BD86:BO86),SUMIF('Monthly Summary'!$AY$74:$BJ$74,"",BD86:BO86))</f>
        <v>0</v>
      </c>
      <c r="DO86" s="1284">
        <f>IF($DI86="Opex",SUMIF('Monthly Summary'!$BK$75:$BV$75,"",BP86:CA86),SUMIF('Monthly Summary'!$BK$74:$BV$74,"",BP86:CA86))</f>
        <v>0</v>
      </c>
      <c r="DP86" s="1285">
        <f t="shared" si="32"/>
        <v>0</v>
      </c>
    </row>
    <row r="87" spans="1:120" s="809" customFormat="1">
      <c r="A87" s="1261"/>
      <c r="B87" s="1261"/>
      <c r="C87" s="1261"/>
      <c r="D87" s="1262"/>
      <c r="E87" s="1270"/>
      <c r="F87" s="1263"/>
      <c r="G87" s="1263"/>
      <c r="H87" s="1267"/>
      <c r="I87" s="1268"/>
      <c r="J87" s="1268"/>
      <c r="K87" s="1268"/>
      <c r="L87" s="1268"/>
      <c r="M87" s="1268"/>
      <c r="N87" s="1268"/>
      <c r="O87" s="1268"/>
      <c r="P87" s="1268"/>
      <c r="Q87" s="1268"/>
      <c r="R87" s="1268"/>
      <c r="S87" s="1269"/>
      <c r="T87" s="1267"/>
      <c r="U87" s="1268"/>
      <c r="V87" s="1268"/>
      <c r="W87" s="1268"/>
      <c r="X87" s="1268"/>
      <c r="Y87" s="1268"/>
      <c r="Z87" s="1268"/>
      <c r="AA87" s="1268"/>
      <c r="AB87" s="1268"/>
      <c r="AC87" s="1268"/>
      <c r="AD87" s="1268"/>
      <c r="AE87" s="1269"/>
      <c r="AF87" s="1267"/>
      <c r="AG87" s="1268"/>
      <c r="AH87" s="1268"/>
      <c r="AI87" s="1268"/>
      <c r="AJ87" s="1268"/>
      <c r="AK87" s="1268"/>
      <c r="AL87" s="1268"/>
      <c r="AM87" s="1268"/>
      <c r="AN87" s="1268"/>
      <c r="AO87" s="1268"/>
      <c r="AP87" s="1268"/>
      <c r="AQ87" s="1269"/>
      <c r="AR87" s="1267"/>
      <c r="AS87" s="1268"/>
      <c r="AT87" s="1268"/>
      <c r="AU87" s="1268"/>
      <c r="AV87" s="1268"/>
      <c r="AW87" s="1268"/>
      <c r="AX87" s="1268"/>
      <c r="AY87" s="1268"/>
      <c r="AZ87" s="1268"/>
      <c r="BA87" s="1268"/>
      <c r="BB87" s="1268"/>
      <c r="BC87" s="1269"/>
      <c r="BD87" s="1267"/>
      <c r="BE87" s="1268"/>
      <c r="BF87" s="1268"/>
      <c r="BG87" s="1268"/>
      <c r="BH87" s="1268"/>
      <c r="BI87" s="1268"/>
      <c r="BJ87" s="1268"/>
      <c r="BK87" s="1268"/>
      <c r="BL87" s="1268"/>
      <c r="BM87" s="1268"/>
      <c r="BN87" s="1268"/>
      <c r="BO87" s="1269"/>
      <c r="BP87" s="1267"/>
      <c r="BQ87" s="1268"/>
      <c r="BR87" s="1268"/>
      <c r="BS87" s="1268"/>
      <c r="BT87" s="1268"/>
      <c r="BU87" s="1268"/>
      <c r="BV87" s="1268"/>
      <c r="BW87" s="1268"/>
      <c r="BX87" s="1268"/>
      <c r="BY87" s="1268"/>
      <c r="BZ87" s="1268"/>
      <c r="CA87" s="1269"/>
      <c r="CB87" s="1286">
        <f t="shared" si="25"/>
        <v>0</v>
      </c>
      <c r="CC87" s="1277">
        <f>IF($F87=Miscellaneous!$N$8,SUM($H87:CA87),0)</f>
        <v>0</v>
      </c>
      <c r="CD87" s="1277">
        <f>IF($F87=Miscellaneous!$N$8,IF($G87="Opex",SUMIF('Monthly Summary'!$C$75:BV$75,"",$H87:CA87),SUMIF('Monthly Summary'!$C$74:BV$74,"",$H87:CA87)),0)</f>
        <v>0</v>
      </c>
      <c r="CE87" s="1286">
        <f t="shared" si="26"/>
        <v>0</v>
      </c>
      <c r="CF87" s="833"/>
      <c r="CG87" s="1277">
        <f>IF($F87=Miscellaneous!$N$9,SUM($H87:CA87),0)</f>
        <v>0</v>
      </c>
      <c r="CH87" s="1277">
        <f>IF($F87=Miscellaneous!$N$9,IF($G87="Opex",SUMIF('Monthly Summary'!$C$75:BV$75,"",$H87:CA87),SUMIF('Monthly Summary'!$C$74:BV$74,"",$H87:CA87)),0)</f>
        <v>0</v>
      </c>
      <c r="CI87" s="1286">
        <f t="shared" si="27"/>
        <v>0</v>
      </c>
      <c r="CJ87" s="833"/>
      <c r="CK87" s="1277">
        <f>IF($F87=Miscellaneous!$N$7,SUM($H87:CA87),0)</f>
        <v>0</v>
      </c>
      <c r="CL87" s="1277">
        <f>IF($F87=Miscellaneous!$N$7,IF($G87="Opex",SUMIF('Monthly Summary'!$C$75:BV$75,"",$H87:CA87),SUMIF('Monthly Summary'!$C$74:BV$74,"",$H87:CA87)),0)</f>
        <v>0</v>
      </c>
      <c r="CM87" s="1286">
        <f t="shared" si="28"/>
        <v>0</v>
      </c>
      <c r="CN87" s="833"/>
      <c r="CO87" s="1277">
        <f>IF($F87=Miscellaneous!$N$6,SUM($H87:CA87),0)</f>
        <v>0</v>
      </c>
      <c r="CP87" s="1277">
        <f>IF($F87=Miscellaneous!$N$6,IF($G87="Opex",SUMIF('Monthly Summary'!$C$75:BV$75,"",$H87:CA87),SUMIF('Monthly Summary'!$C$74:BV$74,"",$H87:CA87)),0)</f>
        <v>0</v>
      </c>
      <c r="CQ87" s="1286">
        <f t="shared" si="29"/>
        <v>0</v>
      </c>
      <c r="CR87" s="833"/>
      <c r="CS87" s="1277">
        <f>IF($A87="Software",SUM($H87:CA87),0)</f>
        <v>0</v>
      </c>
      <c r="CT87" s="1277">
        <f>IF($A87="Software",IF($G87="Opex",SUMIF('Monthly Summary'!$C$75:BV$75,"",$H87:CA87),SUMIF('Monthly Summary'!$C$74:BV$74,"",$H87:CA87)),0)</f>
        <v>0</v>
      </c>
      <c r="CU87" s="1286">
        <f t="shared" si="30"/>
        <v>0</v>
      </c>
      <c r="CV87" s="833"/>
      <c r="CW87" s="1277">
        <f t="shared" si="22"/>
        <v>0</v>
      </c>
      <c r="CX87" s="1277">
        <f t="shared" si="23"/>
        <v>0</v>
      </c>
      <c r="CY87" s="1286">
        <f t="shared" si="31"/>
        <v>0</v>
      </c>
      <c r="CZ87" s="833"/>
      <c r="DA87" s="1286">
        <f>IF($G87="Opex",SUMIF('Monthly Summary'!$C$75:BV$75,"",$H87:CA87),SUMIF('Monthly Summary'!$C$74:BV$74,"",$H87:CA87))</f>
        <v>0</v>
      </c>
      <c r="DB87" s="1278">
        <f t="shared" si="24"/>
        <v>0</v>
      </c>
      <c r="DC87" s="1279">
        <f>IF(AND(OR($D87=Variables!A$38,$D87=Variables!A$43),$F87&lt;&gt;"N/A"),1,0)</f>
        <v>0</v>
      </c>
      <c r="DD87" s="820"/>
      <c r="DE87" s="1281" t="str">
        <f t="shared" si="33"/>
        <v/>
      </c>
      <c r="DF87" s="1282" t="str">
        <f t="shared" si="34"/>
        <v/>
      </c>
      <c r="DG87" s="1282" t="str">
        <f t="shared" si="35"/>
        <v/>
      </c>
      <c r="DH87" s="1282" t="str">
        <f>IF(ISNA(VLOOKUP(DE87,Miscellaneous!E:F,2,0)),"",VLOOKUP(DE87,Miscellaneous!E:F,2,0))</f>
        <v/>
      </c>
      <c r="DI87" s="1282" t="str">
        <f t="shared" si="36"/>
        <v/>
      </c>
      <c r="DJ87" s="1283">
        <f>IF($DI87="Opex",SUMIF('Monthly Summary'!$C$75:$N$75,"",H87:S87),SUMIF('Monthly Summary'!$C$74:$N$74,"",H87:S87))</f>
        <v>0</v>
      </c>
      <c r="DK87" s="1283">
        <f>IF($DI87="Opex",SUMIF('Monthly Summary'!$O$75:$Z$75,"",T87:AE87),SUMIF('Monthly Summary'!$O$74:$Z$74,"",T87:AE87))</f>
        <v>0</v>
      </c>
      <c r="DL87" s="1283">
        <f>IF($DI87="Opex",SUMIF('Monthly Summary'!$AA$75:$AL$75,"",AF87:AQ87),SUMIF('Monthly Summary'!$AA$74:$AL$74,"",AF87:AQ87))</f>
        <v>0</v>
      </c>
      <c r="DM87" s="1283">
        <f>IF($DI87="Opex",SUMIF('Monthly Summary'!$AM$75:$AX$75,"",AR87:BC87),SUMIF('Monthly Summary'!$AM$74:$AX$74,"",AR87:BC87))</f>
        <v>0</v>
      </c>
      <c r="DN87" s="1283">
        <f>IF($DI87="Opex",SUMIF('Monthly Summary'!$AY$75:$BJ$75,"",BD87:BO87),SUMIF('Monthly Summary'!$AY$74:$BJ$74,"",BD87:BO87))</f>
        <v>0</v>
      </c>
      <c r="DO87" s="1284">
        <f>IF($DI87="Opex",SUMIF('Monthly Summary'!$BK$75:$BV$75,"",BP87:CA87),SUMIF('Monthly Summary'!$BK$74:$BV$74,"",BP87:CA87))</f>
        <v>0</v>
      </c>
      <c r="DP87" s="1285">
        <f t="shared" si="32"/>
        <v>0</v>
      </c>
    </row>
    <row r="88" spans="1:120" s="809" customFormat="1">
      <c r="A88" s="1261"/>
      <c r="B88" s="1261"/>
      <c r="C88" s="1261"/>
      <c r="D88" s="1262"/>
      <c r="E88" s="1270"/>
      <c r="F88" s="1263"/>
      <c r="G88" s="1263"/>
      <c r="H88" s="1267"/>
      <c r="I88" s="1268"/>
      <c r="J88" s="1268"/>
      <c r="K88" s="1268"/>
      <c r="L88" s="1268"/>
      <c r="M88" s="1268"/>
      <c r="N88" s="1268"/>
      <c r="O88" s="1268"/>
      <c r="P88" s="1268"/>
      <c r="Q88" s="1268"/>
      <c r="R88" s="1268"/>
      <c r="S88" s="1269"/>
      <c r="T88" s="1267"/>
      <c r="U88" s="1268"/>
      <c r="V88" s="1268"/>
      <c r="W88" s="1268"/>
      <c r="X88" s="1268"/>
      <c r="Y88" s="1268"/>
      <c r="Z88" s="1268"/>
      <c r="AA88" s="1268"/>
      <c r="AB88" s="1268"/>
      <c r="AC88" s="1268"/>
      <c r="AD88" s="1268"/>
      <c r="AE88" s="1269"/>
      <c r="AF88" s="1267"/>
      <c r="AG88" s="1268"/>
      <c r="AH88" s="1268"/>
      <c r="AI88" s="1268"/>
      <c r="AJ88" s="1268"/>
      <c r="AK88" s="1268"/>
      <c r="AL88" s="1268"/>
      <c r="AM88" s="1268"/>
      <c r="AN88" s="1268"/>
      <c r="AO88" s="1268"/>
      <c r="AP88" s="1268"/>
      <c r="AQ88" s="1269"/>
      <c r="AR88" s="1267"/>
      <c r="AS88" s="1268"/>
      <c r="AT88" s="1268"/>
      <c r="AU88" s="1268"/>
      <c r="AV88" s="1268"/>
      <c r="AW88" s="1268"/>
      <c r="AX88" s="1268"/>
      <c r="AY88" s="1268"/>
      <c r="AZ88" s="1268"/>
      <c r="BA88" s="1268"/>
      <c r="BB88" s="1268"/>
      <c r="BC88" s="1269"/>
      <c r="BD88" s="1267"/>
      <c r="BE88" s="1268"/>
      <c r="BF88" s="1268"/>
      <c r="BG88" s="1268"/>
      <c r="BH88" s="1268"/>
      <c r="BI88" s="1268"/>
      <c r="BJ88" s="1268"/>
      <c r="BK88" s="1268"/>
      <c r="BL88" s="1268"/>
      <c r="BM88" s="1268"/>
      <c r="BN88" s="1268"/>
      <c r="BO88" s="1269"/>
      <c r="BP88" s="1267"/>
      <c r="BQ88" s="1268"/>
      <c r="BR88" s="1268"/>
      <c r="BS88" s="1268"/>
      <c r="BT88" s="1268"/>
      <c r="BU88" s="1268"/>
      <c r="BV88" s="1268"/>
      <c r="BW88" s="1268"/>
      <c r="BX88" s="1268"/>
      <c r="BY88" s="1268"/>
      <c r="BZ88" s="1268"/>
      <c r="CA88" s="1269"/>
      <c r="CB88" s="1286">
        <f t="shared" si="25"/>
        <v>0</v>
      </c>
      <c r="CC88" s="1277">
        <f>IF($F88=Miscellaneous!$N$8,SUM($H88:CA88),0)</f>
        <v>0</v>
      </c>
      <c r="CD88" s="1277">
        <f>IF($F88=Miscellaneous!$N$8,IF($G88="Opex",SUMIF('Monthly Summary'!$C$75:BV$75,"",$H88:CA88),SUMIF('Monthly Summary'!$C$74:BV$74,"",$H88:CA88)),0)</f>
        <v>0</v>
      </c>
      <c r="CE88" s="1286">
        <f t="shared" si="26"/>
        <v>0</v>
      </c>
      <c r="CF88" s="833"/>
      <c r="CG88" s="1277">
        <f>IF($F88=Miscellaneous!$N$9,SUM($H88:CA88),0)</f>
        <v>0</v>
      </c>
      <c r="CH88" s="1277">
        <f>IF($F88=Miscellaneous!$N$9,IF($G88="Opex",SUMIF('Monthly Summary'!$C$75:BV$75,"",$H88:CA88),SUMIF('Monthly Summary'!$C$74:BV$74,"",$H88:CA88)),0)</f>
        <v>0</v>
      </c>
      <c r="CI88" s="1286">
        <f t="shared" si="27"/>
        <v>0</v>
      </c>
      <c r="CJ88" s="833"/>
      <c r="CK88" s="1277">
        <f>IF($F88=Miscellaneous!$N$7,SUM($H88:CA88),0)</f>
        <v>0</v>
      </c>
      <c r="CL88" s="1277">
        <f>IF($F88=Miscellaneous!$N$7,IF($G88="Opex",SUMIF('Monthly Summary'!$C$75:BV$75,"",$H88:CA88),SUMIF('Monthly Summary'!$C$74:BV$74,"",$H88:CA88)),0)</f>
        <v>0</v>
      </c>
      <c r="CM88" s="1286">
        <f t="shared" si="28"/>
        <v>0</v>
      </c>
      <c r="CN88" s="833"/>
      <c r="CO88" s="1277">
        <f>IF($F88=Miscellaneous!$N$6,SUM($H88:CA88),0)</f>
        <v>0</v>
      </c>
      <c r="CP88" s="1277">
        <f>IF($F88=Miscellaneous!$N$6,IF($G88="Opex",SUMIF('Monthly Summary'!$C$75:BV$75,"",$H88:CA88),SUMIF('Monthly Summary'!$C$74:BV$74,"",$H88:CA88)),0)</f>
        <v>0</v>
      </c>
      <c r="CQ88" s="1286">
        <f t="shared" si="29"/>
        <v>0</v>
      </c>
      <c r="CR88" s="833"/>
      <c r="CS88" s="1277">
        <f>IF($A88="Software",SUM($H88:CA88),0)</f>
        <v>0</v>
      </c>
      <c r="CT88" s="1277">
        <f>IF($A88="Software",IF($G88="Opex",SUMIF('Monthly Summary'!$C$75:BV$75,"",$H88:CA88),SUMIF('Monthly Summary'!$C$74:BV$74,"",$H88:CA88)),0)</f>
        <v>0</v>
      </c>
      <c r="CU88" s="1286">
        <f t="shared" si="30"/>
        <v>0</v>
      </c>
      <c r="CV88" s="833"/>
      <c r="CW88" s="1277">
        <f t="shared" si="22"/>
        <v>0</v>
      </c>
      <c r="CX88" s="1277">
        <f t="shared" si="23"/>
        <v>0</v>
      </c>
      <c r="CY88" s="1286">
        <f t="shared" si="31"/>
        <v>0</v>
      </c>
      <c r="CZ88" s="833"/>
      <c r="DA88" s="1286">
        <f>IF($G88="Opex",SUMIF('Monthly Summary'!$C$75:BV$75,"",$H88:CA88),SUMIF('Monthly Summary'!$C$74:BV$74,"",$H88:CA88))</f>
        <v>0</v>
      </c>
      <c r="DB88" s="1278">
        <f t="shared" si="24"/>
        <v>0</v>
      </c>
      <c r="DC88" s="1279">
        <f>IF(AND(OR($D88=Variables!A$38,$D88=Variables!A$43),$F88&lt;&gt;"N/A"),1,0)</f>
        <v>0</v>
      </c>
      <c r="DD88" s="820"/>
      <c r="DE88" s="1281" t="str">
        <f t="shared" si="33"/>
        <v/>
      </c>
      <c r="DF88" s="1282" t="str">
        <f t="shared" si="34"/>
        <v/>
      </c>
      <c r="DG88" s="1282" t="str">
        <f t="shared" si="35"/>
        <v/>
      </c>
      <c r="DH88" s="1282" t="str">
        <f>IF(ISNA(VLOOKUP(DE88,Miscellaneous!E:F,2,0)),"",VLOOKUP(DE88,Miscellaneous!E:F,2,0))</f>
        <v/>
      </c>
      <c r="DI88" s="1282" t="str">
        <f t="shared" si="36"/>
        <v/>
      </c>
      <c r="DJ88" s="1283">
        <f>IF($DI88="Opex",SUMIF('Monthly Summary'!$C$75:$N$75,"",H88:S88),SUMIF('Monthly Summary'!$C$74:$N$74,"",H88:S88))</f>
        <v>0</v>
      </c>
      <c r="DK88" s="1283">
        <f>IF($DI88="Opex",SUMIF('Monthly Summary'!$O$75:$Z$75,"",T88:AE88),SUMIF('Monthly Summary'!$O$74:$Z$74,"",T88:AE88))</f>
        <v>0</v>
      </c>
      <c r="DL88" s="1283">
        <f>IF($DI88="Opex",SUMIF('Monthly Summary'!$AA$75:$AL$75,"",AF88:AQ88),SUMIF('Monthly Summary'!$AA$74:$AL$74,"",AF88:AQ88))</f>
        <v>0</v>
      </c>
      <c r="DM88" s="1283">
        <f>IF($DI88="Opex",SUMIF('Monthly Summary'!$AM$75:$AX$75,"",AR88:BC88),SUMIF('Monthly Summary'!$AM$74:$AX$74,"",AR88:BC88))</f>
        <v>0</v>
      </c>
      <c r="DN88" s="1283">
        <f>IF($DI88="Opex",SUMIF('Monthly Summary'!$AY$75:$BJ$75,"",BD88:BO88),SUMIF('Monthly Summary'!$AY$74:$BJ$74,"",BD88:BO88))</f>
        <v>0</v>
      </c>
      <c r="DO88" s="1284">
        <f>IF($DI88="Opex",SUMIF('Monthly Summary'!$BK$75:$BV$75,"",BP88:CA88),SUMIF('Monthly Summary'!$BK$74:$BV$74,"",BP88:CA88))</f>
        <v>0</v>
      </c>
      <c r="DP88" s="1285">
        <f t="shared" si="32"/>
        <v>0</v>
      </c>
    </row>
    <row r="89" spans="1:120" s="809" customFormat="1">
      <c r="A89" s="1261"/>
      <c r="B89" s="1261"/>
      <c r="C89" s="1261"/>
      <c r="D89" s="1262"/>
      <c r="E89" s="1270"/>
      <c r="F89" s="1263"/>
      <c r="G89" s="1263"/>
      <c r="H89" s="1267"/>
      <c r="I89" s="1268"/>
      <c r="J89" s="1268"/>
      <c r="K89" s="1268"/>
      <c r="L89" s="1268"/>
      <c r="M89" s="1268"/>
      <c r="N89" s="1268"/>
      <c r="O89" s="1268"/>
      <c r="P89" s="1268"/>
      <c r="Q89" s="1268"/>
      <c r="R89" s="1268"/>
      <c r="S89" s="1269"/>
      <c r="T89" s="1267"/>
      <c r="U89" s="1268"/>
      <c r="V89" s="1268"/>
      <c r="W89" s="1268"/>
      <c r="X89" s="1268"/>
      <c r="Y89" s="1268"/>
      <c r="Z89" s="1268"/>
      <c r="AA89" s="1268"/>
      <c r="AB89" s="1268"/>
      <c r="AC89" s="1268"/>
      <c r="AD89" s="1268"/>
      <c r="AE89" s="1269"/>
      <c r="AF89" s="1267"/>
      <c r="AG89" s="1268"/>
      <c r="AH89" s="1268"/>
      <c r="AI89" s="1268"/>
      <c r="AJ89" s="1268"/>
      <c r="AK89" s="1268"/>
      <c r="AL89" s="1268"/>
      <c r="AM89" s="1268"/>
      <c r="AN89" s="1268"/>
      <c r="AO89" s="1268"/>
      <c r="AP89" s="1268"/>
      <c r="AQ89" s="1269"/>
      <c r="AR89" s="1267"/>
      <c r="AS89" s="1268"/>
      <c r="AT89" s="1268"/>
      <c r="AU89" s="1268"/>
      <c r="AV89" s="1268"/>
      <c r="AW89" s="1268"/>
      <c r="AX89" s="1268"/>
      <c r="AY89" s="1268"/>
      <c r="AZ89" s="1268"/>
      <c r="BA89" s="1268"/>
      <c r="BB89" s="1268"/>
      <c r="BC89" s="1269"/>
      <c r="BD89" s="1267"/>
      <c r="BE89" s="1268"/>
      <c r="BF89" s="1268"/>
      <c r="BG89" s="1268"/>
      <c r="BH89" s="1268"/>
      <c r="BI89" s="1268"/>
      <c r="BJ89" s="1268"/>
      <c r="BK89" s="1268"/>
      <c r="BL89" s="1268"/>
      <c r="BM89" s="1268"/>
      <c r="BN89" s="1268"/>
      <c r="BO89" s="1269"/>
      <c r="BP89" s="1267"/>
      <c r="BQ89" s="1268"/>
      <c r="BR89" s="1268"/>
      <c r="BS89" s="1268"/>
      <c r="BT89" s="1268"/>
      <c r="BU89" s="1268"/>
      <c r="BV89" s="1268"/>
      <c r="BW89" s="1268"/>
      <c r="BX89" s="1268"/>
      <c r="BY89" s="1268"/>
      <c r="BZ89" s="1268"/>
      <c r="CA89" s="1269"/>
      <c r="CB89" s="1286">
        <f t="shared" si="25"/>
        <v>0</v>
      </c>
      <c r="CC89" s="1277">
        <f>IF($F89=Miscellaneous!$N$8,SUM($H89:CA89),0)</f>
        <v>0</v>
      </c>
      <c r="CD89" s="1277">
        <f>IF($F89=Miscellaneous!$N$8,IF($G89="Opex",SUMIF('Monthly Summary'!$C$75:BV$75,"",$H89:CA89),SUMIF('Monthly Summary'!$C$74:BV$74,"",$H89:CA89)),0)</f>
        <v>0</v>
      </c>
      <c r="CE89" s="1286">
        <f t="shared" si="26"/>
        <v>0</v>
      </c>
      <c r="CF89" s="833"/>
      <c r="CG89" s="1277">
        <f>IF($F89=Miscellaneous!$N$9,SUM($H89:CA89),0)</f>
        <v>0</v>
      </c>
      <c r="CH89" s="1277">
        <f>IF($F89=Miscellaneous!$N$9,IF($G89="Opex",SUMIF('Monthly Summary'!$C$75:BV$75,"",$H89:CA89),SUMIF('Monthly Summary'!$C$74:BV$74,"",$H89:CA89)),0)</f>
        <v>0</v>
      </c>
      <c r="CI89" s="1286">
        <f t="shared" si="27"/>
        <v>0</v>
      </c>
      <c r="CJ89" s="833"/>
      <c r="CK89" s="1277">
        <f>IF($F89=Miscellaneous!$N$7,SUM($H89:CA89),0)</f>
        <v>0</v>
      </c>
      <c r="CL89" s="1277">
        <f>IF($F89=Miscellaneous!$N$7,IF($G89="Opex",SUMIF('Monthly Summary'!$C$75:BV$75,"",$H89:CA89),SUMIF('Monthly Summary'!$C$74:BV$74,"",$H89:CA89)),0)</f>
        <v>0</v>
      </c>
      <c r="CM89" s="1286">
        <f t="shared" si="28"/>
        <v>0</v>
      </c>
      <c r="CN89" s="833"/>
      <c r="CO89" s="1277">
        <f>IF($F89=Miscellaneous!$N$6,SUM($H89:CA89),0)</f>
        <v>0</v>
      </c>
      <c r="CP89" s="1277">
        <f>IF($F89=Miscellaneous!$N$6,IF($G89="Opex",SUMIF('Monthly Summary'!$C$75:BV$75,"",$H89:CA89),SUMIF('Monthly Summary'!$C$74:BV$74,"",$H89:CA89)),0)</f>
        <v>0</v>
      </c>
      <c r="CQ89" s="1286">
        <f t="shared" si="29"/>
        <v>0</v>
      </c>
      <c r="CR89" s="833"/>
      <c r="CS89" s="1277">
        <f>IF($A89="Software",SUM($H89:CA89),0)</f>
        <v>0</v>
      </c>
      <c r="CT89" s="1277">
        <f>IF($A89="Software",IF($G89="Opex",SUMIF('Monthly Summary'!$C$75:BV$75,"",$H89:CA89),SUMIF('Monthly Summary'!$C$74:BV$74,"",$H89:CA89)),0)</f>
        <v>0</v>
      </c>
      <c r="CU89" s="1286">
        <f t="shared" si="30"/>
        <v>0</v>
      </c>
      <c r="CV89" s="833"/>
      <c r="CW89" s="1277">
        <f t="shared" si="22"/>
        <v>0</v>
      </c>
      <c r="CX89" s="1277">
        <f t="shared" si="23"/>
        <v>0</v>
      </c>
      <c r="CY89" s="1286">
        <f t="shared" si="31"/>
        <v>0</v>
      </c>
      <c r="CZ89" s="833"/>
      <c r="DA89" s="1286">
        <f>IF($G89="Opex",SUMIF('Monthly Summary'!$C$75:BV$75,"",$H89:CA89),SUMIF('Monthly Summary'!$C$74:BV$74,"",$H89:CA89))</f>
        <v>0</v>
      </c>
      <c r="DB89" s="1278">
        <f t="shared" si="24"/>
        <v>0</v>
      </c>
      <c r="DC89" s="1279">
        <f>IF(AND(OR($D89=Variables!A$38,$D89=Variables!A$43),$F89&lt;&gt;"N/A"),1,0)</f>
        <v>0</v>
      </c>
      <c r="DD89" s="820"/>
      <c r="DE89" s="1281" t="str">
        <f t="shared" si="33"/>
        <v/>
      </c>
      <c r="DF89" s="1282" t="str">
        <f t="shared" si="34"/>
        <v/>
      </c>
      <c r="DG89" s="1282" t="str">
        <f t="shared" si="35"/>
        <v/>
      </c>
      <c r="DH89" s="1282" t="str">
        <f>IF(ISNA(VLOOKUP(DE89,Miscellaneous!E:F,2,0)),"",VLOOKUP(DE89,Miscellaneous!E:F,2,0))</f>
        <v/>
      </c>
      <c r="DI89" s="1282" t="str">
        <f t="shared" si="36"/>
        <v/>
      </c>
      <c r="DJ89" s="1283">
        <f>IF($DI89="Opex",SUMIF('Monthly Summary'!$C$75:$N$75,"",H89:S89),SUMIF('Monthly Summary'!$C$74:$N$74,"",H89:S89))</f>
        <v>0</v>
      </c>
      <c r="DK89" s="1283">
        <f>IF($DI89="Opex",SUMIF('Monthly Summary'!$O$75:$Z$75,"",T89:AE89),SUMIF('Monthly Summary'!$O$74:$Z$74,"",T89:AE89))</f>
        <v>0</v>
      </c>
      <c r="DL89" s="1283">
        <f>IF($DI89="Opex",SUMIF('Monthly Summary'!$AA$75:$AL$75,"",AF89:AQ89),SUMIF('Monthly Summary'!$AA$74:$AL$74,"",AF89:AQ89))</f>
        <v>0</v>
      </c>
      <c r="DM89" s="1283">
        <f>IF($DI89="Opex",SUMIF('Monthly Summary'!$AM$75:$AX$75,"",AR89:BC89),SUMIF('Monthly Summary'!$AM$74:$AX$74,"",AR89:BC89))</f>
        <v>0</v>
      </c>
      <c r="DN89" s="1283">
        <f>IF($DI89="Opex",SUMIF('Monthly Summary'!$AY$75:$BJ$75,"",BD89:BO89),SUMIF('Monthly Summary'!$AY$74:$BJ$74,"",BD89:BO89))</f>
        <v>0</v>
      </c>
      <c r="DO89" s="1284">
        <f>IF($DI89="Opex",SUMIF('Monthly Summary'!$BK$75:$BV$75,"",BP89:CA89),SUMIF('Monthly Summary'!$BK$74:$BV$74,"",BP89:CA89))</f>
        <v>0</v>
      </c>
      <c r="DP89" s="1285">
        <f t="shared" si="32"/>
        <v>0</v>
      </c>
    </row>
    <row r="90" spans="1:120" s="809" customFormat="1">
      <c r="A90" s="1261"/>
      <c r="B90" s="1261"/>
      <c r="C90" s="1261"/>
      <c r="D90" s="1262"/>
      <c r="E90" s="1270"/>
      <c r="F90" s="1263"/>
      <c r="G90" s="1263"/>
      <c r="H90" s="1267"/>
      <c r="I90" s="1268"/>
      <c r="J90" s="1268"/>
      <c r="K90" s="1268"/>
      <c r="L90" s="1268"/>
      <c r="M90" s="1268"/>
      <c r="N90" s="1268"/>
      <c r="O90" s="1268"/>
      <c r="P90" s="1268"/>
      <c r="Q90" s="1268"/>
      <c r="R90" s="1268"/>
      <c r="S90" s="1269"/>
      <c r="T90" s="1267"/>
      <c r="U90" s="1268"/>
      <c r="V90" s="1268"/>
      <c r="W90" s="1268"/>
      <c r="X90" s="1268"/>
      <c r="Y90" s="1268"/>
      <c r="Z90" s="1268"/>
      <c r="AA90" s="1268"/>
      <c r="AB90" s="1268"/>
      <c r="AC90" s="1268"/>
      <c r="AD90" s="1268"/>
      <c r="AE90" s="1269"/>
      <c r="AF90" s="1267"/>
      <c r="AG90" s="1268"/>
      <c r="AH90" s="1268"/>
      <c r="AI90" s="1268"/>
      <c r="AJ90" s="1268"/>
      <c r="AK90" s="1268"/>
      <c r="AL90" s="1268"/>
      <c r="AM90" s="1268"/>
      <c r="AN90" s="1268"/>
      <c r="AO90" s="1268"/>
      <c r="AP90" s="1268"/>
      <c r="AQ90" s="1269"/>
      <c r="AR90" s="1267"/>
      <c r="AS90" s="1268"/>
      <c r="AT90" s="1268"/>
      <c r="AU90" s="1268"/>
      <c r="AV90" s="1268"/>
      <c r="AW90" s="1268"/>
      <c r="AX90" s="1268"/>
      <c r="AY90" s="1268"/>
      <c r="AZ90" s="1268"/>
      <c r="BA90" s="1268"/>
      <c r="BB90" s="1268"/>
      <c r="BC90" s="1269"/>
      <c r="BD90" s="1267"/>
      <c r="BE90" s="1268"/>
      <c r="BF90" s="1268"/>
      <c r="BG90" s="1268"/>
      <c r="BH90" s="1268"/>
      <c r="BI90" s="1268"/>
      <c r="BJ90" s="1268"/>
      <c r="BK90" s="1268"/>
      <c r="BL90" s="1268"/>
      <c r="BM90" s="1268"/>
      <c r="BN90" s="1268"/>
      <c r="BO90" s="1269"/>
      <c r="BP90" s="1267"/>
      <c r="BQ90" s="1268"/>
      <c r="BR90" s="1268"/>
      <c r="BS90" s="1268"/>
      <c r="BT90" s="1268"/>
      <c r="BU90" s="1268"/>
      <c r="BV90" s="1268"/>
      <c r="BW90" s="1268"/>
      <c r="BX90" s="1268"/>
      <c r="BY90" s="1268"/>
      <c r="BZ90" s="1268"/>
      <c r="CA90" s="1269"/>
      <c r="CB90" s="1286">
        <f t="shared" si="25"/>
        <v>0</v>
      </c>
      <c r="CC90" s="1277">
        <f>IF($F90=Miscellaneous!$N$8,SUM($H90:CA90),0)</f>
        <v>0</v>
      </c>
      <c r="CD90" s="1277">
        <f>IF($F90=Miscellaneous!$N$8,IF($G90="Opex",SUMIF('Monthly Summary'!$C$75:BV$75,"",$H90:CA90),SUMIF('Monthly Summary'!$C$74:BV$74,"",$H90:CA90)),0)</f>
        <v>0</v>
      </c>
      <c r="CE90" s="1286">
        <f t="shared" si="26"/>
        <v>0</v>
      </c>
      <c r="CF90" s="833"/>
      <c r="CG90" s="1277">
        <f>IF($F90=Miscellaneous!$N$9,SUM($H90:CA90),0)</f>
        <v>0</v>
      </c>
      <c r="CH90" s="1277">
        <f>IF($F90=Miscellaneous!$N$9,IF($G90="Opex",SUMIF('Monthly Summary'!$C$75:BV$75,"",$H90:CA90),SUMIF('Monthly Summary'!$C$74:BV$74,"",$H90:CA90)),0)</f>
        <v>0</v>
      </c>
      <c r="CI90" s="1286">
        <f t="shared" si="27"/>
        <v>0</v>
      </c>
      <c r="CJ90" s="833"/>
      <c r="CK90" s="1277">
        <f>IF($F90=Miscellaneous!$N$7,SUM($H90:CA90),0)</f>
        <v>0</v>
      </c>
      <c r="CL90" s="1277">
        <f>IF($F90=Miscellaneous!$N$7,IF($G90="Opex",SUMIF('Monthly Summary'!$C$75:BV$75,"",$H90:CA90),SUMIF('Monthly Summary'!$C$74:BV$74,"",$H90:CA90)),0)</f>
        <v>0</v>
      </c>
      <c r="CM90" s="1286">
        <f t="shared" si="28"/>
        <v>0</v>
      </c>
      <c r="CN90" s="833"/>
      <c r="CO90" s="1277">
        <f>IF($F90=Miscellaneous!$N$6,SUM($H90:CA90),0)</f>
        <v>0</v>
      </c>
      <c r="CP90" s="1277">
        <f>IF($F90=Miscellaneous!$N$6,IF($G90="Opex",SUMIF('Monthly Summary'!$C$75:BV$75,"",$H90:CA90),SUMIF('Monthly Summary'!$C$74:BV$74,"",$H90:CA90)),0)</f>
        <v>0</v>
      </c>
      <c r="CQ90" s="1286">
        <f t="shared" si="29"/>
        <v>0</v>
      </c>
      <c r="CR90" s="833"/>
      <c r="CS90" s="1277">
        <f>IF($A90="Software",SUM($H90:CA90),0)</f>
        <v>0</v>
      </c>
      <c r="CT90" s="1277">
        <f>IF($A90="Software",IF($G90="Opex",SUMIF('Monthly Summary'!$C$75:BV$75,"",$H90:CA90),SUMIF('Monthly Summary'!$C$74:BV$74,"",$H90:CA90)),0)</f>
        <v>0</v>
      </c>
      <c r="CU90" s="1286">
        <f t="shared" si="30"/>
        <v>0</v>
      </c>
      <c r="CV90" s="833"/>
      <c r="CW90" s="1277">
        <f t="shared" si="22"/>
        <v>0</v>
      </c>
      <c r="CX90" s="1277">
        <f t="shared" si="23"/>
        <v>0</v>
      </c>
      <c r="CY90" s="1286">
        <f t="shared" si="31"/>
        <v>0</v>
      </c>
      <c r="CZ90" s="833"/>
      <c r="DA90" s="1286">
        <f>IF($G90="Opex",SUMIF('Monthly Summary'!$C$75:BV$75,"",$H90:CA90),SUMIF('Monthly Summary'!$C$74:BV$74,"",$H90:CA90))</f>
        <v>0</v>
      </c>
      <c r="DB90" s="1278">
        <f t="shared" si="24"/>
        <v>0</v>
      </c>
      <c r="DC90" s="1279">
        <f>IF(AND(OR($D90=Variables!A$38,$D90=Variables!A$43),$F90&lt;&gt;"N/A"),1,0)</f>
        <v>0</v>
      </c>
      <c r="DD90" s="820"/>
      <c r="DE90" s="1281" t="str">
        <f t="shared" si="33"/>
        <v/>
      </c>
      <c r="DF90" s="1282" t="str">
        <f t="shared" si="34"/>
        <v/>
      </c>
      <c r="DG90" s="1282" t="str">
        <f t="shared" si="35"/>
        <v/>
      </c>
      <c r="DH90" s="1282" t="str">
        <f>IF(ISNA(VLOOKUP(DE90,Miscellaneous!E:F,2,0)),"",VLOOKUP(DE90,Miscellaneous!E:F,2,0))</f>
        <v/>
      </c>
      <c r="DI90" s="1282" t="str">
        <f t="shared" si="36"/>
        <v/>
      </c>
      <c r="DJ90" s="1283">
        <f>IF($DI90="Opex",SUMIF('Monthly Summary'!$C$75:$N$75,"",H90:S90),SUMIF('Monthly Summary'!$C$74:$N$74,"",H90:S90))</f>
        <v>0</v>
      </c>
      <c r="DK90" s="1283">
        <f>IF($DI90="Opex",SUMIF('Monthly Summary'!$O$75:$Z$75,"",T90:AE90),SUMIF('Monthly Summary'!$O$74:$Z$74,"",T90:AE90))</f>
        <v>0</v>
      </c>
      <c r="DL90" s="1283">
        <f>IF($DI90="Opex",SUMIF('Monthly Summary'!$AA$75:$AL$75,"",AF90:AQ90),SUMIF('Monthly Summary'!$AA$74:$AL$74,"",AF90:AQ90))</f>
        <v>0</v>
      </c>
      <c r="DM90" s="1283">
        <f>IF($DI90="Opex",SUMIF('Monthly Summary'!$AM$75:$AX$75,"",AR90:BC90),SUMIF('Monthly Summary'!$AM$74:$AX$74,"",AR90:BC90))</f>
        <v>0</v>
      </c>
      <c r="DN90" s="1283">
        <f>IF($DI90="Opex",SUMIF('Monthly Summary'!$AY$75:$BJ$75,"",BD90:BO90),SUMIF('Monthly Summary'!$AY$74:$BJ$74,"",BD90:BO90))</f>
        <v>0</v>
      </c>
      <c r="DO90" s="1284">
        <f>IF($DI90="Opex",SUMIF('Monthly Summary'!$BK$75:$BV$75,"",BP90:CA90),SUMIF('Monthly Summary'!$BK$74:$BV$74,"",BP90:CA90))</f>
        <v>0</v>
      </c>
      <c r="DP90" s="1285">
        <f t="shared" si="32"/>
        <v>0</v>
      </c>
    </row>
    <row r="91" spans="1:120" s="809" customFormat="1">
      <c r="A91" s="1261"/>
      <c r="B91" s="1261"/>
      <c r="C91" s="1261"/>
      <c r="D91" s="1262"/>
      <c r="E91" s="1270"/>
      <c r="F91" s="1263"/>
      <c r="G91" s="1263"/>
      <c r="H91" s="1267"/>
      <c r="I91" s="1268"/>
      <c r="J91" s="1268"/>
      <c r="K91" s="1268"/>
      <c r="L91" s="1268"/>
      <c r="M91" s="1268"/>
      <c r="N91" s="1268"/>
      <c r="O91" s="1268"/>
      <c r="P91" s="1268"/>
      <c r="Q91" s="1268"/>
      <c r="R91" s="1268"/>
      <c r="S91" s="1269"/>
      <c r="T91" s="1267"/>
      <c r="U91" s="1268"/>
      <c r="V91" s="1268"/>
      <c r="W91" s="1268"/>
      <c r="X91" s="1268"/>
      <c r="Y91" s="1268"/>
      <c r="Z91" s="1268"/>
      <c r="AA91" s="1268"/>
      <c r="AB91" s="1268"/>
      <c r="AC91" s="1268"/>
      <c r="AD91" s="1268"/>
      <c r="AE91" s="1269"/>
      <c r="AF91" s="1267"/>
      <c r="AG91" s="1268"/>
      <c r="AH91" s="1268"/>
      <c r="AI91" s="1268"/>
      <c r="AJ91" s="1268"/>
      <c r="AK91" s="1268"/>
      <c r="AL91" s="1268"/>
      <c r="AM91" s="1268"/>
      <c r="AN91" s="1268"/>
      <c r="AO91" s="1268"/>
      <c r="AP91" s="1268"/>
      <c r="AQ91" s="1269"/>
      <c r="AR91" s="1267"/>
      <c r="AS91" s="1268"/>
      <c r="AT91" s="1268"/>
      <c r="AU91" s="1268"/>
      <c r="AV91" s="1268"/>
      <c r="AW91" s="1268"/>
      <c r="AX91" s="1268"/>
      <c r="AY91" s="1268"/>
      <c r="AZ91" s="1268"/>
      <c r="BA91" s="1268"/>
      <c r="BB91" s="1268"/>
      <c r="BC91" s="1269"/>
      <c r="BD91" s="1267"/>
      <c r="BE91" s="1268"/>
      <c r="BF91" s="1268"/>
      <c r="BG91" s="1268"/>
      <c r="BH91" s="1268"/>
      <c r="BI91" s="1268"/>
      <c r="BJ91" s="1268"/>
      <c r="BK91" s="1268"/>
      <c r="BL91" s="1268"/>
      <c r="BM91" s="1268"/>
      <c r="BN91" s="1268"/>
      <c r="BO91" s="1269"/>
      <c r="BP91" s="1267"/>
      <c r="BQ91" s="1268"/>
      <c r="BR91" s="1268"/>
      <c r="BS91" s="1268"/>
      <c r="BT91" s="1268"/>
      <c r="BU91" s="1268"/>
      <c r="BV91" s="1268"/>
      <c r="BW91" s="1268"/>
      <c r="BX91" s="1268"/>
      <c r="BY91" s="1268"/>
      <c r="BZ91" s="1268"/>
      <c r="CA91" s="1269"/>
      <c r="CB91" s="1286">
        <f t="shared" si="25"/>
        <v>0</v>
      </c>
      <c r="CC91" s="1277">
        <f>IF($F91=Miscellaneous!$N$8,SUM($H91:CA91),0)</f>
        <v>0</v>
      </c>
      <c r="CD91" s="1277">
        <f>IF($F91=Miscellaneous!$N$8,IF($G91="Opex",SUMIF('Monthly Summary'!$C$75:BV$75,"",$H91:CA91),SUMIF('Monthly Summary'!$C$74:BV$74,"",$H91:CA91)),0)</f>
        <v>0</v>
      </c>
      <c r="CE91" s="1286">
        <f t="shared" si="26"/>
        <v>0</v>
      </c>
      <c r="CF91" s="833"/>
      <c r="CG91" s="1277">
        <f>IF($F91=Miscellaneous!$N$9,SUM($H91:CA91),0)</f>
        <v>0</v>
      </c>
      <c r="CH91" s="1277">
        <f>IF($F91=Miscellaneous!$N$9,IF($G91="Opex",SUMIF('Monthly Summary'!$C$75:BV$75,"",$H91:CA91),SUMIF('Monthly Summary'!$C$74:BV$74,"",$H91:CA91)),0)</f>
        <v>0</v>
      </c>
      <c r="CI91" s="1286">
        <f t="shared" si="27"/>
        <v>0</v>
      </c>
      <c r="CJ91" s="833"/>
      <c r="CK91" s="1277">
        <f>IF($F91=Miscellaneous!$N$7,SUM($H91:CA91),0)</f>
        <v>0</v>
      </c>
      <c r="CL91" s="1277">
        <f>IF($F91=Miscellaneous!$N$7,IF($G91="Opex",SUMIF('Monthly Summary'!$C$75:BV$75,"",$H91:CA91),SUMIF('Monthly Summary'!$C$74:BV$74,"",$H91:CA91)),0)</f>
        <v>0</v>
      </c>
      <c r="CM91" s="1286">
        <f t="shared" si="28"/>
        <v>0</v>
      </c>
      <c r="CN91" s="833"/>
      <c r="CO91" s="1277">
        <f>IF($F91=Miscellaneous!$N$6,SUM($H91:CA91),0)</f>
        <v>0</v>
      </c>
      <c r="CP91" s="1277">
        <f>IF($F91=Miscellaneous!$N$6,IF($G91="Opex",SUMIF('Monthly Summary'!$C$75:BV$75,"",$H91:CA91),SUMIF('Monthly Summary'!$C$74:BV$74,"",$H91:CA91)),0)</f>
        <v>0</v>
      </c>
      <c r="CQ91" s="1286">
        <f t="shared" si="29"/>
        <v>0</v>
      </c>
      <c r="CR91" s="833"/>
      <c r="CS91" s="1277">
        <f>IF($A91="Software",SUM($H91:CA91),0)</f>
        <v>0</v>
      </c>
      <c r="CT91" s="1277">
        <f>IF($A91="Software",IF($G91="Opex",SUMIF('Monthly Summary'!$C$75:BV$75,"",$H91:CA91),SUMIF('Monthly Summary'!$C$74:BV$74,"",$H91:CA91)),0)</f>
        <v>0</v>
      </c>
      <c r="CU91" s="1286">
        <f t="shared" si="30"/>
        <v>0</v>
      </c>
      <c r="CV91" s="833"/>
      <c r="CW91" s="1277">
        <f t="shared" si="22"/>
        <v>0</v>
      </c>
      <c r="CX91" s="1277">
        <f t="shared" si="23"/>
        <v>0</v>
      </c>
      <c r="CY91" s="1286">
        <f t="shared" si="31"/>
        <v>0</v>
      </c>
      <c r="CZ91" s="833"/>
      <c r="DA91" s="1286">
        <f>IF($G91="Opex",SUMIF('Monthly Summary'!$C$75:BV$75,"",$H91:CA91),SUMIF('Monthly Summary'!$C$74:BV$74,"",$H91:CA91))</f>
        <v>0</v>
      </c>
      <c r="DB91" s="1278">
        <f t="shared" si="24"/>
        <v>0</v>
      </c>
      <c r="DC91" s="1279">
        <f>IF(AND(OR($D91=Variables!A$38,$D91=Variables!A$43),$F91&lt;&gt;"N/A"),1,0)</f>
        <v>0</v>
      </c>
      <c r="DD91" s="820"/>
      <c r="DE91" s="1281" t="str">
        <f t="shared" si="33"/>
        <v/>
      </c>
      <c r="DF91" s="1282" t="str">
        <f t="shared" si="34"/>
        <v/>
      </c>
      <c r="DG91" s="1282" t="str">
        <f t="shared" si="35"/>
        <v/>
      </c>
      <c r="DH91" s="1282" t="str">
        <f>IF(ISNA(VLOOKUP(DE91,Miscellaneous!E:F,2,0)),"",VLOOKUP(DE91,Miscellaneous!E:F,2,0))</f>
        <v/>
      </c>
      <c r="DI91" s="1282" t="str">
        <f t="shared" si="36"/>
        <v/>
      </c>
      <c r="DJ91" s="1283">
        <f>IF($DI91="Opex",SUMIF('Monthly Summary'!$C$75:$N$75,"",H91:S91),SUMIF('Monthly Summary'!$C$74:$N$74,"",H91:S91))</f>
        <v>0</v>
      </c>
      <c r="DK91" s="1283">
        <f>IF($DI91="Opex",SUMIF('Monthly Summary'!$O$75:$Z$75,"",T91:AE91),SUMIF('Monthly Summary'!$O$74:$Z$74,"",T91:AE91))</f>
        <v>0</v>
      </c>
      <c r="DL91" s="1283">
        <f>IF($DI91="Opex",SUMIF('Monthly Summary'!$AA$75:$AL$75,"",AF91:AQ91),SUMIF('Monthly Summary'!$AA$74:$AL$74,"",AF91:AQ91))</f>
        <v>0</v>
      </c>
      <c r="DM91" s="1283">
        <f>IF($DI91="Opex",SUMIF('Monthly Summary'!$AM$75:$AX$75,"",AR91:BC91),SUMIF('Monthly Summary'!$AM$74:$AX$74,"",AR91:BC91))</f>
        <v>0</v>
      </c>
      <c r="DN91" s="1283">
        <f>IF($DI91="Opex",SUMIF('Monthly Summary'!$AY$75:$BJ$75,"",BD91:BO91),SUMIF('Monthly Summary'!$AY$74:$BJ$74,"",BD91:BO91))</f>
        <v>0</v>
      </c>
      <c r="DO91" s="1284">
        <f>IF($DI91="Opex",SUMIF('Monthly Summary'!$BK$75:$BV$75,"",BP91:CA91),SUMIF('Monthly Summary'!$BK$74:$BV$74,"",BP91:CA91))</f>
        <v>0</v>
      </c>
      <c r="DP91" s="1285">
        <f t="shared" si="32"/>
        <v>0</v>
      </c>
    </row>
    <row r="92" spans="1:120" s="809" customFormat="1">
      <c r="A92" s="1261"/>
      <c r="B92" s="1261"/>
      <c r="C92" s="1261"/>
      <c r="D92" s="1262"/>
      <c r="E92" s="1270"/>
      <c r="F92" s="1263"/>
      <c r="G92" s="1263"/>
      <c r="H92" s="1267"/>
      <c r="I92" s="1268"/>
      <c r="J92" s="1268"/>
      <c r="K92" s="1268"/>
      <c r="L92" s="1268"/>
      <c r="M92" s="1268"/>
      <c r="N92" s="1268"/>
      <c r="O92" s="1268"/>
      <c r="P92" s="1268"/>
      <c r="Q92" s="1268"/>
      <c r="R92" s="1268"/>
      <c r="S92" s="1269"/>
      <c r="T92" s="1267"/>
      <c r="U92" s="1268"/>
      <c r="V92" s="1268"/>
      <c r="W92" s="1268"/>
      <c r="X92" s="1268"/>
      <c r="Y92" s="1268"/>
      <c r="Z92" s="1268"/>
      <c r="AA92" s="1268"/>
      <c r="AB92" s="1268"/>
      <c r="AC92" s="1268"/>
      <c r="AD92" s="1268"/>
      <c r="AE92" s="1269"/>
      <c r="AF92" s="1267"/>
      <c r="AG92" s="1268"/>
      <c r="AH92" s="1268"/>
      <c r="AI92" s="1268"/>
      <c r="AJ92" s="1268"/>
      <c r="AK92" s="1268"/>
      <c r="AL92" s="1268"/>
      <c r="AM92" s="1268"/>
      <c r="AN92" s="1268"/>
      <c r="AO92" s="1268"/>
      <c r="AP92" s="1268"/>
      <c r="AQ92" s="1269"/>
      <c r="AR92" s="1267"/>
      <c r="AS92" s="1268"/>
      <c r="AT92" s="1268"/>
      <c r="AU92" s="1268"/>
      <c r="AV92" s="1268"/>
      <c r="AW92" s="1268"/>
      <c r="AX92" s="1268"/>
      <c r="AY92" s="1268"/>
      <c r="AZ92" s="1268"/>
      <c r="BA92" s="1268"/>
      <c r="BB92" s="1268"/>
      <c r="BC92" s="1269"/>
      <c r="BD92" s="1267"/>
      <c r="BE92" s="1268"/>
      <c r="BF92" s="1268"/>
      <c r="BG92" s="1268"/>
      <c r="BH92" s="1268"/>
      <c r="BI92" s="1268"/>
      <c r="BJ92" s="1268"/>
      <c r="BK92" s="1268"/>
      <c r="BL92" s="1268"/>
      <c r="BM92" s="1268"/>
      <c r="BN92" s="1268"/>
      <c r="BO92" s="1269"/>
      <c r="BP92" s="1267"/>
      <c r="BQ92" s="1268"/>
      <c r="BR92" s="1268"/>
      <c r="BS92" s="1268"/>
      <c r="BT92" s="1268"/>
      <c r="BU92" s="1268"/>
      <c r="BV92" s="1268"/>
      <c r="BW92" s="1268"/>
      <c r="BX92" s="1268"/>
      <c r="BY92" s="1268"/>
      <c r="BZ92" s="1268"/>
      <c r="CA92" s="1269"/>
      <c r="CB92" s="1286">
        <f t="shared" si="25"/>
        <v>0</v>
      </c>
      <c r="CC92" s="1277">
        <f>IF($F92=Miscellaneous!$N$8,SUM($H92:CA92),0)</f>
        <v>0</v>
      </c>
      <c r="CD92" s="1277">
        <f>IF($F92=Miscellaneous!$N$8,IF($G92="Opex",SUMIF('Monthly Summary'!$C$75:BV$75,"",$H92:CA92),SUMIF('Monthly Summary'!$C$74:BV$74,"",$H92:CA92)),0)</f>
        <v>0</v>
      </c>
      <c r="CE92" s="1286">
        <f t="shared" si="26"/>
        <v>0</v>
      </c>
      <c r="CF92" s="833"/>
      <c r="CG92" s="1277">
        <f>IF($F92=Miscellaneous!$N$9,SUM($H92:CA92),0)</f>
        <v>0</v>
      </c>
      <c r="CH92" s="1277">
        <f>IF($F92=Miscellaneous!$N$9,IF($G92="Opex",SUMIF('Monthly Summary'!$C$75:BV$75,"",$H92:CA92),SUMIF('Monthly Summary'!$C$74:BV$74,"",$H92:CA92)),0)</f>
        <v>0</v>
      </c>
      <c r="CI92" s="1286">
        <f t="shared" si="27"/>
        <v>0</v>
      </c>
      <c r="CJ92" s="833"/>
      <c r="CK92" s="1277">
        <f>IF($F92=Miscellaneous!$N$7,SUM($H92:CA92),0)</f>
        <v>0</v>
      </c>
      <c r="CL92" s="1277">
        <f>IF($F92=Miscellaneous!$N$7,IF($G92="Opex",SUMIF('Monthly Summary'!$C$75:BV$75,"",$H92:CA92),SUMIF('Monthly Summary'!$C$74:BV$74,"",$H92:CA92)),0)</f>
        <v>0</v>
      </c>
      <c r="CM92" s="1286">
        <f t="shared" si="28"/>
        <v>0</v>
      </c>
      <c r="CN92" s="833"/>
      <c r="CO92" s="1277">
        <f>IF($F92=Miscellaneous!$N$6,SUM($H92:CA92),0)</f>
        <v>0</v>
      </c>
      <c r="CP92" s="1277">
        <f>IF($F92=Miscellaneous!$N$6,IF($G92="Opex",SUMIF('Monthly Summary'!$C$75:BV$75,"",$H92:CA92),SUMIF('Monthly Summary'!$C$74:BV$74,"",$H92:CA92)),0)</f>
        <v>0</v>
      </c>
      <c r="CQ92" s="1286">
        <f t="shared" si="29"/>
        <v>0</v>
      </c>
      <c r="CR92" s="833"/>
      <c r="CS92" s="1277">
        <f>IF($A92="Software",SUM($H92:CA92),0)</f>
        <v>0</v>
      </c>
      <c r="CT92" s="1277">
        <f>IF($A92="Software",IF($G92="Opex",SUMIF('Monthly Summary'!$C$75:BV$75,"",$H92:CA92),SUMIF('Monthly Summary'!$C$74:BV$74,"",$H92:CA92)),0)</f>
        <v>0</v>
      </c>
      <c r="CU92" s="1286">
        <f t="shared" si="30"/>
        <v>0</v>
      </c>
      <c r="CV92" s="833"/>
      <c r="CW92" s="1277">
        <f t="shared" si="22"/>
        <v>0</v>
      </c>
      <c r="CX92" s="1277">
        <f t="shared" si="23"/>
        <v>0</v>
      </c>
      <c r="CY92" s="1286">
        <f t="shared" si="31"/>
        <v>0</v>
      </c>
      <c r="CZ92" s="833"/>
      <c r="DA92" s="1286">
        <f>IF($G92="Opex",SUMIF('Monthly Summary'!$C$75:BV$75,"",$H92:CA92),SUMIF('Monthly Summary'!$C$74:BV$74,"",$H92:CA92))</f>
        <v>0</v>
      </c>
      <c r="DB92" s="1278">
        <f t="shared" si="24"/>
        <v>0</v>
      </c>
      <c r="DC92" s="1279">
        <f>IF(AND(OR($D92=Variables!A$38,$D92=Variables!A$43),$F92&lt;&gt;"N/A"),1,0)</f>
        <v>0</v>
      </c>
      <c r="DD92" s="820"/>
      <c r="DE92" s="1281" t="str">
        <f t="shared" si="33"/>
        <v/>
      </c>
      <c r="DF92" s="1282" t="str">
        <f t="shared" si="34"/>
        <v/>
      </c>
      <c r="DG92" s="1282" t="str">
        <f t="shared" si="35"/>
        <v/>
      </c>
      <c r="DH92" s="1282" t="str">
        <f>IF(ISNA(VLOOKUP(DE92,Miscellaneous!E:F,2,0)),"",VLOOKUP(DE92,Miscellaneous!E:F,2,0))</f>
        <v/>
      </c>
      <c r="DI92" s="1282" t="str">
        <f t="shared" si="36"/>
        <v/>
      </c>
      <c r="DJ92" s="1283">
        <f>IF($DI92="Opex",SUMIF('Monthly Summary'!$C$75:$N$75,"",H92:S92),SUMIF('Monthly Summary'!$C$74:$N$74,"",H92:S92))</f>
        <v>0</v>
      </c>
      <c r="DK92" s="1283">
        <f>IF($DI92="Opex",SUMIF('Monthly Summary'!$O$75:$Z$75,"",T92:AE92),SUMIF('Monthly Summary'!$O$74:$Z$74,"",T92:AE92))</f>
        <v>0</v>
      </c>
      <c r="DL92" s="1283">
        <f>IF($DI92="Opex",SUMIF('Monthly Summary'!$AA$75:$AL$75,"",AF92:AQ92),SUMIF('Monthly Summary'!$AA$74:$AL$74,"",AF92:AQ92))</f>
        <v>0</v>
      </c>
      <c r="DM92" s="1283">
        <f>IF($DI92="Opex",SUMIF('Monthly Summary'!$AM$75:$AX$75,"",AR92:BC92),SUMIF('Monthly Summary'!$AM$74:$AX$74,"",AR92:BC92))</f>
        <v>0</v>
      </c>
      <c r="DN92" s="1283">
        <f>IF($DI92="Opex",SUMIF('Monthly Summary'!$AY$75:$BJ$75,"",BD92:BO92),SUMIF('Monthly Summary'!$AY$74:$BJ$74,"",BD92:BO92))</f>
        <v>0</v>
      </c>
      <c r="DO92" s="1284">
        <f>IF($DI92="Opex",SUMIF('Monthly Summary'!$BK$75:$BV$75,"",BP92:CA92),SUMIF('Monthly Summary'!$BK$74:$BV$74,"",BP92:CA92))</f>
        <v>0</v>
      </c>
      <c r="DP92" s="1285">
        <f t="shared" si="32"/>
        <v>0</v>
      </c>
    </row>
    <row r="93" spans="1:120" s="809" customFormat="1">
      <c r="A93" s="1261"/>
      <c r="B93" s="1261"/>
      <c r="C93" s="1261"/>
      <c r="D93" s="1262"/>
      <c r="E93" s="1270"/>
      <c r="F93" s="1263"/>
      <c r="G93" s="1263"/>
      <c r="H93" s="1267"/>
      <c r="I93" s="1268"/>
      <c r="J93" s="1268"/>
      <c r="K93" s="1268"/>
      <c r="L93" s="1268"/>
      <c r="M93" s="1268"/>
      <c r="N93" s="1268"/>
      <c r="O93" s="1268"/>
      <c r="P93" s="1268"/>
      <c r="Q93" s="1268"/>
      <c r="R93" s="1268"/>
      <c r="S93" s="1269"/>
      <c r="T93" s="1267"/>
      <c r="U93" s="1268"/>
      <c r="V93" s="1268"/>
      <c r="W93" s="1268"/>
      <c r="X93" s="1268"/>
      <c r="Y93" s="1268"/>
      <c r="Z93" s="1268"/>
      <c r="AA93" s="1268"/>
      <c r="AB93" s="1268"/>
      <c r="AC93" s="1268"/>
      <c r="AD93" s="1268"/>
      <c r="AE93" s="1269"/>
      <c r="AF93" s="1267"/>
      <c r="AG93" s="1268"/>
      <c r="AH93" s="1268"/>
      <c r="AI93" s="1268"/>
      <c r="AJ93" s="1268"/>
      <c r="AK93" s="1268"/>
      <c r="AL93" s="1268"/>
      <c r="AM93" s="1268"/>
      <c r="AN93" s="1268"/>
      <c r="AO93" s="1268"/>
      <c r="AP93" s="1268"/>
      <c r="AQ93" s="1269"/>
      <c r="AR93" s="1267"/>
      <c r="AS93" s="1268"/>
      <c r="AT93" s="1268"/>
      <c r="AU93" s="1268"/>
      <c r="AV93" s="1268"/>
      <c r="AW93" s="1268"/>
      <c r="AX93" s="1268"/>
      <c r="AY93" s="1268"/>
      <c r="AZ93" s="1268"/>
      <c r="BA93" s="1268"/>
      <c r="BB93" s="1268"/>
      <c r="BC93" s="1269"/>
      <c r="BD93" s="1267"/>
      <c r="BE93" s="1268"/>
      <c r="BF93" s="1268"/>
      <c r="BG93" s="1268"/>
      <c r="BH93" s="1268"/>
      <c r="BI93" s="1268"/>
      <c r="BJ93" s="1268"/>
      <c r="BK93" s="1268"/>
      <c r="BL93" s="1268"/>
      <c r="BM93" s="1268"/>
      <c r="BN93" s="1268"/>
      <c r="BO93" s="1269"/>
      <c r="BP93" s="1267"/>
      <c r="BQ93" s="1268"/>
      <c r="BR93" s="1268"/>
      <c r="BS93" s="1268"/>
      <c r="BT93" s="1268"/>
      <c r="BU93" s="1268"/>
      <c r="BV93" s="1268"/>
      <c r="BW93" s="1268"/>
      <c r="BX93" s="1268"/>
      <c r="BY93" s="1268"/>
      <c r="BZ93" s="1268"/>
      <c r="CA93" s="1269"/>
      <c r="CB93" s="1286">
        <f t="shared" si="25"/>
        <v>0</v>
      </c>
      <c r="CC93" s="1277">
        <f>IF($F93=Miscellaneous!$N$8,SUM($H93:CA93),0)</f>
        <v>0</v>
      </c>
      <c r="CD93" s="1277">
        <f>IF($F93=Miscellaneous!$N$8,IF($G93="Opex",SUMIF('Monthly Summary'!$C$75:BV$75,"",$H93:CA93),SUMIF('Monthly Summary'!$C$74:BV$74,"",$H93:CA93)),0)</f>
        <v>0</v>
      </c>
      <c r="CE93" s="1286">
        <f t="shared" si="26"/>
        <v>0</v>
      </c>
      <c r="CF93" s="833"/>
      <c r="CG93" s="1277">
        <f>IF($F93=Miscellaneous!$N$9,SUM($H93:CA93),0)</f>
        <v>0</v>
      </c>
      <c r="CH93" s="1277">
        <f>IF($F93=Miscellaneous!$N$9,IF($G93="Opex",SUMIF('Monthly Summary'!$C$75:BV$75,"",$H93:CA93),SUMIF('Monthly Summary'!$C$74:BV$74,"",$H93:CA93)),0)</f>
        <v>0</v>
      </c>
      <c r="CI93" s="1286">
        <f t="shared" si="27"/>
        <v>0</v>
      </c>
      <c r="CJ93" s="833"/>
      <c r="CK93" s="1277">
        <f>IF($F93=Miscellaneous!$N$7,SUM($H93:CA93),0)</f>
        <v>0</v>
      </c>
      <c r="CL93" s="1277">
        <f>IF($F93=Miscellaneous!$N$7,IF($G93="Opex",SUMIF('Monthly Summary'!$C$75:BV$75,"",$H93:CA93),SUMIF('Monthly Summary'!$C$74:BV$74,"",$H93:CA93)),0)</f>
        <v>0</v>
      </c>
      <c r="CM93" s="1286">
        <f t="shared" si="28"/>
        <v>0</v>
      </c>
      <c r="CN93" s="833"/>
      <c r="CO93" s="1277">
        <f>IF($F93=Miscellaneous!$N$6,SUM($H93:CA93),0)</f>
        <v>0</v>
      </c>
      <c r="CP93" s="1277">
        <f>IF($F93=Miscellaneous!$N$6,IF($G93="Opex",SUMIF('Monthly Summary'!$C$75:BV$75,"",$H93:CA93),SUMIF('Monthly Summary'!$C$74:BV$74,"",$H93:CA93)),0)</f>
        <v>0</v>
      </c>
      <c r="CQ93" s="1286">
        <f t="shared" si="29"/>
        <v>0</v>
      </c>
      <c r="CR93" s="833"/>
      <c r="CS93" s="1277">
        <f>IF($A93="Software",SUM($H93:CA93),0)</f>
        <v>0</v>
      </c>
      <c r="CT93" s="1277">
        <f>IF($A93="Software",IF($G93="Opex",SUMIF('Monthly Summary'!$C$75:BV$75,"",$H93:CA93),SUMIF('Monthly Summary'!$C$74:BV$74,"",$H93:CA93)),0)</f>
        <v>0</v>
      </c>
      <c r="CU93" s="1286">
        <f t="shared" si="30"/>
        <v>0</v>
      </c>
      <c r="CV93" s="833"/>
      <c r="CW93" s="1277">
        <f t="shared" si="22"/>
        <v>0</v>
      </c>
      <c r="CX93" s="1277">
        <f t="shared" si="23"/>
        <v>0</v>
      </c>
      <c r="CY93" s="1286">
        <f t="shared" si="31"/>
        <v>0</v>
      </c>
      <c r="CZ93" s="833"/>
      <c r="DA93" s="1286">
        <f>IF($G93="Opex",SUMIF('Monthly Summary'!$C$75:BV$75,"",$H93:CA93),SUMIF('Monthly Summary'!$C$74:BV$74,"",$H93:CA93))</f>
        <v>0</v>
      </c>
      <c r="DB93" s="1278">
        <f t="shared" si="24"/>
        <v>0</v>
      </c>
      <c r="DC93" s="1279">
        <f>IF(AND(OR($D93=Variables!A$38,$D93=Variables!A$43),$F93&lt;&gt;"N/A"),1,0)</f>
        <v>0</v>
      </c>
      <c r="DD93" s="820"/>
      <c r="DE93" s="1281" t="str">
        <f t="shared" si="33"/>
        <v/>
      </c>
      <c r="DF93" s="1282" t="str">
        <f t="shared" si="34"/>
        <v/>
      </c>
      <c r="DG93" s="1282" t="str">
        <f t="shared" si="35"/>
        <v/>
      </c>
      <c r="DH93" s="1282" t="str">
        <f>IF(ISNA(VLOOKUP(DE93,Miscellaneous!E:F,2,0)),"",VLOOKUP(DE93,Miscellaneous!E:F,2,0))</f>
        <v/>
      </c>
      <c r="DI93" s="1282" t="str">
        <f t="shared" si="36"/>
        <v/>
      </c>
      <c r="DJ93" s="1283">
        <f>IF($DI93="Opex",SUMIF('Monthly Summary'!$C$75:$N$75,"",H93:S93),SUMIF('Monthly Summary'!$C$74:$N$74,"",H93:S93))</f>
        <v>0</v>
      </c>
      <c r="DK93" s="1283">
        <f>IF($DI93="Opex",SUMIF('Monthly Summary'!$O$75:$Z$75,"",T93:AE93),SUMIF('Monthly Summary'!$O$74:$Z$74,"",T93:AE93))</f>
        <v>0</v>
      </c>
      <c r="DL93" s="1283">
        <f>IF($DI93="Opex",SUMIF('Monthly Summary'!$AA$75:$AL$75,"",AF93:AQ93),SUMIF('Monthly Summary'!$AA$74:$AL$74,"",AF93:AQ93))</f>
        <v>0</v>
      </c>
      <c r="DM93" s="1283">
        <f>IF($DI93="Opex",SUMIF('Monthly Summary'!$AM$75:$AX$75,"",AR93:BC93),SUMIF('Monthly Summary'!$AM$74:$AX$74,"",AR93:BC93))</f>
        <v>0</v>
      </c>
      <c r="DN93" s="1283">
        <f>IF($DI93="Opex",SUMIF('Monthly Summary'!$AY$75:$BJ$75,"",BD93:BO93),SUMIF('Monthly Summary'!$AY$74:$BJ$74,"",BD93:BO93))</f>
        <v>0</v>
      </c>
      <c r="DO93" s="1284">
        <f>IF($DI93="Opex",SUMIF('Monthly Summary'!$BK$75:$BV$75,"",BP93:CA93),SUMIF('Monthly Summary'!$BK$74:$BV$74,"",BP93:CA93))</f>
        <v>0</v>
      </c>
      <c r="DP93" s="1285">
        <f t="shared" si="32"/>
        <v>0</v>
      </c>
    </row>
    <row r="94" spans="1:120" s="809" customFormat="1">
      <c r="A94" s="1261"/>
      <c r="B94" s="1261"/>
      <c r="C94" s="1261"/>
      <c r="D94" s="1262"/>
      <c r="E94" s="1270"/>
      <c r="F94" s="1263"/>
      <c r="G94" s="1263"/>
      <c r="H94" s="1267"/>
      <c r="I94" s="1268"/>
      <c r="J94" s="1268"/>
      <c r="K94" s="1268"/>
      <c r="L94" s="1268"/>
      <c r="M94" s="1268"/>
      <c r="N94" s="1268"/>
      <c r="O94" s="1268"/>
      <c r="P94" s="1268"/>
      <c r="Q94" s="1268"/>
      <c r="R94" s="1268"/>
      <c r="S94" s="1269"/>
      <c r="T94" s="1267"/>
      <c r="U94" s="1268"/>
      <c r="V94" s="1268"/>
      <c r="W94" s="1268"/>
      <c r="X94" s="1268"/>
      <c r="Y94" s="1268"/>
      <c r="Z94" s="1268"/>
      <c r="AA94" s="1268"/>
      <c r="AB94" s="1268"/>
      <c r="AC94" s="1268"/>
      <c r="AD94" s="1268"/>
      <c r="AE94" s="1269"/>
      <c r="AF94" s="1267"/>
      <c r="AG94" s="1268"/>
      <c r="AH94" s="1268"/>
      <c r="AI94" s="1268"/>
      <c r="AJ94" s="1268"/>
      <c r="AK94" s="1268"/>
      <c r="AL94" s="1268"/>
      <c r="AM94" s="1268"/>
      <c r="AN94" s="1268"/>
      <c r="AO94" s="1268"/>
      <c r="AP94" s="1268"/>
      <c r="AQ94" s="1269"/>
      <c r="AR94" s="1267"/>
      <c r="AS94" s="1268"/>
      <c r="AT94" s="1268"/>
      <c r="AU94" s="1268"/>
      <c r="AV94" s="1268"/>
      <c r="AW94" s="1268"/>
      <c r="AX94" s="1268"/>
      <c r="AY94" s="1268"/>
      <c r="AZ94" s="1268"/>
      <c r="BA94" s="1268"/>
      <c r="BB94" s="1268"/>
      <c r="BC94" s="1269"/>
      <c r="BD94" s="1267"/>
      <c r="BE94" s="1268"/>
      <c r="BF94" s="1268"/>
      <c r="BG94" s="1268"/>
      <c r="BH94" s="1268"/>
      <c r="BI94" s="1268"/>
      <c r="BJ94" s="1268"/>
      <c r="BK94" s="1268"/>
      <c r="BL94" s="1268"/>
      <c r="BM94" s="1268"/>
      <c r="BN94" s="1268"/>
      <c r="BO94" s="1269"/>
      <c r="BP94" s="1267"/>
      <c r="BQ94" s="1268"/>
      <c r="BR94" s="1268"/>
      <c r="BS94" s="1268"/>
      <c r="BT94" s="1268"/>
      <c r="BU94" s="1268"/>
      <c r="BV94" s="1268"/>
      <c r="BW94" s="1268"/>
      <c r="BX94" s="1268"/>
      <c r="BY94" s="1268"/>
      <c r="BZ94" s="1268"/>
      <c r="CA94" s="1269"/>
      <c r="CB94" s="1286">
        <f t="shared" si="25"/>
        <v>0</v>
      </c>
      <c r="CC94" s="1277">
        <f>IF($F94=Miscellaneous!$N$8,SUM($H94:CA94),0)</f>
        <v>0</v>
      </c>
      <c r="CD94" s="1277">
        <f>IF($F94=Miscellaneous!$N$8,IF($G94="Opex",SUMIF('Monthly Summary'!$C$75:BV$75,"",$H94:CA94),SUMIF('Monthly Summary'!$C$74:BV$74,"",$H94:CA94)),0)</f>
        <v>0</v>
      </c>
      <c r="CE94" s="1286">
        <f t="shared" si="26"/>
        <v>0</v>
      </c>
      <c r="CF94" s="833"/>
      <c r="CG94" s="1277">
        <f>IF($F94=Miscellaneous!$N$9,SUM($H94:CA94),0)</f>
        <v>0</v>
      </c>
      <c r="CH94" s="1277">
        <f>IF($F94=Miscellaneous!$N$9,IF($G94="Opex",SUMIF('Monthly Summary'!$C$75:BV$75,"",$H94:CA94),SUMIF('Monthly Summary'!$C$74:BV$74,"",$H94:CA94)),0)</f>
        <v>0</v>
      </c>
      <c r="CI94" s="1286">
        <f t="shared" si="27"/>
        <v>0</v>
      </c>
      <c r="CJ94" s="833"/>
      <c r="CK94" s="1277">
        <f>IF($F94=Miscellaneous!$N$7,SUM($H94:CA94),0)</f>
        <v>0</v>
      </c>
      <c r="CL94" s="1277">
        <f>IF($F94=Miscellaneous!$N$7,IF($G94="Opex",SUMIF('Monthly Summary'!$C$75:BV$75,"",$H94:CA94),SUMIF('Monthly Summary'!$C$74:BV$74,"",$H94:CA94)),0)</f>
        <v>0</v>
      </c>
      <c r="CM94" s="1286">
        <f t="shared" si="28"/>
        <v>0</v>
      </c>
      <c r="CN94" s="833"/>
      <c r="CO94" s="1277">
        <f>IF($F94=Miscellaneous!$N$6,SUM($H94:CA94),0)</f>
        <v>0</v>
      </c>
      <c r="CP94" s="1277">
        <f>IF($F94=Miscellaneous!$N$6,IF($G94="Opex",SUMIF('Monthly Summary'!$C$75:BV$75,"",$H94:CA94),SUMIF('Monthly Summary'!$C$74:BV$74,"",$H94:CA94)),0)</f>
        <v>0</v>
      </c>
      <c r="CQ94" s="1286">
        <f t="shared" si="29"/>
        <v>0</v>
      </c>
      <c r="CR94" s="833"/>
      <c r="CS94" s="1277">
        <f>IF($A94="Software",SUM($H94:CA94),0)</f>
        <v>0</v>
      </c>
      <c r="CT94" s="1277">
        <f>IF($A94="Software",IF($G94="Opex",SUMIF('Monthly Summary'!$C$75:BV$75,"",$H94:CA94),SUMIF('Monthly Summary'!$C$74:BV$74,"",$H94:CA94)),0)</f>
        <v>0</v>
      </c>
      <c r="CU94" s="1286">
        <f t="shared" si="30"/>
        <v>0</v>
      </c>
      <c r="CV94" s="833"/>
      <c r="CW94" s="1277">
        <f t="shared" si="22"/>
        <v>0</v>
      </c>
      <c r="CX94" s="1277">
        <f t="shared" si="23"/>
        <v>0</v>
      </c>
      <c r="CY94" s="1286">
        <f t="shared" si="31"/>
        <v>0</v>
      </c>
      <c r="CZ94" s="833"/>
      <c r="DA94" s="1286">
        <f>IF($G94="Opex",SUMIF('Monthly Summary'!$C$75:BV$75,"",$H94:CA94),SUMIF('Monthly Summary'!$C$74:BV$74,"",$H94:CA94))</f>
        <v>0</v>
      </c>
      <c r="DB94" s="1278">
        <f t="shared" si="24"/>
        <v>0</v>
      </c>
      <c r="DC94" s="1279">
        <f>IF(AND(OR($D94=Variables!A$38,$D94=Variables!A$43),$F94&lt;&gt;"N/A"),1,0)</f>
        <v>0</v>
      </c>
      <c r="DD94" s="820"/>
      <c r="DE94" s="1281" t="str">
        <f t="shared" si="33"/>
        <v/>
      </c>
      <c r="DF94" s="1282" t="str">
        <f t="shared" si="34"/>
        <v/>
      </c>
      <c r="DG94" s="1282" t="str">
        <f t="shared" si="35"/>
        <v/>
      </c>
      <c r="DH94" s="1282" t="str">
        <f>IF(ISNA(VLOOKUP(DE94,Miscellaneous!E:F,2,0)),"",VLOOKUP(DE94,Miscellaneous!E:F,2,0))</f>
        <v/>
      </c>
      <c r="DI94" s="1282" t="str">
        <f t="shared" si="36"/>
        <v/>
      </c>
      <c r="DJ94" s="1283">
        <f>IF($DI94="Opex",SUMIF('Monthly Summary'!$C$75:$N$75,"",H94:S94),SUMIF('Monthly Summary'!$C$74:$N$74,"",H94:S94))</f>
        <v>0</v>
      </c>
      <c r="DK94" s="1283">
        <f>IF($DI94="Opex",SUMIF('Monthly Summary'!$O$75:$Z$75,"",T94:AE94),SUMIF('Monthly Summary'!$O$74:$Z$74,"",T94:AE94))</f>
        <v>0</v>
      </c>
      <c r="DL94" s="1283">
        <f>IF($DI94="Opex",SUMIF('Monthly Summary'!$AA$75:$AL$75,"",AF94:AQ94),SUMIF('Monthly Summary'!$AA$74:$AL$74,"",AF94:AQ94))</f>
        <v>0</v>
      </c>
      <c r="DM94" s="1283">
        <f>IF($DI94="Opex",SUMIF('Monthly Summary'!$AM$75:$AX$75,"",AR94:BC94),SUMIF('Monthly Summary'!$AM$74:$AX$74,"",AR94:BC94))</f>
        <v>0</v>
      </c>
      <c r="DN94" s="1283">
        <f>IF($DI94="Opex",SUMIF('Monthly Summary'!$AY$75:$BJ$75,"",BD94:BO94),SUMIF('Monthly Summary'!$AY$74:$BJ$74,"",BD94:BO94))</f>
        <v>0</v>
      </c>
      <c r="DO94" s="1284">
        <f>IF($DI94="Opex",SUMIF('Monthly Summary'!$BK$75:$BV$75,"",BP94:CA94),SUMIF('Monthly Summary'!$BK$74:$BV$74,"",BP94:CA94))</f>
        <v>0</v>
      </c>
      <c r="DP94" s="1285">
        <f t="shared" si="32"/>
        <v>0</v>
      </c>
    </row>
    <row r="95" spans="1:120" s="809" customFormat="1">
      <c r="A95" s="1261"/>
      <c r="B95" s="1261"/>
      <c r="C95" s="1261"/>
      <c r="D95" s="1262"/>
      <c r="E95" s="1270"/>
      <c r="F95" s="1263"/>
      <c r="G95" s="1263"/>
      <c r="H95" s="1267"/>
      <c r="I95" s="1268"/>
      <c r="J95" s="1268"/>
      <c r="K95" s="1268"/>
      <c r="L95" s="1268"/>
      <c r="M95" s="1268"/>
      <c r="N95" s="1268"/>
      <c r="O95" s="1268"/>
      <c r="P95" s="1268"/>
      <c r="Q95" s="1268"/>
      <c r="R95" s="1268"/>
      <c r="S95" s="1269"/>
      <c r="T95" s="1267"/>
      <c r="U95" s="1268"/>
      <c r="V95" s="1268"/>
      <c r="W95" s="1268"/>
      <c r="X95" s="1268"/>
      <c r="Y95" s="1268"/>
      <c r="Z95" s="1268"/>
      <c r="AA95" s="1268"/>
      <c r="AB95" s="1268"/>
      <c r="AC95" s="1268"/>
      <c r="AD95" s="1268"/>
      <c r="AE95" s="1269"/>
      <c r="AF95" s="1267"/>
      <c r="AG95" s="1268"/>
      <c r="AH95" s="1268"/>
      <c r="AI95" s="1268"/>
      <c r="AJ95" s="1268"/>
      <c r="AK95" s="1268"/>
      <c r="AL95" s="1268"/>
      <c r="AM95" s="1268"/>
      <c r="AN95" s="1268"/>
      <c r="AO95" s="1268"/>
      <c r="AP95" s="1268"/>
      <c r="AQ95" s="1269"/>
      <c r="AR95" s="1267"/>
      <c r="AS95" s="1268"/>
      <c r="AT95" s="1268"/>
      <c r="AU95" s="1268"/>
      <c r="AV95" s="1268"/>
      <c r="AW95" s="1268"/>
      <c r="AX95" s="1268"/>
      <c r="AY95" s="1268"/>
      <c r="AZ95" s="1268"/>
      <c r="BA95" s="1268"/>
      <c r="BB95" s="1268"/>
      <c r="BC95" s="1269"/>
      <c r="BD95" s="1267"/>
      <c r="BE95" s="1268"/>
      <c r="BF95" s="1268"/>
      <c r="BG95" s="1268"/>
      <c r="BH95" s="1268"/>
      <c r="BI95" s="1268"/>
      <c r="BJ95" s="1268"/>
      <c r="BK95" s="1268"/>
      <c r="BL95" s="1268"/>
      <c r="BM95" s="1268"/>
      <c r="BN95" s="1268"/>
      <c r="BO95" s="1269"/>
      <c r="BP95" s="1267"/>
      <c r="BQ95" s="1268"/>
      <c r="BR95" s="1268"/>
      <c r="BS95" s="1268"/>
      <c r="BT95" s="1268"/>
      <c r="BU95" s="1268"/>
      <c r="BV95" s="1268"/>
      <c r="BW95" s="1268"/>
      <c r="BX95" s="1268"/>
      <c r="BY95" s="1268"/>
      <c r="BZ95" s="1268"/>
      <c r="CA95" s="1269"/>
      <c r="CB95" s="1286">
        <f t="shared" si="25"/>
        <v>0</v>
      </c>
      <c r="CC95" s="1277">
        <f>IF($F95=Miscellaneous!$N$8,SUM($H95:CA95),0)</f>
        <v>0</v>
      </c>
      <c r="CD95" s="1277">
        <f>IF($F95=Miscellaneous!$N$8,IF($G95="Opex",SUMIF('Monthly Summary'!$C$75:BV$75,"",$H95:CA95),SUMIF('Monthly Summary'!$C$74:BV$74,"",$H95:CA95)),0)</f>
        <v>0</v>
      </c>
      <c r="CE95" s="1286">
        <f t="shared" si="26"/>
        <v>0</v>
      </c>
      <c r="CF95" s="833"/>
      <c r="CG95" s="1277">
        <f>IF($F95=Miscellaneous!$N$9,SUM($H95:CA95),0)</f>
        <v>0</v>
      </c>
      <c r="CH95" s="1277">
        <f>IF($F95=Miscellaneous!$N$9,IF($G95="Opex",SUMIF('Monthly Summary'!$C$75:BV$75,"",$H95:CA95),SUMIF('Monthly Summary'!$C$74:BV$74,"",$H95:CA95)),0)</f>
        <v>0</v>
      </c>
      <c r="CI95" s="1286">
        <f t="shared" si="27"/>
        <v>0</v>
      </c>
      <c r="CJ95" s="833"/>
      <c r="CK95" s="1277">
        <f>IF($F95=Miscellaneous!$N$7,SUM($H95:CA95),0)</f>
        <v>0</v>
      </c>
      <c r="CL95" s="1277">
        <f>IF($F95=Miscellaneous!$N$7,IF($G95="Opex",SUMIF('Monthly Summary'!$C$75:BV$75,"",$H95:CA95),SUMIF('Monthly Summary'!$C$74:BV$74,"",$H95:CA95)),0)</f>
        <v>0</v>
      </c>
      <c r="CM95" s="1286">
        <f t="shared" si="28"/>
        <v>0</v>
      </c>
      <c r="CN95" s="833"/>
      <c r="CO95" s="1277">
        <f>IF($F95=Miscellaneous!$N$6,SUM($H95:CA95),0)</f>
        <v>0</v>
      </c>
      <c r="CP95" s="1277">
        <f>IF($F95=Miscellaneous!$N$6,IF($G95="Opex",SUMIF('Monthly Summary'!$C$75:BV$75,"",$H95:CA95),SUMIF('Monthly Summary'!$C$74:BV$74,"",$H95:CA95)),0)</f>
        <v>0</v>
      </c>
      <c r="CQ95" s="1286">
        <f t="shared" si="29"/>
        <v>0</v>
      </c>
      <c r="CR95" s="833"/>
      <c r="CS95" s="1277">
        <f>IF($A95="Software",SUM($H95:CA95),0)</f>
        <v>0</v>
      </c>
      <c r="CT95" s="1277">
        <f>IF($A95="Software",IF($G95="Opex",SUMIF('Monthly Summary'!$C$75:BV$75,"",$H95:CA95),SUMIF('Monthly Summary'!$C$74:BV$74,"",$H95:CA95)),0)</f>
        <v>0</v>
      </c>
      <c r="CU95" s="1286">
        <f t="shared" si="30"/>
        <v>0</v>
      </c>
      <c r="CV95" s="833"/>
      <c r="CW95" s="1277">
        <f t="shared" si="22"/>
        <v>0</v>
      </c>
      <c r="CX95" s="1277">
        <f t="shared" si="23"/>
        <v>0</v>
      </c>
      <c r="CY95" s="1286">
        <f t="shared" si="31"/>
        <v>0</v>
      </c>
      <c r="CZ95" s="833"/>
      <c r="DA95" s="1286">
        <f>IF($G95="Opex",SUMIF('Monthly Summary'!$C$75:BV$75,"",$H95:CA95),SUMIF('Monthly Summary'!$C$74:BV$74,"",$H95:CA95))</f>
        <v>0</v>
      </c>
      <c r="DB95" s="1278">
        <f t="shared" si="24"/>
        <v>0</v>
      </c>
      <c r="DC95" s="1279">
        <f>IF(AND(OR($D95=Variables!A$38,$D95=Variables!A$43),$F95&lt;&gt;"N/A"),1,0)</f>
        <v>0</v>
      </c>
      <c r="DD95" s="820"/>
      <c r="DE95" s="1281" t="str">
        <f t="shared" si="33"/>
        <v/>
      </c>
      <c r="DF95" s="1282" t="str">
        <f t="shared" si="34"/>
        <v/>
      </c>
      <c r="DG95" s="1282" t="str">
        <f t="shared" si="35"/>
        <v/>
      </c>
      <c r="DH95" s="1282" t="str">
        <f>IF(ISNA(VLOOKUP(DE95,Miscellaneous!E:F,2,0)),"",VLOOKUP(DE95,Miscellaneous!E:F,2,0))</f>
        <v/>
      </c>
      <c r="DI95" s="1282" t="str">
        <f t="shared" si="36"/>
        <v/>
      </c>
      <c r="DJ95" s="1283">
        <f>IF($DI95="Opex",SUMIF('Monthly Summary'!$C$75:$N$75,"",H95:S95),SUMIF('Monthly Summary'!$C$74:$N$74,"",H95:S95))</f>
        <v>0</v>
      </c>
      <c r="DK95" s="1283">
        <f>IF($DI95="Opex",SUMIF('Monthly Summary'!$O$75:$Z$75,"",T95:AE95),SUMIF('Monthly Summary'!$O$74:$Z$74,"",T95:AE95))</f>
        <v>0</v>
      </c>
      <c r="DL95" s="1283">
        <f>IF($DI95="Opex",SUMIF('Monthly Summary'!$AA$75:$AL$75,"",AF95:AQ95),SUMIF('Monthly Summary'!$AA$74:$AL$74,"",AF95:AQ95))</f>
        <v>0</v>
      </c>
      <c r="DM95" s="1283">
        <f>IF($DI95="Opex",SUMIF('Monthly Summary'!$AM$75:$AX$75,"",AR95:BC95),SUMIF('Monthly Summary'!$AM$74:$AX$74,"",AR95:BC95))</f>
        <v>0</v>
      </c>
      <c r="DN95" s="1283">
        <f>IF($DI95="Opex",SUMIF('Monthly Summary'!$AY$75:$BJ$75,"",BD95:BO95),SUMIF('Monthly Summary'!$AY$74:$BJ$74,"",BD95:BO95))</f>
        <v>0</v>
      </c>
      <c r="DO95" s="1284">
        <f>IF($DI95="Opex",SUMIF('Monthly Summary'!$BK$75:$BV$75,"",BP95:CA95),SUMIF('Monthly Summary'!$BK$74:$BV$74,"",BP95:CA95))</f>
        <v>0</v>
      </c>
      <c r="DP95" s="1285">
        <f t="shared" si="32"/>
        <v>0</v>
      </c>
    </row>
    <row r="96" spans="1:120" s="809" customFormat="1">
      <c r="A96" s="1261"/>
      <c r="B96" s="1261"/>
      <c r="C96" s="1261"/>
      <c r="D96" s="1262"/>
      <c r="E96" s="1270"/>
      <c r="F96" s="1263"/>
      <c r="G96" s="1263"/>
      <c r="H96" s="1267"/>
      <c r="I96" s="1268"/>
      <c r="J96" s="1268"/>
      <c r="K96" s="1268"/>
      <c r="L96" s="1268"/>
      <c r="M96" s="1268"/>
      <c r="N96" s="1268"/>
      <c r="O96" s="1268"/>
      <c r="P96" s="1268"/>
      <c r="Q96" s="1268"/>
      <c r="R96" s="1268"/>
      <c r="S96" s="1269"/>
      <c r="T96" s="1267"/>
      <c r="U96" s="1268"/>
      <c r="V96" s="1268"/>
      <c r="W96" s="1268"/>
      <c r="X96" s="1268"/>
      <c r="Y96" s="1268"/>
      <c r="Z96" s="1268"/>
      <c r="AA96" s="1268"/>
      <c r="AB96" s="1268"/>
      <c r="AC96" s="1268"/>
      <c r="AD96" s="1268"/>
      <c r="AE96" s="1269"/>
      <c r="AF96" s="1267"/>
      <c r="AG96" s="1268"/>
      <c r="AH96" s="1268"/>
      <c r="AI96" s="1268"/>
      <c r="AJ96" s="1268"/>
      <c r="AK96" s="1268"/>
      <c r="AL96" s="1268"/>
      <c r="AM96" s="1268"/>
      <c r="AN96" s="1268"/>
      <c r="AO96" s="1268"/>
      <c r="AP96" s="1268"/>
      <c r="AQ96" s="1269"/>
      <c r="AR96" s="1267"/>
      <c r="AS96" s="1268"/>
      <c r="AT96" s="1268"/>
      <c r="AU96" s="1268"/>
      <c r="AV96" s="1268"/>
      <c r="AW96" s="1268"/>
      <c r="AX96" s="1268"/>
      <c r="AY96" s="1268"/>
      <c r="AZ96" s="1268"/>
      <c r="BA96" s="1268"/>
      <c r="BB96" s="1268"/>
      <c r="BC96" s="1269"/>
      <c r="BD96" s="1267"/>
      <c r="BE96" s="1268"/>
      <c r="BF96" s="1268"/>
      <c r="BG96" s="1268"/>
      <c r="BH96" s="1268"/>
      <c r="BI96" s="1268"/>
      <c r="BJ96" s="1268"/>
      <c r="BK96" s="1268"/>
      <c r="BL96" s="1268"/>
      <c r="BM96" s="1268"/>
      <c r="BN96" s="1268"/>
      <c r="BO96" s="1269"/>
      <c r="BP96" s="1267"/>
      <c r="BQ96" s="1268"/>
      <c r="BR96" s="1268"/>
      <c r="BS96" s="1268"/>
      <c r="BT96" s="1268"/>
      <c r="BU96" s="1268"/>
      <c r="BV96" s="1268"/>
      <c r="BW96" s="1268"/>
      <c r="BX96" s="1268"/>
      <c r="BY96" s="1268"/>
      <c r="BZ96" s="1268"/>
      <c r="CA96" s="1269"/>
      <c r="CB96" s="1286">
        <f t="shared" si="25"/>
        <v>0</v>
      </c>
      <c r="CC96" s="1277">
        <f>IF($F96=Miscellaneous!$N$8,SUM($H96:CA96),0)</f>
        <v>0</v>
      </c>
      <c r="CD96" s="1277">
        <f>IF($F96=Miscellaneous!$N$8,IF($G96="Opex",SUMIF('Monthly Summary'!$C$75:BV$75,"",$H96:CA96),SUMIF('Monthly Summary'!$C$74:BV$74,"",$H96:CA96)),0)</f>
        <v>0</v>
      </c>
      <c r="CE96" s="1286">
        <f t="shared" si="26"/>
        <v>0</v>
      </c>
      <c r="CF96" s="833"/>
      <c r="CG96" s="1277">
        <f>IF($F96=Miscellaneous!$N$9,SUM($H96:CA96),0)</f>
        <v>0</v>
      </c>
      <c r="CH96" s="1277">
        <f>IF($F96=Miscellaneous!$N$9,IF($G96="Opex",SUMIF('Monthly Summary'!$C$75:BV$75,"",$H96:CA96),SUMIF('Monthly Summary'!$C$74:BV$74,"",$H96:CA96)),0)</f>
        <v>0</v>
      </c>
      <c r="CI96" s="1286">
        <f t="shared" si="27"/>
        <v>0</v>
      </c>
      <c r="CJ96" s="833"/>
      <c r="CK96" s="1277">
        <f>IF($F96=Miscellaneous!$N$7,SUM($H96:CA96),0)</f>
        <v>0</v>
      </c>
      <c r="CL96" s="1277">
        <f>IF($F96=Miscellaneous!$N$7,IF($G96="Opex",SUMIF('Monthly Summary'!$C$75:BV$75,"",$H96:CA96),SUMIF('Monthly Summary'!$C$74:BV$74,"",$H96:CA96)),0)</f>
        <v>0</v>
      </c>
      <c r="CM96" s="1286">
        <f t="shared" si="28"/>
        <v>0</v>
      </c>
      <c r="CN96" s="833"/>
      <c r="CO96" s="1277">
        <f>IF($F96=Miscellaneous!$N$6,SUM($H96:CA96),0)</f>
        <v>0</v>
      </c>
      <c r="CP96" s="1277">
        <f>IF($F96=Miscellaneous!$N$6,IF($G96="Opex",SUMIF('Monthly Summary'!$C$75:BV$75,"",$H96:CA96),SUMIF('Monthly Summary'!$C$74:BV$74,"",$H96:CA96)),0)</f>
        <v>0</v>
      </c>
      <c r="CQ96" s="1286">
        <f t="shared" si="29"/>
        <v>0</v>
      </c>
      <c r="CR96" s="833"/>
      <c r="CS96" s="1277">
        <f>IF($A96="Software",SUM($H96:CA96),0)</f>
        <v>0</v>
      </c>
      <c r="CT96" s="1277">
        <f>IF($A96="Software",IF($G96="Opex",SUMIF('Monthly Summary'!$C$75:BV$75,"",$H96:CA96),SUMIF('Monthly Summary'!$C$74:BV$74,"",$H96:CA96)),0)</f>
        <v>0</v>
      </c>
      <c r="CU96" s="1286">
        <f t="shared" si="30"/>
        <v>0</v>
      </c>
      <c r="CV96" s="833"/>
      <c r="CW96" s="1277">
        <f t="shared" si="22"/>
        <v>0</v>
      </c>
      <c r="CX96" s="1277">
        <f t="shared" si="23"/>
        <v>0</v>
      </c>
      <c r="CY96" s="1286">
        <f t="shared" si="31"/>
        <v>0</v>
      </c>
      <c r="CZ96" s="833"/>
      <c r="DA96" s="1286">
        <f>IF($G96="Opex",SUMIF('Monthly Summary'!$C$75:BV$75,"",$H96:CA96),SUMIF('Monthly Summary'!$C$74:BV$74,"",$H96:CA96))</f>
        <v>0</v>
      </c>
      <c r="DB96" s="1278">
        <f t="shared" si="24"/>
        <v>0</v>
      </c>
      <c r="DC96" s="1279">
        <f>IF(AND(OR($D96=Variables!A$38,$D96=Variables!A$43),$F96&lt;&gt;"N/A"),1,0)</f>
        <v>0</v>
      </c>
      <c r="DD96" s="820"/>
      <c r="DE96" s="1281" t="str">
        <f t="shared" si="33"/>
        <v/>
      </c>
      <c r="DF96" s="1282" t="str">
        <f t="shared" si="34"/>
        <v/>
      </c>
      <c r="DG96" s="1282" t="str">
        <f t="shared" si="35"/>
        <v/>
      </c>
      <c r="DH96" s="1282" t="str">
        <f>IF(ISNA(VLOOKUP(DE96,Miscellaneous!E:F,2,0)),"",VLOOKUP(DE96,Miscellaneous!E:F,2,0))</f>
        <v/>
      </c>
      <c r="DI96" s="1282" t="str">
        <f t="shared" si="36"/>
        <v/>
      </c>
      <c r="DJ96" s="1283">
        <f>IF($DI96="Opex",SUMIF('Monthly Summary'!$C$75:$N$75,"",H96:S96),SUMIF('Monthly Summary'!$C$74:$N$74,"",H96:S96))</f>
        <v>0</v>
      </c>
      <c r="DK96" s="1283">
        <f>IF($DI96="Opex",SUMIF('Monthly Summary'!$O$75:$Z$75,"",T96:AE96),SUMIF('Monthly Summary'!$O$74:$Z$74,"",T96:AE96))</f>
        <v>0</v>
      </c>
      <c r="DL96" s="1283">
        <f>IF($DI96="Opex",SUMIF('Monthly Summary'!$AA$75:$AL$75,"",AF96:AQ96),SUMIF('Monthly Summary'!$AA$74:$AL$74,"",AF96:AQ96))</f>
        <v>0</v>
      </c>
      <c r="DM96" s="1283">
        <f>IF($DI96="Opex",SUMIF('Monthly Summary'!$AM$75:$AX$75,"",AR96:BC96),SUMIF('Monthly Summary'!$AM$74:$AX$74,"",AR96:BC96))</f>
        <v>0</v>
      </c>
      <c r="DN96" s="1283">
        <f>IF($DI96="Opex",SUMIF('Monthly Summary'!$AY$75:$BJ$75,"",BD96:BO96),SUMIF('Monthly Summary'!$AY$74:$BJ$74,"",BD96:BO96))</f>
        <v>0</v>
      </c>
      <c r="DO96" s="1284">
        <f>IF($DI96="Opex",SUMIF('Monthly Summary'!$BK$75:$BV$75,"",BP96:CA96),SUMIF('Monthly Summary'!$BK$74:$BV$74,"",BP96:CA96))</f>
        <v>0</v>
      </c>
      <c r="DP96" s="1285">
        <f t="shared" si="32"/>
        <v>0</v>
      </c>
    </row>
    <row r="97" spans="1:120" s="809" customFormat="1">
      <c r="A97" s="1261"/>
      <c r="B97" s="1261"/>
      <c r="C97" s="1261"/>
      <c r="D97" s="1262"/>
      <c r="E97" s="1270"/>
      <c r="F97" s="1263"/>
      <c r="G97" s="1263"/>
      <c r="H97" s="1267"/>
      <c r="I97" s="1268"/>
      <c r="J97" s="1268"/>
      <c r="K97" s="1268"/>
      <c r="L97" s="1268"/>
      <c r="M97" s="1268"/>
      <c r="N97" s="1268"/>
      <c r="O97" s="1268"/>
      <c r="P97" s="1268"/>
      <c r="Q97" s="1268"/>
      <c r="R97" s="1268"/>
      <c r="S97" s="1269"/>
      <c r="T97" s="1267"/>
      <c r="U97" s="1268"/>
      <c r="V97" s="1268"/>
      <c r="W97" s="1268"/>
      <c r="X97" s="1268"/>
      <c r="Y97" s="1268"/>
      <c r="Z97" s="1268"/>
      <c r="AA97" s="1268"/>
      <c r="AB97" s="1268"/>
      <c r="AC97" s="1268"/>
      <c r="AD97" s="1268"/>
      <c r="AE97" s="1269"/>
      <c r="AF97" s="1267"/>
      <c r="AG97" s="1268"/>
      <c r="AH97" s="1268"/>
      <c r="AI97" s="1268"/>
      <c r="AJ97" s="1268"/>
      <c r="AK97" s="1268"/>
      <c r="AL97" s="1268"/>
      <c r="AM97" s="1268"/>
      <c r="AN97" s="1268"/>
      <c r="AO97" s="1268"/>
      <c r="AP97" s="1268"/>
      <c r="AQ97" s="1269"/>
      <c r="AR97" s="1267"/>
      <c r="AS97" s="1268"/>
      <c r="AT97" s="1268"/>
      <c r="AU97" s="1268"/>
      <c r="AV97" s="1268"/>
      <c r="AW97" s="1268"/>
      <c r="AX97" s="1268"/>
      <c r="AY97" s="1268"/>
      <c r="AZ97" s="1268"/>
      <c r="BA97" s="1268"/>
      <c r="BB97" s="1268"/>
      <c r="BC97" s="1269"/>
      <c r="BD97" s="1267"/>
      <c r="BE97" s="1268"/>
      <c r="BF97" s="1268"/>
      <c r="BG97" s="1268"/>
      <c r="BH97" s="1268"/>
      <c r="BI97" s="1268"/>
      <c r="BJ97" s="1268"/>
      <c r="BK97" s="1268"/>
      <c r="BL97" s="1268"/>
      <c r="BM97" s="1268"/>
      <c r="BN97" s="1268"/>
      <c r="BO97" s="1269"/>
      <c r="BP97" s="1267"/>
      <c r="BQ97" s="1268"/>
      <c r="BR97" s="1268"/>
      <c r="BS97" s="1268"/>
      <c r="BT97" s="1268"/>
      <c r="BU97" s="1268"/>
      <c r="BV97" s="1268"/>
      <c r="BW97" s="1268"/>
      <c r="BX97" s="1268"/>
      <c r="BY97" s="1268"/>
      <c r="BZ97" s="1268"/>
      <c r="CA97" s="1269"/>
      <c r="CB97" s="1286">
        <f t="shared" si="25"/>
        <v>0</v>
      </c>
      <c r="CC97" s="1277">
        <f>IF($F97=Miscellaneous!$N$8,SUM($H97:CA97),0)</f>
        <v>0</v>
      </c>
      <c r="CD97" s="1277">
        <f>IF($F97=Miscellaneous!$N$8,IF($G97="Opex",SUMIF('Monthly Summary'!$C$75:BV$75,"",$H97:CA97),SUMIF('Monthly Summary'!$C$74:BV$74,"",$H97:CA97)),0)</f>
        <v>0</v>
      </c>
      <c r="CE97" s="1286">
        <f t="shared" si="26"/>
        <v>0</v>
      </c>
      <c r="CF97" s="833"/>
      <c r="CG97" s="1277">
        <f>IF($F97=Miscellaneous!$N$9,SUM($H97:CA97),0)</f>
        <v>0</v>
      </c>
      <c r="CH97" s="1277">
        <f>IF($F97=Miscellaneous!$N$9,IF($G97="Opex",SUMIF('Monthly Summary'!$C$75:BV$75,"",$H97:CA97),SUMIF('Monthly Summary'!$C$74:BV$74,"",$H97:CA97)),0)</f>
        <v>0</v>
      </c>
      <c r="CI97" s="1286">
        <f t="shared" si="27"/>
        <v>0</v>
      </c>
      <c r="CJ97" s="833"/>
      <c r="CK97" s="1277">
        <f>IF($F97=Miscellaneous!$N$7,SUM($H97:CA97),0)</f>
        <v>0</v>
      </c>
      <c r="CL97" s="1277">
        <f>IF($F97=Miscellaneous!$N$7,IF($G97="Opex",SUMIF('Monthly Summary'!$C$75:BV$75,"",$H97:CA97),SUMIF('Monthly Summary'!$C$74:BV$74,"",$H97:CA97)),0)</f>
        <v>0</v>
      </c>
      <c r="CM97" s="1286">
        <f t="shared" si="28"/>
        <v>0</v>
      </c>
      <c r="CN97" s="833"/>
      <c r="CO97" s="1277">
        <f>IF($F97=Miscellaneous!$N$6,SUM($H97:CA97),0)</f>
        <v>0</v>
      </c>
      <c r="CP97" s="1277">
        <f>IF($F97=Miscellaneous!$N$6,IF($G97="Opex",SUMIF('Monthly Summary'!$C$75:BV$75,"",$H97:CA97),SUMIF('Monthly Summary'!$C$74:BV$74,"",$H97:CA97)),0)</f>
        <v>0</v>
      </c>
      <c r="CQ97" s="1286">
        <f t="shared" si="29"/>
        <v>0</v>
      </c>
      <c r="CR97" s="833"/>
      <c r="CS97" s="1277">
        <f>IF($A97="Software",SUM($H97:CA97),0)</f>
        <v>0</v>
      </c>
      <c r="CT97" s="1277">
        <f>IF($A97="Software",IF($G97="Opex",SUMIF('Monthly Summary'!$C$75:BV$75,"",$H97:CA97),SUMIF('Monthly Summary'!$C$74:BV$74,"",$H97:CA97)),0)</f>
        <v>0</v>
      </c>
      <c r="CU97" s="1286">
        <f t="shared" si="30"/>
        <v>0</v>
      </c>
      <c r="CV97" s="833"/>
      <c r="CW97" s="1277">
        <f t="shared" si="22"/>
        <v>0</v>
      </c>
      <c r="CX97" s="1277">
        <f t="shared" si="23"/>
        <v>0</v>
      </c>
      <c r="CY97" s="1286">
        <f t="shared" si="31"/>
        <v>0</v>
      </c>
      <c r="CZ97" s="833"/>
      <c r="DA97" s="1286">
        <f>IF($G97="Opex",SUMIF('Monthly Summary'!$C$75:BV$75,"",$H97:CA97),SUMIF('Monthly Summary'!$C$74:BV$74,"",$H97:CA97))</f>
        <v>0</v>
      </c>
      <c r="DB97" s="1278">
        <f t="shared" si="24"/>
        <v>0</v>
      </c>
      <c r="DC97" s="1279">
        <f>IF(AND(OR($D97=Variables!A$38,$D97=Variables!A$43),$F97&lt;&gt;"N/A"),1,0)</f>
        <v>0</v>
      </c>
      <c r="DD97" s="820"/>
      <c r="DE97" s="1281" t="str">
        <f t="shared" si="33"/>
        <v/>
      </c>
      <c r="DF97" s="1282" t="str">
        <f t="shared" si="34"/>
        <v/>
      </c>
      <c r="DG97" s="1282" t="str">
        <f t="shared" si="35"/>
        <v/>
      </c>
      <c r="DH97" s="1282" t="str">
        <f>IF(ISNA(VLOOKUP(DE97,Miscellaneous!E:F,2,0)),"",VLOOKUP(DE97,Miscellaneous!E:F,2,0))</f>
        <v/>
      </c>
      <c r="DI97" s="1282" t="str">
        <f t="shared" si="36"/>
        <v/>
      </c>
      <c r="DJ97" s="1283">
        <f>IF($DI97="Opex",SUMIF('Monthly Summary'!$C$75:$N$75,"",H97:S97),SUMIF('Monthly Summary'!$C$74:$N$74,"",H97:S97))</f>
        <v>0</v>
      </c>
      <c r="DK97" s="1283">
        <f>IF($DI97="Opex",SUMIF('Monthly Summary'!$O$75:$Z$75,"",T97:AE97),SUMIF('Monthly Summary'!$O$74:$Z$74,"",T97:AE97))</f>
        <v>0</v>
      </c>
      <c r="DL97" s="1283">
        <f>IF($DI97="Opex",SUMIF('Monthly Summary'!$AA$75:$AL$75,"",AF97:AQ97),SUMIF('Monthly Summary'!$AA$74:$AL$74,"",AF97:AQ97))</f>
        <v>0</v>
      </c>
      <c r="DM97" s="1283">
        <f>IF($DI97="Opex",SUMIF('Monthly Summary'!$AM$75:$AX$75,"",AR97:BC97),SUMIF('Monthly Summary'!$AM$74:$AX$74,"",AR97:BC97))</f>
        <v>0</v>
      </c>
      <c r="DN97" s="1283">
        <f>IF($DI97="Opex",SUMIF('Monthly Summary'!$AY$75:$BJ$75,"",BD97:BO97),SUMIF('Monthly Summary'!$AY$74:$BJ$74,"",BD97:BO97))</f>
        <v>0</v>
      </c>
      <c r="DO97" s="1284">
        <f>IF($DI97="Opex",SUMIF('Monthly Summary'!$BK$75:$BV$75,"",BP97:CA97),SUMIF('Monthly Summary'!$BK$74:$BV$74,"",BP97:CA97))</f>
        <v>0</v>
      </c>
      <c r="DP97" s="1285">
        <f t="shared" si="32"/>
        <v>0</v>
      </c>
    </row>
    <row r="98" spans="1:120" s="809" customFormat="1">
      <c r="A98" s="1261"/>
      <c r="B98" s="1261"/>
      <c r="C98" s="1261"/>
      <c r="D98" s="1262"/>
      <c r="E98" s="1270"/>
      <c r="F98" s="1263"/>
      <c r="G98" s="1263"/>
      <c r="H98" s="1267"/>
      <c r="I98" s="1268"/>
      <c r="J98" s="1268"/>
      <c r="K98" s="1268"/>
      <c r="L98" s="1268"/>
      <c r="M98" s="1268"/>
      <c r="N98" s="1268"/>
      <c r="O98" s="1268"/>
      <c r="P98" s="1268"/>
      <c r="Q98" s="1268"/>
      <c r="R98" s="1268"/>
      <c r="S98" s="1269"/>
      <c r="T98" s="1267"/>
      <c r="U98" s="1268"/>
      <c r="V98" s="1268"/>
      <c r="W98" s="1268"/>
      <c r="X98" s="1268"/>
      <c r="Y98" s="1268"/>
      <c r="Z98" s="1268"/>
      <c r="AA98" s="1268"/>
      <c r="AB98" s="1268"/>
      <c r="AC98" s="1268"/>
      <c r="AD98" s="1268"/>
      <c r="AE98" s="1269"/>
      <c r="AF98" s="1267"/>
      <c r="AG98" s="1268"/>
      <c r="AH98" s="1268"/>
      <c r="AI98" s="1268"/>
      <c r="AJ98" s="1268"/>
      <c r="AK98" s="1268"/>
      <c r="AL98" s="1268"/>
      <c r="AM98" s="1268"/>
      <c r="AN98" s="1268"/>
      <c r="AO98" s="1268"/>
      <c r="AP98" s="1268"/>
      <c r="AQ98" s="1269"/>
      <c r="AR98" s="1267"/>
      <c r="AS98" s="1268"/>
      <c r="AT98" s="1268"/>
      <c r="AU98" s="1268"/>
      <c r="AV98" s="1268"/>
      <c r="AW98" s="1268"/>
      <c r="AX98" s="1268"/>
      <c r="AY98" s="1268"/>
      <c r="AZ98" s="1268"/>
      <c r="BA98" s="1268"/>
      <c r="BB98" s="1268"/>
      <c r="BC98" s="1269"/>
      <c r="BD98" s="1267"/>
      <c r="BE98" s="1268"/>
      <c r="BF98" s="1268"/>
      <c r="BG98" s="1268"/>
      <c r="BH98" s="1268"/>
      <c r="BI98" s="1268"/>
      <c r="BJ98" s="1268"/>
      <c r="BK98" s="1268"/>
      <c r="BL98" s="1268"/>
      <c r="BM98" s="1268"/>
      <c r="BN98" s="1268"/>
      <c r="BO98" s="1269"/>
      <c r="BP98" s="1267"/>
      <c r="BQ98" s="1268"/>
      <c r="BR98" s="1268"/>
      <c r="BS98" s="1268"/>
      <c r="BT98" s="1268"/>
      <c r="BU98" s="1268"/>
      <c r="BV98" s="1268"/>
      <c r="BW98" s="1268"/>
      <c r="BX98" s="1268"/>
      <c r="BY98" s="1268"/>
      <c r="BZ98" s="1268"/>
      <c r="CA98" s="1269"/>
      <c r="CB98" s="1286">
        <f t="shared" si="25"/>
        <v>0</v>
      </c>
      <c r="CC98" s="1277">
        <f>IF($F98=Miscellaneous!$N$8,SUM($H98:CA98),0)</f>
        <v>0</v>
      </c>
      <c r="CD98" s="1277">
        <f>IF($F98=Miscellaneous!$N$8,IF($G98="Opex",SUMIF('Monthly Summary'!$C$75:BV$75,"",$H98:CA98),SUMIF('Monthly Summary'!$C$74:BV$74,"",$H98:CA98)),0)</f>
        <v>0</v>
      </c>
      <c r="CE98" s="1286">
        <f t="shared" si="26"/>
        <v>0</v>
      </c>
      <c r="CF98" s="833"/>
      <c r="CG98" s="1277">
        <f>IF($F98=Miscellaneous!$N$9,SUM($H98:CA98),0)</f>
        <v>0</v>
      </c>
      <c r="CH98" s="1277">
        <f>IF($F98=Miscellaneous!$N$9,IF($G98="Opex",SUMIF('Monthly Summary'!$C$75:BV$75,"",$H98:CA98),SUMIF('Monthly Summary'!$C$74:BV$74,"",$H98:CA98)),0)</f>
        <v>0</v>
      </c>
      <c r="CI98" s="1286">
        <f t="shared" si="27"/>
        <v>0</v>
      </c>
      <c r="CJ98" s="833"/>
      <c r="CK98" s="1277">
        <f>IF($F98=Miscellaneous!$N$7,SUM($H98:CA98),0)</f>
        <v>0</v>
      </c>
      <c r="CL98" s="1277">
        <f>IF($F98=Miscellaneous!$N$7,IF($G98="Opex",SUMIF('Monthly Summary'!$C$75:BV$75,"",$H98:CA98),SUMIF('Monthly Summary'!$C$74:BV$74,"",$H98:CA98)),0)</f>
        <v>0</v>
      </c>
      <c r="CM98" s="1286">
        <f t="shared" si="28"/>
        <v>0</v>
      </c>
      <c r="CN98" s="833"/>
      <c r="CO98" s="1277">
        <f>IF($F98=Miscellaneous!$N$6,SUM($H98:CA98),0)</f>
        <v>0</v>
      </c>
      <c r="CP98" s="1277">
        <f>IF($F98=Miscellaneous!$N$6,IF($G98="Opex",SUMIF('Monthly Summary'!$C$75:BV$75,"",$H98:CA98),SUMIF('Monthly Summary'!$C$74:BV$74,"",$H98:CA98)),0)</f>
        <v>0</v>
      </c>
      <c r="CQ98" s="1286">
        <f t="shared" si="29"/>
        <v>0</v>
      </c>
      <c r="CR98" s="833"/>
      <c r="CS98" s="1277">
        <f>IF($A98="Software",SUM($H98:CA98),0)</f>
        <v>0</v>
      </c>
      <c r="CT98" s="1277">
        <f>IF($A98="Software",IF($G98="Opex",SUMIF('Monthly Summary'!$C$75:BV$75,"",$H98:CA98),SUMIF('Monthly Summary'!$C$74:BV$74,"",$H98:CA98)),0)</f>
        <v>0</v>
      </c>
      <c r="CU98" s="1286">
        <f t="shared" si="30"/>
        <v>0</v>
      </c>
      <c r="CV98" s="833"/>
      <c r="CW98" s="1277">
        <f t="shared" si="22"/>
        <v>0</v>
      </c>
      <c r="CX98" s="1277">
        <f t="shared" si="23"/>
        <v>0</v>
      </c>
      <c r="CY98" s="1286">
        <f t="shared" si="31"/>
        <v>0</v>
      </c>
      <c r="CZ98" s="833"/>
      <c r="DA98" s="1286">
        <f>IF($G98="Opex",SUMIF('Monthly Summary'!$C$75:BV$75,"",$H98:CA98),SUMIF('Monthly Summary'!$C$74:BV$74,"",$H98:CA98))</f>
        <v>0</v>
      </c>
      <c r="DB98" s="1278">
        <f t="shared" si="24"/>
        <v>0</v>
      </c>
      <c r="DC98" s="1279">
        <f>IF(AND(OR($D98=Variables!A$38,$D98=Variables!A$43),$F98&lt;&gt;"N/A"),1,0)</f>
        <v>0</v>
      </c>
      <c r="DD98" s="820"/>
      <c r="DE98" s="1281" t="str">
        <f t="shared" si="33"/>
        <v/>
      </c>
      <c r="DF98" s="1282" t="str">
        <f t="shared" si="34"/>
        <v/>
      </c>
      <c r="DG98" s="1282" t="str">
        <f t="shared" si="35"/>
        <v/>
      </c>
      <c r="DH98" s="1282" t="str">
        <f>IF(ISNA(VLOOKUP(DE98,Miscellaneous!E:F,2,0)),"",VLOOKUP(DE98,Miscellaneous!E:F,2,0))</f>
        <v/>
      </c>
      <c r="DI98" s="1282" t="str">
        <f t="shared" si="36"/>
        <v/>
      </c>
      <c r="DJ98" s="1283">
        <f>IF($DI98="Opex",SUMIF('Monthly Summary'!$C$75:$N$75,"",H98:S98),SUMIF('Monthly Summary'!$C$74:$N$74,"",H98:S98))</f>
        <v>0</v>
      </c>
      <c r="DK98" s="1283">
        <f>IF($DI98="Opex",SUMIF('Monthly Summary'!$O$75:$Z$75,"",T98:AE98),SUMIF('Monthly Summary'!$O$74:$Z$74,"",T98:AE98))</f>
        <v>0</v>
      </c>
      <c r="DL98" s="1283">
        <f>IF($DI98="Opex",SUMIF('Monthly Summary'!$AA$75:$AL$75,"",AF98:AQ98),SUMIF('Monthly Summary'!$AA$74:$AL$74,"",AF98:AQ98))</f>
        <v>0</v>
      </c>
      <c r="DM98" s="1283">
        <f>IF($DI98="Opex",SUMIF('Monthly Summary'!$AM$75:$AX$75,"",AR98:BC98),SUMIF('Monthly Summary'!$AM$74:$AX$74,"",AR98:BC98))</f>
        <v>0</v>
      </c>
      <c r="DN98" s="1283">
        <f>IF($DI98="Opex",SUMIF('Monthly Summary'!$AY$75:$BJ$75,"",BD98:BO98),SUMIF('Monthly Summary'!$AY$74:$BJ$74,"",BD98:BO98))</f>
        <v>0</v>
      </c>
      <c r="DO98" s="1284">
        <f>IF($DI98="Opex",SUMIF('Monthly Summary'!$BK$75:$BV$75,"",BP98:CA98),SUMIF('Monthly Summary'!$BK$74:$BV$74,"",BP98:CA98))</f>
        <v>0</v>
      </c>
      <c r="DP98" s="1285">
        <f t="shared" si="32"/>
        <v>0</v>
      </c>
    </row>
    <row r="99" spans="1:120" s="809" customFormat="1">
      <c r="A99" s="1261"/>
      <c r="B99" s="1261"/>
      <c r="C99" s="1261"/>
      <c r="D99" s="1262"/>
      <c r="E99" s="1270"/>
      <c r="F99" s="1263"/>
      <c r="G99" s="1263"/>
      <c r="H99" s="1267"/>
      <c r="I99" s="1268"/>
      <c r="J99" s="1268"/>
      <c r="K99" s="1268"/>
      <c r="L99" s="1268"/>
      <c r="M99" s="1268"/>
      <c r="N99" s="1268"/>
      <c r="O99" s="1268"/>
      <c r="P99" s="1268"/>
      <c r="Q99" s="1268"/>
      <c r="R99" s="1268"/>
      <c r="S99" s="1269"/>
      <c r="T99" s="1267"/>
      <c r="U99" s="1268"/>
      <c r="V99" s="1268"/>
      <c r="W99" s="1268"/>
      <c r="X99" s="1268"/>
      <c r="Y99" s="1268"/>
      <c r="Z99" s="1268"/>
      <c r="AA99" s="1268"/>
      <c r="AB99" s="1268"/>
      <c r="AC99" s="1268"/>
      <c r="AD99" s="1268"/>
      <c r="AE99" s="1269"/>
      <c r="AF99" s="1267"/>
      <c r="AG99" s="1268"/>
      <c r="AH99" s="1268"/>
      <c r="AI99" s="1268"/>
      <c r="AJ99" s="1268"/>
      <c r="AK99" s="1268"/>
      <c r="AL99" s="1268"/>
      <c r="AM99" s="1268"/>
      <c r="AN99" s="1268"/>
      <c r="AO99" s="1268"/>
      <c r="AP99" s="1268"/>
      <c r="AQ99" s="1269"/>
      <c r="AR99" s="1267"/>
      <c r="AS99" s="1268"/>
      <c r="AT99" s="1268"/>
      <c r="AU99" s="1268"/>
      <c r="AV99" s="1268"/>
      <c r="AW99" s="1268"/>
      <c r="AX99" s="1268"/>
      <c r="AY99" s="1268"/>
      <c r="AZ99" s="1268"/>
      <c r="BA99" s="1268"/>
      <c r="BB99" s="1268"/>
      <c r="BC99" s="1269"/>
      <c r="BD99" s="1267"/>
      <c r="BE99" s="1268"/>
      <c r="BF99" s="1268"/>
      <c r="BG99" s="1268"/>
      <c r="BH99" s="1268"/>
      <c r="BI99" s="1268"/>
      <c r="BJ99" s="1268"/>
      <c r="BK99" s="1268"/>
      <c r="BL99" s="1268"/>
      <c r="BM99" s="1268"/>
      <c r="BN99" s="1268"/>
      <c r="BO99" s="1269"/>
      <c r="BP99" s="1267"/>
      <c r="BQ99" s="1268"/>
      <c r="BR99" s="1268"/>
      <c r="BS99" s="1268"/>
      <c r="BT99" s="1268"/>
      <c r="BU99" s="1268"/>
      <c r="BV99" s="1268"/>
      <c r="BW99" s="1268"/>
      <c r="BX99" s="1268"/>
      <c r="BY99" s="1268"/>
      <c r="BZ99" s="1268"/>
      <c r="CA99" s="1269"/>
      <c r="CB99" s="1286">
        <f t="shared" si="25"/>
        <v>0</v>
      </c>
      <c r="CC99" s="1277">
        <f>IF($F99=Miscellaneous!$N$8,SUM($H99:CA99),0)</f>
        <v>0</v>
      </c>
      <c r="CD99" s="1277">
        <f>IF($F99=Miscellaneous!$N$8,IF($G99="Opex",SUMIF('Monthly Summary'!$C$75:BV$75,"",$H99:CA99),SUMIF('Monthly Summary'!$C$74:BV$74,"",$H99:CA99)),0)</f>
        <v>0</v>
      </c>
      <c r="CE99" s="1286">
        <f t="shared" si="26"/>
        <v>0</v>
      </c>
      <c r="CF99" s="833"/>
      <c r="CG99" s="1277">
        <f>IF($F99=Miscellaneous!$N$9,SUM($H99:CA99),0)</f>
        <v>0</v>
      </c>
      <c r="CH99" s="1277">
        <f>IF($F99=Miscellaneous!$N$9,IF($G99="Opex",SUMIF('Monthly Summary'!$C$75:BV$75,"",$H99:CA99),SUMIF('Monthly Summary'!$C$74:BV$74,"",$H99:CA99)),0)</f>
        <v>0</v>
      </c>
      <c r="CI99" s="1286">
        <f t="shared" si="27"/>
        <v>0</v>
      </c>
      <c r="CJ99" s="833"/>
      <c r="CK99" s="1277">
        <f>IF($F99=Miscellaneous!$N$7,SUM($H99:CA99),0)</f>
        <v>0</v>
      </c>
      <c r="CL99" s="1277">
        <f>IF($F99=Miscellaneous!$N$7,IF($G99="Opex",SUMIF('Monthly Summary'!$C$75:BV$75,"",$H99:CA99),SUMIF('Monthly Summary'!$C$74:BV$74,"",$H99:CA99)),0)</f>
        <v>0</v>
      </c>
      <c r="CM99" s="1286">
        <f t="shared" si="28"/>
        <v>0</v>
      </c>
      <c r="CN99" s="833"/>
      <c r="CO99" s="1277">
        <f>IF($F99=Miscellaneous!$N$6,SUM($H99:CA99),0)</f>
        <v>0</v>
      </c>
      <c r="CP99" s="1277">
        <f>IF($F99=Miscellaneous!$N$6,IF($G99="Opex",SUMIF('Monthly Summary'!$C$75:BV$75,"",$H99:CA99),SUMIF('Monthly Summary'!$C$74:BV$74,"",$H99:CA99)),0)</f>
        <v>0</v>
      </c>
      <c r="CQ99" s="1286">
        <f t="shared" si="29"/>
        <v>0</v>
      </c>
      <c r="CR99" s="833"/>
      <c r="CS99" s="1277">
        <f>IF($A99="Software",SUM($H99:CA99),0)</f>
        <v>0</v>
      </c>
      <c r="CT99" s="1277">
        <f>IF($A99="Software",IF($G99="Opex",SUMIF('Monthly Summary'!$C$75:BV$75,"",$H99:CA99),SUMIF('Monthly Summary'!$C$74:BV$74,"",$H99:CA99)),0)</f>
        <v>0</v>
      </c>
      <c r="CU99" s="1286">
        <f t="shared" si="30"/>
        <v>0</v>
      </c>
      <c r="CV99" s="833"/>
      <c r="CW99" s="1277">
        <f t="shared" si="22"/>
        <v>0</v>
      </c>
      <c r="CX99" s="1277">
        <f t="shared" si="23"/>
        <v>0</v>
      </c>
      <c r="CY99" s="1286">
        <f t="shared" si="31"/>
        <v>0</v>
      </c>
      <c r="CZ99" s="833"/>
      <c r="DA99" s="1286">
        <f>IF($G99="Opex",SUMIF('Monthly Summary'!$C$75:BV$75,"",$H99:CA99),SUMIF('Monthly Summary'!$C$74:BV$74,"",$H99:CA99))</f>
        <v>0</v>
      </c>
      <c r="DB99" s="1278">
        <f t="shared" si="24"/>
        <v>0</v>
      </c>
      <c r="DC99" s="1279">
        <f>IF(AND(OR($D99=Variables!A$38,$D99=Variables!A$43),$F99&lt;&gt;"N/A"),1,0)</f>
        <v>0</v>
      </c>
      <c r="DD99" s="820"/>
      <c r="DE99" s="1281" t="str">
        <f t="shared" si="33"/>
        <v/>
      </c>
      <c r="DF99" s="1282" t="str">
        <f t="shared" si="34"/>
        <v/>
      </c>
      <c r="DG99" s="1282" t="str">
        <f t="shared" si="35"/>
        <v/>
      </c>
      <c r="DH99" s="1282" t="str">
        <f>IF(ISNA(VLOOKUP(DE99,Miscellaneous!E:F,2,0)),"",VLOOKUP(DE99,Miscellaneous!E:F,2,0))</f>
        <v/>
      </c>
      <c r="DI99" s="1282" t="str">
        <f t="shared" si="36"/>
        <v/>
      </c>
      <c r="DJ99" s="1283">
        <f>IF($DI99="Opex",SUMIF('Monthly Summary'!$C$75:$N$75,"",H99:S99),SUMIF('Monthly Summary'!$C$74:$N$74,"",H99:S99))</f>
        <v>0</v>
      </c>
      <c r="DK99" s="1283">
        <f>IF($DI99="Opex",SUMIF('Monthly Summary'!$O$75:$Z$75,"",T99:AE99),SUMIF('Monthly Summary'!$O$74:$Z$74,"",T99:AE99))</f>
        <v>0</v>
      </c>
      <c r="DL99" s="1283">
        <f>IF($DI99="Opex",SUMIF('Monthly Summary'!$AA$75:$AL$75,"",AF99:AQ99),SUMIF('Monthly Summary'!$AA$74:$AL$74,"",AF99:AQ99))</f>
        <v>0</v>
      </c>
      <c r="DM99" s="1283">
        <f>IF($DI99="Opex",SUMIF('Monthly Summary'!$AM$75:$AX$75,"",AR99:BC99),SUMIF('Monthly Summary'!$AM$74:$AX$74,"",AR99:BC99))</f>
        <v>0</v>
      </c>
      <c r="DN99" s="1283">
        <f>IF($DI99="Opex",SUMIF('Monthly Summary'!$AY$75:$BJ$75,"",BD99:BO99),SUMIF('Monthly Summary'!$AY$74:$BJ$74,"",BD99:BO99))</f>
        <v>0</v>
      </c>
      <c r="DO99" s="1284">
        <f>IF($DI99="Opex",SUMIF('Monthly Summary'!$BK$75:$BV$75,"",BP99:CA99),SUMIF('Monthly Summary'!$BK$74:$BV$74,"",BP99:CA99))</f>
        <v>0</v>
      </c>
      <c r="DP99" s="1285">
        <f t="shared" si="32"/>
        <v>0</v>
      </c>
    </row>
    <row r="100" spans="1:120" s="809" customFormat="1">
      <c r="A100" s="1261"/>
      <c r="B100" s="1261"/>
      <c r="C100" s="1261"/>
      <c r="D100" s="1262"/>
      <c r="E100" s="1270"/>
      <c r="F100" s="1263"/>
      <c r="G100" s="1263"/>
      <c r="H100" s="1267"/>
      <c r="I100" s="1268"/>
      <c r="J100" s="1268"/>
      <c r="K100" s="1268"/>
      <c r="L100" s="1268"/>
      <c r="M100" s="1268"/>
      <c r="N100" s="1268"/>
      <c r="O100" s="1268"/>
      <c r="P100" s="1268"/>
      <c r="Q100" s="1268"/>
      <c r="R100" s="1268"/>
      <c r="S100" s="1269"/>
      <c r="T100" s="1267"/>
      <c r="U100" s="1268"/>
      <c r="V100" s="1268"/>
      <c r="W100" s="1268"/>
      <c r="X100" s="1268"/>
      <c r="Y100" s="1268"/>
      <c r="Z100" s="1268"/>
      <c r="AA100" s="1268"/>
      <c r="AB100" s="1268"/>
      <c r="AC100" s="1268"/>
      <c r="AD100" s="1268"/>
      <c r="AE100" s="1269"/>
      <c r="AF100" s="1267"/>
      <c r="AG100" s="1268"/>
      <c r="AH100" s="1268"/>
      <c r="AI100" s="1268"/>
      <c r="AJ100" s="1268"/>
      <c r="AK100" s="1268"/>
      <c r="AL100" s="1268"/>
      <c r="AM100" s="1268"/>
      <c r="AN100" s="1268"/>
      <c r="AO100" s="1268"/>
      <c r="AP100" s="1268"/>
      <c r="AQ100" s="1269"/>
      <c r="AR100" s="1267"/>
      <c r="AS100" s="1268"/>
      <c r="AT100" s="1268"/>
      <c r="AU100" s="1268"/>
      <c r="AV100" s="1268"/>
      <c r="AW100" s="1268"/>
      <c r="AX100" s="1268"/>
      <c r="AY100" s="1268"/>
      <c r="AZ100" s="1268"/>
      <c r="BA100" s="1268"/>
      <c r="BB100" s="1268"/>
      <c r="BC100" s="1269"/>
      <c r="BD100" s="1267"/>
      <c r="BE100" s="1268"/>
      <c r="BF100" s="1268"/>
      <c r="BG100" s="1268"/>
      <c r="BH100" s="1268"/>
      <c r="BI100" s="1268"/>
      <c r="BJ100" s="1268"/>
      <c r="BK100" s="1268"/>
      <c r="BL100" s="1268"/>
      <c r="BM100" s="1268"/>
      <c r="BN100" s="1268"/>
      <c r="BO100" s="1269"/>
      <c r="BP100" s="1267"/>
      <c r="BQ100" s="1268"/>
      <c r="BR100" s="1268"/>
      <c r="BS100" s="1268"/>
      <c r="BT100" s="1268"/>
      <c r="BU100" s="1268"/>
      <c r="BV100" s="1268"/>
      <c r="BW100" s="1268"/>
      <c r="BX100" s="1268"/>
      <c r="BY100" s="1268"/>
      <c r="BZ100" s="1268"/>
      <c r="CA100" s="1269"/>
      <c r="CB100" s="1286">
        <f t="shared" si="25"/>
        <v>0</v>
      </c>
      <c r="CC100" s="1277">
        <f>IF($F100=Miscellaneous!$N$8,SUM($H100:CA100),0)</f>
        <v>0</v>
      </c>
      <c r="CD100" s="1277">
        <f>IF($F100=Miscellaneous!$N$8,IF($G100="Opex",SUMIF('Monthly Summary'!$C$75:BV$75,"",$H100:CA100),SUMIF('Monthly Summary'!$C$74:BV$74,"",$H100:CA100)),0)</f>
        <v>0</v>
      </c>
      <c r="CE100" s="1286">
        <f t="shared" si="26"/>
        <v>0</v>
      </c>
      <c r="CF100" s="833"/>
      <c r="CG100" s="1277">
        <f>IF($F100=Miscellaneous!$N$9,SUM($H100:CA100),0)</f>
        <v>0</v>
      </c>
      <c r="CH100" s="1277">
        <f>IF($F100=Miscellaneous!$N$9,IF($G100="Opex",SUMIF('Monthly Summary'!$C$75:BV$75,"",$H100:CA100),SUMIF('Monthly Summary'!$C$74:BV$74,"",$H100:CA100)),0)</f>
        <v>0</v>
      </c>
      <c r="CI100" s="1286">
        <f t="shared" si="27"/>
        <v>0</v>
      </c>
      <c r="CJ100" s="833"/>
      <c r="CK100" s="1277">
        <f>IF($F100=Miscellaneous!$N$7,SUM($H100:CA100),0)</f>
        <v>0</v>
      </c>
      <c r="CL100" s="1277">
        <f>IF($F100=Miscellaneous!$N$7,IF($G100="Opex",SUMIF('Monthly Summary'!$C$75:BV$75,"",$H100:CA100),SUMIF('Monthly Summary'!$C$74:BV$74,"",$H100:CA100)),0)</f>
        <v>0</v>
      </c>
      <c r="CM100" s="1286">
        <f t="shared" si="28"/>
        <v>0</v>
      </c>
      <c r="CN100" s="833"/>
      <c r="CO100" s="1277">
        <f>IF($F100=Miscellaneous!$N$6,SUM($H100:CA100),0)</f>
        <v>0</v>
      </c>
      <c r="CP100" s="1277">
        <f>IF($F100=Miscellaneous!$N$6,IF($G100="Opex",SUMIF('Monthly Summary'!$C$75:BV$75,"",$H100:CA100),SUMIF('Monthly Summary'!$C$74:BV$74,"",$H100:CA100)),0)</f>
        <v>0</v>
      </c>
      <c r="CQ100" s="1286">
        <f t="shared" si="29"/>
        <v>0</v>
      </c>
      <c r="CR100" s="833"/>
      <c r="CS100" s="1277">
        <f>IF($A100="Software",SUM($H100:CA100),0)</f>
        <v>0</v>
      </c>
      <c r="CT100" s="1277">
        <f>IF($A100="Software",IF($G100="Opex",SUMIF('Monthly Summary'!$C$75:BV$75,"",$H100:CA100),SUMIF('Monthly Summary'!$C$74:BV$74,"",$H100:CA100)),0)</f>
        <v>0</v>
      </c>
      <c r="CU100" s="1286">
        <f t="shared" si="30"/>
        <v>0</v>
      </c>
      <c r="CV100" s="833"/>
      <c r="CW100" s="1277">
        <f t="shared" si="22"/>
        <v>0</v>
      </c>
      <c r="CX100" s="1277">
        <f t="shared" si="23"/>
        <v>0</v>
      </c>
      <c r="CY100" s="1286">
        <f t="shared" si="31"/>
        <v>0</v>
      </c>
      <c r="CZ100" s="833"/>
      <c r="DA100" s="1286">
        <f>IF($G100="Opex",SUMIF('Monthly Summary'!$C$75:BV$75,"",$H100:CA100),SUMIF('Monthly Summary'!$C$74:BV$74,"",$H100:CA100))</f>
        <v>0</v>
      </c>
      <c r="DB100" s="1278">
        <f t="shared" si="24"/>
        <v>0</v>
      </c>
      <c r="DC100" s="1279">
        <f>IF(AND(OR($D100=Variables!A$38,$D100=Variables!A$43),$F100&lt;&gt;"N/A"),1,0)</f>
        <v>0</v>
      </c>
      <c r="DD100" s="820"/>
      <c r="DE100" s="1281" t="str">
        <f t="shared" si="33"/>
        <v/>
      </c>
      <c r="DF100" s="1282" t="str">
        <f t="shared" si="34"/>
        <v/>
      </c>
      <c r="DG100" s="1282" t="str">
        <f t="shared" si="35"/>
        <v/>
      </c>
      <c r="DH100" s="1282" t="str">
        <f>IF(ISNA(VLOOKUP(DE100,Miscellaneous!E:F,2,0)),"",VLOOKUP(DE100,Miscellaneous!E:F,2,0))</f>
        <v/>
      </c>
      <c r="DI100" s="1282" t="str">
        <f t="shared" si="36"/>
        <v/>
      </c>
      <c r="DJ100" s="1283">
        <f>IF($DI100="Opex",SUMIF('Monthly Summary'!$C$75:$N$75,"",H100:S100),SUMIF('Monthly Summary'!$C$74:$N$74,"",H100:S100))</f>
        <v>0</v>
      </c>
      <c r="DK100" s="1283">
        <f>IF($DI100="Opex",SUMIF('Monthly Summary'!$O$75:$Z$75,"",T100:AE100),SUMIF('Monthly Summary'!$O$74:$Z$74,"",T100:AE100))</f>
        <v>0</v>
      </c>
      <c r="DL100" s="1283">
        <f>IF($DI100="Opex",SUMIF('Monthly Summary'!$AA$75:$AL$75,"",AF100:AQ100),SUMIF('Monthly Summary'!$AA$74:$AL$74,"",AF100:AQ100))</f>
        <v>0</v>
      </c>
      <c r="DM100" s="1283">
        <f>IF($DI100="Opex",SUMIF('Monthly Summary'!$AM$75:$AX$75,"",AR100:BC100),SUMIF('Monthly Summary'!$AM$74:$AX$74,"",AR100:BC100))</f>
        <v>0</v>
      </c>
      <c r="DN100" s="1283">
        <f>IF($DI100="Opex",SUMIF('Monthly Summary'!$AY$75:$BJ$75,"",BD100:BO100),SUMIF('Monthly Summary'!$AY$74:$BJ$74,"",BD100:BO100))</f>
        <v>0</v>
      </c>
      <c r="DO100" s="1284">
        <f>IF($DI100="Opex",SUMIF('Monthly Summary'!$BK$75:$BV$75,"",BP100:CA100),SUMIF('Monthly Summary'!$BK$74:$BV$74,"",BP100:CA100))</f>
        <v>0</v>
      </c>
      <c r="DP100" s="1285">
        <f t="shared" si="32"/>
        <v>0</v>
      </c>
    </row>
    <row r="101" spans="1:120" s="809" customFormat="1">
      <c r="A101" s="1261"/>
      <c r="B101" s="1261"/>
      <c r="C101" s="1261"/>
      <c r="D101" s="1262"/>
      <c r="E101" s="1270"/>
      <c r="F101" s="1263"/>
      <c r="G101" s="1263"/>
      <c r="H101" s="1267"/>
      <c r="I101" s="1268"/>
      <c r="J101" s="1268"/>
      <c r="K101" s="1268"/>
      <c r="L101" s="1268"/>
      <c r="M101" s="1268"/>
      <c r="N101" s="1268"/>
      <c r="O101" s="1268"/>
      <c r="P101" s="1268"/>
      <c r="Q101" s="1268"/>
      <c r="R101" s="1268"/>
      <c r="S101" s="1269"/>
      <c r="T101" s="1267"/>
      <c r="U101" s="1268"/>
      <c r="V101" s="1268"/>
      <c r="W101" s="1268"/>
      <c r="X101" s="1268"/>
      <c r="Y101" s="1268"/>
      <c r="Z101" s="1268"/>
      <c r="AA101" s="1268"/>
      <c r="AB101" s="1268"/>
      <c r="AC101" s="1268"/>
      <c r="AD101" s="1268"/>
      <c r="AE101" s="1269"/>
      <c r="AF101" s="1267"/>
      <c r="AG101" s="1268"/>
      <c r="AH101" s="1268"/>
      <c r="AI101" s="1268"/>
      <c r="AJ101" s="1268"/>
      <c r="AK101" s="1268"/>
      <c r="AL101" s="1268"/>
      <c r="AM101" s="1268"/>
      <c r="AN101" s="1268"/>
      <c r="AO101" s="1268"/>
      <c r="AP101" s="1268"/>
      <c r="AQ101" s="1269"/>
      <c r="AR101" s="1267"/>
      <c r="AS101" s="1268"/>
      <c r="AT101" s="1268"/>
      <c r="AU101" s="1268"/>
      <c r="AV101" s="1268"/>
      <c r="AW101" s="1268"/>
      <c r="AX101" s="1268"/>
      <c r="AY101" s="1268"/>
      <c r="AZ101" s="1268"/>
      <c r="BA101" s="1268"/>
      <c r="BB101" s="1268"/>
      <c r="BC101" s="1269"/>
      <c r="BD101" s="1267"/>
      <c r="BE101" s="1268"/>
      <c r="BF101" s="1268"/>
      <c r="BG101" s="1268"/>
      <c r="BH101" s="1268"/>
      <c r="BI101" s="1268"/>
      <c r="BJ101" s="1268"/>
      <c r="BK101" s="1268"/>
      <c r="BL101" s="1268"/>
      <c r="BM101" s="1268"/>
      <c r="BN101" s="1268"/>
      <c r="BO101" s="1269"/>
      <c r="BP101" s="1267"/>
      <c r="BQ101" s="1268"/>
      <c r="BR101" s="1268"/>
      <c r="BS101" s="1268"/>
      <c r="BT101" s="1268"/>
      <c r="BU101" s="1268"/>
      <c r="BV101" s="1268"/>
      <c r="BW101" s="1268"/>
      <c r="BX101" s="1268"/>
      <c r="BY101" s="1268"/>
      <c r="BZ101" s="1268"/>
      <c r="CA101" s="1269"/>
      <c r="CB101" s="1286">
        <f t="shared" si="25"/>
        <v>0</v>
      </c>
      <c r="CC101" s="1277">
        <f>IF($F101=Miscellaneous!$N$8,SUM($H101:CA101),0)</f>
        <v>0</v>
      </c>
      <c r="CD101" s="1277">
        <f>IF($F101=Miscellaneous!$N$8,IF($G101="Opex",SUMIF('Monthly Summary'!$C$75:BV$75,"",$H101:CA101),SUMIF('Monthly Summary'!$C$74:BV$74,"",$H101:CA101)),0)</f>
        <v>0</v>
      </c>
      <c r="CE101" s="1286">
        <f t="shared" si="26"/>
        <v>0</v>
      </c>
      <c r="CF101" s="833"/>
      <c r="CG101" s="1277">
        <f>IF($F101=Miscellaneous!$N$9,SUM($H101:CA101),0)</f>
        <v>0</v>
      </c>
      <c r="CH101" s="1277">
        <f>IF($F101=Miscellaneous!$N$9,IF($G101="Opex",SUMIF('Monthly Summary'!$C$75:BV$75,"",$H101:CA101),SUMIF('Monthly Summary'!$C$74:BV$74,"",$H101:CA101)),0)</f>
        <v>0</v>
      </c>
      <c r="CI101" s="1286">
        <f t="shared" si="27"/>
        <v>0</v>
      </c>
      <c r="CJ101" s="833"/>
      <c r="CK101" s="1277">
        <f>IF($F101=Miscellaneous!$N$7,SUM($H101:CA101),0)</f>
        <v>0</v>
      </c>
      <c r="CL101" s="1277">
        <f>IF($F101=Miscellaneous!$N$7,IF($G101="Opex",SUMIF('Monthly Summary'!$C$75:BV$75,"",$H101:CA101),SUMIF('Monthly Summary'!$C$74:BV$74,"",$H101:CA101)),0)</f>
        <v>0</v>
      </c>
      <c r="CM101" s="1286">
        <f t="shared" si="28"/>
        <v>0</v>
      </c>
      <c r="CN101" s="833"/>
      <c r="CO101" s="1277">
        <f>IF($F101=Miscellaneous!$N$6,SUM($H101:CA101),0)</f>
        <v>0</v>
      </c>
      <c r="CP101" s="1277">
        <f>IF($F101=Miscellaneous!$N$6,IF($G101="Opex",SUMIF('Monthly Summary'!$C$75:BV$75,"",$H101:CA101),SUMIF('Monthly Summary'!$C$74:BV$74,"",$H101:CA101)),0)</f>
        <v>0</v>
      </c>
      <c r="CQ101" s="1286">
        <f t="shared" si="29"/>
        <v>0</v>
      </c>
      <c r="CR101" s="833"/>
      <c r="CS101" s="1277">
        <f>IF($A101="Software",SUM($H101:CA101),0)</f>
        <v>0</v>
      </c>
      <c r="CT101" s="1277">
        <f>IF($A101="Software",IF($G101="Opex",SUMIF('Monthly Summary'!$C$75:BV$75,"",$H101:CA101),SUMIF('Monthly Summary'!$C$74:BV$74,"",$H101:CA101)),0)</f>
        <v>0</v>
      </c>
      <c r="CU101" s="1286">
        <f t="shared" si="30"/>
        <v>0</v>
      </c>
      <c r="CV101" s="833"/>
      <c r="CW101" s="1277">
        <f t="shared" ref="CW101:CW132" si="37">CB101-CC101-CG101-CK101-CO101-CS101</f>
        <v>0</v>
      </c>
      <c r="CX101" s="1277">
        <f t="shared" ref="CX101:CX132" si="38">DA101-CD101-CH101-CL101-CP101-CT101</f>
        <v>0</v>
      </c>
      <c r="CY101" s="1286">
        <f t="shared" si="31"/>
        <v>0</v>
      </c>
      <c r="CZ101" s="833"/>
      <c r="DA101" s="1286">
        <f>IF($G101="Opex",SUMIF('Monthly Summary'!$C$75:BV$75,"",$H101:CA101),SUMIF('Monthly Summary'!$C$74:BV$74,"",$H101:CA101))</f>
        <v>0</v>
      </c>
      <c r="DB101" s="1278">
        <f t="shared" ref="DB101:DB132" si="39">IF(AND(IF(ISNA(VLOOKUP($C101,Opex_Rules,1,0)),FALSE,TRUE),$G101="Capex"),1,0)</f>
        <v>0</v>
      </c>
      <c r="DC101" s="1279">
        <f>IF(AND(OR($D101=Variables!A$38,$D101=Variables!A$43),$F101&lt;&gt;"N/A"),1,0)</f>
        <v>0</v>
      </c>
      <c r="DD101" s="820"/>
      <c r="DE101" s="1281" t="str">
        <f t="shared" si="33"/>
        <v/>
      </c>
      <c r="DF101" s="1282" t="str">
        <f t="shared" si="34"/>
        <v/>
      </c>
      <c r="DG101" s="1282" t="str">
        <f t="shared" si="35"/>
        <v/>
      </c>
      <c r="DH101" s="1282" t="str">
        <f>IF(ISNA(VLOOKUP(DE101,Miscellaneous!E:F,2,0)),"",VLOOKUP(DE101,Miscellaneous!E:F,2,0))</f>
        <v/>
      </c>
      <c r="DI101" s="1282" t="str">
        <f t="shared" si="36"/>
        <v/>
      </c>
      <c r="DJ101" s="1283">
        <f>IF($DI101="Opex",SUMIF('Monthly Summary'!$C$75:$N$75,"",H101:S101),SUMIF('Monthly Summary'!$C$74:$N$74,"",H101:S101))</f>
        <v>0</v>
      </c>
      <c r="DK101" s="1283">
        <f>IF($DI101="Opex",SUMIF('Monthly Summary'!$O$75:$Z$75,"",T101:AE101),SUMIF('Monthly Summary'!$O$74:$Z$74,"",T101:AE101))</f>
        <v>0</v>
      </c>
      <c r="DL101" s="1283">
        <f>IF($DI101="Opex",SUMIF('Monthly Summary'!$AA$75:$AL$75,"",AF101:AQ101),SUMIF('Monthly Summary'!$AA$74:$AL$74,"",AF101:AQ101))</f>
        <v>0</v>
      </c>
      <c r="DM101" s="1283">
        <f>IF($DI101="Opex",SUMIF('Monthly Summary'!$AM$75:$AX$75,"",AR101:BC101),SUMIF('Monthly Summary'!$AM$74:$AX$74,"",AR101:BC101))</f>
        <v>0</v>
      </c>
      <c r="DN101" s="1283">
        <f>IF($DI101="Opex",SUMIF('Monthly Summary'!$AY$75:$BJ$75,"",BD101:BO101),SUMIF('Monthly Summary'!$AY$74:$BJ$74,"",BD101:BO101))</f>
        <v>0</v>
      </c>
      <c r="DO101" s="1284">
        <f>IF($DI101="Opex",SUMIF('Monthly Summary'!$BK$75:$BV$75,"",BP101:CA101),SUMIF('Monthly Summary'!$BK$74:$BV$74,"",BP101:CA101))</f>
        <v>0</v>
      </c>
      <c r="DP101" s="1285">
        <f t="shared" si="32"/>
        <v>0</v>
      </c>
    </row>
    <row r="102" spans="1:120" s="809" customFormat="1">
      <c r="A102" s="1261"/>
      <c r="B102" s="1261"/>
      <c r="C102" s="1261"/>
      <c r="D102" s="1262"/>
      <c r="E102" s="1270"/>
      <c r="F102" s="1263"/>
      <c r="G102" s="1263"/>
      <c r="H102" s="1267"/>
      <c r="I102" s="1268"/>
      <c r="J102" s="1268"/>
      <c r="K102" s="1268"/>
      <c r="L102" s="1268"/>
      <c r="M102" s="1268"/>
      <c r="N102" s="1268"/>
      <c r="O102" s="1268"/>
      <c r="P102" s="1268"/>
      <c r="Q102" s="1268"/>
      <c r="R102" s="1268"/>
      <c r="S102" s="1269"/>
      <c r="T102" s="1267"/>
      <c r="U102" s="1268"/>
      <c r="V102" s="1268"/>
      <c r="W102" s="1268"/>
      <c r="X102" s="1268"/>
      <c r="Y102" s="1268"/>
      <c r="Z102" s="1268"/>
      <c r="AA102" s="1268"/>
      <c r="AB102" s="1268"/>
      <c r="AC102" s="1268"/>
      <c r="AD102" s="1268"/>
      <c r="AE102" s="1269"/>
      <c r="AF102" s="1267"/>
      <c r="AG102" s="1268"/>
      <c r="AH102" s="1268"/>
      <c r="AI102" s="1268"/>
      <c r="AJ102" s="1268"/>
      <c r="AK102" s="1268"/>
      <c r="AL102" s="1268"/>
      <c r="AM102" s="1268"/>
      <c r="AN102" s="1268"/>
      <c r="AO102" s="1268"/>
      <c r="AP102" s="1268"/>
      <c r="AQ102" s="1269"/>
      <c r="AR102" s="1267"/>
      <c r="AS102" s="1268"/>
      <c r="AT102" s="1268"/>
      <c r="AU102" s="1268"/>
      <c r="AV102" s="1268"/>
      <c r="AW102" s="1268"/>
      <c r="AX102" s="1268"/>
      <c r="AY102" s="1268"/>
      <c r="AZ102" s="1268"/>
      <c r="BA102" s="1268"/>
      <c r="BB102" s="1268"/>
      <c r="BC102" s="1269"/>
      <c r="BD102" s="1267"/>
      <c r="BE102" s="1268"/>
      <c r="BF102" s="1268"/>
      <c r="BG102" s="1268"/>
      <c r="BH102" s="1268"/>
      <c r="BI102" s="1268"/>
      <c r="BJ102" s="1268"/>
      <c r="BK102" s="1268"/>
      <c r="BL102" s="1268"/>
      <c r="BM102" s="1268"/>
      <c r="BN102" s="1268"/>
      <c r="BO102" s="1269"/>
      <c r="BP102" s="1267"/>
      <c r="BQ102" s="1268"/>
      <c r="BR102" s="1268"/>
      <c r="BS102" s="1268"/>
      <c r="BT102" s="1268"/>
      <c r="BU102" s="1268"/>
      <c r="BV102" s="1268"/>
      <c r="BW102" s="1268"/>
      <c r="BX102" s="1268"/>
      <c r="BY102" s="1268"/>
      <c r="BZ102" s="1268"/>
      <c r="CA102" s="1269"/>
      <c r="CB102" s="1286">
        <f t="shared" si="25"/>
        <v>0</v>
      </c>
      <c r="CC102" s="1277">
        <f>IF($F102=Miscellaneous!$N$8,SUM($H102:CA102),0)</f>
        <v>0</v>
      </c>
      <c r="CD102" s="1277">
        <f>IF($F102=Miscellaneous!$N$8,IF($G102="Opex",SUMIF('Monthly Summary'!$C$75:BV$75,"",$H102:CA102),SUMIF('Monthly Summary'!$C$74:BV$74,"",$H102:CA102)),0)</f>
        <v>0</v>
      </c>
      <c r="CE102" s="1286">
        <f t="shared" si="26"/>
        <v>0</v>
      </c>
      <c r="CF102" s="833"/>
      <c r="CG102" s="1277">
        <f>IF($F102=Miscellaneous!$N$9,SUM($H102:CA102),0)</f>
        <v>0</v>
      </c>
      <c r="CH102" s="1277">
        <f>IF($F102=Miscellaneous!$N$9,IF($G102="Opex",SUMIF('Monthly Summary'!$C$75:BV$75,"",$H102:CA102),SUMIF('Monthly Summary'!$C$74:BV$74,"",$H102:CA102)),0)</f>
        <v>0</v>
      </c>
      <c r="CI102" s="1286">
        <f t="shared" si="27"/>
        <v>0</v>
      </c>
      <c r="CJ102" s="833"/>
      <c r="CK102" s="1277">
        <f>IF($F102=Miscellaneous!$N$7,SUM($H102:CA102),0)</f>
        <v>0</v>
      </c>
      <c r="CL102" s="1277">
        <f>IF($F102=Miscellaneous!$N$7,IF($G102="Opex",SUMIF('Monthly Summary'!$C$75:BV$75,"",$H102:CA102),SUMIF('Monthly Summary'!$C$74:BV$74,"",$H102:CA102)),0)</f>
        <v>0</v>
      </c>
      <c r="CM102" s="1286">
        <f t="shared" si="28"/>
        <v>0</v>
      </c>
      <c r="CN102" s="833"/>
      <c r="CO102" s="1277">
        <f>IF($F102=Miscellaneous!$N$6,SUM($H102:CA102),0)</f>
        <v>0</v>
      </c>
      <c r="CP102" s="1277">
        <f>IF($F102=Miscellaneous!$N$6,IF($G102="Opex",SUMIF('Monthly Summary'!$C$75:BV$75,"",$H102:CA102),SUMIF('Monthly Summary'!$C$74:BV$74,"",$H102:CA102)),0)</f>
        <v>0</v>
      </c>
      <c r="CQ102" s="1286">
        <f t="shared" si="29"/>
        <v>0</v>
      </c>
      <c r="CR102" s="833"/>
      <c r="CS102" s="1277">
        <f>IF($A102="Software",SUM($H102:CA102),0)</f>
        <v>0</v>
      </c>
      <c r="CT102" s="1277">
        <f>IF($A102="Software",IF($G102="Opex",SUMIF('Monthly Summary'!$C$75:BV$75,"",$H102:CA102),SUMIF('Monthly Summary'!$C$74:BV$74,"",$H102:CA102)),0)</f>
        <v>0</v>
      </c>
      <c r="CU102" s="1286">
        <f t="shared" si="30"/>
        <v>0</v>
      </c>
      <c r="CV102" s="833"/>
      <c r="CW102" s="1277">
        <f t="shared" si="37"/>
        <v>0</v>
      </c>
      <c r="CX102" s="1277">
        <f t="shared" si="38"/>
        <v>0</v>
      </c>
      <c r="CY102" s="1286">
        <f t="shared" si="31"/>
        <v>0</v>
      </c>
      <c r="CZ102" s="833"/>
      <c r="DA102" s="1286">
        <f>IF($G102="Opex",SUMIF('Monthly Summary'!$C$75:BV$75,"",$H102:CA102),SUMIF('Monthly Summary'!$C$74:BV$74,"",$H102:CA102))</f>
        <v>0</v>
      </c>
      <c r="DB102" s="1278">
        <f t="shared" si="39"/>
        <v>0</v>
      </c>
      <c r="DC102" s="1279">
        <f>IF(AND(OR($D102=Variables!A$38,$D102=Variables!A$43),$F102&lt;&gt;"N/A"),1,0)</f>
        <v>0</v>
      </c>
      <c r="DD102" s="820"/>
      <c r="DE102" s="1281" t="str">
        <f t="shared" si="33"/>
        <v/>
      </c>
      <c r="DF102" s="1282" t="str">
        <f t="shared" si="34"/>
        <v/>
      </c>
      <c r="DG102" s="1282" t="str">
        <f t="shared" si="35"/>
        <v/>
      </c>
      <c r="DH102" s="1282" t="str">
        <f>IF(ISNA(VLOOKUP(DE102,Miscellaneous!E:F,2,0)),"",VLOOKUP(DE102,Miscellaneous!E:F,2,0))</f>
        <v/>
      </c>
      <c r="DI102" s="1282" t="str">
        <f t="shared" si="36"/>
        <v/>
      </c>
      <c r="DJ102" s="1283">
        <f>IF($DI102="Opex",SUMIF('Monthly Summary'!$C$75:$N$75,"",H102:S102),SUMIF('Monthly Summary'!$C$74:$N$74,"",H102:S102))</f>
        <v>0</v>
      </c>
      <c r="DK102" s="1283">
        <f>IF($DI102="Opex",SUMIF('Monthly Summary'!$O$75:$Z$75,"",T102:AE102),SUMIF('Monthly Summary'!$O$74:$Z$74,"",T102:AE102))</f>
        <v>0</v>
      </c>
      <c r="DL102" s="1283">
        <f>IF($DI102="Opex",SUMIF('Monthly Summary'!$AA$75:$AL$75,"",AF102:AQ102),SUMIF('Monthly Summary'!$AA$74:$AL$74,"",AF102:AQ102))</f>
        <v>0</v>
      </c>
      <c r="DM102" s="1283">
        <f>IF($DI102="Opex",SUMIF('Monthly Summary'!$AM$75:$AX$75,"",AR102:BC102),SUMIF('Monthly Summary'!$AM$74:$AX$74,"",AR102:BC102))</f>
        <v>0</v>
      </c>
      <c r="DN102" s="1283">
        <f>IF($DI102="Opex",SUMIF('Monthly Summary'!$AY$75:$BJ$75,"",BD102:BO102),SUMIF('Monthly Summary'!$AY$74:$BJ$74,"",BD102:BO102))</f>
        <v>0</v>
      </c>
      <c r="DO102" s="1284">
        <f>IF($DI102="Opex",SUMIF('Monthly Summary'!$BK$75:$BV$75,"",BP102:CA102),SUMIF('Monthly Summary'!$BK$74:$BV$74,"",BP102:CA102))</f>
        <v>0</v>
      </c>
      <c r="DP102" s="1285">
        <f t="shared" si="32"/>
        <v>0</v>
      </c>
    </row>
    <row r="103" spans="1:120" s="809" customFormat="1">
      <c r="A103" s="1261"/>
      <c r="B103" s="1261"/>
      <c r="C103" s="1261"/>
      <c r="D103" s="1262"/>
      <c r="E103" s="1270"/>
      <c r="F103" s="1263"/>
      <c r="G103" s="1263"/>
      <c r="H103" s="1267"/>
      <c r="I103" s="1268"/>
      <c r="J103" s="1268"/>
      <c r="K103" s="1268"/>
      <c r="L103" s="1268"/>
      <c r="M103" s="1268"/>
      <c r="N103" s="1268"/>
      <c r="O103" s="1268"/>
      <c r="P103" s="1268"/>
      <c r="Q103" s="1268"/>
      <c r="R103" s="1268"/>
      <c r="S103" s="1269"/>
      <c r="T103" s="1267"/>
      <c r="U103" s="1268"/>
      <c r="V103" s="1268"/>
      <c r="W103" s="1268"/>
      <c r="X103" s="1268"/>
      <c r="Y103" s="1268"/>
      <c r="Z103" s="1268"/>
      <c r="AA103" s="1268"/>
      <c r="AB103" s="1268"/>
      <c r="AC103" s="1268"/>
      <c r="AD103" s="1268"/>
      <c r="AE103" s="1269"/>
      <c r="AF103" s="1267"/>
      <c r="AG103" s="1268"/>
      <c r="AH103" s="1268"/>
      <c r="AI103" s="1268"/>
      <c r="AJ103" s="1268"/>
      <c r="AK103" s="1268"/>
      <c r="AL103" s="1268"/>
      <c r="AM103" s="1268"/>
      <c r="AN103" s="1268"/>
      <c r="AO103" s="1268"/>
      <c r="AP103" s="1268"/>
      <c r="AQ103" s="1269"/>
      <c r="AR103" s="1267"/>
      <c r="AS103" s="1268"/>
      <c r="AT103" s="1268"/>
      <c r="AU103" s="1268"/>
      <c r="AV103" s="1268"/>
      <c r="AW103" s="1268"/>
      <c r="AX103" s="1268"/>
      <c r="AY103" s="1268"/>
      <c r="AZ103" s="1268"/>
      <c r="BA103" s="1268"/>
      <c r="BB103" s="1268"/>
      <c r="BC103" s="1269"/>
      <c r="BD103" s="1267"/>
      <c r="BE103" s="1268"/>
      <c r="BF103" s="1268"/>
      <c r="BG103" s="1268"/>
      <c r="BH103" s="1268"/>
      <c r="BI103" s="1268"/>
      <c r="BJ103" s="1268"/>
      <c r="BK103" s="1268"/>
      <c r="BL103" s="1268"/>
      <c r="BM103" s="1268"/>
      <c r="BN103" s="1268"/>
      <c r="BO103" s="1269"/>
      <c r="BP103" s="1267"/>
      <c r="BQ103" s="1268"/>
      <c r="BR103" s="1268"/>
      <c r="BS103" s="1268"/>
      <c r="BT103" s="1268"/>
      <c r="BU103" s="1268"/>
      <c r="BV103" s="1268"/>
      <c r="BW103" s="1268"/>
      <c r="BX103" s="1268"/>
      <c r="BY103" s="1268"/>
      <c r="BZ103" s="1268"/>
      <c r="CA103" s="1269"/>
      <c r="CB103" s="1286">
        <f t="shared" si="25"/>
        <v>0</v>
      </c>
      <c r="CC103" s="1277">
        <f>IF($F103=Miscellaneous!$N$8,SUM($H103:CA103),0)</f>
        <v>0</v>
      </c>
      <c r="CD103" s="1277">
        <f>IF($F103=Miscellaneous!$N$8,IF($G103="Opex",SUMIF('Monthly Summary'!$C$75:BV$75,"",$H103:CA103),SUMIF('Monthly Summary'!$C$74:BV$74,"",$H103:CA103)),0)</f>
        <v>0</v>
      </c>
      <c r="CE103" s="1286">
        <f t="shared" si="26"/>
        <v>0</v>
      </c>
      <c r="CF103" s="833"/>
      <c r="CG103" s="1277">
        <f>IF($F103=Miscellaneous!$N$9,SUM($H103:CA103),0)</f>
        <v>0</v>
      </c>
      <c r="CH103" s="1277">
        <f>IF($F103=Miscellaneous!$N$9,IF($G103="Opex",SUMIF('Monthly Summary'!$C$75:BV$75,"",$H103:CA103),SUMIF('Monthly Summary'!$C$74:BV$74,"",$H103:CA103)),0)</f>
        <v>0</v>
      </c>
      <c r="CI103" s="1286">
        <f t="shared" si="27"/>
        <v>0</v>
      </c>
      <c r="CJ103" s="833"/>
      <c r="CK103" s="1277">
        <f>IF($F103=Miscellaneous!$N$7,SUM($H103:CA103),0)</f>
        <v>0</v>
      </c>
      <c r="CL103" s="1277">
        <f>IF($F103=Miscellaneous!$N$7,IF($G103="Opex",SUMIF('Monthly Summary'!$C$75:BV$75,"",$H103:CA103),SUMIF('Monthly Summary'!$C$74:BV$74,"",$H103:CA103)),0)</f>
        <v>0</v>
      </c>
      <c r="CM103" s="1286">
        <f t="shared" si="28"/>
        <v>0</v>
      </c>
      <c r="CN103" s="833"/>
      <c r="CO103" s="1277">
        <f>IF($F103=Miscellaneous!$N$6,SUM($H103:CA103),0)</f>
        <v>0</v>
      </c>
      <c r="CP103" s="1277">
        <f>IF($F103=Miscellaneous!$N$6,IF($G103="Opex",SUMIF('Monthly Summary'!$C$75:BV$75,"",$H103:CA103),SUMIF('Monthly Summary'!$C$74:BV$74,"",$H103:CA103)),0)</f>
        <v>0</v>
      </c>
      <c r="CQ103" s="1286">
        <f t="shared" si="29"/>
        <v>0</v>
      </c>
      <c r="CR103" s="833"/>
      <c r="CS103" s="1277">
        <f>IF($A103="Software",SUM($H103:CA103),0)</f>
        <v>0</v>
      </c>
      <c r="CT103" s="1277">
        <f>IF($A103="Software",IF($G103="Opex",SUMIF('Monthly Summary'!$C$75:BV$75,"",$H103:CA103),SUMIF('Monthly Summary'!$C$74:BV$74,"",$H103:CA103)),0)</f>
        <v>0</v>
      </c>
      <c r="CU103" s="1286">
        <f t="shared" si="30"/>
        <v>0</v>
      </c>
      <c r="CV103" s="833"/>
      <c r="CW103" s="1277">
        <f t="shared" si="37"/>
        <v>0</v>
      </c>
      <c r="CX103" s="1277">
        <f t="shared" si="38"/>
        <v>0</v>
      </c>
      <c r="CY103" s="1286">
        <f t="shared" si="31"/>
        <v>0</v>
      </c>
      <c r="CZ103" s="833"/>
      <c r="DA103" s="1286">
        <f>IF($G103="Opex",SUMIF('Monthly Summary'!$C$75:BV$75,"",$H103:CA103),SUMIF('Monthly Summary'!$C$74:BV$74,"",$H103:CA103))</f>
        <v>0</v>
      </c>
      <c r="DB103" s="1278">
        <f t="shared" si="39"/>
        <v>0</v>
      </c>
      <c r="DC103" s="1279">
        <f>IF(AND(OR($D103=Variables!A$38,$D103=Variables!A$43),$F103&lt;&gt;"N/A"),1,0)</f>
        <v>0</v>
      </c>
      <c r="DD103" s="820"/>
      <c r="DE103" s="1281" t="str">
        <f t="shared" si="33"/>
        <v/>
      </c>
      <c r="DF103" s="1282" t="str">
        <f t="shared" si="34"/>
        <v/>
      </c>
      <c r="DG103" s="1282" t="str">
        <f t="shared" si="35"/>
        <v/>
      </c>
      <c r="DH103" s="1282" t="str">
        <f>IF(ISNA(VLOOKUP(DE103,Miscellaneous!E:F,2,0)),"",VLOOKUP(DE103,Miscellaneous!E:F,2,0))</f>
        <v/>
      </c>
      <c r="DI103" s="1282" t="str">
        <f t="shared" si="36"/>
        <v/>
      </c>
      <c r="DJ103" s="1283">
        <f>IF($DI103="Opex",SUMIF('Monthly Summary'!$C$75:$N$75,"",H103:S103),SUMIF('Monthly Summary'!$C$74:$N$74,"",H103:S103))</f>
        <v>0</v>
      </c>
      <c r="DK103" s="1283">
        <f>IF($DI103="Opex",SUMIF('Monthly Summary'!$O$75:$Z$75,"",T103:AE103),SUMIF('Monthly Summary'!$O$74:$Z$74,"",T103:AE103))</f>
        <v>0</v>
      </c>
      <c r="DL103" s="1283">
        <f>IF($DI103="Opex",SUMIF('Monthly Summary'!$AA$75:$AL$75,"",AF103:AQ103),SUMIF('Monthly Summary'!$AA$74:$AL$74,"",AF103:AQ103))</f>
        <v>0</v>
      </c>
      <c r="DM103" s="1283">
        <f>IF($DI103="Opex",SUMIF('Monthly Summary'!$AM$75:$AX$75,"",AR103:BC103),SUMIF('Monthly Summary'!$AM$74:$AX$74,"",AR103:BC103))</f>
        <v>0</v>
      </c>
      <c r="DN103" s="1283">
        <f>IF($DI103="Opex",SUMIF('Monthly Summary'!$AY$75:$BJ$75,"",BD103:BO103),SUMIF('Monthly Summary'!$AY$74:$BJ$74,"",BD103:BO103))</f>
        <v>0</v>
      </c>
      <c r="DO103" s="1284">
        <f>IF($DI103="Opex",SUMIF('Monthly Summary'!$BK$75:$BV$75,"",BP103:CA103),SUMIF('Monthly Summary'!$BK$74:$BV$74,"",BP103:CA103))</f>
        <v>0</v>
      </c>
      <c r="DP103" s="1285">
        <f t="shared" si="32"/>
        <v>0</v>
      </c>
    </row>
    <row r="104" spans="1:120" s="809" customFormat="1">
      <c r="A104" s="1261"/>
      <c r="B104" s="1261"/>
      <c r="C104" s="1261"/>
      <c r="D104" s="1262"/>
      <c r="E104" s="1270"/>
      <c r="F104" s="1263"/>
      <c r="G104" s="1263"/>
      <c r="H104" s="1267"/>
      <c r="I104" s="1268"/>
      <c r="J104" s="1268"/>
      <c r="K104" s="1268"/>
      <c r="L104" s="1268"/>
      <c r="M104" s="1268"/>
      <c r="N104" s="1268"/>
      <c r="O104" s="1268"/>
      <c r="P104" s="1268"/>
      <c r="Q104" s="1268"/>
      <c r="R104" s="1268"/>
      <c r="S104" s="1269"/>
      <c r="T104" s="1267"/>
      <c r="U104" s="1268"/>
      <c r="V104" s="1268"/>
      <c r="W104" s="1268"/>
      <c r="X104" s="1268"/>
      <c r="Y104" s="1268"/>
      <c r="Z104" s="1268"/>
      <c r="AA104" s="1268"/>
      <c r="AB104" s="1268"/>
      <c r="AC104" s="1268"/>
      <c r="AD104" s="1268"/>
      <c r="AE104" s="1269"/>
      <c r="AF104" s="1267"/>
      <c r="AG104" s="1268"/>
      <c r="AH104" s="1268"/>
      <c r="AI104" s="1268"/>
      <c r="AJ104" s="1268"/>
      <c r="AK104" s="1268"/>
      <c r="AL104" s="1268"/>
      <c r="AM104" s="1268"/>
      <c r="AN104" s="1268"/>
      <c r="AO104" s="1268"/>
      <c r="AP104" s="1268"/>
      <c r="AQ104" s="1269"/>
      <c r="AR104" s="1267"/>
      <c r="AS104" s="1268"/>
      <c r="AT104" s="1268"/>
      <c r="AU104" s="1268"/>
      <c r="AV104" s="1268"/>
      <c r="AW104" s="1268"/>
      <c r="AX104" s="1268"/>
      <c r="AY104" s="1268"/>
      <c r="AZ104" s="1268"/>
      <c r="BA104" s="1268"/>
      <c r="BB104" s="1268"/>
      <c r="BC104" s="1269"/>
      <c r="BD104" s="1267"/>
      <c r="BE104" s="1268"/>
      <c r="BF104" s="1268"/>
      <c r="BG104" s="1268"/>
      <c r="BH104" s="1268"/>
      <c r="BI104" s="1268"/>
      <c r="BJ104" s="1268"/>
      <c r="BK104" s="1268"/>
      <c r="BL104" s="1268"/>
      <c r="BM104" s="1268"/>
      <c r="BN104" s="1268"/>
      <c r="BO104" s="1269"/>
      <c r="BP104" s="1267"/>
      <c r="BQ104" s="1268"/>
      <c r="BR104" s="1268"/>
      <c r="BS104" s="1268"/>
      <c r="BT104" s="1268"/>
      <c r="BU104" s="1268"/>
      <c r="BV104" s="1268"/>
      <c r="BW104" s="1268"/>
      <c r="BX104" s="1268"/>
      <c r="BY104" s="1268"/>
      <c r="BZ104" s="1268"/>
      <c r="CA104" s="1269"/>
      <c r="CB104" s="1286">
        <f t="shared" si="25"/>
        <v>0</v>
      </c>
      <c r="CC104" s="1277">
        <f>IF($F104=Miscellaneous!$N$8,SUM($H104:CA104),0)</f>
        <v>0</v>
      </c>
      <c r="CD104" s="1277">
        <f>IF($F104=Miscellaneous!$N$8,IF($G104="Opex",SUMIF('Monthly Summary'!$C$75:BV$75,"",$H104:CA104),SUMIF('Monthly Summary'!$C$74:BV$74,"",$H104:CA104)),0)</f>
        <v>0</v>
      </c>
      <c r="CE104" s="1286">
        <f t="shared" si="26"/>
        <v>0</v>
      </c>
      <c r="CF104" s="833"/>
      <c r="CG104" s="1277">
        <f>IF($F104=Miscellaneous!$N$9,SUM($H104:CA104),0)</f>
        <v>0</v>
      </c>
      <c r="CH104" s="1277">
        <f>IF($F104=Miscellaneous!$N$9,IF($G104="Opex",SUMIF('Monthly Summary'!$C$75:BV$75,"",$H104:CA104),SUMIF('Monthly Summary'!$C$74:BV$74,"",$H104:CA104)),0)</f>
        <v>0</v>
      </c>
      <c r="CI104" s="1286">
        <f t="shared" si="27"/>
        <v>0</v>
      </c>
      <c r="CJ104" s="833"/>
      <c r="CK104" s="1277">
        <f>IF($F104=Miscellaneous!$N$7,SUM($H104:CA104),0)</f>
        <v>0</v>
      </c>
      <c r="CL104" s="1277">
        <f>IF($F104=Miscellaneous!$N$7,IF($G104="Opex",SUMIF('Monthly Summary'!$C$75:BV$75,"",$H104:CA104),SUMIF('Monthly Summary'!$C$74:BV$74,"",$H104:CA104)),0)</f>
        <v>0</v>
      </c>
      <c r="CM104" s="1286">
        <f t="shared" si="28"/>
        <v>0</v>
      </c>
      <c r="CN104" s="833"/>
      <c r="CO104" s="1277">
        <f>IF($F104=Miscellaneous!$N$6,SUM($H104:CA104),0)</f>
        <v>0</v>
      </c>
      <c r="CP104" s="1277">
        <f>IF($F104=Miscellaneous!$N$6,IF($G104="Opex",SUMIF('Monthly Summary'!$C$75:BV$75,"",$H104:CA104),SUMIF('Monthly Summary'!$C$74:BV$74,"",$H104:CA104)),0)</f>
        <v>0</v>
      </c>
      <c r="CQ104" s="1286">
        <f t="shared" si="29"/>
        <v>0</v>
      </c>
      <c r="CR104" s="833"/>
      <c r="CS104" s="1277">
        <f>IF($A104="Software",SUM($H104:CA104),0)</f>
        <v>0</v>
      </c>
      <c r="CT104" s="1277">
        <f>IF($A104="Software",IF($G104="Opex",SUMIF('Monthly Summary'!$C$75:BV$75,"",$H104:CA104),SUMIF('Monthly Summary'!$C$74:BV$74,"",$H104:CA104)),0)</f>
        <v>0</v>
      </c>
      <c r="CU104" s="1286">
        <f t="shared" si="30"/>
        <v>0</v>
      </c>
      <c r="CV104" s="833"/>
      <c r="CW104" s="1277">
        <f t="shared" si="37"/>
        <v>0</v>
      </c>
      <c r="CX104" s="1277">
        <f t="shared" si="38"/>
        <v>0</v>
      </c>
      <c r="CY104" s="1286">
        <f t="shared" si="31"/>
        <v>0</v>
      </c>
      <c r="CZ104" s="833"/>
      <c r="DA104" s="1286">
        <f>IF($G104="Opex",SUMIF('Monthly Summary'!$C$75:BV$75,"",$H104:CA104),SUMIF('Monthly Summary'!$C$74:BV$74,"",$H104:CA104))</f>
        <v>0</v>
      </c>
      <c r="DB104" s="1278">
        <f t="shared" si="39"/>
        <v>0</v>
      </c>
      <c r="DC104" s="1279">
        <f>IF(AND(OR($D104=Variables!A$38,$D104=Variables!A$43),$F104&lt;&gt;"N/A"),1,0)</f>
        <v>0</v>
      </c>
      <c r="DD104" s="820"/>
      <c r="DE104" s="1281" t="str">
        <f t="shared" si="33"/>
        <v/>
      </c>
      <c r="DF104" s="1282" t="str">
        <f t="shared" si="34"/>
        <v/>
      </c>
      <c r="DG104" s="1282" t="str">
        <f t="shared" si="35"/>
        <v/>
      </c>
      <c r="DH104" s="1282" t="str">
        <f>IF(ISNA(VLOOKUP(DE104,Miscellaneous!E:F,2,0)),"",VLOOKUP(DE104,Miscellaneous!E:F,2,0))</f>
        <v/>
      </c>
      <c r="DI104" s="1282" t="str">
        <f t="shared" si="36"/>
        <v/>
      </c>
      <c r="DJ104" s="1283">
        <f>IF($DI104="Opex",SUMIF('Monthly Summary'!$C$75:$N$75,"",H104:S104),SUMIF('Monthly Summary'!$C$74:$N$74,"",H104:S104))</f>
        <v>0</v>
      </c>
      <c r="DK104" s="1283">
        <f>IF($DI104="Opex",SUMIF('Monthly Summary'!$O$75:$Z$75,"",T104:AE104),SUMIF('Monthly Summary'!$O$74:$Z$74,"",T104:AE104))</f>
        <v>0</v>
      </c>
      <c r="DL104" s="1283">
        <f>IF($DI104="Opex",SUMIF('Monthly Summary'!$AA$75:$AL$75,"",AF104:AQ104),SUMIF('Monthly Summary'!$AA$74:$AL$74,"",AF104:AQ104))</f>
        <v>0</v>
      </c>
      <c r="DM104" s="1283">
        <f>IF($DI104="Opex",SUMIF('Monthly Summary'!$AM$75:$AX$75,"",AR104:BC104),SUMIF('Monthly Summary'!$AM$74:$AX$74,"",AR104:BC104))</f>
        <v>0</v>
      </c>
      <c r="DN104" s="1283">
        <f>IF($DI104="Opex",SUMIF('Monthly Summary'!$AY$75:$BJ$75,"",BD104:BO104),SUMIF('Monthly Summary'!$AY$74:$BJ$74,"",BD104:BO104))</f>
        <v>0</v>
      </c>
      <c r="DO104" s="1284">
        <f>IF($DI104="Opex",SUMIF('Monthly Summary'!$BK$75:$BV$75,"",BP104:CA104),SUMIF('Monthly Summary'!$BK$74:$BV$74,"",BP104:CA104))</f>
        <v>0</v>
      </c>
      <c r="DP104" s="1285">
        <f t="shared" si="32"/>
        <v>0</v>
      </c>
    </row>
    <row r="105" spans="1:120" s="809" customFormat="1">
      <c r="A105" s="1261"/>
      <c r="B105" s="1261"/>
      <c r="C105" s="1261"/>
      <c r="D105" s="1262"/>
      <c r="E105" s="1270"/>
      <c r="F105" s="1263"/>
      <c r="G105" s="1263"/>
      <c r="H105" s="1267"/>
      <c r="I105" s="1268"/>
      <c r="J105" s="1268"/>
      <c r="K105" s="1268"/>
      <c r="L105" s="1268"/>
      <c r="M105" s="1268"/>
      <c r="N105" s="1268"/>
      <c r="O105" s="1268"/>
      <c r="P105" s="1268"/>
      <c r="Q105" s="1268"/>
      <c r="R105" s="1268"/>
      <c r="S105" s="1269"/>
      <c r="T105" s="1267"/>
      <c r="U105" s="1268"/>
      <c r="V105" s="1268"/>
      <c r="W105" s="1268"/>
      <c r="X105" s="1268"/>
      <c r="Y105" s="1268"/>
      <c r="Z105" s="1268"/>
      <c r="AA105" s="1268"/>
      <c r="AB105" s="1268"/>
      <c r="AC105" s="1268"/>
      <c r="AD105" s="1268"/>
      <c r="AE105" s="1269"/>
      <c r="AF105" s="1267"/>
      <c r="AG105" s="1268"/>
      <c r="AH105" s="1268"/>
      <c r="AI105" s="1268"/>
      <c r="AJ105" s="1268"/>
      <c r="AK105" s="1268"/>
      <c r="AL105" s="1268"/>
      <c r="AM105" s="1268"/>
      <c r="AN105" s="1268"/>
      <c r="AO105" s="1268"/>
      <c r="AP105" s="1268"/>
      <c r="AQ105" s="1269"/>
      <c r="AR105" s="1267"/>
      <c r="AS105" s="1268"/>
      <c r="AT105" s="1268"/>
      <c r="AU105" s="1268"/>
      <c r="AV105" s="1268"/>
      <c r="AW105" s="1268"/>
      <c r="AX105" s="1268"/>
      <c r="AY105" s="1268"/>
      <c r="AZ105" s="1268"/>
      <c r="BA105" s="1268"/>
      <c r="BB105" s="1268"/>
      <c r="BC105" s="1269"/>
      <c r="BD105" s="1267"/>
      <c r="BE105" s="1268"/>
      <c r="BF105" s="1268"/>
      <c r="BG105" s="1268"/>
      <c r="BH105" s="1268"/>
      <c r="BI105" s="1268"/>
      <c r="BJ105" s="1268"/>
      <c r="BK105" s="1268"/>
      <c r="BL105" s="1268"/>
      <c r="BM105" s="1268"/>
      <c r="BN105" s="1268"/>
      <c r="BO105" s="1269"/>
      <c r="BP105" s="1267"/>
      <c r="BQ105" s="1268"/>
      <c r="BR105" s="1268"/>
      <c r="BS105" s="1268"/>
      <c r="BT105" s="1268"/>
      <c r="BU105" s="1268"/>
      <c r="BV105" s="1268"/>
      <c r="BW105" s="1268"/>
      <c r="BX105" s="1268"/>
      <c r="BY105" s="1268"/>
      <c r="BZ105" s="1268"/>
      <c r="CA105" s="1269"/>
      <c r="CB105" s="1286">
        <f t="shared" si="25"/>
        <v>0</v>
      </c>
      <c r="CC105" s="1277">
        <f>IF($F105=Miscellaneous!$N$8,SUM($H105:CA105),0)</f>
        <v>0</v>
      </c>
      <c r="CD105" s="1277">
        <f>IF($F105=Miscellaneous!$N$8,IF($G105="Opex",SUMIF('Monthly Summary'!$C$75:BV$75,"",$H105:CA105),SUMIF('Monthly Summary'!$C$74:BV$74,"",$H105:CA105)),0)</f>
        <v>0</v>
      </c>
      <c r="CE105" s="1286">
        <f t="shared" si="26"/>
        <v>0</v>
      </c>
      <c r="CF105" s="833"/>
      <c r="CG105" s="1277">
        <f>IF($F105=Miscellaneous!$N$9,SUM($H105:CA105),0)</f>
        <v>0</v>
      </c>
      <c r="CH105" s="1277">
        <f>IF($F105=Miscellaneous!$N$9,IF($G105="Opex",SUMIF('Monthly Summary'!$C$75:BV$75,"",$H105:CA105),SUMIF('Monthly Summary'!$C$74:BV$74,"",$H105:CA105)),0)</f>
        <v>0</v>
      </c>
      <c r="CI105" s="1286">
        <f t="shared" si="27"/>
        <v>0</v>
      </c>
      <c r="CJ105" s="833"/>
      <c r="CK105" s="1277">
        <f>IF($F105=Miscellaneous!$N$7,SUM($H105:CA105),0)</f>
        <v>0</v>
      </c>
      <c r="CL105" s="1277">
        <f>IF($F105=Miscellaneous!$N$7,IF($G105="Opex",SUMIF('Monthly Summary'!$C$75:BV$75,"",$H105:CA105),SUMIF('Monthly Summary'!$C$74:BV$74,"",$H105:CA105)),0)</f>
        <v>0</v>
      </c>
      <c r="CM105" s="1286">
        <f t="shared" si="28"/>
        <v>0</v>
      </c>
      <c r="CN105" s="833"/>
      <c r="CO105" s="1277">
        <f>IF($F105=Miscellaneous!$N$6,SUM($H105:CA105),0)</f>
        <v>0</v>
      </c>
      <c r="CP105" s="1277">
        <f>IF($F105=Miscellaneous!$N$6,IF($G105="Opex",SUMIF('Monthly Summary'!$C$75:BV$75,"",$H105:CA105),SUMIF('Monthly Summary'!$C$74:BV$74,"",$H105:CA105)),0)</f>
        <v>0</v>
      </c>
      <c r="CQ105" s="1286">
        <f t="shared" si="29"/>
        <v>0</v>
      </c>
      <c r="CR105" s="833"/>
      <c r="CS105" s="1277">
        <f>IF($A105="Software",SUM($H105:CA105),0)</f>
        <v>0</v>
      </c>
      <c r="CT105" s="1277">
        <f>IF($A105="Software",IF($G105="Opex",SUMIF('Monthly Summary'!$C$75:BV$75,"",$H105:CA105),SUMIF('Monthly Summary'!$C$74:BV$74,"",$H105:CA105)),0)</f>
        <v>0</v>
      </c>
      <c r="CU105" s="1286">
        <f t="shared" si="30"/>
        <v>0</v>
      </c>
      <c r="CV105" s="833"/>
      <c r="CW105" s="1277">
        <f t="shared" si="37"/>
        <v>0</v>
      </c>
      <c r="CX105" s="1277">
        <f t="shared" si="38"/>
        <v>0</v>
      </c>
      <c r="CY105" s="1286">
        <f t="shared" si="31"/>
        <v>0</v>
      </c>
      <c r="CZ105" s="833"/>
      <c r="DA105" s="1286">
        <f>IF($G105="Opex",SUMIF('Monthly Summary'!$C$75:BV$75,"",$H105:CA105),SUMIF('Monthly Summary'!$C$74:BV$74,"",$H105:CA105))</f>
        <v>0</v>
      </c>
      <c r="DB105" s="1278">
        <f t="shared" si="39"/>
        <v>0</v>
      </c>
      <c r="DC105" s="1279">
        <f>IF(AND(OR($D105=Variables!A$38,$D105=Variables!A$43),$F105&lt;&gt;"N/A"),1,0)</f>
        <v>0</v>
      </c>
      <c r="DD105" s="820"/>
      <c r="DE105" s="1281" t="str">
        <f t="shared" si="33"/>
        <v/>
      </c>
      <c r="DF105" s="1282" t="str">
        <f t="shared" si="34"/>
        <v/>
      </c>
      <c r="DG105" s="1282" t="str">
        <f t="shared" si="35"/>
        <v/>
      </c>
      <c r="DH105" s="1282" t="str">
        <f>IF(ISNA(VLOOKUP(DE105,Miscellaneous!E:F,2,0)),"",VLOOKUP(DE105,Miscellaneous!E:F,2,0))</f>
        <v/>
      </c>
      <c r="DI105" s="1282" t="str">
        <f t="shared" si="36"/>
        <v/>
      </c>
      <c r="DJ105" s="1283">
        <f>IF($DI105="Opex",SUMIF('Monthly Summary'!$C$75:$N$75,"",H105:S105),SUMIF('Monthly Summary'!$C$74:$N$74,"",H105:S105))</f>
        <v>0</v>
      </c>
      <c r="DK105" s="1283">
        <f>IF($DI105="Opex",SUMIF('Monthly Summary'!$O$75:$Z$75,"",T105:AE105),SUMIF('Monthly Summary'!$O$74:$Z$74,"",T105:AE105))</f>
        <v>0</v>
      </c>
      <c r="DL105" s="1283">
        <f>IF($DI105="Opex",SUMIF('Monthly Summary'!$AA$75:$AL$75,"",AF105:AQ105),SUMIF('Monthly Summary'!$AA$74:$AL$74,"",AF105:AQ105))</f>
        <v>0</v>
      </c>
      <c r="DM105" s="1283">
        <f>IF($DI105="Opex",SUMIF('Monthly Summary'!$AM$75:$AX$75,"",AR105:BC105),SUMIF('Monthly Summary'!$AM$74:$AX$74,"",AR105:BC105))</f>
        <v>0</v>
      </c>
      <c r="DN105" s="1283">
        <f>IF($DI105="Opex",SUMIF('Monthly Summary'!$AY$75:$BJ$75,"",BD105:BO105),SUMIF('Monthly Summary'!$AY$74:$BJ$74,"",BD105:BO105))</f>
        <v>0</v>
      </c>
      <c r="DO105" s="1284">
        <f>IF($DI105="Opex",SUMIF('Monthly Summary'!$BK$75:$BV$75,"",BP105:CA105),SUMIF('Monthly Summary'!$BK$74:$BV$74,"",BP105:CA105))</f>
        <v>0</v>
      </c>
      <c r="DP105" s="1285">
        <f t="shared" si="32"/>
        <v>0</v>
      </c>
    </row>
    <row r="106" spans="1:120" s="809" customFormat="1">
      <c r="A106" s="1261"/>
      <c r="B106" s="1261"/>
      <c r="C106" s="1261"/>
      <c r="D106" s="1262"/>
      <c r="E106" s="1270"/>
      <c r="F106" s="1263"/>
      <c r="G106" s="1263"/>
      <c r="H106" s="1267"/>
      <c r="I106" s="1268"/>
      <c r="J106" s="1268"/>
      <c r="K106" s="1268"/>
      <c r="L106" s="1268"/>
      <c r="M106" s="1268"/>
      <c r="N106" s="1268"/>
      <c r="O106" s="1268"/>
      <c r="P106" s="1268"/>
      <c r="Q106" s="1268"/>
      <c r="R106" s="1268"/>
      <c r="S106" s="1269"/>
      <c r="T106" s="1267"/>
      <c r="U106" s="1268"/>
      <c r="V106" s="1268"/>
      <c r="W106" s="1268"/>
      <c r="X106" s="1268"/>
      <c r="Y106" s="1268"/>
      <c r="Z106" s="1268"/>
      <c r="AA106" s="1268"/>
      <c r="AB106" s="1268"/>
      <c r="AC106" s="1268"/>
      <c r="AD106" s="1268"/>
      <c r="AE106" s="1269"/>
      <c r="AF106" s="1267"/>
      <c r="AG106" s="1268"/>
      <c r="AH106" s="1268"/>
      <c r="AI106" s="1268"/>
      <c r="AJ106" s="1268"/>
      <c r="AK106" s="1268"/>
      <c r="AL106" s="1268"/>
      <c r="AM106" s="1268"/>
      <c r="AN106" s="1268"/>
      <c r="AO106" s="1268"/>
      <c r="AP106" s="1268"/>
      <c r="AQ106" s="1269"/>
      <c r="AR106" s="1267"/>
      <c r="AS106" s="1268"/>
      <c r="AT106" s="1268"/>
      <c r="AU106" s="1268"/>
      <c r="AV106" s="1268"/>
      <c r="AW106" s="1268"/>
      <c r="AX106" s="1268"/>
      <c r="AY106" s="1268"/>
      <c r="AZ106" s="1268"/>
      <c r="BA106" s="1268"/>
      <c r="BB106" s="1268"/>
      <c r="BC106" s="1269"/>
      <c r="BD106" s="1267"/>
      <c r="BE106" s="1268"/>
      <c r="BF106" s="1268"/>
      <c r="BG106" s="1268"/>
      <c r="BH106" s="1268"/>
      <c r="BI106" s="1268"/>
      <c r="BJ106" s="1268"/>
      <c r="BK106" s="1268"/>
      <c r="BL106" s="1268"/>
      <c r="BM106" s="1268"/>
      <c r="BN106" s="1268"/>
      <c r="BO106" s="1269"/>
      <c r="BP106" s="1267"/>
      <c r="BQ106" s="1268"/>
      <c r="BR106" s="1268"/>
      <c r="BS106" s="1268"/>
      <c r="BT106" s="1268"/>
      <c r="BU106" s="1268"/>
      <c r="BV106" s="1268"/>
      <c r="BW106" s="1268"/>
      <c r="BX106" s="1268"/>
      <c r="BY106" s="1268"/>
      <c r="BZ106" s="1268"/>
      <c r="CA106" s="1269"/>
      <c r="CB106" s="1286">
        <f t="shared" si="25"/>
        <v>0</v>
      </c>
      <c r="CC106" s="1277">
        <f>IF($F106=Miscellaneous!$N$8,SUM($H106:CA106),0)</f>
        <v>0</v>
      </c>
      <c r="CD106" s="1277">
        <f>IF($F106=Miscellaneous!$N$8,IF($G106="Opex",SUMIF('Monthly Summary'!$C$75:BV$75,"",$H106:CA106),SUMIF('Monthly Summary'!$C$74:BV$74,"",$H106:CA106)),0)</f>
        <v>0</v>
      </c>
      <c r="CE106" s="1286">
        <f t="shared" si="26"/>
        <v>0</v>
      </c>
      <c r="CF106" s="833"/>
      <c r="CG106" s="1277">
        <f>IF($F106=Miscellaneous!$N$9,SUM($H106:CA106),0)</f>
        <v>0</v>
      </c>
      <c r="CH106" s="1277">
        <f>IF($F106=Miscellaneous!$N$9,IF($G106="Opex",SUMIF('Monthly Summary'!$C$75:BV$75,"",$H106:CA106),SUMIF('Monthly Summary'!$C$74:BV$74,"",$H106:CA106)),0)</f>
        <v>0</v>
      </c>
      <c r="CI106" s="1286">
        <f t="shared" si="27"/>
        <v>0</v>
      </c>
      <c r="CJ106" s="833"/>
      <c r="CK106" s="1277">
        <f>IF($F106=Miscellaneous!$N$7,SUM($H106:CA106),0)</f>
        <v>0</v>
      </c>
      <c r="CL106" s="1277">
        <f>IF($F106=Miscellaneous!$N$7,IF($G106="Opex",SUMIF('Monthly Summary'!$C$75:BV$75,"",$H106:CA106),SUMIF('Monthly Summary'!$C$74:BV$74,"",$H106:CA106)),0)</f>
        <v>0</v>
      </c>
      <c r="CM106" s="1286">
        <f t="shared" si="28"/>
        <v>0</v>
      </c>
      <c r="CN106" s="833"/>
      <c r="CO106" s="1277">
        <f>IF($F106=Miscellaneous!$N$6,SUM($H106:CA106),0)</f>
        <v>0</v>
      </c>
      <c r="CP106" s="1277">
        <f>IF($F106=Miscellaneous!$N$6,IF($G106="Opex",SUMIF('Monthly Summary'!$C$75:BV$75,"",$H106:CA106),SUMIF('Monthly Summary'!$C$74:BV$74,"",$H106:CA106)),0)</f>
        <v>0</v>
      </c>
      <c r="CQ106" s="1286">
        <f t="shared" si="29"/>
        <v>0</v>
      </c>
      <c r="CR106" s="833"/>
      <c r="CS106" s="1277">
        <f>IF($A106="Software",SUM($H106:CA106),0)</f>
        <v>0</v>
      </c>
      <c r="CT106" s="1277">
        <f>IF($A106="Software",IF($G106="Opex",SUMIF('Monthly Summary'!$C$75:BV$75,"",$H106:CA106),SUMIF('Monthly Summary'!$C$74:BV$74,"",$H106:CA106)),0)</f>
        <v>0</v>
      </c>
      <c r="CU106" s="1286">
        <f t="shared" si="30"/>
        <v>0</v>
      </c>
      <c r="CV106" s="833"/>
      <c r="CW106" s="1277">
        <f t="shared" si="37"/>
        <v>0</v>
      </c>
      <c r="CX106" s="1277">
        <f t="shared" si="38"/>
        <v>0</v>
      </c>
      <c r="CY106" s="1286">
        <f t="shared" si="31"/>
        <v>0</v>
      </c>
      <c r="CZ106" s="833"/>
      <c r="DA106" s="1286">
        <f>IF($G106="Opex",SUMIF('Monthly Summary'!$C$75:BV$75,"",$H106:CA106),SUMIF('Monthly Summary'!$C$74:BV$74,"",$H106:CA106))</f>
        <v>0</v>
      </c>
      <c r="DB106" s="1278">
        <f t="shared" si="39"/>
        <v>0</v>
      </c>
      <c r="DC106" s="1279">
        <f>IF(AND(OR($D106=Variables!A$38,$D106=Variables!A$43),$F106&lt;&gt;"N/A"),1,0)</f>
        <v>0</v>
      </c>
      <c r="DD106" s="820"/>
      <c r="DE106" s="1281" t="str">
        <f t="shared" si="33"/>
        <v/>
      </c>
      <c r="DF106" s="1282" t="str">
        <f t="shared" si="34"/>
        <v/>
      </c>
      <c r="DG106" s="1282" t="str">
        <f t="shared" si="35"/>
        <v/>
      </c>
      <c r="DH106" s="1282" t="str">
        <f>IF(ISNA(VLOOKUP(DE106,Miscellaneous!E:F,2,0)),"",VLOOKUP(DE106,Miscellaneous!E:F,2,0))</f>
        <v/>
      </c>
      <c r="DI106" s="1282" t="str">
        <f t="shared" si="36"/>
        <v/>
      </c>
      <c r="DJ106" s="1283">
        <f>IF($DI106="Opex",SUMIF('Monthly Summary'!$C$75:$N$75,"",H106:S106),SUMIF('Monthly Summary'!$C$74:$N$74,"",H106:S106))</f>
        <v>0</v>
      </c>
      <c r="DK106" s="1283">
        <f>IF($DI106="Opex",SUMIF('Monthly Summary'!$O$75:$Z$75,"",T106:AE106),SUMIF('Monthly Summary'!$O$74:$Z$74,"",T106:AE106))</f>
        <v>0</v>
      </c>
      <c r="DL106" s="1283">
        <f>IF($DI106="Opex",SUMIF('Monthly Summary'!$AA$75:$AL$75,"",AF106:AQ106),SUMIF('Monthly Summary'!$AA$74:$AL$74,"",AF106:AQ106))</f>
        <v>0</v>
      </c>
      <c r="DM106" s="1283">
        <f>IF($DI106="Opex",SUMIF('Monthly Summary'!$AM$75:$AX$75,"",AR106:BC106),SUMIF('Monthly Summary'!$AM$74:$AX$74,"",AR106:BC106))</f>
        <v>0</v>
      </c>
      <c r="DN106" s="1283">
        <f>IF($DI106="Opex",SUMIF('Monthly Summary'!$AY$75:$BJ$75,"",BD106:BO106),SUMIF('Monthly Summary'!$AY$74:$BJ$74,"",BD106:BO106))</f>
        <v>0</v>
      </c>
      <c r="DO106" s="1284">
        <f>IF($DI106="Opex",SUMIF('Monthly Summary'!$BK$75:$BV$75,"",BP106:CA106),SUMIF('Monthly Summary'!$BK$74:$BV$74,"",BP106:CA106))</f>
        <v>0</v>
      </c>
      <c r="DP106" s="1285">
        <f t="shared" si="32"/>
        <v>0</v>
      </c>
    </row>
    <row r="107" spans="1:120" s="809" customFormat="1">
      <c r="A107" s="1261"/>
      <c r="B107" s="1261"/>
      <c r="C107" s="1261"/>
      <c r="D107" s="1262"/>
      <c r="E107" s="1270"/>
      <c r="F107" s="1263"/>
      <c r="G107" s="1263"/>
      <c r="H107" s="1267"/>
      <c r="I107" s="1268"/>
      <c r="J107" s="1268"/>
      <c r="K107" s="1268"/>
      <c r="L107" s="1268"/>
      <c r="M107" s="1268"/>
      <c r="N107" s="1268"/>
      <c r="O107" s="1268"/>
      <c r="P107" s="1268"/>
      <c r="Q107" s="1268"/>
      <c r="R107" s="1268"/>
      <c r="S107" s="1269"/>
      <c r="T107" s="1267"/>
      <c r="U107" s="1268"/>
      <c r="V107" s="1268"/>
      <c r="W107" s="1268"/>
      <c r="X107" s="1268"/>
      <c r="Y107" s="1268"/>
      <c r="Z107" s="1268"/>
      <c r="AA107" s="1268"/>
      <c r="AB107" s="1268"/>
      <c r="AC107" s="1268"/>
      <c r="AD107" s="1268"/>
      <c r="AE107" s="1269"/>
      <c r="AF107" s="1267"/>
      <c r="AG107" s="1268"/>
      <c r="AH107" s="1268"/>
      <c r="AI107" s="1268"/>
      <c r="AJ107" s="1268"/>
      <c r="AK107" s="1268"/>
      <c r="AL107" s="1268"/>
      <c r="AM107" s="1268"/>
      <c r="AN107" s="1268"/>
      <c r="AO107" s="1268"/>
      <c r="AP107" s="1268"/>
      <c r="AQ107" s="1269"/>
      <c r="AR107" s="1267"/>
      <c r="AS107" s="1268"/>
      <c r="AT107" s="1268"/>
      <c r="AU107" s="1268"/>
      <c r="AV107" s="1268"/>
      <c r="AW107" s="1268"/>
      <c r="AX107" s="1268"/>
      <c r="AY107" s="1268"/>
      <c r="AZ107" s="1268"/>
      <c r="BA107" s="1268"/>
      <c r="BB107" s="1268"/>
      <c r="BC107" s="1269"/>
      <c r="BD107" s="1267"/>
      <c r="BE107" s="1268"/>
      <c r="BF107" s="1268"/>
      <c r="BG107" s="1268"/>
      <c r="BH107" s="1268"/>
      <c r="BI107" s="1268"/>
      <c r="BJ107" s="1268"/>
      <c r="BK107" s="1268"/>
      <c r="BL107" s="1268"/>
      <c r="BM107" s="1268"/>
      <c r="BN107" s="1268"/>
      <c r="BO107" s="1269"/>
      <c r="BP107" s="1267"/>
      <c r="BQ107" s="1268"/>
      <c r="BR107" s="1268"/>
      <c r="BS107" s="1268"/>
      <c r="BT107" s="1268"/>
      <c r="BU107" s="1268"/>
      <c r="BV107" s="1268"/>
      <c r="BW107" s="1268"/>
      <c r="BX107" s="1268"/>
      <c r="BY107" s="1268"/>
      <c r="BZ107" s="1268"/>
      <c r="CA107" s="1269"/>
      <c r="CB107" s="1286">
        <f t="shared" si="25"/>
        <v>0</v>
      </c>
      <c r="CC107" s="1277">
        <f>IF($F107=Miscellaneous!$N$8,SUM($H107:CA107),0)</f>
        <v>0</v>
      </c>
      <c r="CD107" s="1277">
        <f>IF($F107=Miscellaneous!$N$8,IF($G107="Opex",SUMIF('Monthly Summary'!$C$75:BV$75,"",$H107:CA107),SUMIF('Monthly Summary'!$C$74:BV$74,"",$H107:CA107)),0)</f>
        <v>0</v>
      </c>
      <c r="CE107" s="1286">
        <f t="shared" si="26"/>
        <v>0</v>
      </c>
      <c r="CF107" s="833"/>
      <c r="CG107" s="1277">
        <f>IF($F107=Miscellaneous!$N$9,SUM($H107:CA107),0)</f>
        <v>0</v>
      </c>
      <c r="CH107" s="1277">
        <f>IF($F107=Miscellaneous!$N$9,IF($G107="Opex",SUMIF('Monthly Summary'!$C$75:BV$75,"",$H107:CA107),SUMIF('Monthly Summary'!$C$74:BV$74,"",$H107:CA107)),0)</f>
        <v>0</v>
      </c>
      <c r="CI107" s="1286">
        <f t="shared" si="27"/>
        <v>0</v>
      </c>
      <c r="CJ107" s="833"/>
      <c r="CK107" s="1277">
        <f>IF($F107=Miscellaneous!$N$7,SUM($H107:CA107),0)</f>
        <v>0</v>
      </c>
      <c r="CL107" s="1277">
        <f>IF($F107=Miscellaneous!$N$7,IF($G107="Opex",SUMIF('Monthly Summary'!$C$75:BV$75,"",$H107:CA107),SUMIF('Monthly Summary'!$C$74:BV$74,"",$H107:CA107)),0)</f>
        <v>0</v>
      </c>
      <c r="CM107" s="1286">
        <f t="shared" si="28"/>
        <v>0</v>
      </c>
      <c r="CN107" s="833"/>
      <c r="CO107" s="1277">
        <f>IF($F107=Miscellaneous!$N$6,SUM($H107:CA107),0)</f>
        <v>0</v>
      </c>
      <c r="CP107" s="1277">
        <f>IF($F107=Miscellaneous!$N$6,IF($G107="Opex",SUMIF('Monthly Summary'!$C$75:BV$75,"",$H107:CA107),SUMIF('Monthly Summary'!$C$74:BV$74,"",$H107:CA107)),0)</f>
        <v>0</v>
      </c>
      <c r="CQ107" s="1286">
        <f t="shared" si="29"/>
        <v>0</v>
      </c>
      <c r="CR107" s="833"/>
      <c r="CS107" s="1277">
        <f>IF($A107="Software",SUM($H107:CA107),0)</f>
        <v>0</v>
      </c>
      <c r="CT107" s="1277">
        <f>IF($A107="Software",IF($G107="Opex",SUMIF('Monthly Summary'!$C$75:BV$75,"",$H107:CA107),SUMIF('Monthly Summary'!$C$74:BV$74,"",$H107:CA107)),0)</f>
        <v>0</v>
      </c>
      <c r="CU107" s="1286">
        <f t="shared" si="30"/>
        <v>0</v>
      </c>
      <c r="CV107" s="833"/>
      <c r="CW107" s="1277">
        <f t="shared" si="37"/>
        <v>0</v>
      </c>
      <c r="CX107" s="1277">
        <f t="shared" si="38"/>
        <v>0</v>
      </c>
      <c r="CY107" s="1286">
        <f t="shared" si="31"/>
        <v>0</v>
      </c>
      <c r="CZ107" s="833"/>
      <c r="DA107" s="1286">
        <f>IF($G107="Opex",SUMIF('Monthly Summary'!$C$75:BV$75,"",$H107:CA107),SUMIF('Monthly Summary'!$C$74:BV$74,"",$H107:CA107))</f>
        <v>0</v>
      </c>
      <c r="DB107" s="1278">
        <f t="shared" si="39"/>
        <v>0</v>
      </c>
      <c r="DC107" s="1279">
        <f>IF(AND(OR($D107=Variables!A$38,$D107=Variables!A$43),$F107&lt;&gt;"N/A"),1,0)</f>
        <v>0</v>
      </c>
      <c r="DD107" s="820"/>
      <c r="DE107" s="1281" t="str">
        <f t="shared" si="33"/>
        <v/>
      </c>
      <c r="DF107" s="1282" t="str">
        <f t="shared" si="34"/>
        <v/>
      </c>
      <c r="DG107" s="1282" t="str">
        <f t="shared" si="35"/>
        <v/>
      </c>
      <c r="DH107" s="1282" t="str">
        <f>IF(ISNA(VLOOKUP(DE107,Miscellaneous!E:F,2,0)),"",VLOOKUP(DE107,Miscellaneous!E:F,2,0))</f>
        <v/>
      </c>
      <c r="DI107" s="1282" t="str">
        <f t="shared" si="36"/>
        <v/>
      </c>
      <c r="DJ107" s="1283">
        <f>IF($DI107="Opex",SUMIF('Monthly Summary'!$C$75:$N$75,"",H107:S107),SUMIF('Monthly Summary'!$C$74:$N$74,"",H107:S107))</f>
        <v>0</v>
      </c>
      <c r="DK107" s="1283">
        <f>IF($DI107="Opex",SUMIF('Monthly Summary'!$O$75:$Z$75,"",T107:AE107),SUMIF('Monthly Summary'!$O$74:$Z$74,"",T107:AE107))</f>
        <v>0</v>
      </c>
      <c r="DL107" s="1283">
        <f>IF($DI107="Opex",SUMIF('Monthly Summary'!$AA$75:$AL$75,"",AF107:AQ107),SUMIF('Monthly Summary'!$AA$74:$AL$74,"",AF107:AQ107))</f>
        <v>0</v>
      </c>
      <c r="DM107" s="1283">
        <f>IF($DI107="Opex",SUMIF('Monthly Summary'!$AM$75:$AX$75,"",AR107:BC107),SUMIF('Monthly Summary'!$AM$74:$AX$74,"",AR107:BC107))</f>
        <v>0</v>
      </c>
      <c r="DN107" s="1283">
        <f>IF($DI107="Opex",SUMIF('Monthly Summary'!$AY$75:$BJ$75,"",BD107:BO107),SUMIF('Monthly Summary'!$AY$74:$BJ$74,"",BD107:BO107))</f>
        <v>0</v>
      </c>
      <c r="DO107" s="1284">
        <f>IF($DI107="Opex",SUMIF('Monthly Summary'!$BK$75:$BV$75,"",BP107:CA107),SUMIF('Monthly Summary'!$BK$74:$BV$74,"",BP107:CA107))</f>
        <v>0</v>
      </c>
      <c r="DP107" s="1285">
        <f t="shared" si="32"/>
        <v>0</v>
      </c>
    </row>
    <row r="108" spans="1:120" s="809" customFormat="1">
      <c r="A108" s="1261"/>
      <c r="B108" s="1261"/>
      <c r="C108" s="1261"/>
      <c r="D108" s="1262"/>
      <c r="E108" s="1270"/>
      <c r="F108" s="1263"/>
      <c r="G108" s="1263"/>
      <c r="H108" s="1267"/>
      <c r="I108" s="1268"/>
      <c r="J108" s="1268"/>
      <c r="K108" s="1268"/>
      <c r="L108" s="1268"/>
      <c r="M108" s="1268"/>
      <c r="N108" s="1268"/>
      <c r="O108" s="1268"/>
      <c r="P108" s="1268"/>
      <c r="Q108" s="1268"/>
      <c r="R108" s="1268"/>
      <c r="S108" s="1269"/>
      <c r="T108" s="1267"/>
      <c r="U108" s="1268"/>
      <c r="V108" s="1268"/>
      <c r="W108" s="1268"/>
      <c r="X108" s="1268"/>
      <c r="Y108" s="1268"/>
      <c r="Z108" s="1268"/>
      <c r="AA108" s="1268"/>
      <c r="AB108" s="1268"/>
      <c r="AC108" s="1268"/>
      <c r="AD108" s="1268"/>
      <c r="AE108" s="1269"/>
      <c r="AF108" s="1267"/>
      <c r="AG108" s="1268"/>
      <c r="AH108" s="1268"/>
      <c r="AI108" s="1268"/>
      <c r="AJ108" s="1268"/>
      <c r="AK108" s="1268"/>
      <c r="AL108" s="1268"/>
      <c r="AM108" s="1268"/>
      <c r="AN108" s="1268"/>
      <c r="AO108" s="1268"/>
      <c r="AP108" s="1268"/>
      <c r="AQ108" s="1269"/>
      <c r="AR108" s="1267"/>
      <c r="AS108" s="1268"/>
      <c r="AT108" s="1268"/>
      <c r="AU108" s="1268"/>
      <c r="AV108" s="1268"/>
      <c r="AW108" s="1268"/>
      <c r="AX108" s="1268"/>
      <c r="AY108" s="1268"/>
      <c r="AZ108" s="1268"/>
      <c r="BA108" s="1268"/>
      <c r="BB108" s="1268"/>
      <c r="BC108" s="1269"/>
      <c r="BD108" s="1267"/>
      <c r="BE108" s="1268"/>
      <c r="BF108" s="1268"/>
      <c r="BG108" s="1268"/>
      <c r="BH108" s="1268"/>
      <c r="BI108" s="1268"/>
      <c r="BJ108" s="1268"/>
      <c r="BK108" s="1268"/>
      <c r="BL108" s="1268"/>
      <c r="BM108" s="1268"/>
      <c r="BN108" s="1268"/>
      <c r="BO108" s="1269"/>
      <c r="BP108" s="1267"/>
      <c r="BQ108" s="1268"/>
      <c r="BR108" s="1268"/>
      <c r="BS108" s="1268"/>
      <c r="BT108" s="1268"/>
      <c r="BU108" s="1268"/>
      <c r="BV108" s="1268"/>
      <c r="BW108" s="1268"/>
      <c r="BX108" s="1268"/>
      <c r="BY108" s="1268"/>
      <c r="BZ108" s="1268"/>
      <c r="CA108" s="1269"/>
      <c r="CB108" s="1286">
        <f t="shared" si="25"/>
        <v>0</v>
      </c>
      <c r="CC108" s="1277">
        <f>IF($F108=Miscellaneous!$N$8,SUM($H108:CA108),0)</f>
        <v>0</v>
      </c>
      <c r="CD108" s="1277">
        <f>IF($F108=Miscellaneous!$N$8,IF($G108="Opex",SUMIF('Monthly Summary'!$C$75:BV$75,"",$H108:CA108),SUMIF('Monthly Summary'!$C$74:BV$74,"",$H108:CA108)),0)</f>
        <v>0</v>
      </c>
      <c r="CE108" s="1286">
        <f t="shared" si="26"/>
        <v>0</v>
      </c>
      <c r="CF108" s="833"/>
      <c r="CG108" s="1277">
        <f>IF($F108=Miscellaneous!$N$9,SUM($H108:CA108),0)</f>
        <v>0</v>
      </c>
      <c r="CH108" s="1277">
        <f>IF($F108=Miscellaneous!$N$9,IF($G108="Opex",SUMIF('Monthly Summary'!$C$75:BV$75,"",$H108:CA108),SUMIF('Monthly Summary'!$C$74:BV$74,"",$H108:CA108)),0)</f>
        <v>0</v>
      </c>
      <c r="CI108" s="1286">
        <f t="shared" si="27"/>
        <v>0</v>
      </c>
      <c r="CJ108" s="833"/>
      <c r="CK108" s="1277">
        <f>IF($F108=Miscellaneous!$N$7,SUM($H108:CA108),0)</f>
        <v>0</v>
      </c>
      <c r="CL108" s="1277">
        <f>IF($F108=Miscellaneous!$N$7,IF($G108="Opex",SUMIF('Monthly Summary'!$C$75:BV$75,"",$H108:CA108),SUMIF('Monthly Summary'!$C$74:BV$74,"",$H108:CA108)),0)</f>
        <v>0</v>
      </c>
      <c r="CM108" s="1286">
        <f t="shared" si="28"/>
        <v>0</v>
      </c>
      <c r="CN108" s="833"/>
      <c r="CO108" s="1277">
        <f>IF($F108=Miscellaneous!$N$6,SUM($H108:CA108),0)</f>
        <v>0</v>
      </c>
      <c r="CP108" s="1277">
        <f>IF($F108=Miscellaneous!$N$6,IF($G108="Opex",SUMIF('Monthly Summary'!$C$75:BV$75,"",$H108:CA108),SUMIF('Monthly Summary'!$C$74:BV$74,"",$H108:CA108)),0)</f>
        <v>0</v>
      </c>
      <c r="CQ108" s="1286">
        <f t="shared" si="29"/>
        <v>0</v>
      </c>
      <c r="CR108" s="833"/>
      <c r="CS108" s="1277">
        <f>IF($A108="Software",SUM($H108:CA108),0)</f>
        <v>0</v>
      </c>
      <c r="CT108" s="1277">
        <f>IF($A108="Software",IF($G108="Opex",SUMIF('Monthly Summary'!$C$75:BV$75,"",$H108:CA108),SUMIF('Monthly Summary'!$C$74:BV$74,"",$H108:CA108)),0)</f>
        <v>0</v>
      </c>
      <c r="CU108" s="1286">
        <f t="shared" si="30"/>
        <v>0</v>
      </c>
      <c r="CV108" s="833"/>
      <c r="CW108" s="1277">
        <f t="shared" si="37"/>
        <v>0</v>
      </c>
      <c r="CX108" s="1277">
        <f t="shared" si="38"/>
        <v>0</v>
      </c>
      <c r="CY108" s="1286">
        <f t="shared" si="31"/>
        <v>0</v>
      </c>
      <c r="CZ108" s="833"/>
      <c r="DA108" s="1286">
        <f>IF($G108="Opex",SUMIF('Monthly Summary'!$C$75:BV$75,"",$H108:CA108),SUMIF('Monthly Summary'!$C$74:BV$74,"",$H108:CA108))</f>
        <v>0</v>
      </c>
      <c r="DB108" s="1278">
        <f t="shared" si="39"/>
        <v>0</v>
      </c>
      <c r="DC108" s="1279">
        <f>IF(AND(OR($D108=Variables!A$38,$D108=Variables!A$43),$F108&lt;&gt;"N/A"),1,0)</f>
        <v>0</v>
      </c>
      <c r="DD108" s="820"/>
      <c r="DE108" s="1281" t="str">
        <f t="shared" si="33"/>
        <v/>
      </c>
      <c r="DF108" s="1282" t="str">
        <f t="shared" si="34"/>
        <v/>
      </c>
      <c r="DG108" s="1282" t="str">
        <f t="shared" si="35"/>
        <v/>
      </c>
      <c r="DH108" s="1282" t="str">
        <f>IF(ISNA(VLOOKUP(DE108,Miscellaneous!E:F,2,0)),"",VLOOKUP(DE108,Miscellaneous!E:F,2,0))</f>
        <v/>
      </c>
      <c r="DI108" s="1282" t="str">
        <f t="shared" si="36"/>
        <v/>
      </c>
      <c r="DJ108" s="1283">
        <f>IF($DI108="Opex",SUMIF('Monthly Summary'!$C$75:$N$75,"",H108:S108),SUMIF('Monthly Summary'!$C$74:$N$74,"",H108:S108))</f>
        <v>0</v>
      </c>
      <c r="DK108" s="1283">
        <f>IF($DI108="Opex",SUMIF('Monthly Summary'!$O$75:$Z$75,"",T108:AE108),SUMIF('Monthly Summary'!$O$74:$Z$74,"",T108:AE108))</f>
        <v>0</v>
      </c>
      <c r="DL108" s="1283">
        <f>IF($DI108="Opex",SUMIF('Monthly Summary'!$AA$75:$AL$75,"",AF108:AQ108),SUMIF('Monthly Summary'!$AA$74:$AL$74,"",AF108:AQ108))</f>
        <v>0</v>
      </c>
      <c r="DM108" s="1283">
        <f>IF($DI108="Opex",SUMIF('Monthly Summary'!$AM$75:$AX$75,"",AR108:BC108),SUMIF('Monthly Summary'!$AM$74:$AX$74,"",AR108:BC108))</f>
        <v>0</v>
      </c>
      <c r="DN108" s="1283">
        <f>IF($DI108="Opex",SUMIF('Monthly Summary'!$AY$75:$BJ$75,"",BD108:BO108),SUMIF('Monthly Summary'!$AY$74:$BJ$74,"",BD108:BO108))</f>
        <v>0</v>
      </c>
      <c r="DO108" s="1284">
        <f>IF($DI108="Opex",SUMIF('Monthly Summary'!$BK$75:$BV$75,"",BP108:CA108),SUMIF('Monthly Summary'!$BK$74:$BV$74,"",BP108:CA108))</f>
        <v>0</v>
      </c>
      <c r="DP108" s="1285">
        <f t="shared" si="32"/>
        <v>0</v>
      </c>
    </row>
    <row r="109" spans="1:120" s="809" customFormat="1">
      <c r="A109" s="1261"/>
      <c r="B109" s="1261"/>
      <c r="C109" s="1261"/>
      <c r="D109" s="1262"/>
      <c r="E109" s="1270"/>
      <c r="F109" s="1263"/>
      <c r="G109" s="1263"/>
      <c r="H109" s="1267"/>
      <c r="I109" s="1268"/>
      <c r="J109" s="1268"/>
      <c r="K109" s="1268"/>
      <c r="L109" s="1268"/>
      <c r="M109" s="1268"/>
      <c r="N109" s="1268"/>
      <c r="O109" s="1268"/>
      <c r="P109" s="1268"/>
      <c r="Q109" s="1268"/>
      <c r="R109" s="1268"/>
      <c r="S109" s="1269"/>
      <c r="T109" s="1267"/>
      <c r="U109" s="1268"/>
      <c r="V109" s="1268"/>
      <c r="W109" s="1268"/>
      <c r="X109" s="1268"/>
      <c r="Y109" s="1268"/>
      <c r="Z109" s="1268"/>
      <c r="AA109" s="1268"/>
      <c r="AB109" s="1268"/>
      <c r="AC109" s="1268"/>
      <c r="AD109" s="1268"/>
      <c r="AE109" s="1269"/>
      <c r="AF109" s="1267"/>
      <c r="AG109" s="1268"/>
      <c r="AH109" s="1268"/>
      <c r="AI109" s="1268"/>
      <c r="AJ109" s="1268"/>
      <c r="AK109" s="1268"/>
      <c r="AL109" s="1268"/>
      <c r="AM109" s="1268"/>
      <c r="AN109" s="1268"/>
      <c r="AO109" s="1268"/>
      <c r="AP109" s="1268"/>
      <c r="AQ109" s="1269"/>
      <c r="AR109" s="1267"/>
      <c r="AS109" s="1268"/>
      <c r="AT109" s="1268"/>
      <c r="AU109" s="1268"/>
      <c r="AV109" s="1268"/>
      <c r="AW109" s="1268"/>
      <c r="AX109" s="1268"/>
      <c r="AY109" s="1268"/>
      <c r="AZ109" s="1268"/>
      <c r="BA109" s="1268"/>
      <c r="BB109" s="1268"/>
      <c r="BC109" s="1269"/>
      <c r="BD109" s="1267"/>
      <c r="BE109" s="1268"/>
      <c r="BF109" s="1268"/>
      <c r="BG109" s="1268"/>
      <c r="BH109" s="1268"/>
      <c r="BI109" s="1268"/>
      <c r="BJ109" s="1268"/>
      <c r="BK109" s="1268"/>
      <c r="BL109" s="1268"/>
      <c r="BM109" s="1268"/>
      <c r="BN109" s="1268"/>
      <c r="BO109" s="1269"/>
      <c r="BP109" s="1267"/>
      <c r="BQ109" s="1268"/>
      <c r="BR109" s="1268"/>
      <c r="BS109" s="1268"/>
      <c r="BT109" s="1268"/>
      <c r="BU109" s="1268"/>
      <c r="BV109" s="1268"/>
      <c r="BW109" s="1268"/>
      <c r="BX109" s="1268"/>
      <c r="BY109" s="1268"/>
      <c r="BZ109" s="1268"/>
      <c r="CA109" s="1269"/>
      <c r="CB109" s="1286">
        <f t="shared" si="25"/>
        <v>0</v>
      </c>
      <c r="CC109" s="1277">
        <f>IF($F109=Miscellaneous!$N$8,SUM($H109:CA109),0)</f>
        <v>0</v>
      </c>
      <c r="CD109" s="1277">
        <f>IF($F109=Miscellaneous!$N$8,IF($G109="Opex",SUMIF('Monthly Summary'!$C$75:BV$75,"",$H109:CA109),SUMIF('Monthly Summary'!$C$74:BV$74,"",$H109:CA109)),0)</f>
        <v>0</v>
      </c>
      <c r="CE109" s="1286">
        <f t="shared" si="26"/>
        <v>0</v>
      </c>
      <c r="CF109" s="833"/>
      <c r="CG109" s="1277">
        <f>IF($F109=Miscellaneous!$N$9,SUM($H109:CA109),0)</f>
        <v>0</v>
      </c>
      <c r="CH109" s="1277">
        <f>IF($F109=Miscellaneous!$N$9,IF($G109="Opex",SUMIF('Monthly Summary'!$C$75:BV$75,"",$H109:CA109),SUMIF('Monthly Summary'!$C$74:BV$74,"",$H109:CA109)),0)</f>
        <v>0</v>
      </c>
      <c r="CI109" s="1286">
        <f t="shared" si="27"/>
        <v>0</v>
      </c>
      <c r="CJ109" s="833"/>
      <c r="CK109" s="1277">
        <f>IF($F109=Miscellaneous!$N$7,SUM($H109:CA109),0)</f>
        <v>0</v>
      </c>
      <c r="CL109" s="1277">
        <f>IF($F109=Miscellaneous!$N$7,IF($G109="Opex",SUMIF('Monthly Summary'!$C$75:BV$75,"",$H109:CA109),SUMIF('Monthly Summary'!$C$74:BV$74,"",$H109:CA109)),0)</f>
        <v>0</v>
      </c>
      <c r="CM109" s="1286">
        <f t="shared" si="28"/>
        <v>0</v>
      </c>
      <c r="CN109" s="833"/>
      <c r="CO109" s="1277">
        <f>IF($F109=Miscellaneous!$N$6,SUM($H109:CA109),0)</f>
        <v>0</v>
      </c>
      <c r="CP109" s="1277">
        <f>IF($F109=Miscellaneous!$N$6,IF($G109="Opex",SUMIF('Monthly Summary'!$C$75:BV$75,"",$H109:CA109),SUMIF('Monthly Summary'!$C$74:BV$74,"",$H109:CA109)),0)</f>
        <v>0</v>
      </c>
      <c r="CQ109" s="1286">
        <f t="shared" si="29"/>
        <v>0</v>
      </c>
      <c r="CR109" s="833"/>
      <c r="CS109" s="1277">
        <f>IF($A109="Software",SUM($H109:CA109),0)</f>
        <v>0</v>
      </c>
      <c r="CT109" s="1277">
        <f>IF($A109="Software",IF($G109="Opex",SUMIF('Monthly Summary'!$C$75:BV$75,"",$H109:CA109),SUMIF('Monthly Summary'!$C$74:BV$74,"",$H109:CA109)),0)</f>
        <v>0</v>
      </c>
      <c r="CU109" s="1286">
        <f t="shared" si="30"/>
        <v>0</v>
      </c>
      <c r="CV109" s="833"/>
      <c r="CW109" s="1277">
        <f t="shared" si="37"/>
        <v>0</v>
      </c>
      <c r="CX109" s="1277">
        <f t="shared" si="38"/>
        <v>0</v>
      </c>
      <c r="CY109" s="1286">
        <f t="shared" si="31"/>
        <v>0</v>
      </c>
      <c r="CZ109" s="833"/>
      <c r="DA109" s="1286">
        <f>IF($G109="Opex",SUMIF('Monthly Summary'!$C$75:BV$75,"",$H109:CA109),SUMIF('Monthly Summary'!$C$74:BV$74,"",$H109:CA109))</f>
        <v>0</v>
      </c>
      <c r="DB109" s="1278">
        <f t="shared" si="39"/>
        <v>0</v>
      </c>
      <c r="DC109" s="1279">
        <f>IF(AND(OR($D109=Variables!A$38,$D109=Variables!A$43),$F109&lt;&gt;"N/A"),1,0)</f>
        <v>0</v>
      </c>
      <c r="DD109" s="820"/>
      <c r="DE109" s="1281" t="str">
        <f t="shared" si="33"/>
        <v/>
      </c>
      <c r="DF109" s="1282" t="str">
        <f t="shared" si="34"/>
        <v/>
      </c>
      <c r="DG109" s="1282" t="str">
        <f t="shared" si="35"/>
        <v/>
      </c>
      <c r="DH109" s="1282" t="str">
        <f>IF(ISNA(VLOOKUP(DE109,Miscellaneous!E:F,2,0)),"",VLOOKUP(DE109,Miscellaneous!E:F,2,0))</f>
        <v/>
      </c>
      <c r="DI109" s="1282" t="str">
        <f t="shared" si="36"/>
        <v/>
      </c>
      <c r="DJ109" s="1283">
        <f>IF($DI109="Opex",SUMIF('Monthly Summary'!$C$75:$N$75,"",H109:S109),SUMIF('Monthly Summary'!$C$74:$N$74,"",H109:S109))</f>
        <v>0</v>
      </c>
      <c r="DK109" s="1283">
        <f>IF($DI109="Opex",SUMIF('Monthly Summary'!$O$75:$Z$75,"",T109:AE109),SUMIF('Monthly Summary'!$O$74:$Z$74,"",T109:AE109))</f>
        <v>0</v>
      </c>
      <c r="DL109" s="1283">
        <f>IF($DI109="Opex",SUMIF('Monthly Summary'!$AA$75:$AL$75,"",AF109:AQ109),SUMIF('Monthly Summary'!$AA$74:$AL$74,"",AF109:AQ109))</f>
        <v>0</v>
      </c>
      <c r="DM109" s="1283">
        <f>IF($DI109="Opex",SUMIF('Monthly Summary'!$AM$75:$AX$75,"",AR109:BC109),SUMIF('Monthly Summary'!$AM$74:$AX$74,"",AR109:BC109))</f>
        <v>0</v>
      </c>
      <c r="DN109" s="1283">
        <f>IF($DI109="Opex",SUMIF('Monthly Summary'!$AY$75:$BJ$75,"",BD109:BO109),SUMIF('Monthly Summary'!$AY$74:$BJ$74,"",BD109:BO109))</f>
        <v>0</v>
      </c>
      <c r="DO109" s="1284">
        <f>IF($DI109="Opex",SUMIF('Monthly Summary'!$BK$75:$BV$75,"",BP109:CA109),SUMIF('Monthly Summary'!$BK$74:$BV$74,"",BP109:CA109))</f>
        <v>0</v>
      </c>
      <c r="DP109" s="1285">
        <f t="shared" si="32"/>
        <v>0</v>
      </c>
    </row>
    <row r="110" spans="1:120" s="809" customFormat="1">
      <c r="A110" s="1261"/>
      <c r="B110" s="1261"/>
      <c r="C110" s="1261"/>
      <c r="D110" s="1262"/>
      <c r="E110" s="1270"/>
      <c r="F110" s="1263"/>
      <c r="G110" s="1263"/>
      <c r="H110" s="1267"/>
      <c r="I110" s="1268"/>
      <c r="J110" s="1268"/>
      <c r="K110" s="1268"/>
      <c r="L110" s="1268"/>
      <c r="M110" s="1268"/>
      <c r="N110" s="1268"/>
      <c r="O110" s="1268"/>
      <c r="P110" s="1268"/>
      <c r="Q110" s="1268"/>
      <c r="R110" s="1268"/>
      <c r="S110" s="1269"/>
      <c r="T110" s="1267"/>
      <c r="U110" s="1268"/>
      <c r="V110" s="1268"/>
      <c r="W110" s="1268"/>
      <c r="X110" s="1268"/>
      <c r="Y110" s="1268"/>
      <c r="Z110" s="1268"/>
      <c r="AA110" s="1268"/>
      <c r="AB110" s="1268"/>
      <c r="AC110" s="1268"/>
      <c r="AD110" s="1268"/>
      <c r="AE110" s="1269"/>
      <c r="AF110" s="1267"/>
      <c r="AG110" s="1268"/>
      <c r="AH110" s="1268"/>
      <c r="AI110" s="1268"/>
      <c r="AJ110" s="1268"/>
      <c r="AK110" s="1268"/>
      <c r="AL110" s="1268"/>
      <c r="AM110" s="1268"/>
      <c r="AN110" s="1268"/>
      <c r="AO110" s="1268"/>
      <c r="AP110" s="1268"/>
      <c r="AQ110" s="1269"/>
      <c r="AR110" s="1267"/>
      <c r="AS110" s="1268"/>
      <c r="AT110" s="1268"/>
      <c r="AU110" s="1268"/>
      <c r="AV110" s="1268"/>
      <c r="AW110" s="1268"/>
      <c r="AX110" s="1268"/>
      <c r="AY110" s="1268"/>
      <c r="AZ110" s="1268"/>
      <c r="BA110" s="1268"/>
      <c r="BB110" s="1268"/>
      <c r="BC110" s="1269"/>
      <c r="BD110" s="1267"/>
      <c r="BE110" s="1268"/>
      <c r="BF110" s="1268"/>
      <c r="BG110" s="1268"/>
      <c r="BH110" s="1268"/>
      <c r="BI110" s="1268"/>
      <c r="BJ110" s="1268"/>
      <c r="BK110" s="1268"/>
      <c r="BL110" s="1268"/>
      <c r="BM110" s="1268"/>
      <c r="BN110" s="1268"/>
      <c r="BO110" s="1269"/>
      <c r="BP110" s="1267"/>
      <c r="BQ110" s="1268"/>
      <c r="BR110" s="1268"/>
      <c r="BS110" s="1268"/>
      <c r="BT110" s="1268"/>
      <c r="BU110" s="1268"/>
      <c r="BV110" s="1268"/>
      <c r="BW110" s="1268"/>
      <c r="BX110" s="1268"/>
      <c r="BY110" s="1268"/>
      <c r="BZ110" s="1268"/>
      <c r="CA110" s="1269"/>
      <c r="CB110" s="1286">
        <f t="shared" si="25"/>
        <v>0</v>
      </c>
      <c r="CC110" s="1277">
        <f>IF($F110=Miscellaneous!$N$8,SUM($H110:CA110),0)</f>
        <v>0</v>
      </c>
      <c r="CD110" s="1277">
        <f>IF($F110=Miscellaneous!$N$8,IF($G110="Opex",SUMIF('Monthly Summary'!$C$75:BV$75,"",$H110:CA110),SUMIF('Monthly Summary'!$C$74:BV$74,"",$H110:CA110)),0)</f>
        <v>0</v>
      </c>
      <c r="CE110" s="1286">
        <f t="shared" si="26"/>
        <v>0</v>
      </c>
      <c r="CF110" s="833"/>
      <c r="CG110" s="1277">
        <f>IF($F110=Miscellaneous!$N$9,SUM($H110:CA110),0)</f>
        <v>0</v>
      </c>
      <c r="CH110" s="1277">
        <f>IF($F110=Miscellaneous!$N$9,IF($G110="Opex",SUMIF('Monthly Summary'!$C$75:BV$75,"",$H110:CA110),SUMIF('Monthly Summary'!$C$74:BV$74,"",$H110:CA110)),0)</f>
        <v>0</v>
      </c>
      <c r="CI110" s="1286">
        <f t="shared" si="27"/>
        <v>0</v>
      </c>
      <c r="CJ110" s="833"/>
      <c r="CK110" s="1277">
        <f>IF($F110=Miscellaneous!$N$7,SUM($H110:CA110),0)</f>
        <v>0</v>
      </c>
      <c r="CL110" s="1277">
        <f>IF($F110=Miscellaneous!$N$7,IF($G110="Opex",SUMIF('Monthly Summary'!$C$75:BV$75,"",$H110:CA110),SUMIF('Monthly Summary'!$C$74:BV$74,"",$H110:CA110)),0)</f>
        <v>0</v>
      </c>
      <c r="CM110" s="1286">
        <f t="shared" si="28"/>
        <v>0</v>
      </c>
      <c r="CN110" s="833"/>
      <c r="CO110" s="1277">
        <f>IF($F110=Miscellaneous!$N$6,SUM($H110:CA110),0)</f>
        <v>0</v>
      </c>
      <c r="CP110" s="1277">
        <f>IF($F110=Miscellaneous!$N$6,IF($G110="Opex",SUMIF('Monthly Summary'!$C$75:BV$75,"",$H110:CA110),SUMIF('Monthly Summary'!$C$74:BV$74,"",$H110:CA110)),0)</f>
        <v>0</v>
      </c>
      <c r="CQ110" s="1286">
        <f t="shared" si="29"/>
        <v>0</v>
      </c>
      <c r="CR110" s="833"/>
      <c r="CS110" s="1277">
        <f>IF($A110="Software",SUM($H110:CA110),0)</f>
        <v>0</v>
      </c>
      <c r="CT110" s="1277">
        <f>IF($A110="Software",IF($G110="Opex",SUMIF('Monthly Summary'!$C$75:BV$75,"",$H110:CA110),SUMIF('Monthly Summary'!$C$74:BV$74,"",$H110:CA110)),0)</f>
        <v>0</v>
      </c>
      <c r="CU110" s="1286">
        <f t="shared" si="30"/>
        <v>0</v>
      </c>
      <c r="CV110" s="833"/>
      <c r="CW110" s="1277">
        <f t="shared" si="37"/>
        <v>0</v>
      </c>
      <c r="CX110" s="1277">
        <f t="shared" si="38"/>
        <v>0</v>
      </c>
      <c r="CY110" s="1286">
        <f t="shared" si="31"/>
        <v>0</v>
      </c>
      <c r="CZ110" s="833"/>
      <c r="DA110" s="1286">
        <f>IF($G110="Opex",SUMIF('Monthly Summary'!$C$75:BV$75,"",$H110:CA110),SUMIF('Monthly Summary'!$C$74:BV$74,"",$H110:CA110))</f>
        <v>0</v>
      </c>
      <c r="DB110" s="1278">
        <f t="shared" si="39"/>
        <v>0</v>
      </c>
      <c r="DC110" s="1279">
        <f>IF(AND(OR($D110=Variables!A$38,$D110=Variables!A$43),$F110&lt;&gt;"N/A"),1,0)</f>
        <v>0</v>
      </c>
      <c r="DD110" s="820"/>
      <c r="DE110" s="1281" t="str">
        <f t="shared" si="33"/>
        <v/>
      </c>
      <c r="DF110" s="1282" t="str">
        <f t="shared" si="34"/>
        <v/>
      </c>
      <c r="DG110" s="1282" t="str">
        <f t="shared" si="35"/>
        <v/>
      </c>
      <c r="DH110" s="1282" t="str">
        <f>IF(ISNA(VLOOKUP(DE110,Miscellaneous!E:F,2,0)),"",VLOOKUP(DE110,Miscellaneous!E:F,2,0))</f>
        <v/>
      </c>
      <c r="DI110" s="1282" t="str">
        <f t="shared" si="36"/>
        <v/>
      </c>
      <c r="DJ110" s="1283">
        <f>IF($DI110="Opex",SUMIF('Monthly Summary'!$C$75:$N$75,"",H110:S110),SUMIF('Monthly Summary'!$C$74:$N$74,"",H110:S110))</f>
        <v>0</v>
      </c>
      <c r="DK110" s="1283">
        <f>IF($DI110="Opex",SUMIF('Monthly Summary'!$O$75:$Z$75,"",T110:AE110),SUMIF('Monthly Summary'!$O$74:$Z$74,"",T110:AE110))</f>
        <v>0</v>
      </c>
      <c r="DL110" s="1283">
        <f>IF($DI110="Opex",SUMIF('Monthly Summary'!$AA$75:$AL$75,"",AF110:AQ110),SUMIF('Monthly Summary'!$AA$74:$AL$74,"",AF110:AQ110))</f>
        <v>0</v>
      </c>
      <c r="DM110" s="1283">
        <f>IF($DI110="Opex",SUMIF('Monthly Summary'!$AM$75:$AX$75,"",AR110:BC110),SUMIF('Monthly Summary'!$AM$74:$AX$74,"",AR110:BC110))</f>
        <v>0</v>
      </c>
      <c r="DN110" s="1283">
        <f>IF($DI110="Opex",SUMIF('Monthly Summary'!$AY$75:$BJ$75,"",BD110:BO110),SUMIF('Monthly Summary'!$AY$74:$BJ$74,"",BD110:BO110))</f>
        <v>0</v>
      </c>
      <c r="DO110" s="1284">
        <f>IF($DI110="Opex",SUMIF('Monthly Summary'!$BK$75:$BV$75,"",BP110:CA110),SUMIF('Monthly Summary'!$BK$74:$BV$74,"",BP110:CA110))</f>
        <v>0</v>
      </c>
      <c r="DP110" s="1285">
        <f t="shared" si="32"/>
        <v>0</v>
      </c>
    </row>
    <row r="111" spans="1:120" s="809" customFormat="1">
      <c r="A111" s="1261"/>
      <c r="B111" s="1261"/>
      <c r="C111" s="1261"/>
      <c r="D111" s="1262"/>
      <c r="E111" s="1270"/>
      <c r="F111" s="1263"/>
      <c r="G111" s="1263"/>
      <c r="H111" s="1267"/>
      <c r="I111" s="1268"/>
      <c r="J111" s="1268"/>
      <c r="K111" s="1268"/>
      <c r="L111" s="1268"/>
      <c r="M111" s="1268"/>
      <c r="N111" s="1268"/>
      <c r="O111" s="1268"/>
      <c r="P111" s="1268"/>
      <c r="Q111" s="1268"/>
      <c r="R111" s="1268"/>
      <c r="S111" s="1269"/>
      <c r="T111" s="1267"/>
      <c r="U111" s="1268"/>
      <c r="V111" s="1268"/>
      <c r="W111" s="1268"/>
      <c r="X111" s="1268"/>
      <c r="Y111" s="1268"/>
      <c r="Z111" s="1268"/>
      <c r="AA111" s="1268"/>
      <c r="AB111" s="1268"/>
      <c r="AC111" s="1268"/>
      <c r="AD111" s="1268"/>
      <c r="AE111" s="1269"/>
      <c r="AF111" s="1267"/>
      <c r="AG111" s="1268"/>
      <c r="AH111" s="1268"/>
      <c r="AI111" s="1268"/>
      <c r="AJ111" s="1268"/>
      <c r="AK111" s="1268"/>
      <c r="AL111" s="1268"/>
      <c r="AM111" s="1268"/>
      <c r="AN111" s="1268"/>
      <c r="AO111" s="1268"/>
      <c r="AP111" s="1268"/>
      <c r="AQ111" s="1269"/>
      <c r="AR111" s="1267"/>
      <c r="AS111" s="1268"/>
      <c r="AT111" s="1268"/>
      <c r="AU111" s="1268"/>
      <c r="AV111" s="1268"/>
      <c r="AW111" s="1268"/>
      <c r="AX111" s="1268"/>
      <c r="AY111" s="1268"/>
      <c r="AZ111" s="1268"/>
      <c r="BA111" s="1268"/>
      <c r="BB111" s="1268"/>
      <c r="BC111" s="1269"/>
      <c r="BD111" s="1267"/>
      <c r="BE111" s="1268"/>
      <c r="BF111" s="1268"/>
      <c r="BG111" s="1268"/>
      <c r="BH111" s="1268"/>
      <c r="BI111" s="1268"/>
      <c r="BJ111" s="1268"/>
      <c r="BK111" s="1268"/>
      <c r="BL111" s="1268"/>
      <c r="BM111" s="1268"/>
      <c r="BN111" s="1268"/>
      <c r="BO111" s="1269"/>
      <c r="BP111" s="1267"/>
      <c r="BQ111" s="1268"/>
      <c r="BR111" s="1268"/>
      <c r="BS111" s="1268"/>
      <c r="BT111" s="1268"/>
      <c r="BU111" s="1268"/>
      <c r="BV111" s="1268"/>
      <c r="BW111" s="1268"/>
      <c r="BX111" s="1268"/>
      <c r="BY111" s="1268"/>
      <c r="BZ111" s="1268"/>
      <c r="CA111" s="1269"/>
      <c r="CB111" s="1286">
        <f t="shared" si="25"/>
        <v>0</v>
      </c>
      <c r="CC111" s="1277">
        <f>IF($F111=Miscellaneous!$N$8,SUM($H111:CA111),0)</f>
        <v>0</v>
      </c>
      <c r="CD111" s="1277">
        <f>IF($F111=Miscellaneous!$N$8,IF($G111="Opex",SUMIF('Monthly Summary'!$C$75:BV$75,"",$H111:CA111),SUMIF('Monthly Summary'!$C$74:BV$74,"",$H111:CA111)),0)</f>
        <v>0</v>
      </c>
      <c r="CE111" s="1286">
        <f t="shared" si="26"/>
        <v>0</v>
      </c>
      <c r="CF111" s="833"/>
      <c r="CG111" s="1277">
        <f>IF($F111=Miscellaneous!$N$9,SUM($H111:CA111),0)</f>
        <v>0</v>
      </c>
      <c r="CH111" s="1277">
        <f>IF($F111=Miscellaneous!$N$9,IF($G111="Opex",SUMIF('Monthly Summary'!$C$75:BV$75,"",$H111:CA111),SUMIF('Monthly Summary'!$C$74:BV$74,"",$H111:CA111)),0)</f>
        <v>0</v>
      </c>
      <c r="CI111" s="1286">
        <f t="shared" si="27"/>
        <v>0</v>
      </c>
      <c r="CJ111" s="833"/>
      <c r="CK111" s="1277">
        <f>IF($F111=Miscellaneous!$N$7,SUM($H111:CA111),0)</f>
        <v>0</v>
      </c>
      <c r="CL111" s="1277">
        <f>IF($F111=Miscellaneous!$N$7,IF($G111="Opex",SUMIF('Monthly Summary'!$C$75:BV$75,"",$H111:CA111),SUMIF('Monthly Summary'!$C$74:BV$74,"",$H111:CA111)),0)</f>
        <v>0</v>
      </c>
      <c r="CM111" s="1286">
        <f t="shared" si="28"/>
        <v>0</v>
      </c>
      <c r="CN111" s="833"/>
      <c r="CO111" s="1277">
        <f>IF($F111=Miscellaneous!$N$6,SUM($H111:CA111),0)</f>
        <v>0</v>
      </c>
      <c r="CP111" s="1277">
        <f>IF($F111=Miscellaneous!$N$6,IF($G111="Opex",SUMIF('Monthly Summary'!$C$75:BV$75,"",$H111:CA111),SUMIF('Monthly Summary'!$C$74:BV$74,"",$H111:CA111)),0)</f>
        <v>0</v>
      </c>
      <c r="CQ111" s="1286">
        <f t="shared" si="29"/>
        <v>0</v>
      </c>
      <c r="CR111" s="833"/>
      <c r="CS111" s="1277">
        <f>IF($A111="Software",SUM($H111:CA111),0)</f>
        <v>0</v>
      </c>
      <c r="CT111" s="1277">
        <f>IF($A111="Software",IF($G111="Opex",SUMIF('Monthly Summary'!$C$75:BV$75,"",$H111:CA111),SUMIF('Monthly Summary'!$C$74:BV$74,"",$H111:CA111)),0)</f>
        <v>0</v>
      </c>
      <c r="CU111" s="1286">
        <f t="shared" si="30"/>
        <v>0</v>
      </c>
      <c r="CV111" s="833"/>
      <c r="CW111" s="1277">
        <f t="shared" si="37"/>
        <v>0</v>
      </c>
      <c r="CX111" s="1277">
        <f t="shared" si="38"/>
        <v>0</v>
      </c>
      <c r="CY111" s="1286">
        <f t="shared" si="31"/>
        <v>0</v>
      </c>
      <c r="CZ111" s="833"/>
      <c r="DA111" s="1286">
        <f>IF($G111="Opex",SUMIF('Monthly Summary'!$C$75:BV$75,"",$H111:CA111),SUMIF('Monthly Summary'!$C$74:BV$74,"",$H111:CA111))</f>
        <v>0</v>
      </c>
      <c r="DB111" s="1278">
        <f t="shared" si="39"/>
        <v>0</v>
      </c>
      <c r="DC111" s="1279">
        <f>IF(AND(OR($D111=Variables!A$38,$D111=Variables!A$43),$F111&lt;&gt;"N/A"),1,0)</f>
        <v>0</v>
      </c>
      <c r="DD111" s="820"/>
      <c r="DE111" s="1281" t="str">
        <f t="shared" si="33"/>
        <v/>
      </c>
      <c r="DF111" s="1282" t="str">
        <f t="shared" si="34"/>
        <v/>
      </c>
      <c r="DG111" s="1282" t="str">
        <f t="shared" si="35"/>
        <v/>
      </c>
      <c r="DH111" s="1282" t="str">
        <f>IF(ISNA(VLOOKUP(DE111,Miscellaneous!E:F,2,0)),"",VLOOKUP(DE111,Miscellaneous!E:F,2,0))</f>
        <v/>
      </c>
      <c r="DI111" s="1282" t="str">
        <f t="shared" si="36"/>
        <v/>
      </c>
      <c r="DJ111" s="1283">
        <f>IF($DI111="Opex",SUMIF('Monthly Summary'!$C$75:$N$75,"",H111:S111),SUMIF('Monthly Summary'!$C$74:$N$74,"",H111:S111))</f>
        <v>0</v>
      </c>
      <c r="DK111" s="1283">
        <f>IF($DI111="Opex",SUMIF('Monthly Summary'!$O$75:$Z$75,"",T111:AE111),SUMIF('Monthly Summary'!$O$74:$Z$74,"",T111:AE111))</f>
        <v>0</v>
      </c>
      <c r="DL111" s="1283">
        <f>IF($DI111="Opex",SUMIF('Monthly Summary'!$AA$75:$AL$75,"",AF111:AQ111),SUMIF('Monthly Summary'!$AA$74:$AL$74,"",AF111:AQ111))</f>
        <v>0</v>
      </c>
      <c r="DM111" s="1283">
        <f>IF($DI111="Opex",SUMIF('Monthly Summary'!$AM$75:$AX$75,"",AR111:BC111),SUMIF('Monthly Summary'!$AM$74:$AX$74,"",AR111:BC111))</f>
        <v>0</v>
      </c>
      <c r="DN111" s="1283">
        <f>IF($DI111="Opex",SUMIF('Monthly Summary'!$AY$75:$BJ$75,"",BD111:BO111),SUMIF('Monthly Summary'!$AY$74:$BJ$74,"",BD111:BO111))</f>
        <v>0</v>
      </c>
      <c r="DO111" s="1284">
        <f>IF($DI111="Opex",SUMIF('Monthly Summary'!$BK$75:$BV$75,"",BP111:CA111),SUMIF('Monthly Summary'!$BK$74:$BV$74,"",BP111:CA111))</f>
        <v>0</v>
      </c>
      <c r="DP111" s="1285">
        <f t="shared" si="32"/>
        <v>0</v>
      </c>
    </row>
    <row r="112" spans="1:120" s="809" customFormat="1">
      <c r="A112" s="1261"/>
      <c r="B112" s="1261"/>
      <c r="C112" s="1261"/>
      <c r="D112" s="1262"/>
      <c r="E112" s="1270"/>
      <c r="F112" s="1263"/>
      <c r="G112" s="1263"/>
      <c r="H112" s="1267"/>
      <c r="I112" s="1268"/>
      <c r="J112" s="1268"/>
      <c r="K112" s="1268"/>
      <c r="L112" s="1268"/>
      <c r="M112" s="1268"/>
      <c r="N112" s="1268"/>
      <c r="O112" s="1268"/>
      <c r="P112" s="1268"/>
      <c r="Q112" s="1268"/>
      <c r="R112" s="1268"/>
      <c r="S112" s="1269"/>
      <c r="T112" s="1267"/>
      <c r="U112" s="1268"/>
      <c r="V112" s="1268"/>
      <c r="W112" s="1268"/>
      <c r="X112" s="1268"/>
      <c r="Y112" s="1268"/>
      <c r="Z112" s="1268"/>
      <c r="AA112" s="1268"/>
      <c r="AB112" s="1268"/>
      <c r="AC112" s="1268"/>
      <c r="AD112" s="1268"/>
      <c r="AE112" s="1269"/>
      <c r="AF112" s="1267"/>
      <c r="AG112" s="1268"/>
      <c r="AH112" s="1268"/>
      <c r="AI112" s="1268"/>
      <c r="AJ112" s="1268"/>
      <c r="AK112" s="1268"/>
      <c r="AL112" s="1268"/>
      <c r="AM112" s="1268"/>
      <c r="AN112" s="1268"/>
      <c r="AO112" s="1268"/>
      <c r="AP112" s="1268"/>
      <c r="AQ112" s="1269"/>
      <c r="AR112" s="1267"/>
      <c r="AS112" s="1268"/>
      <c r="AT112" s="1268"/>
      <c r="AU112" s="1268"/>
      <c r="AV112" s="1268"/>
      <c r="AW112" s="1268"/>
      <c r="AX112" s="1268"/>
      <c r="AY112" s="1268"/>
      <c r="AZ112" s="1268"/>
      <c r="BA112" s="1268"/>
      <c r="BB112" s="1268"/>
      <c r="BC112" s="1269"/>
      <c r="BD112" s="1267"/>
      <c r="BE112" s="1268"/>
      <c r="BF112" s="1268"/>
      <c r="BG112" s="1268"/>
      <c r="BH112" s="1268"/>
      <c r="BI112" s="1268"/>
      <c r="BJ112" s="1268"/>
      <c r="BK112" s="1268"/>
      <c r="BL112" s="1268"/>
      <c r="BM112" s="1268"/>
      <c r="BN112" s="1268"/>
      <c r="BO112" s="1269"/>
      <c r="BP112" s="1267"/>
      <c r="BQ112" s="1268"/>
      <c r="BR112" s="1268"/>
      <c r="BS112" s="1268"/>
      <c r="BT112" s="1268"/>
      <c r="BU112" s="1268"/>
      <c r="BV112" s="1268"/>
      <c r="BW112" s="1268"/>
      <c r="BX112" s="1268"/>
      <c r="BY112" s="1268"/>
      <c r="BZ112" s="1268"/>
      <c r="CA112" s="1269"/>
      <c r="CB112" s="1286">
        <f t="shared" si="25"/>
        <v>0</v>
      </c>
      <c r="CC112" s="1277">
        <f>IF($F112=Miscellaneous!$N$8,SUM($H112:CA112),0)</f>
        <v>0</v>
      </c>
      <c r="CD112" s="1277">
        <f>IF($F112=Miscellaneous!$N$8,IF($G112="Opex",SUMIF('Monthly Summary'!$C$75:BV$75,"",$H112:CA112),SUMIF('Monthly Summary'!$C$74:BV$74,"",$H112:CA112)),0)</f>
        <v>0</v>
      </c>
      <c r="CE112" s="1286">
        <f t="shared" si="26"/>
        <v>0</v>
      </c>
      <c r="CF112" s="833"/>
      <c r="CG112" s="1277">
        <f>IF($F112=Miscellaneous!$N$9,SUM($H112:CA112),0)</f>
        <v>0</v>
      </c>
      <c r="CH112" s="1277">
        <f>IF($F112=Miscellaneous!$N$9,IF($G112="Opex",SUMIF('Monthly Summary'!$C$75:BV$75,"",$H112:CA112),SUMIF('Monthly Summary'!$C$74:BV$74,"",$H112:CA112)),0)</f>
        <v>0</v>
      </c>
      <c r="CI112" s="1286">
        <f t="shared" si="27"/>
        <v>0</v>
      </c>
      <c r="CJ112" s="833"/>
      <c r="CK112" s="1277">
        <f>IF($F112=Miscellaneous!$N$7,SUM($H112:CA112),0)</f>
        <v>0</v>
      </c>
      <c r="CL112" s="1277">
        <f>IF($F112=Miscellaneous!$N$7,IF($G112="Opex",SUMIF('Monthly Summary'!$C$75:BV$75,"",$H112:CA112),SUMIF('Monthly Summary'!$C$74:BV$74,"",$H112:CA112)),0)</f>
        <v>0</v>
      </c>
      <c r="CM112" s="1286">
        <f t="shared" si="28"/>
        <v>0</v>
      </c>
      <c r="CN112" s="833"/>
      <c r="CO112" s="1277">
        <f>IF($F112=Miscellaneous!$N$6,SUM($H112:CA112),0)</f>
        <v>0</v>
      </c>
      <c r="CP112" s="1277">
        <f>IF($F112=Miscellaneous!$N$6,IF($G112="Opex",SUMIF('Monthly Summary'!$C$75:BV$75,"",$H112:CA112),SUMIF('Monthly Summary'!$C$74:BV$74,"",$H112:CA112)),0)</f>
        <v>0</v>
      </c>
      <c r="CQ112" s="1286">
        <f t="shared" si="29"/>
        <v>0</v>
      </c>
      <c r="CR112" s="833"/>
      <c r="CS112" s="1277">
        <f>IF($A112="Software",SUM($H112:CA112),0)</f>
        <v>0</v>
      </c>
      <c r="CT112" s="1277">
        <f>IF($A112="Software",IF($G112="Opex",SUMIF('Monthly Summary'!$C$75:BV$75,"",$H112:CA112),SUMIF('Monthly Summary'!$C$74:BV$74,"",$H112:CA112)),0)</f>
        <v>0</v>
      </c>
      <c r="CU112" s="1286">
        <f t="shared" si="30"/>
        <v>0</v>
      </c>
      <c r="CV112" s="833"/>
      <c r="CW112" s="1277">
        <f t="shared" si="37"/>
        <v>0</v>
      </c>
      <c r="CX112" s="1277">
        <f t="shared" si="38"/>
        <v>0</v>
      </c>
      <c r="CY112" s="1286">
        <f t="shared" si="31"/>
        <v>0</v>
      </c>
      <c r="CZ112" s="833"/>
      <c r="DA112" s="1286">
        <f>IF($G112="Opex",SUMIF('Monthly Summary'!$C$75:BV$75,"",$H112:CA112),SUMIF('Monthly Summary'!$C$74:BV$74,"",$H112:CA112))</f>
        <v>0</v>
      </c>
      <c r="DB112" s="1278">
        <f t="shared" si="39"/>
        <v>0</v>
      </c>
      <c r="DC112" s="1279">
        <f>IF(AND(OR($D112=Variables!A$38,$D112=Variables!A$43),$F112&lt;&gt;"N/A"),1,0)</f>
        <v>0</v>
      </c>
      <c r="DD112" s="820"/>
      <c r="DE112" s="1281" t="str">
        <f t="shared" si="33"/>
        <v/>
      </c>
      <c r="DF112" s="1282" t="str">
        <f t="shared" si="34"/>
        <v/>
      </c>
      <c r="DG112" s="1282" t="str">
        <f t="shared" si="35"/>
        <v/>
      </c>
      <c r="DH112" s="1282" t="str">
        <f>IF(ISNA(VLOOKUP(DE112,Miscellaneous!E:F,2,0)),"",VLOOKUP(DE112,Miscellaneous!E:F,2,0))</f>
        <v/>
      </c>
      <c r="DI112" s="1282" t="str">
        <f t="shared" si="36"/>
        <v/>
      </c>
      <c r="DJ112" s="1283">
        <f>IF($DI112="Opex",SUMIF('Monthly Summary'!$C$75:$N$75,"",H112:S112),SUMIF('Monthly Summary'!$C$74:$N$74,"",H112:S112))</f>
        <v>0</v>
      </c>
      <c r="DK112" s="1283">
        <f>IF($DI112="Opex",SUMIF('Monthly Summary'!$O$75:$Z$75,"",T112:AE112),SUMIF('Monthly Summary'!$O$74:$Z$74,"",T112:AE112))</f>
        <v>0</v>
      </c>
      <c r="DL112" s="1283">
        <f>IF($DI112="Opex",SUMIF('Monthly Summary'!$AA$75:$AL$75,"",AF112:AQ112),SUMIF('Monthly Summary'!$AA$74:$AL$74,"",AF112:AQ112))</f>
        <v>0</v>
      </c>
      <c r="DM112" s="1283">
        <f>IF($DI112="Opex",SUMIF('Monthly Summary'!$AM$75:$AX$75,"",AR112:BC112),SUMIF('Monthly Summary'!$AM$74:$AX$74,"",AR112:BC112))</f>
        <v>0</v>
      </c>
      <c r="DN112" s="1283">
        <f>IF($DI112="Opex",SUMIF('Monthly Summary'!$AY$75:$BJ$75,"",BD112:BO112),SUMIF('Monthly Summary'!$AY$74:$BJ$74,"",BD112:BO112))</f>
        <v>0</v>
      </c>
      <c r="DO112" s="1284">
        <f>IF($DI112="Opex",SUMIF('Monthly Summary'!$BK$75:$BV$75,"",BP112:CA112),SUMIF('Monthly Summary'!$BK$74:$BV$74,"",BP112:CA112))</f>
        <v>0</v>
      </c>
      <c r="DP112" s="1285">
        <f t="shared" si="32"/>
        <v>0</v>
      </c>
    </row>
    <row r="113" spans="1:120" s="809" customFormat="1">
      <c r="A113" s="1261"/>
      <c r="B113" s="1261"/>
      <c r="C113" s="1261"/>
      <c r="D113" s="1262"/>
      <c r="E113" s="1270"/>
      <c r="F113" s="1263"/>
      <c r="G113" s="1263"/>
      <c r="H113" s="1267"/>
      <c r="I113" s="1268"/>
      <c r="J113" s="1268"/>
      <c r="K113" s="1268"/>
      <c r="L113" s="1268"/>
      <c r="M113" s="1268"/>
      <c r="N113" s="1268"/>
      <c r="O113" s="1268"/>
      <c r="P113" s="1268"/>
      <c r="Q113" s="1268"/>
      <c r="R113" s="1268"/>
      <c r="S113" s="1269"/>
      <c r="T113" s="1267"/>
      <c r="U113" s="1268"/>
      <c r="V113" s="1268"/>
      <c r="W113" s="1268"/>
      <c r="X113" s="1268"/>
      <c r="Y113" s="1268"/>
      <c r="Z113" s="1268"/>
      <c r="AA113" s="1268"/>
      <c r="AB113" s="1268"/>
      <c r="AC113" s="1268"/>
      <c r="AD113" s="1268"/>
      <c r="AE113" s="1269"/>
      <c r="AF113" s="1267"/>
      <c r="AG113" s="1268"/>
      <c r="AH113" s="1268"/>
      <c r="AI113" s="1268"/>
      <c r="AJ113" s="1268"/>
      <c r="AK113" s="1268"/>
      <c r="AL113" s="1268"/>
      <c r="AM113" s="1268"/>
      <c r="AN113" s="1268"/>
      <c r="AO113" s="1268"/>
      <c r="AP113" s="1268"/>
      <c r="AQ113" s="1269"/>
      <c r="AR113" s="1267"/>
      <c r="AS113" s="1268"/>
      <c r="AT113" s="1268"/>
      <c r="AU113" s="1268"/>
      <c r="AV113" s="1268"/>
      <c r="AW113" s="1268"/>
      <c r="AX113" s="1268"/>
      <c r="AY113" s="1268"/>
      <c r="AZ113" s="1268"/>
      <c r="BA113" s="1268"/>
      <c r="BB113" s="1268"/>
      <c r="BC113" s="1269"/>
      <c r="BD113" s="1267"/>
      <c r="BE113" s="1268"/>
      <c r="BF113" s="1268"/>
      <c r="BG113" s="1268"/>
      <c r="BH113" s="1268"/>
      <c r="BI113" s="1268"/>
      <c r="BJ113" s="1268"/>
      <c r="BK113" s="1268"/>
      <c r="BL113" s="1268"/>
      <c r="BM113" s="1268"/>
      <c r="BN113" s="1268"/>
      <c r="BO113" s="1269"/>
      <c r="BP113" s="1267"/>
      <c r="BQ113" s="1268"/>
      <c r="BR113" s="1268"/>
      <c r="BS113" s="1268"/>
      <c r="BT113" s="1268"/>
      <c r="BU113" s="1268"/>
      <c r="BV113" s="1268"/>
      <c r="BW113" s="1268"/>
      <c r="BX113" s="1268"/>
      <c r="BY113" s="1268"/>
      <c r="BZ113" s="1268"/>
      <c r="CA113" s="1269"/>
      <c r="CB113" s="1286">
        <f t="shared" si="25"/>
        <v>0</v>
      </c>
      <c r="CC113" s="1277">
        <f>IF($F113=Miscellaneous!$N$8,SUM($H113:CA113),0)</f>
        <v>0</v>
      </c>
      <c r="CD113" s="1277">
        <f>IF($F113=Miscellaneous!$N$8,IF($G113="Opex",SUMIF('Monthly Summary'!$C$75:BV$75,"",$H113:CA113),SUMIF('Monthly Summary'!$C$74:BV$74,"",$H113:CA113)),0)</f>
        <v>0</v>
      </c>
      <c r="CE113" s="1286">
        <f t="shared" si="26"/>
        <v>0</v>
      </c>
      <c r="CF113" s="833"/>
      <c r="CG113" s="1277">
        <f>IF($F113=Miscellaneous!$N$9,SUM($H113:CA113),0)</f>
        <v>0</v>
      </c>
      <c r="CH113" s="1277">
        <f>IF($F113=Miscellaneous!$N$9,IF($G113="Opex",SUMIF('Monthly Summary'!$C$75:BV$75,"",$H113:CA113),SUMIF('Monthly Summary'!$C$74:BV$74,"",$H113:CA113)),0)</f>
        <v>0</v>
      </c>
      <c r="CI113" s="1286">
        <f t="shared" si="27"/>
        <v>0</v>
      </c>
      <c r="CJ113" s="833"/>
      <c r="CK113" s="1277">
        <f>IF($F113=Miscellaneous!$N$7,SUM($H113:CA113),0)</f>
        <v>0</v>
      </c>
      <c r="CL113" s="1277">
        <f>IF($F113=Miscellaneous!$N$7,IF($G113="Opex",SUMIF('Monthly Summary'!$C$75:BV$75,"",$H113:CA113),SUMIF('Monthly Summary'!$C$74:BV$74,"",$H113:CA113)),0)</f>
        <v>0</v>
      </c>
      <c r="CM113" s="1286">
        <f t="shared" si="28"/>
        <v>0</v>
      </c>
      <c r="CN113" s="833"/>
      <c r="CO113" s="1277">
        <f>IF($F113=Miscellaneous!$N$6,SUM($H113:CA113),0)</f>
        <v>0</v>
      </c>
      <c r="CP113" s="1277">
        <f>IF($F113=Miscellaneous!$N$6,IF($G113="Opex",SUMIF('Monthly Summary'!$C$75:BV$75,"",$H113:CA113),SUMIF('Monthly Summary'!$C$74:BV$74,"",$H113:CA113)),0)</f>
        <v>0</v>
      </c>
      <c r="CQ113" s="1286">
        <f t="shared" si="29"/>
        <v>0</v>
      </c>
      <c r="CR113" s="833"/>
      <c r="CS113" s="1277">
        <f>IF($A113="Software",SUM($H113:CA113),0)</f>
        <v>0</v>
      </c>
      <c r="CT113" s="1277">
        <f>IF($A113="Software",IF($G113="Opex",SUMIF('Monthly Summary'!$C$75:BV$75,"",$H113:CA113),SUMIF('Monthly Summary'!$C$74:BV$74,"",$H113:CA113)),0)</f>
        <v>0</v>
      </c>
      <c r="CU113" s="1286">
        <f t="shared" si="30"/>
        <v>0</v>
      </c>
      <c r="CV113" s="833"/>
      <c r="CW113" s="1277">
        <f t="shared" si="37"/>
        <v>0</v>
      </c>
      <c r="CX113" s="1277">
        <f t="shared" si="38"/>
        <v>0</v>
      </c>
      <c r="CY113" s="1286">
        <f t="shared" si="31"/>
        <v>0</v>
      </c>
      <c r="CZ113" s="833"/>
      <c r="DA113" s="1286">
        <f>IF($G113="Opex",SUMIF('Monthly Summary'!$C$75:BV$75,"",$H113:CA113),SUMIF('Monthly Summary'!$C$74:BV$74,"",$H113:CA113))</f>
        <v>0</v>
      </c>
      <c r="DB113" s="1278">
        <f t="shared" si="39"/>
        <v>0</v>
      </c>
      <c r="DC113" s="1279">
        <f>IF(AND(OR($D113=Variables!A$38,$D113=Variables!A$43),$F113&lt;&gt;"N/A"),1,0)</f>
        <v>0</v>
      </c>
      <c r="DD113" s="820"/>
      <c r="DE113" s="1281" t="str">
        <f t="shared" si="33"/>
        <v/>
      </c>
      <c r="DF113" s="1282" t="str">
        <f t="shared" si="34"/>
        <v/>
      </c>
      <c r="DG113" s="1282" t="str">
        <f t="shared" si="35"/>
        <v/>
      </c>
      <c r="DH113" s="1282" t="str">
        <f>IF(ISNA(VLOOKUP(DE113,Miscellaneous!E:F,2,0)),"",VLOOKUP(DE113,Miscellaneous!E:F,2,0))</f>
        <v/>
      </c>
      <c r="DI113" s="1282" t="str">
        <f t="shared" si="36"/>
        <v/>
      </c>
      <c r="DJ113" s="1283">
        <f>IF($DI113="Opex",SUMIF('Monthly Summary'!$C$75:$N$75,"",H113:S113),SUMIF('Monthly Summary'!$C$74:$N$74,"",H113:S113))</f>
        <v>0</v>
      </c>
      <c r="DK113" s="1283">
        <f>IF($DI113="Opex",SUMIF('Monthly Summary'!$O$75:$Z$75,"",T113:AE113),SUMIF('Monthly Summary'!$O$74:$Z$74,"",T113:AE113))</f>
        <v>0</v>
      </c>
      <c r="DL113" s="1283">
        <f>IF($DI113="Opex",SUMIF('Monthly Summary'!$AA$75:$AL$75,"",AF113:AQ113),SUMIF('Monthly Summary'!$AA$74:$AL$74,"",AF113:AQ113))</f>
        <v>0</v>
      </c>
      <c r="DM113" s="1283">
        <f>IF($DI113="Opex",SUMIF('Monthly Summary'!$AM$75:$AX$75,"",AR113:BC113),SUMIF('Monthly Summary'!$AM$74:$AX$74,"",AR113:BC113))</f>
        <v>0</v>
      </c>
      <c r="DN113" s="1283">
        <f>IF($DI113="Opex",SUMIF('Monthly Summary'!$AY$75:$BJ$75,"",BD113:BO113),SUMIF('Monthly Summary'!$AY$74:$BJ$74,"",BD113:BO113))</f>
        <v>0</v>
      </c>
      <c r="DO113" s="1284">
        <f>IF($DI113="Opex",SUMIF('Monthly Summary'!$BK$75:$BV$75,"",BP113:CA113),SUMIF('Monthly Summary'!$BK$74:$BV$74,"",BP113:CA113))</f>
        <v>0</v>
      </c>
      <c r="DP113" s="1285">
        <f t="shared" si="32"/>
        <v>0</v>
      </c>
    </row>
    <row r="114" spans="1:120" s="809" customFormat="1">
      <c r="A114" s="1261"/>
      <c r="B114" s="1261"/>
      <c r="C114" s="1261"/>
      <c r="D114" s="1262"/>
      <c r="E114" s="1270"/>
      <c r="F114" s="1263"/>
      <c r="G114" s="1263"/>
      <c r="H114" s="1267"/>
      <c r="I114" s="1268"/>
      <c r="J114" s="1268"/>
      <c r="K114" s="1268"/>
      <c r="L114" s="1268"/>
      <c r="M114" s="1268"/>
      <c r="N114" s="1268"/>
      <c r="O114" s="1268"/>
      <c r="P114" s="1268"/>
      <c r="Q114" s="1268"/>
      <c r="R114" s="1268"/>
      <c r="S114" s="1269"/>
      <c r="T114" s="1267"/>
      <c r="U114" s="1268"/>
      <c r="V114" s="1268"/>
      <c r="W114" s="1268"/>
      <c r="X114" s="1268"/>
      <c r="Y114" s="1268"/>
      <c r="Z114" s="1268"/>
      <c r="AA114" s="1268"/>
      <c r="AB114" s="1268"/>
      <c r="AC114" s="1268"/>
      <c r="AD114" s="1268"/>
      <c r="AE114" s="1269"/>
      <c r="AF114" s="1267"/>
      <c r="AG114" s="1268"/>
      <c r="AH114" s="1268"/>
      <c r="AI114" s="1268"/>
      <c r="AJ114" s="1268"/>
      <c r="AK114" s="1268"/>
      <c r="AL114" s="1268"/>
      <c r="AM114" s="1268"/>
      <c r="AN114" s="1268"/>
      <c r="AO114" s="1268"/>
      <c r="AP114" s="1268"/>
      <c r="AQ114" s="1269"/>
      <c r="AR114" s="1267"/>
      <c r="AS114" s="1268"/>
      <c r="AT114" s="1268"/>
      <c r="AU114" s="1268"/>
      <c r="AV114" s="1268"/>
      <c r="AW114" s="1268"/>
      <c r="AX114" s="1268"/>
      <c r="AY114" s="1268"/>
      <c r="AZ114" s="1268"/>
      <c r="BA114" s="1268"/>
      <c r="BB114" s="1268"/>
      <c r="BC114" s="1269"/>
      <c r="BD114" s="1267"/>
      <c r="BE114" s="1268"/>
      <c r="BF114" s="1268"/>
      <c r="BG114" s="1268"/>
      <c r="BH114" s="1268"/>
      <c r="BI114" s="1268"/>
      <c r="BJ114" s="1268"/>
      <c r="BK114" s="1268"/>
      <c r="BL114" s="1268"/>
      <c r="BM114" s="1268"/>
      <c r="BN114" s="1268"/>
      <c r="BO114" s="1269"/>
      <c r="BP114" s="1267"/>
      <c r="BQ114" s="1268"/>
      <c r="BR114" s="1268"/>
      <c r="BS114" s="1268"/>
      <c r="BT114" s="1268"/>
      <c r="BU114" s="1268"/>
      <c r="BV114" s="1268"/>
      <c r="BW114" s="1268"/>
      <c r="BX114" s="1268"/>
      <c r="BY114" s="1268"/>
      <c r="BZ114" s="1268"/>
      <c r="CA114" s="1269"/>
      <c r="CB114" s="1286">
        <f t="shared" si="25"/>
        <v>0</v>
      </c>
      <c r="CC114" s="1277">
        <f>IF($F114=Miscellaneous!$N$8,SUM($H114:CA114),0)</f>
        <v>0</v>
      </c>
      <c r="CD114" s="1277">
        <f>IF($F114=Miscellaneous!$N$8,IF($G114="Opex",SUMIF('Monthly Summary'!$C$75:BV$75,"",$H114:CA114),SUMIF('Monthly Summary'!$C$74:BV$74,"",$H114:CA114)),0)</f>
        <v>0</v>
      </c>
      <c r="CE114" s="1286">
        <f t="shared" si="26"/>
        <v>0</v>
      </c>
      <c r="CF114" s="833"/>
      <c r="CG114" s="1277">
        <f>IF($F114=Miscellaneous!$N$9,SUM($H114:CA114),0)</f>
        <v>0</v>
      </c>
      <c r="CH114" s="1277">
        <f>IF($F114=Miscellaneous!$N$9,IF($G114="Opex",SUMIF('Monthly Summary'!$C$75:BV$75,"",$H114:CA114),SUMIF('Monthly Summary'!$C$74:BV$74,"",$H114:CA114)),0)</f>
        <v>0</v>
      </c>
      <c r="CI114" s="1286">
        <f t="shared" si="27"/>
        <v>0</v>
      </c>
      <c r="CJ114" s="833"/>
      <c r="CK114" s="1277">
        <f>IF($F114=Miscellaneous!$N$7,SUM($H114:CA114),0)</f>
        <v>0</v>
      </c>
      <c r="CL114" s="1277">
        <f>IF($F114=Miscellaneous!$N$7,IF($G114="Opex",SUMIF('Monthly Summary'!$C$75:BV$75,"",$H114:CA114),SUMIF('Monthly Summary'!$C$74:BV$74,"",$H114:CA114)),0)</f>
        <v>0</v>
      </c>
      <c r="CM114" s="1286">
        <f t="shared" si="28"/>
        <v>0</v>
      </c>
      <c r="CN114" s="833"/>
      <c r="CO114" s="1277">
        <f>IF($F114=Miscellaneous!$N$6,SUM($H114:CA114),0)</f>
        <v>0</v>
      </c>
      <c r="CP114" s="1277">
        <f>IF($F114=Miscellaneous!$N$6,IF($G114="Opex",SUMIF('Monthly Summary'!$C$75:BV$75,"",$H114:CA114),SUMIF('Monthly Summary'!$C$74:BV$74,"",$H114:CA114)),0)</f>
        <v>0</v>
      </c>
      <c r="CQ114" s="1286">
        <f t="shared" si="29"/>
        <v>0</v>
      </c>
      <c r="CR114" s="833"/>
      <c r="CS114" s="1277">
        <f>IF($A114="Software",SUM($H114:CA114),0)</f>
        <v>0</v>
      </c>
      <c r="CT114" s="1277">
        <f>IF($A114="Software",IF($G114="Opex",SUMIF('Monthly Summary'!$C$75:BV$75,"",$H114:CA114),SUMIF('Monthly Summary'!$C$74:BV$74,"",$H114:CA114)),0)</f>
        <v>0</v>
      </c>
      <c r="CU114" s="1286">
        <f t="shared" si="30"/>
        <v>0</v>
      </c>
      <c r="CV114" s="833"/>
      <c r="CW114" s="1277">
        <f t="shared" si="37"/>
        <v>0</v>
      </c>
      <c r="CX114" s="1277">
        <f t="shared" si="38"/>
        <v>0</v>
      </c>
      <c r="CY114" s="1286">
        <f t="shared" si="31"/>
        <v>0</v>
      </c>
      <c r="CZ114" s="833"/>
      <c r="DA114" s="1286">
        <f>IF($G114="Opex",SUMIF('Monthly Summary'!$C$75:BV$75,"",$H114:CA114),SUMIF('Monthly Summary'!$C$74:BV$74,"",$H114:CA114))</f>
        <v>0</v>
      </c>
      <c r="DB114" s="1278">
        <f t="shared" si="39"/>
        <v>0</v>
      </c>
      <c r="DC114" s="1279">
        <f>IF(AND(OR($D114=Variables!A$38,$D114=Variables!A$43),$F114&lt;&gt;"N/A"),1,0)</f>
        <v>0</v>
      </c>
      <c r="DD114" s="820"/>
      <c r="DE114" s="1281" t="str">
        <f t="shared" si="33"/>
        <v/>
      </c>
      <c r="DF114" s="1282" t="str">
        <f t="shared" si="34"/>
        <v/>
      </c>
      <c r="DG114" s="1282" t="str">
        <f t="shared" si="35"/>
        <v/>
      </c>
      <c r="DH114" s="1282" t="str">
        <f>IF(ISNA(VLOOKUP(DE114,Miscellaneous!E:F,2,0)),"",VLOOKUP(DE114,Miscellaneous!E:F,2,0))</f>
        <v/>
      </c>
      <c r="DI114" s="1282" t="str">
        <f t="shared" si="36"/>
        <v/>
      </c>
      <c r="DJ114" s="1283">
        <f>IF($DI114="Opex",SUMIF('Monthly Summary'!$C$75:$N$75,"",H114:S114),SUMIF('Monthly Summary'!$C$74:$N$74,"",H114:S114))</f>
        <v>0</v>
      </c>
      <c r="DK114" s="1283">
        <f>IF($DI114="Opex",SUMIF('Monthly Summary'!$O$75:$Z$75,"",T114:AE114),SUMIF('Monthly Summary'!$O$74:$Z$74,"",T114:AE114))</f>
        <v>0</v>
      </c>
      <c r="DL114" s="1283">
        <f>IF($DI114="Opex",SUMIF('Monthly Summary'!$AA$75:$AL$75,"",AF114:AQ114),SUMIF('Monthly Summary'!$AA$74:$AL$74,"",AF114:AQ114))</f>
        <v>0</v>
      </c>
      <c r="DM114" s="1283">
        <f>IF($DI114="Opex",SUMIF('Monthly Summary'!$AM$75:$AX$75,"",AR114:BC114),SUMIF('Monthly Summary'!$AM$74:$AX$74,"",AR114:BC114))</f>
        <v>0</v>
      </c>
      <c r="DN114" s="1283">
        <f>IF($DI114="Opex",SUMIF('Monthly Summary'!$AY$75:$BJ$75,"",BD114:BO114),SUMIF('Monthly Summary'!$AY$74:$BJ$74,"",BD114:BO114))</f>
        <v>0</v>
      </c>
      <c r="DO114" s="1284">
        <f>IF($DI114="Opex",SUMIF('Monthly Summary'!$BK$75:$BV$75,"",BP114:CA114),SUMIF('Monthly Summary'!$BK$74:$BV$74,"",BP114:CA114))</f>
        <v>0</v>
      </c>
      <c r="DP114" s="1285">
        <f t="shared" si="32"/>
        <v>0</v>
      </c>
    </row>
    <row r="115" spans="1:120" s="809" customFormat="1">
      <c r="A115" s="1261"/>
      <c r="B115" s="1261"/>
      <c r="C115" s="1261"/>
      <c r="D115" s="1262"/>
      <c r="E115" s="1270"/>
      <c r="F115" s="1263"/>
      <c r="G115" s="1263"/>
      <c r="H115" s="1267"/>
      <c r="I115" s="1268"/>
      <c r="J115" s="1268"/>
      <c r="K115" s="1268"/>
      <c r="L115" s="1268"/>
      <c r="M115" s="1268"/>
      <c r="N115" s="1268"/>
      <c r="O115" s="1268"/>
      <c r="P115" s="1268"/>
      <c r="Q115" s="1268"/>
      <c r="R115" s="1268"/>
      <c r="S115" s="1269"/>
      <c r="T115" s="1267"/>
      <c r="U115" s="1268"/>
      <c r="V115" s="1268"/>
      <c r="W115" s="1268"/>
      <c r="X115" s="1268"/>
      <c r="Y115" s="1268"/>
      <c r="Z115" s="1268"/>
      <c r="AA115" s="1268"/>
      <c r="AB115" s="1268"/>
      <c r="AC115" s="1268"/>
      <c r="AD115" s="1268"/>
      <c r="AE115" s="1269"/>
      <c r="AF115" s="1267"/>
      <c r="AG115" s="1268"/>
      <c r="AH115" s="1268"/>
      <c r="AI115" s="1268"/>
      <c r="AJ115" s="1268"/>
      <c r="AK115" s="1268"/>
      <c r="AL115" s="1268"/>
      <c r="AM115" s="1268"/>
      <c r="AN115" s="1268"/>
      <c r="AO115" s="1268"/>
      <c r="AP115" s="1268"/>
      <c r="AQ115" s="1269"/>
      <c r="AR115" s="1267"/>
      <c r="AS115" s="1268"/>
      <c r="AT115" s="1268"/>
      <c r="AU115" s="1268"/>
      <c r="AV115" s="1268"/>
      <c r="AW115" s="1268"/>
      <c r="AX115" s="1268"/>
      <c r="AY115" s="1268"/>
      <c r="AZ115" s="1268"/>
      <c r="BA115" s="1268"/>
      <c r="BB115" s="1268"/>
      <c r="BC115" s="1269"/>
      <c r="BD115" s="1267"/>
      <c r="BE115" s="1268"/>
      <c r="BF115" s="1268"/>
      <c r="BG115" s="1268"/>
      <c r="BH115" s="1268"/>
      <c r="BI115" s="1268"/>
      <c r="BJ115" s="1268"/>
      <c r="BK115" s="1268"/>
      <c r="BL115" s="1268"/>
      <c r="BM115" s="1268"/>
      <c r="BN115" s="1268"/>
      <c r="BO115" s="1269"/>
      <c r="BP115" s="1267"/>
      <c r="BQ115" s="1268"/>
      <c r="BR115" s="1268"/>
      <c r="BS115" s="1268"/>
      <c r="BT115" s="1268"/>
      <c r="BU115" s="1268"/>
      <c r="BV115" s="1268"/>
      <c r="BW115" s="1268"/>
      <c r="BX115" s="1268"/>
      <c r="BY115" s="1268"/>
      <c r="BZ115" s="1268"/>
      <c r="CA115" s="1269"/>
      <c r="CB115" s="1286">
        <f t="shared" si="25"/>
        <v>0</v>
      </c>
      <c r="CC115" s="1277">
        <f>IF($F115=Miscellaneous!$N$8,SUM($H115:CA115),0)</f>
        <v>0</v>
      </c>
      <c r="CD115" s="1277">
        <f>IF($F115=Miscellaneous!$N$8,IF($G115="Opex",SUMIF('Monthly Summary'!$C$75:BV$75,"",$H115:CA115),SUMIF('Monthly Summary'!$C$74:BV$74,"",$H115:CA115)),0)</f>
        <v>0</v>
      </c>
      <c r="CE115" s="1286">
        <f t="shared" si="26"/>
        <v>0</v>
      </c>
      <c r="CF115" s="833"/>
      <c r="CG115" s="1277">
        <f>IF($F115=Miscellaneous!$N$9,SUM($H115:CA115),0)</f>
        <v>0</v>
      </c>
      <c r="CH115" s="1277">
        <f>IF($F115=Miscellaneous!$N$9,IF($G115="Opex",SUMIF('Monthly Summary'!$C$75:BV$75,"",$H115:CA115),SUMIF('Monthly Summary'!$C$74:BV$74,"",$H115:CA115)),0)</f>
        <v>0</v>
      </c>
      <c r="CI115" s="1286">
        <f t="shared" si="27"/>
        <v>0</v>
      </c>
      <c r="CJ115" s="833"/>
      <c r="CK115" s="1277">
        <f>IF($F115=Miscellaneous!$N$7,SUM($H115:CA115),0)</f>
        <v>0</v>
      </c>
      <c r="CL115" s="1277">
        <f>IF($F115=Miscellaneous!$N$7,IF($G115="Opex",SUMIF('Monthly Summary'!$C$75:BV$75,"",$H115:CA115),SUMIF('Monthly Summary'!$C$74:BV$74,"",$H115:CA115)),0)</f>
        <v>0</v>
      </c>
      <c r="CM115" s="1286">
        <f t="shared" si="28"/>
        <v>0</v>
      </c>
      <c r="CN115" s="833"/>
      <c r="CO115" s="1277">
        <f>IF($F115=Miscellaneous!$N$6,SUM($H115:CA115),0)</f>
        <v>0</v>
      </c>
      <c r="CP115" s="1277">
        <f>IF($F115=Miscellaneous!$N$6,IF($G115="Opex",SUMIF('Monthly Summary'!$C$75:BV$75,"",$H115:CA115),SUMIF('Monthly Summary'!$C$74:BV$74,"",$H115:CA115)),0)</f>
        <v>0</v>
      </c>
      <c r="CQ115" s="1286">
        <f t="shared" si="29"/>
        <v>0</v>
      </c>
      <c r="CR115" s="833"/>
      <c r="CS115" s="1277">
        <f>IF($A115="Software",SUM($H115:CA115),0)</f>
        <v>0</v>
      </c>
      <c r="CT115" s="1277">
        <f>IF($A115="Software",IF($G115="Opex",SUMIF('Monthly Summary'!$C$75:BV$75,"",$H115:CA115),SUMIF('Monthly Summary'!$C$74:BV$74,"",$H115:CA115)),0)</f>
        <v>0</v>
      </c>
      <c r="CU115" s="1286">
        <f t="shared" si="30"/>
        <v>0</v>
      </c>
      <c r="CV115" s="833"/>
      <c r="CW115" s="1277">
        <f t="shared" si="37"/>
        <v>0</v>
      </c>
      <c r="CX115" s="1277">
        <f t="shared" si="38"/>
        <v>0</v>
      </c>
      <c r="CY115" s="1286">
        <f t="shared" si="31"/>
        <v>0</v>
      </c>
      <c r="CZ115" s="833"/>
      <c r="DA115" s="1286">
        <f>IF($G115="Opex",SUMIF('Monthly Summary'!$C$75:BV$75,"",$H115:CA115),SUMIF('Monthly Summary'!$C$74:BV$74,"",$H115:CA115))</f>
        <v>0</v>
      </c>
      <c r="DB115" s="1278">
        <f t="shared" si="39"/>
        <v>0</v>
      </c>
      <c r="DC115" s="1279">
        <f>IF(AND(OR($D115=Variables!A$38,$D115=Variables!A$43),$F115&lt;&gt;"N/A"),1,0)</f>
        <v>0</v>
      </c>
      <c r="DD115" s="820"/>
      <c r="DE115" s="1281" t="str">
        <f t="shared" si="33"/>
        <v/>
      </c>
      <c r="DF115" s="1282" t="str">
        <f t="shared" si="34"/>
        <v/>
      </c>
      <c r="DG115" s="1282" t="str">
        <f t="shared" si="35"/>
        <v/>
      </c>
      <c r="DH115" s="1282" t="str">
        <f>IF(ISNA(VLOOKUP(DE115,Miscellaneous!E:F,2,0)),"",VLOOKUP(DE115,Miscellaneous!E:F,2,0))</f>
        <v/>
      </c>
      <c r="DI115" s="1282" t="str">
        <f t="shared" si="36"/>
        <v/>
      </c>
      <c r="DJ115" s="1283">
        <f>IF($DI115="Opex",SUMIF('Monthly Summary'!$C$75:$N$75,"",H115:S115),SUMIF('Monthly Summary'!$C$74:$N$74,"",H115:S115))</f>
        <v>0</v>
      </c>
      <c r="DK115" s="1283">
        <f>IF($DI115="Opex",SUMIF('Monthly Summary'!$O$75:$Z$75,"",T115:AE115),SUMIF('Monthly Summary'!$O$74:$Z$74,"",T115:AE115))</f>
        <v>0</v>
      </c>
      <c r="DL115" s="1283">
        <f>IF($DI115="Opex",SUMIF('Monthly Summary'!$AA$75:$AL$75,"",AF115:AQ115),SUMIF('Monthly Summary'!$AA$74:$AL$74,"",AF115:AQ115))</f>
        <v>0</v>
      </c>
      <c r="DM115" s="1283">
        <f>IF($DI115="Opex",SUMIF('Monthly Summary'!$AM$75:$AX$75,"",AR115:BC115),SUMIF('Monthly Summary'!$AM$74:$AX$74,"",AR115:BC115))</f>
        <v>0</v>
      </c>
      <c r="DN115" s="1283">
        <f>IF($DI115="Opex",SUMIF('Monthly Summary'!$AY$75:$BJ$75,"",BD115:BO115),SUMIF('Monthly Summary'!$AY$74:$BJ$74,"",BD115:BO115))</f>
        <v>0</v>
      </c>
      <c r="DO115" s="1284">
        <f>IF($DI115="Opex",SUMIF('Monthly Summary'!$BK$75:$BV$75,"",BP115:CA115),SUMIF('Monthly Summary'!$BK$74:$BV$74,"",BP115:CA115))</f>
        <v>0</v>
      </c>
      <c r="DP115" s="1285">
        <f t="shared" si="32"/>
        <v>0</v>
      </c>
    </row>
    <row r="116" spans="1:120" s="809" customFormat="1">
      <c r="A116" s="1261"/>
      <c r="B116" s="1261"/>
      <c r="C116" s="1261"/>
      <c r="D116" s="1262"/>
      <c r="E116" s="1270"/>
      <c r="F116" s="1263"/>
      <c r="G116" s="1263"/>
      <c r="H116" s="1267"/>
      <c r="I116" s="1268"/>
      <c r="J116" s="1268"/>
      <c r="K116" s="1268"/>
      <c r="L116" s="1268"/>
      <c r="M116" s="1268"/>
      <c r="N116" s="1268"/>
      <c r="O116" s="1268"/>
      <c r="P116" s="1268"/>
      <c r="Q116" s="1268"/>
      <c r="R116" s="1268"/>
      <c r="S116" s="1269"/>
      <c r="T116" s="1267"/>
      <c r="U116" s="1268"/>
      <c r="V116" s="1268"/>
      <c r="W116" s="1268"/>
      <c r="X116" s="1268"/>
      <c r="Y116" s="1268"/>
      <c r="Z116" s="1268"/>
      <c r="AA116" s="1268"/>
      <c r="AB116" s="1268"/>
      <c r="AC116" s="1268"/>
      <c r="AD116" s="1268"/>
      <c r="AE116" s="1269"/>
      <c r="AF116" s="1267"/>
      <c r="AG116" s="1268"/>
      <c r="AH116" s="1268"/>
      <c r="AI116" s="1268"/>
      <c r="AJ116" s="1268"/>
      <c r="AK116" s="1268"/>
      <c r="AL116" s="1268"/>
      <c r="AM116" s="1268"/>
      <c r="AN116" s="1268"/>
      <c r="AO116" s="1268"/>
      <c r="AP116" s="1268"/>
      <c r="AQ116" s="1269"/>
      <c r="AR116" s="1267"/>
      <c r="AS116" s="1268"/>
      <c r="AT116" s="1268"/>
      <c r="AU116" s="1268"/>
      <c r="AV116" s="1268"/>
      <c r="AW116" s="1268"/>
      <c r="AX116" s="1268"/>
      <c r="AY116" s="1268"/>
      <c r="AZ116" s="1268"/>
      <c r="BA116" s="1268"/>
      <c r="BB116" s="1268"/>
      <c r="BC116" s="1269"/>
      <c r="BD116" s="1267"/>
      <c r="BE116" s="1268"/>
      <c r="BF116" s="1268"/>
      <c r="BG116" s="1268"/>
      <c r="BH116" s="1268"/>
      <c r="BI116" s="1268"/>
      <c r="BJ116" s="1268"/>
      <c r="BK116" s="1268"/>
      <c r="BL116" s="1268"/>
      <c r="BM116" s="1268"/>
      <c r="BN116" s="1268"/>
      <c r="BO116" s="1269"/>
      <c r="BP116" s="1267"/>
      <c r="BQ116" s="1268"/>
      <c r="BR116" s="1268"/>
      <c r="BS116" s="1268"/>
      <c r="BT116" s="1268"/>
      <c r="BU116" s="1268"/>
      <c r="BV116" s="1268"/>
      <c r="BW116" s="1268"/>
      <c r="BX116" s="1268"/>
      <c r="BY116" s="1268"/>
      <c r="BZ116" s="1268"/>
      <c r="CA116" s="1269"/>
      <c r="CB116" s="1286">
        <f t="shared" si="25"/>
        <v>0</v>
      </c>
      <c r="CC116" s="1277">
        <f>IF($F116=Miscellaneous!$N$8,SUM($H116:CA116),0)</f>
        <v>0</v>
      </c>
      <c r="CD116" s="1277">
        <f>IF($F116=Miscellaneous!$N$8,IF($G116="Opex",SUMIF('Monthly Summary'!$C$75:BV$75,"",$H116:CA116),SUMIF('Monthly Summary'!$C$74:BV$74,"",$H116:CA116)),0)</f>
        <v>0</v>
      </c>
      <c r="CE116" s="1286">
        <f t="shared" si="26"/>
        <v>0</v>
      </c>
      <c r="CF116" s="833"/>
      <c r="CG116" s="1277">
        <f>IF($F116=Miscellaneous!$N$9,SUM($H116:CA116),0)</f>
        <v>0</v>
      </c>
      <c r="CH116" s="1277">
        <f>IF($F116=Miscellaneous!$N$9,IF($G116="Opex",SUMIF('Monthly Summary'!$C$75:BV$75,"",$H116:CA116),SUMIF('Monthly Summary'!$C$74:BV$74,"",$H116:CA116)),0)</f>
        <v>0</v>
      </c>
      <c r="CI116" s="1286">
        <f t="shared" si="27"/>
        <v>0</v>
      </c>
      <c r="CJ116" s="833"/>
      <c r="CK116" s="1277">
        <f>IF($F116=Miscellaneous!$N$7,SUM($H116:CA116),0)</f>
        <v>0</v>
      </c>
      <c r="CL116" s="1277">
        <f>IF($F116=Miscellaneous!$N$7,IF($G116="Opex",SUMIF('Monthly Summary'!$C$75:BV$75,"",$H116:CA116),SUMIF('Monthly Summary'!$C$74:BV$74,"",$H116:CA116)),0)</f>
        <v>0</v>
      </c>
      <c r="CM116" s="1286">
        <f t="shared" si="28"/>
        <v>0</v>
      </c>
      <c r="CN116" s="833"/>
      <c r="CO116" s="1277">
        <f>IF($F116=Miscellaneous!$N$6,SUM($H116:CA116),0)</f>
        <v>0</v>
      </c>
      <c r="CP116" s="1277">
        <f>IF($F116=Miscellaneous!$N$6,IF($G116="Opex",SUMIF('Monthly Summary'!$C$75:BV$75,"",$H116:CA116),SUMIF('Monthly Summary'!$C$74:BV$74,"",$H116:CA116)),0)</f>
        <v>0</v>
      </c>
      <c r="CQ116" s="1286">
        <f t="shared" si="29"/>
        <v>0</v>
      </c>
      <c r="CR116" s="833"/>
      <c r="CS116" s="1277">
        <f>IF($A116="Software",SUM($H116:CA116),0)</f>
        <v>0</v>
      </c>
      <c r="CT116" s="1277">
        <f>IF($A116="Software",IF($G116="Opex",SUMIF('Monthly Summary'!$C$75:BV$75,"",$H116:CA116),SUMIF('Monthly Summary'!$C$74:BV$74,"",$H116:CA116)),0)</f>
        <v>0</v>
      </c>
      <c r="CU116" s="1286">
        <f t="shared" si="30"/>
        <v>0</v>
      </c>
      <c r="CV116" s="833"/>
      <c r="CW116" s="1277">
        <f t="shared" si="37"/>
        <v>0</v>
      </c>
      <c r="CX116" s="1277">
        <f t="shared" si="38"/>
        <v>0</v>
      </c>
      <c r="CY116" s="1286">
        <f t="shared" si="31"/>
        <v>0</v>
      </c>
      <c r="CZ116" s="833"/>
      <c r="DA116" s="1286">
        <f>IF($G116="Opex",SUMIF('Monthly Summary'!$C$75:BV$75,"",$H116:CA116),SUMIF('Monthly Summary'!$C$74:BV$74,"",$H116:CA116))</f>
        <v>0</v>
      </c>
      <c r="DB116" s="1278">
        <f t="shared" si="39"/>
        <v>0</v>
      </c>
      <c r="DC116" s="1279">
        <f>IF(AND(OR($D116=Variables!A$38,$D116=Variables!A$43),$F116&lt;&gt;"N/A"),1,0)</f>
        <v>0</v>
      </c>
      <c r="DD116" s="820"/>
      <c r="DE116" s="1281" t="str">
        <f t="shared" si="33"/>
        <v/>
      </c>
      <c r="DF116" s="1282" t="str">
        <f t="shared" si="34"/>
        <v/>
      </c>
      <c r="DG116" s="1282" t="str">
        <f t="shared" si="35"/>
        <v/>
      </c>
      <c r="DH116" s="1282" t="str">
        <f>IF(ISNA(VLOOKUP(DE116,Miscellaneous!E:F,2,0)),"",VLOOKUP(DE116,Miscellaneous!E:F,2,0))</f>
        <v/>
      </c>
      <c r="DI116" s="1282" t="str">
        <f t="shared" si="36"/>
        <v/>
      </c>
      <c r="DJ116" s="1283">
        <f>IF($DI116="Opex",SUMIF('Monthly Summary'!$C$75:$N$75,"",H116:S116),SUMIF('Monthly Summary'!$C$74:$N$74,"",H116:S116))</f>
        <v>0</v>
      </c>
      <c r="DK116" s="1283">
        <f>IF($DI116="Opex",SUMIF('Monthly Summary'!$O$75:$Z$75,"",T116:AE116),SUMIF('Monthly Summary'!$O$74:$Z$74,"",T116:AE116))</f>
        <v>0</v>
      </c>
      <c r="DL116" s="1283">
        <f>IF($DI116="Opex",SUMIF('Monthly Summary'!$AA$75:$AL$75,"",AF116:AQ116),SUMIF('Monthly Summary'!$AA$74:$AL$74,"",AF116:AQ116))</f>
        <v>0</v>
      </c>
      <c r="DM116" s="1283">
        <f>IF($DI116="Opex",SUMIF('Monthly Summary'!$AM$75:$AX$75,"",AR116:BC116),SUMIF('Monthly Summary'!$AM$74:$AX$74,"",AR116:BC116))</f>
        <v>0</v>
      </c>
      <c r="DN116" s="1283">
        <f>IF($DI116="Opex",SUMIF('Monthly Summary'!$AY$75:$BJ$75,"",BD116:BO116),SUMIF('Monthly Summary'!$AY$74:$BJ$74,"",BD116:BO116))</f>
        <v>0</v>
      </c>
      <c r="DO116" s="1284">
        <f>IF($DI116="Opex",SUMIF('Monthly Summary'!$BK$75:$BV$75,"",BP116:CA116),SUMIF('Monthly Summary'!$BK$74:$BV$74,"",BP116:CA116))</f>
        <v>0</v>
      </c>
      <c r="DP116" s="1285">
        <f t="shared" si="32"/>
        <v>0</v>
      </c>
    </row>
    <row r="117" spans="1:120" s="809" customFormat="1">
      <c r="A117" s="1261"/>
      <c r="B117" s="1261"/>
      <c r="C117" s="1261"/>
      <c r="D117" s="1262"/>
      <c r="E117" s="1270"/>
      <c r="F117" s="1263"/>
      <c r="G117" s="1263"/>
      <c r="H117" s="1267"/>
      <c r="I117" s="1268"/>
      <c r="J117" s="1268"/>
      <c r="K117" s="1268"/>
      <c r="L117" s="1268"/>
      <c r="M117" s="1268"/>
      <c r="N117" s="1268"/>
      <c r="O117" s="1268"/>
      <c r="P117" s="1268"/>
      <c r="Q117" s="1268"/>
      <c r="R117" s="1268"/>
      <c r="S117" s="1269"/>
      <c r="T117" s="1267"/>
      <c r="U117" s="1268"/>
      <c r="V117" s="1268"/>
      <c r="W117" s="1268"/>
      <c r="X117" s="1268"/>
      <c r="Y117" s="1268"/>
      <c r="Z117" s="1268"/>
      <c r="AA117" s="1268"/>
      <c r="AB117" s="1268"/>
      <c r="AC117" s="1268"/>
      <c r="AD117" s="1268"/>
      <c r="AE117" s="1269"/>
      <c r="AF117" s="1267"/>
      <c r="AG117" s="1268"/>
      <c r="AH117" s="1268"/>
      <c r="AI117" s="1268"/>
      <c r="AJ117" s="1268"/>
      <c r="AK117" s="1268"/>
      <c r="AL117" s="1268"/>
      <c r="AM117" s="1268"/>
      <c r="AN117" s="1268"/>
      <c r="AO117" s="1268"/>
      <c r="AP117" s="1268"/>
      <c r="AQ117" s="1269"/>
      <c r="AR117" s="1267"/>
      <c r="AS117" s="1268"/>
      <c r="AT117" s="1268"/>
      <c r="AU117" s="1268"/>
      <c r="AV117" s="1268"/>
      <c r="AW117" s="1268"/>
      <c r="AX117" s="1268"/>
      <c r="AY117" s="1268"/>
      <c r="AZ117" s="1268"/>
      <c r="BA117" s="1268"/>
      <c r="BB117" s="1268"/>
      <c r="BC117" s="1269"/>
      <c r="BD117" s="1267"/>
      <c r="BE117" s="1268"/>
      <c r="BF117" s="1268"/>
      <c r="BG117" s="1268"/>
      <c r="BH117" s="1268"/>
      <c r="BI117" s="1268"/>
      <c r="BJ117" s="1268"/>
      <c r="BK117" s="1268"/>
      <c r="BL117" s="1268"/>
      <c r="BM117" s="1268"/>
      <c r="BN117" s="1268"/>
      <c r="BO117" s="1269"/>
      <c r="BP117" s="1267"/>
      <c r="BQ117" s="1268"/>
      <c r="BR117" s="1268"/>
      <c r="BS117" s="1268"/>
      <c r="BT117" s="1268"/>
      <c r="BU117" s="1268"/>
      <c r="BV117" s="1268"/>
      <c r="BW117" s="1268"/>
      <c r="BX117" s="1268"/>
      <c r="BY117" s="1268"/>
      <c r="BZ117" s="1268"/>
      <c r="CA117" s="1269"/>
      <c r="CB117" s="1286">
        <f t="shared" si="25"/>
        <v>0</v>
      </c>
      <c r="CC117" s="1277">
        <f>IF($F117=Miscellaneous!$N$8,SUM($H117:CA117),0)</f>
        <v>0</v>
      </c>
      <c r="CD117" s="1277">
        <f>IF($F117=Miscellaneous!$N$8,IF($G117="Opex",SUMIF('Monthly Summary'!$C$75:BV$75,"",$H117:CA117),SUMIF('Monthly Summary'!$C$74:BV$74,"",$H117:CA117)),0)</f>
        <v>0</v>
      </c>
      <c r="CE117" s="1286">
        <f t="shared" si="26"/>
        <v>0</v>
      </c>
      <c r="CF117" s="833"/>
      <c r="CG117" s="1277">
        <f>IF($F117=Miscellaneous!$N$9,SUM($H117:CA117),0)</f>
        <v>0</v>
      </c>
      <c r="CH117" s="1277">
        <f>IF($F117=Miscellaneous!$N$9,IF($G117="Opex",SUMIF('Monthly Summary'!$C$75:BV$75,"",$H117:CA117),SUMIF('Monthly Summary'!$C$74:BV$74,"",$H117:CA117)),0)</f>
        <v>0</v>
      </c>
      <c r="CI117" s="1286">
        <f t="shared" si="27"/>
        <v>0</v>
      </c>
      <c r="CJ117" s="833"/>
      <c r="CK117" s="1277">
        <f>IF($F117=Miscellaneous!$N$7,SUM($H117:CA117),0)</f>
        <v>0</v>
      </c>
      <c r="CL117" s="1277">
        <f>IF($F117=Miscellaneous!$N$7,IF($G117="Opex",SUMIF('Monthly Summary'!$C$75:BV$75,"",$H117:CA117),SUMIF('Monthly Summary'!$C$74:BV$74,"",$H117:CA117)),0)</f>
        <v>0</v>
      </c>
      <c r="CM117" s="1286">
        <f t="shared" si="28"/>
        <v>0</v>
      </c>
      <c r="CN117" s="833"/>
      <c r="CO117" s="1277">
        <f>IF($F117=Miscellaneous!$N$6,SUM($H117:CA117),0)</f>
        <v>0</v>
      </c>
      <c r="CP117" s="1277">
        <f>IF($F117=Miscellaneous!$N$6,IF($G117="Opex",SUMIF('Monthly Summary'!$C$75:BV$75,"",$H117:CA117),SUMIF('Monthly Summary'!$C$74:BV$74,"",$H117:CA117)),0)</f>
        <v>0</v>
      </c>
      <c r="CQ117" s="1286">
        <f t="shared" si="29"/>
        <v>0</v>
      </c>
      <c r="CR117" s="833"/>
      <c r="CS117" s="1277">
        <f>IF($A117="Software",SUM($H117:CA117),0)</f>
        <v>0</v>
      </c>
      <c r="CT117" s="1277">
        <f>IF($A117="Software",IF($G117="Opex",SUMIF('Monthly Summary'!$C$75:BV$75,"",$H117:CA117),SUMIF('Monthly Summary'!$C$74:BV$74,"",$H117:CA117)),0)</f>
        <v>0</v>
      </c>
      <c r="CU117" s="1286">
        <f t="shared" si="30"/>
        <v>0</v>
      </c>
      <c r="CV117" s="833"/>
      <c r="CW117" s="1277">
        <f t="shared" si="37"/>
        <v>0</v>
      </c>
      <c r="CX117" s="1277">
        <f t="shared" si="38"/>
        <v>0</v>
      </c>
      <c r="CY117" s="1286">
        <f t="shared" si="31"/>
        <v>0</v>
      </c>
      <c r="CZ117" s="833"/>
      <c r="DA117" s="1286">
        <f>IF($G117="Opex",SUMIF('Monthly Summary'!$C$75:BV$75,"",$H117:CA117),SUMIF('Monthly Summary'!$C$74:BV$74,"",$H117:CA117))</f>
        <v>0</v>
      </c>
      <c r="DB117" s="1278">
        <f t="shared" si="39"/>
        <v>0</v>
      </c>
      <c r="DC117" s="1279">
        <f>IF(AND(OR($D117=Variables!A$38,$D117=Variables!A$43),$F117&lt;&gt;"N/A"),1,0)</f>
        <v>0</v>
      </c>
      <c r="DD117" s="820"/>
      <c r="DE117" s="1281" t="str">
        <f t="shared" si="33"/>
        <v/>
      </c>
      <c r="DF117" s="1282" t="str">
        <f t="shared" si="34"/>
        <v/>
      </c>
      <c r="DG117" s="1282" t="str">
        <f t="shared" si="35"/>
        <v/>
      </c>
      <c r="DH117" s="1282" t="str">
        <f>IF(ISNA(VLOOKUP(DE117,Miscellaneous!E:F,2,0)),"",VLOOKUP(DE117,Miscellaneous!E:F,2,0))</f>
        <v/>
      </c>
      <c r="DI117" s="1282" t="str">
        <f t="shared" si="36"/>
        <v/>
      </c>
      <c r="DJ117" s="1283">
        <f>IF($DI117="Opex",SUMIF('Monthly Summary'!$C$75:$N$75,"",H117:S117),SUMIF('Monthly Summary'!$C$74:$N$74,"",H117:S117))</f>
        <v>0</v>
      </c>
      <c r="DK117" s="1283">
        <f>IF($DI117="Opex",SUMIF('Monthly Summary'!$O$75:$Z$75,"",T117:AE117),SUMIF('Monthly Summary'!$O$74:$Z$74,"",T117:AE117))</f>
        <v>0</v>
      </c>
      <c r="DL117" s="1283">
        <f>IF($DI117="Opex",SUMIF('Monthly Summary'!$AA$75:$AL$75,"",AF117:AQ117),SUMIF('Monthly Summary'!$AA$74:$AL$74,"",AF117:AQ117))</f>
        <v>0</v>
      </c>
      <c r="DM117" s="1283">
        <f>IF($DI117="Opex",SUMIF('Monthly Summary'!$AM$75:$AX$75,"",AR117:BC117),SUMIF('Monthly Summary'!$AM$74:$AX$74,"",AR117:BC117))</f>
        <v>0</v>
      </c>
      <c r="DN117" s="1283">
        <f>IF($DI117="Opex",SUMIF('Monthly Summary'!$AY$75:$BJ$75,"",BD117:BO117),SUMIF('Monthly Summary'!$AY$74:$BJ$74,"",BD117:BO117))</f>
        <v>0</v>
      </c>
      <c r="DO117" s="1284">
        <f>IF($DI117="Opex",SUMIF('Monthly Summary'!$BK$75:$BV$75,"",BP117:CA117),SUMIF('Monthly Summary'!$BK$74:$BV$74,"",BP117:CA117))</f>
        <v>0</v>
      </c>
      <c r="DP117" s="1285">
        <f t="shared" si="32"/>
        <v>0</v>
      </c>
    </row>
    <row r="118" spans="1:120" s="809" customFormat="1">
      <c r="A118" s="1261"/>
      <c r="B118" s="1261"/>
      <c r="C118" s="1261"/>
      <c r="D118" s="1262"/>
      <c r="E118" s="1270"/>
      <c r="F118" s="1263"/>
      <c r="G118" s="1263"/>
      <c r="H118" s="1267"/>
      <c r="I118" s="1268"/>
      <c r="J118" s="1268"/>
      <c r="K118" s="1268"/>
      <c r="L118" s="1268"/>
      <c r="M118" s="1268"/>
      <c r="N118" s="1268"/>
      <c r="O118" s="1268"/>
      <c r="P118" s="1268"/>
      <c r="Q118" s="1268"/>
      <c r="R118" s="1268"/>
      <c r="S118" s="1269"/>
      <c r="T118" s="1267"/>
      <c r="U118" s="1268"/>
      <c r="V118" s="1268"/>
      <c r="W118" s="1268"/>
      <c r="X118" s="1268"/>
      <c r="Y118" s="1268"/>
      <c r="Z118" s="1268"/>
      <c r="AA118" s="1268"/>
      <c r="AB118" s="1268"/>
      <c r="AC118" s="1268"/>
      <c r="AD118" s="1268"/>
      <c r="AE118" s="1269"/>
      <c r="AF118" s="1267"/>
      <c r="AG118" s="1268"/>
      <c r="AH118" s="1268"/>
      <c r="AI118" s="1268"/>
      <c r="AJ118" s="1268"/>
      <c r="AK118" s="1268"/>
      <c r="AL118" s="1268"/>
      <c r="AM118" s="1268"/>
      <c r="AN118" s="1268"/>
      <c r="AO118" s="1268"/>
      <c r="AP118" s="1268"/>
      <c r="AQ118" s="1269"/>
      <c r="AR118" s="1267"/>
      <c r="AS118" s="1268"/>
      <c r="AT118" s="1268"/>
      <c r="AU118" s="1268"/>
      <c r="AV118" s="1268"/>
      <c r="AW118" s="1268"/>
      <c r="AX118" s="1268"/>
      <c r="AY118" s="1268"/>
      <c r="AZ118" s="1268"/>
      <c r="BA118" s="1268"/>
      <c r="BB118" s="1268"/>
      <c r="BC118" s="1269"/>
      <c r="BD118" s="1267"/>
      <c r="BE118" s="1268"/>
      <c r="BF118" s="1268"/>
      <c r="BG118" s="1268"/>
      <c r="BH118" s="1268"/>
      <c r="BI118" s="1268"/>
      <c r="BJ118" s="1268"/>
      <c r="BK118" s="1268"/>
      <c r="BL118" s="1268"/>
      <c r="BM118" s="1268"/>
      <c r="BN118" s="1268"/>
      <c r="BO118" s="1269"/>
      <c r="BP118" s="1267"/>
      <c r="BQ118" s="1268"/>
      <c r="BR118" s="1268"/>
      <c r="BS118" s="1268"/>
      <c r="BT118" s="1268"/>
      <c r="BU118" s="1268"/>
      <c r="BV118" s="1268"/>
      <c r="BW118" s="1268"/>
      <c r="BX118" s="1268"/>
      <c r="BY118" s="1268"/>
      <c r="BZ118" s="1268"/>
      <c r="CA118" s="1269"/>
      <c r="CB118" s="1286">
        <f t="shared" si="25"/>
        <v>0</v>
      </c>
      <c r="CC118" s="1277">
        <f>IF($F118=Miscellaneous!$N$8,SUM($H118:CA118),0)</f>
        <v>0</v>
      </c>
      <c r="CD118" s="1277">
        <f>IF($F118=Miscellaneous!$N$8,IF($G118="Opex",SUMIF('Monthly Summary'!$C$75:BV$75,"",$H118:CA118),SUMIF('Monthly Summary'!$C$74:BV$74,"",$H118:CA118)),0)</f>
        <v>0</v>
      </c>
      <c r="CE118" s="1286">
        <f t="shared" si="26"/>
        <v>0</v>
      </c>
      <c r="CF118" s="833"/>
      <c r="CG118" s="1277">
        <f>IF($F118=Miscellaneous!$N$9,SUM($H118:CA118),0)</f>
        <v>0</v>
      </c>
      <c r="CH118" s="1277">
        <f>IF($F118=Miscellaneous!$N$9,IF($G118="Opex",SUMIF('Monthly Summary'!$C$75:BV$75,"",$H118:CA118),SUMIF('Monthly Summary'!$C$74:BV$74,"",$H118:CA118)),0)</f>
        <v>0</v>
      </c>
      <c r="CI118" s="1286">
        <f t="shared" si="27"/>
        <v>0</v>
      </c>
      <c r="CJ118" s="833"/>
      <c r="CK118" s="1277">
        <f>IF($F118=Miscellaneous!$N$7,SUM($H118:CA118),0)</f>
        <v>0</v>
      </c>
      <c r="CL118" s="1277">
        <f>IF($F118=Miscellaneous!$N$7,IF($G118="Opex",SUMIF('Monthly Summary'!$C$75:BV$75,"",$H118:CA118),SUMIF('Monthly Summary'!$C$74:BV$74,"",$H118:CA118)),0)</f>
        <v>0</v>
      </c>
      <c r="CM118" s="1286">
        <f t="shared" si="28"/>
        <v>0</v>
      </c>
      <c r="CN118" s="833"/>
      <c r="CO118" s="1277">
        <f>IF($F118=Miscellaneous!$N$6,SUM($H118:CA118),0)</f>
        <v>0</v>
      </c>
      <c r="CP118" s="1277">
        <f>IF($F118=Miscellaneous!$N$6,IF($G118="Opex",SUMIF('Monthly Summary'!$C$75:BV$75,"",$H118:CA118),SUMIF('Monthly Summary'!$C$74:BV$74,"",$H118:CA118)),0)</f>
        <v>0</v>
      </c>
      <c r="CQ118" s="1286">
        <f t="shared" si="29"/>
        <v>0</v>
      </c>
      <c r="CR118" s="833"/>
      <c r="CS118" s="1277">
        <f>IF($A118="Software",SUM($H118:CA118),0)</f>
        <v>0</v>
      </c>
      <c r="CT118" s="1277">
        <f>IF($A118="Software",IF($G118="Opex",SUMIF('Monthly Summary'!$C$75:BV$75,"",$H118:CA118),SUMIF('Monthly Summary'!$C$74:BV$74,"",$H118:CA118)),0)</f>
        <v>0</v>
      </c>
      <c r="CU118" s="1286">
        <f t="shared" si="30"/>
        <v>0</v>
      </c>
      <c r="CV118" s="833"/>
      <c r="CW118" s="1277">
        <f t="shared" si="37"/>
        <v>0</v>
      </c>
      <c r="CX118" s="1277">
        <f t="shared" si="38"/>
        <v>0</v>
      </c>
      <c r="CY118" s="1286">
        <f t="shared" si="31"/>
        <v>0</v>
      </c>
      <c r="CZ118" s="833"/>
      <c r="DA118" s="1286">
        <f>IF($G118="Opex",SUMIF('Monthly Summary'!$C$75:BV$75,"",$H118:CA118),SUMIF('Monthly Summary'!$C$74:BV$74,"",$H118:CA118))</f>
        <v>0</v>
      </c>
      <c r="DB118" s="1278">
        <f t="shared" si="39"/>
        <v>0</v>
      </c>
      <c r="DC118" s="1279">
        <f>IF(AND(OR($D118=Variables!A$38,$D118=Variables!A$43),$F118&lt;&gt;"N/A"),1,0)</f>
        <v>0</v>
      </c>
      <c r="DD118" s="820"/>
      <c r="DE118" s="1281" t="str">
        <f t="shared" si="33"/>
        <v/>
      </c>
      <c r="DF118" s="1282" t="str">
        <f t="shared" si="34"/>
        <v/>
      </c>
      <c r="DG118" s="1282" t="str">
        <f t="shared" si="35"/>
        <v/>
      </c>
      <c r="DH118" s="1282" t="str">
        <f>IF(ISNA(VLOOKUP(DE118,Miscellaneous!E:F,2,0)),"",VLOOKUP(DE118,Miscellaneous!E:F,2,0))</f>
        <v/>
      </c>
      <c r="DI118" s="1282" t="str">
        <f t="shared" si="36"/>
        <v/>
      </c>
      <c r="DJ118" s="1283">
        <f>IF($DI118="Opex",SUMIF('Monthly Summary'!$C$75:$N$75,"",H118:S118),SUMIF('Monthly Summary'!$C$74:$N$74,"",H118:S118))</f>
        <v>0</v>
      </c>
      <c r="DK118" s="1283">
        <f>IF($DI118="Opex",SUMIF('Monthly Summary'!$O$75:$Z$75,"",T118:AE118),SUMIF('Monthly Summary'!$O$74:$Z$74,"",T118:AE118))</f>
        <v>0</v>
      </c>
      <c r="DL118" s="1283">
        <f>IF($DI118="Opex",SUMIF('Monthly Summary'!$AA$75:$AL$75,"",AF118:AQ118),SUMIF('Monthly Summary'!$AA$74:$AL$74,"",AF118:AQ118))</f>
        <v>0</v>
      </c>
      <c r="DM118" s="1283">
        <f>IF($DI118="Opex",SUMIF('Monthly Summary'!$AM$75:$AX$75,"",AR118:BC118),SUMIF('Monthly Summary'!$AM$74:$AX$74,"",AR118:BC118))</f>
        <v>0</v>
      </c>
      <c r="DN118" s="1283">
        <f>IF($DI118="Opex",SUMIF('Monthly Summary'!$AY$75:$BJ$75,"",BD118:BO118),SUMIF('Monthly Summary'!$AY$74:$BJ$74,"",BD118:BO118))</f>
        <v>0</v>
      </c>
      <c r="DO118" s="1284">
        <f>IF($DI118="Opex",SUMIF('Monthly Summary'!$BK$75:$BV$75,"",BP118:CA118),SUMIF('Monthly Summary'!$BK$74:$BV$74,"",BP118:CA118))</f>
        <v>0</v>
      </c>
      <c r="DP118" s="1285">
        <f t="shared" si="32"/>
        <v>0</v>
      </c>
    </row>
    <row r="119" spans="1:120" s="809" customFormat="1">
      <c r="A119" s="1261"/>
      <c r="B119" s="1261"/>
      <c r="C119" s="1261"/>
      <c r="D119" s="1262"/>
      <c r="E119" s="1270"/>
      <c r="F119" s="1263"/>
      <c r="G119" s="1263"/>
      <c r="H119" s="1267"/>
      <c r="I119" s="1268"/>
      <c r="J119" s="1268"/>
      <c r="K119" s="1268"/>
      <c r="L119" s="1268"/>
      <c r="M119" s="1268"/>
      <c r="N119" s="1268"/>
      <c r="O119" s="1268"/>
      <c r="P119" s="1268"/>
      <c r="Q119" s="1268"/>
      <c r="R119" s="1268"/>
      <c r="S119" s="1269"/>
      <c r="T119" s="1267"/>
      <c r="U119" s="1268"/>
      <c r="V119" s="1268"/>
      <c r="W119" s="1268"/>
      <c r="X119" s="1268"/>
      <c r="Y119" s="1268"/>
      <c r="Z119" s="1268"/>
      <c r="AA119" s="1268"/>
      <c r="AB119" s="1268"/>
      <c r="AC119" s="1268"/>
      <c r="AD119" s="1268"/>
      <c r="AE119" s="1269"/>
      <c r="AF119" s="1267"/>
      <c r="AG119" s="1268"/>
      <c r="AH119" s="1268"/>
      <c r="AI119" s="1268"/>
      <c r="AJ119" s="1268"/>
      <c r="AK119" s="1268"/>
      <c r="AL119" s="1268"/>
      <c r="AM119" s="1268"/>
      <c r="AN119" s="1268"/>
      <c r="AO119" s="1268"/>
      <c r="AP119" s="1268"/>
      <c r="AQ119" s="1269"/>
      <c r="AR119" s="1267"/>
      <c r="AS119" s="1268"/>
      <c r="AT119" s="1268"/>
      <c r="AU119" s="1268"/>
      <c r="AV119" s="1268"/>
      <c r="AW119" s="1268"/>
      <c r="AX119" s="1268"/>
      <c r="AY119" s="1268"/>
      <c r="AZ119" s="1268"/>
      <c r="BA119" s="1268"/>
      <c r="BB119" s="1268"/>
      <c r="BC119" s="1269"/>
      <c r="BD119" s="1267"/>
      <c r="BE119" s="1268"/>
      <c r="BF119" s="1268"/>
      <c r="BG119" s="1268"/>
      <c r="BH119" s="1268"/>
      <c r="BI119" s="1268"/>
      <c r="BJ119" s="1268"/>
      <c r="BK119" s="1268"/>
      <c r="BL119" s="1268"/>
      <c r="BM119" s="1268"/>
      <c r="BN119" s="1268"/>
      <c r="BO119" s="1269"/>
      <c r="BP119" s="1267"/>
      <c r="BQ119" s="1268"/>
      <c r="BR119" s="1268"/>
      <c r="BS119" s="1268"/>
      <c r="BT119" s="1268"/>
      <c r="BU119" s="1268"/>
      <c r="BV119" s="1268"/>
      <c r="BW119" s="1268"/>
      <c r="BX119" s="1268"/>
      <c r="BY119" s="1268"/>
      <c r="BZ119" s="1268"/>
      <c r="CA119" s="1269"/>
      <c r="CB119" s="1286">
        <f t="shared" si="25"/>
        <v>0</v>
      </c>
      <c r="CC119" s="1277">
        <f>IF($F119=Miscellaneous!$N$8,SUM($H119:CA119),0)</f>
        <v>0</v>
      </c>
      <c r="CD119" s="1277">
        <f>IF($F119=Miscellaneous!$N$8,IF($G119="Opex",SUMIF('Monthly Summary'!$C$75:BV$75,"",$H119:CA119),SUMIF('Monthly Summary'!$C$74:BV$74,"",$H119:CA119)),0)</f>
        <v>0</v>
      </c>
      <c r="CE119" s="1286">
        <f t="shared" si="26"/>
        <v>0</v>
      </c>
      <c r="CF119" s="833"/>
      <c r="CG119" s="1277">
        <f>IF($F119=Miscellaneous!$N$9,SUM($H119:CA119),0)</f>
        <v>0</v>
      </c>
      <c r="CH119" s="1277">
        <f>IF($F119=Miscellaneous!$N$9,IF($G119="Opex",SUMIF('Monthly Summary'!$C$75:BV$75,"",$H119:CA119),SUMIF('Monthly Summary'!$C$74:BV$74,"",$H119:CA119)),0)</f>
        <v>0</v>
      </c>
      <c r="CI119" s="1286">
        <f t="shared" si="27"/>
        <v>0</v>
      </c>
      <c r="CJ119" s="833"/>
      <c r="CK119" s="1277">
        <f>IF($F119=Miscellaneous!$N$7,SUM($H119:CA119),0)</f>
        <v>0</v>
      </c>
      <c r="CL119" s="1277">
        <f>IF($F119=Miscellaneous!$N$7,IF($G119="Opex",SUMIF('Monthly Summary'!$C$75:BV$75,"",$H119:CA119),SUMIF('Monthly Summary'!$C$74:BV$74,"",$H119:CA119)),0)</f>
        <v>0</v>
      </c>
      <c r="CM119" s="1286">
        <f t="shared" si="28"/>
        <v>0</v>
      </c>
      <c r="CN119" s="833"/>
      <c r="CO119" s="1277">
        <f>IF($F119=Miscellaneous!$N$6,SUM($H119:CA119),0)</f>
        <v>0</v>
      </c>
      <c r="CP119" s="1277">
        <f>IF($F119=Miscellaneous!$N$6,IF($G119="Opex",SUMIF('Monthly Summary'!$C$75:BV$75,"",$H119:CA119),SUMIF('Monthly Summary'!$C$74:BV$74,"",$H119:CA119)),0)</f>
        <v>0</v>
      </c>
      <c r="CQ119" s="1286">
        <f t="shared" si="29"/>
        <v>0</v>
      </c>
      <c r="CR119" s="833"/>
      <c r="CS119" s="1277">
        <f>IF($A119="Software",SUM($H119:CA119),0)</f>
        <v>0</v>
      </c>
      <c r="CT119" s="1277">
        <f>IF($A119="Software",IF($G119="Opex",SUMIF('Monthly Summary'!$C$75:BV$75,"",$H119:CA119),SUMIF('Monthly Summary'!$C$74:BV$74,"",$H119:CA119)),0)</f>
        <v>0</v>
      </c>
      <c r="CU119" s="1286">
        <f t="shared" si="30"/>
        <v>0</v>
      </c>
      <c r="CV119" s="833"/>
      <c r="CW119" s="1277">
        <f t="shared" si="37"/>
        <v>0</v>
      </c>
      <c r="CX119" s="1277">
        <f t="shared" si="38"/>
        <v>0</v>
      </c>
      <c r="CY119" s="1286">
        <f t="shared" si="31"/>
        <v>0</v>
      </c>
      <c r="CZ119" s="833"/>
      <c r="DA119" s="1286">
        <f>IF($G119="Opex",SUMIF('Monthly Summary'!$C$75:BV$75,"",$H119:CA119),SUMIF('Monthly Summary'!$C$74:BV$74,"",$H119:CA119))</f>
        <v>0</v>
      </c>
      <c r="DB119" s="1278">
        <f t="shared" si="39"/>
        <v>0</v>
      </c>
      <c r="DC119" s="1279">
        <f>IF(AND(OR($D119=Variables!A$38,$D119=Variables!A$43),$F119&lt;&gt;"N/A"),1,0)</f>
        <v>0</v>
      </c>
      <c r="DD119" s="820"/>
      <c r="DE119" s="1281" t="str">
        <f t="shared" si="33"/>
        <v/>
      </c>
      <c r="DF119" s="1282" t="str">
        <f t="shared" si="34"/>
        <v/>
      </c>
      <c r="DG119" s="1282" t="str">
        <f t="shared" si="35"/>
        <v/>
      </c>
      <c r="DH119" s="1282" t="str">
        <f>IF(ISNA(VLOOKUP(DE119,Miscellaneous!E:F,2,0)),"",VLOOKUP(DE119,Miscellaneous!E:F,2,0))</f>
        <v/>
      </c>
      <c r="DI119" s="1282" t="str">
        <f t="shared" si="36"/>
        <v/>
      </c>
      <c r="DJ119" s="1283">
        <f>IF($DI119="Opex",SUMIF('Monthly Summary'!$C$75:$N$75,"",H119:S119),SUMIF('Monthly Summary'!$C$74:$N$74,"",H119:S119))</f>
        <v>0</v>
      </c>
      <c r="DK119" s="1283">
        <f>IF($DI119="Opex",SUMIF('Monthly Summary'!$O$75:$Z$75,"",T119:AE119),SUMIF('Monthly Summary'!$O$74:$Z$74,"",T119:AE119))</f>
        <v>0</v>
      </c>
      <c r="DL119" s="1283">
        <f>IF($DI119="Opex",SUMIF('Monthly Summary'!$AA$75:$AL$75,"",AF119:AQ119),SUMIF('Monthly Summary'!$AA$74:$AL$74,"",AF119:AQ119))</f>
        <v>0</v>
      </c>
      <c r="DM119" s="1283">
        <f>IF($DI119="Opex",SUMIF('Monthly Summary'!$AM$75:$AX$75,"",AR119:BC119),SUMIF('Monthly Summary'!$AM$74:$AX$74,"",AR119:BC119))</f>
        <v>0</v>
      </c>
      <c r="DN119" s="1283">
        <f>IF($DI119="Opex",SUMIF('Monthly Summary'!$AY$75:$BJ$75,"",BD119:BO119),SUMIF('Monthly Summary'!$AY$74:$BJ$74,"",BD119:BO119))</f>
        <v>0</v>
      </c>
      <c r="DO119" s="1284">
        <f>IF($DI119="Opex",SUMIF('Monthly Summary'!$BK$75:$BV$75,"",BP119:CA119),SUMIF('Monthly Summary'!$BK$74:$BV$74,"",BP119:CA119))</f>
        <v>0</v>
      </c>
      <c r="DP119" s="1285">
        <f t="shared" si="32"/>
        <v>0</v>
      </c>
    </row>
    <row r="120" spans="1:120" s="809" customFormat="1">
      <c r="A120" s="1261"/>
      <c r="B120" s="1261"/>
      <c r="C120" s="1261"/>
      <c r="D120" s="1262"/>
      <c r="E120" s="1270"/>
      <c r="F120" s="1263"/>
      <c r="G120" s="1263"/>
      <c r="H120" s="1267"/>
      <c r="I120" s="1268"/>
      <c r="J120" s="1268"/>
      <c r="K120" s="1268"/>
      <c r="L120" s="1268"/>
      <c r="M120" s="1268"/>
      <c r="N120" s="1268"/>
      <c r="O120" s="1268"/>
      <c r="P120" s="1268"/>
      <c r="Q120" s="1268"/>
      <c r="R120" s="1268"/>
      <c r="S120" s="1269"/>
      <c r="T120" s="1267"/>
      <c r="U120" s="1268"/>
      <c r="V120" s="1268"/>
      <c r="W120" s="1268"/>
      <c r="X120" s="1268"/>
      <c r="Y120" s="1268"/>
      <c r="Z120" s="1268"/>
      <c r="AA120" s="1268"/>
      <c r="AB120" s="1268"/>
      <c r="AC120" s="1268"/>
      <c r="AD120" s="1268"/>
      <c r="AE120" s="1269"/>
      <c r="AF120" s="1267"/>
      <c r="AG120" s="1268"/>
      <c r="AH120" s="1268"/>
      <c r="AI120" s="1268"/>
      <c r="AJ120" s="1268"/>
      <c r="AK120" s="1268"/>
      <c r="AL120" s="1268"/>
      <c r="AM120" s="1268"/>
      <c r="AN120" s="1268"/>
      <c r="AO120" s="1268"/>
      <c r="AP120" s="1268"/>
      <c r="AQ120" s="1269"/>
      <c r="AR120" s="1267"/>
      <c r="AS120" s="1268"/>
      <c r="AT120" s="1268"/>
      <c r="AU120" s="1268"/>
      <c r="AV120" s="1268"/>
      <c r="AW120" s="1268"/>
      <c r="AX120" s="1268"/>
      <c r="AY120" s="1268"/>
      <c r="AZ120" s="1268"/>
      <c r="BA120" s="1268"/>
      <c r="BB120" s="1268"/>
      <c r="BC120" s="1269"/>
      <c r="BD120" s="1267"/>
      <c r="BE120" s="1268"/>
      <c r="BF120" s="1268"/>
      <c r="BG120" s="1268"/>
      <c r="BH120" s="1268"/>
      <c r="BI120" s="1268"/>
      <c r="BJ120" s="1268"/>
      <c r="BK120" s="1268"/>
      <c r="BL120" s="1268"/>
      <c r="BM120" s="1268"/>
      <c r="BN120" s="1268"/>
      <c r="BO120" s="1269"/>
      <c r="BP120" s="1267"/>
      <c r="BQ120" s="1268"/>
      <c r="BR120" s="1268"/>
      <c r="BS120" s="1268"/>
      <c r="BT120" s="1268"/>
      <c r="BU120" s="1268"/>
      <c r="BV120" s="1268"/>
      <c r="BW120" s="1268"/>
      <c r="BX120" s="1268"/>
      <c r="BY120" s="1268"/>
      <c r="BZ120" s="1268"/>
      <c r="CA120" s="1269"/>
      <c r="CB120" s="1286">
        <f t="shared" si="25"/>
        <v>0</v>
      </c>
      <c r="CC120" s="1277">
        <f>IF($F120=Miscellaneous!$N$8,SUM($H120:CA120),0)</f>
        <v>0</v>
      </c>
      <c r="CD120" s="1277">
        <f>IF($F120=Miscellaneous!$N$8,IF($G120="Opex",SUMIF('Monthly Summary'!$C$75:BV$75,"",$H120:CA120),SUMIF('Monthly Summary'!$C$74:BV$74,"",$H120:CA120)),0)</f>
        <v>0</v>
      </c>
      <c r="CE120" s="1286">
        <f t="shared" si="26"/>
        <v>0</v>
      </c>
      <c r="CF120" s="833"/>
      <c r="CG120" s="1277">
        <f>IF($F120=Miscellaneous!$N$9,SUM($H120:CA120),0)</f>
        <v>0</v>
      </c>
      <c r="CH120" s="1277">
        <f>IF($F120=Miscellaneous!$N$9,IF($G120="Opex",SUMIF('Monthly Summary'!$C$75:BV$75,"",$H120:CA120),SUMIF('Monthly Summary'!$C$74:BV$74,"",$H120:CA120)),0)</f>
        <v>0</v>
      </c>
      <c r="CI120" s="1286">
        <f t="shared" si="27"/>
        <v>0</v>
      </c>
      <c r="CJ120" s="833"/>
      <c r="CK120" s="1277">
        <f>IF($F120=Miscellaneous!$N$7,SUM($H120:CA120),0)</f>
        <v>0</v>
      </c>
      <c r="CL120" s="1277">
        <f>IF($F120=Miscellaneous!$N$7,IF($G120="Opex",SUMIF('Monthly Summary'!$C$75:BV$75,"",$H120:CA120),SUMIF('Monthly Summary'!$C$74:BV$74,"",$H120:CA120)),0)</f>
        <v>0</v>
      </c>
      <c r="CM120" s="1286">
        <f t="shared" si="28"/>
        <v>0</v>
      </c>
      <c r="CN120" s="833"/>
      <c r="CO120" s="1277">
        <f>IF($F120=Miscellaneous!$N$6,SUM($H120:CA120),0)</f>
        <v>0</v>
      </c>
      <c r="CP120" s="1277">
        <f>IF($F120=Miscellaneous!$N$6,IF($G120="Opex",SUMIF('Monthly Summary'!$C$75:BV$75,"",$H120:CA120),SUMIF('Monthly Summary'!$C$74:BV$74,"",$H120:CA120)),0)</f>
        <v>0</v>
      </c>
      <c r="CQ120" s="1286">
        <f t="shared" si="29"/>
        <v>0</v>
      </c>
      <c r="CR120" s="833"/>
      <c r="CS120" s="1277">
        <f>IF($A120="Software",SUM($H120:CA120),0)</f>
        <v>0</v>
      </c>
      <c r="CT120" s="1277">
        <f>IF($A120="Software",IF($G120="Opex",SUMIF('Monthly Summary'!$C$75:BV$75,"",$H120:CA120),SUMIF('Monthly Summary'!$C$74:BV$74,"",$H120:CA120)),0)</f>
        <v>0</v>
      </c>
      <c r="CU120" s="1286">
        <f t="shared" si="30"/>
        <v>0</v>
      </c>
      <c r="CV120" s="833"/>
      <c r="CW120" s="1277">
        <f t="shared" si="37"/>
        <v>0</v>
      </c>
      <c r="CX120" s="1277">
        <f t="shared" si="38"/>
        <v>0</v>
      </c>
      <c r="CY120" s="1286">
        <f t="shared" si="31"/>
        <v>0</v>
      </c>
      <c r="CZ120" s="833"/>
      <c r="DA120" s="1286">
        <f>IF($G120="Opex",SUMIF('Monthly Summary'!$C$75:BV$75,"",$H120:CA120),SUMIF('Monthly Summary'!$C$74:BV$74,"",$H120:CA120))</f>
        <v>0</v>
      </c>
      <c r="DB120" s="1278">
        <f t="shared" si="39"/>
        <v>0</v>
      </c>
      <c r="DC120" s="1279">
        <f>IF(AND(OR($D120=Variables!A$38,$D120=Variables!A$43),$F120&lt;&gt;"N/A"),1,0)</f>
        <v>0</v>
      </c>
      <c r="DD120" s="820"/>
      <c r="DE120" s="1281" t="str">
        <f t="shared" si="33"/>
        <v/>
      </c>
      <c r="DF120" s="1282" t="str">
        <f t="shared" si="34"/>
        <v/>
      </c>
      <c r="DG120" s="1282" t="str">
        <f t="shared" si="35"/>
        <v/>
      </c>
      <c r="DH120" s="1282" t="str">
        <f>IF(ISNA(VLOOKUP(DE120,Miscellaneous!E:F,2,0)),"",VLOOKUP(DE120,Miscellaneous!E:F,2,0))</f>
        <v/>
      </c>
      <c r="DI120" s="1282" t="str">
        <f t="shared" si="36"/>
        <v/>
      </c>
      <c r="DJ120" s="1283">
        <f>IF($DI120="Opex",SUMIF('Monthly Summary'!$C$75:$N$75,"",H120:S120),SUMIF('Monthly Summary'!$C$74:$N$74,"",H120:S120))</f>
        <v>0</v>
      </c>
      <c r="DK120" s="1283">
        <f>IF($DI120="Opex",SUMIF('Monthly Summary'!$O$75:$Z$75,"",T120:AE120),SUMIF('Monthly Summary'!$O$74:$Z$74,"",T120:AE120))</f>
        <v>0</v>
      </c>
      <c r="DL120" s="1283">
        <f>IF($DI120="Opex",SUMIF('Monthly Summary'!$AA$75:$AL$75,"",AF120:AQ120),SUMIF('Monthly Summary'!$AA$74:$AL$74,"",AF120:AQ120))</f>
        <v>0</v>
      </c>
      <c r="DM120" s="1283">
        <f>IF($DI120="Opex",SUMIF('Monthly Summary'!$AM$75:$AX$75,"",AR120:BC120),SUMIF('Monthly Summary'!$AM$74:$AX$74,"",AR120:BC120))</f>
        <v>0</v>
      </c>
      <c r="DN120" s="1283">
        <f>IF($DI120="Opex",SUMIF('Monthly Summary'!$AY$75:$BJ$75,"",BD120:BO120),SUMIF('Monthly Summary'!$AY$74:$BJ$74,"",BD120:BO120))</f>
        <v>0</v>
      </c>
      <c r="DO120" s="1284">
        <f>IF($DI120="Opex",SUMIF('Monthly Summary'!$BK$75:$BV$75,"",BP120:CA120),SUMIF('Monthly Summary'!$BK$74:$BV$74,"",BP120:CA120))</f>
        <v>0</v>
      </c>
      <c r="DP120" s="1285">
        <f t="shared" si="32"/>
        <v>0</v>
      </c>
    </row>
    <row r="121" spans="1:120" s="809" customFormat="1">
      <c r="A121" s="1261"/>
      <c r="B121" s="1261"/>
      <c r="C121" s="1261"/>
      <c r="D121" s="1262"/>
      <c r="E121" s="1270"/>
      <c r="F121" s="1263"/>
      <c r="G121" s="1263"/>
      <c r="H121" s="1267"/>
      <c r="I121" s="1268"/>
      <c r="J121" s="1268"/>
      <c r="K121" s="1268"/>
      <c r="L121" s="1268"/>
      <c r="M121" s="1268"/>
      <c r="N121" s="1268"/>
      <c r="O121" s="1268"/>
      <c r="P121" s="1268"/>
      <c r="Q121" s="1268"/>
      <c r="R121" s="1268"/>
      <c r="S121" s="1269"/>
      <c r="T121" s="1267"/>
      <c r="U121" s="1268"/>
      <c r="V121" s="1268"/>
      <c r="W121" s="1268"/>
      <c r="X121" s="1268"/>
      <c r="Y121" s="1268"/>
      <c r="Z121" s="1268"/>
      <c r="AA121" s="1268"/>
      <c r="AB121" s="1268"/>
      <c r="AC121" s="1268"/>
      <c r="AD121" s="1268"/>
      <c r="AE121" s="1269"/>
      <c r="AF121" s="1267"/>
      <c r="AG121" s="1268"/>
      <c r="AH121" s="1268"/>
      <c r="AI121" s="1268"/>
      <c r="AJ121" s="1268"/>
      <c r="AK121" s="1268"/>
      <c r="AL121" s="1268"/>
      <c r="AM121" s="1268"/>
      <c r="AN121" s="1268"/>
      <c r="AO121" s="1268"/>
      <c r="AP121" s="1268"/>
      <c r="AQ121" s="1269"/>
      <c r="AR121" s="1267"/>
      <c r="AS121" s="1268"/>
      <c r="AT121" s="1268"/>
      <c r="AU121" s="1268"/>
      <c r="AV121" s="1268"/>
      <c r="AW121" s="1268"/>
      <c r="AX121" s="1268"/>
      <c r="AY121" s="1268"/>
      <c r="AZ121" s="1268"/>
      <c r="BA121" s="1268"/>
      <c r="BB121" s="1268"/>
      <c r="BC121" s="1269"/>
      <c r="BD121" s="1267"/>
      <c r="BE121" s="1268"/>
      <c r="BF121" s="1268"/>
      <c r="BG121" s="1268"/>
      <c r="BH121" s="1268"/>
      <c r="BI121" s="1268"/>
      <c r="BJ121" s="1268"/>
      <c r="BK121" s="1268"/>
      <c r="BL121" s="1268"/>
      <c r="BM121" s="1268"/>
      <c r="BN121" s="1268"/>
      <c r="BO121" s="1269"/>
      <c r="BP121" s="1267"/>
      <c r="BQ121" s="1268"/>
      <c r="BR121" s="1268"/>
      <c r="BS121" s="1268"/>
      <c r="BT121" s="1268"/>
      <c r="BU121" s="1268"/>
      <c r="BV121" s="1268"/>
      <c r="BW121" s="1268"/>
      <c r="BX121" s="1268"/>
      <c r="BY121" s="1268"/>
      <c r="BZ121" s="1268"/>
      <c r="CA121" s="1269"/>
      <c r="CB121" s="1286">
        <f t="shared" si="25"/>
        <v>0</v>
      </c>
      <c r="CC121" s="1277">
        <f>IF($F121=Miscellaneous!$N$8,SUM($H121:CA121),0)</f>
        <v>0</v>
      </c>
      <c r="CD121" s="1277">
        <f>IF($F121=Miscellaneous!$N$8,IF($G121="Opex",SUMIF('Monthly Summary'!$C$75:BV$75,"",$H121:CA121),SUMIF('Monthly Summary'!$C$74:BV$74,"",$H121:CA121)),0)</f>
        <v>0</v>
      </c>
      <c r="CE121" s="1286">
        <f t="shared" si="26"/>
        <v>0</v>
      </c>
      <c r="CF121" s="833"/>
      <c r="CG121" s="1277">
        <f>IF($F121=Miscellaneous!$N$9,SUM($H121:CA121),0)</f>
        <v>0</v>
      </c>
      <c r="CH121" s="1277">
        <f>IF($F121=Miscellaneous!$N$9,IF($G121="Opex",SUMIF('Monthly Summary'!$C$75:BV$75,"",$H121:CA121),SUMIF('Monthly Summary'!$C$74:BV$74,"",$H121:CA121)),0)</f>
        <v>0</v>
      </c>
      <c r="CI121" s="1286">
        <f t="shared" si="27"/>
        <v>0</v>
      </c>
      <c r="CJ121" s="833"/>
      <c r="CK121" s="1277">
        <f>IF($F121=Miscellaneous!$N$7,SUM($H121:CA121),0)</f>
        <v>0</v>
      </c>
      <c r="CL121" s="1277">
        <f>IF($F121=Miscellaneous!$N$7,IF($G121="Opex",SUMIF('Monthly Summary'!$C$75:BV$75,"",$H121:CA121),SUMIF('Monthly Summary'!$C$74:BV$74,"",$H121:CA121)),0)</f>
        <v>0</v>
      </c>
      <c r="CM121" s="1286">
        <f t="shared" si="28"/>
        <v>0</v>
      </c>
      <c r="CN121" s="833"/>
      <c r="CO121" s="1277">
        <f>IF($F121=Miscellaneous!$N$6,SUM($H121:CA121),0)</f>
        <v>0</v>
      </c>
      <c r="CP121" s="1277">
        <f>IF($F121=Miscellaneous!$N$6,IF($G121="Opex",SUMIF('Monthly Summary'!$C$75:BV$75,"",$H121:CA121),SUMIF('Monthly Summary'!$C$74:BV$74,"",$H121:CA121)),0)</f>
        <v>0</v>
      </c>
      <c r="CQ121" s="1286">
        <f t="shared" si="29"/>
        <v>0</v>
      </c>
      <c r="CR121" s="833"/>
      <c r="CS121" s="1277">
        <f>IF($A121="Software",SUM($H121:CA121),0)</f>
        <v>0</v>
      </c>
      <c r="CT121" s="1277">
        <f>IF($A121="Software",IF($G121="Opex",SUMIF('Monthly Summary'!$C$75:BV$75,"",$H121:CA121),SUMIF('Monthly Summary'!$C$74:BV$74,"",$H121:CA121)),0)</f>
        <v>0</v>
      </c>
      <c r="CU121" s="1286">
        <f t="shared" si="30"/>
        <v>0</v>
      </c>
      <c r="CV121" s="833"/>
      <c r="CW121" s="1277">
        <f t="shared" si="37"/>
        <v>0</v>
      </c>
      <c r="CX121" s="1277">
        <f t="shared" si="38"/>
        <v>0</v>
      </c>
      <c r="CY121" s="1286">
        <f t="shared" si="31"/>
        <v>0</v>
      </c>
      <c r="CZ121" s="833"/>
      <c r="DA121" s="1286">
        <f>IF($G121="Opex",SUMIF('Monthly Summary'!$C$75:BV$75,"",$H121:CA121),SUMIF('Monthly Summary'!$C$74:BV$74,"",$H121:CA121))</f>
        <v>0</v>
      </c>
      <c r="DB121" s="1278">
        <f t="shared" si="39"/>
        <v>0</v>
      </c>
      <c r="DC121" s="1279">
        <f>IF(AND(OR($D121=Variables!A$38,$D121=Variables!A$43),$F121&lt;&gt;"N/A"),1,0)</f>
        <v>0</v>
      </c>
      <c r="DD121" s="820"/>
      <c r="DE121" s="1281" t="str">
        <f t="shared" si="33"/>
        <v/>
      </c>
      <c r="DF121" s="1282" t="str">
        <f t="shared" si="34"/>
        <v/>
      </c>
      <c r="DG121" s="1282" t="str">
        <f t="shared" si="35"/>
        <v/>
      </c>
      <c r="DH121" s="1282" t="str">
        <f>IF(ISNA(VLOOKUP(DE121,Miscellaneous!E:F,2,0)),"",VLOOKUP(DE121,Miscellaneous!E:F,2,0))</f>
        <v/>
      </c>
      <c r="DI121" s="1282" t="str">
        <f t="shared" si="36"/>
        <v/>
      </c>
      <c r="DJ121" s="1283">
        <f>IF($DI121="Opex",SUMIF('Monthly Summary'!$C$75:$N$75,"",H121:S121),SUMIF('Monthly Summary'!$C$74:$N$74,"",H121:S121))</f>
        <v>0</v>
      </c>
      <c r="DK121" s="1283">
        <f>IF($DI121="Opex",SUMIF('Monthly Summary'!$O$75:$Z$75,"",T121:AE121),SUMIF('Monthly Summary'!$O$74:$Z$74,"",T121:AE121))</f>
        <v>0</v>
      </c>
      <c r="DL121" s="1283">
        <f>IF($DI121="Opex",SUMIF('Monthly Summary'!$AA$75:$AL$75,"",AF121:AQ121),SUMIF('Monthly Summary'!$AA$74:$AL$74,"",AF121:AQ121))</f>
        <v>0</v>
      </c>
      <c r="DM121" s="1283">
        <f>IF($DI121="Opex",SUMIF('Monthly Summary'!$AM$75:$AX$75,"",AR121:BC121),SUMIF('Monthly Summary'!$AM$74:$AX$74,"",AR121:BC121))</f>
        <v>0</v>
      </c>
      <c r="DN121" s="1283">
        <f>IF($DI121="Opex",SUMIF('Monthly Summary'!$AY$75:$BJ$75,"",BD121:BO121),SUMIF('Monthly Summary'!$AY$74:$BJ$74,"",BD121:BO121))</f>
        <v>0</v>
      </c>
      <c r="DO121" s="1284">
        <f>IF($DI121="Opex",SUMIF('Monthly Summary'!$BK$75:$BV$75,"",BP121:CA121),SUMIF('Monthly Summary'!$BK$74:$BV$74,"",BP121:CA121))</f>
        <v>0</v>
      </c>
      <c r="DP121" s="1285">
        <f t="shared" si="32"/>
        <v>0</v>
      </c>
    </row>
    <row r="122" spans="1:120" s="809" customFormat="1">
      <c r="A122" s="1261"/>
      <c r="B122" s="1261"/>
      <c r="C122" s="1261"/>
      <c r="D122" s="1262"/>
      <c r="E122" s="1270"/>
      <c r="F122" s="1263"/>
      <c r="G122" s="1263"/>
      <c r="H122" s="1267"/>
      <c r="I122" s="1268"/>
      <c r="J122" s="1268"/>
      <c r="K122" s="1268"/>
      <c r="L122" s="1268"/>
      <c r="M122" s="1268"/>
      <c r="N122" s="1268"/>
      <c r="O122" s="1268"/>
      <c r="P122" s="1268"/>
      <c r="Q122" s="1268"/>
      <c r="R122" s="1268"/>
      <c r="S122" s="1269"/>
      <c r="T122" s="1267"/>
      <c r="U122" s="1268"/>
      <c r="V122" s="1268"/>
      <c r="W122" s="1268"/>
      <c r="X122" s="1268"/>
      <c r="Y122" s="1268"/>
      <c r="Z122" s="1268"/>
      <c r="AA122" s="1268"/>
      <c r="AB122" s="1268"/>
      <c r="AC122" s="1268"/>
      <c r="AD122" s="1268"/>
      <c r="AE122" s="1269"/>
      <c r="AF122" s="1267"/>
      <c r="AG122" s="1268"/>
      <c r="AH122" s="1268"/>
      <c r="AI122" s="1268"/>
      <c r="AJ122" s="1268"/>
      <c r="AK122" s="1268"/>
      <c r="AL122" s="1268"/>
      <c r="AM122" s="1268"/>
      <c r="AN122" s="1268"/>
      <c r="AO122" s="1268"/>
      <c r="AP122" s="1268"/>
      <c r="AQ122" s="1269"/>
      <c r="AR122" s="1267"/>
      <c r="AS122" s="1268"/>
      <c r="AT122" s="1268"/>
      <c r="AU122" s="1268"/>
      <c r="AV122" s="1268"/>
      <c r="AW122" s="1268"/>
      <c r="AX122" s="1268"/>
      <c r="AY122" s="1268"/>
      <c r="AZ122" s="1268"/>
      <c r="BA122" s="1268"/>
      <c r="BB122" s="1268"/>
      <c r="BC122" s="1269"/>
      <c r="BD122" s="1267"/>
      <c r="BE122" s="1268"/>
      <c r="BF122" s="1268"/>
      <c r="BG122" s="1268"/>
      <c r="BH122" s="1268"/>
      <c r="BI122" s="1268"/>
      <c r="BJ122" s="1268"/>
      <c r="BK122" s="1268"/>
      <c r="BL122" s="1268"/>
      <c r="BM122" s="1268"/>
      <c r="BN122" s="1268"/>
      <c r="BO122" s="1269"/>
      <c r="BP122" s="1267"/>
      <c r="BQ122" s="1268"/>
      <c r="BR122" s="1268"/>
      <c r="BS122" s="1268"/>
      <c r="BT122" s="1268"/>
      <c r="BU122" s="1268"/>
      <c r="BV122" s="1268"/>
      <c r="BW122" s="1268"/>
      <c r="BX122" s="1268"/>
      <c r="BY122" s="1268"/>
      <c r="BZ122" s="1268"/>
      <c r="CA122" s="1269"/>
      <c r="CB122" s="1286">
        <f t="shared" si="25"/>
        <v>0</v>
      </c>
      <c r="CC122" s="1277">
        <f>IF($F122=Miscellaneous!$N$8,SUM($H122:CA122),0)</f>
        <v>0</v>
      </c>
      <c r="CD122" s="1277">
        <f>IF($F122=Miscellaneous!$N$8,IF($G122="Opex",SUMIF('Monthly Summary'!$C$75:BV$75,"",$H122:CA122),SUMIF('Monthly Summary'!$C$74:BV$74,"",$H122:CA122)),0)</f>
        <v>0</v>
      </c>
      <c r="CE122" s="1286">
        <f t="shared" si="26"/>
        <v>0</v>
      </c>
      <c r="CF122" s="833"/>
      <c r="CG122" s="1277">
        <f>IF($F122=Miscellaneous!$N$9,SUM($H122:CA122),0)</f>
        <v>0</v>
      </c>
      <c r="CH122" s="1277">
        <f>IF($F122=Miscellaneous!$N$9,IF($G122="Opex",SUMIF('Monthly Summary'!$C$75:BV$75,"",$H122:CA122),SUMIF('Monthly Summary'!$C$74:BV$74,"",$H122:CA122)),0)</f>
        <v>0</v>
      </c>
      <c r="CI122" s="1286">
        <f t="shared" si="27"/>
        <v>0</v>
      </c>
      <c r="CJ122" s="833"/>
      <c r="CK122" s="1277">
        <f>IF($F122=Miscellaneous!$N$7,SUM($H122:CA122),0)</f>
        <v>0</v>
      </c>
      <c r="CL122" s="1277">
        <f>IF($F122=Miscellaneous!$N$7,IF($G122="Opex",SUMIF('Monthly Summary'!$C$75:BV$75,"",$H122:CA122),SUMIF('Monthly Summary'!$C$74:BV$74,"",$H122:CA122)),0)</f>
        <v>0</v>
      </c>
      <c r="CM122" s="1286">
        <f t="shared" si="28"/>
        <v>0</v>
      </c>
      <c r="CN122" s="833"/>
      <c r="CO122" s="1277">
        <f>IF($F122=Miscellaneous!$N$6,SUM($H122:CA122),0)</f>
        <v>0</v>
      </c>
      <c r="CP122" s="1277">
        <f>IF($F122=Miscellaneous!$N$6,IF($G122="Opex",SUMIF('Monthly Summary'!$C$75:BV$75,"",$H122:CA122),SUMIF('Monthly Summary'!$C$74:BV$74,"",$H122:CA122)),0)</f>
        <v>0</v>
      </c>
      <c r="CQ122" s="1286">
        <f t="shared" si="29"/>
        <v>0</v>
      </c>
      <c r="CR122" s="833"/>
      <c r="CS122" s="1277">
        <f>IF($A122="Software",SUM($H122:CA122),0)</f>
        <v>0</v>
      </c>
      <c r="CT122" s="1277">
        <f>IF($A122="Software",IF($G122="Opex",SUMIF('Monthly Summary'!$C$75:BV$75,"",$H122:CA122),SUMIF('Monthly Summary'!$C$74:BV$74,"",$H122:CA122)),0)</f>
        <v>0</v>
      </c>
      <c r="CU122" s="1286">
        <f t="shared" si="30"/>
        <v>0</v>
      </c>
      <c r="CV122" s="833"/>
      <c r="CW122" s="1277">
        <f t="shared" si="37"/>
        <v>0</v>
      </c>
      <c r="CX122" s="1277">
        <f t="shared" si="38"/>
        <v>0</v>
      </c>
      <c r="CY122" s="1286">
        <f t="shared" si="31"/>
        <v>0</v>
      </c>
      <c r="CZ122" s="833"/>
      <c r="DA122" s="1286">
        <f>IF($G122="Opex",SUMIF('Monthly Summary'!$C$75:BV$75,"",$H122:CA122),SUMIF('Monthly Summary'!$C$74:BV$74,"",$H122:CA122))</f>
        <v>0</v>
      </c>
      <c r="DB122" s="1278">
        <f t="shared" si="39"/>
        <v>0</v>
      </c>
      <c r="DC122" s="1279">
        <f>IF(AND(OR($D122=Variables!A$38,$D122=Variables!A$43),$F122&lt;&gt;"N/A"),1,0)</f>
        <v>0</v>
      </c>
      <c r="DD122" s="820"/>
      <c r="DE122" s="1281" t="str">
        <f t="shared" si="33"/>
        <v/>
      </c>
      <c r="DF122" s="1282" t="str">
        <f t="shared" si="34"/>
        <v/>
      </c>
      <c r="DG122" s="1282" t="str">
        <f t="shared" si="35"/>
        <v/>
      </c>
      <c r="DH122" s="1282" t="str">
        <f>IF(ISNA(VLOOKUP(DE122,Miscellaneous!E:F,2,0)),"",VLOOKUP(DE122,Miscellaneous!E:F,2,0))</f>
        <v/>
      </c>
      <c r="DI122" s="1282" t="str">
        <f t="shared" si="36"/>
        <v/>
      </c>
      <c r="DJ122" s="1283">
        <f>IF($DI122="Opex",SUMIF('Monthly Summary'!$C$75:$N$75,"",H122:S122),SUMIF('Monthly Summary'!$C$74:$N$74,"",H122:S122))</f>
        <v>0</v>
      </c>
      <c r="DK122" s="1283">
        <f>IF($DI122="Opex",SUMIF('Monthly Summary'!$O$75:$Z$75,"",T122:AE122),SUMIF('Monthly Summary'!$O$74:$Z$74,"",T122:AE122))</f>
        <v>0</v>
      </c>
      <c r="DL122" s="1283">
        <f>IF($DI122="Opex",SUMIF('Monthly Summary'!$AA$75:$AL$75,"",AF122:AQ122),SUMIF('Monthly Summary'!$AA$74:$AL$74,"",AF122:AQ122))</f>
        <v>0</v>
      </c>
      <c r="DM122" s="1283">
        <f>IF($DI122="Opex",SUMIF('Monthly Summary'!$AM$75:$AX$75,"",AR122:BC122),SUMIF('Monthly Summary'!$AM$74:$AX$74,"",AR122:BC122))</f>
        <v>0</v>
      </c>
      <c r="DN122" s="1283">
        <f>IF($DI122="Opex",SUMIF('Monthly Summary'!$AY$75:$BJ$75,"",BD122:BO122),SUMIF('Monthly Summary'!$AY$74:$BJ$74,"",BD122:BO122))</f>
        <v>0</v>
      </c>
      <c r="DO122" s="1284">
        <f>IF($DI122="Opex",SUMIF('Monthly Summary'!$BK$75:$BV$75,"",BP122:CA122),SUMIF('Monthly Summary'!$BK$74:$BV$74,"",BP122:CA122))</f>
        <v>0</v>
      </c>
      <c r="DP122" s="1285">
        <f t="shared" si="32"/>
        <v>0</v>
      </c>
    </row>
    <row r="123" spans="1:120" s="809" customFormat="1">
      <c r="A123" s="1261"/>
      <c r="B123" s="1261"/>
      <c r="C123" s="1261"/>
      <c r="D123" s="1262"/>
      <c r="E123" s="1270"/>
      <c r="F123" s="1263"/>
      <c r="G123" s="1263"/>
      <c r="H123" s="1267"/>
      <c r="I123" s="1268"/>
      <c r="J123" s="1268"/>
      <c r="K123" s="1268"/>
      <c r="L123" s="1268"/>
      <c r="M123" s="1268"/>
      <c r="N123" s="1268"/>
      <c r="O123" s="1268"/>
      <c r="P123" s="1268"/>
      <c r="Q123" s="1268"/>
      <c r="R123" s="1268"/>
      <c r="S123" s="1269"/>
      <c r="T123" s="1267"/>
      <c r="U123" s="1268"/>
      <c r="V123" s="1268"/>
      <c r="W123" s="1268"/>
      <c r="X123" s="1268"/>
      <c r="Y123" s="1268"/>
      <c r="Z123" s="1268"/>
      <c r="AA123" s="1268"/>
      <c r="AB123" s="1268"/>
      <c r="AC123" s="1268"/>
      <c r="AD123" s="1268"/>
      <c r="AE123" s="1269"/>
      <c r="AF123" s="1267"/>
      <c r="AG123" s="1268"/>
      <c r="AH123" s="1268"/>
      <c r="AI123" s="1268"/>
      <c r="AJ123" s="1268"/>
      <c r="AK123" s="1268"/>
      <c r="AL123" s="1268"/>
      <c r="AM123" s="1268"/>
      <c r="AN123" s="1268"/>
      <c r="AO123" s="1268"/>
      <c r="AP123" s="1268"/>
      <c r="AQ123" s="1269"/>
      <c r="AR123" s="1267"/>
      <c r="AS123" s="1268"/>
      <c r="AT123" s="1268"/>
      <c r="AU123" s="1268"/>
      <c r="AV123" s="1268"/>
      <c r="AW123" s="1268"/>
      <c r="AX123" s="1268"/>
      <c r="AY123" s="1268"/>
      <c r="AZ123" s="1268"/>
      <c r="BA123" s="1268"/>
      <c r="BB123" s="1268"/>
      <c r="BC123" s="1269"/>
      <c r="BD123" s="1267"/>
      <c r="BE123" s="1268"/>
      <c r="BF123" s="1268"/>
      <c r="BG123" s="1268"/>
      <c r="BH123" s="1268"/>
      <c r="BI123" s="1268"/>
      <c r="BJ123" s="1268"/>
      <c r="BK123" s="1268"/>
      <c r="BL123" s="1268"/>
      <c r="BM123" s="1268"/>
      <c r="BN123" s="1268"/>
      <c r="BO123" s="1269"/>
      <c r="BP123" s="1267"/>
      <c r="BQ123" s="1268"/>
      <c r="BR123" s="1268"/>
      <c r="BS123" s="1268"/>
      <c r="BT123" s="1268"/>
      <c r="BU123" s="1268"/>
      <c r="BV123" s="1268"/>
      <c r="BW123" s="1268"/>
      <c r="BX123" s="1268"/>
      <c r="BY123" s="1268"/>
      <c r="BZ123" s="1268"/>
      <c r="CA123" s="1269"/>
      <c r="CB123" s="1286">
        <f t="shared" si="25"/>
        <v>0</v>
      </c>
      <c r="CC123" s="1277">
        <f>IF($F123=Miscellaneous!$N$8,SUM($H123:CA123),0)</f>
        <v>0</v>
      </c>
      <c r="CD123" s="1277">
        <f>IF($F123=Miscellaneous!$N$8,IF($G123="Opex",SUMIF('Monthly Summary'!$C$75:BV$75,"",$H123:CA123),SUMIF('Monthly Summary'!$C$74:BV$74,"",$H123:CA123)),0)</f>
        <v>0</v>
      </c>
      <c r="CE123" s="1286">
        <f t="shared" si="26"/>
        <v>0</v>
      </c>
      <c r="CF123" s="833"/>
      <c r="CG123" s="1277">
        <f>IF($F123=Miscellaneous!$N$9,SUM($H123:CA123),0)</f>
        <v>0</v>
      </c>
      <c r="CH123" s="1277">
        <f>IF($F123=Miscellaneous!$N$9,IF($G123="Opex",SUMIF('Monthly Summary'!$C$75:BV$75,"",$H123:CA123),SUMIF('Monthly Summary'!$C$74:BV$74,"",$H123:CA123)),0)</f>
        <v>0</v>
      </c>
      <c r="CI123" s="1286">
        <f t="shared" si="27"/>
        <v>0</v>
      </c>
      <c r="CJ123" s="833"/>
      <c r="CK123" s="1277">
        <f>IF($F123=Miscellaneous!$N$7,SUM($H123:CA123),0)</f>
        <v>0</v>
      </c>
      <c r="CL123" s="1277">
        <f>IF($F123=Miscellaneous!$N$7,IF($G123="Opex",SUMIF('Monthly Summary'!$C$75:BV$75,"",$H123:CA123),SUMIF('Monthly Summary'!$C$74:BV$74,"",$H123:CA123)),0)</f>
        <v>0</v>
      </c>
      <c r="CM123" s="1286">
        <f t="shared" si="28"/>
        <v>0</v>
      </c>
      <c r="CN123" s="833"/>
      <c r="CO123" s="1277">
        <f>IF($F123=Miscellaneous!$N$6,SUM($H123:CA123),0)</f>
        <v>0</v>
      </c>
      <c r="CP123" s="1277">
        <f>IF($F123=Miscellaneous!$N$6,IF($G123="Opex",SUMIF('Monthly Summary'!$C$75:BV$75,"",$H123:CA123),SUMIF('Monthly Summary'!$C$74:BV$74,"",$H123:CA123)),0)</f>
        <v>0</v>
      </c>
      <c r="CQ123" s="1286">
        <f t="shared" si="29"/>
        <v>0</v>
      </c>
      <c r="CR123" s="833"/>
      <c r="CS123" s="1277">
        <f>IF($A123="Software",SUM($H123:CA123),0)</f>
        <v>0</v>
      </c>
      <c r="CT123" s="1277">
        <f>IF($A123="Software",IF($G123="Opex",SUMIF('Monthly Summary'!$C$75:BV$75,"",$H123:CA123),SUMIF('Monthly Summary'!$C$74:BV$74,"",$H123:CA123)),0)</f>
        <v>0</v>
      </c>
      <c r="CU123" s="1286">
        <f t="shared" si="30"/>
        <v>0</v>
      </c>
      <c r="CV123" s="833"/>
      <c r="CW123" s="1277">
        <f t="shared" si="37"/>
        <v>0</v>
      </c>
      <c r="CX123" s="1277">
        <f t="shared" si="38"/>
        <v>0</v>
      </c>
      <c r="CY123" s="1286">
        <f t="shared" si="31"/>
        <v>0</v>
      </c>
      <c r="CZ123" s="833"/>
      <c r="DA123" s="1286">
        <f>IF($G123="Opex",SUMIF('Monthly Summary'!$C$75:BV$75,"",$H123:CA123),SUMIF('Monthly Summary'!$C$74:BV$74,"",$H123:CA123))</f>
        <v>0</v>
      </c>
      <c r="DB123" s="1278">
        <f t="shared" si="39"/>
        <v>0</v>
      </c>
      <c r="DC123" s="1279">
        <f>IF(AND(OR($D123=Variables!A$38,$D123=Variables!A$43),$F123&lt;&gt;"N/A"),1,0)</f>
        <v>0</v>
      </c>
      <c r="DD123" s="820"/>
      <c r="DE123" s="1281" t="str">
        <f t="shared" si="33"/>
        <v/>
      </c>
      <c r="DF123" s="1282" t="str">
        <f t="shared" si="34"/>
        <v/>
      </c>
      <c r="DG123" s="1282" t="str">
        <f t="shared" si="35"/>
        <v/>
      </c>
      <c r="DH123" s="1282" t="str">
        <f>IF(ISNA(VLOOKUP(DE123,Miscellaneous!E:F,2,0)),"",VLOOKUP(DE123,Miscellaneous!E:F,2,0))</f>
        <v/>
      </c>
      <c r="DI123" s="1282" t="str">
        <f t="shared" si="36"/>
        <v/>
      </c>
      <c r="DJ123" s="1283">
        <f>IF($DI123="Opex",SUMIF('Monthly Summary'!$C$75:$N$75,"",H123:S123),SUMIF('Monthly Summary'!$C$74:$N$74,"",H123:S123))</f>
        <v>0</v>
      </c>
      <c r="DK123" s="1283">
        <f>IF($DI123="Opex",SUMIF('Monthly Summary'!$O$75:$Z$75,"",T123:AE123),SUMIF('Monthly Summary'!$O$74:$Z$74,"",T123:AE123))</f>
        <v>0</v>
      </c>
      <c r="DL123" s="1283">
        <f>IF($DI123="Opex",SUMIF('Monthly Summary'!$AA$75:$AL$75,"",AF123:AQ123),SUMIF('Monthly Summary'!$AA$74:$AL$74,"",AF123:AQ123))</f>
        <v>0</v>
      </c>
      <c r="DM123" s="1283">
        <f>IF($DI123="Opex",SUMIF('Monthly Summary'!$AM$75:$AX$75,"",AR123:BC123),SUMIF('Monthly Summary'!$AM$74:$AX$74,"",AR123:BC123))</f>
        <v>0</v>
      </c>
      <c r="DN123" s="1283">
        <f>IF($DI123="Opex",SUMIF('Monthly Summary'!$AY$75:$BJ$75,"",BD123:BO123),SUMIF('Monthly Summary'!$AY$74:$BJ$74,"",BD123:BO123))</f>
        <v>0</v>
      </c>
      <c r="DO123" s="1284">
        <f>IF($DI123="Opex",SUMIF('Monthly Summary'!$BK$75:$BV$75,"",BP123:CA123),SUMIF('Monthly Summary'!$BK$74:$BV$74,"",BP123:CA123))</f>
        <v>0</v>
      </c>
      <c r="DP123" s="1285">
        <f t="shared" si="32"/>
        <v>0</v>
      </c>
    </row>
    <row r="124" spans="1:120" s="809" customFormat="1">
      <c r="A124" s="1261"/>
      <c r="B124" s="1261"/>
      <c r="C124" s="1261"/>
      <c r="D124" s="1262"/>
      <c r="E124" s="1270"/>
      <c r="F124" s="1263"/>
      <c r="G124" s="1263"/>
      <c r="H124" s="1267"/>
      <c r="I124" s="1268"/>
      <c r="J124" s="1268"/>
      <c r="K124" s="1268"/>
      <c r="L124" s="1268"/>
      <c r="M124" s="1268"/>
      <c r="N124" s="1268"/>
      <c r="O124" s="1268"/>
      <c r="P124" s="1268"/>
      <c r="Q124" s="1268"/>
      <c r="R124" s="1268"/>
      <c r="S124" s="1269"/>
      <c r="T124" s="1267"/>
      <c r="U124" s="1268"/>
      <c r="V124" s="1268"/>
      <c r="W124" s="1268"/>
      <c r="X124" s="1268"/>
      <c r="Y124" s="1268"/>
      <c r="Z124" s="1268"/>
      <c r="AA124" s="1268"/>
      <c r="AB124" s="1268"/>
      <c r="AC124" s="1268"/>
      <c r="AD124" s="1268"/>
      <c r="AE124" s="1269"/>
      <c r="AF124" s="1267"/>
      <c r="AG124" s="1268"/>
      <c r="AH124" s="1268"/>
      <c r="AI124" s="1268"/>
      <c r="AJ124" s="1268"/>
      <c r="AK124" s="1268"/>
      <c r="AL124" s="1268"/>
      <c r="AM124" s="1268"/>
      <c r="AN124" s="1268"/>
      <c r="AO124" s="1268"/>
      <c r="AP124" s="1268"/>
      <c r="AQ124" s="1269"/>
      <c r="AR124" s="1267"/>
      <c r="AS124" s="1268"/>
      <c r="AT124" s="1268"/>
      <c r="AU124" s="1268"/>
      <c r="AV124" s="1268"/>
      <c r="AW124" s="1268"/>
      <c r="AX124" s="1268"/>
      <c r="AY124" s="1268"/>
      <c r="AZ124" s="1268"/>
      <c r="BA124" s="1268"/>
      <c r="BB124" s="1268"/>
      <c r="BC124" s="1269"/>
      <c r="BD124" s="1267"/>
      <c r="BE124" s="1268"/>
      <c r="BF124" s="1268"/>
      <c r="BG124" s="1268"/>
      <c r="BH124" s="1268"/>
      <c r="BI124" s="1268"/>
      <c r="BJ124" s="1268"/>
      <c r="BK124" s="1268"/>
      <c r="BL124" s="1268"/>
      <c r="BM124" s="1268"/>
      <c r="BN124" s="1268"/>
      <c r="BO124" s="1269"/>
      <c r="BP124" s="1267"/>
      <c r="BQ124" s="1268"/>
      <c r="BR124" s="1268"/>
      <c r="BS124" s="1268"/>
      <c r="BT124" s="1268"/>
      <c r="BU124" s="1268"/>
      <c r="BV124" s="1268"/>
      <c r="BW124" s="1268"/>
      <c r="BX124" s="1268"/>
      <c r="BY124" s="1268"/>
      <c r="BZ124" s="1268"/>
      <c r="CA124" s="1269"/>
      <c r="CB124" s="1286">
        <f t="shared" si="25"/>
        <v>0</v>
      </c>
      <c r="CC124" s="1277">
        <f>IF($F124=Miscellaneous!$N$8,SUM($H124:CA124),0)</f>
        <v>0</v>
      </c>
      <c r="CD124" s="1277">
        <f>IF($F124=Miscellaneous!$N$8,IF($G124="Opex",SUMIF('Monthly Summary'!$C$75:BV$75,"",$H124:CA124),SUMIF('Monthly Summary'!$C$74:BV$74,"",$H124:CA124)),0)</f>
        <v>0</v>
      </c>
      <c r="CE124" s="1286">
        <f t="shared" si="26"/>
        <v>0</v>
      </c>
      <c r="CF124" s="833"/>
      <c r="CG124" s="1277">
        <f>IF($F124=Miscellaneous!$N$9,SUM($H124:CA124),0)</f>
        <v>0</v>
      </c>
      <c r="CH124" s="1277">
        <f>IF($F124=Miscellaneous!$N$9,IF($G124="Opex",SUMIF('Monthly Summary'!$C$75:BV$75,"",$H124:CA124),SUMIF('Monthly Summary'!$C$74:BV$74,"",$H124:CA124)),0)</f>
        <v>0</v>
      </c>
      <c r="CI124" s="1286">
        <f t="shared" si="27"/>
        <v>0</v>
      </c>
      <c r="CJ124" s="833"/>
      <c r="CK124" s="1277">
        <f>IF($F124=Miscellaneous!$N$7,SUM($H124:CA124),0)</f>
        <v>0</v>
      </c>
      <c r="CL124" s="1277">
        <f>IF($F124=Miscellaneous!$N$7,IF($G124="Opex",SUMIF('Monthly Summary'!$C$75:BV$75,"",$H124:CA124),SUMIF('Monthly Summary'!$C$74:BV$74,"",$H124:CA124)),0)</f>
        <v>0</v>
      </c>
      <c r="CM124" s="1286">
        <f t="shared" si="28"/>
        <v>0</v>
      </c>
      <c r="CN124" s="833"/>
      <c r="CO124" s="1277">
        <f>IF($F124=Miscellaneous!$N$6,SUM($H124:CA124),0)</f>
        <v>0</v>
      </c>
      <c r="CP124" s="1277">
        <f>IF($F124=Miscellaneous!$N$6,IF($G124="Opex",SUMIF('Monthly Summary'!$C$75:BV$75,"",$H124:CA124),SUMIF('Monthly Summary'!$C$74:BV$74,"",$H124:CA124)),0)</f>
        <v>0</v>
      </c>
      <c r="CQ124" s="1286">
        <f t="shared" si="29"/>
        <v>0</v>
      </c>
      <c r="CR124" s="833"/>
      <c r="CS124" s="1277">
        <f>IF($A124="Software",SUM($H124:CA124),0)</f>
        <v>0</v>
      </c>
      <c r="CT124" s="1277">
        <f>IF($A124="Software",IF($G124="Opex",SUMIF('Monthly Summary'!$C$75:BV$75,"",$H124:CA124),SUMIF('Monthly Summary'!$C$74:BV$74,"",$H124:CA124)),0)</f>
        <v>0</v>
      </c>
      <c r="CU124" s="1286">
        <f t="shared" si="30"/>
        <v>0</v>
      </c>
      <c r="CV124" s="833"/>
      <c r="CW124" s="1277">
        <f t="shared" si="37"/>
        <v>0</v>
      </c>
      <c r="CX124" s="1277">
        <f t="shared" si="38"/>
        <v>0</v>
      </c>
      <c r="CY124" s="1286">
        <f t="shared" si="31"/>
        <v>0</v>
      </c>
      <c r="CZ124" s="833"/>
      <c r="DA124" s="1286">
        <f>IF($G124="Opex",SUMIF('Monthly Summary'!$C$75:BV$75,"",$H124:CA124),SUMIF('Monthly Summary'!$C$74:BV$74,"",$H124:CA124))</f>
        <v>0</v>
      </c>
      <c r="DB124" s="1278">
        <f t="shared" si="39"/>
        <v>0</v>
      </c>
      <c r="DC124" s="1279">
        <f>IF(AND(OR($D124=Variables!A$38,$D124=Variables!A$43),$F124&lt;&gt;"N/A"),1,0)</f>
        <v>0</v>
      </c>
      <c r="DD124" s="820"/>
      <c r="DE124" s="1281" t="str">
        <f t="shared" si="33"/>
        <v/>
      </c>
      <c r="DF124" s="1282" t="str">
        <f t="shared" si="34"/>
        <v/>
      </c>
      <c r="DG124" s="1282" t="str">
        <f t="shared" si="35"/>
        <v/>
      </c>
      <c r="DH124" s="1282" t="str">
        <f>IF(ISNA(VLOOKUP(DE124,Miscellaneous!E:F,2,0)),"",VLOOKUP(DE124,Miscellaneous!E:F,2,0))</f>
        <v/>
      </c>
      <c r="DI124" s="1282" t="str">
        <f t="shared" si="36"/>
        <v/>
      </c>
      <c r="DJ124" s="1283">
        <f>IF($DI124="Opex",SUMIF('Monthly Summary'!$C$75:$N$75,"",H124:S124),SUMIF('Monthly Summary'!$C$74:$N$74,"",H124:S124))</f>
        <v>0</v>
      </c>
      <c r="DK124" s="1283">
        <f>IF($DI124="Opex",SUMIF('Monthly Summary'!$O$75:$Z$75,"",T124:AE124),SUMIF('Monthly Summary'!$O$74:$Z$74,"",T124:AE124))</f>
        <v>0</v>
      </c>
      <c r="DL124" s="1283">
        <f>IF($DI124="Opex",SUMIF('Monthly Summary'!$AA$75:$AL$75,"",AF124:AQ124),SUMIF('Monthly Summary'!$AA$74:$AL$74,"",AF124:AQ124))</f>
        <v>0</v>
      </c>
      <c r="DM124" s="1283">
        <f>IF($DI124="Opex",SUMIF('Monthly Summary'!$AM$75:$AX$75,"",AR124:BC124),SUMIF('Monthly Summary'!$AM$74:$AX$74,"",AR124:BC124))</f>
        <v>0</v>
      </c>
      <c r="DN124" s="1283">
        <f>IF($DI124="Opex",SUMIF('Monthly Summary'!$AY$75:$BJ$75,"",BD124:BO124),SUMIF('Monthly Summary'!$AY$74:$BJ$74,"",BD124:BO124))</f>
        <v>0</v>
      </c>
      <c r="DO124" s="1284">
        <f>IF($DI124="Opex",SUMIF('Monthly Summary'!$BK$75:$BV$75,"",BP124:CA124),SUMIF('Monthly Summary'!$BK$74:$BV$74,"",BP124:CA124))</f>
        <v>0</v>
      </c>
      <c r="DP124" s="1285">
        <f t="shared" si="32"/>
        <v>0</v>
      </c>
    </row>
    <row r="125" spans="1:120" s="809" customFormat="1">
      <c r="A125" s="1261"/>
      <c r="B125" s="1261"/>
      <c r="C125" s="1261"/>
      <c r="D125" s="1262"/>
      <c r="E125" s="1270"/>
      <c r="F125" s="1263"/>
      <c r="G125" s="1263"/>
      <c r="H125" s="1267"/>
      <c r="I125" s="1268"/>
      <c r="J125" s="1268"/>
      <c r="K125" s="1268"/>
      <c r="L125" s="1268"/>
      <c r="M125" s="1268"/>
      <c r="N125" s="1268"/>
      <c r="O125" s="1268"/>
      <c r="P125" s="1268"/>
      <c r="Q125" s="1268"/>
      <c r="R125" s="1268"/>
      <c r="S125" s="1269"/>
      <c r="T125" s="1267"/>
      <c r="U125" s="1268"/>
      <c r="V125" s="1268"/>
      <c r="W125" s="1268"/>
      <c r="X125" s="1268"/>
      <c r="Y125" s="1268"/>
      <c r="Z125" s="1268"/>
      <c r="AA125" s="1268"/>
      <c r="AB125" s="1268"/>
      <c r="AC125" s="1268"/>
      <c r="AD125" s="1268"/>
      <c r="AE125" s="1269"/>
      <c r="AF125" s="1267"/>
      <c r="AG125" s="1268"/>
      <c r="AH125" s="1268"/>
      <c r="AI125" s="1268"/>
      <c r="AJ125" s="1268"/>
      <c r="AK125" s="1268"/>
      <c r="AL125" s="1268"/>
      <c r="AM125" s="1268"/>
      <c r="AN125" s="1268"/>
      <c r="AO125" s="1268"/>
      <c r="AP125" s="1268"/>
      <c r="AQ125" s="1269"/>
      <c r="AR125" s="1267"/>
      <c r="AS125" s="1268"/>
      <c r="AT125" s="1268"/>
      <c r="AU125" s="1268"/>
      <c r="AV125" s="1268"/>
      <c r="AW125" s="1268"/>
      <c r="AX125" s="1268"/>
      <c r="AY125" s="1268"/>
      <c r="AZ125" s="1268"/>
      <c r="BA125" s="1268"/>
      <c r="BB125" s="1268"/>
      <c r="BC125" s="1269"/>
      <c r="BD125" s="1267"/>
      <c r="BE125" s="1268"/>
      <c r="BF125" s="1268"/>
      <c r="BG125" s="1268"/>
      <c r="BH125" s="1268"/>
      <c r="BI125" s="1268"/>
      <c r="BJ125" s="1268"/>
      <c r="BK125" s="1268"/>
      <c r="BL125" s="1268"/>
      <c r="BM125" s="1268"/>
      <c r="BN125" s="1268"/>
      <c r="BO125" s="1269"/>
      <c r="BP125" s="1267"/>
      <c r="BQ125" s="1268"/>
      <c r="BR125" s="1268"/>
      <c r="BS125" s="1268"/>
      <c r="BT125" s="1268"/>
      <c r="BU125" s="1268"/>
      <c r="BV125" s="1268"/>
      <c r="BW125" s="1268"/>
      <c r="BX125" s="1268"/>
      <c r="BY125" s="1268"/>
      <c r="BZ125" s="1268"/>
      <c r="CA125" s="1269"/>
      <c r="CB125" s="1286">
        <f t="shared" si="25"/>
        <v>0</v>
      </c>
      <c r="CC125" s="1277">
        <f>IF($F125=Miscellaneous!$N$8,SUM($H125:CA125),0)</f>
        <v>0</v>
      </c>
      <c r="CD125" s="1277">
        <f>IF($F125=Miscellaneous!$N$8,IF($G125="Opex",SUMIF('Monthly Summary'!$C$75:BV$75,"",$H125:CA125),SUMIF('Monthly Summary'!$C$74:BV$74,"",$H125:CA125)),0)</f>
        <v>0</v>
      </c>
      <c r="CE125" s="1286">
        <f t="shared" si="26"/>
        <v>0</v>
      </c>
      <c r="CF125" s="833"/>
      <c r="CG125" s="1277">
        <f>IF($F125=Miscellaneous!$N$9,SUM($H125:CA125),0)</f>
        <v>0</v>
      </c>
      <c r="CH125" s="1277">
        <f>IF($F125=Miscellaneous!$N$9,IF($G125="Opex",SUMIF('Monthly Summary'!$C$75:BV$75,"",$H125:CA125),SUMIF('Monthly Summary'!$C$74:BV$74,"",$H125:CA125)),0)</f>
        <v>0</v>
      </c>
      <c r="CI125" s="1286">
        <f t="shared" si="27"/>
        <v>0</v>
      </c>
      <c r="CJ125" s="833"/>
      <c r="CK125" s="1277">
        <f>IF($F125=Miscellaneous!$N$7,SUM($H125:CA125),0)</f>
        <v>0</v>
      </c>
      <c r="CL125" s="1277">
        <f>IF($F125=Miscellaneous!$N$7,IF($G125="Opex",SUMIF('Monthly Summary'!$C$75:BV$75,"",$H125:CA125),SUMIF('Monthly Summary'!$C$74:BV$74,"",$H125:CA125)),0)</f>
        <v>0</v>
      </c>
      <c r="CM125" s="1286">
        <f t="shared" si="28"/>
        <v>0</v>
      </c>
      <c r="CN125" s="833"/>
      <c r="CO125" s="1277">
        <f>IF($F125=Miscellaneous!$N$6,SUM($H125:CA125),0)</f>
        <v>0</v>
      </c>
      <c r="CP125" s="1277">
        <f>IF($F125=Miscellaneous!$N$6,IF($G125="Opex",SUMIF('Monthly Summary'!$C$75:BV$75,"",$H125:CA125),SUMIF('Monthly Summary'!$C$74:BV$74,"",$H125:CA125)),0)</f>
        <v>0</v>
      </c>
      <c r="CQ125" s="1286">
        <f t="shared" si="29"/>
        <v>0</v>
      </c>
      <c r="CR125" s="833"/>
      <c r="CS125" s="1277">
        <f>IF($A125="Software",SUM($H125:CA125),0)</f>
        <v>0</v>
      </c>
      <c r="CT125" s="1277">
        <f>IF($A125="Software",IF($G125="Opex",SUMIF('Monthly Summary'!$C$75:BV$75,"",$H125:CA125),SUMIF('Monthly Summary'!$C$74:BV$74,"",$H125:CA125)),0)</f>
        <v>0</v>
      </c>
      <c r="CU125" s="1286">
        <f t="shared" si="30"/>
        <v>0</v>
      </c>
      <c r="CV125" s="833"/>
      <c r="CW125" s="1277">
        <f t="shared" si="37"/>
        <v>0</v>
      </c>
      <c r="CX125" s="1277">
        <f t="shared" si="38"/>
        <v>0</v>
      </c>
      <c r="CY125" s="1286">
        <f t="shared" si="31"/>
        <v>0</v>
      </c>
      <c r="CZ125" s="833"/>
      <c r="DA125" s="1286">
        <f>IF($G125="Opex",SUMIF('Monthly Summary'!$C$75:BV$75,"",$H125:CA125),SUMIF('Monthly Summary'!$C$74:BV$74,"",$H125:CA125))</f>
        <v>0</v>
      </c>
      <c r="DB125" s="1278">
        <f t="shared" si="39"/>
        <v>0</v>
      </c>
      <c r="DC125" s="1279">
        <f>IF(AND(OR($D125=Variables!A$38,$D125=Variables!A$43),$F125&lt;&gt;"N/A"),1,0)</f>
        <v>0</v>
      </c>
      <c r="DD125" s="820"/>
      <c r="DE125" s="1281" t="str">
        <f t="shared" si="33"/>
        <v/>
      </c>
      <c r="DF125" s="1282" t="str">
        <f t="shared" si="34"/>
        <v/>
      </c>
      <c r="DG125" s="1282" t="str">
        <f t="shared" si="35"/>
        <v/>
      </c>
      <c r="DH125" s="1282" t="str">
        <f>IF(ISNA(VLOOKUP(DE125,Miscellaneous!E:F,2,0)),"",VLOOKUP(DE125,Miscellaneous!E:F,2,0))</f>
        <v/>
      </c>
      <c r="DI125" s="1282" t="str">
        <f t="shared" si="36"/>
        <v/>
      </c>
      <c r="DJ125" s="1283">
        <f>IF($DI125="Opex",SUMIF('Monthly Summary'!$C$75:$N$75,"",H125:S125),SUMIF('Monthly Summary'!$C$74:$N$74,"",H125:S125))</f>
        <v>0</v>
      </c>
      <c r="DK125" s="1283">
        <f>IF($DI125="Opex",SUMIF('Monthly Summary'!$O$75:$Z$75,"",T125:AE125),SUMIF('Monthly Summary'!$O$74:$Z$74,"",T125:AE125))</f>
        <v>0</v>
      </c>
      <c r="DL125" s="1283">
        <f>IF($DI125="Opex",SUMIF('Monthly Summary'!$AA$75:$AL$75,"",AF125:AQ125),SUMIF('Monthly Summary'!$AA$74:$AL$74,"",AF125:AQ125))</f>
        <v>0</v>
      </c>
      <c r="DM125" s="1283">
        <f>IF($DI125="Opex",SUMIF('Monthly Summary'!$AM$75:$AX$75,"",AR125:BC125),SUMIF('Monthly Summary'!$AM$74:$AX$74,"",AR125:BC125))</f>
        <v>0</v>
      </c>
      <c r="DN125" s="1283">
        <f>IF($DI125="Opex",SUMIF('Monthly Summary'!$AY$75:$BJ$75,"",BD125:BO125),SUMIF('Monthly Summary'!$AY$74:$BJ$74,"",BD125:BO125))</f>
        <v>0</v>
      </c>
      <c r="DO125" s="1284">
        <f>IF($DI125="Opex",SUMIF('Monthly Summary'!$BK$75:$BV$75,"",BP125:CA125),SUMIF('Monthly Summary'!$BK$74:$BV$74,"",BP125:CA125))</f>
        <v>0</v>
      </c>
      <c r="DP125" s="1285">
        <f t="shared" si="32"/>
        <v>0</v>
      </c>
    </row>
    <row r="126" spans="1:120" s="809" customFormat="1">
      <c r="A126" s="1261"/>
      <c r="B126" s="1261"/>
      <c r="C126" s="1261"/>
      <c r="D126" s="1262"/>
      <c r="E126" s="1270"/>
      <c r="F126" s="1263"/>
      <c r="G126" s="1263"/>
      <c r="H126" s="1267"/>
      <c r="I126" s="1268"/>
      <c r="J126" s="1268"/>
      <c r="K126" s="1268"/>
      <c r="L126" s="1268"/>
      <c r="M126" s="1268"/>
      <c r="N126" s="1268"/>
      <c r="O126" s="1268"/>
      <c r="P126" s="1268"/>
      <c r="Q126" s="1268"/>
      <c r="R126" s="1268"/>
      <c r="S126" s="1269"/>
      <c r="T126" s="1267"/>
      <c r="U126" s="1268"/>
      <c r="V126" s="1268"/>
      <c r="W126" s="1268"/>
      <c r="X126" s="1268"/>
      <c r="Y126" s="1268"/>
      <c r="Z126" s="1268"/>
      <c r="AA126" s="1268"/>
      <c r="AB126" s="1268"/>
      <c r="AC126" s="1268"/>
      <c r="AD126" s="1268"/>
      <c r="AE126" s="1269"/>
      <c r="AF126" s="1267"/>
      <c r="AG126" s="1268"/>
      <c r="AH126" s="1268"/>
      <c r="AI126" s="1268"/>
      <c r="AJ126" s="1268"/>
      <c r="AK126" s="1268"/>
      <c r="AL126" s="1268"/>
      <c r="AM126" s="1268"/>
      <c r="AN126" s="1268"/>
      <c r="AO126" s="1268"/>
      <c r="AP126" s="1268"/>
      <c r="AQ126" s="1269"/>
      <c r="AR126" s="1267"/>
      <c r="AS126" s="1268"/>
      <c r="AT126" s="1268"/>
      <c r="AU126" s="1268"/>
      <c r="AV126" s="1268"/>
      <c r="AW126" s="1268"/>
      <c r="AX126" s="1268"/>
      <c r="AY126" s="1268"/>
      <c r="AZ126" s="1268"/>
      <c r="BA126" s="1268"/>
      <c r="BB126" s="1268"/>
      <c r="BC126" s="1269"/>
      <c r="BD126" s="1267"/>
      <c r="BE126" s="1268"/>
      <c r="BF126" s="1268"/>
      <c r="BG126" s="1268"/>
      <c r="BH126" s="1268"/>
      <c r="BI126" s="1268"/>
      <c r="BJ126" s="1268"/>
      <c r="BK126" s="1268"/>
      <c r="BL126" s="1268"/>
      <c r="BM126" s="1268"/>
      <c r="BN126" s="1268"/>
      <c r="BO126" s="1269"/>
      <c r="BP126" s="1267"/>
      <c r="BQ126" s="1268"/>
      <c r="BR126" s="1268"/>
      <c r="BS126" s="1268"/>
      <c r="BT126" s="1268"/>
      <c r="BU126" s="1268"/>
      <c r="BV126" s="1268"/>
      <c r="BW126" s="1268"/>
      <c r="BX126" s="1268"/>
      <c r="BY126" s="1268"/>
      <c r="BZ126" s="1268"/>
      <c r="CA126" s="1269"/>
      <c r="CB126" s="1286">
        <f t="shared" si="25"/>
        <v>0</v>
      </c>
      <c r="CC126" s="1277">
        <f>IF($F126=Miscellaneous!$N$8,SUM($H126:CA126),0)</f>
        <v>0</v>
      </c>
      <c r="CD126" s="1277">
        <f>IF($F126=Miscellaneous!$N$8,IF($G126="Opex",SUMIF('Monthly Summary'!$C$75:BV$75,"",$H126:CA126),SUMIF('Monthly Summary'!$C$74:BV$74,"",$H126:CA126)),0)</f>
        <v>0</v>
      </c>
      <c r="CE126" s="1286">
        <f t="shared" si="26"/>
        <v>0</v>
      </c>
      <c r="CF126" s="833"/>
      <c r="CG126" s="1277">
        <f>IF($F126=Miscellaneous!$N$9,SUM($H126:CA126),0)</f>
        <v>0</v>
      </c>
      <c r="CH126" s="1277">
        <f>IF($F126=Miscellaneous!$N$9,IF($G126="Opex",SUMIF('Monthly Summary'!$C$75:BV$75,"",$H126:CA126),SUMIF('Monthly Summary'!$C$74:BV$74,"",$H126:CA126)),0)</f>
        <v>0</v>
      </c>
      <c r="CI126" s="1286">
        <f t="shared" si="27"/>
        <v>0</v>
      </c>
      <c r="CJ126" s="833"/>
      <c r="CK126" s="1277">
        <f>IF($F126=Miscellaneous!$N$7,SUM($H126:CA126),0)</f>
        <v>0</v>
      </c>
      <c r="CL126" s="1277">
        <f>IF($F126=Miscellaneous!$N$7,IF($G126="Opex",SUMIF('Monthly Summary'!$C$75:BV$75,"",$H126:CA126),SUMIF('Monthly Summary'!$C$74:BV$74,"",$H126:CA126)),0)</f>
        <v>0</v>
      </c>
      <c r="CM126" s="1286">
        <f t="shared" si="28"/>
        <v>0</v>
      </c>
      <c r="CN126" s="833"/>
      <c r="CO126" s="1277">
        <f>IF($F126=Miscellaneous!$N$6,SUM($H126:CA126),0)</f>
        <v>0</v>
      </c>
      <c r="CP126" s="1277">
        <f>IF($F126=Miscellaneous!$N$6,IF($G126="Opex",SUMIF('Monthly Summary'!$C$75:BV$75,"",$H126:CA126),SUMIF('Monthly Summary'!$C$74:BV$74,"",$H126:CA126)),0)</f>
        <v>0</v>
      </c>
      <c r="CQ126" s="1286">
        <f t="shared" si="29"/>
        <v>0</v>
      </c>
      <c r="CR126" s="833"/>
      <c r="CS126" s="1277">
        <f>IF($A126="Software",SUM($H126:CA126),0)</f>
        <v>0</v>
      </c>
      <c r="CT126" s="1277">
        <f>IF($A126="Software",IF($G126="Opex",SUMIF('Monthly Summary'!$C$75:BV$75,"",$H126:CA126),SUMIF('Monthly Summary'!$C$74:BV$74,"",$H126:CA126)),0)</f>
        <v>0</v>
      </c>
      <c r="CU126" s="1286">
        <f t="shared" si="30"/>
        <v>0</v>
      </c>
      <c r="CV126" s="833"/>
      <c r="CW126" s="1277">
        <f t="shared" si="37"/>
        <v>0</v>
      </c>
      <c r="CX126" s="1277">
        <f t="shared" si="38"/>
        <v>0</v>
      </c>
      <c r="CY126" s="1286">
        <f t="shared" si="31"/>
        <v>0</v>
      </c>
      <c r="CZ126" s="833"/>
      <c r="DA126" s="1286">
        <f>IF($G126="Opex",SUMIF('Monthly Summary'!$C$75:BV$75,"",$H126:CA126),SUMIF('Monthly Summary'!$C$74:BV$74,"",$H126:CA126))</f>
        <v>0</v>
      </c>
      <c r="DB126" s="1278">
        <f t="shared" si="39"/>
        <v>0</v>
      </c>
      <c r="DC126" s="1279">
        <f>IF(AND(OR($D126=Variables!A$38,$D126=Variables!A$43),$F126&lt;&gt;"N/A"),1,0)</f>
        <v>0</v>
      </c>
      <c r="DD126" s="820"/>
      <c r="DE126" s="1281" t="str">
        <f t="shared" si="33"/>
        <v/>
      </c>
      <c r="DF126" s="1282" t="str">
        <f t="shared" si="34"/>
        <v/>
      </c>
      <c r="DG126" s="1282" t="str">
        <f t="shared" si="35"/>
        <v/>
      </c>
      <c r="DH126" s="1282" t="str">
        <f>IF(ISNA(VLOOKUP(DE126,Miscellaneous!E:F,2,0)),"",VLOOKUP(DE126,Miscellaneous!E:F,2,0))</f>
        <v/>
      </c>
      <c r="DI126" s="1282" t="str">
        <f t="shared" si="36"/>
        <v/>
      </c>
      <c r="DJ126" s="1283">
        <f>IF($DI126="Opex",SUMIF('Monthly Summary'!$C$75:$N$75,"",H126:S126),SUMIF('Monthly Summary'!$C$74:$N$74,"",H126:S126))</f>
        <v>0</v>
      </c>
      <c r="DK126" s="1283">
        <f>IF($DI126="Opex",SUMIF('Monthly Summary'!$O$75:$Z$75,"",T126:AE126),SUMIF('Monthly Summary'!$O$74:$Z$74,"",T126:AE126))</f>
        <v>0</v>
      </c>
      <c r="DL126" s="1283">
        <f>IF($DI126="Opex",SUMIF('Monthly Summary'!$AA$75:$AL$75,"",AF126:AQ126),SUMIF('Monthly Summary'!$AA$74:$AL$74,"",AF126:AQ126))</f>
        <v>0</v>
      </c>
      <c r="DM126" s="1283">
        <f>IF($DI126="Opex",SUMIF('Monthly Summary'!$AM$75:$AX$75,"",AR126:BC126),SUMIF('Monthly Summary'!$AM$74:$AX$74,"",AR126:BC126))</f>
        <v>0</v>
      </c>
      <c r="DN126" s="1283">
        <f>IF($DI126="Opex",SUMIF('Monthly Summary'!$AY$75:$BJ$75,"",BD126:BO126),SUMIF('Monthly Summary'!$AY$74:$BJ$74,"",BD126:BO126))</f>
        <v>0</v>
      </c>
      <c r="DO126" s="1284">
        <f>IF($DI126="Opex",SUMIF('Monthly Summary'!$BK$75:$BV$75,"",BP126:CA126),SUMIF('Monthly Summary'!$BK$74:$BV$74,"",BP126:CA126))</f>
        <v>0</v>
      </c>
      <c r="DP126" s="1285">
        <f t="shared" si="32"/>
        <v>0</v>
      </c>
    </row>
    <row r="127" spans="1:120" s="809" customFormat="1">
      <c r="A127" s="1261"/>
      <c r="B127" s="1261"/>
      <c r="C127" s="1261"/>
      <c r="D127" s="1262"/>
      <c r="E127" s="1270"/>
      <c r="F127" s="1263"/>
      <c r="G127" s="1263"/>
      <c r="H127" s="1267"/>
      <c r="I127" s="1268"/>
      <c r="J127" s="1268"/>
      <c r="K127" s="1268"/>
      <c r="L127" s="1268"/>
      <c r="M127" s="1268"/>
      <c r="N127" s="1268"/>
      <c r="O127" s="1268"/>
      <c r="P127" s="1268"/>
      <c r="Q127" s="1268"/>
      <c r="R127" s="1268"/>
      <c r="S127" s="1269"/>
      <c r="T127" s="1267"/>
      <c r="U127" s="1268"/>
      <c r="V127" s="1268"/>
      <c r="W127" s="1268"/>
      <c r="X127" s="1268"/>
      <c r="Y127" s="1268"/>
      <c r="Z127" s="1268"/>
      <c r="AA127" s="1268"/>
      <c r="AB127" s="1268"/>
      <c r="AC127" s="1268"/>
      <c r="AD127" s="1268"/>
      <c r="AE127" s="1269"/>
      <c r="AF127" s="1267"/>
      <c r="AG127" s="1268"/>
      <c r="AH127" s="1268"/>
      <c r="AI127" s="1268"/>
      <c r="AJ127" s="1268"/>
      <c r="AK127" s="1268"/>
      <c r="AL127" s="1268"/>
      <c r="AM127" s="1268"/>
      <c r="AN127" s="1268"/>
      <c r="AO127" s="1268"/>
      <c r="AP127" s="1268"/>
      <c r="AQ127" s="1269"/>
      <c r="AR127" s="1267"/>
      <c r="AS127" s="1268"/>
      <c r="AT127" s="1268"/>
      <c r="AU127" s="1268"/>
      <c r="AV127" s="1268"/>
      <c r="AW127" s="1268"/>
      <c r="AX127" s="1268"/>
      <c r="AY127" s="1268"/>
      <c r="AZ127" s="1268"/>
      <c r="BA127" s="1268"/>
      <c r="BB127" s="1268"/>
      <c r="BC127" s="1269"/>
      <c r="BD127" s="1267"/>
      <c r="BE127" s="1268"/>
      <c r="BF127" s="1268"/>
      <c r="BG127" s="1268"/>
      <c r="BH127" s="1268"/>
      <c r="BI127" s="1268"/>
      <c r="BJ127" s="1268"/>
      <c r="BK127" s="1268"/>
      <c r="BL127" s="1268"/>
      <c r="BM127" s="1268"/>
      <c r="BN127" s="1268"/>
      <c r="BO127" s="1269"/>
      <c r="BP127" s="1267"/>
      <c r="BQ127" s="1268"/>
      <c r="BR127" s="1268"/>
      <c r="BS127" s="1268"/>
      <c r="BT127" s="1268"/>
      <c r="BU127" s="1268"/>
      <c r="BV127" s="1268"/>
      <c r="BW127" s="1268"/>
      <c r="BX127" s="1268"/>
      <c r="BY127" s="1268"/>
      <c r="BZ127" s="1268"/>
      <c r="CA127" s="1269"/>
      <c r="CB127" s="1286">
        <f t="shared" si="25"/>
        <v>0</v>
      </c>
      <c r="CC127" s="1277">
        <f>IF($F127=Miscellaneous!$N$8,SUM($H127:CA127),0)</f>
        <v>0</v>
      </c>
      <c r="CD127" s="1277">
        <f>IF($F127=Miscellaneous!$N$8,IF($G127="Opex",SUMIF('Monthly Summary'!$C$75:BV$75,"",$H127:CA127),SUMIF('Monthly Summary'!$C$74:BV$74,"",$H127:CA127)),0)</f>
        <v>0</v>
      </c>
      <c r="CE127" s="1286">
        <f t="shared" si="26"/>
        <v>0</v>
      </c>
      <c r="CF127" s="833"/>
      <c r="CG127" s="1277">
        <f>IF($F127=Miscellaneous!$N$9,SUM($H127:CA127),0)</f>
        <v>0</v>
      </c>
      <c r="CH127" s="1277">
        <f>IF($F127=Miscellaneous!$N$9,IF($G127="Opex",SUMIF('Monthly Summary'!$C$75:BV$75,"",$H127:CA127),SUMIF('Monthly Summary'!$C$74:BV$74,"",$H127:CA127)),0)</f>
        <v>0</v>
      </c>
      <c r="CI127" s="1286">
        <f t="shared" si="27"/>
        <v>0</v>
      </c>
      <c r="CJ127" s="833"/>
      <c r="CK127" s="1277">
        <f>IF($F127=Miscellaneous!$N$7,SUM($H127:CA127),0)</f>
        <v>0</v>
      </c>
      <c r="CL127" s="1277">
        <f>IF($F127=Miscellaneous!$N$7,IF($G127="Opex",SUMIF('Monthly Summary'!$C$75:BV$75,"",$H127:CA127),SUMIF('Monthly Summary'!$C$74:BV$74,"",$H127:CA127)),0)</f>
        <v>0</v>
      </c>
      <c r="CM127" s="1286">
        <f t="shared" si="28"/>
        <v>0</v>
      </c>
      <c r="CN127" s="833"/>
      <c r="CO127" s="1277">
        <f>IF($F127=Miscellaneous!$N$6,SUM($H127:CA127),0)</f>
        <v>0</v>
      </c>
      <c r="CP127" s="1277">
        <f>IF($F127=Miscellaneous!$N$6,IF($G127="Opex",SUMIF('Monthly Summary'!$C$75:BV$75,"",$H127:CA127),SUMIF('Monthly Summary'!$C$74:BV$74,"",$H127:CA127)),0)</f>
        <v>0</v>
      </c>
      <c r="CQ127" s="1286">
        <f t="shared" si="29"/>
        <v>0</v>
      </c>
      <c r="CR127" s="833"/>
      <c r="CS127" s="1277">
        <f>IF($A127="Software",SUM($H127:CA127),0)</f>
        <v>0</v>
      </c>
      <c r="CT127" s="1277">
        <f>IF($A127="Software",IF($G127="Opex",SUMIF('Monthly Summary'!$C$75:BV$75,"",$H127:CA127),SUMIF('Monthly Summary'!$C$74:BV$74,"",$H127:CA127)),0)</f>
        <v>0</v>
      </c>
      <c r="CU127" s="1286">
        <f t="shared" si="30"/>
        <v>0</v>
      </c>
      <c r="CV127" s="833"/>
      <c r="CW127" s="1277">
        <f t="shared" si="37"/>
        <v>0</v>
      </c>
      <c r="CX127" s="1277">
        <f t="shared" si="38"/>
        <v>0</v>
      </c>
      <c r="CY127" s="1286">
        <f t="shared" si="31"/>
        <v>0</v>
      </c>
      <c r="CZ127" s="833"/>
      <c r="DA127" s="1286">
        <f>IF($G127="Opex",SUMIF('Monthly Summary'!$C$75:BV$75,"",$H127:CA127),SUMIF('Monthly Summary'!$C$74:BV$74,"",$H127:CA127))</f>
        <v>0</v>
      </c>
      <c r="DB127" s="1278">
        <f t="shared" si="39"/>
        <v>0</v>
      </c>
      <c r="DC127" s="1279">
        <f>IF(AND(OR($D127=Variables!A$38,$D127=Variables!A$43),$F127&lt;&gt;"N/A"),1,0)</f>
        <v>0</v>
      </c>
      <c r="DD127" s="820"/>
      <c r="DE127" s="1281" t="str">
        <f t="shared" si="33"/>
        <v/>
      </c>
      <c r="DF127" s="1282" t="str">
        <f t="shared" si="34"/>
        <v/>
      </c>
      <c r="DG127" s="1282" t="str">
        <f t="shared" si="35"/>
        <v/>
      </c>
      <c r="DH127" s="1282" t="str">
        <f>IF(ISNA(VLOOKUP(DE127,Miscellaneous!E:F,2,0)),"",VLOOKUP(DE127,Miscellaneous!E:F,2,0))</f>
        <v/>
      </c>
      <c r="DI127" s="1282" t="str">
        <f t="shared" si="36"/>
        <v/>
      </c>
      <c r="DJ127" s="1283">
        <f>IF($DI127="Opex",SUMIF('Monthly Summary'!$C$75:$N$75,"",H127:S127),SUMIF('Monthly Summary'!$C$74:$N$74,"",H127:S127))</f>
        <v>0</v>
      </c>
      <c r="DK127" s="1283">
        <f>IF($DI127="Opex",SUMIF('Monthly Summary'!$O$75:$Z$75,"",T127:AE127),SUMIF('Monthly Summary'!$O$74:$Z$74,"",T127:AE127))</f>
        <v>0</v>
      </c>
      <c r="DL127" s="1283">
        <f>IF($DI127="Opex",SUMIF('Monthly Summary'!$AA$75:$AL$75,"",AF127:AQ127),SUMIF('Monthly Summary'!$AA$74:$AL$74,"",AF127:AQ127))</f>
        <v>0</v>
      </c>
      <c r="DM127" s="1283">
        <f>IF($DI127="Opex",SUMIF('Monthly Summary'!$AM$75:$AX$75,"",AR127:BC127),SUMIF('Monthly Summary'!$AM$74:$AX$74,"",AR127:BC127))</f>
        <v>0</v>
      </c>
      <c r="DN127" s="1283">
        <f>IF($DI127="Opex",SUMIF('Monthly Summary'!$AY$75:$BJ$75,"",BD127:BO127),SUMIF('Monthly Summary'!$AY$74:$BJ$74,"",BD127:BO127))</f>
        <v>0</v>
      </c>
      <c r="DO127" s="1284">
        <f>IF($DI127="Opex",SUMIF('Monthly Summary'!$BK$75:$BV$75,"",BP127:CA127),SUMIF('Monthly Summary'!$BK$74:$BV$74,"",BP127:CA127))</f>
        <v>0</v>
      </c>
      <c r="DP127" s="1285">
        <f t="shared" si="32"/>
        <v>0</v>
      </c>
    </row>
    <row r="128" spans="1:120" s="809" customFormat="1">
      <c r="A128" s="1261"/>
      <c r="B128" s="1261"/>
      <c r="C128" s="1261"/>
      <c r="D128" s="1262"/>
      <c r="E128" s="1270"/>
      <c r="F128" s="1263"/>
      <c r="G128" s="1263"/>
      <c r="H128" s="1267"/>
      <c r="I128" s="1268"/>
      <c r="J128" s="1268"/>
      <c r="K128" s="1268"/>
      <c r="L128" s="1268"/>
      <c r="M128" s="1268"/>
      <c r="N128" s="1268"/>
      <c r="O128" s="1268"/>
      <c r="P128" s="1268"/>
      <c r="Q128" s="1268"/>
      <c r="R128" s="1268"/>
      <c r="S128" s="1269"/>
      <c r="T128" s="1267"/>
      <c r="U128" s="1268"/>
      <c r="V128" s="1268"/>
      <c r="W128" s="1268"/>
      <c r="X128" s="1268"/>
      <c r="Y128" s="1268"/>
      <c r="Z128" s="1268"/>
      <c r="AA128" s="1268"/>
      <c r="AB128" s="1268"/>
      <c r="AC128" s="1268"/>
      <c r="AD128" s="1268"/>
      <c r="AE128" s="1269"/>
      <c r="AF128" s="1267"/>
      <c r="AG128" s="1268"/>
      <c r="AH128" s="1268"/>
      <c r="AI128" s="1268"/>
      <c r="AJ128" s="1268"/>
      <c r="AK128" s="1268"/>
      <c r="AL128" s="1268"/>
      <c r="AM128" s="1268"/>
      <c r="AN128" s="1268"/>
      <c r="AO128" s="1268"/>
      <c r="AP128" s="1268"/>
      <c r="AQ128" s="1269"/>
      <c r="AR128" s="1267"/>
      <c r="AS128" s="1268"/>
      <c r="AT128" s="1268"/>
      <c r="AU128" s="1268"/>
      <c r="AV128" s="1268"/>
      <c r="AW128" s="1268"/>
      <c r="AX128" s="1268"/>
      <c r="AY128" s="1268"/>
      <c r="AZ128" s="1268"/>
      <c r="BA128" s="1268"/>
      <c r="BB128" s="1268"/>
      <c r="BC128" s="1269"/>
      <c r="BD128" s="1267"/>
      <c r="BE128" s="1268"/>
      <c r="BF128" s="1268"/>
      <c r="BG128" s="1268"/>
      <c r="BH128" s="1268"/>
      <c r="BI128" s="1268"/>
      <c r="BJ128" s="1268"/>
      <c r="BK128" s="1268"/>
      <c r="BL128" s="1268"/>
      <c r="BM128" s="1268"/>
      <c r="BN128" s="1268"/>
      <c r="BO128" s="1269"/>
      <c r="BP128" s="1267"/>
      <c r="BQ128" s="1268"/>
      <c r="BR128" s="1268"/>
      <c r="BS128" s="1268"/>
      <c r="BT128" s="1268"/>
      <c r="BU128" s="1268"/>
      <c r="BV128" s="1268"/>
      <c r="BW128" s="1268"/>
      <c r="BX128" s="1268"/>
      <c r="BY128" s="1268"/>
      <c r="BZ128" s="1268"/>
      <c r="CA128" s="1269"/>
      <c r="CB128" s="1286">
        <f t="shared" si="25"/>
        <v>0</v>
      </c>
      <c r="CC128" s="1277">
        <f>IF($F128=Miscellaneous!$N$8,SUM($H128:CA128),0)</f>
        <v>0</v>
      </c>
      <c r="CD128" s="1277">
        <f>IF($F128=Miscellaneous!$N$8,IF($G128="Opex",SUMIF('Monthly Summary'!$C$75:BV$75,"",$H128:CA128),SUMIF('Monthly Summary'!$C$74:BV$74,"",$H128:CA128)),0)</f>
        <v>0</v>
      </c>
      <c r="CE128" s="1286">
        <f t="shared" si="26"/>
        <v>0</v>
      </c>
      <c r="CF128" s="833"/>
      <c r="CG128" s="1277">
        <f>IF($F128=Miscellaneous!$N$9,SUM($H128:CA128),0)</f>
        <v>0</v>
      </c>
      <c r="CH128" s="1277">
        <f>IF($F128=Miscellaneous!$N$9,IF($G128="Opex",SUMIF('Monthly Summary'!$C$75:BV$75,"",$H128:CA128),SUMIF('Monthly Summary'!$C$74:BV$74,"",$H128:CA128)),0)</f>
        <v>0</v>
      </c>
      <c r="CI128" s="1286">
        <f t="shared" si="27"/>
        <v>0</v>
      </c>
      <c r="CJ128" s="833"/>
      <c r="CK128" s="1277">
        <f>IF($F128=Miscellaneous!$N$7,SUM($H128:CA128),0)</f>
        <v>0</v>
      </c>
      <c r="CL128" s="1277">
        <f>IF($F128=Miscellaneous!$N$7,IF($G128="Opex",SUMIF('Monthly Summary'!$C$75:BV$75,"",$H128:CA128),SUMIF('Monthly Summary'!$C$74:BV$74,"",$H128:CA128)),0)</f>
        <v>0</v>
      </c>
      <c r="CM128" s="1286">
        <f t="shared" si="28"/>
        <v>0</v>
      </c>
      <c r="CN128" s="833"/>
      <c r="CO128" s="1277">
        <f>IF($F128=Miscellaneous!$N$6,SUM($H128:CA128),0)</f>
        <v>0</v>
      </c>
      <c r="CP128" s="1277">
        <f>IF($F128=Miscellaneous!$N$6,IF($G128="Opex",SUMIF('Monthly Summary'!$C$75:BV$75,"",$H128:CA128),SUMIF('Monthly Summary'!$C$74:BV$74,"",$H128:CA128)),0)</f>
        <v>0</v>
      </c>
      <c r="CQ128" s="1286">
        <f t="shared" si="29"/>
        <v>0</v>
      </c>
      <c r="CR128" s="833"/>
      <c r="CS128" s="1277">
        <f>IF($A128="Software",SUM($H128:CA128),0)</f>
        <v>0</v>
      </c>
      <c r="CT128" s="1277">
        <f>IF($A128="Software",IF($G128="Opex",SUMIF('Monthly Summary'!$C$75:BV$75,"",$H128:CA128),SUMIF('Monthly Summary'!$C$74:BV$74,"",$H128:CA128)),0)</f>
        <v>0</v>
      </c>
      <c r="CU128" s="1286">
        <f t="shared" si="30"/>
        <v>0</v>
      </c>
      <c r="CV128" s="833"/>
      <c r="CW128" s="1277">
        <f t="shared" si="37"/>
        <v>0</v>
      </c>
      <c r="CX128" s="1277">
        <f t="shared" si="38"/>
        <v>0</v>
      </c>
      <c r="CY128" s="1286">
        <f t="shared" si="31"/>
        <v>0</v>
      </c>
      <c r="CZ128" s="833"/>
      <c r="DA128" s="1286">
        <f>IF($G128="Opex",SUMIF('Monthly Summary'!$C$75:BV$75,"",$H128:CA128),SUMIF('Monthly Summary'!$C$74:BV$74,"",$H128:CA128))</f>
        <v>0</v>
      </c>
      <c r="DB128" s="1278">
        <f t="shared" si="39"/>
        <v>0</v>
      </c>
      <c r="DC128" s="1279">
        <f>IF(AND(OR($D128=Variables!A$38,$D128=Variables!A$43),$F128&lt;&gt;"N/A"),1,0)</f>
        <v>0</v>
      </c>
      <c r="DD128" s="820"/>
      <c r="DE128" s="1281" t="str">
        <f t="shared" si="33"/>
        <v/>
      </c>
      <c r="DF128" s="1282" t="str">
        <f t="shared" si="34"/>
        <v/>
      </c>
      <c r="DG128" s="1282" t="str">
        <f t="shared" si="35"/>
        <v/>
      </c>
      <c r="DH128" s="1282" t="str">
        <f>IF(ISNA(VLOOKUP(DE128,Miscellaneous!E:F,2,0)),"",VLOOKUP(DE128,Miscellaneous!E:F,2,0))</f>
        <v/>
      </c>
      <c r="DI128" s="1282" t="str">
        <f t="shared" si="36"/>
        <v/>
      </c>
      <c r="DJ128" s="1283">
        <f>IF($DI128="Opex",SUMIF('Monthly Summary'!$C$75:$N$75,"",H128:S128),SUMIF('Monthly Summary'!$C$74:$N$74,"",H128:S128))</f>
        <v>0</v>
      </c>
      <c r="DK128" s="1283">
        <f>IF($DI128="Opex",SUMIF('Monthly Summary'!$O$75:$Z$75,"",T128:AE128),SUMIF('Monthly Summary'!$O$74:$Z$74,"",T128:AE128))</f>
        <v>0</v>
      </c>
      <c r="DL128" s="1283">
        <f>IF($DI128="Opex",SUMIF('Monthly Summary'!$AA$75:$AL$75,"",AF128:AQ128),SUMIF('Monthly Summary'!$AA$74:$AL$74,"",AF128:AQ128))</f>
        <v>0</v>
      </c>
      <c r="DM128" s="1283">
        <f>IF($DI128="Opex",SUMIF('Monthly Summary'!$AM$75:$AX$75,"",AR128:BC128),SUMIF('Monthly Summary'!$AM$74:$AX$74,"",AR128:BC128))</f>
        <v>0</v>
      </c>
      <c r="DN128" s="1283">
        <f>IF($DI128="Opex",SUMIF('Monthly Summary'!$AY$75:$BJ$75,"",BD128:BO128),SUMIF('Monthly Summary'!$AY$74:$BJ$74,"",BD128:BO128))</f>
        <v>0</v>
      </c>
      <c r="DO128" s="1284">
        <f>IF($DI128="Opex",SUMIF('Monthly Summary'!$BK$75:$BV$75,"",BP128:CA128),SUMIF('Monthly Summary'!$BK$74:$BV$74,"",BP128:CA128))</f>
        <v>0</v>
      </c>
      <c r="DP128" s="1285">
        <f t="shared" si="32"/>
        <v>0</v>
      </c>
    </row>
    <row r="129" spans="1:120" s="809" customFormat="1">
      <c r="A129" s="1261"/>
      <c r="B129" s="1261"/>
      <c r="C129" s="1261"/>
      <c r="D129" s="1262"/>
      <c r="E129" s="1270"/>
      <c r="F129" s="1263"/>
      <c r="G129" s="1263"/>
      <c r="H129" s="1267"/>
      <c r="I129" s="1268"/>
      <c r="J129" s="1268"/>
      <c r="K129" s="1268"/>
      <c r="L129" s="1268"/>
      <c r="M129" s="1268"/>
      <c r="N129" s="1268"/>
      <c r="O129" s="1268"/>
      <c r="P129" s="1268"/>
      <c r="Q129" s="1268"/>
      <c r="R129" s="1268"/>
      <c r="S129" s="1269"/>
      <c r="T129" s="1267"/>
      <c r="U129" s="1268"/>
      <c r="V129" s="1268"/>
      <c r="W129" s="1268"/>
      <c r="X129" s="1268"/>
      <c r="Y129" s="1268"/>
      <c r="Z129" s="1268"/>
      <c r="AA129" s="1268"/>
      <c r="AB129" s="1268"/>
      <c r="AC129" s="1268"/>
      <c r="AD129" s="1268"/>
      <c r="AE129" s="1269"/>
      <c r="AF129" s="1267"/>
      <c r="AG129" s="1268"/>
      <c r="AH129" s="1268"/>
      <c r="AI129" s="1268"/>
      <c r="AJ129" s="1268"/>
      <c r="AK129" s="1268"/>
      <c r="AL129" s="1268"/>
      <c r="AM129" s="1268"/>
      <c r="AN129" s="1268"/>
      <c r="AO129" s="1268"/>
      <c r="AP129" s="1268"/>
      <c r="AQ129" s="1269"/>
      <c r="AR129" s="1267"/>
      <c r="AS129" s="1268"/>
      <c r="AT129" s="1268"/>
      <c r="AU129" s="1268"/>
      <c r="AV129" s="1268"/>
      <c r="AW129" s="1268"/>
      <c r="AX129" s="1268"/>
      <c r="AY129" s="1268"/>
      <c r="AZ129" s="1268"/>
      <c r="BA129" s="1268"/>
      <c r="BB129" s="1268"/>
      <c r="BC129" s="1269"/>
      <c r="BD129" s="1267"/>
      <c r="BE129" s="1268"/>
      <c r="BF129" s="1268"/>
      <c r="BG129" s="1268"/>
      <c r="BH129" s="1268"/>
      <c r="BI129" s="1268"/>
      <c r="BJ129" s="1268"/>
      <c r="BK129" s="1268"/>
      <c r="BL129" s="1268"/>
      <c r="BM129" s="1268"/>
      <c r="BN129" s="1268"/>
      <c r="BO129" s="1269"/>
      <c r="BP129" s="1267"/>
      <c r="BQ129" s="1268"/>
      <c r="BR129" s="1268"/>
      <c r="BS129" s="1268"/>
      <c r="BT129" s="1268"/>
      <c r="BU129" s="1268"/>
      <c r="BV129" s="1268"/>
      <c r="BW129" s="1268"/>
      <c r="BX129" s="1268"/>
      <c r="BY129" s="1268"/>
      <c r="BZ129" s="1268"/>
      <c r="CA129" s="1269"/>
      <c r="CB129" s="1286">
        <f t="shared" si="25"/>
        <v>0</v>
      </c>
      <c r="CC129" s="1277">
        <f>IF($F129=Miscellaneous!$N$8,SUM($H129:CA129),0)</f>
        <v>0</v>
      </c>
      <c r="CD129" s="1277">
        <f>IF($F129=Miscellaneous!$N$8,IF($G129="Opex",SUMIF('Monthly Summary'!$C$75:BV$75,"",$H129:CA129),SUMIF('Monthly Summary'!$C$74:BV$74,"",$H129:CA129)),0)</f>
        <v>0</v>
      </c>
      <c r="CE129" s="1286">
        <f t="shared" si="26"/>
        <v>0</v>
      </c>
      <c r="CF129" s="833"/>
      <c r="CG129" s="1277">
        <f>IF($F129=Miscellaneous!$N$9,SUM($H129:CA129),0)</f>
        <v>0</v>
      </c>
      <c r="CH129" s="1277">
        <f>IF($F129=Miscellaneous!$N$9,IF($G129="Opex",SUMIF('Monthly Summary'!$C$75:BV$75,"",$H129:CA129),SUMIF('Monthly Summary'!$C$74:BV$74,"",$H129:CA129)),0)</f>
        <v>0</v>
      </c>
      <c r="CI129" s="1286">
        <f t="shared" si="27"/>
        <v>0</v>
      </c>
      <c r="CJ129" s="833"/>
      <c r="CK129" s="1277">
        <f>IF($F129=Miscellaneous!$N$7,SUM($H129:CA129),0)</f>
        <v>0</v>
      </c>
      <c r="CL129" s="1277">
        <f>IF($F129=Miscellaneous!$N$7,IF($G129="Opex",SUMIF('Monthly Summary'!$C$75:BV$75,"",$H129:CA129),SUMIF('Monthly Summary'!$C$74:BV$74,"",$H129:CA129)),0)</f>
        <v>0</v>
      </c>
      <c r="CM129" s="1286">
        <f t="shared" si="28"/>
        <v>0</v>
      </c>
      <c r="CN129" s="833"/>
      <c r="CO129" s="1277">
        <f>IF($F129=Miscellaneous!$N$6,SUM($H129:CA129),0)</f>
        <v>0</v>
      </c>
      <c r="CP129" s="1277">
        <f>IF($F129=Miscellaneous!$N$6,IF($G129="Opex",SUMIF('Monthly Summary'!$C$75:BV$75,"",$H129:CA129),SUMIF('Monthly Summary'!$C$74:BV$74,"",$H129:CA129)),0)</f>
        <v>0</v>
      </c>
      <c r="CQ129" s="1286">
        <f t="shared" si="29"/>
        <v>0</v>
      </c>
      <c r="CR129" s="833"/>
      <c r="CS129" s="1277">
        <f>IF($A129="Software",SUM($H129:CA129),0)</f>
        <v>0</v>
      </c>
      <c r="CT129" s="1277">
        <f>IF($A129="Software",IF($G129="Opex",SUMIF('Monthly Summary'!$C$75:BV$75,"",$H129:CA129),SUMIF('Monthly Summary'!$C$74:BV$74,"",$H129:CA129)),0)</f>
        <v>0</v>
      </c>
      <c r="CU129" s="1286">
        <f t="shared" si="30"/>
        <v>0</v>
      </c>
      <c r="CV129" s="833"/>
      <c r="CW129" s="1277">
        <f t="shared" si="37"/>
        <v>0</v>
      </c>
      <c r="CX129" s="1277">
        <f t="shared" si="38"/>
        <v>0</v>
      </c>
      <c r="CY129" s="1286">
        <f t="shared" si="31"/>
        <v>0</v>
      </c>
      <c r="CZ129" s="833"/>
      <c r="DA129" s="1286">
        <f>IF($G129="Opex",SUMIF('Monthly Summary'!$C$75:BV$75,"",$H129:CA129),SUMIF('Monthly Summary'!$C$74:BV$74,"",$H129:CA129))</f>
        <v>0</v>
      </c>
      <c r="DB129" s="1278">
        <f t="shared" si="39"/>
        <v>0</v>
      </c>
      <c r="DC129" s="1279">
        <f>IF(AND(OR($D129=Variables!A$38,$D129=Variables!A$43),$F129&lt;&gt;"N/A"),1,0)</f>
        <v>0</v>
      </c>
      <c r="DD129" s="820"/>
      <c r="DE129" s="1281" t="str">
        <f t="shared" si="33"/>
        <v/>
      </c>
      <c r="DF129" s="1282" t="str">
        <f t="shared" si="34"/>
        <v/>
      </c>
      <c r="DG129" s="1282" t="str">
        <f t="shared" si="35"/>
        <v/>
      </c>
      <c r="DH129" s="1282" t="str">
        <f>IF(ISNA(VLOOKUP(DE129,Miscellaneous!E:F,2,0)),"",VLOOKUP(DE129,Miscellaneous!E:F,2,0))</f>
        <v/>
      </c>
      <c r="DI129" s="1282" t="str">
        <f t="shared" si="36"/>
        <v/>
      </c>
      <c r="DJ129" s="1283">
        <f>IF($DI129="Opex",SUMIF('Monthly Summary'!$C$75:$N$75,"",H129:S129),SUMIF('Monthly Summary'!$C$74:$N$74,"",H129:S129))</f>
        <v>0</v>
      </c>
      <c r="DK129" s="1283">
        <f>IF($DI129="Opex",SUMIF('Monthly Summary'!$O$75:$Z$75,"",T129:AE129),SUMIF('Monthly Summary'!$O$74:$Z$74,"",T129:AE129))</f>
        <v>0</v>
      </c>
      <c r="DL129" s="1283">
        <f>IF($DI129="Opex",SUMIF('Monthly Summary'!$AA$75:$AL$75,"",AF129:AQ129),SUMIF('Monthly Summary'!$AA$74:$AL$74,"",AF129:AQ129))</f>
        <v>0</v>
      </c>
      <c r="DM129" s="1283">
        <f>IF($DI129="Opex",SUMIF('Monthly Summary'!$AM$75:$AX$75,"",AR129:BC129),SUMIF('Monthly Summary'!$AM$74:$AX$74,"",AR129:BC129))</f>
        <v>0</v>
      </c>
      <c r="DN129" s="1283">
        <f>IF($DI129="Opex",SUMIF('Monthly Summary'!$AY$75:$BJ$75,"",BD129:BO129),SUMIF('Monthly Summary'!$AY$74:$BJ$74,"",BD129:BO129))</f>
        <v>0</v>
      </c>
      <c r="DO129" s="1284">
        <f>IF($DI129="Opex",SUMIF('Monthly Summary'!$BK$75:$BV$75,"",BP129:CA129),SUMIF('Monthly Summary'!$BK$74:$BV$74,"",BP129:CA129))</f>
        <v>0</v>
      </c>
      <c r="DP129" s="1285">
        <f t="shared" si="32"/>
        <v>0</v>
      </c>
    </row>
    <row r="130" spans="1:120" s="809" customFormat="1">
      <c r="A130" s="1261"/>
      <c r="B130" s="1261"/>
      <c r="C130" s="1261"/>
      <c r="D130" s="1262"/>
      <c r="E130" s="1270"/>
      <c r="F130" s="1263"/>
      <c r="G130" s="1263"/>
      <c r="H130" s="1267"/>
      <c r="I130" s="1268"/>
      <c r="J130" s="1268"/>
      <c r="K130" s="1268"/>
      <c r="L130" s="1268"/>
      <c r="M130" s="1268"/>
      <c r="N130" s="1268"/>
      <c r="O130" s="1268"/>
      <c r="P130" s="1268"/>
      <c r="Q130" s="1268"/>
      <c r="R130" s="1268"/>
      <c r="S130" s="1269"/>
      <c r="T130" s="1267"/>
      <c r="U130" s="1268"/>
      <c r="V130" s="1268"/>
      <c r="W130" s="1268"/>
      <c r="X130" s="1268"/>
      <c r="Y130" s="1268"/>
      <c r="Z130" s="1268"/>
      <c r="AA130" s="1268"/>
      <c r="AB130" s="1268"/>
      <c r="AC130" s="1268"/>
      <c r="AD130" s="1268"/>
      <c r="AE130" s="1269"/>
      <c r="AF130" s="1267"/>
      <c r="AG130" s="1268"/>
      <c r="AH130" s="1268"/>
      <c r="AI130" s="1268"/>
      <c r="AJ130" s="1268"/>
      <c r="AK130" s="1268"/>
      <c r="AL130" s="1268"/>
      <c r="AM130" s="1268"/>
      <c r="AN130" s="1268"/>
      <c r="AO130" s="1268"/>
      <c r="AP130" s="1268"/>
      <c r="AQ130" s="1269"/>
      <c r="AR130" s="1267"/>
      <c r="AS130" s="1268"/>
      <c r="AT130" s="1268"/>
      <c r="AU130" s="1268"/>
      <c r="AV130" s="1268"/>
      <c r="AW130" s="1268"/>
      <c r="AX130" s="1268"/>
      <c r="AY130" s="1268"/>
      <c r="AZ130" s="1268"/>
      <c r="BA130" s="1268"/>
      <c r="BB130" s="1268"/>
      <c r="BC130" s="1269"/>
      <c r="BD130" s="1267"/>
      <c r="BE130" s="1268"/>
      <c r="BF130" s="1268"/>
      <c r="BG130" s="1268"/>
      <c r="BH130" s="1268"/>
      <c r="BI130" s="1268"/>
      <c r="BJ130" s="1268"/>
      <c r="BK130" s="1268"/>
      <c r="BL130" s="1268"/>
      <c r="BM130" s="1268"/>
      <c r="BN130" s="1268"/>
      <c r="BO130" s="1269"/>
      <c r="BP130" s="1267"/>
      <c r="BQ130" s="1268"/>
      <c r="BR130" s="1268"/>
      <c r="BS130" s="1268"/>
      <c r="BT130" s="1268"/>
      <c r="BU130" s="1268"/>
      <c r="BV130" s="1268"/>
      <c r="BW130" s="1268"/>
      <c r="BX130" s="1268"/>
      <c r="BY130" s="1268"/>
      <c r="BZ130" s="1268"/>
      <c r="CA130" s="1269"/>
      <c r="CB130" s="1286">
        <f t="shared" si="25"/>
        <v>0</v>
      </c>
      <c r="CC130" s="1277">
        <f>IF($F130=Miscellaneous!$N$8,SUM($H130:CA130),0)</f>
        <v>0</v>
      </c>
      <c r="CD130" s="1277">
        <f>IF($F130=Miscellaneous!$N$8,IF($G130="Opex",SUMIF('Monthly Summary'!$C$75:BV$75,"",$H130:CA130),SUMIF('Monthly Summary'!$C$74:BV$74,"",$H130:CA130)),0)</f>
        <v>0</v>
      </c>
      <c r="CE130" s="1286">
        <f t="shared" si="26"/>
        <v>0</v>
      </c>
      <c r="CF130" s="833"/>
      <c r="CG130" s="1277">
        <f>IF($F130=Miscellaneous!$N$9,SUM($H130:CA130),0)</f>
        <v>0</v>
      </c>
      <c r="CH130" s="1277">
        <f>IF($F130=Miscellaneous!$N$9,IF($G130="Opex",SUMIF('Monthly Summary'!$C$75:BV$75,"",$H130:CA130),SUMIF('Monthly Summary'!$C$74:BV$74,"",$H130:CA130)),0)</f>
        <v>0</v>
      </c>
      <c r="CI130" s="1286">
        <f t="shared" si="27"/>
        <v>0</v>
      </c>
      <c r="CJ130" s="833"/>
      <c r="CK130" s="1277">
        <f>IF($F130=Miscellaneous!$N$7,SUM($H130:CA130),0)</f>
        <v>0</v>
      </c>
      <c r="CL130" s="1277">
        <f>IF($F130=Miscellaneous!$N$7,IF($G130="Opex",SUMIF('Monthly Summary'!$C$75:BV$75,"",$H130:CA130),SUMIF('Monthly Summary'!$C$74:BV$74,"",$H130:CA130)),0)</f>
        <v>0</v>
      </c>
      <c r="CM130" s="1286">
        <f t="shared" si="28"/>
        <v>0</v>
      </c>
      <c r="CN130" s="833"/>
      <c r="CO130" s="1277">
        <f>IF($F130=Miscellaneous!$N$6,SUM($H130:CA130),0)</f>
        <v>0</v>
      </c>
      <c r="CP130" s="1277">
        <f>IF($F130=Miscellaneous!$N$6,IF($G130="Opex",SUMIF('Monthly Summary'!$C$75:BV$75,"",$H130:CA130),SUMIF('Monthly Summary'!$C$74:BV$74,"",$H130:CA130)),0)</f>
        <v>0</v>
      </c>
      <c r="CQ130" s="1286">
        <f t="shared" si="29"/>
        <v>0</v>
      </c>
      <c r="CR130" s="833"/>
      <c r="CS130" s="1277">
        <f>IF($A130="Software",SUM($H130:CA130),0)</f>
        <v>0</v>
      </c>
      <c r="CT130" s="1277">
        <f>IF($A130="Software",IF($G130="Opex",SUMIF('Monthly Summary'!$C$75:BV$75,"",$H130:CA130),SUMIF('Monthly Summary'!$C$74:BV$74,"",$H130:CA130)),0)</f>
        <v>0</v>
      </c>
      <c r="CU130" s="1286">
        <f t="shared" si="30"/>
        <v>0</v>
      </c>
      <c r="CV130" s="833"/>
      <c r="CW130" s="1277">
        <f t="shared" si="37"/>
        <v>0</v>
      </c>
      <c r="CX130" s="1277">
        <f t="shared" si="38"/>
        <v>0</v>
      </c>
      <c r="CY130" s="1286">
        <f t="shared" si="31"/>
        <v>0</v>
      </c>
      <c r="CZ130" s="833"/>
      <c r="DA130" s="1286">
        <f>IF($G130="Opex",SUMIF('Monthly Summary'!$C$75:BV$75,"",$H130:CA130),SUMIF('Monthly Summary'!$C$74:BV$74,"",$H130:CA130))</f>
        <v>0</v>
      </c>
      <c r="DB130" s="1278">
        <f t="shared" si="39"/>
        <v>0</v>
      </c>
      <c r="DC130" s="1279">
        <f>IF(AND(OR($D130=Variables!A$38,$D130=Variables!A$43),$F130&lt;&gt;"N/A"),1,0)</f>
        <v>0</v>
      </c>
      <c r="DD130" s="820"/>
      <c r="DE130" s="1281" t="str">
        <f t="shared" si="33"/>
        <v/>
      </c>
      <c r="DF130" s="1282" t="str">
        <f t="shared" si="34"/>
        <v/>
      </c>
      <c r="DG130" s="1282" t="str">
        <f t="shared" si="35"/>
        <v/>
      </c>
      <c r="DH130" s="1282" t="str">
        <f>IF(ISNA(VLOOKUP(DE130,Miscellaneous!E:F,2,0)),"",VLOOKUP(DE130,Miscellaneous!E:F,2,0))</f>
        <v/>
      </c>
      <c r="DI130" s="1282" t="str">
        <f t="shared" si="36"/>
        <v/>
      </c>
      <c r="DJ130" s="1283">
        <f>IF($DI130="Opex",SUMIF('Monthly Summary'!$C$75:$N$75,"",H130:S130),SUMIF('Monthly Summary'!$C$74:$N$74,"",H130:S130))</f>
        <v>0</v>
      </c>
      <c r="DK130" s="1283">
        <f>IF($DI130="Opex",SUMIF('Monthly Summary'!$O$75:$Z$75,"",T130:AE130),SUMIF('Monthly Summary'!$O$74:$Z$74,"",T130:AE130))</f>
        <v>0</v>
      </c>
      <c r="DL130" s="1283">
        <f>IF($DI130="Opex",SUMIF('Monthly Summary'!$AA$75:$AL$75,"",AF130:AQ130),SUMIF('Monthly Summary'!$AA$74:$AL$74,"",AF130:AQ130))</f>
        <v>0</v>
      </c>
      <c r="DM130" s="1283">
        <f>IF($DI130="Opex",SUMIF('Monthly Summary'!$AM$75:$AX$75,"",AR130:BC130),SUMIF('Monthly Summary'!$AM$74:$AX$74,"",AR130:BC130))</f>
        <v>0</v>
      </c>
      <c r="DN130" s="1283">
        <f>IF($DI130="Opex",SUMIF('Monthly Summary'!$AY$75:$BJ$75,"",BD130:BO130),SUMIF('Monthly Summary'!$AY$74:$BJ$74,"",BD130:BO130))</f>
        <v>0</v>
      </c>
      <c r="DO130" s="1284">
        <f>IF($DI130="Opex",SUMIF('Monthly Summary'!$BK$75:$BV$75,"",BP130:CA130),SUMIF('Monthly Summary'!$BK$74:$BV$74,"",BP130:CA130))</f>
        <v>0</v>
      </c>
      <c r="DP130" s="1285">
        <f t="shared" si="32"/>
        <v>0</v>
      </c>
    </row>
    <row r="131" spans="1:120" s="809" customFormat="1">
      <c r="A131" s="1261"/>
      <c r="B131" s="1261"/>
      <c r="C131" s="1261"/>
      <c r="D131" s="1262"/>
      <c r="E131" s="1270"/>
      <c r="F131" s="1263"/>
      <c r="G131" s="1263"/>
      <c r="H131" s="1267"/>
      <c r="I131" s="1268"/>
      <c r="J131" s="1268"/>
      <c r="K131" s="1268"/>
      <c r="L131" s="1268"/>
      <c r="M131" s="1268"/>
      <c r="N131" s="1268"/>
      <c r="O131" s="1268"/>
      <c r="P131" s="1268"/>
      <c r="Q131" s="1268"/>
      <c r="R131" s="1268"/>
      <c r="S131" s="1269"/>
      <c r="T131" s="1267"/>
      <c r="U131" s="1268"/>
      <c r="V131" s="1268"/>
      <c r="W131" s="1268"/>
      <c r="X131" s="1268"/>
      <c r="Y131" s="1268"/>
      <c r="Z131" s="1268"/>
      <c r="AA131" s="1268"/>
      <c r="AB131" s="1268"/>
      <c r="AC131" s="1268"/>
      <c r="AD131" s="1268"/>
      <c r="AE131" s="1269"/>
      <c r="AF131" s="1267"/>
      <c r="AG131" s="1268"/>
      <c r="AH131" s="1268"/>
      <c r="AI131" s="1268"/>
      <c r="AJ131" s="1268"/>
      <c r="AK131" s="1268"/>
      <c r="AL131" s="1268"/>
      <c r="AM131" s="1268"/>
      <c r="AN131" s="1268"/>
      <c r="AO131" s="1268"/>
      <c r="AP131" s="1268"/>
      <c r="AQ131" s="1269"/>
      <c r="AR131" s="1267"/>
      <c r="AS131" s="1268"/>
      <c r="AT131" s="1268"/>
      <c r="AU131" s="1268"/>
      <c r="AV131" s="1268"/>
      <c r="AW131" s="1268"/>
      <c r="AX131" s="1268"/>
      <c r="AY131" s="1268"/>
      <c r="AZ131" s="1268"/>
      <c r="BA131" s="1268"/>
      <c r="BB131" s="1268"/>
      <c r="BC131" s="1269"/>
      <c r="BD131" s="1267"/>
      <c r="BE131" s="1268"/>
      <c r="BF131" s="1268"/>
      <c r="BG131" s="1268"/>
      <c r="BH131" s="1268"/>
      <c r="BI131" s="1268"/>
      <c r="BJ131" s="1268"/>
      <c r="BK131" s="1268"/>
      <c r="BL131" s="1268"/>
      <c r="BM131" s="1268"/>
      <c r="BN131" s="1268"/>
      <c r="BO131" s="1269"/>
      <c r="BP131" s="1267"/>
      <c r="BQ131" s="1268"/>
      <c r="BR131" s="1268"/>
      <c r="BS131" s="1268"/>
      <c r="BT131" s="1268"/>
      <c r="BU131" s="1268"/>
      <c r="BV131" s="1268"/>
      <c r="BW131" s="1268"/>
      <c r="BX131" s="1268"/>
      <c r="BY131" s="1268"/>
      <c r="BZ131" s="1268"/>
      <c r="CA131" s="1269"/>
      <c r="CB131" s="1286">
        <f t="shared" si="25"/>
        <v>0</v>
      </c>
      <c r="CC131" s="1277">
        <f>IF($F131=Miscellaneous!$N$8,SUM($H131:CA131),0)</f>
        <v>0</v>
      </c>
      <c r="CD131" s="1277">
        <f>IF($F131=Miscellaneous!$N$8,IF($G131="Opex",SUMIF('Monthly Summary'!$C$75:BV$75,"",$H131:CA131),SUMIF('Monthly Summary'!$C$74:BV$74,"",$H131:CA131)),0)</f>
        <v>0</v>
      </c>
      <c r="CE131" s="1286">
        <f t="shared" si="26"/>
        <v>0</v>
      </c>
      <c r="CF131" s="833"/>
      <c r="CG131" s="1277">
        <f>IF($F131=Miscellaneous!$N$9,SUM($H131:CA131),0)</f>
        <v>0</v>
      </c>
      <c r="CH131" s="1277">
        <f>IF($F131=Miscellaneous!$N$9,IF($G131="Opex",SUMIF('Monthly Summary'!$C$75:BV$75,"",$H131:CA131),SUMIF('Monthly Summary'!$C$74:BV$74,"",$H131:CA131)),0)</f>
        <v>0</v>
      </c>
      <c r="CI131" s="1286">
        <f t="shared" si="27"/>
        <v>0</v>
      </c>
      <c r="CJ131" s="833"/>
      <c r="CK131" s="1277">
        <f>IF($F131=Miscellaneous!$N$7,SUM($H131:CA131),0)</f>
        <v>0</v>
      </c>
      <c r="CL131" s="1277">
        <f>IF($F131=Miscellaneous!$N$7,IF($G131="Opex",SUMIF('Monthly Summary'!$C$75:BV$75,"",$H131:CA131),SUMIF('Monthly Summary'!$C$74:BV$74,"",$H131:CA131)),0)</f>
        <v>0</v>
      </c>
      <c r="CM131" s="1286">
        <f t="shared" si="28"/>
        <v>0</v>
      </c>
      <c r="CN131" s="833"/>
      <c r="CO131" s="1277">
        <f>IF($F131=Miscellaneous!$N$6,SUM($H131:CA131),0)</f>
        <v>0</v>
      </c>
      <c r="CP131" s="1277">
        <f>IF($F131=Miscellaneous!$N$6,IF($G131="Opex",SUMIF('Monthly Summary'!$C$75:BV$75,"",$H131:CA131),SUMIF('Monthly Summary'!$C$74:BV$74,"",$H131:CA131)),0)</f>
        <v>0</v>
      </c>
      <c r="CQ131" s="1286">
        <f t="shared" si="29"/>
        <v>0</v>
      </c>
      <c r="CR131" s="833"/>
      <c r="CS131" s="1277">
        <f>IF($A131="Software",SUM($H131:CA131),0)</f>
        <v>0</v>
      </c>
      <c r="CT131" s="1277">
        <f>IF($A131="Software",IF($G131="Opex",SUMIF('Monthly Summary'!$C$75:BV$75,"",$H131:CA131),SUMIF('Monthly Summary'!$C$74:BV$74,"",$H131:CA131)),0)</f>
        <v>0</v>
      </c>
      <c r="CU131" s="1286">
        <f t="shared" si="30"/>
        <v>0</v>
      </c>
      <c r="CV131" s="833"/>
      <c r="CW131" s="1277">
        <f t="shared" si="37"/>
        <v>0</v>
      </c>
      <c r="CX131" s="1277">
        <f t="shared" si="38"/>
        <v>0</v>
      </c>
      <c r="CY131" s="1286">
        <f t="shared" si="31"/>
        <v>0</v>
      </c>
      <c r="CZ131" s="833"/>
      <c r="DA131" s="1286">
        <f>IF($G131="Opex",SUMIF('Monthly Summary'!$C$75:BV$75,"",$H131:CA131),SUMIF('Monthly Summary'!$C$74:BV$74,"",$H131:CA131))</f>
        <v>0</v>
      </c>
      <c r="DB131" s="1278">
        <f t="shared" si="39"/>
        <v>0</v>
      </c>
      <c r="DC131" s="1279">
        <f>IF(AND(OR($D131=Variables!A$38,$D131=Variables!A$43),$F131&lt;&gt;"N/A"),1,0)</f>
        <v>0</v>
      </c>
      <c r="DD131" s="820"/>
      <c r="DE131" s="1281" t="str">
        <f t="shared" si="33"/>
        <v/>
      </c>
      <c r="DF131" s="1282" t="str">
        <f t="shared" si="34"/>
        <v/>
      </c>
      <c r="DG131" s="1282" t="str">
        <f t="shared" si="35"/>
        <v/>
      </c>
      <c r="DH131" s="1282" t="str">
        <f>IF(ISNA(VLOOKUP(DE131,Miscellaneous!E:F,2,0)),"",VLOOKUP(DE131,Miscellaneous!E:F,2,0))</f>
        <v/>
      </c>
      <c r="DI131" s="1282" t="str">
        <f t="shared" si="36"/>
        <v/>
      </c>
      <c r="DJ131" s="1283">
        <f>IF($DI131="Opex",SUMIF('Monthly Summary'!$C$75:$N$75,"",H131:S131),SUMIF('Monthly Summary'!$C$74:$N$74,"",H131:S131))</f>
        <v>0</v>
      </c>
      <c r="DK131" s="1283">
        <f>IF($DI131="Opex",SUMIF('Monthly Summary'!$O$75:$Z$75,"",T131:AE131),SUMIF('Monthly Summary'!$O$74:$Z$74,"",T131:AE131))</f>
        <v>0</v>
      </c>
      <c r="DL131" s="1283">
        <f>IF($DI131="Opex",SUMIF('Monthly Summary'!$AA$75:$AL$75,"",AF131:AQ131),SUMIF('Monthly Summary'!$AA$74:$AL$74,"",AF131:AQ131))</f>
        <v>0</v>
      </c>
      <c r="DM131" s="1283">
        <f>IF($DI131="Opex",SUMIF('Monthly Summary'!$AM$75:$AX$75,"",AR131:BC131),SUMIF('Monthly Summary'!$AM$74:$AX$74,"",AR131:BC131))</f>
        <v>0</v>
      </c>
      <c r="DN131" s="1283">
        <f>IF($DI131="Opex",SUMIF('Monthly Summary'!$AY$75:$BJ$75,"",BD131:BO131),SUMIF('Monthly Summary'!$AY$74:$BJ$74,"",BD131:BO131))</f>
        <v>0</v>
      </c>
      <c r="DO131" s="1284">
        <f>IF($DI131="Opex",SUMIF('Monthly Summary'!$BK$75:$BV$75,"",BP131:CA131),SUMIF('Monthly Summary'!$BK$74:$BV$74,"",BP131:CA131))</f>
        <v>0</v>
      </c>
      <c r="DP131" s="1285">
        <f t="shared" si="32"/>
        <v>0</v>
      </c>
    </row>
    <row r="132" spans="1:120" s="809" customFormat="1">
      <c r="A132" s="1261"/>
      <c r="B132" s="1261"/>
      <c r="C132" s="1261"/>
      <c r="D132" s="1262"/>
      <c r="E132" s="1270"/>
      <c r="F132" s="1263"/>
      <c r="G132" s="1263"/>
      <c r="H132" s="1267"/>
      <c r="I132" s="1268"/>
      <c r="J132" s="1268"/>
      <c r="K132" s="1268"/>
      <c r="L132" s="1268"/>
      <c r="M132" s="1268"/>
      <c r="N132" s="1268"/>
      <c r="O132" s="1268"/>
      <c r="P132" s="1268"/>
      <c r="Q132" s="1268"/>
      <c r="R132" s="1268"/>
      <c r="S132" s="1269"/>
      <c r="T132" s="1267"/>
      <c r="U132" s="1268"/>
      <c r="V132" s="1268"/>
      <c r="W132" s="1268"/>
      <c r="X132" s="1268"/>
      <c r="Y132" s="1268"/>
      <c r="Z132" s="1268"/>
      <c r="AA132" s="1268"/>
      <c r="AB132" s="1268"/>
      <c r="AC132" s="1268"/>
      <c r="AD132" s="1268"/>
      <c r="AE132" s="1269"/>
      <c r="AF132" s="1267"/>
      <c r="AG132" s="1268"/>
      <c r="AH132" s="1268"/>
      <c r="AI132" s="1268"/>
      <c r="AJ132" s="1268"/>
      <c r="AK132" s="1268"/>
      <c r="AL132" s="1268"/>
      <c r="AM132" s="1268"/>
      <c r="AN132" s="1268"/>
      <c r="AO132" s="1268"/>
      <c r="AP132" s="1268"/>
      <c r="AQ132" s="1269"/>
      <c r="AR132" s="1267"/>
      <c r="AS132" s="1268"/>
      <c r="AT132" s="1268"/>
      <c r="AU132" s="1268"/>
      <c r="AV132" s="1268"/>
      <c r="AW132" s="1268"/>
      <c r="AX132" s="1268"/>
      <c r="AY132" s="1268"/>
      <c r="AZ132" s="1268"/>
      <c r="BA132" s="1268"/>
      <c r="BB132" s="1268"/>
      <c r="BC132" s="1269"/>
      <c r="BD132" s="1267"/>
      <c r="BE132" s="1268"/>
      <c r="BF132" s="1268"/>
      <c r="BG132" s="1268"/>
      <c r="BH132" s="1268"/>
      <c r="BI132" s="1268"/>
      <c r="BJ132" s="1268"/>
      <c r="BK132" s="1268"/>
      <c r="BL132" s="1268"/>
      <c r="BM132" s="1268"/>
      <c r="BN132" s="1268"/>
      <c r="BO132" s="1269"/>
      <c r="BP132" s="1267"/>
      <c r="BQ132" s="1268"/>
      <c r="BR132" s="1268"/>
      <c r="BS132" s="1268"/>
      <c r="BT132" s="1268"/>
      <c r="BU132" s="1268"/>
      <c r="BV132" s="1268"/>
      <c r="BW132" s="1268"/>
      <c r="BX132" s="1268"/>
      <c r="BY132" s="1268"/>
      <c r="BZ132" s="1268"/>
      <c r="CA132" s="1269"/>
      <c r="CB132" s="1286">
        <f t="shared" si="25"/>
        <v>0</v>
      </c>
      <c r="CC132" s="1277">
        <f>IF($F132=Miscellaneous!$N$8,SUM($H132:CA132),0)</f>
        <v>0</v>
      </c>
      <c r="CD132" s="1277">
        <f>IF($F132=Miscellaneous!$N$8,IF($G132="Opex",SUMIF('Monthly Summary'!$C$75:BV$75,"",$H132:CA132),SUMIF('Monthly Summary'!$C$74:BV$74,"",$H132:CA132)),0)</f>
        <v>0</v>
      </c>
      <c r="CE132" s="1286">
        <f t="shared" si="26"/>
        <v>0</v>
      </c>
      <c r="CF132" s="833"/>
      <c r="CG132" s="1277">
        <f>IF($F132=Miscellaneous!$N$9,SUM($H132:CA132),0)</f>
        <v>0</v>
      </c>
      <c r="CH132" s="1277">
        <f>IF($F132=Miscellaneous!$N$9,IF($G132="Opex",SUMIF('Monthly Summary'!$C$75:BV$75,"",$H132:CA132),SUMIF('Monthly Summary'!$C$74:BV$74,"",$H132:CA132)),0)</f>
        <v>0</v>
      </c>
      <c r="CI132" s="1286">
        <f t="shared" si="27"/>
        <v>0</v>
      </c>
      <c r="CJ132" s="833"/>
      <c r="CK132" s="1277">
        <f>IF($F132=Miscellaneous!$N$7,SUM($H132:CA132),0)</f>
        <v>0</v>
      </c>
      <c r="CL132" s="1277">
        <f>IF($F132=Miscellaneous!$N$7,IF($G132="Opex",SUMIF('Monthly Summary'!$C$75:BV$75,"",$H132:CA132),SUMIF('Monthly Summary'!$C$74:BV$74,"",$H132:CA132)),0)</f>
        <v>0</v>
      </c>
      <c r="CM132" s="1286">
        <f t="shared" si="28"/>
        <v>0</v>
      </c>
      <c r="CN132" s="833"/>
      <c r="CO132" s="1277">
        <f>IF($F132=Miscellaneous!$N$6,SUM($H132:CA132),0)</f>
        <v>0</v>
      </c>
      <c r="CP132" s="1277">
        <f>IF($F132=Miscellaneous!$N$6,IF($G132="Opex",SUMIF('Monthly Summary'!$C$75:BV$75,"",$H132:CA132),SUMIF('Monthly Summary'!$C$74:BV$74,"",$H132:CA132)),0)</f>
        <v>0</v>
      </c>
      <c r="CQ132" s="1286">
        <f t="shared" si="29"/>
        <v>0</v>
      </c>
      <c r="CR132" s="833"/>
      <c r="CS132" s="1277">
        <f>IF($A132="Software",SUM($H132:CA132),0)</f>
        <v>0</v>
      </c>
      <c r="CT132" s="1277">
        <f>IF($A132="Software",IF($G132="Opex",SUMIF('Monthly Summary'!$C$75:BV$75,"",$H132:CA132),SUMIF('Monthly Summary'!$C$74:BV$74,"",$H132:CA132)),0)</f>
        <v>0</v>
      </c>
      <c r="CU132" s="1286">
        <f t="shared" si="30"/>
        <v>0</v>
      </c>
      <c r="CV132" s="833"/>
      <c r="CW132" s="1277">
        <f t="shared" si="37"/>
        <v>0</v>
      </c>
      <c r="CX132" s="1277">
        <f t="shared" si="38"/>
        <v>0</v>
      </c>
      <c r="CY132" s="1286">
        <f t="shared" si="31"/>
        <v>0</v>
      </c>
      <c r="CZ132" s="833"/>
      <c r="DA132" s="1286">
        <f>IF($G132="Opex",SUMIF('Monthly Summary'!$C$75:BV$75,"",$H132:CA132),SUMIF('Monthly Summary'!$C$74:BV$74,"",$H132:CA132))</f>
        <v>0</v>
      </c>
      <c r="DB132" s="1278">
        <f t="shared" si="39"/>
        <v>0</v>
      </c>
      <c r="DC132" s="1279">
        <f>IF(AND(OR($D132=Variables!A$38,$D132=Variables!A$43),$F132&lt;&gt;"N/A"),1,0)</f>
        <v>0</v>
      </c>
      <c r="DD132" s="820"/>
      <c r="DE132" s="1281" t="str">
        <f t="shared" si="33"/>
        <v/>
      </c>
      <c r="DF132" s="1282" t="str">
        <f t="shared" si="34"/>
        <v/>
      </c>
      <c r="DG132" s="1282" t="str">
        <f t="shared" si="35"/>
        <v/>
      </c>
      <c r="DH132" s="1282" t="str">
        <f>IF(ISNA(VLOOKUP(DE132,Miscellaneous!E:F,2,0)),"",VLOOKUP(DE132,Miscellaneous!E:F,2,0))</f>
        <v/>
      </c>
      <c r="DI132" s="1282" t="str">
        <f t="shared" si="36"/>
        <v/>
      </c>
      <c r="DJ132" s="1283">
        <f>IF($DI132="Opex",SUMIF('Monthly Summary'!$C$75:$N$75,"",H132:S132),SUMIF('Monthly Summary'!$C$74:$N$74,"",H132:S132))</f>
        <v>0</v>
      </c>
      <c r="DK132" s="1283">
        <f>IF($DI132="Opex",SUMIF('Monthly Summary'!$O$75:$Z$75,"",T132:AE132),SUMIF('Monthly Summary'!$O$74:$Z$74,"",T132:AE132))</f>
        <v>0</v>
      </c>
      <c r="DL132" s="1283">
        <f>IF($DI132="Opex",SUMIF('Monthly Summary'!$AA$75:$AL$75,"",AF132:AQ132),SUMIF('Monthly Summary'!$AA$74:$AL$74,"",AF132:AQ132))</f>
        <v>0</v>
      </c>
      <c r="DM132" s="1283">
        <f>IF($DI132="Opex",SUMIF('Monthly Summary'!$AM$75:$AX$75,"",AR132:BC132),SUMIF('Monthly Summary'!$AM$74:$AX$74,"",AR132:BC132))</f>
        <v>0</v>
      </c>
      <c r="DN132" s="1283">
        <f>IF($DI132="Opex",SUMIF('Monthly Summary'!$AY$75:$BJ$75,"",BD132:BO132),SUMIF('Monthly Summary'!$AY$74:$BJ$74,"",BD132:BO132))</f>
        <v>0</v>
      </c>
      <c r="DO132" s="1284">
        <f>IF($DI132="Opex",SUMIF('Monthly Summary'!$BK$75:$BV$75,"",BP132:CA132),SUMIF('Monthly Summary'!$BK$74:$BV$74,"",BP132:CA132))</f>
        <v>0</v>
      </c>
      <c r="DP132" s="1285">
        <f t="shared" si="32"/>
        <v>0</v>
      </c>
    </row>
    <row r="133" spans="1:120" s="809" customFormat="1">
      <c r="A133" s="1261"/>
      <c r="B133" s="1261"/>
      <c r="C133" s="1261"/>
      <c r="D133" s="1262"/>
      <c r="E133" s="1270"/>
      <c r="F133" s="1263"/>
      <c r="G133" s="1263"/>
      <c r="H133" s="1267"/>
      <c r="I133" s="1268"/>
      <c r="J133" s="1268"/>
      <c r="K133" s="1268"/>
      <c r="L133" s="1268"/>
      <c r="M133" s="1268"/>
      <c r="N133" s="1268"/>
      <c r="O133" s="1268"/>
      <c r="P133" s="1268"/>
      <c r="Q133" s="1268"/>
      <c r="R133" s="1268"/>
      <c r="S133" s="1269"/>
      <c r="T133" s="1267"/>
      <c r="U133" s="1268"/>
      <c r="V133" s="1268"/>
      <c r="W133" s="1268"/>
      <c r="X133" s="1268"/>
      <c r="Y133" s="1268"/>
      <c r="Z133" s="1268"/>
      <c r="AA133" s="1268"/>
      <c r="AB133" s="1268"/>
      <c r="AC133" s="1268"/>
      <c r="AD133" s="1268"/>
      <c r="AE133" s="1269"/>
      <c r="AF133" s="1267"/>
      <c r="AG133" s="1268"/>
      <c r="AH133" s="1268"/>
      <c r="AI133" s="1268"/>
      <c r="AJ133" s="1268"/>
      <c r="AK133" s="1268"/>
      <c r="AL133" s="1268"/>
      <c r="AM133" s="1268"/>
      <c r="AN133" s="1268"/>
      <c r="AO133" s="1268"/>
      <c r="AP133" s="1268"/>
      <c r="AQ133" s="1269"/>
      <c r="AR133" s="1267"/>
      <c r="AS133" s="1268"/>
      <c r="AT133" s="1268"/>
      <c r="AU133" s="1268"/>
      <c r="AV133" s="1268"/>
      <c r="AW133" s="1268"/>
      <c r="AX133" s="1268"/>
      <c r="AY133" s="1268"/>
      <c r="AZ133" s="1268"/>
      <c r="BA133" s="1268"/>
      <c r="BB133" s="1268"/>
      <c r="BC133" s="1269"/>
      <c r="BD133" s="1267"/>
      <c r="BE133" s="1268"/>
      <c r="BF133" s="1268"/>
      <c r="BG133" s="1268"/>
      <c r="BH133" s="1268"/>
      <c r="BI133" s="1268"/>
      <c r="BJ133" s="1268"/>
      <c r="BK133" s="1268"/>
      <c r="BL133" s="1268"/>
      <c r="BM133" s="1268"/>
      <c r="BN133" s="1268"/>
      <c r="BO133" s="1269"/>
      <c r="BP133" s="1267"/>
      <c r="BQ133" s="1268"/>
      <c r="BR133" s="1268"/>
      <c r="BS133" s="1268"/>
      <c r="BT133" s="1268"/>
      <c r="BU133" s="1268"/>
      <c r="BV133" s="1268"/>
      <c r="BW133" s="1268"/>
      <c r="BX133" s="1268"/>
      <c r="BY133" s="1268"/>
      <c r="BZ133" s="1268"/>
      <c r="CA133" s="1269"/>
      <c r="CB133" s="1286">
        <f t="shared" si="25"/>
        <v>0</v>
      </c>
      <c r="CC133" s="1277">
        <f>IF($F133=Miscellaneous!$N$8,SUM($H133:CA133),0)</f>
        <v>0</v>
      </c>
      <c r="CD133" s="1277">
        <f>IF($F133=Miscellaneous!$N$8,IF($G133="Opex",SUMIF('Monthly Summary'!$C$75:BV$75,"",$H133:CA133),SUMIF('Monthly Summary'!$C$74:BV$74,"",$H133:CA133)),0)</f>
        <v>0</v>
      </c>
      <c r="CE133" s="1286">
        <f t="shared" si="26"/>
        <v>0</v>
      </c>
      <c r="CF133" s="833"/>
      <c r="CG133" s="1277">
        <f>IF($F133=Miscellaneous!$N$9,SUM($H133:CA133),0)</f>
        <v>0</v>
      </c>
      <c r="CH133" s="1277">
        <f>IF($F133=Miscellaneous!$N$9,IF($G133="Opex",SUMIF('Monthly Summary'!$C$75:BV$75,"",$H133:CA133),SUMIF('Monthly Summary'!$C$74:BV$74,"",$H133:CA133)),0)</f>
        <v>0</v>
      </c>
      <c r="CI133" s="1286">
        <f t="shared" si="27"/>
        <v>0</v>
      </c>
      <c r="CJ133" s="833"/>
      <c r="CK133" s="1277">
        <f>IF($F133=Miscellaneous!$N$7,SUM($H133:CA133),0)</f>
        <v>0</v>
      </c>
      <c r="CL133" s="1277">
        <f>IF($F133=Miscellaneous!$N$7,IF($G133="Opex",SUMIF('Monthly Summary'!$C$75:BV$75,"",$H133:CA133),SUMIF('Monthly Summary'!$C$74:BV$74,"",$H133:CA133)),0)</f>
        <v>0</v>
      </c>
      <c r="CM133" s="1286">
        <f t="shared" si="28"/>
        <v>0</v>
      </c>
      <c r="CN133" s="833"/>
      <c r="CO133" s="1277">
        <f>IF($F133=Miscellaneous!$N$6,SUM($H133:CA133),0)</f>
        <v>0</v>
      </c>
      <c r="CP133" s="1277">
        <f>IF($F133=Miscellaneous!$N$6,IF($G133="Opex",SUMIF('Monthly Summary'!$C$75:BV$75,"",$H133:CA133),SUMIF('Monthly Summary'!$C$74:BV$74,"",$H133:CA133)),0)</f>
        <v>0</v>
      </c>
      <c r="CQ133" s="1286">
        <f t="shared" si="29"/>
        <v>0</v>
      </c>
      <c r="CR133" s="833"/>
      <c r="CS133" s="1277">
        <f>IF($A133="Software",SUM($H133:CA133),0)</f>
        <v>0</v>
      </c>
      <c r="CT133" s="1277">
        <f>IF($A133="Software",IF($G133="Opex",SUMIF('Monthly Summary'!$C$75:BV$75,"",$H133:CA133),SUMIF('Monthly Summary'!$C$74:BV$74,"",$H133:CA133)),0)</f>
        <v>0</v>
      </c>
      <c r="CU133" s="1286">
        <f t="shared" si="30"/>
        <v>0</v>
      </c>
      <c r="CV133" s="833"/>
      <c r="CW133" s="1277">
        <f t="shared" ref="CW133:CW167" si="40">CB133-CC133-CG133-CK133-CO133-CS133</f>
        <v>0</v>
      </c>
      <c r="CX133" s="1277">
        <f t="shared" ref="CX133:CX167" si="41">DA133-CD133-CH133-CL133-CP133-CT133</f>
        <v>0</v>
      </c>
      <c r="CY133" s="1286">
        <f t="shared" si="31"/>
        <v>0</v>
      </c>
      <c r="CZ133" s="833"/>
      <c r="DA133" s="1286">
        <f>IF($G133="Opex",SUMIF('Monthly Summary'!$C$75:BV$75,"",$H133:CA133),SUMIF('Monthly Summary'!$C$74:BV$74,"",$H133:CA133))</f>
        <v>0</v>
      </c>
      <c r="DB133" s="1278">
        <f t="shared" ref="DB133:DB167" si="42">IF(AND(IF(ISNA(VLOOKUP($C133,Opex_Rules,1,0)),FALSE,TRUE),$G133="Capex"),1,0)</f>
        <v>0</v>
      </c>
      <c r="DC133" s="1279">
        <f>IF(AND(OR($D133=Variables!A$38,$D133=Variables!A$43),$F133&lt;&gt;"N/A"),1,0)</f>
        <v>0</v>
      </c>
      <c r="DD133" s="820"/>
      <c r="DE133" s="1281" t="str">
        <f t="shared" si="33"/>
        <v/>
      </c>
      <c r="DF133" s="1282" t="str">
        <f t="shared" si="34"/>
        <v/>
      </c>
      <c r="DG133" s="1282" t="str">
        <f t="shared" si="35"/>
        <v/>
      </c>
      <c r="DH133" s="1282" t="str">
        <f>IF(ISNA(VLOOKUP(DE133,Miscellaneous!E:F,2,0)),"",VLOOKUP(DE133,Miscellaneous!E:F,2,0))</f>
        <v/>
      </c>
      <c r="DI133" s="1282" t="str">
        <f t="shared" si="36"/>
        <v/>
      </c>
      <c r="DJ133" s="1283">
        <f>IF($DI133="Opex",SUMIF('Monthly Summary'!$C$75:$N$75,"",H133:S133),SUMIF('Monthly Summary'!$C$74:$N$74,"",H133:S133))</f>
        <v>0</v>
      </c>
      <c r="DK133" s="1283">
        <f>IF($DI133="Opex",SUMIF('Monthly Summary'!$O$75:$Z$75,"",T133:AE133),SUMIF('Monthly Summary'!$O$74:$Z$74,"",T133:AE133))</f>
        <v>0</v>
      </c>
      <c r="DL133" s="1283">
        <f>IF($DI133="Opex",SUMIF('Monthly Summary'!$AA$75:$AL$75,"",AF133:AQ133),SUMIF('Monthly Summary'!$AA$74:$AL$74,"",AF133:AQ133))</f>
        <v>0</v>
      </c>
      <c r="DM133" s="1283">
        <f>IF($DI133="Opex",SUMIF('Monthly Summary'!$AM$75:$AX$75,"",AR133:BC133),SUMIF('Monthly Summary'!$AM$74:$AX$74,"",AR133:BC133))</f>
        <v>0</v>
      </c>
      <c r="DN133" s="1283">
        <f>IF($DI133="Opex",SUMIF('Monthly Summary'!$AY$75:$BJ$75,"",BD133:BO133),SUMIF('Monthly Summary'!$AY$74:$BJ$74,"",BD133:BO133))</f>
        <v>0</v>
      </c>
      <c r="DO133" s="1284">
        <f>IF($DI133="Opex",SUMIF('Monthly Summary'!$BK$75:$BV$75,"",BP133:CA133),SUMIF('Monthly Summary'!$BK$74:$BV$74,"",BP133:CA133))</f>
        <v>0</v>
      </c>
      <c r="DP133" s="1285">
        <f t="shared" si="32"/>
        <v>0</v>
      </c>
    </row>
    <row r="134" spans="1:120" s="809" customFormat="1">
      <c r="A134" s="1261"/>
      <c r="B134" s="1261"/>
      <c r="C134" s="1261"/>
      <c r="D134" s="1262"/>
      <c r="E134" s="1270"/>
      <c r="F134" s="1263"/>
      <c r="G134" s="1263"/>
      <c r="H134" s="1267"/>
      <c r="I134" s="1268"/>
      <c r="J134" s="1268"/>
      <c r="K134" s="1268"/>
      <c r="L134" s="1268"/>
      <c r="M134" s="1268"/>
      <c r="N134" s="1268"/>
      <c r="O134" s="1268"/>
      <c r="P134" s="1268"/>
      <c r="Q134" s="1268"/>
      <c r="R134" s="1268"/>
      <c r="S134" s="1269"/>
      <c r="T134" s="1267"/>
      <c r="U134" s="1268"/>
      <c r="V134" s="1268"/>
      <c r="W134" s="1268"/>
      <c r="X134" s="1268"/>
      <c r="Y134" s="1268"/>
      <c r="Z134" s="1268"/>
      <c r="AA134" s="1268"/>
      <c r="AB134" s="1268"/>
      <c r="AC134" s="1268"/>
      <c r="AD134" s="1268"/>
      <c r="AE134" s="1269"/>
      <c r="AF134" s="1267"/>
      <c r="AG134" s="1268"/>
      <c r="AH134" s="1268"/>
      <c r="AI134" s="1268"/>
      <c r="AJ134" s="1268"/>
      <c r="AK134" s="1268"/>
      <c r="AL134" s="1268"/>
      <c r="AM134" s="1268"/>
      <c r="AN134" s="1268"/>
      <c r="AO134" s="1268"/>
      <c r="AP134" s="1268"/>
      <c r="AQ134" s="1269"/>
      <c r="AR134" s="1267"/>
      <c r="AS134" s="1268"/>
      <c r="AT134" s="1268"/>
      <c r="AU134" s="1268"/>
      <c r="AV134" s="1268"/>
      <c r="AW134" s="1268"/>
      <c r="AX134" s="1268"/>
      <c r="AY134" s="1268"/>
      <c r="AZ134" s="1268"/>
      <c r="BA134" s="1268"/>
      <c r="BB134" s="1268"/>
      <c r="BC134" s="1269"/>
      <c r="BD134" s="1267"/>
      <c r="BE134" s="1268"/>
      <c r="BF134" s="1268"/>
      <c r="BG134" s="1268"/>
      <c r="BH134" s="1268"/>
      <c r="BI134" s="1268"/>
      <c r="BJ134" s="1268"/>
      <c r="BK134" s="1268"/>
      <c r="BL134" s="1268"/>
      <c r="BM134" s="1268"/>
      <c r="BN134" s="1268"/>
      <c r="BO134" s="1269"/>
      <c r="BP134" s="1267"/>
      <c r="BQ134" s="1268"/>
      <c r="BR134" s="1268"/>
      <c r="BS134" s="1268"/>
      <c r="BT134" s="1268"/>
      <c r="BU134" s="1268"/>
      <c r="BV134" s="1268"/>
      <c r="BW134" s="1268"/>
      <c r="BX134" s="1268"/>
      <c r="BY134" s="1268"/>
      <c r="BZ134" s="1268"/>
      <c r="CA134" s="1269"/>
      <c r="CB134" s="1286">
        <f t="shared" ref="CB134:CB167" si="43">SUM(H134:CA134)</f>
        <v>0</v>
      </c>
      <c r="CC134" s="1277">
        <f>IF($F134=Miscellaneous!$N$8,SUM($H134:CA134),0)</f>
        <v>0</v>
      </c>
      <c r="CD134" s="1277">
        <f>IF($F134=Miscellaneous!$N$8,IF($G134="Opex",SUMIF('Monthly Summary'!$C$75:BV$75,"",$H134:CA134),SUMIF('Monthly Summary'!$C$74:BV$74,"",$H134:CA134)),0)</f>
        <v>0</v>
      </c>
      <c r="CE134" s="1286">
        <f t="shared" ref="CE134:CE167" si="44">CC134-CD134</f>
        <v>0</v>
      </c>
      <c r="CF134" s="833"/>
      <c r="CG134" s="1277">
        <f>IF($F134=Miscellaneous!$N$9,SUM($H134:CA134),0)</f>
        <v>0</v>
      </c>
      <c r="CH134" s="1277">
        <f>IF($F134=Miscellaneous!$N$9,IF($G134="Opex",SUMIF('Monthly Summary'!$C$75:BV$75,"",$H134:CA134),SUMIF('Monthly Summary'!$C$74:BV$74,"",$H134:CA134)),0)</f>
        <v>0</v>
      </c>
      <c r="CI134" s="1286">
        <f t="shared" ref="CI134:CI167" si="45">CG134-CH134</f>
        <v>0</v>
      </c>
      <c r="CJ134" s="833"/>
      <c r="CK134" s="1277">
        <f>IF($F134=Miscellaneous!$N$7,SUM($H134:CA134),0)</f>
        <v>0</v>
      </c>
      <c r="CL134" s="1277">
        <f>IF($F134=Miscellaneous!$N$7,IF($G134="Opex",SUMIF('Monthly Summary'!$C$75:BV$75,"",$H134:CA134),SUMIF('Monthly Summary'!$C$74:BV$74,"",$H134:CA134)),0)</f>
        <v>0</v>
      </c>
      <c r="CM134" s="1286">
        <f t="shared" ref="CM134:CM167" si="46">CK134-CL134</f>
        <v>0</v>
      </c>
      <c r="CN134" s="833"/>
      <c r="CO134" s="1277">
        <f>IF($F134=Miscellaneous!$N$6,SUM($H134:CA134),0)</f>
        <v>0</v>
      </c>
      <c r="CP134" s="1277">
        <f>IF($F134=Miscellaneous!$N$6,IF($G134="Opex",SUMIF('Monthly Summary'!$C$75:BV$75,"",$H134:CA134),SUMIF('Monthly Summary'!$C$74:BV$74,"",$H134:CA134)),0)</f>
        <v>0</v>
      </c>
      <c r="CQ134" s="1286">
        <f t="shared" ref="CQ134:CQ167" si="47">CO134-CP134</f>
        <v>0</v>
      </c>
      <c r="CR134" s="833"/>
      <c r="CS134" s="1277">
        <f>IF($A134="Software",SUM($H134:CA134),0)</f>
        <v>0</v>
      </c>
      <c r="CT134" s="1277">
        <f>IF($A134="Software",IF($G134="Opex",SUMIF('Monthly Summary'!$C$75:BV$75,"",$H134:CA134),SUMIF('Monthly Summary'!$C$74:BV$74,"",$H134:CA134)),0)</f>
        <v>0</v>
      </c>
      <c r="CU134" s="1286">
        <f t="shared" ref="CU134:CU167" si="48">CS134-CT134</f>
        <v>0</v>
      </c>
      <c r="CV134" s="833"/>
      <c r="CW134" s="1277">
        <f t="shared" si="40"/>
        <v>0</v>
      </c>
      <c r="CX134" s="1277">
        <f t="shared" si="41"/>
        <v>0</v>
      </c>
      <c r="CY134" s="1286">
        <f t="shared" ref="CY134:CY167" si="49">CW134-CX134</f>
        <v>0</v>
      </c>
      <c r="CZ134" s="833"/>
      <c r="DA134" s="1286">
        <f>IF($G134="Opex",SUMIF('Monthly Summary'!$C$75:BV$75,"",$H134:CA134),SUMIF('Monthly Summary'!$C$74:BV$74,"",$H134:CA134))</f>
        <v>0</v>
      </c>
      <c r="DB134" s="1278">
        <f t="shared" si="42"/>
        <v>0</v>
      </c>
      <c r="DC134" s="1279">
        <f>IF(AND(OR($D134=Variables!A$38,$D134=Variables!A$43),$F134&lt;&gt;"N/A"),1,0)</f>
        <v>0</v>
      </c>
      <c r="DD134" s="820"/>
      <c r="DE134" s="1281" t="str">
        <f t="shared" si="33"/>
        <v/>
      </c>
      <c r="DF134" s="1282" t="str">
        <f t="shared" si="34"/>
        <v/>
      </c>
      <c r="DG134" s="1282" t="str">
        <f t="shared" si="35"/>
        <v/>
      </c>
      <c r="DH134" s="1282" t="str">
        <f>IF(ISNA(VLOOKUP(DE134,Miscellaneous!E:F,2,0)),"",VLOOKUP(DE134,Miscellaneous!E:F,2,0))</f>
        <v/>
      </c>
      <c r="DI134" s="1282" t="str">
        <f t="shared" si="36"/>
        <v/>
      </c>
      <c r="DJ134" s="1283">
        <f>IF($DI134="Opex",SUMIF('Monthly Summary'!$C$75:$N$75,"",H134:S134),SUMIF('Monthly Summary'!$C$74:$N$74,"",H134:S134))</f>
        <v>0</v>
      </c>
      <c r="DK134" s="1283">
        <f>IF($DI134="Opex",SUMIF('Monthly Summary'!$O$75:$Z$75,"",T134:AE134),SUMIF('Monthly Summary'!$O$74:$Z$74,"",T134:AE134))</f>
        <v>0</v>
      </c>
      <c r="DL134" s="1283">
        <f>IF($DI134="Opex",SUMIF('Monthly Summary'!$AA$75:$AL$75,"",AF134:AQ134),SUMIF('Monthly Summary'!$AA$74:$AL$74,"",AF134:AQ134))</f>
        <v>0</v>
      </c>
      <c r="DM134" s="1283">
        <f>IF($DI134="Opex",SUMIF('Monthly Summary'!$AM$75:$AX$75,"",AR134:BC134),SUMIF('Monthly Summary'!$AM$74:$AX$74,"",AR134:BC134))</f>
        <v>0</v>
      </c>
      <c r="DN134" s="1283">
        <f>IF($DI134="Opex",SUMIF('Monthly Summary'!$AY$75:$BJ$75,"",BD134:BO134),SUMIF('Monthly Summary'!$AY$74:$BJ$74,"",BD134:BO134))</f>
        <v>0</v>
      </c>
      <c r="DO134" s="1284">
        <f>IF($DI134="Opex",SUMIF('Monthly Summary'!$BK$75:$BV$75,"",BP134:CA134),SUMIF('Monthly Summary'!$BK$74:$BV$74,"",BP134:CA134))</f>
        <v>0</v>
      </c>
      <c r="DP134" s="1285">
        <f t="shared" ref="DP134:DP167" si="50">SUM(DJ134:DO134)</f>
        <v>0</v>
      </c>
    </row>
    <row r="135" spans="1:120" s="809" customFormat="1">
      <c r="A135" s="1261"/>
      <c r="B135" s="1261"/>
      <c r="C135" s="1261"/>
      <c r="D135" s="1262"/>
      <c r="E135" s="1270"/>
      <c r="F135" s="1263"/>
      <c r="G135" s="1263"/>
      <c r="H135" s="1267"/>
      <c r="I135" s="1268"/>
      <c r="J135" s="1268"/>
      <c r="K135" s="1268"/>
      <c r="L135" s="1268"/>
      <c r="M135" s="1268"/>
      <c r="N135" s="1268"/>
      <c r="O135" s="1268"/>
      <c r="P135" s="1268"/>
      <c r="Q135" s="1268"/>
      <c r="R135" s="1268"/>
      <c r="S135" s="1269"/>
      <c r="T135" s="1267"/>
      <c r="U135" s="1268"/>
      <c r="V135" s="1268"/>
      <c r="W135" s="1268"/>
      <c r="X135" s="1268"/>
      <c r="Y135" s="1268"/>
      <c r="Z135" s="1268"/>
      <c r="AA135" s="1268"/>
      <c r="AB135" s="1268"/>
      <c r="AC135" s="1268"/>
      <c r="AD135" s="1268"/>
      <c r="AE135" s="1269"/>
      <c r="AF135" s="1267"/>
      <c r="AG135" s="1268"/>
      <c r="AH135" s="1268"/>
      <c r="AI135" s="1268"/>
      <c r="AJ135" s="1268"/>
      <c r="AK135" s="1268"/>
      <c r="AL135" s="1268"/>
      <c r="AM135" s="1268"/>
      <c r="AN135" s="1268"/>
      <c r="AO135" s="1268"/>
      <c r="AP135" s="1268"/>
      <c r="AQ135" s="1269"/>
      <c r="AR135" s="1267"/>
      <c r="AS135" s="1268"/>
      <c r="AT135" s="1268"/>
      <c r="AU135" s="1268"/>
      <c r="AV135" s="1268"/>
      <c r="AW135" s="1268"/>
      <c r="AX135" s="1268"/>
      <c r="AY135" s="1268"/>
      <c r="AZ135" s="1268"/>
      <c r="BA135" s="1268"/>
      <c r="BB135" s="1268"/>
      <c r="BC135" s="1269"/>
      <c r="BD135" s="1267"/>
      <c r="BE135" s="1268"/>
      <c r="BF135" s="1268"/>
      <c r="BG135" s="1268"/>
      <c r="BH135" s="1268"/>
      <c r="BI135" s="1268"/>
      <c r="BJ135" s="1268"/>
      <c r="BK135" s="1268"/>
      <c r="BL135" s="1268"/>
      <c r="BM135" s="1268"/>
      <c r="BN135" s="1268"/>
      <c r="BO135" s="1269"/>
      <c r="BP135" s="1267"/>
      <c r="BQ135" s="1268"/>
      <c r="BR135" s="1268"/>
      <c r="BS135" s="1268"/>
      <c r="BT135" s="1268"/>
      <c r="BU135" s="1268"/>
      <c r="BV135" s="1268"/>
      <c r="BW135" s="1268"/>
      <c r="BX135" s="1268"/>
      <c r="BY135" s="1268"/>
      <c r="BZ135" s="1268"/>
      <c r="CA135" s="1269"/>
      <c r="CB135" s="1286">
        <f t="shared" si="43"/>
        <v>0</v>
      </c>
      <c r="CC135" s="1277">
        <f>IF($F135=Miscellaneous!$N$8,SUM($H135:CA135),0)</f>
        <v>0</v>
      </c>
      <c r="CD135" s="1277">
        <f>IF($F135=Miscellaneous!$N$8,IF($G135="Opex",SUMIF('Monthly Summary'!$C$75:BV$75,"",$H135:CA135),SUMIF('Monthly Summary'!$C$74:BV$74,"",$H135:CA135)),0)</f>
        <v>0</v>
      </c>
      <c r="CE135" s="1286">
        <f t="shared" si="44"/>
        <v>0</v>
      </c>
      <c r="CF135" s="833"/>
      <c r="CG135" s="1277">
        <f>IF($F135=Miscellaneous!$N$9,SUM($H135:CA135),0)</f>
        <v>0</v>
      </c>
      <c r="CH135" s="1277">
        <f>IF($F135=Miscellaneous!$N$9,IF($G135="Opex",SUMIF('Monthly Summary'!$C$75:BV$75,"",$H135:CA135),SUMIF('Monthly Summary'!$C$74:BV$74,"",$H135:CA135)),0)</f>
        <v>0</v>
      </c>
      <c r="CI135" s="1286">
        <f t="shared" si="45"/>
        <v>0</v>
      </c>
      <c r="CJ135" s="833"/>
      <c r="CK135" s="1277">
        <f>IF($F135=Miscellaneous!$N$7,SUM($H135:CA135),0)</f>
        <v>0</v>
      </c>
      <c r="CL135" s="1277">
        <f>IF($F135=Miscellaneous!$N$7,IF($G135="Opex",SUMIF('Monthly Summary'!$C$75:BV$75,"",$H135:CA135),SUMIF('Monthly Summary'!$C$74:BV$74,"",$H135:CA135)),0)</f>
        <v>0</v>
      </c>
      <c r="CM135" s="1286">
        <f t="shared" si="46"/>
        <v>0</v>
      </c>
      <c r="CN135" s="833"/>
      <c r="CO135" s="1277">
        <f>IF($F135=Miscellaneous!$N$6,SUM($H135:CA135),0)</f>
        <v>0</v>
      </c>
      <c r="CP135" s="1277">
        <f>IF($F135=Miscellaneous!$N$6,IF($G135="Opex",SUMIF('Monthly Summary'!$C$75:BV$75,"",$H135:CA135),SUMIF('Monthly Summary'!$C$74:BV$74,"",$H135:CA135)),0)</f>
        <v>0</v>
      </c>
      <c r="CQ135" s="1286">
        <f t="shared" si="47"/>
        <v>0</v>
      </c>
      <c r="CR135" s="833"/>
      <c r="CS135" s="1277">
        <f>IF($A135="Software",SUM($H135:CA135),0)</f>
        <v>0</v>
      </c>
      <c r="CT135" s="1277">
        <f>IF($A135="Software",IF($G135="Opex",SUMIF('Monthly Summary'!$C$75:BV$75,"",$H135:CA135),SUMIF('Monthly Summary'!$C$74:BV$74,"",$H135:CA135)),0)</f>
        <v>0</v>
      </c>
      <c r="CU135" s="1286">
        <f t="shared" si="48"/>
        <v>0</v>
      </c>
      <c r="CV135" s="833"/>
      <c r="CW135" s="1277">
        <f t="shared" si="40"/>
        <v>0</v>
      </c>
      <c r="CX135" s="1277">
        <f t="shared" si="41"/>
        <v>0</v>
      </c>
      <c r="CY135" s="1286">
        <f t="shared" si="49"/>
        <v>0</v>
      </c>
      <c r="CZ135" s="833"/>
      <c r="DA135" s="1286">
        <f>IF($G135="Opex",SUMIF('Monthly Summary'!$C$75:BV$75,"",$H135:CA135),SUMIF('Monthly Summary'!$C$74:BV$74,"",$H135:CA135))</f>
        <v>0</v>
      </c>
      <c r="DB135" s="1278">
        <f t="shared" si="42"/>
        <v>0</v>
      </c>
      <c r="DC135" s="1279">
        <f>IF(AND(OR($D135=Variables!A$38,$D135=Variables!A$43),$F135&lt;&gt;"N/A"),1,0)</f>
        <v>0</v>
      </c>
      <c r="DD135" s="820"/>
      <c r="DE135" s="1281" t="str">
        <f t="shared" si="33"/>
        <v/>
      </c>
      <c r="DF135" s="1282" t="str">
        <f t="shared" si="34"/>
        <v/>
      </c>
      <c r="DG135" s="1282" t="str">
        <f t="shared" si="35"/>
        <v/>
      </c>
      <c r="DH135" s="1282" t="str">
        <f>IF(ISNA(VLOOKUP(DE135,Miscellaneous!E:F,2,0)),"",VLOOKUP(DE135,Miscellaneous!E:F,2,0))</f>
        <v/>
      </c>
      <c r="DI135" s="1282" t="str">
        <f t="shared" si="36"/>
        <v/>
      </c>
      <c r="DJ135" s="1283">
        <f>IF($DI135="Opex",SUMIF('Monthly Summary'!$C$75:$N$75,"",H135:S135),SUMIF('Monthly Summary'!$C$74:$N$74,"",H135:S135))</f>
        <v>0</v>
      </c>
      <c r="DK135" s="1283">
        <f>IF($DI135="Opex",SUMIF('Monthly Summary'!$O$75:$Z$75,"",T135:AE135),SUMIF('Monthly Summary'!$O$74:$Z$74,"",T135:AE135))</f>
        <v>0</v>
      </c>
      <c r="DL135" s="1283">
        <f>IF($DI135="Opex",SUMIF('Monthly Summary'!$AA$75:$AL$75,"",AF135:AQ135),SUMIF('Monthly Summary'!$AA$74:$AL$74,"",AF135:AQ135))</f>
        <v>0</v>
      </c>
      <c r="DM135" s="1283">
        <f>IF($DI135="Opex",SUMIF('Monthly Summary'!$AM$75:$AX$75,"",AR135:BC135),SUMIF('Monthly Summary'!$AM$74:$AX$74,"",AR135:BC135))</f>
        <v>0</v>
      </c>
      <c r="DN135" s="1283">
        <f>IF($DI135="Opex",SUMIF('Monthly Summary'!$AY$75:$BJ$75,"",BD135:BO135),SUMIF('Monthly Summary'!$AY$74:$BJ$74,"",BD135:BO135))</f>
        <v>0</v>
      </c>
      <c r="DO135" s="1284">
        <f>IF($DI135="Opex",SUMIF('Monthly Summary'!$BK$75:$BV$75,"",BP135:CA135),SUMIF('Monthly Summary'!$BK$74:$BV$74,"",BP135:CA135))</f>
        <v>0</v>
      </c>
      <c r="DP135" s="1285">
        <f t="shared" si="50"/>
        <v>0</v>
      </c>
    </row>
    <row r="136" spans="1:120" s="809" customFormat="1">
      <c r="A136" s="1261"/>
      <c r="B136" s="1261"/>
      <c r="C136" s="1261"/>
      <c r="D136" s="1262"/>
      <c r="E136" s="1270"/>
      <c r="F136" s="1263"/>
      <c r="G136" s="1263"/>
      <c r="H136" s="1267"/>
      <c r="I136" s="1268"/>
      <c r="J136" s="1268"/>
      <c r="K136" s="1268"/>
      <c r="L136" s="1268"/>
      <c r="M136" s="1268"/>
      <c r="N136" s="1268"/>
      <c r="O136" s="1268"/>
      <c r="P136" s="1268"/>
      <c r="Q136" s="1268"/>
      <c r="R136" s="1268"/>
      <c r="S136" s="1269"/>
      <c r="T136" s="1267"/>
      <c r="U136" s="1268"/>
      <c r="V136" s="1268"/>
      <c r="W136" s="1268"/>
      <c r="X136" s="1268"/>
      <c r="Y136" s="1268"/>
      <c r="Z136" s="1268"/>
      <c r="AA136" s="1268"/>
      <c r="AB136" s="1268"/>
      <c r="AC136" s="1268"/>
      <c r="AD136" s="1268"/>
      <c r="AE136" s="1269"/>
      <c r="AF136" s="1267"/>
      <c r="AG136" s="1268"/>
      <c r="AH136" s="1268"/>
      <c r="AI136" s="1268"/>
      <c r="AJ136" s="1268"/>
      <c r="AK136" s="1268"/>
      <c r="AL136" s="1268"/>
      <c r="AM136" s="1268"/>
      <c r="AN136" s="1268"/>
      <c r="AO136" s="1268"/>
      <c r="AP136" s="1268"/>
      <c r="AQ136" s="1269"/>
      <c r="AR136" s="1267"/>
      <c r="AS136" s="1268"/>
      <c r="AT136" s="1268"/>
      <c r="AU136" s="1268"/>
      <c r="AV136" s="1268"/>
      <c r="AW136" s="1268"/>
      <c r="AX136" s="1268"/>
      <c r="AY136" s="1268"/>
      <c r="AZ136" s="1268"/>
      <c r="BA136" s="1268"/>
      <c r="BB136" s="1268"/>
      <c r="BC136" s="1269"/>
      <c r="BD136" s="1267"/>
      <c r="BE136" s="1268"/>
      <c r="BF136" s="1268"/>
      <c r="BG136" s="1268"/>
      <c r="BH136" s="1268"/>
      <c r="BI136" s="1268"/>
      <c r="BJ136" s="1268"/>
      <c r="BK136" s="1268"/>
      <c r="BL136" s="1268"/>
      <c r="BM136" s="1268"/>
      <c r="BN136" s="1268"/>
      <c r="BO136" s="1269"/>
      <c r="BP136" s="1267"/>
      <c r="BQ136" s="1268"/>
      <c r="BR136" s="1268"/>
      <c r="BS136" s="1268"/>
      <c r="BT136" s="1268"/>
      <c r="BU136" s="1268"/>
      <c r="BV136" s="1268"/>
      <c r="BW136" s="1268"/>
      <c r="BX136" s="1268"/>
      <c r="BY136" s="1268"/>
      <c r="BZ136" s="1268"/>
      <c r="CA136" s="1269"/>
      <c r="CB136" s="1286">
        <f t="shared" si="43"/>
        <v>0</v>
      </c>
      <c r="CC136" s="1277">
        <f>IF($F136=Miscellaneous!$N$8,SUM($H136:CA136),0)</f>
        <v>0</v>
      </c>
      <c r="CD136" s="1277">
        <f>IF($F136=Miscellaneous!$N$8,IF($G136="Opex",SUMIF('Monthly Summary'!$C$75:BV$75,"",$H136:CA136),SUMIF('Monthly Summary'!$C$74:BV$74,"",$H136:CA136)),0)</f>
        <v>0</v>
      </c>
      <c r="CE136" s="1286">
        <f t="shared" si="44"/>
        <v>0</v>
      </c>
      <c r="CF136" s="833"/>
      <c r="CG136" s="1277">
        <f>IF($F136=Miscellaneous!$N$9,SUM($H136:CA136),0)</f>
        <v>0</v>
      </c>
      <c r="CH136" s="1277">
        <f>IF($F136=Miscellaneous!$N$9,IF($G136="Opex",SUMIF('Monthly Summary'!$C$75:BV$75,"",$H136:CA136),SUMIF('Monthly Summary'!$C$74:BV$74,"",$H136:CA136)),0)</f>
        <v>0</v>
      </c>
      <c r="CI136" s="1286">
        <f t="shared" si="45"/>
        <v>0</v>
      </c>
      <c r="CJ136" s="833"/>
      <c r="CK136" s="1277">
        <f>IF($F136=Miscellaneous!$N$7,SUM($H136:CA136),0)</f>
        <v>0</v>
      </c>
      <c r="CL136" s="1277">
        <f>IF($F136=Miscellaneous!$N$7,IF($G136="Opex",SUMIF('Monthly Summary'!$C$75:BV$75,"",$H136:CA136),SUMIF('Monthly Summary'!$C$74:BV$74,"",$H136:CA136)),0)</f>
        <v>0</v>
      </c>
      <c r="CM136" s="1286">
        <f t="shared" si="46"/>
        <v>0</v>
      </c>
      <c r="CN136" s="833"/>
      <c r="CO136" s="1277">
        <f>IF($F136=Miscellaneous!$N$6,SUM($H136:CA136),0)</f>
        <v>0</v>
      </c>
      <c r="CP136" s="1277">
        <f>IF($F136=Miscellaneous!$N$6,IF($G136="Opex",SUMIF('Monthly Summary'!$C$75:BV$75,"",$H136:CA136),SUMIF('Monthly Summary'!$C$74:BV$74,"",$H136:CA136)),0)</f>
        <v>0</v>
      </c>
      <c r="CQ136" s="1286">
        <f t="shared" si="47"/>
        <v>0</v>
      </c>
      <c r="CR136" s="833"/>
      <c r="CS136" s="1277">
        <f>IF($A136="Software",SUM($H136:CA136),0)</f>
        <v>0</v>
      </c>
      <c r="CT136" s="1277">
        <f>IF($A136="Software",IF($G136="Opex",SUMIF('Monthly Summary'!$C$75:BV$75,"",$H136:CA136),SUMIF('Monthly Summary'!$C$74:BV$74,"",$H136:CA136)),0)</f>
        <v>0</v>
      </c>
      <c r="CU136" s="1286">
        <f t="shared" si="48"/>
        <v>0</v>
      </c>
      <c r="CV136" s="833"/>
      <c r="CW136" s="1277">
        <f t="shared" si="40"/>
        <v>0</v>
      </c>
      <c r="CX136" s="1277">
        <f t="shared" si="41"/>
        <v>0</v>
      </c>
      <c r="CY136" s="1286">
        <f t="shared" si="49"/>
        <v>0</v>
      </c>
      <c r="CZ136" s="833"/>
      <c r="DA136" s="1286">
        <f>IF($G136="Opex",SUMIF('Monthly Summary'!$C$75:BV$75,"",$H136:CA136),SUMIF('Monthly Summary'!$C$74:BV$74,"",$H136:CA136))</f>
        <v>0</v>
      </c>
      <c r="DB136" s="1278">
        <f t="shared" si="42"/>
        <v>0</v>
      </c>
      <c r="DC136" s="1279">
        <f>IF(AND(OR($D136=Variables!A$38,$D136=Variables!A$43),$F136&lt;&gt;"N/A"),1,0)</f>
        <v>0</v>
      </c>
      <c r="DD136" s="820"/>
      <c r="DE136" s="1281" t="str">
        <f t="shared" si="33"/>
        <v/>
      </c>
      <c r="DF136" s="1282" t="str">
        <f t="shared" si="34"/>
        <v/>
      </c>
      <c r="DG136" s="1282" t="str">
        <f t="shared" si="35"/>
        <v/>
      </c>
      <c r="DH136" s="1282" t="str">
        <f>IF(ISNA(VLOOKUP(DE136,Miscellaneous!E:F,2,0)),"",VLOOKUP(DE136,Miscellaneous!E:F,2,0))</f>
        <v/>
      </c>
      <c r="DI136" s="1282" t="str">
        <f t="shared" si="36"/>
        <v/>
      </c>
      <c r="DJ136" s="1283">
        <f>IF($DI136="Opex",SUMIF('Monthly Summary'!$C$75:$N$75,"",H136:S136),SUMIF('Monthly Summary'!$C$74:$N$74,"",H136:S136))</f>
        <v>0</v>
      </c>
      <c r="DK136" s="1283">
        <f>IF($DI136="Opex",SUMIF('Monthly Summary'!$O$75:$Z$75,"",T136:AE136),SUMIF('Monthly Summary'!$O$74:$Z$74,"",T136:AE136))</f>
        <v>0</v>
      </c>
      <c r="DL136" s="1283">
        <f>IF($DI136="Opex",SUMIF('Monthly Summary'!$AA$75:$AL$75,"",AF136:AQ136),SUMIF('Monthly Summary'!$AA$74:$AL$74,"",AF136:AQ136))</f>
        <v>0</v>
      </c>
      <c r="DM136" s="1283">
        <f>IF($DI136="Opex",SUMIF('Monthly Summary'!$AM$75:$AX$75,"",AR136:BC136),SUMIF('Monthly Summary'!$AM$74:$AX$74,"",AR136:BC136))</f>
        <v>0</v>
      </c>
      <c r="DN136" s="1283">
        <f>IF($DI136="Opex",SUMIF('Monthly Summary'!$AY$75:$BJ$75,"",BD136:BO136),SUMIF('Monthly Summary'!$AY$74:$BJ$74,"",BD136:BO136))</f>
        <v>0</v>
      </c>
      <c r="DO136" s="1284">
        <f>IF($DI136="Opex",SUMIF('Monthly Summary'!$BK$75:$BV$75,"",BP136:CA136),SUMIF('Monthly Summary'!$BK$74:$BV$74,"",BP136:CA136))</f>
        <v>0</v>
      </c>
      <c r="DP136" s="1285">
        <f t="shared" si="50"/>
        <v>0</v>
      </c>
    </row>
    <row r="137" spans="1:120" s="809" customFormat="1">
      <c r="A137" s="1261"/>
      <c r="B137" s="1261"/>
      <c r="C137" s="1261"/>
      <c r="D137" s="1262"/>
      <c r="E137" s="1270"/>
      <c r="F137" s="1263"/>
      <c r="G137" s="1263"/>
      <c r="H137" s="1267"/>
      <c r="I137" s="1268"/>
      <c r="J137" s="1268"/>
      <c r="K137" s="1268"/>
      <c r="L137" s="1268"/>
      <c r="M137" s="1268"/>
      <c r="N137" s="1268"/>
      <c r="O137" s="1268"/>
      <c r="P137" s="1268"/>
      <c r="Q137" s="1268"/>
      <c r="R137" s="1268"/>
      <c r="S137" s="1269"/>
      <c r="T137" s="1267"/>
      <c r="U137" s="1268"/>
      <c r="V137" s="1268"/>
      <c r="W137" s="1268"/>
      <c r="X137" s="1268"/>
      <c r="Y137" s="1268"/>
      <c r="Z137" s="1268"/>
      <c r="AA137" s="1268"/>
      <c r="AB137" s="1268"/>
      <c r="AC137" s="1268"/>
      <c r="AD137" s="1268"/>
      <c r="AE137" s="1269"/>
      <c r="AF137" s="1267"/>
      <c r="AG137" s="1268"/>
      <c r="AH137" s="1268"/>
      <c r="AI137" s="1268"/>
      <c r="AJ137" s="1268"/>
      <c r="AK137" s="1268"/>
      <c r="AL137" s="1268"/>
      <c r="AM137" s="1268"/>
      <c r="AN137" s="1268"/>
      <c r="AO137" s="1268"/>
      <c r="AP137" s="1268"/>
      <c r="AQ137" s="1269"/>
      <c r="AR137" s="1267"/>
      <c r="AS137" s="1268"/>
      <c r="AT137" s="1268"/>
      <c r="AU137" s="1268"/>
      <c r="AV137" s="1268"/>
      <c r="AW137" s="1268"/>
      <c r="AX137" s="1268"/>
      <c r="AY137" s="1268"/>
      <c r="AZ137" s="1268"/>
      <c r="BA137" s="1268"/>
      <c r="BB137" s="1268"/>
      <c r="BC137" s="1269"/>
      <c r="BD137" s="1267"/>
      <c r="BE137" s="1268"/>
      <c r="BF137" s="1268"/>
      <c r="BG137" s="1268"/>
      <c r="BH137" s="1268"/>
      <c r="BI137" s="1268"/>
      <c r="BJ137" s="1268"/>
      <c r="BK137" s="1268"/>
      <c r="BL137" s="1268"/>
      <c r="BM137" s="1268"/>
      <c r="BN137" s="1268"/>
      <c r="BO137" s="1269"/>
      <c r="BP137" s="1267"/>
      <c r="BQ137" s="1268"/>
      <c r="BR137" s="1268"/>
      <c r="BS137" s="1268"/>
      <c r="BT137" s="1268"/>
      <c r="BU137" s="1268"/>
      <c r="BV137" s="1268"/>
      <c r="BW137" s="1268"/>
      <c r="BX137" s="1268"/>
      <c r="BY137" s="1268"/>
      <c r="BZ137" s="1268"/>
      <c r="CA137" s="1269"/>
      <c r="CB137" s="1286">
        <f t="shared" si="43"/>
        <v>0</v>
      </c>
      <c r="CC137" s="1277">
        <f>IF($F137=Miscellaneous!$N$8,SUM($H137:CA137),0)</f>
        <v>0</v>
      </c>
      <c r="CD137" s="1277">
        <f>IF($F137=Miscellaneous!$N$8,IF($G137="Opex",SUMIF('Monthly Summary'!$C$75:BV$75,"",$H137:CA137),SUMIF('Monthly Summary'!$C$74:BV$74,"",$H137:CA137)),0)</f>
        <v>0</v>
      </c>
      <c r="CE137" s="1286">
        <f t="shared" si="44"/>
        <v>0</v>
      </c>
      <c r="CF137" s="833"/>
      <c r="CG137" s="1277">
        <f>IF($F137=Miscellaneous!$N$9,SUM($H137:CA137),0)</f>
        <v>0</v>
      </c>
      <c r="CH137" s="1277">
        <f>IF($F137=Miscellaneous!$N$9,IF($G137="Opex",SUMIF('Monthly Summary'!$C$75:BV$75,"",$H137:CA137),SUMIF('Monthly Summary'!$C$74:BV$74,"",$H137:CA137)),0)</f>
        <v>0</v>
      </c>
      <c r="CI137" s="1286">
        <f t="shared" si="45"/>
        <v>0</v>
      </c>
      <c r="CJ137" s="833"/>
      <c r="CK137" s="1277">
        <f>IF($F137=Miscellaneous!$N$7,SUM($H137:CA137),0)</f>
        <v>0</v>
      </c>
      <c r="CL137" s="1277">
        <f>IF($F137=Miscellaneous!$N$7,IF($G137="Opex",SUMIF('Monthly Summary'!$C$75:BV$75,"",$H137:CA137),SUMIF('Monthly Summary'!$C$74:BV$74,"",$H137:CA137)),0)</f>
        <v>0</v>
      </c>
      <c r="CM137" s="1286">
        <f t="shared" si="46"/>
        <v>0</v>
      </c>
      <c r="CN137" s="833"/>
      <c r="CO137" s="1277">
        <f>IF($F137=Miscellaneous!$N$6,SUM($H137:CA137),0)</f>
        <v>0</v>
      </c>
      <c r="CP137" s="1277">
        <f>IF($F137=Miscellaneous!$N$6,IF($G137="Opex",SUMIF('Monthly Summary'!$C$75:BV$75,"",$H137:CA137),SUMIF('Monthly Summary'!$C$74:BV$74,"",$H137:CA137)),0)</f>
        <v>0</v>
      </c>
      <c r="CQ137" s="1286">
        <f t="shared" si="47"/>
        <v>0</v>
      </c>
      <c r="CR137" s="833"/>
      <c r="CS137" s="1277">
        <f>IF($A137="Software",SUM($H137:CA137),0)</f>
        <v>0</v>
      </c>
      <c r="CT137" s="1277">
        <f>IF($A137="Software",IF($G137="Opex",SUMIF('Monthly Summary'!$C$75:BV$75,"",$H137:CA137),SUMIF('Monthly Summary'!$C$74:BV$74,"",$H137:CA137)),0)</f>
        <v>0</v>
      </c>
      <c r="CU137" s="1286">
        <f t="shared" si="48"/>
        <v>0</v>
      </c>
      <c r="CV137" s="833"/>
      <c r="CW137" s="1277">
        <f t="shared" si="40"/>
        <v>0</v>
      </c>
      <c r="CX137" s="1277">
        <f t="shared" si="41"/>
        <v>0</v>
      </c>
      <c r="CY137" s="1286">
        <f t="shared" si="49"/>
        <v>0</v>
      </c>
      <c r="CZ137" s="833"/>
      <c r="DA137" s="1286">
        <f>IF($G137="Opex",SUMIF('Monthly Summary'!$C$75:BV$75,"",$H137:CA137),SUMIF('Monthly Summary'!$C$74:BV$74,"",$H137:CA137))</f>
        <v>0</v>
      </c>
      <c r="DB137" s="1278">
        <f t="shared" si="42"/>
        <v>0</v>
      </c>
      <c r="DC137" s="1279">
        <f>IF(AND(OR($D137=Variables!A$38,$D137=Variables!A$43),$F137&lt;&gt;"N/A"),1,0)</f>
        <v>0</v>
      </c>
      <c r="DD137" s="820"/>
      <c r="DE137" s="1281" t="str">
        <f t="shared" si="33"/>
        <v/>
      </c>
      <c r="DF137" s="1282" t="str">
        <f t="shared" si="34"/>
        <v/>
      </c>
      <c r="DG137" s="1282" t="str">
        <f t="shared" si="35"/>
        <v/>
      </c>
      <c r="DH137" s="1282" t="str">
        <f>IF(ISNA(VLOOKUP(DE137,Miscellaneous!E:F,2,0)),"",VLOOKUP(DE137,Miscellaneous!E:F,2,0))</f>
        <v/>
      </c>
      <c r="DI137" s="1282" t="str">
        <f t="shared" si="36"/>
        <v/>
      </c>
      <c r="DJ137" s="1283">
        <f>IF($DI137="Opex",SUMIF('Monthly Summary'!$C$75:$N$75,"",H137:S137),SUMIF('Monthly Summary'!$C$74:$N$74,"",H137:S137))</f>
        <v>0</v>
      </c>
      <c r="DK137" s="1283">
        <f>IF($DI137="Opex",SUMIF('Monthly Summary'!$O$75:$Z$75,"",T137:AE137),SUMIF('Monthly Summary'!$O$74:$Z$74,"",T137:AE137))</f>
        <v>0</v>
      </c>
      <c r="DL137" s="1283">
        <f>IF($DI137="Opex",SUMIF('Monthly Summary'!$AA$75:$AL$75,"",AF137:AQ137),SUMIF('Monthly Summary'!$AA$74:$AL$74,"",AF137:AQ137))</f>
        <v>0</v>
      </c>
      <c r="DM137" s="1283">
        <f>IF($DI137="Opex",SUMIF('Monthly Summary'!$AM$75:$AX$75,"",AR137:BC137),SUMIF('Monthly Summary'!$AM$74:$AX$74,"",AR137:BC137))</f>
        <v>0</v>
      </c>
      <c r="DN137" s="1283">
        <f>IF($DI137="Opex",SUMIF('Monthly Summary'!$AY$75:$BJ$75,"",BD137:BO137),SUMIF('Monthly Summary'!$AY$74:$BJ$74,"",BD137:BO137))</f>
        <v>0</v>
      </c>
      <c r="DO137" s="1284">
        <f>IF($DI137="Opex",SUMIF('Monthly Summary'!$BK$75:$BV$75,"",BP137:CA137),SUMIF('Monthly Summary'!$BK$74:$BV$74,"",BP137:CA137))</f>
        <v>0</v>
      </c>
      <c r="DP137" s="1285">
        <f t="shared" si="50"/>
        <v>0</v>
      </c>
    </row>
    <row r="138" spans="1:120" s="809" customFormat="1">
      <c r="A138" s="1261"/>
      <c r="B138" s="1261"/>
      <c r="C138" s="1261"/>
      <c r="D138" s="1262"/>
      <c r="E138" s="1270"/>
      <c r="F138" s="1263"/>
      <c r="G138" s="1263"/>
      <c r="H138" s="1267"/>
      <c r="I138" s="1268"/>
      <c r="J138" s="1268"/>
      <c r="K138" s="1268"/>
      <c r="L138" s="1268"/>
      <c r="M138" s="1268"/>
      <c r="N138" s="1268"/>
      <c r="O138" s="1268"/>
      <c r="P138" s="1268"/>
      <c r="Q138" s="1268"/>
      <c r="R138" s="1268"/>
      <c r="S138" s="1269"/>
      <c r="T138" s="1267"/>
      <c r="U138" s="1268"/>
      <c r="V138" s="1268"/>
      <c r="W138" s="1268"/>
      <c r="X138" s="1268"/>
      <c r="Y138" s="1268"/>
      <c r="Z138" s="1268"/>
      <c r="AA138" s="1268"/>
      <c r="AB138" s="1268"/>
      <c r="AC138" s="1268"/>
      <c r="AD138" s="1268"/>
      <c r="AE138" s="1269"/>
      <c r="AF138" s="1267"/>
      <c r="AG138" s="1268"/>
      <c r="AH138" s="1268"/>
      <c r="AI138" s="1268"/>
      <c r="AJ138" s="1268"/>
      <c r="AK138" s="1268"/>
      <c r="AL138" s="1268"/>
      <c r="AM138" s="1268"/>
      <c r="AN138" s="1268"/>
      <c r="AO138" s="1268"/>
      <c r="AP138" s="1268"/>
      <c r="AQ138" s="1269"/>
      <c r="AR138" s="1267"/>
      <c r="AS138" s="1268"/>
      <c r="AT138" s="1268"/>
      <c r="AU138" s="1268"/>
      <c r="AV138" s="1268"/>
      <c r="AW138" s="1268"/>
      <c r="AX138" s="1268"/>
      <c r="AY138" s="1268"/>
      <c r="AZ138" s="1268"/>
      <c r="BA138" s="1268"/>
      <c r="BB138" s="1268"/>
      <c r="BC138" s="1269"/>
      <c r="BD138" s="1267"/>
      <c r="BE138" s="1268"/>
      <c r="BF138" s="1268"/>
      <c r="BG138" s="1268"/>
      <c r="BH138" s="1268"/>
      <c r="BI138" s="1268"/>
      <c r="BJ138" s="1268"/>
      <c r="BK138" s="1268"/>
      <c r="BL138" s="1268"/>
      <c r="BM138" s="1268"/>
      <c r="BN138" s="1268"/>
      <c r="BO138" s="1269"/>
      <c r="BP138" s="1267"/>
      <c r="BQ138" s="1268"/>
      <c r="BR138" s="1268"/>
      <c r="BS138" s="1268"/>
      <c r="BT138" s="1268"/>
      <c r="BU138" s="1268"/>
      <c r="BV138" s="1268"/>
      <c r="BW138" s="1268"/>
      <c r="BX138" s="1268"/>
      <c r="BY138" s="1268"/>
      <c r="BZ138" s="1268"/>
      <c r="CA138" s="1269"/>
      <c r="CB138" s="1286">
        <f t="shared" si="43"/>
        <v>0</v>
      </c>
      <c r="CC138" s="1277">
        <f>IF($F138=Miscellaneous!$N$8,SUM($H138:CA138),0)</f>
        <v>0</v>
      </c>
      <c r="CD138" s="1277">
        <f>IF($F138=Miscellaneous!$N$8,IF($G138="Opex",SUMIF('Monthly Summary'!$C$75:BV$75,"",$H138:CA138),SUMIF('Monthly Summary'!$C$74:BV$74,"",$H138:CA138)),0)</f>
        <v>0</v>
      </c>
      <c r="CE138" s="1286">
        <f t="shared" si="44"/>
        <v>0</v>
      </c>
      <c r="CF138" s="833"/>
      <c r="CG138" s="1277">
        <f>IF($F138=Miscellaneous!$N$9,SUM($H138:CA138),0)</f>
        <v>0</v>
      </c>
      <c r="CH138" s="1277">
        <f>IF($F138=Miscellaneous!$N$9,IF($G138="Opex",SUMIF('Monthly Summary'!$C$75:BV$75,"",$H138:CA138),SUMIF('Monthly Summary'!$C$74:BV$74,"",$H138:CA138)),0)</f>
        <v>0</v>
      </c>
      <c r="CI138" s="1286">
        <f t="shared" si="45"/>
        <v>0</v>
      </c>
      <c r="CJ138" s="833"/>
      <c r="CK138" s="1277">
        <f>IF($F138=Miscellaneous!$N$7,SUM($H138:CA138),0)</f>
        <v>0</v>
      </c>
      <c r="CL138" s="1277">
        <f>IF($F138=Miscellaneous!$N$7,IF($G138="Opex",SUMIF('Monthly Summary'!$C$75:BV$75,"",$H138:CA138),SUMIF('Monthly Summary'!$C$74:BV$74,"",$H138:CA138)),0)</f>
        <v>0</v>
      </c>
      <c r="CM138" s="1286">
        <f t="shared" si="46"/>
        <v>0</v>
      </c>
      <c r="CN138" s="833"/>
      <c r="CO138" s="1277">
        <f>IF($F138=Miscellaneous!$N$6,SUM($H138:CA138),0)</f>
        <v>0</v>
      </c>
      <c r="CP138" s="1277">
        <f>IF($F138=Miscellaneous!$N$6,IF($G138="Opex",SUMIF('Monthly Summary'!$C$75:BV$75,"",$H138:CA138),SUMIF('Monthly Summary'!$C$74:BV$74,"",$H138:CA138)),0)</f>
        <v>0</v>
      </c>
      <c r="CQ138" s="1286">
        <f t="shared" si="47"/>
        <v>0</v>
      </c>
      <c r="CR138" s="833"/>
      <c r="CS138" s="1277">
        <f>IF($A138="Software",SUM($H138:CA138),0)</f>
        <v>0</v>
      </c>
      <c r="CT138" s="1277">
        <f>IF($A138="Software",IF($G138="Opex",SUMIF('Monthly Summary'!$C$75:BV$75,"",$H138:CA138),SUMIF('Monthly Summary'!$C$74:BV$74,"",$H138:CA138)),0)</f>
        <v>0</v>
      </c>
      <c r="CU138" s="1286">
        <f t="shared" si="48"/>
        <v>0</v>
      </c>
      <c r="CV138" s="833"/>
      <c r="CW138" s="1277">
        <f t="shared" si="40"/>
        <v>0</v>
      </c>
      <c r="CX138" s="1277">
        <f t="shared" si="41"/>
        <v>0</v>
      </c>
      <c r="CY138" s="1286">
        <f t="shared" si="49"/>
        <v>0</v>
      </c>
      <c r="CZ138" s="833"/>
      <c r="DA138" s="1286">
        <f>IF($G138="Opex",SUMIF('Monthly Summary'!$C$75:BV$75,"",$H138:CA138),SUMIF('Monthly Summary'!$C$74:BV$74,"",$H138:CA138))</f>
        <v>0</v>
      </c>
      <c r="DB138" s="1278">
        <f t="shared" si="42"/>
        <v>0</v>
      </c>
      <c r="DC138" s="1279">
        <f>IF(AND(OR($D138=Variables!A$38,$D138=Variables!A$43),$F138&lt;&gt;"N/A"),1,0)</f>
        <v>0</v>
      </c>
      <c r="DD138" s="820"/>
      <c r="DE138" s="1281" t="str">
        <f t="shared" si="33"/>
        <v/>
      </c>
      <c r="DF138" s="1282" t="str">
        <f t="shared" si="34"/>
        <v/>
      </c>
      <c r="DG138" s="1282" t="str">
        <f t="shared" si="35"/>
        <v/>
      </c>
      <c r="DH138" s="1282" t="str">
        <f>IF(ISNA(VLOOKUP(DE138,Miscellaneous!E:F,2,0)),"",VLOOKUP(DE138,Miscellaneous!E:F,2,0))</f>
        <v/>
      </c>
      <c r="DI138" s="1282" t="str">
        <f t="shared" si="36"/>
        <v/>
      </c>
      <c r="DJ138" s="1283">
        <f>IF($DI138="Opex",SUMIF('Monthly Summary'!$C$75:$N$75,"",H138:S138),SUMIF('Monthly Summary'!$C$74:$N$74,"",H138:S138))</f>
        <v>0</v>
      </c>
      <c r="DK138" s="1283">
        <f>IF($DI138="Opex",SUMIF('Monthly Summary'!$O$75:$Z$75,"",T138:AE138),SUMIF('Monthly Summary'!$O$74:$Z$74,"",T138:AE138))</f>
        <v>0</v>
      </c>
      <c r="DL138" s="1283">
        <f>IF($DI138="Opex",SUMIF('Monthly Summary'!$AA$75:$AL$75,"",AF138:AQ138),SUMIF('Monthly Summary'!$AA$74:$AL$74,"",AF138:AQ138))</f>
        <v>0</v>
      </c>
      <c r="DM138" s="1283">
        <f>IF($DI138="Opex",SUMIF('Monthly Summary'!$AM$75:$AX$75,"",AR138:BC138),SUMIF('Monthly Summary'!$AM$74:$AX$74,"",AR138:BC138))</f>
        <v>0</v>
      </c>
      <c r="DN138" s="1283">
        <f>IF($DI138="Opex",SUMIF('Monthly Summary'!$AY$75:$BJ$75,"",BD138:BO138),SUMIF('Monthly Summary'!$AY$74:$BJ$74,"",BD138:BO138))</f>
        <v>0</v>
      </c>
      <c r="DO138" s="1284">
        <f>IF($DI138="Opex",SUMIF('Monthly Summary'!$BK$75:$BV$75,"",BP138:CA138),SUMIF('Monthly Summary'!$BK$74:$BV$74,"",BP138:CA138))</f>
        <v>0</v>
      </c>
      <c r="DP138" s="1285">
        <f t="shared" si="50"/>
        <v>0</v>
      </c>
    </row>
    <row r="139" spans="1:120" s="809" customFormat="1">
      <c r="A139" s="1261"/>
      <c r="B139" s="1261"/>
      <c r="C139" s="1261"/>
      <c r="D139" s="1262"/>
      <c r="E139" s="1270"/>
      <c r="F139" s="1263"/>
      <c r="G139" s="1263"/>
      <c r="H139" s="1267"/>
      <c r="I139" s="1268"/>
      <c r="J139" s="1268"/>
      <c r="K139" s="1268"/>
      <c r="L139" s="1268"/>
      <c r="M139" s="1268"/>
      <c r="N139" s="1268"/>
      <c r="O139" s="1268"/>
      <c r="P139" s="1268"/>
      <c r="Q139" s="1268"/>
      <c r="R139" s="1268"/>
      <c r="S139" s="1269"/>
      <c r="T139" s="1267"/>
      <c r="U139" s="1268"/>
      <c r="V139" s="1268"/>
      <c r="W139" s="1268"/>
      <c r="X139" s="1268"/>
      <c r="Y139" s="1268"/>
      <c r="Z139" s="1268"/>
      <c r="AA139" s="1268"/>
      <c r="AB139" s="1268"/>
      <c r="AC139" s="1268"/>
      <c r="AD139" s="1268"/>
      <c r="AE139" s="1269"/>
      <c r="AF139" s="1267"/>
      <c r="AG139" s="1268"/>
      <c r="AH139" s="1268"/>
      <c r="AI139" s="1268"/>
      <c r="AJ139" s="1268"/>
      <c r="AK139" s="1268"/>
      <c r="AL139" s="1268"/>
      <c r="AM139" s="1268"/>
      <c r="AN139" s="1268"/>
      <c r="AO139" s="1268"/>
      <c r="AP139" s="1268"/>
      <c r="AQ139" s="1269"/>
      <c r="AR139" s="1267"/>
      <c r="AS139" s="1268"/>
      <c r="AT139" s="1268"/>
      <c r="AU139" s="1268"/>
      <c r="AV139" s="1268"/>
      <c r="AW139" s="1268"/>
      <c r="AX139" s="1268"/>
      <c r="AY139" s="1268"/>
      <c r="AZ139" s="1268"/>
      <c r="BA139" s="1268"/>
      <c r="BB139" s="1268"/>
      <c r="BC139" s="1269"/>
      <c r="BD139" s="1267"/>
      <c r="BE139" s="1268"/>
      <c r="BF139" s="1268"/>
      <c r="BG139" s="1268"/>
      <c r="BH139" s="1268"/>
      <c r="BI139" s="1268"/>
      <c r="BJ139" s="1268"/>
      <c r="BK139" s="1268"/>
      <c r="BL139" s="1268"/>
      <c r="BM139" s="1268"/>
      <c r="BN139" s="1268"/>
      <c r="BO139" s="1269"/>
      <c r="BP139" s="1267"/>
      <c r="BQ139" s="1268"/>
      <c r="BR139" s="1268"/>
      <c r="BS139" s="1268"/>
      <c r="BT139" s="1268"/>
      <c r="BU139" s="1268"/>
      <c r="BV139" s="1268"/>
      <c r="BW139" s="1268"/>
      <c r="BX139" s="1268"/>
      <c r="BY139" s="1268"/>
      <c r="BZ139" s="1268"/>
      <c r="CA139" s="1269"/>
      <c r="CB139" s="1286">
        <f t="shared" si="43"/>
        <v>0</v>
      </c>
      <c r="CC139" s="1277">
        <f>IF($F139=Miscellaneous!$N$8,SUM($H139:CA139),0)</f>
        <v>0</v>
      </c>
      <c r="CD139" s="1277">
        <f>IF($F139=Miscellaneous!$N$8,IF($G139="Opex",SUMIF('Monthly Summary'!$C$75:BV$75,"",$H139:CA139),SUMIF('Monthly Summary'!$C$74:BV$74,"",$H139:CA139)),0)</f>
        <v>0</v>
      </c>
      <c r="CE139" s="1286">
        <f t="shared" si="44"/>
        <v>0</v>
      </c>
      <c r="CF139" s="833"/>
      <c r="CG139" s="1277">
        <f>IF($F139=Miscellaneous!$N$9,SUM($H139:CA139),0)</f>
        <v>0</v>
      </c>
      <c r="CH139" s="1277">
        <f>IF($F139=Miscellaneous!$N$9,IF($G139="Opex",SUMIF('Monthly Summary'!$C$75:BV$75,"",$H139:CA139),SUMIF('Monthly Summary'!$C$74:BV$74,"",$H139:CA139)),0)</f>
        <v>0</v>
      </c>
      <c r="CI139" s="1286">
        <f t="shared" si="45"/>
        <v>0</v>
      </c>
      <c r="CJ139" s="833"/>
      <c r="CK139" s="1277">
        <f>IF($F139=Miscellaneous!$N$7,SUM($H139:CA139),0)</f>
        <v>0</v>
      </c>
      <c r="CL139" s="1277">
        <f>IF($F139=Miscellaneous!$N$7,IF($G139="Opex",SUMIF('Monthly Summary'!$C$75:BV$75,"",$H139:CA139),SUMIF('Monthly Summary'!$C$74:BV$74,"",$H139:CA139)),0)</f>
        <v>0</v>
      </c>
      <c r="CM139" s="1286">
        <f t="shared" si="46"/>
        <v>0</v>
      </c>
      <c r="CN139" s="833"/>
      <c r="CO139" s="1277">
        <f>IF($F139=Miscellaneous!$N$6,SUM($H139:CA139),0)</f>
        <v>0</v>
      </c>
      <c r="CP139" s="1277">
        <f>IF($F139=Miscellaneous!$N$6,IF($G139="Opex",SUMIF('Monthly Summary'!$C$75:BV$75,"",$H139:CA139),SUMIF('Monthly Summary'!$C$74:BV$74,"",$H139:CA139)),0)</f>
        <v>0</v>
      </c>
      <c r="CQ139" s="1286">
        <f t="shared" si="47"/>
        <v>0</v>
      </c>
      <c r="CR139" s="833"/>
      <c r="CS139" s="1277">
        <f>IF($A139="Software",SUM($H139:CA139),0)</f>
        <v>0</v>
      </c>
      <c r="CT139" s="1277">
        <f>IF($A139="Software",IF($G139="Opex",SUMIF('Monthly Summary'!$C$75:BV$75,"",$H139:CA139),SUMIF('Monthly Summary'!$C$74:BV$74,"",$H139:CA139)),0)</f>
        <v>0</v>
      </c>
      <c r="CU139" s="1286">
        <f t="shared" si="48"/>
        <v>0</v>
      </c>
      <c r="CV139" s="833"/>
      <c r="CW139" s="1277">
        <f t="shared" si="40"/>
        <v>0</v>
      </c>
      <c r="CX139" s="1277">
        <f t="shared" si="41"/>
        <v>0</v>
      </c>
      <c r="CY139" s="1286">
        <f t="shared" si="49"/>
        <v>0</v>
      </c>
      <c r="CZ139" s="833"/>
      <c r="DA139" s="1286">
        <f>IF($G139="Opex",SUMIF('Monthly Summary'!$C$75:BV$75,"",$H139:CA139),SUMIF('Monthly Summary'!$C$74:BV$74,"",$H139:CA139))</f>
        <v>0</v>
      </c>
      <c r="DB139" s="1278">
        <f t="shared" si="42"/>
        <v>0</v>
      </c>
      <c r="DC139" s="1279">
        <f>IF(AND(OR($D139=Variables!A$38,$D139=Variables!A$43),$F139&lt;&gt;"N/A"),1,0)</f>
        <v>0</v>
      </c>
      <c r="DD139" s="820"/>
      <c r="DE139" s="1281" t="str">
        <f t="shared" si="33"/>
        <v/>
      </c>
      <c r="DF139" s="1282" t="str">
        <f t="shared" si="34"/>
        <v/>
      </c>
      <c r="DG139" s="1282" t="str">
        <f t="shared" si="35"/>
        <v/>
      </c>
      <c r="DH139" s="1282" t="str">
        <f>IF(ISNA(VLOOKUP(DE139,Miscellaneous!E:F,2,0)),"",VLOOKUP(DE139,Miscellaneous!E:F,2,0))</f>
        <v/>
      </c>
      <c r="DI139" s="1282" t="str">
        <f t="shared" si="36"/>
        <v/>
      </c>
      <c r="DJ139" s="1283">
        <f>IF($DI139="Opex",SUMIF('Monthly Summary'!$C$75:$N$75,"",H139:S139),SUMIF('Monthly Summary'!$C$74:$N$74,"",H139:S139))</f>
        <v>0</v>
      </c>
      <c r="DK139" s="1283">
        <f>IF($DI139="Opex",SUMIF('Monthly Summary'!$O$75:$Z$75,"",T139:AE139),SUMIF('Monthly Summary'!$O$74:$Z$74,"",T139:AE139))</f>
        <v>0</v>
      </c>
      <c r="DL139" s="1283">
        <f>IF($DI139="Opex",SUMIF('Monthly Summary'!$AA$75:$AL$75,"",AF139:AQ139),SUMIF('Monthly Summary'!$AA$74:$AL$74,"",AF139:AQ139))</f>
        <v>0</v>
      </c>
      <c r="DM139" s="1283">
        <f>IF($DI139="Opex",SUMIF('Monthly Summary'!$AM$75:$AX$75,"",AR139:BC139),SUMIF('Monthly Summary'!$AM$74:$AX$74,"",AR139:BC139))</f>
        <v>0</v>
      </c>
      <c r="DN139" s="1283">
        <f>IF($DI139="Opex",SUMIF('Monthly Summary'!$AY$75:$BJ$75,"",BD139:BO139),SUMIF('Monthly Summary'!$AY$74:$BJ$74,"",BD139:BO139))</f>
        <v>0</v>
      </c>
      <c r="DO139" s="1284">
        <f>IF($DI139="Opex",SUMIF('Monthly Summary'!$BK$75:$BV$75,"",BP139:CA139),SUMIF('Monthly Summary'!$BK$74:$BV$74,"",BP139:CA139))</f>
        <v>0</v>
      </c>
      <c r="DP139" s="1285">
        <f t="shared" si="50"/>
        <v>0</v>
      </c>
    </row>
    <row r="140" spans="1:120" s="809" customFormat="1">
      <c r="A140" s="1261"/>
      <c r="B140" s="1261"/>
      <c r="C140" s="1261"/>
      <c r="D140" s="1262"/>
      <c r="E140" s="1270"/>
      <c r="F140" s="1263"/>
      <c r="G140" s="1263"/>
      <c r="H140" s="1267"/>
      <c r="I140" s="1268"/>
      <c r="J140" s="1268"/>
      <c r="K140" s="1268"/>
      <c r="L140" s="1268"/>
      <c r="M140" s="1268"/>
      <c r="N140" s="1268"/>
      <c r="O140" s="1268"/>
      <c r="P140" s="1268"/>
      <c r="Q140" s="1268"/>
      <c r="R140" s="1268"/>
      <c r="S140" s="1269"/>
      <c r="T140" s="1267"/>
      <c r="U140" s="1268"/>
      <c r="V140" s="1268"/>
      <c r="W140" s="1268"/>
      <c r="X140" s="1268"/>
      <c r="Y140" s="1268"/>
      <c r="Z140" s="1268"/>
      <c r="AA140" s="1268"/>
      <c r="AB140" s="1268"/>
      <c r="AC140" s="1268"/>
      <c r="AD140" s="1268"/>
      <c r="AE140" s="1269"/>
      <c r="AF140" s="1267"/>
      <c r="AG140" s="1268"/>
      <c r="AH140" s="1268"/>
      <c r="AI140" s="1268"/>
      <c r="AJ140" s="1268"/>
      <c r="AK140" s="1268"/>
      <c r="AL140" s="1268"/>
      <c r="AM140" s="1268"/>
      <c r="AN140" s="1268"/>
      <c r="AO140" s="1268"/>
      <c r="AP140" s="1268"/>
      <c r="AQ140" s="1269"/>
      <c r="AR140" s="1267"/>
      <c r="AS140" s="1268"/>
      <c r="AT140" s="1268"/>
      <c r="AU140" s="1268"/>
      <c r="AV140" s="1268"/>
      <c r="AW140" s="1268"/>
      <c r="AX140" s="1268"/>
      <c r="AY140" s="1268"/>
      <c r="AZ140" s="1268"/>
      <c r="BA140" s="1268"/>
      <c r="BB140" s="1268"/>
      <c r="BC140" s="1269"/>
      <c r="BD140" s="1267"/>
      <c r="BE140" s="1268"/>
      <c r="BF140" s="1268"/>
      <c r="BG140" s="1268"/>
      <c r="BH140" s="1268"/>
      <c r="BI140" s="1268"/>
      <c r="BJ140" s="1268"/>
      <c r="BK140" s="1268"/>
      <c r="BL140" s="1268"/>
      <c r="BM140" s="1268"/>
      <c r="BN140" s="1268"/>
      <c r="BO140" s="1269"/>
      <c r="BP140" s="1267"/>
      <c r="BQ140" s="1268"/>
      <c r="BR140" s="1268"/>
      <c r="BS140" s="1268"/>
      <c r="BT140" s="1268"/>
      <c r="BU140" s="1268"/>
      <c r="BV140" s="1268"/>
      <c r="BW140" s="1268"/>
      <c r="BX140" s="1268"/>
      <c r="BY140" s="1268"/>
      <c r="BZ140" s="1268"/>
      <c r="CA140" s="1269"/>
      <c r="CB140" s="1286">
        <f t="shared" si="43"/>
        <v>0</v>
      </c>
      <c r="CC140" s="1277">
        <f>IF($F140=Miscellaneous!$N$8,SUM($H140:CA140),0)</f>
        <v>0</v>
      </c>
      <c r="CD140" s="1277">
        <f>IF($F140=Miscellaneous!$N$8,IF($G140="Opex",SUMIF('Monthly Summary'!$C$75:BV$75,"",$H140:CA140),SUMIF('Monthly Summary'!$C$74:BV$74,"",$H140:CA140)),0)</f>
        <v>0</v>
      </c>
      <c r="CE140" s="1286">
        <f t="shared" si="44"/>
        <v>0</v>
      </c>
      <c r="CF140" s="833"/>
      <c r="CG140" s="1277">
        <f>IF($F140=Miscellaneous!$N$9,SUM($H140:CA140),0)</f>
        <v>0</v>
      </c>
      <c r="CH140" s="1277">
        <f>IF($F140=Miscellaneous!$N$9,IF($G140="Opex",SUMIF('Monthly Summary'!$C$75:BV$75,"",$H140:CA140),SUMIF('Monthly Summary'!$C$74:BV$74,"",$H140:CA140)),0)</f>
        <v>0</v>
      </c>
      <c r="CI140" s="1286">
        <f t="shared" si="45"/>
        <v>0</v>
      </c>
      <c r="CJ140" s="833"/>
      <c r="CK140" s="1277">
        <f>IF($F140=Miscellaneous!$N$7,SUM($H140:CA140),0)</f>
        <v>0</v>
      </c>
      <c r="CL140" s="1277">
        <f>IF($F140=Miscellaneous!$N$7,IF($G140="Opex",SUMIF('Monthly Summary'!$C$75:BV$75,"",$H140:CA140),SUMIF('Monthly Summary'!$C$74:BV$74,"",$H140:CA140)),0)</f>
        <v>0</v>
      </c>
      <c r="CM140" s="1286">
        <f t="shared" si="46"/>
        <v>0</v>
      </c>
      <c r="CN140" s="833"/>
      <c r="CO140" s="1277">
        <f>IF($F140=Miscellaneous!$N$6,SUM($H140:CA140),0)</f>
        <v>0</v>
      </c>
      <c r="CP140" s="1277">
        <f>IF($F140=Miscellaneous!$N$6,IF($G140="Opex",SUMIF('Monthly Summary'!$C$75:BV$75,"",$H140:CA140),SUMIF('Monthly Summary'!$C$74:BV$74,"",$H140:CA140)),0)</f>
        <v>0</v>
      </c>
      <c r="CQ140" s="1286">
        <f t="shared" si="47"/>
        <v>0</v>
      </c>
      <c r="CR140" s="833"/>
      <c r="CS140" s="1277">
        <f>IF($A140="Software",SUM($H140:CA140),0)</f>
        <v>0</v>
      </c>
      <c r="CT140" s="1277">
        <f>IF($A140="Software",IF($G140="Opex",SUMIF('Monthly Summary'!$C$75:BV$75,"",$H140:CA140),SUMIF('Monthly Summary'!$C$74:BV$74,"",$H140:CA140)),0)</f>
        <v>0</v>
      </c>
      <c r="CU140" s="1286">
        <f t="shared" si="48"/>
        <v>0</v>
      </c>
      <c r="CV140" s="833"/>
      <c r="CW140" s="1277">
        <f t="shared" si="40"/>
        <v>0</v>
      </c>
      <c r="CX140" s="1277">
        <f t="shared" si="41"/>
        <v>0</v>
      </c>
      <c r="CY140" s="1286">
        <f t="shared" si="49"/>
        <v>0</v>
      </c>
      <c r="CZ140" s="833"/>
      <c r="DA140" s="1286">
        <f>IF($G140="Opex",SUMIF('Monthly Summary'!$C$75:BV$75,"",$H140:CA140),SUMIF('Monthly Summary'!$C$74:BV$74,"",$H140:CA140))</f>
        <v>0</v>
      </c>
      <c r="DB140" s="1278">
        <f t="shared" si="42"/>
        <v>0</v>
      </c>
      <c r="DC140" s="1279">
        <f>IF(AND(OR($D140=Variables!A$38,$D140=Variables!A$43),$F140&lt;&gt;"N/A"),1,0)</f>
        <v>0</v>
      </c>
      <c r="DD140" s="820"/>
      <c r="DE140" s="1281" t="str">
        <f t="shared" si="33"/>
        <v/>
      </c>
      <c r="DF140" s="1282" t="str">
        <f t="shared" si="34"/>
        <v/>
      </c>
      <c r="DG140" s="1282" t="str">
        <f t="shared" si="35"/>
        <v/>
      </c>
      <c r="DH140" s="1282" t="str">
        <f>IF(ISNA(VLOOKUP(DE140,Miscellaneous!E:F,2,0)),"",VLOOKUP(DE140,Miscellaneous!E:F,2,0))</f>
        <v/>
      </c>
      <c r="DI140" s="1282" t="str">
        <f t="shared" si="36"/>
        <v/>
      </c>
      <c r="DJ140" s="1283">
        <f>IF($DI140="Opex",SUMIF('Monthly Summary'!$C$75:$N$75,"",H140:S140),SUMIF('Monthly Summary'!$C$74:$N$74,"",H140:S140))</f>
        <v>0</v>
      </c>
      <c r="DK140" s="1283">
        <f>IF($DI140="Opex",SUMIF('Monthly Summary'!$O$75:$Z$75,"",T140:AE140),SUMIF('Monthly Summary'!$O$74:$Z$74,"",T140:AE140))</f>
        <v>0</v>
      </c>
      <c r="DL140" s="1283">
        <f>IF($DI140="Opex",SUMIF('Monthly Summary'!$AA$75:$AL$75,"",AF140:AQ140),SUMIF('Monthly Summary'!$AA$74:$AL$74,"",AF140:AQ140))</f>
        <v>0</v>
      </c>
      <c r="DM140" s="1283">
        <f>IF($DI140="Opex",SUMIF('Monthly Summary'!$AM$75:$AX$75,"",AR140:BC140),SUMIF('Monthly Summary'!$AM$74:$AX$74,"",AR140:BC140))</f>
        <v>0</v>
      </c>
      <c r="DN140" s="1283">
        <f>IF($DI140="Opex",SUMIF('Monthly Summary'!$AY$75:$BJ$75,"",BD140:BO140),SUMIF('Monthly Summary'!$AY$74:$BJ$74,"",BD140:BO140))</f>
        <v>0</v>
      </c>
      <c r="DO140" s="1284">
        <f>IF($DI140="Opex",SUMIF('Monthly Summary'!$BK$75:$BV$75,"",BP140:CA140),SUMIF('Monthly Summary'!$BK$74:$BV$74,"",BP140:CA140))</f>
        <v>0</v>
      </c>
      <c r="DP140" s="1285">
        <f t="shared" si="50"/>
        <v>0</v>
      </c>
    </row>
    <row r="141" spans="1:120" s="809" customFormat="1">
      <c r="A141" s="1261"/>
      <c r="B141" s="1261"/>
      <c r="C141" s="1261"/>
      <c r="D141" s="1262"/>
      <c r="E141" s="1270"/>
      <c r="F141" s="1263"/>
      <c r="G141" s="1263"/>
      <c r="H141" s="1267"/>
      <c r="I141" s="1268"/>
      <c r="J141" s="1268"/>
      <c r="K141" s="1268"/>
      <c r="L141" s="1268"/>
      <c r="M141" s="1268"/>
      <c r="N141" s="1268"/>
      <c r="O141" s="1268"/>
      <c r="P141" s="1268"/>
      <c r="Q141" s="1268"/>
      <c r="R141" s="1268"/>
      <c r="S141" s="1269"/>
      <c r="T141" s="1267"/>
      <c r="U141" s="1268"/>
      <c r="V141" s="1268"/>
      <c r="W141" s="1268"/>
      <c r="X141" s="1268"/>
      <c r="Y141" s="1268"/>
      <c r="Z141" s="1268"/>
      <c r="AA141" s="1268"/>
      <c r="AB141" s="1268"/>
      <c r="AC141" s="1268"/>
      <c r="AD141" s="1268"/>
      <c r="AE141" s="1269"/>
      <c r="AF141" s="1267"/>
      <c r="AG141" s="1268"/>
      <c r="AH141" s="1268"/>
      <c r="AI141" s="1268"/>
      <c r="AJ141" s="1268"/>
      <c r="AK141" s="1268"/>
      <c r="AL141" s="1268"/>
      <c r="AM141" s="1268"/>
      <c r="AN141" s="1268"/>
      <c r="AO141" s="1268"/>
      <c r="AP141" s="1268"/>
      <c r="AQ141" s="1269"/>
      <c r="AR141" s="1267"/>
      <c r="AS141" s="1268"/>
      <c r="AT141" s="1268"/>
      <c r="AU141" s="1268"/>
      <c r="AV141" s="1268"/>
      <c r="AW141" s="1268"/>
      <c r="AX141" s="1268"/>
      <c r="AY141" s="1268"/>
      <c r="AZ141" s="1268"/>
      <c r="BA141" s="1268"/>
      <c r="BB141" s="1268"/>
      <c r="BC141" s="1269"/>
      <c r="BD141" s="1267"/>
      <c r="BE141" s="1268"/>
      <c r="BF141" s="1268"/>
      <c r="BG141" s="1268"/>
      <c r="BH141" s="1268"/>
      <c r="BI141" s="1268"/>
      <c r="BJ141" s="1268"/>
      <c r="BK141" s="1268"/>
      <c r="BL141" s="1268"/>
      <c r="BM141" s="1268"/>
      <c r="BN141" s="1268"/>
      <c r="BO141" s="1269"/>
      <c r="BP141" s="1267"/>
      <c r="BQ141" s="1268"/>
      <c r="BR141" s="1268"/>
      <c r="BS141" s="1268"/>
      <c r="BT141" s="1268"/>
      <c r="BU141" s="1268"/>
      <c r="BV141" s="1268"/>
      <c r="BW141" s="1268"/>
      <c r="BX141" s="1268"/>
      <c r="BY141" s="1268"/>
      <c r="BZ141" s="1268"/>
      <c r="CA141" s="1269"/>
      <c r="CB141" s="1286">
        <f t="shared" si="43"/>
        <v>0</v>
      </c>
      <c r="CC141" s="1277">
        <f>IF($F141=Miscellaneous!$N$8,SUM($H141:CA141),0)</f>
        <v>0</v>
      </c>
      <c r="CD141" s="1277">
        <f>IF($F141=Miscellaneous!$N$8,IF($G141="Opex",SUMIF('Monthly Summary'!$C$75:BV$75,"",$H141:CA141),SUMIF('Monthly Summary'!$C$74:BV$74,"",$H141:CA141)),0)</f>
        <v>0</v>
      </c>
      <c r="CE141" s="1286">
        <f t="shared" si="44"/>
        <v>0</v>
      </c>
      <c r="CF141" s="833"/>
      <c r="CG141" s="1277">
        <f>IF($F141=Miscellaneous!$N$9,SUM($H141:CA141),0)</f>
        <v>0</v>
      </c>
      <c r="CH141" s="1277">
        <f>IF($F141=Miscellaneous!$N$9,IF($G141="Opex",SUMIF('Monthly Summary'!$C$75:BV$75,"",$H141:CA141),SUMIF('Monthly Summary'!$C$74:BV$74,"",$H141:CA141)),0)</f>
        <v>0</v>
      </c>
      <c r="CI141" s="1286">
        <f t="shared" si="45"/>
        <v>0</v>
      </c>
      <c r="CJ141" s="833"/>
      <c r="CK141" s="1277">
        <f>IF($F141=Miscellaneous!$N$7,SUM($H141:CA141),0)</f>
        <v>0</v>
      </c>
      <c r="CL141" s="1277">
        <f>IF($F141=Miscellaneous!$N$7,IF($G141="Opex",SUMIF('Monthly Summary'!$C$75:BV$75,"",$H141:CA141),SUMIF('Monthly Summary'!$C$74:BV$74,"",$H141:CA141)),0)</f>
        <v>0</v>
      </c>
      <c r="CM141" s="1286">
        <f t="shared" si="46"/>
        <v>0</v>
      </c>
      <c r="CN141" s="833"/>
      <c r="CO141" s="1277">
        <f>IF($F141=Miscellaneous!$N$6,SUM($H141:CA141),0)</f>
        <v>0</v>
      </c>
      <c r="CP141" s="1277">
        <f>IF($F141=Miscellaneous!$N$6,IF($G141="Opex",SUMIF('Monthly Summary'!$C$75:BV$75,"",$H141:CA141),SUMIF('Monthly Summary'!$C$74:BV$74,"",$H141:CA141)),0)</f>
        <v>0</v>
      </c>
      <c r="CQ141" s="1286">
        <f t="shared" si="47"/>
        <v>0</v>
      </c>
      <c r="CR141" s="833"/>
      <c r="CS141" s="1277">
        <f>IF($A141="Software",SUM($H141:CA141),0)</f>
        <v>0</v>
      </c>
      <c r="CT141" s="1277">
        <f>IF($A141="Software",IF($G141="Opex",SUMIF('Monthly Summary'!$C$75:BV$75,"",$H141:CA141),SUMIF('Monthly Summary'!$C$74:BV$74,"",$H141:CA141)),0)</f>
        <v>0</v>
      </c>
      <c r="CU141" s="1286">
        <f t="shared" si="48"/>
        <v>0</v>
      </c>
      <c r="CV141" s="833"/>
      <c r="CW141" s="1277">
        <f t="shared" si="40"/>
        <v>0</v>
      </c>
      <c r="CX141" s="1277">
        <f t="shared" si="41"/>
        <v>0</v>
      </c>
      <c r="CY141" s="1286">
        <f t="shared" si="49"/>
        <v>0</v>
      </c>
      <c r="CZ141" s="833"/>
      <c r="DA141" s="1286">
        <f>IF($G141="Opex",SUMIF('Monthly Summary'!$C$75:BV$75,"",$H141:CA141),SUMIF('Monthly Summary'!$C$74:BV$74,"",$H141:CA141))</f>
        <v>0</v>
      </c>
      <c r="DB141" s="1278">
        <f t="shared" si="42"/>
        <v>0</v>
      </c>
      <c r="DC141" s="1279">
        <f>IF(AND(OR($D141=Variables!A$38,$D141=Variables!A$43),$F141&lt;&gt;"N/A"),1,0)</f>
        <v>0</v>
      </c>
      <c r="DD141" s="820"/>
      <c r="DE141" s="1281" t="str">
        <f t="shared" si="33"/>
        <v/>
      </c>
      <c r="DF141" s="1282" t="str">
        <f t="shared" si="34"/>
        <v/>
      </c>
      <c r="DG141" s="1282" t="str">
        <f t="shared" si="35"/>
        <v/>
      </c>
      <c r="DH141" s="1282" t="str">
        <f>IF(ISNA(VLOOKUP(DE141,Miscellaneous!E:F,2,0)),"",VLOOKUP(DE141,Miscellaneous!E:F,2,0))</f>
        <v/>
      </c>
      <c r="DI141" s="1282" t="str">
        <f t="shared" si="36"/>
        <v/>
      </c>
      <c r="DJ141" s="1283">
        <f>IF($DI141="Opex",SUMIF('Monthly Summary'!$C$75:$N$75,"",H141:S141),SUMIF('Monthly Summary'!$C$74:$N$74,"",H141:S141))</f>
        <v>0</v>
      </c>
      <c r="DK141" s="1283">
        <f>IF($DI141="Opex",SUMIF('Monthly Summary'!$O$75:$Z$75,"",T141:AE141),SUMIF('Monthly Summary'!$O$74:$Z$74,"",T141:AE141))</f>
        <v>0</v>
      </c>
      <c r="DL141" s="1283">
        <f>IF($DI141="Opex",SUMIF('Monthly Summary'!$AA$75:$AL$75,"",AF141:AQ141),SUMIF('Monthly Summary'!$AA$74:$AL$74,"",AF141:AQ141))</f>
        <v>0</v>
      </c>
      <c r="DM141" s="1283">
        <f>IF($DI141="Opex",SUMIF('Monthly Summary'!$AM$75:$AX$75,"",AR141:BC141),SUMIF('Monthly Summary'!$AM$74:$AX$74,"",AR141:BC141))</f>
        <v>0</v>
      </c>
      <c r="DN141" s="1283">
        <f>IF($DI141="Opex",SUMIF('Monthly Summary'!$AY$75:$BJ$75,"",BD141:BO141),SUMIF('Monthly Summary'!$AY$74:$BJ$74,"",BD141:BO141))</f>
        <v>0</v>
      </c>
      <c r="DO141" s="1284">
        <f>IF($DI141="Opex",SUMIF('Monthly Summary'!$BK$75:$BV$75,"",BP141:CA141),SUMIF('Monthly Summary'!$BK$74:$BV$74,"",BP141:CA141))</f>
        <v>0</v>
      </c>
      <c r="DP141" s="1285">
        <f t="shared" si="50"/>
        <v>0</v>
      </c>
    </row>
    <row r="142" spans="1:120" s="809" customFormat="1">
      <c r="A142" s="1261"/>
      <c r="B142" s="1261"/>
      <c r="C142" s="1261"/>
      <c r="D142" s="1262"/>
      <c r="E142" s="1270"/>
      <c r="F142" s="1263"/>
      <c r="G142" s="1263"/>
      <c r="H142" s="1267"/>
      <c r="I142" s="1268"/>
      <c r="J142" s="1268"/>
      <c r="K142" s="1268"/>
      <c r="L142" s="1268"/>
      <c r="M142" s="1268"/>
      <c r="N142" s="1268"/>
      <c r="O142" s="1268"/>
      <c r="P142" s="1268"/>
      <c r="Q142" s="1268"/>
      <c r="R142" s="1268"/>
      <c r="S142" s="1269"/>
      <c r="T142" s="1267"/>
      <c r="U142" s="1268"/>
      <c r="V142" s="1268"/>
      <c r="W142" s="1268"/>
      <c r="X142" s="1268"/>
      <c r="Y142" s="1268"/>
      <c r="Z142" s="1268"/>
      <c r="AA142" s="1268"/>
      <c r="AB142" s="1268"/>
      <c r="AC142" s="1268"/>
      <c r="AD142" s="1268"/>
      <c r="AE142" s="1269"/>
      <c r="AF142" s="1267"/>
      <c r="AG142" s="1268"/>
      <c r="AH142" s="1268"/>
      <c r="AI142" s="1268"/>
      <c r="AJ142" s="1268"/>
      <c r="AK142" s="1268"/>
      <c r="AL142" s="1268"/>
      <c r="AM142" s="1268"/>
      <c r="AN142" s="1268"/>
      <c r="AO142" s="1268"/>
      <c r="AP142" s="1268"/>
      <c r="AQ142" s="1269"/>
      <c r="AR142" s="1267"/>
      <c r="AS142" s="1268"/>
      <c r="AT142" s="1268"/>
      <c r="AU142" s="1268"/>
      <c r="AV142" s="1268"/>
      <c r="AW142" s="1268"/>
      <c r="AX142" s="1268"/>
      <c r="AY142" s="1268"/>
      <c r="AZ142" s="1268"/>
      <c r="BA142" s="1268"/>
      <c r="BB142" s="1268"/>
      <c r="BC142" s="1269"/>
      <c r="BD142" s="1267"/>
      <c r="BE142" s="1268"/>
      <c r="BF142" s="1268"/>
      <c r="BG142" s="1268"/>
      <c r="BH142" s="1268"/>
      <c r="BI142" s="1268"/>
      <c r="BJ142" s="1268"/>
      <c r="BK142" s="1268"/>
      <c r="BL142" s="1268"/>
      <c r="BM142" s="1268"/>
      <c r="BN142" s="1268"/>
      <c r="BO142" s="1269"/>
      <c r="BP142" s="1267"/>
      <c r="BQ142" s="1268"/>
      <c r="BR142" s="1268"/>
      <c r="BS142" s="1268"/>
      <c r="BT142" s="1268"/>
      <c r="BU142" s="1268"/>
      <c r="BV142" s="1268"/>
      <c r="BW142" s="1268"/>
      <c r="BX142" s="1268"/>
      <c r="BY142" s="1268"/>
      <c r="BZ142" s="1268"/>
      <c r="CA142" s="1269"/>
      <c r="CB142" s="1286">
        <f t="shared" si="43"/>
        <v>0</v>
      </c>
      <c r="CC142" s="1277">
        <f>IF($F142=Miscellaneous!$N$8,SUM($H142:CA142),0)</f>
        <v>0</v>
      </c>
      <c r="CD142" s="1277">
        <f>IF($F142=Miscellaneous!$N$8,IF($G142="Opex",SUMIF('Monthly Summary'!$C$75:BV$75,"",$H142:CA142),SUMIF('Monthly Summary'!$C$74:BV$74,"",$H142:CA142)),0)</f>
        <v>0</v>
      </c>
      <c r="CE142" s="1286">
        <f t="shared" si="44"/>
        <v>0</v>
      </c>
      <c r="CF142" s="833"/>
      <c r="CG142" s="1277">
        <f>IF($F142=Miscellaneous!$N$9,SUM($H142:CA142),0)</f>
        <v>0</v>
      </c>
      <c r="CH142" s="1277">
        <f>IF($F142=Miscellaneous!$N$9,IF($G142="Opex",SUMIF('Monthly Summary'!$C$75:BV$75,"",$H142:CA142),SUMIF('Monthly Summary'!$C$74:BV$74,"",$H142:CA142)),0)</f>
        <v>0</v>
      </c>
      <c r="CI142" s="1286">
        <f t="shared" si="45"/>
        <v>0</v>
      </c>
      <c r="CJ142" s="833"/>
      <c r="CK142" s="1277">
        <f>IF($F142=Miscellaneous!$N$7,SUM($H142:CA142),0)</f>
        <v>0</v>
      </c>
      <c r="CL142" s="1277">
        <f>IF($F142=Miscellaneous!$N$7,IF($G142="Opex",SUMIF('Monthly Summary'!$C$75:BV$75,"",$H142:CA142),SUMIF('Monthly Summary'!$C$74:BV$74,"",$H142:CA142)),0)</f>
        <v>0</v>
      </c>
      <c r="CM142" s="1286">
        <f t="shared" si="46"/>
        <v>0</v>
      </c>
      <c r="CN142" s="833"/>
      <c r="CO142" s="1277">
        <f>IF($F142=Miscellaneous!$N$6,SUM($H142:CA142),0)</f>
        <v>0</v>
      </c>
      <c r="CP142" s="1277">
        <f>IF($F142=Miscellaneous!$N$6,IF($G142="Opex",SUMIF('Monthly Summary'!$C$75:BV$75,"",$H142:CA142),SUMIF('Monthly Summary'!$C$74:BV$74,"",$H142:CA142)),0)</f>
        <v>0</v>
      </c>
      <c r="CQ142" s="1286">
        <f t="shared" si="47"/>
        <v>0</v>
      </c>
      <c r="CR142" s="833"/>
      <c r="CS142" s="1277">
        <f>IF($A142="Software",SUM($H142:CA142),0)</f>
        <v>0</v>
      </c>
      <c r="CT142" s="1277">
        <f>IF($A142="Software",IF($G142="Opex",SUMIF('Monthly Summary'!$C$75:BV$75,"",$H142:CA142),SUMIF('Monthly Summary'!$C$74:BV$74,"",$H142:CA142)),0)</f>
        <v>0</v>
      </c>
      <c r="CU142" s="1286">
        <f t="shared" si="48"/>
        <v>0</v>
      </c>
      <c r="CV142" s="833"/>
      <c r="CW142" s="1277">
        <f t="shared" si="40"/>
        <v>0</v>
      </c>
      <c r="CX142" s="1277">
        <f t="shared" si="41"/>
        <v>0</v>
      </c>
      <c r="CY142" s="1286">
        <f t="shared" si="49"/>
        <v>0</v>
      </c>
      <c r="CZ142" s="833"/>
      <c r="DA142" s="1286">
        <f>IF($G142="Opex",SUMIF('Monthly Summary'!$C$75:BV$75,"",$H142:CA142),SUMIF('Monthly Summary'!$C$74:BV$74,"",$H142:CA142))</f>
        <v>0</v>
      </c>
      <c r="DB142" s="1278">
        <f t="shared" si="42"/>
        <v>0</v>
      </c>
      <c r="DC142" s="1279">
        <f>IF(AND(OR($D142=Variables!A$38,$D142=Variables!A$43),$F142&lt;&gt;"N/A"),1,0)</f>
        <v>0</v>
      </c>
      <c r="DD142" s="820"/>
      <c r="DE142" s="1281" t="str">
        <f t="shared" ref="DE142:DE167" si="51">IF(ISBLANK(A142),"",A142)</f>
        <v/>
      </c>
      <c r="DF142" s="1282" t="str">
        <f t="shared" ref="DF142:DF167" si="52">IF(ISBLANK(B142),"",B142)</f>
        <v/>
      </c>
      <c r="DG142" s="1282" t="str">
        <f t="shared" ref="DG142:DG167" si="53">IF(ISBLANK(C142),"",C142)</f>
        <v/>
      </c>
      <c r="DH142" s="1282" t="str">
        <f>IF(ISNA(VLOOKUP(DE142,Miscellaneous!E:F,2,0)),"",VLOOKUP(DE142,Miscellaneous!E:F,2,0))</f>
        <v/>
      </c>
      <c r="DI142" s="1282" t="str">
        <f t="shared" ref="DI142:DI167" si="54">IF(ISBLANK(G142),"",G142)</f>
        <v/>
      </c>
      <c r="DJ142" s="1283">
        <f>IF($DI142="Opex",SUMIF('Monthly Summary'!$C$75:$N$75,"",H142:S142),SUMIF('Monthly Summary'!$C$74:$N$74,"",H142:S142))</f>
        <v>0</v>
      </c>
      <c r="DK142" s="1283">
        <f>IF($DI142="Opex",SUMIF('Monthly Summary'!$O$75:$Z$75,"",T142:AE142),SUMIF('Monthly Summary'!$O$74:$Z$74,"",T142:AE142))</f>
        <v>0</v>
      </c>
      <c r="DL142" s="1283">
        <f>IF($DI142="Opex",SUMIF('Monthly Summary'!$AA$75:$AL$75,"",AF142:AQ142),SUMIF('Monthly Summary'!$AA$74:$AL$74,"",AF142:AQ142))</f>
        <v>0</v>
      </c>
      <c r="DM142" s="1283">
        <f>IF($DI142="Opex",SUMIF('Monthly Summary'!$AM$75:$AX$75,"",AR142:BC142),SUMIF('Monthly Summary'!$AM$74:$AX$74,"",AR142:BC142))</f>
        <v>0</v>
      </c>
      <c r="DN142" s="1283">
        <f>IF($DI142="Opex",SUMIF('Monthly Summary'!$AY$75:$BJ$75,"",BD142:BO142),SUMIF('Monthly Summary'!$AY$74:$BJ$74,"",BD142:BO142))</f>
        <v>0</v>
      </c>
      <c r="DO142" s="1284">
        <f>IF($DI142="Opex",SUMIF('Monthly Summary'!$BK$75:$BV$75,"",BP142:CA142),SUMIF('Monthly Summary'!$BK$74:$BV$74,"",BP142:CA142))</f>
        <v>0</v>
      </c>
      <c r="DP142" s="1285">
        <f t="shared" si="50"/>
        <v>0</v>
      </c>
    </row>
    <row r="143" spans="1:120" s="809" customFormat="1">
      <c r="A143" s="1261"/>
      <c r="B143" s="1261"/>
      <c r="C143" s="1261"/>
      <c r="D143" s="1262"/>
      <c r="E143" s="1270"/>
      <c r="F143" s="1263"/>
      <c r="G143" s="1263"/>
      <c r="H143" s="1267"/>
      <c r="I143" s="1268"/>
      <c r="J143" s="1268"/>
      <c r="K143" s="1268"/>
      <c r="L143" s="1268"/>
      <c r="M143" s="1268"/>
      <c r="N143" s="1268"/>
      <c r="O143" s="1268"/>
      <c r="P143" s="1268"/>
      <c r="Q143" s="1268"/>
      <c r="R143" s="1268"/>
      <c r="S143" s="1269"/>
      <c r="T143" s="1267"/>
      <c r="U143" s="1268"/>
      <c r="V143" s="1268"/>
      <c r="W143" s="1268"/>
      <c r="X143" s="1268"/>
      <c r="Y143" s="1268"/>
      <c r="Z143" s="1268"/>
      <c r="AA143" s="1268"/>
      <c r="AB143" s="1268"/>
      <c r="AC143" s="1268"/>
      <c r="AD143" s="1268"/>
      <c r="AE143" s="1269"/>
      <c r="AF143" s="1267"/>
      <c r="AG143" s="1268"/>
      <c r="AH143" s="1268"/>
      <c r="AI143" s="1268"/>
      <c r="AJ143" s="1268"/>
      <c r="AK143" s="1268"/>
      <c r="AL143" s="1268"/>
      <c r="AM143" s="1268"/>
      <c r="AN143" s="1268"/>
      <c r="AO143" s="1268"/>
      <c r="AP143" s="1268"/>
      <c r="AQ143" s="1269"/>
      <c r="AR143" s="1267"/>
      <c r="AS143" s="1268"/>
      <c r="AT143" s="1268"/>
      <c r="AU143" s="1268"/>
      <c r="AV143" s="1268"/>
      <c r="AW143" s="1268"/>
      <c r="AX143" s="1268"/>
      <c r="AY143" s="1268"/>
      <c r="AZ143" s="1268"/>
      <c r="BA143" s="1268"/>
      <c r="BB143" s="1268"/>
      <c r="BC143" s="1269"/>
      <c r="BD143" s="1267"/>
      <c r="BE143" s="1268"/>
      <c r="BF143" s="1268"/>
      <c r="BG143" s="1268"/>
      <c r="BH143" s="1268"/>
      <c r="BI143" s="1268"/>
      <c r="BJ143" s="1268"/>
      <c r="BK143" s="1268"/>
      <c r="BL143" s="1268"/>
      <c r="BM143" s="1268"/>
      <c r="BN143" s="1268"/>
      <c r="BO143" s="1269"/>
      <c r="BP143" s="1267"/>
      <c r="BQ143" s="1268"/>
      <c r="BR143" s="1268"/>
      <c r="BS143" s="1268"/>
      <c r="BT143" s="1268"/>
      <c r="BU143" s="1268"/>
      <c r="BV143" s="1268"/>
      <c r="BW143" s="1268"/>
      <c r="BX143" s="1268"/>
      <c r="BY143" s="1268"/>
      <c r="BZ143" s="1268"/>
      <c r="CA143" s="1269"/>
      <c r="CB143" s="1286">
        <f t="shared" si="43"/>
        <v>0</v>
      </c>
      <c r="CC143" s="1277">
        <f>IF($F143=Miscellaneous!$N$8,SUM($H143:CA143),0)</f>
        <v>0</v>
      </c>
      <c r="CD143" s="1277">
        <f>IF($F143=Miscellaneous!$N$8,IF($G143="Opex",SUMIF('Monthly Summary'!$C$75:BV$75,"",$H143:CA143),SUMIF('Monthly Summary'!$C$74:BV$74,"",$H143:CA143)),0)</f>
        <v>0</v>
      </c>
      <c r="CE143" s="1286">
        <f t="shared" si="44"/>
        <v>0</v>
      </c>
      <c r="CF143" s="833"/>
      <c r="CG143" s="1277">
        <f>IF($F143=Miscellaneous!$N$9,SUM($H143:CA143),0)</f>
        <v>0</v>
      </c>
      <c r="CH143" s="1277">
        <f>IF($F143=Miscellaneous!$N$9,IF($G143="Opex",SUMIF('Monthly Summary'!$C$75:BV$75,"",$H143:CA143),SUMIF('Monthly Summary'!$C$74:BV$74,"",$H143:CA143)),0)</f>
        <v>0</v>
      </c>
      <c r="CI143" s="1286">
        <f t="shared" si="45"/>
        <v>0</v>
      </c>
      <c r="CJ143" s="833"/>
      <c r="CK143" s="1277">
        <f>IF($F143=Miscellaneous!$N$7,SUM($H143:CA143),0)</f>
        <v>0</v>
      </c>
      <c r="CL143" s="1277">
        <f>IF($F143=Miscellaneous!$N$7,IF($G143="Opex",SUMIF('Monthly Summary'!$C$75:BV$75,"",$H143:CA143),SUMIF('Monthly Summary'!$C$74:BV$74,"",$H143:CA143)),0)</f>
        <v>0</v>
      </c>
      <c r="CM143" s="1286">
        <f t="shared" si="46"/>
        <v>0</v>
      </c>
      <c r="CN143" s="833"/>
      <c r="CO143" s="1277">
        <f>IF($F143=Miscellaneous!$N$6,SUM($H143:CA143),0)</f>
        <v>0</v>
      </c>
      <c r="CP143" s="1277">
        <f>IF($F143=Miscellaneous!$N$6,IF($G143="Opex",SUMIF('Monthly Summary'!$C$75:BV$75,"",$H143:CA143),SUMIF('Monthly Summary'!$C$74:BV$74,"",$H143:CA143)),0)</f>
        <v>0</v>
      </c>
      <c r="CQ143" s="1286">
        <f t="shared" si="47"/>
        <v>0</v>
      </c>
      <c r="CR143" s="833"/>
      <c r="CS143" s="1277">
        <f>IF($A143="Software",SUM($H143:CA143),0)</f>
        <v>0</v>
      </c>
      <c r="CT143" s="1277">
        <f>IF($A143="Software",IF($G143="Opex",SUMIF('Monthly Summary'!$C$75:BV$75,"",$H143:CA143),SUMIF('Monthly Summary'!$C$74:BV$74,"",$H143:CA143)),0)</f>
        <v>0</v>
      </c>
      <c r="CU143" s="1286">
        <f t="shared" si="48"/>
        <v>0</v>
      </c>
      <c r="CV143" s="833"/>
      <c r="CW143" s="1277">
        <f t="shared" si="40"/>
        <v>0</v>
      </c>
      <c r="CX143" s="1277">
        <f t="shared" si="41"/>
        <v>0</v>
      </c>
      <c r="CY143" s="1286">
        <f t="shared" si="49"/>
        <v>0</v>
      </c>
      <c r="CZ143" s="833"/>
      <c r="DA143" s="1286">
        <f>IF($G143="Opex",SUMIF('Monthly Summary'!$C$75:BV$75,"",$H143:CA143),SUMIF('Monthly Summary'!$C$74:BV$74,"",$H143:CA143))</f>
        <v>0</v>
      </c>
      <c r="DB143" s="1278">
        <f t="shared" si="42"/>
        <v>0</v>
      </c>
      <c r="DC143" s="1279">
        <f>IF(AND(OR($D143=Variables!A$38,$D143=Variables!A$43),$F143&lt;&gt;"N/A"),1,0)</f>
        <v>0</v>
      </c>
      <c r="DD143" s="820"/>
      <c r="DE143" s="1281" t="str">
        <f t="shared" si="51"/>
        <v/>
      </c>
      <c r="DF143" s="1282" t="str">
        <f t="shared" si="52"/>
        <v/>
      </c>
      <c r="DG143" s="1282" t="str">
        <f t="shared" si="53"/>
        <v/>
      </c>
      <c r="DH143" s="1282" t="str">
        <f>IF(ISNA(VLOOKUP(DE143,Miscellaneous!E:F,2,0)),"",VLOOKUP(DE143,Miscellaneous!E:F,2,0))</f>
        <v/>
      </c>
      <c r="DI143" s="1282" t="str">
        <f t="shared" si="54"/>
        <v/>
      </c>
      <c r="DJ143" s="1283">
        <f>IF($DI143="Opex",SUMIF('Monthly Summary'!$C$75:$N$75,"",H143:S143),SUMIF('Monthly Summary'!$C$74:$N$74,"",H143:S143))</f>
        <v>0</v>
      </c>
      <c r="DK143" s="1283">
        <f>IF($DI143="Opex",SUMIF('Monthly Summary'!$O$75:$Z$75,"",T143:AE143),SUMIF('Monthly Summary'!$O$74:$Z$74,"",T143:AE143))</f>
        <v>0</v>
      </c>
      <c r="DL143" s="1283">
        <f>IF($DI143="Opex",SUMIF('Monthly Summary'!$AA$75:$AL$75,"",AF143:AQ143),SUMIF('Monthly Summary'!$AA$74:$AL$74,"",AF143:AQ143))</f>
        <v>0</v>
      </c>
      <c r="DM143" s="1283">
        <f>IF($DI143="Opex",SUMIF('Monthly Summary'!$AM$75:$AX$75,"",AR143:BC143),SUMIF('Monthly Summary'!$AM$74:$AX$74,"",AR143:BC143))</f>
        <v>0</v>
      </c>
      <c r="DN143" s="1283">
        <f>IF($DI143="Opex",SUMIF('Monthly Summary'!$AY$75:$BJ$75,"",BD143:BO143),SUMIF('Monthly Summary'!$AY$74:$BJ$74,"",BD143:BO143))</f>
        <v>0</v>
      </c>
      <c r="DO143" s="1284">
        <f>IF($DI143="Opex",SUMIF('Monthly Summary'!$BK$75:$BV$75,"",BP143:CA143),SUMIF('Monthly Summary'!$BK$74:$BV$74,"",BP143:CA143))</f>
        <v>0</v>
      </c>
      <c r="DP143" s="1285">
        <f t="shared" si="50"/>
        <v>0</v>
      </c>
    </row>
    <row r="144" spans="1:120" s="809" customFormat="1">
      <c r="A144" s="1261"/>
      <c r="B144" s="1261"/>
      <c r="C144" s="1261"/>
      <c r="D144" s="1262"/>
      <c r="E144" s="1270"/>
      <c r="F144" s="1263"/>
      <c r="G144" s="1263"/>
      <c r="H144" s="1267"/>
      <c r="I144" s="1268"/>
      <c r="J144" s="1268"/>
      <c r="K144" s="1268"/>
      <c r="L144" s="1268"/>
      <c r="M144" s="1268"/>
      <c r="N144" s="1268"/>
      <c r="O144" s="1268"/>
      <c r="P144" s="1268"/>
      <c r="Q144" s="1268"/>
      <c r="R144" s="1268"/>
      <c r="S144" s="1269"/>
      <c r="T144" s="1267"/>
      <c r="U144" s="1268"/>
      <c r="V144" s="1268"/>
      <c r="W144" s="1268"/>
      <c r="X144" s="1268"/>
      <c r="Y144" s="1268"/>
      <c r="Z144" s="1268"/>
      <c r="AA144" s="1268"/>
      <c r="AB144" s="1268"/>
      <c r="AC144" s="1268"/>
      <c r="AD144" s="1268"/>
      <c r="AE144" s="1269"/>
      <c r="AF144" s="1267"/>
      <c r="AG144" s="1268"/>
      <c r="AH144" s="1268"/>
      <c r="AI144" s="1268"/>
      <c r="AJ144" s="1268"/>
      <c r="AK144" s="1268"/>
      <c r="AL144" s="1268"/>
      <c r="AM144" s="1268"/>
      <c r="AN144" s="1268"/>
      <c r="AO144" s="1268"/>
      <c r="AP144" s="1268"/>
      <c r="AQ144" s="1269"/>
      <c r="AR144" s="1267"/>
      <c r="AS144" s="1268"/>
      <c r="AT144" s="1268"/>
      <c r="AU144" s="1268"/>
      <c r="AV144" s="1268"/>
      <c r="AW144" s="1268"/>
      <c r="AX144" s="1268"/>
      <c r="AY144" s="1268"/>
      <c r="AZ144" s="1268"/>
      <c r="BA144" s="1268"/>
      <c r="BB144" s="1268"/>
      <c r="BC144" s="1269"/>
      <c r="BD144" s="1267"/>
      <c r="BE144" s="1268"/>
      <c r="BF144" s="1268"/>
      <c r="BG144" s="1268"/>
      <c r="BH144" s="1268"/>
      <c r="BI144" s="1268"/>
      <c r="BJ144" s="1268"/>
      <c r="BK144" s="1268"/>
      <c r="BL144" s="1268"/>
      <c r="BM144" s="1268"/>
      <c r="BN144" s="1268"/>
      <c r="BO144" s="1269"/>
      <c r="BP144" s="1267"/>
      <c r="BQ144" s="1268"/>
      <c r="BR144" s="1268"/>
      <c r="BS144" s="1268"/>
      <c r="BT144" s="1268"/>
      <c r="BU144" s="1268"/>
      <c r="BV144" s="1268"/>
      <c r="BW144" s="1268"/>
      <c r="BX144" s="1268"/>
      <c r="BY144" s="1268"/>
      <c r="BZ144" s="1268"/>
      <c r="CA144" s="1269"/>
      <c r="CB144" s="1286">
        <f t="shared" si="43"/>
        <v>0</v>
      </c>
      <c r="CC144" s="1277">
        <f>IF($F144=Miscellaneous!$N$8,SUM($H144:CA144),0)</f>
        <v>0</v>
      </c>
      <c r="CD144" s="1277">
        <f>IF($F144=Miscellaneous!$N$8,IF($G144="Opex",SUMIF('Monthly Summary'!$C$75:BV$75,"",$H144:CA144),SUMIF('Monthly Summary'!$C$74:BV$74,"",$H144:CA144)),0)</f>
        <v>0</v>
      </c>
      <c r="CE144" s="1286">
        <f t="shared" si="44"/>
        <v>0</v>
      </c>
      <c r="CF144" s="833"/>
      <c r="CG144" s="1277">
        <f>IF($F144=Miscellaneous!$N$9,SUM($H144:CA144),0)</f>
        <v>0</v>
      </c>
      <c r="CH144" s="1277">
        <f>IF($F144=Miscellaneous!$N$9,IF($G144="Opex",SUMIF('Monthly Summary'!$C$75:BV$75,"",$H144:CA144),SUMIF('Monthly Summary'!$C$74:BV$74,"",$H144:CA144)),0)</f>
        <v>0</v>
      </c>
      <c r="CI144" s="1286">
        <f t="shared" si="45"/>
        <v>0</v>
      </c>
      <c r="CJ144" s="833"/>
      <c r="CK144" s="1277">
        <f>IF($F144=Miscellaneous!$N$7,SUM($H144:CA144),0)</f>
        <v>0</v>
      </c>
      <c r="CL144" s="1277">
        <f>IF($F144=Miscellaneous!$N$7,IF($G144="Opex",SUMIF('Monthly Summary'!$C$75:BV$75,"",$H144:CA144),SUMIF('Monthly Summary'!$C$74:BV$74,"",$H144:CA144)),0)</f>
        <v>0</v>
      </c>
      <c r="CM144" s="1286">
        <f t="shared" si="46"/>
        <v>0</v>
      </c>
      <c r="CN144" s="833"/>
      <c r="CO144" s="1277">
        <f>IF($F144=Miscellaneous!$N$6,SUM($H144:CA144),0)</f>
        <v>0</v>
      </c>
      <c r="CP144" s="1277">
        <f>IF($F144=Miscellaneous!$N$6,IF($G144="Opex",SUMIF('Monthly Summary'!$C$75:BV$75,"",$H144:CA144),SUMIF('Monthly Summary'!$C$74:BV$74,"",$H144:CA144)),0)</f>
        <v>0</v>
      </c>
      <c r="CQ144" s="1286">
        <f t="shared" si="47"/>
        <v>0</v>
      </c>
      <c r="CR144" s="833"/>
      <c r="CS144" s="1277">
        <f>IF($A144="Software",SUM($H144:CA144),0)</f>
        <v>0</v>
      </c>
      <c r="CT144" s="1277">
        <f>IF($A144="Software",IF($G144="Opex",SUMIF('Monthly Summary'!$C$75:BV$75,"",$H144:CA144),SUMIF('Monthly Summary'!$C$74:BV$74,"",$H144:CA144)),0)</f>
        <v>0</v>
      </c>
      <c r="CU144" s="1286">
        <f t="shared" si="48"/>
        <v>0</v>
      </c>
      <c r="CV144" s="833"/>
      <c r="CW144" s="1277">
        <f t="shared" si="40"/>
        <v>0</v>
      </c>
      <c r="CX144" s="1277">
        <f t="shared" si="41"/>
        <v>0</v>
      </c>
      <c r="CY144" s="1286">
        <f t="shared" si="49"/>
        <v>0</v>
      </c>
      <c r="CZ144" s="833"/>
      <c r="DA144" s="1286">
        <f>IF($G144="Opex",SUMIF('Monthly Summary'!$C$75:BV$75,"",$H144:CA144),SUMIF('Monthly Summary'!$C$74:BV$74,"",$H144:CA144))</f>
        <v>0</v>
      </c>
      <c r="DB144" s="1278">
        <f t="shared" si="42"/>
        <v>0</v>
      </c>
      <c r="DC144" s="1279">
        <f>IF(AND(OR($D144=Variables!A$38,$D144=Variables!A$43),$F144&lt;&gt;"N/A"),1,0)</f>
        <v>0</v>
      </c>
      <c r="DD144" s="820"/>
      <c r="DE144" s="1281" t="str">
        <f t="shared" si="51"/>
        <v/>
      </c>
      <c r="DF144" s="1282" t="str">
        <f t="shared" si="52"/>
        <v/>
      </c>
      <c r="DG144" s="1282" t="str">
        <f t="shared" si="53"/>
        <v/>
      </c>
      <c r="DH144" s="1282" t="str">
        <f>IF(ISNA(VLOOKUP(DE144,Miscellaneous!E:F,2,0)),"",VLOOKUP(DE144,Miscellaneous!E:F,2,0))</f>
        <v/>
      </c>
      <c r="DI144" s="1282" t="str">
        <f t="shared" si="54"/>
        <v/>
      </c>
      <c r="DJ144" s="1283">
        <f>IF($DI144="Opex",SUMIF('Monthly Summary'!$C$75:$N$75,"",H144:S144),SUMIF('Monthly Summary'!$C$74:$N$74,"",H144:S144))</f>
        <v>0</v>
      </c>
      <c r="DK144" s="1283">
        <f>IF($DI144="Opex",SUMIF('Monthly Summary'!$O$75:$Z$75,"",T144:AE144),SUMIF('Monthly Summary'!$O$74:$Z$74,"",T144:AE144))</f>
        <v>0</v>
      </c>
      <c r="DL144" s="1283">
        <f>IF($DI144="Opex",SUMIF('Monthly Summary'!$AA$75:$AL$75,"",AF144:AQ144),SUMIF('Monthly Summary'!$AA$74:$AL$74,"",AF144:AQ144))</f>
        <v>0</v>
      </c>
      <c r="DM144" s="1283">
        <f>IF($DI144="Opex",SUMIF('Monthly Summary'!$AM$75:$AX$75,"",AR144:BC144),SUMIF('Monthly Summary'!$AM$74:$AX$74,"",AR144:BC144))</f>
        <v>0</v>
      </c>
      <c r="DN144" s="1283">
        <f>IF($DI144="Opex",SUMIF('Monthly Summary'!$AY$75:$BJ$75,"",BD144:BO144),SUMIF('Monthly Summary'!$AY$74:$BJ$74,"",BD144:BO144))</f>
        <v>0</v>
      </c>
      <c r="DO144" s="1284">
        <f>IF($DI144="Opex",SUMIF('Monthly Summary'!$BK$75:$BV$75,"",BP144:CA144),SUMIF('Monthly Summary'!$BK$74:$BV$74,"",BP144:CA144))</f>
        <v>0</v>
      </c>
      <c r="DP144" s="1285">
        <f t="shared" si="50"/>
        <v>0</v>
      </c>
    </row>
    <row r="145" spans="1:120" s="809" customFormat="1">
      <c r="A145" s="1261"/>
      <c r="B145" s="1261"/>
      <c r="C145" s="1261"/>
      <c r="D145" s="1262"/>
      <c r="E145" s="1270"/>
      <c r="F145" s="1263"/>
      <c r="G145" s="1263"/>
      <c r="H145" s="1267"/>
      <c r="I145" s="1268"/>
      <c r="J145" s="1268"/>
      <c r="K145" s="1268"/>
      <c r="L145" s="1268"/>
      <c r="M145" s="1268"/>
      <c r="N145" s="1268"/>
      <c r="O145" s="1268"/>
      <c r="P145" s="1268"/>
      <c r="Q145" s="1268"/>
      <c r="R145" s="1268"/>
      <c r="S145" s="1269"/>
      <c r="T145" s="1267"/>
      <c r="U145" s="1268"/>
      <c r="V145" s="1268"/>
      <c r="W145" s="1268"/>
      <c r="X145" s="1268"/>
      <c r="Y145" s="1268"/>
      <c r="Z145" s="1268"/>
      <c r="AA145" s="1268"/>
      <c r="AB145" s="1268"/>
      <c r="AC145" s="1268"/>
      <c r="AD145" s="1268"/>
      <c r="AE145" s="1269"/>
      <c r="AF145" s="1267"/>
      <c r="AG145" s="1268"/>
      <c r="AH145" s="1268"/>
      <c r="AI145" s="1268"/>
      <c r="AJ145" s="1268"/>
      <c r="AK145" s="1268"/>
      <c r="AL145" s="1268"/>
      <c r="AM145" s="1268"/>
      <c r="AN145" s="1268"/>
      <c r="AO145" s="1268"/>
      <c r="AP145" s="1268"/>
      <c r="AQ145" s="1269"/>
      <c r="AR145" s="1267"/>
      <c r="AS145" s="1268"/>
      <c r="AT145" s="1268"/>
      <c r="AU145" s="1268"/>
      <c r="AV145" s="1268"/>
      <c r="AW145" s="1268"/>
      <c r="AX145" s="1268"/>
      <c r="AY145" s="1268"/>
      <c r="AZ145" s="1268"/>
      <c r="BA145" s="1268"/>
      <c r="BB145" s="1268"/>
      <c r="BC145" s="1269"/>
      <c r="BD145" s="1267"/>
      <c r="BE145" s="1268"/>
      <c r="BF145" s="1268"/>
      <c r="BG145" s="1268"/>
      <c r="BH145" s="1268"/>
      <c r="BI145" s="1268"/>
      <c r="BJ145" s="1268"/>
      <c r="BK145" s="1268"/>
      <c r="BL145" s="1268"/>
      <c r="BM145" s="1268"/>
      <c r="BN145" s="1268"/>
      <c r="BO145" s="1269"/>
      <c r="BP145" s="1267"/>
      <c r="BQ145" s="1268"/>
      <c r="BR145" s="1268"/>
      <c r="BS145" s="1268"/>
      <c r="BT145" s="1268"/>
      <c r="BU145" s="1268"/>
      <c r="BV145" s="1268"/>
      <c r="BW145" s="1268"/>
      <c r="BX145" s="1268"/>
      <c r="BY145" s="1268"/>
      <c r="BZ145" s="1268"/>
      <c r="CA145" s="1269"/>
      <c r="CB145" s="1286">
        <f t="shared" si="43"/>
        <v>0</v>
      </c>
      <c r="CC145" s="1277">
        <f>IF($F145=Miscellaneous!$N$8,SUM($H145:CA145),0)</f>
        <v>0</v>
      </c>
      <c r="CD145" s="1277">
        <f>IF($F145=Miscellaneous!$N$8,IF($G145="Opex",SUMIF('Monthly Summary'!$C$75:BV$75,"",$H145:CA145),SUMIF('Monthly Summary'!$C$74:BV$74,"",$H145:CA145)),0)</f>
        <v>0</v>
      </c>
      <c r="CE145" s="1286">
        <f t="shared" si="44"/>
        <v>0</v>
      </c>
      <c r="CF145" s="833"/>
      <c r="CG145" s="1277">
        <f>IF($F145=Miscellaneous!$N$9,SUM($H145:CA145),0)</f>
        <v>0</v>
      </c>
      <c r="CH145" s="1277">
        <f>IF($F145=Miscellaneous!$N$9,IF($G145="Opex",SUMIF('Monthly Summary'!$C$75:BV$75,"",$H145:CA145),SUMIF('Monthly Summary'!$C$74:BV$74,"",$H145:CA145)),0)</f>
        <v>0</v>
      </c>
      <c r="CI145" s="1286">
        <f t="shared" si="45"/>
        <v>0</v>
      </c>
      <c r="CJ145" s="833"/>
      <c r="CK145" s="1277">
        <f>IF($F145=Miscellaneous!$N$7,SUM($H145:CA145),0)</f>
        <v>0</v>
      </c>
      <c r="CL145" s="1277">
        <f>IF($F145=Miscellaneous!$N$7,IF($G145="Opex",SUMIF('Monthly Summary'!$C$75:BV$75,"",$H145:CA145),SUMIF('Monthly Summary'!$C$74:BV$74,"",$H145:CA145)),0)</f>
        <v>0</v>
      </c>
      <c r="CM145" s="1286">
        <f t="shared" si="46"/>
        <v>0</v>
      </c>
      <c r="CN145" s="833"/>
      <c r="CO145" s="1277">
        <f>IF($F145=Miscellaneous!$N$6,SUM($H145:CA145),0)</f>
        <v>0</v>
      </c>
      <c r="CP145" s="1277">
        <f>IF($F145=Miscellaneous!$N$6,IF($G145="Opex",SUMIF('Monthly Summary'!$C$75:BV$75,"",$H145:CA145),SUMIF('Monthly Summary'!$C$74:BV$74,"",$H145:CA145)),0)</f>
        <v>0</v>
      </c>
      <c r="CQ145" s="1286">
        <f t="shared" si="47"/>
        <v>0</v>
      </c>
      <c r="CR145" s="833"/>
      <c r="CS145" s="1277">
        <f>IF($A145="Software",SUM($H145:CA145),0)</f>
        <v>0</v>
      </c>
      <c r="CT145" s="1277">
        <f>IF($A145="Software",IF($G145="Opex",SUMIF('Monthly Summary'!$C$75:BV$75,"",$H145:CA145),SUMIF('Monthly Summary'!$C$74:BV$74,"",$H145:CA145)),0)</f>
        <v>0</v>
      </c>
      <c r="CU145" s="1286">
        <f t="shared" si="48"/>
        <v>0</v>
      </c>
      <c r="CV145" s="833"/>
      <c r="CW145" s="1277">
        <f t="shared" si="40"/>
        <v>0</v>
      </c>
      <c r="CX145" s="1277">
        <f t="shared" si="41"/>
        <v>0</v>
      </c>
      <c r="CY145" s="1286">
        <f t="shared" si="49"/>
        <v>0</v>
      </c>
      <c r="CZ145" s="833"/>
      <c r="DA145" s="1286">
        <f>IF($G145="Opex",SUMIF('Monthly Summary'!$C$75:BV$75,"",$H145:CA145),SUMIF('Monthly Summary'!$C$74:BV$74,"",$H145:CA145))</f>
        <v>0</v>
      </c>
      <c r="DB145" s="1278">
        <f t="shared" si="42"/>
        <v>0</v>
      </c>
      <c r="DC145" s="1279">
        <f>IF(AND(OR($D145=Variables!A$38,$D145=Variables!A$43),$F145&lt;&gt;"N/A"),1,0)</f>
        <v>0</v>
      </c>
      <c r="DD145" s="820"/>
      <c r="DE145" s="1281" t="str">
        <f t="shared" si="51"/>
        <v/>
      </c>
      <c r="DF145" s="1282" t="str">
        <f t="shared" si="52"/>
        <v/>
      </c>
      <c r="DG145" s="1282" t="str">
        <f t="shared" si="53"/>
        <v/>
      </c>
      <c r="DH145" s="1282" t="str">
        <f>IF(ISNA(VLOOKUP(DE145,Miscellaneous!E:F,2,0)),"",VLOOKUP(DE145,Miscellaneous!E:F,2,0))</f>
        <v/>
      </c>
      <c r="DI145" s="1282" t="str">
        <f t="shared" si="54"/>
        <v/>
      </c>
      <c r="DJ145" s="1283">
        <f>IF($DI145="Opex",SUMIF('Monthly Summary'!$C$75:$N$75,"",H145:S145),SUMIF('Monthly Summary'!$C$74:$N$74,"",H145:S145))</f>
        <v>0</v>
      </c>
      <c r="DK145" s="1283">
        <f>IF($DI145="Opex",SUMIF('Monthly Summary'!$O$75:$Z$75,"",T145:AE145),SUMIF('Monthly Summary'!$O$74:$Z$74,"",T145:AE145))</f>
        <v>0</v>
      </c>
      <c r="DL145" s="1283">
        <f>IF($DI145="Opex",SUMIF('Monthly Summary'!$AA$75:$AL$75,"",AF145:AQ145),SUMIF('Monthly Summary'!$AA$74:$AL$74,"",AF145:AQ145))</f>
        <v>0</v>
      </c>
      <c r="DM145" s="1283">
        <f>IF($DI145="Opex",SUMIF('Monthly Summary'!$AM$75:$AX$75,"",AR145:BC145),SUMIF('Monthly Summary'!$AM$74:$AX$74,"",AR145:BC145))</f>
        <v>0</v>
      </c>
      <c r="DN145" s="1283">
        <f>IF($DI145="Opex",SUMIF('Monthly Summary'!$AY$75:$BJ$75,"",BD145:BO145),SUMIF('Monthly Summary'!$AY$74:$BJ$74,"",BD145:BO145))</f>
        <v>0</v>
      </c>
      <c r="DO145" s="1284">
        <f>IF($DI145="Opex",SUMIF('Monthly Summary'!$BK$75:$BV$75,"",BP145:CA145),SUMIF('Monthly Summary'!$BK$74:$BV$74,"",BP145:CA145))</f>
        <v>0</v>
      </c>
      <c r="DP145" s="1285">
        <f t="shared" si="50"/>
        <v>0</v>
      </c>
    </row>
    <row r="146" spans="1:120" s="809" customFormat="1">
      <c r="A146" s="1261"/>
      <c r="B146" s="1261"/>
      <c r="C146" s="1261"/>
      <c r="D146" s="1262"/>
      <c r="E146" s="1270"/>
      <c r="F146" s="1263"/>
      <c r="G146" s="1263"/>
      <c r="H146" s="1267"/>
      <c r="I146" s="1268"/>
      <c r="J146" s="1268"/>
      <c r="K146" s="1268"/>
      <c r="L146" s="1268"/>
      <c r="M146" s="1268"/>
      <c r="N146" s="1268"/>
      <c r="O146" s="1268"/>
      <c r="P146" s="1268"/>
      <c r="Q146" s="1268"/>
      <c r="R146" s="1268"/>
      <c r="S146" s="1269"/>
      <c r="T146" s="1267"/>
      <c r="U146" s="1268"/>
      <c r="V146" s="1268"/>
      <c r="W146" s="1268"/>
      <c r="X146" s="1268"/>
      <c r="Y146" s="1268"/>
      <c r="Z146" s="1268"/>
      <c r="AA146" s="1268"/>
      <c r="AB146" s="1268"/>
      <c r="AC146" s="1268"/>
      <c r="AD146" s="1268"/>
      <c r="AE146" s="1269"/>
      <c r="AF146" s="1267"/>
      <c r="AG146" s="1268"/>
      <c r="AH146" s="1268"/>
      <c r="AI146" s="1268"/>
      <c r="AJ146" s="1268"/>
      <c r="AK146" s="1268"/>
      <c r="AL146" s="1268"/>
      <c r="AM146" s="1268"/>
      <c r="AN146" s="1268"/>
      <c r="AO146" s="1268"/>
      <c r="AP146" s="1268"/>
      <c r="AQ146" s="1269"/>
      <c r="AR146" s="1267"/>
      <c r="AS146" s="1268"/>
      <c r="AT146" s="1268"/>
      <c r="AU146" s="1268"/>
      <c r="AV146" s="1268"/>
      <c r="AW146" s="1268"/>
      <c r="AX146" s="1268"/>
      <c r="AY146" s="1268"/>
      <c r="AZ146" s="1268"/>
      <c r="BA146" s="1268"/>
      <c r="BB146" s="1268"/>
      <c r="BC146" s="1269"/>
      <c r="BD146" s="1267"/>
      <c r="BE146" s="1268"/>
      <c r="BF146" s="1268"/>
      <c r="BG146" s="1268"/>
      <c r="BH146" s="1268"/>
      <c r="BI146" s="1268"/>
      <c r="BJ146" s="1268"/>
      <c r="BK146" s="1268"/>
      <c r="BL146" s="1268"/>
      <c r="BM146" s="1268"/>
      <c r="BN146" s="1268"/>
      <c r="BO146" s="1269"/>
      <c r="BP146" s="1267"/>
      <c r="BQ146" s="1268"/>
      <c r="BR146" s="1268"/>
      <c r="BS146" s="1268"/>
      <c r="BT146" s="1268"/>
      <c r="BU146" s="1268"/>
      <c r="BV146" s="1268"/>
      <c r="BW146" s="1268"/>
      <c r="BX146" s="1268"/>
      <c r="BY146" s="1268"/>
      <c r="BZ146" s="1268"/>
      <c r="CA146" s="1269"/>
      <c r="CB146" s="1286">
        <f t="shared" si="43"/>
        <v>0</v>
      </c>
      <c r="CC146" s="1277">
        <f>IF($F146=Miscellaneous!$N$8,SUM($H146:CA146),0)</f>
        <v>0</v>
      </c>
      <c r="CD146" s="1277">
        <f>IF($F146=Miscellaneous!$N$8,IF($G146="Opex",SUMIF('Monthly Summary'!$C$75:BV$75,"",$H146:CA146),SUMIF('Monthly Summary'!$C$74:BV$74,"",$H146:CA146)),0)</f>
        <v>0</v>
      </c>
      <c r="CE146" s="1286">
        <f t="shared" si="44"/>
        <v>0</v>
      </c>
      <c r="CF146" s="833"/>
      <c r="CG146" s="1277">
        <f>IF($F146=Miscellaneous!$N$9,SUM($H146:CA146),0)</f>
        <v>0</v>
      </c>
      <c r="CH146" s="1277">
        <f>IF($F146=Miscellaneous!$N$9,IF($G146="Opex",SUMIF('Monthly Summary'!$C$75:BV$75,"",$H146:CA146),SUMIF('Monthly Summary'!$C$74:BV$74,"",$H146:CA146)),0)</f>
        <v>0</v>
      </c>
      <c r="CI146" s="1286">
        <f t="shared" si="45"/>
        <v>0</v>
      </c>
      <c r="CJ146" s="833"/>
      <c r="CK146" s="1277">
        <f>IF($F146=Miscellaneous!$N$7,SUM($H146:CA146),0)</f>
        <v>0</v>
      </c>
      <c r="CL146" s="1277">
        <f>IF($F146=Miscellaneous!$N$7,IF($G146="Opex",SUMIF('Monthly Summary'!$C$75:BV$75,"",$H146:CA146),SUMIF('Monthly Summary'!$C$74:BV$74,"",$H146:CA146)),0)</f>
        <v>0</v>
      </c>
      <c r="CM146" s="1286">
        <f t="shared" si="46"/>
        <v>0</v>
      </c>
      <c r="CN146" s="833"/>
      <c r="CO146" s="1277">
        <f>IF($F146=Miscellaneous!$N$6,SUM($H146:CA146),0)</f>
        <v>0</v>
      </c>
      <c r="CP146" s="1277">
        <f>IF($F146=Miscellaneous!$N$6,IF($G146="Opex",SUMIF('Monthly Summary'!$C$75:BV$75,"",$H146:CA146),SUMIF('Monthly Summary'!$C$74:BV$74,"",$H146:CA146)),0)</f>
        <v>0</v>
      </c>
      <c r="CQ146" s="1286">
        <f t="shared" si="47"/>
        <v>0</v>
      </c>
      <c r="CR146" s="833"/>
      <c r="CS146" s="1277">
        <f>IF($A146="Software",SUM($H146:CA146),0)</f>
        <v>0</v>
      </c>
      <c r="CT146" s="1277">
        <f>IF($A146="Software",IF($G146="Opex",SUMIF('Monthly Summary'!$C$75:BV$75,"",$H146:CA146),SUMIF('Monthly Summary'!$C$74:BV$74,"",$H146:CA146)),0)</f>
        <v>0</v>
      </c>
      <c r="CU146" s="1286">
        <f t="shared" si="48"/>
        <v>0</v>
      </c>
      <c r="CV146" s="833"/>
      <c r="CW146" s="1277">
        <f t="shared" si="40"/>
        <v>0</v>
      </c>
      <c r="CX146" s="1277">
        <f t="shared" si="41"/>
        <v>0</v>
      </c>
      <c r="CY146" s="1286">
        <f t="shared" si="49"/>
        <v>0</v>
      </c>
      <c r="CZ146" s="833"/>
      <c r="DA146" s="1286">
        <f>IF($G146="Opex",SUMIF('Monthly Summary'!$C$75:BV$75,"",$H146:CA146),SUMIF('Monthly Summary'!$C$74:BV$74,"",$H146:CA146))</f>
        <v>0</v>
      </c>
      <c r="DB146" s="1278">
        <f t="shared" si="42"/>
        <v>0</v>
      </c>
      <c r="DC146" s="1279">
        <f>IF(AND(OR($D146=Variables!A$38,$D146=Variables!A$43),$F146&lt;&gt;"N/A"),1,0)</f>
        <v>0</v>
      </c>
      <c r="DD146" s="820"/>
      <c r="DE146" s="1281" t="str">
        <f t="shared" si="51"/>
        <v/>
      </c>
      <c r="DF146" s="1282" t="str">
        <f t="shared" si="52"/>
        <v/>
      </c>
      <c r="DG146" s="1282" t="str">
        <f t="shared" si="53"/>
        <v/>
      </c>
      <c r="DH146" s="1282" t="str">
        <f>IF(ISNA(VLOOKUP(DE146,Miscellaneous!E:F,2,0)),"",VLOOKUP(DE146,Miscellaneous!E:F,2,0))</f>
        <v/>
      </c>
      <c r="DI146" s="1282" t="str">
        <f t="shared" si="54"/>
        <v/>
      </c>
      <c r="DJ146" s="1283">
        <f>IF($DI146="Opex",SUMIF('Monthly Summary'!$C$75:$N$75,"",H146:S146),SUMIF('Monthly Summary'!$C$74:$N$74,"",H146:S146))</f>
        <v>0</v>
      </c>
      <c r="DK146" s="1283">
        <f>IF($DI146="Opex",SUMIF('Monthly Summary'!$O$75:$Z$75,"",T146:AE146),SUMIF('Monthly Summary'!$O$74:$Z$74,"",T146:AE146))</f>
        <v>0</v>
      </c>
      <c r="DL146" s="1283">
        <f>IF($DI146="Opex",SUMIF('Monthly Summary'!$AA$75:$AL$75,"",AF146:AQ146),SUMIF('Monthly Summary'!$AA$74:$AL$74,"",AF146:AQ146))</f>
        <v>0</v>
      </c>
      <c r="DM146" s="1283">
        <f>IF($DI146="Opex",SUMIF('Monthly Summary'!$AM$75:$AX$75,"",AR146:BC146),SUMIF('Monthly Summary'!$AM$74:$AX$74,"",AR146:BC146))</f>
        <v>0</v>
      </c>
      <c r="DN146" s="1283">
        <f>IF($DI146="Opex",SUMIF('Monthly Summary'!$AY$75:$BJ$75,"",BD146:BO146),SUMIF('Monthly Summary'!$AY$74:$BJ$74,"",BD146:BO146))</f>
        <v>0</v>
      </c>
      <c r="DO146" s="1284">
        <f>IF($DI146="Opex",SUMIF('Monthly Summary'!$BK$75:$BV$75,"",BP146:CA146),SUMIF('Monthly Summary'!$BK$74:$BV$74,"",BP146:CA146))</f>
        <v>0</v>
      </c>
      <c r="DP146" s="1285">
        <f t="shared" si="50"/>
        <v>0</v>
      </c>
    </row>
    <row r="147" spans="1:120" s="809" customFormat="1">
      <c r="A147" s="1261"/>
      <c r="B147" s="1261"/>
      <c r="C147" s="1261"/>
      <c r="D147" s="1262"/>
      <c r="E147" s="1270"/>
      <c r="F147" s="1263"/>
      <c r="G147" s="1263"/>
      <c r="H147" s="1267"/>
      <c r="I147" s="1268"/>
      <c r="J147" s="1268"/>
      <c r="K147" s="1268"/>
      <c r="L147" s="1268"/>
      <c r="M147" s="1268"/>
      <c r="N147" s="1268"/>
      <c r="O147" s="1268"/>
      <c r="P147" s="1268"/>
      <c r="Q147" s="1268"/>
      <c r="R147" s="1268"/>
      <c r="S147" s="1269"/>
      <c r="T147" s="1267"/>
      <c r="U147" s="1268"/>
      <c r="V147" s="1268"/>
      <c r="W147" s="1268"/>
      <c r="X147" s="1268"/>
      <c r="Y147" s="1268"/>
      <c r="Z147" s="1268"/>
      <c r="AA147" s="1268"/>
      <c r="AB147" s="1268"/>
      <c r="AC147" s="1268"/>
      <c r="AD147" s="1268"/>
      <c r="AE147" s="1269"/>
      <c r="AF147" s="1267"/>
      <c r="AG147" s="1268"/>
      <c r="AH147" s="1268"/>
      <c r="AI147" s="1268"/>
      <c r="AJ147" s="1268"/>
      <c r="AK147" s="1268"/>
      <c r="AL147" s="1268"/>
      <c r="AM147" s="1268"/>
      <c r="AN147" s="1268"/>
      <c r="AO147" s="1268"/>
      <c r="AP147" s="1268"/>
      <c r="AQ147" s="1269"/>
      <c r="AR147" s="1267"/>
      <c r="AS147" s="1268"/>
      <c r="AT147" s="1268"/>
      <c r="AU147" s="1268"/>
      <c r="AV147" s="1268"/>
      <c r="AW147" s="1268"/>
      <c r="AX147" s="1268"/>
      <c r="AY147" s="1268"/>
      <c r="AZ147" s="1268"/>
      <c r="BA147" s="1268"/>
      <c r="BB147" s="1268"/>
      <c r="BC147" s="1269"/>
      <c r="BD147" s="1267"/>
      <c r="BE147" s="1268"/>
      <c r="BF147" s="1268"/>
      <c r="BG147" s="1268"/>
      <c r="BH147" s="1268"/>
      <c r="BI147" s="1268"/>
      <c r="BJ147" s="1268"/>
      <c r="BK147" s="1268"/>
      <c r="BL147" s="1268"/>
      <c r="BM147" s="1268"/>
      <c r="BN147" s="1268"/>
      <c r="BO147" s="1269"/>
      <c r="BP147" s="1267"/>
      <c r="BQ147" s="1268"/>
      <c r="BR147" s="1268"/>
      <c r="BS147" s="1268"/>
      <c r="BT147" s="1268"/>
      <c r="BU147" s="1268"/>
      <c r="BV147" s="1268"/>
      <c r="BW147" s="1268"/>
      <c r="BX147" s="1268"/>
      <c r="BY147" s="1268"/>
      <c r="BZ147" s="1268"/>
      <c r="CA147" s="1269"/>
      <c r="CB147" s="1286">
        <f t="shared" si="43"/>
        <v>0</v>
      </c>
      <c r="CC147" s="1277">
        <f>IF($F147=Miscellaneous!$N$8,SUM($H147:CA147),0)</f>
        <v>0</v>
      </c>
      <c r="CD147" s="1277">
        <f>IF($F147=Miscellaneous!$N$8,IF($G147="Opex",SUMIF('Monthly Summary'!$C$75:BV$75,"",$H147:CA147),SUMIF('Monthly Summary'!$C$74:BV$74,"",$H147:CA147)),0)</f>
        <v>0</v>
      </c>
      <c r="CE147" s="1286">
        <f t="shared" si="44"/>
        <v>0</v>
      </c>
      <c r="CF147" s="833"/>
      <c r="CG147" s="1277">
        <f>IF($F147=Miscellaneous!$N$9,SUM($H147:CA147),0)</f>
        <v>0</v>
      </c>
      <c r="CH147" s="1277">
        <f>IF($F147=Miscellaneous!$N$9,IF($G147="Opex",SUMIF('Monthly Summary'!$C$75:BV$75,"",$H147:CA147),SUMIF('Monthly Summary'!$C$74:BV$74,"",$H147:CA147)),0)</f>
        <v>0</v>
      </c>
      <c r="CI147" s="1286">
        <f t="shared" si="45"/>
        <v>0</v>
      </c>
      <c r="CJ147" s="833"/>
      <c r="CK147" s="1277">
        <f>IF($F147=Miscellaneous!$N$7,SUM($H147:CA147),0)</f>
        <v>0</v>
      </c>
      <c r="CL147" s="1277">
        <f>IF($F147=Miscellaneous!$N$7,IF($G147="Opex",SUMIF('Monthly Summary'!$C$75:BV$75,"",$H147:CA147),SUMIF('Monthly Summary'!$C$74:BV$74,"",$H147:CA147)),0)</f>
        <v>0</v>
      </c>
      <c r="CM147" s="1286">
        <f t="shared" si="46"/>
        <v>0</v>
      </c>
      <c r="CN147" s="833"/>
      <c r="CO147" s="1277">
        <f>IF($F147=Miscellaneous!$N$6,SUM($H147:CA147),0)</f>
        <v>0</v>
      </c>
      <c r="CP147" s="1277">
        <f>IF($F147=Miscellaneous!$N$6,IF($G147="Opex",SUMIF('Monthly Summary'!$C$75:BV$75,"",$H147:CA147),SUMIF('Monthly Summary'!$C$74:BV$74,"",$H147:CA147)),0)</f>
        <v>0</v>
      </c>
      <c r="CQ147" s="1286">
        <f t="shared" si="47"/>
        <v>0</v>
      </c>
      <c r="CR147" s="833"/>
      <c r="CS147" s="1277">
        <f>IF($A147="Software",SUM($H147:CA147),0)</f>
        <v>0</v>
      </c>
      <c r="CT147" s="1277">
        <f>IF($A147="Software",IF($G147="Opex",SUMIF('Monthly Summary'!$C$75:BV$75,"",$H147:CA147),SUMIF('Monthly Summary'!$C$74:BV$74,"",$H147:CA147)),0)</f>
        <v>0</v>
      </c>
      <c r="CU147" s="1286">
        <f t="shared" si="48"/>
        <v>0</v>
      </c>
      <c r="CV147" s="833"/>
      <c r="CW147" s="1277">
        <f t="shared" si="40"/>
        <v>0</v>
      </c>
      <c r="CX147" s="1277">
        <f t="shared" si="41"/>
        <v>0</v>
      </c>
      <c r="CY147" s="1286">
        <f t="shared" si="49"/>
        <v>0</v>
      </c>
      <c r="CZ147" s="833"/>
      <c r="DA147" s="1286">
        <f>IF($G147="Opex",SUMIF('Monthly Summary'!$C$75:BV$75,"",$H147:CA147),SUMIF('Monthly Summary'!$C$74:BV$74,"",$H147:CA147))</f>
        <v>0</v>
      </c>
      <c r="DB147" s="1278">
        <f t="shared" si="42"/>
        <v>0</v>
      </c>
      <c r="DC147" s="1279">
        <f>IF(AND(OR($D147=Variables!A$38,$D147=Variables!A$43),$F147&lt;&gt;"N/A"),1,0)</f>
        <v>0</v>
      </c>
      <c r="DD147" s="820"/>
      <c r="DE147" s="1281" t="str">
        <f t="shared" si="51"/>
        <v/>
      </c>
      <c r="DF147" s="1282" t="str">
        <f t="shared" si="52"/>
        <v/>
      </c>
      <c r="DG147" s="1282" t="str">
        <f t="shared" si="53"/>
        <v/>
      </c>
      <c r="DH147" s="1282" t="str">
        <f>IF(ISNA(VLOOKUP(DE147,Miscellaneous!E:F,2,0)),"",VLOOKUP(DE147,Miscellaneous!E:F,2,0))</f>
        <v/>
      </c>
      <c r="DI147" s="1282" t="str">
        <f t="shared" si="54"/>
        <v/>
      </c>
      <c r="DJ147" s="1283">
        <f>IF($DI147="Opex",SUMIF('Monthly Summary'!$C$75:$N$75,"",H147:S147),SUMIF('Monthly Summary'!$C$74:$N$74,"",H147:S147))</f>
        <v>0</v>
      </c>
      <c r="DK147" s="1283">
        <f>IF($DI147="Opex",SUMIF('Monthly Summary'!$O$75:$Z$75,"",T147:AE147),SUMIF('Monthly Summary'!$O$74:$Z$74,"",T147:AE147))</f>
        <v>0</v>
      </c>
      <c r="DL147" s="1283">
        <f>IF($DI147="Opex",SUMIF('Monthly Summary'!$AA$75:$AL$75,"",AF147:AQ147),SUMIF('Monthly Summary'!$AA$74:$AL$74,"",AF147:AQ147))</f>
        <v>0</v>
      </c>
      <c r="DM147" s="1283">
        <f>IF($DI147="Opex",SUMIF('Monthly Summary'!$AM$75:$AX$75,"",AR147:BC147),SUMIF('Monthly Summary'!$AM$74:$AX$74,"",AR147:BC147))</f>
        <v>0</v>
      </c>
      <c r="DN147" s="1283">
        <f>IF($DI147="Opex",SUMIF('Monthly Summary'!$AY$75:$BJ$75,"",BD147:BO147),SUMIF('Monthly Summary'!$AY$74:$BJ$74,"",BD147:BO147))</f>
        <v>0</v>
      </c>
      <c r="DO147" s="1284">
        <f>IF($DI147="Opex",SUMIF('Monthly Summary'!$BK$75:$BV$75,"",BP147:CA147),SUMIF('Monthly Summary'!$BK$74:$BV$74,"",BP147:CA147))</f>
        <v>0</v>
      </c>
      <c r="DP147" s="1285">
        <f t="shared" si="50"/>
        <v>0</v>
      </c>
    </row>
    <row r="148" spans="1:120" s="809" customFormat="1">
      <c r="A148" s="1261"/>
      <c r="B148" s="1261"/>
      <c r="C148" s="1261"/>
      <c r="D148" s="1262"/>
      <c r="E148" s="1270"/>
      <c r="F148" s="1263"/>
      <c r="G148" s="1263"/>
      <c r="H148" s="1267"/>
      <c r="I148" s="1268"/>
      <c r="J148" s="1268"/>
      <c r="K148" s="1268"/>
      <c r="L148" s="1268"/>
      <c r="M148" s="1268"/>
      <c r="N148" s="1268"/>
      <c r="O148" s="1268"/>
      <c r="P148" s="1268"/>
      <c r="Q148" s="1268"/>
      <c r="R148" s="1268"/>
      <c r="S148" s="1269"/>
      <c r="T148" s="1267"/>
      <c r="U148" s="1268"/>
      <c r="V148" s="1268"/>
      <c r="W148" s="1268"/>
      <c r="X148" s="1268"/>
      <c r="Y148" s="1268"/>
      <c r="Z148" s="1268"/>
      <c r="AA148" s="1268"/>
      <c r="AB148" s="1268"/>
      <c r="AC148" s="1268"/>
      <c r="AD148" s="1268"/>
      <c r="AE148" s="1269"/>
      <c r="AF148" s="1267"/>
      <c r="AG148" s="1268"/>
      <c r="AH148" s="1268"/>
      <c r="AI148" s="1268"/>
      <c r="AJ148" s="1268"/>
      <c r="AK148" s="1268"/>
      <c r="AL148" s="1268"/>
      <c r="AM148" s="1268"/>
      <c r="AN148" s="1268"/>
      <c r="AO148" s="1268"/>
      <c r="AP148" s="1268"/>
      <c r="AQ148" s="1269"/>
      <c r="AR148" s="1267"/>
      <c r="AS148" s="1268"/>
      <c r="AT148" s="1268"/>
      <c r="AU148" s="1268"/>
      <c r="AV148" s="1268"/>
      <c r="AW148" s="1268"/>
      <c r="AX148" s="1268"/>
      <c r="AY148" s="1268"/>
      <c r="AZ148" s="1268"/>
      <c r="BA148" s="1268"/>
      <c r="BB148" s="1268"/>
      <c r="BC148" s="1269"/>
      <c r="BD148" s="1267"/>
      <c r="BE148" s="1268"/>
      <c r="BF148" s="1268"/>
      <c r="BG148" s="1268"/>
      <c r="BH148" s="1268"/>
      <c r="BI148" s="1268"/>
      <c r="BJ148" s="1268"/>
      <c r="BK148" s="1268"/>
      <c r="BL148" s="1268"/>
      <c r="BM148" s="1268"/>
      <c r="BN148" s="1268"/>
      <c r="BO148" s="1269"/>
      <c r="BP148" s="1267"/>
      <c r="BQ148" s="1268"/>
      <c r="BR148" s="1268"/>
      <c r="BS148" s="1268"/>
      <c r="BT148" s="1268"/>
      <c r="BU148" s="1268"/>
      <c r="BV148" s="1268"/>
      <c r="BW148" s="1268"/>
      <c r="BX148" s="1268"/>
      <c r="BY148" s="1268"/>
      <c r="BZ148" s="1268"/>
      <c r="CA148" s="1269"/>
      <c r="CB148" s="1286">
        <f t="shared" si="43"/>
        <v>0</v>
      </c>
      <c r="CC148" s="1277">
        <f>IF($F148=Miscellaneous!$N$8,SUM($H148:CA148),0)</f>
        <v>0</v>
      </c>
      <c r="CD148" s="1277">
        <f>IF($F148=Miscellaneous!$N$8,IF($G148="Opex",SUMIF('Monthly Summary'!$C$75:BV$75,"",$H148:CA148),SUMIF('Monthly Summary'!$C$74:BV$74,"",$H148:CA148)),0)</f>
        <v>0</v>
      </c>
      <c r="CE148" s="1286">
        <f t="shared" si="44"/>
        <v>0</v>
      </c>
      <c r="CF148" s="833"/>
      <c r="CG148" s="1277">
        <f>IF($F148=Miscellaneous!$N$9,SUM($H148:CA148),0)</f>
        <v>0</v>
      </c>
      <c r="CH148" s="1277">
        <f>IF($F148=Miscellaneous!$N$9,IF($G148="Opex",SUMIF('Monthly Summary'!$C$75:BV$75,"",$H148:CA148),SUMIF('Monthly Summary'!$C$74:BV$74,"",$H148:CA148)),0)</f>
        <v>0</v>
      </c>
      <c r="CI148" s="1286">
        <f t="shared" si="45"/>
        <v>0</v>
      </c>
      <c r="CJ148" s="833"/>
      <c r="CK148" s="1277">
        <f>IF($F148=Miscellaneous!$N$7,SUM($H148:CA148),0)</f>
        <v>0</v>
      </c>
      <c r="CL148" s="1277">
        <f>IF($F148=Miscellaneous!$N$7,IF($G148="Opex",SUMIF('Monthly Summary'!$C$75:BV$75,"",$H148:CA148),SUMIF('Monthly Summary'!$C$74:BV$74,"",$H148:CA148)),0)</f>
        <v>0</v>
      </c>
      <c r="CM148" s="1286">
        <f t="shared" si="46"/>
        <v>0</v>
      </c>
      <c r="CN148" s="833"/>
      <c r="CO148" s="1277">
        <f>IF($F148=Miscellaneous!$N$6,SUM($H148:CA148),0)</f>
        <v>0</v>
      </c>
      <c r="CP148" s="1277">
        <f>IF($F148=Miscellaneous!$N$6,IF($G148="Opex",SUMIF('Monthly Summary'!$C$75:BV$75,"",$H148:CA148),SUMIF('Monthly Summary'!$C$74:BV$74,"",$H148:CA148)),0)</f>
        <v>0</v>
      </c>
      <c r="CQ148" s="1286">
        <f t="shared" si="47"/>
        <v>0</v>
      </c>
      <c r="CR148" s="833"/>
      <c r="CS148" s="1277">
        <f>IF($A148="Software",SUM($H148:CA148),0)</f>
        <v>0</v>
      </c>
      <c r="CT148" s="1277">
        <f>IF($A148="Software",IF($G148="Opex",SUMIF('Monthly Summary'!$C$75:BV$75,"",$H148:CA148),SUMIF('Monthly Summary'!$C$74:BV$74,"",$H148:CA148)),0)</f>
        <v>0</v>
      </c>
      <c r="CU148" s="1286">
        <f t="shared" si="48"/>
        <v>0</v>
      </c>
      <c r="CV148" s="833"/>
      <c r="CW148" s="1277">
        <f t="shared" si="40"/>
        <v>0</v>
      </c>
      <c r="CX148" s="1277">
        <f t="shared" si="41"/>
        <v>0</v>
      </c>
      <c r="CY148" s="1286">
        <f t="shared" si="49"/>
        <v>0</v>
      </c>
      <c r="CZ148" s="833"/>
      <c r="DA148" s="1286">
        <f>IF($G148="Opex",SUMIF('Monthly Summary'!$C$75:BV$75,"",$H148:CA148),SUMIF('Monthly Summary'!$C$74:BV$74,"",$H148:CA148))</f>
        <v>0</v>
      </c>
      <c r="DB148" s="1278">
        <f t="shared" si="42"/>
        <v>0</v>
      </c>
      <c r="DC148" s="1279">
        <f>IF(AND(OR($D148=Variables!A$38,$D148=Variables!A$43),$F148&lt;&gt;"N/A"),1,0)</f>
        <v>0</v>
      </c>
      <c r="DD148" s="820"/>
      <c r="DE148" s="1281" t="str">
        <f t="shared" si="51"/>
        <v/>
      </c>
      <c r="DF148" s="1282" t="str">
        <f t="shared" si="52"/>
        <v/>
      </c>
      <c r="DG148" s="1282" t="str">
        <f t="shared" si="53"/>
        <v/>
      </c>
      <c r="DH148" s="1282" t="str">
        <f>IF(ISNA(VLOOKUP(DE148,Miscellaneous!E:F,2,0)),"",VLOOKUP(DE148,Miscellaneous!E:F,2,0))</f>
        <v/>
      </c>
      <c r="DI148" s="1282" t="str">
        <f t="shared" si="54"/>
        <v/>
      </c>
      <c r="DJ148" s="1283">
        <f>IF($DI148="Opex",SUMIF('Monthly Summary'!$C$75:$N$75,"",H148:S148),SUMIF('Monthly Summary'!$C$74:$N$74,"",H148:S148))</f>
        <v>0</v>
      </c>
      <c r="DK148" s="1283">
        <f>IF($DI148="Opex",SUMIF('Monthly Summary'!$O$75:$Z$75,"",T148:AE148),SUMIF('Monthly Summary'!$O$74:$Z$74,"",T148:AE148))</f>
        <v>0</v>
      </c>
      <c r="DL148" s="1283">
        <f>IF($DI148="Opex",SUMIF('Monthly Summary'!$AA$75:$AL$75,"",AF148:AQ148),SUMIF('Monthly Summary'!$AA$74:$AL$74,"",AF148:AQ148))</f>
        <v>0</v>
      </c>
      <c r="DM148" s="1283">
        <f>IF($DI148="Opex",SUMIF('Monthly Summary'!$AM$75:$AX$75,"",AR148:BC148),SUMIF('Monthly Summary'!$AM$74:$AX$74,"",AR148:BC148))</f>
        <v>0</v>
      </c>
      <c r="DN148" s="1283">
        <f>IF($DI148="Opex",SUMIF('Monthly Summary'!$AY$75:$BJ$75,"",BD148:BO148),SUMIF('Monthly Summary'!$AY$74:$BJ$74,"",BD148:BO148))</f>
        <v>0</v>
      </c>
      <c r="DO148" s="1284">
        <f>IF($DI148="Opex",SUMIF('Monthly Summary'!$BK$75:$BV$75,"",BP148:CA148),SUMIF('Monthly Summary'!$BK$74:$BV$74,"",BP148:CA148))</f>
        <v>0</v>
      </c>
      <c r="DP148" s="1285">
        <f t="shared" si="50"/>
        <v>0</v>
      </c>
    </row>
    <row r="149" spans="1:120" s="809" customFormat="1">
      <c r="A149" s="1261"/>
      <c r="B149" s="1261"/>
      <c r="C149" s="1261"/>
      <c r="D149" s="1262"/>
      <c r="E149" s="1270"/>
      <c r="F149" s="1263"/>
      <c r="G149" s="1263"/>
      <c r="H149" s="1267"/>
      <c r="I149" s="1268"/>
      <c r="J149" s="1268"/>
      <c r="K149" s="1268"/>
      <c r="L149" s="1268"/>
      <c r="M149" s="1268"/>
      <c r="N149" s="1268"/>
      <c r="O149" s="1268"/>
      <c r="P149" s="1268"/>
      <c r="Q149" s="1268"/>
      <c r="R149" s="1268"/>
      <c r="S149" s="1269"/>
      <c r="T149" s="1267"/>
      <c r="U149" s="1268"/>
      <c r="V149" s="1268"/>
      <c r="W149" s="1268"/>
      <c r="X149" s="1268"/>
      <c r="Y149" s="1268"/>
      <c r="Z149" s="1268"/>
      <c r="AA149" s="1268"/>
      <c r="AB149" s="1268"/>
      <c r="AC149" s="1268"/>
      <c r="AD149" s="1268"/>
      <c r="AE149" s="1269"/>
      <c r="AF149" s="1267"/>
      <c r="AG149" s="1268"/>
      <c r="AH149" s="1268"/>
      <c r="AI149" s="1268"/>
      <c r="AJ149" s="1268"/>
      <c r="AK149" s="1268"/>
      <c r="AL149" s="1268"/>
      <c r="AM149" s="1268"/>
      <c r="AN149" s="1268"/>
      <c r="AO149" s="1268"/>
      <c r="AP149" s="1268"/>
      <c r="AQ149" s="1269"/>
      <c r="AR149" s="1267"/>
      <c r="AS149" s="1268"/>
      <c r="AT149" s="1268"/>
      <c r="AU149" s="1268"/>
      <c r="AV149" s="1268"/>
      <c r="AW149" s="1268"/>
      <c r="AX149" s="1268"/>
      <c r="AY149" s="1268"/>
      <c r="AZ149" s="1268"/>
      <c r="BA149" s="1268"/>
      <c r="BB149" s="1268"/>
      <c r="BC149" s="1269"/>
      <c r="BD149" s="1267"/>
      <c r="BE149" s="1268"/>
      <c r="BF149" s="1268"/>
      <c r="BG149" s="1268"/>
      <c r="BH149" s="1268"/>
      <c r="BI149" s="1268"/>
      <c r="BJ149" s="1268"/>
      <c r="BK149" s="1268"/>
      <c r="BL149" s="1268"/>
      <c r="BM149" s="1268"/>
      <c r="BN149" s="1268"/>
      <c r="BO149" s="1269"/>
      <c r="BP149" s="1267"/>
      <c r="BQ149" s="1268"/>
      <c r="BR149" s="1268"/>
      <c r="BS149" s="1268"/>
      <c r="BT149" s="1268"/>
      <c r="BU149" s="1268"/>
      <c r="BV149" s="1268"/>
      <c r="BW149" s="1268"/>
      <c r="BX149" s="1268"/>
      <c r="BY149" s="1268"/>
      <c r="BZ149" s="1268"/>
      <c r="CA149" s="1269"/>
      <c r="CB149" s="1286">
        <f t="shared" si="43"/>
        <v>0</v>
      </c>
      <c r="CC149" s="1277">
        <f>IF($F149=Miscellaneous!$N$8,SUM($H149:CA149),0)</f>
        <v>0</v>
      </c>
      <c r="CD149" s="1277">
        <f>IF($F149=Miscellaneous!$N$8,IF($G149="Opex",SUMIF('Monthly Summary'!$C$75:BV$75,"",$H149:CA149),SUMIF('Monthly Summary'!$C$74:BV$74,"",$H149:CA149)),0)</f>
        <v>0</v>
      </c>
      <c r="CE149" s="1286">
        <f t="shared" si="44"/>
        <v>0</v>
      </c>
      <c r="CF149" s="833"/>
      <c r="CG149" s="1277">
        <f>IF($F149=Miscellaneous!$N$9,SUM($H149:CA149),0)</f>
        <v>0</v>
      </c>
      <c r="CH149" s="1277">
        <f>IF($F149=Miscellaneous!$N$9,IF($G149="Opex",SUMIF('Monthly Summary'!$C$75:BV$75,"",$H149:CA149),SUMIF('Monthly Summary'!$C$74:BV$74,"",$H149:CA149)),0)</f>
        <v>0</v>
      </c>
      <c r="CI149" s="1286">
        <f t="shared" si="45"/>
        <v>0</v>
      </c>
      <c r="CJ149" s="833"/>
      <c r="CK149" s="1277">
        <f>IF($F149=Miscellaneous!$N$7,SUM($H149:CA149),0)</f>
        <v>0</v>
      </c>
      <c r="CL149" s="1277">
        <f>IF($F149=Miscellaneous!$N$7,IF($G149="Opex",SUMIF('Monthly Summary'!$C$75:BV$75,"",$H149:CA149),SUMIF('Monthly Summary'!$C$74:BV$74,"",$H149:CA149)),0)</f>
        <v>0</v>
      </c>
      <c r="CM149" s="1286">
        <f t="shared" si="46"/>
        <v>0</v>
      </c>
      <c r="CN149" s="833"/>
      <c r="CO149" s="1277">
        <f>IF($F149=Miscellaneous!$N$6,SUM($H149:CA149),0)</f>
        <v>0</v>
      </c>
      <c r="CP149" s="1277">
        <f>IF($F149=Miscellaneous!$N$6,IF($G149="Opex",SUMIF('Monthly Summary'!$C$75:BV$75,"",$H149:CA149),SUMIF('Monthly Summary'!$C$74:BV$74,"",$H149:CA149)),0)</f>
        <v>0</v>
      </c>
      <c r="CQ149" s="1286">
        <f t="shared" si="47"/>
        <v>0</v>
      </c>
      <c r="CR149" s="833"/>
      <c r="CS149" s="1277">
        <f>IF($A149="Software",SUM($H149:CA149),0)</f>
        <v>0</v>
      </c>
      <c r="CT149" s="1277">
        <f>IF($A149="Software",IF($G149="Opex",SUMIF('Monthly Summary'!$C$75:BV$75,"",$H149:CA149),SUMIF('Monthly Summary'!$C$74:BV$74,"",$H149:CA149)),0)</f>
        <v>0</v>
      </c>
      <c r="CU149" s="1286">
        <f t="shared" si="48"/>
        <v>0</v>
      </c>
      <c r="CV149" s="833"/>
      <c r="CW149" s="1277">
        <f t="shared" si="40"/>
        <v>0</v>
      </c>
      <c r="CX149" s="1277">
        <f t="shared" si="41"/>
        <v>0</v>
      </c>
      <c r="CY149" s="1286">
        <f t="shared" si="49"/>
        <v>0</v>
      </c>
      <c r="CZ149" s="833"/>
      <c r="DA149" s="1286">
        <f>IF($G149="Opex",SUMIF('Monthly Summary'!$C$75:BV$75,"",$H149:CA149),SUMIF('Monthly Summary'!$C$74:BV$74,"",$H149:CA149))</f>
        <v>0</v>
      </c>
      <c r="DB149" s="1278">
        <f t="shared" si="42"/>
        <v>0</v>
      </c>
      <c r="DC149" s="1279">
        <f>IF(AND(OR($D149=Variables!A$38,$D149=Variables!A$43),$F149&lt;&gt;"N/A"),1,0)</f>
        <v>0</v>
      </c>
      <c r="DD149" s="820"/>
      <c r="DE149" s="1281" t="str">
        <f t="shared" si="51"/>
        <v/>
      </c>
      <c r="DF149" s="1282" t="str">
        <f t="shared" si="52"/>
        <v/>
      </c>
      <c r="DG149" s="1282" t="str">
        <f t="shared" si="53"/>
        <v/>
      </c>
      <c r="DH149" s="1282" t="str">
        <f>IF(ISNA(VLOOKUP(DE149,Miscellaneous!E:F,2,0)),"",VLOOKUP(DE149,Miscellaneous!E:F,2,0))</f>
        <v/>
      </c>
      <c r="DI149" s="1282" t="str">
        <f t="shared" si="54"/>
        <v/>
      </c>
      <c r="DJ149" s="1283">
        <f>IF($DI149="Opex",SUMIF('Monthly Summary'!$C$75:$N$75,"",H149:S149),SUMIF('Monthly Summary'!$C$74:$N$74,"",H149:S149))</f>
        <v>0</v>
      </c>
      <c r="DK149" s="1283">
        <f>IF($DI149="Opex",SUMIF('Monthly Summary'!$O$75:$Z$75,"",T149:AE149),SUMIF('Monthly Summary'!$O$74:$Z$74,"",T149:AE149))</f>
        <v>0</v>
      </c>
      <c r="DL149" s="1283">
        <f>IF($DI149="Opex",SUMIF('Monthly Summary'!$AA$75:$AL$75,"",AF149:AQ149),SUMIF('Monthly Summary'!$AA$74:$AL$74,"",AF149:AQ149))</f>
        <v>0</v>
      </c>
      <c r="DM149" s="1283">
        <f>IF($DI149="Opex",SUMIF('Monthly Summary'!$AM$75:$AX$75,"",AR149:BC149),SUMIF('Monthly Summary'!$AM$74:$AX$74,"",AR149:BC149))</f>
        <v>0</v>
      </c>
      <c r="DN149" s="1283">
        <f>IF($DI149="Opex",SUMIF('Monthly Summary'!$AY$75:$BJ$75,"",BD149:BO149),SUMIF('Monthly Summary'!$AY$74:$BJ$74,"",BD149:BO149))</f>
        <v>0</v>
      </c>
      <c r="DO149" s="1284">
        <f>IF($DI149="Opex",SUMIF('Monthly Summary'!$BK$75:$BV$75,"",BP149:CA149),SUMIF('Monthly Summary'!$BK$74:$BV$74,"",BP149:CA149))</f>
        <v>0</v>
      </c>
      <c r="DP149" s="1285">
        <f t="shared" si="50"/>
        <v>0</v>
      </c>
    </row>
    <row r="150" spans="1:120" s="809" customFormat="1">
      <c r="A150" s="1261"/>
      <c r="B150" s="1261"/>
      <c r="C150" s="1261"/>
      <c r="D150" s="1262"/>
      <c r="E150" s="1270"/>
      <c r="F150" s="1263"/>
      <c r="G150" s="1263"/>
      <c r="H150" s="1267"/>
      <c r="I150" s="1268"/>
      <c r="J150" s="1268"/>
      <c r="K150" s="1268"/>
      <c r="L150" s="1268"/>
      <c r="M150" s="1268"/>
      <c r="N150" s="1268"/>
      <c r="O150" s="1268"/>
      <c r="P150" s="1268"/>
      <c r="Q150" s="1268"/>
      <c r="R150" s="1268"/>
      <c r="S150" s="1269"/>
      <c r="T150" s="1267"/>
      <c r="U150" s="1268"/>
      <c r="V150" s="1268"/>
      <c r="W150" s="1268"/>
      <c r="X150" s="1268"/>
      <c r="Y150" s="1268"/>
      <c r="Z150" s="1268"/>
      <c r="AA150" s="1268"/>
      <c r="AB150" s="1268"/>
      <c r="AC150" s="1268"/>
      <c r="AD150" s="1268"/>
      <c r="AE150" s="1269"/>
      <c r="AF150" s="1267"/>
      <c r="AG150" s="1268"/>
      <c r="AH150" s="1268"/>
      <c r="AI150" s="1268"/>
      <c r="AJ150" s="1268"/>
      <c r="AK150" s="1268"/>
      <c r="AL150" s="1268"/>
      <c r="AM150" s="1268"/>
      <c r="AN150" s="1268"/>
      <c r="AO150" s="1268"/>
      <c r="AP150" s="1268"/>
      <c r="AQ150" s="1269"/>
      <c r="AR150" s="1267"/>
      <c r="AS150" s="1268"/>
      <c r="AT150" s="1268"/>
      <c r="AU150" s="1268"/>
      <c r="AV150" s="1268"/>
      <c r="AW150" s="1268"/>
      <c r="AX150" s="1268"/>
      <c r="AY150" s="1268"/>
      <c r="AZ150" s="1268"/>
      <c r="BA150" s="1268"/>
      <c r="BB150" s="1268"/>
      <c r="BC150" s="1269"/>
      <c r="BD150" s="1267"/>
      <c r="BE150" s="1268"/>
      <c r="BF150" s="1268"/>
      <c r="BG150" s="1268"/>
      <c r="BH150" s="1268"/>
      <c r="BI150" s="1268"/>
      <c r="BJ150" s="1268"/>
      <c r="BK150" s="1268"/>
      <c r="BL150" s="1268"/>
      <c r="BM150" s="1268"/>
      <c r="BN150" s="1268"/>
      <c r="BO150" s="1269"/>
      <c r="BP150" s="1267"/>
      <c r="BQ150" s="1268"/>
      <c r="BR150" s="1268"/>
      <c r="BS150" s="1268"/>
      <c r="BT150" s="1268"/>
      <c r="BU150" s="1268"/>
      <c r="BV150" s="1268"/>
      <c r="BW150" s="1268"/>
      <c r="BX150" s="1268"/>
      <c r="BY150" s="1268"/>
      <c r="BZ150" s="1268"/>
      <c r="CA150" s="1269"/>
      <c r="CB150" s="1286">
        <f t="shared" si="43"/>
        <v>0</v>
      </c>
      <c r="CC150" s="1277">
        <f>IF($F150=Miscellaneous!$N$8,SUM($H150:CA150),0)</f>
        <v>0</v>
      </c>
      <c r="CD150" s="1277">
        <f>IF($F150=Miscellaneous!$N$8,IF($G150="Opex",SUMIF('Monthly Summary'!$C$75:BV$75,"",$H150:CA150),SUMIF('Monthly Summary'!$C$74:BV$74,"",$H150:CA150)),0)</f>
        <v>0</v>
      </c>
      <c r="CE150" s="1286">
        <f t="shared" si="44"/>
        <v>0</v>
      </c>
      <c r="CF150" s="833"/>
      <c r="CG150" s="1277">
        <f>IF($F150=Miscellaneous!$N$9,SUM($H150:CA150),0)</f>
        <v>0</v>
      </c>
      <c r="CH150" s="1277">
        <f>IF($F150=Miscellaneous!$N$9,IF($G150="Opex",SUMIF('Monthly Summary'!$C$75:BV$75,"",$H150:CA150),SUMIF('Monthly Summary'!$C$74:BV$74,"",$H150:CA150)),0)</f>
        <v>0</v>
      </c>
      <c r="CI150" s="1286">
        <f t="shared" si="45"/>
        <v>0</v>
      </c>
      <c r="CJ150" s="833"/>
      <c r="CK150" s="1277">
        <f>IF($F150=Miscellaneous!$N$7,SUM($H150:CA150),0)</f>
        <v>0</v>
      </c>
      <c r="CL150" s="1277">
        <f>IF($F150=Miscellaneous!$N$7,IF($G150="Opex",SUMIF('Monthly Summary'!$C$75:BV$75,"",$H150:CA150),SUMIF('Monthly Summary'!$C$74:BV$74,"",$H150:CA150)),0)</f>
        <v>0</v>
      </c>
      <c r="CM150" s="1286">
        <f t="shared" si="46"/>
        <v>0</v>
      </c>
      <c r="CN150" s="833"/>
      <c r="CO150" s="1277">
        <f>IF($F150=Miscellaneous!$N$6,SUM($H150:CA150),0)</f>
        <v>0</v>
      </c>
      <c r="CP150" s="1277">
        <f>IF($F150=Miscellaneous!$N$6,IF($G150="Opex",SUMIF('Monthly Summary'!$C$75:BV$75,"",$H150:CA150),SUMIF('Monthly Summary'!$C$74:BV$74,"",$H150:CA150)),0)</f>
        <v>0</v>
      </c>
      <c r="CQ150" s="1286">
        <f t="shared" si="47"/>
        <v>0</v>
      </c>
      <c r="CR150" s="833"/>
      <c r="CS150" s="1277">
        <f>IF($A150="Software",SUM($H150:CA150),0)</f>
        <v>0</v>
      </c>
      <c r="CT150" s="1277">
        <f>IF($A150="Software",IF($G150="Opex",SUMIF('Monthly Summary'!$C$75:BV$75,"",$H150:CA150),SUMIF('Monthly Summary'!$C$74:BV$74,"",$H150:CA150)),0)</f>
        <v>0</v>
      </c>
      <c r="CU150" s="1286">
        <f t="shared" si="48"/>
        <v>0</v>
      </c>
      <c r="CV150" s="833"/>
      <c r="CW150" s="1277">
        <f t="shared" si="40"/>
        <v>0</v>
      </c>
      <c r="CX150" s="1277">
        <f t="shared" si="41"/>
        <v>0</v>
      </c>
      <c r="CY150" s="1286">
        <f t="shared" si="49"/>
        <v>0</v>
      </c>
      <c r="CZ150" s="833"/>
      <c r="DA150" s="1286">
        <f>IF($G150="Opex",SUMIF('Monthly Summary'!$C$75:BV$75,"",$H150:CA150),SUMIF('Monthly Summary'!$C$74:BV$74,"",$H150:CA150))</f>
        <v>0</v>
      </c>
      <c r="DB150" s="1278">
        <f t="shared" si="42"/>
        <v>0</v>
      </c>
      <c r="DC150" s="1279">
        <f>IF(AND(OR($D150=Variables!A$38,$D150=Variables!A$43),$F150&lt;&gt;"N/A"),1,0)</f>
        <v>0</v>
      </c>
      <c r="DD150" s="820"/>
      <c r="DE150" s="1281" t="str">
        <f t="shared" si="51"/>
        <v/>
      </c>
      <c r="DF150" s="1282" t="str">
        <f t="shared" si="52"/>
        <v/>
      </c>
      <c r="DG150" s="1282" t="str">
        <f t="shared" si="53"/>
        <v/>
      </c>
      <c r="DH150" s="1282" t="str">
        <f>IF(ISNA(VLOOKUP(DE150,Miscellaneous!E:F,2,0)),"",VLOOKUP(DE150,Miscellaneous!E:F,2,0))</f>
        <v/>
      </c>
      <c r="DI150" s="1282" t="str">
        <f t="shared" si="54"/>
        <v/>
      </c>
      <c r="DJ150" s="1283">
        <f>IF($DI150="Opex",SUMIF('Monthly Summary'!$C$75:$N$75,"",H150:S150),SUMIF('Monthly Summary'!$C$74:$N$74,"",H150:S150))</f>
        <v>0</v>
      </c>
      <c r="DK150" s="1283">
        <f>IF($DI150="Opex",SUMIF('Monthly Summary'!$O$75:$Z$75,"",T150:AE150),SUMIF('Monthly Summary'!$O$74:$Z$74,"",T150:AE150))</f>
        <v>0</v>
      </c>
      <c r="DL150" s="1283">
        <f>IF($DI150="Opex",SUMIF('Monthly Summary'!$AA$75:$AL$75,"",AF150:AQ150),SUMIF('Monthly Summary'!$AA$74:$AL$74,"",AF150:AQ150))</f>
        <v>0</v>
      </c>
      <c r="DM150" s="1283">
        <f>IF($DI150="Opex",SUMIF('Monthly Summary'!$AM$75:$AX$75,"",AR150:BC150),SUMIF('Monthly Summary'!$AM$74:$AX$74,"",AR150:BC150))</f>
        <v>0</v>
      </c>
      <c r="DN150" s="1283">
        <f>IF($DI150="Opex",SUMIF('Monthly Summary'!$AY$75:$BJ$75,"",BD150:BO150),SUMIF('Monthly Summary'!$AY$74:$BJ$74,"",BD150:BO150))</f>
        <v>0</v>
      </c>
      <c r="DO150" s="1284">
        <f>IF($DI150="Opex",SUMIF('Monthly Summary'!$BK$75:$BV$75,"",BP150:CA150),SUMIF('Monthly Summary'!$BK$74:$BV$74,"",BP150:CA150))</f>
        <v>0</v>
      </c>
      <c r="DP150" s="1285">
        <f t="shared" si="50"/>
        <v>0</v>
      </c>
    </row>
    <row r="151" spans="1:120" s="809" customFormat="1">
      <c r="A151" s="1261"/>
      <c r="B151" s="1261"/>
      <c r="C151" s="1261"/>
      <c r="D151" s="1262"/>
      <c r="E151" s="1270"/>
      <c r="F151" s="1263"/>
      <c r="G151" s="1263"/>
      <c r="H151" s="1267"/>
      <c r="I151" s="1268"/>
      <c r="J151" s="1268"/>
      <c r="K151" s="1268"/>
      <c r="L151" s="1268"/>
      <c r="M151" s="1268"/>
      <c r="N151" s="1268"/>
      <c r="O151" s="1268"/>
      <c r="P151" s="1268"/>
      <c r="Q151" s="1268"/>
      <c r="R151" s="1268"/>
      <c r="S151" s="1269"/>
      <c r="T151" s="1267"/>
      <c r="U151" s="1268"/>
      <c r="V151" s="1268"/>
      <c r="W151" s="1268"/>
      <c r="X151" s="1268"/>
      <c r="Y151" s="1268"/>
      <c r="Z151" s="1268"/>
      <c r="AA151" s="1268"/>
      <c r="AB151" s="1268"/>
      <c r="AC151" s="1268"/>
      <c r="AD151" s="1268"/>
      <c r="AE151" s="1269"/>
      <c r="AF151" s="1267"/>
      <c r="AG151" s="1268"/>
      <c r="AH151" s="1268"/>
      <c r="AI151" s="1268"/>
      <c r="AJ151" s="1268"/>
      <c r="AK151" s="1268"/>
      <c r="AL151" s="1268"/>
      <c r="AM151" s="1268"/>
      <c r="AN151" s="1268"/>
      <c r="AO151" s="1268"/>
      <c r="AP151" s="1268"/>
      <c r="AQ151" s="1269"/>
      <c r="AR151" s="1267"/>
      <c r="AS151" s="1268"/>
      <c r="AT151" s="1268"/>
      <c r="AU151" s="1268"/>
      <c r="AV151" s="1268"/>
      <c r="AW151" s="1268"/>
      <c r="AX151" s="1268"/>
      <c r="AY151" s="1268"/>
      <c r="AZ151" s="1268"/>
      <c r="BA151" s="1268"/>
      <c r="BB151" s="1268"/>
      <c r="BC151" s="1269"/>
      <c r="BD151" s="1267"/>
      <c r="BE151" s="1268"/>
      <c r="BF151" s="1268"/>
      <c r="BG151" s="1268"/>
      <c r="BH151" s="1268"/>
      <c r="BI151" s="1268"/>
      <c r="BJ151" s="1268"/>
      <c r="BK151" s="1268"/>
      <c r="BL151" s="1268"/>
      <c r="BM151" s="1268"/>
      <c r="BN151" s="1268"/>
      <c r="BO151" s="1269"/>
      <c r="BP151" s="1267"/>
      <c r="BQ151" s="1268"/>
      <c r="BR151" s="1268"/>
      <c r="BS151" s="1268"/>
      <c r="BT151" s="1268"/>
      <c r="BU151" s="1268"/>
      <c r="BV151" s="1268"/>
      <c r="BW151" s="1268"/>
      <c r="BX151" s="1268"/>
      <c r="BY151" s="1268"/>
      <c r="BZ151" s="1268"/>
      <c r="CA151" s="1269"/>
      <c r="CB151" s="1286">
        <f t="shared" si="43"/>
        <v>0</v>
      </c>
      <c r="CC151" s="1277">
        <f>IF($F151=Miscellaneous!$N$8,SUM($H151:CA151),0)</f>
        <v>0</v>
      </c>
      <c r="CD151" s="1277">
        <f>IF($F151=Miscellaneous!$N$8,IF($G151="Opex",SUMIF('Monthly Summary'!$C$75:BV$75,"",$H151:CA151),SUMIF('Monthly Summary'!$C$74:BV$74,"",$H151:CA151)),0)</f>
        <v>0</v>
      </c>
      <c r="CE151" s="1286">
        <f t="shared" si="44"/>
        <v>0</v>
      </c>
      <c r="CF151" s="833"/>
      <c r="CG151" s="1277">
        <f>IF($F151=Miscellaneous!$N$9,SUM($H151:CA151),0)</f>
        <v>0</v>
      </c>
      <c r="CH151" s="1277">
        <f>IF($F151=Miscellaneous!$N$9,IF($G151="Opex",SUMIF('Monthly Summary'!$C$75:BV$75,"",$H151:CA151),SUMIF('Monthly Summary'!$C$74:BV$74,"",$H151:CA151)),0)</f>
        <v>0</v>
      </c>
      <c r="CI151" s="1286">
        <f t="shared" si="45"/>
        <v>0</v>
      </c>
      <c r="CJ151" s="833"/>
      <c r="CK151" s="1277">
        <f>IF($F151=Miscellaneous!$N$7,SUM($H151:CA151),0)</f>
        <v>0</v>
      </c>
      <c r="CL151" s="1277">
        <f>IF($F151=Miscellaneous!$N$7,IF($G151="Opex",SUMIF('Monthly Summary'!$C$75:BV$75,"",$H151:CA151),SUMIF('Monthly Summary'!$C$74:BV$74,"",$H151:CA151)),0)</f>
        <v>0</v>
      </c>
      <c r="CM151" s="1286">
        <f t="shared" si="46"/>
        <v>0</v>
      </c>
      <c r="CN151" s="833"/>
      <c r="CO151" s="1277">
        <f>IF($F151=Miscellaneous!$N$6,SUM($H151:CA151),0)</f>
        <v>0</v>
      </c>
      <c r="CP151" s="1277">
        <f>IF($F151=Miscellaneous!$N$6,IF($G151="Opex",SUMIF('Monthly Summary'!$C$75:BV$75,"",$H151:CA151),SUMIF('Monthly Summary'!$C$74:BV$74,"",$H151:CA151)),0)</f>
        <v>0</v>
      </c>
      <c r="CQ151" s="1286">
        <f t="shared" si="47"/>
        <v>0</v>
      </c>
      <c r="CR151" s="833"/>
      <c r="CS151" s="1277">
        <f>IF($A151="Software",SUM($H151:CA151),0)</f>
        <v>0</v>
      </c>
      <c r="CT151" s="1277">
        <f>IF($A151="Software",IF($G151="Opex",SUMIF('Monthly Summary'!$C$75:BV$75,"",$H151:CA151),SUMIF('Monthly Summary'!$C$74:BV$74,"",$H151:CA151)),0)</f>
        <v>0</v>
      </c>
      <c r="CU151" s="1286">
        <f t="shared" si="48"/>
        <v>0</v>
      </c>
      <c r="CV151" s="833"/>
      <c r="CW151" s="1277">
        <f t="shared" si="40"/>
        <v>0</v>
      </c>
      <c r="CX151" s="1277">
        <f t="shared" si="41"/>
        <v>0</v>
      </c>
      <c r="CY151" s="1286">
        <f t="shared" si="49"/>
        <v>0</v>
      </c>
      <c r="CZ151" s="833"/>
      <c r="DA151" s="1286">
        <f>IF($G151="Opex",SUMIF('Monthly Summary'!$C$75:BV$75,"",$H151:CA151),SUMIF('Monthly Summary'!$C$74:BV$74,"",$H151:CA151))</f>
        <v>0</v>
      </c>
      <c r="DB151" s="1278">
        <f t="shared" si="42"/>
        <v>0</v>
      </c>
      <c r="DC151" s="1279">
        <f>IF(AND(OR($D151=Variables!A$38,$D151=Variables!A$43),$F151&lt;&gt;"N/A"),1,0)</f>
        <v>0</v>
      </c>
      <c r="DD151" s="820"/>
      <c r="DE151" s="1281" t="str">
        <f t="shared" si="51"/>
        <v/>
      </c>
      <c r="DF151" s="1282" t="str">
        <f t="shared" si="52"/>
        <v/>
      </c>
      <c r="DG151" s="1282" t="str">
        <f t="shared" si="53"/>
        <v/>
      </c>
      <c r="DH151" s="1282" t="str">
        <f>IF(ISNA(VLOOKUP(DE151,Miscellaneous!E:F,2,0)),"",VLOOKUP(DE151,Miscellaneous!E:F,2,0))</f>
        <v/>
      </c>
      <c r="DI151" s="1282" t="str">
        <f t="shared" si="54"/>
        <v/>
      </c>
      <c r="DJ151" s="1283">
        <f>IF($DI151="Opex",SUMIF('Monthly Summary'!$C$75:$N$75,"",H151:S151),SUMIF('Monthly Summary'!$C$74:$N$74,"",H151:S151))</f>
        <v>0</v>
      </c>
      <c r="DK151" s="1283">
        <f>IF($DI151="Opex",SUMIF('Monthly Summary'!$O$75:$Z$75,"",T151:AE151),SUMIF('Monthly Summary'!$O$74:$Z$74,"",T151:AE151))</f>
        <v>0</v>
      </c>
      <c r="DL151" s="1283">
        <f>IF($DI151="Opex",SUMIF('Monthly Summary'!$AA$75:$AL$75,"",AF151:AQ151),SUMIF('Monthly Summary'!$AA$74:$AL$74,"",AF151:AQ151))</f>
        <v>0</v>
      </c>
      <c r="DM151" s="1283">
        <f>IF($DI151="Opex",SUMIF('Monthly Summary'!$AM$75:$AX$75,"",AR151:BC151),SUMIF('Monthly Summary'!$AM$74:$AX$74,"",AR151:BC151))</f>
        <v>0</v>
      </c>
      <c r="DN151" s="1283">
        <f>IF($DI151="Opex",SUMIF('Monthly Summary'!$AY$75:$BJ$75,"",BD151:BO151),SUMIF('Monthly Summary'!$AY$74:$BJ$74,"",BD151:BO151))</f>
        <v>0</v>
      </c>
      <c r="DO151" s="1284">
        <f>IF($DI151="Opex",SUMIF('Monthly Summary'!$BK$75:$BV$75,"",BP151:CA151),SUMIF('Monthly Summary'!$BK$74:$BV$74,"",BP151:CA151))</f>
        <v>0</v>
      </c>
      <c r="DP151" s="1285">
        <f t="shared" si="50"/>
        <v>0</v>
      </c>
    </row>
    <row r="152" spans="1:120" s="809" customFormat="1">
      <c r="A152" s="1261"/>
      <c r="B152" s="1261"/>
      <c r="C152" s="1261"/>
      <c r="D152" s="1262"/>
      <c r="E152" s="1270"/>
      <c r="F152" s="1263"/>
      <c r="G152" s="1263"/>
      <c r="H152" s="1267"/>
      <c r="I152" s="1268"/>
      <c r="J152" s="1268"/>
      <c r="K152" s="1268"/>
      <c r="L152" s="1268"/>
      <c r="M152" s="1268"/>
      <c r="N152" s="1268"/>
      <c r="O152" s="1268"/>
      <c r="P152" s="1268"/>
      <c r="Q152" s="1268"/>
      <c r="R152" s="1268"/>
      <c r="S152" s="1269"/>
      <c r="T152" s="1267"/>
      <c r="U152" s="1268"/>
      <c r="V152" s="1268"/>
      <c r="W152" s="1268"/>
      <c r="X152" s="1268"/>
      <c r="Y152" s="1268"/>
      <c r="Z152" s="1268"/>
      <c r="AA152" s="1268"/>
      <c r="AB152" s="1268"/>
      <c r="AC152" s="1268"/>
      <c r="AD152" s="1268"/>
      <c r="AE152" s="1269"/>
      <c r="AF152" s="1267"/>
      <c r="AG152" s="1268"/>
      <c r="AH152" s="1268"/>
      <c r="AI152" s="1268"/>
      <c r="AJ152" s="1268"/>
      <c r="AK152" s="1268"/>
      <c r="AL152" s="1268"/>
      <c r="AM152" s="1268"/>
      <c r="AN152" s="1268"/>
      <c r="AO152" s="1268"/>
      <c r="AP152" s="1268"/>
      <c r="AQ152" s="1269"/>
      <c r="AR152" s="1267"/>
      <c r="AS152" s="1268"/>
      <c r="AT152" s="1268"/>
      <c r="AU152" s="1268"/>
      <c r="AV152" s="1268"/>
      <c r="AW152" s="1268"/>
      <c r="AX152" s="1268"/>
      <c r="AY152" s="1268"/>
      <c r="AZ152" s="1268"/>
      <c r="BA152" s="1268"/>
      <c r="BB152" s="1268"/>
      <c r="BC152" s="1269"/>
      <c r="BD152" s="1267"/>
      <c r="BE152" s="1268"/>
      <c r="BF152" s="1268"/>
      <c r="BG152" s="1268"/>
      <c r="BH152" s="1268"/>
      <c r="BI152" s="1268"/>
      <c r="BJ152" s="1268"/>
      <c r="BK152" s="1268"/>
      <c r="BL152" s="1268"/>
      <c r="BM152" s="1268"/>
      <c r="BN152" s="1268"/>
      <c r="BO152" s="1269"/>
      <c r="BP152" s="1267"/>
      <c r="BQ152" s="1268"/>
      <c r="BR152" s="1268"/>
      <c r="BS152" s="1268"/>
      <c r="BT152" s="1268"/>
      <c r="BU152" s="1268"/>
      <c r="BV152" s="1268"/>
      <c r="BW152" s="1268"/>
      <c r="BX152" s="1268"/>
      <c r="BY152" s="1268"/>
      <c r="BZ152" s="1268"/>
      <c r="CA152" s="1269"/>
      <c r="CB152" s="1286">
        <f t="shared" si="43"/>
        <v>0</v>
      </c>
      <c r="CC152" s="1277">
        <f>IF($F152=Miscellaneous!$N$8,SUM($H152:CA152),0)</f>
        <v>0</v>
      </c>
      <c r="CD152" s="1277">
        <f>IF($F152=Miscellaneous!$N$8,IF($G152="Opex",SUMIF('Monthly Summary'!$C$75:BV$75,"",$H152:CA152),SUMIF('Monthly Summary'!$C$74:BV$74,"",$H152:CA152)),0)</f>
        <v>0</v>
      </c>
      <c r="CE152" s="1286">
        <f t="shared" si="44"/>
        <v>0</v>
      </c>
      <c r="CF152" s="833"/>
      <c r="CG152" s="1277">
        <f>IF($F152=Miscellaneous!$N$9,SUM($H152:CA152),0)</f>
        <v>0</v>
      </c>
      <c r="CH152" s="1277">
        <f>IF($F152=Miscellaneous!$N$9,IF($G152="Opex",SUMIF('Monthly Summary'!$C$75:BV$75,"",$H152:CA152),SUMIF('Monthly Summary'!$C$74:BV$74,"",$H152:CA152)),0)</f>
        <v>0</v>
      </c>
      <c r="CI152" s="1286">
        <f t="shared" si="45"/>
        <v>0</v>
      </c>
      <c r="CJ152" s="833"/>
      <c r="CK152" s="1277">
        <f>IF($F152=Miscellaneous!$N$7,SUM($H152:CA152),0)</f>
        <v>0</v>
      </c>
      <c r="CL152" s="1277">
        <f>IF($F152=Miscellaneous!$N$7,IF($G152="Opex",SUMIF('Monthly Summary'!$C$75:BV$75,"",$H152:CA152),SUMIF('Monthly Summary'!$C$74:BV$74,"",$H152:CA152)),0)</f>
        <v>0</v>
      </c>
      <c r="CM152" s="1286">
        <f t="shared" si="46"/>
        <v>0</v>
      </c>
      <c r="CN152" s="833"/>
      <c r="CO152" s="1277">
        <f>IF($F152=Miscellaneous!$N$6,SUM($H152:CA152),0)</f>
        <v>0</v>
      </c>
      <c r="CP152" s="1277">
        <f>IF($F152=Miscellaneous!$N$6,IF($G152="Opex",SUMIF('Monthly Summary'!$C$75:BV$75,"",$H152:CA152),SUMIF('Monthly Summary'!$C$74:BV$74,"",$H152:CA152)),0)</f>
        <v>0</v>
      </c>
      <c r="CQ152" s="1286">
        <f t="shared" si="47"/>
        <v>0</v>
      </c>
      <c r="CR152" s="833"/>
      <c r="CS152" s="1277">
        <f>IF($A152="Software",SUM($H152:CA152),0)</f>
        <v>0</v>
      </c>
      <c r="CT152" s="1277">
        <f>IF($A152="Software",IF($G152="Opex",SUMIF('Monthly Summary'!$C$75:BV$75,"",$H152:CA152),SUMIF('Monthly Summary'!$C$74:BV$74,"",$H152:CA152)),0)</f>
        <v>0</v>
      </c>
      <c r="CU152" s="1286">
        <f t="shared" si="48"/>
        <v>0</v>
      </c>
      <c r="CV152" s="833"/>
      <c r="CW152" s="1277">
        <f t="shared" si="40"/>
        <v>0</v>
      </c>
      <c r="CX152" s="1277">
        <f t="shared" si="41"/>
        <v>0</v>
      </c>
      <c r="CY152" s="1286">
        <f t="shared" si="49"/>
        <v>0</v>
      </c>
      <c r="CZ152" s="833"/>
      <c r="DA152" s="1286">
        <f>IF($G152="Opex",SUMIF('Monthly Summary'!$C$75:BV$75,"",$H152:CA152),SUMIF('Monthly Summary'!$C$74:BV$74,"",$H152:CA152))</f>
        <v>0</v>
      </c>
      <c r="DB152" s="1278">
        <f t="shared" si="42"/>
        <v>0</v>
      </c>
      <c r="DC152" s="1279">
        <f>IF(AND(OR($D152=Variables!A$38,$D152=Variables!A$43),$F152&lt;&gt;"N/A"),1,0)</f>
        <v>0</v>
      </c>
      <c r="DD152" s="820"/>
      <c r="DE152" s="1281" t="str">
        <f t="shared" si="51"/>
        <v/>
      </c>
      <c r="DF152" s="1282" t="str">
        <f t="shared" si="52"/>
        <v/>
      </c>
      <c r="DG152" s="1282" t="str">
        <f t="shared" si="53"/>
        <v/>
      </c>
      <c r="DH152" s="1282" t="str">
        <f>IF(ISNA(VLOOKUP(DE152,Miscellaneous!E:F,2,0)),"",VLOOKUP(DE152,Miscellaneous!E:F,2,0))</f>
        <v/>
      </c>
      <c r="DI152" s="1282" t="str">
        <f t="shared" si="54"/>
        <v/>
      </c>
      <c r="DJ152" s="1283">
        <f>IF($DI152="Opex",SUMIF('Monthly Summary'!$C$75:$N$75,"",H152:S152),SUMIF('Monthly Summary'!$C$74:$N$74,"",H152:S152))</f>
        <v>0</v>
      </c>
      <c r="DK152" s="1283">
        <f>IF($DI152="Opex",SUMIF('Monthly Summary'!$O$75:$Z$75,"",T152:AE152),SUMIF('Monthly Summary'!$O$74:$Z$74,"",T152:AE152))</f>
        <v>0</v>
      </c>
      <c r="DL152" s="1283">
        <f>IF($DI152="Opex",SUMIF('Monthly Summary'!$AA$75:$AL$75,"",AF152:AQ152),SUMIF('Monthly Summary'!$AA$74:$AL$74,"",AF152:AQ152))</f>
        <v>0</v>
      </c>
      <c r="DM152" s="1283">
        <f>IF($DI152="Opex",SUMIF('Monthly Summary'!$AM$75:$AX$75,"",AR152:BC152),SUMIF('Monthly Summary'!$AM$74:$AX$74,"",AR152:BC152))</f>
        <v>0</v>
      </c>
      <c r="DN152" s="1283">
        <f>IF($DI152="Opex",SUMIF('Monthly Summary'!$AY$75:$BJ$75,"",BD152:BO152),SUMIF('Monthly Summary'!$AY$74:$BJ$74,"",BD152:BO152))</f>
        <v>0</v>
      </c>
      <c r="DO152" s="1284">
        <f>IF($DI152="Opex",SUMIF('Monthly Summary'!$BK$75:$BV$75,"",BP152:CA152),SUMIF('Monthly Summary'!$BK$74:$BV$74,"",BP152:CA152))</f>
        <v>0</v>
      </c>
      <c r="DP152" s="1285">
        <f t="shared" si="50"/>
        <v>0</v>
      </c>
    </row>
    <row r="153" spans="1:120" s="809" customFormat="1">
      <c r="A153" s="1261"/>
      <c r="B153" s="1261"/>
      <c r="C153" s="1261"/>
      <c r="D153" s="1262"/>
      <c r="E153" s="1270"/>
      <c r="F153" s="1263"/>
      <c r="G153" s="1263"/>
      <c r="H153" s="1267"/>
      <c r="I153" s="1268"/>
      <c r="J153" s="1268"/>
      <c r="K153" s="1268"/>
      <c r="L153" s="1268"/>
      <c r="M153" s="1268"/>
      <c r="N153" s="1268"/>
      <c r="O153" s="1268"/>
      <c r="P153" s="1268"/>
      <c r="Q153" s="1268"/>
      <c r="R153" s="1268"/>
      <c r="S153" s="1269"/>
      <c r="T153" s="1267"/>
      <c r="U153" s="1268"/>
      <c r="V153" s="1268"/>
      <c r="W153" s="1268"/>
      <c r="X153" s="1268"/>
      <c r="Y153" s="1268"/>
      <c r="Z153" s="1268"/>
      <c r="AA153" s="1268"/>
      <c r="AB153" s="1268"/>
      <c r="AC153" s="1268"/>
      <c r="AD153" s="1268"/>
      <c r="AE153" s="1269"/>
      <c r="AF153" s="1267"/>
      <c r="AG153" s="1268"/>
      <c r="AH153" s="1268"/>
      <c r="AI153" s="1268"/>
      <c r="AJ153" s="1268"/>
      <c r="AK153" s="1268"/>
      <c r="AL153" s="1268"/>
      <c r="AM153" s="1268"/>
      <c r="AN153" s="1268"/>
      <c r="AO153" s="1268"/>
      <c r="AP153" s="1268"/>
      <c r="AQ153" s="1269"/>
      <c r="AR153" s="1267"/>
      <c r="AS153" s="1268"/>
      <c r="AT153" s="1268"/>
      <c r="AU153" s="1268"/>
      <c r="AV153" s="1268"/>
      <c r="AW153" s="1268"/>
      <c r="AX153" s="1268"/>
      <c r="AY153" s="1268"/>
      <c r="AZ153" s="1268"/>
      <c r="BA153" s="1268"/>
      <c r="BB153" s="1268"/>
      <c r="BC153" s="1269"/>
      <c r="BD153" s="1267"/>
      <c r="BE153" s="1268"/>
      <c r="BF153" s="1268"/>
      <c r="BG153" s="1268"/>
      <c r="BH153" s="1268"/>
      <c r="BI153" s="1268"/>
      <c r="BJ153" s="1268"/>
      <c r="BK153" s="1268"/>
      <c r="BL153" s="1268"/>
      <c r="BM153" s="1268"/>
      <c r="BN153" s="1268"/>
      <c r="BO153" s="1269"/>
      <c r="BP153" s="1267"/>
      <c r="BQ153" s="1268"/>
      <c r="BR153" s="1268"/>
      <c r="BS153" s="1268"/>
      <c r="BT153" s="1268"/>
      <c r="BU153" s="1268"/>
      <c r="BV153" s="1268"/>
      <c r="BW153" s="1268"/>
      <c r="BX153" s="1268"/>
      <c r="BY153" s="1268"/>
      <c r="BZ153" s="1268"/>
      <c r="CA153" s="1269"/>
      <c r="CB153" s="1286">
        <f t="shared" si="43"/>
        <v>0</v>
      </c>
      <c r="CC153" s="1277">
        <f>IF($F153=Miscellaneous!$N$8,SUM($H153:CA153),0)</f>
        <v>0</v>
      </c>
      <c r="CD153" s="1277">
        <f>IF($F153=Miscellaneous!$N$8,IF($G153="Opex",SUMIF('Monthly Summary'!$C$75:BV$75,"",$H153:CA153),SUMIF('Monthly Summary'!$C$74:BV$74,"",$H153:CA153)),0)</f>
        <v>0</v>
      </c>
      <c r="CE153" s="1286">
        <f t="shared" si="44"/>
        <v>0</v>
      </c>
      <c r="CF153" s="833"/>
      <c r="CG153" s="1277">
        <f>IF($F153=Miscellaneous!$N$9,SUM($H153:CA153),0)</f>
        <v>0</v>
      </c>
      <c r="CH153" s="1277">
        <f>IF($F153=Miscellaneous!$N$9,IF($G153="Opex",SUMIF('Monthly Summary'!$C$75:BV$75,"",$H153:CA153),SUMIF('Monthly Summary'!$C$74:BV$74,"",$H153:CA153)),0)</f>
        <v>0</v>
      </c>
      <c r="CI153" s="1286">
        <f t="shared" si="45"/>
        <v>0</v>
      </c>
      <c r="CJ153" s="833"/>
      <c r="CK153" s="1277">
        <f>IF($F153=Miscellaneous!$N$7,SUM($H153:CA153),0)</f>
        <v>0</v>
      </c>
      <c r="CL153" s="1277">
        <f>IF($F153=Miscellaneous!$N$7,IF($G153="Opex",SUMIF('Monthly Summary'!$C$75:BV$75,"",$H153:CA153),SUMIF('Monthly Summary'!$C$74:BV$74,"",$H153:CA153)),0)</f>
        <v>0</v>
      </c>
      <c r="CM153" s="1286">
        <f t="shared" si="46"/>
        <v>0</v>
      </c>
      <c r="CN153" s="833"/>
      <c r="CO153" s="1277">
        <f>IF($F153=Miscellaneous!$N$6,SUM($H153:CA153),0)</f>
        <v>0</v>
      </c>
      <c r="CP153" s="1277">
        <f>IF($F153=Miscellaneous!$N$6,IF($G153="Opex",SUMIF('Monthly Summary'!$C$75:BV$75,"",$H153:CA153),SUMIF('Monthly Summary'!$C$74:BV$74,"",$H153:CA153)),0)</f>
        <v>0</v>
      </c>
      <c r="CQ153" s="1286">
        <f t="shared" si="47"/>
        <v>0</v>
      </c>
      <c r="CR153" s="833"/>
      <c r="CS153" s="1277">
        <f>IF($A153="Software",SUM($H153:CA153),0)</f>
        <v>0</v>
      </c>
      <c r="CT153" s="1277">
        <f>IF($A153="Software",IF($G153="Opex",SUMIF('Monthly Summary'!$C$75:BV$75,"",$H153:CA153),SUMIF('Monthly Summary'!$C$74:BV$74,"",$H153:CA153)),0)</f>
        <v>0</v>
      </c>
      <c r="CU153" s="1286">
        <f t="shared" si="48"/>
        <v>0</v>
      </c>
      <c r="CV153" s="833"/>
      <c r="CW153" s="1277">
        <f t="shared" si="40"/>
        <v>0</v>
      </c>
      <c r="CX153" s="1277">
        <f t="shared" si="41"/>
        <v>0</v>
      </c>
      <c r="CY153" s="1286">
        <f t="shared" si="49"/>
        <v>0</v>
      </c>
      <c r="CZ153" s="833"/>
      <c r="DA153" s="1286">
        <f>IF($G153="Opex",SUMIF('Monthly Summary'!$C$75:BV$75,"",$H153:CA153),SUMIF('Monthly Summary'!$C$74:BV$74,"",$H153:CA153))</f>
        <v>0</v>
      </c>
      <c r="DB153" s="1278">
        <f t="shared" si="42"/>
        <v>0</v>
      </c>
      <c r="DC153" s="1279">
        <f>IF(AND(OR($D153=Variables!A$38,$D153=Variables!A$43),$F153&lt;&gt;"N/A"),1,0)</f>
        <v>0</v>
      </c>
      <c r="DD153" s="820"/>
      <c r="DE153" s="1281" t="str">
        <f t="shared" si="51"/>
        <v/>
      </c>
      <c r="DF153" s="1282" t="str">
        <f t="shared" si="52"/>
        <v/>
      </c>
      <c r="DG153" s="1282" t="str">
        <f t="shared" si="53"/>
        <v/>
      </c>
      <c r="DH153" s="1282" t="str">
        <f>IF(ISNA(VLOOKUP(DE153,Miscellaneous!E:F,2,0)),"",VLOOKUP(DE153,Miscellaneous!E:F,2,0))</f>
        <v/>
      </c>
      <c r="DI153" s="1282" t="str">
        <f t="shared" si="54"/>
        <v/>
      </c>
      <c r="DJ153" s="1283">
        <f>IF($DI153="Opex",SUMIF('Monthly Summary'!$C$75:$N$75,"",H153:S153),SUMIF('Monthly Summary'!$C$74:$N$74,"",H153:S153))</f>
        <v>0</v>
      </c>
      <c r="DK153" s="1283">
        <f>IF($DI153="Opex",SUMIF('Monthly Summary'!$O$75:$Z$75,"",T153:AE153),SUMIF('Monthly Summary'!$O$74:$Z$74,"",T153:AE153))</f>
        <v>0</v>
      </c>
      <c r="DL153" s="1283">
        <f>IF($DI153="Opex",SUMIF('Monthly Summary'!$AA$75:$AL$75,"",AF153:AQ153),SUMIF('Monthly Summary'!$AA$74:$AL$74,"",AF153:AQ153))</f>
        <v>0</v>
      </c>
      <c r="DM153" s="1283">
        <f>IF($DI153="Opex",SUMIF('Monthly Summary'!$AM$75:$AX$75,"",AR153:BC153),SUMIF('Monthly Summary'!$AM$74:$AX$74,"",AR153:BC153))</f>
        <v>0</v>
      </c>
      <c r="DN153" s="1283">
        <f>IF($DI153="Opex",SUMIF('Monthly Summary'!$AY$75:$BJ$75,"",BD153:BO153),SUMIF('Monthly Summary'!$AY$74:$BJ$74,"",BD153:BO153))</f>
        <v>0</v>
      </c>
      <c r="DO153" s="1284">
        <f>IF($DI153="Opex",SUMIF('Monthly Summary'!$BK$75:$BV$75,"",BP153:CA153),SUMIF('Monthly Summary'!$BK$74:$BV$74,"",BP153:CA153))</f>
        <v>0</v>
      </c>
      <c r="DP153" s="1285">
        <f t="shared" si="50"/>
        <v>0</v>
      </c>
    </row>
    <row r="154" spans="1:120" s="809" customFormat="1">
      <c r="A154" s="1261"/>
      <c r="B154" s="1261"/>
      <c r="C154" s="1261"/>
      <c r="D154" s="1262"/>
      <c r="E154" s="1270"/>
      <c r="F154" s="1263"/>
      <c r="G154" s="1263"/>
      <c r="H154" s="1267"/>
      <c r="I154" s="1268"/>
      <c r="J154" s="1268"/>
      <c r="K154" s="1268"/>
      <c r="L154" s="1268"/>
      <c r="M154" s="1268"/>
      <c r="N154" s="1268"/>
      <c r="O154" s="1268"/>
      <c r="P154" s="1268"/>
      <c r="Q154" s="1268"/>
      <c r="R154" s="1268"/>
      <c r="S154" s="1269"/>
      <c r="T154" s="1267"/>
      <c r="U154" s="1268"/>
      <c r="V154" s="1268"/>
      <c r="W154" s="1268"/>
      <c r="X154" s="1268"/>
      <c r="Y154" s="1268"/>
      <c r="Z154" s="1268"/>
      <c r="AA154" s="1268"/>
      <c r="AB154" s="1268"/>
      <c r="AC154" s="1268"/>
      <c r="AD154" s="1268"/>
      <c r="AE154" s="1269"/>
      <c r="AF154" s="1267"/>
      <c r="AG154" s="1268"/>
      <c r="AH154" s="1268"/>
      <c r="AI154" s="1268"/>
      <c r="AJ154" s="1268"/>
      <c r="AK154" s="1268"/>
      <c r="AL154" s="1268"/>
      <c r="AM154" s="1268"/>
      <c r="AN154" s="1268"/>
      <c r="AO154" s="1268"/>
      <c r="AP154" s="1268"/>
      <c r="AQ154" s="1269"/>
      <c r="AR154" s="1267"/>
      <c r="AS154" s="1268"/>
      <c r="AT154" s="1268"/>
      <c r="AU154" s="1268"/>
      <c r="AV154" s="1268"/>
      <c r="AW154" s="1268"/>
      <c r="AX154" s="1268"/>
      <c r="AY154" s="1268"/>
      <c r="AZ154" s="1268"/>
      <c r="BA154" s="1268"/>
      <c r="BB154" s="1268"/>
      <c r="BC154" s="1269"/>
      <c r="BD154" s="1267"/>
      <c r="BE154" s="1268"/>
      <c r="BF154" s="1268"/>
      <c r="BG154" s="1268"/>
      <c r="BH154" s="1268"/>
      <c r="BI154" s="1268"/>
      <c r="BJ154" s="1268"/>
      <c r="BK154" s="1268"/>
      <c r="BL154" s="1268"/>
      <c r="BM154" s="1268"/>
      <c r="BN154" s="1268"/>
      <c r="BO154" s="1269"/>
      <c r="BP154" s="1267"/>
      <c r="BQ154" s="1268"/>
      <c r="BR154" s="1268"/>
      <c r="BS154" s="1268"/>
      <c r="BT154" s="1268"/>
      <c r="BU154" s="1268"/>
      <c r="BV154" s="1268"/>
      <c r="BW154" s="1268"/>
      <c r="BX154" s="1268"/>
      <c r="BY154" s="1268"/>
      <c r="BZ154" s="1268"/>
      <c r="CA154" s="1269"/>
      <c r="CB154" s="1286">
        <f t="shared" si="43"/>
        <v>0</v>
      </c>
      <c r="CC154" s="1277">
        <f>IF($F154=Miscellaneous!$N$8,SUM($H154:CA154),0)</f>
        <v>0</v>
      </c>
      <c r="CD154" s="1277">
        <f>IF($F154=Miscellaneous!$N$8,IF($G154="Opex",SUMIF('Monthly Summary'!$C$75:BV$75,"",$H154:CA154),SUMIF('Monthly Summary'!$C$74:BV$74,"",$H154:CA154)),0)</f>
        <v>0</v>
      </c>
      <c r="CE154" s="1286">
        <f t="shared" si="44"/>
        <v>0</v>
      </c>
      <c r="CF154" s="833"/>
      <c r="CG154" s="1277">
        <f>IF($F154=Miscellaneous!$N$9,SUM($H154:CA154),0)</f>
        <v>0</v>
      </c>
      <c r="CH154" s="1277">
        <f>IF($F154=Miscellaneous!$N$9,IF($G154="Opex",SUMIF('Monthly Summary'!$C$75:BV$75,"",$H154:CA154),SUMIF('Monthly Summary'!$C$74:BV$74,"",$H154:CA154)),0)</f>
        <v>0</v>
      </c>
      <c r="CI154" s="1286">
        <f t="shared" si="45"/>
        <v>0</v>
      </c>
      <c r="CJ154" s="833"/>
      <c r="CK154" s="1277">
        <f>IF($F154=Miscellaneous!$N$7,SUM($H154:CA154),0)</f>
        <v>0</v>
      </c>
      <c r="CL154" s="1277">
        <f>IF($F154=Miscellaneous!$N$7,IF($G154="Opex",SUMIF('Monthly Summary'!$C$75:BV$75,"",$H154:CA154),SUMIF('Monthly Summary'!$C$74:BV$74,"",$H154:CA154)),0)</f>
        <v>0</v>
      </c>
      <c r="CM154" s="1286">
        <f t="shared" si="46"/>
        <v>0</v>
      </c>
      <c r="CN154" s="833"/>
      <c r="CO154" s="1277">
        <f>IF($F154=Miscellaneous!$N$6,SUM($H154:CA154),0)</f>
        <v>0</v>
      </c>
      <c r="CP154" s="1277">
        <f>IF($F154=Miscellaneous!$N$6,IF($G154="Opex",SUMIF('Monthly Summary'!$C$75:BV$75,"",$H154:CA154),SUMIF('Monthly Summary'!$C$74:BV$74,"",$H154:CA154)),0)</f>
        <v>0</v>
      </c>
      <c r="CQ154" s="1286">
        <f t="shared" si="47"/>
        <v>0</v>
      </c>
      <c r="CR154" s="833"/>
      <c r="CS154" s="1277">
        <f>IF($A154="Software",SUM($H154:CA154),0)</f>
        <v>0</v>
      </c>
      <c r="CT154" s="1277">
        <f>IF($A154="Software",IF($G154="Opex",SUMIF('Monthly Summary'!$C$75:BV$75,"",$H154:CA154),SUMIF('Monthly Summary'!$C$74:BV$74,"",$H154:CA154)),0)</f>
        <v>0</v>
      </c>
      <c r="CU154" s="1286">
        <f t="shared" si="48"/>
        <v>0</v>
      </c>
      <c r="CV154" s="833"/>
      <c r="CW154" s="1277">
        <f t="shared" si="40"/>
        <v>0</v>
      </c>
      <c r="CX154" s="1277">
        <f t="shared" si="41"/>
        <v>0</v>
      </c>
      <c r="CY154" s="1286">
        <f t="shared" si="49"/>
        <v>0</v>
      </c>
      <c r="CZ154" s="833"/>
      <c r="DA154" s="1286">
        <f>IF($G154="Opex",SUMIF('Monthly Summary'!$C$75:BV$75,"",$H154:CA154),SUMIF('Monthly Summary'!$C$74:BV$74,"",$H154:CA154))</f>
        <v>0</v>
      </c>
      <c r="DB154" s="1278">
        <f t="shared" si="42"/>
        <v>0</v>
      </c>
      <c r="DC154" s="1279">
        <f>IF(AND(OR($D154=Variables!A$38,$D154=Variables!A$43),$F154&lt;&gt;"N/A"),1,0)</f>
        <v>0</v>
      </c>
      <c r="DD154" s="820"/>
      <c r="DE154" s="1281" t="str">
        <f t="shared" si="51"/>
        <v/>
      </c>
      <c r="DF154" s="1282" t="str">
        <f t="shared" si="52"/>
        <v/>
      </c>
      <c r="DG154" s="1282" t="str">
        <f t="shared" si="53"/>
        <v/>
      </c>
      <c r="DH154" s="1282" t="str">
        <f>IF(ISNA(VLOOKUP(DE154,Miscellaneous!E:F,2,0)),"",VLOOKUP(DE154,Miscellaneous!E:F,2,0))</f>
        <v/>
      </c>
      <c r="DI154" s="1282" t="str">
        <f t="shared" si="54"/>
        <v/>
      </c>
      <c r="DJ154" s="1283">
        <f>IF($DI154="Opex",SUMIF('Monthly Summary'!$C$75:$N$75,"",H154:S154),SUMIF('Monthly Summary'!$C$74:$N$74,"",H154:S154))</f>
        <v>0</v>
      </c>
      <c r="DK154" s="1283">
        <f>IF($DI154="Opex",SUMIF('Monthly Summary'!$O$75:$Z$75,"",T154:AE154),SUMIF('Monthly Summary'!$O$74:$Z$74,"",T154:AE154))</f>
        <v>0</v>
      </c>
      <c r="DL154" s="1283">
        <f>IF($DI154="Opex",SUMIF('Monthly Summary'!$AA$75:$AL$75,"",AF154:AQ154),SUMIF('Monthly Summary'!$AA$74:$AL$74,"",AF154:AQ154))</f>
        <v>0</v>
      </c>
      <c r="DM154" s="1283">
        <f>IF($DI154="Opex",SUMIF('Monthly Summary'!$AM$75:$AX$75,"",AR154:BC154),SUMIF('Monthly Summary'!$AM$74:$AX$74,"",AR154:BC154))</f>
        <v>0</v>
      </c>
      <c r="DN154" s="1283">
        <f>IF($DI154="Opex",SUMIF('Monthly Summary'!$AY$75:$BJ$75,"",BD154:BO154),SUMIF('Monthly Summary'!$AY$74:$BJ$74,"",BD154:BO154))</f>
        <v>0</v>
      </c>
      <c r="DO154" s="1284">
        <f>IF($DI154="Opex",SUMIF('Monthly Summary'!$BK$75:$BV$75,"",BP154:CA154),SUMIF('Monthly Summary'!$BK$74:$BV$74,"",BP154:CA154))</f>
        <v>0</v>
      </c>
      <c r="DP154" s="1285">
        <f t="shared" si="50"/>
        <v>0</v>
      </c>
    </row>
    <row r="155" spans="1:120" s="809" customFormat="1">
      <c r="A155" s="1261"/>
      <c r="B155" s="1261"/>
      <c r="C155" s="1261"/>
      <c r="D155" s="1262"/>
      <c r="E155" s="1270"/>
      <c r="F155" s="1263"/>
      <c r="G155" s="1263"/>
      <c r="H155" s="1267"/>
      <c r="I155" s="1268"/>
      <c r="J155" s="1268"/>
      <c r="K155" s="1268"/>
      <c r="L155" s="1268"/>
      <c r="M155" s="1268"/>
      <c r="N155" s="1268"/>
      <c r="O155" s="1268"/>
      <c r="P155" s="1268"/>
      <c r="Q155" s="1268"/>
      <c r="R155" s="1268"/>
      <c r="S155" s="1269"/>
      <c r="T155" s="1267"/>
      <c r="U155" s="1268"/>
      <c r="V155" s="1268"/>
      <c r="W155" s="1268"/>
      <c r="X155" s="1268"/>
      <c r="Y155" s="1268"/>
      <c r="Z155" s="1268"/>
      <c r="AA155" s="1268"/>
      <c r="AB155" s="1268"/>
      <c r="AC155" s="1268"/>
      <c r="AD155" s="1268"/>
      <c r="AE155" s="1269"/>
      <c r="AF155" s="1267"/>
      <c r="AG155" s="1268"/>
      <c r="AH155" s="1268"/>
      <c r="AI155" s="1268"/>
      <c r="AJ155" s="1268"/>
      <c r="AK155" s="1268"/>
      <c r="AL155" s="1268"/>
      <c r="AM155" s="1268"/>
      <c r="AN155" s="1268"/>
      <c r="AO155" s="1268"/>
      <c r="AP155" s="1268"/>
      <c r="AQ155" s="1269"/>
      <c r="AR155" s="1267"/>
      <c r="AS155" s="1268"/>
      <c r="AT155" s="1268"/>
      <c r="AU155" s="1268"/>
      <c r="AV155" s="1268"/>
      <c r="AW155" s="1268"/>
      <c r="AX155" s="1268"/>
      <c r="AY155" s="1268"/>
      <c r="AZ155" s="1268"/>
      <c r="BA155" s="1268"/>
      <c r="BB155" s="1268"/>
      <c r="BC155" s="1269"/>
      <c r="BD155" s="1267"/>
      <c r="BE155" s="1268"/>
      <c r="BF155" s="1268"/>
      <c r="BG155" s="1268"/>
      <c r="BH155" s="1268"/>
      <c r="BI155" s="1268"/>
      <c r="BJ155" s="1268"/>
      <c r="BK155" s="1268"/>
      <c r="BL155" s="1268"/>
      <c r="BM155" s="1268"/>
      <c r="BN155" s="1268"/>
      <c r="BO155" s="1269"/>
      <c r="BP155" s="1267"/>
      <c r="BQ155" s="1268"/>
      <c r="BR155" s="1268"/>
      <c r="BS155" s="1268"/>
      <c r="BT155" s="1268"/>
      <c r="BU155" s="1268"/>
      <c r="BV155" s="1268"/>
      <c r="BW155" s="1268"/>
      <c r="BX155" s="1268"/>
      <c r="BY155" s="1268"/>
      <c r="BZ155" s="1268"/>
      <c r="CA155" s="1269"/>
      <c r="CB155" s="1286">
        <f t="shared" si="43"/>
        <v>0</v>
      </c>
      <c r="CC155" s="1277">
        <f>IF($F155=Miscellaneous!$N$8,SUM($H155:CA155),0)</f>
        <v>0</v>
      </c>
      <c r="CD155" s="1277">
        <f>IF($F155=Miscellaneous!$N$8,IF($G155="Opex",SUMIF('Monthly Summary'!$C$75:BV$75,"",$H155:CA155),SUMIF('Monthly Summary'!$C$74:BV$74,"",$H155:CA155)),0)</f>
        <v>0</v>
      </c>
      <c r="CE155" s="1286">
        <f t="shared" si="44"/>
        <v>0</v>
      </c>
      <c r="CF155" s="833"/>
      <c r="CG155" s="1277">
        <f>IF($F155=Miscellaneous!$N$9,SUM($H155:CA155),0)</f>
        <v>0</v>
      </c>
      <c r="CH155" s="1277">
        <f>IF($F155=Miscellaneous!$N$9,IF($G155="Opex",SUMIF('Monthly Summary'!$C$75:BV$75,"",$H155:CA155),SUMIF('Monthly Summary'!$C$74:BV$74,"",$H155:CA155)),0)</f>
        <v>0</v>
      </c>
      <c r="CI155" s="1286">
        <f t="shared" si="45"/>
        <v>0</v>
      </c>
      <c r="CJ155" s="833"/>
      <c r="CK155" s="1277">
        <f>IF($F155=Miscellaneous!$N$7,SUM($H155:CA155),0)</f>
        <v>0</v>
      </c>
      <c r="CL155" s="1277">
        <f>IF($F155=Miscellaneous!$N$7,IF($G155="Opex",SUMIF('Monthly Summary'!$C$75:BV$75,"",$H155:CA155),SUMIF('Monthly Summary'!$C$74:BV$74,"",$H155:CA155)),0)</f>
        <v>0</v>
      </c>
      <c r="CM155" s="1286">
        <f t="shared" si="46"/>
        <v>0</v>
      </c>
      <c r="CN155" s="833"/>
      <c r="CO155" s="1277">
        <f>IF($F155=Miscellaneous!$N$6,SUM($H155:CA155),0)</f>
        <v>0</v>
      </c>
      <c r="CP155" s="1277">
        <f>IF($F155=Miscellaneous!$N$6,IF($G155="Opex",SUMIF('Monthly Summary'!$C$75:BV$75,"",$H155:CA155),SUMIF('Monthly Summary'!$C$74:BV$74,"",$H155:CA155)),0)</f>
        <v>0</v>
      </c>
      <c r="CQ155" s="1286">
        <f t="shared" si="47"/>
        <v>0</v>
      </c>
      <c r="CR155" s="833"/>
      <c r="CS155" s="1277">
        <f>IF($A155="Software",SUM($H155:CA155),0)</f>
        <v>0</v>
      </c>
      <c r="CT155" s="1277">
        <f>IF($A155="Software",IF($G155="Opex",SUMIF('Monthly Summary'!$C$75:BV$75,"",$H155:CA155),SUMIF('Monthly Summary'!$C$74:BV$74,"",$H155:CA155)),0)</f>
        <v>0</v>
      </c>
      <c r="CU155" s="1286">
        <f t="shared" si="48"/>
        <v>0</v>
      </c>
      <c r="CV155" s="833"/>
      <c r="CW155" s="1277">
        <f t="shared" si="40"/>
        <v>0</v>
      </c>
      <c r="CX155" s="1277">
        <f t="shared" si="41"/>
        <v>0</v>
      </c>
      <c r="CY155" s="1286">
        <f t="shared" si="49"/>
        <v>0</v>
      </c>
      <c r="CZ155" s="833"/>
      <c r="DA155" s="1286">
        <f>IF($G155="Opex",SUMIF('Monthly Summary'!$C$75:BV$75,"",$H155:CA155),SUMIF('Monthly Summary'!$C$74:BV$74,"",$H155:CA155))</f>
        <v>0</v>
      </c>
      <c r="DB155" s="1278">
        <f t="shared" si="42"/>
        <v>0</v>
      </c>
      <c r="DC155" s="1279">
        <f>IF(AND(OR($D155=Variables!A$38,$D155=Variables!A$43),$F155&lt;&gt;"N/A"),1,0)</f>
        <v>0</v>
      </c>
      <c r="DD155" s="820"/>
      <c r="DE155" s="1281" t="str">
        <f t="shared" si="51"/>
        <v/>
      </c>
      <c r="DF155" s="1282" t="str">
        <f t="shared" si="52"/>
        <v/>
      </c>
      <c r="DG155" s="1282" t="str">
        <f t="shared" si="53"/>
        <v/>
      </c>
      <c r="DH155" s="1282" t="str">
        <f>IF(ISNA(VLOOKUP(DE155,Miscellaneous!E:F,2,0)),"",VLOOKUP(DE155,Miscellaneous!E:F,2,0))</f>
        <v/>
      </c>
      <c r="DI155" s="1282" t="str">
        <f t="shared" si="54"/>
        <v/>
      </c>
      <c r="DJ155" s="1283">
        <f>IF($DI155="Opex",SUMIF('Monthly Summary'!$C$75:$N$75,"",H155:S155),SUMIF('Monthly Summary'!$C$74:$N$74,"",H155:S155))</f>
        <v>0</v>
      </c>
      <c r="DK155" s="1283">
        <f>IF($DI155="Opex",SUMIF('Monthly Summary'!$O$75:$Z$75,"",T155:AE155),SUMIF('Monthly Summary'!$O$74:$Z$74,"",T155:AE155))</f>
        <v>0</v>
      </c>
      <c r="DL155" s="1283">
        <f>IF($DI155="Opex",SUMIF('Monthly Summary'!$AA$75:$AL$75,"",AF155:AQ155),SUMIF('Monthly Summary'!$AA$74:$AL$74,"",AF155:AQ155))</f>
        <v>0</v>
      </c>
      <c r="DM155" s="1283">
        <f>IF($DI155="Opex",SUMIF('Monthly Summary'!$AM$75:$AX$75,"",AR155:BC155),SUMIF('Monthly Summary'!$AM$74:$AX$74,"",AR155:BC155))</f>
        <v>0</v>
      </c>
      <c r="DN155" s="1283">
        <f>IF($DI155="Opex",SUMIF('Monthly Summary'!$AY$75:$BJ$75,"",BD155:BO155),SUMIF('Monthly Summary'!$AY$74:$BJ$74,"",BD155:BO155))</f>
        <v>0</v>
      </c>
      <c r="DO155" s="1284">
        <f>IF($DI155="Opex",SUMIF('Monthly Summary'!$BK$75:$BV$75,"",BP155:CA155),SUMIF('Monthly Summary'!$BK$74:$BV$74,"",BP155:CA155))</f>
        <v>0</v>
      </c>
      <c r="DP155" s="1285">
        <f t="shared" si="50"/>
        <v>0</v>
      </c>
    </row>
    <row r="156" spans="1:120" s="809" customFormat="1">
      <c r="A156" s="1261"/>
      <c r="B156" s="1261"/>
      <c r="C156" s="1261"/>
      <c r="D156" s="1262"/>
      <c r="E156" s="1270"/>
      <c r="F156" s="1263"/>
      <c r="G156" s="1263"/>
      <c r="H156" s="1267"/>
      <c r="I156" s="1268"/>
      <c r="J156" s="1268"/>
      <c r="K156" s="1268"/>
      <c r="L156" s="1268"/>
      <c r="M156" s="1268"/>
      <c r="N156" s="1268"/>
      <c r="O156" s="1268"/>
      <c r="P156" s="1268"/>
      <c r="Q156" s="1268"/>
      <c r="R156" s="1268"/>
      <c r="S156" s="1269"/>
      <c r="T156" s="1267"/>
      <c r="U156" s="1268"/>
      <c r="V156" s="1268"/>
      <c r="W156" s="1268"/>
      <c r="X156" s="1268"/>
      <c r="Y156" s="1268"/>
      <c r="Z156" s="1268"/>
      <c r="AA156" s="1268"/>
      <c r="AB156" s="1268"/>
      <c r="AC156" s="1268"/>
      <c r="AD156" s="1268"/>
      <c r="AE156" s="1269"/>
      <c r="AF156" s="1267"/>
      <c r="AG156" s="1268"/>
      <c r="AH156" s="1268"/>
      <c r="AI156" s="1268"/>
      <c r="AJ156" s="1268"/>
      <c r="AK156" s="1268"/>
      <c r="AL156" s="1268"/>
      <c r="AM156" s="1268"/>
      <c r="AN156" s="1268"/>
      <c r="AO156" s="1268"/>
      <c r="AP156" s="1268"/>
      <c r="AQ156" s="1269"/>
      <c r="AR156" s="1267"/>
      <c r="AS156" s="1268"/>
      <c r="AT156" s="1268"/>
      <c r="AU156" s="1268"/>
      <c r="AV156" s="1268"/>
      <c r="AW156" s="1268"/>
      <c r="AX156" s="1268"/>
      <c r="AY156" s="1268"/>
      <c r="AZ156" s="1268"/>
      <c r="BA156" s="1268"/>
      <c r="BB156" s="1268"/>
      <c r="BC156" s="1269"/>
      <c r="BD156" s="1267"/>
      <c r="BE156" s="1268"/>
      <c r="BF156" s="1268"/>
      <c r="BG156" s="1268"/>
      <c r="BH156" s="1268"/>
      <c r="BI156" s="1268"/>
      <c r="BJ156" s="1268"/>
      <c r="BK156" s="1268"/>
      <c r="BL156" s="1268"/>
      <c r="BM156" s="1268"/>
      <c r="BN156" s="1268"/>
      <c r="BO156" s="1269"/>
      <c r="BP156" s="1267"/>
      <c r="BQ156" s="1268"/>
      <c r="BR156" s="1268"/>
      <c r="BS156" s="1268"/>
      <c r="BT156" s="1268"/>
      <c r="BU156" s="1268"/>
      <c r="BV156" s="1268"/>
      <c r="BW156" s="1268"/>
      <c r="BX156" s="1268"/>
      <c r="BY156" s="1268"/>
      <c r="BZ156" s="1268"/>
      <c r="CA156" s="1269"/>
      <c r="CB156" s="1286">
        <f t="shared" si="43"/>
        <v>0</v>
      </c>
      <c r="CC156" s="1277">
        <f>IF($F156=Miscellaneous!$N$8,SUM($H156:CA156),0)</f>
        <v>0</v>
      </c>
      <c r="CD156" s="1277">
        <f>IF($F156=Miscellaneous!$N$8,IF($G156="Opex",SUMIF('Monthly Summary'!$C$75:BV$75,"",$H156:CA156),SUMIF('Monthly Summary'!$C$74:BV$74,"",$H156:CA156)),0)</f>
        <v>0</v>
      </c>
      <c r="CE156" s="1286">
        <f t="shared" si="44"/>
        <v>0</v>
      </c>
      <c r="CF156" s="833"/>
      <c r="CG156" s="1277">
        <f>IF($F156=Miscellaneous!$N$9,SUM($H156:CA156),0)</f>
        <v>0</v>
      </c>
      <c r="CH156" s="1277">
        <f>IF($F156=Miscellaneous!$N$9,IF($G156="Opex",SUMIF('Monthly Summary'!$C$75:BV$75,"",$H156:CA156),SUMIF('Monthly Summary'!$C$74:BV$74,"",$H156:CA156)),0)</f>
        <v>0</v>
      </c>
      <c r="CI156" s="1286">
        <f t="shared" si="45"/>
        <v>0</v>
      </c>
      <c r="CJ156" s="833"/>
      <c r="CK156" s="1277">
        <f>IF($F156=Miscellaneous!$N$7,SUM($H156:CA156),0)</f>
        <v>0</v>
      </c>
      <c r="CL156" s="1277">
        <f>IF($F156=Miscellaneous!$N$7,IF($G156="Opex",SUMIF('Monthly Summary'!$C$75:BV$75,"",$H156:CA156),SUMIF('Monthly Summary'!$C$74:BV$74,"",$H156:CA156)),0)</f>
        <v>0</v>
      </c>
      <c r="CM156" s="1286">
        <f t="shared" si="46"/>
        <v>0</v>
      </c>
      <c r="CN156" s="833"/>
      <c r="CO156" s="1277">
        <f>IF($F156=Miscellaneous!$N$6,SUM($H156:CA156),0)</f>
        <v>0</v>
      </c>
      <c r="CP156" s="1277">
        <f>IF($F156=Miscellaneous!$N$6,IF($G156="Opex",SUMIF('Monthly Summary'!$C$75:BV$75,"",$H156:CA156),SUMIF('Monthly Summary'!$C$74:BV$74,"",$H156:CA156)),0)</f>
        <v>0</v>
      </c>
      <c r="CQ156" s="1286">
        <f t="shared" si="47"/>
        <v>0</v>
      </c>
      <c r="CR156" s="833"/>
      <c r="CS156" s="1277">
        <f>IF($A156="Software",SUM($H156:CA156),0)</f>
        <v>0</v>
      </c>
      <c r="CT156" s="1277">
        <f>IF($A156="Software",IF($G156="Opex",SUMIF('Monthly Summary'!$C$75:BV$75,"",$H156:CA156),SUMIF('Monthly Summary'!$C$74:BV$74,"",$H156:CA156)),0)</f>
        <v>0</v>
      </c>
      <c r="CU156" s="1286">
        <f t="shared" si="48"/>
        <v>0</v>
      </c>
      <c r="CV156" s="833"/>
      <c r="CW156" s="1277">
        <f t="shared" si="40"/>
        <v>0</v>
      </c>
      <c r="CX156" s="1277">
        <f t="shared" si="41"/>
        <v>0</v>
      </c>
      <c r="CY156" s="1286">
        <f t="shared" si="49"/>
        <v>0</v>
      </c>
      <c r="CZ156" s="833"/>
      <c r="DA156" s="1286">
        <f>IF($G156="Opex",SUMIF('Monthly Summary'!$C$75:BV$75,"",$H156:CA156),SUMIF('Monthly Summary'!$C$74:BV$74,"",$H156:CA156))</f>
        <v>0</v>
      </c>
      <c r="DB156" s="1278">
        <f t="shared" si="42"/>
        <v>0</v>
      </c>
      <c r="DC156" s="1279">
        <f>IF(AND(OR($D156=Variables!A$38,$D156=Variables!A$43),$F156&lt;&gt;"N/A"),1,0)</f>
        <v>0</v>
      </c>
      <c r="DD156" s="820"/>
      <c r="DE156" s="1281" t="str">
        <f t="shared" si="51"/>
        <v/>
      </c>
      <c r="DF156" s="1282" t="str">
        <f t="shared" si="52"/>
        <v/>
      </c>
      <c r="DG156" s="1282" t="str">
        <f t="shared" si="53"/>
        <v/>
      </c>
      <c r="DH156" s="1282" t="str">
        <f>IF(ISNA(VLOOKUP(DE156,Miscellaneous!E:F,2,0)),"",VLOOKUP(DE156,Miscellaneous!E:F,2,0))</f>
        <v/>
      </c>
      <c r="DI156" s="1282" t="str">
        <f t="shared" si="54"/>
        <v/>
      </c>
      <c r="DJ156" s="1283">
        <f>IF($DI156="Opex",SUMIF('Monthly Summary'!$C$75:$N$75,"",H156:S156),SUMIF('Monthly Summary'!$C$74:$N$74,"",H156:S156))</f>
        <v>0</v>
      </c>
      <c r="DK156" s="1283">
        <f>IF($DI156="Opex",SUMIF('Monthly Summary'!$O$75:$Z$75,"",T156:AE156),SUMIF('Monthly Summary'!$O$74:$Z$74,"",T156:AE156))</f>
        <v>0</v>
      </c>
      <c r="DL156" s="1283">
        <f>IF($DI156="Opex",SUMIF('Monthly Summary'!$AA$75:$AL$75,"",AF156:AQ156),SUMIF('Monthly Summary'!$AA$74:$AL$74,"",AF156:AQ156))</f>
        <v>0</v>
      </c>
      <c r="DM156" s="1283">
        <f>IF($DI156="Opex",SUMIF('Monthly Summary'!$AM$75:$AX$75,"",AR156:BC156),SUMIF('Monthly Summary'!$AM$74:$AX$74,"",AR156:BC156))</f>
        <v>0</v>
      </c>
      <c r="DN156" s="1283">
        <f>IF($DI156="Opex",SUMIF('Monthly Summary'!$AY$75:$BJ$75,"",BD156:BO156),SUMIF('Monthly Summary'!$AY$74:$BJ$74,"",BD156:BO156))</f>
        <v>0</v>
      </c>
      <c r="DO156" s="1284">
        <f>IF($DI156="Opex",SUMIF('Monthly Summary'!$BK$75:$BV$75,"",BP156:CA156),SUMIF('Monthly Summary'!$BK$74:$BV$74,"",BP156:CA156))</f>
        <v>0</v>
      </c>
      <c r="DP156" s="1285">
        <f t="shared" si="50"/>
        <v>0</v>
      </c>
    </row>
    <row r="157" spans="1:120" s="809" customFormat="1">
      <c r="A157" s="1261"/>
      <c r="B157" s="1261"/>
      <c r="C157" s="1261"/>
      <c r="D157" s="1262"/>
      <c r="E157" s="1270"/>
      <c r="F157" s="1263"/>
      <c r="G157" s="1263"/>
      <c r="H157" s="1267"/>
      <c r="I157" s="1268"/>
      <c r="J157" s="1268"/>
      <c r="K157" s="1268"/>
      <c r="L157" s="1268"/>
      <c r="M157" s="1268"/>
      <c r="N157" s="1268"/>
      <c r="O157" s="1268"/>
      <c r="P157" s="1268"/>
      <c r="Q157" s="1268"/>
      <c r="R157" s="1268"/>
      <c r="S157" s="1269"/>
      <c r="T157" s="1267"/>
      <c r="U157" s="1268"/>
      <c r="V157" s="1268"/>
      <c r="W157" s="1268"/>
      <c r="X157" s="1268"/>
      <c r="Y157" s="1268"/>
      <c r="Z157" s="1268"/>
      <c r="AA157" s="1268"/>
      <c r="AB157" s="1268"/>
      <c r="AC157" s="1268"/>
      <c r="AD157" s="1268"/>
      <c r="AE157" s="1269"/>
      <c r="AF157" s="1267"/>
      <c r="AG157" s="1268"/>
      <c r="AH157" s="1268"/>
      <c r="AI157" s="1268"/>
      <c r="AJ157" s="1268"/>
      <c r="AK157" s="1268"/>
      <c r="AL157" s="1268"/>
      <c r="AM157" s="1268"/>
      <c r="AN157" s="1268"/>
      <c r="AO157" s="1268"/>
      <c r="AP157" s="1268"/>
      <c r="AQ157" s="1269"/>
      <c r="AR157" s="1267"/>
      <c r="AS157" s="1268"/>
      <c r="AT157" s="1268"/>
      <c r="AU157" s="1268"/>
      <c r="AV157" s="1268"/>
      <c r="AW157" s="1268"/>
      <c r="AX157" s="1268"/>
      <c r="AY157" s="1268"/>
      <c r="AZ157" s="1268"/>
      <c r="BA157" s="1268"/>
      <c r="BB157" s="1268"/>
      <c r="BC157" s="1269"/>
      <c r="BD157" s="1267"/>
      <c r="BE157" s="1268"/>
      <c r="BF157" s="1268"/>
      <c r="BG157" s="1268"/>
      <c r="BH157" s="1268"/>
      <c r="BI157" s="1268"/>
      <c r="BJ157" s="1268"/>
      <c r="BK157" s="1268"/>
      <c r="BL157" s="1268"/>
      <c r="BM157" s="1268"/>
      <c r="BN157" s="1268"/>
      <c r="BO157" s="1269"/>
      <c r="BP157" s="1267"/>
      <c r="BQ157" s="1268"/>
      <c r="BR157" s="1268"/>
      <c r="BS157" s="1268"/>
      <c r="BT157" s="1268"/>
      <c r="BU157" s="1268"/>
      <c r="BV157" s="1268"/>
      <c r="BW157" s="1268"/>
      <c r="BX157" s="1268"/>
      <c r="BY157" s="1268"/>
      <c r="BZ157" s="1268"/>
      <c r="CA157" s="1269"/>
      <c r="CB157" s="1286">
        <f t="shared" si="43"/>
        <v>0</v>
      </c>
      <c r="CC157" s="1277">
        <f>IF($F157=Miscellaneous!$N$8,SUM($H157:CA157),0)</f>
        <v>0</v>
      </c>
      <c r="CD157" s="1277">
        <f>IF($F157=Miscellaneous!$N$8,IF($G157="Opex",SUMIF('Monthly Summary'!$C$75:BV$75,"",$H157:CA157),SUMIF('Monthly Summary'!$C$74:BV$74,"",$H157:CA157)),0)</f>
        <v>0</v>
      </c>
      <c r="CE157" s="1286">
        <f t="shared" si="44"/>
        <v>0</v>
      </c>
      <c r="CF157" s="833"/>
      <c r="CG157" s="1277">
        <f>IF($F157=Miscellaneous!$N$9,SUM($H157:CA157),0)</f>
        <v>0</v>
      </c>
      <c r="CH157" s="1277">
        <f>IF($F157=Miscellaneous!$N$9,IF($G157="Opex",SUMIF('Monthly Summary'!$C$75:BV$75,"",$H157:CA157),SUMIF('Monthly Summary'!$C$74:BV$74,"",$H157:CA157)),0)</f>
        <v>0</v>
      </c>
      <c r="CI157" s="1286">
        <f t="shared" si="45"/>
        <v>0</v>
      </c>
      <c r="CJ157" s="833"/>
      <c r="CK157" s="1277">
        <f>IF($F157=Miscellaneous!$N$7,SUM($H157:CA157),0)</f>
        <v>0</v>
      </c>
      <c r="CL157" s="1277">
        <f>IF($F157=Miscellaneous!$N$7,IF($G157="Opex",SUMIF('Monthly Summary'!$C$75:BV$75,"",$H157:CA157),SUMIF('Monthly Summary'!$C$74:BV$74,"",$H157:CA157)),0)</f>
        <v>0</v>
      </c>
      <c r="CM157" s="1286">
        <f t="shared" si="46"/>
        <v>0</v>
      </c>
      <c r="CN157" s="833"/>
      <c r="CO157" s="1277">
        <f>IF($F157=Miscellaneous!$N$6,SUM($H157:CA157),0)</f>
        <v>0</v>
      </c>
      <c r="CP157" s="1277">
        <f>IF($F157=Miscellaneous!$N$6,IF($G157="Opex",SUMIF('Monthly Summary'!$C$75:BV$75,"",$H157:CA157),SUMIF('Monthly Summary'!$C$74:BV$74,"",$H157:CA157)),0)</f>
        <v>0</v>
      </c>
      <c r="CQ157" s="1286">
        <f t="shared" si="47"/>
        <v>0</v>
      </c>
      <c r="CR157" s="833"/>
      <c r="CS157" s="1277">
        <f>IF($A157="Software",SUM($H157:CA157),0)</f>
        <v>0</v>
      </c>
      <c r="CT157" s="1277">
        <f>IF($A157="Software",IF($G157="Opex",SUMIF('Monthly Summary'!$C$75:BV$75,"",$H157:CA157),SUMIF('Monthly Summary'!$C$74:BV$74,"",$H157:CA157)),0)</f>
        <v>0</v>
      </c>
      <c r="CU157" s="1286">
        <f t="shared" si="48"/>
        <v>0</v>
      </c>
      <c r="CV157" s="833"/>
      <c r="CW157" s="1277">
        <f t="shared" si="40"/>
        <v>0</v>
      </c>
      <c r="CX157" s="1277">
        <f t="shared" si="41"/>
        <v>0</v>
      </c>
      <c r="CY157" s="1286">
        <f t="shared" si="49"/>
        <v>0</v>
      </c>
      <c r="CZ157" s="833"/>
      <c r="DA157" s="1286">
        <f>IF($G157="Opex",SUMIF('Monthly Summary'!$C$75:BV$75,"",$H157:CA157),SUMIF('Monthly Summary'!$C$74:BV$74,"",$H157:CA157))</f>
        <v>0</v>
      </c>
      <c r="DB157" s="1278">
        <f t="shared" si="42"/>
        <v>0</v>
      </c>
      <c r="DC157" s="1279">
        <f>IF(AND(OR($D157=Variables!A$38,$D157=Variables!A$43),$F157&lt;&gt;"N/A"),1,0)</f>
        <v>0</v>
      </c>
      <c r="DD157" s="820"/>
      <c r="DE157" s="1281" t="str">
        <f t="shared" si="51"/>
        <v/>
      </c>
      <c r="DF157" s="1282" t="str">
        <f t="shared" si="52"/>
        <v/>
      </c>
      <c r="DG157" s="1282" t="str">
        <f t="shared" si="53"/>
        <v/>
      </c>
      <c r="DH157" s="1282" t="str">
        <f>IF(ISNA(VLOOKUP(DE157,Miscellaneous!E:F,2,0)),"",VLOOKUP(DE157,Miscellaneous!E:F,2,0))</f>
        <v/>
      </c>
      <c r="DI157" s="1282" t="str">
        <f t="shared" si="54"/>
        <v/>
      </c>
      <c r="DJ157" s="1283">
        <f>IF($DI157="Opex",SUMIF('Monthly Summary'!$C$75:$N$75,"",H157:S157),SUMIF('Monthly Summary'!$C$74:$N$74,"",H157:S157))</f>
        <v>0</v>
      </c>
      <c r="DK157" s="1283">
        <f>IF($DI157="Opex",SUMIF('Monthly Summary'!$O$75:$Z$75,"",T157:AE157),SUMIF('Monthly Summary'!$O$74:$Z$74,"",T157:AE157))</f>
        <v>0</v>
      </c>
      <c r="DL157" s="1283">
        <f>IF($DI157="Opex",SUMIF('Monthly Summary'!$AA$75:$AL$75,"",AF157:AQ157),SUMIF('Monthly Summary'!$AA$74:$AL$74,"",AF157:AQ157))</f>
        <v>0</v>
      </c>
      <c r="DM157" s="1283">
        <f>IF($DI157="Opex",SUMIF('Monthly Summary'!$AM$75:$AX$75,"",AR157:BC157),SUMIF('Monthly Summary'!$AM$74:$AX$74,"",AR157:BC157))</f>
        <v>0</v>
      </c>
      <c r="DN157" s="1283">
        <f>IF($DI157="Opex",SUMIF('Monthly Summary'!$AY$75:$BJ$75,"",BD157:BO157),SUMIF('Monthly Summary'!$AY$74:$BJ$74,"",BD157:BO157))</f>
        <v>0</v>
      </c>
      <c r="DO157" s="1284">
        <f>IF($DI157="Opex",SUMIF('Monthly Summary'!$BK$75:$BV$75,"",BP157:CA157),SUMIF('Monthly Summary'!$BK$74:$BV$74,"",BP157:CA157))</f>
        <v>0</v>
      </c>
      <c r="DP157" s="1285">
        <f t="shared" si="50"/>
        <v>0</v>
      </c>
    </row>
    <row r="158" spans="1:120" s="809" customFormat="1">
      <c r="A158" s="1261"/>
      <c r="B158" s="1261"/>
      <c r="C158" s="1261"/>
      <c r="D158" s="1262"/>
      <c r="E158" s="1270"/>
      <c r="F158" s="1263"/>
      <c r="G158" s="1263"/>
      <c r="H158" s="1267"/>
      <c r="I158" s="1268"/>
      <c r="J158" s="1268"/>
      <c r="K158" s="1268"/>
      <c r="L158" s="1268"/>
      <c r="M158" s="1268"/>
      <c r="N158" s="1268"/>
      <c r="O158" s="1268"/>
      <c r="P158" s="1268"/>
      <c r="Q158" s="1268"/>
      <c r="R158" s="1268"/>
      <c r="S158" s="1269"/>
      <c r="T158" s="1267"/>
      <c r="U158" s="1268"/>
      <c r="V158" s="1268"/>
      <c r="W158" s="1268"/>
      <c r="X158" s="1268"/>
      <c r="Y158" s="1268"/>
      <c r="Z158" s="1268"/>
      <c r="AA158" s="1268"/>
      <c r="AB158" s="1268"/>
      <c r="AC158" s="1268"/>
      <c r="AD158" s="1268"/>
      <c r="AE158" s="1269"/>
      <c r="AF158" s="1267"/>
      <c r="AG158" s="1268"/>
      <c r="AH158" s="1268"/>
      <c r="AI158" s="1268"/>
      <c r="AJ158" s="1268"/>
      <c r="AK158" s="1268"/>
      <c r="AL158" s="1268"/>
      <c r="AM158" s="1268"/>
      <c r="AN158" s="1268"/>
      <c r="AO158" s="1268"/>
      <c r="AP158" s="1268"/>
      <c r="AQ158" s="1269"/>
      <c r="AR158" s="1267"/>
      <c r="AS158" s="1268"/>
      <c r="AT158" s="1268"/>
      <c r="AU158" s="1268"/>
      <c r="AV158" s="1268"/>
      <c r="AW158" s="1268"/>
      <c r="AX158" s="1268"/>
      <c r="AY158" s="1268"/>
      <c r="AZ158" s="1268"/>
      <c r="BA158" s="1268"/>
      <c r="BB158" s="1268"/>
      <c r="BC158" s="1269"/>
      <c r="BD158" s="1267"/>
      <c r="BE158" s="1268"/>
      <c r="BF158" s="1268"/>
      <c r="BG158" s="1268"/>
      <c r="BH158" s="1268"/>
      <c r="BI158" s="1268"/>
      <c r="BJ158" s="1268"/>
      <c r="BK158" s="1268"/>
      <c r="BL158" s="1268"/>
      <c r="BM158" s="1268"/>
      <c r="BN158" s="1268"/>
      <c r="BO158" s="1269"/>
      <c r="BP158" s="1267"/>
      <c r="BQ158" s="1268"/>
      <c r="BR158" s="1268"/>
      <c r="BS158" s="1268"/>
      <c r="BT158" s="1268"/>
      <c r="BU158" s="1268"/>
      <c r="BV158" s="1268"/>
      <c r="BW158" s="1268"/>
      <c r="BX158" s="1268"/>
      <c r="BY158" s="1268"/>
      <c r="BZ158" s="1268"/>
      <c r="CA158" s="1269"/>
      <c r="CB158" s="1286">
        <f t="shared" si="43"/>
        <v>0</v>
      </c>
      <c r="CC158" s="1277">
        <f>IF($F158=Miscellaneous!$N$8,SUM($H158:CA158),0)</f>
        <v>0</v>
      </c>
      <c r="CD158" s="1277">
        <f>IF($F158=Miscellaneous!$N$8,IF($G158="Opex",SUMIF('Monthly Summary'!$C$75:BV$75,"",$H158:CA158),SUMIF('Monthly Summary'!$C$74:BV$74,"",$H158:CA158)),0)</f>
        <v>0</v>
      </c>
      <c r="CE158" s="1286">
        <f t="shared" si="44"/>
        <v>0</v>
      </c>
      <c r="CF158" s="833"/>
      <c r="CG158" s="1277">
        <f>IF($F158=Miscellaneous!$N$9,SUM($H158:CA158),0)</f>
        <v>0</v>
      </c>
      <c r="CH158" s="1277">
        <f>IF($F158=Miscellaneous!$N$9,IF($G158="Opex",SUMIF('Monthly Summary'!$C$75:BV$75,"",$H158:CA158),SUMIF('Monthly Summary'!$C$74:BV$74,"",$H158:CA158)),0)</f>
        <v>0</v>
      </c>
      <c r="CI158" s="1286">
        <f t="shared" si="45"/>
        <v>0</v>
      </c>
      <c r="CJ158" s="833"/>
      <c r="CK158" s="1277">
        <f>IF($F158=Miscellaneous!$N$7,SUM($H158:CA158),0)</f>
        <v>0</v>
      </c>
      <c r="CL158" s="1277">
        <f>IF($F158=Miscellaneous!$N$7,IF($G158="Opex",SUMIF('Monthly Summary'!$C$75:BV$75,"",$H158:CA158),SUMIF('Monthly Summary'!$C$74:BV$74,"",$H158:CA158)),0)</f>
        <v>0</v>
      </c>
      <c r="CM158" s="1286">
        <f t="shared" si="46"/>
        <v>0</v>
      </c>
      <c r="CN158" s="833"/>
      <c r="CO158" s="1277">
        <f>IF($F158=Miscellaneous!$N$6,SUM($H158:CA158),0)</f>
        <v>0</v>
      </c>
      <c r="CP158" s="1277">
        <f>IF($F158=Miscellaneous!$N$6,IF($G158="Opex",SUMIF('Monthly Summary'!$C$75:BV$75,"",$H158:CA158),SUMIF('Monthly Summary'!$C$74:BV$74,"",$H158:CA158)),0)</f>
        <v>0</v>
      </c>
      <c r="CQ158" s="1286">
        <f t="shared" si="47"/>
        <v>0</v>
      </c>
      <c r="CR158" s="833"/>
      <c r="CS158" s="1277">
        <f>IF($A158="Software",SUM($H158:CA158),0)</f>
        <v>0</v>
      </c>
      <c r="CT158" s="1277">
        <f>IF($A158="Software",IF($G158="Opex",SUMIF('Monthly Summary'!$C$75:BV$75,"",$H158:CA158),SUMIF('Monthly Summary'!$C$74:BV$74,"",$H158:CA158)),0)</f>
        <v>0</v>
      </c>
      <c r="CU158" s="1286">
        <f t="shared" si="48"/>
        <v>0</v>
      </c>
      <c r="CV158" s="833"/>
      <c r="CW158" s="1277">
        <f t="shared" si="40"/>
        <v>0</v>
      </c>
      <c r="CX158" s="1277">
        <f t="shared" si="41"/>
        <v>0</v>
      </c>
      <c r="CY158" s="1286">
        <f t="shared" si="49"/>
        <v>0</v>
      </c>
      <c r="CZ158" s="833"/>
      <c r="DA158" s="1286">
        <f>IF($G158="Opex",SUMIF('Monthly Summary'!$C$75:BV$75,"",$H158:CA158),SUMIF('Monthly Summary'!$C$74:BV$74,"",$H158:CA158))</f>
        <v>0</v>
      </c>
      <c r="DB158" s="1278">
        <f t="shared" si="42"/>
        <v>0</v>
      </c>
      <c r="DC158" s="1279">
        <f>IF(AND(OR($D158=Variables!A$38,$D158=Variables!A$43),$F158&lt;&gt;"N/A"),1,0)</f>
        <v>0</v>
      </c>
      <c r="DD158" s="820"/>
      <c r="DE158" s="1281" t="str">
        <f t="shared" si="51"/>
        <v/>
      </c>
      <c r="DF158" s="1282" t="str">
        <f t="shared" si="52"/>
        <v/>
      </c>
      <c r="DG158" s="1282" t="str">
        <f t="shared" si="53"/>
        <v/>
      </c>
      <c r="DH158" s="1282" t="str">
        <f>IF(ISNA(VLOOKUP(DE158,Miscellaneous!E:F,2,0)),"",VLOOKUP(DE158,Miscellaneous!E:F,2,0))</f>
        <v/>
      </c>
      <c r="DI158" s="1282" t="str">
        <f t="shared" si="54"/>
        <v/>
      </c>
      <c r="DJ158" s="1283">
        <f>IF($DI158="Opex",SUMIF('Monthly Summary'!$C$75:$N$75,"",H158:S158),SUMIF('Monthly Summary'!$C$74:$N$74,"",H158:S158))</f>
        <v>0</v>
      </c>
      <c r="DK158" s="1283">
        <f>IF($DI158="Opex",SUMIF('Monthly Summary'!$O$75:$Z$75,"",T158:AE158),SUMIF('Monthly Summary'!$O$74:$Z$74,"",T158:AE158))</f>
        <v>0</v>
      </c>
      <c r="DL158" s="1283">
        <f>IF($DI158="Opex",SUMIF('Monthly Summary'!$AA$75:$AL$75,"",AF158:AQ158),SUMIF('Monthly Summary'!$AA$74:$AL$74,"",AF158:AQ158))</f>
        <v>0</v>
      </c>
      <c r="DM158" s="1283">
        <f>IF($DI158="Opex",SUMIF('Monthly Summary'!$AM$75:$AX$75,"",AR158:BC158),SUMIF('Monthly Summary'!$AM$74:$AX$74,"",AR158:BC158))</f>
        <v>0</v>
      </c>
      <c r="DN158" s="1283">
        <f>IF($DI158="Opex",SUMIF('Monthly Summary'!$AY$75:$BJ$75,"",BD158:BO158),SUMIF('Monthly Summary'!$AY$74:$BJ$74,"",BD158:BO158))</f>
        <v>0</v>
      </c>
      <c r="DO158" s="1284">
        <f>IF($DI158="Opex",SUMIF('Monthly Summary'!$BK$75:$BV$75,"",BP158:CA158),SUMIF('Monthly Summary'!$BK$74:$BV$74,"",BP158:CA158))</f>
        <v>0</v>
      </c>
      <c r="DP158" s="1285">
        <f t="shared" si="50"/>
        <v>0</v>
      </c>
    </row>
    <row r="159" spans="1:120" s="809" customFormat="1">
      <c r="A159" s="1261"/>
      <c r="B159" s="1261"/>
      <c r="C159" s="1261"/>
      <c r="D159" s="1262"/>
      <c r="E159" s="1270"/>
      <c r="F159" s="1263"/>
      <c r="G159" s="1263"/>
      <c r="H159" s="1267"/>
      <c r="I159" s="1268"/>
      <c r="J159" s="1268"/>
      <c r="K159" s="1268"/>
      <c r="L159" s="1268"/>
      <c r="M159" s="1268"/>
      <c r="N159" s="1268"/>
      <c r="O159" s="1268"/>
      <c r="P159" s="1268"/>
      <c r="Q159" s="1268"/>
      <c r="R159" s="1268"/>
      <c r="S159" s="1269"/>
      <c r="T159" s="1267"/>
      <c r="U159" s="1268"/>
      <c r="V159" s="1268"/>
      <c r="W159" s="1268"/>
      <c r="X159" s="1268"/>
      <c r="Y159" s="1268"/>
      <c r="Z159" s="1268"/>
      <c r="AA159" s="1268"/>
      <c r="AB159" s="1268"/>
      <c r="AC159" s="1268"/>
      <c r="AD159" s="1268"/>
      <c r="AE159" s="1269"/>
      <c r="AF159" s="1267"/>
      <c r="AG159" s="1268"/>
      <c r="AH159" s="1268"/>
      <c r="AI159" s="1268"/>
      <c r="AJ159" s="1268"/>
      <c r="AK159" s="1268"/>
      <c r="AL159" s="1268"/>
      <c r="AM159" s="1268"/>
      <c r="AN159" s="1268"/>
      <c r="AO159" s="1268"/>
      <c r="AP159" s="1268"/>
      <c r="AQ159" s="1269"/>
      <c r="AR159" s="1267"/>
      <c r="AS159" s="1268"/>
      <c r="AT159" s="1268"/>
      <c r="AU159" s="1268"/>
      <c r="AV159" s="1268"/>
      <c r="AW159" s="1268"/>
      <c r="AX159" s="1268"/>
      <c r="AY159" s="1268"/>
      <c r="AZ159" s="1268"/>
      <c r="BA159" s="1268"/>
      <c r="BB159" s="1268"/>
      <c r="BC159" s="1269"/>
      <c r="BD159" s="1267"/>
      <c r="BE159" s="1268"/>
      <c r="BF159" s="1268"/>
      <c r="BG159" s="1268"/>
      <c r="BH159" s="1268"/>
      <c r="BI159" s="1268"/>
      <c r="BJ159" s="1268"/>
      <c r="BK159" s="1268"/>
      <c r="BL159" s="1268"/>
      <c r="BM159" s="1268"/>
      <c r="BN159" s="1268"/>
      <c r="BO159" s="1269"/>
      <c r="BP159" s="1267"/>
      <c r="BQ159" s="1268"/>
      <c r="BR159" s="1268"/>
      <c r="BS159" s="1268"/>
      <c r="BT159" s="1268"/>
      <c r="BU159" s="1268"/>
      <c r="BV159" s="1268"/>
      <c r="BW159" s="1268"/>
      <c r="BX159" s="1268"/>
      <c r="BY159" s="1268"/>
      <c r="BZ159" s="1268"/>
      <c r="CA159" s="1269"/>
      <c r="CB159" s="1286">
        <f t="shared" si="43"/>
        <v>0</v>
      </c>
      <c r="CC159" s="1277">
        <f>IF($F159=Miscellaneous!$N$8,SUM($H159:CA159),0)</f>
        <v>0</v>
      </c>
      <c r="CD159" s="1277">
        <f>IF($F159=Miscellaneous!$N$8,IF($G159="Opex",SUMIF('Monthly Summary'!$C$75:BV$75,"",$H159:CA159),SUMIF('Monthly Summary'!$C$74:BV$74,"",$H159:CA159)),0)</f>
        <v>0</v>
      </c>
      <c r="CE159" s="1286">
        <f t="shared" si="44"/>
        <v>0</v>
      </c>
      <c r="CF159" s="833"/>
      <c r="CG159" s="1277">
        <f>IF($F159=Miscellaneous!$N$9,SUM($H159:CA159),0)</f>
        <v>0</v>
      </c>
      <c r="CH159" s="1277">
        <f>IF($F159=Miscellaneous!$N$9,IF($G159="Opex",SUMIF('Monthly Summary'!$C$75:BV$75,"",$H159:CA159),SUMIF('Monthly Summary'!$C$74:BV$74,"",$H159:CA159)),0)</f>
        <v>0</v>
      </c>
      <c r="CI159" s="1286">
        <f t="shared" si="45"/>
        <v>0</v>
      </c>
      <c r="CJ159" s="833"/>
      <c r="CK159" s="1277">
        <f>IF($F159=Miscellaneous!$N$7,SUM($H159:CA159),0)</f>
        <v>0</v>
      </c>
      <c r="CL159" s="1277">
        <f>IF($F159=Miscellaneous!$N$7,IF($G159="Opex",SUMIF('Monthly Summary'!$C$75:BV$75,"",$H159:CA159),SUMIF('Monthly Summary'!$C$74:BV$74,"",$H159:CA159)),0)</f>
        <v>0</v>
      </c>
      <c r="CM159" s="1286">
        <f t="shared" si="46"/>
        <v>0</v>
      </c>
      <c r="CN159" s="833"/>
      <c r="CO159" s="1277">
        <f>IF($F159=Miscellaneous!$N$6,SUM($H159:CA159),0)</f>
        <v>0</v>
      </c>
      <c r="CP159" s="1277">
        <f>IF($F159=Miscellaneous!$N$6,IF($G159="Opex",SUMIF('Monthly Summary'!$C$75:BV$75,"",$H159:CA159),SUMIF('Monthly Summary'!$C$74:BV$74,"",$H159:CA159)),0)</f>
        <v>0</v>
      </c>
      <c r="CQ159" s="1286">
        <f t="shared" si="47"/>
        <v>0</v>
      </c>
      <c r="CR159" s="833"/>
      <c r="CS159" s="1277">
        <f>IF($A159="Software",SUM($H159:CA159),0)</f>
        <v>0</v>
      </c>
      <c r="CT159" s="1277">
        <f>IF($A159="Software",IF($G159="Opex",SUMIF('Monthly Summary'!$C$75:BV$75,"",$H159:CA159),SUMIF('Monthly Summary'!$C$74:BV$74,"",$H159:CA159)),0)</f>
        <v>0</v>
      </c>
      <c r="CU159" s="1286">
        <f t="shared" si="48"/>
        <v>0</v>
      </c>
      <c r="CV159" s="833"/>
      <c r="CW159" s="1277">
        <f t="shared" si="40"/>
        <v>0</v>
      </c>
      <c r="CX159" s="1277">
        <f t="shared" si="41"/>
        <v>0</v>
      </c>
      <c r="CY159" s="1286">
        <f t="shared" si="49"/>
        <v>0</v>
      </c>
      <c r="CZ159" s="833"/>
      <c r="DA159" s="1286">
        <f>IF($G159="Opex",SUMIF('Monthly Summary'!$C$75:BV$75,"",$H159:CA159),SUMIF('Monthly Summary'!$C$74:BV$74,"",$H159:CA159))</f>
        <v>0</v>
      </c>
      <c r="DB159" s="1278">
        <f t="shared" si="42"/>
        <v>0</v>
      </c>
      <c r="DC159" s="1279">
        <f>IF(AND(OR($D159=Variables!A$38,$D159=Variables!A$43),$F159&lt;&gt;"N/A"),1,0)</f>
        <v>0</v>
      </c>
      <c r="DD159" s="820"/>
      <c r="DE159" s="1281" t="str">
        <f t="shared" si="51"/>
        <v/>
      </c>
      <c r="DF159" s="1282" t="str">
        <f t="shared" si="52"/>
        <v/>
      </c>
      <c r="DG159" s="1282" t="str">
        <f t="shared" si="53"/>
        <v/>
      </c>
      <c r="DH159" s="1282" t="str">
        <f>IF(ISNA(VLOOKUP(DE159,Miscellaneous!E:F,2,0)),"",VLOOKUP(DE159,Miscellaneous!E:F,2,0))</f>
        <v/>
      </c>
      <c r="DI159" s="1282" t="str">
        <f t="shared" si="54"/>
        <v/>
      </c>
      <c r="DJ159" s="1283">
        <f>IF($DI159="Opex",SUMIF('Monthly Summary'!$C$75:$N$75,"",H159:S159),SUMIF('Monthly Summary'!$C$74:$N$74,"",H159:S159))</f>
        <v>0</v>
      </c>
      <c r="DK159" s="1283">
        <f>IF($DI159="Opex",SUMIF('Monthly Summary'!$O$75:$Z$75,"",T159:AE159),SUMIF('Monthly Summary'!$O$74:$Z$74,"",T159:AE159))</f>
        <v>0</v>
      </c>
      <c r="DL159" s="1283">
        <f>IF($DI159="Opex",SUMIF('Monthly Summary'!$AA$75:$AL$75,"",AF159:AQ159),SUMIF('Monthly Summary'!$AA$74:$AL$74,"",AF159:AQ159))</f>
        <v>0</v>
      </c>
      <c r="DM159" s="1283">
        <f>IF($DI159="Opex",SUMIF('Monthly Summary'!$AM$75:$AX$75,"",AR159:BC159),SUMIF('Monthly Summary'!$AM$74:$AX$74,"",AR159:BC159))</f>
        <v>0</v>
      </c>
      <c r="DN159" s="1283">
        <f>IF($DI159="Opex",SUMIF('Monthly Summary'!$AY$75:$BJ$75,"",BD159:BO159),SUMIF('Monthly Summary'!$AY$74:$BJ$74,"",BD159:BO159))</f>
        <v>0</v>
      </c>
      <c r="DO159" s="1284">
        <f>IF($DI159="Opex",SUMIF('Monthly Summary'!$BK$75:$BV$75,"",BP159:CA159),SUMIF('Monthly Summary'!$BK$74:$BV$74,"",BP159:CA159))</f>
        <v>0</v>
      </c>
      <c r="DP159" s="1285">
        <f t="shared" si="50"/>
        <v>0</v>
      </c>
    </row>
    <row r="160" spans="1:120" s="809" customFormat="1">
      <c r="A160" s="1261"/>
      <c r="B160" s="1261"/>
      <c r="C160" s="1261"/>
      <c r="D160" s="1262"/>
      <c r="E160" s="1270"/>
      <c r="F160" s="1263"/>
      <c r="G160" s="1263"/>
      <c r="H160" s="1267"/>
      <c r="I160" s="1268"/>
      <c r="J160" s="1268"/>
      <c r="K160" s="1268"/>
      <c r="L160" s="1268"/>
      <c r="M160" s="1268"/>
      <c r="N160" s="1268"/>
      <c r="O160" s="1268"/>
      <c r="P160" s="1268"/>
      <c r="Q160" s="1268"/>
      <c r="R160" s="1268"/>
      <c r="S160" s="1269"/>
      <c r="T160" s="1267"/>
      <c r="U160" s="1268"/>
      <c r="V160" s="1268"/>
      <c r="W160" s="1268"/>
      <c r="X160" s="1268"/>
      <c r="Y160" s="1268"/>
      <c r="Z160" s="1268"/>
      <c r="AA160" s="1268"/>
      <c r="AB160" s="1268"/>
      <c r="AC160" s="1268"/>
      <c r="AD160" s="1268"/>
      <c r="AE160" s="1269"/>
      <c r="AF160" s="1267"/>
      <c r="AG160" s="1268"/>
      <c r="AH160" s="1268"/>
      <c r="AI160" s="1268"/>
      <c r="AJ160" s="1268"/>
      <c r="AK160" s="1268"/>
      <c r="AL160" s="1268"/>
      <c r="AM160" s="1268"/>
      <c r="AN160" s="1268"/>
      <c r="AO160" s="1268"/>
      <c r="AP160" s="1268"/>
      <c r="AQ160" s="1269"/>
      <c r="AR160" s="1267"/>
      <c r="AS160" s="1268"/>
      <c r="AT160" s="1268"/>
      <c r="AU160" s="1268"/>
      <c r="AV160" s="1268"/>
      <c r="AW160" s="1268"/>
      <c r="AX160" s="1268"/>
      <c r="AY160" s="1268"/>
      <c r="AZ160" s="1268"/>
      <c r="BA160" s="1268"/>
      <c r="BB160" s="1268"/>
      <c r="BC160" s="1269"/>
      <c r="BD160" s="1267"/>
      <c r="BE160" s="1268"/>
      <c r="BF160" s="1268"/>
      <c r="BG160" s="1268"/>
      <c r="BH160" s="1268"/>
      <c r="BI160" s="1268"/>
      <c r="BJ160" s="1268"/>
      <c r="BK160" s="1268"/>
      <c r="BL160" s="1268"/>
      <c r="BM160" s="1268"/>
      <c r="BN160" s="1268"/>
      <c r="BO160" s="1269"/>
      <c r="BP160" s="1267"/>
      <c r="BQ160" s="1268"/>
      <c r="BR160" s="1268"/>
      <c r="BS160" s="1268"/>
      <c r="BT160" s="1268"/>
      <c r="BU160" s="1268"/>
      <c r="BV160" s="1268"/>
      <c r="BW160" s="1268"/>
      <c r="BX160" s="1268"/>
      <c r="BY160" s="1268"/>
      <c r="BZ160" s="1268"/>
      <c r="CA160" s="1269"/>
      <c r="CB160" s="1286">
        <f t="shared" si="43"/>
        <v>0</v>
      </c>
      <c r="CC160" s="1277">
        <f>IF($F160=Miscellaneous!$N$8,SUM($H160:CA160),0)</f>
        <v>0</v>
      </c>
      <c r="CD160" s="1277">
        <f>IF($F160=Miscellaneous!$N$8,IF($G160="Opex",SUMIF('Monthly Summary'!$C$75:BV$75,"",$H160:CA160),SUMIF('Monthly Summary'!$C$74:BV$74,"",$H160:CA160)),0)</f>
        <v>0</v>
      </c>
      <c r="CE160" s="1286">
        <f t="shared" si="44"/>
        <v>0</v>
      </c>
      <c r="CF160" s="833"/>
      <c r="CG160" s="1277">
        <f>IF($F160=Miscellaneous!$N$9,SUM($H160:CA160),0)</f>
        <v>0</v>
      </c>
      <c r="CH160" s="1277">
        <f>IF($F160=Miscellaneous!$N$9,IF($G160="Opex",SUMIF('Monthly Summary'!$C$75:BV$75,"",$H160:CA160),SUMIF('Monthly Summary'!$C$74:BV$74,"",$H160:CA160)),0)</f>
        <v>0</v>
      </c>
      <c r="CI160" s="1286">
        <f t="shared" si="45"/>
        <v>0</v>
      </c>
      <c r="CJ160" s="833"/>
      <c r="CK160" s="1277">
        <f>IF($F160=Miscellaneous!$N$7,SUM($H160:CA160),0)</f>
        <v>0</v>
      </c>
      <c r="CL160" s="1277">
        <f>IF($F160=Miscellaneous!$N$7,IF($G160="Opex",SUMIF('Monthly Summary'!$C$75:BV$75,"",$H160:CA160),SUMIF('Monthly Summary'!$C$74:BV$74,"",$H160:CA160)),0)</f>
        <v>0</v>
      </c>
      <c r="CM160" s="1286">
        <f t="shared" si="46"/>
        <v>0</v>
      </c>
      <c r="CN160" s="833"/>
      <c r="CO160" s="1277">
        <f>IF($F160=Miscellaneous!$N$6,SUM($H160:CA160),0)</f>
        <v>0</v>
      </c>
      <c r="CP160" s="1277">
        <f>IF($F160=Miscellaneous!$N$6,IF($G160="Opex",SUMIF('Monthly Summary'!$C$75:BV$75,"",$H160:CA160),SUMIF('Monthly Summary'!$C$74:BV$74,"",$H160:CA160)),0)</f>
        <v>0</v>
      </c>
      <c r="CQ160" s="1286">
        <f t="shared" si="47"/>
        <v>0</v>
      </c>
      <c r="CR160" s="833"/>
      <c r="CS160" s="1277">
        <f>IF($A160="Software",SUM($H160:CA160),0)</f>
        <v>0</v>
      </c>
      <c r="CT160" s="1277">
        <f>IF($A160="Software",IF($G160="Opex",SUMIF('Monthly Summary'!$C$75:BV$75,"",$H160:CA160),SUMIF('Monthly Summary'!$C$74:BV$74,"",$H160:CA160)),0)</f>
        <v>0</v>
      </c>
      <c r="CU160" s="1286">
        <f t="shared" si="48"/>
        <v>0</v>
      </c>
      <c r="CV160" s="833"/>
      <c r="CW160" s="1277">
        <f t="shared" si="40"/>
        <v>0</v>
      </c>
      <c r="CX160" s="1277">
        <f t="shared" si="41"/>
        <v>0</v>
      </c>
      <c r="CY160" s="1286">
        <f t="shared" si="49"/>
        <v>0</v>
      </c>
      <c r="CZ160" s="833"/>
      <c r="DA160" s="1286">
        <f>IF($G160="Opex",SUMIF('Monthly Summary'!$C$75:BV$75,"",$H160:CA160),SUMIF('Monthly Summary'!$C$74:BV$74,"",$H160:CA160))</f>
        <v>0</v>
      </c>
      <c r="DB160" s="1278">
        <f t="shared" si="42"/>
        <v>0</v>
      </c>
      <c r="DC160" s="1279">
        <f>IF(AND(OR($D160=Variables!A$38,$D160=Variables!A$43),$F160&lt;&gt;"N/A"),1,0)</f>
        <v>0</v>
      </c>
      <c r="DD160" s="820"/>
      <c r="DE160" s="1281" t="str">
        <f t="shared" si="51"/>
        <v/>
      </c>
      <c r="DF160" s="1282" t="str">
        <f t="shared" si="52"/>
        <v/>
      </c>
      <c r="DG160" s="1282" t="str">
        <f t="shared" si="53"/>
        <v/>
      </c>
      <c r="DH160" s="1282" t="str">
        <f>IF(ISNA(VLOOKUP(DE160,Miscellaneous!E:F,2,0)),"",VLOOKUP(DE160,Miscellaneous!E:F,2,0))</f>
        <v/>
      </c>
      <c r="DI160" s="1282" t="str">
        <f t="shared" si="54"/>
        <v/>
      </c>
      <c r="DJ160" s="1283">
        <f>IF($DI160="Opex",SUMIF('Monthly Summary'!$C$75:$N$75,"",H160:S160),SUMIF('Monthly Summary'!$C$74:$N$74,"",H160:S160))</f>
        <v>0</v>
      </c>
      <c r="DK160" s="1283">
        <f>IF($DI160="Opex",SUMIF('Monthly Summary'!$O$75:$Z$75,"",T160:AE160),SUMIF('Monthly Summary'!$O$74:$Z$74,"",T160:AE160))</f>
        <v>0</v>
      </c>
      <c r="DL160" s="1283">
        <f>IF($DI160="Opex",SUMIF('Monthly Summary'!$AA$75:$AL$75,"",AF160:AQ160),SUMIF('Monthly Summary'!$AA$74:$AL$74,"",AF160:AQ160))</f>
        <v>0</v>
      </c>
      <c r="DM160" s="1283">
        <f>IF($DI160="Opex",SUMIF('Monthly Summary'!$AM$75:$AX$75,"",AR160:BC160),SUMIF('Monthly Summary'!$AM$74:$AX$74,"",AR160:BC160))</f>
        <v>0</v>
      </c>
      <c r="DN160" s="1283">
        <f>IF($DI160="Opex",SUMIF('Monthly Summary'!$AY$75:$BJ$75,"",BD160:BO160),SUMIF('Monthly Summary'!$AY$74:$BJ$74,"",BD160:BO160))</f>
        <v>0</v>
      </c>
      <c r="DO160" s="1284">
        <f>IF($DI160="Opex",SUMIF('Monthly Summary'!$BK$75:$BV$75,"",BP160:CA160),SUMIF('Monthly Summary'!$BK$74:$BV$74,"",BP160:CA160))</f>
        <v>0</v>
      </c>
      <c r="DP160" s="1285">
        <f t="shared" si="50"/>
        <v>0</v>
      </c>
    </row>
    <row r="161" spans="1:120" s="809" customFormat="1">
      <c r="A161" s="1261"/>
      <c r="B161" s="1261"/>
      <c r="C161" s="1261"/>
      <c r="D161" s="1262"/>
      <c r="E161" s="1270"/>
      <c r="F161" s="1263"/>
      <c r="G161" s="1263"/>
      <c r="H161" s="1267"/>
      <c r="I161" s="1268"/>
      <c r="J161" s="1268"/>
      <c r="K161" s="1268"/>
      <c r="L161" s="1268"/>
      <c r="M161" s="1268"/>
      <c r="N161" s="1268"/>
      <c r="O161" s="1268"/>
      <c r="P161" s="1268"/>
      <c r="Q161" s="1268"/>
      <c r="R161" s="1268"/>
      <c r="S161" s="1269"/>
      <c r="T161" s="1267"/>
      <c r="U161" s="1268"/>
      <c r="V161" s="1268"/>
      <c r="W161" s="1268"/>
      <c r="X161" s="1268"/>
      <c r="Y161" s="1268"/>
      <c r="Z161" s="1268"/>
      <c r="AA161" s="1268"/>
      <c r="AB161" s="1268"/>
      <c r="AC161" s="1268"/>
      <c r="AD161" s="1268"/>
      <c r="AE161" s="1269"/>
      <c r="AF161" s="1267"/>
      <c r="AG161" s="1268"/>
      <c r="AH161" s="1268"/>
      <c r="AI161" s="1268"/>
      <c r="AJ161" s="1268"/>
      <c r="AK161" s="1268"/>
      <c r="AL161" s="1268"/>
      <c r="AM161" s="1268"/>
      <c r="AN161" s="1268"/>
      <c r="AO161" s="1268"/>
      <c r="AP161" s="1268"/>
      <c r="AQ161" s="1269"/>
      <c r="AR161" s="1267"/>
      <c r="AS161" s="1268"/>
      <c r="AT161" s="1268"/>
      <c r="AU161" s="1268"/>
      <c r="AV161" s="1268"/>
      <c r="AW161" s="1268"/>
      <c r="AX161" s="1268"/>
      <c r="AY161" s="1268"/>
      <c r="AZ161" s="1268"/>
      <c r="BA161" s="1268"/>
      <c r="BB161" s="1268"/>
      <c r="BC161" s="1269"/>
      <c r="BD161" s="1267"/>
      <c r="BE161" s="1268"/>
      <c r="BF161" s="1268"/>
      <c r="BG161" s="1268"/>
      <c r="BH161" s="1268"/>
      <c r="BI161" s="1268"/>
      <c r="BJ161" s="1268"/>
      <c r="BK161" s="1268"/>
      <c r="BL161" s="1268"/>
      <c r="BM161" s="1268"/>
      <c r="BN161" s="1268"/>
      <c r="BO161" s="1269"/>
      <c r="BP161" s="1267"/>
      <c r="BQ161" s="1268"/>
      <c r="BR161" s="1268"/>
      <c r="BS161" s="1268"/>
      <c r="BT161" s="1268"/>
      <c r="BU161" s="1268"/>
      <c r="BV161" s="1268"/>
      <c r="BW161" s="1268"/>
      <c r="BX161" s="1268"/>
      <c r="BY161" s="1268"/>
      <c r="BZ161" s="1268"/>
      <c r="CA161" s="1269"/>
      <c r="CB161" s="1286">
        <f t="shared" si="43"/>
        <v>0</v>
      </c>
      <c r="CC161" s="1277">
        <f>IF($F161=Miscellaneous!$N$8,SUM($H161:CA161),0)</f>
        <v>0</v>
      </c>
      <c r="CD161" s="1277">
        <f>IF($F161=Miscellaneous!$N$8,IF($G161="Opex",SUMIF('Monthly Summary'!$C$75:BV$75,"",$H161:CA161),SUMIF('Monthly Summary'!$C$74:BV$74,"",$H161:CA161)),0)</f>
        <v>0</v>
      </c>
      <c r="CE161" s="1286">
        <f t="shared" si="44"/>
        <v>0</v>
      </c>
      <c r="CF161" s="833"/>
      <c r="CG161" s="1277">
        <f>IF($F161=Miscellaneous!$N$9,SUM($H161:CA161),0)</f>
        <v>0</v>
      </c>
      <c r="CH161" s="1277">
        <f>IF($F161=Miscellaneous!$N$9,IF($G161="Opex",SUMIF('Monthly Summary'!$C$75:BV$75,"",$H161:CA161),SUMIF('Monthly Summary'!$C$74:BV$74,"",$H161:CA161)),0)</f>
        <v>0</v>
      </c>
      <c r="CI161" s="1286">
        <f t="shared" si="45"/>
        <v>0</v>
      </c>
      <c r="CJ161" s="833"/>
      <c r="CK161" s="1277">
        <f>IF($F161=Miscellaneous!$N$7,SUM($H161:CA161),0)</f>
        <v>0</v>
      </c>
      <c r="CL161" s="1277">
        <f>IF($F161=Miscellaneous!$N$7,IF($G161="Opex",SUMIF('Monthly Summary'!$C$75:BV$75,"",$H161:CA161),SUMIF('Monthly Summary'!$C$74:BV$74,"",$H161:CA161)),0)</f>
        <v>0</v>
      </c>
      <c r="CM161" s="1286">
        <f t="shared" si="46"/>
        <v>0</v>
      </c>
      <c r="CN161" s="833"/>
      <c r="CO161" s="1277">
        <f>IF($F161=Miscellaneous!$N$6,SUM($H161:CA161),0)</f>
        <v>0</v>
      </c>
      <c r="CP161" s="1277">
        <f>IF($F161=Miscellaneous!$N$6,IF($G161="Opex",SUMIF('Monthly Summary'!$C$75:BV$75,"",$H161:CA161),SUMIF('Monthly Summary'!$C$74:BV$74,"",$H161:CA161)),0)</f>
        <v>0</v>
      </c>
      <c r="CQ161" s="1286">
        <f t="shared" si="47"/>
        <v>0</v>
      </c>
      <c r="CR161" s="833"/>
      <c r="CS161" s="1277">
        <f>IF($A161="Software",SUM($H161:CA161),0)</f>
        <v>0</v>
      </c>
      <c r="CT161" s="1277">
        <f>IF($A161="Software",IF($G161="Opex",SUMIF('Monthly Summary'!$C$75:BV$75,"",$H161:CA161),SUMIF('Monthly Summary'!$C$74:BV$74,"",$H161:CA161)),0)</f>
        <v>0</v>
      </c>
      <c r="CU161" s="1286">
        <f t="shared" si="48"/>
        <v>0</v>
      </c>
      <c r="CV161" s="833"/>
      <c r="CW161" s="1277">
        <f t="shared" si="40"/>
        <v>0</v>
      </c>
      <c r="CX161" s="1277">
        <f t="shared" si="41"/>
        <v>0</v>
      </c>
      <c r="CY161" s="1286">
        <f t="shared" si="49"/>
        <v>0</v>
      </c>
      <c r="CZ161" s="833"/>
      <c r="DA161" s="1286">
        <f>IF($G161="Opex",SUMIF('Monthly Summary'!$C$75:BV$75,"",$H161:CA161),SUMIF('Monthly Summary'!$C$74:BV$74,"",$H161:CA161))</f>
        <v>0</v>
      </c>
      <c r="DB161" s="1278">
        <f t="shared" si="42"/>
        <v>0</v>
      </c>
      <c r="DC161" s="1279">
        <f>IF(AND(OR($D161=Variables!A$38,$D161=Variables!A$43),$F161&lt;&gt;"N/A"),1,0)</f>
        <v>0</v>
      </c>
      <c r="DD161" s="820"/>
      <c r="DE161" s="1281" t="str">
        <f t="shared" si="51"/>
        <v/>
      </c>
      <c r="DF161" s="1282" t="str">
        <f t="shared" si="52"/>
        <v/>
      </c>
      <c r="DG161" s="1282" t="str">
        <f t="shared" si="53"/>
        <v/>
      </c>
      <c r="DH161" s="1282" t="str">
        <f>IF(ISNA(VLOOKUP(DE161,Miscellaneous!E:F,2,0)),"",VLOOKUP(DE161,Miscellaneous!E:F,2,0))</f>
        <v/>
      </c>
      <c r="DI161" s="1282" t="str">
        <f t="shared" si="54"/>
        <v/>
      </c>
      <c r="DJ161" s="1283">
        <f>IF($DI161="Opex",SUMIF('Monthly Summary'!$C$75:$N$75,"",H161:S161),SUMIF('Monthly Summary'!$C$74:$N$74,"",H161:S161))</f>
        <v>0</v>
      </c>
      <c r="DK161" s="1283">
        <f>IF($DI161="Opex",SUMIF('Monthly Summary'!$O$75:$Z$75,"",T161:AE161),SUMIF('Monthly Summary'!$O$74:$Z$74,"",T161:AE161))</f>
        <v>0</v>
      </c>
      <c r="DL161" s="1283">
        <f>IF($DI161="Opex",SUMIF('Monthly Summary'!$AA$75:$AL$75,"",AF161:AQ161),SUMIF('Monthly Summary'!$AA$74:$AL$74,"",AF161:AQ161))</f>
        <v>0</v>
      </c>
      <c r="DM161" s="1283">
        <f>IF($DI161="Opex",SUMIF('Monthly Summary'!$AM$75:$AX$75,"",AR161:BC161),SUMIF('Monthly Summary'!$AM$74:$AX$74,"",AR161:BC161))</f>
        <v>0</v>
      </c>
      <c r="DN161" s="1283">
        <f>IF($DI161="Opex",SUMIF('Monthly Summary'!$AY$75:$BJ$75,"",BD161:BO161),SUMIF('Monthly Summary'!$AY$74:$BJ$74,"",BD161:BO161))</f>
        <v>0</v>
      </c>
      <c r="DO161" s="1284">
        <f>IF($DI161="Opex",SUMIF('Monthly Summary'!$BK$75:$BV$75,"",BP161:CA161),SUMIF('Monthly Summary'!$BK$74:$BV$74,"",BP161:CA161))</f>
        <v>0</v>
      </c>
      <c r="DP161" s="1285">
        <f t="shared" si="50"/>
        <v>0</v>
      </c>
    </row>
    <row r="162" spans="1:120" s="809" customFormat="1">
      <c r="A162" s="1261"/>
      <c r="B162" s="1261"/>
      <c r="C162" s="1261"/>
      <c r="D162" s="1262"/>
      <c r="E162" s="1270"/>
      <c r="F162" s="1263"/>
      <c r="G162" s="1263"/>
      <c r="H162" s="1267"/>
      <c r="I162" s="1268"/>
      <c r="J162" s="1268"/>
      <c r="K162" s="1268"/>
      <c r="L162" s="1268"/>
      <c r="M162" s="1268"/>
      <c r="N162" s="1268"/>
      <c r="O162" s="1268"/>
      <c r="P162" s="1268"/>
      <c r="Q162" s="1268"/>
      <c r="R162" s="1268"/>
      <c r="S162" s="1269"/>
      <c r="T162" s="1267"/>
      <c r="U162" s="1268"/>
      <c r="V162" s="1268"/>
      <c r="W162" s="1268"/>
      <c r="X162" s="1268"/>
      <c r="Y162" s="1268"/>
      <c r="Z162" s="1268"/>
      <c r="AA162" s="1268"/>
      <c r="AB162" s="1268"/>
      <c r="AC162" s="1268"/>
      <c r="AD162" s="1268"/>
      <c r="AE162" s="1269"/>
      <c r="AF162" s="1267"/>
      <c r="AG162" s="1268"/>
      <c r="AH162" s="1268"/>
      <c r="AI162" s="1268"/>
      <c r="AJ162" s="1268"/>
      <c r="AK162" s="1268"/>
      <c r="AL162" s="1268"/>
      <c r="AM162" s="1268"/>
      <c r="AN162" s="1268"/>
      <c r="AO162" s="1268"/>
      <c r="AP162" s="1268"/>
      <c r="AQ162" s="1269"/>
      <c r="AR162" s="1267"/>
      <c r="AS162" s="1268"/>
      <c r="AT162" s="1268"/>
      <c r="AU162" s="1268"/>
      <c r="AV162" s="1268"/>
      <c r="AW162" s="1268"/>
      <c r="AX162" s="1268"/>
      <c r="AY162" s="1268"/>
      <c r="AZ162" s="1268"/>
      <c r="BA162" s="1268"/>
      <c r="BB162" s="1268"/>
      <c r="BC162" s="1269"/>
      <c r="BD162" s="1267"/>
      <c r="BE162" s="1268"/>
      <c r="BF162" s="1268"/>
      <c r="BG162" s="1268"/>
      <c r="BH162" s="1268"/>
      <c r="BI162" s="1268"/>
      <c r="BJ162" s="1268"/>
      <c r="BK162" s="1268"/>
      <c r="BL162" s="1268"/>
      <c r="BM162" s="1268"/>
      <c r="BN162" s="1268"/>
      <c r="BO162" s="1269"/>
      <c r="BP162" s="1267"/>
      <c r="BQ162" s="1268"/>
      <c r="BR162" s="1268"/>
      <c r="BS162" s="1268"/>
      <c r="BT162" s="1268"/>
      <c r="BU162" s="1268"/>
      <c r="BV162" s="1268"/>
      <c r="BW162" s="1268"/>
      <c r="BX162" s="1268"/>
      <c r="BY162" s="1268"/>
      <c r="BZ162" s="1268"/>
      <c r="CA162" s="1269"/>
      <c r="CB162" s="1286">
        <f t="shared" si="43"/>
        <v>0</v>
      </c>
      <c r="CC162" s="1277">
        <f>IF($F162=Miscellaneous!$N$8,SUM($H162:CA162),0)</f>
        <v>0</v>
      </c>
      <c r="CD162" s="1277">
        <f>IF($F162=Miscellaneous!$N$8,IF($G162="Opex",SUMIF('Monthly Summary'!$C$75:BV$75,"",$H162:CA162),SUMIF('Monthly Summary'!$C$74:BV$74,"",$H162:CA162)),0)</f>
        <v>0</v>
      </c>
      <c r="CE162" s="1286">
        <f t="shared" si="44"/>
        <v>0</v>
      </c>
      <c r="CF162" s="833"/>
      <c r="CG162" s="1277">
        <f>IF($F162=Miscellaneous!$N$9,SUM($H162:CA162),0)</f>
        <v>0</v>
      </c>
      <c r="CH162" s="1277">
        <f>IF($F162=Miscellaneous!$N$9,IF($G162="Opex",SUMIF('Monthly Summary'!$C$75:BV$75,"",$H162:CA162),SUMIF('Monthly Summary'!$C$74:BV$74,"",$H162:CA162)),0)</f>
        <v>0</v>
      </c>
      <c r="CI162" s="1286">
        <f t="shared" si="45"/>
        <v>0</v>
      </c>
      <c r="CJ162" s="833"/>
      <c r="CK162" s="1277">
        <f>IF($F162=Miscellaneous!$N$7,SUM($H162:CA162),0)</f>
        <v>0</v>
      </c>
      <c r="CL162" s="1277">
        <f>IF($F162=Miscellaneous!$N$7,IF($G162="Opex",SUMIF('Monthly Summary'!$C$75:BV$75,"",$H162:CA162),SUMIF('Monthly Summary'!$C$74:BV$74,"",$H162:CA162)),0)</f>
        <v>0</v>
      </c>
      <c r="CM162" s="1286">
        <f t="shared" si="46"/>
        <v>0</v>
      </c>
      <c r="CN162" s="833"/>
      <c r="CO162" s="1277">
        <f>IF($F162=Miscellaneous!$N$6,SUM($H162:CA162),0)</f>
        <v>0</v>
      </c>
      <c r="CP162" s="1277">
        <f>IF($F162=Miscellaneous!$N$6,IF($G162="Opex",SUMIF('Monthly Summary'!$C$75:BV$75,"",$H162:CA162),SUMIF('Monthly Summary'!$C$74:BV$74,"",$H162:CA162)),0)</f>
        <v>0</v>
      </c>
      <c r="CQ162" s="1286">
        <f t="shared" si="47"/>
        <v>0</v>
      </c>
      <c r="CR162" s="833"/>
      <c r="CS162" s="1277">
        <f>IF($A162="Software",SUM($H162:CA162),0)</f>
        <v>0</v>
      </c>
      <c r="CT162" s="1277">
        <f>IF($A162="Software",IF($G162="Opex",SUMIF('Monthly Summary'!$C$75:BV$75,"",$H162:CA162),SUMIF('Monthly Summary'!$C$74:BV$74,"",$H162:CA162)),0)</f>
        <v>0</v>
      </c>
      <c r="CU162" s="1286">
        <f t="shared" si="48"/>
        <v>0</v>
      </c>
      <c r="CV162" s="833"/>
      <c r="CW162" s="1277">
        <f t="shared" si="40"/>
        <v>0</v>
      </c>
      <c r="CX162" s="1277">
        <f t="shared" si="41"/>
        <v>0</v>
      </c>
      <c r="CY162" s="1286">
        <f t="shared" si="49"/>
        <v>0</v>
      </c>
      <c r="CZ162" s="833"/>
      <c r="DA162" s="1286">
        <f>IF($G162="Opex",SUMIF('Monthly Summary'!$C$75:BV$75,"",$H162:CA162),SUMIF('Monthly Summary'!$C$74:BV$74,"",$H162:CA162))</f>
        <v>0</v>
      </c>
      <c r="DB162" s="1278">
        <f t="shared" si="42"/>
        <v>0</v>
      </c>
      <c r="DC162" s="1279">
        <f>IF(AND(OR($D162=Variables!A$38,$D162=Variables!A$43),$F162&lt;&gt;"N/A"),1,0)</f>
        <v>0</v>
      </c>
      <c r="DD162" s="820"/>
      <c r="DE162" s="1281" t="str">
        <f t="shared" si="51"/>
        <v/>
      </c>
      <c r="DF162" s="1282" t="str">
        <f t="shared" si="52"/>
        <v/>
      </c>
      <c r="DG162" s="1282" t="str">
        <f t="shared" si="53"/>
        <v/>
      </c>
      <c r="DH162" s="1282" t="str">
        <f>IF(ISNA(VLOOKUP(DE162,Miscellaneous!E:F,2,0)),"",VLOOKUP(DE162,Miscellaneous!E:F,2,0))</f>
        <v/>
      </c>
      <c r="DI162" s="1282" t="str">
        <f t="shared" si="54"/>
        <v/>
      </c>
      <c r="DJ162" s="1283">
        <f>IF($DI162="Opex",SUMIF('Monthly Summary'!$C$75:$N$75,"",H162:S162),SUMIF('Monthly Summary'!$C$74:$N$74,"",H162:S162))</f>
        <v>0</v>
      </c>
      <c r="DK162" s="1283">
        <f>IF($DI162="Opex",SUMIF('Monthly Summary'!$O$75:$Z$75,"",T162:AE162),SUMIF('Monthly Summary'!$O$74:$Z$74,"",T162:AE162))</f>
        <v>0</v>
      </c>
      <c r="DL162" s="1283">
        <f>IF($DI162="Opex",SUMIF('Monthly Summary'!$AA$75:$AL$75,"",AF162:AQ162),SUMIF('Monthly Summary'!$AA$74:$AL$74,"",AF162:AQ162))</f>
        <v>0</v>
      </c>
      <c r="DM162" s="1283">
        <f>IF($DI162="Opex",SUMIF('Monthly Summary'!$AM$75:$AX$75,"",AR162:BC162),SUMIF('Monthly Summary'!$AM$74:$AX$74,"",AR162:BC162))</f>
        <v>0</v>
      </c>
      <c r="DN162" s="1283">
        <f>IF($DI162="Opex",SUMIF('Monthly Summary'!$AY$75:$BJ$75,"",BD162:BO162),SUMIF('Monthly Summary'!$AY$74:$BJ$74,"",BD162:BO162))</f>
        <v>0</v>
      </c>
      <c r="DO162" s="1284">
        <f>IF($DI162="Opex",SUMIF('Monthly Summary'!$BK$75:$BV$75,"",BP162:CA162),SUMIF('Monthly Summary'!$BK$74:$BV$74,"",BP162:CA162))</f>
        <v>0</v>
      </c>
      <c r="DP162" s="1285">
        <f t="shared" si="50"/>
        <v>0</v>
      </c>
    </row>
    <row r="163" spans="1:120" s="809" customFormat="1">
      <c r="A163" s="1261"/>
      <c r="B163" s="1261"/>
      <c r="C163" s="1261"/>
      <c r="D163" s="1262"/>
      <c r="E163" s="1270"/>
      <c r="F163" s="1263"/>
      <c r="G163" s="1263"/>
      <c r="H163" s="1267"/>
      <c r="I163" s="1268"/>
      <c r="J163" s="1268"/>
      <c r="K163" s="1268"/>
      <c r="L163" s="1268"/>
      <c r="M163" s="1268"/>
      <c r="N163" s="1268"/>
      <c r="O163" s="1268"/>
      <c r="P163" s="1268"/>
      <c r="Q163" s="1268"/>
      <c r="R163" s="1268"/>
      <c r="S163" s="1269"/>
      <c r="T163" s="1267"/>
      <c r="U163" s="1268"/>
      <c r="V163" s="1268"/>
      <c r="W163" s="1268"/>
      <c r="X163" s="1268"/>
      <c r="Y163" s="1268"/>
      <c r="Z163" s="1268"/>
      <c r="AA163" s="1268"/>
      <c r="AB163" s="1268"/>
      <c r="AC163" s="1268"/>
      <c r="AD163" s="1268"/>
      <c r="AE163" s="1269"/>
      <c r="AF163" s="1267"/>
      <c r="AG163" s="1268"/>
      <c r="AH163" s="1268"/>
      <c r="AI163" s="1268"/>
      <c r="AJ163" s="1268"/>
      <c r="AK163" s="1268"/>
      <c r="AL163" s="1268"/>
      <c r="AM163" s="1268"/>
      <c r="AN163" s="1268"/>
      <c r="AO163" s="1268"/>
      <c r="AP163" s="1268"/>
      <c r="AQ163" s="1269"/>
      <c r="AR163" s="1267"/>
      <c r="AS163" s="1268"/>
      <c r="AT163" s="1268"/>
      <c r="AU163" s="1268"/>
      <c r="AV163" s="1268"/>
      <c r="AW163" s="1268"/>
      <c r="AX163" s="1268"/>
      <c r="AY163" s="1268"/>
      <c r="AZ163" s="1268"/>
      <c r="BA163" s="1268"/>
      <c r="BB163" s="1268"/>
      <c r="BC163" s="1269"/>
      <c r="BD163" s="1267"/>
      <c r="BE163" s="1268"/>
      <c r="BF163" s="1268"/>
      <c r="BG163" s="1268"/>
      <c r="BH163" s="1268"/>
      <c r="BI163" s="1268"/>
      <c r="BJ163" s="1268"/>
      <c r="BK163" s="1268"/>
      <c r="BL163" s="1268"/>
      <c r="BM163" s="1268"/>
      <c r="BN163" s="1268"/>
      <c r="BO163" s="1269"/>
      <c r="BP163" s="1267"/>
      <c r="BQ163" s="1268"/>
      <c r="BR163" s="1268"/>
      <c r="BS163" s="1268"/>
      <c r="BT163" s="1268"/>
      <c r="BU163" s="1268"/>
      <c r="BV163" s="1268"/>
      <c r="BW163" s="1268"/>
      <c r="BX163" s="1268"/>
      <c r="BY163" s="1268"/>
      <c r="BZ163" s="1268"/>
      <c r="CA163" s="1269"/>
      <c r="CB163" s="1286">
        <f t="shared" si="43"/>
        <v>0</v>
      </c>
      <c r="CC163" s="1277">
        <f>IF($F163=Miscellaneous!$N$8,SUM($H163:CA163),0)</f>
        <v>0</v>
      </c>
      <c r="CD163" s="1277">
        <f>IF($F163=Miscellaneous!$N$8,IF($G163="Opex",SUMIF('Monthly Summary'!$C$75:BV$75,"",$H163:CA163),SUMIF('Monthly Summary'!$C$74:BV$74,"",$H163:CA163)),0)</f>
        <v>0</v>
      </c>
      <c r="CE163" s="1286">
        <f t="shared" si="44"/>
        <v>0</v>
      </c>
      <c r="CF163" s="833"/>
      <c r="CG163" s="1277">
        <f>IF($F163=Miscellaneous!$N$9,SUM($H163:CA163),0)</f>
        <v>0</v>
      </c>
      <c r="CH163" s="1277">
        <f>IF($F163=Miscellaneous!$N$9,IF($G163="Opex",SUMIF('Monthly Summary'!$C$75:BV$75,"",$H163:CA163),SUMIF('Monthly Summary'!$C$74:BV$74,"",$H163:CA163)),0)</f>
        <v>0</v>
      </c>
      <c r="CI163" s="1286">
        <f t="shared" si="45"/>
        <v>0</v>
      </c>
      <c r="CJ163" s="833"/>
      <c r="CK163" s="1277">
        <f>IF($F163=Miscellaneous!$N$7,SUM($H163:CA163),0)</f>
        <v>0</v>
      </c>
      <c r="CL163" s="1277">
        <f>IF($F163=Miscellaneous!$N$7,IF($G163="Opex",SUMIF('Monthly Summary'!$C$75:BV$75,"",$H163:CA163),SUMIF('Monthly Summary'!$C$74:BV$74,"",$H163:CA163)),0)</f>
        <v>0</v>
      </c>
      <c r="CM163" s="1286">
        <f t="shared" si="46"/>
        <v>0</v>
      </c>
      <c r="CN163" s="833"/>
      <c r="CO163" s="1277">
        <f>IF($F163=Miscellaneous!$N$6,SUM($H163:CA163),0)</f>
        <v>0</v>
      </c>
      <c r="CP163" s="1277">
        <f>IF($F163=Miscellaneous!$N$6,IF($G163="Opex",SUMIF('Monthly Summary'!$C$75:BV$75,"",$H163:CA163),SUMIF('Monthly Summary'!$C$74:BV$74,"",$H163:CA163)),0)</f>
        <v>0</v>
      </c>
      <c r="CQ163" s="1286">
        <f t="shared" si="47"/>
        <v>0</v>
      </c>
      <c r="CR163" s="833"/>
      <c r="CS163" s="1277">
        <f>IF($A163="Software",SUM($H163:CA163),0)</f>
        <v>0</v>
      </c>
      <c r="CT163" s="1277">
        <f>IF($A163="Software",IF($G163="Opex",SUMIF('Monthly Summary'!$C$75:BV$75,"",$H163:CA163),SUMIF('Monthly Summary'!$C$74:BV$74,"",$H163:CA163)),0)</f>
        <v>0</v>
      </c>
      <c r="CU163" s="1286">
        <f t="shared" si="48"/>
        <v>0</v>
      </c>
      <c r="CV163" s="833"/>
      <c r="CW163" s="1277">
        <f t="shared" si="40"/>
        <v>0</v>
      </c>
      <c r="CX163" s="1277">
        <f t="shared" si="41"/>
        <v>0</v>
      </c>
      <c r="CY163" s="1286">
        <f t="shared" si="49"/>
        <v>0</v>
      </c>
      <c r="CZ163" s="833"/>
      <c r="DA163" s="1286">
        <f>IF($G163="Opex",SUMIF('Monthly Summary'!$C$75:BV$75,"",$H163:CA163),SUMIF('Monthly Summary'!$C$74:BV$74,"",$H163:CA163))</f>
        <v>0</v>
      </c>
      <c r="DB163" s="1278">
        <f t="shared" si="42"/>
        <v>0</v>
      </c>
      <c r="DC163" s="1279">
        <f>IF(AND(OR($D163=Variables!A$38,$D163=Variables!A$43),$F163&lt;&gt;"N/A"),1,0)</f>
        <v>0</v>
      </c>
      <c r="DD163" s="820"/>
      <c r="DE163" s="1281" t="str">
        <f t="shared" si="51"/>
        <v/>
      </c>
      <c r="DF163" s="1282" t="str">
        <f t="shared" si="52"/>
        <v/>
      </c>
      <c r="DG163" s="1282" t="str">
        <f t="shared" si="53"/>
        <v/>
      </c>
      <c r="DH163" s="1282" t="str">
        <f>IF(ISNA(VLOOKUP(DE163,Miscellaneous!E:F,2,0)),"",VLOOKUP(DE163,Miscellaneous!E:F,2,0))</f>
        <v/>
      </c>
      <c r="DI163" s="1282" t="str">
        <f t="shared" si="54"/>
        <v/>
      </c>
      <c r="DJ163" s="1283">
        <f>IF($DI163="Opex",SUMIF('Monthly Summary'!$C$75:$N$75,"",H163:S163),SUMIF('Monthly Summary'!$C$74:$N$74,"",H163:S163))</f>
        <v>0</v>
      </c>
      <c r="DK163" s="1283">
        <f>IF($DI163="Opex",SUMIF('Monthly Summary'!$O$75:$Z$75,"",T163:AE163),SUMIF('Monthly Summary'!$O$74:$Z$74,"",T163:AE163))</f>
        <v>0</v>
      </c>
      <c r="DL163" s="1283">
        <f>IF($DI163="Opex",SUMIF('Monthly Summary'!$AA$75:$AL$75,"",AF163:AQ163),SUMIF('Monthly Summary'!$AA$74:$AL$74,"",AF163:AQ163))</f>
        <v>0</v>
      </c>
      <c r="DM163" s="1283">
        <f>IF($DI163="Opex",SUMIF('Monthly Summary'!$AM$75:$AX$75,"",AR163:BC163),SUMIF('Monthly Summary'!$AM$74:$AX$74,"",AR163:BC163))</f>
        <v>0</v>
      </c>
      <c r="DN163" s="1283">
        <f>IF($DI163="Opex",SUMIF('Monthly Summary'!$AY$75:$BJ$75,"",BD163:BO163),SUMIF('Monthly Summary'!$AY$74:$BJ$74,"",BD163:BO163))</f>
        <v>0</v>
      </c>
      <c r="DO163" s="1284">
        <f>IF($DI163="Opex",SUMIF('Monthly Summary'!$BK$75:$BV$75,"",BP163:CA163),SUMIF('Monthly Summary'!$BK$74:$BV$74,"",BP163:CA163))</f>
        <v>0</v>
      </c>
      <c r="DP163" s="1285">
        <f t="shared" si="50"/>
        <v>0</v>
      </c>
    </row>
    <row r="164" spans="1:120" s="809" customFormat="1">
      <c r="A164" s="1261"/>
      <c r="B164" s="1261"/>
      <c r="C164" s="1261"/>
      <c r="D164" s="1262"/>
      <c r="E164" s="1270"/>
      <c r="F164" s="1263"/>
      <c r="G164" s="1263"/>
      <c r="H164" s="1267"/>
      <c r="I164" s="1268"/>
      <c r="J164" s="1268"/>
      <c r="K164" s="1268"/>
      <c r="L164" s="1268"/>
      <c r="M164" s="1268"/>
      <c r="N164" s="1268"/>
      <c r="O164" s="1268"/>
      <c r="P164" s="1268"/>
      <c r="Q164" s="1268"/>
      <c r="R164" s="1268"/>
      <c r="S164" s="1269"/>
      <c r="T164" s="1267"/>
      <c r="U164" s="1268"/>
      <c r="V164" s="1268"/>
      <c r="W164" s="1268"/>
      <c r="X164" s="1268"/>
      <c r="Y164" s="1268"/>
      <c r="Z164" s="1268"/>
      <c r="AA164" s="1268"/>
      <c r="AB164" s="1268"/>
      <c r="AC164" s="1268"/>
      <c r="AD164" s="1268"/>
      <c r="AE164" s="1269"/>
      <c r="AF164" s="1267"/>
      <c r="AG164" s="1268"/>
      <c r="AH164" s="1268"/>
      <c r="AI164" s="1268"/>
      <c r="AJ164" s="1268"/>
      <c r="AK164" s="1268"/>
      <c r="AL164" s="1268"/>
      <c r="AM164" s="1268"/>
      <c r="AN164" s="1268"/>
      <c r="AO164" s="1268"/>
      <c r="AP164" s="1268"/>
      <c r="AQ164" s="1269"/>
      <c r="AR164" s="1267"/>
      <c r="AS164" s="1268"/>
      <c r="AT164" s="1268"/>
      <c r="AU164" s="1268"/>
      <c r="AV164" s="1268"/>
      <c r="AW164" s="1268"/>
      <c r="AX164" s="1268"/>
      <c r="AY164" s="1268"/>
      <c r="AZ164" s="1268"/>
      <c r="BA164" s="1268"/>
      <c r="BB164" s="1268"/>
      <c r="BC164" s="1269"/>
      <c r="BD164" s="1267"/>
      <c r="BE164" s="1268"/>
      <c r="BF164" s="1268"/>
      <c r="BG164" s="1268"/>
      <c r="BH164" s="1268"/>
      <c r="BI164" s="1268"/>
      <c r="BJ164" s="1268"/>
      <c r="BK164" s="1268"/>
      <c r="BL164" s="1268"/>
      <c r="BM164" s="1268"/>
      <c r="BN164" s="1268"/>
      <c r="BO164" s="1269"/>
      <c r="BP164" s="1267"/>
      <c r="BQ164" s="1268"/>
      <c r="BR164" s="1268"/>
      <c r="BS164" s="1268"/>
      <c r="BT164" s="1268"/>
      <c r="BU164" s="1268"/>
      <c r="BV164" s="1268"/>
      <c r="BW164" s="1268"/>
      <c r="BX164" s="1268"/>
      <c r="BY164" s="1268"/>
      <c r="BZ164" s="1268"/>
      <c r="CA164" s="1269"/>
      <c r="CB164" s="1286">
        <f t="shared" si="43"/>
        <v>0</v>
      </c>
      <c r="CC164" s="1277">
        <f>IF($F164=Miscellaneous!$N$8,SUM($H164:CA164),0)</f>
        <v>0</v>
      </c>
      <c r="CD164" s="1277">
        <f>IF($F164=Miscellaneous!$N$8,IF($G164="Opex",SUMIF('Monthly Summary'!$C$75:BV$75,"",$H164:CA164),SUMIF('Monthly Summary'!$C$74:BV$74,"",$H164:CA164)),0)</f>
        <v>0</v>
      </c>
      <c r="CE164" s="1286">
        <f t="shared" si="44"/>
        <v>0</v>
      </c>
      <c r="CF164" s="833"/>
      <c r="CG164" s="1277">
        <f>IF($F164=Miscellaneous!$N$9,SUM($H164:CA164),0)</f>
        <v>0</v>
      </c>
      <c r="CH164" s="1277">
        <f>IF($F164=Miscellaneous!$N$9,IF($G164="Opex",SUMIF('Monthly Summary'!$C$75:BV$75,"",$H164:CA164),SUMIF('Monthly Summary'!$C$74:BV$74,"",$H164:CA164)),0)</f>
        <v>0</v>
      </c>
      <c r="CI164" s="1286">
        <f t="shared" si="45"/>
        <v>0</v>
      </c>
      <c r="CJ164" s="833"/>
      <c r="CK164" s="1277">
        <f>IF($F164=Miscellaneous!$N$7,SUM($H164:CA164),0)</f>
        <v>0</v>
      </c>
      <c r="CL164" s="1277">
        <f>IF($F164=Miscellaneous!$N$7,IF($G164="Opex",SUMIF('Monthly Summary'!$C$75:BV$75,"",$H164:CA164),SUMIF('Monthly Summary'!$C$74:BV$74,"",$H164:CA164)),0)</f>
        <v>0</v>
      </c>
      <c r="CM164" s="1286">
        <f t="shared" si="46"/>
        <v>0</v>
      </c>
      <c r="CN164" s="833"/>
      <c r="CO164" s="1277">
        <f>IF($F164=Miscellaneous!$N$6,SUM($H164:CA164),0)</f>
        <v>0</v>
      </c>
      <c r="CP164" s="1277">
        <f>IF($F164=Miscellaneous!$N$6,IF($G164="Opex",SUMIF('Monthly Summary'!$C$75:BV$75,"",$H164:CA164),SUMIF('Monthly Summary'!$C$74:BV$74,"",$H164:CA164)),0)</f>
        <v>0</v>
      </c>
      <c r="CQ164" s="1286">
        <f t="shared" si="47"/>
        <v>0</v>
      </c>
      <c r="CR164" s="833"/>
      <c r="CS164" s="1277">
        <f>IF($A164="Software",SUM($H164:CA164),0)</f>
        <v>0</v>
      </c>
      <c r="CT164" s="1277">
        <f>IF($A164="Software",IF($G164="Opex",SUMIF('Monthly Summary'!$C$75:BV$75,"",$H164:CA164),SUMIF('Monthly Summary'!$C$74:BV$74,"",$H164:CA164)),0)</f>
        <v>0</v>
      </c>
      <c r="CU164" s="1286">
        <f t="shared" si="48"/>
        <v>0</v>
      </c>
      <c r="CV164" s="833"/>
      <c r="CW164" s="1277">
        <f t="shared" si="40"/>
        <v>0</v>
      </c>
      <c r="CX164" s="1277">
        <f t="shared" si="41"/>
        <v>0</v>
      </c>
      <c r="CY164" s="1286">
        <f t="shared" si="49"/>
        <v>0</v>
      </c>
      <c r="CZ164" s="833"/>
      <c r="DA164" s="1286">
        <f>IF($G164="Opex",SUMIF('Monthly Summary'!$C$75:BV$75,"",$H164:CA164),SUMIF('Monthly Summary'!$C$74:BV$74,"",$H164:CA164))</f>
        <v>0</v>
      </c>
      <c r="DB164" s="1278">
        <f t="shared" si="42"/>
        <v>0</v>
      </c>
      <c r="DC164" s="1279">
        <f>IF(AND(OR($D164=Variables!A$38,$D164=Variables!A$43),$F164&lt;&gt;"N/A"),1,0)</f>
        <v>0</v>
      </c>
      <c r="DD164" s="820"/>
      <c r="DE164" s="1281" t="str">
        <f t="shared" si="51"/>
        <v/>
      </c>
      <c r="DF164" s="1282" t="str">
        <f t="shared" si="52"/>
        <v/>
      </c>
      <c r="DG164" s="1282" t="str">
        <f t="shared" si="53"/>
        <v/>
      </c>
      <c r="DH164" s="1282" t="str">
        <f>IF(ISNA(VLOOKUP(DE164,Miscellaneous!E:F,2,0)),"",VLOOKUP(DE164,Miscellaneous!E:F,2,0))</f>
        <v/>
      </c>
      <c r="DI164" s="1282" t="str">
        <f t="shared" si="54"/>
        <v/>
      </c>
      <c r="DJ164" s="1283">
        <f>IF($DI164="Opex",SUMIF('Monthly Summary'!$C$75:$N$75,"",H164:S164),SUMIF('Monthly Summary'!$C$74:$N$74,"",H164:S164))</f>
        <v>0</v>
      </c>
      <c r="DK164" s="1283">
        <f>IF($DI164="Opex",SUMIF('Monthly Summary'!$O$75:$Z$75,"",T164:AE164),SUMIF('Monthly Summary'!$O$74:$Z$74,"",T164:AE164))</f>
        <v>0</v>
      </c>
      <c r="DL164" s="1283">
        <f>IF($DI164="Opex",SUMIF('Monthly Summary'!$AA$75:$AL$75,"",AF164:AQ164),SUMIF('Monthly Summary'!$AA$74:$AL$74,"",AF164:AQ164))</f>
        <v>0</v>
      </c>
      <c r="DM164" s="1283">
        <f>IF($DI164="Opex",SUMIF('Monthly Summary'!$AM$75:$AX$75,"",AR164:BC164),SUMIF('Monthly Summary'!$AM$74:$AX$74,"",AR164:BC164))</f>
        <v>0</v>
      </c>
      <c r="DN164" s="1283">
        <f>IF($DI164="Opex",SUMIF('Monthly Summary'!$AY$75:$BJ$75,"",BD164:BO164),SUMIF('Monthly Summary'!$AY$74:$BJ$74,"",BD164:BO164))</f>
        <v>0</v>
      </c>
      <c r="DO164" s="1284">
        <f>IF($DI164="Opex",SUMIF('Monthly Summary'!$BK$75:$BV$75,"",BP164:CA164),SUMIF('Monthly Summary'!$BK$74:$BV$74,"",BP164:CA164))</f>
        <v>0</v>
      </c>
      <c r="DP164" s="1285">
        <f t="shared" si="50"/>
        <v>0</v>
      </c>
    </row>
    <row r="165" spans="1:120" s="809" customFormat="1">
      <c r="A165" s="1261"/>
      <c r="B165" s="1261"/>
      <c r="C165" s="1261"/>
      <c r="D165" s="1262"/>
      <c r="E165" s="1270"/>
      <c r="F165" s="1263"/>
      <c r="G165" s="1263"/>
      <c r="H165" s="1267"/>
      <c r="I165" s="1268"/>
      <c r="J165" s="1268"/>
      <c r="K165" s="1268"/>
      <c r="L165" s="1268"/>
      <c r="M165" s="1268"/>
      <c r="N165" s="1268"/>
      <c r="O165" s="1268"/>
      <c r="P165" s="1268"/>
      <c r="Q165" s="1268"/>
      <c r="R165" s="1268"/>
      <c r="S165" s="1269"/>
      <c r="T165" s="1267"/>
      <c r="U165" s="1268"/>
      <c r="V165" s="1268"/>
      <c r="W165" s="1268"/>
      <c r="X165" s="1268"/>
      <c r="Y165" s="1268"/>
      <c r="Z165" s="1268"/>
      <c r="AA165" s="1268"/>
      <c r="AB165" s="1268"/>
      <c r="AC165" s="1268"/>
      <c r="AD165" s="1268"/>
      <c r="AE165" s="1269"/>
      <c r="AF165" s="1267"/>
      <c r="AG165" s="1268"/>
      <c r="AH165" s="1268"/>
      <c r="AI165" s="1268"/>
      <c r="AJ165" s="1268"/>
      <c r="AK165" s="1268"/>
      <c r="AL165" s="1268"/>
      <c r="AM165" s="1268"/>
      <c r="AN165" s="1268"/>
      <c r="AO165" s="1268"/>
      <c r="AP165" s="1268"/>
      <c r="AQ165" s="1269"/>
      <c r="AR165" s="1267"/>
      <c r="AS165" s="1268"/>
      <c r="AT165" s="1268"/>
      <c r="AU165" s="1268"/>
      <c r="AV165" s="1268"/>
      <c r="AW165" s="1268"/>
      <c r="AX165" s="1268"/>
      <c r="AY165" s="1268"/>
      <c r="AZ165" s="1268"/>
      <c r="BA165" s="1268"/>
      <c r="BB165" s="1268"/>
      <c r="BC165" s="1269"/>
      <c r="BD165" s="1267"/>
      <c r="BE165" s="1268"/>
      <c r="BF165" s="1268"/>
      <c r="BG165" s="1268"/>
      <c r="BH165" s="1268"/>
      <c r="BI165" s="1268"/>
      <c r="BJ165" s="1268"/>
      <c r="BK165" s="1268"/>
      <c r="BL165" s="1268"/>
      <c r="BM165" s="1268"/>
      <c r="BN165" s="1268"/>
      <c r="BO165" s="1269"/>
      <c r="BP165" s="1267"/>
      <c r="BQ165" s="1268"/>
      <c r="BR165" s="1268"/>
      <c r="BS165" s="1268"/>
      <c r="BT165" s="1268"/>
      <c r="BU165" s="1268"/>
      <c r="BV165" s="1268"/>
      <c r="BW165" s="1268"/>
      <c r="BX165" s="1268"/>
      <c r="BY165" s="1268"/>
      <c r="BZ165" s="1268"/>
      <c r="CA165" s="1269"/>
      <c r="CB165" s="1286">
        <f t="shared" si="43"/>
        <v>0</v>
      </c>
      <c r="CC165" s="1277">
        <f>IF($F165=Miscellaneous!$N$8,SUM($H165:CA165),0)</f>
        <v>0</v>
      </c>
      <c r="CD165" s="1277">
        <f>IF($F165=Miscellaneous!$N$8,IF($G165="Opex",SUMIF('Monthly Summary'!$C$75:BV$75,"",$H165:CA165),SUMIF('Monthly Summary'!$C$74:BV$74,"",$H165:CA165)),0)</f>
        <v>0</v>
      </c>
      <c r="CE165" s="1286">
        <f t="shared" si="44"/>
        <v>0</v>
      </c>
      <c r="CF165" s="833"/>
      <c r="CG165" s="1277">
        <f>IF($F165=Miscellaneous!$N$9,SUM($H165:CA165),0)</f>
        <v>0</v>
      </c>
      <c r="CH165" s="1277">
        <f>IF($F165=Miscellaneous!$N$9,IF($G165="Opex",SUMIF('Monthly Summary'!$C$75:BV$75,"",$H165:CA165),SUMIF('Monthly Summary'!$C$74:BV$74,"",$H165:CA165)),0)</f>
        <v>0</v>
      </c>
      <c r="CI165" s="1286">
        <f t="shared" si="45"/>
        <v>0</v>
      </c>
      <c r="CJ165" s="833"/>
      <c r="CK165" s="1277">
        <f>IF($F165=Miscellaneous!$N$7,SUM($H165:CA165),0)</f>
        <v>0</v>
      </c>
      <c r="CL165" s="1277">
        <f>IF($F165=Miscellaneous!$N$7,IF($G165="Opex",SUMIF('Monthly Summary'!$C$75:BV$75,"",$H165:CA165),SUMIF('Monthly Summary'!$C$74:BV$74,"",$H165:CA165)),0)</f>
        <v>0</v>
      </c>
      <c r="CM165" s="1286">
        <f t="shared" si="46"/>
        <v>0</v>
      </c>
      <c r="CN165" s="833"/>
      <c r="CO165" s="1277">
        <f>IF($F165=Miscellaneous!$N$6,SUM($H165:CA165),0)</f>
        <v>0</v>
      </c>
      <c r="CP165" s="1277">
        <f>IF($F165=Miscellaneous!$N$6,IF($G165="Opex",SUMIF('Monthly Summary'!$C$75:BV$75,"",$H165:CA165),SUMIF('Monthly Summary'!$C$74:BV$74,"",$H165:CA165)),0)</f>
        <v>0</v>
      </c>
      <c r="CQ165" s="1286">
        <f t="shared" si="47"/>
        <v>0</v>
      </c>
      <c r="CR165" s="833"/>
      <c r="CS165" s="1277">
        <f>IF($A165="Software",SUM($H165:CA165),0)</f>
        <v>0</v>
      </c>
      <c r="CT165" s="1277">
        <f>IF($A165="Software",IF($G165="Opex",SUMIF('Monthly Summary'!$C$75:BV$75,"",$H165:CA165),SUMIF('Monthly Summary'!$C$74:BV$74,"",$H165:CA165)),0)</f>
        <v>0</v>
      </c>
      <c r="CU165" s="1286">
        <f t="shared" si="48"/>
        <v>0</v>
      </c>
      <c r="CV165" s="833"/>
      <c r="CW165" s="1277">
        <f t="shared" si="40"/>
        <v>0</v>
      </c>
      <c r="CX165" s="1277">
        <f t="shared" si="41"/>
        <v>0</v>
      </c>
      <c r="CY165" s="1286">
        <f t="shared" si="49"/>
        <v>0</v>
      </c>
      <c r="CZ165" s="833"/>
      <c r="DA165" s="1286">
        <f>IF($G165="Opex",SUMIF('Monthly Summary'!$C$75:BV$75,"",$H165:CA165),SUMIF('Monthly Summary'!$C$74:BV$74,"",$H165:CA165))</f>
        <v>0</v>
      </c>
      <c r="DB165" s="1278">
        <f t="shared" si="42"/>
        <v>0</v>
      </c>
      <c r="DC165" s="1279">
        <f>IF(AND(OR($D165=Variables!A$38,$D165=Variables!A$43),$F165&lt;&gt;"N/A"),1,0)</f>
        <v>0</v>
      </c>
      <c r="DD165" s="820"/>
      <c r="DE165" s="1281" t="str">
        <f t="shared" si="51"/>
        <v/>
      </c>
      <c r="DF165" s="1282" t="str">
        <f t="shared" si="52"/>
        <v/>
      </c>
      <c r="DG165" s="1282" t="str">
        <f t="shared" si="53"/>
        <v/>
      </c>
      <c r="DH165" s="1282" t="str">
        <f>IF(ISNA(VLOOKUP(DE165,Miscellaneous!E:F,2,0)),"",VLOOKUP(DE165,Miscellaneous!E:F,2,0))</f>
        <v/>
      </c>
      <c r="DI165" s="1282" t="str">
        <f t="shared" si="54"/>
        <v/>
      </c>
      <c r="DJ165" s="1283">
        <f>IF($DI165="Opex",SUMIF('Monthly Summary'!$C$75:$N$75,"",H165:S165),SUMIF('Monthly Summary'!$C$74:$N$74,"",H165:S165))</f>
        <v>0</v>
      </c>
      <c r="DK165" s="1283">
        <f>IF($DI165="Opex",SUMIF('Monthly Summary'!$O$75:$Z$75,"",T165:AE165),SUMIF('Monthly Summary'!$O$74:$Z$74,"",T165:AE165))</f>
        <v>0</v>
      </c>
      <c r="DL165" s="1283">
        <f>IF($DI165="Opex",SUMIF('Monthly Summary'!$AA$75:$AL$75,"",AF165:AQ165),SUMIF('Monthly Summary'!$AA$74:$AL$74,"",AF165:AQ165))</f>
        <v>0</v>
      </c>
      <c r="DM165" s="1283">
        <f>IF($DI165="Opex",SUMIF('Monthly Summary'!$AM$75:$AX$75,"",AR165:BC165),SUMIF('Monthly Summary'!$AM$74:$AX$74,"",AR165:BC165))</f>
        <v>0</v>
      </c>
      <c r="DN165" s="1283">
        <f>IF($DI165="Opex",SUMIF('Monthly Summary'!$AY$75:$BJ$75,"",BD165:BO165),SUMIF('Monthly Summary'!$AY$74:$BJ$74,"",BD165:BO165))</f>
        <v>0</v>
      </c>
      <c r="DO165" s="1284">
        <f>IF($DI165="Opex",SUMIF('Monthly Summary'!$BK$75:$BV$75,"",BP165:CA165),SUMIF('Monthly Summary'!$BK$74:$BV$74,"",BP165:CA165))</f>
        <v>0</v>
      </c>
      <c r="DP165" s="1285">
        <f t="shared" si="50"/>
        <v>0</v>
      </c>
    </row>
    <row r="166" spans="1:120" s="809" customFormat="1">
      <c r="A166" s="1261"/>
      <c r="B166" s="1261"/>
      <c r="C166" s="1261"/>
      <c r="D166" s="1262"/>
      <c r="E166" s="1270"/>
      <c r="F166" s="1263"/>
      <c r="G166" s="1263"/>
      <c r="H166" s="1267"/>
      <c r="I166" s="1268"/>
      <c r="J166" s="1268"/>
      <c r="K166" s="1268"/>
      <c r="L166" s="1268"/>
      <c r="M166" s="1268"/>
      <c r="N166" s="1268"/>
      <c r="O166" s="1268"/>
      <c r="P166" s="1268"/>
      <c r="Q166" s="1268"/>
      <c r="R166" s="1268"/>
      <c r="S166" s="1269"/>
      <c r="T166" s="1267"/>
      <c r="U166" s="1268"/>
      <c r="V166" s="1268"/>
      <c r="W166" s="1268"/>
      <c r="X166" s="1268"/>
      <c r="Y166" s="1268"/>
      <c r="Z166" s="1268"/>
      <c r="AA166" s="1268"/>
      <c r="AB166" s="1268"/>
      <c r="AC166" s="1268"/>
      <c r="AD166" s="1268"/>
      <c r="AE166" s="1269"/>
      <c r="AF166" s="1267"/>
      <c r="AG166" s="1268"/>
      <c r="AH166" s="1268"/>
      <c r="AI166" s="1268"/>
      <c r="AJ166" s="1268"/>
      <c r="AK166" s="1268"/>
      <c r="AL166" s="1268"/>
      <c r="AM166" s="1268"/>
      <c r="AN166" s="1268"/>
      <c r="AO166" s="1268"/>
      <c r="AP166" s="1268"/>
      <c r="AQ166" s="1269"/>
      <c r="AR166" s="1267"/>
      <c r="AS166" s="1268"/>
      <c r="AT166" s="1268"/>
      <c r="AU166" s="1268"/>
      <c r="AV166" s="1268"/>
      <c r="AW166" s="1268"/>
      <c r="AX166" s="1268"/>
      <c r="AY166" s="1268"/>
      <c r="AZ166" s="1268"/>
      <c r="BA166" s="1268"/>
      <c r="BB166" s="1268"/>
      <c r="BC166" s="1269"/>
      <c r="BD166" s="1267"/>
      <c r="BE166" s="1268"/>
      <c r="BF166" s="1268"/>
      <c r="BG166" s="1268"/>
      <c r="BH166" s="1268"/>
      <c r="BI166" s="1268"/>
      <c r="BJ166" s="1268"/>
      <c r="BK166" s="1268"/>
      <c r="BL166" s="1268"/>
      <c r="BM166" s="1268"/>
      <c r="BN166" s="1268"/>
      <c r="BO166" s="1269"/>
      <c r="BP166" s="1267"/>
      <c r="BQ166" s="1268"/>
      <c r="BR166" s="1268"/>
      <c r="BS166" s="1268"/>
      <c r="BT166" s="1268"/>
      <c r="BU166" s="1268"/>
      <c r="BV166" s="1268"/>
      <c r="BW166" s="1268"/>
      <c r="BX166" s="1268"/>
      <c r="BY166" s="1268"/>
      <c r="BZ166" s="1268"/>
      <c r="CA166" s="1269"/>
      <c r="CB166" s="1286">
        <f t="shared" si="43"/>
        <v>0</v>
      </c>
      <c r="CC166" s="1277">
        <f>IF($F166=Miscellaneous!$N$8,SUM($H166:CA166),0)</f>
        <v>0</v>
      </c>
      <c r="CD166" s="1277">
        <f>IF($F166=Miscellaneous!$N$8,IF($G166="Opex",SUMIF('Monthly Summary'!$C$75:BV$75,"",$H166:CA166),SUMIF('Monthly Summary'!$C$74:BV$74,"",$H166:CA166)),0)</f>
        <v>0</v>
      </c>
      <c r="CE166" s="1286">
        <f t="shared" si="44"/>
        <v>0</v>
      </c>
      <c r="CF166" s="833"/>
      <c r="CG166" s="1277">
        <f>IF($F166=Miscellaneous!$N$9,SUM($H166:CA166),0)</f>
        <v>0</v>
      </c>
      <c r="CH166" s="1277">
        <f>IF($F166=Miscellaneous!$N$9,IF($G166="Opex",SUMIF('Monthly Summary'!$C$75:BV$75,"",$H166:CA166),SUMIF('Monthly Summary'!$C$74:BV$74,"",$H166:CA166)),0)</f>
        <v>0</v>
      </c>
      <c r="CI166" s="1286">
        <f t="shared" si="45"/>
        <v>0</v>
      </c>
      <c r="CJ166" s="833"/>
      <c r="CK166" s="1277">
        <f>IF($F166=Miscellaneous!$N$7,SUM($H166:CA166),0)</f>
        <v>0</v>
      </c>
      <c r="CL166" s="1277">
        <f>IF($F166=Miscellaneous!$N$7,IF($G166="Opex",SUMIF('Monthly Summary'!$C$75:BV$75,"",$H166:CA166),SUMIF('Monthly Summary'!$C$74:BV$74,"",$H166:CA166)),0)</f>
        <v>0</v>
      </c>
      <c r="CM166" s="1286">
        <f t="shared" si="46"/>
        <v>0</v>
      </c>
      <c r="CN166" s="833"/>
      <c r="CO166" s="1277">
        <f>IF($F166=Miscellaneous!$N$6,SUM($H166:CA166),0)</f>
        <v>0</v>
      </c>
      <c r="CP166" s="1277">
        <f>IF($F166=Miscellaneous!$N$6,IF($G166="Opex",SUMIF('Monthly Summary'!$C$75:BV$75,"",$H166:CA166),SUMIF('Monthly Summary'!$C$74:BV$74,"",$H166:CA166)),0)</f>
        <v>0</v>
      </c>
      <c r="CQ166" s="1286">
        <f t="shared" si="47"/>
        <v>0</v>
      </c>
      <c r="CR166" s="833"/>
      <c r="CS166" s="1277">
        <f>IF($A166="Software",SUM($H166:CA166),0)</f>
        <v>0</v>
      </c>
      <c r="CT166" s="1277">
        <f>IF($A166="Software",IF($G166="Opex",SUMIF('Monthly Summary'!$C$75:BV$75,"",$H166:CA166),SUMIF('Monthly Summary'!$C$74:BV$74,"",$H166:CA166)),0)</f>
        <v>0</v>
      </c>
      <c r="CU166" s="1286">
        <f t="shared" si="48"/>
        <v>0</v>
      </c>
      <c r="CV166" s="833"/>
      <c r="CW166" s="1277">
        <f t="shared" si="40"/>
        <v>0</v>
      </c>
      <c r="CX166" s="1277">
        <f t="shared" si="41"/>
        <v>0</v>
      </c>
      <c r="CY166" s="1286">
        <f t="shared" si="49"/>
        <v>0</v>
      </c>
      <c r="CZ166" s="833"/>
      <c r="DA166" s="1286">
        <f>IF($G166="Opex",SUMIF('Monthly Summary'!$C$75:BV$75,"",$H166:CA166),SUMIF('Monthly Summary'!$C$74:BV$74,"",$H166:CA166))</f>
        <v>0</v>
      </c>
      <c r="DB166" s="1278">
        <f t="shared" si="42"/>
        <v>0</v>
      </c>
      <c r="DC166" s="1279">
        <f>IF(AND(OR($D166=Variables!A$38,$D166=Variables!A$43),$F166&lt;&gt;"N/A"),1,0)</f>
        <v>0</v>
      </c>
      <c r="DD166" s="820"/>
      <c r="DE166" s="1281" t="str">
        <f t="shared" si="51"/>
        <v/>
      </c>
      <c r="DF166" s="1282" t="str">
        <f t="shared" si="52"/>
        <v/>
      </c>
      <c r="DG166" s="1282" t="str">
        <f t="shared" si="53"/>
        <v/>
      </c>
      <c r="DH166" s="1282" t="str">
        <f>IF(ISNA(VLOOKUP(DE166,Miscellaneous!E:F,2,0)),"",VLOOKUP(DE166,Miscellaneous!E:F,2,0))</f>
        <v/>
      </c>
      <c r="DI166" s="1282" t="str">
        <f t="shared" si="54"/>
        <v/>
      </c>
      <c r="DJ166" s="1283">
        <f>IF($DI166="Opex",SUMIF('Monthly Summary'!$C$75:$N$75,"",H166:S166),SUMIF('Monthly Summary'!$C$74:$N$74,"",H166:S166))</f>
        <v>0</v>
      </c>
      <c r="DK166" s="1283">
        <f>IF($DI166="Opex",SUMIF('Monthly Summary'!$O$75:$Z$75,"",T166:AE166),SUMIF('Monthly Summary'!$O$74:$Z$74,"",T166:AE166))</f>
        <v>0</v>
      </c>
      <c r="DL166" s="1283">
        <f>IF($DI166="Opex",SUMIF('Monthly Summary'!$AA$75:$AL$75,"",AF166:AQ166),SUMIF('Monthly Summary'!$AA$74:$AL$74,"",AF166:AQ166))</f>
        <v>0</v>
      </c>
      <c r="DM166" s="1283">
        <f>IF($DI166="Opex",SUMIF('Monthly Summary'!$AM$75:$AX$75,"",AR166:BC166),SUMIF('Monthly Summary'!$AM$74:$AX$74,"",AR166:BC166))</f>
        <v>0</v>
      </c>
      <c r="DN166" s="1283">
        <f>IF($DI166="Opex",SUMIF('Monthly Summary'!$AY$75:$BJ$75,"",BD166:BO166),SUMIF('Monthly Summary'!$AY$74:$BJ$74,"",BD166:BO166))</f>
        <v>0</v>
      </c>
      <c r="DO166" s="1284">
        <f>IF($DI166="Opex",SUMIF('Monthly Summary'!$BK$75:$BV$75,"",BP166:CA166),SUMIF('Monthly Summary'!$BK$74:$BV$74,"",BP166:CA166))</f>
        <v>0</v>
      </c>
      <c r="DP166" s="1285">
        <f t="shared" si="50"/>
        <v>0</v>
      </c>
    </row>
    <row r="167" spans="1:120" s="809" customFormat="1" ht="12.5" thickBot="1">
      <c r="A167" s="1261"/>
      <c r="B167" s="1261"/>
      <c r="C167" s="1261"/>
      <c r="D167" s="1262"/>
      <c r="E167" s="1270"/>
      <c r="F167" s="1263"/>
      <c r="G167" s="1263"/>
      <c r="H167" s="1272"/>
      <c r="I167" s="1273"/>
      <c r="J167" s="1273"/>
      <c r="K167" s="1273"/>
      <c r="L167" s="1273"/>
      <c r="M167" s="1273"/>
      <c r="N167" s="1273"/>
      <c r="O167" s="1273"/>
      <c r="P167" s="1273"/>
      <c r="Q167" s="1273"/>
      <c r="R167" s="1273"/>
      <c r="S167" s="1274"/>
      <c r="T167" s="1272"/>
      <c r="U167" s="1273"/>
      <c r="V167" s="1273"/>
      <c r="W167" s="1273"/>
      <c r="X167" s="1273"/>
      <c r="Y167" s="1273"/>
      <c r="Z167" s="1273"/>
      <c r="AA167" s="1273"/>
      <c r="AB167" s="1273"/>
      <c r="AC167" s="1273"/>
      <c r="AD167" s="1273"/>
      <c r="AE167" s="1274"/>
      <c r="AF167" s="1272"/>
      <c r="AG167" s="1273"/>
      <c r="AH167" s="1273"/>
      <c r="AI167" s="1273"/>
      <c r="AJ167" s="1273"/>
      <c r="AK167" s="1273"/>
      <c r="AL167" s="1273"/>
      <c r="AM167" s="1273"/>
      <c r="AN167" s="1273"/>
      <c r="AO167" s="1273"/>
      <c r="AP167" s="1273"/>
      <c r="AQ167" s="1274"/>
      <c r="AR167" s="1272"/>
      <c r="AS167" s="1273"/>
      <c r="AT167" s="1273"/>
      <c r="AU167" s="1273"/>
      <c r="AV167" s="1273"/>
      <c r="AW167" s="1273"/>
      <c r="AX167" s="1273"/>
      <c r="AY167" s="1273"/>
      <c r="AZ167" s="1273"/>
      <c r="BA167" s="1273"/>
      <c r="BB167" s="1273"/>
      <c r="BC167" s="1274"/>
      <c r="BD167" s="1272"/>
      <c r="BE167" s="1273"/>
      <c r="BF167" s="1273"/>
      <c r="BG167" s="1273"/>
      <c r="BH167" s="1273"/>
      <c r="BI167" s="1273"/>
      <c r="BJ167" s="1273"/>
      <c r="BK167" s="1273"/>
      <c r="BL167" s="1273"/>
      <c r="BM167" s="1273"/>
      <c r="BN167" s="1273"/>
      <c r="BO167" s="1274"/>
      <c r="BP167" s="1272"/>
      <c r="BQ167" s="1273"/>
      <c r="BR167" s="1273"/>
      <c r="BS167" s="1273"/>
      <c r="BT167" s="1273"/>
      <c r="BU167" s="1273"/>
      <c r="BV167" s="1273"/>
      <c r="BW167" s="1273"/>
      <c r="BX167" s="1273"/>
      <c r="BY167" s="1273"/>
      <c r="BZ167" s="1273"/>
      <c r="CA167" s="1274"/>
      <c r="CB167" s="1286">
        <f t="shared" si="43"/>
        <v>0</v>
      </c>
      <c r="CC167" s="1277">
        <f>IF($F167=Miscellaneous!$N$8,SUM($H167:CA167),0)</f>
        <v>0</v>
      </c>
      <c r="CD167" s="1277">
        <f>IF($F167=Miscellaneous!$N$8,IF($G167="Opex",SUMIF('Monthly Summary'!$C$75:BV$75,"",$H167:CA167),SUMIF('Monthly Summary'!$C$74:BV$74,"",$H167:CA167)),0)</f>
        <v>0</v>
      </c>
      <c r="CE167" s="1286">
        <f t="shared" si="44"/>
        <v>0</v>
      </c>
      <c r="CF167" s="833"/>
      <c r="CG167" s="1277">
        <f>IF($F167=Miscellaneous!$N$9,SUM($H167:CA167),0)</f>
        <v>0</v>
      </c>
      <c r="CH167" s="1277">
        <f>IF($F167=Miscellaneous!$N$9,IF($G167="Opex",SUMIF('Monthly Summary'!$C$75:BV$75,"",$H167:CA167),SUMIF('Monthly Summary'!$C$74:BV$74,"",$H167:CA167)),0)</f>
        <v>0</v>
      </c>
      <c r="CI167" s="1286">
        <f t="shared" si="45"/>
        <v>0</v>
      </c>
      <c r="CJ167" s="833"/>
      <c r="CK167" s="1277">
        <f>IF($F167=Miscellaneous!$N$7,SUM($H167:CA167),0)</f>
        <v>0</v>
      </c>
      <c r="CL167" s="1277">
        <f>IF($F167=Miscellaneous!$N$7,IF($G167="Opex",SUMIF('Monthly Summary'!$C$75:BV$75,"",$H167:CA167),SUMIF('Monthly Summary'!$C$74:BV$74,"",$H167:CA167)),0)</f>
        <v>0</v>
      </c>
      <c r="CM167" s="1286">
        <f t="shared" si="46"/>
        <v>0</v>
      </c>
      <c r="CN167" s="833"/>
      <c r="CO167" s="1277">
        <f>IF($F167=Miscellaneous!$N$6,SUM($H167:CA167),0)</f>
        <v>0</v>
      </c>
      <c r="CP167" s="1277">
        <f>IF($F167=Miscellaneous!$N$6,IF($G167="Opex",SUMIF('Monthly Summary'!$C$75:BV$75,"",$H167:CA167),SUMIF('Monthly Summary'!$C$74:BV$74,"",$H167:CA167)),0)</f>
        <v>0</v>
      </c>
      <c r="CQ167" s="1286">
        <f t="shared" si="47"/>
        <v>0</v>
      </c>
      <c r="CR167" s="833"/>
      <c r="CS167" s="1277">
        <f>IF($A167="Software",SUM($H167:CA167),0)</f>
        <v>0</v>
      </c>
      <c r="CT167" s="1277">
        <f>IF($A167="Software",IF($G167="Opex",SUMIF('Monthly Summary'!$C$75:BV$75,"",$H167:CA167),SUMIF('Monthly Summary'!$C$74:BV$74,"",$H167:CA167)),0)</f>
        <v>0</v>
      </c>
      <c r="CU167" s="1286">
        <f t="shared" si="48"/>
        <v>0</v>
      </c>
      <c r="CV167" s="833"/>
      <c r="CW167" s="1277">
        <f t="shared" si="40"/>
        <v>0</v>
      </c>
      <c r="CX167" s="1277">
        <f t="shared" si="41"/>
        <v>0</v>
      </c>
      <c r="CY167" s="1286">
        <f t="shared" si="49"/>
        <v>0</v>
      </c>
      <c r="CZ167" s="833"/>
      <c r="DA167" s="1286">
        <f>IF($G167="Opex",SUMIF('Monthly Summary'!$C$75:BV$75,"",$H167:CA167),SUMIF('Monthly Summary'!$C$74:BV$74,"",$H167:CA167))</f>
        <v>0</v>
      </c>
      <c r="DB167" s="1288">
        <f t="shared" si="42"/>
        <v>0</v>
      </c>
      <c r="DC167" s="1289">
        <f>IF(AND(OR($D167=Variables!A$38,$D167=Variables!A$43),$F167&lt;&gt;"N/A"),1,0)</f>
        <v>0</v>
      </c>
      <c r="DD167" s="820"/>
      <c r="DE167" s="1281" t="str">
        <f t="shared" si="51"/>
        <v/>
      </c>
      <c r="DF167" s="1282" t="str">
        <f t="shared" si="52"/>
        <v/>
      </c>
      <c r="DG167" s="1282" t="str">
        <f t="shared" si="53"/>
        <v/>
      </c>
      <c r="DH167" s="1290" t="str">
        <f>IF(ISNA(VLOOKUP(DE167,Miscellaneous!E:F,2,0)),"",VLOOKUP(DE167,Miscellaneous!E:F,2,0))</f>
        <v/>
      </c>
      <c r="DI167" s="1282" t="str">
        <f t="shared" si="54"/>
        <v/>
      </c>
      <c r="DJ167" s="1283">
        <f>IF($DI167="Opex",SUMIF('Monthly Summary'!$C$75:$N$75,"",H167:S167),SUMIF('Monthly Summary'!$C$74:$N$74,"",H167:S167))</f>
        <v>0</v>
      </c>
      <c r="DK167" s="1283">
        <f>IF($DI167="Opex",SUMIF('Monthly Summary'!$O$75:$Z$75,"",T167:AE167),SUMIF('Monthly Summary'!$O$74:$Z$74,"",T167:AE167))</f>
        <v>0</v>
      </c>
      <c r="DL167" s="1283">
        <f>IF($DI167="Opex",SUMIF('Monthly Summary'!$AA$75:$AL$75,"",AF167:AQ167),SUMIF('Monthly Summary'!$AA$74:$AL$74,"",AF167:AQ167))</f>
        <v>0</v>
      </c>
      <c r="DM167" s="1283">
        <f>IF($DI167="Opex",SUMIF('Monthly Summary'!$AM$75:$AX$75,"",AR167:BC167),SUMIF('Monthly Summary'!$AM$74:$AX$74,"",AR167:BC167))</f>
        <v>0</v>
      </c>
      <c r="DN167" s="1283">
        <f>IF($DI167="Opex",SUMIF('Monthly Summary'!$AY$75:$BJ$75,"",BD167:BO167),SUMIF('Monthly Summary'!$AY$74:$BJ$74,"",BD167:BO167))</f>
        <v>0</v>
      </c>
      <c r="DO167" s="1284">
        <f>IF($DI167="Opex",SUMIF('Monthly Summary'!$BK$75:$BV$75,"",BP167:CA167),SUMIF('Monthly Summary'!$BK$74:$BV$74,"",BP167:CA167))</f>
        <v>0</v>
      </c>
      <c r="DP167" s="1285">
        <f t="shared" si="50"/>
        <v>0</v>
      </c>
    </row>
    <row r="168" spans="1:120" s="814" customFormat="1" ht="13.5" thickTop="1">
      <c r="A168" s="815"/>
      <c r="B168" s="815"/>
      <c r="C168" s="815"/>
      <c r="D168" s="815"/>
      <c r="E168" s="816"/>
      <c r="F168" s="816"/>
      <c r="G168" s="816"/>
      <c r="H168" s="817"/>
      <c r="I168" s="818"/>
      <c r="J168" s="818"/>
      <c r="K168" s="818"/>
      <c r="L168" s="818"/>
      <c r="M168" s="818"/>
      <c r="N168" s="818"/>
      <c r="O168" s="818"/>
      <c r="P168" s="818"/>
      <c r="Q168" s="818"/>
      <c r="R168" s="818"/>
      <c r="S168" s="818"/>
      <c r="T168" s="817"/>
      <c r="U168" s="818"/>
      <c r="V168" s="818"/>
      <c r="W168" s="818"/>
      <c r="X168" s="818"/>
      <c r="Y168" s="818"/>
      <c r="Z168" s="818"/>
      <c r="AA168" s="818"/>
      <c r="AB168" s="818"/>
      <c r="AC168" s="818"/>
      <c r="AD168" s="818"/>
      <c r="AE168" s="818"/>
      <c r="AF168" s="817"/>
      <c r="AG168" s="818"/>
      <c r="AH168" s="818"/>
      <c r="AI168" s="818"/>
      <c r="AJ168" s="818"/>
      <c r="AK168" s="818"/>
      <c r="AL168" s="818"/>
      <c r="AM168" s="818"/>
      <c r="AN168" s="818"/>
      <c r="AO168" s="818"/>
      <c r="AP168" s="818"/>
      <c r="AQ168" s="818"/>
      <c r="AR168" s="819"/>
      <c r="AS168" s="818"/>
      <c r="AT168" s="818"/>
      <c r="AU168" s="818"/>
      <c r="AV168" s="818"/>
      <c r="AW168" s="818"/>
      <c r="AX168" s="818"/>
      <c r="AY168" s="818"/>
      <c r="AZ168" s="818"/>
      <c r="BA168" s="818"/>
      <c r="BB168" s="818"/>
      <c r="BC168" s="818"/>
      <c r="BD168" s="817"/>
      <c r="BE168" s="818"/>
      <c r="BF168" s="818"/>
      <c r="BG168" s="818"/>
      <c r="BH168" s="818"/>
      <c r="BI168" s="818"/>
      <c r="BJ168" s="818"/>
      <c r="BK168" s="818"/>
      <c r="BL168" s="818"/>
      <c r="BM168" s="818"/>
      <c r="BN168" s="818"/>
      <c r="BO168" s="818"/>
      <c r="BP168" s="819"/>
      <c r="BQ168" s="818"/>
      <c r="BR168" s="818"/>
      <c r="BS168" s="818"/>
      <c r="BT168" s="818"/>
      <c r="BU168" s="818"/>
      <c r="BV168" s="818"/>
      <c r="BW168" s="818"/>
      <c r="BX168" s="818"/>
      <c r="BY168" s="818"/>
      <c r="BZ168" s="818"/>
      <c r="CA168" s="818"/>
      <c r="CB168" s="952"/>
      <c r="CC168" s="815"/>
      <c r="CD168" s="815"/>
      <c r="CE168" s="815"/>
      <c r="CF168" s="815"/>
      <c r="CG168" s="815"/>
      <c r="CH168" s="815"/>
      <c r="CI168" s="815"/>
      <c r="CJ168" s="815"/>
      <c r="CK168" s="815"/>
      <c r="CL168" s="815"/>
      <c r="CM168" s="815"/>
      <c r="CN168" s="815"/>
      <c r="CO168" s="815"/>
      <c r="CP168" s="815"/>
      <c r="CQ168" s="815"/>
      <c r="CR168" s="815"/>
      <c r="CS168" s="815"/>
      <c r="CT168" s="815"/>
      <c r="CU168" s="815"/>
      <c r="CV168" s="815"/>
      <c r="CW168" s="815"/>
      <c r="CX168" s="815"/>
      <c r="CY168" s="815"/>
      <c r="CZ168" s="815"/>
      <c r="DA168" s="815"/>
      <c r="DB168" s="1248">
        <f>SUM(DB5:DB167)</f>
        <v>0</v>
      </c>
      <c r="DC168" s="1248">
        <f>SUM(DC5:DC167)</f>
        <v>0</v>
      </c>
      <c r="DD168" s="820"/>
      <c r="DE168" s="1256" t="s">
        <v>18</v>
      </c>
      <c r="DF168" s="1257"/>
      <c r="DG168" s="1257"/>
      <c r="DH168" s="1257"/>
      <c r="DI168" s="1257"/>
      <c r="DJ168" s="1291">
        <f>SUM(DJ5:DJ167)</f>
        <v>0</v>
      </c>
      <c r="DK168" s="1291">
        <f t="shared" ref="DK168:DP168" si="55">SUM(DK5:DK167)</f>
        <v>0</v>
      </c>
      <c r="DL168" s="1291">
        <f t="shared" si="55"/>
        <v>0</v>
      </c>
      <c r="DM168" s="1291">
        <f t="shared" si="55"/>
        <v>0</v>
      </c>
      <c r="DN168" s="1291">
        <f t="shared" si="55"/>
        <v>0</v>
      </c>
      <c r="DO168" s="1291">
        <f t="shared" si="55"/>
        <v>0</v>
      </c>
      <c r="DP168" s="1292">
        <f t="shared" si="55"/>
        <v>0</v>
      </c>
    </row>
    <row r="169" spans="1:120" s="745" customFormat="1">
      <c r="D169" s="766" t="s">
        <v>18</v>
      </c>
      <c r="E169" s="766"/>
      <c r="F169" s="766" t="str">
        <f>Miscellaneous!$N$8</f>
        <v>Fixed Price</v>
      </c>
      <c r="G169" s="766" t="s">
        <v>20</v>
      </c>
      <c r="H169" s="821">
        <f>SUMIFS(H$5:H$167,$F$5:$F$167,$F169,$G$5:$G$167,$G169)</f>
        <v>0</v>
      </c>
      <c r="I169" s="822">
        <f t="shared" ref="H169:Q170" si="56">SUMIFS(I$5:I$167,$F$5:$F$167,$F169,$G$5:$G$167,$G169)</f>
        <v>0</v>
      </c>
      <c r="J169" s="822">
        <f t="shared" si="56"/>
        <v>0</v>
      </c>
      <c r="K169" s="822">
        <f t="shared" si="56"/>
        <v>0</v>
      </c>
      <c r="L169" s="822">
        <f t="shared" si="56"/>
        <v>0</v>
      </c>
      <c r="M169" s="822">
        <f t="shared" si="56"/>
        <v>0</v>
      </c>
      <c r="N169" s="822">
        <f t="shared" si="56"/>
        <v>0</v>
      </c>
      <c r="O169" s="822">
        <f t="shared" si="56"/>
        <v>0</v>
      </c>
      <c r="P169" s="822">
        <f t="shared" si="56"/>
        <v>0</v>
      </c>
      <c r="Q169" s="822">
        <f t="shared" si="56"/>
        <v>0</v>
      </c>
      <c r="R169" s="822">
        <f t="shared" ref="R169:AG170" si="57">SUMIFS(R$5:R$167,$F$5:$F$167,$F169,$G$5:$G$167,$G169)</f>
        <v>0</v>
      </c>
      <c r="S169" s="822">
        <f t="shared" si="57"/>
        <v>0</v>
      </c>
      <c r="T169" s="821">
        <f t="shared" si="57"/>
        <v>0</v>
      </c>
      <c r="U169" s="822">
        <f t="shared" si="57"/>
        <v>0</v>
      </c>
      <c r="V169" s="822">
        <f t="shared" si="57"/>
        <v>0</v>
      </c>
      <c r="W169" s="822">
        <f t="shared" si="57"/>
        <v>0</v>
      </c>
      <c r="X169" s="822">
        <f t="shared" si="57"/>
        <v>0</v>
      </c>
      <c r="Y169" s="822">
        <f t="shared" si="57"/>
        <v>0</v>
      </c>
      <c r="Z169" s="822">
        <f t="shared" si="57"/>
        <v>0</v>
      </c>
      <c r="AA169" s="822">
        <f t="shared" si="57"/>
        <v>0</v>
      </c>
      <c r="AB169" s="822">
        <f t="shared" si="57"/>
        <v>0</v>
      </c>
      <c r="AC169" s="822">
        <f t="shared" si="57"/>
        <v>0</v>
      </c>
      <c r="AD169" s="822">
        <f t="shared" si="57"/>
        <v>0</v>
      </c>
      <c r="AE169" s="822">
        <f t="shared" si="57"/>
        <v>0</v>
      </c>
      <c r="AF169" s="821">
        <f t="shared" si="57"/>
        <v>0</v>
      </c>
      <c r="AG169" s="822">
        <f t="shared" si="57"/>
        <v>0</v>
      </c>
      <c r="AH169" s="822">
        <f t="shared" ref="AF169:AU170" si="58">SUMIFS(AH$5:AH$167,$F$5:$F$167,$F169,$G$5:$G$167,$G169)</f>
        <v>0</v>
      </c>
      <c r="AI169" s="822">
        <f t="shared" si="58"/>
        <v>0</v>
      </c>
      <c r="AJ169" s="822">
        <f t="shared" si="58"/>
        <v>0</v>
      </c>
      <c r="AK169" s="822">
        <f t="shared" si="58"/>
        <v>0</v>
      </c>
      <c r="AL169" s="822">
        <f t="shared" si="58"/>
        <v>0</v>
      </c>
      <c r="AM169" s="822">
        <f t="shared" si="58"/>
        <v>0</v>
      </c>
      <c r="AN169" s="822">
        <f t="shared" si="58"/>
        <v>0</v>
      </c>
      <c r="AO169" s="822">
        <f t="shared" si="58"/>
        <v>0</v>
      </c>
      <c r="AP169" s="822">
        <f t="shared" si="58"/>
        <v>0</v>
      </c>
      <c r="AQ169" s="822">
        <f t="shared" si="58"/>
        <v>0</v>
      </c>
      <c r="AR169" s="821">
        <f t="shared" si="58"/>
        <v>0</v>
      </c>
      <c r="AS169" s="822">
        <f t="shared" si="58"/>
        <v>0</v>
      </c>
      <c r="AT169" s="822">
        <f t="shared" si="58"/>
        <v>0</v>
      </c>
      <c r="AU169" s="822">
        <f t="shared" si="58"/>
        <v>0</v>
      </c>
      <c r="AV169" s="822">
        <f t="shared" ref="AR169:BG170" si="59">SUMIFS(AV$5:AV$167,$F$5:$F$167,$F169,$G$5:$G$167,$G169)</f>
        <v>0</v>
      </c>
      <c r="AW169" s="822">
        <f t="shared" si="59"/>
        <v>0</v>
      </c>
      <c r="AX169" s="822">
        <f t="shared" si="59"/>
        <v>0</v>
      </c>
      <c r="AY169" s="822">
        <f t="shared" si="59"/>
        <v>0</v>
      </c>
      <c r="AZ169" s="822">
        <f t="shared" si="59"/>
        <v>0</v>
      </c>
      <c r="BA169" s="822">
        <f t="shared" si="59"/>
        <v>0</v>
      </c>
      <c r="BB169" s="822">
        <f t="shared" si="59"/>
        <v>0</v>
      </c>
      <c r="BC169" s="822">
        <f t="shared" si="59"/>
        <v>0</v>
      </c>
      <c r="BD169" s="821">
        <f t="shared" si="59"/>
        <v>0</v>
      </c>
      <c r="BE169" s="822">
        <f t="shared" si="59"/>
        <v>0</v>
      </c>
      <c r="BF169" s="822">
        <f t="shared" si="59"/>
        <v>0</v>
      </c>
      <c r="BG169" s="822">
        <f t="shared" si="59"/>
        <v>0</v>
      </c>
      <c r="BH169" s="822">
        <f t="shared" ref="BH169:BW170" si="60">SUMIFS(BH$5:BH$167,$F$5:$F$167,$F169,$G$5:$G$167,$G169)</f>
        <v>0</v>
      </c>
      <c r="BI169" s="822">
        <f t="shared" si="60"/>
        <v>0</v>
      </c>
      <c r="BJ169" s="822">
        <f t="shared" si="60"/>
        <v>0</v>
      </c>
      <c r="BK169" s="822">
        <f t="shared" si="60"/>
        <v>0</v>
      </c>
      <c r="BL169" s="822">
        <f t="shared" si="60"/>
        <v>0</v>
      </c>
      <c r="BM169" s="822">
        <f t="shared" si="60"/>
        <v>0</v>
      </c>
      <c r="BN169" s="822">
        <f t="shared" si="60"/>
        <v>0</v>
      </c>
      <c r="BO169" s="822">
        <f t="shared" si="60"/>
        <v>0</v>
      </c>
      <c r="BP169" s="821">
        <f t="shared" si="60"/>
        <v>0</v>
      </c>
      <c r="BQ169" s="822">
        <f t="shared" si="60"/>
        <v>0</v>
      </c>
      <c r="BR169" s="822">
        <f t="shared" si="60"/>
        <v>0</v>
      </c>
      <c r="BS169" s="822">
        <f t="shared" si="60"/>
        <v>0</v>
      </c>
      <c r="BT169" s="822">
        <f t="shared" si="60"/>
        <v>0</v>
      </c>
      <c r="BU169" s="822">
        <f t="shared" si="60"/>
        <v>0</v>
      </c>
      <c r="BV169" s="822">
        <f t="shared" si="60"/>
        <v>0</v>
      </c>
      <c r="BW169" s="822">
        <f t="shared" si="60"/>
        <v>0</v>
      </c>
      <c r="BX169" s="822">
        <f t="shared" ref="BP169:CA170" si="61">SUMIFS(BX$5:BX$167,$F$5:$F$167,$F169,$G$5:$G$167,$G169)</f>
        <v>0</v>
      </c>
      <c r="BY169" s="822">
        <f t="shared" si="61"/>
        <v>0</v>
      </c>
      <c r="BZ169" s="822">
        <f t="shared" si="61"/>
        <v>0</v>
      </c>
      <c r="CA169" s="822">
        <f t="shared" si="61"/>
        <v>0</v>
      </c>
      <c r="CB169" s="821">
        <f>SUM(H169:CA169)</f>
        <v>0</v>
      </c>
      <c r="DA169" s="822">
        <f>SUMIF('Monthly Summary'!C$75:BV$75,"",H169:CA169)</f>
        <v>0</v>
      </c>
      <c r="DB169" s="1246"/>
      <c r="DC169" s="1246"/>
      <c r="DJ169" s="1277"/>
      <c r="DK169" s="1277"/>
      <c r="DL169" s="1277"/>
      <c r="DM169" s="1277"/>
      <c r="DN169" s="1277"/>
      <c r="DO169" s="1277"/>
    </row>
    <row r="170" spans="1:120" s="745" customFormat="1">
      <c r="D170" s="766" t="s">
        <v>18</v>
      </c>
      <c r="E170" s="766"/>
      <c r="F170" s="766" t="str">
        <f>Miscellaneous!$N$8</f>
        <v>Fixed Price</v>
      </c>
      <c r="G170" s="766" t="s">
        <v>21</v>
      </c>
      <c r="H170" s="821">
        <f t="shared" si="56"/>
        <v>0</v>
      </c>
      <c r="I170" s="822">
        <f t="shared" si="56"/>
        <v>0</v>
      </c>
      <c r="J170" s="822">
        <f t="shared" si="56"/>
        <v>0</v>
      </c>
      <c r="K170" s="822">
        <f t="shared" si="56"/>
        <v>0</v>
      </c>
      <c r="L170" s="822">
        <f t="shared" si="56"/>
        <v>0</v>
      </c>
      <c r="M170" s="822">
        <f t="shared" si="56"/>
        <v>0</v>
      </c>
      <c r="N170" s="822">
        <f t="shared" si="56"/>
        <v>0</v>
      </c>
      <c r="O170" s="822">
        <f t="shared" si="56"/>
        <v>0</v>
      </c>
      <c r="P170" s="822">
        <f t="shared" si="56"/>
        <v>0</v>
      </c>
      <c r="Q170" s="822">
        <f t="shared" si="56"/>
        <v>0</v>
      </c>
      <c r="R170" s="822">
        <f t="shared" si="57"/>
        <v>0</v>
      </c>
      <c r="S170" s="822">
        <f t="shared" si="57"/>
        <v>0</v>
      </c>
      <c r="T170" s="821">
        <f t="shared" si="57"/>
        <v>0</v>
      </c>
      <c r="U170" s="822">
        <f t="shared" si="57"/>
        <v>0</v>
      </c>
      <c r="V170" s="822">
        <f t="shared" si="57"/>
        <v>0</v>
      </c>
      <c r="W170" s="822">
        <f t="shared" si="57"/>
        <v>0</v>
      </c>
      <c r="X170" s="822">
        <f t="shared" si="57"/>
        <v>0</v>
      </c>
      <c r="Y170" s="822">
        <f t="shared" si="57"/>
        <v>0</v>
      </c>
      <c r="Z170" s="822">
        <f t="shared" si="57"/>
        <v>0</v>
      </c>
      <c r="AA170" s="822">
        <f t="shared" si="57"/>
        <v>0</v>
      </c>
      <c r="AB170" s="822">
        <f t="shared" si="57"/>
        <v>0</v>
      </c>
      <c r="AC170" s="822">
        <f t="shared" si="57"/>
        <v>0</v>
      </c>
      <c r="AD170" s="822">
        <f t="shared" si="57"/>
        <v>0</v>
      </c>
      <c r="AE170" s="822">
        <f t="shared" si="57"/>
        <v>0</v>
      </c>
      <c r="AF170" s="821">
        <f t="shared" si="58"/>
        <v>0</v>
      </c>
      <c r="AG170" s="822">
        <f t="shared" si="58"/>
        <v>0</v>
      </c>
      <c r="AH170" s="822">
        <f t="shared" si="58"/>
        <v>0</v>
      </c>
      <c r="AI170" s="822">
        <f t="shared" si="58"/>
        <v>0</v>
      </c>
      <c r="AJ170" s="822">
        <f t="shared" si="58"/>
        <v>0</v>
      </c>
      <c r="AK170" s="822">
        <f t="shared" si="58"/>
        <v>0</v>
      </c>
      <c r="AL170" s="822">
        <f t="shared" si="58"/>
        <v>0</v>
      </c>
      <c r="AM170" s="822">
        <f t="shared" si="58"/>
        <v>0</v>
      </c>
      <c r="AN170" s="822">
        <f t="shared" si="58"/>
        <v>0</v>
      </c>
      <c r="AO170" s="822">
        <f t="shared" si="58"/>
        <v>0</v>
      </c>
      <c r="AP170" s="822">
        <f t="shared" si="58"/>
        <v>0</v>
      </c>
      <c r="AQ170" s="822">
        <f t="shared" si="58"/>
        <v>0</v>
      </c>
      <c r="AR170" s="821">
        <f t="shared" si="59"/>
        <v>0</v>
      </c>
      <c r="AS170" s="822">
        <f t="shared" si="59"/>
        <v>0</v>
      </c>
      <c r="AT170" s="822">
        <f t="shared" si="59"/>
        <v>0</v>
      </c>
      <c r="AU170" s="822">
        <f t="shared" si="59"/>
        <v>0</v>
      </c>
      <c r="AV170" s="822">
        <f t="shared" si="59"/>
        <v>0</v>
      </c>
      <c r="AW170" s="822">
        <f t="shared" si="59"/>
        <v>0</v>
      </c>
      <c r="AX170" s="822">
        <f t="shared" si="59"/>
        <v>0</v>
      </c>
      <c r="AY170" s="822">
        <f t="shared" si="59"/>
        <v>0</v>
      </c>
      <c r="AZ170" s="822">
        <f t="shared" si="59"/>
        <v>0</v>
      </c>
      <c r="BA170" s="822">
        <f t="shared" si="59"/>
        <v>0</v>
      </c>
      <c r="BB170" s="822">
        <f t="shared" si="59"/>
        <v>0</v>
      </c>
      <c r="BC170" s="822">
        <f t="shared" si="59"/>
        <v>0</v>
      </c>
      <c r="BD170" s="821">
        <f t="shared" si="59"/>
        <v>0</v>
      </c>
      <c r="BE170" s="822">
        <f t="shared" si="59"/>
        <v>0</v>
      </c>
      <c r="BF170" s="822">
        <f t="shared" si="59"/>
        <v>0</v>
      </c>
      <c r="BG170" s="822">
        <f t="shared" si="59"/>
        <v>0</v>
      </c>
      <c r="BH170" s="822">
        <f t="shared" si="60"/>
        <v>0</v>
      </c>
      <c r="BI170" s="822">
        <f t="shared" si="60"/>
        <v>0</v>
      </c>
      <c r="BJ170" s="822">
        <f t="shared" si="60"/>
        <v>0</v>
      </c>
      <c r="BK170" s="822">
        <f t="shared" si="60"/>
        <v>0</v>
      </c>
      <c r="BL170" s="822">
        <f t="shared" si="60"/>
        <v>0</v>
      </c>
      <c r="BM170" s="822">
        <f t="shared" si="60"/>
        <v>0</v>
      </c>
      <c r="BN170" s="822">
        <f t="shared" si="60"/>
        <v>0</v>
      </c>
      <c r="BO170" s="822">
        <f t="shared" si="60"/>
        <v>0</v>
      </c>
      <c r="BP170" s="821">
        <f t="shared" si="61"/>
        <v>0</v>
      </c>
      <c r="BQ170" s="822">
        <f t="shared" si="61"/>
        <v>0</v>
      </c>
      <c r="BR170" s="822">
        <f t="shared" si="61"/>
        <v>0</v>
      </c>
      <c r="BS170" s="822">
        <f t="shared" si="61"/>
        <v>0</v>
      </c>
      <c r="BT170" s="822">
        <f t="shared" si="61"/>
        <v>0</v>
      </c>
      <c r="BU170" s="822">
        <f t="shared" si="61"/>
        <v>0</v>
      </c>
      <c r="BV170" s="822">
        <f t="shared" si="61"/>
        <v>0</v>
      </c>
      <c r="BW170" s="822">
        <f t="shared" si="61"/>
        <v>0</v>
      </c>
      <c r="BX170" s="822">
        <f t="shared" si="61"/>
        <v>0</v>
      </c>
      <c r="BY170" s="822">
        <f t="shared" si="61"/>
        <v>0</v>
      </c>
      <c r="BZ170" s="822">
        <f t="shared" si="61"/>
        <v>0</v>
      </c>
      <c r="CA170" s="822">
        <f t="shared" si="61"/>
        <v>0</v>
      </c>
      <c r="CB170" s="821">
        <f t="shared" ref="CB170:CB194" si="62">SUM(H170:CA170)</f>
        <v>0</v>
      </c>
      <c r="DA170" s="822">
        <f>SUMIF('Monthly Summary'!C$75:BV$75,"",H170:CA170)</f>
        <v>0</v>
      </c>
      <c r="DB170" s="1246"/>
      <c r="DC170" s="1246"/>
      <c r="DJ170" s="1277"/>
      <c r="DK170" s="1277"/>
      <c r="DL170" s="1277"/>
      <c r="DM170" s="1277"/>
      <c r="DN170" s="1277"/>
      <c r="DO170" s="1277"/>
    </row>
    <row r="171" spans="1:120" s="745" customFormat="1">
      <c r="H171" s="821"/>
      <c r="I171" s="822"/>
      <c r="J171" s="822"/>
      <c r="K171" s="822"/>
      <c r="L171" s="822"/>
      <c r="M171" s="822"/>
      <c r="N171" s="822"/>
      <c r="O171" s="822"/>
      <c r="P171" s="822"/>
      <c r="Q171" s="822"/>
      <c r="R171" s="822"/>
      <c r="S171" s="822"/>
      <c r="T171" s="821"/>
      <c r="U171" s="822"/>
      <c r="V171" s="822"/>
      <c r="W171" s="822"/>
      <c r="X171" s="822"/>
      <c r="Y171" s="822"/>
      <c r="Z171" s="822"/>
      <c r="AA171" s="822"/>
      <c r="AB171" s="822"/>
      <c r="AC171" s="822"/>
      <c r="AD171" s="822"/>
      <c r="AE171" s="822"/>
      <c r="AF171" s="821"/>
      <c r="AG171" s="822"/>
      <c r="AH171" s="822"/>
      <c r="AI171" s="822"/>
      <c r="AJ171" s="822"/>
      <c r="AK171" s="822"/>
      <c r="AL171" s="822"/>
      <c r="AM171" s="822"/>
      <c r="AN171" s="822"/>
      <c r="AO171" s="822"/>
      <c r="AP171" s="822"/>
      <c r="AQ171" s="822"/>
      <c r="AR171" s="821"/>
      <c r="AS171" s="822"/>
      <c r="AT171" s="822"/>
      <c r="AU171" s="822"/>
      <c r="AV171" s="822"/>
      <c r="AW171" s="822"/>
      <c r="AX171" s="822"/>
      <c r="AY171" s="822"/>
      <c r="AZ171" s="822"/>
      <c r="BA171" s="822"/>
      <c r="BB171" s="822"/>
      <c r="BC171" s="822"/>
      <c r="BD171" s="821"/>
      <c r="BE171" s="822"/>
      <c r="BF171" s="822"/>
      <c r="BG171" s="822"/>
      <c r="BH171" s="822"/>
      <c r="BI171" s="822"/>
      <c r="BJ171" s="822"/>
      <c r="BK171" s="822"/>
      <c r="BL171" s="822"/>
      <c r="BM171" s="822"/>
      <c r="BN171" s="822"/>
      <c r="BO171" s="822"/>
      <c r="BP171" s="821"/>
      <c r="BQ171" s="822"/>
      <c r="BR171" s="822"/>
      <c r="BS171" s="822"/>
      <c r="BT171" s="822"/>
      <c r="BU171" s="822"/>
      <c r="BV171" s="822"/>
      <c r="BW171" s="822"/>
      <c r="BX171" s="822"/>
      <c r="BY171" s="822"/>
      <c r="BZ171" s="822"/>
      <c r="CA171" s="822"/>
      <c r="CB171" s="821"/>
      <c r="DA171" s="823"/>
      <c r="DB171" s="1246"/>
      <c r="DC171" s="1246"/>
    </row>
    <row r="172" spans="1:120" s="745" customFormat="1">
      <c r="D172" s="766" t="s">
        <v>18</v>
      </c>
      <c r="E172" s="766" t="s">
        <v>171</v>
      </c>
      <c r="F172" s="766" t="str">
        <f>Miscellaneous!$N$7</f>
        <v>Purchase</v>
      </c>
      <c r="G172" s="766" t="s">
        <v>20</v>
      </c>
      <c r="H172" s="821">
        <f>SUMIFS(H$5:H$167,$F$5:$F$167,$F172,$G$5:$G$167,$G172)</f>
        <v>0</v>
      </c>
      <c r="I172" s="822">
        <f t="shared" ref="H172:Q173" si="63">SUMIFS(I$5:I$167,$F$5:$F$167,$F172,$G$5:$G$167,$G172)</f>
        <v>0</v>
      </c>
      <c r="J172" s="822">
        <f t="shared" si="63"/>
        <v>0</v>
      </c>
      <c r="K172" s="822">
        <f t="shared" si="63"/>
        <v>0</v>
      </c>
      <c r="L172" s="822">
        <f t="shared" si="63"/>
        <v>0</v>
      </c>
      <c r="M172" s="822">
        <f t="shared" si="63"/>
        <v>0</v>
      </c>
      <c r="N172" s="822">
        <f t="shared" si="63"/>
        <v>0</v>
      </c>
      <c r="O172" s="822">
        <f t="shared" si="63"/>
        <v>0</v>
      </c>
      <c r="P172" s="822">
        <f t="shared" si="63"/>
        <v>0</v>
      </c>
      <c r="Q172" s="822">
        <f t="shared" si="63"/>
        <v>0</v>
      </c>
      <c r="R172" s="822">
        <f t="shared" ref="R172:AG173" si="64">SUMIFS(R$5:R$167,$F$5:$F$167,$F172,$G$5:$G$167,$G172)</f>
        <v>0</v>
      </c>
      <c r="S172" s="822">
        <f t="shared" si="64"/>
        <v>0</v>
      </c>
      <c r="T172" s="821">
        <f t="shared" si="64"/>
        <v>0</v>
      </c>
      <c r="U172" s="822">
        <f t="shared" si="64"/>
        <v>0</v>
      </c>
      <c r="V172" s="822">
        <f t="shared" si="64"/>
        <v>0</v>
      </c>
      <c r="W172" s="822">
        <f t="shared" si="64"/>
        <v>0</v>
      </c>
      <c r="X172" s="822">
        <f t="shared" si="64"/>
        <v>0</v>
      </c>
      <c r="Y172" s="822">
        <f t="shared" si="64"/>
        <v>0</v>
      </c>
      <c r="Z172" s="822">
        <f t="shared" si="64"/>
        <v>0</v>
      </c>
      <c r="AA172" s="822">
        <f t="shared" si="64"/>
        <v>0</v>
      </c>
      <c r="AB172" s="822">
        <f t="shared" si="64"/>
        <v>0</v>
      </c>
      <c r="AC172" s="822">
        <f t="shared" si="64"/>
        <v>0</v>
      </c>
      <c r="AD172" s="822">
        <f t="shared" si="64"/>
        <v>0</v>
      </c>
      <c r="AE172" s="822">
        <f t="shared" si="64"/>
        <v>0</v>
      </c>
      <c r="AF172" s="821">
        <f t="shared" si="64"/>
        <v>0</v>
      </c>
      <c r="AG172" s="822">
        <f t="shared" si="64"/>
        <v>0</v>
      </c>
      <c r="AH172" s="822">
        <f t="shared" ref="AF172:AU173" si="65">SUMIFS(AH$5:AH$167,$F$5:$F$167,$F172,$G$5:$G$167,$G172)</f>
        <v>0</v>
      </c>
      <c r="AI172" s="822">
        <f t="shared" si="65"/>
        <v>0</v>
      </c>
      <c r="AJ172" s="822">
        <f t="shared" si="65"/>
        <v>0</v>
      </c>
      <c r="AK172" s="822">
        <f t="shared" si="65"/>
        <v>0</v>
      </c>
      <c r="AL172" s="822">
        <f t="shared" si="65"/>
        <v>0</v>
      </c>
      <c r="AM172" s="822">
        <f t="shared" si="65"/>
        <v>0</v>
      </c>
      <c r="AN172" s="822">
        <f t="shared" si="65"/>
        <v>0</v>
      </c>
      <c r="AO172" s="822">
        <f t="shared" si="65"/>
        <v>0</v>
      </c>
      <c r="AP172" s="822">
        <f t="shared" si="65"/>
        <v>0</v>
      </c>
      <c r="AQ172" s="822">
        <f t="shared" si="65"/>
        <v>0</v>
      </c>
      <c r="AR172" s="821">
        <f t="shared" si="65"/>
        <v>0</v>
      </c>
      <c r="AS172" s="822">
        <f t="shared" si="65"/>
        <v>0</v>
      </c>
      <c r="AT172" s="822">
        <f t="shared" si="65"/>
        <v>0</v>
      </c>
      <c r="AU172" s="822">
        <f t="shared" si="65"/>
        <v>0</v>
      </c>
      <c r="AV172" s="822">
        <f t="shared" ref="AR172:BG173" si="66">SUMIFS(AV$5:AV$167,$F$5:$F$167,$F172,$G$5:$G$167,$G172)</f>
        <v>0</v>
      </c>
      <c r="AW172" s="822">
        <f t="shared" si="66"/>
        <v>0</v>
      </c>
      <c r="AX172" s="822">
        <f t="shared" si="66"/>
        <v>0</v>
      </c>
      <c r="AY172" s="822">
        <f t="shared" si="66"/>
        <v>0</v>
      </c>
      <c r="AZ172" s="822">
        <f t="shared" si="66"/>
        <v>0</v>
      </c>
      <c r="BA172" s="822">
        <f t="shared" si="66"/>
        <v>0</v>
      </c>
      <c r="BB172" s="822">
        <f t="shared" si="66"/>
        <v>0</v>
      </c>
      <c r="BC172" s="822">
        <f t="shared" si="66"/>
        <v>0</v>
      </c>
      <c r="BD172" s="821">
        <f t="shared" si="66"/>
        <v>0</v>
      </c>
      <c r="BE172" s="822">
        <f t="shared" si="66"/>
        <v>0</v>
      </c>
      <c r="BF172" s="822">
        <f t="shared" si="66"/>
        <v>0</v>
      </c>
      <c r="BG172" s="822">
        <f t="shared" si="66"/>
        <v>0</v>
      </c>
      <c r="BH172" s="822">
        <f t="shared" ref="BH172:BW173" si="67">SUMIFS(BH$5:BH$167,$F$5:$F$167,$F172,$G$5:$G$167,$G172)</f>
        <v>0</v>
      </c>
      <c r="BI172" s="822">
        <f t="shared" si="67"/>
        <v>0</v>
      </c>
      <c r="BJ172" s="822">
        <f t="shared" si="67"/>
        <v>0</v>
      </c>
      <c r="BK172" s="822">
        <f t="shared" si="67"/>
        <v>0</v>
      </c>
      <c r="BL172" s="822">
        <f t="shared" si="67"/>
        <v>0</v>
      </c>
      <c r="BM172" s="822">
        <f t="shared" si="67"/>
        <v>0</v>
      </c>
      <c r="BN172" s="822">
        <f t="shared" si="67"/>
        <v>0</v>
      </c>
      <c r="BO172" s="822">
        <f t="shared" si="67"/>
        <v>0</v>
      </c>
      <c r="BP172" s="821">
        <f t="shared" si="67"/>
        <v>0</v>
      </c>
      <c r="BQ172" s="822">
        <f t="shared" si="67"/>
        <v>0</v>
      </c>
      <c r="BR172" s="822">
        <f t="shared" si="67"/>
        <v>0</v>
      </c>
      <c r="BS172" s="822">
        <f t="shared" si="67"/>
        <v>0</v>
      </c>
      <c r="BT172" s="822">
        <f t="shared" si="67"/>
        <v>0</v>
      </c>
      <c r="BU172" s="822">
        <f t="shared" si="67"/>
        <v>0</v>
      </c>
      <c r="BV172" s="822">
        <f t="shared" si="67"/>
        <v>0</v>
      </c>
      <c r="BW172" s="822">
        <f t="shared" si="67"/>
        <v>0</v>
      </c>
      <c r="BX172" s="822">
        <f t="shared" ref="BP172:CA173" si="68">SUMIFS(BX$5:BX$167,$F$5:$F$167,$F172,$G$5:$G$167,$G172)</f>
        <v>0</v>
      </c>
      <c r="BY172" s="822">
        <f t="shared" si="68"/>
        <v>0</v>
      </c>
      <c r="BZ172" s="822">
        <f t="shared" si="68"/>
        <v>0</v>
      </c>
      <c r="CA172" s="822">
        <f t="shared" si="68"/>
        <v>0</v>
      </c>
      <c r="CB172" s="821">
        <f t="shared" si="62"/>
        <v>0</v>
      </c>
      <c r="DA172" s="822">
        <f>SUMIF('Monthly Summary'!C$75:BV$75,"",H172:CA172)</f>
        <v>0</v>
      </c>
      <c r="DB172" s="1246"/>
      <c r="DC172" s="1246"/>
    </row>
    <row r="173" spans="1:120" s="745" customFormat="1">
      <c r="D173" s="766" t="s">
        <v>18</v>
      </c>
      <c r="E173" s="766" t="s">
        <v>171</v>
      </c>
      <c r="F173" s="766" t="str">
        <f>Miscellaneous!$N$7</f>
        <v>Purchase</v>
      </c>
      <c r="G173" s="766" t="s">
        <v>21</v>
      </c>
      <c r="H173" s="821">
        <f t="shared" si="63"/>
        <v>0</v>
      </c>
      <c r="I173" s="822">
        <f t="shared" si="63"/>
        <v>0</v>
      </c>
      <c r="J173" s="822">
        <f t="shared" si="63"/>
        <v>0</v>
      </c>
      <c r="K173" s="822">
        <f t="shared" si="63"/>
        <v>0</v>
      </c>
      <c r="L173" s="822">
        <f t="shared" si="63"/>
        <v>0</v>
      </c>
      <c r="M173" s="822">
        <f t="shared" si="63"/>
        <v>0</v>
      </c>
      <c r="N173" s="822">
        <f t="shared" si="63"/>
        <v>0</v>
      </c>
      <c r="O173" s="822">
        <f t="shared" si="63"/>
        <v>0</v>
      </c>
      <c r="P173" s="822">
        <f t="shared" si="63"/>
        <v>0</v>
      </c>
      <c r="Q173" s="822">
        <f t="shared" si="63"/>
        <v>0</v>
      </c>
      <c r="R173" s="822">
        <f t="shared" si="64"/>
        <v>0</v>
      </c>
      <c r="S173" s="822">
        <f t="shared" si="64"/>
        <v>0</v>
      </c>
      <c r="T173" s="821">
        <f t="shared" si="64"/>
        <v>0</v>
      </c>
      <c r="U173" s="822">
        <f t="shared" si="64"/>
        <v>0</v>
      </c>
      <c r="V173" s="822">
        <f t="shared" si="64"/>
        <v>0</v>
      </c>
      <c r="W173" s="822">
        <f t="shared" si="64"/>
        <v>0</v>
      </c>
      <c r="X173" s="822">
        <f t="shared" si="64"/>
        <v>0</v>
      </c>
      <c r="Y173" s="822">
        <f t="shared" si="64"/>
        <v>0</v>
      </c>
      <c r="Z173" s="822">
        <f t="shared" si="64"/>
        <v>0</v>
      </c>
      <c r="AA173" s="822">
        <f t="shared" si="64"/>
        <v>0</v>
      </c>
      <c r="AB173" s="822">
        <f t="shared" si="64"/>
        <v>0</v>
      </c>
      <c r="AC173" s="822">
        <f t="shared" si="64"/>
        <v>0</v>
      </c>
      <c r="AD173" s="822">
        <f t="shared" si="64"/>
        <v>0</v>
      </c>
      <c r="AE173" s="822">
        <f t="shared" si="64"/>
        <v>0</v>
      </c>
      <c r="AF173" s="821">
        <f t="shared" si="65"/>
        <v>0</v>
      </c>
      <c r="AG173" s="822">
        <f t="shared" si="65"/>
        <v>0</v>
      </c>
      <c r="AH173" s="822">
        <f t="shared" si="65"/>
        <v>0</v>
      </c>
      <c r="AI173" s="822">
        <f t="shared" si="65"/>
        <v>0</v>
      </c>
      <c r="AJ173" s="822">
        <f t="shared" si="65"/>
        <v>0</v>
      </c>
      <c r="AK173" s="822">
        <f t="shared" si="65"/>
        <v>0</v>
      </c>
      <c r="AL173" s="822">
        <f t="shared" si="65"/>
        <v>0</v>
      </c>
      <c r="AM173" s="822">
        <f t="shared" si="65"/>
        <v>0</v>
      </c>
      <c r="AN173" s="822">
        <f t="shared" si="65"/>
        <v>0</v>
      </c>
      <c r="AO173" s="822">
        <f t="shared" si="65"/>
        <v>0</v>
      </c>
      <c r="AP173" s="822">
        <f t="shared" si="65"/>
        <v>0</v>
      </c>
      <c r="AQ173" s="822">
        <f t="shared" si="65"/>
        <v>0</v>
      </c>
      <c r="AR173" s="821">
        <f t="shared" si="66"/>
        <v>0</v>
      </c>
      <c r="AS173" s="822">
        <f t="shared" si="66"/>
        <v>0</v>
      </c>
      <c r="AT173" s="822">
        <f t="shared" si="66"/>
        <v>0</v>
      </c>
      <c r="AU173" s="822">
        <f t="shared" si="66"/>
        <v>0</v>
      </c>
      <c r="AV173" s="822">
        <f t="shared" si="66"/>
        <v>0</v>
      </c>
      <c r="AW173" s="822">
        <f t="shared" si="66"/>
        <v>0</v>
      </c>
      <c r="AX173" s="822">
        <f t="shared" si="66"/>
        <v>0</v>
      </c>
      <c r="AY173" s="822">
        <f t="shared" si="66"/>
        <v>0</v>
      </c>
      <c r="AZ173" s="822">
        <f t="shared" si="66"/>
        <v>0</v>
      </c>
      <c r="BA173" s="822">
        <f t="shared" si="66"/>
        <v>0</v>
      </c>
      <c r="BB173" s="822">
        <f t="shared" si="66"/>
        <v>0</v>
      </c>
      <c r="BC173" s="822">
        <f t="shared" si="66"/>
        <v>0</v>
      </c>
      <c r="BD173" s="821">
        <f t="shared" si="66"/>
        <v>0</v>
      </c>
      <c r="BE173" s="822">
        <f t="shared" si="66"/>
        <v>0</v>
      </c>
      <c r="BF173" s="822">
        <f t="shared" si="66"/>
        <v>0</v>
      </c>
      <c r="BG173" s="822">
        <f t="shared" si="66"/>
        <v>0</v>
      </c>
      <c r="BH173" s="822">
        <f t="shared" si="67"/>
        <v>0</v>
      </c>
      <c r="BI173" s="822">
        <f t="shared" si="67"/>
        <v>0</v>
      </c>
      <c r="BJ173" s="822">
        <f t="shared" si="67"/>
        <v>0</v>
      </c>
      <c r="BK173" s="822">
        <f t="shared" si="67"/>
        <v>0</v>
      </c>
      <c r="BL173" s="822">
        <f t="shared" si="67"/>
        <v>0</v>
      </c>
      <c r="BM173" s="822">
        <f t="shared" si="67"/>
        <v>0</v>
      </c>
      <c r="BN173" s="822">
        <f t="shared" si="67"/>
        <v>0</v>
      </c>
      <c r="BO173" s="822">
        <f t="shared" si="67"/>
        <v>0</v>
      </c>
      <c r="BP173" s="821">
        <f t="shared" si="68"/>
        <v>0</v>
      </c>
      <c r="BQ173" s="822">
        <f t="shared" si="68"/>
        <v>0</v>
      </c>
      <c r="BR173" s="822">
        <f t="shared" si="68"/>
        <v>0</v>
      </c>
      <c r="BS173" s="822">
        <f t="shared" si="68"/>
        <v>0</v>
      </c>
      <c r="BT173" s="822">
        <f t="shared" si="68"/>
        <v>0</v>
      </c>
      <c r="BU173" s="822">
        <f t="shared" si="68"/>
        <v>0</v>
      </c>
      <c r="BV173" s="822">
        <f t="shared" si="68"/>
        <v>0</v>
      </c>
      <c r="BW173" s="822">
        <f t="shared" si="68"/>
        <v>0</v>
      </c>
      <c r="BX173" s="822">
        <f t="shared" si="68"/>
        <v>0</v>
      </c>
      <c r="BY173" s="822">
        <f t="shared" si="68"/>
        <v>0</v>
      </c>
      <c r="BZ173" s="822">
        <f t="shared" si="68"/>
        <v>0</v>
      </c>
      <c r="CA173" s="822">
        <f t="shared" si="68"/>
        <v>0</v>
      </c>
      <c r="CB173" s="821">
        <f t="shared" si="62"/>
        <v>0</v>
      </c>
      <c r="DA173" s="822">
        <f>SUMIF('Monthly Summary'!C$75:BV$75,"",H173:CA173)</f>
        <v>0</v>
      </c>
      <c r="DB173" s="1246"/>
      <c r="DC173" s="1246"/>
    </row>
    <row r="174" spans="1:120" s="745" customFormat="1">
      <c r="H174" s="821"/>
      <c r="I174" s="822"/>
      <c r="J174" s="822"/>
      <c r="K174" s="822"/>
      <c r="L174" s="822"/>
      <c r="M174" s="822"/>
      <c r="N174" s="822"/>
      <c r="O174" s="822"/>
      <c r="P174" s="822"/>
      <c r="Q174" s="822"/>
      <c r="R174" s="822"/>
      <c r="S174" s="822"/>
      <c r="T174" s="821"/>
      <c r="U174" s="822"/>
      <c r="V174" s="822"/>
      <c r="W174" s="822"/>
      <c r="X174" s="822"/>
      <c r="Y174" s="822"/>
      <c r="Z174" s="822"/>
      <c r="AA174" s="822"/>
      <c r="AB174" s="822"/>
      <c r="AC174" s="822"/>
      <c r="AD174" s="822"/>
      <c r="AE174" s="822"/>
      <c r="AF174" s="821"/>
      <c r="AG174" s="822"/>
      <c r="AH174" s="822"/>
      <c r="AI174" s="822"/>
      <c r="AJ174" s="822"/>
      <c r="AK174" s="822"/>
      <c r="AL174" s="822"/>
      <c r="AM174" s="822"/>
      <c r="AN174" s="822"/>
      <c r="AO174" s="822"/>
      <c r="AP174" s="822"/>
      <c r="AQ174" s="822"/>
      <c r="AR174" s="821"/>
      <c r="AS174" s="822"/>
      <c r="AT174" s="822"/>
      <c r="AU174" s="822"/>
      <c r="AV174" s="822"/>
      <c r="AW174" s="822"/>
      <c r="AX174" s="822"/>
      <c r="AY174" s="822"/>
      <c r="AZ174" s="822"/>
      <c r="BA174" s="822"/>
      <c r="BB174" s="822"/>
      <c r="BC174" s="822"/>
      <c r="BD174" s="821"/>
      <c r="BE174" s="822"/>
      <c r="BF174" s="822"/>
      <c r="BG174" s="822"/>
      <c r="BH174" s="822"/>
      <c r="BI174" s="822"/>
      <c r="BJ174" s="822"/>
      <c r="BK174" s="822"/>
      <c r="BL174" s="822"/>
      <c r="BM174" s="822"/>
      <c r="BN174" s="822"/>
      <c r="BO174" s="822"/>
      <c r="BP174" s="821"/>
      <c r="BQ174" s="822"/>
      <c r="BR174" s="822"/>
      <c r="BS174" s="822"/>
      <c r="BT174" s="822"/>
      <c r="BU174" s="822"/>
      <c r="BV174" s="822"/>
      <c r="BW174" s="822"/>
      <c r="BX174" s="822"/>
      <c r="BY174" s="822"/>
      <c r="BZ174" s="822"/>
      <c r="CA174" s="822"/>
      <c r="CB174" s="821"/>
      <c r="DA174" s="823"/>
      <c r="DB174" s="1246"/>
      <c r="DC174" s="1246"/>
    </row>
    <row r="175" spans="1:120" s="745" customFormat="1">
      <c r="D175" s="766" t="s">
        <v>18</v>
      </c>
      <c r="E175" s="766" t="s">
        <v>171</v>
      </c>
      <c r="F175" s="766" t="str">
        <f>Miscellaneous!$N$6</f>
        <v>Lease</v>
      </c>
      <c r="G175" s="766" t="s">
        <v>20</v>
      </c>
      <c r="H175" s="821">
        <f t="shared" ref="H175:Q176" si="69">SUMIFS(H$5:H$167,$F$5:$F$167,$F175,$G$5:$G$167,$G175)</f>
        <v>0</v>
      </c>
      <c r="I175" s="822">
        <f t="shared" si="69"/>
        <v>0</v>
      </c>
      <c r="J175" s="822">
        <f t="shared" si="69"/>
        <v>0</v>
      </c>
      <c r="K175" s="822">
        <f t="shared" si="69"/>
        <v>0</v>
      </c>
      <c r="L175" s="822">
        <f t="shared" si="69"/>
        <v>0</v>
      </c>
      <c r="M175" s="822">
        <f t="shared" si="69"/>
        <v>0</v>
      </c>
      <c r="N175" s="822">
        <f t="shared" si="69"/>
        <v>0</v>
      </c>
      <c r="O175" s="822">
        <f t="shared" si="69"/>
        <v>0</v>
      </c>
      <c r="P175" s="822">
        <f t="shared" si="69"/>
        <v>0</v>
      </c>
      <c r="Q175" s="822">
        <f t="shared" si="69"/>
        <v>0</v>
      </c>
      <c r="R175" s="822">
        <f t="shared" ref="R175:AG176" si="70">SUMIFS(R$5:R$167,$F$5:$F$167,$F175,$G$5:$G$167,$G175)</f>
        <v>0</v>
      </c>
      <c r="S175" s="822">
        <f t="shared" si="70"/>
        <v>0</v>
      </c>
      <c r="T175" s="821">
        <f t="shared" si="70"/>
        <v>0</v>
      </c>
      <c r="U175" s="822">
        <f t="shared" si="70"/>
        <v>0</v>
      </c>
      <c r="V175" s="822">
        <f t="shared" si="70"/>
        <v>0</v>
      </c>
      <c r="W175" s="822">
        <f t="shared" si="70"/>
        <v>0</v>
      </c>
      <c r="X175" s="822">
        <f t="shared" si="70"/>
        <v>0</v>
      </c>
      <c r="Y175" s="822">
        <f t="shared" si="70"/>
        <v>0</v>
      </c>
      <c r="Z175" s="822">
        <f t="shared" si="70"/>
        <v>0</v>
      </c>
      <c r="AA175" s="822">
        <f t="shared" si="70"/>
        <v>0</v>
      </c>
      <c r="AB175" s="822">
        <f t="shared" si="70"/>
        <v>0</v>
      </c>
      <c r="AC175" s="822">
        <f t="shared" si="70"/>
        <v>0</v>
      </c>
      <c r="AD175" s="822">
        <f t="shared" si="70"/>
        <v>0</v>
      </c>
      <c r="AE175" s="822">
        <f t="shared" si="70"/>
        <v>0</v>
      </c>
      <c r="AF175" s="821">
        <f t="shared" si="70"/>
        <v>0</v>
      </c>
      <c r="AG175" s="822">
        <f t="shared" si="70"/>
        <v>0</v>
      </c>
      <c r="AH175" s="822">
        <f t="shared" ref="AH175:AU176" si="71">SUMIFS(AH$5:AH$167,$F$5:$F$167,$F175,$G$5:$G$167,$G175)</f>
        <v>0</v>
      </c>
      <c r="AI175" s="822">
        <f t="shared" si="71"/>
        <v>0</v>
      </c>
      <c r="AJ175" s="822">
        <f t="shared" si="71"/>
        <v>0</v>
      </c>
      <c r="AK175" s="822">
        <f t="shared" si="71"/>
        <v>0</v>
      </c>
      <c r="AL175" s="822">
        <f t="shared" si="71"/>
        <v>0</v>
      </c>
      <c r="AM175" s="822">
        <f t="shared" si="71"/>
        <v>0</v>
      </c>
      <c r="AN175" s="822">
        <f t="shared" si="71"/>
        <v>0</v>
      </c>
      <c r="AO175" s="822">
        <f t="shared" si="71"/>
        <v>0</v>
      </c>
      <c r="AP175" s="822">
        <f t="shared" si="71"/>
        <v>0</v>
      </c>
      <c r="AQ175" s="822">
        <f t="shared" si="71"/>
        <v>0</v>
      </c>
      <c r="AR175" s="821">
        <f t="shared" si="71"/>
        <v>0</v>
      </c>
      <c r="AS175" s="822">
        <f t="shared" si="71"/>
        <v>0</v>
      </c>
      <c r="AT175" s="822">
        <f t="shared" si="71"/>
        <v>0</v>
      </c>
      <c r="AU175" s="822">
        <f t="shared" si="71"/>
        <v>0</v>
      </c>
      <c r="AV175" s="822">
        <f t="shared" ref="AV175:CA176" si="72">SUMIFS(AV$5:AV$167,$F$5:$F$167,$F175,$G$5:$G$167,$G175)</f>
        <v>0</v>
      </c>
      <c r="AW175" s="822">
        <f t="shared" si="72"/>
        <v>0</v>
      </c>
      <c r="AX175" s="822">
        <f t="shared" si="72"/>
        <v>0</v>
      </c>
      <c r="AY175" s="822">
        <f t="shared" si="72"/>
        <v>0</v>
      </c>
      <c r="AZ175" s="822">
        <f t="shared" si="72"/>
        <v>0</v>
      </c>
      <c r="BA175" s="822">
        <f t="shared" si="72"/>
        <v>0</v>
      </c>
      <c r="BB175" s="822">
        <f t="shared" si="72"/>
        <v>0</v>
      </c>
      <c r="BC175" s="822">
        <f t="shared" si="72"/>
        <v>0</v>
      </c>
      <c r="BD175" s="821">
        <f t="shared" si="72"/>
        <v>0</v>
      </c>
      <c r="BE175" s="822">
        <f t="shared" si="72"/>
        <v>0</v>
      </c>
      <c r="BF175" s="822">
        <f t="shared" si="72"/>
        <v>0</v>
      </c>
      <c r="BG175" s="822">
        <f t="shared" si="72"/>
        <v>0</v>
      </c>
      <c r="BH175" s="822">
        <f t="shared" si="72"/>
        <v>0</v>
      </c>
      <c r="BI175" s="822">
        <f t="shared" si="72"/>
        <v>0</v>
      </c>
      <c r="BJ175" s="822">
        <f t="shared" si="72"/>
        <v>0</v>
      </c>
      <c r="BK175" s="822">
        <f t="shared" si="72"/>
        <v>0</v>
      </c>
      <c r="BL175" s="822">
        <f t="shared" si="72"/>
        <v>0</v>
      </c>
      <c r="BM175" s="822">
        <f t="shared" si="72"/>
        <v>0</v>
      </c>
      <c r="BN175" s="822">
        <f t="shared" si="72"/>
        <v>0</v>
      </c>
      <c r="BO175" s="822">
        <f t="shared" si="72"/>
        <v>0</v>
      </c>
      <c r="BP175" s="821">
        <f t="shared" si="72"/>
        <v>0</v>
      </c>
      <c r="BQ175" s="822">
        <f t="shared" si="72"/>
        <v>0</v>
      </c>
      <c r="BR175" s="822">
        <f t="shared" si="72"/>
        <v>0</v>
      </c>
      <c r="BS175" s="822">
        <f t="shared" si="72"/>
        <v>0</v>
      </c>
      <c r="BT175" s="822">
        <f t="shared" si="72"/>
        <v>0</v>
      </c>
      <c r="BU175" s="822">
        <f t="shared" si="72"/>
        <v>0</v>
      </c>
      <c r="BV175" s="822">
        <f t="shared" si="72"/>
        <v>0</v>
      </c>
      <c r="BW175" s="822">
        <f t="shared" si="72"/>
        <v>0</v>
      </c>
      <c r="BX175" s="822">
        <f t="shared" si="72"/>
        <v>0</v>
      </c>
      <c r="BY175" s="822">
        <f t="shared" si="72"/>
        <v>0</v>
      </c>
      <c r="BZ175" s="822">
        <f t="shared" si="72"/>
        <v>0</v>
      </c>
      <c r="CA175" s="822">
        <f t="shared" si="72"/>
        <v>0</v>
      </c>
      <c r="CB175" s="821">
        <f t="shared" si="62"/>
        <v>0</v>
      </c>
      <c r="DA175" s="822">
        <f>SUMIF('Monthly Summary'!C$75:BV$75,"",H175:CA175)</f>
        <v>0</v>
      </c>
      <c r="DB175" s="1246"/>
      <c r="DC175" s="1246"/>
    </row>
    <row r="176" spans="1:120" s="745" customFormat="1">
      <c r="D176" s="766" t="s">
        <v>18</v>
      </c>
      <c r="E176" s="766" t="s">
        <v>171</v>
      </c>
      <c r="F176" s="766" t="str">
        <f>Miscellaneous!$N$6</f>
        <v>Lease</v>
      </c>
      <c r="G176" s="766" t="s">
        <v>21</v>
      </c>
      <c r="H176" s="821">
        <f t="shared" si="69"/>
        <v>0</v>
      </c>
      <c r="I176" s="822">
        <f t="shared" si="69"/>
        <v>0</v>
      </c>
      <c r="J176" s="822">
        <f t="shared" si="69"/>
        <v>0</v>
      </c>
      <c r="K176" s="822">
        <f t="shared" si="69"/>
        <v>0</v>
      </c>
      <c r="L176" s="822">
        <f t="shared" si="69"/>
        <v>0</v>
      </c>
      <c r="M176" s="822">
        <f t="shared" si="69"/>
        <v>0</v>
      </c>
      <c r="N176" s="822">
        <f t="shared" si="69"/>
        <v>0</v>
      </c>
      <c r="O176" s="822">
        <f t="shared" si="69"/>
        <v>0</v>
      </c>
      <c r="P176" s="822">
        <f t="shared" si="69"/>
        <v>0</v>
      </c>
      <c r="Q176" s="822">
        <f t="shared" si="69"/>
        <v>0</v>
      </c>
      <c r="R176" s="822">
        <f t="shared" si="70"/>
        <v>0</v>
      </c>
      <c r="S176" s="822">
        <f t="shared" si="70"/>
        <v>0</v>
      </c>
      <c r="T176" s="821">
        <f t="shared" si="70"/>
        <v>0</v>
      </c>
      <c r="U176" s="822">
        <f t="shared" si="70"/>
        <v>0</v>
      </c>
      <c r="V176" s="822">
        <f t="shared" si="70"/>
        <v>0</v>
      </c>
      <c r="W176" s="822">
        <f t="shared" si="70"/>
        <v>0</v>
      </c>
      <c r="X176" s="822">
        <f t="shared" si="70"/>
        <v>0</v>
      </c>
      <c r="Y176" s="822">
        <f t="shared" si="70"/>
        <v>0</v>
      </c>
      <c r="Z176" s="822">
        <f t="shared" si="70"/>
        <v>0</v>
      </c>
      <c r="AA176" s="822">
        <f t="shared" si="70"/>
        <v>0</v>
      </c>
      <c r="AB176" s="822">
        <f t="shared" si="70"/>
        <v>0</v>
      </c>
      <c r="AC176" s="822">
        <f t="shared" si="70"/>
        <v>0</v>
      </c>
      <c r="AD176" s="822">
        <f t="shared" si="70"/>
        <v>0</v>
      </c>
      <c r="AE176" s="822">
        <f t="shared" si="70"/>
        <v>0</v>
      </c>
      <c r="AF176" s="821">
        <f t="shared" si="70"/>
        <v>0</v>
      </c>
      <c r="AG176" s="822">
        <f t="shared" si="70"/>
        <v>0</v>
      </c>
      <c r="AH176" s="822">
        <f t="shared" si="71"/>
        <v>0</v>
      </c>
      <c r="AI176" s="822">
        <f t="shared" si="71"/>
        <v>0</v>
      </c>
      <c r="AJ176" s="822">
        <f t="shared" si="71"/>
        <v>0</v>
      </c>
      <c r="AK176" s="822">
        <f t="shared" si="71"/>
        <v>0</v>
      </c>
      <c r="AL176" s="822">
        <f t="shared" si="71"/>
        <v>0</v>
      </c>
      <c r="AM176" s="822">
        <f t="shared" si="71"/>
        <v>0</v>
      </c>
      <c r="AN176" s="822">
        <f t="shared" si="71"/>
        <v>0</v>
      </c>
      <c r="AO176" s="822">
        <f t="shared" si="71"/>
        <v>0</v>
      </c>
      <c r="AP176" s="822">
        <f t="shared" si="71"/>
        <v>0</v>
      </c>
      <c r="AQ176" s="822">
        <f t="shared" si="71"/>
        <v>0</v>
      </c>
      <c r="AR176" s="821">
        <f t="shared" si="71"/>
        <v>0</v>
      </c>
      <c r="AS176" s="822">
        <f t="shared" si="71"/>
        <v>0</v>
      </c>
      <c r="AT176" s="822">
        <f t="shared" si="71"/>
        <v>0</v>
      </c>
      <c r="AU176" s="822">
        <f t="shared" si="71"/>
        <v>0</v>
      </c>
      <c r="AV176" s="822">
        <f t="shared" si="72"/>
        <v>0</v>
      </c>
      <c r="AW176" s="822">
        <f t="shared" si="72"/>
        <v>0</v>
      </c>
      <c r="AX176" s="822">
        <f t="shared" si="72"/>
        <v>0</v>
      </c>
      <c r="AY176" s="822">
        <f t="shared" si="72"/>
        <v>0</v>
      </c>
      <c r="AZ176" s="822">
        <f t="shared" si="72"/>
        <v>0</v>
      </c>
      <c r="BA176" s="822">
        <f t="shared" si="72"/>
        <v>0</v>
      </c>
      <c r="BB176" s="822">
        <f t="shared" si="72"/>
        <v>0</v>
      </c>
      <c r="BC176" s="822">
        <f t="shared" si="72"/>
        <v>0</v>
      </c>
      <c r="BD176" s="821">
        <f t="shared" si="72"/>
        <v>0</v>
      </c>
      <c r="BE176" s="822">
        <f t="shared" si="72"/>
        <v>0</v>
      </c>
      <c r="BF176" s="822">
        <f t="shared" si="72"/>
        <v>0</v>
      </c>
      <c r="BG176" s="822">
        <f t="shared" si="72"/>
        <v>0</v>
      </c>
      <c r="BH176" s="822">
        <f t="shared" si="72"/>
        <v>0</v>
      </c>
      <c r="BI176" s="822">
        <f t="shared" si="72"/>
        <v>0</v>
      </c>
      <c r="BJ176" s="822">
        <f t="shared" si="72"/>
        <v>0</v>
      </c>
      <c r="BK176" s="822">
        <f t="shared" si="72"/>
        <v>0</v>
      </c>
      <c r="BL176" s="822">
        <f t="shared" si="72"/>
        <v>0</v>
      </c>
      <c r="BM176" s="822">
        <f t="shared" si="72"/>
        <v>0</v>
      </c>
      <c r="BN176" s="822">
        <f t="shared" si="72"/>
        <v>0</v>
      </c>
      <c r="BO176" s="822">
        <f t="shared" si="72"/>
        <v>0</v>
      </c>
      <c r="BP176" s="821">
        <f t="shared" si="72"/>
        <v>0</v>
      </c>
      <c r="BQ176" s="822">
        <f t="shared" si="72"/>
        <v>0</v>
      </c>
      <c r="BR176" s="822">
        <f t="shared" si="72"/>
        <v>0</v>
      </c>
      <c r="BS176" s="822">
        <f t="shared" si="72"/>
        <v>0</v>
      </c>
      <c r="BT176" s="822">
        <f t="shared" si="72"/>
        <v>0</v>
      </c>
      <c r="BU176" s="822">
        <f t="shared" si="72"/>
        <v>0</v>
      </c>
      <c r="BV176" s="822">
        <f t="shared" si="72"/>
        <v>0</v>
      </c>
      <c r="BW176" s="822">
        <f t="shared" si="72"/>
        <v>0</v>
      </c>
      <c r="BX176" s="822">
        <f t="shared" si="72"/>
        <v>0</v>
      </c>
      <c r="BY176" s="822">
        <f t="shared" si="72"/>
        <v>0</v>
      </c>
      <c r="BZ176" s="822">
        <f t="shared" si="72"/>
        <v>0</v>
      </c>
      <c r="CA176" s="822">
        <f t="shared" si="72"/>
        <v>0</v>
      </c>
      <c r="CB176" s="821">
        <f t="shared" ref="CB176" si="73">SUM(H176:CA176)</f>
        <v>0</v>
      </c>
      <c r="DA176" s="822">
        <f>SUMIF('Monthly Summary'!C$75:BV$75,"",H176:CA176)</f>
        <v>0</v>
      </c>
      <c r="DB176" s="1246"/>
      <c r="DC176" s="1246"/>
    </row>
    <row r="177" spans="4:107" s="745" customFormat="1">
      <c r="H177" s="821"/>
      <c r="I177" s="822"/>
      <c r="J177" s="822"/>
      <c r="K177" s="822"/>
      <c r="L177" s="822"/>
      <c r="M177" s="822"/>
      <c r="N177" s="822"/>
      <c r="O177" s="822"/>
      <c r="P177" s="822"/>
      <c r="Q177" s="822"/>
      <c r="R177" s="822"/>
      <c r="S177" s="822"/>
      <c r="T177" s="821"/>
      <c r="U177" s="822"/>
      <c r="V177" s="822"/>
      <c r="W177" s="822"/>
      <c r="X177" s="822"/>
      <c r="Y177" s="822"/>
      <c r="Z177" s="822"/>
      <c r="AA177" s="822"/>
      <c r="AB177" s="822"/>
      <c r="AC177" s="822"/>
      <c r="AD177" s="822"/>
      <c r="AE177" s="822"/>
      <c r="AF177" s="821"/>
      <c r="AG177" s="822"/>
      <c r="AH177" s="822"/>
      <c r="AI177" s="822"/>
      <c r="AJ177" s="822"/>
      <c r="AK177" s="822"/>
      <c r="AL177" s="822"/>
      <c r="AM177" s="822"/>
      <c r="AN177" s="822"/>
      <c r="AO177" s="822"/>
      <c r="AP177" s="822"/>
      <c r="AQ177" s="822"/>
      <c r="AR177" s="821"/>
      <c r="AS177" s="822"/>
      <c r="AT177" s="822"/>
      <c r="AU177" s="822"/>
      <c r="AV177" s="822"/>
      <c r="AW177" s="822"/>
      <c r="AX177" s="822"/>
      <c r="AY177" s="822"/>
      <c r="AZ177" s="822"/>
      <c r="BA177" s="822"/>
      <c r="BB177" s="822"/>
      <c r="BC177" s="822"/>
      <c r="BD177" s="821"/>
      <c r="BE177" s="822"/>
      <c r="BF177" s="822"/>
      <c r="BG177" s="822"/>
      <c r="BH177" s="822"/>
      <c r="BI177" s="822"/>
      <c r="BJ177" s="822"/>
      <c r="BK177" s="822"/>
      <c r="BL177" s="822"/>
      <c r="BM177" s="822"/>
      <c r="BN177" s="822"/>
      <c r="BO177" s="822"/>
      <c r="BP177" s="821"/>
      <c r="BQ177" s="822"/>
      <c r="BR177" s="822"/>
      <c r="BS177" s="822"/>
      <c r="BT177" s="822"/>
      <c r="BU177" s="822"/>
      <c r="BV177" s="822"/>
      <c r="BW177" s="822"/>
      <c r="BX177" s="822"/>
      <c r="BY177" s="822"/>
      <c r="BZ177" s="822"/>
      <c r="CA177" s="822"/>
      <c r="CB177" s="821"/>
      <c r="DA177" s="823"/>
      <c r="DB177" s="1246"/>
      <c r="DC177" s="1246"/>
    </row>
    <row r="178" spans="4:107" s="745" customFormat="1" ht="12" customHeight="1">
      <c r="D178" s="766" t="s">
        <v>18</v>
      </c>
      <c r="E178" s="766"/>
      <c r="F178" s="766" t="str">
        <f>Miscellaneous!$N$9</f>
        <v>Purchased Services</v>
      </c>
      <c r="G178" s="766" t="s">
        <v>20</v>
      </c>
      <c r="H178" s="821">
        <f t="shared" ref="H178:W179" si="74">SUMIFS(H$5:H$167,$F$5:$F$167,$F178,$G$5:$G$167,$G178)</f>
        <v>0</v>
      </c>
      <c r="I178" s="822">
        <f t="shared" si="74"/>
        <v>0</v>
      </c>
      <c r="J178" s="822">
        <f t="shared" si="74"/>
        <v>0</v>
      </c>
      <c r="K178" s="822">
        <f t="shared" si="74"/>
        <v>0</v>
      </c>
      <c r="L178" s="822">
        <f t="shared" si="74"/>
        <v>0</v>
      </c>
      <c r="M178" s="822">
        <f t="shared" si="74"/>
        <v>0</v>
      </c>
      <c r="N178" s="822">
        <f t="shared" si="74"/>
        <v>0</v>
      </c>
      <c r="O178" s="822">
        <f t="shared" si="74"/>
        <v>0</v>
      </c>
      <c r="P178" s="822">
        <f t="shared" si="74"/>
        <v>0</v>
      </c>
      <c r="Q178" s="822">
        <f t="shared" si="74"/>
        <v>0</v>
      </c>
      <c r="R178" s="822">
        <f t="shared" si="74"/>
        <v>0</v>
      </c>
      <c r="S178" s="822">
        <f t="shared" si="74"/>
        <v>0</v>
      </c>
      <c r="T178" s="821">
        <f t="shared" si="74"/>
        <v>0</v>
      </c>
      <c r="U178" s="822">
        <f t="shared" si="74"/>
        <v>0</v>
      </c>
      <c r="V178" s="822">
        <f t="shared" si="74"/>
        <v>0</v>
      </c>
      <c r="W178" s="822">
        <f t="shared" si="74"/>
        <v>0</v>
      </c>
      <c r="X178" s="822">
        <f t="shared" ref="X178:AM179" si="75">SUMIFS(X$5:X$167,$F$5:$F$167,$F178,$G$5:$G$167,$G178)</f>
        <v>0</v>
      </c>
      <c r="Y178" s="822">
        <f t="shared" si="75"/>
        <v>0</v>
      </c>
      <c r="Z178" s="822">
        <f t="shared" si="75"/>
        <v>0</v>
      </c>
      <c r="AA178" s="822">
        <f t="shared" si="75"/>
        <v>0</v>
      </c>
      <c r="AB178" s="822">
        <f t="shared" si="75"/>
        <v>0</v>
      </c>
      <c r="AC178" s="822">
        <f t="shared" si="75"/>
        <v>0</v>
      </c>
      <c r="AD178" s="822">
        <f t="shared" si="75"/>
        <v>0</v>
      </c>
      <c r="AE178" s="822">
        <f t="shared" si="75"/>
        <v>0</v>
      </c>
      <c r="AF178" s="821">
        <f t="shared" si="75"/>
        <v>0</v>
      </c>
      <c r="AG178" s="822">
        <f t="shared" si="75"/>
        <v>0</v>
      </c>
      <c r="AH178" s="822">
        <f t="shared" si="75"/>
        <v>0</v>
      </c>
      <c r="AI178" s="822">
        <f t="shared" si="75"/>
        <v>0</v>
      </c>
      <c r="AJ178" s="822">
        <f t="shared" si="75"/>
        <v>0</v>
      </c>
      <c r="AK178" s="822">
        <f t="shared" si="75"/>
        <v>0</v>
      </c>
      <c r="AL178" s="822">
        <f t="shared" si="75"/>
        <v>0</v>
      </c>
      <c r="AM178" s="822">
        <f t="shared" si="75"/>
        <v>0</v>
      </c>
      <c r="AN178" s="822">
        <f t="shared" ref="AN178:BC179" si="76">SUMIFS(AN$5:AN$167,$F$5:$F$167,$F178,$G$5:$G$167,$G178)</f>
        <v>0</v>
      </c>
      <c r="AO178" s="822">
        <f t="shared" si="76"/>
        <v>0</v>
      </c>
      <c r="AP178" s="822">
        <f t="shared" si="76"/>
        <v>0</v>
      </c>
      <c r="AQ178" s="822">
        <f t="shared" si="76"/>
        <v>0</v>
      </c>
      <c r="AR178" s="821">
        <f t="shared" si="76"/>
        <v>0</v>
      </c>
      <c r="AS178" s="822">
        <f t="shared" si="76"/>
        <v>0</v>
      </c>
      <c r="AT178" s="822">
        <f t="shared" si="76"/>
        <v>0</v>
      </c>
      <c r="AU178" s="822">
        <f t="shared" si="76"/>
        <v>0</v>
      </c>
      <c r="AV178" s="822">
        <f t="shared" si="76"/>
        <v>0</v>
      </c>
      <c r="AW178" s="822">
        <f t="shared" si="76"/>
        <v>0</v>
      </c>
      <c r="AX178" s="822">
        <f t="shared" si="76"/>
        <v>0</v>
      </c>
      <c r="AY178" s="822">
        <f t="shared" si="76"/>
        <v>0</v>
      </c>
      <c r="AZ178" s="822">
        <f t="shared" si="76"/>
        <v>0</v>
      </c>
      <c r="BA178" s="822">
        <f t="shared" si="76"/>
        <v>0</v>
      </c>
      <c r="BB178" s="822">
        <f t="shared" si="76"/>
        <v>0</v>
      </c>
      <c r="BC178" s="822">
        <f t="shared" si="76"/>
        <v>0</v>
      </c>
      <c r="BD178" s="821">
        <f t="shared" ref="BD178:BS179" si="77">SUMIFS(BD$5:BD$167,$F$5:$F$167,$F178,$G$5:$G$167,$G178)</f>
        <v>0</v>
      </c>
      <c r="BE178" s="822">
        <f t="shared" si="77"/>
        <v>0</v>
      </c>
      <c r="BF178" s="822">
        <f t="shared" si="77"/>
        <v>0</v>
      </c>
      <c r="BG178" s="822">
        <f t="shared" si="77"/>
        <v>0</v>
      </c>
      <c r="BH178" s="822">
        <f t="shared" si="77"/>
        <v>0</v>
      </c>
      <c r="BI178" s="822">
        <f t="shared" si="77"/>
        <v>0</v>
      </c>
      <c r="BJ178" s="822">
        <f t="shared" si="77"/>
        <v>0</v>
      </c>
      <c r="BK178" s="822">
        <f t="shared" si="77"/>
        <v>0</v>
      </c>
      <c r="BL178" s="822">
        <f t="shared" si="77"/>
        <v>0</v>
      </c>
      <c r="BM178" s="822">
        <f t="shared" si="77"/>
        <v>0</v>
      </c>
      <c r="BN178" s="822">
        <f t="shared" si="77"/>
        <v>0</v>
      </c>
      <c r="BO178" s="822">
        <f t="shared" si="77"/>
        <v>0</v>
      </c>
      <c r="BP178" s="821">
        <f t="shared" si="77"/>
        <v>0</v>
      </c>
      <c r="BQ178" s="822">
        <f t="shared" si="77"/>
        <v>0</v>
      </c>
      <c r="BR178" s="822">
        <f t="shared" si="77"/>
        <v>0</v>
      </c>
      <c r="BS178" s="822">
        <f t="shared" si="77"/>
        <v>0</v>
      </c>
      <c r="BT178" s="822">
        <f t="shared" ref="BT178:CA179" si="78">SUMIFS(BT$5:BT$167,$F$5:$F$167,$F178,$G$5:$G$167,$G178)</f>
        <v>0</v>
      </c>
      <c r="BU178" s="822">
        <f t="shared" si="78"/>
        <v>0</v>
      </c>
      <c r="BV178" s="822">
        <f t="shared" si="78"/>
        <v>0</v>
      </c>
      <c r="BW178" s="822">
        <f t="shared" si="78"/>
        <v>0</v>
      </c>
      <c r="BX178" s="822">
        <f t="shared" si="78"/>
        <v>0</v>
      </c>
      <c r="BY178" s="822">
        <f t="shared" si="78"/>
        <v>0</v>
      </c>
      <c r="BZ178" s="822">
        <f t="shared" si="78"/>
        <v>0</v>
      </c>
      <c r="CA178" s="822">
        <f t="shared" si="78"/>
        <v>0</v>
      </c>
      <c r="CB178" s="821">
        <f>SUM(H178:CA178)</f>
        <v>0</v>
      </c>
      <c r="DA178" s="822">
        <f>SUMIF('Monthly Summary'!C$75:BV$75,"",H178:CA178)</f>
        <v>0</v>
      </c>
      <c r="DB178" s="1246"/>
      <c r="DC178" s="1246"/>
    </row>
    <row r="179" spans="4:107" s="745" customFormat="1" ht="12" customHeight="1">
      <c r="D179" s="766" t="s">
        <v>18</v>
      </c>
      <c r="E179" s="766"/>
      <c r="F179" s="766" t="str">
        <f>Miscellaneous!$N$9</f>
        <v>Purchased Services</v>
      </c>
      <c r="G179" s="766" t="s">
        <v>21</v>
      </c>
      <c r="H179" s="821">
        <f t="shared" si="74"/>
        <v>0</v>
      </c>
      <c r="I179" s="822">
        <f t="shared" si="74"/>
        <v>0</v>
      </c>
      <c r="J179" s="822">
        <f t="shared" si="74"/>
        <v>0</v>
      </c>
      <c r="K179" s="822">
        <f t="shared" si="74"/>
        <v>0</v>
      </c>
      <c r="L179" s="822">
        <f t="shared" si="74"/>
        <v>0</v>
      </c>
      <c r="M179" s="822">
        <f t="shared" si="74"/>
        <v>0</v>
      </c>
      <c r="N179" s="822">
        <f t="shared" si="74"/>
        <v>0</v>
      </c>
      <c r="O179" s="822">
        <f t="shared" si="74"/>
        <v>0</v>
      </c>
      <c r="P179" s="822">
        <f t="shared" si="74"/>
        <v>0</v>
      </c>
      <c r="Q179" s="822">
        <f t="shared" si="74"/>
        <v>0</v>
      </c>
      <c r="R179" s="822">
        <f t="shared" si="74"/>
        <v>0</v>
      </c>
      <c r="S179" s="822">
        <f t="shared" si="74"/>
        <v>0</v>
      </c>
      <c r="T179" s="821">
        <f t="shared" si="74"/>
        <v>0</v>
      </c>
      <c r="U179" s="822">
        <f t="shared" si="74"/>
        <v>0</v>
      </c>
      <c r="V179" s="822">
        <f t="shared" si="74"/>
        <v>0</v>
      </c>
      <c r="W179" s="822">
        <f t="shared" si="74"/>
        <v>0</v>
      </c>
      <c r="X179" s="822">
        <f t="shared" si="75"/>
        <v>0</v>
      </c>
      <c r="Y179" s="822">
        <f t="shared" si="75"/>
        <v>0</v>
      </c>
      <c r="Z179" s="822">
        <f t="shared" si="75"/>
        <v>0</v>
      </c>
      <c r="AA179" s="822">
        <f t="shared" si="75"/>
        <v>0</v>
      </c>
      <c r="AB179" s="822">
        <f t="shared" si="75"/>
        <v>0</v>
      </c>
      <c r="AC179" s="822">
        <f t="shared" si="75"/>
        <v>0</v>
      </c>
      <c r="AD179" s="822">
        <f t="shared" si="75"/>
        <v>0</v>
      </c>
      <c r="AE179" s="822">
        <f t="shared" si="75"/>
        <v>0</v>
      </c>
      <c r="AF179" s="821">
        <f t="shared" si="75"/>
        <v>0</v>
      </c>
      <c r="AG179" s="822">
        <f t="shared" si="75"/>
        <v>0</v>
      </c>
      <c r="AH179" s="822">
        <f t="shared" si="75"/>
        <v>0</v>
      </c>
      <c r="AI179" s="822">
        <f t="shared" si="75"/>
        <v>0</v>
      </c>
      <c r="AJ179" s="822">
        <f t="shared" si="75"/>
        <v>0</v>
      </c>
      <c r="AK179" s="822">
        <f t="shared" si="75"/>
        <v>0</v>
      </c>
      <c r="AL179" s="822">
        <f t="shared" si="75"/>
        <v>0</v>
      </c>
      <c r="AM179" s="822">
        <f t="shared" si="75"/>
        <v>0</v>
      </c>
      <c r="AN179" s="822">
        <f t="shared" si="76"/>
        <v>0</v>
      </c>
      <c r="AO179" s="822">
        <f t="shared" si="76"/>
        <v>0</v>
      </c>
      <c r="AP179" s="822">
        <f t="shared" si="76"/>
        <v>0</v>
      </c>
      <c r="AQ179" s="822">
        <f t="shared" si="76"/>
        <v>0</v>
      </c>
      <c r="AR179" s="821">
        <f t="shared" si="76"/>
        <v>0</v>
      </c>
      <c r="AS179" s="822">
        <f t="shared" si="76"/>
        <v>0</v>
      </c>
      <c r="AT179" s="822">
        <f t="shared" si="76"/>
        <v>0</v>
      </c>
      <c r="AU179" s="822">
        <f t="shared" si="76"/>
        <v>0</v>
      </c>
      <c r="AV179" s="822">
        <f t="shared" si="76"/>
        <v>0</v>
      </c>
      <c r="AW179" s="822">
        <f t="shared" si="76"/>
        <v>0</v>
      </c>
      <c r="AX179" s="822">
        <f t="shared" si="76"/>
        <v>0</v>
      </c>
      <c r="AY179" s="822">
        <f t="shared" si="76"/>
        <v>0</v>
      </c>
      <c r="AZ179" s="822">
        <f t="shared" si="76"/>
        <v>0</v>
      </c>
      <c r="BA179" s="822">
        <f t="shared" si="76"/>
        <v>0</v>
      </c>
      <c r="BB179" s="822">
        <f t="shared" si="76"/>
        <v>0</v>
      </c>
      <c r="BC179" s="822">
        <f t="shared" si="76"/>
        <v>0</v>
      </c>
      <c r="BD179" s="821">
        <f t="shared" si="77"/>
        <v>0</v>
      </c>
      <c r="BE179" s="822">
        <f t="shared" si="77"/>
        <v>0</v>
      </c>
      <c r="BF179" s="822">
        <f t="shared" si="77"/>
        <v>0</v>
      </c>
      <c r="BG179" s="822">
        <f t="shared" si="77"/>
        <v>0</v>
      </c>
      <c r="BH179" s="822">
        <f t="shared" si="77"/>
        <v>0</v>
      </c>
      <c r="BI179" s="822">
        <f t="shared" si="77"/>
        <v>0</v>
      </c>
      <c r="BJ179" s="822">
        <f t="shared" si="77"/>
        <v>0</v>
      </c>
      <c r="BK179" s="822">
        <f t="shared" si="77"/>
        <v>0</v>
      </c>
      <c r="BL179" s="822">
        <f t="shared" si="77"/>
        <v>0</v>
      </c>
      <c r="BM179" s="822">
        <f t="shared" si="77"/>
        <v>0</v>
      </c>
      <c r="BN179" s="822">
        <f t="shared" si="77"/>
        <v>0</v>
      </c>
      <c r="BO179" s="822">
        <f t="shared" si="77"/>
        <v>0</v>
      </c>
      <c r="BP179" s="821">
        <f t="shared" si="77"/>
        <v>0</v>
      </c>
      <c r="BQ179" s="822">
        <f t="shared" si="77"/>
        <v>0</v>
      </c>
      <c r="BR179" s="822">
        <f t="shared" si="77"/>
        <v>0</v>
      </c>
      <c r="BS179" s="822">
        <f t="shared" si="77"/>
        <v>0</v>
      </c>
      <c r="BT179" s="822">
        <f t="shared" si="78"/>
        <v>0</v>
      </c>
      <c r="BU179" s="822">
        <f t="shared" si="78"/>
        <v>0</v>
      </c>
      <c r="BV179" s="822">
        <f t="shared" si="78"/>
        <v>0</v>
      </c>
      <c r="BW179" s="822">
        <f t="shared" si="78"/>
        <v>0</v>
      </c>
      <c r="BX179" s="822">
        <f t="shared" si="78"/>
        <v>0</v>
      </c>
      <c r="BY179" s="822">
        <f t="shared" si="78"/>
        <v>0</v>
      </c>
      <c r="BZ179" s="822">
        <f t="shared" si="78"/>
        <v>0</v>
      </c>
      <c r="CA179" s="822">
        <f t="shared" si="78"/>
        <v>0</v>
      </c>
      <c r="CB179" s="821">
        <f>SUM(H179:CA179)</f>
        <v>0</v>
      </c>
      <c r="DA179" s="822">
        <f>SUMIF('Monthly Summary'!C$75:BV$75,"",H179:CA179)</f>
        <v>0</v>
      </c>
      <c r="DB179" s="1246"/>
      <c r="DC179" s="1246"/>
    </row>
    <row r="180" spans="4:107" s="745" customFormat="1">
      <c r="H180" s="821"/>
      <c r="I180" s="822"/>
      <c r="J180" s="822"/>
      <c r="K180" s="822"/>
      <c r="L180" s="822"/>
      <c r="M180" s="822"/>
      <c r="N180" s="822"/>
      <c r="O180" s="822"/>
      <c r="P180" s="822"/>
      <c r="Q180" s="822"/>
      <c r="R180" s="822"/>
      <c r="S180" s="822"/>
      <c r="T180" s="821"/>
      <c r="U180" s="822"/>
      <c r="V180" s="822"/>
      <c r="W180" s="822"/>
      <c r="X180" s="822"/>
      <c r="Y180" s="822"/>
      <c r="Z180" s="822"/>
      <c r="AA180" s="822"/>
      <c r="AB180" s="822"/>
      <c r="AC180" s="822"/>
      <c r="AD180" s="822"/>
      <c r="AE180" s="822"/>
      <c r="AF180" s="821"/>
      <c r="AG180" s="822"/>
      <c r="AH180" s="822"/>
      <c r="AI180" s="822"/>
      <c r="AJ180" s="822"/>
      <c r="AK180" s="822"/>
      <c r="AL180" s="822"/>
      <c r="AM180" s="822"/>
      <c r="AN180" s="822"/>
      <c r="AO180" s="822"/>
      <c r="AP180" s="822"/>
      <c r="AQ180" s="822"/>
      <c r="AR180" s="821"/>
      <c r="AS180" s="822"/>
      <c r="AT180" s="822"/>
      <c r="AU180" s="822"/>
      <c r="AV180" s="822"/>
      <c r="AW180" s="822"/>
      <c r="AX180" s="822"/>
      <c r="AY180" s="822"/>
      <c r="AZ180" s="822"/>
      <c r="BA180" s="822"/>
      <c r="BB180" s="822"/>
      <c r="BC180" s="822"/>
      <c r="BD180" s="821"/>
      <c r="BE180" s="822"/>
      <c r="BF180" s="822"/>
      <c r="BG180" s="822"/>
      <c r="BH180" s="822"/>
      <c r="BI180" s="822"/>
      <c r="BJ180" s="822"/>
      <c r="BK180" s="822"/>
      <c r="BL180" s="822"/>
      <c r="BM180" s="822"/>
      <c r="BN180" s="822"/>
      <c r="BO180" s="822"/>
      <c r="BP180" s="821"/>
      <c r="BQ180" s="822"/>
      <c r="BR180" s="822"/>
      <c r="BS180" s="822"/>
      <c r="BT180" s="822"/>
      <c r="BU180" s="822"/>
      <c r="BV180" s="822"/>
      <c r="BW180" s="822"/>
      <c r="BX180" s="822"/>
      <c r="BY180" s="822"/>
      <c r="BZ180" s="822"/>
      <c r="CA180" s="822"/>
      <c r="CB180" s="821"/>
      <c r="DA180" s="823"/>
      <c r="DB180" s="1246"/>
      <c r="DC180" s="1246"/>
    </row>
    <row r="181" spans="4:107" s="745" customFormat="1">
      <c r="D181" s="766" t="s">
        <v>18</v>
      </c>
      <c r="E181" s="766"/>
      <c r="F181" s="766" t="s">
        <v>168</v>
      </c>
      <c r="G181" s="766" t="s">
        <v>20</v>
      </c>
      <c r="H181" s="821">
        <f>SUMIFS(H$5:H$167,$A$5:$A$167,$F181,$G$5:$G$167,$G181)</f>
        <v>0</v>
      </c>
      <c r="I181" s="822">
        <f t="shared" ref="I181:BT182" si="79">SUMIFS(I$5:I$167,$A$5:$A$167,$F181,$G$5:$G$167,$G181)</f>
        <v>0</v>
      </c>
      <c r="J181" s="822">
        <f t="shared" si="79"/>
        <v>0</v>
      </c>
      <c r="K181" s="822">
        <f t="shared" si="79"/>
        <v>0</v>
      </c>
      <c r="L181" s="822">
        <f t="shared" si="79"/>
        <v>0</v>
      </c>
      <c r="M181" s="822">
        <f t="shared" si="79"/>
        <v>0</v>
      </c>
      <c r="N181" s="822">
        <f t="shared" si="79"/>
        <v>0</v>
      </c>
      <c r="O181" s="822">
        <f t="shared" si="79"/>
        <v>0</v>
      </c>
      <c r="P181" s="822">
        <f t="shared" si="79"/>
        <v>0</v>
      </c>
      <c r="Q181" s="822">
        <f t="shared" si="79"/>
        <v>0</v>
      </c>
      <c r="R181" s="822">
        <f t="shared" si="79"/>
        <v>0</v>
      </c>
      <c r="S181" s="822">
        <f t="shared" si="79"/>
        <v>0</v>
      </c>
      <c r="T181" s="821">
        <f t="shared" si="79"/>
        <v>0</v>
      </c>
      <c r="U181" s="822">
        <f t="shared" si="79"/>
        <v>0</v>
      </c>
      <c r="V181" s="822">
        <f t="shared" si="79"/>
        <v>0</v>
      </c>
      <c r="W181" s="822">
        <f t="shared" si="79"/>
        <v>0</v>
      </c>
      <c r="X181" s="822">
        <f t="shared" si="79"/>
        <v>0</v>
      </c>
      <c r="Y181" s="822">
        <f t="shared" si="79"/>
        <v>0</v>
      </c>
      <c r="Z181" s="822">
        <f t="shared" si="79"/>
        <v>0</v>
      </c>
      <c r="AA181" s="822">
        <f t="shared" si="79"/>
        <v>0</v>
      </c>
      <c r="AB181" s="822">
        <f t="shared" si="79"/>
        <v>0</v>
      </c>
      <c r="AC181" s="822">
        <f t="shared" si="79"/>
        <v>0</v>
      </c>
      <c r="AD181" s="822">
        <f t="shared" si="79"/>
        <v>0</v>
      </c>
      <c r="AE181" s="822">
        <f t="shared" si="79"/>
        <v>0</v>
      </c>
      <c r="AF181" s="821">
        <f t="shared" si="79"/>
        <v>0</v>
      </c>
      <c r="AG181" s="822">
        <f t="shared" si="79"/>
        <v>0</v>
      </c>
      <c r="AH181" s="822">
        <f t="shared" si="79"/>
        <v>0</v>
      </c>
      <c r="AI181" s="822">
        <f t="shared" si="79"/>
        <v>0</v>
      </c>
      <c r="AJ181" s="822">
        <f t="shared" si="79"/>
        <v>0</v>
      </c>
      <c r="AK181" s="822">
        <f t="shared" si="79"/>
        <v>0</v>
      </c>
      <c r="AL181" s="822">
        <f t="shared" si="79"/>
        <v>0</v>
      </c>
      <c r="AM181" s="822">
        <f t="shared" si="79"/>
        <v>0</v>
      </c>
      <c r="AN181" s="822">
        <f t="shared" si="79"/>
        <v>0</v>
      </c>
      <c r="AO181" s="822">
        <f t="shared" si="79"/>
        <v>0</v>
      </c>
      <c r="AP181" s="822">
        <f t="shared" si="79"/>
        <v>0</v>
      </c>
      <c r="AQ181" s="822">
        <f t="shared" si="79"/>
        <v>0</v>
      </c>
      <c r="AR181" s="821">
        <f t="shared" si="79"/>
        <v>0</v>
      </c>
      <c r="AS181" s="822">
        <f t="shared" si="79"/>
        <v>0</v>
      </c>
      <c r="AT181" s="822">
        <f t="shared" si="79"/>
        <v>0</v>
      </c>
      <c r="AU181" s="822">
        <f t="shared" si="79"/>
        <v>0</v>
      </c>
      <c r="AV181" s="822">
        <f t="shared" si="79"/>
        <v>0</v>
      </c>
      <c r="AW181" s="822">
        <f t="shared" si="79"/>
        <v>0</v>
      </c>
      <c r="AX181" s="822">
        <f t="shared" si="79"/>
        <v>0</v>
      </c>
      <c r="AY181" s="822">
        <f t="shared" si="79"/>
        <v>0</v>
      </c>
      <c r="AZ181" s="822">
        <f t="shared" si="79"/>
        <v>0</v>
      </c>
      <c r="BA181" s="822">
        <f t="shared" si="79"/>
        <v>0</v>
      </c>
      <c r="BB181" s="822">
        <f t="shared" si="79"/>
        <v>0</v>
      </c>
      <c r="BC181" s="822">
        <f t="shared" si="79"/>
        <v>0</v>
      </c>
      <c r="BD181" s="821">
        <f t="shared" si="79"/>
        <v>0</v>
      </c>
      <c r="BE181" s="822">
        <f t="shared" si="79"/>
        <v>0</v>
      </c>
      <c r="BF181" s="822">
        <f t="shared" si="79"/>
        <v>0</v>
      </c>
      <c r="BG181" s="822">
        <f t="shared" si="79"/>
        <v>0</v>
      </c>
      <c r="BH181" s="822">
        <f t="shared" si="79"/>
        <v>0</v>
      </c>
      <c r="BI181" s="822">
        <f t="shared" si="79"/>
        <v>0</v>
      </c>
      <c r="BJ181" s="822">
        <f t="shared" si="79"/>
        <v>0</v>
      </c>
      <c r="BK181" s="822">
        <f t="shared" si="79"/>
        <v>0</v>
      </c>
      <c r="BL181" s="822">
        <f t="shared" si="79"/>
        <v>0</v>
      </c>
      <c r="BM181" s="822">
        <f t="shared" si="79"/>
        <v>0</v>
      </c>
      <c r="BN181" s="822">
        <f t="shared" si="79"/>
        <v>0</v>
      </c>
      <c r="BO181" s="822">
        <f t="shared" si="79"/>
        <v>0</v>
      </c>
      <c r="BP181" s="821">
        <f t="shared" si="79"/>
        <v>0</v>
      </c>
      <c r="BQ181" s="822">
        <f t="shared" si="79"/>
        <v>0</v>
      </c>
      <c r="BR181" s="822">
        <f t="shared" si="79"/>
        <v>0</v>
      </c>
      <c r="BS181" s="822">
        <f t="shared" si="79"/>
        <v>0</v>
      </c>
      <c r="BT181" s="822">
        <f t="shared" si="79"/>
        <v>0</v>
      </c>
      <c r="BU181" s="822">
        <f t="shared" ref="BU181:CA182" si="80">SUMIFS(BU$5:BU$167,$A$5:$A$167,$F181,$G$5:$G$167,$G181)</f>
        <v>0</v>
      </c>
      <c r="BV181" s="822">
        <f t="shared" si="80"/>
        <v>0</v>
      </c>
      <c r="BW181" s="822">
        <f t="shared" si="80"/>
        <v>0</v>
      </c>
      <c r="BX181" s="822">
        <f t="shared" si="80"/>
        <v>0</v>
      </c>
      <c r="BY181" s="822">
        <f t="shared" si="80"/>
        <v>0</v>
      </c>
      <c r="BZ181" s="822">
        <f t="shared" si="80"/>
        <v>0</v>
      </c>
      <c r="CA181" s="822">
        <f t="shared" si="80"/>
        <v>0</v>
      </c>
      <c r="CB181" s="821">
        <f t="shared" si="62"/>
        <v>0</v>
      </c>
      <c r="DA181" s="822">
        <f>SUMIF('Monthly Summary'!C$75:BV$75,"",H181:CA181)</f>
        <v>0</v>
      </c>
      <c r="DB181" s="1246"/>
      <c r="DC181" s="1246"/>
    </row>
    <row r="182" spans="4:107" s="745" customFormat="1">
      <c r="D182" s="766" t="s">
        <v>18</v>
      </c>
      <c r="E182" s="766"/>
      <c r="F182" s="766" t="s">
        <v>168</v>
      </c>
      <c r="G182" s="766" t="s">
        <v>21</v>
      </c>
      <c r="H182" s="821">
        <f>SUMIFS(H$5:H$167,$A$5:$A$167,$F182,$G$5:$G$167,$G182)</f>
        <v>0</v>
      </c>
      <c r="I182" s="822">
        <f t="shared" si="79"/>
        <v>0</v>
      </c>
      <c r="J182" s="822">
        <f t="shared" si="79"/>
        <v>0</v>
      </c>
      <c r="K182" s="822">
        <f t="shared" si="79"/>
        <v>0</v>
      </c>
      <c r="L182" s="822">
        <f t="shared" si="79"/>
        <v>0</v>
      </c>
      <c r="M182" s="822">
        <f t="shared" si="79"/>
        <v>0</v>
      </c>
      <c r="N182" s="822">
        <f t="shared" si="79"/>
        <v>0</v>
      </c>
      <c r="O182" s="822">
        <f t="shared" si="79"/>
        <v>0</v>
      </c>
      <c r="P182" s="822">
        <f t="shared" si="79"/>
        <v>0</v>
      </c>
      <c r="Q182" s="822">
        <f t="shared" si="79"/>
        <v>0</v>
      </c>
      <c r="R182" s="822">
        <f t="shared" si="79"/>
        <v>0</v>
      </c>
      <c r="S182" s="822">
        <f t="shared" si="79"/>
        <v>0</v>
      </c>
      <c r="T182" s="821">
        <f t="shared" si="79"/>
        <v>0</v>
      </c>
      <c r="U182" s="822">
        <f t="shared" si="79"/>
        <v>0</v>
      </c>
      <c r="V182" s="822">
        <f t="shared" si="79"/>
        <v>0</v>
      </c>
      <c r="W182" s="822">
        <f t="shared" si="79"/>
        <v>0</v>
      </c>
      <c r="X182" s="822">
        <f t="shared" si="79"/>
        <v>0</v>
      </c>
      <c r="Y182" s="822">
        <f t="shared" si="79"/>
        <v>0</v>
      </c>
      <c r="Z182" s="822">
        <f t="shared" si="79"/>
        <v>0</v>
      </c>
      <c r="AA182" s="822">
        <f t="shared" si="79"/>
        <v>0</v>
      </c>
      <c r="AB182" s="822">
        <f t="shared" si="79"/>
        <v>0</v>
      </c>
      <c r="AC182" s="822">
        <f t="shared" si="79"/>
        <v>0</v>
      </c>
      <c r="AD182" s="822">
        <f t="shared" si="79"/>
        <v>0</v>
      </c>
      <c r="AE182" s="822">
        <f t="shared" si="79"/>
        <v>0</v>
      </c>
      <c r="AF182" s="821">
        <f t="shared" si="79"/>
        <v>0</v>
      </c>
      <c r="AG182" s="822">
        <f t="shared" si="79"/>
        <v>0</v>
      </c>
      <c r="AH182" s="822">
        <f t="shared" si="79"/>
        <v>0</v>
      </c>
      <c r="AI182" s="822">
        <f t="shared" si="79"/>
        <v>0</v>
      </c>
      <c r="AJ182" s="822">
        <f t="shared" si="79"/>
        <v>0</v>
      </c>
      <c r="AK182" s="822">
        <f t="shared" si="79"/>
        <v>0</v>
      </c>
      <c r="AL182" s="822">
        <f t="shared" si="79"/>
        <v>0</v>
      </c>
      <c r="AM182" s="822">
        <f t="shared" si="79"/>
        <v>0</v>
      </c>
      <c r="AN182" s="822">
        <f t="shared" si="79"/>
        <v>0</v>
      </c>
      <c r="AO182" s="822">
        <f t="shared" si="79"/>
        <v>0</v>
      </c>
      <c r="AP182" s="822">
        <f t="shared" si="79"/>
        <v>0</v>
      </c>
      <c r="AQ182" s="822">
        <f t="shared" si="79"/>
        <v>0</v>
      </c>
      <c r="AR182" s="821">
        <f t="shared" si="79"/>
        <v>0</v>
      </c>
      <c r="AS182" s="822">
        <f t="shared" si="79"/>
        <v>0</v>
      </c>
      <c r="AT182" s="822">
        <f t="shared" si="79"/>
        <v>0</v>
      </c>
      <c r="AU182" s="822">
        <f t="shared" si="79"/>
        <v>0</v>
      </c>
      <c r="AV182" s="822">
        <f t="shared" si="79"/>
        <v>0</v>
      </c>
      <c r="AW182" s="822">
        <f t="shared" si="79"/>
        <v>0</v>
      </c>
      <c r="AX182" s="822">
        <f t="shared" si="79"/>
        <v>0</v>
      </c>
      <c r="AY182" s="822">
        <f t="shared" si="79"/>
        <v>0</v>
      </c>
      <c r="AZ182" s="822">
        <f t="shared" si="79"/>
        <v>0</v>
      </c>
      <c r="BA182" s="822">
        <f t="shared" si="79"/>
        <v>0</v>
      </c>
      <c r="BB182" s="822">
        <f t="shared" si="79"/>
        <v>0</v>
      </c>
      <c r="BC182" s="822">
        <f t="shared" si="79"/>
        <v>0</v>
      </c>
      <c r="BD182" s="821">
        <f t="shared" si="79"/>
        <v>0</v>
      </c>
      <c r="BE182" s="822">
        <f t="shared" si="79"/>
        <v>0</v>
      </c>
      <c r="BF182" s="822">
        <f t="shared" si="79"/>
        <v>0</v>
      </c>
      <c r="BG182" s="822">
        <f t="shared" si="79"/>
        <v>0</v>
      </c>
      <c r="BH182" s="822">
        <f t="shared" si="79"/>
        <v>0</v>
      </c>
      <c r="BI182" s="822">
        <f t="shared" si="79"/>
        <v>0</v>
      </c>
      <c r="BJ182" s="822">
        <f t="shared" si="79"/>
        <v>0</v>
      </c>
      <c r="BK182" s="822">
        <f t="shared" si="79"/>
        <v>0</v>
      </c>
      <c r="BL182" s="822">
        <f t="shared" si="79"/>
        <v>0</v>
      </c>
      <c r="BM182" s="822">
        <f t="shared" si="79"/>
        <v>0</v>
      </c>
      <c r="BN182" s="822">
        <f t="shared" si="79"/>
        <v>0</v>
      </c>
      <c r="BO182" s="822">
        <f t="shared" si="79"/>
        <v>0</v>
      </c>
      <c r="BP182" s="821">
        <f t="shared" si="79"/>
        <v>0</v>
      </c>
      <c r="BQ182" s="822">
        <f t="shared" si="79"/>
        <v>0</v>
      </c>
      <c r="BR182" s="822">
        <f t="shared" si="79"/>
        <v>0</v>
      </c>
      <c r="BS182" s="822">
        <f t="shared" si="79"/>
        <v>0</v>
      </c>
      <c r="BT182" s="822">
        <f t="shared" si="79"/>
        <v>0</v>
      </c>
      <c r="BU182" s="822">
        <f t="shared" si="80"/>
        <v>0</v>
      </c>
      <c r="BV182" s="822">
        <f t="shared" si="80"/>
        <v>0</v>
      </c>
      <c r="BW182" s="822">
        <f t="shared" si="80"/>
        <v>0</v>
      </c>
      <c r="BX182" s="822">
        <f t="shared" si="80"/>
        <v>0</v>
      </c>
      <c r="BY182" s="822">
        <f t="shared" si="80"/>
        <v>0</v>
      </c>
      <c r="BZ182" s="822">
        <f t="shared" si="80"/>
        <v>0</v>
      </c>
      <c r="CA182" s="822">
        <f t="shared" si="80"/>
        <v>0</v>
      </c>
      <c r="CB182" s="821">
        <f t="shared" si="62"/>
        <v>0</v>
      </c>
      <c r="DA182" s="822">
        <f>SUMIF('Monthly Summary'!C$75:BV$75,"",H182:CA182)</f>
        <v>0</v>
      </c>
      <c r="DB182" s="1246"/>
      <c r="DC182" s="1246"/>
    </row>
    <row r="183" spans="4:107" s="745" customFormat="1">
      <c r="H183" s="821"/>
      <c r="I183" s="822"/>
      <c r="J183" s="822"/>
      <c r="K183" s="822"/>
      <c r="L183" s="822"/>
      <c r="M183" s="822"/>
      <c r="N183" s="822"/>
      <c r="O183" s="822"/>
      <c r="P183" s="822"/>
      <c r="Q183" s="822"/>
      <c r="R183" s="822"/>
      <c r="S183" s="822"/>
      <c r="T183" s="821"/>
      <c r="U183" s="822"/>
      <c r="V183" s="822"/>
      <c r="W183" s="822"/>
      <c r="X183" s="822"/>
      <c r="Y183" s="822"/>
      <c r="Z183" s="822"/>
      <c r="AA183" s="822"/>
      <c r="AB183" s="822"/>
      <c r="AC183" s="822"/>
      <c r="AD183" s="822"/>
      <c r="AE183" s="822"/>
      <c r="AF183" s="821"/>
      <c r="AG183" s="822"/>
      <c r="AH183" s="822"/>
      <c r="AI183" s="822"/>
      <c r="AJ183" s="822"/>
      <c r="AK183" s="822"/>
      <c r="AL183" s="822"/>
      <c r="AM183" s="822"/>
      <c r="AN183" s="822"/>
      <c r="AO183" s="822"/>
      <c r="AP183" s="822"/>
      <c r="AQ183" s="822"/>
      <c r="AR183" s="821"/>
      <c r="AS183" s="822"/>
      <c r="AT183" s="822"/>
      <c r="AU183" s="822"/>
      <c r="AV183" s="822"/>
      <c r="AW183" s="822"/>
      <c r="AX183" s="822"/>
      <c r="AY183" s="822"/>
      <c r="AZ183" s="822"/>
      <c r="BA183" s="822"/>
      <c r="BB183" s="822"/>
      <c r="BC183" s="822"/>
      <c r="BD183" s="821"/>
      <c r="BE183" s="822"/>
      <c r="BF183" s="822"/>
      <c r="BG183" s="822"/>
      <c r="BH183" s="822"/>
      <c r="BI183" s="822"/>
      <c r="BJ183" s="822"/>
      <c r="BK183" s="822"/>
      <c r="BL183" s="822"/>
      <c r="BM183" s="822"/>
      <c r="BN183" s="822"/>
      <c r="BO183" s="822"/>
      <c r="BP183" s="821"/>
      <c r="BQ183" s="822"/>
      <c r="BR183" s="822"/>
      <c r="BS183" s="822"/>
      <c r="BT183" s="822"/>
      <c r="BU183" s="822"/>
      <c r="BV183" s="822"/>
      <c r="BW183" s="822"/>
      <c r="BX183" s="822"/>
      <c r="BY183" s="822"/>
      <c r="BZ183" s="822"/>
      <c r="CA183" s="822"/>
      <c r="CB183" s="821"/>
      <c r="DA183" s="823"/>
      <c r="DB183" s="1246"/>
      <c r="DC183" s="1246"/>
    </row>
    <row r="184" spans="4:107" s="745" customFormat="1">
      <c r="D184" s="856" t="s">
        <v>18</v>
      </c>
      <c r="E184" s="856"/>
      <c r="F184" s="856" t="s">
        <v>201</v>
      </c>
      <c r="G184" s="856" t="s">
        <v>20</v>
      </c>
      <c r="H184" s="821">
        <f>SUMIFS(H$5:H$167,$C$5:$C$167,$F184,$G$5:$G$167,$G184)</f>
        <v>0</v>
      </c>
      <c r="I184" s="822">
        <f t="shared" ref="I184:BT184" si="81">SUMIFS(I$5:I$167,$C$5:$C$167,$F184,$G$5:$G$167,$G184)</f>
        <v>0</v>
      </c>
      <c r="J184" s="822">
        <f t="shared" si="81"/>
        <v>0</v>
      </c>
      <c r="K184" s="822">
        <f t="shared" si="81"/>
        <v>0</v>
      </c>
      <c r="L184" s="822">
        <f t="shared" si="81"/>
        <v>0</v>
      </c>
      <c r="M184" s="822">
        <f t="shared" si="81"/>
        <v>0</v>
      </c>
      <c r="N184" s="822">
        <f t="shared" si="81"/>
        <v>0</v>
      </c>
      <c r="O184" s="822">
        <f t="shared" si="81"/>
        <v>0</v>
      </c>
      <c r="P184" s="822">
        <f t="shared" si="81"/>
        <v>0</v>
      </c>
      <c r="Q184" s="822">
        <f t="shared" si="81"/>
        <v>0</v>
      </c>
      <c r="R184" s="822">
        <f t="shared" si="81"/>
        <v>0</v>
      </c>
      <c r="S184" s="822">
        <f t="shared" si="81"/>
        <v>0</v>
      </c>
      <c r="T184" s="821">
        <f t="shared" si="81"/>
        <v>0</v>
      </c>
      <c r="U184" s="822">
        <f t="shared" si="81"/>
        <v>0</v>
      </c>
      <c r="V184" s="822">
        <f t="shared" si="81"/>
        <v>0</v>
      </c>
      <c r="W184" s="822">
        <f t="shared" si="81"/>
        <v>0</v>
      </c>
      <c r="X184" s="822">
        <f t="shared" si="81"/>
        <v>0</v>
      </c>
      <c r="Y184" s="822">
        <f t="shared" si="81"/>
        <v>0</v>
      </c>
      <c r="Z184" s="822">
        <f t="shared" si="81"/>
        <v>0</v>
      </c>
      <c r="AA184" s="822">
        <f t="shared" si="81"/>
        <v>0</v>
      </c>
      <c r="AB184" s="822">
        <f t="shared" si="81"/>
        <v>0</v>
      </c>
      <c r="AC184" s="822">
        <f t="shared" si="81"/>
        <v>0</v>
      </c>
      <c r="AD184" s="822">
        <f t="shared" si="81"/>
        <v>0</v>
      </c>
      <c r="AE184" s="822">
        <f t="shared" si="81"/>
        <v>0</v>
      </c>
      <c r="AF184" s="821">
        <f t="shared" si="81"/>
        <v>0</v>
      </c>
      <c r="AG184" s="822">
        <f t="shared" si="81"/>
        <v>0</v>
      </c>
      <c r="AH184" s="822">
        <f t="shared" si="81"/>
        <v>0</v>
      </c>
      <c r="AI184" s="822">
        <f t="shared" si="81"/>
        <v>0</v>
      </c>
      <c r="AJ184" s="822">
        <f t="shared" si="81"/>
        <v>0</v>
      </c>
      <c r="AK184" s="822">
        <f t="shared" si="81"/>
        <v>0</v>
      </c>
      <c r="AL184" s="822">
        <f t="shared" si="81"/>
        <v>0</v>
      </c>
      <c r="AM184" s="822">
        <f t="shared" si="81"/>
        <v>0</v>
      </c>
      <c r="AN184" s="822">
        <f t="shared" si="81"/>
        <v>0</v>
      </c>
      <c r="AO184" s="822">
        <f t="shared" si="81"/>
        <v>0</v>
      </c>
      <c r="AP184" s="822">
        <f t="shared" si="81"/>
        <v>0</v>
      </c>
      <c r="AQ184" s="822">
        <f t="shared" si="81"/>
        <v>0</v>
      </c>
      <c r="AR184" s="821">
        <f t="shared" si="81"/>
        <v>0</v>
      </c>
      <c r="AS184" s="822">
        <f t="shared" si="81"/>
        <v>0</v>
      </c>
      <c r="AT184" s="822">
        <f t="shared" si="81"/>
        <v>0</v>
      </c>
      <c r="AU184" s="822">
        <f t="shared" si="81"/>
        <v>0</v>
      </c>
      <c r="AV184" s="822">
        <f t="shared" si="81"/>
        <v>0</v>
      </c>
      <c r="AW184" s="822">
        <f t="shared" si="81"/>
        <v>0</v>
      </c>
      <c r="AX184" s="822">
        <f t="shared" si="81"/>
        <v>0</v>
      </c>
      <c r="AY184" s="822">
        <f t="shared" si="81"/>
        <v>0</v>
      </c>
      <c r="AZ184" s="822">
        <f t="shared" si="81"/>
        <v>0</v>
      </c>
      <c r="BA184" s="822">
        <f t="shared" si="81"/>
        <v>0</v>
      </c>
      <c r="BB184" s="822">
        <f t="shared" si="81"/>
        <v>0</v>
      </c>
      <c r="BC184" s="822">
        <f t="shared" si="81"/>
        <v>0</v>
      </c>
      <c r="BD184" s="821">
        <f t="shared" si="81"/>
        <v>0</v>
      </c>
      <c r="BE184" s="822">
        <f t="shared" si="81"/>
        <v>0</v>
      </c>
      <c r="BF184" s="822">
        <f t="shared" si="81"/>
        <v>0</v>
      </c>
      <c r="BG184" s="822">
        <f t="shared" si="81"/>
        <v>0</v>
      </c>
      <c r="BH184" s="822">
        <f t="shared" si="81"/>
        <v>0</v>
      </c>
      <c r="BI184" s="822">
        <f t="shared" si="81"/>
        <v>0</v>
      </c>
      <c r="BJ184" s="822">
        <f t="shared" si="81"/>
        <v>0</v>
      </c>
      <c r="BK184" s="822">
        <f t="shared" si="81"/>
        <v>0</v>
      </c>
      <c r="BL184" s="822">
        <f t="shared" si="81"/>
        <v>0</v>
      </c>
      <c r="BM184" s="822">
        <f t="shared" si="81"/>
        <v>0</v>
      </c>
      <c r="BN184" s="822">
        <f t="shared" si="81"/>
        <v>0</v>
      </c>
      <c r="BO184" s="822">
        <f t="shared" si="81"/>
        <v>0</v>
      </c>
      <c r="BP184" s="821">
        <f t="shared" si="81"/>
        <v>0</v>
      </c>
      <c r="BQ184" s="822">
        <f t="shared" si="81"/>
        <v>0</v>
      </c>
      <c r="BR184" s="822">
        <f t="shared" si="81"/>
        <v>0</v>
      </c>
      <c r="BS184" s="822">
        <f t="shared" si="81"/>
        <v>0</v>
      </c>
      <c r="BT184" s="822">
        <f t="shared" si="81"/>
        <v>0</v>
      </c>
      <c r="BU184" s="822">
        <f t="shared" ref="BU184:CA184" si="82">SUMIFS(BU$5:BU$167,$C$5:$C$167,$F184,$G$5:$G$167,$G184)</f>
        <v>0</v>
      </c>
      <c r="BV184" s="822">
        <f t="shared" si="82"/>
        <v>0</v>
      </c>
      <c r="BW184" s="822">
        <f t="shared" si="82"/>
        <v>0</v>
      </c>
      <c r="BX184" s="822">
        <f t="shared" si="82"/>
        <v>0</v>
      </c>
      <c r="BY184" s="822">
        <f t="shared" si="82"/>
        <v>0</v>
      </c>
      <c r="BZ184" s="822">
        <f t="shared" si="82"/>
        <v>0</v>
      </c>
      <c r="CA184" s="822">
        <f t="shared" si="82"/>
        <v>0</v>
      </c>
      <c r="CB184" s="821">
        <f t="shared" si="62"/>
        <v>0</v>
      </c>
      <c r="DA184" s="822">
        <f>SUMIF('Monthly Summary'!C$75:BV$75,"",H184:CA184)</f>
        <v>0</v>
      </c>
      <c r="DB184" s="1246"/>
      <c r="DC184" s="1246"/>
    </row>
    <row r="185" spans="4:107" s="745" customFormat="1">
      <c r="D185" s="856"/>
      <c r="E185" s="856"/>
      <c r="F185" s="856"/>
      <c r="G185" s="856"/>
      <c r="H185" s="821"/>
      <c r="I185" s="822"/>
      <c r="J185" s="822"/>
      <c r="K185" s="822"/>
      <c r="L185" s="822"/>
      <c r="M185" s="822"/>
      <c r="N185" s="822"/>
      <c r="O185" s="822"/>
      <c r="P185" s="822"/>
      <c r="Q185" s="822"/>
      <c r="R185" s="822"/>
      <c r="S185" s="822"/>
      <c r="T185" s="821"/>
      <c r="U185" s="822"/>
      <c r="V185" s="822"/>
      <c r="W185" s="822"/>
      <c r="X185" s="822"/>
      <c r="Y185" s="822"/>
      <c r="Z185" s="822"/>
      <c r="AA185" s="822"/>
      <c r="AB185" s="822"/>
      <c r="AC185" s="822"/>
      <c r="AD185" s="822"/>
      <c r="AE185" s="822"/>
      <c r="AF185" s="821"/>
      <c r="AG185" s="822"/>
      <c r="AH185" s="822"/>
      <c r="AI185" s="822"/>
      <c r="AJ185" s="822"/>
      <c r="AK185" s="822"/>
      <c r="AL185" s="822"/>
      <c r="AM185" s="822"/>
      <c r="AN185" s="822"/>
      <c r="AO185" s="822"/>
      <c r="AP185" s="822"/>
      <c r="AQ185" s="822"/>
      <c r="AR185" s="821"/>
      <c r="AS185" s="822"/>
      <c r="AT185" s="822"/>
      <c r="AU185" s="822"/>
      <c r="AV185" s="822"/>
      <c r="AW185" s="822"/>
      <c r="AX185" s="822"/>
      <c r="AY185" s="822"/>
      <c r="AZ185" s="822"/>
      <c r="BA185" s="822"/>
      <c r="BB185" s="822"/>
      <c r="BC185" s="822"/>
      <c r="BD185" s="821"/>
      <c r="BE185" s="822"/>
      <c r="BF185" s="822"/>
      <c r="BG185" s="822"/>
      <c r="BH185" s="822"/>
      <c r="BI185" s="822"/>
      <c r="BJ185" s="822"/>
      <c r="BK185" s="822"/>
      <c r="BL185" s="822"/>
      <c r="BM185" s="822"/>
      <c r="BN185" s="822"/>
      <c r="BO185" s="822"/>
      <c r="BP185" s="821"/>
      <c r="BQ185" s="822"/>
      <c r="BR185" s="822"/>
      <c r="BS185" s="822"/>
      <c r="BT185" s="822"/>
      <c r="BU185" s="822"/>
      <c r="BV185" s="822"/>
      <c r="BW185" s="822"/>
      <c r="BX185" s="822"/>
      <c r="BY185" s="822"/>
      <c r="BZ185" s="822"/>
      <c r="CA185" s="822"/>
      <c r="CB185" s="821"/>
      <c r="DA185" s="822">
        <f>SUMIF('Monthly Summary'!C$75:BV$75,"",H185:CA185)</f>
        <v>0</v>
      </c>
      <c r="DB185" s="1246"/>
      <c r="DC185" s="1246"/>
    </row>
    <row r="186" spans="4:107" s="745" customFormat="1">
      <c r="H186" s="821"/>
      <c r="I186" s="822"/>
      <c r="J186" s="822"/>
      <c r="K186" s="822"/>
      <c r="L186" s="822"/>
      <c r="M186" s="822"/>
      <c r="N186" s="822"/>
      <c r="O186" s="822"/>
      <c r="P186" s="822"/>
      <c r="Q186" s="822"/>
      <c r="R186" s="822"/>
      <c r="S186" s="822"/>
      <c r="T186" s="821"/>
      <c r="U186" s="822"/>
      <c r="V186" s="822"/>
      <c r="W186" s="822"/>
      <c r="X186" s="822"/>
      <c r="Y186" s="822"/>
      <c r="Z186" s="822"/>
      <c r="AA186" s="822"/>
      <c r="AB186" s="822"/>
      <c r="AC186" s="822"/>
      <c r="AD186" s="822"/>
      <c r="AE186" s="822"/>
      <c r="AF186" s="821"/>
      <c r="AG186" s="822"/>
      <c r="AH186" s="822"/>
      <c r="AI186" s="822"/>
      <c r="AJ186" s="822"/>
      <c r="AK186" s="822"/>
      <c r="AL186" s="822"/>
      <c r="AM186" s="822"/>
      <c r="AN186" s="822"/>
      <c r="AO186" s="822"/>
      <c r="AP186" s="822"/>
      <c r="AQ186" s="822"/>
      <c r="AR186" s="821"/>
      <c r="AS186" s="822"/>
      <c r="AT186" s="822"/>
      <c r="AU186" s="822"/>
      <c r="AV186" s="822"/>
      <c r="AW186" s="822"/>
      <c r="AX186" s="822"/>
      <c r="AY186" s="822"/>
      <c r="AZ186" s="822"/>
      <c r="BA186" s="822"/>
      <c r="BB186" s="822"/>
      <c r="BC186" s="822"/>
      <c r="BD186" s="821"/>
      <c r="BE186" s="822"/>
      <c r="BF186" s="822"/>
      <c r="BG186" s="822"/>
      <c r="BH186" s="822"/>
      <c r="BI186" s="822"/>
      <c r="BJ186" s="822"/>
      <c r="BK186" s="822"/>
      <c r="BL186" s="822"/>
      <c r="BM186" s="822"/>
      <c r="BN186" s="822"/>
      <c r="BO186" s="822"/>
      <c r="BP186" s="821"/>
      <c r="BQ186" s="822"/>
      <c r="BR186" s="822"/>
      <c r="BS186" s="822"/>
      <c r="BT186" s="822"/>
      <c r="BU186" s="822"/>
      <c r="BV186" s="822"/>
      <c r="BW186" s="822"/>
      <c r="BX186" s="822"/>
      <c r="BY186" s="822"/>
      <c r="BZ186" s="822"/>
      <c r="CA186" s="822"/>
      <c r="CB186" s="821"/>
      <c r="DA186" s="823"/>
      <c r="DB186" s="1246"/>
      <c r="DC186" s="1246"/>
    </row>
    <row r="187" spans="4:107" s="745" customFormat="1">
      <c r="D187" s="856" t="s">
        <v>18</v>
      </c>
      <c r="E187" s="856"/>
      <c r="F187" s="856" t="s">
        <v>8420</v>
      </c>
      <c r="G187" s="856" t="s">
        <v>20</v>
      </c>
      <c r="H187" s="821">
        <f>SUMIFS(H$5:H$167,$C$5:$C$167,$F187,$G$5:$G$167,$G187)</f>
        <v>0</v>
      </c>
      <c r="I187" s="822">
        <f t="shared" ref="I187:BT188" si="83">SUMIFS(I$5:I$167,$C$5:$C$167,$F187,$G$5:$G$167,$G187)</f>
        <v>0</v>
      </c>
      <c r="J187" s="822">
        <f t="shared" si="83"/>
        <v>0</v>
      </c>
      <c r="K187" s="822">
        <f t="shared" si="83"/>
        <v>0</v>
      </c>
      <c r="L187" s="822">
        <f t="shared" si="83"/>
        <v>0</v>
      </c>
      <c r="M187" s="822">
        <f t="shared" si="83"/>
        <v>0</v>
      </c>
      <c r="N187" s="822">
        <f t="shared" si="83"/>
        <v>0</v>
      </c>
      <c r="O187" s="822">
        <f t="shared" si="83"/>
        <v>0</v>
      </c>
      <c r="P187" s="822">
        <f t="shared" si="83"/>
        <v>0</v>
      </c>
      <c r="Q187" s="822">
        <f t="shared" si="83"/>
        <v>0</v>
      </c>
      <c r="R187" s="822">
        <f t="shared" si="83"/>
        <v>0</v>
      </c>
      <c r="S187" s="822">
        <f t="shared" si="83"/>
        <v>0</v>
      </c>
      <c r="T187" s="821">
        <f t="shared" si="83"/>
        <v>0</v>
      </c>
      <c r="U187" s="822">
        <f t="shared" si="83"/>
        <v>0</v>
      </c>
      <c r="V187" s="822">
        <f t="shared" si="83"/>
        <v>0</v>
      </c>
      <c r="W187" s="822">
        <f t="shared" si="83"/>
        <v>0</v>
      </c>
      <c r="X187" s="822">
        <f t="shared" si="83"/>
        <v>0</v>
      </c>
      <c r="Y187" s="822">
        <f t="shared" si="83"/>
        <v>0</v>
      </c>
      <c r="Z187" s="822">
        <f t="shared" si="83"/>
        <v>0</v>
      </c>
      <c r="AA187" s="822">
        <f t="shared" si="83"/>
        <v>0</v>
      </c>
      <c r="AB187" s="822">
        <f t="shared" si="83"/>
        <v>0</v>
      </c>
      <c r="AC187" s="822">
        <f t="shared" si="83"/>
        <v>0</v>
      </c>
      <c r="AD187" s="822">
        <f t="shared" si="83"/>
        <v>0</v>
      </c>
      <c r="AE187" s="822">
        <f t="shared" si="83"/>
        <v>0</v>
      </c>
      <c r="AF187" s="821">
        <f t="shared" si="83"/>
        <v>0</v>
      </c>
      <c r="AG187" s="822">
        <f t="shared" si="83"/>
        <v>0</v>
      </c>
      <c r="AH187" s="822">
        <f t="shared" si="83"/>
        <v>0</v>
      </c>
      <c r="AI187" s="822">
        <f t="shared" si="83"/>
        <v>0</v>
      </c>
      <c r="AJ187" s="822">
        <f t="shared" si="83"/>
        <v>0</v>
      </c>
      <c r="AK187" s="822">
        <f t="shared" si="83"/>
        <v>0</v>
      </c>
      <c r="AL187" s="822">
        <f t="shared" si="83"/>
        <v>0</v>
      </c>
      <c r="AM187" s="822">
        <f t="shared" si="83"/>
        <v>0</v>
      </c>
      <c r="AN187" s="822">
        <f t="shared" si="83"/>
        <v>0</v>
      </c>
      <c r="AO187" s="822">
        <f t="shared" si="83"/>
        <v>0</v>
      </c>
      <c r="AP187" s="822">
        <f t="shared" si="83"/>
        <v>0</v>
      </c>
      <c r="AQ187" s="822">
        <f t="shared" si="83"/>
        <v>0</v>
      </c>
      <c r="AR187" s="821">
        <f t="shared" si="83"/>
        <v>0</v>
      </c>
      <c r="AS187" s="822">
        <f t="shared" si="83"/>
        <v>0</v>
      </c>
      <c r="AT187" s="822">
        <f t="shared" si="83"/>
        <v>0</v>
      </c>
      <c r="AU187" s="822">
        <f t="shared" si="83"/>
        <v>0</v>
      </c>
      <c r="AV187" s="822">
        <f t="shared" si="83"/>
        <v>0</v>
      </c>
      <c r="AW187" s="822">
        <f t="shared" si="83"/>
        <v>0</v>
      </c>
      <c r="AX187" s="822">
        <f t="shared" si="83"/>
        <v>0</v>
      </c>
      <c r="AY187" s="822">
        <f t="shared" si="83"/>
        <v>0</v>
      </c>
      <c r="AZ187" s="822">
        <f t="shared" si="83"/>
        <v>0</v>
      </c>
      <c r="BA187" s="822">
        <f t="shared" si="83"/>
        <v>0</v>
      </c>
      <c r="BB187" s="822">
        <f t="shared" si="83"/>
        <v>0</v>
      </c>
      <c r="BC187" s="822">
        <f t="shared" si="83"/>
        <v>0</v>
      </c>
      <c r="BD187" s="821">
        <f t="shared" si="83"/>
        <v>0</v>
      </c>
      <c r="BE187" s="822">
        <f t="shared" si="83"/>
        <v>0</v>
      </c>
      <c r="BF187" s="822">
        <f t="shared" si="83"/>
        <v>0</v>
      </c>
      <c r="BG187" s="822">
        <f t="shared" si="83"/>
        <v>0</v>
      </c>
      <c r="BH187" s="822">
        <f t="shared" si="83"/>
        <v>0</v>
      </c>
      <c r="BI187" s="822">
        <f t="shared" si="83"/>
        <v>0</v>
      </c>
      <c r="BJ187" s="822">
        <f t="shared" si="83"/>
        <v>0</v>
      </c>
      <c r="BK187" s="822">
        <f t="shared" si="83"/>
        <v>0</v>
      </c>
      <c r="BL187" s="822">
        <f t="shared" si="83"/>
        <v>0</v>
      </c>
      <c r="BM187" s="822">
        <f t="shared" si="83"/>
        <v>0</v>
      </c>
      <c r="BN187" s="822">
        <f t="shared" si="83"/>
        <v>0</v>
      </c>
      <c r="BO187" s="822">
        <f t="shared" si="83"/>
        <v>0</v>
      </c>
      <c r="BP187" s="821">
        <f t="shared" si="83"/>
        <v>0</v>
      </c>
      <c r="BQ187" s="822">
        <f t="shared" si="83"/>
        <v>0</v>
      </c>
      <c r="BR187" s="822">
        <f t="shared" si="83"/>
        <v>0</v>
      </c>
      <c r="BS187" s="822">
        <f t="shared" si="83"/>
        <v>0</v>
      </c>
      <c r="BT187" s="822">
        <f t="shared" si="83"/>
        <v>0</v>
      </c>
      <c r="BU187" s="822">
        <f t="shared" ref="BU187:CA188" si="84">SUMIFS(BU$5:BU$167,$C$5:$C$167,$F187,$G$5:$G$167,$G187)</f>
        <v>0</v>
      </c>
      <c r="BV187" s="822">
        <f t="shared" si="84"/>
        <v>0</v>
      </c>
      <c r="BW187" s="822">
        <f t="shared" si="84"/>
        <v>0</v>
      </c>
      <c r="BX187" s="822">
        <f t="shared" si="84"/>
        <v>0</v>
      </c>
      <c r="BY187" s="822">
        <f t="shared" si="84"/>
        <v>0</v>
      </c>
      <c r="BZ187" s="822">
        <f t="shared" si="84"/>
        <v>0</v>
      </c>
      <c r="CA187" s="822">
        <f t="shared" si="84"/>
        <v>0</v>
      </c>
      <c r="CB187" s="821">
        <f t="shared" si="62"/>
        <v>0</v>
      </c>
      <c r="DA187" s="822">
        <f>SUMIF('Monthly Summary'!C$75:BV$75,"",H187:CA187)</f>
        <v>0</v>
      </c>
      <c r="DB187" s="1246"/>
      <c r="DC187" s="1246"/>
    </row>
    <row r="188" spans="4:107" s="745" customFormat="1">
      <c r="D188" s="856" t="s">
        <v>18</v>
      </c>
      <c r="E188" s="856"/>
      <c r="F188" s="856" t="s">
        <v>8420</v>
      </c>
      <c r="G188" s="856" t="s">
        <v>21</v>
      </c>
      <c r="H188" s="821">
        <f>SUMIFS(H$5:H$167,$C$5:$C$167,$F188,$G$5:$G$167,$G188)</f>
        <v>0</v>
      </c>
      <c r="I188" s="822">
        <f t="shared" si="83"/>
        <v>0</v>
      </c>
      <c r="J188" s="822">
        <f t="shared" si="83"/>
        <v>0</v>
      </c>
      <c r="K188" s="822">
        <f t="shared" si="83"/>
        <v>0</v>
      </c>
      <c r="L188" s="822">
        <f t="shared" si="83"/>
        <v>0</v>
      </c>
      <c r="M188" s="822">
        <f t="shared" si="83"/>
        <v>0</v>
      </c>
      <c r="N188" s="822">
        <f t="shared" si="83"/>
        <v>0</v>
      </c>
      <c r="O188" s="822">
        <f t="shared" si="83"/>
        <v>0</v>
      </c>
      <c r="P188" s="822">
        <f t="shared" si="83"/>
        <v>0</v>
      </c>
      <c r="Q188" s="822">
        <f t="shared" si="83"/>
        <v>0</v>
      </c>
      <c r="R188" s="822">
        <f t="shared" si="83"/>
        <v>0</v>
      </c>
      <c r="S188" s="822">
        <f t="shared" si="83"/>
        <v>0</v>
      </c>
      <c r="T188" s="821">
        <f t="shared" si="83"/>
        <v>0</v>
      </c>
      <c r="U188" s="822">
        <f t="shared" si="83"/>
        <v>0</v>
      </c>
      <c r="V188" s="822">
        <f t="shared" si="83"/>
        <v>0</v>
      </c>
      <c r="W188" s="822">
        <f t="shared" si="83"/>
        <v>0</v>
      </c>
      <c r="X188" s="822">
        <f t="shared" si="83"/>
        <v>0</v>
      </c>
      <c r="Y188" s="822">
        <f t="shared" si="83"/>
        <v>0</v>
      </c>
      <c r="Z188" s="822">
        <f t="shared" si="83"/>
        <v>0</v>
      </c>
      <c r="AA188" s="822">
        <f t="shared" si="83"/>
        <v>0</v>
      </c>
      <c r="AB188" s="822">
        <f t="shared" si="83"/>
        <v>0</v>
      </c>
      <c r="AC188" s="822">
        <f t="shared" si="83"/>
        <v>0</v>
      </c>
      <c r="AD188" s="822">
        <f t="shared" si="83"/>
        <v>0</v>
      </c>
      <c r="AE188" s="822">
        <f t="shared" si="83"/>
        <v>0</v>
      </c>
      <c r="AF188" s="821">
        <f t="shared" si="83"/>
        <v>0</v>
      </c>
      <c r="AG188" s="822">
        <f t="shared" si="83"/>
        <v>0</v>
      </c>
      <c r="AH188" s="822">
        <f t="shared" si="83"/>
        <v>0</v>
      </c>
      <c r="AI188" s="822">
        <f t="shared" si="83"/>
        <v>0</v>
      </c>
      <c r="AJ188" s="822">
        <f t="shared" si="83"/>
        <v>0</v>
      </c>
      <c r="AK188" s="822">
        <f t="shared" si="83"/>
        <v>0</v>
      </c>
      <c r="AL188" s="822">
        <f t="shared" si="83"/>
        <v>0</v>
      </c>
      <c r="AM188" s="822">
        <f t="shared" si="83"/>
        <v>0</v>
      </c>
      <c r="AN188" s="822">
        <f t="shared" si="83"/>
        <v>0</v>
      </c>
      <c r="AO188" s="822">
        <f t="shared" si="83"/>
        <v>0</v>
      </c>
      <c r="AP188" s="822">
        <f t="shared" si="83"/>
        <v>0</v>
      </c>
      <c r="AQ188" s="822">
        <f t="shared" si="83"/>
        <v>0</v>
      </c>
      <c r="AR188" s="821">
        <f t="shared" si="83"/>
        <v>0</v>
      </c>
      <c r="AS188" s="822">
        <f t="shared" si="83"/>
        <v>0</v>
      </c>
      <c r="AT188" s="822">
        <f t="shared" si="83"/>
        <v>0</v>
      </c>
      <c r="AU188" s="822">
        <f t="shared" si="83"/>
        <v>0</v>
      </c>
      <c r="AV188" s="822">
        <f t="shared" si="83"/>
        <v>0</v>
      </c>
      <c r="AW188" s="822">
        <f t="shared" si="83"/>
        <v>0</v>
      </c>
      <c r="AX188" s="822">
        <f t="shared" si="83"/>
        <v>0</v>
      </c>
      <c r="AY188" s="822">
        <f t="shared" si="83"/>
        <v>0</v>
      </c>
      <c r="AZ188" s="822">
        <f t="shared" si="83"/>
        <v>0</v>
      </c>
      <c r="BA188" s="822">
        <f t="shared" si="83"/>
        <v>0</v>
      </c>
      <c r="BB188" s="822">
        <f t="shared" si="83"/>
        <v>0</v>
      </c>
      <c r="BC188" s="822">
        <f t="shared" si="83"/>
        <v>0</v>
      </c>
      <c r="BD188" s="821">
        <f t="shared" si="83"/>
        <v>0</v>
      </c>
      <c r="BE188" s="822">
        <f t="shared" si="83"/>
        <v>0</v>
      </c>
      <c r="BF188" s="822">
        <f t="shared" si="83"/>
        <v>0</v>
      </c>
      <c r="BG188" s="822">
        <f t="shared" si="83"/>
        <v>0</v>
      </c>
      <c r="BH188" s="822">
        <f t="shared" si="83"/>
        <v>0</v>
      </c>
      <c r="BI188" s="822">
        <f t="shared" si="83"/>
        <v>0</v>
      </c>
      <c r="BJ188" s="822">
        <f t="shared" si="83"/>
        <v>0</v>
      </c>
      <c r="BK188" s="822">
        <f t="shared" si="83"/>
        <v>0</v>
      </c>
      <c r="BL188" s="822">
        <f t="shared" si="83"/>
        <v>0</v>
      </c>
      <c r="BM188" s="822">
        <f t="shared" si="83"/>
        <v>0</v>
      </c>
      <c r="BN188" s="822">
        <f t="shared" si="83"/>
        <v>0</v>
      </c>
      <c r="BO188" s="822">
        <f t="shared" si="83"/>
        <v>0</v>
      </c>
      <c r="BP188" s="821">
        <f t="shared" si="83"/>
        <v>0</v>
      </c>
      <c r="BQ188" s="822">
        <f t="shared" si="83"/>
        <v>0</v>
      </c>
      <c r="BR188" s="822">
        <f t="shared" si="83"/>
        <v>0</v>
      </c>
      <c r="BS188" s="822">
        <f t="shared" si="83"/>
        <v>0</v>
      </c>
      <c r="BT188" s="822">
        <f t="shared" si="83"/>
        <v>0</v>
      </c>
      <c r="BU188" s="822">
        <f t="shared" si="84"/>
        <v>0</v>
      </c>
      <c r="BV188" s="822">
        <f t="shared" si="84"/>
        <v>0</v>
      </c>
      <c r="BW188" s="822">
        <f t="shared" si="84"/>
        <v>0</v>
      </c>
      <c r="BX188" s="822">
        <f t="shared" si="84"/>
        <v>0</v>
      </c>
      <c r="BY188" s="822">
        <f t="shared" si="84"/>
        <v>0</v>
      </c>
      <c r="BZ188" s="822">
        <f t="shared" si="84"/>
        <v>0</v>
      </c>
      <c r="CA188" s="822">
        <f t="shared" si="84"/>
        <v>0</v>
      </c>
      <c r="CB188" s="821">
        <f t="shared" si="62"/>
        <v>0</v>
      </c>
      <c r="DA188" s="822">
        <f>SUMIF('Monthly Summary'!C$75:BV$75,"",H188:CA188)</f>
        <v>0</v>
      </c>
      <c r="DB188" s="1246"/>
      <c r="DC188" s="1246"/>
    </row>
    <row r="189" spans="4:107" s="745" customFormat="1">
      <c r="H189" s="821"/>
      <c r="I189" s="822"/>
      <c r="J189" s="822"/>
      <c r="K189" s="822"/>
      <c r="L189" s="822"/>
      <c r="M189" s="822"/>
      <c r="N189" s="822"/>
      <c r="O189" s="822"/>
      <c r="P189" s="822"/>
      <c r="Q189" s="822"/>
      <c r="R189" s="822"/>
      <c r="S189" s="822"/>
      <c r="T189" s="821"/>
      <c r="U189" s="822"/>
      <c r="V189" s="822"/>
      <c r="W189" s="822"/>
      <c r="X189" s="822"/>
      <c r="Y189" s="822"/>
      <c r="Z189" s="822"/>
      <c r="AA189" s="822"/>
      <c r="AB189" s="822"/>
      <c r="AC189" s="822"/>
      <c r="AD189" s="822"/>
      <c r="AE189" s="822"/>
      <c r="AF189" s="821"/>
      <c r="AG189" s="822"/>
      <c r="AH189" s="822"/>
      <c r="AI189" s="822"/>
      <c r="AJ189" s="822"/>
      <c r="AK189" s="822"/>
      <c r="AL189" s="822"/>
      <c r="AM189" s="822"/>
      <c r="AN189" s="822"/>
      <c r="AO189" s="822"/>
      <c r="AP189" s="822"/>
      <c r="AQ189" s="822"/>
      <c r="AR189" s="821"/>
      <c r="AS189" s="822"/>
      <c r="AT189" s="822"/>
      <c r="AU189" s="822"/>
      <c r="AV189" s="822"/>
      <c r="AW189" s="822"/>
      <c r="AX189" s="822"/>
      <c r="AY189" s="822"/>
      <c r="AZ189" s="822"/>
      <c r="BA189" s="822"/>
      <c r="BB189" s="822"/>
      <c r="BC189" s="822"/>
      <c r="BD189" s="821"/>
      <c r="BE189" s="822"/>
      <c r="BF189" s="822"/>
      <c r="BG189" s="822"/>
      <c r="BH189" s="822"/>
      <c r="BI189" s="822"/>
      <c r="BJ189" s="822"/>
      <c r="BK189" s="822"/>
      <c r="BL189" s="822"/>
      <c r="BM189" s="822"/>
      <c r="BN189" s="822"/>
      <c r="BO189" s="822"/>
      <c r="BP189" s="821"/>
      <c r="BQ189" s="822"/>
      <c r="BR189" s="822"/>
      <c r="BS189" s="822"/>
      <c r="BT189" s="822"/>
      <c r="BU189" s="822"/>
      <c r="BV189" s="822"/>
      <c r="BW189" s="822"/>
      <c r="BX189" s="822"/>
      <c r="BY189" s="822"/>
      <c r="BZ189" s="822"/>
      <c r="CA189" s="822"/>
      <c r="CB189" s="821"/>
      <c r="DA189" s="823"/>
      <c r="DB189" s="1246"/>
      <c r="DC189" s="1246"/>
    </row>
    <row r="190" spans="4:107" s="745" customFormat="1">
      <c r="D190" s="766" t="s">
        <v>18</v>
      </c>
      <c r="E190" s="766"/>
      <c r="F190" s="766" t="s">
        <v>8403</v>
      </c>
      <c r="G190" s="766" t="s">
        <v>20</v>
      </c>
      <c r="H190" s="821">
        <f>SUMIFS(H$5:H$167,$B$5:$B$167,$F190,$G$5:$G$167,$G190)</f>
        <v>0</v>
      </c>
      <c r="I190" s="822">
        <f t="shared" ref="I190:BT191" si="85">SUMIFS(I$5:I$167,$B$5:$B$167,$F190,$G$5:$G$167,$G190)</f>
        <v>0</v>
      </c>
      <c r="J190" s="822">
        <f t="shared" si="85"/>
        <v>0</v>
      </c>
      <c r="K190" s="822">
        <f t="shared" si="85"/>
        <v>0</v>
      </c>
      <c r="L190" s="822">
        <f t="shared" si="85"/>
        <v>0</v>
      </c>
      <c r="M190" s="822">
        <f t="shared" si="85"/>
        <v>0</v>
      </c>
      <c r="N190" s="822">
        <f t="shared" si="85"/>
        <v>0</v>
      </c>
      <c r="O190" s="822">
        <f t="shared" si="85"/>
        <v>0</v>
      </c>
      <c r="P190" s="822">
        <f t="shared" si="85"/>
        <v>0</v>
      </c>
      <c r="Q190" s="822">
        <f t="shared" si="85"/>
        <v>0</v>
      </c>
      <c r="R190" s="822">
        <f t="shared" si="85"/>
        <v>0</v>
      </c>
      <c r="S190" s="822">
        <f t="shared" si="85"/>
        <v>0</v>
      </c>
      <c r="T190" s="821">
        <f t="shared" si="85"/>
        <v>0</v>
      </c>
      <c r="U190" s="822">
        <f t="shared" si="85"/>
        <v>0</v>
      </c>
      <c r="V190" s="822">
        <f t="shared" si="85"/>
        <v>0</v>
      </c>
      <c r="W190" s="822">
        <f t="shared" si="85"/>
        <v>0</v>
      </c>
      <c r="X190" s="822">
        <f t="shared" si="85"/>
        <v>0</v>
      </c>
      <c r="Y190" s="822">
        <f t="shared" si="85"/>
        <v>0</v>
      </c>
      <c r="Z190" s="822">
        <f t="shared" si="85"/>
        <v>0</v>
      </c>
      <c r="AA190" s="822">
        <f t="shared" si="85"/>
        <v>0</v>
      </c>
      <c r="AB190" s="822">
        <f t="shared" si="85"/>
        <v>0</v>
      </c>
      <c r="AC190" s="822">
        <f t="shared" si="85"/>
        <v>0</v>
      </c>
      <c r="AD190" s="822">
        <f t="shared" si="85"/>
        <v>0</v>
      </c>
      <c r="AE190" s="822">
        <f t="shared" si="85"/>
        <v>0</v>
      </c>
      <c r="AF190" s="821">
        <f t="shared" si="85"/>
        <v>0</v>
      </c>
      <c r="AG190" s="822">
        <f t="shared" si="85"/>
        <v>0</v>
      </c>
      <c r="AH190" s="822">
        <f t="shared" si="85"/>
        <v>0</v>
      </c>
      <c r="AI190" s="822">
        <f t="shared" si="85"/>
        <v>0</v>
      </c>
      <c r="AJ190" s="822">
        <f t="shared" si="85"/>
        <v>0</v>
      </c>
      <c r="AK190" s="822">
        <f t="shared" si="85"/>
        <v>0</v>
      </c>
      <c r="AL190" s="822">
        <f t="shared" si="85"/>
        <v>0</v>
      </c>
      <c r="AM190" s="822">
        <f t="shared" si="85"/>
        <v>0</v>
      </c>
      <c r="AN190" s="822">
        <f t="shared" si="85"/>
        <v>0</v>
      </c>
      <c r="AO190" s="822">
        <f t="shared" si="85"/>
        <v>0</v>
      </c>
      <c r="AP190" s="822">
        <f t="shared" si="85"/>
        <v>0</v>
      </c>
      <c r="AQ190" s="822">
        <f t="shared" si="85"/>
        <v>0</v>
      </c>
      <c r="AR190" s="821">
        <f t="shared" si="85"/>
        <v>0</v>
      </c>
      <c r="AS190" s="822">
        <f t="shared" si="85"/>
        <v>0</v>
      </c>
      <c r="AT190" s="822">
        <f t="shared" si="85"/>
        <v>0</v>
      </c>
      <c r="AU190" s="822">
        <f t="shared" si="85"/>
        <v>0</v>
      </c>
      <c r="AV190" s="822">
        <f t="shared" si="85"/>
        <v>0</v>
      </c>
      <c r="AW190" s="822">
        <f t="shared" si="85"/>
        <v>0</v>
      </c>
      <c r="AX190" s="822">
        <f t="shared" si="85"/>
        <v>0</v>
      </c>
      <c r="AY190" s="822">
        <f t="shared" si="85"/>
        <v>0</v>
      </c>
      <c r="AZ190" s="822">
        <f t="shared" si="85"/>
        <v>0</v>
      </c>
      <c r="BA190" s="822">
        <f t="shared" si="85"/>
        <v>0</v>
      </c>
      <c r="BB190" s="822">
        <f t="shared" si="85"/>
        <v>0</v>
      </c>
      <c r="BC190" s="822">
        <f t="shared" si="85"/>
        <v>0</v>
      </c>
      <c r="BD190" s="821">
        <f t="shared" si="85"/>
        <v>0</v>
      </c>
      <c r="BE190" s="822">
        <f t="shared" si="85"/>
        <v>0</v>
      </c>
      <c r="BF190" s="822">
        <f t="shared" si="85"/>
        <v>0</v>
      </c>
      <c r="BG190" s="822">
        <f t="shared" si="85"/>
        <v>0</v>
      </c>
      <c r="BH190" s="822">
        <f t="shared" si="85"/>
        <v>0</v>
      </c>
      <c r="BI190" s="822">
        <f t="shared" si="85"/>
        <v>0</v>
      </c>
      <c r="BJ190" s="822">
        <f t="shared" si="85"/>
        <v>0</v>
      </c>
      <c r="BK190" s="822">
        <f t="shared" si="85"/>
        <v>0</v>
      </c>
      <c r="BL190" s="822">
        <f t="shared" si="85"/>
        <v>0</v>
      </c>
      <c r="BM190" s="822">
        <f t="shared" si="85"/>
        <v>0</v>
      </c>
      <c r="BN190" s="822">
        <f t="shared" si="85"/>
        <v>0</v>
      </c>
      <c r="BO190" s="822">
        <f t="shared" si="85"/>
        <v>0</v>
      </c>
      <c r="BP190" s="821">
        <f t="shared" si="85"/>
        <v>0</v>
      </c>
      <c r="BQ190" s="822">
        <f t="shared" si="85"/>
        <v>0</v>
      </c>
      <c r="BR190" s="822">
        <f t="shared" si="85"/>
        <v>0</v>
      </c>
      <c r="BS190" s="822">
        <f t="shared" si="85"/>
        <v>0</v>
      </c>
      <c r="BT190" s="822">
        <f t="shared" si="85"/>
        <v>0</v>
      </c>
      <c r="BU190" s="822">
        <f t="shared" ref="BU190:CA191" si="86">SUMIFS(BU$5:BU$167,$B$5:$B$167,$F190,$G$5:$G$167,$G190)</f>
        <v>0</v>
      </c>
      <c r="BV190" s="822">
        <f t="shared" si="86"/>
        <v>0</v>
      </c>
      <c r="BW190" s="822">
        <f t="shared" si="86"/>
        <v>0</v>
      </c>
      <c r="BX190" s="822">
        <f t="shared" si="86"/>
        <v>0</v>
      </c>
      <c r="BY190" s="822">
        <f t="shared" si="86"/>
        <v>0</v>
      </c>
      <c r="BZ190" s="822">
        <f t="shared" si="86"/>
        <v>0</v>
      </c>
      <c r="CA190" s="822">
        <f t="shared" si="86"/>
        <v>0</v>
      </c>
      <c r="CB190" s="821">
        <f t="shared" si="62"/>
        <v>0</v>
      </c>
      <c r="DA190" s="822">
        <f>SUMIF('Monthly Summary'!C$75:BV$75,"",H190:CA190)</f>
        <v>0</v>
      </c>
      <c r="DB190" s="1246"/>
      <c r="DC190" s="1246"/>
    </row>
    <row r="191" spans="4:107" s="745" customFormat="1">
      <c r="D191" s="766" t="s">
        <v>18</v>
      </c>
      <c r="E191" s="766"/>
      <c r="F191" s="766" t="s">
        <v>8403</v>
      </c>
      <c r="G191" s="766" t="s">
        <v>21</v>
      </c>
      <c r="H191" s="821">
        <f>SUMIFS(H$5:H$167,$B$5:$B$167,$F191,$G$5:$G$167,$G191)</f>
        <v>0</v>
      </c>
      <c r="I191" s="822">
        <f t="shared" si="85"/>
        <v>0</v>
      </c>
      <c r="J191" s="822">
        <f t="shared" si="85"/>
        <v>0</v>
      </c>
      <c r="K191" s="822">
        <f t="shared" si="85"/>
        <v>0</v>
      </c>
      <c r="L191" s="822">
        <f t="shared" si="85"/>
        <v>0</v>
      </c>
      <c r="M191" s="822">
        <f t="shared" si="85"/>
        <v>0</v>
      </c>
      <c r="N191" s="822">
        <f t="shared" si="85"/>
        <v>0</v>
      </c>
      <c r="O191" s="822">
        <f t="shared" si="85"/>
        <v>0</v>
      </c>
      <c r="P191" s="822">
        <f t="shared" si="85"/>
        <v>0</v>
      </c>
      <c r="Q191" s="822">
        <f t="shared" si="85"/>
        <v>0</v>
      </c>
      <c r="R191" s="822">
        <f t="shared" si="85"/>
        <v>0</v>
      </c>
      <c r="S191" s="822">
        <f t="shared" si="85"/>
        <v>0</v>
      </c>
      <c r="T191" s="821">
        <f t="shared" si="85"/>
        <v>0</v>
      </c>
      <c r="U191" s="822">
        <f t="shared" si="85"/>
        <v>0</v>
      </c>
      <c r="V191" s="822">
        <f t="shared" si="85"/>
        <v>0</v>
      </c>
      <c r="W191" s="822">
        <f t="shared" si="85"/>
        <v>0</v>
      </c>
      <c r="X191" s="822">
        <f t="shared" si="85"/>
        <v>0</v>
      </c>
      <c r="Y191" s="822">
        <f t="shared" si="85"/>
        <v>0</v>
      </c>
      <c r="Z191" s="822">
        <f t="shared" si="85"/>
        <v>0</v>
      </c>
      <c r="AA191" s="822">
        <f t="shared" si="85"/>
        <v>0</v>
      </c>
      <c r="AB191" s="822">
        <f t="shared" si="85"/>
        <v>0</v>
      </c>
      <c r="AC191" s="822">
        <f t="shared" si="85"/>
        <v>0</v>
      </c>
      <c r="AD191" s="822">
        <f t="shared" si="85"/>
        <v>0</v>
      </c>
      <c r="AE191" s="822">
        <f t="shared" si="85"/>
        <v>0</v>
      </c>
      <c r="AF191" s="821">
        <f t="shared" si="85"/>
        <v>0</v>
      </c>
      <c r="AG191" s="822">
        <f t="shared" si="85"/>
        <v>0</v>
      </c>
      <c r="AH191" s="822">
        <f t="shared" si="85"/>
        <v>0</v>
      </c>
      <c r="AI191" s="822">
        <f t="shared" si="85"/>
        <v>0</v>
      </c>
      <c r="AJ191" s="822">
        <f t="shared" si="85"/>
        <v>0</v>
      </c>
      <c r="AK191" s="822">
        <f t="shared" si="85"/>
        <v>0</v>
      </c>
      <c r="AL191" s="822">
        <f t="shared" si="85"/>
        <v>0</v>
      </c>
      <c r="AM191" s="822">
        <f t="shared" si="85"/>
        <v>0</v>
      </c>
      <c r="AN191" s="822">
        <f t="shared" si="85"/>
        <v>0</v>
      </c>
      <c r="AO191" s="822">
        <f t="shared" si="85"/>
        <v>0</v>
      </c>
      <c r="AP191" s="822">
        <f t="shared" si="85"/>
        <v>0</v>
      </c>
      <c r="AQ191" s="822">
        <f t="shared" si="85"/>
        <v>0</v>
      </c>
      <c r="AR191" s="821">
        <f t="shared" si="85"/>
        <v>0</v>
      </c>
      <c r="AS191" s="822">
        <f t="shared" si="85"/>
        <v>0</v>
      </c>
      <c r="AT191" s="822">
        <f t="shared" si="85"/>
        <v>0</v>
      </c>
      <c r="AU191" s="822">
        <f t="shared" si="85"/>
        <v>0</v>
      </c>
      <c r="AV191" s="822">
        <f t="shared" si="85"/>
        <v>0</v>
      </c>
      <c r="AW191" s="822">
        <f t="shared" si="85"/>
        <v>0</v>
      </c>
      <c r="AX191" s="822">
        <f t="shared" si="85"/>
        <v>0</v>
      </c>
      <c r="AY191" s="822">
        <f t="shared" si="85"/>
        <v>0</v>
      </c>
      <c r="AZ191" s="822">
        <f t="shared" si="85"/>
        <v>0</v>
      </c>
      <c r="BA191" s="822">
        <f t="shared" si="85"/>
        <v>0</v>
      </c>
      <c r="BB191" s="822">
        <f t="shared" si="85"/>
        <v>0</v>
      </c>
      <c r="BC191" s="822">
        <f t="shared" si="85"/>
        <v>0</v>
      </c>
      <c r="BD191" s="821">
        <f t="shared" si="85"/>
        <v>0</v>
      </c>
      <c r="BE191" s="822">
        <f t="shared" si="85"/>
        <v>0</v>
      </c>
      <c r="BF191" s="822">
        <f t="shared" si="85"/>
        <v>0</v>
      </c>
      <c r="BG191" s="822">
        <f t="shared" si="85"/>
        <v>0</v>
      </c>
      <c r="BH191" s="822">
        <f t="shared" si="85"/>
        <v>0</v>
      </c>
      <c r="BI191" s="822">
        <f t="shared" si="85"/>
        <v>0</v>
      </c>
      <c r="BJ191" s="822">
        <f t="shared" si="85"/>
        <v>0</v>
      </c>
      <c r="BK191" s="822">
        <f t="shared" si="85"/>
        <v>0</v>
      </c>
      <c r="BL191" s="822">
        <f t="shared" si="85"/>
        <v>0</v>
      </c>
      <c r="BM191" s="822">
        <f t="shared" si="85"/>
        <v>0</v>
      </c>
      <c r="BN191" s="822">
        <f t="shared" si="85"/>
        <v>0</v>
      </c>
      <c r="BO191" s="822">
        <f t="shared" si="85"/>
        <v>0</v>
      </c>
      <c r="BP191" s="821">
        <f t="shared" si="85"/>
        <v>0</v>
      </c>
      <c r="BQ191" s="822">
        <f t="shared" si="85"/>
        <v>0</v>
      </c>
      <c r="BR191" s="822">
        <f t="shared" si="85"/>
        <v>0</v>
      </c>
      <c r="BS191" s="822">
        <f t="shared" si="85"/>
        <v>0</v>
      </c>
      <c r="BT191" s="822">
        <f t="shared" si="85"/>
        <v>0</v>
      </c>
      <c r="BU191" s="822">
        <f t="shared" si="86"/>
        <v>0</v>
      </c>
      <c r="BV191" s="822">
        <f t="shared" si="86"/>
        <v>0</v>
      </c>
      <c r="BW191" s="822">
        <f t="shared" si="86"/>
        <v>0</v>
      </c>
      <c r="BX191" s="822">
        <f t="shared" si="86"/>
        <v>0</v>
      </c>
      <c r="BY191" s="822">
        <f t="shared" si="86"/>
        <v>0</v>
      </c>
      <c r="BZ191" s="822">
        <f t="shared" si="86"/>
        <v>0</v>
      </c>
      <c r="CA191" s="822">
        <f t="shared" si="86"/>
        <v>0</v>
      </c>
      <c r="CB191" s="821">
        <f t="shared" si="62"/>
        <v>0</v>
      </c>
      <c r="DA191" s="822">
        <f>SUMIF('Monthly Summary'!C$75:BV$75,"",H191:CA191)</f>
        <v>0</v>
      </c>
      <c r="DB191" s="1246"/>
      <c r="DC191" s="1246"/>
    </row>
    <row r="192" spans="4:107" s="745" customFormat="1">
      <c r="H192" s="821"/>
      <c r="I192" s="822"/>
      <c r="J192" s="822"/>
      <c r="K192" s="822"/>
      <c r="L192" s="822"/>
      <c r="M192" s="822"/>
      <c r="N192" s="822"/>
      <c r="O192" s="822"/>
      <c r="P192" s="822"/>
      <c r="Q192" s="822"/>
      <c r="R192" s="822"/>
      <c r="S192" s="822"/>
      <c r="T192" s="821"/>
      <c r="U192" s="822"/>
      <c r="V192" s="822"/>
      <c r="W192" s="822"/>
      <c r="X192" s="822"/>
      <c r="Y192" s="822"/>
      <c r="Z192" s="822"/>
      <c r="AA192" s="822"/>
      <c r="AB192" s="822"/>
      <c r="AC192" s="822"/>
      <c r="AD192" s="822"/>
      <c r="AE192" s="822"/>
      <c r="AF192" s="821"/>
      <c r="AG192" s="822"/>
      <c r="AH192" s="822"/>
      <c r="AI192" s="822"/>
      <c r="AJ192" s="822"/>
      <c r="AK192" s="822"/>
      <c r="AL192" s="822"/>
      <c r="AM192" s="822"/>
      <c r="AN192" s="822"/>
      <c r="AO192" s="822"/>
      <c r="AP192" s="822"/>
      <c r="AQ192" s="822"/>
      <c r="AR192" s="821"/>
      <c r="AS192" s="822"/>
      <c r="AT192" s="822"/>
      <c r="AU192" s="822"/>
      <c r="AV192" s="822"/>
      <c r="AW192" s="822"/>
      <c r="AX192" s="822"/>
      <c r="AY192" s="822"/>
      <c r="AZ192" s="822"/>
      <c r="BA192" s="822"/>
      <c r="BB192" s="822"/>
      <c r="BC192" s="822"/>
      <c r="BD192" s="821"/>
      <c r="BE192" s="822"/>
      <c r="BF192" s="822"/>
      <c r="BG192" s="822"/>
      <c r="BH192" s="822"/>
      <c r="BI192" s="822"/>
      <c r="BJ192" s="822"/>
      <c r="BK192" s="822"/>
      <c r="BL192" s="822"/>
      <c r="BM192" s="822"/>
      <c r="BN192" s="822"/>
      <c r="BO192" s="822"/>
      <c r="BP192" s="821"/>
      <c r="BQ192" s="822"/>
      <c r="BR192" s="822"/>
      <c r="BS192" s="822"/>
      <c r="BT192" s="822"/>
      <c r="BU192" s="822"/>
      <c r="BV192" s="822"/>
      <c r="BW192" s="822"/>
      <c r="BX192" s="822"/>
      <c r="BY192" s="822"/>
      <c r="BZ192" s="822"/>
      <c r="CA192" s="822"/>
      <c r="CB192" s="821"/>
      <c r="DA192" s="823"/>
      <c r="DB192" s="1246"/>
      <c r="DC192" s="1246"/>
    </row>
    <row r="193" spans="1:107" s="750" customFormat="1">
      <c r="A193" s="1091"/>
      <c r="C193" s="1091"/>
      <c r="D193" s="772" t="s">
        <v>18</v>
      </c>
      <c r="E193" s="772"/>
      <c r="F193" s="772" t="s">
        <v>13</v>
      </c>
      <c r="G193" s="772" t="s">
        <v>20</v>
      </c>
      <c r="H193" s="829">
        <f t="shared" ref="H193:Q194" si="87">SUMIF($G$202:$G$236,$G193,H$202:H$236)-SUMIF($G$169:$G$191,$G193,H$169:H$191)</f>
        <v>0</v>
      </c>
      <c r="I193" s="830">
        <f t="shared" si="87"/>
        <v>0</v>
      </c>
      <c r="J193" s="830">
        <f t="shared" si="87"/>
        <v>0</v>
      </c>
      <c r="K193" s="830">
        <f t="shared" si="87"/>
        <v>0</v>
      </c>
      <c r="L193" s="830">
        <f t="shared" si="87"/>
        <v>0</v>
      </c>
      <c r="M193" s="830">
        <f t="shared" si="87"/>
        <v>0</v>
      </c>
      <c r="N193" s="830">
        <f t="shared" si="87"/>
        <v>0</v>
      </c>
      <c r="O193" s="830">
        <f t="shared" si="87"/>
        <v>0</v>
      </c>
      <c r="P193" s="830">
        <f t="shared" si="87"/>
        <v>0</v>
      </c>
      <c r="Q193" s="830">
        <f t="shared" si="87"/>
        <v>0</v>
      </c>
      <c r="R193" s="830">
        <f t="shared" ref="R193:AA194" si="88">SUMIF($G$202:$G$236,$G193,R$202:R$236)-SUMIF($G$169:$G$191,$G193,R$169:R$191)</f>
        <v>0</v>
      </c>
      <c r="S193" s="830">
        <f t="shared" si="88"/>
        <v>0</v>
      </c>
      <c r="T193" s="829">
        <f t="shared" si="88"/>
        <v>0</v>
      </c>
      <c r="U193" s="830">
        <f t="shared" si="88"/>
        <v>0</v>
      </c>
      <c r="V193" s="830">
        <f t="shared" si="88"/>
        <v>0</v>
      </c>
      <c r="W193" s="830">
        <f t="shared" si="88"/>
        <v>0</v>
      </c>
      <c r="X193" s="830">
        <f t="shared" si="88"/>
        <v>0</v>
      </c>
      <c r="Y193" s="830">
        <f t="shared" si="88"/>
        <v>0</v>
      </c>
      <c r="Z193" s="830">
        <f t="shared" si="88"/>
        <v>0</v>
      </c>
      <c r="AA193" s="830">
        <f t="shared" si="88"/>
        <v>0</v>
      </c>
      <c r="AB193" s="830">
        <f t="shared" ref="AB193:AK194" si="89">SUMIF($G$202:$G$236,$G193,AB$202:AB$236)-SUMIF($G$169:$G$191,$G193,AB$169:AB$191)</f>
        <v>0</v>
      </c>
      <c r="AC193" s="830">
        <f t="shared" si="89"/>
        <v>0</v>
      </c>
      <c r="AD193" s="830">
        <f t="shared" si="89"/>
        <v>0</v>
      </c>
      <c r="AE193" s="830">
        <f t="shared" si="89"/>
        <v>0</v>
      </c>
      <c r="AF193" s="829">
        <f t="shared" si="89"/>
        <v>0</v>
      </c>
      <c r="AG193" s="830">
        <f t="shared" si="89"/>
        <v>0</v>
      </c>
      <c r="AH193" s="830">
        <f t="shared" si="89"/>
        <v>0</v>
      </c>
      <c r="AI193" s="830">
        <f t="shared" si="89"/>
        <v>0</v>
      </c>
      <c r="AJ193" s="830">
        <f t="shared" si="89"/>
        <v>0</v>
      </c>
      <c r="AK193" s="830">
        <f t="shared" si="89"/>
        <v>0</v>
      </c>
      <c r="AL193" s="830">
        <f t="shared" ref="AL193:AU194" si="90">SUMIF($G$202:$G$236,$G193,AL$202:AL$236)-SUMIF($G$169:$G$191,$G193,AL$169:AL$191)</f>
        <v>0</v>
      </c>
      <c r="AM193" s="830">
        <f t="shared" si="90"/>
        <v>0</v>
      </c>
      <c r="AN193" s="830">
        <f t="shared" si="90"/>
        <v>0</v>
      </c>
      <c r="AO193" s="830">
        <f t="shared" si="90"/>
        <v>0</v>
      </c>
      <c r="AP193" s="830">
        <f t="shared" si="90"/>
        <v>0</v>
      </c>
      <c r="AQ193" s="830">
        <f t="shared" si="90"/>
        <v>0</v>
      </c>
      <c r="AR193" s="829">
        <f t="shared" si="90"/>
        <v>0</v>
      </c>
      <c r="AS193" s="830">
        <f t="shared" si="90"/>
        <v>0</v>
      </c>
      <c r="AT193" s="830">
        <f t="shared" si="90"/>
        <v>0</v>
      </c>
      <c r="AU193" s="830">
        <f t="shared" si="90"/>
        <v>0</v>
      </c>
      <c r="AV193" s="830">
        <f t="shared" ref="AV193:BE194" si="91">SUMIF($G$202:$G$236,$G193,AV$202:AV$236)-SUMIF($G$169:$G$191,$G193,AV$169:AV$191)</f>
        <v>0</v>
      </c>
      <c r="AW193" s="830">
        <f t="shared" si="91"/>
        <v>0</v>
      </c>
      <c r="AX193" s="830">
        <f t="shared" si="91"/>
        <v>0</v>
      </c>
      <c r="AY193" s="830">
        <f t="shared" si="91"/>
        <v>0</v>
      </c>
      <c r="AZ193" s="830">
        <f t="shared" si="91"/>
        <v>0</v>
      </c>
      <c r="BA193" s="830">
        <f t="shared" si="91"/>
        <v>0</v>
      </c>
      <c r="BB193" s="830">
        <f t="shared" si="91"/>
        <v>0</v>
      </c>
      <c r="BC193" s="830">
        <f t="shared" si="91"/>
        <v>0</v>
      </c>
      <c r="BD193" s="829">
        <f t="shared" si="91"/>
        <v>0</v>
      </c>
      <c r="BE193" s="830">
        <f t="shared" si="91"/>
        <v>0</v>
      </c>
      <c r="BF193" s="830">
        <f t="shared" ref="BF193:BO194" si="92">SUMIF($G$202:$G$236,$G193,BF$202:BF$236)-SUMIF($G$169:$G$191,$G193,BF$169:BF$191)</f>
        <v>0</v>
      </c>
      <c r="BG193" s="830">
        <f t="shared" si="92"/>
        <v>0</v>
      </c>
      <c r="BH193" s="830">
        <f t="shared" si="92"/>
        <v>0</v>
      </c>
      <c r="BI193" s="830">
        <f t="shared" si="92"/>
        <v>0</v>
      </c>
      <c r="BJ193" s="830">
        <f t="shared" si="92"/>
        <v>0</v>
      </c>
      <c r="BK193" s="830">
        <f t="shared" si="92"/>
        <v>0</v>
      </c>
      <c r="BL193" s="830">
        <f t="shared" si="92"/>
        <v>0</v>
      </c>
      <c r="BM193" s="830">
        <f t="shared" si="92"/>
        <v>0</v>
      </c>
      <c r="BN193" s="830">
        <f t="shared" si="92"/>
        <v>0</v>
      </c>
      <c r="BO193" s="830">
        <f t="shared" si="92"/>
        <v>0</v>
      </c>
      <c r="BP193" s="829">
        <f t="shared" ref="BP193:CA194" si="93">SUMIF($G$202:$G$236,$G193,BP$202:BP$236)-SUMIF($G$169:$G$191,$G193,BP$169:BP$191)</f>
        <v>0</v>
      </c>
      <c r="BQ193" s="830">
        <f t="shared" si="93"/>
        <v>0</v>
      </c>
      <c r="BR193" s="830">
        <f t="shared" si="93"/>
        <v>0</v>
      </c>
      <c r="BS193" s="830">
        <f t="shared" si="93"/>
        <v>0</v>
      </c>
      <c r="BT193" s="830">
        <f t="shared" si="93"/>
        <v>0</v>
      </c>
      <c r="BU193" s="830">
        <f t="shared" si="93"/>
        <v>0</v>
      </c>
      <c r="BV193" s="830">
        <f t="shared" si="93"/>
        <v>0</v>
      </c>
      <c r="BW193" s="830">
        <f t="shared" si="93"/>
        <v>0</v>
      </c>
      <c r="BX193" s="830">
        <f t="shared" si="93"/>
        <v>0</v>
      </c>
      <c r="BY193" s="830">
        <f t="shared" si="93"/>
        <v>0</v>
      </c>
      <c r="BZ193" s="830">
        <f t="shared" si="93"/>
        <v>0</v>
      </c>
      <c r="CA193" s="830">
        <f t="shared" si="93"/>
        <v>0</v>
      </c>
      <c r="CB193" s="829">
        <f t="shared" si="62"/>
        <v>0</v>
      </c>
      <c r="DA193" s="830">
        <f>SUMIF('Monthly Summary'!C$75:BV$75,"",H193:CA193)</f>
        <v>0</v>
      </c>
      <c r="DB193" s="1247"/>
      <c r="DC193" s="1247"/>
    </row>
    <row r="194" spans="1:107" s="750" customFormat="1">
      <c r="A194" s="1091"/>
      <c r="C194" s="1091"/>
      <c r="D194" s="772" t="s">
        <v>18</v>
      </c>
      <c r="E194" s="772"/>
      <c r="F194" s="772" t="s">
        <v>13</v>
      </c>
      <c r="G194" s="772" t="s">
        <v>21</v>
      </c>
      <c r="H194" s="829">
        <f t="shared" si="87"/>
        <v>0</v>
      </c>
      <c r="I194" s="830">
        <f t="shared" si="87"/>
        <v>0</v>
      </c>
      <c r="J194" s="830">
        <f t="shared" si="87"/>
        <v>0</v>
      </c>
      <c r="K194" s="830">
        <f t="shared" si="87"/>
        <v>0</v>
      </c>
      <c r="L194" s="830">
        <f t="shared" si="87"/>
        <v>0</v>
      </c>
      <c r="M194" s="830">
        <f t="shared" si="87"/>
        <v>0</v>
      </c>
      <c r="N194" s="830">
        <f t="shared" si="87"/>
        <v>0</v>
      </c>
      <c r="O194" s="830">
        <f t="shared" si="87"/>
        <v>0</v>
      </c>
      <c r="P194" s="830">
        <f t="shared" si="87"/>
        <v>0</v>
      </c>
      <c r="Q194" s="830">
        <f t="shared" si="87"/>
        <v>0</v>
      </c>
      <c r="R194" s="830">
        <f t="shared" si="88"/>
        <v>0</v>
      </c>
      <c r="S194" s="830">
        <f t="shared" si="88"/>
        <v>0</v>
      </c>
      <c r="T194" s="829">
        <f t="shared" si="88"/>
        <v>0</v>
      </c>
      <c r="U194" s="830">
        <f t="shared" si="88"/>
        <v>0</v>
      </c>
      <c r="V194" s="830">
        <f t="shared" si="88"/>
        <v>0</v>
      </c>
      <c r="W194" s="830">
        <f t="shared" si="88"/>
        <v>0</v>
      </c>
      <c r="X194" s="830">
        <f t="shared" si="88"/>
        <v>0</v>
      </c>
      <c r="Y194" s="830">
        <f t="shared" si="88"/>
        <v>0</v>
      </c>
      <c r="Z194" s="830">
        <f t="shared" si="88"/>
        <v>0</v>
      </c>
      <c r="AA194" s="830">
        <f t="shared" si="88"/>
        <v>0</v>
      </c>
      <c r="AB194" s="830">
        <f t="shared" si="89"/>
        <v>0</v>
      </c>
      <c r="AC194" s="830">
        <f t="shared" si="89"/>
        <v>0</v>
      </c>
      <c r="AD194" s="830">
        <f t="shared" si="89"/>
        <v>0</v>
      </c>
      <c r="AE194" s="830">
        <f t="shared" si="89"/>
        <v>0</v>
      </c>
      <c r="AF194" s="829">
        <f t="shared" si="89"/>
        <v>0</v>
      </c>
      <c r="AG194" s="830">
        <f t="shared" si="89"/>
        <v>0</v>
      </c>
      <c r="AH194" s="830">
        <f t="shared" si="89"/>
        <v>0</v>
      </c>
      <c r="AI194" s="830">
        <f t="shared" si="89"/>
        <v>0</v>
      </c>
      <c r="AJ194" s="830">
        <f t="shared" si="89"/>
        <v>0</v>
      </c>
      <c r="AK194" s="830">
        <f t="shared" si="89"/>
        <v>0</v>
      </c>
      <c r="AL194" s="830">
        <f t="shared" si="90"/>
        <v>0</v>
      </c>
      <c r="AM194" s="830">
        <f t="shared" si="90"/>
        <v>0</v>
      </c>
      <c r="AN194" s="830">
        <f t="shared" si="90"/>
        <v>0</v>
      </c>
      <c r="AO194" s="830">
        <f t="shared" si="90"/>
        <v>0</v>
      </c>
      <c r="AP194" s="830">
        <f t="shared" si="90"/>
        <v>0</v>
      </c>
      <c r="AQ194" s="830">
        <f t="shared" si="90"/>
        <v>0</v>
      </c>
      <c r="AR194" s="829">
        <f t="shared" si="90"/>
        <v>0</v>
      </c>
      <c r="AS194" s="830">
        <f t="shared" si="90"/>
        <v>0</v>
      </c>
      <c r="AT194" s="830">
        <f t="shared" si="90"/>
        <v>0</v>
      </c>
      <c r="AU194" s="830">
        <f t="shared" si="90"/>
        <v>0</v>
      </c>
      <c r="AV194" s="830">
        <f t="shared" si="91"/>
        <v>0</v>
      </c>
      <c r="AW194" s="830">
        <f t="shared" si="91"/>
        <v>0</v>
      </c>
      <c r="AX194" s="830">
        <f t="shared" si="91"/>
        <v>0</v>
      </c>
      <c r="AY194" s="830">
        <f t="shared" si="91"/>
        <v>0</v>
      </c>
      <c r="AZ194" s="830">
        <f t="shared" si="91"/>
        <v>0</v>
      </c>
      <c r="BA194" s="830">
        <f t="shared" si="91"/>
        <v>0</v>
      </c>
      <c r="BB194" s="830">
        <f t="shared" si="91"/>
        <v>0</v>
      </c>
      <c r="BC194" s="830">
        <f t="shared" si="91"/>
        <v>0</v>
      </c>
      <c r="BD194" s="829">
        <f t="shared" si="91"/>
        <v>0</v>
      </c>
      <c r="BE194" s="830">
        <f t="shared" si="91"/>
        <v>0</v>
      </c>
      <c r="BF194" s="830">
        <f t="shared" si="92"/>
        <v>0</v>
      </c>
      <c r="BG194" s="830">
        <f t="shared" si="92"/>
        <v>0</v>
      </c>
      <c r="BH194" s="830">
        <f t="shared" si="92"/>
        <v>0</v>
      </c>
      <c r="BI194" s="830">
        <f t="shared" si="92"/>
        <v>0</v>
      </c>
      <c r="BJ194" s="830">
        <f t="shared" si="92"/>
        <v>0</v>
      </c>
      <c r="BK194" s="830">
        <f t="shared" si="92"/>
        <v>0</v>
      </c>
      <c r="BL194" s="830">
        <f t="shared" si="92"/>
        <v>0</v>
      </c>
      <c r="BM194" s="830">
        <f t="shared" si="92"/>
        <v>0</v>
      </c>
      <c r="BN194" s="830">
        <f t="shared" si="92"/>
        <v>0</v>
      </c>
      <c r="BO194" s="830">
        <f t="shared" si="92"/>
        <v>0</v>
      </c>
      <c r="BP194" s="829">
        <f t="shared" si="93"/>
        <v>0</v>
      </c>
      <c r="BQ194" s="830">
        <f t="shared" si="93"/>
        <v>0</v>
      </c>
      <c r="BR194" s="830">
        <f t="shared" si="93"/>
        <v>0</v>
      </c>
      <c r="BS194" s="830">
        <f t="shared" si="93"/>
        <v>0</v>
      </c>
      <c r="BT194" s="830">
        <f t="shared" si="93"/>
        <v>0</v>
      </c>
      <c r="BU194" s="830">
        <f t="shared" si="93"/>
        <v>0</v>
      </c>
      <c r="BV194" s="830">
        <f t="shared" si="93"/>
        <v>0</v>
      </c>
      <c r="BW194" s="830">
        <f t="shared" si="93"/>
        <v>0</v>
      </c>
      <c r="BX194" s="830">
        <f t="shared" si="93"/>
        <v>0</v>
      </c>
      <c r="BY194" s="830">
        <f t="shared" si="93"/>
        <v>0</v>
      </c>
      <c r="BZ194" s="830">
        <f t="shared" si="93"/>
        <v>0</v>
      </c>
      <c r="CA194" s="830">
        <f t="shared" si="93"/>
        <v>0</v>
      </c>
      <c r="CB194" s="829">
        <f t="shared" si="62"/>
        <v>0</v>
      </c>
      <c r="DA194" s="830">
        <f>SUMIF('Monthly Summary'!C$75:BV$75,"",H194:CA194)</f>
        <v>0</v>
      </c>
      <c r="DB194" s="1247"/>
      <c r="DC194" s="1247"/>
    </row>
    <row r="195" spans="1:107" s="745" customFormat="1">
      <c r="H195" s="824"/>
      <c r="I195" s="823"/>
      <c r="J195" s="823"/>
      <c r="K195" s="823"/>
      <c r="L195" s="823"/>
      <c r="M195" s="823"/>
      <c r="N195" s="823"/>
      <c r="O195" s="823"/>
      <c r="P195" s="823"/>
      <c r="Q195" s="823"/>
      <c r="R195" s="823"/>
      <c r="S195" s="823"/>
      <c r="T195" s="824"/>
      <c r="U195" s="823"/>
      <c r="V195" s="823"/>
      <c r="W195" s="823"/>
      <c r="X195" s="823"/>
      <c r="Y195" s="823"/>
      <c r="Z195" s="823"/>
      <c r="AA195" s="823"/>
      <c r="AB195" s="823"/>
      <c r="AC195" s="823"/>
      <c r="AD195" s="823"/>
      <c r="AE195" s="823"/>
      <c r="AF195" s="824"/>
      <c r="AG195" s="823"/>
      <c r="AH195" s="823"/>
      <c r="AI195" s="823"/>
      <c r="AJ195" s="823"/>
      <c r="AK195" s="823"/>
      <c r="AL195" s="823"/>
      <c r="AM195" s="823"/>
      <c r="AN195" s="823"/>
      <c r="AO195" s="823"/>
      <c r="AP195" s="823"/>
      <c r="AQ195" s="823"/>
      <c r="AR195" s="824"/>
      <c r="AS195" s="823"/>
      <c r="AT195" s="823"/>
      <c r="AU195" s="823"/>
      <c r="AV195" s="823"/>
      <c r="AW195" s="823"/>
      <c r="AX195" s="823"/>
      <c r="AY195" s="823"/>
      <c r="AZ195" s="823"/>
      <c r="BA195" s="823"/>
      <c r="BB195" s="823"/>
      <c r="BC195" s="823"/>
      <c r="BD195" s="824"/>
      <c r="BE195" s="823"/>
      <c r="BF195" s="823"/>
      <c r="BG195" s="823"/>
      <c r="BH195" s="823"/>
      <c r="BI195" s="823"/>
      <c r="BJ195" s="823"/>
      <c r="BK195" s="823"/>
      <c r="BL195" s="823"/>
      <c r="BM195" s="823"/>
      <c r="BN195" s="823"/>
      <c r="BO195" s="823"/>
      <c r="BP195" s="824"/>
      <c r="BQ195" s="823"/>
      <c r="BR195" s="823"/>
      <c r="BS195" s="823"/>
      <c r="BT195" s="823"/>
      <c r="BU195" s="823"/>
      <c r="BV195" s="823"/>
      <c r="BW195" s="823"/>
      <c r="BX195" s="823"/>
      <c r="BY195" s="823"/>
      <c r="BZ195" s="823"/>
      <c r="CA195" s="823"/>
      <c r="CB195" s="824"/>
      <c r="DB195" s="1246"/>
      <c r="DC195" s="1246"/>
    </row>
    <row r="196" spans="1:107" s="745" customFormat="1">
      <c r="H196" s="824"/>
      <c r="I196" s="823"/>
      <c r="J196" s="823"/>
      <c r="K196" s="823"/>
      <c r="L196" s="823"/>
      <c r="M196" s="823"/>
      <c r="N196" s="823"/>
      <c r="O196" s="823"/>
      <c r="P196" s="823"/>
      <c r="Q196" s="823"/>
      <c r="R196" s="823"/>
      <c r="S196" s="823"/>
      <c r="T196" s="824"/>
      <c r="U196" s="823"/>
      <c r="V196" s="823"/>
      <c r="W196" s="823"/>
      <c r="X196" s="823"/>
      <c r="Y196" s="823"/>
      <c r="Z196" s="823"/>
      <c r="AA196" s="823"/>
      <c r="AB196" s="823"/>
      <c r="AC196" s="823"/>
      <c r="AD196" s="823"/>
      <c r="AE196" s="823"/>
      <c r="AF196" s="824"/>
      <c r="AG196" s="823"/>
      <c r="AH196" s="823"/>
      <c r="AI196" s="823"/>
      <c r="AJ196" s="823"/>
      <c r="AK196" s="823"/>
      <c r="AL196" s="823"/>
      <c r="AM196" s="823"/>
      <c r="AN196" s="823"/>
      <c r="AO196" s="823"/>
      <c r="AP196" s="823"/>
      <c r="AQ196" s="823"/>
      <c r="AR196" s="824"/>
      <c r="AS196" s="823"/>
      <c r="AT196" s="823"/>
      <c r="AU196" s="823"/>
      <c r="AV196" s="823"/>
      <c r="AW196" s="823"/>
      <c r="AX196" s="823"/>
      <c r="AY196" s="823"/>
      <c r="AZ196" s="823"/>
      <c r="BA196" s="823"/>
      <c r="BB196" s="823"/>
      <c r="BC196" s="823"/>
      <c r="BD196" s="824"/>
      <c r="BE196" s="823"/>
      <c r="BF196" s="823"/>
      <c r="BG196" s="823"/>
      <c r="BH196" s="823"/>
      <c r="BI196" s="823"/>
      <c r="BJ196" s="823"/>
      <c r="BK196" s="823"/>
      <c r="BL196" s="823"/>
      <c r="BM196" s="823"/>
      <c r="BN196" s="823"/>
      <c r="BO196" s="823"/>
      <c r="BP196" s="824"/>
      <c r="BQ196" s="823"/>
      <c r="BR196" s="823"/>
      <c r="BS196" s="823"/>
      <c r="BT196" s="823"/>
      <c r="BU196" s="823"/>
      <c r="BV196" s="823"/>
      <c r="BW196" s="823"/>
      <c r="BX196" s="823"/>
      <c r="BY196" s="823"/>
      <c r="BZ196" s="823"/>
      <c r="CA196" s="823"/>
      <c r="CB196" s="824"/>
      <c r="DB196" s="1246"/>
      <c r="DC196" s="1246"/>
    </row>
    <row r="197" spans="1:107" s="745" customFormat="1">
      <c r="D197" s="775" t="s">
        <v>62</v>
      </c>
      <c r="E197" s="775" t="s">
        <v>63</v>
      </c>
      <c r="F197" s="775"/>
      <c r="H197" s="821">
        <f t="shared" ref="H197:AM197" si="94">SUM(H169:H194)</f>
        <v>0</v>
      </c>
      <c r="I197" s="822">
        <f t="shared" si="94"/>
        <v>0</v>
      </c>
      <c r="J197" s="822">
        <f t="shared" si="94"/>
        <v>0</v>
      </c>
      <c r="K197" s="822">
        <f t="shared" si="94"/>
        <v>0</v>
      </c>
      <c r="L197" s="822">
        <f t="shared" si="94"/>
        <v>0</v>
      </c>
      <c r="M197" s="822">
        <f t="shared" si="94"/>
        <v>0</v>
      </c>
      <c r="N197" s="822">
        <f t="shared" si="94"/>
        <v>0</v>
      </c>
      <c r="O197" s="822">
        <f t="shared" si="94"/>
        <v>0</v>
      </c>
      <c r="P197" s="822">
        <f t="shared" si="94"/>
        <v>0</v>
      </c>
      <c r="Q197" s="822">
        <f t="shared" si="94"/>
        <v>0</v>
      </c>
      <c r="R197" s="822">
        <f t="shared" si="94"/>
        <v>0</v>
      </c>
      <c r="S197" s="822">
        <f t="shared" si="94"/>
        <v>0</v>
      </c>
      <c r="T197" s="821">
        <f t="shared" si="94"/>
        <v>0</v>
      </c>
      <c r="U197" s="822">
        <f t="shared" si="94"/>
        <v>0</v>
      </c>
      <c r="V197" s="822">
        <f t="shared" si="94"/>
        <v>0</v>
      </c>
      <c r="W197" s="822">
        <f t="shared" si="94"/>
        <v>0</v>
      </c>
      <c r="X197" s="822">
        <f t="shared" si="94"/>
        <v>0</v>
      </c>
      <c r="Y197" s="822">
        <f t="shared" si="94"/>
        <v>0</v>
      </c>
      <c r="Z197" s="822">
        <f t="shared" si="94"/>
        <v>0</v>
      </c>
      <c r="AA197" s="822">
        <f t="shared" si="94"/>
        <v>0</v>
      </c>
      <c r="AB197" s="822">
        <f t="shared" si="94"/>
        <v>0</v>
      </c>
      <c r="AC197" s="822">
        <f t="shared" si="94"/>
        <v>0</v>
      </c>
      <c r="AD197" s="822">
        <f t="shared" si="94"/>
        <v>0</v>
      </c>
      <c r="AE197" s="822">
        <f t="shared" si="94"/>
        <v>0</v>
      </c>
      <c r="AF197" s="821">
        <f t="shared" si="94"/>
        <v>0</v>
      </c>
      <c r="AG197" s="822">
        <f t="shared" si="94"/>
        <v>0</v>
      </c>
      <c r="AH197" s="822">
        <f t="shared" si="94"/>
        <v>0</v>
      </c>
      <c r="AI197" s="822">
        <f t="shared" si="94"/>
        <v>0</v>
      </c>
      <c r="AJ197" s="822">
        <f t="shared" si="94"/>
        <v>0</v>
      </c>
      <c r="AK197" s="822">
        <f t="shared" si="94"/>
        <v>0</v>
      </c>
      <c r="AL197" s="822">
        <f t="shared" si="94"/>
        <v>0</v>
      </c>
      <c r="AM197" s="822">
        <f t="shared" si="94"/>
        <v>0</v>
      </c>
      <c r="AN197" s="822">
        <f t="shared" ref="AN197:BS197" si="95">SUM(AN169:AN194)</f>
        <v>0</v>
      </c>
      <c r="AO197" s="822">
        <f t="shared" si="95"/>
        <v>0</v>
      </c>
      <c r="AP197" s="822">
        <f t="shared" si="95"/>
        <v>0</v>
      </c>
      <c r="AQ197" s="822">
        <f t="shared" si="95"/>
        <v>0</v>
      </c>
      <c r="AR197" s="821">
        <f t="shared" si="95"/>
        <v>0</v>
      </c>
      <c r="AS197" s="822">
        <f t="shared" si="95"/>
        <v>0</v>
      </c>
      <c r="AT197" s="822">
        <f t="shared" si="95"/>
        <v>0</v>
      </c>
      <c r="AU197" s="822">
        <f t="shared" si="95"/>
        <v>0</v>
      </c>
      <c r="AV197" s="822">
        <f t="shared" si="95"/>
        <v>0</v>
      </c>
      <c r="AW197" s="822">
        <f t="shared" si="95"/>
        <v>0</v>
      </c>
      <c r="AX197" s="822">
        <f t="shared" si="95"/>
        <v>0</v>
      </c>
      <c r="AY197" s="822">
        <f t="shared" si="95"/>
        <v>0</v>
      </c>
      <c r="AZ197" s="822">
        <f t="shared" si="95"/>
        <v>0</v>
      </c>
      <c r="BA197" s="822">
        <f t="shared" si="95"/>
        <v>0</v>
      </c>
      <c r="BB197" s="822">
        <f t="shared" si="95"/>
        <v>0</v>
      </c>
      <c r="BC197" s="822">
        <f t="shared" si="95"/>
        <v>0</v>
      </c>
      <c r="BD197" s="821">
        <f t="shared" si="95"/>
        <v>0</v>
      </c>
      <c r="BE197" s="822">
        <f t="shared" si="95"/>
        <v>0</v>
      </c>
      <c r="BF197" s="822">
        <f t="shared" si="95"/>
        <v>0</v>
      </c>
      <c r="BG197" s="822">
        <f t="shared" si="95"/>
        <v>0</v>
      </c>
      <c r="BH197" s="822">
        <f t="shared" si="95"/>
        <v>0</v>
      </c>
      <c r="BI197" s="822">
        <f t="shared" si="95"/>
        <v>0</v>
      </c>
      <c r="BJ197" s="822">
        <f t="shared" si="95"/>
        <v>0</v>
      </c>
      <c r="BK197" s="822">
        <f t="shared" si="95"/>
        <v>0</v>
      </c>
      <c r="BL197" s="822">
        <f t="shared" si="95"/>
        <v>0</v>
      </c>
      <c r="BM197" s="822">
        <f t="shared" si="95"/>
        <v>0</v>
      </c>
      <c r="BN197" s="822">
        <f t="shared" si="95"/>
        <v>0</v>
      </c>
      <c r="BO197" s="822">
        <f t="shared" si="95"/>
        <v>0</v>
      </c>
      <c r="BP197" s="821">
        <f t="shared" si="95"/>
        <v>0</v>
      </c>
      <c r="BQ197" s="822">
        <f t="shared" si="95"/>
        <v>0</v>
      </c>
      <c r="BR197" s="822">
        <f t="shared" si="95"/>
        <v>0</v>
      </c>
      <c r="BS197" s="822">
        <f t="shared" si="95"/>
        <v>0</v>
      </c>
      <c r="BT197" s="822">
        <f t="shared" ref="BT197:CA197" si="96">SUM(BT169:BT194)</f>
        <v>0</v>
      </c>
      <c r="BU197" s="822">
        <f t="shared" si="96"/>
        <v>0</v>
      </c>
      <c r="BV197" s="822">
        <f t="shared" si="96"/>
        <v>0</v>
      </c>
      <c r="BW197" s="822">
        <f t="shared" si="96"/>
        <v>0</v>
      </c>
      <c r="BX197" s="822">
        <f t="shared" si="96"/>
        <v>0</v>
      </c>
      <c r="BY197" s="822">
        <f t="shared" si="96"/>
        <v>0</v>
      </c>
      <c r="BZ197" s="822">
        <f t="shared" si="96"/>
        <v>0</v>
      </c>
      <c r="CA197" s="822">
        <f t="shared" si="96"/>
        <v>0</v>
      </c>
      <c r="CB197" s="821">
        <f>SUM(H197:CA197)</f>
        <v>0</v>
      </c>
      <c r="DA197" s="822">
        <f>SUM(DA169:DA194)</f>
        <v>0</v>
      </c>
      <c r="DB197" s="1246"/>
      <c r="DC197" s="1246"/>
    </row>
    <row r="198" spans="1:107" s="745" customFormat="1" ht="12" customHeight="1">
      <c r="D198" s="778" t="s">
        <v>66</v>
      </c>
      <c r="E198" s="775" t="s">
        <v>64</v>
      </c>
      <c r="F198" s="775"/>
      <c r="H198" s="821">
        <f t="shared" ref="H198:AM198" si="97">SUM(H4:H167)</f>
        <v>0</v>
      </c>
      <c r="I198" s="822">
        <f t="shared" si="97"/>
        <v>0</v>
      </c>
      <c r="J198" s="822">
        <f t="shared" si="97"/>
        <v>0</v>
      </c>
      <c r="K198" s="822">
        <f t="shared" si="97"/>
        <v>0</v>
      </c>
      <c r="L198" s="822">
        <f t="shared" si="97"/>
        <v>0</v>
      </c>
      <c r="M198" s="822">
        <f t="shared" si="97"/>
        <v>0</v>
      </c>
      <c r="N198" s="822">
        <f t="shared" si="97"/>
        <v>0</v>
      </c>
      <c r="O198" s="822">
        <f t="shared" si="97"/>
        <v>0</v>
      </c>
      <c r="P198" s="822">
        <f t="shared" si="97"/>
        <v>0</v>
      </c>
      <c r="Q198" s="822">
        <f t="shared" si="97"/>
        <v>0</v>
      </c>
      <c r="R198" s="822">
        <f t="shared" si="97"/>
        <v>0</v>
      </c>
      <c r="S198" s="822">
        <f t="shared" si="97"/>
        <v>0</v>
      </c>
      <c r="T198" s="821">
        <f t="shared" si="97"/>
        <v>0</v>
      </c>
      <c r="U198" s="822">
        <f t="shared" si="97"/>
        <v>0</v>
      </c>
      <c r="V198" s="822">
        <f t="shared" si="97"/>
        <v>0</v>
      </c>
      <c r="W198" s="822">
        <f t="shared" si="97"/>
        <v>0</v>
      </c>
      <c r="X198" s="822">
        <f t="shared" si="97"/>
        <v>0</v>
      </c>
      <c r="Y198" s="822">
        <f t="shared" si="97"/>
        <v>0</v>
      </c>
      <c r="Z198" s="822">
        <f t="shared" si="97"/>
        <v>0</v>
      </c>
      <c r="AA198" s="822">
        <f t="shared" si="97"/>
        <v>0</v>
      </c>
      <c r="AB198" s="822">
        <f t="shared" si="97"/>
        <v>0</v>
      </c>
      <c r="AC198" s="822">
        <f t="shared" si="97"/>
        <v>0</v>
      </c>
      <c r="AD198" s="822">
        <f t="shared" si="97"/>
        <v>0</v>
      </c>
      <c r="AE198" s="822">
        <f t="shared" si="97"/>
        <v>0</v>
      </c>
      <c r="AF198" s="821">
        <f t="shared" si="97"/>
        <v>0</v>
      </c>
      <c r="AG198" s="822">
        <f t="shared" si="97"/>
        <v>0</v>
      </c>
      <c r="AH198" s="822">
        <f t="shared" si="97"/>
        <v>0</v>
      </c>
      <c r="AI198" s="822">
        <f t="shared" si="97"/>
        <v>0</v>
      </c>
      <c r="AJ198" s="822">
        <f t="shared" si="97"/>
        <v>0</v>
      </c>
      <c r="AK198" s="822">
        <f t="shared" si="97"/>
        <v>0</v>
      </c>
      <c r="AL198" s="822">
        <f t="shared" si="97"/>
        <v>0</v>
      </c>
      <c r="AM198" s="822">
        <f t="shared" si="97"/>
        <v>0</v>
      </c>
      <c r="AN198" s="822">
        <f t="shared" ref="AN198:BS198" si="98">SUM(AN4:AN167)</f>
        <v>0</v>
      </c>
      <c r="AO198" s="822">
        <f t="shared" si="98"/>
        <v>0</v>
      </c>
      <c r="AP198" s="822">
        <f t="shared" si="98"/>
        <v>0</v>
      </c>
      <c r="AQ198" s="822">
        <f t="shared" si="98"/>
        <v>0</v>
      </c>
      <c r="AR198" s="821">
        <f t="shared" si="98"/>
        <v>0</v>
      </c>
      <c r="AS198" s="822">
        <f t="shared" si="98"/>
        <v>0</v>
      </c>
      <c r="AT198" s="822">
        <f t="shared" si="98"/>
        <v>0</v>
      </c>
      <c r="AU198" s="822">
        <f t="shared" si="98"/>
        <v>0</v>
      </c>
      <c r="AV198" s="822">
        <f t="shared" si="98"/>
        <v>0</v>
      </c>
      <c r="AW198" s="822">
        <f t="shared" si="98"/>
        <v>0</v>
      </c>
      <c r="AX198" s="822">
        <f t="shared" si="98"/>
        <v>0</v>
      </c>
      <c r="AY198" s="822">
        <f t="shared" si="98"/>
        <v>0</v>
      </c>
      <c r="AZ198" s="822">
        <f t="shared" si="98"/>
        <v>0</v>
      </c>
      <c r="BA198" s="822">
        <f t="shared" si="98"/>
        <v>0</v>
      </c>
      <c r="BB198" s="822">
        <f t="shared" si="98"/>
        <v>0</v>
      </c>
      <c r="BC198" s="822">
        <f t="shared" si="98"/>
        <v>0</v>
      </c>
      <c r="BD198" s="821">
        <f t="shared" si="98"/>
        <v>0</v>
      </c>
      <c r="BE198" s="822">
        <f t="shared" si="98"/>
        <v>0</v>
      </c>
      <c r="BF198" s="822">
        <f t="shared" si="98"/>
        <v>0</v>
      </c>
      <c r="BG198" s="822">
        <f t="shared" si="98"/>
        <v>0</v>
      </c>
      <c r="BH198" s="822">
        <f t="shared" si="98"/>
        <v>0</v>
      </c>
      <c r="BI198" s="822">
        <f t="shared" si="98"/>
        <v>0</v>
      </c>
      <c r="BJ198" s="822">
        <f t="shared" si="98"/>
        <v>0</v>
      </c>
      <c r="BK198" s="822">
        <f t="shared" si="98"/>
        <v>0</v>
      </c>
      <c r="BL198" s="822">
        <f t="shared" si="98"/>
        <v>0</v>
      </c>
      <c r="BM198" s="822">
        <f t="shared" si="98"/>
        <v>0</v>
      </c>
      <c r="BN198" s="822">
        <f t="shared" si="98"/>
        <v>0</v>
      </c>
      <c r="BO198" s="822">
        <f t="shared" si="98"/>
        <v>0</v>
      </c>
      <c r="BP198" s="821">
        <f t="shared" si="98"/>
        <v>0</v>
      </c>
      <c r="BQ198" s="822">
        <f t="shared" si="98"/>
        <v>0</v>
      </c>
      <c r="BR198" s="822">
        <f t="shared" si="98"/>
        <v>0</v>
      </c>
      <c r="BS198" s="822">
        <f t="shared" si="98"/>
        <v>0</v>
      </c>
      <c r="BT198" s="822">
        <f t="shared" ref="BT198:CA198" si="99">SUM(BT4:BT167)</f>
        <v>0</v>
      </c>
      <c r="BU198" s="822">
        <f t="shared" si="99"/>
        <v>0</v>
      </c>
      <c r="BV198" s="822">
        <f t="shared" si="99"/>
        <v>0</v>
      </c>
      <c r="BW198" s="822">
        <f t="shared" si="99"/>
        <v>0</v>
      </c>
      <c r="BX198" s="822">
        <f t="shared" si="99"/>
        <v>0</v>
      </c>
      <c r="BY198" s="822">
        <f t="shared" si="99"/>
        <v>0</v>
      </c>
      <c r="BZ198" s="822">
        <f t="shared" si="99"/>
        <v>0</v>
      </c>
      <c r="CA198" s="822">
        <f t="shared" si="99"/>
        <v>0</v>
      </c>
      <c r="CB198" s="821">
        <f>SUM(H198:CA198)</f>
        <v>0</v>
      </c>
      <c r="CF198" s="1293"/>
      <c r="CJ198" s="1293"/>
      <c r="CN198" s="833"/>
      <c r="CR198" s="833"/>
      <c r="CV198" s="833"/>
      <c r="DB198" s="1246"/>
      <c r="DC198" s="1246"/>
    </row>
    <row r="199" spans="1:107" s="745" customFormat="1">
      <c r="D199" s="775"/>
      <c r="E199" s="775" t="s">
        <v>65</v>
      </c>
      <c r="F199" s="775"/>
      <c r="H199" s="821">
        <f>H197-H198</f>
        <v>0</v>
      </c>
      <c r="I199" s="822">
        <f t="shared" ref="I199:AE199" si="100">I197-I198</f>
        <v>0</v>
      </c>
      <c r="J199" s="822">
        <f t="shared" si="100"/>
        <v>0</v>
      </c>
      <c r="K199" s="822">
        <f t="shared" si="100"/>
        <v>0</v>
      </c>
      <c r="L199" s="822">
        <f t="shared" si="100"/>
        <v>0</v>
      </c>
      <c r="M199" s="822">
        <f t="shared" si="100"/>
        <v>0</v>
      </c>
      <c r="N199" s="822">
        <f t="shared" si="100"/>
        <v>0</v>
      </c>
      <c r="O199" s="822">
        <f t="shared" si="100"/>
        <v>0</v>
      </c>
      <c r="P199" s="822">
        <f t="shared" si="100"/>
        <v>0</v>
      </c>
      <c r="Q199" s="822">
        <f t="shared" si="100"/>
        <v>0</v>
      </c>
      <c r="R199" s="822">
        <f t="shared" si="100"/>
        <v>0</v>
      </c>
      <c r="S199" s="822">
        <f t="shared" si="100"/>
        <v>0</v>
      </c>
      <c r="T199" s="821">
        <f t="shared" si="100"/>
        <v>0</v>
      </c>
      <c r="U199" s="822">
        <f t="shared" si="100"/>
        <v>0</v>
      </c>
      <c r="V199" s="822">
        <f t="shared" si="100"/>
        <v>0</v>
      </c>
      <c r="W199" s="822">
        <f t="shared" si="100"/>
        <v>0</v>
      </c>
      <c r="X199" s="822">
        <f t="shared" si="100"/>
        <v>0</v>
      </c>
      <c r="Y199" s="822">
        <f t="shared" si="100"/>
        <v>0</v>
      </c>
      <c r="Z199" s="822">
        <f t="shared" si="100"/>
        <v>0</v>
      </c>
      <c r="AA199" s="822">
        <f t="shared" si="100"/>
        <v>0</v>
      </c>
      <c r="AB199" s="822">
        <f t="shared" si="100"/>
        <v>0</v>
      </c>
      <c r="AC199" s="822">
        <f t="shared" si="100"/>
        <v>0</v>
      </c>
      <c r="AD199" s="822">
        <f t="shared" si="100"/>
        <v>0</v>
      </c>
      <c r="AE199" s="822">
        <f t="shared" si="100"/>
        <v>0</v>
      </c>
      <c r="AF199" s="821">
        <f t="shared" ref="AF199:AQ199" si="101">AF197-AF198</f>
        <v>0</v>
      </c>
      <c r="AG199" s="822">
        <f t="shared" si="101"/>
        <v>0</v>
      </c>
      <c r="AH199" s="822">
        <f t="shared" si="101"/>
        <v>0</v>
      </c>
      <c r="AI199" s="822">
        <f t="shared" si="101"/>
        <v>0</v>
      </c>
      <c r="AJ199" s="822">
        <f t="shared" si="101"/>
        <v>0</v>
      </c>
      <c r="AK199" s="822">
        <f t="shared" si="101"/>
        <v>0</v>
      </c>
      <c r="AL199" s="822">
        <f t="shared" si="101"/>
        <v>0</v>
      </c>
      <c r="AM199" s="822">
        <f t="shared" si="101"/>
        <v>0</v>
      </c>
      <c r="AN199" s="822">
        <f t="shared" si="101"/>
        <v>0</v>
      </c>
      <c r="AO199" s="822">
        <f t="shared" si="101"/>
        <v>0</v>
      </c>
      <c r="AP199" s="822">
        <f t="shared" si="101"/>
        <v>0</v>
      </c>
      <c r="AQ199" s="822">
        <f t="shared" si="101"/>
        <v>0</v>
      </c>
      <c r="AR199" s="821">
        <f t="shared" ref="AR199:BO199" si="102">AR197-AR198</f>
        <v>0</v>
      </c>
      <c r="AS199" s="822">
        <f t="shared" si="102"/>
        <v>0</v>
      </c>
      <c r="AT199" s="822">
        <f t="shared" si="102"/>
        <v>0</v>
      </c>
      <c r="AU199" s="822">
        <f t="shared" si="102"/>
        <v>0</v>
      </c>
      <c r="AV199" s="822">
        <f t="shared" si="102"/>
        <v>0</v>
      </c>
      <c r="AW199" s="822">
        <f t="shared" si="102"/>
        <v>0</v>
      </c>
      <c r="AX199" s="822">
        <f t="shared" si="102"/>
        <v>0</v>
      </c>
      <c r="AY199" s="822">
        <f t="shared" si="102"/>
        <v>0</v>
      </c>
      <c r="AZ199" s="822">
        <f t="shared" si="102"/>
        <v>0</v>
      </c>
      <c r="BA199" s="822">
        <f t="shared" si="102"/>
        <v>0</v>
      </c>
      <c r="BB199" s="822">
        <f t="shared" si="102"/>
        <v>0</v>
      </c>
      <c r="BC199" s="825">
        <f t="shared" si="102"/>
        <v>0</v>
      </c>
      <c r="BD199" s="821">
        <f t="shared" si="102"/>
        <v>0</v>
      </c>
      <c r="BE199" s="822">
        <f t="shared" si="102"/>
        <v>0</v>
      </c>
      <c r="BF199" s="822">
        <f t="shared" si="102"/>
        <v>0</v>
      </c>
      <c r="BG199" s="822">
        <f t="shared" si="102"/>
        <v>0</v>
      </c>
      <c r="BH199" s="822">
        <f t="shared" si="102"/>
        <v>0</v>
      </c>
      <c r="BI199" s="822">
        <f t="shared" si="102"/>
        <v>0</v>
      </c>
      <c r="BJ199" s="822">
        <f t="shared" si="102"/>
        <v>0</v>
      </c>
      <c r="BK199" s="822">
        <f t="shared" si="102"/>
        <v>0</v>
      </c>
      <c r="BL199" s="822">
        <f t="shared" si="102"/>
        <v>0</v>
      </c>
      <c r="BM199" s="822">
        <f t="shared" si="102"/>
        <v>0</v>
      </c>
      <c r="BN199" s="822">
        <f t="shared" si="102"/>
        <v>0</v>
      </c>
      <c r="BO199" s="822">
        <f t="shared" si="102"/>
        <v>0</v>
      </c>
      <c r="BP199" s="821">
        <f t="shared" ref="BP199:CA199" si="103">BP197-BP198</f>
        <v>0</v>
      </c>
      <c r="BQ199" s="822">
        <f t="shared" si="103"/>
        <v>0</v>
      </c>
      <c r="BR199" s="822">
        <f t="shared" si="103"/>
        <v>0</v>
      </c>
      <c r="BS199" s="822">
        <f t="shared" si="103"/>
        <v>0</v>
      </c>
      <c r="BT199" s="822">
        <f t="shared" si="103"/>
        <v>0</v>
      </c>
      <c r="BU199" s="822">
        <f t="shared" si="103"/>
        <v>0</v>
      </c>
      <c r="BV199" s="822">
        <f t="shared" si="103"/>
        <v>0</v>
      </c>
      <c r="BW199" s="822">
        <f t="shared" si="103"/>
        <v>0</v>
      </c>
      <c r="BX199" s="822">
        <f t="shared" si="103"/>
        <v>0</v>
      </c>
      <c r="BY199" s="822">
        <f t="shared" si="103"/>
        <v>0</v>
      </c>
      <c r="BZ199" s="822">
        <f t="shared" si="103"/>
        <v>0</v>
      </c>
      <c r="CA199" s="825">
        <f t="shared" si="103"/>
        <v>0</v>
      </c>
      <c r="CB199" s="821">
        <f>CB197-CB198</f>
        <v>0</v>
      </c>
      <c r="CF199" s="1293"/>
      <c r="CJ199" s="1293"/>
      <c r="CN199" s="833"/>
      <c r="CR199" s="833"/>
      <c r="CV199" s="833"/>
      <c r="DB199" s="1246"/>
      <c r="DC199" s="1246"/>
    </row>
    <row r="200" spans="1:107" ht="12.5" thickBot="1">
      <c r="H200" s="826"/>
      <c r="T200" s="826"/>
      <c r="AF200" s="826"/>
      <c r="AR200" s="828"/>
      <c r="BD200" s="826"/>
      <c r="BP200" s="828"/>
      <c r="CB200" s="1294"/>
      <c r="CF200" s="1293"/>
      <c r="CJ200" s="1293"/>
      <c r="CN200" s="833"/>
      <c r="CR200" s="833"/>
      <c r="CV200" s="833"/>
    </row>
    <row r="201" spans="1:107" ht="15.75" customHeight="1" thickBot="1">
      <c r="H201" s="826"/>
      <c r="T201" s="826"/>
      <c r="AF201" s="826"/>
      <c r="AR201" s="828"/>
      <c r="BD201" s="826"/>
      <c r="BP201" s="828"/>
      <c r="CB201" s="1294"/>
      <c r="CK201" s="1595" t="s">
        <v>240</v>
      </c>
      <c r="CL201" s="1596"/>
      <c r="CM201" s="1596"/>
      <c r="CN201" s="1597"/>
      <c r="CO201" s="1566" t="s">
        <v>241</v>
      </c>
      <c r="CP201" s="1567"/>
      <c r="CQ201" s="1567"/>
      <c r="CR201" s="1568"/>
      <c r="CS201" s="1569" t="s">
        <v>242</v>
      </c>
      <c r="CT201" s="1570"/>
      <c r="CU201" s="1570"/>
      <c r="CV201" s="1571"/>
      <c r="CW201" s="1572" t="s">
        <v>243</v>
      </c>
      <c r="CX201" s="1573"/>
      <c r="CY201" s="1573"/>
      <c r="CZ201" s="1574"/>
    </row>
    <row r="202" spans="1:107" s="745" customFormat="1">
      <c r="D202" s="766" t="str">
        <f>Variables!$A$38</f>
        <v>NG IT</v>
      </c>
      <c r="E202" s="766" t="s">
        <v>18</v>
      </c>
      <c r="G202" s="766" t="s">
        <v>20</v>
      </c>
      <c r="H202" s="829">
        <f>SUMIFS(H$5:H$167,$D$5:$D$167,$D202,$G$5:$G$167,$G202)</f>
        <v>0</v>
      </c>
      <c r="I202" s="830">
        <f t="shared" ref="I202:BD203" si="104">SUMIFS(I$5:I$167,$D$5:$D$167,$D202,$G$5:$G$167,$G202)</f>
        <v>0</v>
      </c>
      <c r="J202" s="830">
        <f t="shared" si="104"/>
        <v>0</v>
      </c>
      <c r="K202" s="830">
        <f t="shared" si="104"/>
        <v>0</v>
      </c>
      <c r="L202" s="830">
        <f t="shared" si="104"/>
        <v>0</v>
      </c>
      <c r="M202" s="830">
        <f t="shared" si="104"/>
        <v>0</v>
      </c>
      <c r="N202" s="830">
        <f t="shared" si="104"/>
        <v>0</v>
      </c>
      <c r="O202" s="830">
        <f t="shared" si="104"/>
        <v>0</v>
      </c>
      <c r="P202" s="830">
        <f t="shared" si="104"/>
        <v>0</v>
      </c>
      <c r="Q202" s="830">
        <f t="shared" si="104"/>
        <v>0</v>
      </c>
      <c r="R202" s="830">
        <f t="shared" si="104"/>
        <v>0</v>
      </c>
      <c r="S202" s="831">
        <f t="shared" si="104"/>
        <v>0</v>
      </c>
      <c r="T202" s="830">
        <f t="shared" si="104"/>
        <v>0</v>
      </c>
      <c r="U202" s="830">
        <f t="shared" si="104"/>
        <v>0</v>
      </c>
      <c r="V202" s="830">
        <f t="shared" si="104"/>
        <v>0</v>
      </c>
      <c r="W202" s="830">
        <f t="shared" si="104"/>
        <v>0</v>
      </c>
      <c r="X202" s="830">
        <f t="shared" si="104"/>
        <v>0</v>
      </c>
      <c r="Y202" s="830">
        <f t="shared" si="104"/>
        <v>0</v>
      </c>
      <c r="Z202" s="830">
        <f t="shared" si="104"/>
        <v>0</v>
      </c>
      <c r="AA202" s="830">
        <f t="shared" si="104"/>
        <v>0</v>
      </c>
      <c r="AB202" s="830">
        <f t="shared" si="104"/>
        <v>0</v>
      </c>
      <c r="AC202" s="830">
        <f t="shared" si="104"/>
        <v>0</v>
      </c>
      <c r="AD202" s="830">
        <f t="shared" si="104"/>
        <v>0</v>
      </c>
      <c r="AE202" s="831">
        <f t="shared" si="104"/>
        <v>0</v>
      </c>
      <c r="AF202" s="830">
        <f t="shared" si="104"/>
        <v>0</v>
      </c>
      <c r="AG202" s="830">
        <f t="shared" si="104"/>
        <v>0</v>
      </c>
      <c r="AH202" s="830">
        <f t="shared" si="104"/>
        <v>0</v>
      </c>
      <c r="AI202" s="830">
        <f t="shared" si="104"/>
        <v>0</v>
      </c>
      <c r="AJ202" s="830">
        <f t="shared" si="104"/>
        <v>0</v>
      </c>
      <c r="AK202" s="830">
        <f t="shared" si="104"/>
        <v>0</v>
      </c>
      <c r="AL202" s="830">
        <f t="shared" si="104"/>
        <v>0</v>
      </c>
      <c r="AM202" s="830">
        <f t="shared" si="104"/>
        <v>0</v>
      </c>
      <c r="AN202" s="830">
        <f t="shared" si="104"/>
        <v>0</v>
      </c>
      <c r="AO202" s="830">
        <f t="shared" si="104"/>
        <v>0</v>
      </c>
      <c r="AP202" s="830">
        <f t="shared" si="104"/>
        <v>0</v>
      </c>
      <c r="AQ202" s="831">
        <f t="shared" si="104"/>
        <v>0</v>
      </c>
      <c r="AR202" s="830">
        <f t="shared" si="104"/>
        <v>0</v>
      </c>
      <c r="AS202" s="830">
        <f t="shared" si="104"/>
        <v>0</v>
      </c>
      <c r="AT202" s="830">
        <f t="shared" si="104"/>
        <v>0</v>
      </c>
      <c r="AU202" s="830">
        <f t="shared" si="104"/>
        <v>0</v>
      </c>
      <c r="AV202" s="830">
        <f t="shared" si="104"/>
        <v>0</v>
      </c>
      <c r="AW202" s="830">
        <f t="shared" si="104"/>
        <v>0</v>
      </c>
      <c r="AX202" s="830">
        <f t="shared" si="104"/>
        <v>0</v>
      </c>
      <c r="AY202" s="830">
        <f t="shared" si="104"/>
        <v>0</v>
      </c>
      <c r="AZ202" s="830">
        <f t="shared" si="104"/>
        <v>0</v>
      </c>
      <c r="BA202" s="830">
        <f t="shared" si="104"/>
        <v>0</v>
      </c>
      <c r="BB202" s="830">
        <f t="shared" si="104"/>
        <v>0</v>
      </c>
      <c r="BC202" s="830">
        <f t="shared" si="104"/>
        <v>0</v>
      </c>
      <c r="BD202" s="829">
        <f t="shared" si="104"/>
        <v>0</v>
      </c>
      <c r="BE202" s="830">
        <f t="shared" ref="BE202:CA202" si="105">SUMIFS(BE$5:BE$167,$D$5:$D$167,$D202,$G$5:$G$167,$G202)</f>
        <v>0</v>
      </c>
      <c r="BF202" s="830">
        <f t="shared" si="105"/>
        <v>0</v>
      </c>
      <c r="BG202" s="830">
        <f t="shared" si="105"/>
        <v>0</v>
      </c>
      <c r="BH202" s="830">
        <f t="shared" si="105"/>
        <v>0</v>
      </c>
      <c r="BI202" s="830">
        <f t="shared" si="105"/>
        <v>0</v>
      </c>
      <c r="BJ202" s="830">
        <f t="shared" si="105"/>
        <v>0</v>
      </c>
      <c r="BK202" s="830">
        <f t="shared" si="105"/>
        <v>0</v>
      </c>
      <c r="BL202" s="830">
        <f t="shared" si="105"/>
        <v>0</v>
      </c>
      <c r="BM202" s="830">
        <f t="shared" si="105"/>
        <v>0</v>
      </c>
      <c r="BN202" s="830">
        <f t="shared" si="105"/>
        <v>0</v>
      </c>
      <c r="BO202" s="831">
        <f t="shared" si="105"/>
        <v>0</v>
      </c>
      <c r="BP202" s="830">
        <f t="shared" si="105"/>
        <v>0</v>
      </c>
      <c r="BQ202" s="830">
        <f t="shared" si="105"/>
        <v>0</v>
      </c>
      <c r="BR202" s="830">
        <f t="shared" si="105"/>
        <v>0</v>
      </c>
      <c r="BS202" s="830">
        <f t="shared" si="105"/>
        <v>0</v>
      </c>
      <c r="BT202" s="830">
        <f t="shared" si="105"/>
        <v>0</v>
      </c>
      <c r="BU202" s="830">
        <f t="shared" si="105"/>
        <v>0</v>
      </c>
      <c r="BV202" s="830">
        <f t="shared" si="105"/>
        <v>0</v>
      </c>
      <c r="BW202" s="830">
        <f t="shared" si="105"/>
        <v>0</v>
      </c>
      <c r="BX202" s="830">
        <f t="shared" si="105"/>
        <v>0</v>
      </c>
      <c r="BY202" s="830">
        <f t="shared" si="105"/>
        <v>0</v>
      </c>
      <c r="BZ202" s="830">
        <f t="shared" si="105"/>
        <v>0</v>
      </c>
      <c r="CA202" s="830">
        <f t="shared" si="105"/>
        <v>0</v>
      </c>
      <c r="CB202" s="829">
        <f>SUM(H202:CA202)</f>
        <v>0</v>
      </c>
      <c r="CC202" s="822">
        <f>SUMIFS(CC$5:CC$167,$D$5:$D$167,$D202,$G$5:$G$167,$G202)</f>
        <v>0</v>
      </c>
      <c r="CD202" s="822">
        <f>SUMIFS(CD$5:CD$167,$D$5:$D$167,$D202,$G$5:$G$167,$G202)</f>
        <v>0</v>
      </c>
      <c r="CE202" s="822">
        <f t="shared" ref="CE202:CE212" si="106">CC202-CD202</f>
        <v>0</v>
      </c>
      <c r="CF202" s="1563"/>
      <c r="CG202" s="822">
        <f>SUMIFS(CG$5:CG$167,$D$5:$D$167,$D202,$G$5:$G$167,$G202)</f>
        <v>0</v>
      </c>
      <c r="CH202" s="822">
        <f>SUMIFS(CH$5:CH$167,$D$5:$D$167,$D202,$G$5:$G$167,$G202)</f>
        <v>0</v>
      </c>
      <c r="CI202" s="822">
        <f>CG202-CH202</f>
        <v>0</v>
      </c>
      <c r="CJ202" s="1599"/>
      <c r="CK202" s="832">
        <f>SUMIFS(CK$5:CK$167,$D$5:$D$167,$D202,$G$5:$G$167,$G202)</f>
        <v>0</v>
      </c>
      <c r="CL202" s="822">
        <f>SUMIFS(CL$5:CL$167,$D$5:$D$167,$D202,$G$5:$G$167,$G202)</f>
        <v>0</v>
      </c>
      <c r="CM202" s="822">
        <f>CK202-CL202</f>
        <v>0</v>
      </c>
      <c r="CN202" s="1606">
        <f>IF(CM$238=0,0,(CM202+CM203)/CM$238)</f>
        <v>0</v>
      </c>
      <c r="CO202" s="832">
        <f>SUMIFS(CO$5:CO$167,$D$5:$D$167,$D202,$G$5:$G$167,$G202)</f>
        <v>0</v>
      </c>
      <c r="CP202" s="822">
        <f>SUMIFS(CP$5:CP$167,$D$5:$D$167,$D202,$G$5:$G$167,$G202)</f>
        <v>0</v>
      </c>
      <c r="CQ202" s="822">
        <f>CO202-CP202</f>
        <v>0</v>
      </c>
      <c r="CR202" s="1606">
        <f>IF(CQ$238=0,0,(CQ202+CQ203)/CQ$238)</f>
        <v>0</v>
      </c>
      <c r="CS202" s="832">
        <f>SUMIFS(CS$5:CS$167,$D$5:$D$167,$D202,$G$5:$G$167,$G202)</f>
        <v>0</v>
      </c>
      <c r="CT202" s="822">
        <f>SUMIFS(CT$5:CT$167,$D$5:$D$167,$D202,$G$5:$G$167,$G202)</f>
        <v>0</v>
      </c>
      <c r="CU202" s="822">
        <f>CS202-CT202</f>
        <v>0</v>
      </c>
      <c r="CV202" s="1606">
        <f>IF(CU$238=0,0,(CU202+CU203)/CU$238)</f>
        <v>0</v>
      </c>
      <c r="CW202" s="832">
        <f>SUMIFS(CW$5:CW$167,$D$5:$D$167,$D202,$G$5:$G$167,$G202)</f>
        <v>0</v>
      </c>
      <c r="CX202" s="822">
        <f>SUMIFS(CX$5:CX$167,$D$5:$D$167,$D202,$G$5:$G$167,$G202)</f>
        <v>0</v>
      </c>
      <c r="CY202" s="822">
        <f>CW202-CX202</f>
        <v>0</v>
      </c>
      <c r="CZ202" s="1582">
        <f>IF(CY$238=0,0,SUM(CY202:CY203)/CY$238)</f>
        <v>0</v>
      </c>
      <c r="DA202" s="822">
        <f>SUMIF('Monthly Summary'!C$75:BV$75,"",H202:CA202)</f>
        <v>0</v>
      </c>
      <c r="DB202" s="1246"/>
      <c r="DC202" s="1246"/>
    </row>
    <row r="203" spans="1:107" s="745" customFormat="1">
      <c r="D203" s="766" t="str">
        <f>Variables!$A$38</f>
        <v>NG IT</v>
      </c>
      <c r="E203" s="766" t="s">
        <v>18</v>
      </c>
      <c r="G203" s="766" t="s">
        <v>21</v>
      </c>
      <c r="H203" s="829">
        <f>SUMIFS(H$5:H$167,$D$5:$D$167,$D203,$G$5:$G$167,$G203)</f>
        <v>0</v>
      </c>
      <c r="I203" s="830">
        <f t="shared" si="104"/>
        <v>0</v>
      </c>
      <c r="J203" s="830">
        <f t="shared" si="104"/>
        <v>0</v>
      </c>
      <c r="K203" s="830">
        <f t="shared" si="104"/>
        <v>0</v>
      </c>
      <c r="L203" s="830">
        <f t="shared" si="104"/>
        <v>0</v>
      </c>
      <c r="M203" s="830">
        <f t="shared" si="104"/>
        <v>0</v>
      </c>
      <c r="N203" s="830">
        <f t="shared" si="104"/>
        <v>0</v>
      </c>
      <c r="O203" s="830">
        <f t="shared" si="104"/>
        <v>0</v>
      </c>
      <c r="P203" s="830">
        <f t="shared" si="104"/>
        <v>0</v>
      </c>
      <c r="Q203" s="830">
        <f t="shared" si="104"/>
        <v>0</v>
      </c>
      <c r="R203" s="830">
        <f t="shared" si="104"/>
        <v>0</v>
      </c>
      <c r="S203" s="831">
        <f t="shared" si="104"/>
        <v>0</v>
      </c>
      <c r="T203" s="830">
        <f t="shared" si="104"/>
        <v>0</v>
      </c>
      <c r="U203" s="830">
        <f t="shared" si="104"/>
        <v>0</v>
      </c>
      <c r="V203" s="830">
        <f t="shared" si="104"/>
        <v>0</v>
      </c>
      <c r="W203" s="830">
        <f t="shared" si="104"/>
        <v>0</v>
      </c>
      <c r="X203" s="830">
        <f t="shared" si="104"/>
        <v>0</v>
      </c>
      <c r="Y203" s="830">
        <f t="shared" si="104"/>
        <v>0</v>
      </c>
      <c r="Z203" s="830">
        <f t="shared" si="104"/>
        <v>0</v>
      </c>
      <c r="AA203" s="830">
        <f t="shared" si="104"/>
        <v>0</v>
      </c>
      <c r="AB203" s="830">
        <f t="shared" si="104"/>
        <v>0</v>
      </c>
      <c r="AC203" s="830">
        <f t="shared" si="104"/>
        <v>0</v>
      </c>
      <c r="AD203" s="830">
        <f t="shared" si="104"/>
        <v>0</v>
      </c>
      <c r="AE203" s="831">
        <f t="shared" si="104"/>
        <v>0</v>
      </c>
      <c r="AF203" s="830">
        <f t="shared" si="104"/>
        <v>0</v>
      </c>
      <c r="AG203" s="830">
        <f t="shared" si="104"/>
        <v>0</v>
      </c>
      <c r="AH203" s="830">
        <f t="shared" si="104"/>
        <v>0</v>
      </c>
      <c r="AI203" s="830">
        <f t="shared" si="104"/>
        <v>0</v>
      </c>
      <c r="AJ203" s="830">
        <f t="shared" si="104"/>
        <v>0</v>
      </c>
      <c r="AK203" s="830">
        <f t="shared" si="104"/>
        <v>0</v>
      </c>
      <c r="AL203" s="830">
        <f t="shared" si="104"/>
        <v>0</v>
      </c>
      <c r="AM203" s="830">
        <f t="shared" si="104"/>
        <v>0</v>
      </c>
      <c r="AN203" s="830">
        <f t="shared" si="104"/>
        <v>0</v>
      </c>
      <c r="AO203" s="830">
        <f t="shared" si="104"/>
        <v>0</v>
      </c>
      <c r="AP203" s="830">
        <f t="shared" si="104"/>
        <v>0</v>
      </c>
      <c r="AQ203" s="831">
        <f t="shared" si="104"/>
        <v>0</v>
      </c>
      <c r="AR203" s="830">
        <f t="shared" si="104"/>
        <v>0</v>
      </c>
      <c r="AS203" s="830">
        <f t="shared" si="104"/>
        <v>0</v>
      </c>
      <c r="AT203" s="830">
        <f t="shared" si="104"/>
        <v>0</v>
      </c>
      <c r="AU203" s="830">
        <f t="shared" si="104"/>
        <v>0</v>
      </c>
      <c r="AV203" s="830">
        <f t="shared" si="104"/>
        <v>0</v>
      </c>
      <c r="AW203" s="830">
        <f t="shared" si="104"/>
        <v>0</v>
      </c>
      <c r="AX203" s="830">
        <f t="shared" si="104"/>
        <v>0</v>
      </c>
      <c r="AY203" s="830">
        <f t="shared" si="104"/>
        <v>0</v>
      </c>
      <c r="AZ203" s="830">
        <f t="shared" si="104"/>
        <v>0</v>
      </c>
      <c r="BA203" s="830">
        <f t="shared" si="104"/>
        <v>0</v>
      </c>
      <c r="BB203" s="830">
        <f t="shared" si="104"/>
        <v>0</v>
      </c>
      <c r="BC203" s="830">
        <f t="shared" si="104"/>
        <v>0</v>
      </c>
      <c r="BD203" s="829">
        <f t="shared" ref="BD203:CA203" si="107">SUMIFS(BD$5:BD$167,$D$5:$D$167,$D203,$G$5:$G$167,$G203)</f>
        <v>0</v>
      </c>
      <c r="BE203" s="830">
        <f t="shared" si="107"/>
        <v>0</v>
      </c>
      <c r="BF203" s="830">
        <f t="shared" si="107"/>
        <v>0</v>
      </c>
      <c r="BG203" s="830">
        <f t="shared" si="107"/>
        <v>0</v>
      </c>
      <c r="BH203" s="830">
        <f t="shared" si="107"/>
        <v>0</v>
      </c>
      <c r="BI203" s="830">
        <f t="shared" si="107"/>
        <v>0</v>
      </c>
      <c r="BJ203" s="830">
        <f t="shared" si="107"/>
        <v>0</v>
      </c>
      <c r="BK203" s="830">
        <f t="shared" si="107"/>
        <v>0</v>
      </c>
      <c r="BL203" s="830">
        <f t="shared" si="107"/>
        <v>0</v>
      </c>
      <c r="BM203" s="830">
        <f t="shared" si="107"/>
        <v>0</v>
      </c>
      <c r="BN203" s="830">
        <f t="shared" si="107"/>
        <v>0</v>
      </c>
      <c r="BO203" s="831">
        <f t="shared" si="107"/>
        <v>0</v>
      </c>
      <c r="BP203" s="830">
        <f t="shared" si="107"/>
        <v>0</v>
      </c>
      <c r="BQ203" s="830">
        <f t="shared" si="107"/>
        <v>0</v>
      </c>
      <c r="BR203" s="830">
        <f t="shared" si="107"/>
        <v>0</v>
      </c>
      <c r="BS203" s="830">
        <f t="shared" si="107"/>
        <v>0</v>
      </c>
      <c r="BT203" s="830">
        <f t="shared" si="107"/>
        <v>0</v>
      </c>
      <c r="BU203" s="830">
        <f t="shared" si="107"/>
        <v>0</v>
      </c>
      <c r="BV203" s="830">
        <f t="shared" si="107"/>
        <v>0</v>
      </c>
      <c r="BW203" s="830">
        <f t="shared" si="107"/>
        <v>0</v>
      </c>
      <c r="BX203" s="830">
        <f t="shared" si="107"/>
        <v>0</v>
      </c>
      <c r="BY203" s="830">
        <f t="shared" si="107"/>
        <v>0</v>
      </c>
      <c r="BZ203" s="830">
        <f t="shared" si="107"/>
        <v>0</v>
      </c>
      <c r="CA203" s="830">
        <f t="shared" si="107"/>
        <v>0</v>
      </c>
      <c r="CB203" s="829">
        <f t="shared" ref="CB203:CB236" si="108">SUM(H203:CA203)</f>
        <v>0</v>
      </c>
      <c r="CC203" s="822">
        <f t="shared" ref="CC203:CD236" si="109">SUMIFS(CC$5:CC$167,$D$5:$D$167,$D203,$G$5:$G$167,$G203)</f>
        <v>0</v>
      </c>
      <c r="CD203" s="822">
        <f t="shared" si="109"/>
        <v>0</v>
      </c>
      <c r="CE203" s="822">
        <f t="shared" si="106"/>
        <v>0</v>
      </c>
      <c r="CF203" s="1563"/>
      <c r="CG203" s="822">
        <f t="shared" ref="CG203:CH236" si="110">SUMIFS(CG$5:CG$167,$D$5:$D$167,$D203,$G$5:$G$167,$G203)</f>
        <v>0</v>
      </c>
      <c r="CH203" s="822">
        <f t="shared" si="110"/>
        <v>0</v>
      </c>
      <c r="CI203" s="822">
        <f>CG203-CH203</f>
        <v>0</v>
      </c>
      <c r="CJ203" s="1599"/>
      <c r="CK203" s="832">
        <f t="shared" ref="CK203:CL218" si="111">SUMIFS(CK$5:CK$167,$D$5:$D$167,$D203,$G$5:$G$167,$G203)</f>
        <v>0</v>
      </c>
      <c r="CL203" s="822">
        <f t="shared" si="111"/>
        <v>0</v>
      </c>
      <c r="CM203" s="822">
        <f>CK203-CL203</f>
        <v>0</v>
      </c>
      <c r="CN203" s="1606"/>
      <c r="CO203" s="832">
        <f t="shared" ref="CO203:CP218" si="112">SUMIFS(CO$5:CO$167,$D$5:$D$167,$D203,$G$5:$G$167,$G203)</f>
        <v>0</v>
      </c>
      <c r="CP203" s="822">
        <f t="shared" si="112"/>
        <v>0</v>
      </c>
      <c r="CQ203" s="822">
        <f>CO203-CP203</f>
        <v>0</v>
      </c>
      <c r="CR203" s="1606"/>
      <c r="CS203" s="832">
        <f t="shared" ref="CS203:CT218" si="113">SUMIFS(CS$5:CS$167,$D$5:$D$167,$D203,$G$5:$G$167,$G203)</f>
        <v>0</v>
      </c>
      <c r="CT203" s="822">
        <f t="shared" si="113"/>
        <v>0</v>
      </c>
      <c r="CU203" s="822">
        <f>CS203-CT203</f>
        <v>0</v>
      </c>
      <c r="CV203" s="1606"/>
      <c r="CW203" s="832">
        <f t="shared" ref="CW203:CX236" si="114">SUMIFS(CW$5:CW$167,$D$5:$D$167,$D203,$G$5:$G$167,$G203)</f>
        <v>0</v>
      </c>
      <c r="CX203" s="822">
        <f t="shared" si="114"/>
        <v>0</v>
      </c>
      <c r="CY203" s="822">
        <f t="shared" ref="CY203:CY236" si="115">CW203-CX203</f>
        <v>0</v>
      </c>
      <c r="CZ203" s="1582"/>
      <c r="DA203" s="822">
        <f>SUMIF('Monthly Summary'!C$74:BV$74,"",H203:CA203)</f>
        <v>0</v>
      </c>
      <c r="DB203" s="1246"/>
      <c r="DC203" s="1246"/>
    </row>
    <row r="204" spans="1:107" s="745" customFormat="1">
      <c r="G204" s="746"/>
      <c r="H204" s="829"/>
      <c r="I204" s="830"/>
      <c r="J204" s="830"/>
      <c r="K204" s="830"/>
      <c r="L204" s="830"/>
      <c r="M204" s="830"/>
      <c r="N204" s="830"/>
      <c r="O204" s="830"/>
      <c r="P204" s="830"/>
      <c r="Q204" s="830"/>
      <c r="R204" s="830"/>
      <c r="S204" s="831"/>
      <c r="T204" s="830"/>
      <c r="U204" s="830"/>
      <c r="V204" s="830"/>
      <c r="W204" s="830"/>
      <c r="X204" s="830"/>
      <c r="Y204" s="830"/>
      <c r="Z204" s="830"/>
      <c r="AA204" s="830"/>
      <c r="AB204" s="830"/>
      <c r="AC204" s="830"/>
      <c r="AD204" s="830"/>
      <c r="AE204" s="831"/>
      <c r="AF204" s="830"/>
      <c r="AG204" s="830"/>
      <c r="AH204" s="830"/>
      <c r="AI204" s="830"/>
      <c r="AJ204" s="830"/>
      <c r="AK204" s="830"/>
      <c r="AL204" s="830"/>
      <c r="AM204" s="830"/>
      <c r="AN204" s="830"/>
      <c r="AO204" s="830"/>
      <c r="AP204" s="830"/>
      <c r="AQ204" s="831"/>
      <c r="AR204" s="830"/>
      <c r="AS204" s="830"/>
      <c r="AT204" s="830"/>
      <c r="AU204" s="830"/>
      <c r="AV204" s="830"/>
      <c r="AW204" s="830"/>
      <c r="AX204" s="830"/>
      <c r="AY204" s="830"/>
      <c r="AZ204" s="830"/>
      <c r="BA204" s="830"/>
      <c r="BB204" s="830"/>
      <c r="BC204" s="830"/>
      <c r="BD204" s="829"/>
      <c r="BE204" s="830"/>
      <c r="BF204" s="830"/>
      <c r="BG204" s="830"/>
      <c r="BH204" s="830"/>
      <c r="BI204" s="830"/>
      <c r="BJ204" s="830"/>
      <c r="BK204" s="830"/>
      <c r="BL204" s="830"/>
      <c r="BM204" s="830"/>
      <c r="BN204" s="830"/>
      <c r="BO204" s="831"/>
      <c r="BP204" s="830"/>
      <c r="BQ204" s="830"/>
      <c r="BR204" s="830"/>
      <c r="BS204" s="830"/>
      <c r="BT204" s="830"/>
      <c r="BU204" s="830"/>
      <c r="BV204" s="830"/>
      <c r="BW204" s="830"/>
      <c r="BX204" s="830"/>
      <c r="BY204" s="830"/>
      <c r="BZ204" s="830"/>
      <c r="CA204" s="830"/>
      <c r="CB204" s="829"/>
      <c r="CC204" s="822"/>
      <c r="CD204" s="822"/>
      <c r="CE204" s="822"/>
      <c r="CF204" s="833"/>
      <c r="CG204" s="822"/>
      <c r="CH204" s="822"/>
      <c r="CI204" s="822"/>
      <c r="CJ204" s="833"/>
      <c r="CK204" s="832"/>
      <c r="CL204" s="822"/>
      <c r="CM204" s="822"/>
      <c r="CN204" s="834"/>
      <c r="CO204" s="832"/>
      <c r="CP204" s="822"/>
      <c r="CQ204" s="822"/>
      <c r="CR204" s="834"/>
      <c r="CS204" s="832"/>
      <c r="CT204" s="822"/>
      <c r="CU204" s="822"/>
      <c r="CV204" s="834"/>
      <c r="CW204" s="832"/>
      <c r="CX204" s="822"/>
      <c r="CY204" s="822"/>
      <c r="CZ204" s="835"/>
      <c r="DA204" s="823"/>
      <c r="DB204" s="1246"/>
      <c r="DC204" s="1246"/>
    </row>
    <row r="205" spans="1:107" s="745" customFormat="1">
      <c r="D205" s="766" t="str">
        <f>Variables!$A$39</f>
        <v>IBM</v>
      </c>
      <c r="E205" s="766" t="s">
        <v>18</v>
      </c>
      <c r="G205" s="766" t="s">
        <v>20</v>
      </c>
      <c r="H205" s="829">
        <f>SUMIFS(H$5:H$167,$D$5:$D$167,$D205,$G$5:$G$167,$G205)</f>
        <v>0</v>
      </c>
      <c r="I205" s="830">
        <f t="shared" ref="I205:BD206" si="116">SUMIFS(I$5:I$167,$D$5:$D$167,$D205,$G$5:$G$167,$G205)</f>
        <v>0</v>
      </c>
      <c r="J205" s="830">
        <f t="shared" si="116"/>
        <v>0</v>
      </c>
      <c r="K205" s="830">
        <f t="shared" si="116"/>
        <v>0</v>
      </c>
      <c r="L205" s="830">
        <f t="shared" si="116"/>
        <v>0</v>
      </c>
      <c r="M205" s="830">
        <f t="shared" si="116"/>
        <v>0</v>
      </c>
      <c r="N205" s="830">
        <f t="shared" si="116"/>
        <v>0</v>
      </c>
      <c r="O205" s="830">
        <f t="shared" si="116"/>
        <v>0</v>
      </c>
      <c r="P205" s="830">
        <f t="shared" si="116"/>
        <v>0</v>
      </c>
      <c r="Q205" s="830">
        <f t="shared" si="116"/>
        <v>0</v>
      </c>
      <c r="R205" s="830">
        <f t="shared" si="116"/>
        <v>0</v>
      </c>
      <c r="S205" s="831">
        <f t="shared" si="116"/>
        <v>0</v>
      </c>
      <c r="T205" s="830">
        <f t="shared" si="116"/>
        <v>0</v>
      </c>
      <c r="U205" s="830">
        <f t="shared" si="116"/>
        <v>0</v>
      </c>
      <c r="V205" s="830">
        <f t="shared" si="116"/>
        <v>0</v>
      </c>
      <c r="W205" s="830">
        <f t="shared" si="116"/>
        <v>0</v>
      </c>
      <c r="X205" s="830">
        <f t="shared" si="116"/>
        <v>0</v>
      </c>
      <c r="Y205" s="830">
        <f t="shared" si="116"/>
        <v>0</v>
      </c>
      <c r="Z205" s="830">
        <f t="shared" si="116"/>
        <v>0</v>
      </c>
      <c r="AA205" s="830">
        <f t="shared" si="116"/>
        <v>0</v>
      </c>
      <c r="AB205" s="830">
        <f t="shared" si="116"/>
        <v>0</v>
      </c>
      <c r="AC205" s="830">
        <f t="shared" si="116"/>
        <v>0</v>
      </c>
      <c r="AD205" s="830">
        <f t="shared" si="116"/>
        <v>0</v>
      </c>
      <c r="AE205" s="831">
        <f t="shared" si="116"/>
        <v>0</v>
      </c>
      <c r="AF205" s="830">
        <f t="shared" si="116"/>
        <v>0</v>
      </c>
      <c r="AG205" s="830">
        <f t="shared" si="116"/>
        <v>0</v>
      </c>
      <c r="AH205" s="830">
        <f t="shared" si="116"/>
        <v>0</v>
      </c>
      <c r="AI205" s="830">
        <f t="shared" si="116"/>
        <v>0</v>
      </c>
      <c r="AJ205" s="830">
        <f t="shared" si="116"/>
        <v>0</v>
      </c>
      <c r="AK205" s="830">
        <f t="shared" si="116"/>
        <v>0</v>
      </c>
      <c r="AL205" s="830">
        <f t="shared" si="116"/>
        <v>0</v>
      </c>
      <c r="AM205" s="830">
        <f t="shared" si="116"/>
        <v>0</v>
      </c>
      <c r="AN205" s="830">
        <f t="shared" si="116"/>
        <v>0</v>
      </c>
      <c r="AO205" s="830">
        <f t="shared" si="116"/>
        <v>0</v>
      </c>
      <c r="AP205" s="830">
        <f t="shared" si="116"/>
        <v>0</v>
      </c>
      <c r="AQ205" s="831">
        <f t="shared" si="116"/>
        <v>0</v>
      </c>
      <c r="AR205" s="830">
        <f t="shared" si="116"/>
        <v>0</v>
      </c>
      <c r="AS205" s="830">
        <f t="shared" si="116"/>
        <v>0</v>
      </c>
      <c r="AT205" s="830">
        <f t="shared" si="116"/>
        <v>0</v>
      </c>
      <c r="AU205" s="830">
        <f t="shared" si="116"/>
        <v>0</v>
      </c>
      <c r="AV205" s="830">
        <f t="shared" si="116"/>
        <v>0</v>
      </c>
      <c r="AW205" s="830">
        <f t="shared" si="116"/>
        <v>0</v>
      </c>
      <c r="AX205" s="830">
        <f t="shared" si="116"/>
        <v>0</v>
      </c>
      <c r="AY205" s="830">
        <f t="shared" si="116"/>
        <v>0</v>
      </c>
      <c r="AZ205" s="830">
        <f t="shared" si="116"/>
        <v>0</v>
      </c>
      <c r="BA205" s="830">
        <f t="shared" si="116"/>
        <v>0</v>
      </c>
      <c r="BB205" s="830">
        <f t="shared" si="116"/>
        <v>0</v>
      </c>
      <c r="BC205" s="830">
        <f t="shared" si="116"/>
        <v>0</v>
      </c>
      <c r="BD205" s="829">
        <f t="shared" si="116"/>
        <v>0</v>
      </c>
      <c r="BE205" s="830">
        <f t="shared" ref="BE205:CA205" si="117">SUMIFS(BE$5:BE$167,$D$5:$D$167,$D205,$G$5:$G$167,$G205)</f>
        <v>0</v>
      </c>
      <c r="BF205" s="830">
        <f t="shared" si="117"/>
        <v>0</v>
      </c>
      <c r="BG205" s="830">
        <f t="shared" si="117"/>
        <v>0</v>
      </c>
      <c r="BH205" s="830">
        <f t="shared" si="117"/>
        <v>0</v>
      </c>
      <c r="BI205" s="830">
        <f t="shared" si="117"/>
        <v>0</v>
      </c>
      <c r="BJ205" s="830">
        <f t="shared" si="117"/>
        <v>0</v>
      </c>
      <c r="BK205" s="830">
        <f t="shared" si="117"/>
        <v>0</v>
      </c>
      <c r="BL205" s="830">
        <f t="shared" si="117"/>
        <v>0</v>
      </c>
      <c r="BM205" s="830">
        <f t="shared" si="117"/>
        <v>0</v>
      </c>
      <c r="BN205" s="830">
        <f t="shared" si="117"/>
        <v>0</v>
      </c>
      <c r="BO205" s="831">
        <f t="shared" si="117"/>
        <v>0</v>
      </c>
      <c r="BP205" s="830">
        <f t="shared" si="117"/>
        <v>0</v>
      </c>
      <c r="BQ205" s="830">
        <f t="shared" si="117"/>
        <v>0</v>
      </c>
      <c r="BR205" s="830">
        <f t="shared" si="117"/>
        <v>0</v>
      </c>
      <c r="BS205" s="830">
        <f t="shared" si="117"/>
        <v>0</v>
      </c>
      <c r="BT205" s="830">
        <f t="shared" si="117"/>
        <v>0</v>
      </c>
      <c r="BU205" s="830">
        <f t="shared" si="117"/>
        <v>0</v>
      </c>
      <c r="BV205" s="830">
        <f t="shared" si="117"/>
        <v>0</v>
      </c>
      <c r="BW205" s="830">
        <f t="shared" si="117"/>
        <v>0</v>
      </c>
      <c r="BX205" s="830">
        <f t="shared" si="117"/>
        <v>0</v>
      </c>
      <c r="BY205" s="830">
        <f t="shared" si="117"/>
        <v>0</v>
      </c>
      <c r="BZ205" s="830">
        <f t="shared" si="117"/>
        <v>0</v>
      </c>
      <c r="CA205" s="830">
        <f t="shared" si="117"/>
        <v>0</v>
      </c>
      <c r="CB205" s="829">
        <f t="shared" si="108"/>
        <v>0</v>
      </c>
      <c r="CC205" s="822">
        <f t="shared" si="109"/>
        <v>0</v>
      </c>
      <c r="CD205" s="822">
        <f t="shared" si="109"/>
        <v>0</v>
      </c>
      <c r="CE205" s="822">
        <f t="shared" si="106"/>
        <v>0</v>
      </c>
      <c r="CF205" s="1599"/>
      <c r="CG205" s="822">
        <f t="shared" si="110"/>
        <v>0</v>
      </c>
      <c r="CH205" s="822">
        <f t="shared" si="110"/>
        <v>0</v>
      </c>
      <c r="CI205" s="822">
        <f>CG205-CH205</f>
        <v>0</v>
      </c>
      <c r="CJ205" s="1599"/>
      <c r="CK205" s="832">
        <f t="shared" si="111"/>
        <v>0</v>
      </c>
      <c r="CL205" s="822">
        <f t="shared" si="111"/>
        <v>0</v>
      </c>
      <c r="CM205" s="822">
        <f>CK205-CL205</f>
        <v>0</v>
      </c>
      <c r="CN205" s="1606">
        <f>IF(CM$238=0,0,(CM205+CM206)/CM$238)</f>
        <v>0</v>
      </c>
      <c r="CO205" s="832">
        <f t="shared" si="112"/>
        <v>0</v>
      </c>
      <c r="CP205" s="822">
        <f t="shared" si="112"/>
        <v>0</v>
      </c>
      <c r="CQ205" s="822">
        <f>CO205-CP205</f>
        <v>0</v>
      </c>
      <c r="CR205" s="1606">
        <f>IF(CQ$238=0,0,(CQ205+CQ206)/CQ$238)</f>
        <v>0</v>
      </c>
      <c r="CS205" s="832">
        <f t="shared" si="113"/>
        <v>0</v>
      </c>
      <c r="CT205" s="822">
        <f t="shared" si="113"/>
        <v>0</v>
      </c>
      <c r="CU205" s="822">
        <f>CS205-CT205</f>
        <v>0</v>
      </c>
      <c r="CV205" s="1606">
        <f>IF(CU$238=0,0,(CU205+CU206)/CU$238)</f>
        <v>0</v>
      </c>
      <c r="CW205" s="832">
        <f t="shared" si="114"/>
        <v>0</v>
      </c>
      <c r="CX205" s="822">
        <f t="shared" si="114"/>
        <v>0</v>
      </c>
      <c r="CY205" s="822">
        <f t="shared" si="115"/>
        <v>0</v>
      </c>
      <c r="CZ205" s="1582">
        <f>IF(CY$238=0,0,SUM(CY205:CY206)/CY$238)</f>
        <v>0</v>
      </c>
      <c r="DA205" s="822">
        <f>SUMIF('Monthly Summary'!C$75:BV$75,"",H205:CA205)</f>
        <v>0</v>
      </c>
      <c r="DB205" s="1246"/>
      <c r="DC205" s="1246"/>
    </row>
    <row r="206" spans="1:107" s="745" customFormat="1">
      <c r="D206" s="766" t="str">
        <f>Variables!$A$39</f>
        <v>IBM</v>
      </c>
      <c r="E206" s="766" t="s">
        <v>18</v>
      </c>
      <c r="G206" s="766" t="s">
        <v>21</v>
      </c>
      <c r="H206" s="829">
        <f>SUMIFS(H$5:H$167,$D$5:$D$167,$D206,$G$5:$G$167,$G206)</f>
        <v>0</v>
      </c>
      <c r="I206" s="830">
        <f t="shared" si="116"/>
        <v>0</v>
      </c>
      <c r="J206" s="830">
        <f t="shared" si="116"/>
        <v>0</v>
      </c>
      <c r="K206" s="830">
        <f t="shared" si="116"/>
        <v>0</v>
      </c>
      <c r="L206" s="830">
        <f t="shared" si="116"/>
        <v>0</v>
      </c>
      <c r="M206" s="830">
        <f t="shared" si="116"/>
        <v>0</v>
      </c>
      <c r="N206" s="830">
        <f t="shared" si="116"/>
        <v>0</v>
      </c>
      <c r="O206" s="830">
        <f t="shared" si="116"/>
        <v>0</v>
      </c>
      <c r="P206" s="830">
        <f t="shared" si="116"/>
        <v>0</v>
      </c>
      <c r="Q206" s="830">
        <f t="shared" si="116"/>
        <v>0</v>
      </c>
      <c r="R206" s="830">
        <f t="shared" si="116"/>
        <v>0</v>
      </c>
      <c r="S206" s="831">
        <f t="shared" si="116"/>
        <v>0</v>
      </c>
      <c r="T206" s="830">
        <f t="shared" si="116"/>
        <v>0</v>
      </c>
      <c r="U206" s="830">
        <f t="shared" si="116"/>
        <v>0</v>
      </c>
      <c r="V206" s="830">
        <f t="shared" si="116"/>
        <v>0</v>
      </c>
      <c r="W206" s="830">
        <f t="shared" si="116"/>
        <v>0</v>
      </c>
      <c r="X206" s="830">
        <f t="shared" si="116"/>
        <v>0</v>
      </c>
      <c r="Y206" s="830">
        <f t="shared" si="116"/>
        <v>0</v>
      </c>
      <c r="Z206" s="830">
        <f t="shared" si="116"/>
        <v>0</v>
      </c>
      <c r="AA206" s="830">
        <f t="shared" si="116"/>
        <v>0</v>
      </c>
      <c r="AB206" s="830">
        <f t="shared" si="116"/>
        <v>0</v>
      </c>
      <c r="AC206" s="830">
        <f t="shared" si="116"/>
        <v>0</v>
      </c>
      <c r="AD206" s="830">
        <f t="shared" si="116"/>
        <v>0</v>
      </c>
      <c r="AE206" s="831">
        <f t="shared" si="116"/>
        <v>0</v>
      </c>
      <c r="AF206" s="830">
        <f t="shared" si="116"/>
        <v>0</v>
      </c>
      <c r="AG206" s="830">
        <f t="shared" si="116"/>
        <v>0</v>
      </c>
      <c r="AH206" s="830">
        <f t="shared" si="116"/>
        <v>0</v>
      </c>
      <c r="AI206" s="830">
        <f t="shared" si="116"/>
        <v>0</v>
      </c>
      <c r="AJ206" s="830">
        <f t="shared" si="116"/>
        <v>0</v>
      </c>
      <c r="AK206" s="830">
        <f t="shared" si="116"/>
        <v>0</v>
      </c>
      <c r="AL206" s="830">
        <f t="shared" si="116"/>
        <v>0</v>
      </c>
      <c r="AM206" s="830">
        <f t="shared" si="116"/>
        <v>0</v>
      </c>
      <c r="AN206" s="830">
        <f t="shared" si="116"/>
        <v>0</v>
      </c>
      <c r="AO206" s="830">
        <f t="shared" si="116"/>
        <v>0</v>
      </c>
      <c r="AP206" s="830">
        <f t="shared" si="116"/>
        <v>0</v>
      </c>
      <c r="AQ206" s="831">
        <f t="shared" si="116"/>
        <v>0</v>
      </c>
      <c r="AR206" s="830">
        <f t="shared" si="116"/>
        <v>0</v>
      </c>
      <c r="AS206" s="830">
        <f t="shared" si="116"/>
        <v>0</v>
      </c>
      <c r="AT206" s="830">
        <f t="shared" si="116"/>
        <v>0</v>
      </c>
      <c r="AU206" s="830">
        <f t="shared" si="116"/>
        <v>0</v>
      </c>
      <c r="AV206" s="830">
        <f t="shared" si="116"/>
        <v>0</v>
      </c>
      <c r="AW206" s="830">
        <f t="shared" si="116"/>
        <v>0</v>
      </c>
      <c r="AX206" s="830">
        <f t="shared" si="116"/>
        <v>0</v>
      </c>
      <c r="AY206" s="830">
        <f t="shared" si="116"/>
        <v>0</v>
      </c>
      <c r="AZ206" s="830">
        <f t="shared" si="116"/>
        <v>0</v>
      </c>
      <c r="BA206" s="830">
        <f t="shared" si="116"/>
        <v>0</v>
      </c>
      <c r="BB206" s="830">
        <f t="shared" si="116"/>
        <v>0</v>
      </c>
      <c r="BC206" s="830">
        <f t="shared" si="116"/>
        <v>0</v>
      </c>
      <c r="BD206" s="829">
        <f t="shared" ref="BD206:CA206" si="118">SUMIFS(BD$5:BD$167,$D$5:$D$167,$D206,$G$5:$G$167,$G206)</f>
        <v>0</v>
      </c>
      <c r="BE206" s="830">
        <f t="shared" si="118"/>
        <v>0</v>
      </c>
      <c r="BF206" s="830">
        <f t="shared" si="118"/>
        <v>0</v>
      </c>
      <c r="BG206" s="830">
        <f t="shared" si="118"/>
        <v>0</v>
      </c>
      <c r="BH206" s="830">
        <f t="shared" si="118"/>
        <v>0</v>
      </c>
      <c r="BI206" s="830">
        <f t="shared" si="118"/>
        <v>0</v>
      </c>
      <c r="BJ206" s="830">
        <f t="shared" si="118"/>
        <v>0</v>
      </c>
      <c r="BK206" s="830">
        <f t="shared" si="118"/>
        <v>0</v>
      </c>
      <c r="BL206" s="830">
        <f t="shared" si="118"/>
        <v>0</v>
      </c>
      <c r="BM206" s="830">
        <f t="shared" si="118"/>
        <v>0</v>
      </c>
      <c r="BN206" s="830">
        <f t="shared" si="118"/>
        <v>0</v>
      </c>
      <c r="BO206" s="831">
        <f t="shared" si="118"/>
        <v>0</v>
      </c>
      <c r="BP206" s="830">
        <f t="shared" si="118"/>
        <v>0</v>
      </c>
      <c r="BQ206" s="830">
        <f t="shared" si="118"/>
        <v>0</v>
      </c>
      <c r="BR206" s="830">
        <f t="shared" si="118"/>
        <v>0</v>
      </c>
      <c r="BS206" s="830">
        <f t="shared" si="118"/>
        <v>0</v>
      </c>
      <c r="BT206" s="830">
        <f t="shared" si="118"/>
        <v>0</v>
      </c>
      <c r="BU206" s="830">
        <f t="shared" si="118"/>
        <v>0</v>
      </c>
      <c r="BV206" s="830">
        <f t="shared" si="118"/>
        <v>0</v>
      </c>
      <c r="BW206" s="830">
        <f t="shared" si="118"/>
        <v>0</v>
      </c>
      <c r="BX206" s="830">
        <f t="shared" si="118"/>
        <v>0</v>
      </c>
      <c r="BY206" s="830">
        <f t="shared" si="118"/>
        <v>0</v>
      </c>
      <c r="BZ206" s="830">
        <f t="shared" si="118"/>
        <v>0</v>
      </c>
      <c r="CA206" s="830">
        <f t="shared" si="118"/>
        <v>0</v>
      </c>
      <c r="CB206" s="829">
        <f t="shared" si="108"/>
        <v>0</v>
      </c>
      <c r="CC206" s="822">
        <f t="shared" si="109"/>
        <v>0</v>
      </c>
      <c r="CD206" s="822">
        <f t="shared" si="109"/>
        <v>0</v>
      </c>
      <c r="CE206" s="822">
        <f t="shared" si="106"/>
        <v>0</v>
      </c>
      <c r="CF206" s="1599"/>
      <c r="CG206" s="822">
        <f t="shared" si="110"/>
        <v>0</v>
      </c>
      <c r="CH206" s="822">
        <f t="shared" si="110"/>
        <v>0</v>
      </c>
      <c r="CI206" s="822">
        <f>CG206-CH206</f>
        <v>0</v>
      </c>
      <c r="CJ206" s="1599"/>
      <c r="CK206" s="832">
        <f t="shared" si="111"/>
        <v>0</v>
      </c>
      <c r="CL206" s="822">
        <f t="shared" si="111"/>
        <v>0</v>
      </c>
      <c r="CM206" s="822">
        <f>CK206-CL206</f>
        <v>0</v>
      </c>
      <c r="CN206" s="1606"/>
      <c r="CO206" s="832">
        <f t="shared" si="112"/>
        <v>0</v>
      </c>
      <c r="CP206" s="822">
        <f t="shared" si="112"/>
        <v>0</v>
      </c>
      <c r="CQ206" s="822">
        <f>CO206-CP206</f>
        <v>0</v>
      </c>
      <c r="CR206" s="1606"/>
      <c r="CS206" s="832">
        <f t="shared" si="113"/>
        <v>0</v>
      </c>
      <c r="CT206" s="822">
        <f t="shared" si="113"/>
        <v>0</v>
      </c>
      <c r="CU206" s="822">
        <f>CS206-CT206</f>
        <v>0</v>
      </c>
      <c r="CV206" s="1606"/>
      <c r="CW206" s="832">
        <f t="shared" si="114"/>
        <v>0</v>
      </c>
      <c r="CX206" s="822">
        <f t="shared" si="114"/>
        <v>0</v>
      </c>
      <c r="CY206" s="822">
        <f t="shared" si="115"/>
        <v>0</v>
      </c>
      <c r="CZ206" s="1582"/>
      <c r="DA206" s="822">
        <f>SUMIF('Monthly Summary'!C$74:BV$74,"",H206:CA206)</f>
        <v>0</v>
      </c>
      <c r="DB206" s="1246"/>
      <c r="DC206" s="1246"/>
    </row>
    <row r="207" spans="1:107" s="745" customFormat="1">
      <c r="G207" s="746"/>
      <c r="H207" s="829"/>
      <c r="I207" s="830"/>
      <c r="J207" s="830"/>
      <c r="K207" s="830"/>
      <c r="L207" s="830"/>
      <c r="M207" s="830"/>
      <c r="N207" s="830"/>
      <c r="O207" s="830"/>
      <c r="P207" s="830"/>
      <c r="Q207" s="830"/>
      <c r="R207" s="830"/>
      <c r="S207" s="831"/>
      <c r="T207" s="830"/>
      <c r="U207" s="830"/>
      <c r="V207" s="830"/>
      <c r="W207" s="830"/>
      <c r="X207" s="830"/>
      <c r="Y207" s="830"/>
      <c r="Z207" s="830"/>
      <c r="AA207" s="830"/>
      <c r="AB207" s="830"/>
      <c r="AC207" s="830"/>
      <c r="AD207" s="830"/>
      <c r="AE207" s="831"/>
      <c r="AF207" s="830"/>
      <c r="AG207" s="830"/>
      <c r="AH207" s="830"/>
      <c r="AI207" s="830"/>
      <c r="AJ207" s="830"/>
      <c r="AK207" s="830"/>
      <c r="AL207" s="830"/>
      <c r="AM207" s="830"/>
      <c r="AN207" s="830"/>
      <c r="AO207" s="830"/>
      <c r="AP207" s="830"/>
      <c r="AQ207" s="831"/>
      <c r="AR207" s="830"/>
      <c r="AS207" s="830"/>
      <c r="AT207" s="830"/>
      <c r="AU207" s="830"/>
      <c r="AV207" s="830"/>
      <c r="AW207" s="830"/>
      <c r="AX207" s="830"/>
      <c r="AY207" s="830"/>
      <c r="AZ207" s="830"/>
      <c r="BA207" s="830"/>
      <c r="BB207" s="830"/>
      <c r="BC207" s="830"/>
      <c r="BD207" s="829"/>
      <c r="BE207" s="830"/>
      <c r="BF207" s="830"/>
      <c r="BG207" s="830"/>
      <c r="BH207" s="830"/>
      <c r="BI207" s="830"/>
      <c r="BJ207" s="830"/>
      <c r="BK207" s="830"/>
      <c r="BL207" s="830"/>
      <c r="BM207" s="830"/>
      <c r="BN207" s="830"/>
      <c r="BO207" s="831"/>
      <c r="BP207" s="830"/>
      <c r="BQ207" s="830"/>
      <c r="BR207" s="830"/>
      <c r="BS207" s="830"/>
      <c r="BT207" s="830"/>
      <c r="BU207" s="830"/>
      <c r="BV207" s="830"/>
      <c r="BW207" s="830"/>
      <c r="BX207" s="830"/>
      <c r="BY207" s="830"/>
      <c r="BZ207" s="830"/>
      <c r="CA207" s="830"/>
      <c r="CB207" s="829"/>
      <c r="CC207" s="822"/>
      <c r="CD207" s="822"/>
      <c r="CE207" s="822"/>
      <c r="CF207" s="833"/>
      <c r="CG207" s="822"/>
      <c r="CH207" s="822"/>
      <c r="CI207" s="822"/>
      <c r="CJ207" s="833"/>
      <c r="CK207" s="832"/>
      <c r="CL207" s="822"/>
      <c r="CM207" s="822"/>
      <c r="CN207" s="834"/>
      <c r="CO207" s="832"/>
      <c r="CP207" s="822"/>
      <c r="CQ207" s="822"/>
      <c r="CR207" s="834"/>
      <c r="CS207" s="832"/>
      <c r="CT207" s="822"/>
      <c r="CU207" s="822"/>
      <c r="CV207" s="834"/>
      <c r="CW207" s="832"/>
      <c r="CX207" s="822"/>
      <c r="CY207" s="822"/>
      <c r="CZ207" s="835"/>
      <c r="DA207" s="823"/>
      <c r="DB207" s="1246"/>
      <c r="DC207" s="1246"/>
    </row>
    <row r="208" spans="1:107" s="745" customFormat="1">
      <c r="D208" s="766" t="str">
        <f>Variables!$A$40</f>
        <v>WiPro</v>
      </c>
      <c r="E208" s="766" t="s">
        <v>18</v>
      </c>
      <c r="G208" s="766" t="s">
        <v>20</v>
      </c>
      <c r="H208" s="829">
        <f>SUMIFS(H$5:H$167,$D$5:$D$167,$D208,$G$5:$G$167,$G208)</f>
        <v>0</v>
      </c>
      <c r="I208" s="830">
        <f t="shared" ref="I208:BD209" si="119">SUMIFS(I$5:I$167,$D$5:$D$167,$D208,$G$5:$G$167,$G208)</f>
        <v>0</v>
      </c>
      <c r="J208" s="830">
        <f t="shared" si="119"/>
        <v>0</v>
      </c>
      <c r="K208" s="830">
        <f t="shared" si="119"/>
        <v>0</v>
      </c>
      <c r="L208" s="830">
        <f t="shared" si="119"/>
        <v>0</v>
      </c>
      <c r="M208" s="830">
        <f t="shared" si="119"/>
        <v>0</v>
      </c>
      <c r="N208" s="830">
        <f t="shared" si="119"/>
        <v>0</v>
      </c>
      <c r="O208" s="830">
        <f t="shared" si="119"/>
        <v>0</v>
      </c>
      <c r="P208" s="830">
        <f t="shared" si="119"/>
        <v>0</v>
      </c>
      <c r="Q208" s="830">
        <f t="shared" si="119"/>
        <v>0</v>
      </c>
      <c r="R208" s="830">
        <f t="shared" si="119"/>
        <v>0</v>
      </c>
      <c r="S208" s="831">
        <f t="shared" si="119"/>
        <v>0</v>
      </c>
      <c r="T208" s="830">
        <f t="shared" si="119"/>
        <v>0</v>
      </c>
      <c r="U208" s="830">
        <f t="shared" si="119"/>
        <v>0</v>
      </c>
      <c r="V208" s="830">
        <f t="shared" si="119"/>
        <v>0</v>
      </c>
      <c r="W208" s="830">
        <f t="shared" si="119"/>
        <v>0</v>
      </c>
      <c r="X208" s="830">
        <f t="shared" si="119"/>
        <v>0</v>
      </c>
      <c r="Y208" s="830">
        <f t="shared" si="119"/>
        <v>0</v>
      </c>
      <c r="Z208" s="830">
        <f t="shared" si="119"/>
        <v>0</v>
      </c>
      <c r="AA208" s="830">
        <f t="shared" si="119"/>
        <v>0</v>
      </c>
      <c r="AB208" s="830">
        <f t="shared" si="119"/>
        <v>0</v>
      </c>
      <c r="AC208" s="830">
        <f t="shared" si="119"/>
        <v>0</v>
      </c>
      <c r="AD208" s="830">
        <f t="shared" si="119"/>
        <v>0</v>
      </c>
      <c r="AE208" s="831">
        <f t="shared" si="119"/>
        <v>0</v>
      </c>
      <c r="AF208" s="830">
        <f t="shared" si="119"/>
        <v>0</v>
      </c>
      <c r="AG208" s="830">
        <f t="shared" si="119"/>
        <v>0</v>
      </c>
      <c r="AH208" s="830">
        <f t="shared" si="119"/>
        <v>0</v>
      </c>
      <c r="AI208" s="830">
        <f t="shared" si="119"/>
        <v>0</v>
      </c>
      <c r="AJ208" s="830">
        <f t="shared" si="119"/>
        <v>0</v>
      </c>
      <c r="AK208" s="830">
        <f t="shared" si="119"/>
        <v>0</v>
      </c>
      <c r="AL208" s="830">
        <f t="shared" si="119"/>
        <v>0</v>
      </c>
      <c r="AM208" s="830">
        <f t="shared" si="119"/>
        <v>0</v>
      </c>
      <c r="AN208" s="830">
        <f t="shared" si="119"/>
        <v>0</v>
      </c>
      <c r="AO208" s="830">
        <f t="shared" si="119"/>
        <v>0</v>
      </c>
      <c r="AP208" s="830">
        <f t="shared" si="119"/>
        <v>0</v>
      </c>
      <c r="AQ208" s="831">
        <f t="shared" si="119"/>
        <v>0</v>
      </c>
      <c r="AR208" s="830">
        <f t="shared" si="119"/>
        <v>0</v>
      </c>
      <c r="AS208" s="830">
        <f t="shared" si="119"/>
        <v>0</v>
      </c>
      <c r="AT208" s="830">
        <f t="shared" si="119"/>
        <v>0</v>
      </c>
      <c r="AU208" s="830">
        <f t="shared" si="119"/>
        <v>0</v>
      </c>
      <c r="AV208" s="830">
        <f t="shared" si="119"/>
        <v>0</v>
      </c>
      <c r="AW208" s="830">
        <f t="shared" si="119"/>
        <v>0</v>
      </c>
      <c r="AX208" s="830">
        <f t="shared" si="119"/>
        <v>0</v>
      </c>
      <c r="AY208" s="830">
        <f t="shared" si="119"/>
        <v>0</v>
      </c>
      <c r="AZ208" s="830">
        <f t="shared" si="119"/>
        <v>0</v>
      </c>
      <c r="BA208" s="830">
        <f t="shared" si="119"/>
        <v>0</v>
      </c>
      <c r="BB208" s="830">
        <f t="shared" si="119"/>
        <v>0</v>
      </c>
      <c r="BC208" s="830">
        <f t="shared" si="119"/>
        <v>0</v>
      </c>
      <c r="BD208" s="829">
        <f t="shared" si="119"/>
        <v>0</v>
      </c>
      <c r="BE208" s="830">
        <f t="shared" ref="BE208:CA208" si="120">SUMIFS(BE$5:BE$167,$D$5:$D$167,$D208,$G$5:$G$167,$G208)</f>
        <v>0</v>
      </c>
      <c r="BF208" s="830">
        <f t="shared" si="120"/>
        <v>0</v>
      </c>
      <c r="BG208" s="830">
        <f t="shared" si="120"/>
        <v>0</v>
      </c>
      <c r="BH208" s="830">
        <f t="shared" si="120"/>
        <v>0</v>
      </c>
      <c r="BI208" s="830">
        <f t="shared" si="120"/>
        <v>0</v>
      </c>
      <c r="BJ208" s="830">
        <f t="shared" si="120"/>
        <v>0</v>
      </c>
      <c r="BK208" s="830">
        <f t="shared" si="120"/>
        <v>0</v>
      </c>
      <c r="BL208" s="830">
        <f t="shared" si="120"/>
        <v>0</v>
      </c>
      <c r="BM208" s="830">
        <f t="shared" si="120"/>
        <v>0</v>
      </c>
      <c r="BN208" s="830">
        <f t="shared" si="120"/>
        <v>0</v>
      </c>
      <c r="BO208" s="831">
        <f t="shared" si="120"/>
        <v>0</v>
      </c>
      <c r="BP208" s="830">
        <f t="shared" si="120"/>
        <v>0</v>
      </c>
      <c r="BQ208" s="830">
        <f t="shared" si="120"/>
        <v>0</v>
      </c>
      <c r="BR208" s="830">
        <f t="shared" si="120"/>
        <v>0</v>
      </c>
      <c r="BS208" s="830">
        <f t="shared" si="120"/>
        <v>0</v>
      </c>
      <c r="BT208" s="830">
        <f t="shared" si="120"/>
        <v>0</v>
      </c>
      <c r="BU208" s="830">
        <f t="shared" si="120"/>
        <v>0</v>
      </c>
      <c r="BV208" s="830">
        <f t="shared" si="120"/>
        <v>0</v>
      </c>
      <c r="BW208" s="830">
        <f t="shared" si="120"/>
        <v>0</v>
      </c>
      <c r="BX208" s="830">
        <f t="shared" si="120"/>
        <v>0</v>
      </c>
      <c r="BY208" s="830">
        <f t="shared" si="120"/>
        <v>0</v>
      </c>
      <c r="BZ208" s="830">
        <f t="shared" si="120"/>
        <v>0</v>
      </c>
      <c r="CA208" s="830">
        <f t="shared" si="120"/>
        <v>0</v>
      </c>
      <c r="CB208" s="829">
        <f t="shared" si="108"/>
        <v>0</v>
      </c>
      <c r="CC208" s="822">
        <f t="shared" si="109"/>
        <v>0</v>
      </c>
      <c r="CD208" s="822">
        <f t="shared" si="109"/>
        <v>0</v>
      </c>
      <c r="CE208" s="822">
        <f t="shared" si="106"/>
        <v>0</v>
      </c>
      <c r="CF208" s="1599"/>
      <c r="CG208" s="822">
        <f t="shared" si="110"/>
        <v>0</v>
      </c>
      <c r="CH208" s="822">
        <f t="shared" si="110"/>
        <v>0</v>
      </c>
      <c r="CI208" s="822">
        <f>CG208-CH208</f>
        <v>0</v>
      </c>
      <c r="CJ208" s="1599"/>
      <c r="CK208" s="832">
        <f t="shared" si="111"/>
        <v>0</v>
      </c>
      <c r="CL208" s="822">
        <f t="shared" si="111"/>
        <v>0</v>
      </c>
      <c r="CM208" s="822">
        <f>CK208-CL208</f>
        <v>0</v>
      </c>
      <c r="CN208" s="1606">
        <f>IF(CM$238=0,0,(CM208+CM209)/CM$238)</f>
        <v>0</v>
      </c>
      <c r="CO208" s="832">
        <f t="shared" si="112"/>
        <v>0</v>
      </c>
      <c r="CP208" s="822">
        <f t="shared" si="112"/>
        <v>0</v>
      </c>
      <c r="CQ208" s="822">
        <f>CO208-CP208</f>
        <v>0</v>
      </c>
      <c r="CR208" s="1606">
        <f>IF(CQ$238=0,0,(CQ208+CQ209)/CQ$238)</f>
        <v>0</v>
      </c>
      <c r="CS208" s="832">
        <f t="shared" si="113"/>
        <v>0</v>
      </c>
      <c r="CT208" s="822">
        <f t="shared" si="113"/>
        <v>0</v>
      </c>
      <c r="CU208" s="822">
        <f>CS208-CT208</f>
        <v>0</v>
      </c>
      <c r="CV208" s="1606">
        <f>IF(CU$238=0,0,(CU208+CU209)/CU$238)</f>
        <v>0</v>
      </c>
      <c r="CW208" s="832">
        <f t="shared" si="114"/>
        <v>0</v>
      </c>
      <c r="CX208" s="822">
        <f t="shared" si="114"/>
        <v>0</v>
      </c>
      <c r="CY208" s="822">
        <f t="shared" si="115"/>
        <v>0</v>
      </c>
      <c r="CZ208" s="1582">
        <f>IF(CY$238=0,0,SUM(CY208:CY209)/CY$238)</f>
        <v>0</v>
      </c>
      <c r="DA208" s="822">
        <f>SUMIF('Monthly Summary'!C$75:BV$75,"",H208:CA208)</f>
        <v>0</v>
      </c>
      <c r="DB208" s="1246"/>
      <c r="DC208" s="1246"/>
    </row>
    <row r="209" spans="4:107" s="745" customFormat="1">
      <c r="D209" s="766" t="str">
        <f>Variables!$A$40</f>
        <v>WiPro</v>
      </c>
      <c r="E209" s="766" t="s">
        <v>18</v>
      </c>
      <c r="G209" s="766" t="s">
        <v>21</v>
      </c>
      <c r="H209" s="829">
        <f>SUMIFS(H$5:H$167,$D$5:$D$167,$D209,$G$5:$G$167,$G209)</f>
        <v>0</v>
      </c>
      <c r="I209" s="830">
        <f t="shared" si="119"/>
        <v>0</v>
      </c>
      <c r="J209" s="830">
        <f t="shared" si="119"/>
        <v>0</v>
      </c>
      <c r="K209" s="830">
        <f t="shared" si="119"/>
        <v>0</v>
      </c>
      <c r="L209" s="830">
        <f t="shared" si="119"/>
        <v>0</v>
      </c>
      <c r="M209" s="830">
        <f t="shared" si="119"/>
        <v>0</v>
      </c>
      <c r="N209" s="830">
        <f t="shared" si="119"/>
        <v>0</v>
      </c>
      <c r="O209" s="830">
        <f t="shared" si="119"/>
        <v>0</v>
      </c>
      <c r="P209" s="830">
        <f t="shared" si="119"/>
        <v>0</v>
      </c>
      <c r="Q209" s="830">
        <f t="shared" si="119"/>
        <v>0</v>
      </c>
      <c r="R209" s="830">
        <f t="shared" si="119"/>
        <v>0</v>
      </c>
      <c r="S209" s="831">
        <f t="shared" si="119"/>
        <v>0</v>
      </c>
      <c r="T209" s="830">
        <f t="shared" si="119"/>
        <v>0</v>
      </c>
      <c r="U209" s="830">
        <f t="shared" si="119"/>
        <v>0</v>
      </c>
      <c r="V209" s="830">
        <f t="shared" si="119"/>
        <v>0</v>
      </c>
      <c r="W209" s="830">
        <f t="shared" si="119"/>
        <v>0</v>
      </c>
      <c r="X209" s="830">
        <f t="shared" si="119"/>
        <v>0</v>
      </c>
      <c r="Y209" s="830">
        <f t="shared" si="119"/>
        <v>0</v>
      </c>
      <c r="Z209" s="830">
        <f t="shared" si="119"/>
        <v>0</v>
      </c>
      <c r="AA209" s="830">
        <f t="shared" si="119"/>
        <v>0</v>
      </c>
      <c r="AB209" s="830">
        <f t="shared" si="119"/>
        <v>0</v>
      </c>
      <c r="AC209" s="830">
        <f t="shared" si="119"/>
        <v>0</v>
      </c>
      <c r="AD209" s="830">
        <f t="shared" si="119"/>
        <v>0</v>
      </c>
      <c r="AE209" s="831">
        <f t="shared" si="119"/>
        <v>0</v>
      </c>
      <c r="AF209" s="830">
        <f t="shared" si="119"/>
        <v>0</v>
      </c>
      <c r="AG209" s="830">
        <f t="shared" si="119"/>
        <v>0</v>
      </c>
      <c r="AH209" s="830">
        <f t="shared" si="119"/>
        <v>0</v>
      </c>
      <c r="AI209" s="830">
        <f t="shared" si="119"/>
        <v>0</v>
      </c>
      <c r="AJ209" s="830">
        <f t="shared" si="119"/>
        <v>0</v>
      </c>
      <c r="AK209" s="830">
        <f t="shared" si="119"/>
        <v>0</v>
      </c>
      <c r="AL209" s="830">
        <f t="shared" si="119"/>
        <v>0</v>
      </c>
      <c r="AM209" s="830">
        <f t="shared" si="119"/>
        <v>0</v>
      </c>
      <c r="AN209" s="830">
        <f t="shared" si="119"/>
        <v>0</v>
      </c>
      <c r="AO209" s="830">
        <f t="shared" si="119"/>
        <v>0</v>
      </c>
      <c r="AP209" s="830">
        <f t="shared" si="119"/>
        <v>0</v>
      </c>
      <c r="AQ209" s="831">
        <f t="shared" si="119"/>
        <v>0</v>
      </c>
      <c r="AR209" s="830">
        <f t="shared" si="119"/>
        <v>0</v>
      </c>
      <c r="AS209" s="830">
        <f t="shared" si="119"/>
        <v>0</v>
      </c>
      <c r="AT209" s="830">
        <f t="shared" si="119"/>
        <v>0</v>
      </c>
      <c r="AU209" s="830">
        <f t="shared" si="119"/>
        <v>0</v>
      </c>
      <c r="AV209" s="830">
        <f t="shared" si="119"/>
        <v>0</v>
      </c>
      <c r="AW209" s="830">
        <f t="shared" si="119"/>
        <v>0</v>
      </c>
      <c r="AX209" s="830">
        <f t="shared" si="119"/>
        <v>0</v>
      </c>
      <c r="AY209" s="830">
        <f t="shared" si="119"/>
        <v>0</v>
      </c>
      <c r="AZ209" s="830">
        <f t="shared" si="119"/>
        <v>0</v>
      </c>
      <c r="BA209" s="830">
        <f t="shared" si="119"/>
        <v>0</v>
      </c>
      <c r="BB209" s="830">
        <f t="shared" si="119"/>
        <v>0</v>
      </c>
      <c r="BC209" s="830">
        <f t="shared" si="119"/>
        <v>0</v>
      </c>
      <c r="BD209" s="829">
        <f t="shared" ref="BD209:CA209" si="121">SUMIFS(BD$5:BD$167,$D$5:$D$167,$D209,$G$5:$G$167,$G209)</f>
        <v>0</v>
      </c>
      <c r="BE209" s="830">
        <f t="shared" si="121"/>
        <v>0</v>
      </c>
      <c r="BF209" s="830">
        <f t="shared" si="121"/>
        <v>0</v>
      </c>
      <c r="BG209" s="830">
        <f t="shared" si="121"/>
        <v>0</v>
      </c>
      <c r="BH209" s="830">
        <f t="shared" si="121"/>
        <v>0</v>
      </c>
      <c r="BI209" s="830">
        <f t="shared" si="121"/>
        <v>0</v>
      </c>
      <c r="BJ209" s="830">
        <f t="shared" si="121"/>
        <v>0</v>
      </c>
      <c r="BK209" s="830">
        <f t="shared" si="121"/>
        <v>0</v>
      </c>
      <c r="BL209" s="830">
        <f t="shared" si="121"/>
        <v>0</v>
      </c>
      <c r="BM209" s="830">
        <f t="shared" si="121"/>
        <v>0</v>
      </c>
      <c r="BN209" s="830">
        <f t="shared" si="121"/>
        <v>0</v>
      </c>
      <c r="BO209" s="831">
        <f t="shared" si="121"/>
        <v>0</v>
      </c>
      <c r="BP209" s="830">
        <f t="shared" si="121"/>
        <v>0</v>
      </c>
      <c r="BQ209" s="830">
        <f t="shared" si="121"/>
        <v>0</v>
      </c>
      <c r="BR209" s="830">
        <f t="shared" si="121"/>
        <v>0</v>
      </c>
      <c r="BS209" s="830">
        <f t="shared" si="121"/>
        <v>0</v>
      </c>
      <c r="BT209" s="830">
        <f t="shared" si="121"/>
        <v>0</v>
      </c>
      <c r="BU209" s="830">
        <f t="shared" si="121"/>
        <v>0</v>
      </c>
      <c r="BV209" s="830">
        <f t="shared" si="121"/>
        <v>0</v>
      </c>
      <c r="BW209" s="830">
        <f t="shared" si="121"/>
        <v>0</v>
      </c>
      <c r="BX209" s="830">
        <f t="shared" si="121"/>
        <v>0</v>
      </c>
      <c r="BY209" s="830">
        <f t="shared" si="121"/>
        <v>0</v>
      </c>
      <c r="BZ209" s="830">
        <f t="shared" si="121"/>
        <v>0</v>
      </c>
      <c r="CA209" s="830">
        <f t="shared" si="121"/>
        <v>0</v>
      </c>
      <c r="CB209" s="829">
        <f t="shared" si="108"/>
        <v>0</v>
      </c>
      <c r="CC209" s="822">
        <f t="shared" si="109"/>
        <v>0</v>
      </c>
      <c r="CD209" s="822">
        <f t="shared" si="109"/>
        <v>0</v>
      </c>
      <c r="CE209" s="822">
        <f t="shared" si="106"/>
        <v>0</v>
      </c>
      <c r="CF209" s="1599"/>
      <c r="CG209" s="822">
        <f t="shared" si="110"/>
        <v>0</v>
      </c>
      <c r="CH209" s="822">
        <f t="shared" si="110"/>
        <v>0</v>
      </c>
      <c r="CI209" s="822">
        <f>CG209-CH209</f>
        <v>0</v>
      </c>
      <c r="CJ209" s="1599"/>
      <c r="CK209" s="832">
        <f t="shared" si="111"/>
        <v>0</v>
      </c>
      <c r="CL209" s="822">
        <f t="shared" si="111"/>
        <v>0</v>
      </c>
      <c r="CM209" s="822">
        <f>CK209-CL209</f>
        <v>0</v>
      </c>
      <c r="CN209" s="1606"/>
      <c r="CO209" s="832">
        <f t="shared" si="112"/>
        <v>0</v>
      </c>
      <c r="CP209" s="822">
        <f t="shared" si="112"/>
        <v>0</v>
      </c>
      <c r="CQ209" s="822">
        <f>CO209-CP209</f>
        <v>0</v>
      </c>
      <c r="CR209" s="1606"/>
      <c r="CS209" s="832">
        <f t="shared" si="113"/>
        <v>0</v>
      </c>
      <c r="CT209" s="822">
        <f t="shared" si="113"/>
        <v>0</v>
      </c>
      <c r="CU209" s="822">
        <f>CS209-CT209</f>
        <v>0</v>
      </c>
      <c r="CV209" s="1606"/>
      <c r="CW209" s="832">
        <f t="shared" si="114"/>
        <v>0</v>
      </c>
      <c r="CX209" s="822">
        <f t="shared" si="114"/>
        <v>0</v>
      </c>
      <c r="CY209" s="822">
        <f t="shared" si="115"/>
        <v>0</v>
      </c>
      <c r="CZ209" s="1582"/>
      <c r="DA209" s="822">
        <f>SUMIF('Monthly Summary'!C$74:BV$74,"",H209:CA209)</f>
        <v>0</v>
      </c>
      <c r="DB209" s="1246"/>
      <c r="DC209" s="1246"/>
    </row>
    <row r="210" spans="4:107" s="745" customFormat="1">
      <c r="G210" s="746"/>
      <c r="H210" s="829"/>
      <c r="I210" s="830"/>
      <c r="J210" s="830"/>
      <c r="K210" s="830"/>
      <c r="L210" s="830"/>
      <c r="M210" s="830"/>
      <c r="N210" s="830"/>
      <c r="O210" s="830"/>
      <c r="P210" s="830"/>
      <c r="Q210" s="830"/>
      <c r="R210" s="830"/>
      <c r="S210" s="831"/>
      <c r="T210" s="830"/>
      <c r="U210" s="830"/>
      <c r="V210" s="830"/>
      <c r="W210" s="830"/>
      <c r="X210" s="830"/>
      <c r="Y210" s="830"/>
      <c r="Z210" s="830"/>
      <c r="AA210" s="830"/>
      <c r="AB210" s="830"/>
      <c r="AC210" s="830"/>
      <c r="AD210" s="830"/>
      <c r="AE210" s="831"/>
      <c r="AF210" s="830"/>
      <c r="AG210" s="830"/>
      <c r="AH210" s="830"/>
      <c r="AI210" s="830"/>
      <c r="AJ210" s="830"/>
      <c r="AK210" s="830"/>
      <c r="AL210" s="830"/>
      <c r="AM210" s="830"/>
      <c r="AN210" s="830"/>
      <c r="AO210" s="830"/>
      <c r="AP210" s="830"/>
      <c r="AQ210" s="831"/>
      <c r="AR210" s="830"/>
      <c r="AS210" s="830"/>
      <c r="AT210" s="830"/>
      <c r="AU210" s="830"/>
      <c r="AV210" s="830"/>
      <c r="AW210" s="830"/>
      <c r="AX210" s="830"/>
      <c r="AY210" s="830"/>
      <c r="AZ210" s="830"/>
      <c r="BA210" s="830"/>
      <c r="BB210" s="830"/>
      <c r="BC210" s="830"/>
      <c r="BD210" s="829"/>
      <c r="BE210" s="830"/>
      <c r="BF210" s="830"/>
      <c r="BG210" s="830"/>
      <c r="BH210" s="830"/>
      <c r="BI210" s="830"/>
      <c r="BJ210" s="830"/>
      <c r="BK210" s="830"/>
      <c r="BL210" s="830"/>
      <c r="BM210" s="830"/>
      <c r="BN210" s="830"/>
      <c r="BO210" s="831"/>
      <c r="BP210" s="830"/>
      <c r="BQ210" s="830"/>
      <c r="BR210" s="830"/>
      <c r="BS210" s="830"/>
      <c r="BT210" s="830"/>
      <c r="BU210" s="830"/>
      <c r="BV210" s="830"/>
      <c r="BW210" s="830"/>
      <c r="BX210" s="830"/>
      <c r="BY210" s="830"/>
      <c r="BZ210" s="830"/>
      <c r="CA210" s="830"/>
      <c r="CB210" s="829"/>
      <c r="CC210" s="822"/>
      <c r="CD210" s="822"/>
      <c r="CE210" s="822"/>
      <c r="CF210" s="833"/>
      <c r="CG210" s="822"/>
      <c r="CH210" s="822"/>
      <c r="CI210" s="822"/>
      <c r="CJ210" s="833"/>
      <c r="CK210" s="832"/>
      <c r="CL210" s="822"/>
      <c r="CM210" s="822"/>
      <c r="CN210" s="834"/>
      <c r="CO210" s="832"/>
      <c r="CP210" s="822"/>
      <c r="CQ210" s="822"/>
      <c r="CR210" s="834"/>
      <c r="CS210" s="832"/>
      <c r="CT210" s="822"/>
      <c r="CU210" s="822"/>
      <c r="CV210" s="834"/>
      <c r="CW210" s="832"/>
      <c r="CX210" s="822"/>
      <c r="CY210" s="822"/>
      <c r="CZ210" s="835"/>
      <c r="DA210" s="823"/>
      <c r="DB210" s="1246"/>
      <c r="DC210" s="1246"/>
    </row>
    <row r="211" spans="4:107" s="745" customFormat="1">
      <c r="D211" s="766" t="str">
        <f>Variables!$A$41</f>
        <v>ATOS</v>
      </c>
      <c r="E211" s="766" t="s">
        <v>18</v>
      </c>
      <c r="G211" s="766" t="s">
        <v>20</v>
      </c>
      <c r="H211" s="829">
        <f>SUMIFS(H$5:H$167,$D$5:$D$167,$D211,$G$5:$G$167,$G211)</f>
        <v>0</v>
      </c>
      <c r="I211" s="830">
        <f t="shared" ref="I211:BD212" si="122">SUMIFS(I$5:I$167,$D$5:$D$167,$D211,$G$5:$G$167,$G211)</f>
        <v>0</v>
      </c>
      <c r="J211" s="830">
        <f t="shared" si="122"/>
        <v>0</v>
      </c>
      <c r="K211" s="830">
        <f t="shared" si="122"/>
        <v>0</v>
      </c>
      <c r="L211" s="830">
        <f t="shared" si="122"/>
        <v>0</v>
      </c>
      <c r="M211" s="830">
        <f t="shared" si="122"/>
        <v>0</v>
      </c>
      <c r="N211" s="830">
        <f t="shared" si="122"/>
        <v>0</v>
      </c>
      <c r="O211" s="830">
        <f t="shared" si="122"/>
        <v>0</v>
      </c>
      <c r="P211" s="830">
        <f t="shared" si="122"/>
        <v>0</v>
      </c>
      <c r="Q211" s="830">
        <f t="shared" si="122"/>
        <v>0</v>
      </c>
      <c r="R211" s="830">
        <f t="shared" si="122"/>
        <v>0</v>
      </c>
      <c r="S211" s="831">
        <f t="shared" si="122"/>
        <v>0</v>
      </c>
      <c r="T211" s="830">
        <f t="shared" si="122"/>
        <v>0</v>
      </c>
      <c r="U211" s="830">
        <f t="shared" si="122"/>
        <v>0</v>
      </c>
      <c r="V211" s="830">
        <f t="shared" si="122"/>
        <v>0</v>
      </c>
      <c r="W211" s="830">
        <f t="shared" si="122"/>
        <v>0</v>
      </c>
      <c r="X211" s="830">
        <f t="shared" si="122"/>
        <v>0</v>
      </c>
      <c r="Y211" s="830">
        <f t="shared" si="122"/>
        <v>0</v>
      </c>
      <c r="Z211" s="830">
        <f t="shared" si="122"/>
        <v>0</v>
      </c>
      <c r="AA211" s="830">
        <f t="shared" si="122"/>
        <v>0</v>
      </c>
      <c r="AB211" s="830">
        <f t="shared" si="122"/>
        <v>0</v>
      </c>
      <c r="AC211" s="830">
        <f t="shared" si="122"/>
        <v>0</v>
      </c>
      <c r="AD211" s="830">
        <f t="shared" si="122"/>
        <v>0</v>
      </c>
      <c r="AE211" s="831">
        <f t="shared" si="122"/>
        <v>0</v>
      </c>
      <c r="AF211" s="830">
        <f t="shared" si="122"/>
        <v>0</v>
      </c>
      <c r="AG211" s="830">
        <f t="shared" si="122"/>
        <v>0</v>
      </c>
      <c r="AH211" s="830">
        <f t="shared" si="122"/>
        <v>0</v>
      </c>
      <c r="AI211" s="830">
        <f t="shared" si="122"/>
        <v>0</v>
      </c>
      <c r="AJ211" s="830">
        <f t="shared" si="122"/>
        <v>0</v>
      </c>
      <c r="AK211" s="830">
        <f t="shared" si="122"/>
        <v>0</v>
      </c>
      <c r="AL211" s="830">
        <f t="shared" si="122"/>
        <v>0</v>
      </c>
      <c r="AM211" s="830">
        <f t="shared" si="122"/>
        <v>0</v>
      </c>
      <c r="AN211" s="830">
        <f t="shared" si="122"/>
        <v>0</v>
      </c>
      <c r="AO211" s="830">
        <f t="shared" si="122"/>
        <v>0</v>
      </c>
      <c r="AP211" s="830">
        <f t="shared" si="122"/>
        <v>0</v>
      </c>
      <c r="AQ211" s="831">
        <f t="shared" si="122"/>
        <v>0</v>
      </c>
      <c r="AR211" s="830">
        <f t="shared" si="122"/>
        <v>0</v>
      </c>
      <c r="AS211" s="830">
        <f t="shared" si="122"/>
        <v>0</v>
      </c>
      <c r="AT211" s="830">
        <f t="shared" si="122"/>
        <v>0</v>
      </c>
      <c r="AU211" s="830">
        <f t="shared" si="122"/>
        <v>0</v>
      </c>
      <c r="AV211" s="830">
        <f t="shared" si="122"/>
        <v>0</v>
      </c>
      <c r="AW211" s="830">
        <f t="shared" si="122"/>
        <v>0</v>
      </c>
      <c r="AX211" s="830">
        <f t="shared" si="122"/>
        <v>0</v>
      </c>
      <c r="AY211" s="830">
        <f t="shared" si="122"/>
        <v>0</v>
      </c>
      <c r="AZ211" s="830">
        <f t="shared" si="122"/>
        <v>0</v>
      </c>
      <c r="BA211" s="830">
        <f t="shared" si="122"/>
        <v>0</v>
      </c>
      <c r="BB211" s="830">
        <f t="shared" si="122"/>
        <v>0</v>
      </c>
      <c r="BC211" s="830">
        <f t="shared" si="122"/>
        <v>0</v>
      </c>
      <c r="BD211" s="829">
        <f t="shared" si="122"/>
        <v>0</v>
      </c>
      <c r="BE211" s="830">
        <f t="shared" ref="BE211:CA211" si="123">SUMIFS(BE$5:BE$167,$D$5:$D$167,$D211,$G$5:$G$167,$G211)</f>
        <v>0</v>
      </c>
      <c r="BF211" s="830">
        <f t="shared" si="123"/>
        <v>0</v>
      </c>
      <c r="BG211" s="830">
        <f t="shared" si="123"/>
        <v>0</v>
      </c>
      <c r="BH211" s="830">
        <f t="shared" si="123"/>
        <v>0</v>
      </c>
      <c r="BI211" s="830">
        <f t="shared" si="123"/>
        <v>0</v>
      </c>
      <c r="BJ211" s="830">
        <f t="shared" si="123"/>
        <v>0</v>
      </c>
      <c r="BK211" s="830">
        <f t="shared" si="123"/>
        <v>0</v>
      </c>
      <c r="BL211" s="830">
        <f t="shared" si="123"/>
        <v>0</v>
      </c>
      <c r="BM211" s="830">
        <f t="shared" si="123"/>
        <v>0</v>
      </c>
      <c r="BN211" s="830">
        <f t="shared" si="123"/>
        <v>0</v>
      </c>
      <c r="BO211" s="831">
        <f t="shared" si="123"/>
        <v>0</v>
      </c>
      <c r="BP211" s="830">
        <f t="shared" si="123"/>
        <v>0</v>
      </c>
      <c r="BQ211" s="830">
        <f t="shared" si="123"/>
        <v>0</v>
      </c>
      <c r="BR211" s="830">
        <f t="shared" si="123"/>
        <v>0</v>
      </c>
      <c r="BS211" s="830">
        <f t="shared" si="123"/>
        <v>0</v>
      </c>
      <c r="BT211" s="830">
        <f t="shared" si="123"/>
        <v>0</v>
      </c>
      <c r="BU211" s="830">
        <f t="shared" si="123"/>
        <v>0</v>
      </c>
      <c r="BV211" s="830">
        <f t="shared" si="123"/>
        <v>0</v>
      </c>
      <c r="BW211" s="830">
        <f t="shared" si="123"/>
        <v>0</v>
      </c>
      <c r="BX211" s="830">
        <f t="shared" si="123"/>
        <v>0</v>
      </c>
      <c r="BY211" s="830">
        <f t="shared" si="123"/>
        <v>0</v>
      </c>
      <c r="BZ211" s="830">
        <f t="shared" si="123"/>
        <v>0</v>
      </c>
      <c r="CA211" s="830">
        <f t="shared" si="123"/>
        <v>0</v>
      </c>
      <c r="CB211" s="829">
        <f t="shared" si="108"/>
        <v>0</v>
      </c>
      <c r="CC211" s="822">
        <f t="shared" si="109"/>
        <v>0</v>
      </c>
      <c r="CD211" s="822">
        <f t="shared" si="109"/>
        <v>0</v>
      </c>
      <c r="CE211" s="822">
        <f t="shared" si="106"/>
        <v>0</v>
      </c>
      <c r="CF211" s="1599"/>
      <c r="CG211" s="822">
        <f t="shared" si="110"/>
        <v>0</v>
      </c>
      <c r="CH211" s="822">
        <f t="shared" si="110"/>
        <v>0</v>
      </c>
      <c r="CI211" s="822">
        <f>CG211-CH211</f>
        <v>0</v>
      </c>
      <c r="CJ211" s="1599"/>
      <c r="CK211" s="832">
        <f t="shared" si="111"/>
        <v>0</v>
      </c>
      <c r="CL211" s="822">
        <f t="shared" si="111"/>
        <v>0</v>
      </c>
      <c r="CM211" s="822">
        <f>CK211-CL211</f>
        <v>0</v>
      </c>
      <c r="CN211" s="1606">
        <f>IF(CM$238=0,0,(CM211+CM212)/CM$238)</f>
        <v>0</v>
      </c>
      <c r="CO211" s="832">
        <f t="shared" si="112"/>
        <v>0</v>
      </c>
      <c r="CP211" s="822">
        <f t="shared" si="112"/>
        <v>0</v>
      </c>
      <c r="CQ211" s="822">
        <f>CO211-CP211</f>
        <v>0</v>
      </c>
      <c r="CR211" s="1606">
        <f>IF(CQ$238=0,0,(CQ211+CQ212)/CQ$238)</f>
        <v>0</v>
      </c>
      <c r="CS211" s="832">
        <f t="shared" si="113"/>
        <v>0</v>
      </c>
      <c r="CT211" s="822">
        <f t="shared" si="113"/>
        <v>0</v>
      </c>
      <c r="CU211" s="822">
        <f>CS211-CT211</f>
        <v>0</v>
      </c>
      <c r="CV211" s="1606">
        <f>IF(CU$238=0,0,(CU211+CU212)/CU$238)</f>
        <v>0</v>
      </c>
      <c r="CW211" s="832">
        <f t="shared" si="114"/>
        <v>0</v>
      </c>
      <c r="CX211" s="822">
        <f t="shared" si="114"/>
        <v>0</v>
      </c>
      <c r="CY211" s="822">
        <f t="shared" si="115"/>
        <v>0</v>
      </c>
      <c r="CZ211" s="1582">
        <f>IF(CY$238=0,0,SUM(CY211:CY212)/CY$238)</f>
        <v>0</v>
      </c>
      <c r="DA211" s="822">
        <f>SUMIF('Monthly Summary'!C$75:BV$75,"",H211:CA211)</f>
        <v>0</v>
      </c>
      <c r="DB211" s="1246"/>
      <c r="DC211" s="1246"/>
    </row>
    <row r="212" spans="4:107" s="745" customFormat="1">
      <c r="D212" s="766" t="str">
        <f>Variables!$A$41</f>
        <v>ATOS</v>
      </c>
      <c r="E212" s="766" t="s">
        <v>18</v>
      </c>
      <c r="G212" s="766" t="s">
        <v>21</v>
      </c>
      <c r="H212" s="829">
        <f>SUMIFS(H$5:H$167,$D$5:$D$167,$D212,$G$5:$G$167,$G212)</f>
        <v>0</v>
      </c>
      <c r="I212" s="830">
        <f t="shared" si="122"/>
        <v>0</v>
      </c>
      <c r="J212" s="830">
        <f t="shared" si="122"/>
        <v>0</v>
      </c>
      <c r="K212" s="830">
        <f t="shared" si="122"/>
        <v>0</v>
      </c>
      <c r="L212" s="830">
        <f t="shared" si="122"/>
        <v>0</v>
      </c>
      <c r="M212" s="830">
        <f t="shared" si="122"/>
        <v>0</v>
      </c>
      <c r="N212" s="830">
        <f t="shared" si="122"/>
        <v>0</v>
      </c>
      <c r="O212" s="830">
        <f t="shared" si="122"/>
        <v>0</v>
      </c>
      <c r="P212" s="830">
        <f t="shared" si="122"/>
        <v>0</v>
      </c>
      <c r="Q212" s="830">
        <f t="shared" si="122"/>
        <v>0</v>
      </c>
      <c r="R212" s="830">
        <f t="shared" si="122"/>
        <v>0</v>
      </c>
      <c r="S212" s="831">
        <f t="shared" si="122"/>
        <v>0</v>
      </c>
      <c r="T212" s="830">
        <f t="shared" si="122"/>
        <v>0</v>
      </c>
      <c r="U212" s="830">
        <f t="shared" si="122"/>
        <v>0</v>
      </c>
      <c r="V212" s="830">
        <f t="shared" si="122"/>
        <v>0</v>
      </c>
      <c r="W212" s="830">
        <f t="shared" si="122"/>
        <v>0</v>
      </c>
      <c r="X212" s="830">
        <f t="shared" si="122"/>
        <v>0</v>
      </c>
      <c r="Y212" s="830">
        <f t="shared" si="122"/>
        <v>0</v>
      </c>
      <c r="Z212" s="830">
        <f t="shared" si="122"/>
        <v>0</v>
      </c>
      <c r="AA212" s="830">
        <f t="shared" si="122"/>
        <v>0</v>
      </c>
      <c r="AB212" s="830">
        <f t="shared" si="122"/>
        <v>0</v>
      </c>
      <c r="AC212" s="830">
        <f t="shared" si="122"/>
        <v>0</v>
      </c>
      <c r="AD212" s="830">
        <f t="shared" si="122"/>
        <v>0</v>
      </c>
      <c r="AE212" s="831">
        <f t="shared" si="122"/>
        <v>0</v>
      </c>
      <c r="AF212" s="830">
        <f t="shared" si="122"/>
        <v>0</v>
      </c>
      <c r="AG212" s="830">
        <f t="shared" si="122"/>
        <v>0</v>
      </c>
      <c r="AH212" s="830">
        <f t="shared" si="122"/>
        <v>0</v>
      </c>
      <c r="AI212" s="830">
        <f t="shared" si="122"/>
        <v>0</v>
      </c>
      <c r="AJ212" s="830">
        <f t="shared" si="122"/>
        <v>0</v>
      </c>
      <c r="AK212" s="830">
        <f t="shared" si="122"/>
        <v>0</v>
      </c>
      <c r="AL212" s="830">
        <f t="shared" si="122"/>
        <v>0</v>
      </c>
      <c r="AM212" s="830">
        <f t="shared" si="122"/>
        <v>0</v>
      </c>
      <c r="AN212" s="830">
        <f t="shared" si="122"/>
        <v>0</v>
      </c>
      <c r="AO212" s="830">
        <f t="shared" si="122"/>
        <v>0</v>
      </c>
      <c r="AP212" s="830">
        <f t="shared" si="122"/>
        <v>0</v>
      </c>
      <c r="AQ212" s="831">
        <f t="shared" si="122"/>
        <v>0</v>
      </c>
      <c r="AR212" s="830">
        <f t="shared" si="122"/>
        <v>0</v>
      </c>
      <c r="AS212" s="830">
        <f t="shared" si="122"/>
        <v>0</v>
      </c>
      <c r="AT212" s="830">
        <f t="shared" si="122"/>
        <v>0</v>
      </c>
      <c r="AU212" s="830">
        <f t="shared" si="122"/>
        <v>0</v>
      </c>
      <c r="AV212" s="830">
        <f t="shared" si="122"/>
        <v>0</v>
      </c>
      <c r="AW212" s="830">
        <f t="shared" si="122"/>
        <v>0</v>
      </c>
      <c r="AX212" s="830">
        <f t="shared" si="122"/>
        <v>0</v>
      </c>
      <c r="AY212" s="830">
        <f t="shared" si="122"/>
        <v>0</v>
      </c>
      <c r="AZ212" s="830">
        <f t="shared" si="122"/>
        <v>0</v>
      </c>
      <c r="BA212" s="830">
        <f t="shared" si="122"/>
        <v>0</v>
      </c>
      <c r="BB212" s="830">
        <f t="shared" si="122"/>
        <v>0</v>
      </c>
      <c r="BC212" s="830">
        <f t="shared" si="122"/>
        <v>0</v>
      </c>
      <c r="BD212" s="829">
        <f t="shared" ref="BD212:CA212" si="124">SUMIFS(BD$5:BD$167,$D$5:$D$167,$D212,$G$5:$G$167,$G212)</f>
        <v>0</v>
      </c>
      <c r="BE212" s="830">
        <f t="shared" si="124"/>
        <v>0</v>
      </c>
      <c r="BF212" s="830">
        <f t="shared" si="124"/>
        <v>0</v>
      </c>
      <c r="BG212" s="830">
        <f t="shared" si="124"/>
        <v>0</v>
      </c>
      <c r="BH212" s="830">
        <f t="shared" si="124"/>
        <v>0</v>
      </c>
      <c r="BI212" s="830">
        <f t="shared" si="124"/>
        <v>0</v>
      </c>
      <c r="BJ212" s="830">
        <f t="shared" si="124"/>
        <v>0</v>
      </c>
      <c r="BK212" s="830">
        <f t="shared" si="124"/>
        <v>0</v>
      </c>
      <c r="BL212" s="830">
        <f t="shared" si="124"/>
        <v>0</v>
      </c>
      <c r="BM212" s="830">
        <f t="shared" si="124"/>
        <v>0</v>
      </c>
      <c r="BN212" s="830">
        <f t="shared" si="124"/>
        <v>0</v>
      </c>
      <c r="BO212" s="831">
        <f t="shared" si="124"/>
        <v>0</v>
      </c>
      <c r="BP212" s="830">
        <f t="shared" si="124"/>
        <v>0</v>
      </c>
      <c r="BQ212" s="830">
        <f t="shared" si="124"/>
        <v>0</v>
      </c>
      <c r="BR212" s="830">
        <f t="shared" si="124"/>
        <v>0</v>
      </c>
      <c r="BS212" s="830">
        <f t="shared" si="124"/>
        <v>0</v>
      </c>
      <c r="BT212" s="830">
        <f t="shared" si="124"/>
        <v>0</v>
      </c>
      <c r="BU212" s="830">
        <f t="shared" si="124"/>
        <v>0</v>
      </c>
      <c r="BV212" s="830">
        <f t="shared" si="124"/>
        <v>0</v>
      </c>
      <c r="BW212" s="830">
        <f t="shared" si="124"/>
        <v>0</v>
      </c>
      <c r="BX212" s="830">
        <f t="shared" si="124"/>
        <v>0</v>
      </c>
      <c r="BY212" s="830">
        <f t="shared" si="124"/>
        <v>0</v>
      </c>
      <c r="BZ212" s="830">
        <f t="shared" si="124"/>
        <v>0</v>
      </c>
      <c r="CA212" s="830">
        <f t="shared" si="124"/>
        <v>0</v>
      </c>
      <c r="CB212" s="829">
        <f t="shared" si="108"/>
        <v>0</v>
      </c>
      <c r="CC212" s="822">
        <f t="shared" si="109"/>
        <v>0</v>
      </c>
      <c r="CD212" s="822">
        <f t="shared" si="109"/>
        <v>0</v>
      </c>
      <c r="CE212" s="822">
        <f t="shared" si="106"/>
        <v>0</v>
      </c>
      <c r="CF212" s="1599"/>
      <c r="CG212" s="822">
        <f t="shared" si="110"/>
        <v>0</v>
      </c>
      <c r="CH212" s="822">
        <f t="shared" si="110"/>
        <v>0</v>
      </c>
      <c r="CI212" s="822">
        <f>CG212-CH212</f>
        <v>0</v>
      </c>
      <c r="CJ212" s="1599"/>
      <c r="CK212" s="832">
        <f t="shared" si="111"/>
        <v>0</v>
      </c>
      <c r="CL212" s="822">
        <f t="shared" si="111"/>
        <v>0</v>
      </c>
      <c r="CM212" s="822">
        <f>CK212-CL212</f>
        <v>0</v>
      </c>
      <c r="CN212" s="1606"/>
      <c r="CO212" s="832">
        <f t="shared" si="112"/>
        <v>0</v>
      </c>
      <c r="CP212" s="822">
        <f t="shared" si="112"/>
        <v>0</v>
      </c>
      <c r="CQ212" s="822">
        <f>CO212-CP212</f>
        <v>0</v>
      </c>
      <c r="CR212" s="1606"/>
      <c r="CS212" s="832">
        <f t="shared" si="113"/>
        <v>0</v>
      </c>
      <c r="CT212" s="822">
        <f t="shared" si="113"/>
        <v>0</v>
      </c>
      <c r="CU212" s="822">
        <f>CS212-CT212</f>
        <v>0</v>
      </c>
      <c r="CV212" s="1606"/>
      <c r="CW212" s="832">
        <f t="shared" si="114"/>
        <v>0</v>
      </c>
      <c r="CX212" s="822">
        <f t="shared" si="114"/>
        <v>0</v>
      </c>
      <c r="CY212" s="822">
        <f t="shared" si="115"/>
        <v>0</v>
      </c>
      <c r="CZ212" s="1582"/>
      <c r="DA212" s="822">
        <f>SUMIF('Monthly Summary'!C$74:BV$74,"",H212:CA212)</f>
        <v>0</v>
      </c>
      <c r="DB212" s="1246"/>
      <c r="DC212" s="1246"/>
    </row>
    <row r="213" spans="4:107" s="745" customFormat="1">
      <c r="G213" s="746"/>
      <c r="H213" s="829"/>
      <c r="I213" s="830"/>
      <c r="J213" s="830"/>
      <c r="K213" s="830"/>
      <c r="L213" s="830"/>
      <c r="M213" s="830"/>
      <c r="N213" s="830"/>
      <c r="O213" s="830"/>
      <c r="P213" s="830"/>
      <c r="Q213" s="830"/>
      <c r="R213" s="830"/>
      <c r="S213" s="831"/>
      <c r="T213" s="830"/>
      <c r="U213" s="830"/>
      <c r="V213" s="830"/>
      <c r="W213" s="830"/>
      <c r="X213" s="830"/>
      <c r="Y213" s="830"/>
      <c r="Z213" s="830"/>
      <c r="AA213" s="830"/>
      <c r="AB213" s="830"/>
      <c r="AC213" s="830"/>
      <c r="AD213" s="830"/>
      <c r="AE213" s="831"/>
      <c r="AF213" s="830"/>
      <c r="AG213" s="830"/>
      <c r="AH213" s="830"/>
      <c r="AI213" s="830"/>
      <c r="AJ213" s="830"/>
      <c r="AK213" s="830"/>
      <c r="AL213" s="830"/>
      <c r="AM213" s="830"/>
      <c r="AN213" s="830"/>
      <c r="AO213" s="830"/>
      <c r="AP213" s="830"/>
      <c r="AQ213" s="831"/>
      <c r="AR213" s="830"/>
      <c r="AS213" s="830"/>
      <c r="AT213" s="830"/>
      <c r="AU213" s="830"/>
      <c r="AV213" s="830"/>
      <c r="AW213" s="830"/>
      <c r="AX213" s="830"/>
      <c r="AY213" s="830"/>
      <c r="AZ213" s="830"/>
      <c r="BA213" s="830"/>
      <c r="BB213" s="830"/>
      <c r="BC213" s="830"/>
      <c r="BD213" s="829"/>
      <c r="BE213" s="830"/>
      <c r="BF213" s="830"/>
      <c r="BG213" s="830"/>
      <c r="BH213" s="830"/>
      <c r="BI213" s="830"/>
      <c r="BJ213" s="830"/>
      <c r="BK213" s="830"/>
      <c r="BL213" s="830"/>
      <c r="BM213" s="830"/>
      <c r="BN213" s="830"/>
      <c r="BO213" s="831"/>
      <c r="BP213" s="830"/>
      <c r="BQ213" s="830"/>
      <c r="BR213" s="830"/>
      <c r="BS213" s="830"/>
      <c r="BT213" s="830"/>
      <c r="BU213" s="830"/>
      <c r="BV213" s="830"/>
      <c r="BW213" s="830"/>
      <c r="BX213" s="830"/>
      <c r="BY213" s="830"/>
      <c r="BZ213" s="830"/>
      <c r="CA213" s="830"/>
      <c r="CB213" s="829"/>
      <c r="CC213" s="822"/>
      <c r="CD213" s="822"/>
      <c r="CE213" s="822"/>
      <c r="CF213" s="833"/>
      <c r="CG213" s="822"/>
      <c r="CH213" s="822"/>
      <c r="CI213" s="822"/>
      <c r="CJ213" s="833"/>
      <c r="CK213" s="832"/>
      <c r="CL213" s="822"/>
      <c r="CM213" s="822"/>
      <c r="CN213" s="834"/>
      <c r="CO213" s="832"/>
      <c r="CP213" s="822"/>
      <c r="CQ213" s="822"/>
      <c r="CR213" s="834"/>
      <c r="CS213" s="832"/>
      <c r="CT213" s="822"/>
      <c r="CU213" s="822"/>
      <c r="CV213" s="834"/>
      <c r="CW213" s="832"/>
      <c r="CX213" s="822"/>
      <c r="CY213" s="822"/>
      <c r="CZ213" s="835"/>
      <c r="DA213" s="823"/>
      <c r="DB213" s="1246"/>
      <c r="DC213" s="1246"/>
    </row>
    <row r="214" spans="4:107" s="745" customFormat="1">
      <c r="D214" s="766" t="str">
        <f>Variables!$A$42</f>
        <v>Verizon</v>
      </c>
      <c r="E214" s="766" t="s">
        <v>18</v>
      </c>
      <c r="G214" s="766" t="s">
        <v>20</v>
      </c>
      <c r="H214" s="829">
        <f>SUMIFS(H$5:H$167,$D$5:$D$167,$D214,$G$5:$G$167,$G214)</f>
        <v>0</v>
      </c>
      <c r="I214" s="830">
        <f t="shared" ref="I214:BD215" si="125">SUMIFS(I$5:I$167,$D$5:$D$167,$D214,$G$5:$G$167,$G214)</f>
        <v>0</v>
      </c>
      <c r="J214" s="830">
        <f t="shared" si="125"/>
        <v>0</v>
      </c>
      <c r="K214" s="830">
        <f t="shared" si="125"/>
        <v>0</v>
      </c>
      <c r="L214" s="830">
        <f t="shared" si="125"/>
        <v>0</v>
      </c>
      <c r="M214" s="830">
        <f t="shared" si="125"/>
        <v>0</v>
      </c>
      <c r="N214" s="830">
        <f t="shared" si="125"/>
        <v>0</v>
      </c>
      <c r="O214" s="830">
        <f t="shared" si="125"/>
        <v>0</v>
      </c>
      <c r="P214" s="830">
        <f t="shared" si="125"/>
        <v>0</v>
      </c>
      <c r="Q214" s="830">
        <f t="shared" si="125"/>
        <v>0</v>
      </c>
      <c r="R214" s="830">
        <f t="shared" si="125"/>
        <v>0</v>
      </c>
      <c r="S214" s="831">
        <f t="shared" si="125"/>
        <v>0</v>
      </c>
      <c r="T214" s="830">
        <f t="shared" si="125"/>
        <v>0</v>
      </c>
      <c r="U214" s="830">
        <f t="shared" si="125"/>
        <v>0</v>
      </c>
      <c r="V214" s="830">
        <f t="shared" si="125"/>
        <v>0</v>
      </c>
      <c r="W214" s="830">
        <f t="shared" si="125"/>
        <v>0</v>
      </c>
      <c r="X214" s="830">
        <f t="shared" si="125"/>
        <v>0</v>
      </c>
      <c r="Y214" s="830">
        <f t="shared" si="125"/>
        <v>0</v>
      </c>
      <c r="Z214" s="830">
        <f t="shared" si="125"/>
        <v>0</v>
      </c>
      <c r="AA214" s="830">
        <f t="shared" si="125"/>
        <v>0</v>
      </c>
      <c r="AB214" s="830">
        <f t="shared" si="125"/>
        <v>0</v>
      </c>
      <c r="AC214" s="830">
        <f t="shared" si="125"/>
        <v>0</v>
      </c>
      <c r="AD214" s="830">
        <f t="shared" si="125"/>
        <v>0</v>
      </c>
      <c r="AE214" s="831">
        <f t="shared" si="125"/>
        <v>0</v>
      </c>
      <c r="AF214" s="830">
        <f t="shared" si="125"/>
        <v>0</v>
      </c>
      <c r="AG214" s="830">
        <f t="shared" si="125"/>
        <v>0</v>
      </c>
      <c r="AH214" s="830">
        <f t="shared" si="125"/>
        <v>0</v>
      </c>
      <c r="AI214" s="830">
        <f t="shared" si="125"/>
        <v>0</v>
      </c>
      <c r="AJ214" s="830">
        <f t="shared" si="125"/>
        <v>0</v>
      </c>
      <c r="AK214" s="830">
        <f t="shared" si="125"/>
        <v>0</v>
      </c>
      <c r="AL214" s="830">
        <f t="shared" si="125"/>
        <v>0</v>
      </c>
      <c r="AM214" s="830">
        <f t="shared" si="125"/>
        <v>0</v>
      </c>
      <c r="AN214" s="830">
        <f t="shared" si="125"/>
        <v>0</v>
      </c>
      <c r="AO214" s="830">
        <f t="shared" si="125"/>
        <v>0</v>
      </c>
      <c r="AP214" s="830">
        <f t="shared" si="125"/>
        <v>0</v>
      </c>
      <c r="AQ214" s="831">
        <f t="shared" si="125"/>
        <v>0</v>
      </c>
      <c r="AR214" s="830">
        <f t="shared" si="125"/>
        <v>0</v>
      </c>
      <c r="AS214" s="830">
        <f t="shared" si="125"/>
        <v>0</v>
      </c>
      <c r="AT214" s="830">
        <f t="shared" si="125"/>
        <v>0</v>
      </c>
      <c r="AU214" s="830">
        <f t="shared" si="125"/>
        <v>0</v>
      </c>
      <c r="AV214" s="830">
        <f t="shared" si="125"/>
        <v>0</v>
      </c>
      <c r="AW214" s="830">
        <f t="shared" si="125"/>
        <v>0</v>
      </c>
      <c r="AX214" s="830">
        <f t="shared" si="125"/>
        <v>0</v>
      </c>
      <c r="AY214" s="830">
        <f t="shared" si="125"/>
        <v>0</v>
      </c>
      <c r="AZ214" s="830">
        <f t="shared" si="125"/>
        <v>0</v>
      </c>
      <c r="BA214" s="830">
        <f t="shared" si="125"/>
        <v>0</v>
      </c>
      <c r="BB214" s="830">
        <f t="shared" si="125"/>
        <v>0</v>
      </c>
      <c r="BC214" s="830">
        <f t="shared" si="125"/>
        <v>0</v>
      </c>
      <c r="BD214" s="829">
        <f t="shared" si="125"/>
        <v>0</v>
      </c>
      <c r="BE214" s="830">
        <f t="shared" ref="BE214:CA214" si="126">SUMIFS(BE$5:BE$167,$D$5:$D$167,$D214,$G$5:$G$167,$G214)</f>
        <v>0</v>
      </c>
      <c r="BF214" s="830">
        <f t="shared" si="126"/>
        <v>0</v>
      </c>
      <c r="BG214" s="830">
        <f t="shared" si="126"/>
        <v>0</v>
      </c>
      <c r="BH214" s="830">
        <f t="shared" si="126"/>
        <v>0</v>
      </c>
      <c r="BI214" s="830">
        <f t="shared" si="126"/>
        <v>0</v>
      </c>
      <c r="BJ214" s="830">
        <f t="shared" si="126"/>
        <v>0</v>
      </c>
      <c r="BK214" s="830">
        <f t="shared" si="126"/>
        <v>0</v>
      </c>
      <c r="BL214" s="830">
        <f t="shared" si="126"/>
        <v>0</v>
      </c>
      <c r="BM214" s="830">
        <f t="shared" si="126"/>
        <v>0</v>
      </c>
      <c r="BN214" s="830">
        <f t="shared" si="126"/>
        <v>0</v>
      </c>
      <c r="BO214" s="831">
        <f t="shared" si="126"/>
        <v>0</v>
      </c>
      <c r="BP214" s="830">
        <f t="shared" si="126"/>
        <v>0</v>
      </c>
      <c r="BQ214" s="830">
        <f t="shared" si="126"/>
        <v>0</v>
      </c>
      <c r="BR214" s="830">
        <f t="shared" si="126"/>
        <v>0</v>
      </c>
      <c r="BS214" s="830">
        <f t="shared" si="126"/>
        <v>0</v>
      </c>
      <c r="BT214" s="830">
        <f t="shared" si="126"/>
        <v>0</v>
      </c>
      <c r="BU214" s="830">
        <f t="shared" si="126"/>
        <v>0</v>
      </c>
      <c r="BV214" s="830">
        <f t="shared" si="126"/>
        <v>0</v>
      </c>
      <c r="BW214" s="830">
        <f t="shared" si="126"/>
        <v>0</v>
      </c>
      <c r="BX214" s="830">
        <f t="shared" si="126"/>
        <v>0</v>
      </c>
      <c r="BY214" s="830">
        <f t="shared" si="126"/>
        <v>0</v>
      </c>
      <c r="BZ214" s="830">
        <f t="shared" si="126"/>
        <v>0</v>
      </c>
      <c r="CA214" s="830">
        <f t="shared" si="126"/>
        <v>0</v>
      </c>
      <c r="CB214" s="829">
        <f t="shared" si="108"/>
        <v>0</v>
      </c>
      <c r="CC214" s="822">
        <f t="shared" si="109"/>
        <v>0</v>
      </c>
      <c r="CD214" s="822">
        <f t="shared" si="109"/>
        <v>0</v>
      </c>
      <c r="CE214" s="822">
        <f>CC214-CD214</f>
        <v>0</v>
      </c>
      <c r="CF214" s="1599"/>
      <c r="CG214" s="822">
        <f t="shared" si="110"/>
        <v>0</v>
      </c>
      <c r="CH214" s="822">
        <f t="shared" si="110"/>
        <v>0</v>
      </c>
      <c r="CI214" s="822">
        <f>CG214-CH214</f>
        <v>0</v>
      </c>
      <c r="CJ214" s="1599"/>
      <c r="CK214" s="832">
        <f t="shared" si="111"/>
        <v>0</v>
      </c>
      <c r="CL214" s="822">
        <f t="shared" si="111"/>
        <v>0</v>
      </c>
      <c r="CM214" s="822">
        <f>CK214-CL214</f>
        <v>0</v>
      </c>
      <c r="CN214" s="1606">
        <f>IF(CM$238=0,0,(CM214+CM215)/CM$238)</f>
        <v>0</v>
      </c>
      <c r="CO214" s="832">
        <f t="shared" si="112"/>
        <v>0</v>
      </c>
      <c r="CP214" s="822">
        <f t="shared" si="112"/>
        <v>0</v>
      </c>
      <c r="CQ214" s="822">
        <f>CO214-CP214</f>
        <v>0</v>
      </c>
      <c r="CR214" s="1606">
        <f>IF(CQ$238=0,0,(CQ214+CQ215)/CQ$238)</f>
        <v>0</v>
      </c>
      <c r="CS214" s="832">
        <f t="shared" si="113"/>
        <v>0</v>
      </c>
      <c r="CT214" s="822">
        <f t="shared" si="113"/>
        <v>0</v>
      </c>
      <c r="CU214" s="822">
        <f>CS214-CT214</f>
        <v>0</v>
      </c>
      <c r="CV214" s="1606">
        <f>IF(CU$238=0,0,(CU214+CU215)/CU$238)</f>
        <v>0</v>
      </c>
      <c r="CW214" s="832">
        <f t="shared" si="114"/>
        <v>0</v>
      </c>
      <c r="CX214" s="822">
        <f t="shared" si="114"/>
        <v>0</v>
      </c>
      <c r="CY214" s="822">
        <f t="shared" si="115"/>
        <v>0</v>
      </c>
      <c r="CZ214" s="1582">
        <f>IF(CY$238=0,0,SUM(CY214:CY215)/CY$238)</f>
        <v>0</v>
      </c>
      <c r="DA214" s="822">
        <f>SUMIF('Monthly Summary'!C$75:BV$75,"",H214:CA214)</f>
        <v>0</v>
      </c>
      <c r="DB214" s="1246"/>
      <c r="DC214" s="1246"/>
    </row>
    <row r="215" spans="4:107" s="745" customFormat="1">
      <c r="D215" s="766" t="str">
        <f>Variables!$A$42</f>
        <v>Verizon</v>
      </c>
      <c r="E215" s="766" t="s">
        <v>18</v>
      </c>
      <c r="G215" s="766" t="s">
        <v>21</v>
      </c>
      <c r="H215" s="829">
        <f>SUMIFS(H$5:H$167,$D$5:$D$167,$D215,$G$5:$G$167,$G215)</f>
        <v>0</v>
      </c>
      <c r="I215" s="830">
        <f t="shared" si="125"/>
        <v>0</v>
      </c>
      <c r="J215" s="830">
        <f t="shared" si="125"/>
        <v>0</v>
      </c>
      <c r="K215" s="830">
        <f t="shared" si="125"/>
        <v>0</v>
      </c>
      <c r="L215" s="830">
        <f t="shared" si="125"/>
        <v>0</v>
      </c>
      <c r="M215" s="830">
        <f t="shared" si="125"/>
        <v>0</v>
      </c>
      <c r="N215" s="830">
        <f t="shared" si="125"/>
        <v>0</v>
      </c>
      <c r="O215" s="830">
        <f t="shared" si="125"/>
        <v>0</v>
      </c>
      <c r="P215" s="830">
        <f t="shared" si="125"/>
        <v>0</v>
      </c>
      <c r="Q215" s="830">
        <f t="shared" si="125"/>
        <v>0</v>
      </c>
      <c r="R215" s="830">
        <f t="shared" si="125"/>
        <v>0</v>
      </c>
      <c r="S215" s="831">
        <f t="shared" si="125"/>
        <v>0</v>
      </c>
      <c r="T215" s="830">
        <f t="shared" si="125"/>
        <v>0</v>
      </c>
      <c r="U215" s="830">
        <f t="shared" si="125"/>
        <v>0</v>
      </c>
      <c r="V215" s="830">
        <f t="shared" si="125"/>
        <v>0</v>
      </c>
      <c r="W215" s="830">
        <f t="shared" si="125"/>
        <v>0</v>
      </c>
      <c r="X215" s="830">
        <f t="shared" si="125"/>
        <v>0</v>
      </c>
      <c r="Y215" s="830">
        <f t="shared" si="125"/>
        <v>0</v>
      </c>
      <c r="Z215" s="830">
        <f t="shared" si="125"/>
        <v>0</v>
      </c>
      <c r="AA215" s="830">
        <f t="shared" si="125"/>
        <v>0</v>
      </c>
      <c r="AB215" s="830">
        <f t="shared" si="125"/>
        <v>0</v>
      </c>
      <c r="AC215" s="830">
        <f t="shared" si="125"/>
        <v>0</v>
      </c>
      <c r="AD215" s="830">
        <f t="shared" si="125"/>
        <v>0</v>
      </c>
      <c r="AE215" s="831">
        <f t="shared" si="125"/>
        <v>0</v>
      </c>
      <c r="AF215" s="830">
        <f t="shared" si="125"/>
        <v>0</v>
      </c>
      <c r="AG215" s="830">
        <f t="shared" si="125"/>
        <v>0</v>
      </c>
      <c r="AH215" s="830">
        <f t="shared" si="125"/>
        <v>0</v>
      </c>
      <c r="AI215" s="830">
        <f t="shared" si="125"/>
        <v>0</v>
      </c>
      <c r="AJ215" s="830">
        <f t="shared" si="125"/>
        <v>0</v>
      </c>
      <c r="AK215" s="830">
        <f t="shared" si="125"/>
        <v>0</v>
      </c>
      <c r="AL215" s="830">
        <f t="shared" si="125"/>
        <v>0</v>
      </c>
      <c r="AM215" s="830">
        <f t="shared" si="125"/>
        <v>0</v>
      </c>
      <c r="AN215" s="830">
        <f t="shared" si="125"/>
        <v>0</v>
      </c>
      <c r="AO215" s="830">
        <f t="shared" si="125"/>
        <v>0</v>
      </c>
      <c r="AP215" s="830">
        <f t="shared" si="125"/>
        <v>0</v>
      </c>
      <c r="AQ215" s="831">
        <f t="shared" si="125"/>
        <v>0</v>
      </c>
      <c r="AR215" s="830">
        <f t="shared" si="125"/>
        <v>0</v>
      </c>
      <c r="AS215" s="830">
        <f t="shared" si="125"/>
        <v>0</v>
      </c>
      <c r="AT215" s="830">
        <f t="shared" si="125"/>
        <v>0</v>
      </c>
      <c r="AU215" s="830">
        <f t="shared" si="125"/>
        <v>0</v>
      </c>
      <c r="AV215" s="830">
        <f t="shared" si="125"/>
        <v>0</v>
      </c>
      <c r="AW215" s="830">
        <f t="shared" si="125"/>
        <v>0</v>
      </c>
      <c r="AX215" s="830">
        <f t="shared" si="125"/>
        <v>0</v>
      </c>
      <c r="AY215" s="830">
        <f t="shared" si="125"/>
        <v>0</v>
      </c>
      <c r="AZ215" s="830">
        <f t="shared" si="125"/>
        <v>0</v>
      </c>
      <c r="BA215" s="830">
        <f t="shared" si="125"/>
        <v>0</v>
      </c>
      <c r="BB215" s="830">
        <f t="shared" si="125"/>
        <v>0</v>
      </c>
      <c r="BC215" s="830">
        <f t="shared" si="125"/>
        <v>0</v>
      </c>
      <c r="BD215" s="829">
        <f t="shared" ref="BD215:CA215" si="127">SUMIFS(BD$5:BD$167,$D$5:$D$167,$D215,$G$5:$G$167,$G215)</f>
        <v>0</v>
      </c>
      <c r="BE215" s="830">
        <f t="shared" si="127"/>
        <v>0</v>
      </c>
      <c r="BF215" s="830">
        <f t="shared" si="127"/>
        <v>0</v>
      </c>
      <c r="BG215" s="830">
        <f t="shared" si="127"/>
        <v>0</v>
      </c>
      <c r="BH215" s="830">
        <f t="shared" si="127"/>
        <v>0</v>
      </c>
      <c r="BI215" s="830">
        <f t="shared" si="127"/>
        <v>0</v>
      </c>
      <c r="BJ215" s="830">
        <f t="shared" si="127"/>
        <v>0</v>
      </c>
      <c r="BK215" s="830">
        <f t="shared" si="127"/>
        <v>0</v>
      </c>
      <c r="BL215" s="830">
        <f t="shared" si="127"/>
        <v>0</v>
      </c>
      <c r="BM215" s="830">
        <f t="shared" si="127"/>
        <v>0</v>
      </c>
      <c r="BN215" s="830">
        <f t="shared" si="127"/>
        <v>0</v>
      </c>
      <c r="BO215" s="831">
        <f t="shared" si="127"/>
        <v>0</v>
      </c>
      <c r="BP215" s="830">
        <f t="shared" si="127"/>
        <v>0</v>
      </c>
      <c r="BQ215" s="830">
        <f t="shared" si="127"/>
        <v>0</v>
      </c>
      <c r="BR215" s="830">
        <f t="shared" si="127"/>
        <v>0</v>
      </c>
      <c r="BS215" s="830">
        <f t="shared" si="127"/>
        <v>0</v>
      </c>
      <c r="BT215" s="830">
        <f t="shared" si="127"/>
        <v>0</v>
      </c>
      <c r="BU215" s="830">
        <f t="shared" si="127"/>
        <v>0</v>
      </c>
      <c r="BV215" s="830">
        <f t="shared" si="127"/>
        <v>0</v>
      </c>
      <c r="BW215" s="830">
        <f t="shared" si="127"/>
        <v>0</v>
      </c>
      <c r="BX215" s="830">
        <f t="shared" si="127"/>
        <v>0</v>
      </c>
      <c r="BY215" s="830">
        <f t="shared" si="127"/>
        <v>0</v>
      </c>
      <c r="BZ215" s="830">
        <f t="shared" si="127"/>
        <v>0</v>
      </c>
      <c r="CA215" s="830">
        <f t="shared" si="127"/>
        <v>0</v>
      </c>
      <c r="CB215" s="829">
        <f t="shared" si="108"/>
        <v>0</v>
      </c>
      <c r="CC215" s="822">
        <f t="shared" si="109"/>
        <v>0</v>
      </c>
      <c r="CD215" s="822">
        <f t="shared" si="109"/>
        <v>0</v>
      </c>
      <c r="CE215" s="822">
        <f t="shared" ref="CE215:CE236" si="128">CC215-CD215</f>
        <v>0</v>
      </c>
      <c r="CF215" s="1599"/>
      <c r="CG215" s="822">
        <f t="shared" si="110"/>
        <v>0</v>
      </c>
      <c r="CH215" s="822">
        <f t="shared" si="110"/>
        <v>0</v>
      </c>
      <c r="CI215" s="822">
        <f>CG215-CH215</f>
        <v>0</v>
      </c>
      <c r="CJ215" s="1599"/>
      <c r="CK215" s="832">
        <f t="shared" si="111"/>
        <v>0</v>
      </c>
      <c r="CL215" s="822">
        <f t="shared" si="111"/>
        <v>0</v>
      </c>
      <c r="CM215" s="822">
        <f>CK215-CL215</f>
        <v>0</v>
      </c>
      <c r="CN215" s="1606"/>
      <c r="CO215" s="832">
        <f t="shared" si="112"/>
        <v>0</v>
      </c>
      <c r="CP215" s="822">
        <f t="shared" si="112"/>
        <v>0</v>
      </c>
      <c r="CQ215" s="822">
        <f>CO215-CP215</f>
        <v>0</v>
      </c>
      <c r="CR215" s="1606"/>
      <c r="CS215" s="832">
        <f t="shared" si="113"/>
        <v>0</v>
      </c>
      <c r="CT215" s="822">
        <f t="shared" si="113"/>
        <v>0</v>
      </c>
      <c r="CU215" s="822">
        <f>CS215-CT215</f>
        <v>0</v>
      </c>
      <c r="CV215" s="1606"/>
      <c r="CW215" s="832">
        <f t="shared" si="114"/>
        <v>0</v>
      </c>
      <c r="CX215" s="822">
        <f t="shared" si="114"/>
        <v>0</v>
      </c>
      <c r="CY215" s="822">
        <f t="shared" si="115"/>
        <v>0</v>
      </c>
      <c r="CZ215" s="1582"/>
      <c r="DA215" s="822">
        <f>SUMIF('Monthly Summary'!C$74:BV$74,"",H215:CA215)</f>
        <v>0</v>
      </c>
      <c r="DB215" s="1246"/>
      <c r="DC215" s="1246"/>
    </row>
    <row r="216" spans="4:107" s="745" customFormat="1">
      <c r="G216" s="746"/>
      <c r="H216" s="829"/>
      <c r="I216" s="830"/>
      <c r="J216" s="830"/>
      <c r="K216" s="830"/>
      <c r="L216" s="830"/>
      <c r="M216" s="830"/>
      <c r="N216" s="830"/>
      <c r="O216" s="830"/>
      <c r="P216" s="830"/>
      <c r="Q216" s="830"/>
      <c r="R216" s="830"/>
      <c r="S216" s="831"/>
      <c r="T216" s="830"/>
      <c r="U216" s="830"/>
      <c r="V216" s="830"/>
      <c r="W216" s="830"/>
      <c r="X216" s="830"/>
      <c r="Y216" s="830"/>
      <c r="Z216" s="830"/>
      <c r="AA216" s="830"/>
      <c r="AB216" s="830"/>
      <c r="AC216" s="830"/>
      <c r="AD216" s="830"/>
      <c r="AE216" s="831"/>
      <c r="AF216" s="830"/>
      <c r="AG216" s="830"/>
      <c r="AH216" s="830"/>
      <c r="AI216" s="830"/>
      <c r="AJ216" s="830"/>
      <c r="AK216" s="830"/>
      <c r="AL216" s="830"/>
      <c r="AM216" s="830"/>
      <c r="AN216" s="830"/>
      <c r="AO216" s="830"/>
      <c r="AP216" s="830"/>
      <c r="AQ216" s="831"/>
      <c r="AR216" s="830"/>
      <c r="AS216" s="830"/>
      <c r="AT216" s="830"/>
      <c r="AU216" s="830"/>
      <c r="AV216" s="830"/>
      <c r="AW216" s="830"/>
      <c r="AX216" s="830"/>
      <c r="AY216" s="830"/>
      <c r="AZ216" s="830"/>
      <c r="BA216" s="830"/>
      <c r="BB216" s="830"/>
      <c r="BC216" s="830"/>
      <c r="BD216" s="829"/>
      <c r="BE216" s="830"/>
      <c r="BF216" s="830"/>
      <c r="BG216" s="830"/>
      <c r="BH216" s="830"/>
      <c r="BI216" s="830"/>
      <c r="BJ216" s="830"/>
      <c r="BK216" s="830"/>
      <c r="BL216" s="830"/>
      <c r="BM216" s="830"/>
      <c r="BN216" s="830"/>
      <c r="BO216" s="831"/>
      <c r="BP216" s="830"/>
      <c r="BQ216" s="830"/>
      <c r="BR216" s="830"/>
      <c r="BS216" s="830"/>
      <c r="BT216" s="830"/>
      <c r="BU216" s="830"/>
      <c r="BV216" s="830"/>
      <c r="BW216" s="830"/>
      <c r="BX216" s="830"/>
      <c r="BY216" s="830"/>
      <c r="BZ216" s="830"/>
      <c r="CA216" s="830"/>
      <c r="CB216" s="829"/>
      <c r="CC216" s="822"/>
      <c r="CD216" s="822"/>
      <c r="CE216" s="822"/>
      <c r="CF216" s="833"/>
      <c r="CG216" s="822"/>
      <c r="CH216" s="822"/>
      <c r="CI216" s="822"/>
      <c r="CJ216" s="833"/>
      <c r="CK216" s="832"/>
      <c r="CL216" s="822"/>
      <c r="CM216" s="822"/>
      <c r="CN216" s="834"/>
      <c r="CO216" s="832"/>
      <c r="CP216" s="822"/>
      <c r="CQ216" s="822"/>
      <c r="CR216" s="834"/>
      <c r="CS216" s="832"/>
      <c r="CT216" s="822"/>
      <c r="CU216" s="822"/>
      <c r="CV216" s="834"/>
      <c r="CW216" s="832"/>
      <c r="CX216" s="822"/>
      <c r="CY216" s="822"/>
      <c r="CZ216" s="835"/>
      <c r="DA216" s="823"/>
      <c r="DB216" s="1246"/>
      <c r="DC216" s="1246"/>
    </row>
    <row r="217" spans="4:107" s="745" customFormat="1">
      <c r="D217" s="766" t="str">
        <f>Variables!$A$43</f>
        <v>Business</v>
      </c>
      <c r="E217" s="766" t="s">
        <v>18</v>
      </c>
      <c r="G217" s="766" t="s">
        <v>20</v>
      </c>
      <c r="H217" s="829">
        <f>SUMIFS(H$5:H$167,$D$5:$D$167,$D217,$G$5:$G$167,$G217)</f>
        <v>0</v>
      </c>
      <c r="I217" s="830">
        <f t="shared" ref="I217:BD218" si="129">SUMIFS(I$5:I$167,$D$5:$D$167,$D217,$G$5:$G$167,$G217)</f>
        <v>0</v>
      </c>
      <c r="J217" s="830">
        <f t="shared" si="129"/>
        <v>0</v>
      </c>
      <c r="K217" s="830">
        <f t="shared" si="129"/>
        <v>0</v>
      </c>
      <c r="L217" s="830">
        <f t="shared" si="129"/>
        <v>0</v>
      </c>
      <c r="M217" s="830">
        <f t="shared" si="129"/>
        <v>0</v>
      </c>
      <c r="N217" s="830">
        <f t="shared" si="129"/>
        <v>0</v>
      </c>
      <c r="O217" s="830">
        <f t="shared" si="129"/>
        <v>0</v>
      </c>
      <c r="P217" s="830">
        <f t="shared" si="129"/>
        <v>0</v>
      </c>
      <c r="Q217" s="830">
        <f t="shared" si="129"/>
        <v>0</v>
      </c>
      <c r="R217" s="830">
        <f t="shared" si="129"/>
        <v>0</v>
      </c>
      <c r="S217" s="831">
        <f t="shared" si="129"/>
        <v>0</v>
      </c>
      <c r="T217" s="830">
        <f t="shared" si="129"/>
        <v>0</v>
      </c>
      <c r="U217" s="830">
        <f t="shared" si="129"/>
        <v>0</v>
      </c>
      <c r="V217" s="830">
        <f t="shared" si="129"/>
        <v>0</v>
      </c>
      <c r="W217" s="830">
        <f t="shared" si="129"/>
        <v>0</v>
      </c>
      <c r="X217" s="830">
        <f t="shared" si="129"/>
        <v>0</v>
      </c>
      <c r="Y217" s="830">
        <f t="shared" si="129"/>
        <v>0</v>
      </c>
      <c r="Z217" s="830">
        <f t="shared" si="129"/>
        <v>0</v>
      </c>
      <c r="AA217" s="830">
        <f t="shared" si="129"/>
        <v>0</v>
      </c>
      <c r="AB217" s="830">
        <f t="shared" si="129"/>
        <v>0</v>
      </c>
      <c r="AC217" s="830">
        <f t="shared" si="129"/>
        <v>0</v>
      </c>
      <c r="AD217" s="830">
        <f t="shared" si="129"/>
        <v>0</v>
      </c>
      <c r="AE217" s="831">
        <f t="shared" si="129"/>
        <v>0</v>
      </c>
      <c r="AF217" s="830">
        <f t="shared" si="129"/>
        <v>0</v>
      </c>
      <c r="AG217" s="830">
        <f t="shared" si="129"/>
        <v>0</v>
      </c>
      <c r="AH217" s="830">
        <f t="shared" si="129"/>
        <v>0</v>
      </c>
      <c r="AI217" s="830">
        <f t="shared" si="129"/>
        <v>0</v>
      </c>
      <c r="AJ217" s="830">
        <f t="shared" si="129"/>
        <v>0</v>
      </c>
      <c r="AK217" s="830">
        <f t="shared" si="129"/>
        <v>0</v>
      </c>
      <c r="AL217" s="830">
        <f t="shared" si="129"/>
        <v>0</v>
      </c>
      <c r="AM217" s="830">
        <f t="shared" si="129"/>
        <v>0</v>
      </c>
      <c r="AN217" s="830">
        <f t="shared" si="129"/>
        <v>0</v>
      </c>
      <c r="AO217" s="830">
        <f t="shared" si="129"/>
        <v>0</v>
      </c>
      <c r="AP217" s="830">
        <f t="shared" si="129"/>
        <v>0</v>
      </c>
      <c r="AQ217" s="831">
        <f t="shared" si="129"/>
        <v>0</v>
      </c>
      <c r="AR217" s="830">
        <f t="shared" si="129"/>
        <v>0</v>
      </c>
      <c r="AS217" s="830">
        <f t="shared" si="129"/>
        <v>0</v>
      </c>
      <c r="AT217" s="830">
        <f t="shared" si="129"/>
        <v>0</v>
      </c>
      <c r="AU217" s="830">
        <f t="shared" si="129"/>
        <v>0</v>
      </c>
      <c r="AV217" s="830">
        <f t="shared" si="129"/>
        <v>0</v>
      </c>
      <c r="AW217" s="830">
        <f t="shared" si="129"/>
        <v>0</v>
      </c>
      <c r="AX217" s="830">
        <f t="shared" si="129"/>
        <v>0</v>
      </c>
      <c r="AY217" s="830">
        <f t="shared" si="129"/>
        <v>0</v>
      </c>
      <c r="AZ217" s="830">
        <f t="shared" si="129"/>
        <v>0</v>
      </c>
      <c r="BA217" s="830">
        <f t="shared" si="129"/>
        <v>0</v>
      </c>
      <c r="BB217" s="830">
        <f t="shared" si="129"/>
        <v>0</v>
      </c>
      <c r="BC217" s="830">
        <f t="shared" si="129"/>
        <v>0</v>
      </c>
      <c r="BD217" s="829">
        <f t="shared" si="129"/>
        <v>0</v>
      </c>
      <c r="BE217" s="830">
        <f t="shared" ref="BE217:CA217" si="130">SUMIFS(BE$5:BE$167,$D$5:$D$167,$D217,$G$5:$G$167,$G217)</f>
        <v>0</v>
      </c>
      <c r="BF217" s="830">
        <f t="shared" si="130"/>
        <v>0</v>
      </c>
      <c r="BG217" s="830">
        <f t="shared" si="130"/>
        <v>0</v>
      </c>
      <c r="BH217" s="830">
        <f t="shared" si="130"/>
        <v>0</v>
      </c>
      <c r="BI217" s="830">
        <f t="shared" si="130"/>
        <v>0</v>
      </c>
      <c r="BJ217" s="830">
        <f t="shared" si="130"/>
        <v>0</v>
      </c>
      <c r="BK217" s="830">
        <f t="shared" si="130"/>
        <v>0</v>
      </c>
      <c r="BL217" s="830">
        <f t="shared" si="130"/>
        <v>0</v>
      </c>
      <c r="BM217" s="830">
        <f t="shared" si="130"/>
        <v>0</v>
      </c>
      <c r="BN217" s="830">
        <f t="shared" si="130"/>
        <v>0</v>
      </c>
      <c r="BO217" s="831">
        <f t="shared" si="130"/>
        <v>0</v>
      </c>
      <c r="BP217" s="830">
        <f t="shared" si="130"/>
        <v>0</v>
      </c>
      <c r="BQ217" s="830">
        <f t="shared" si="130"/>
        <v>0</v>
      </c>
      <c r="BR217" s="830">
        <f t="shared" si="130"/>
        <v>0</v>
      </c>
      <c r="BS217" s="830">
        <f t="shared" si="130"/>
        <v>0</v>
      </c>
      <c r="BT217" s="830">
        <f t="shared" si="130"/>
        <v>0</v>
      </c>
      <c r="BU217" s="830">
        <f t="shared" si="130"/>
        <v>0</v>
      </c>
      <c r="BV217" s="830">
        <f t="shared" si="130"/>
        <v>0</v>
      </c>
      <c r="BW217" s="830">
        <f t="shared" si="130"/>
        <v>0</v>
      </c>
      <c r="BX217" s="830">
        <f t="shared" si="130"/>
        <v>0</v>
      </c>
      <c r="BY217" s="830">
        <f t="shared" si="130"/>
        <v>0</v>
      </c>
      <c r="BZ217" s="830">
        <f t="shared" si="130"/>
        <v>0</v>
      </c>
      <c r="CA217" s="830">
        <f t="shared" si="130"/>
        <v>0</v>
      </c>
      <c r="CB217" s="829">
        <f t="shared" si="108"/>
        <v>0</v>
      </c>
      <c r="CC217" s="822">
        <f t="shared" si="109"/>
        <v>0</v>
      </c>
      <c r="CD217" s="822">
        <f t="shared" si="109"/>
        <v>0</v>
      </c>
      <c r="CE217" s="822">
        <f t="shared" si="128"/>
        <v>0</v>
      </c>
      <c r="CF217" s="1599"/>
      <c r="CG217" s="822">
        <f t="shared" si="110"/>
        <v>0</v>
      </c>
      <c r="CH217" s="822">
        <f t="shared" si="110"/>
        <v>0</v>
      </c>
      <c r="CI217" s="822">
        <f>CG217-CH217</f>
        <v>0</v>
      </c>
      <c r="CJ217" s="1599"/>
      <c r="CK217" s="832">
        <f t="shared" si="111"/>
        <v>0</v>
      </c>
      <c r="CL217" s="822">
        <f t="shared" si="111"/>
        <v>0</v>
      </c>
      <c r="CM217" s="822">
        <f>CK217-CL217</f>
        <v>0</v>
      </c>
      <c r="CN217" s="1606">
        <f>IF(CM$238=0,0,(CM217+CM218)/CM$238)</f>
        <v>0</v>
      </c>
      <c r="CO217" s="832">
        <f t="shared" si="112"/>
        <v>0</v>
      </c>
      <c r="CP217" s="822">
        <f t="shared" si="112"/>
        <v>0</v>
      </c>
      <c r="CQ217" s="822">
        <f>CO217-CP217</f>
        <v>0</v>
      </c>
      <c r="CR217" s="1606">
        <f>IF(CQ$238=0,0,(CQ217+CQ218)/CQ$238)</f>
        <v>0</v>
      </c>
      <c r="CS217" s="832">
        <f t="shared" si="113"/>
        <v>0</v>
      </c>
      <c r="CT217" s="822">
        <f t="shared" si="113"/>
        <v>0</v>
      </c>
      <c r="CU217" s="822">
        <f>CS217-CT217</f>
        <v>0</v>
      </c>
      <c r="CV217" s="1606">
        <f>IF(CU$238=0,0,(CU217+CU218)/CU$238)</f>
        <v>0</v>
      </c>
      <c r="CW217" s="832">
        <f t="shared" si="114"/>
        <v>0</v>
      </c>
      <c r="CX217" s="822">
        <f t="shared" si="114"/>
        <v>0</v>
      </c>
      <c r="CY217" s="822">
        <f t="shared" si="115"/>
        <v>0</v>
      </c>
      <c r="CZ217" s="1582">
        <f>IF(CY$238=0,0,SUM(CY217:CY218)/CY$238)</f>
        <v>0</v>
      </c>
      <c r="DA217" s="822">
        <f>SUMIF('Monthly Summary'!C$75:BV$75,"",H217:CA217)</f>
        <v>0</v>
      </c>
      <c r="DB217" s="1246"/>
      <c r="DC217" s="1246"/>
    </row>
    <row r="218" spans="4:107" s="745" customFormat="1" ht="12.5" thickBot="1">
      <c r="D218" s="766" t="str">
        <f>Variables!$A$43</f>
        <v>Business</v>
      </c>
      <c r="E218" s="766" t="s">
        <v>18</v>
      </c>
      <c r="G218" s="766" t="s">
        <v>21</v>
      </c>
      <c r="H218" s="829">
        <f>SUMIFS(H$5:H$167,$D$5:$D$167,$D218,$G$5:$G$167,$G218)</f>
        <v>0</v>
      </c>
      <c r="I218" s="830">
        <f t="shared" si="129"/>
        <v>0</v>
      </c>
      <c r="J218" s="830">
        <f t="shared" si="129"/>
        <v>0</v>
      </c>
      <c r="K218" s="830">
        <f t="shared" si="129"/>
        <v>0</v>
      </c>
      <c r="L218" s="830">
        <f t="shared" si="129"/>
        <v>0</v>
      </c>
      <c r="M218" s="830">
        <f t="shared" si="129"/>
        <v>0</v>
      </c>
      <c r="N218" s="830">
        <f t="shared" si="129"/>
        <v>0</v>
      </c>
      <c r="O218" s="830">
        <f t="shared" si="129"/>
        <v>0</v>
      </c>
      <c r="P218" s="830">
        <f t="shared" si="129"/>
        <v>0</v>
      </c>
      <c r="Q218" s="830">
        <f t="shared" si="129"/>
        <v>0</v>
      </c>
      <c r="R218" s="830">
        <f t="shared" si="129"/>
        <v>0</v>
      </c>
      <c r="S218" s="831">
        <f t="shared" si="129"/>
        <v>0</v>
      </c>
      <c r="T218" s="830">
        <f t="shared" si="129"/>
        <v>0</v>
      </c>
      <c r="U218" s="830">
        <f t="shared" si="129"/>
        <v>0</v>
      </c>
      <c r="V218" s="830">
        <f t="shared" si="129"/>
        <v>0</v>
      </c>
      <c r="W218" s="830">
        <f t="shared" si="129"/>
        <v>0</v>
      </c>
      <c r="X218" s="830">
        <f t="shared" si="129"/>
        <v>0</v>
      </c>
      <c r="Y218" s="830">
        <f t="shared" si="129"/>
        <v>0</v>
      </c>
      <c r="Z218" s="830">
        <f t="shared" si="129"/>
        <v>0</v>
      </c>
      <c r="AA218" s="830">
        <f t="shared" si="129"/>
        <v>0</v>
      </c>
      <c r="AB218" s="830">
        <f t="shared" si="129"/>
        <v>0</v>
      </c>
      <c r="AC218" s="830">
        <f t="shared" si="129"/>
        <v>0</v>
      </c>
      <c r="AD218" s="830">
        <f t="shared" si="129"/>
        <v>0</v>
      </c>
      <c r="AE218" s="831">
        <f t="shared" si="129"/>
        <v>0</v>
      </c>
      <c r="AF218" s="830">
        <f t="shared" si="129"/>
        <v>0</v>
      </c>
      <c r="AG218" s="830">
        <f t="shared" si="129"/>
        <v>0</v>
      </c>
      <c r="AH218" s="830">
        <f t="shared" si="129"/>
        <v>0</v>
      </c>
      <c r="AI218" s="830">
        <f t="shared" si="129"/>
        <v>0</v>
      </c>
      <c r="AJ218" s="830">
        <f t="shared" si="129"/>
        <v>0</v>
      </c>
      <c r="AK218" s="830">
        <f t="shared" si="129"/>
        <v>0</v>
      </c>
      <c r="AL218" s="830">
        <f t="shared" si="129"/>
        <v>0</v>
      </c>
      <c r="AM218" s="830">
        <f t="shared" si="129"/>
        <v>0</v>
      </c>
      <c r="AN218" s="830">
        <f t="shared" si="129"/>
        <v>0</v>
      </c>
      <c r="AO218" s="830">
        <f t="shared" si="129"/>
        <v>0</v>
      </c>
      <c r="AP218" s="830">
        <f t="shared" si="129"/>
        <v>0</v>
      </c>
      <c r="AQ218" s="831">
        <f t="shared" si="129"/>
        <v>0</v>
      </c>
      <c r="AR218" s="830">
        <f t="shared" si="129"/>
        <v>0</v>
      </c>
      <c r="AS218" s="830">
        <f t="shared" si="129"/>
        <v>0</v>
      </c>
      <c r="AT218" s="830">
        <f t="shared" si="129"/>
        <v>0</v>
      </c>
      <c r="AU218" s="830">
        <f t="shared" si="129"/>
        <v>0</v>
      </c>
      <c r="AV218" s="830">
        <f t="shared" si="129"/>
        <v>0</v>
      </c>
      <c r="AW218" s="830">
        <f t="shared" si="129"/>
        <v>0</v>
      </c>
      <c r="AX218" s="830">
        <f t="shared" si="129"/>
        <v>0</v>
      </c>
      <c r="AY218" s="830">
        <f t="shared" si="129"/>
        <v>0</v>
      </c>
      <c r="AZ218" s="830">
        <f t="shared" si="129"/>
        <v>0</v>
      </c>
      <c r="BA218" s="830">
        <f t="shared" si="129"/>
        <v>0</v>
      </c>
      <c r="BB218" s="830">
        <f t="shared" si="129"/>
        <v>0</v>
      </c>
      <c r="BC218" s="830">
        <f t="shared" si="129"/>
        <v>0</v>
      </c>
      <c r="BD218" s="829">
        <f t="shared" ref="BD218:CA218" si="131">SUMIFS(BD$5:BD$167,$D$5:$D$167,$D218,$G$5:$G$167,$G218)</f>
        <v>0</v>
      </c>
      <c r="BE218" s="830">
        <f t="shared" si="131"/>
        <v>0</v>
      </c>
      <c r="BF218" s="830">
        <f t="shared" si="131"/>
        <v>0</v>
      </c>
      <c r="BG218" s="830">
        <f t="shared" si="131"/>
        <v>0</v>
      </c>
      <c r="BH218" s="830">
        <f t="shared" si="131"/>
        <v>0</v>
      </c>
      <c r="BI218" s="830">
        <f t="shared" si="131"/>
        <v>0</v>
      </c>
      <c r="BJ218" s="830">
        <f t="shared" si="131"/>
        <v>0</v>
      </c>
      <c r="BK218" s="830">
        <f t="shared" si="131"/>
        <v>0</v>
      </c>
      <c r="BL218" s="830">
        <f t="shared" si="131"/>
        <v>0</v>
      </c>
      <c r="BM218" s="830">
        <f t="shared" si="131"/>
        <v>0</v>
      </c>
      <c r="BN218" s="830">
        <f t="shared" si="131"/>
        <v>0</v>
      </c>
      <c r="BO218" s="831">
        <f t="shared" si="131"/>
        <v>0</v>
      </c>
      <c r="BP218" s="830">
        <f t="shared" si="131"/>
        <v>0</v>
      </c>
      <c r="BQ218" s="830">
        <f t="shared" si="131"/>
        <v>0</v>
      </c>
      <c r="BR218" s="830">
        <f t="shared" si="131"/>
        <v>0</v>
      </c>
      <c r="BS218" s="830">
        <f t="shared" si="131"/>
        <v>0</v>
      </c>
      <c r="BT218" s="830">
        <f t="shared" si="131"/>
        <v>0</v>
      </c>
      <c r="BU218" s="830">
        <f t="shared" si="131"/>
        <v>0</v>
      </c>
      <c r="BV218" s="830">
        <f t="shared" si="131"/>
        <v>0</v>
      </c>
      <c r="BW218" s="830">
        <f t="shared" si="131"/>
        <v>0</v>
      </c>
      <c r="BX218" s="830">
        <f t="shared" si="131"/>
        <v>0</v>
      </c>
      <c r="BY218" s="830">
        <f t="shared" si="131"/>
        <v>0</v>
      </c>
      <c r="BZ218" s="830">
        <f t="shared" si="131"/>
        <v>0</v>
      </c>
      <c r="CA218" s="830">
        <f t="shared" si="131"/>
        <v>0</v>
      </c>
      <c r="CB218" s="829">
        <f t="shared" si="108"/>
        <v>0</v>
      </c>
      <c r="CC218" s="822">
        <f t="shared" si="109"/>
        <v>0</v>
      </c>
      <c r="CD218" s="822">
        <f t="shared" si="109"/>
        <v>0</v>
      </c>
      <c r="CE218" s="822">
        <f t="shared" si="128"/>
        <v>0</v>
      </c>
      <c r="CF218" s="1599"/>
      <c r="CG218" s="822">
        <f t="shared" si="110"/>
        <v>0</v>
      </c>
      <c r="CH218" s="822">
        <f t="shared" si="110"/>
        <v>0</v>
      </c>
      <c r="CI218" s="822">
        <f>CG218-CH218</f>
        <v>0</v>
      </c>
      <c r="CJ218" s="1599"/>
      <c r="CK218" s="832">
        <f t="shared" si="111"/>
        <v>0</v>
      </c>
      <c r="CL218" s="822">
        <f t="shared" si="111"/>
        <v>0</v>
      </c>
      <c r="CM218" s="822">
        <f>CK218-CL218</f>
        <v>0</v>
      </c>
      <c r="CN218" s="1606"/>
      <c r="CO218" s="832">
        <f t="shared" si="112"/>
        <v>0</v>
      </c>
      <c r="CP218" s="822">
        <f t="shared" si="112"/>
        <v>0</v>
      </c>
      <c r="CQ218" s="822">
        <f>CO218-CP218</f>
        <v>0</v>
      </c>
      <c r="CR218" s="1606"/>
      <c r="CS218" s="832">
        <f t="shared" si="113"/>
        <v>0</v>
      </c>
      <c r="CT218" s="822">
        <f t="shared" si="113"/>
        <v>0</v>
      </c>
      <c r="CU218" s="822">
        <f>CS218-CT218</f>
        <v>0</v>
      </c>
      <c r="CV218" s="1606"/>
      <c r="CW218" s="832">
        <f t="shared" si="114"/>
        <v>0</v>
      </c>
      <c r="CX218" s="822">
        <f t="shared" si="114"/>
        <v>0</v>
      </c>
      <c r="CY218" s="822">
        <f t="shared" si="115"/>
        <v>0</v>
      </c>
      <c r="CZ218" s="1582"/>
      <c r="DA218" s="822">
        <f>SUMIF('Monthly Summary'!C$74:BV$74,"",H218:CA218)</f>
        <v>0</v>
      </c>
      <c r="DB218" s="1246"/>
      <c r="DC218" s="1246"/>
    </row>
    <row r="219" spans="4:107" s="745" customFormat="1" ht="15.75" customHeight="1" thickBot="1">
      <c r="G219" s="746"/>
      <c r="H219" s="829"/>
      <c r="I219" s="830"/>
      <c r="J219" s="830"/>
      <c r="K219" s="830"/>
      <c r="L219" s="830"/>
      <c r="M219" s="830"/>
      <c r="N219" s="830"/>
      <c r="O219" s="830"/>
      <c r="P219" s="830"/>
      <c r="Q219" s="830"/>
      <c r="R219" s="830"/>
      <c r="S219" s="831"/>
      <c r="T219" s="830"/>
      <c r="U219" s="830"/>
      <c r="V219" s="830"/>
      <c r="W219" s="830"/>
      <c r="X219" s="830"/>
      <c r="Y219" s="830"/>
      <c r="Z219" s="830"/>
      <c r="AA219" s="830"/>
      <c r="AB219" s="830"/>
      <c r="AC219" s="830"/>
      <c r="AD219" s="830"/>
      <c r="AE219" s="831"/>
      <c r="AF219" s="830"/>
      <c r="AG219" s="830"/>
      <c r="AH219" s="830"/>
      <c r="AI219" s="830"/>
      <c r="AJ219" s="830"/>
      <c r="AK219" s="830"/>
      <c r="AL219" s="830"/>
      <c r="AM219" s="830"/>
      <c r="AN219" s="830"/>
      <c r="AO219" s="830"/>
      <c r="AP219" s="830"/>
      <c r="AQ219" s="831"/>
      <c r="AR219" s="830"/>
      <c r="AS219" s="830"/>
      <c r="AT219" s="830"/>
      <c r="AU219" s="830"/>
      <c r="AV219" s="830"/>
      <c r="AW219" s="830"/>
      <c r="AX219" s="830"/>
      <c r="AY219" s="830"/>
      <c r="AZ219" s="830"/>
      <c r="BA219" s="830"/>
      <c r="BB219" s="830"/>
      <c r="BC219" s="830"/>
      <c r="BD219" s="829"/>
      <c r="BE219" s="830"/>
      <c r="BF219" s="830"/>
      <c r="BG219" s="830"/>
      <c r="BH219" s="830"/>
      <c r="BI219" s="830"/>
      <c r="BJ219" s="830"/>
      <c r="BK219" s="830"/>
      <c r="BL219" s="830"/>
      <c r="BM219" s="830"/>
      <c r="BN219" s="830"/>
      <c r="BO219" s="831"/>
      <c r="BP219" s="830"/>
      <c r="BQ219" s="830"/>
      <c r="BR219" s="830"/>
      <c r="BS219" s="830"/>
      <c r="BT219" s="830"/>
      <c r="BU219" s="830"/>
      <c r="BV219" s="830"/>
      <c r="BW219" s="830"/>
      <c r="BX219" s="830"/>
      <c r="BY219" s="830"/>
      <c r="BZ219" s="830"/>
      <c r="CA219" s="830"/>
      <c r="CB219" s="829"/>
      <c r="CC219" s="1600" t="s">
        <v>244</v>
      </c>
      <c r="CD219" s="1601"/>
      <c r="CE219" s="1601"/>
      <c r="CF219" s="1602"/>
      <c r="CG219" s="1603" t="s">
        <v>245</v>
      </c>
      <c r="CH219" s="1604"/>
      <c r="CI219" s="1604"/>
      <c r="CJ219" s="1605"/>
      <c r="CK219" s="836"/>
      <c r="CL219" s="830"/>
      <c r="CM219" s="830"/>
      <c r="CN219" s="837"/>
      <c r="CO219" s="836"/>
      <c r="CP219" s="830"/>
      <c r="CQ219" s="830"/>
      <c r="CR219" s="837"/>
      <c r="CS219" s="832"/>
      <c r="CT219" s="822"/>
      <c r="CU219" s="830"/>
      <c r="CV219" s="837"/>
      <c r="CW219" s="832"/>
      <c r="CX219" s="822"/>
      <c r="CY219" s="822"/>
      <c r="CZ219" s="835"/>
      <c r="DA219" s="823"/>
      <c r="DB219" s="1246"/>
      <c r="DC219" s="1246"/>
    </row>
    <row r="220" spans="4:107" s="745" customFormat="1">
      <c r="D220" s="766" t="str">
        <f>Variables!$A$44</f>
        <v xml:space="preserve">Other </v>
      </c>
      <c r="E220" s="766" t="s">
        <v>18</v>
      </c>
      <c r="G220" s="766" t="s">
        <v>20</v>
      </c>
      <c r="H220" s="829">
        <f>SUMIFS(H$5:H$167,$D$5:$D$167,$D220,$G$5:$G$167,$G220)</f>
        <v>0</v>
      </c>
      <c r="I220" s="830">
        <f t="shared" ref="I220:BD221" si="132">SUMIFS(I$5:I$167,$D$5:$D$167,$D220,$G$5:$G$167,$G220)</f>
        <v>0</v>
      </c>
      <c r="J220" s="830">
        <f t="shared" si="132"/>
        <v>0</v>
      </c>
      <c r="K220" s="830">
        <f t="shared" si="132"/>
        <v>0</v>
      </c>
      <c r="L220" s="830">
        <f t="shared" si="132"/>
        <v>0</v>
      </c>
      <c r="M220" s="830">
        <f t="shared" si="132"/>
        <v>0</v>
      </c>
      <c r="N220" s="830">
        <f t="shared" si="132"/>
        <v>0</v>
      </c>
      <c r="O220" s="830">
        <f t="shared" si="132"/>
        <v>0</v>
      </c>
      <c r="P220" s="830">
        <f t="shared" si="132"/>
        <v>0</v>
      </c>
      <c r="Q220" s="830">
        <f t="shared" si="132"/>
        <v>0</v>
      </c>
      <c r="R220" s="830">
        <f t="shared" si="132"/>
        <v>0</v>
      </c>
      <c r="S220" s="831">
        <f t="shared" si="132"/>
        <v>0</v>
      </c>
      <c r="T220" s="830">
        <f t="shared" si="132"/>
        <v>0</v>
      </c>
      <c r="U220" s="830">
        <f t="shared" si="132"/>
        <v>0</v>
      </c>
      <c r="V220" s="830">
        <f t="shared" si="132"/>
        <v>0</v>
      </c>
      <c r="W220" s="830">
        <f t="shared" si="132"/>
        <v>0</v>
      </c>
      <c r="X220" s="830">
        <f t="shared" si="132"/>
        <v>0</v>
      </c>
      <c r="Y220" s="830">
        <f t="shared" si="132"/>
        <v>0</v>
      </c>
      <c r="Z220" s="830">
        <f t="shared" si="132"/>
        <v>0</v>
      </c>
      <c r="AA220" s="830">
        <f t="shared" si="132"/>
        <v>0</v>
      </c>
      <c r="AB220" s="830">
        <f t="shared" si="132"/>
        <v>0</v>
      </c>
      <c r="AC220" s="830">
        <f t="shared" si="132"/>
        <v>0</v>
      </c>
      <c r="AD220" s="830">
        <f t="shared" si="132"/>
        <v>0</v>
      </c>
      <c r="AE220" s="831">
        <f t="shared" si="132"/>
        <v>0</v>
      </c>
      <c r="AF220" s="830">
        <f t="shared" si="132"/>
        <v>0</v>
      </c>
      <c r="AG220" s="830">
        <f t="shared" si="132"/>
        <v>0</v>
      </c>
      <c r="AH220" s="830">
        <f t="shared" si="132"/>
        <v>0</v>
      </c>
      <c r="AI220" s="830">
        <f t="shared" si="132"/>
        <v>0</v>
      </c>
      <c r="AJ220" s="830">
        <f t="shared" si="132"/>
        <v>0</v>
      </c>
      <c r="AK220" s="830">
        <f t="shared" si="132"/>
        <v>0</v>
      </c>
      <c r="AL220" s="830">
        <f t="shared" si="132"/>
        <v>0</v>
      </c>
      <c r="AM220" s="830">
        <f t="shared" si="132"/>
        <v>0</v>
      </c>
      <c r="AN220" s="830">
        <f t="shared" si="132"/>
        <v>0</v>
      </c>
      <c r="AO220" s="830">
        <f t="shared" si="132"/>
        <v>0</v>
      </c>
      <c r="AP220" s="830">
        <f t="shared" si="132"/>
        <v>0</v>
      </c>
      <c r="AQ220" s="831">
        <f t="shared" si="132"/>
        <v>0</v>
      </c>
      <c r="AR220" s="830">
        <f t="shared" si="132"/>
        <v>0</v>
      </c>
      <c r="AS220" s="830">
        <f t="shared" si="132"/>
        <v>0</v>
      </c>
      <c r="AT220" s="830">
        <f t="shared" si="132"/>
        <v>0</v>
      </c>
      <c r="AU220" s="830">
        <f t="shared" si="132"/>
        <v>0</v>
      </c>
      <c r="AV220" s="830">
        <f t="shared" si="132"/>
        <v>0</v>
      </c>
      <c r="AW220" s="830">
        <f t="shared" si="132"/>
        <v>0</v>
      </c>
      <c r="AX220" s="830">
        <f t="shared" si="132"/>
        <v>0</v>
      </c>
      <c r="AY220" s="830">
        <f t="shared" si="132"/>
        <v>0</v>
      </c>
      <c r="AZ220" s="830">
        <f t="shared" si="132"/>
        <v>0</v>
      </c>
      <c r="BA220" s="830">
        <f t="shared" si="132"/>
        <v>0</v>
      </c>
      <c r="BB220" s="830">
        <f t="shared" si="132"/>
        <v>0</v>
      </c>
      <c r="BC220" s="830">
        <f t="shared" si="132"/>
        <v>0</v>
      </c>
      <c r="BD220" s="829">
        <f t="shared" si="132"/>
        <v>0</v>
      </c>
      <c r="BE220" s="830">
        <f t="shared" ref="BE220:CA220" si="133">SUMIFS(BE$5:BE$167,$D$5:$D$167,$D220,$G$5:$G$167,$G220)</f>
        <v>0</v>
      </c>
      <c r="BF220" s="830">
        <f t="shared" si="133"/>
        <v>0</v>
      </c>
      <c r="BG220" s="830">
        <f t="shared" si="133"/>
        <v>0</v>
      </c>
      <c r="BH220" s="830">
        <f t="shared" si="133"/>
        <v>0</v>
      </c>
      <c r="BI220" s="830">
        <f t="shared" si="133"/>
        <v>0</v>
      </c>
      <c r="BJ220" s="830">
        <f t="shared" si="133"/>
        <v>0</v>
      </c>
      <c r="BK220" s="830">
        <f t="shared" si="133"/>
        <v>0</v>
      </c>
      <c r="BL220" s="830">
        <f t="shared" si="133"/>
        <v>0</v>
      </c>
      <c r="BM220" s="830">
        <f t="shared" si="133"/>
        <v>0</v>
      </c>
      <c r="BN220" s="830">
        <f t="shared" si="133"/>
        <v>0</v>
      </c>
      <c r="BO220" s="831">
        <f t="shared" si="133"/>
        <v>0</v>
      </c>
      <c r="BP220" s="830">
        <f t="shared" si="133"/>
        <v>0</v>
      </c>
      <c r="BQ220" s="830">
        <f t="shared" si="133"/>
        <v>0</v>
      </c>
      <c r="BR220" s="830">
        <f t="shared" si="133"/>
        <v>0</v>
      </c>
      <c r="BS220" s="830">
        <f t="shared" si="133"/>
        <v>0</v>
      </c>
      <c r="BT220" s="830">
        <f t="shared" si="133"/>
        <v>0</v>
      </c>
      <c r="BU220" s="830">
        <f t="shared" si="133"/>
        <v>0</v>
      </c>
      <c r="BV220" s="830">
        <f t="shared" si="133"/>
        <v>0</v>
      </c>
      <c r="BW220" s="830">
        <f t="shared" si="133"/>
        <v>0</v>
      </c>
      <c r="BX220" s="830">
        <f t="shared" si="133"/>
        <v>0</v>
      </c>
      <c r="BY220" s="830">
        <f t="shared" si="133"/>
        <v>0</v>
      </c>
      <c r="BZ220" s="830">
        <f t="shared" si="133"/>
        <v>0</v>
      </c>
      <c r="CA220" s="830">
        <f t="shared" si="133"/>
        <v>0</v>
      </c>
      <c r="CB220" s="829">
        <f t="shared" si="108"/>
        <v>0</v>
      </c>
      <c r="CC220" s="838">
        <f t="shared" si="109"/>
        <v>0</v>
      </c>
      <c r="CD220" s="839">
        <f t="shared" si="109"/>
        <v>0</v>
      </c>
      <c r="CE220" s="839">
        <f t="shared" si="128"/>
        <v>0</v>
      </c>
      <c r="CF220" s="1598">
        <f>IF(CE$238=0,0,(CE220+CE221)/CE$238)</f>
        <v>0</v>
      </c>
      <c r="CG220" s="838">
        <f t="shared" si="110"/>
        <v>0</v>
      </c>
      <c r="CH220" s="839">
        <f t="shared" si="110"/>
        <v>0</v>
      </c>
      <c r="CI220" s="839">
        <f>CG220-CH220</f>
        <v>0</v>
      </c>
      <c r="CJ220" s="1598">
        <f>IF(CI$238=0,0,(CI220+CI221)/CI$238)</f>
        <v>0</v>
      </c>
      <c r="CK220" s="832">
        <f t="shared" ref="CK220:CL236" si="134">SUMIFS(CK$5:CK$167,$D$5:$D$167,$D220,$G$5:$G$167,$G220)</f>
        <v>0</v>
      </c>
      <c r="CL220" s="822">
        <f t="shared" si="134"/>
        <v>0</v>
      </c>
      <c r="CM220" s="822">
        <f>CK220-CL220</f>
        <v>0</v>
      </c>
      <c r="CN220" s="1606">
        <f>IF(CM$238=0,0,(CM220+CM221)/CM$238)</f>
        <v>0</v>
      </c>
      <c r="CO220" s="832">
        <f t="shared" ref="CO220:CP236" si="135">SUMIFS(CO$5:CO$167,$D$5:$D$167,$D220,$G$5:$G$167,$G220)</f>
        <v>0</v>
      </c>
      <c r="CP220" s="822">
        <f t="shared" si="135"/>
        <v>0</v>
      </c>
      <c r="CQ220" s="822">
        <f>CO220-CP220</f>
        <v>0</v>
      </c>
      <c r="CR220" s="1606">
        <f>IF(CQ$238=0,0,(CQ220+CQ221)/CQ$238)</f>
        <v>0</v>
      </c>
      <c r="CS220" s="832">
        <f t="shared" ref="CS220:CT236" si="136">SUMIFS(CS$5:CS$167,$D$5:$D$167,$D220,$G$5:$G$167,$G220)</f>
        <v>0</v>
      </c>
      <c r="CT220" s="822">
        <f t="shared" si="136"/>
        <v>0</v>
      </c>
      <c r="CU220" s="822">
        <f>CS220-CT220</f>
        <v>0</v>
      </c>
      <c r="CV220" s="1606">
        <f>IF(CU$238=0,0,(CU220+CU221)/CU$238)</f>
        <v>0</v>
      </c>
      <c r="CW220" s="832">
        <f t="shared" si="114"/>
        <v>0</v>
      </c>
      <c r="CX220" s="822">
        <f t="shared" si="114"/>
        <v>0</v>
      </c>
      <c r="CY220" s="822">
        <f t="shared" si="115"/>
        <v>0</v>
      </c>
      <c r="CZ220" s="1582">
        <f>IF(CY$238=0,0,SUM(CY220:CY221)/CY$238)</f>
        <v>0</v>
      </c>
      <c r="DA220" s="822">
        <f>SUMIF('Monthly Summary'!C$75:BV$75,"",H220:CA220)</f>
        <v>0</v>
      </c>
      <c r="DB220" s="1246"/>
      <c r="DC220" s="1246"/>
    </row>
    <row r="221" spans="4:107" s="745" customFormat="1">
      <c r="D221" s="766" t="str">
        <f>Variables!$A$44</f>
        <v xml:space="preserve">Other </v>
      </c>
      <c r="E221" s="766" t="s">
        <v>18</v>
      </c>
      <c r="G221" s="766" t="s">
        <v>21</v>
      </c>
      <c r="H221" s="829">
        <f>SUMIFS(H$5:H$167,$D$5:$D$167,$D221,$G$5:$G$167,$G221)</f>
        <v>0</v>
      </c>
      <c r="I221" s="830">
        <f t="shared" si="132"/>
        <v>0</v>
      </c>
      <c r="J221" s="830">
        <f t="shared" si="132"/>
        <v>0</v>
      </c>
      <c r="K221" s="830">
        <f t="shared" si="132"/>
        <v>0</v>
      </c>
      <c r="L221" s="830">
        <f t="shared" si="132"/>
        <v>0</v>
      </c>
      <c r="M221" s="830">
        <f t="shared" si="132"/>
        <v>0</v>
      </c>
      <c r="N221" s="830">
        <f t="shared" si="132"/>
        <v>0</v>
      </c>
      <c r="O221" s="830">
        <f t="shared" si="132"/>
        <v>0</v>
      </c>
      <c r="P221" s="830">
        <f t="shared" si="132"/>
        <v>0</v>
      </c>
      <c r="Q221" s="830">
        <f t="shared" si="132"/>
        <v>0</v>
      </c>
      <c r="R221" s="830">
        <f t="shared" si="132"/>
        <v>0</v>
      </c>
      <c r="S221" s="831">
        <f t="shared" si="132"/>
        <v>0</v>
      </c>
      <c r="T221" s="830">
        <f t="shared" si="132"/>
        <v>0</v>
      </c>
      <c r="U221" s="830">
        <f t="shared" si="132"/>
        <v>0</v>
      </c>
      <c r="V221" s="830">
        <f t="shared" si="132"/>
        <v>0</v>
      </c>
      <c r="W221" s="830">
        <f t="shared" si="132"/>
        <v>0</v>
      </c>
      <c r="X221" s="830">
        <f t="shared" si="132"/>
        <v>0</v>
      </c>
      <c r="Y221" s="830">
        <f t="shared" si="132"/>
        <v>0</v>
      </c>
      <c r="Z221" s="830">
        <f t="shared" si="132"/>
        <v>0</v>
      </c>
      <c r="AA221" s="830">
        <f t="shared" si="132"/>
        <v>0</v>
      </c>
      <c r="AB221" s="830">
        <f t="shared" si="132"/>
        <v>0</v>
      </c>
      <c r="AC221" s="830">
        <f t="shared" si="132"/>
        <v>0</v>
      </c>
      <c r="AD221" s="830">
        <f t="shared" si="132"/>
        <v>0</v>
      </c>
      <c r="AE221" s="831">
        <f t="shared" si="132"/>
        <v>0</v>
      </c>
      <c r="AF221" s="830">
        <f t="shared" si="132"/>
        <v>0</v>
      </c>
      <c r="AG221" s="830">
        <f t="shared" si="132"/>
        <v>0</v>
      </c>
      <c r="AH221" s="830">
        <f t="shared" si="132"/>
        <v>0</v>
      </c>
      <c r="AI221" s="830">
        <f t="shared" si="132"/>
        <v>0</v>
      </c>
      <c r="AJ221" s="830">
        <f t="shared" si="132"/>
        <v>0</v>
      </c>
      <c r="AK221" s="830">
        <f t="shared" si="132"/>
        <v>0</v>
      </c>
      <c r="AL221" s="830">
        <f t="shared" si="132"/>
        <v>0</v>
      </c>
      <c r="AM221" s="830">
        <f t="shared" si="132"/>
        <v>0</v>
      </c>
      <c r="AN221" s="830">
        <f t="shared" si="132"/>
        <v>0</v>
      </c>
      <c r="AO221" s="830">
        <f t="shared" si="132"/>
        <v>0</v>
      </c>
      <c r="AP221" s="830">
        <f t="shared" si="132"/>
        <v>0</v>
      </c>
      <c r="AQ221" s="831">
        <f t="shared" si="132"/>
        <v>0</v>
      </c>
      <c r="AR221" s="830">
        <f t="shared" si="132"/>
        <v>0</v>
      </c>
      <c r="AS221" s="830">
        <f t="shared" si="132"/>
        <v>0</v>
      </c>
      <c r="AT221" s="830">
        <f t="shared" si="132"/>
        <v>0</v>
      </c>
      <c r="AU221" s="830">
        <f t="shared" si="132"/>
        <v>0</v>
      </c>
      <c r="AV221" s="830">
        <f t="shared" si="132"/>
        <v>0</v>
      </c>
      <c r="AW221" s="830">
        <f t="shared" si="132"/>
        <v>0</v>
      </c>
      <c r="AX221" s="830">
        <f t="shared" si="132"/>
        <v>0</v>
      </c>
      <c r="AY221" s="830">
        <f t="shared" si="132"/>
        <v>0</v>
      </c>
      <c r="AZ221" s="830">
        <f t="shared" si="132"/>
        <v>0</v>
      </c>
      <c r="BA221" s="830">
        <f t="shared" si="132"/>
        <v>0</v>
      </c>
      <c r="BB221" s="830">
        <f t="shared" si="132"/>
        <v>0</v>
      </c>
      <c r="BC221" s="830">
        <f t="shared" si="132"/>
        <v>0</v>
      </c>
      <c r="BD221" s="829">
        <f t="shared" ref="BD221:CA221" si="137">SUMIFS(BD$5:BD$167,$D$5:$D$167,$D221,$G$5:$G$167,$G221)</f>
        <v>0</v>
      </c>
      <c r="BE221" s="830">
        <f t="shared" si="137"/>
        <v>0</v>
      </c>
      <c r="BF221" s="830">
        <f t="shared" si="137"/>
        <v>0</v>
      </c>
      <c r="BG221" s="830">
        <f t="shared" si="137"/>
        <v>0</v>
      </c>
      <c r="BH221" s="830">
        <f t="shared" si="137"/>
        <v>0</v>
      </c>
      <c r="BI221" s="830">
        <f t="shared" si="137"/>
        <v>0</v>
      </c>
      <c r="BJ221" s="830">
        <f t="shared" si="137"/>
        <v>0</v>
      </c>
      <c r="BK221" s="830">
        <f t="shared" si="137"/>
        <v>0</v>
      </c>
      <c r="BL221" s="830">
        <f t="shared" si="137"/>
        <v>0</v>
      </c>
      <c r="BM221" s="830">
        <f t="shared" si="137"/>
        <v>0</v>
      </c>
      <c r="BN221" s="830">
        <f t="shared" si="137"/>
        <v>0</v>
      </c>
      <c r="BO221" s="831">
        <f t="shared" si="137"/>
        <v>0</v>
      </c>
      <c r="BP221" s="830">
        <f t="shared" si="137"/>
        <v>0</v>
      </c>
      <c r="BQ221" s="830">
        <f t="shared" si="137"/>
        <v>0</v>
      </c>
      <c r="BR221" s="830">
        <f t="shared" si="137"/>
        <v>0</v>
      </c>
      <c r="BS221" s="830">
        <f t="shared" si="137"/>
        <v>0</v>
      </c>
      <c r="BT221" s="830">
        <f t="shared" si="137"/>
        <v>0</v>
      </c>
      <c r="BU221" s="830">
        <f t="shared" si="137"/>
        <v>0</v>
      </c>
      <c r="BV221" s="830">
        <f t="shared" si="137"/>
        <v>0</v>
      </c>
      <c r="BW221" s="830">
        <f t="shared" si="137"/>
        <v>0</v>
      </c>
      <c r="BX221" s="830">
        <f t="shared" si="137"/>
        <v>0</v>
      </c>
      <c r="BY221" s="830">
        <f t="shared" si="137"/>
        <v>0</v>
      </c>
      <c r="BZ221" s="830">
        <f t="shared" si="137"/>
        <v>0</v>
      </c>
      <c r="CA221" s="830">
        <f t="shared" si="137"/>
        <v>0</v>
      </c>
      <c r="CB221" s="829">
        <f t="shared" si="108"/>
        <v>0</v>
      </c>
      <c r="CC221" s="832">
        <f t="shared" si="109"/>
        <v>0</v>
      </c>
      <c r="CD221" s="822">
        <f t="shared" si="109"/>
        <v>0</v>
      </c>
      <c r="CE221" s="822">
        <f t="shared" si="128"/>
        <v>0</v>
      </c>
      <c r="CF221" s="1598"/>
      <c r="CG221" s="832">
        <f t="shared" si="110"/>
        <v>0</v>
      </c>
      <c r="CH221" s="822">
        <f t="shared" si="110"/>
        <v>0</v>
      </c>
      <c r="CI221" s="822">
        <f>CG221-CH221</f>
        <v>0</v>
      </c>
      <c r="CJ221" s="1598"/>
      <c r="CK221" s="832">
        <f t="shared" si="134"/>
        <v>0</v>
      </c>
      <c r="CL221" s="822">
        <f t="shared" si="134"/>
        <v>0</v>
      </c>
      <c r="CM221" s="822">
        <f>CK221-CL221</f>
        <v>0</v>
      </c>
      <c r="CN221" s="1606"/>
      <c r="CO221" s="832">
        <f t="shared" si="135"/>
        <v>0</v>
      </c>
      <c r="CP221" s="822">
        <f t="shared" si="135"/>
        <v>0</v>
      </c>
      <c r="CQ221" s="822">
        <f>CO221-CP221</f>
        <v>0</v>
      </c>
      <c r="CR221" s="1606"/>
      <c r="CS221" s="832">
        <f t="shared" si="136"/>
        <v>0</v>
      </c>
      <c r="CT221" s="822">
        <f t="shared" si="136"/>
        <v>0</v>
      </c>
      <c r="CU221" s="822">
        <f>CS221-CT221</f>
        <v>0</v>
      </c>
      <c r="CV221" s="1606"/>
      <c r="CW221" s="832">
        <f t="shared" si="114"/>
        <v>0</v>
      </c>
      <c r="CX221" s="822">
        <f t="shared" si="114"/>
        <v>0</v>
      </c>
      <c r="CY221" s="822">
        <f t="shared" si="115"/>
        <v>0</v>
      </c>
      <c r="CZ221" s="1582"/>
      <c r="DA221" s="822">
        <f>SUMIF('Monthly Summary'!C$74:BV$74,"",H221:CA221)</f>
        <v>0</v>
      </c>
      <c r="DB221" s="1246"/>
      <c r="DC221" s="1246"/>
    </row>
    <row r="222" spans="4:107" s="745" customFormat="1">
      <c r="G222" s="746"/>
      <c r="H222" s="829"/>
      <c r="I222" s="830"/>
      <c r="J222" s="830"/>
      <c r="K222" s="830"/>
      <c r="L222" s="830"/>
      <c r="M222" s="830"/>
      <c r="N222" s="830"/>
      <c r="O222" s="830"/>
      <c r="P222" s="830"/>
      <c r="Q222" s="830"/>
      <c r="R222" s="830"/>
      <c r="S222" s="831"/>
      <c r="T222" s="830"/>
      <c r="U222" s="830"/>
      <c r="V222" s="830"/>
      <c r="W222" s="830"/>
      <c r="X222" s="830"/>
      <c r="Y222" s="830"/>
      <c r="Z222" s="830"/>
      <c r="AA222" s="830"/>
      <c r="AB222" s="830"/>
      <c r="AC222" s="830"/>
      <c r="AD222" s="830"/>
      <c r="AE222" s="831"/>
      <c r="AF222" s="830"/>
      <c r="AG222" s="830"/>
      <c r="AH222" s="830"/>
      <c r="AI222" s="830"/>
      <c r="AJ222" s="830"/>
      <c r="AK222" s="830"/>
      <c r="AL222" s="830"/>
      <c r="AM222" s="830"/>
      <c r="AN222" s="830"/>
      <c r="AO222" s="830"/>
      <c r="AP222" s="830"/>
      <c r="AQ222" s="831"/>
      <c r="AR222" s="830"/>
      <c r="AS222" s="830"/>
      <c r="AT222" s="830"/>
      <c r="AU222" s="830"/>
      <c r="AV222" s="830"/>
      <c r="AW222" s="830"/>
      <c r="AX222" s="830"/>
      <c r="AY222" s="830"/>
      <c r="AZ222" s="830"/>
      <c r="BA222" s="830"/>
      <c r="BB222" s="830"/>
      <c r="BC222" s="830"/>
      <c r="BD222" s="829"/>
      <c r="BE222" s="830"/>
      <c r="BF222" s="830"/>
      <c r="BG222" s="830"/>
      <c r="BH222" s="830"/>
      <c r="BI222" s="830"/>
      <c r="BJ222" s="830"/>
      <c r="BK222" s="830"/>
      <c r="BL222" s="830"/>
      <c r="BM222" s="830"/>
      <c r="BN222" s="830"/>
      <c r="BO222" s="831"/>
      <c r="BP222" s="830"/>
      <c r="BQ222" s="830"/>
      <c r="BR222" s="830"/>
      <c r="BS222" s="830"/>
      <c r="BT222" s="830"/>
      <c r="BU222" s="830"/>
      <c r="BV222" s="830"/>
      <c r="BW222" s="830"/>
      <c r="BX222" s="830"/>
      <c r="BY222" s="830"/>
      <c r="BZ222" s="830"/>
      <c r="CA222" s="830"/>
      <c r="CB222" s="829"/>
      <c r="CC222" s="832"/>
      <c r="CD222" s="822"/>
      <c r="CE222" s="822"/>
      <c r="CF222" s="840"/>
      <c r="CG222" s="832"/>
      <c r="CH222" s="822"/>
      <c r="CI222" s="822"/>
      <c r="CJ222" s="814"/>
      <c r="CK222" s="832"/>
      <c r="CL222" s="822"/>
      <c r="CM222" s="822"/>
      <c r="CN222" s="840"/>
      <c r="CO222" s="832"/>
      <c r="CP222" s="822"/>
      <c r="CQ222" s="822"/>
      <c r="CR222" s="840"/>
      <c r="CS222" s="832"/>
      <c r="CT222" s="822"/>
      <c r="CU222" s="822"/>
      <c r="CV222" s="840"/>
      <c r="CW222" s="832"/>
      <c r="CX222" s="822"/>
      <c r="CY222" s="822"/>
      <c r="CZ222" s="835"/>
      <c r="DA222" s="823"/>
      <c r="DB222" s="1246"/>
      <c r="DC222" s="1246"/>
    </row>
    <row r="223" spans="4:107" s="745" customFormat="1">
      <c r="D223" s="766" t="str">
        <f>Variables!$A$45</f>
        <v>Capgemini</v>
      </c>
      <c r="E223" s="766" t="s">
        <v>18</v>
      </c>
      <c r="G223" s="766" t="s">
        <v>20</v>
      </c>
      <c r="H223" s="829">
        <f>SUMIFS(H$5:H$167,$D$5:$D$167,$D223,$G$5:$G$167,$G223)</f>
        <v>0</v>
      </c>
      <c r="I223" s="830">
        <f t="shared" ref="I223:BD224" si="138">SUMIFS(I$5:I$167,$D$5:$D$167,$D223,$G$5:$G$167,$G223)</f>
        <v>0</v>
      </c>
      <c r="J223" s="830">
        <f t="shared" si="138"/>
        <v>0</v>
      </c>
      <c r="K223" s="830">
        <f t="shared" si="138"/>
        <v>0</v>
      </c>
      <c r="L223" s="830">
        <f t="shared" si="138"/>
        <v>0</v>
      </c>
      <c r="M223" s="830">
        <f t="shared" si="138"/>
        <v>0</v>
      </c>
      <c r="N223" s="830">
        <f t="shared" si="138"/>
        <v>0</v>
      </c>
      <c r="O223" s="830">
        <f t="shared" si="138"/>
        <v>0</v>
      </c>
      <c r="P223" s="830">
        <f t="shared" si="138"/>
        <v>0</v>
      </c>
      <c r="Q223" s="830">
        <f t="shared" si="138"/>
        <v>0</v>
      </c>
      <c r="R223" s="830">
        <f t="shared" si="138"/>
        <v>0</v>
      </c>
      <c r="S223" s="831">
        <f t="shared" si="138"/>
        <v>0</v>
      </c>
      <c r="T223" s="830">
        <f t="shared" si="138"/>
        <v>0</v>
      </c>
      <c r="U223" s="830">
        <f t="shared" si="138"/>
        <v>0</v>
      </c>
      <c r="V223" s="830">
        <f t="shared" si="138"/>
        <v>0</v>
      </c>
      <c r="W223" s="830">
        <f t="shared" si="138"/>
        <v>0</v>
      </c>
      <c r="X223" s="830">
        <f t="shared" si="138"/>
        <v>0</v>
      </c>
      <c r="Y223" s="830">
        <f t="shared" si="138"/>
        <v>0</v>
      </c>
      <c r="Z223" s="830">
        <f t="shared" si="138"/>
        <v>0</v>
      </c>
      <c r="AA223" s="830">
        <f t="shared" si="138"/>
        <v>0</v>
      </c>
      <c r="AB223" s="830">
        <f t="shared" si="138"/>
        <v>0</v>
      </c>
      <c r="AC223" s="830">
        <f t="shared" si="138"/>
        <v>0</v>
      </c>
      <c r="AD223" s="830">
        <f t="shared" si="138"/>
        <v>0</v>
      </c>
      <c r="AE223" s="831">
        <f t="shared" si="138"/>
        <v>0</v>
      </c>
      <c r="AF223" s="830">
        <f t="shared" si="138"/>
        <v>0</v>
      </c>
      <c r="AG223" s="830">
        <f t="shared" si="138"/>
        <v>0</v>
      </c>
      <c r="AH223" s="830">
        <f t="shared" si="138"/>
        <v>0</v>
      </c>
      <c r="AI223" s="830">
        <f t="shared" si="138"/>
        <v>0</v>
      </c>
      <c r="AJ223" s="830">
        <f t="shared" si="138"/>
        <v>0</v>
      </c>
      <c r="AK223" s="830">
        <f t="shared" si="138"/>
        <v>0</v>
      </c>
      <c r="AL223" s="830">
        <f t="shared" si="138"/>
        <v>0</v>
      </c>
      <c r="AM223" s="830">
        <f t="shared" si="138"/>
        <v>0</v>
      </c>
      <c r="AN223" s="830">
        <f t="shared" si="138"/>
        <v>0</v>
      </c>
      <c r="AO223" s="830">
        <f t="shared" si="138"/>
        <v>0</v>
      </c>
      <c r="AP223" s="830">
        <f t="shared" si="138"/>
        <v>0</v>
      </c>
      <c r="AQ223" s="831">
        <f t="shared" si="138"/>
        <v>0</v>
      </c>
      <c r="AR223" s="830">
        <f t="shared" si="138"/>
        <v>0</v>
      </c>
      <c r="AS223" s="830">
        <f t="shared" si="138"/>
        <v>0</v>
      </c>
      <c r="AT223" s="830">
        <f t="shared" si="138"/>
        <v>0</v>
      </c>
      <c r="AU223" s="830">
        <f t="shared" si="138"/>
        <v>0</v>
      </c>
      <c r="AV223" s="830">
        <f t="shared" si="138"/>
        <v>0</v>
      </c>
      <c r="AW223" s="830">
        <f t="shared" si="138"/>
        <v>0</v>
      </c>
      <c r="AX223" s="830">
        <f t="shared" si="138"/>
        <v>0</v>
      </c>
      <c r="AY223" s="830">
        <f t="shared" si="138"/>
        <v>0</v>
      </c>
      <c r="AZ223" s="830">
        <f t="shared" si="138"/>
        <v>0</v>
      </c>
      <c r="BA223" s="830">
        <f t="shared" si="138"/>
        <v>0</v>
      </c>
      <c r="BB223" s="830">
        <f t="shared" si="138"/>
        <v>0</v>
      </c>
      <c r="BC223" s="830">
        <f t="shared" si="138"/>
        <v>0</v>
      </c>
      <c r="BD223" s="829">
        <f t="shared" si="138"/>
        <v>0</v>
      </c>
      <c r="BE223" s="830">
        <f t="shared" ref="BE223:CA223" si="139">SUMIFS(BE$5:BE$167,$D$5:$D$167,$D223,$G$5:$G$167,$G223)</f>
        <v>0</v>
      </c>
      <c r="BF223" s="830">
        <f t="shared" si="139"/>
        <v>0</v>
      </c>
      <c r="BG223" s="830">
        <f t="shared" si="139"/>
        <v>0</v>
      </c>
      <c r="BH223" s="830">
        <f t="shared" si="139"/>
        <v>0</v>
      </c>
      <c r="BI223" s="830">
        <f t="shared" si="139"/>
        <v>0</v>
      </c>
      <c r="BJ223" s="830">
        <f t="shared" si="139"/>
        <v>0</v>
      </c>
      <c r="BK223" s="830">
        <f t="shared" si="139"/>
        <v>0</v>
      </c>
      <c r="BL223" s="830">
        <f t="shared" si="139"/>
        <v>0</v>
      </c>
      <c r="BM223" s="830">
        <f t="shared" si="139"/>
        <v>0</v>
      </c>
      <c r="BN223" s="830">
        <f t="shared" si="139"/>
        <v>0</v>
      </c>
      <c r="BO223" s="831">
        <f t="shared" si="139"/>
        <v>0</v>
      </c>
      <c r="BP223" s="830">
        <f t="shared" si="139"/>
        <v>0</v>
      </c>
      <c r="BQ223" s="830">
        <f t="shared" si="139"/>
        <v>0</v>
      </c>
      <c r="BR223" s="830">
        <f t="shared" si="139"/>
        <v>0</v>
      </c>
      <c r="BS223" s="830">
        <f t="shared" si="139"/>
        <v>0</v>
      </c>
      <c r="BT223" s="830">
        <f t="shared" si="139"/>
        <v>0</v>
      </c>
      <c r="BU223" s="830">
        <f t="shared" si="139"/>
        <v>0</v>
      </c>
      <c r="BV223" s="830">
        <f t="shared" si="139"/>
        <v>0</v>
      </c>
      <c r="BW223" s="830">
        <f t="shared" si="139"/>
        <v>0</v>
      </c>
      <c r="BX223" s="830">
        <f t="shared" si="139"/>
        <v>0</v>
      </c>
      <c r="BY223" s="830">
        <f t="shared" si="139"/>
        <v>0</v>
      </c>
      <c r="BZ223" s="830">
        <f t="shared" si="139"/>
        <v>0</v>
      </c>
      <c r="CA223" s="830">
        <f t="shared" si="139"/>
        <v>0</v>
      </c>
      <c r="CB223" s="829">
        <f t="shared" si="108"/>
        <v>0</v>
      </c>
      <c r="CC223" s="832">
        <f t="shared" si="109"/>
        <v>0</v>
      </c>
      <c r="CD223" s="822">
        <f t="shared" si="109"/>
        <v>0</v>
      </c>
      <c r="CE223" s="822">
        <f t="shared" si="128"/>
        <v>0</v>
      </c>
      <c r="CF223" s="1598">
        <f>IF(CE$238=0,0,(CE223+CE224)/CE$238)</f>
        <v>0</v>
      </c>
      <c r="CG223" s="832">
        <f t="shared" si="110"/>
        <v>0</v>
      </c>
      <c r="CH223" s="822">
        <f t="shared" si="110"/>
        <v>0</v>
      </c>
      <c r="CI223" s="822">
        <f>CG223-CH223</f>
        <v>0</v>
      </c>
      <c r="CJ223" s="1598">
        <f>IF(CI$238=0,0,(CI223+CI224)/CI$238)</f>
        <v>0</v>
      </c>
      <c r="CK223" s="832">
        <f t="shared" si="134"/>
        <v>0</v>
      </c>
      <c r="CL223" s="822">
        <f t="shared" si="134"/>
        <v>0</v>
      </c>
      <c r="CM223" s="822">
        <f>CK223-CL223</f>
        <v>0</v>
      </c>
      <c r="CN223" s="1606">
        <f>IF(CM$238=0,0,(CM223+CM224)/CM$238)</f>
        <v>0</v>
      </c>
      <c r="CO223" s="832">
        <f t="shared" si="135"/>
        <v>0</v>
      </c>
      <c r="CP223" s="822">
        <f t="shared" si="135"/>
        <v>0</v>
      </c>
      <c r="CQ223" s="822">
        <f>CO223-CP223</f>
        <v>0</v>
      </c>
      <c r="CR223" s="1606">
        <f>IF(CQ$238=0,0,(CQ223+CQ224)/CQ$238)</f>
        <v>0</v>
      </c>
      <c r="CS223" s="832">
        <f t="shared" si="136"/>
        <v>0</v>
      </c>
      <c r="CT223" s="822">
        <f t="shared" si="136"/>
        <v>0</v>
      </c>
      <c r="CU223" s="822">
        <f>CS223-CT223</f>
        <v>0</v>
      </c>
      <c r="CV223" s="1606">
        <f>IF(CU$238=0,0,(CU223+CU224)/CU$238)</f>
        <v>0</v>
      </c>
      <c r="CW223" s="832">
        <f t="shared" si="114"/>
        <v>0</v>
      </c>
      <c r="CX223" s="822">
        <f t="shared" si="114"/>
        <v>0</v>
      </c>
      <c r="CY223" s="822">
        <f t="shared" si="115"/>
        <v>0</v>
      </c>
      <c r="CZ223" s="1582">
        <f>IF(CY$238=0,0,SUM(CY223:CY224)/CY$238)</f>
        <v>0</v>
      </c>
      <c r="DA223" s="822">
        <f>SUMIF('Monthly Summary'!C$75:BV$75,"",H223:CA223)</f>
        <v>0</v>
      </c>
      <c r="DB223" s="1246"/>
      <c r="DC223" s="1246"/>
    </row>
    <row r="224" spans="4:107" s="745" customFormat="1">
      <c r="D224" s="766" t="str">
        <f>Variables!$A$45</f>
        <v>Capgemini</v>
      </c>
      <c r="E224" s="766" t="s">
        <v>18</v>
      </c>
      <c r="G224" s="766" t="s">
        <v>21</v>
      </c>
      <c r="H224" s="829">
        <f>SUMIFS(H$5:H$167,$D$5:$D$167,$D224,$G$5:$G$167,$G224)</f>
        <v>0</v>
      </c>
      <c r="I224" s="830">
        <f t="shared" si="138"/>
        <v>0</v>
      </c>
      <c r="J224" s="830">
        <f t="shared" si="138"/>
        <v>0</v>
      </c>
      <c r="K224" s="830">
        <f t="shared" si="138"/>
        <v>0</v>
      </c>
      <c r="L224" s="830">
        <f t="shared" si="138"/>
        <v>0</v>
      </c>
      <c r="M224" s="830">
        <f t="shared" si="138"/>
        <v>0</v>
      </c>
      <c r="N224" s="830">
        <f t="shared" si="138"/>
        <v>0</v>
      </c>
      <c r="O224" s="830">
        <f t="shared" si="138"/>
        <v>0</v>
      </c>
      <c r="P224" s="830">
        <f t="shared" si="138"/>
        <v>0</v>
      </c>
      <c r="Q224" s="830">
        <f t="shared" si="138"/>
        <v>0</v>
      </c>
      <c r="R224" s="830">
        <f t="shared" si="138"/>
        <v>0</v>
      </c>
      <c r="S224" s="831">
        <f t="shared" si="138"/>
        <v>0</v>
      </c>
      <c r="T224" s="830">
        <f t="shared" si="138"/>
        <v>0</v>
      </c>
      <c r="U224" s="830">
        <f t="shared" si="138"/>
        <v>0</v>
      </c>
      <c r="V224" s="830">
        <f t="shared" si="138"/>
        <v>0</v>
      </c>
      <c r="W224" s="830">
        <f t="shared" si="138"/>
        <v>0</v>
      </c>
      <c r="X224" s="830">
        <f t="shared" si="138"/>
        <v>0</v>
      </c>
      <c r="Y224" s="830">
        <f t="shared" si="138"/>
        <v>0</v>
      </c>
      <c r="Z224" s="830">
        <f t="shared" si="138"/>
        <v>0</v>
      </c>
      <c r="AA224" s="830">
        <f t="shared" si="138"/>
        <v>0</v>
      </c>
      <c r="AB224" s="830">
        <f t="shared" si="138"/>
        <v>0</v>
      </c>
      <c r="AC224" s="830">
        <f t="shared" si="138"/>
        <v>0</v>
      </c>
      <c r="AD224" s="830">
        <f t="shared" si="138"/>
        <v>0</v>
      </c>
      <c r="AE224" s="831">
        <f t="shared" si="138"/>
        <v>0</v>
      </c>
      <c r="AF224" s="830">
        <f t="shared" si="138"/>
        <v>0</v>
      </c>
      <c r="AG224" s="830">
        <f t="shared" si="138"/>
        <v>0</v>
      </c>
      <c r="AH224" s="830">
        <f t="shared" si="138"/>
        <v>0</v>
      </c>
      <c r="AI224" s="830">
        <f t="shared" si="138"/>
        <v>0</v>
      </c>
      <c r="AJ224" s="830">
        <f t="shared" si="138"/>
        <v>0</v>
      </c>
      <c r="AK224" s="830">
        <f t="shared" si="138"/>
        <v>0</v>
      </c>
      <c r="AL224" s="830">
        <f t="shared" si="138"/>
        <v>0</v>
      </c>
      <c r="AM224" s="830">
        <f t="shared" si="138"/>
        <v>0</v>
      </c>
      <c r="AN224" s="830">
        <f t="shared" si="138"/>
        <v>0</v>
      </c>
      <c r="AO224" s="830">
        <f t="shared" si="138"/>
        <v>0</v>
      </c>
      <c r="AP224" s="830">
        <f t="shared" si="138"/>
        <v>0</v>
      </c>
      <c r="AQ224" s="831">
        <f t="shared" si="138"/>
        <v>0</v>
      </c>
      <c r="AR224" s="830">
        <f t="shared" si="138"/>
        <v>0</v>
      </c>
      <c r="AS224" s="830">
        <f t="shared" si="138"/>
        <v>0</v>
      </c>
      <c r="AT224" s="830">
        <f t="shared" si="138"/>
        <v>0</v>
      </c>
      <c r="AU224" s="830">
        <f t="shared" si="138"/>
        <v>0</v>
      </c>
      <c r="AV224" s="830">
        <f t="shared" si="138"/>
        <v>0</v>
      </c>
      <c r="AW224" s="830">
        <f t="shared" si="138"/>
        <v>0</v>
      </c>
      <c r="AX224" s="830">
        <f t="shared" si="138"/>
        <v>0</v>
      </c>
      <c r="AY224" s="830">
        <f t="shared" si="138"/>
        <v>0</v>
      </c>
      <c r="AZ224" s="830">
        <f t="shared" si="138"/>
        <v>0</v>
      </c>
      <c r="BA224" s="830">
        <f t="shared" si="138"/>
        <v>0</v>
      </c>
      <c r="BB224" s="830">
        <f t="shared" si="138"/>
        <v>0</v>
      </c>
      <c r="BC224" s="830">
        <f t="shared" si="138"/>
        <v>0</v>
      </c>
      <c r="BD224" s="829">
        <f t="shared" ref="BD224:CA224" si="140">SUMIFS(BD$5:BD$167,$D$5:$D$167,$D224,$G$5:$G$167,$G224)</f>
        <v>0</v>
      </c>
      <c r="BE224" s="830">
        <f t="shared" si="140"/>
        <v>0</v>
      </c>
      <c r="BF224" s="830">
        <f t="shared" si="140"/>
        <v>0</v>
      </c>
      <c r="BG224" s="830">
        <f t="shared" si="140"/>
        <v>0</v>
      </c>
      <c r="BH224" s="830">
        <f t="shared" si="140"/>
        <v>0</v>
      </c>
      <c r="BI224" s="830">
        <f t="shared" si="140"/>
        <v>0</v>
      </c>
      <c r="BJ224" s="830">
        <f t="shared" si="140"/>
        <v>0</v>
      </c>
      <c r="BK224" s="830">
        <f t="shared" si="140"/>
        <v>0</v>
      </c>
      <c r="BL224" s="830">
        <f t="shared" si="140"/>
        <v>0</v>
      </c>
      <c r="BM224" s="830">
        <f t="shared" si="140"/>
        <v>0</v>
      </c>
      <c r="BN224" s="830">
        <f t="shared" si="140"/>
        <v>0</v>
      </c>
      <c r="BO224" s="831">
        <f t="shared" si="140"/>
        <v>0</v>
      </c>
      <c r="BP224" s="830">
        <f t="shared" si="140"/>
        <v>0</v>
      </c>
      <c r="BQ224" s="830">
        <f t="shared" si="140"/>
        <v>0</v>
      </c>
      <c r="BR224" s="830">
        <f t="shared" si="140"/>
        <v>0</v>
      </c>
      <c r="BS224" s="830">
        <f t="shared" si="140"/>
        <v>0</v>
      </c>
      <c r="BT224" s="830">
        <f t="shared" si="140"/>
        <v>0</v>
      </c>
      <c r="BU224" s="830">
        <f t="shared" si="140"/>
        <v>0</v>
      </c>
      <c r="BV224" s="830">
        <f t="shared" si="140"/>
        <v>0</v>
      </c>
      <c r="BW224" s="830">
        <f t="shared" si="140"/>
        <v>0</v>
      </c>
      <c r="BX224" s="830">
        <f t="shared" si="140"/>
        <v>0</v>
      </c>
      <c r="BY224" s="830">
        <f t="shared" si="140"/>
        <v>0</v>
      </c>
      <c r="BZ224" s="830">
        <f t="shared" si="140"/>
        <v>0</v>
      </c>
      <c r="CA224" s="830">
        <f t="shared" si="140"/>
        <v>0</v>
      </c>
      <c r="CB224" s="829">
        <f t="shared" si="108"/>
        <v>0</v>
      </c>
      <c r="CC224" s="832">
        <f t="shared" si="109"/>
        <v>0</v>
      </c>
      <c r="CD224" s="822">
        <f t="shared" si="109"/>
        <v>0</v>
      </c>
      <c r="CE224" s="822">
        <f t="shared" si="128"/>
        <v>0</v>
      </c>
      <c r="CF224" s="1598"/>
      <c r="CG224" s="832">
        <f t="shared" si="110"/>
        <v>0</v>
      </c>
      <c r="CH224" s="822">
        <f t="shared" si="110"/>
        <v>0</v>
      </c>
      <c r="CI224" s="822">
        <f>CG224-CH224</f>
        <v>0</v>
      </c>
      <c r="CJ224" s="1598"/>
      <c r="CK224" s="832">
        <f t="shared" si="134"/>
        <v>0</v>
      </c>
      <c r="CL224" s="822">
        <f t="shared" si="134"/>
        <v>0</v>
      </c>
      <c r="CM224" s="822">
        <f>CK224-CL224</f>
        <v>0</v>
      </c>
      <c r="CN224" s="1606"/>
      <c r="CO224" s="832">
        <f t="shared" si="135"/>
        <v>0</v>
      </c>
      <c r="CP224" s="822">
        <f t="shared" si="135"/>
        <v>0</v>
      </c>
      <c r="CQ224" s="822">
        <f>CO224-CP224</f>
        <v>0</v>
      </c>
      <c r="CR224" s="1606"/>
      <c r="CS224" s="832">
        <f t="shared" si="136"/>
        <v>0</v>
      </c>
      <c r="CT224" s="822">
        <f t="shared" si="136"/>
        <v>0</v>
      </c>
      <c r="CU224" s="822">
        <f>CS224-CT224</f>
        <v>0</v>
      </c>
      <c r="CV224" s="1606"/>
      <c r="CW224" s="832">
        <f t="shared" si="114"/>
        <v>0</v>
      </c>
      <c r="CX224" s="822">
        <f t="shared" si="114"/>
        <v>0</v>
      </c>
      <c r="CY224" s="822">
        <f t="shared" si="115"/>
        <v>0</v>
      </c>
      <c r="CZ224" s="1582"/>
      <c r="DA224" s="822">
        <f>SUMIF('Monthly Summary'!C$74:BV$74,"",H224:CA224)</f>
        <v>0</v>
      </c>
      <c r="DB224" s="1246"/>
      <c r="DC224" s="1246"/>
    </row>
    <row r="225" spans="4:107" s="745" customFormat="1">
      <c r="G225" s="746"/>
      <c r="H225" s="829"/>
      <c r="I225" s="830"/>
      <c r="J225" s="830"/>
      <c r="K225" s="830"/>
      <c r="L225" s="830"/>
      <c r="M225" s="830"/>
      <c r="N225" s="830"/>
      <c r="O225" s="830"/>
      <c r="P225" s="830"/>
      <c r="Q225" s="830"/>
      <c r="R225" s="830"/>
      <c r="S225" s="831"/>
      <c r="T225" s="830"/>
      <c r="U225" s="830"/>
      <c r="V225" s="830"/>
      <c r="W225" s="830"/>
      <c r="X225" s="830"/>
      <c r="Y225" s="830"/>
      <c r="Z225" s="830"/>
      <c r="AA225" s="830"/>
      <c r="AB225" s="830"/>
      <c r="AC225" s="830"/>
      <c r="AD225" s="830"/>
      <c r="AE225" s="831"/>
      <c r="AF225" s="830"/>
      <c r="AG225" s="830"/>
      <c r="AH225" s="830"/>
      <c r="AI225" s="830"/>
      <c r="AJ225" s="830"/>
      <c r="AK225" s="830"/>
      <c r="AL225" s="830"/>
      <c r="AM225" s="830"/>
      <c r="AN225" s="830"/>
      <c r="AO225" s="830"/>
      <c r="AP225" s="830"/>
      <c r="AQ225" s="831"/>
      <c r="AR225" s="830"/>
      <c r="AS225" s="830"/>
      <c r="AT225" s="830"/>
      <c r="AU225" s="830"/>
      <c r="AV225" s="830"/>
      <c r="AW225" s="830"/>
      <c r="AX225" s="830"/>
      <c r="AY225" s="830"/>
      <c r="AZ225" s="830"/>
      <c r="BA225" s="830"/>
      <c r="BB225" s="830"/>
      <c r="BC225" s="830"/>
      <c r="BD225" s="829"/>
      <c r="BE225" s="830"/>
      <c r="BF225" s="830"/>
      <c r="BG225" s="830"/>
      <c r="BH225" s="830"/>
      <c r="BI225" s="830"/>
      <c r="BJ225" s="830"/>
      <c r="BK225" s="830"/>
      <c r="BL225" s="830"/>
      <c r="BM225" s="830"/>
      <c r="BN225" s="830"/>
      <c r="BO225" s="831"/>
      <c r="BP225" s="830"/>
      <c r="BQ225" s="830"/>
      <c r="BR225" s="830"/>
      <c r="BS225" s="830"/>
      <c r="BT225" s="830"/>
      <c r="BU225" s="830"/>
      <c r="BV225" s="830"/>
      <c r="BW225" s="830"/>
      <c r="BX225" s="830"/>
      <c r="BY225" s="830"/>
      <c r="BZ225" s="830"/>
      <c r="CA225" s="830"/>
      <c r="CB225" s="829"/>
      <c r="CC225" s="832"/>
      <c r="CD225" s="822"/>
      <c r="CE225" s="822"/>
      <c r="CF225" s="840"/>
      <c r="CG225" s="832"/>
      <c r="CH225" s="822"/>
      <c r="CI225" s="822"/>
      <c r="CJ225" s="814"/>
      <c r="CK225" s="832"/>
      <c r="CL225" s="822"/>
      <c r="CM225" s="822"/>
      <c r="CN225" s="840"/>
      <c r="CO225" s="832"/>
      <c r="CP225" s="822"/>
      <c r="CQ225" s="822"/>
      <c r="CR225" s="840"/>
      <c r="CS225" s="832"/>
      <c r="CT225" s="822"/>
      <c r="CU225" s="822"/>
      <c r="CV225" s="840"/>
      <c r="CW225" s="832"/>
      <c r="CX225" s="822"/>
      <c r="CY225" s="822"/>
      <c r="CZ225" s="835"/>
      <c r="DA225" s="823"/>
      <c r="DB225" s="1246"/>
      <c r="DC225" s="1246"/>
    </row>
    <row r="226" spans="4:107" s="745" customFormat="1">
      <c r="D226" s="766" t="str">
        <f>Variables!$A$46</f>
        <v>User Defined #2</v>
      </c>
      <c r="E226" s="766" t="s">
        <v>18</v>
      </c>
      <c r="G226" s="766" t="s">
        <v>20</v>
      </c>
      <c r="H226" s="829">
        <f>SUMIFS(H$5:H$167,$D$5:$D$167,$D226,$G$5:$G$167,$G226)</f>
        <v>0</v>
      </c>
      <c r="I226" s="830">
        <f t="shared" ref="I226:BD227" si="141">SUMIFS(I$5:I$167,$D$5:$D$167,$D226,$G$5:$G$167,$G226)</f>
        <v>0</v>
      </c>
      <c r="J226" s="830">
        <f t="shared" si="141"/>
        <v>0</v>
      </c>
      <c r="K226" s="830">
        <f t="shared" si="141"/>
        <v>0</v>
      </c>
      <c r="L226" s="830">
        <f t="shared" si="141"/>
        <v>0</v>
      </c>
      <c r="M226" s="830">
        <f t="shared" si="141"/>
        <v>0</v>
      </c>
      <c r="N226" s="830">
        <f t="shared" si="141"/>
        <v>0</v>
      </c>
      <c r="O226" s="830">
        <f t="shared" si="141"/>
        <v>0</v>
      </c>
      <c r="P226" s="830">
        <f t="shared" si="141"/>
        <v>0</v>
      </c>
      <c r="Q226" s="830">
        <f t="shared" si="141"/>
        <v>0</v>
      </c>
      <c r="R226" s="830">
        <f t="shared" si="141"/>
        <v>0</v>
      </c>
      <c r="S226" s="831">
        <f t="shared" si="141"/>
        <v>0</v>
      </c>
      <c r="T226" s="830">
        <f t="shared" si="141"/>
        <v>0</v>
      </c>
      <c r="U226" s="830">
        <f t="shared" si="141"/>
        <v>0</v>
      </c>
      <c r="V226" s="830">
        <f t="shared" si="141"/>
        <v>0</v>
      </c>
      <c r="W226" s="830">
        <f t="shared" si="141"/>
        <v>0</v>
      </c>
      <c r="X226" s="830">
        <f t="shared" si="141"/>
        <v>0</v>
      </c>
      <c r="Y226" s="830">
        <f t="shared" si="141"/>
        <v>0</v>
      </c>
      <c r="Z226" s="830">
        <f t="shared" si="141"/>
        <v>0</v>
      </c>
      <c r="AA226" s="830">
        <f t="shared" si="141"/>
        <v>0</v>
      </c>
      <c r="AB226" s="830">
        <f t="shared" si="141"/>
        <v>0</v>
      </c>
      <c r="AC226" s="830">
        <f t="shared" si="141"/>
        <v>0</v>
      </c>
      <c r="AD226" s="830">
        <f t="shared" si="141"/>
        <v>0</v>
      </c>
      <c r="AE226" s="831">
        <f t="shared" si="141"/>
        <v>0</v>
      </c>
      <c r="AF226" s="830">
        <f t="shared" si="141"/>
        <v>0</v>
      </c>
      <c r="AG226" s="830">
        <f t="shared" si="141"/>
        <v>0</v>
      </c>
      <c r="AH226" s="830">
        <f t="shared" si="141"/>
        <v>0</v>
      </c>
      <c r="AI226" s="830">
        <f t="shared" si="141"/>
        <v>0</v>
      </c>
      <c r="AJ226" s="830">
        <f t="shared" si="141"/>
        <v>0</v>
      </c>
      <c r="AK226" s="830">
        <f t="shared" si="141"/>
        <v>0</v>
      </c>
      <c r="AL226" s="830">
        <f t="shared" si="141"/>
        <v>0</v>
      </c>
      <c r="AM226" s="830">
        <f t="shared" si="141"/>
        <v>0</v>
      </c>
      <c r="AN226" s="830">
        <f t="shared" si="141"/>
        <v>0</v>
      </c>
      <c r="AO226" s="830">
        <f t="shared" si="141"/>
        <v>0</v>
      </c>
      <c r="AP226" s="830">
        <f t="shared" si="141"/>
        <v>0</v>
      </c>
      <c r="AQ226" s="831">
        <f t="shared" si="141"/>
        <v>0</v>
      </c>
      <c r="AR226" s="830">
        <f t="shared" si="141"/>
        <v>0</v>
      </c>
      <c r="AS226" s="830">
        <f t="shared" si="141"/>
        <v>0</v>
      </c>
      <c r="AT226" s="830">
        <f t="shared" si="141"/>
        <v>0</v>
      </c>
      <c r="AU226" s="830">
        <f t="shared" si="141"/>
        <v>0</v>
      </c>
      <c r="AV226" s="830">
        <f t="shared" si="141"/>
        <v>0</v>
      </c>
      <c r="AW226" s="830">
        <f t="shared" si="141"/>
        <v>0</v>
      </c>
      <c r="AX226" s="830">
        <f t="shared" si="141"/>
        <v>0</v>
      </c>
      <c r="AY226" s="830">
        <f t="shared" si="141"/>
        <v>0</v>
      </c>
      <c r="AZ226" s="830">
        <f t="shared" si="141"/>
        <v>0</v>
      </c>
      <c r="BA226" s="830">
        <f t="shared" si="141"/>
        <v>0</v>
      </c>
      <c r="BB226" s="830">
        <f t="shared" si="141"/>
        <v>0</v>
      </c>
      <c r="BC226" s="830">
        <f t="shared" si="141"/>
        <v>0</v>
      </c>
      <c r="BD226" s="829">
        <f t="shared" si="141"/>
        <v>0</v>
      </c>
      <c r="BE226" s="830">
        <f t="shared" ref="BE226:CA226" si="142">SUMIFS(BE$5:BE$167,$D$5:$D$167,$D226,$G$5:$G$167,$G226)</f>
        <v>0</v>
      </c>
      <c r="BF226" s="830">
        <f t="shared" si="142"/>
        <v>0</v>
      </c>
      <c r="BG226" s="830">
        <f t="shared" si="142"/>
        <v>0</v>
      </c>
      <c r="BH226" s="830">
        <f t="shared" si="142"/>
        <v>0</v>
      </c>
      <c r="BI226" s="830">
        <f t="shared" si="142"/>
        <v>0</v>
      </c>
      <c r="BJ226" s="830">
        <f t="shared" si="142"/>
        <v>0</v>
      </c>
      <c r="BK226" s="830">
        <f t="shared" si="142"/>
        <v>0</v>
      </c>
      <c r="BL226" s="830">
        <f t="shared" si="142"/>
        <v>0</v>
      </c>
      <c r="BM226" s="830">
        <f t="shared" si="142"/>
        <v>0</v>
      </c>
      <c r="BN226" s="830">
        <f t="shared" si="142"/>
        <v>0</v>
      </c>
      <c r="BO226" s="831">
        <f t="shared" si="142"/>
        <v>0</v>
      </c>
      <c r="BP226" s="830">
        <f t="shared" si="142"/>
        <v>0</v>
      </c>
      <c r="BQ226" s="830">
        <f t="shared" si="142"/>
        <v>0</v>
      </c>
      <c r="BR226" s="830">
        <f t="shared" si="142"/>
        <v>0</v>
      </c>
      <c r="BS226" s="830">
        <f t="shared" si="142"/>
        <v>0</v>
      </c>
      <c r="BT226" s="830">
        <f t="shared" si="142"/>
        <v>0</v>
      </c>
      <c r="BU226" s="830">
        <f t="shared" si="142"/>
        <v>0</v>
      </c>
      <c r="BV226" s="830">
        <f t="shared" si="142"/>
        <v>0</v>
      </c>
      <c r="BW226" s="830">
        <f t="shared" si="142"/>
        <v>0</v>
      </c>
      <c r="BX226" s="830">
        <f t="shared" si="142"/>
        <v>0</v>
      </c>
      <c r="BY226" s="830">
        <f t="shared" si="142"/>
        <v>0</v>
      </c>
      <c r="BZ226" s="830">
        <f t="shared" si="142"/>
        <v>0</v>
      </c>
      <c r="CA226" s="830">
        <f t="shared" si="142"/>
        <v>0</v>
      </c>
      <c r="CB226" s="829">
        <f t="shared" si="108"/>
        <v>0</v>
      </c>
      <c r="CC226" s="832">
        <f t="shared" si="109"/>
        <v>0</v>
      </c>
      <c r="CD226" s="822">
        <f t="shared" si="109"/>
        <v>0</v>
      </c>
      <c r="CE226" s="822">
        <f t="shared" si="128"/>
        <v>0</v>
      </c>
      <c r="CF226" s="1598">
        <f>IF(CE$238=0,0,(CE226+CE227)/CE$238)</f>
        <v>0</v>
      </c>
      <c r="CG226" s="832">
        <f t="shared" si="110"/>
        <v>0</v>
      </c>
      <c r="CH226" s="822">
        <f t="shared" si="110"/>
        <v>0</v>
      </c>
      <c r="CI226" s="822">
        <f>CG226-CH226</f>
        <v>0</v>
      </c>
      <c r="CJ226" s="1598">
        <f>IF(CI$238=0,0,(CI226+CI227)/CI$238)</f>
        <v>0</v>
      </c>
      <c r="CK226" s="832">
        <f t="shared" si="134"/>
        <v>0</v>
      </c>
      <c r="CL226" s="822">
        <f t="shared" si="134"/>
        <v>0</v>
      </c>
      <c r="CM226" s="822">
        <f>CK226-CL226</f>
        <v>0</v>
      </c>
      <c r="CN226" s="1606">
        <f>IF(CM$238=0,0,(CM226+CM227)/CM$238)</f>
        <v>0</v>
      </c>
      <c r="CO226" s="832">
        <f t="shared" si="135"/>
        <v>0</v>
      </c>
      <c r="CP226" s="822">
        <f t="shared" si="135"/>
        <v>0</v>
      </c>
      <c r="CQ226" s="822">
        <f>CO226-CP226</f>
        <v>0</v>
      </c>
      <c r="CR226" s="1606">
        <f>IF(CQ$238=0,0,(CQ226+CQ227)/CQ$238)</f>
        <v>0</v>
      </c>
      <c r="CS226" s="832">
        <f t="shared" si="136"/>
        <v>0</v>
      </c>
      <c r="CT226" s="822">
        <f t="shared" si="136"/>
        <v>0</v>
      </c>
      <c r="CU226" s="822">
        <f>CS226-CT226</f>
        <v>0</v>
      </c>
      <c r="CV226" s="1606">
        <f>IF(CU$238=0,0,(CU226+CU227)/CU$238)</f>
        <v>0</v>
      </c>
      <c r="CW226" s="832">
        <f t="shared" si="114"/>
        <v>0</v>
      </c>
      <c r="CX226" s="822">
        <f t="shared" si="114"/>
        <v>0</v>
      </c>
      <c r="CY226" s="822">
        <f t="shared" si="115"/>
        <v>0</v>
      </c>
      <c r="CZ226" s="1582">
        <f>IF(CY$238=0,0,SUM(CY226:CY227)/CY$238)</f>
        <v>0</v>
      </c>
      <c r="DA226" s="822">
        <f>SUMIF('Monthly Summary'!C$75:BV$75,"",H226:CA226)</f>
        <v>0</v>
      </c>
      <c r="DB226" s="1246"/>
      <c r="DC226" s="1246"/>
    </row>
    <row r="227" spans="4:107" s="745" customFormat="1">
      <c r="D227" s="766" t="str">
        <f>Variables!$A$46</f>
        <v>User Defined #2</v>
      </c>
      <c r="E227" s="766" t="s">
        <v>18</v>
      </c>
      <c r="G227" s="766" t="s">
        <v>21</v>
      </c>
      <c r="H227" s="829">
        <f>SUMIFS(H$5:H$167,$D$5:$D$167,$D227,$G$5:$G$167,$G227)</f>
        <v>0</v>
      </c>
      <c r="I227" s="830">
        <f t="shared" si="141"/>
        <v>0</v>
      </c>
      <c r="J227" s="830">
        <f t="shared" si="141"/>
        <v>0</v>
      </c>
      <c r="K227" s="830">
        <f t="shared" si="141"/>
        <v>0</v>
      </c>
      <c r="L227" s="830">
        <f t="shared" si="141"/>
        <v>0</v>
      </c>
      <c r="M227" s="830">
        <f t="shared" si="141"/>
        <v>0</v>
      </c>
      <c r="N227" s="830">
        <f t="shared" si="141"/>
        <v>0</v>
      </c>
      <c r="O227" s="830">
        <f t="shared" si="141"/>
        <v>0</v>
      </c>
      <c r="P227" s="830">
        <f t="shared" si="141"/>
        <v>0</v>
      </c>
      <c r="Q227" s="830">
        <f t="shared" si="141"/>
        <v>0</v>
      </c>
      <c r="R227" s="830">
        <f t="shared" si="141"/>
        <v>0</v>
      </c>
      <c r="S227" s="831">
        <f t="shared" si="141"/>
        <v>0</v>
      </c>
      <c r="T227" s="830">
        <f t="shared" si="141"/>
        <v>0</v>
      </c>
      <c r="U227" s="830">
        <f t="shared" si="141"/>
        <v>0</v>
      </c>
      <c r="V227" s="830">
        <f t="shared" si="141"/>
        <v>0</v>
      </c>
      <c r="W227" s="830">
        <f t="shared" si="141"/>
        <v>0</v>
      </c>
      <c r="X227" s="830">
        <f t="shared" si="141"/>
        <v>0</v>
      </c>
      <c r="Y227" s="830">
        <f t="shared" si="141"/>
        <v>0</v>
      </c>
      <c r="Z227" s="830">
        <f t="shared" si="141"/>
        <v>0</v>
      </c>
      <c r="AA227" s="830">
        <f t="shared" si="141"/>
        <v>0</v>
      </c>
      <c r="AB227" s="830">
        <f t="shared" si="141"/>
        <v>0</v>
      </c>
      <c r="AC227" s="830">
        <f t="shared" si="141"/>
        <v>0</v>
      </c>
      <c r="AD227" s="830">
        <f t="shared" si="141"/>
        <v>0</v>
      </c>
      <c r="AE227" s="831">
        <f t="shared" si="141"/>
        <v>0</v>
      </c>
      <c r="AF227" s="830">
        <f t="shared" si="141"/>
        <v>0</v>
      </c>
      <c r="AG227" s="830">
        <f t="shared" si="141"/>
        <v>0</v>
      </c>
      <c r="AH227" s="830">
        <f t="shared" si="141"/>
        <v>0</v>
      </c>
      <c r="AI227" s="830">
        <f t="shared" si="141"/>
        <v>0</v>
      </c>
      <c r="AJ227" s="830">
        <f t="shared" si="141"/>
        <v>0</v>
      </c>
      <c r="AK227" s="830">
        <f t="shared" si="141"/>
        <v>0</v>
      </c>
      <c r="AL227" s="830">
        <f t="shared" si="141"/>
        <v>0</v>
      </c>
      <c r="AM227" s="830">
        <f t="shared" si="141"/>
        <v>0</v>
      </c>
      <c r="AN227" s="830">
        <f t="shared" si="141"/>
        <v>0</v>
      </c>
      <c r="AO227" s="830">
        <f t="shared" si="141"/>
        <v>0</v>
      </c>
      <c r="AP227" s="830">
        <f t="shared" si="141"/>
        <v>0</v>
      </c>
      <c r="AQ227" s="831">
        <f t="shared" si="141"/>
        <v>0</v>
      </c>
      <c r="AR227" s="830">
        <f t="shared" si="141"/>
        <v>0</v>
      </c>
      <c r="AS227" s="830">
        <f t="shared" si="141"/>
        <v>0</v>
      </c>
      <c r="AT227" s="830">
        <f t="shared" si="141"/>
        <v>0</v>
      </c>
      <c r="AU227" s="830">
        <f t="shared" si="141"/>
        <v>0</v>
      </c>
      <c r="AV227" s="830">
        <f t="shared" si="141"/>
        <v>0</v>
      </c>
      <c r="AW227" s="830">
        <f t="shared" si="141"/>
        <v>0</v>
      </c>
      <c r="AX227" s="830">
        <f t="shared" si="141"/>
        <v>0</v>
      </c>
      <c r="AY227" s="830">
        <f t="shared" si="141"/>
        <v>0</v>
      </c>
      <c r="AZ227" s="830">
        <f t="shared" si="141"/>
        <v>0</v>
      </c>
      <c r="BA227" s="830">
        <f t="shared" si="141"/>
        <v>0</v>
      </c>
      <c r="BB227" s="830">
        <f t="shared" si="141"/>
        <v>0</v>
      </c>
      <c r="BC227" s="830">
        <f t="shared" si="141"/>
        <v>0</v>
      </c>
      <c r="BD227" s="829">
        <f t="shared" ref="BD227:CA227" si="143">SUMIFS(BD$5:BD$167,$D$5:$D$167,$D227,$G$5:$G$167,$G227)</f>
        <v>0</v>
      </c>
      <c r="BE227" s="830">
        <f t="shared" si="143"/>
        <v>0</v>
      </c>
      <c r="BF227" s="830">
        <f t="shared" si="143"/>
        <v>0</v>
      </c>
      <c r="BG227" s="830">
        <f t="shared" si="143"/>
        <v>0</v>
      </c>
      <c r="BH227" s="830">
        <f t="shared" si="143"/>
        <v>0</v>
      </c>
      <c r="BI227" s="830">
        <f t="shared" si="143"/>
        <v>0</v>
      </c>
      <c r="BJ227" s="830">
        <f t="shared" si="143"/>
        <v>0</v>
      </c>
      <c r="BK227" s="830">
        <f t="shared" si="143"/>
        <v>0</v>
      </c>
      <c r="BL227" s="830">
        <f t="shared" si="143"/>
        <v>0</v>
      </c>
      <c r="BM227" s="830">
        <f t="shared" si="143"/>
        <v>0</v>
      </c>
      <c r="BN227" s="830">
        <f t="shared" si="143"/>
        <v>0</v>
      </c>
      <c r="BO227" s="831">
        <f t="shared" si="143"/>
        <v>0</v>
      </c>
      <c r="BP227" s="830">
        <f t="shared" si="143"/>
        <v>0</v>
      </c>
      <c r="BQ227" s="830">
        <f t="shared" si="143"/>
        <v>0</v>
      </c>
      <c r="BR227" s="830">
        <f t="shared" si="143"/>
        <v>0</v>
      </c>
      <c r="BS227" s="830">
        <f t="shared" si="143"/>
        <v>0</v>
      </c>
      <c r="BT227" s="830">
        <f t="shared" si="143"/>
        <v>0</v>
      </c>
      <c r="BU227" s="830">
        <f t="shared" si="143"/>
        <v>0</v>
      </c>
      <c r="BV227" s="830">
        <f t="shared" si="143"/>
        <v>0</v>
      </c>
      <c r="BW227" s="830">
        <f t="shared" si="143"/>
        <v>0</v>
      </c>
      <c r="BX227" s="830">
        <f t="shared" si="143"/>
        <v>0</v>
      </c>
      <c r="BY227" s="830">
        <f t="shared" si="143"/>
        <v>0</v>
      </c>
      <c r="BZ227" s="830">
        <f t="shared" si="143"/>
        <v>0</v>
      </c>
      <c r="CA227" s="830">
        <f t="shared" si="143"/>
        <v>0</v>
      </c>
      <c r="CB227" s="829">
        <f t="shared" si="108"/>
        <v>0</v>
      </c>
      <c r="CC227" s="832">
        <f t="shared" si="109"/>
        <v>0</v>
      </c>
      <c r="CD227" s="822">
        <f t="shared" si="109"/>
        <v>0</v>
      </c>
      <c r="CE227" s="822">
        <f t="shared" si="128"/>
        <v>0</v>
      </c>
      <c r="CF227" s="1598"/>
      <c r="CG227" s="832">
        <f t="shared" si="110"/>
        <v>0</v>
      </c>
      <c r="CH227" s="822">
        <f t="shared" si="110"/>
        <v>0</v>
      </c>
      <c r="CI227" s="822">
        <f>CG227-CH227</f>
        <v>0</v>
      </c>
      <c r="CJ227" s="1598"/>
      <c r="CK227" s="832">
        <f t="shared" si="134"/>
        <v>0</v>
      </c>
      <c r="CL227" s="822">
        <f t="shared" si="134"/>
        <v>0</v>
      </c>
      <c r="CM227" s="822">
        <f>CK227-CL227</f>
        <v>0</v>
      </c>
      <c r="CN227" s="1606"/>
      <c r="CO227" s="832">
        <f t="shared" si="135"/>
        <v>0</v>
      </c>
      <c r="CP227" s="822">
        <f t="shared" si="135"/>
        <v>0</v>
      </c>
      <c r="CQ227" s="822">
        <f>CO227-CP227</f>
        <v>0</v>
      </c>
      <c r="CR227" s="1606"/>
      <c r="CS227" s="832">
        <f t="shared" si="136"/>
        <v>0</v>
      </c>
      <c r="CT227" s="822">
        <f t="shared" si="136"/>
        <v>0</v>
      </c>
      <c r="CU227" s="822">
        <f>CS227-CT227</f>
        <v>0</v>
      </c>
      <c r="CV227" s="1606"/>
      <c r="CW227" s="832">
        <f t="shared" si="114"/>
        <v>0</v>
      </c>
      <c r="CX227" s="822">
        <f t="shared" si="114"/>
        <v>0</v>
      </c>
      <c r="CY227" s="822">
        <f t="shared" si="115"/>
        <v>0</v>
      </c>
      <c r="CZ227" s="1582"/>
      <c r="DA227" s="822">
        <f>SUMIF('Monthly Summary'!C$74:BV$74,"",H227:CA227)</f>
        <v>0</v>
      </c>
      <c r="DB227" s="1246"/>
      <c r="DC227" s="1246"/>
    </row>
    <row r="228" spans="4:107" s="745" customFormat="1">
      <c r="G228" s="746"/>
      <c r="H228" s="829"/>
      <c r="I228" s="830"/>
      <c r="J228" s="830"/>
      <c r="K228" s="830"/>
      <c r="L228" s="830"/>
      <c r="M228" s="830"/>
      <c r="N228" s="830"/>
      <c r="O228" s="830"/>
      <c r="P228" s="830"/>
      <c r="Q228" s="830"/>
      <c r="R228" s="830"/>
      <c r="S228" s="831"/>
      <c r="T228" s="830"/>
      <c r="U228" s="830"/>
      <c r="V228" s="830"/>
      <c r="W228" s="830"/>
      <c r="X228" s="830"/>
      <c r="Y228" s="830"/>
      <c r="Z228" s="830"/>
      <c r="AA228" s="830"/>
      <c r="AB228" s="830"/>
      <c r="AC228" s="830"/>
      <c r="AD228" s="830"/>
      <c r="AE228" s="831"/>
      <c r="AF228" s="830"/>
      <c r="AG228" s="830"/>
      <c r="AH228" s="830"/>
      <c r="AI228" s="830"/>
      <c r="AJ228" s="830"/>
      <c r="AK228" s="830"/>
      <c r="AL228" s="830"/>
      <c r="AM228" s="830"/>
      <c r="AN228" s="830"/>
      <c r="AO228" s="830"/>
      <c r="AP228" s="830"/>
      <c r="AQ228" s="831"/>
      <c r="AR228" s="830"/>
      <c r="AS228" s="830"/>
      <c r="AT228" s="830"/>
      <c r="AU228" s="830"/>
      <c r="AV228" s="830"/>
      <c r="AW228" s="830"/>
      <c r="AX228" s="830"/>
      <c r="AY228" s="830"/>
      <c r="AZ228" s="830"/>
      <c r="BA228" s="830"/>
      <c r="BB228" s="830"/>
      <c r="BC228" s="830"/>
      <c r="BD228" s="829"/>
      <c r="BE228" s="830"/>
      <c r="BF228" s="830"/>
      <c r="BG228" s="830"/>
      <c r="BH228" s="830"/>
      <c r="BI228" s="830"/>
      <c r="BJ228" s="830"/>
      <c r="BK228" s="830"/>
      <c r="BL228" s="830"/>
      <c r="BM228" s="830"/>
      <c r="BN228" s="830"/>
      <c r="BO228" s="831"/>
      <c r="BP228" s="830"/>
      <c r="BQ228" s="830"/>
      <c r="BR228" s="830"/>
      <c r="BS228" s="830"/>
      <c r="BT228" s="830"/>
      <c r="BU228" s="830"/>
      <c r="BV228" s="830"/>
      <c r="BW228" s="830"/>
      <c r="BX228" s="830"/>
      <c r="BY228" s="830"/>
      <c r="BZ228" s="830"/>
      <c r="CA228" s="830"/>
      <c r="CB228" s="829"/>
      <c r="CC228" s="832"/>
      <c r="CD228" s="822"/>
      <c r="CE228" s="822"/>
      <c r="CF228" s="840"/>
      <c r="CG228" s="832"/>
      <c r="CH228" s="822"/>
      <c r="CI228" s="822"/>
      <c r="CJ228" s="814"/>
      <c r="CK228" s="832"/>
      <c r="CL228" s="822"/>
      <c r="CM228" s="822"/>
      <c r="CN228" s="840"/>
      <c r="CO228" s="832"/>
      <c r="CP228" s="822"/>
      <c r="CQ228" s="822"/>
      <c r="CR228" s="840"/>
      <c r="CS228" s="832"/>
      <c r="CT228" s="822"/>
      <c r="CU228" s="822"/>
      <c r="CV228" s="840"/>
      <c r="CW228" s="832"/>
      <c r="CX228" s="822"/>
      <c r="CY228" s="822"/>
      <c r="CZ228" s="835"/>
      <c r="DA228" s="823"/>
      <c r="DB228" s="1246"/>
      <c r="DC228" s="1246"/>
    </row>
    <row r="229" spans="4:107" s="745" customFormat="1">
      <c r="D229" s="766" t="str">
        <f>Variables!$A$47</f>
        <v>User Defined #3</v>
      </c>
      <c r="E229" s="766" t="s">
        <v>18</v>
      </c>
      <c r="G229" s="766" t="s">
        <v>20</v>
      </c>
      <c r="H229" s="829">
        <f>SUMIFS(H$5:H$167,$D$5:$D$167,$D229,$G$5:$G$167,$G229)</f>
        <v>0</v>
      </c>
      <c r="I229" s="830">
        <f t="shared" ref="I229:BD230" si="144">SUMIFS(I$5:I$167,$D$5:$D$167,$D229,$G$5:$G$167,$G229)</f>
        <v>0</v>
      </c>
      <c r="J229" s="830">
        <f t="shared" si="144"/>
        <v>0</v>
      </c>
      <c r="K229" s="830">
        <f t="shared" si="144"/>
        <v>0</v>
      </c>
      <c r="L229" s="830">
        <f t="shared" si="144"/>
        <v>0</v>
      </c>
      <c r="M229" s="830">
        <f t="shared" si="144"/>
        <v>0</v>
      </c>
      <c r="N229" s="830">
        <f t="shared" si="144"/>
        <v>0</v>
      </c>
      <c r="O229" s="830">
        <f t="shared" si="144"/>
        <v>0</v>
      </c>
      <c r="P229" s="830">
        <f t="shared" si="144"/>
        <v>0</v>
      </c>
      <c r="Q229" s="830">
        <f t="shared" si="144"/>
        <v>0</v>
      </c>
      <c r="R229" s="830">
        <f t="shared" si="144"/>
        <v>0</v>
      </c>
      <c r="S229" s="831">
        <f t="shared" si="144"/>
        <v>0</v>
      </c>
      <c r="T229" s="830">
        <f t="shared" si="144"/>
        <v>0</v>
      </c>
      <c r="U229" s="830">
        <f t="shared" si="144"/>
        <v>0</v>
      </c>
      <c r="V229" s="830">
        <f t="shared" si="144"/>
        <v>0</v>
      </c>
      <c r="W229" s="830">
        <f t="shared" si="144"/>
        <v>0</v>
      </c>
      <c r="X229" s="830">
        <f t="shared" si="144"/>
        <v>0</v>
      </c>
      <c r="Y229" s="830">
        <f t="shared" si="144"/>
        <v>0</v>
      </c>
      <c r="Z229" s="830">
        <f t="shared" si="144"/>
        <v>0</v>
      </c>
      <c r="AA229" s="830">
        <f t="shared" si="144"/>
        <v>0</v>
      </c>
      <c r="AB229" s="830">
        <f t="shared" si="144"/>
        <v>0</v>
      </c>
      <c r="AC229" s="830">
        <f t="shared" si="144"/>
        <v>0</v>
      </c>
      <c r="AD229" s="830">
        <f t="shared" si="144"/>
        <v>0</v>
      </c>
      <c r="AE229" s="831">
        <f t="shared" si="144"/>
        <v>0</v>
      </c>
      <c r="AF229" s="830">
        <f t="shared" si="144"/>
        <v>0</v>
      </c>
      <c r="AG229" s="830">
        <f t="shared" si="144"/>
        <v>0</v>
      </c>
      <c r="AH229" s="830">
        <f t="shared" si="144"/>
        <v>0</v>
      </c>
      <c r="AI229" s="830">
        <f t="shared" si="144"/>
        <v>0</v>
      </c>
      <c r="AJ229" s="830">
        <f t="shared" si="144"/>
        <v>0</v>
      </c>
      <c r="AK229" s="830">
        <f t="shared" si="144"/>
        <v>0</v>
      </c>
      <c r="AL229" s="830">
        <f t="shared" si="144"/>
        <v>0</v>
      </c>
      <c r="AM229" s="830">
        <f t="shared" si="144"/>
        <v>0</v>
      </c>
      <c r="AN229" s="830">
        <f t="shared" si="144"/>
        <v>0</v>
      </c>
      <c r="AO229" s="830">
        <f t="shared" si="144"/>
        <v>0</v>
      </c>
      <c r="AP229" s="830">
        <f t="shared" si="144"/>
        <v>0</v>
      </c>
      <c r="AQ229" s="831">
        <f t="shared" si="144"/>
        <v>0</v>
      </c>
      <c r="AR229" s="830">
        <f t="shared" si="144"/>
        <v>0</v>
      </c>
      <c r="AS229" s="830">
        <f t="shared" si="144"/>
        <v>0</v>
      </c>
      <c r="AT229" s="830">
        <f t="shared" si="144"/>
        <v>0</v>
      </c>
      <c r="AU229" s="830">
        <f t="shared" si="144"/>
        <v>0</v>
      </c>
      <c r="AV229" s="830">
        <f t="shared" si="144"/>
        <v>0</v>
      </c>
      <c r="AW229" s="830">
        <f t="shared" si="144"/>
        <v>0</v>
      </c>
      <c r="AX229" s="830">
        <f t="shared" si="144"/>
        <v>0</v>
      </c>
      <c r="AY229" s="830">
        <f t="shared" si="144"/>
        <v>0</v>
      </c>
      <c r="AZ229" s="830">
        <f t="shared" si="144"/>
        <v>0</v>
      </c>
      <c r="BA229" s="830">
        <f t="shared" si="144"/>
        <v>0</v>
      </c>
      <c r="BB229" s="830">
        <f t="shared" si="144"/>
        <v>0</v>
      </c>
      <c r="BC229" s="830">
        <f t="shared" si="144"/>
        <v>0</v>
      </c>
      <c r="BD229" s="829">
        <f t="shared" si="144"/>
        <v>0</v>
      </c>
      <c r="BE229" s="830">
        <f t="shared" ref="BE229:CA229" si="145">SUMIFS(BE$5:BE$167,$D$5:$D$167,$D229,$G$5:$G$167,$G229)</f>
        <v>0</v>
      </c>
      <c r="BF229" s="830">
        <f t="shared" si="145"/>
        <v>0</v>
      </c>
      <c r="BG229" s="830">
        <f t="shared" si="145"/>
        <v>0</v>
      </c>
      <c r="BH229" s="830">
        <f t="shared" si="145"/>
        <v>0</v>
      </c>
      <c r="BI229" s="830">
        <f t="shared" si="145"/>
        <v>0</v>
      </c>
      <c r="BJ229" s="830">
        <f t="shared" si="145"/>
        <v>0</v>
      </c>
      <c r="BK229" s="830">
        <f t="shared" si="145"/>
        <v>0</v>
      </c>
      <c r="BL229" s="830">
        <f t="shared" si="145"/>
        <v>0</v>
      </c>
      <c r="BM229" s="830">
        <f t="shared" si="145"/>
        <v>0</v>
      </c>
      <c r="BN229" s="830">
        <f t="shared" si="145"/>
        <v>0</v>
      </c>
      <c r="BO229" s="831">
        <f t="shared" si="145"/>
        <v>0</v>
      </c>
      <c r="BP229" s="830">
        <f t="shared" si="145"/>
        <v>0</v>
      </c>
      <c r="BQ229" s="830">
        <f t="shared" si="145"/>
        <v>0</v>
      </c>
      <c r="BR229" s="830">
        <f t="shared" si="145"/>
        <v>0</v>
      </c>
      <c r="BS229" s="830">
        <f t="shared" si="145"/>
        <v>0</v>
      </c>
      <c r="BT229" s="830">
        <f t="shared" si="145"/>
        <v>0</v>
      </c>
      <c r="BU229" s="830">
        <f t="shared" si="145"/>
        <v>0</v>
      </c>
      <c r="BV229" s="830">
        <f t="shared" si="145"/>
        <v>0</v>
      </c>
      <c r="BW229" s="830">
        <f t="shared" si="145"/>
        <v>0</v>
      </c>
      <c r="BX229" s="830">
        <f t="shared" si="145"/>
        <v>0</v>
      </c>
      <c r="BY229" s="830">
        <f t="shared" si="145"/>
        <v>0</v>
      </c>
      <c r="BZ229" s="830">
        <f t="shared" si="145"/>
        <v>0</v>
      </c>
      <c r="CA229" s="830">
        <f t="shared" si="145"/>
        <v>0</v>
      </c>
      <c r="CB229" s="829">
        <f t="shared" si="108"/>
        <v>0</v>
      </c>
      <c r="CC229" s="832">
        <f t="shared" si="109"/>
        <v>0</v>
      </c>
      <c r="CD229" s="822">
        <f t="shared" si="109"/>
        <v>0</v>
      </c>
      <c r="CE229" s="822">
        <f t="shared" si="128"/>
        <v>0</v>
      </c>
      <c r="CF229" s="1598">
        <f>IF(CE$238=0,0,(CE229+CE230)/CE$238)</f>
        <v>0</v>
      </c>
      <c r="CG229" s="832">
        <f t="shared" si="110"/>
        <v>0</v>
      </c>
      <c r="CH229" s="822">
        <f t="shared" si="110"/>
        <v>0</v>
      </c>
      <c r="CI229" s="822">
        <f>CG229-CH229</f>
        <v>0</v>
      </c>
      <c r="CJ229" s="1598">
        <f>IF(CI$238=0,0,(CI229+CI230)/CI$238)</f>
        <v>0</v>
      </c>
      <c r="CK229" s="832">
        <f t="shared" si="134"/>
        <v>0</v>
      </c>
      <c r="CL229" s="822">
        <f t="shared" si="134"/>
        <v>0</v>
      </c>
      <c r="CM229" s="822">
        <f>CK229-CL229</f>
        <v>0</v>
      </c>
      <c r="CN229" s="1606">
        <f>IF(CM$238=0,0,(CM229+CM230)/CM$238)</f>
        <v>0</v>
      </c>
      <c r="CO229" s="832">
        <f t="shared" si="135"/>
        <v>0</v>
      </c>
      <c r="CP229" s="822">
        <f t="shared" si="135"/>
        <v>0</v>
      </c>
      <c r="CQ229" s="822">
        <f>CO229-CP229</f>
        <v>0</v>
      </c>
      <c r="CR229" s="1606">
        <f>IF(CQ$238=0,0,(CQ229+CQ230)/CQ$238)</f>
        <v>0</v>
      </c>
      <c r="CS229" s="832">
        <f t="shared" si="136"/>
        <v>0</v>
      </c>
      <c r="CT229" s="822">
        <f t="shared" si="136"/>
        <v>0</v>
      </c>
      <c r="CU229" s="822">
        <f>CS229-CT229</f>
        <v>0</v>
      </c>
      <c r="CV229" s="1606">
        <f>IF(CU$238=0,0,(CU229+CU230)/CU$238)</f>
        <v>0</v>
      </c>
      <c r="CW229" s="832">
        <f t="shared" si="114"/>
        <v>0</v>
      </c>
      <c r="CX229" s="822">
        <f t="shared" si="114"/>
        <v>0</v>
      </c>
      <c r="CY229" s="822">
        <f t="shared" si="115"/>
        <v>0</v>
      </c>
      <c r="CZ229" s="1582">
        <f>IF(CY$238=0,0,SUM(CY229:CY230)/CY$238)</f>
        <v>0</v>
      </c>
      <c r="DA229" s="822">
        <f>SUMIF('Monthly Summary'!C$75:BV$75,"",H229:CA229)</f>
        <v>0</v>
      </c>
      <c r="DB229" s="1246"/>
      <c r="DC229" s="1246"/>
    </row>
    <row r="230" spans="4:107" s="745" customFormat="1">
      <c r="D230" s="766" t="str">
        <f>Variables!$A$47</f>
        <v>User Defined #3</v>
      </c>
      <c r="E230" s="766" t="s">
        <v>18</v>
      </c>
      <c r="G230" s="766" t="s">
        <v>21</v>
      </c>
      <c r="H230" s="829">
        <f>SUMIFS(H$5:H$167,$D$5:$D$167,$D230,$G$5:$G$167,$G230)</f>
        <v>0</v>
      </c>
      <c r="I230" s="830">
        <f t="shared" si="144"/>
        <v>0</v>
      </c>
      <c r="J230" s="830">
        <f t="shared" si="144"/>
        <v>0</v>
      </c>
      <c r="K230" s="830">
        <f t="shared" si="144"/>
        <v>0</v>
      </c>
      <c r="L230" s="830">
        <f t="shared" si="144"/>
        <v>0</v>
      </c>
      <c r="M230" s="830">
        <f t="shared" si="144"/>
        <v>0</v>
      </c>
      <c r="N230" s="830">
        <f t="shared" si="144"/>
        <v>0</v>
      </c>
      <c r="O230" s="830">
        <f t="shared" si="144"/>
        <v>0</v>
      </c>
      <c r="P230" s="830">
        <f t="shared" si="144"/>
        <v>0</v>
      </c>
      <c r="Q230" s="830">
        <f t="shared" si="144"/>
        <v>0</v>
      </c>
      <c r="R230" s="830">
        <f t="shared" si="144"/>
        <v>0</v>
      </c>
      <c r="S230" s="831">
        <f t="shared" si="144"/>
        <v>0</v>
      </c>
      <c r="T230" s="830">
        <f t="shared" si="144"/>
        <v>0</v>
      </c>
      <c r="U230" s="830">
        <f t="shared" si="144"/>
        <v>0</v>
      </c>
      <c r="V230" s="830">
        <f t="shared" si="144"/>
        <v>0</v>
      </c>
      <c r="W230" s="830">
        <f t="shared" si="144"/>
        <v>0</v>
      </c>
      <c r="X230" s="830">
        <f t="shared" si="144"/>
        <v>0</v>
      </c>
      <c r="Y230" s="830">
        <f t="shared" si="144"/>
        <v>0</v>
      </c>
      <c r="Z230" s="830">
        <f t="shared" si="144"/>
        <v>0</v>
      </c>
      <c r="AA230" s="830">
        <f t="shared" si="144"/>
        <v>0</v>
      </c>
      <c r="AB230" s="830">
        <f t="shared" si="144"/>
        <v>0</v>
      </c>
      <c r="AC230" s="830">
        <f t="shared" si="144"/>
        <v>0</v>
      </c>
      <c r="AD230" s="830">
        <f t="shared" si="144"/>
        <v>0</v>
      </c>
      <c r="AE230" s="831">
        <f t="shared" si="144"/>
        <v>0</v>
      </c>
      <c r="AF230" s="830">
        <f t="shared" si="144"/>
        <v>0</v>
      </c>
      <c r="AG230" s="830">
        <f t="shared" si="144"/>
        <v>0</v>
      </c>
      <c r="AH230" s="830">
        <f t="shared" si="144"/>
        <v>0</v>
      </c>
      <c r="AI230" s="830">
        <f t="shared" si="144"/>
        <v>0</v>
      </c>
      <c r="AJ230" s="830">
        <f t="shared" si="144"/>
        <v>0</v>
      </c>
      <c r="AK230" s="830">
        <f t="shared" si="144"/>
        <v>0</v>
      </c>
      <c r="AL230" s="830">
        <f t="shared" si="144"/>
        <v>0</v>
      </c>
      <c r="AM230" s="830">
        <f t="shared" si="144"/>
        <v>0</v>
      </c>
      <c r="AN230" s="830">
        <f t="shared" si="144"/>
        <v>0</v>
      </c>
      <c r="AO230" s="830">
        <f t="shared" si="144"/>
        <v>0</v>
      </c>
      <c r="AP230" s="830">
        <f t="shared" si="144"/>
        <v>0</v>
      </c>
      <c r="AQ230" s="831">
        <f t="shared" si="144"/>
        <v>0</v>
      </c>
      <c r="AR230" s="830">
        <f t="shared" si="144"/>
        <v>0</v>
      </c>
      <c r="AS230" s="830">
        <f t="shared" si="144"/>
        <v>0</v>
      </c>
      <c r="AT230" s="830">
        <f t="shared" si="144"/>
        <v>0</v>
      </c>
      <c r="AU230" s="830">
        <f t="shared" si="144"/>
        <v>0</v>
      </c>
      <c r="AV230" s="830">
        <f t="shared" si="144"/>
        <v>0</v>
      </c>
      <c r="AW230" s="830">
        <f t="shared" si="144"/>
        <v>0</v>
      </c>
      <c r="AX230" s="830">
        <f t="shared" si="144"/>
        <v>0</v>
      </c>
      <c r="AY230" s="830">
        <f t="shared" si="144"/>
        <v>0</v>
      </c>
      <c r="AZ230" s="830">
        <f t="shared" si="144"/>
        <v>0</v>
      </c>
      <c r="BA230" s="830">
        <f t="shared" si="144"/>
        <v>0</v>
      </c>
      <c r="BB230" s="830">
        <f t="shared" si="144"/>
        <v>0</v>
      </c>
      <c r="BC230" s="830">
        <f t="shared" si="144"/>
        <v>0</v>
      </c>
      <c r="BD230" s="829">
        <f t="shared" ref="BD230:CA230" si="146">SUMIFS(BD$5:BD$167,$D$5:$D$167,$D230,$G$5:$G$167,$G230)</f>
        <v>0</v>
      </c>
      <c r="BE230" s="830">
        <f t="shared" si="146"/>
        <v>0</v>
      </c>
      <c r="BF230" s="830">
        <f t="shared" si="146"/>
        <v>0</v>
      </c>
      <c r="BG230" s="830">
        <f t="shared" si="146"/>
        <v>0</v>
      </c>
      <c r="BH230" s="830">
        <f t="shared" si="146"/>
        <v>0</v>
      </c>
      <c r="BI230" s="830">
        <f t="shared" si="146"/>
        <v>0</v>
      </c>
      <c r="BJ230" s="830">
        <f t="shared" si="146"/>
        <v>0</v>
      </c>
      <c r="BK230" s="830">
        <f t="shared" si="146"/>
        <v>0</v>
      </c>
      <c r="BL230" s="830">
        <f t="shared" si="146"/>
        <v>0</v>
      </c>
      <c r="BM230" s="830">
        <f t="shared" si="146"/>
        <v>0</v>
      </c>
      <c r="BN230" s="830">
        <f t="shared" si="146"/>
        <v>0</v>
      </c>
      <c r="BO230" s="831">
        <f t="shared" si="146"/>
        <v>0</v>
      </c>
      <c r="BP230" s="830">
        <f t="shared" si="146"/>
        <v>0</v>
      </c>
      <c r="BQ230" s="830">
        <f t="shared" si="146"/>
        <v>0</v>
      </c>
      <c r="BR230" s="830">
        <f t="shared" si="146"/>
        <v>0</v>
      </c>
      <c r="BS230" s="830">
        <f t="shared" si="146"/>
        <v>0</v>
      </c>
      <c r="BT230" s="830">
        <f t="shared" si="146"/>
        <v>0</v>
      </c>
      <c r="BU230" s="830">
        <f t="shared" si="146"/>
        <v>0</v>
      </c>
      <c r="BV230" s="830">
        <f t="shared" si="146"/>
        <v>0</v>
      </c>
      <c r="BW230" s="830">
        <f t="shared" si="146"/>
        <v>0</v>
      </c>
      <c r="BX230" s="830">
        <f t="shared" si="146"/>
        <v>0</v>
      </c>
      <c r="BY230" s="830">
        <f t="shared" si="146"/>
        <v>0</v>
      </c>
      <c r="BZ230" s="830">
        <f t="shared" si="146"/>
        <v>0</v>
      </c>
      <c r="CA230" s="830">
        <f t="shared" si="146"/>
        <v>0</v>
      </c>
      <c r="CB230" s="829">
        <f t="shared" si="108"/>
        <v>0</v>
      </c>
      <c r="CC230" s="832">
        <f t="shared" si="109"/>
        <v>0</v>
      </c>
      <c r="CD230" s="822">
        <f t="shared" si="109"/>
        <v>0</v>
      </c>
      <c r="CE230" s="822">
        <f t="shared" si="128"/>
        <v>0</v>
      </c>
      <c r="CF230" s="1598"/>
      <c r="CG230" s="832">
        <f t="shared" si="110"/>
        <v>0</v>
      </c>
      <c r="CH230" s="822">
        <f t="shared" si="110"/>
        <v>0</v>
      </c>
      <c r="CI230" s="822">
        <f>CG230-CH230</f>
        <v>0</v>
      </c>
      <c r="CJ230" s="1598"/>
      <c r="CK230" s="832">
        <f t="shared" si="134"/>
        <v>0</v>
      </c>
      <c r="CL230" s="822">
        <f t="shared" si="134"/>
        <v>0</v>
      </c>
      <c r="CM230" s="822">
        <f>CK230-CL230</f>
        <v>0</v>
      </c>
      <c r="CN230" s="1606"/>
      <c r="CO230" s="832">
        <f t="shared" si="135"/>
        <v>0</v>
      </c>
      <c r="CP230" s="822">
        <f t="shared" si="135"/>
        <v>0</v>
      </c>
      <c r="CQ230" s="822">
        <f>CO230-CP230</f>
        <v>0</v>
      </c>
      <c r="CR230" s="1606"/>
      <c r="CS230" s="832">
        <f t="shared" si="136"/>
        <v>0</v>
      </c>
      <c r="CT230" s="822">
        <f t="shared" si="136"/>
        <v>0</v>
      </c>
      <c r="CU230" s="822">
        <f>CS230-CT230</f>
        <v>0</v>
      </c>
      <c r="CV230" s="1606"/>
      <c r="CW230" s="832">
        <f t="shared" si="114"/>
        <v>0</v>
      </c>
      <c r="CX230" s="822">
        <f t="shared" si="114"/>
        <v>0</v>
      </c>
      <c r="CY230" s="822">
        <f t="shared" si="115"/>
        <v>0</v>
      </c>
      <c r="CZ230" s="1582"/>
      <c r="DA230" s="822">
        <f>SUMIF('Monthly Summary'!C$74:BV$74,"",H230:CA230)</f>
        <v>0</v>
      </c>
      <c r="DB230" s="1246"/>
      <c r="DC230" s="1246"/>
    </row>
    <row r="231" spans="4:107" s="745" customFormat="1">
      <c r="G231" s="746"/>
      <c r="H231" s="829"/>
      <c r="I231" s="830"/>
      <c r="J231" s="830"/>
      <c r="K231" s="830"/>
      <c r="L231" s="830"/>
      <c r="M231" s="830"/>
      <c r="N231" s="830"/>
      <c r="O231" s="830"/>
      <c r="P231" s="830"/>
      <c r="Q231" s="830"/>
      <c r="R231" s="830"/>
      <c r="S231" s="831"/>
      <c r="T231" s="830"/>
      <c r="U231" s="830"/>
      <c r="V231" s="830"/>
      <c r="W231" s="830"/>
      <c r="X231" s="830"/>
      <c r="Y231" s="830"/>
      <c r="Z231" s="830"/>
      <c r="AA231" s="830"/>
      <c r="AB231" s="830"/>
      <c r="AC231" s="830"/>
      <c r="AD231" s="830"/>
      <c r="AE231" s="831"/>
      <c r="AF231" s="830"/>
      <c r="AG231" s="830"/>
      <c r="AH231" s="830"/>
      <c r="AI231" s="830"/>
      <c r="AJ231" s="830"/>
      <c r="AK231" s="830"/>
      <c r="AL231" s="830"/>
      <c r="AM231" s="830"/>
      <c r="AN231" s="830"/>
      <c r="AO231" s="830"/>
      <c r="AP231" s="830"/>
      <c r="AQ231" s="831"/>
      <c r="AR231" s="830"/>
      <c r="AS231" s="830"/>
      <c r="AT231" s="830"/>
      <c r="AU231" s="830"/>
      <c r="AV231" s="830"/>
      <c r="AW231" s="830"/>
      <c r="AX231" s="830"/>
      <c r="AY231" s="830"/>
      <c r="AZ231" s="830"/>
      <c r="BA231" s="830"/>
      <c r="BB231" s="830"/>
      <c r="BC231" s="830"/>
      <c r="BD231" s="829"/>
      <c r="BE231" s="830"/>
      <c r="BF231" s="830"/>
      <c r="BG231" s="830"/>
      <c r="BH231" s="830"/>
      <c r="BI231" s="830"/>
      <c r="BJ231" s="830"/>
      <c r="BK231" s="830"/>
      <c r="BL231" s="830"/>
      <c r="BM231" s="830"/>
      <c r="BN231" s="830"/>
      <c r="BO231" s="831"/>
      <c r="BP231" s="830"/>
      <c r="BQ231" s="830"/>
      <c r="BR231" s="830"/>
      <c r="BS231" s="830"/>
      <c r="BT231" s="830"/>
      <c r="BU231" s="830"/>
      <c r="BV231" s="830"/>
      <c r="BW231" s="830"/>
      <c r="BX231" s="830"/>
      <c r="BY231" s="830"/>
      <c r="BZ231" s="830"/>
      <c r="CA231" s="830"/>
      <c r="CB231" s="829"/>
      <c r="CC231" s="832"/>
      <c r="CD231" s="822"/>
      <c r="CE231" s="822"/>
      <c r="CF231" s="840"/>
      <c r="CG231" s="832"/>
      <c r="CH231" s="822"/>
      <c r="CI231" s="822"/>
      <c r="CJ231" s="814"/>
      <c r="CK231" s="832"/>
      <c r="CL231" s="822"/>
      <c r="CM231" s="822"/>
      <c r="CN231" s="840"/>
      <c r="CO231" s="832"/>
      <c r="CP231" s="822"/>
      <c r="CQ231" s="822"/>
      <c r="CR231" s="840"/>
      <c r="CS231" s="832"/>
      <c r="CT231" s="822"/>
      <c r="CU231" s="822"/>
      <c r="CV231" s="840"/>
      <c r="CW231" s="832"/>
      <c r="CX231" s="822"/>
      <c r="CY231" s="822"/>
      <c r="CZ231" s="835"/>
      <c r="DA231" s="823"/>
      <c r="DB231" s="1246"/>
      <c r="DC231" s="1246"/>
    </row>
    <row r="232" spans="4:107" s="745" customFormat="1">
      <c r="D232" s="766" t="str">
        <f>Variables!$A$48</f>
        <v>User Defined #4</v>
      </c>
      <c r="E232" s="766" t="s">
        <v>18</v>
      </c>
      <c r="G232" s="766" t="s">
        <v>20</v>
      </c>
      <c r="H232" s="829">
        <f>SUMIFS(H$5:H$167,$D$5:$D$167,$D232,$G$5:$G$167,$G232)</f>
        <v>0</v>
      </c>
      <c r="I232" s="830">
        <f t="shared" ref="I232:BD233" si="147">SUMIFS(I$5:I$167,$D$5:$D$167,$D232,$G$5:$G$167,$G232)</f>
        <v>0</v>
      </c>
      <c r="J232" s="830">
        <f t="shared" si="147"/>
        <v>0</v>
      </c>
      <c r="K232" s="830">
        <f t="shared" si="147"/>
        <v>0</v>
      </c>
      <c r="L232" s="830">
        <f t="shared" si="147"/>
        <v>0</v>
      </c>
      <c r="M232" s="830">
        <f t="shared" si="147"/>
        <v>0</v>
      </c>
      <c r="N232" s="830">
        <f t="shared" si="147"/>
        <v>0</v>
      </c>
      <c r="O232" s="830">
        <f t="shared" si="147"/>
        <v>0</v>
      </c>
      <c r="P232" s="830">
        <f t="shared" si="147"/>
        <v>0</v>
      </c>
      <c r="Q232" s="830">
        <f t="shared" si="147"/>
        <v>0</v>
      </c>
      <c r="R232" s="830">
        <f t="shared" si="147"/>
        <v>0</v>
      </c>
      <c r="S232" s="831">
        <f t="shared" si="147"/>
        <v>0</v>
      </c>
      <c r="T232" s="830">
        <f t="shared" si="147"/>
        <v>0</v>
      </c>
      <c r="U232" s="830">
        <f t="shared" si="147"/>
        <v>0</v>
      </c>
      <c r="V232" s="830">
        <f t="shared" si="147"/>
        <v>0</v>
      </c>
      <c r="W232" s="830">
        <f t="shared" si="147"/>
        <v>0</v>
      </c>
      <c r="X232" s="830">
        <f t="shared" si="147"/>
        <v>0</v>
      </c>
      <c r="Y232" s="830">
        <f t="shared" si="147"/>
        <v>0</v>
      </c>
      <c r="Z232" s="830">
        <f t="shared" si="147"/>
        <v>0</v>
      </c>
      <c r="AA232" s="830">
        <f t="shared" si="147"/>
        <v>0</v>
      </c>
      <c r="AB232" s="830">
        <f t="shared" si="147"/>
        <v>0</v>
      </c>
      <c r="AC232" s="830">
        <f t="shared" si="147"/>
        <v>0</v>
      </c>
      <c r="AD232" s="830">
        <f t="shared" si="147"/>
        <v>0</v>
      </c>
      <c r="AE232" s="831">
        <f t="shared" si="147"/>
        <v>0</v>
      </c>
      <c r="AF232" s="830">
        <f t="shared" si="147"/>
        <v>0</v>
      </c>
      <c r="AG232" s="830">
        <f t="shared" si="147"/>
        <v>0</v>
      </c>
      <c r="AH232" s="830">
        <f t="shared" si="147"/>
        <v>0</v>
      </c>
      <c r="AI232" s="830">
        <f t="shared" si="147"/>
        <v>0</v>
      </c>
      <c r="AJ232" s="830">
        <f t="shared" si="147"/>
        <v>0</v>
      </c>
      <c r="AK232" s="830">
        <f t="shared" si="147"/>
        <v>0</v>
      </c>
      <c r="AL232" s="830">
        <f t="shared" si="147"/>
        <v>0</v>
      </c>
      <c r="AM232" s="830">
        <f t="shared" si="147"/>
        <v>0</v>
      </c>
      <c r="AN232" s="830">
        <f t="shared" si="147"/>
        <v>0</v>
      </c>
      <c r="AO232" s="830">
        <f t="shared" si="147"/>
        <v>0</v>
      </c>
      <c r="AP232" s="830">
        <f t="shared" si="147"/>
        <v>0</v>
      </c>
      <c r="AQ232" s="831">
        <f t="shared" si="147"/>
        <v>0</v>
      </c>
      <c r="AR232" s="830">
        <f t="shared" si="147"/>
        <v>0</v>
      </c>
      <c r="AS232" s="830">
        <f t="shared" si="147"/>
        <v>0</v>
      </c>
      <c r="AT232" s="830">
        <f t="shared" si="147"/>
        <v>0</v>
      </c>
      <c r="AU232" s="830">
        <f t="shared" si="147"/>
        <v>0</v>
      </c>
      <c r="AV232" s="830">
        <f t="shared" si="147"/>
        <v>0</v>
      </c>
      <c r="AW232" s="830">
        <f t="shared" si="147"/>
        <v>0</v>
      </c>
      <c r="AX232" s="830">
        <f t="shared" si="147"/>
        <v>0</v>
      </c>
      <c r="AY232" s="830">
        <f t="shared" si="147"/>
        <v>0</v>
      </c>
      <c r="AZ232" s="830">
        <f t="shared" si="147"/>
        <v>0</v>
      </c>
      <c r="BA232" s="830">
        <f t="shared" si="147"/>
        <v>0</v>
      </c>
      <c r="BB232" s="830">
        <f t="shared" si="147"/>
        <v>0</v>
      </c>
      <c r="BC232" s="830">
        <f t="shared" si="147"/>
        <v>0</v>
      </c>
      <c r="BD232" s="829">
        <f t="shared" si="147"/>
        <v>0</v>
      </c>
      <c r="BE232" s="830">
        <f t="shared" ref="BE232:CA232" si="148">SUMIFS(BE$5:BE$167,$D$5:$D$167,$D232,$G$5:$G$167,$G232)</f>
        <v>0</v>
      </c>
      <c r="BF232" s="830">
        <f t="shared" si="148"/>
        <v>0</v>
      </c>
      <c r="BG232" s="830">
        <f t="shared" si="148"/>
        <v>0</v>
      </c>
      <c r="BH232" s="830">
        <f t="shared" si="148"/>
        <v>0</v>
      </c>
      <c r="BI232" s="830">
        <f t="shared" si="148"/>
        <v>0</v>
      </c>
      <c r="BJ232" s="830">
        <f t="shared" si="148"/>
        <v>0</v>
      </c>
      <c r="BK232" s="830">
        <f t="shared" si="148"/>
        <v>0</v>
      </c>
      <c r="BL232" s="830">
        <f t="shared" si="148"/>
        <v>0</v>
      </c>
      <c r="BM232" s="830">
        <f t="shared" si="148"/>
        <v>0</v>
      </c>
      <c r="BN232" s="830">
        <f t="shared" si="148"/>
        <v>0</v>
      </c>
      <c r="BO232" s="831">
        <f t="shared" si="148"/>
        <v>0</v>
      </c>
      <c r="BP232" s="830">
        <f t="shared" si="148"/>
        <v>0</v>
      </c>
      <c r="BQ232" s="830">
        <f t="shared" si="148"/>
        <v>0</v>
      </c>
      <c r="BR232" s="830">
        <f t="shared" si="148"/>
        <v>0</v>
      </c>
      <c r="BS232" s="830">
        <f t="shared" si="148"/>
        <v>0</v>
      </c>
      <c r="BT232" s="830">
        <f t="shared" si="148"/>
        <v>0</v>
      </c>
      <c r="BU232" s="830">
        <f t="shared" si="148"/>
        <v>0</v>
      </c>
      <c r="BV232" s="830">
        <f t="shared" si="148"/>
        <v>0</v>
      </c>
      <c r="BW232" s="830">
        <f t="shared" si="148"/>
        <v>0</v>
      </c>
      <c r="BX232" s="830">
        <f t="shared" si="148"/>
        <v>0</v>
      </c>
      <c r="BY232" s="830">
        <f t="shared" si="148"/>
        <v>0</v>
      </c>
      <c r="BZ232" s="830">
        <f t="shared" si="148"/>
        <v>0</v>
      </c>
      <c r="CA232" s="830">
        <f t="shared" si="148"/>
        <v>0</v>
      </c>
      <c r="CB232" s="829">
        <f t="shared" si="108"/>
        <v>0</v>
      </c>
      <c r="CC232" s="832">
        <f t="shared" si="109"/>
        <v>0</v>
      </c>
      <c r="CD232" s="822">
        <f t="shared" si="109"/>
        <v>0</v>
      </c>
      <c r="CE232" s="822">
        <f t="shared" si="128"/>
        <v>0</v>
      </c>
      <c r="CF232" s="1598">
        <f>IF(CE$238=0,0,(CE232+CE233)/CE$238)</f>
        <v>0</v>
      </c>
      <c r="CG232" s="832">
        <f t="shared" si="110"/>
        <v>0</v>
      </c>
      <c r="CH232" s="822">
        <f t="shared" si="110"/>
        <v>0</v>
      </c>
      <c r="CI232" s="822">
        <f>CG232-CH232</f>
        <v>0</v>
      </c>
      <c r="CJ232" s="1598">
        <f>IF(CI$238=0,0,(CI232+CI233)/CI$238)</f>
        <v>0</v>
      </c>
      <c r="CK232" s="832">
        <f t="shared" si="134"/>
        <v>0</v>
      </c>
      <c r="CL232" s="822">
        <f t="shared" si="134"/>
        <v>0</v>
      </c>
      <c r="CM232" s="822">
        <f>CK232-CL232</f>
        <v>0</v>
      </c>
      <c r="CN232" s="1606">
        <f>IF(CM$238=0,0,(CM232+CM233)/CM$238)</f>
        <v>0</v>
      </c>
      <c r="CO232" s="832">
        <f t="shared" si="135"/>
        <v>0</v>
      </c>
      <c r="CP232" s="822">
        <f t="shared" si="135"/>
        <v>0</v>
      </c>
      <c r="CQ232" s="822">
        <f>CO232-CP232</f>
        <v>0</v>
      </c>
      <c r="CR232" s="1606">
        <f>IF(CQ$238=0,0,(CQ232+CQ233)/CQ$238)</f>
        <v>0</v>
      </c>
      <c r="CS232" s="832">
        <f t="shared" si="136"/>
        <v>0</v>
      </c>
      <c r="CT232" s="822">
        <f t="shared" si="136"/>
        <v>0</v>
      </c>
      <c r="CU232" s="822">
        <f>CS232-CT232</f>
        <v>0</v>
      </c>
      <c r="CV232" s="1606">
        <f>IF(CU$238=0,0,(CU232+CU233)/CU$238)</f>
        <v>0</v>
      </c>
      <c r="CW232" s="832">
        <f t="shared" si="114"/>
        <v>0</v>
      </c>
      <c r="CX232" s="822">
        <f t="shared" si="114"/>
        <v>0</v>
      </c>
      <c r="CY232" s="822">
        <f t="shared" si="115"/>
        <v>0</v>
      </c>
      <c r="CZ232" s="1582">
        <f>IF(CY$238=0,0,SUM(CY232:CY233)/CY$238)</f>
        <v>0</v>
      </c>
      <c r="DA232" s="822">
        <f>SUMIF('Monthly Summary'!C$75:BV$75,"",H232:CA232)</f>
        <v>0</v>
      </c>
      <c r="DB232" s="1246"/>
      <c r="DC232" s="1246"/>
    </row>
    <row r="233" spans="4:107" s="745" customFormat="1">
      <c r="D233" s="766" t="str">
        <f>Variables!$A$48</f>
        <v>User Defined #4</v>
      </c>
      <c r="E233" s="766" t="s">
        <v>18</v>
      </c>
      <c r="G233" s="766" t="s">
        <v>21</v>
      </c>
      <c r="H233" s="829">
        <f>SUMIFS(H$5:H$167,$D$5:$D$167,$D233,$G$5:$G$167,$G233)</f>
        <v>0</v>
      </c>
      <c r="I233" s="830">
        <f t="shared" si="147"/>
        <v>0</v>
      </c>
      <c r="J233" s="830">
        <f t="shared" si="147"/>
        <v>0</v>
      </c>
      <c r="K233" s="830">
        <f t="shared" si="147"/>
        <v>0</v>
      </c>
      <c r="L233" s="830">
        <f t="shared" si="147"/>
        <v>0</v>
      </c>
      <c r="M233" s="830">
        <f t="shared" si="147"/>
        <v>0</v>
      </c>
      <c r="N233" s="830">
        <f t="shared" si="147"/>
        <v>0</v>
      </c>
      <c r="O233" s="830">
        <f t="shared" si="147"/>
        <v>0</v>
      </c>
      <c r="P233" s="830">
        <f t="shared" si="147"/>
        <v>0</v>
      </c>
      <c r="Q233" s="830">
        <f t="shared" si="147"/>
        <v>0</v>
      </c>
      <c r="R233" s="830">
        <f t="shared" si="147"/>
        <v>0</v>
      </c>
      <c r="S233" s="831">
        <f t="shared" si="147"/>
        <v>0</v>
      </c>
      <c r="T233" s="830">
        <f t="shared" si="147"/>
        <v>0</v>
      </c>
      <c r="U233" s="830">
        <f t="shared" si="147"/>
        <v>0</v>
      </c>
      <c r="V233" s="830">
        <f t="shared" si="147"/>
        <v>0</v>
      </c>
      <c r="W233" s="830">
        <f t="shared" si="147"/>
        <v>0</v>
      </c>
      <c r="X233" s="830">
        <f t="shared" si="147"/>
        <v>0</v>
      </c>
      <c r="Y233" s="830">
        <f t="shared" si="147"/>
        <v>0</v>
      </c>
      <c r="Z233" s="830">
        <f t="shared" si="147"/>
        <v>0</v>
      </c>
      <c r="AA233" s="830">
        <f t="shared" si="147"/>
        <v>0</v>
      </c>
      <c r="AB233" s="830">
        <f t="shared" si="147"/>
        <v>0</v>
      </c>
      <c r="AC233" s="830">
        <f t="shared" si="147"/>
        <v>0</v>
      </c>
      <c r="AD233" s="830">
        <f t="shared" si="147"/>
        <v>0</v>
      </c>
      <c r="AE233" s="831">
        <f t="shared" si="147"/>
        <v>0</v>
      </c>
      <c r="AF233" s="830">
        <f t="shared" si="147"/>
        <v>0</v>
      </c>
      <c r="AG233" s="830">
        <f t="shared" si="147"/>
        <v>0</v>
      </c>
      <c r="AH233" s="830">
        <f t="shared" si="147"/>
        <v>0</v>
      </c>
      <c r="AI233" s="830">
        <f t="shared" si="147"/>
        <v>0</v>
      </c>
      <c r="AJ233" s="830">
        <f t="shared" si="147"/>
        <v>0</v>
      </c>
      <c r="AK233" s="830">
        <f t="shared" si="147"/>
        <v>0</v>
      </c>
      <c r="AL233" s="830">
        <f t="shared" si="147"/>
        <v>0</v>
      </c>
      <c r="AM233" s="830">
        <f t="shared" si="147"/>
        <v>0</v>
      </c>
      <c r="AN233" s="830">
        <f t="shared" si="147"/>
        <v>0</v>
      </c>
      <c r="AO233" s="830">
        <f t="shared" si="147"/>
        <v>0</v>
      </c>
      <c r="AP233" s="830">
        <f t="shared" si="147"/>
        <v>0</v>
      </c>
      <c r="AQ233" s="831">
        <f t="shared" si="147"/>
        <v>0</v>
      </c>
      <c r="AR233" s="830">
        <f t="shared" si="147"/>
        <v>0</v>
      </c>
      <c r="AS233" s="830">
        <f t="shared" si="147"/>
        <v>0</v>
      </c>
      <c r="AT233" s="830">
        <f t="shared" si="147"/>
        <v>0</v>
      </c>
      <c r="AU233" s="830">
        <f t="shared" si="147"/>
        <v>0</v>
      </c>
      <c r="AV233" s="830">
        <f t="shared" si="147"/>
        <v>0</v>
      </c>
      <c r="AW233" s="830">
        <f t="shared" si="147"/>
        <v>0</v>
      </c>
      <c r="AX233" s="830">
        <f t="shared" si="147"/>
        <v>0</v>
      </c>
      <c r="AY233" s="830">
        <f t="shared" si="147"/>
        <v>0</v>
      </c>
      <c r="AZ233" s="830">
        <f t="shared" si="147"/>
        <v>0</v>
      </c>
      <c r="BA233" s="830">
        <f t="shared" si="147"/>
        <v>0</v>
      </c>
      <c r="BB233" s="830">
        <f t="shared" si="147"/>
        <v>0</v>
      </c>
      <c r="BC233" s="830">
        <f t="shared" si="147"/>
        <v>0</v>
      </c>
      <c r="BD233" s="829">
        <f t="shared" ref="BD233:CA233" si="149">SUMIFS(BD$5:BD$167,$D$5:$D$167,$D233,$G$5:$G$167,$G233)</f>
        <v>0</v>
      </c>
      <c r="BE233" s="830">
        <f t="shared" si="149"/>
        <v>0</v>
      </c>
      <c r="BF233" s="830">
        <f t="shared" si="149"/>
        <v>0</v>
      </c>
      <c r="BG233" s="830">
        <f t="shared" si="149"/>
        <v>0</v>
      </c>
      <c r="BH233" s="830">
        <f t="shared" si="149"/>
        <v>0</v>
      </c>
      <c r="BI233" s="830">
        <f t="shared" si="149"/>
        <v>0</v>
      </c>
      <c r="BJ233" s="830">
        <f t="shared" si="149"/>
        <v>0</v>
      </c>
      <c r="BK233" s="830">
        <f t="shared" si="149"/>
        <v>0</v>
      </c>
      <c r="BL233" s="830">
        <f t="shared" si="149"/>
        <v>0</v>
      </c>
      <c r="BM233" s="830">
        <f t="shared" si="149"/>
        <v>0</v>
      </c>
      <c r="BN233" s="830">
        <f t="shared" si="149"/>
        <v>0</v>
      </c>
      <c r="BO233" s="831">
        <f t="shared" si="149"/>
        <v>0</v>
      </c>
      <c r="BP233" s="830">
        <f t="shared" si="149"/>
        <v>0</v>
      </c>
      <c r="BQ233" s="830">
        <f t="shared" si="149"/>
        <v>0</v>
      </c>
      <c r="BR233" s="830">
        <f t="shared" si="149"/>
        <v>0</v>
      </c>
      <c r="BS233" s="830">
        <f t="shared" si="149"/>
        <v>0</v>
      </c>
      <c r="BT233" s="830">
        <f t="shared" si="149"/>
        <v>0</v>
      </c>
      <c r="BU233" s="830">
        <f t="shared" si="149"/>
        <v>0</v>
      </c>
      <c r="BV233" s="830">
        <f t="shared" si="149"/>
        <v>0</v>
      </c>
      <c r="BW233" s="830">
        <f t="shared" si="149"/>
        <v>0</v>
      </c>
      <c r="BX233" s="830">
        <f t="shared" si="149"/>
        <v>0</v>
      </c>
      <c r="BY233" s="830">
        <f t="shared" si="149"/>
        <v>0</v>
      </c>
      <c r="BZ233" s="830">
        <f t="shared" si="149"/>
        <v>0</v>
      </c>
      <c r="CA233" s="830">
        <f t="shared" si="149"/>
        <v>0</v>
      </c>
      <c r="CB233" s="829">
        <f t="shared" si="108"/>
        <v>0</v>
      </c>
      <c r="CC233" s="832">
        <f t="shared" si="109"/>
        <v>0</v>
      </c>
      <c r="CD233" s="822">
        <f t="shared" si="109"/>
        <v>0</v>
      </c>
      <c r="CE233" s="822">
        <f t="shared" si="128"/>
        <v>0</v>
      </c>
      <c r="CF233" s="1598"/>
      <c r="CG233" s="832">
        <f t="shared" si="110"/>
        <v>0</v>
      </c>
      <c r="CH233" s="822">
        <f t="shared" si="110"/>
        <v>0</v>
      </c>
      <c r="CI233" s="822">
        <f>CG233-CH233</f>
        <v>0</v>
      </c>
      <c r="CJ233" s="1598"/>
      <c r="CK233" s="832">
        <f t="shared" si="134"/>
        <v>0</v>
      </c>
      <c r="CL233" s="822">
        <f t="shared" si="134"/>
        <v>0</v>
      </c>
      <c r="CM233" s="822">
        <f>CK233-CL233</f>
        <v>0</v>
      </c>
      <c r="CN233" s="1606"/>
      <c r="CO233" s="832">
        <f t="shared" si="135"/>
        <v>0</v>
      </c>
      <c r="CP233" s="822">
        <f t="shared" si="135"/>
        <v>0</v>
      </c>
      <c r="CQ233" s="822">
        <f>CO233-CP233</f>
        <v>0</v>
      </c>
      <c r="CR233" s="1606"/>
      <c r="CS233" s="832">
        <f t="shared" si="136"/>
        <v>0</v>
      </c>
      <c r="CT233" s="822">
        <f t="shared" si="136"/>
        <v>0</v>
      </c>
      <c r="CU233" s="822">
        <f>CS233-CT233</f>
        <v>0</v>
      </c>
      <c r="CV233" s="1606"/>
      <c r="CW233" s="832">
        <f t="shared" si="114"/>
        <v>0</v>
      </c>
      <c r="CX233" s="822">
        <f t="shared" si="114"/>
        <v>0</v>
      </c>
      <c r="CY233" s="822">
        <f t="shared" si="115"/>
        <v>0</v>
      </c>
      <c r="CZ233" s="1582"/>
      <c r="DA233" s="822">
        <f>SUMIF('Monthly Summary'!C$74:BV$74,"",H233:CA233)</f>
        <v>0</v>
      </c>
      <c r="DB233" s="1246"/>
      <c r="DC233" s="1246"/>
    </row>
    <row r="234" spans="4:107" s="745" customFormat="1">
      <c r="G234" s="746"/>
      <c r="H234" s="829"/>
      <c r="I234" s="830"/>
      <c r="J234" s="830"/>
      <c r="K234" s="830"/>
      <c r="L234" s="830"/>
      <c r="M234" s="830"/>
      <c r="N234" s="830"/>
      <c r="O234" s="830"/>
      <c r="P234" s="830"/>
      <c r="Q234" s="830"/>
      <c r="R234" s="830"/>
      <c r="S234" s="831"/>
      <c r="T234" s="830"/>
      <c r="U234" s="830"/>
      <c r="V234" s="830"/>
      <c r="W234" s="830"/>
      <c r="X234" s="830"/>
      <c r="Y234" s="830"/>
      <c r="Z234" s="830"/>
      <c r="AA234" s="830"/>
      <c r="AB234" s="830"/>
      <c r="AC234" s="830"/>
      <c r="AD234" s="830"/>
      <c r="AE234" s="831"/>
      <c r="AF234" s="830"/>
      <c r="AG234" s="830"/>
      <c r="AH234" s="830"/>
      <c r="AI234" s="830"/>
      <c r="AJ234" s="830"/>
      <c r="AK234" s="830"/>
      <c r="AL234" s="830"/>
      <c r="AM234" s="830"/>
      <c r="AN234" s="830"/>
      <c r="AO234" s="830"/>
      <c r="AP234" s="830"/>
      <c r="AQ234" s="831"/>
      <c r="AR234" s="830"/>
      <c r="AS234" s="830"/>
      <c r="AT234" s="830"/>
      <c r="AU234" s="830"/>
      <c r="AV234" s="830"/>
      <c r="AW234" s="830"/>
      <c r="AX234" s="830"/>
      <c r="AY234" s="830"/>
      <c r="AZ234" s="830"/>
      <c r="BA234" s="830"/>
      <c r="BB234" s="830"/>
      <c r="BC234" s="830"/>
      <c r="BD234" s="829"/>
      <c r="BE234" s="830"/>
      <c r="BF234" s="830"/>
      <c r="BG234" s="830"/>
      <c r="BH234" s="830"/>
      <c r="BI234" s="830"/>
      <c r="BJ234" s="830"/>
      <c r="BK234" s="830"/>
      <c r="BL234" s="830"/>
      <c r="BM234" s="830"/>
      <c r="BN234" s="830"/>
      <c r="BO234" s="831"/>
      <c r="BP234" s="830"/>
      <c r="BQ234" s="830"/>
      <c r="BR234" s="830"/>
      <c r="BS234" s="830"/>
      <c r="BT234" s="830"/>
      <c r="BU234" s="830"/>
      <c r="BV234" s="830"/>
      <c r="BW234" s="830"/>
      <c r="BX234" s="830"/>
      <c r="BY234" s="830"/>
      <c r="BZ234" s="830"/>
      <c r="CA234" s="830"/>
      <c r="CB234" s="829"/>
      <c r="CC234" s="832"/>
      <c r="CD234" s="822"/>
      <c r="CE234" s="822"/>
      <c r="CF234" s="840"/>
      <c r="CG234" s="832"/>
      <c r="CH234" s="822"/>
      <c r="CI234" s="822"/>
      <c r="CJ234" s="814"/>
      <c r="CK234" s="832"/>
      <c r="CL234" s="822"/>
      <c r="CM234" s="822"/>
      <c r="CN234" s="840"/>
      <c r="CO234" s="832"/>
      <c r="CP234" s="822"/>
      <c r="CQ234" s="822"/>
      <c r="CR234" s="840"/>
      <c r="CS234" s="832"/>
      <c r="CT234" s="822"/>
      <c r="CU234" s="822"/>
      <c r="CV234" s="840"/>
      <c r="CW234" s="832"/>
      <c r="CX234" s="822"/>
      <c r="CY234" s="822"/>
      <c r="CZ234" s="835"/>
      <c r="DA234" s="823"/>
      <c r="DB234" s="1246"/>
      <c r="DC234" s="1246"/>
    </row>
    <row r="235" spans="4:107" s="745" customFormat="1">
      <c r="D235" s="766" t="str">
        <f>Variables!$A$49</f>
        <v>User Defined #5</v>
      </c>
      <c r="E235" s="766" t="s">
        <v>18</v>
      </c>
      <c r="G235" s="766" t="s">
        <v>20</v>
      </c>
      <c r="H235" s="829">
        <f>SUMIFS(H$5:H$167,$D$5:$D$167,$D235,$G$5:$G$167,$G235)</f>
        <v>0</v>
      </c>
      <c r="I235" s="830">
        <f t="shared" ref="I235:BD236" si="150">SUMIFS(I$5:I$167,$D$5:$D$167,$D235,$G$5:$G$167,$G235)</f>
        <v>0</v>
      </c>
      <c r="J235" s="830">
        <f t="shared" si="150"/>
        <v>0</v>
      </c>
      <c r="K235" s="830">
        <f t="shared" si="150"/>
        <v>0</v>
      </c>
      <c r="L235" s="830">
        <f t="shared" si="150"/>
        <v>0</v>
      </c>
      <c r="M235" s="830">
        <f t="shared" si="150"/>
        <v>0</v>
      </c>
      <c r="N235" s="830">
        <f t="shared" si="150"/>
        <v>0</v>
      </c>
      <c r="O235" s="830">
        <f t="shared" si="150"/>
        <v>0</v>
      </c>
      <c r="P235" s="830">
        <f t="shared" si="150"/>
        <v>0</v>
      </c>
      <c r="Q235" s="830">
        <f t="shared" si="150"/>
        <v>0</v>
      </c>
      <c r="R235" s="830">
        <f t="shared" si="150"/>
        <v>0</v>
      </c>
      <c r="S235" s="831">
        <f t="shared" si="150"/>
        <v>0</v>
      </c>
      <c r="T235" s="830">
        <f t="shared" si="150"/>
        <v>0</v>
      </c>
      <c r="U235" s="830">
        <f t="shared" si="150"/>
        <v>0</v>
      </c>
      <c r="V235" s="830">
        <f t="shared" si="150"/>
        <v>0</v>
      </c>
      <c r="W235" s="830">
        <f t="shared" si="150"/>
        <v>0</v>
      </c>
      <c r="X235" s="830">
        <f t="shared" si="150"/>
        <v>0</v>
      </c>
      <c r="Y235" s="830">
        <f t="shared" si="150"/>
        <v>0</v>
      </c>
      <c r="Z235" s="830">
        <f t="shared" si="150"/>
        <v>0</v>
      </c>
      <c r="AA235" s="830">
        <f t="shared" si="150"/>
        <v>0</v>
      </c>
      <c r="AB235" s="830">
        <f t="shared" si="150"/>
        <v>0</v>
      </c>
      <c r="AC235" s="830">
        <f t="shared" si="150"/>
        <v>0</v>
      </c>
      <c r="AD235" s="830">
        <f t="shared" si="150"/>
        <v>0</v>
      </c>
      <c r="AE235" s="831">
        <f t="shared" si="150"/>
        <v>0</v>
      </c>
      <c r="AF235" s="830">
        <f t="shared" si="150"/>
        <v>0</v>
      </c>
      <c r="AG235" s="830">
        <f t="shared" si="150"/>
        <v>0</v>
      </c>
      <c r="AH235" s="830">
        <f t="shared" si="150"/>
        <v>0</v>
      </c>
      <c r="AI235" s="830">
        <f t="shared" si="150"/>
        <v>0</v>
      </c>
      <c r="AJ235" s="830">
        <f t="shared" si="150"/>
        <v>0</v>
      </c>
      <c r="AK235" s="830">
        <f t="shared" si="150"/>
        <v>0</v>
      </c>
      <c r="AL235" s="830">
        <f t="shared" si="150"/>
        <v>0</v>
      </c>
      <c r="AM235" s="830">
        <f t="shared" si="150"/>
        <v>0</v>
      </c>
      <c r="AN235" s="830">
        <f t="shared" si="150"/>
        <v>0</v>
      </c>
      <c r="AO235" s="830">
        <f t="shared" si="150"/>
        <v>0</v>
      </c>
      <c r="AP235" s="830">
        <f t="shared" si="150"/>
        <v>0</v>
      </c>
      <c r="AQ235" s="831">
        <f t="shared" si="150"/>
        <v>0</v>
      </c>
      <c r="AR235" s="830">
        <f t="shared" si="150"/>
        <v>0</v>
      </c>
      <c r="AS235" s="830">
        <f t="shared" si="150"/>
        <v>0</v>
      </c>
      <c r="AT235" s="830">
        <f t="shared" si="150"/>
        <v>0</v>
      </c>
      <c r="AU235" s="830">
        <f t="shared" si="150"/>
        <v>0</v>
      </c>
      <c r="AV235" s="830">
        <f t="shared" si="150"/>
        <v>0</v>
      </c>
      <c r="AW235" s="830">
        <f t="shared" si="150"/>
        <v>0</v>
      </c>
      <c r="AX235" s="830">
        <f t="shared" si="150"/>
        <v>0</v>
      </c>
      <c r="AY235" s="830">
        <f t="shared" si="150"/>
        <v>0</v>
      </c>
      <c r="AZ235" s="830">
        <f t="shared" si="150"/>
        <v>0</v>
      </c>
      <c r="BA235" s="830">
        <f t="shared" si="150"/>
        <v>0</v>
      </c>
      <c r="BB235" s="830">
        <f t="shared" si="150"/>
        <v>0</v>
      </c>
      <c r="BC235" s="830">
        <f t="shared" si="150"/>
        <v>0</v>
      </c>
      <c r="BD235" s="829">
        <f t="shared" si="150"/>
        <v>0</v>
      </c>
      <c r="BE235" s="830">
        <f t="shared" ref="BE235:CA235" si="151">SUMIFS(BE$5:BE$167,$D$5:$D$167,$D235,$G$5:$G$167,$G235)</f>
        <v>0</v>
      </c>
      <c r="BF235" s="830">
        <f t="shared" si="151"/>
        <v>0</v>
      </c>
      <c r="BG235" s="830">
        <f t="shared" si="151"/>
        <v>0</v>
      </c>
      <c r="BH235" s="830">
        <f t="shared" si="151"/>
        <v>0</v>
      </c>
      <c r="BI235" s="830">
        <f t="shared" si="151"/>
        <v>0</v>
      </c>
      <c r="BJ235" s="830">
        <f t="shared" si="151"/>
        <v>0</v>
      </c>
      <c r="BK235" s="830">
        <f t="shared" si="151"/>
        <v>0</v>
      </c>
      <c r="BL235" s="830">
        <f t="shared" si="151"/>
        <v>0</v>
      </c>
      <c r="BM235" s="830">
        <f t="shared" si="151"/>
        <v>0</v>
      </c>
      <c r="BN235" s="830">
        <f t="shared" si="151"/>
        <v>0</v>
      </c>
      <c r="BO235" s="831">
        <f t="shared" si="151"/>
        <v>0</v>
      </c>
      <c r="BP235" s="830">
        <f t="shared" si="151"/>
        <v>0</v>
      </c>
      <c r="BQ235" s="830">
        <f t="shared" si="151"/>
        <v>0</v>
      </c>
      <c r="BR235" s="830">
        <f t="shared" si="151"/>
        <v>0</v>
      </c>
      <c r="BS235" s="830">
        <f t="shared" si="151"/>
        <v>0</v>
      </c>
      <c r="BT235" s="830">
        <f t="shared" si="151"/>
        <v>0</v>
      </c>
      <c r="BU235" s="830">
        <f t="shared" si="151"/>
        <v>0</v>
      </c>
      <c r="BV235" s="830">
        <f t="shared" si="151"/>
        <v>0</v>
      </c>
      <c r="BW235" s="830">
        <f t="shared" si="151"/>
        <v>0</v>
      </c>
      <c r="BX235" s="830">
        <f t="shared" si="151"/>
        <v>0</v>
      </c>
      <c r="BY235" s="830">
        <f t="shared" si="151"/>
        <v>0</v>
      </c>
      <c r="BZ235" s="830">
        <f t="shared" si="151"/>
        <v>0</v>
      </c>
      <c r="CA235" s="830">
        <f t="shared" si="151"/>
        <v>0</v>
      </c>
      <c r="CB235" s="829">
        <f t="shared" si="108"/>
        <v>0</v>
      </c>
      <c r="CC235" s="832">
        <f t="shared" si="109"/>
        <v>0</v>
      </c>
      <c r="CD235" s="822">
        <f t="shared" si="109"/>
        <v>0</v>
      </c>
      <c r="CE235" s="822">
        <f t="shared" si="128"/>
        <v>0</v>
      </c>
      <c r="CF235" s="1598">
        <f>IF(CE$238=0,0,(CE235+CE236)/CE$238)</f>
        <v>0</v>
      </c>
      <c r="CG235" s="832">
        <f t="shared" si="110"/>
        <v>0</v>
      </c>
      <c r="CH235" s="822">
        <f t="shared" si="110"/>
        <v>0</v>
      </c>
      <c r="CI235" s="822">
        <f>CG235-CH235</f>
        <v>0</v>
      </c>
      <c r="CJ235" s="1598">
        <f>IF(CI$238=0,0,(CI235+CI236)/CI$238)</f>
        <v>0</v>
      </c>
      <c r="CK235" s="832">
        <f t="shared" si="134"/>
        <v>0</v>
      </c>
      <c r="CL235" s="822">
        <f t="shared" si="134"/>
        <v>0</v>
      </c>
      <c r="CM235" s="822">
        <f>CK235-CL235</f>
        <v>0</v>
      </c>
      <c r="CN235" s="1606">
        <f>IF(CM$238=0,0,(CM235+CM236)/CM$238)</f>
        <v>0</v>
      </c>
      <c r="CO235" s="832">
        <f t="shared" si="135"/>
        <v>0</v>
      </c>
      <c r="CP235" s="822">
        <f t="shared" si="135"/>
        <v>0</v>
      </c>
      <c r="CQ235" s="822">
        <f>CO235-CP235</f>
        <v>0</v>
      </c>
      <c r="CR235" s="1606">
        <f>IF(CQ$238=0,0,(CQ235+CQ236)/CQ$238)</f>
        <v>0</v>
      </c>
      <c r="CS235" s="832">
        <f t="shared" si="136"/>
        <v>0</v>
      </c>
      <c r="CT235" s="822">
        <f t="shared" si="136"/>
        <v>0</v>
      </c>
      <c r="CU235" s="822">
        <f>CS235-CT235</f>
        <v>0</v>
      </c>
      <c r="CV235" s="1606">
        <f>IF(CU$238=0,0,(CU235+CU236)/CU$238)</f>
        <v>0</v>
      </c>
      <c r="CW235" s="832">
        <f t="shared" si="114"/>
        <v>0</v>
      </c>
      <c r="CX235" s="822">
        <f t="shared" si="114"/>
        <v>0</v>
      </c>
      <c r="CY235" s="822">
        <f t="shared" si="115"/>
        <v>0</v>
      </c>
      <c r="CZ235" s="1582">
        <f>IF(CY$238=0,0,SUM(CY235:CY236)/CY$238)</f>
        <v>0</v>
      </c>
      <c r="DA235" s="822">
        <f>SUMIF('Monthly Summary'!C$75:BV$75,"",H235:CA235)</f>
        <v>0</v>
      </c>
      <c r="DB235" s="1246"/>
      <c r="DC235" s="1246"/>
    </row>
    <row r="236" spans="4:107" s="745" customFormat="1">
      <c r="D236" s="766" t="str">
        <f>Variables!$A$49</f>
        <v>User Defined #5</v>
      </c>
      <c r="E236" s="766" t="s">
        <v>18</v>
      </c>
      <c r="G236" s="766" t="s">
        <v>21</v>
      </c>
      <c r="H236" s="829">
        <f>SUMIFS(H$5:H$167,$D$5:$D$167,$D236,$G$5:$G$167,$G236)</f>
        <v>0</v>
      </c>
      <c r="I236" s="830">
        <f t="shared" si="150"/>
        <v>0</v>
      </c>
      <c r="J236" s="830">
        <f t="shared" si="150"/>
        <v>0</v>
      </c>
      <c r="K236" s="830">
        <f t="shared" si="150"/>
        <v>0</v>
      </c>
      <c r="L236" s="830">
        <f t="shared" si="150"/>
        <v>0</v>
      </c>
      <c r="M236" s="830">
        <f t="shared" si="150"/>
        <v>0</v>
      </c>
      <c r="N236" s="830">
        <f t="shared" si="150"/>
        <v>0</v>
      </c>
      <c r="O236" s="830">
        <f t="shared" si="150"/>
        <v>0</v>
      </c>
      <c r="P236" s="830">
        <f t="shared" si="150"/>
        <v>0</v>
      </c>
      <c r="Q236" s="830">
        <f t="shared" si="150"/>
        <v>0</v>
      </c>
      <c r="R236" s="830">
        <f t="shared" si="150"/>
        <v>0</v>
      </c>
      <c r="S236" s="831">
        <f t="shared" si="150"/>
        <v>0</v>
      </c>
      <c r="T236" s="830">
        <f t="shared" si="150"/>
        <v>0</v>
      </c>
      <c r="U236" s="830">
        <f t="shared" si="150"/>
        <v>0</v>
      </c>
      <c r="V236" s="830">
        <f t="shared" si="150"/>
        <v>0</v>
      </c>
      <c r="W236" s="830">
        <f t="shared" si="150"/>
        <v>0</v>
      </c>
      <c r="X236" s="830">
        <f t="shared" si="150"/>
        <v>0</v>
      </c>
      <c r="Y236" s="830">
        <f t="shared" si="150"/>
        <v>0</v>
      </c>
      <c r="Z236" s="830">
        <f t="shared" si="150"/>
        <v>0</v>
      </c>
      <c r="AA236" s="830">
        <f t="shared" si="150"/>
        <v>0</v>
      </c>
      <c r="AB236" s="830">
        <f t="shared" si="150"/>
        <v>0</v>
      </c>
      <c r="AC236" s="830">
        <f t="shared" si="150"/>
        <v>0</v>
      </c>
      <c r="AD236" s="830">
        <f t="shared" si="150"/>
        <v>0</v>
      </c>
      <c r="AE236" s="831">
        <f t="shared" si="150"/>
        <v>0</v>
      </c>
      <c r="AF236" s="830">
        <f t="shared" si="150"/>
        <v>0</v>
      </c>
      <c r="AG236" s="830">
        <f t="shared" si="150"/>
        <v>0</v>
      </c>
      <c r="AH236" s="830">
        <f t="shared" si="150"/>
        <v>0</v>
      </c>
      <c r="AI236" s="830">
        <f t="shared" si="150"/>
        <v>0</v>
      </c>
      <c r="AJ236" s="830">
        <f t="shared" si="150"/>
        <v>0</v>
      </c>
      <c r="AK236" s="830">
        <f t="shared" si="150"/>
        <v>0</v>
      </c>
      <c r="AL236" s="830">
        <f t="shared" si="150"/>
        <v>0</v>
      </c>
      <c r="AM236" s="830">
        <f t="shared" si="150"/>
        <v>0</v>
      </c>
      <c r="AN236" s="830">
        <f t="shared" si="150"/>
        <v>0</v>
      </c>
      <c r="AO236" s="830">
        <f t="shared" si="150"/>
        <v>0</v>
      </c>
      <c r="AP236" s="830">
        <f t="shared" si="150"/>
        <v>0</v>
      </c>
      <c r="AQ236" s="831">
        <f t="shared" si="150"/>
        <v>0</v>
      </c>
      <c r="AR236" s="830">
        <f t="shared" si="150"/>
        <v>0</v>
      </c>
      <c r="AS236" s="830">
        <f t="shared" si="150"/>
        <v>0</v>
      </c>
      <c r="AT236" s="830">
        <f t="shared" si="150"/>
        <v>0</v>
      </c>
      <c r="AU236" s="830">
        <f t="shared" si="150"/>
        <v>0</v>
      </c>
      <c r="AV236" s="830">
        <f t="shared" si="150"/>
        <v>0</v>
      </c>
      <c r="AW236" s="830">
        <f t="shared" si="150"/>
        <v>0</v>
      </c>
      <c r="AX236" s="830">
        <f t="shared" si="150"/>
        <v>0</v>
      </c>
      <c r="AY236" s="830">
        <f t="shared" si="150"/>
        <v>0</v>
      </c>
      <c r="AZ236" s="830">
        <f t="shared" si="150"/>
        <v>0</v>
      </c>
      <c r="BA236" s="830">
        <f t="shared" si="150"/>
        <v>0</v>
      </c>
      <c r="BB236" s="830">
        <f t="shared" si="150"/>
        <v>0</v>
      </c>
      <c r="BC236" s="830">
        <f t="shared" si="150"/>
        <v>0</v>
      </c>
      <c r="BD236" s="829">
        <f t="shared" ref="BD236:CA236" si="152">SUMIFS(BD$5:BD$167,$D$5:$D$167,$D236,$G$5:$G$167,$G236)</f>
        <v>0</v>
      </c>
      <c r="BE236" s="830">
        <f t="shared" si="152"/>
        <v>0</v>
      </c>
      <c r="BF236" s="830">
        <f t="shared" si="152"/>
        <v>0</v>
      </c>
      <c r="BG236" s="830">
        <f t="shared" si="152"/>
        <v>0</v>
      </c>
      <c r="BH236" s="830">
        <f t="shared" si="152"/>
        <v>0</v>
      </c>
      <c r="BI236" s="830">
        <f t="shared" si="152"/>
        <v>0</v>
      </c>
      <c r="BJ236" s="830">
        <f t="shared" si="152"/>
        <v>0</v>
      </c>
      <c r="BK236" s="830">
        <f t="shared" si="152"/>
        <v>0</v>
      </c>
      <c r="BL236" s="830">
        <f t="shared" si="152"/>
        <v>0</v>
      </c>
      <c r="BM236" s="830">
        <f t="shared" si="152"/>
        <v>0</v>
      </c>
      <c r="BN236" s="830">
        <f t="shared" si="152"/>
        <v>0</v>
      </c>
      <c r="BO236" s="831">
        <f t="shared" si="152"/>
        <v>0</v>
      </c>
      <c r="BP236" s="830">
        <f t="shared" si="152"/>
        <v>0</v>
      </c>
      <c r="BQ236" s="830">
        <f t="shared" si="152"/>
        <v>0</v>
      </c>
      <c r="BR236" s="830">
        <f t="shared" si="152"/>
        <v>0</v>
      </c>
      <c r="BS236" s="830">
        <f t="shared" si="152"/>
        <v>0</v>
      </c>
      <c r="BT236" s="830">
        <f t="shared" si="152"/>
        <v>0</v>
      </c>
      <c r="BU236" s="830">
        <f t="shared" si="152"/>
        <v>0</v>
      </c>
      <c r="BV236" s="830">
        <f t="shared" si="152"/>
        <v>0</v>
      </c>
      <c r="BW236" s="830">
        <f t="shared" si="152"/>
        <v>0</v>
      </c>
      <c r="BX236" s="830">
        <f t="shared" si="152"/>
        <v>0</v>
      </c>
      <c r="BY236" s="830">
        <f t="shared" si="152"/>
        <v>0</v>
      </c>
      <c r="BZ236" s="830">
        <f t="shared" si="152"/>
        <v>0</v>
      </c>
      <c r="CA236" s="830">
        <f t="shared" si="152"/>
        <v>0</v>
      </c>
      <c r="CB236" s="829">
        <f t="shared" si="108"/>
        <v>0</v>
      </c>
      <c r="CC236" s="832">
        <f t="shared" si="109"/>
        <v>0</v>
      </c>
      <c r="CD236" s="822">
        <f t="shared" si="109"/>
        <v>0</v>
      </c>
      <c r="CE236" s="822">
        <f t="shared" si="128"/>
        <v>0</v>
      </c>
      <c r="CF236" s="1598"/>
      <c r="CG236" s="832">
        <f t="shared" si="110"/>
        <v>0</v>
      </c>
      <c r="CH236" s="822">
        <f t="shared" si="110"/>
        <v>0</v>
      </c>
      <c r="CI236" s="822">
        <f>CG236-CH236</f>
        <v>0</v>
      </c>
      <c r="CJ236" s="1598"/>
      <c r="CK236" s="832">
        <f t="shared" si="134"/>
        <v>0</v>
      </c>
      <c r="CL236" s="822">
        <f t="shared" si="134"/>
        <v>0</v>
      </c>
      <c r="CM236" s="822">
        <f>CK236-CL236</f>
        <v>0</v>
      </c>
      <c r="CN236" s="1606"/>
      <c r="CO236" s="832">
        <f t="shared" si="135"/>
        <v>0</v>
      </c>
      <c r="CP236" s="822">
        <f t="shared" si="135"/>
        <v>0</v>
      </c>
      <c r="CQ236" s="822">
        <f>CO236-CP236</f>
        <v>0</v>
      </c>
      <c r="CR236" s="1606"/>
      <c r="CS236" s="832">
        <f t="shared" si="136"/>
        <v>0</v>
      </c>
      <c r="CT236" s="822">
        <f t="shared" si="136"/>
        <v>0</v>
      </c>
      <c r="CU236" s="822">
        <f>CS236-CT236</f>
        <v>0</v>
      </c>
      <c r="CV236" s="1606"/>
      <c r="CW236" s="832">
        <f t="shared" si="114"/>
        <v>0</v>
      </c>
      <c r="CX236" s="822">
        <f t="shared" si="114"/>
        <v>0</v>
      </c>
      <c r="CY236" s="822">
        <f t="shared" si="115"/>
        <v>0</v>
      </c>
      <c r="CZ236" s="1582"/>
      <c r="DA236" s="822">
        <f>SUMIF('Monthly Summary'!C$74:BV$74,"",H236:CA236)</f>
        <v>0</v>
      </c>
      <c r="DB236" s="1246"/>
      <c r="DC236" s="1246"/>
    </row>
    <row r="237" spans="4:107" ht="12.5" thickBot="1">
      <c r="CC237" s="1295"/>
      <c r="CD237" s="1296"/>
      <c r="CE237" s="1296"/>
      <c r="CF237" s="1297"/>
      <c r="CG237" s="1298"/>
      <c r="CH237" s="1299"/>
      <c r="CI237" s="1299"/>
      <c r="CJ237" s="1299"/>
      <c r="CK237" s="1300"/>
      <c r="CL237" s="1301"/>
      <c r="CM237" s="1301"/>
      <c r="CN237" s="840"/>
      <c r="CO237" s="1302"/>
      <c r="CP237" s="1286"/>
      <c r="CQ237" s="1286"/>
      <c r="CR237" s="840"/>
      <c r="CS237" s="1302"/>
      <c r="CT237" s="1286"/>
      <c r="CU237" s="1286"/>
      <c r="CV237" s="840"/>
      <c r="CW237" s="1302"/>
      <c r="CX237" s="1286"/>
      <c r="CY237" s="1286"/>
      <c r="CZ237" s="840"/>
    </row>
    <row r="238" spans="4:107" ht="12.5" thickBot="1">
      <c r="CB238" s="833"/>
      <c r="CC238" s="1303">
        <f>SUM(CC220:CC236)</f>
        <v>0</v>
      </c>
      <c r="CD238" s="1304">
        <f>SUM(CD220:CD236)</f>
        <v>0</v>
      </c>
      <c r="CE238" s="1304">
        <f>SUM(CE220:CE236)</f>
        <v>0</v>
      </c>
      <c r="CF238" s="776">
        <f>IF(CE239=0,0,CE238/CE239)</f>
        <v>0</v>
      </c>
      <c r="CG238" s="1305">
        <f>SUM(CG220:CG236)</f>
        <v>0</v>
      </c>
      <c r="CH238" s="1304">
        <f>SUM(CH220:CH236)</f>
        <v>0</v>
      </c>
      <c r="CI238" s="1304">
        <f>SUM(CI220:CI236)</f>
        <v>0</v>
      </c>
      <c r="CJ238" s="1306">
        <f>IF(CE239=0,0,CI238/CE239)</f>
        <v>0</v>
      </c>
      <c r="CK238" s="1307">
        <f>SUM(CK202:CK236)</f>
        <v>0</v>
      </c>
      <c r="CL238" s="1308">
        <f>SUM(CL202:CL236)</f>
        <v>0</v>
      </c>
      <c r="CM238" s="1308">
        <f>SUM(CM202:CM236)</f>
        <v>0</v>
      </c>
      <c r="CN238" s="1309"/>
      <c r="CO238" s="1307">
        <f>SUM(CO202:CO236)</f>
        <v>0</v>
      </c>
      <c r="CP238" s="1308">
        <f>SUM(CP202:CP236)</f>
        <v>0</v>
      </c>
      <c r="CQ238" s="1308">
        <f>SUM(CQ202:CQ236)</f>
        <v>0</v>
      </c>
      <c r="CR238" s="1310"/>
      <c r="CS238" s="1307">
        <f>SUM(CS202:CS236)</f>
        <v>0</v>
      </c>
      <c r="CT238" s="1308">
        <f>SUM(CT202:CT236)</f>
        <v>0</v>
      </c>
      <c r="CU238" s="1308">
        <f>SUM(CU202:CU236)</f>
        <v>0</v>
      </c>
      <c r="CV238" s="1310"/>
      <c r="CW238" s="1311">
        <f>SUM(CW202:CW236)</f>
        <v>0</v>
      </c>
      <c r="CX238" s="1312">
        <f>SUM(CX202:CX236)</f>
        <v>0</v>
      </c>
      <c r="CY238" s="1313">
        <f>SUM(CY202:CY236)</f>
        <v>0</v>
      </c>
      <c r="CZ238" s="1314"/>
      <c r="DA238" s="1315"/>
    </row>
    <row r="239" spans="4:107" ht="12.5" thickBot="1">
      <c r="CD239" s="1315"/>
      <c r="CE239" s="1316">
        <f>CE238+CI238+'Resource Costs'!EX292/1000</f>
        <v>0</v>
      </c>
      <c r="CF239" s="1315"/>
      <c r="CG239" s="1315"/>
      <c r="CH239" s="1315"/>
      <c r="CI239" s="1287"/>
      <c r="CJ239" s="1315"/>
      <c r="CK239" s="1317"/>
      <c r="CL239" s="1315"/>
      <c r="CM239" s="1318"/>
      <c r="CN239" s="1315"/>
      <c r="CO239" s="1315"/>
      <c r="CP239" s="1315"/>
      <c r="CQ239" s="1287"/>
      <c r="CR239" s="1315"/>
      <c r="CS239" s="1315"/>
      <c r="CT239" s="1315"/>
      <c r="CU239" s="1287"/>
      <c r="CV239" s="1315"/>
      <c r="CW239" s="1315"/>
      <c r="CX239" s="1315"/>
      <c r="CY239" s="1315"/>
      <c r="CZ239" s="1315"/>
      <c r="DA239" s="1315"/>
    </row>
    <row r="241" spans="84:100">
      <c r="CF241" s="1260"/>
      <c r="CN241" s="1260">
        <v>5</v>
      </c>
      <c r="CR241" s="1260"/>
      <c r="CV241" s="1260"/>
    </row>
  </sheetData>
  <sheetProtection algorithmName="SHA-512" hashValue="iy9lIsDNdUjo4gL2Hm6GGv/B5HNBEsujhYhbOZsjev6ar7fFhAOpN8o8kZ2QUIF/s33OhbeAFzm205w2mSYM8g==" saltValue="vrlGxP7PvUY0x/5mdW0dFA==" spinCount="100000" sheet="1" formatCells="0" formatColumns="0" formatRows="0" autoFilter="0"/>
  <protectedRanges>
    <protectedRange sqref="D5:CA167" name="Data"/>
  </protectedRanges>
  <autoFilter ref="A4:DP4" xr:uid="{38F97B29-0201-4C8E-8DA3-A762A8BD3568}"/>
  <mergeCells count="93">
    <mergeCell ref="CN217:CN218"/>
    <mergeCell ref="CN226:CN227"/>
    <mergeCell ref="CN214:CN215"/>
    <mergeCell ref="CR217:CR218"/>
    <mergeCell ref="CR214:CR215"/>
    <mergeCell ref="CN220:CN221"/>
    <mergeCell ref="CR235:CR236"/>
    <mergeCell ref="CV220:CV221"/>
    <mergeCell ref="CV223:CV224"/>
    <mergeCell ref="CV226:CV227"/>
    <mergeCell ref="CV229:CV230"/>
    <mergeCell ref="CV232:CV233"/>
    <mergeCell ref="CV235:CV236"/>
    <mergeCell ref="CR220:CR221"/>
    <mergeCell ref="CR223:CR224"/>
    <mergeCell ref="CR226:CR227"/>
    <mergeCell ref="CR229:CR230"/>
    <mergeCell ref="CR232:CR233"/>
    <mergeCell ref="CJ232:CJ233"/>
    <mergeCell ref="CN235:CN236"/>
    <mergeCell ref="CN223:CN224"/>
    <mergeCell ref="CJ235:CJ236"/>
    <mergeCell ref="CJ226:CJ227"/>
    <mergeCell ref="CN232:CN233"/>
    <mergeCell ref="CN229:CN230"/>
    <mergeCell ref="CJ214:CJ215"/>
    <mergeCell ref="CJ217:CJ218"/>
    <mergeCell ref="CJ220:CJ221"/>
    <mergeCell ref="CJ223:CJ224"/>
    <mergeCell ref="CJ229:CJ230"/>
    <mergeCell ref="CF235:CF236"/>
    <mergeCell ref="CF232:CF233"/>
    <mergeCell ref="CF229:CF230"/>
    <mergeCell ref="CF226:CF227"/>
    <mergeCell ref="CF223:CF224"/>
    <mergeCell ref="CV211:CV212"/>
    <mergeCell ref="CV208:CV209"/>
    <mergeCell ref="CV205:CV206"/>
    <mergeCell ref="CJ202:CJ203"/>
    <mergeCell ref="CJ205:CJ206"/>
    <mergeCell ref="CJ208:CJ209"/>
    <mergeCell ref="CN202:CN203"/>
    <mergeCell ref="CN211:CN212"/>
    <mergeCell ref="CN208:CN209"/>
    <mergeCell ref="CR211:CR212"/>
    <mergeCell ref="CR208:CR209"/>
    <mergeCell ref="CR205:CR206"/>
    <mergeCell ref="CV202:CV203"/>
    <mergeCell ref="CR202:CR203"/>
    <mergeCell ref="CJ211:CJ212"/>
    <mergeCell ref="CZ232:CZ233"/>
    <mergeCell ref="CZ235:CZ236"/>
    <mergeCell ref="CZ229:CZ230"/>
    <mergeCell ref="CZ220:CZ221"/>
    <mergeCell ref="CZ226:CZ227"/>
    <mergeCell ref="CZ223:CZ224"/>
    <mergeCell ref="CZ205:CZ206"/>
    <mergeCell ref="CF220:CF221"/>
    <mergeCell ref="CF217:CF218"/>
    <mergeCell ref="CF214:CF215"/>
    <mergeCell ref="CF211:CF212"/>
    <mergeCell ref="CF208:CF209"/>
    <mergeCell ref="CC219:CF219"/>
    <mergeCell ref="CG219:CJ219"/>
    <mergeCell ref="CZ217:CZ218"/>
    <mergeCell ref="CZ208:CZ209"/>
    <mergeCell ref="CZ214:CZ215"/>
    <mergeCell ref="CZ211:CZ212"/>
    <mergeCell ref="CF205:CF206"/>
    <mergeCell ref="CN205:CN206"/>
    <mergeCell ref="CV217:CV218"/>
    <mergeCell ref="CV214:CV215"/>
    <mergeCell ref="CF202:CF203"/>
    <mergeCell ref="CZ202:CZ203"/>
    <mergeCell ref="AR1:BC1"/>
    <mergeCell ref="AR2:BC2"/>
    <mergeCell ref="AF2:AQ2"/>
    <mergeCell ref="AF1:AQ1"/>
    <mergeCell ref="BD1:BO1"/>
    <mergeCell ref="BP1:CA1"/>
    <mergeCell ref="BD2:BO2"/>
    <mergeCell ref="BP2:CA2"/>
    <mergeCell ref="CK201:CN201"/>
    <mergeCell ref="DB4:DC4"/>
    <mergeCell ref="A1:B1"/>
    <mergeCell ref="CO201:CR201"/>
    <mergeCell ref="CS201:CV201"/>
    <mergeCell ref="CW201:CZ201"/>
    <mergeCell ref="H2:S2"/>
    <mergeCell ref="T2:AE2"/>
    <mergeCell ref="H1:S1"/>
    <mergeCell ref="T1:AE1"/>
    <mergeCell ref="A2:C2"/>
  </mergeCells>
  <conditionalFormatting sqref="H199:AE199">
    <cfRule type="cellIs" dxfId="735" priority="83" operator="notEqual">
      <formula>0</formula>
    </cfRule>
  </conditionalFormatting>
  <conditionalFormatting sqref="AF199:AQ199">
    <cfRule type="cellIs" dxfId="734" priority="82" operator="notEqual">
      <formula>0</formula>
    </cfRule>
  </conditionalFormatting>
  <conditionalFormatting sqref="AR199:BC199">
    <cfRule type="cellIs" dxfId="733" priority="74" operator="notEqual">
      <formula>0</formula>
    </cfRule>
  </conditionalFormatting>
  <conditionalFormatting sqref="AR3:BC3">
    <cfRule type="cellIs" dxfId="732" priority="68" stopIfTrue="1" operator="equal">
      <formula>"Start"</formula>
    </cfRule>
    <cfRule type="cellIs" dxfId="731" priority="69" stopIfTrue="1" operator="equal">
      <formula>"Req"</formula>
    </cfRule>
    <cfRule type="cellIs" dxfId="730" priority="70" stopIfTrue="1" operator="equal">
      <formula>"Des"</formula>
    </cfRule>
    <cfRule type="cellIs" dxfId="729" priority="71" stopIfTrue="1" operator="equal">
      <formula>"Dev"</formula>
    </cfRule>
    <cfRule type="cellIs" dxfId="728" priority="72" operator="equal">
      <formula>"Impl"</formula>
    </cfRule>
  </conditionalFormatting>
  <conditionalFormatting sqref="AR3:BC3">
    <cfRule type="cellIs" dxfId="727" priority="73" operator="equal">
      <formula>0</formula>
    </cfRule>
  </conditionalFormatting>
  <conditionalFormatting sqref="BD199:BO199">
    <cfRule type="cellIs" dxfId="726" priority="67" operator="notEqual">
      <formula>0</formula>
    </cfRule>
  </conditionalFormatting>
  <conditionalFormatting sqref="BD3:BO3">
    <cfRule type="cellIs" dxfId="725" priority="48" stopIfTrue="1" operator="equal">
      <formula>"Start"</formula>
    </cfRule>
    <cfRule type="cellIs" dxfId="724" priority="49" stopIfTrue="1" operator="equal">
      <formula>"Req"</formula>
    </cfRule>
    <cfRule type="cellIs" dxfId="723" priority="50" stopIfTrue="1" operator="equal">
      <formula>"Des"</formula>
    </cfRule>
    <cfRule type="cellIs" dxfId="722" priority="61" stopIfTrue="1" operator="equal">
      <formula>"Dev"</formula>
    </cfRule>
    <cfRule type="cellIs" dxfId="721" priority="62" operator="equal">
      <formula>"Impl"</formula>
    </cfRule>
    <cfRule type="cellIs" dxfId="720" priority="64" operator="equal">
      <formula>"Sprint0"</formula>
    </cfRule>
    <cfRule type="cellIs" dxfId="719" priority="65" operator="equal">
      <formula>"Rel"</formula>
    </cfRule>
    <cfRule type="cellIs" dxfId="718" priority="66" operator="equal">
      <formula>"Close"</formula>
    </cfRule>
  </conditionalFormatting>
  <conditionalFormatting sqref="BD3:BO3">
    <cfRule type="cellIs" dxfId="717" priority="63" operator="equal">
      <formula>0</formula>
    </cfRule>
  </conditionalFormatting>
  <conditionalFormatting sqref="BP199:CA199">
    <cfRule type="cellIs" dxfId="716" priority="60" operator="notEqual">
      <formula>0</formula>
    </cfRule>
  </conditionalFormatting>
  <conditionalFormatting sqref="BP3:CA3">
    <cfRule type="cellIs" dxfId="715" priority="45" stopIfTrue="1" operator="equal">
      <formula>"Start"</formula>
    </cfRule>
    <cfRule type="cellIs" dxfId="714" priority="46" stopIfTrue="1" operator="equal">
      <formula>"Req"</formula>
    </cfRule>
    <cfRule type="cellIs" dxfId="713" priority="47" stopIfTrue="1" operator="equal">
      <formula>"Des"</formula>
    </cfRule>
    <cfRule type="cellIs" dxfId="712" priority="54" stopIfTrue="1" operator="equal">
      <formula>"Dev"</formula>
    </cfRule>
    <cfRule type="cellIs" dxfId="711" priority="55" operator="equal">
      <formula>"Impl"</formula>
    </cfRule>
    <cfRule type="cellIs" dxfId="710" priority="57" operator="equal">
      <formula>"Sprint0"</formula>
    </cfRule>
    <cfRule type="cellIs" dxfId="709" priority="58" operator="equal">
      <formula>"Rel"</formula>
    </cfRule>
    <cfRule type="cellIs" dxfId="708" priority="59" operator="equal">
      <formula>"Close"</formula>
    </cfRule>
  </conditionalFormatting>
  <conditionalFormatting sqref="BP3:CA3">
    <cfRule type="cellIs" dxfId="707" priority="56" operator="equal">
      <formula>0</formula>
    </cfRule>
  </conditionalFormatting>
  <conditionalFormatting sqref="H3:CA3">
    <cfRule type="cellIs" dxfId="706" priority="19" operator="equal">
      <formula>"PIS"</formula>
    </cfRule>
    <cfRule type="cellIs" dxfId="705" priority="51" stopIfTrue="1" operator="equal">
      <formula>"Start"</formula>
    </cfRule>
    <cfRule type="cellIs" dxfId="704" priority="52" stopIfTrue="1" operator="equal">
      <formula>"Req"</formula>
    </cfRule>
    <cfRule type="cellIs" dxfId="703" priority="53" stopIfTrue="1" operator="equal">
      <formula>"Des"</formula>
    </cfRule>
    <cfRule type="cellIs" dxfId="702" priority="75" stopIfTrue="1" operator="equal">
      <formula>"Dev"</formula>
    </cfRule>
    <cfRule type="cellIs" dxfId="701" priority="76" operator="equal">
      <formula>"Impl"</formula>
    </cfRule>
    <cfRule type="cellIs" dxfId="700" priority="77" operator="equal">
      <formula>0</formula>
    </cfRule>
    <cfRule type="cellIs" dxfId="699" priority="78" operator="equal">
      <formula>"Sprint0"</formula>
    </cfRule>
    <cfRule type="cellIs" dxfId="698" priority="79" operator="equal">
      <formula>"Rel"</formula>
    </cfRule>
    <cfRule type="cellIs" dxfId="697" priority="80" operator="equal">
      <formula>"Close"</formula>
    </cfRule>
  </conditionalFormatting>
  <conditionalFormatting sqref="H6:H167">
    <cfRule type="expression" dxfId="696" priority="9">
      <formula>AND(OR(H$3="Start",H$3="Req",H$3="Close"),H6&lt;&gt;"",$G6="Capex")</formula>
    </cfRule>
  </conditionalFormatting>
  <conditionalFormatting sqref="T5:CA5">
    <cfRule type="expression" dxfId="695" priority="8">
      <formula>AND(OR(T$3="Start",T$3="Req",T$3="Close"),T5&lt;&gt;"",$G5="Capex")</formula>
    </cfRule>
  </conditionalFormatting>
  <conditionalFormatting sqref="I6:CA167">
    <cfRule type="expression" dxfId="694" priority="7">
      <formula>AND(OR(I$3="Start",I$3="Req",I$3="Close"),I6&lt;&gt;"",$G6="Capex")</formula>
    </cfRule>
  </conditionalFormatting>
  <conditionalFormatting sqref="G7:G167">
    <cfRule type="expression" dxfId="693" priority="18">
      <formula>AND(IF(ISNA(VLOOKUP($C7,Opex_Rules,1,0)),FALSE,TRUE),$G7="Capex")</formula>
    </cfRule>
  </conditionalFormatting>
  <conditionalFormatting sqref="H5">
    <cfRule type="expression" dxfId="692" priority="4">
      <formula>AND(OR(H$3="Start",H$3="Req",H$3="Close"),H5&lt;&gt;"",$G5="Capex")</formula>
    </cfRule>
  </conditionalFormatting>
  <conditionalFormatting sqref="I5:S5">
    <cfRule type="expression" dxfId="691" priority="3">
      <formula>AND(OR(I$3="Start",I$3="Req",I$3="Close"),I5&lt;&gt;"",$G5="Capex")</formula>
    </cfRule>
  </conditionalFormatting>
  <conditionalFormatting sqref="G5">
    <cfRule type="expression" dxfId="690" priority="5">
      <formula>AND(IF(ISNA(VLOOKUP($C5,Opex_Rules,1,0)),FALSE,TRUE),$G5="Capex")</formula>
    </cfRule>
  </conditionalFormatting>
  <conditionalFormatting sqref="G6">
    <cfRule type="expression" dxfId="689" priority="1">
      <formula>AND(IF(ISNA(VLOOKUP($C6,Opex_Rules,1,0)),FALSE,TRUE),$G6="Capex")</formula>
    </cfRule>
  </conditionalFormatting>
  <dataValidations count="5">
    <dataValidation type="list" allowBlank="1" showInputMessage="1" showErrorMessage="1" sqref="G222 H196 G200:G201 G237:G369 G168:G195" xr:uid="{B2545750-0BA1-44FB-A962-4BA6D0157A4C}">
      <formula1>"Capex, Opex"</formula1>
    </dataValidation>
    <dataValidation type="list" allowBlank="1" showInputMessage="1" showErrorMessage="1" sqref="D5:D167" xr:uid="{06F7E980-3D5A-4BDB-8AD4-0DCFC68DCF56}">
      <formula1>Firms</formula1>
    </dataValidation>
    <dataValidation type="list" allowBlank="1" showInputMessage="1" showErrorMessage="1" sqref="B5:C167" xr:uid="{B3C77880-8558-4449-9B5D-859DCA40BF32}">
      <formula1>INDIRECT(CONCATENATE(A5,"_Oth"))</formula1>
    </dataValidation>
    <dataValidation type="list" showInputMessage="1" showErrorMessage="1" sqref="G5:G167" xr:uid="{9BF51576-CFCD-4CF4-9ED1-C74EC6A7C923}">
      <formula1>IF(ISNA(VLOOKUP($C5,Opex_Rules,1,0)),Accounting_Type,Opex)</formula1>
    </dataValidation>
    <dataValidation type="list" showInputMessage="1" showErrorMessage="1" sqref="F5:F167" xr:uid="{C336DB1E-93F6-4F93-8225-316B7B935FA3}">
      <formula1>IF(OR($D5="NG IT",$D5="Business"),Service_Type_NA,IF(OR($B5="Hardware",AND($B5="Business_Cost",$C5="Materials/Equipment")),Service_Type_HW,IF(OR($B5="Software_Costs",$B5="Telecommunications",$C5="Travel expenses"),Service_Type_NA,Service_Type_Oth)))</formula1>
    </dataValidation>
  </dataValidations>
  <pageMargins left="0.25" right="0.25" top="0.75" bottom="0.75" header="0.3" footer="0.3"/>
  <pageSetup paperSize="5" scale="41" fitToHeight="0" orientation="landscape" r:id="rId1"/>
  <headerFooter>
    <oddHeader>&amp;C&amp;"Tahoma,Bold"&amp;14&amp;F - &amp;A</oddHeader>
    <oddFooter>&amp;L&amp;"Tahoma,Regular"&amp;P of &amp;N&amp;R&amp;"Tahoma,Regular"&amp;D</oddFooter>
  </headerFooter>
  <legacyDrawing r:id="rId2"/>
  <extLst>
    <ext xmlns:x14="http://schemas.microsoft.com/office/spreadsheetml/2009/9/main" uri="{78C0D931-6437-407d-A8EE-F0AAD7539E65}">
      <x14:conditionalFormattings>
        <x14:conditionalFormatting xmlns:xm="http://schemas.microsoft.com/office/excel/2006/main">
          <x14:cfRule type="expression" priority="215" id="{C5FFB7E9-25F2-43FF-8544-6DEC4FA0CFFC}">
            <xm:f>AND(OR($D7=Variables!A$38,$D7=Variables!A$43),$F7&lt;&gt;"N/A")</xm:f>
            <x14:dxf>
              <fill>
                <patternFill>
                  <bgColor theme="5" tint="0.39994506668294322"/>
                </patternFill>
              </fill>
              <border>
                <left style="thin">
                  <color rgb="FFFF0000"/>
                </left>
                <right style="thin">
                  <color rgb="FFFF0000"/>
                </right>
                <top style="thin">
                  <color rgb="FFFF0000"/>
                </top>
                <bottom style="thin">
                  <color rgb="FFFF0000"/>
                </bottom>
                <vertical/>
                <horizontal/>
              </border>
            </x14:dxf>
          </x14:cfRule>
          <xm:sqref>F7:F167</xm:sqref>
        </x14:conditionalFormatting>
        <x14:conditionalFormatting xmlns:xm="http://schemas.microsoft.com/office/excel/2006/main">
          <x14:cfRule type="expression" priority="6" id="{54C01CEA-E852-4FCE-9AFA-12DB54517B77}">
            <xm:f>AND(OR($D5='https://nationalgridplc-my.sharepoint.com/personal/igor_khot_us_nationalgrid_com/Documents/Microsoft Teams Chat Files/[INVID 5917A Enterprise Data Mgmt FWB 4.7.21.xlsx]Variables'!#REF!,$D5='https://nationalgridplc-my.sharepoint.com/personal/igor_khot_us_nationalgrid_com/Documents/Microsoft Teams Chat Files/[INVID 5917A Enterprise Data Mgmt FWB 4.7.21.xlsx]Variables'!#REF!),$F5&lt;&gt;"N/A")</xm:f>
            <x14:dxf>
              <fill>
                <patternFill>
                  <bgColor theme="5" tint="0.39994506668294322"/>
                </patternFill>
              </fill>
              <border>
                <left style="thin">
                  <color rgb="FFFF0000"/>
                </left>
                <right style="thin">
                  <color rgb="FFFF0000"/>
                </right>
                <top style="thin">
                  <color rgb="FFFF0000"/>
                </top>
                <bottom style="thin">
                  <color rgb="FFFF0000"/>
                </bottom>
                <vertical/>
                <horizontal/>
              </border>
            </x14:dxf>
          </x14:cfRule>
          <xm:sqref>F5</xm:sqref>
        </x14:conditionalFormatting>
        <x14:conditionalFormatting xmlns:xm="http://schemas.microsoft.com/office/excel/2006/main">
          <x14:cfRule type="expression" priority="2" id="{0C99C66C-5D7F-4D7F-9AC3-52AD3A202A6F}">
            <xm:f>AND(OR($D6='https://nationalgridplc-my.sharepoint.com/personal/igor_khot_us_nationalgrid_com/Documents/Microsoft Teams Chat Files/[INVID 5917A Enterprise Data Mgmt FWB 4.7.21.xlsx]Variables'!#REF!,$D6='https://nationalgridplc-my.sharepoint.com/personal/igor_khot_us_nationalgrid_com/Documents/Microsoft Teams Chat Files/[INVID 5917A Enterprise Data Mgmt FWB 4.7.21.xlsx]Variables'!#REF!),$F6&lt;&gt;"N/A")</xm:f>
            <x14:dxf>
              <fill>
                <patternFill>
                  <bgColor theme="5" tint="0.39994506668294322"/>
                </patternFill>
              </fill>
              <border>
                <left style="thin">
                  <color rgb="FFFF0000"/>
                </left>
                <right style="thin">
                  <color rgb="FFFF0000"/>
                </right>
                <top style="thin">
                  <color rgb="FFFF0000"/>
                </top>
                <bottom style="thin">
                  <color rgb="FFFF0000"/>
                </bottom>
                <vertical/>
                <horizontal/>
              </border>
            </x14:dxf>
          </x14:cfRule>
          <xm:sqref>F6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1C83639-2CCD-4D6C-87D1-22BA3739A8D9}">
          <x14:formula1>
            <xm:f>INDIRECT(CONCATENATE(Variables!$B$4,"_Del_Cent_Oth"))</xm:f>
          </x14:formula1>
          <xm:sqref>A5:A167</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tabColor theme="3" tint="0.59999389629810485"/>
  </sheetPr>
  <dimension ref="A1:AW103"/>
  <sheetViews>
    <sheetView topLeftCell="C1" zoomScaleNormal="100" workbookViewId="0">
      <selection activeCell="K85" sqref="K85"/>
    </sheetView>
  </sheetViews>
  <sheetFormatPr defaultColWidth="9.1796875" defaultRowHeight="14.5"/>
  <cols>
    <col min="1" max="1" width="25.81640625" style="79" customWidth="1"/>
    <col min="2" max="2" width="9.1796875" style="79"/>
    <col min="3" max="3" width="36.1796875" style="644" customWidth="1"/>
    <col min="4" max="10" width="11.7265625" style="79" customWidth="1"/>
    <col min="11" max="11" width="24.7265625" style="79" bestFit="1" customWidth="1"/>
    <col min="12" max="12" width="22.54296875" style="79" customWidth="1"/>
    <col min="13" max="13" width="41.1796875" style="79" customWidth="1"/>
    <col min="14" max="15" width="9.1796875" style="79"/>
    <col min="16" max="16" width="24.26953125" style="79" bestFit="1" customWidth="1"/>
    <col min="17" max="17" width="24.7265625" style="79" bestFit="1" customWidth="1"/>
    <col min="18" max="18" width="14.7265625" style="79" bestFit="1" customWidth="1"/>
    <col min="19" max="19" width="37.26953125" style="79" customWidth="1"/>
    <col min="20" max="20" width="14.26953125" style="706" bestFit="1" customWidth="1"/>
    <col min="21" max="21" width="13.81640625" style="706" bestFit="1" customWidth="1"/>
    <col min="22" max="24" width="11" style="706" bestFit="1" customWidth="1"/>
    <col min="25" max="25" width="10.54296875" style="706" bestFit="1" customWidth="1"/>
    <col min="26" max="32" width="12.1796875" style="79" bestFit="1" customWidth="1"/>
    <col min="33" max="36" width="17.26953125" style="79" bestFit="1" customWidth="1"/>
    <col min="37" max="37" width="12.1796875" style="79" bestFit="1" customWidth="1"/>
    <col min="38" max="40" width="16.7265625" style="79" bestFit="1" customWidth="1"/>
    <col min="41" max="43" width="12.1796875" style="79" bestFit="1" customWidth="1"/>
    <col min="44" max="46" width="19.1796875" style="79" bestFit="1" customWidth="1"/>
    <col min="47" max="49" width="17.26953125" style="79" bestFit="1" customWidth="1"/>
    <col min="50" max="16384" width="9.1796875" style="79"/>
  </cols>
  <sheetData>
    <row r="1" spans="1:13" ht="24" thickBot="1">
      <c r="A1" s="1001" t="s">
        <v>8564</v>
      </c>
      <c r="C1" s="1635"/>
      <c r="D1" s="1636"/>
      <c r="E1" s="1636"/>
      <c r="F1" s="1636"/>
      <c r="G1" s="1636"/>
      <c r="H1" s="1636"/>
      <c r="I1" s="1637"/>
      <c r="J1" s="163"/>
      <c r="K1" s="163"/>
      <c r="L1" s="164"/>
    </row>
    <row r="2" spans="1:13" ht="24">
      <c r="C2" s="227" t="s">
        <v>421</v>
      </c>
      <c r="D2" s="1638" t="str">
        <f>(Variables!B2)&amp;""</f>
        <v>6252US</v>
      </c>
      <c r="E2" s="1639"/>
      <c r="F2" s="1639"/>
      <c r="G2" s="1639"/>
      <c r="H2" s="645" t="s">
        <v>286</v>
      </c>
      <c r="I2" s="646"/>
      <c r="J2" s="1630" t="s">
        <v>420</v>
      </c>
      <c r="K2" s="1630"/>
      <c r="L2" s="1631"/>
    </row>
    <row r="3" spans="1:13" ht="15" customHeight="1">
      <c r="A3" s="357" t="s">
        <v>119</v>
      </c>
      <c r="C3" s="228" t="s">
        <v>422</v>
      </c>
      <c r="D3" s="1642" t="str">
        <f>(Variables!B3)&amp;""</f>
        <v>Data Mgmt Tools and Initiatives</v>
      </c>
      <c r="E3" s="1643"/>
      <c r="F3" s="1643"/>
      <c r="G3" s="1643"/>
      <c r="H3" s="1643"/>
      <c r="I3" s="1644"/>
      <c r="J3" s="1630"/>
      <c r="K3" s="1630"/>
      <c r="L3" s="1631"/>
    </row>
    <row r="4" spans="1:13">
      <c r="A4" s="358" t="s">
        <v>279</v>
      </c>
      <c r="C4" s="229" t="s">
        <v>423</v>
      </c>
      <c r="D4" s="1632" t="str">
        <f>(Variables!B8)&amp;""</f>
        <v>Igor Khot</v>
      </c>
      <c r="E4" s="1633"/>
      <c r="F4" s="1634"/>
      <c r="G4" s="338" t="s">
        <v>436</v>
      </c>
      <c r="H4" s="1640" t="str">
        <f>(Variables!B7)&amp;""</f>
        <v>Joel Semel</v>
      </c>
      <c r="I4" s="1641"/>
      <c r="J4" s="1630"/>
      <c r="K4" s="1630"/>
      <c r="L4" s="1631"/>
    </row>
    <row r="5" spans="1:13">
      <c r="A5" s="359" t="s">
        <v>280</v>
      </c>
      <c r="C5" s="1613" t="str">
        <f>CONCATENATE("All figures in exact amounts (",Variables!$C$4,")")</f>
        <v>All figures in exact amounts ($)</v>
      </c>
      <c r="D5" s="168" t="s">
        <v>26</v>
      </c>
      <c r="E5" s="168" t="s">
        <v>27</v>
      </c>
      <c r="F5" s="168" t="s">
        <v>28</v>
      </c>
      <c r="G5" s="165" t="s">
        <v>29</v>
      </c>
      <c r="H5" s="165" t="s">
        <v>30</v>
      </c>
      <c r="I5" s="361" t="s">
        <v>18</v>
      </c>
      <c r="J5" s="1615" t="s">
        <v>31</v>
      </c>
      <c r="K5" s="1616"/>
      <c r="L5" s="1616"/>
      <c r="M5" s="1617"/>
    </row>
    <row r="6" spans="1:13">
      <c r="A6" s="339"/>
      <c r="C6" s="1614" t="str">
        <f>CONCATENATE("All figures in exact amounts (",Variables!$C$4,")")</f>
        <v>All figures in exact amounts ($)</v>
      </c>
      <c r="D6" s="165" t="str">
        <f>Variables!B34</f>
        <v>FY 22</v>
      </c>
      <c r="E6" s="165" t="str">
        <f>Variables!C34</f>
        <v>FY 23</v>
      </c>
      <c r="F6" s="165" t="str">
        <f>Variables!D34</f>
        <v>FY 24</v>
      </c>
      <c r="G6" s="165" t="str">
        <f>Variables!E34</f>
        <v>FY 25</v>
      </c>
      <c r="H6" s="165" t="str">
        <f>Variables!F34</f>
        <v>FY 26</v>
      </c>
      <c r="I6" s="361"/>
      <c r="J6" s="1618"/>
      <c r="K6" s="1619"/>
      <c r="L6" s="1619"/>
      <c r="M6" s="1620"/>
    </row>
    <row r="7" spans="1:13">
      <c r="A7" s="347"/>
      <c r="C7" s="166" t="s">
        <v>424</v>
      </c>
      <c r="D7" s="230"/>
      <c r="E7" s="231"/>
      <c r="F7" s="231"/>
      <c r="G7" s="231"/>
      <c r="H7" s="231"/>
      <c r="I7" s="362"/>
      <c r="J7" s="1621"/>
      <c r="K7" s="1622"/>
      <c r="L7" s="1622"/>
      <c r="M7" s="1623"/>
    </row>
    <row r="8" spans="1:13" ht="15" customHeight="1">
      <c r="A8" s="348"/>
      <c r="C8" s="632" t="s">
        <v>425</v>
      </c>
      <c r="D8" s="694"/>
      <c r="E8" s="694"/>
      <c r="F8" s="694"/>
      <c r="G8" s="694"/>
      <c r="H8" s="694"/>
      <c r="I8" s="695">
        <f>SUM(D8:H8)</f>
        <v>0</v>
      </c>
      <c r="J8" s="1624"/>
      <c r="K8" s="1625"/>
      <c r="L8" s="1625"/>
      <c r="M8" s="1626"/>
    </row>
    <row r="9" spans="1:13" ht="15" customHeight="1">
      <c r="A9" s="346"/>
      <c r="C9" s="632" t="s">
        <v>426</v>
      </c>
      <c r="D9" s="696"/>
      <c r="E9" s="696"/>
      <c r="F9" s="696"/>
      <c r="G9" s="696"/>
      <c r="H9" s="696"/>
      <c r="I9" s="695">
        <f>SUM(D9:H9)</f>
        <v>0</v>
      </c>
      <c r="J9" s="1624"/>
      <c r="K9" s="1625"/>
      <c r="L9" s="1625"/>
      <c r="M9" s="1626"/>
    </row>
    <row r="10" spans="1:13" ht="15" customHeight="1">
      <c r="A10" s="347"/>
      <c r="C10" s="632" t="s">
        <v>427</v>
      </c>
      <c r="D10" s="697">
        <f t="shared" ref="D10:I10" si="0">SUM(D8:D9)</f>
        <v>0</v>
      </c>
      <c r="E10" s="697">
        <f t="shared" si="0"/>
        <v>0</v>
      </c>
      <c r="F10" s="697">
        <f t="shared" si="0"/>
        <v>0</v>
      </c>
      <c r="G10" s="697">
        <f t="shared" si="0"/>
        <v>0</v>
      </c>
      <c r="H10" s="697">
        <f t="shared" si="0"/>
        <v>0</v>
      </c>
      <c r="I10" s="698">
        <f t="shared" si="0"/>
        <v>0</v>
      </c>
      <c r="J10" s="1624"/>
      <c r="K10" s="1625"/>
      <c r="L10" s="1625"/>
      <c r="M10" s="1626"/>
    </row>
    <row r="11" spans="1:13">
      <c r="A11" s="348"/>
      <c r="C11" s="166" t="s">
        <v>428</v>
      </c>
      <c r="D11" s="230"/>
      <c r="E11" s="231"/>
      <c r="F11" s="231"/>
      <c r="G11" s="231"/>
      <c r="H11" s="231"/>
      <c r="I11" s="362"/>
      <c r="J11" s="1621"/>
      <c r="K11" s="1622"/>
      <c r="L11" s="1622"/>
      <c r="M11" s="1623"/>
    </row>
    <row r="12" spans="1:13">
      <c r="A12" s="347"/>
      <c r="C12" s="632" t="s">
        <v>429</v>
      </c>
      <c r="D12" s="694"/>
      <c r="E12" s="694"/>
      <c r="F12" s="694"/>
      <c r="G12" s="694"/>
      <c r="H12" s="694"/>
      <c r="I12" s="695">
        <f>SUM(D12:H12)</f>
        <v>0</v>
      </c>
      <c r="J12" s="1627"/>
      <c r="K12" s="1628"/>
      <c r="L12" s="1628"/>
      <c r="M12" s="1629"/>
    </row>
    <row r="13" spans="1:13">
      <c r="A13" s="347"/>
      <c r="C13" s="632" t="s">
        <v>430</v>
      </c>
      <c r="D13" s="696"/>
      <c r="E13" s="696"/>
      <c r="F13" s="696"/>
      <c r="G13" s="696"/>
      <c r="H13" s="696"/>
      <c r="I13" s="699">
        <f>SUM(D13:H13)</f>
        <v>0</v>
      </c>
      <c r="J13" s="1624"/>
      <c r="K13" s="1625"/>
      <c r="L13" s="1625"/>
      <c r="M13" s="1626"/>
    </row>
    <row r="14" spans="1:13">
      <c r="A14" s="348"/>
      <c r="C14" s="166" t="s">
        <v>431</v>
      </c>
      <c r="D14" s="230"/>
      <c r="E14" s="231"/>
      <c r="F14" s="231"/>
      <c r="G14" s="231"/>
      <c r="H14" s="231"/>
      <c r="I14" s="362"/>
      <c r="J14" s="1621"/>
      <c r="K14" s="1622"/>
      <c r="L14" s="1622"/>
      <c r="M14" s="1623"/>
    </row>
    <row r="15" spans="1:13" ht="26">
      <c r="A15" s="348"/>
      <c r="C15" s="632" t="s">
        <v>8460</v>
      </c>
      <c r="D15" s="700">
        <f t="shared" ref="D15:H16" si="1">E58-E99</f>
        <v>0</v>
      </c>
      <c r="E15" s="700">
        <f t="shared" si="1"/>
        <v>0</v>
      </c>
      <c r="F15" s="700">
        <f t="shared" si="1"/>
        <v>0</v>
      </c>
      <c r="G15" s="700">
        <f t="shared" si="1"/>
        <v>0</v>
      </c>
      <c r="H15" s="700">
        <f t="shared" si="1"/>
        <v>0</v>
      </c>
      <c r="I15" s="701">
        <f>SUM(D15:H15)</f>
        <v>0</v>
      </c>
      <c r="J15" s="1624"/>
      <c r="K15" s="1625"/>
      <c r="L15" s="1625"/>
      <c r="M15" s="1626"/>
    </row>
    <row r="16" spans="1:13" ht="26">
      <c r="B16" s="343"/>
      <c r="C16" s="632" t="s">
        <v>432</v>
      </c>
      <c r="D16" s="700">
        <f t="shared" si="1"/>
        <v>0</v>
      </c>
      <c r="E16" s="700">
        <f t="shared" si="1"/>
        <v>0</v>
      </c>
      <c r="F16" s="700">
        <f t="shared" si="1"/>
        <v>0</v>
      </c>
      <c r="G16" s="700">
        <f t="shared" si="1"/>
        <v>0</v>
      </c>
      <c r="H16" s="700">
        <f t="shared" si="1"/>
        <v>0</v>
      </c>
      <c r="I16" s="701">
        <f>SUM(D16:H16)</f>
        <v>0</v>
      </c>
      <c r="J16" s="1624"/>
      <c r="K16" s="1625"/>
      <c r="L16" s="1625"/>
      <c r="M16" s="1626"/>
    </row>
    <row r="17" spans="1:27" ht="26">
      <c r="A17" s="348"/>
      <c r="C17" s="166" t="s">
        <v>433</v>
      </c>
      <c r="D17" s="230"/>
      <c r="E17" s="231"/>
      <c r="F17" s="231"/>
      <c r="G17" s="231"/>
      <c r="H17" s="231"/>
      <c r="I17" s="362"/>
      <c r="J17" s="1621"/>
      <c r="K17" s="1622"/>
      <c r="L17" s="1622"/>
      <c r="M17" s="1623"/>
    </row>
    <row r="18" spans="1:27" ht="26">
      <c r="A18" s="340"/>
      <c r="C18" s="632" t="s">
        <v>8461</v>
      </c>
      <c r="D18" s="702">
        <f t="shared" ref="D18:I19" si="2">D12-D15</f>
        <v>0</v>
      </c>
      <c r="E18" s="702">
        <f t="shared" si="2"/>
        <v>0</v>
      </c>
      <c r="F18" s="702">
        <f t="shared" si="2"/>
        <v>0</v>
      </c>
      <c r="G18" s="702">
        <f t="shared" si="2"/>
        <v>0</v>
      </c>
      <c r="H18" s="702">
        <f t="shared" si="2"/>
        <v>0</v>
      </c>
      <c r="I18" s="703">
        <f t="shared" si="2"/>
        <v>0</v>
      </c>
      <c r="J18" s="1624"/>
      <c r="K18" s="1625"/>
      <c r="L18" s="1625"/>
      <c r="M18" s="1626"/>
    </row>
    <row r="19" spans="1:27" ht="26.5" thickBot="1">
      <c r="A19" s="348"/>
      <c r="C19" s="633" t="s">
        <v>434</v>
      </c>
      <c r="D19" s="704">
        <f t="shared" si="2"/>
        <v>0</v>
      </c>
      <c r="E19" s="704">
        <f t="shared" si="2"/>
        <v>0</v>
      </c>
      <c r="F19" s="704">
        <f t="shared" si="2"/>
        <v>0</v>
      </c>
      <c r="G19" s="704">
        <f t="shared" si="2"/>
        <v>0</v>
      </c>
      <c r="H19" s="704">
        <f t="shared" si="2"/>
        <v>0</v>
      </c>
      <c r="I19" s="705">
        <f t="shared" si="2"/>
        <v>0</v>
      </c>
      <c r="J19" s="1624"/>
      <c r="K19" s="1625"/>
      <c r="L19" s="1625"/>
      <c r="M19" s="1626"/>
    </row>
    <row r="20" spans="1:27" ht="15" thickBot="1">
      <c r="A20" s="348"/>
      <c r="C20" s="171"/>
      <c r="D20" s="172"/>
      <c r="E20" s="172"/>
      <c r="F20" s="172"/>
      <c r="G20" s="172"/>
      <c r="H20" s="172"/>
      <c r="I20" s="172"/>
      <c r="J20" s="363"/>
      <c r="K20" s="364"/>
      <c r="L20" s="364"/>
      <c r="M20" s="365"/>
    </row>
    <row r="21" spans="1:27" ht="19" thickBot="1">
      <c r="A21" s="342"/>
      <c r="C21" s="1610" t="s">
        <v>133</v>
      </c>
      <c r="D21" s="1611"/>
      <c r="E21" s="1611"/>
      <c r="F21" s="1611"/>
      <c r="G21" s="1611"/>
      <c r="H21" s="1611"/>
      <c r="I21" s="1611"/>
      <c r="J21" s="1611"/>
      <c r="K21" s="1611"/>
      <c r="L21" s="1611"/>
      <c r="M21" s="1612"/>
      <c r="P21" s="861" t="str">
        <f>CONCATENATE("Increased RTB Summary (",Variables!$C$4,"M)")</f>
        <v>Increased RTB Summary ($M)</v>
      </c>
    </row>
    <row r="22" spans="1:27" ht="15" customHeight="1">
      <c r="A22" s="286"/>
      <c r="C22" s="1000" t="str">
        <f>CONCATENATE("All figures in exact amounts (",Variables!$C$4,")")</f>
        <v>All figures in exact amounts ($)</v>
      </c>
      <c r="D22" s="333"/>
      <c r="E22" s="90" t="s">
        <v>26</v>
      </c>
      <c r="F22" s="90" t="s">
        <v>27</v>
      </c>
      <c r="G22" s="90" t="s">
        <v>28</v>
      </c>
      <c r="H22" s="90" t="s">
        <v>29</v>
      </c>
      <c r="I22" s="90" t="s">
        <v>30</v>
      </c>
      <c r="J22" s="193"/>
      <c r="K22" s="90"/>
      <c r="L22" s="90"/>
      <c r="M22" s="456"/>
    </row>
    <row r="23" spans="1:27">
      <c r="C23" s="634" t="s">
        <v>132</v>
      </c>
      <c r="D23" s="459" t="s">
        <v>16</v>
      </c>
      <c r="E23" s="90" t="str">
        <f>D6</f>
        <v>FY 22</v>
      </c>
      <c r="F23" s="90" t="str">
        <f>E6</f>
        <v>FY 23</v>
      </c>
      <c r="G23" s="90" t="str">
        <f>F6</f>
        <v>FY 24</v>
      </c>
      <c r="H23" s="90" t="str">
        <f>G6</f>
        <v>FY 25</v>
      </c>
      <c r="I23" s="90" t="str">
        <f>H6</f>
        <v>FY 26</v>
      </c>
      <c r="J23" s="193" t="s">
        <v>18</v>
      </c>
      <c r="K23" s="90" t="s">
        <v>8441</v>
      </c>
      <c r="L23" s="90" t="s">
        <v>303</v>
      </c>
      <c r="M23" s="455" t="s">
        <v>32</v>
      </c>
      <c r="P23" s="717" t="s">
        <v>8444</v>
      </c>
      <c r="Q23" s="1004" t="s">
        <v>8476</v>
      </c>
      <c r="R23" s="1004" t="s">
        <v>8452</v>
      </c>
      <c r="S23" s="1004" t="s">
        <v>8430</v>
      </c>
      <c r="T23" s="1004" t="s">
        <v>8431</v>
      </c>
      <c r="U23" s="1004" t="s">
        <v>226</v>
      </c>
      <c r="V23" s="719" t="str">
        <f>E23</f>
        <v>FY 22</v>
      </c>
      <c r="W23" s="719" t="str">
        <f>F23</f>
        <v>FY 23</v>
      </c>
      <c r="X23" s="719" t="str">
        <f>G23</f>
        <v>FY 24</v>
      </c>
      <c r="Y23" s="719" t="str">
        <f>H23</f>
        <v>FY 25</v>
      </c>
      <c r="Z23" s="719" t="str">
        <f>I23</f>
        <v>FY 26</v>
      </c>
      <c r="AA23" s="720" t="s">
        <v>18</v>
      </c>
    </row>
    <row r="24" spans="1:27">
      <c r="A24" s="355" t="s">
        <v>16</v>
      </c>
      <c r="C24" s="642" t="s">
        <v>265</v>
      </c>
      <c r="D24" s="334" t="s">
        <v>12</v>
      </c>
      <c r="E24" s="687"/>
      <c r="F24" s="687"/>
      <c r="G24" s="687"/>
      <c r="H24" s="687"/>
      <c r="I24" s="687"/>
      <c r="J24" s="688">
        <f t="shared" ref="J24:J60" si="3">SUM(E24:I24)</f>
        <v>0</v>
      </c>
      <c r="K24" s="673"/>
      <c r="L24" s="451"/>
      <c r="M24" s="452"/>
      <c r="N24" s="341"/>
      <c r="P24" s="990">
        <f>K24</f>
        <v>0</v>
      </c>
      <c r="Q24" s="708" t="str">
        <f>IF(ISNA(VLOOKUP(P24,RTB_BudgetOwner_tbl[#All],2,0)),"",VLOOKUP(P24,RTB_BudgetOwner_tbl[#All],2,0))</f>
        <v/>
      </c>
      <c r="R24" s="708" t="s">
        <v>8545</v>
      </c>
      <c r="S24" s="708" t="str">
        <f t="shared" ref="S24:S46" si="4">IF(ISBLANK(C24),"",C24)</f>
        <v>App Support - IBM</v>
      </c>
      <c r="T24" s="708" t="str">
        <f>IF(ISNA(VLOOKUP(Q24,Miscellaneous!E:F,2,0)),"",VLOOKUP(Q24,Miscellaneous!E:F,2,0))</f>
        <v/>
      </c>
      <c r="U24" s="708" t="s">
        <v>480</v>
      </c>
      <c r="V24" s="709">
        <f>E24</f>
        <v>0</v>
      </c>
      <c r="W24" s="709">
        <f t="shared" ref="W24:Z24" si="5">F24</f>
        <v>0</v>
      </c>
      <c r="X24" s="709">
        <f t="shared" si="5"/>
        <v>0</v>
      </c>
      <c r="Y24" s="709">
        <f t="shared" si="5"/>
        <v>0</v>
      </c>
      <c r="Z24" s="709">
        <f t="shared" si="5"/>
        <v>0</v>
      </c>
      <c r="AA24" s="710">
        <f>SUM(V24:Z24)</f>
        <v>0</v>
      </c>
    </row>
    <row r="25" spans="1:27">
      <c r="A25" s="356" t="b">
        <f>IF(COUNTIFS(J$24:J$57,"&lt;&gt;0",D$24:D$57,"")=0,TRUE,FALSE)</f>
        <v>1</v>
      </c>
      <c r="C25" s="642" t="s">
        <v>8450</v>
      </c>
      <c r="D25" s="337" t="s">
        <v>203</v>
      </c>
      <c r="E25" s="687"/>
      <c r="F25" s="687"/>
      <c r="G25" s="687"/>
      <c r="H25" s="687"/>
      <c r="I25" s="687"/>
      <c r="J25" s="689">
        <f t="shared" si="3"/>
        <v>0</v>
      </c>
      <c r="K25" s="673"/>
      <c r="L25" s="451"/>
      <c r="M25" s="452"/>
      <c r="N25" s="341"/>
      <c r="O25" s="341"/>
      <c r="P25" s="990">
        <f t="shared" ref="P25:P56" si="6">K25</f>
        <v>0</v>
      </c>
      <c r="Q25" s="708" t="str">
        <f>IF(ISNA(VLOOKUP(P25,RTB_BudgetOwner_tbl[#All],2,0)),"",VLOOKUP(P25,RTB_BudgetOwner_tbl[#All],2,0))</f>
        <v/>
      </c>
      <c r="R25" s="708" t="s">
        <v>8545</v>
      </c>
      <c r="S25" s="708" t="str">
        <f t="shared" si="4"/>
        <v>App Support - Wipro</v>
      </c>
      <c r="T25" s="708" t="str">
        <f>IF(ISNA(VLOOKUP(Q25,Miscellaneous!E:F,2,0)),"",VLOOKUP(Q25,Miscellaneous!E:F,2,0))</f>
        <v/>
      </c>
      <c r="U25" s="708" t="s">
        <v>480</v>
      </c>
      <c r="V25" s="709">
        <f t="shared" ref="V25:V57" si="7">E25</f>
        <v>0</v>
      </c>
      <c r="W25" s="709">
        <f t="shared" ref="W25:W57" si="8">F25</f>
        <v>0</v>
      </c>
      <c r="X25" s="709">
        <f t="shared" ref="X25:X57" si="9">G25</f>
        <v>0</v>
      </c>
      <c r="Y25" s="709">
        <f t="shared" ref="Y25:Y57" si="10">H25</f>
        <v>0</v>
      </c>
      <c r="Z25" s="709">
        <f t="shared" ref="Z25:Z57" si="11">I25</f>
        <v>0</v>
      </c>
      <c r="AA25" s="710">
        <f t="shared" ref="AA25:AA57" si="12">SUM(V25:Z25)</f>
        <v>0</v>
      </c>
    </row>
    <row r="26" spans="1:27">
      <c r="A26" s="353"/>
      <c r="C26" s="642" t="s">
        <v>8448</v>
      </c>
      <c r="D26" s="674" t="s">
        <v>8446</v>
      </c>
      <c r="E26" s="681"/>
      <c r="F26" s="681"/>
      <c r="G26" s="681"/>
      <c r="H26" s="681"/>
      <c r="I26" s="681"/>
      <c r="J26" s="682">
        <f t="shared" si="3"/>
        <v>0</v>
      </c>
      <c r="K26" s="673"/>
      <c r="L26" s="451"/>
      <c r="M26" s="452"/>
      <c r="N26" s="341"/>
      <c r="P26" s="990">
        <f t="shared" si="6"/>
        <v>0</v>
      </c>
      <c r="Q26" s="708" t="str">
        <f>IF(ISNA(VLOOKUP(P26,RTB_BudgetOwner_tbl[#All],2,0)),"",VLOOKUP(P26,RTB_BudgetOwner_tbl[#All],2,0))</f>
        <v/>
      </c>
      <c r="R26" s="708" t="s">
        <v>8545</v>
      </c>
      <c r="S26" s="708" t="str">
        <f t="shared" si="4"/>
        <v>App Support - TCS</v>
      </c>
      <c r="T26" s="708" t="str">
        <f>IF(ISNA(VLOOKUP(Q26,Miscellaneous!E:F,2,0)),"",VLOOKUP(Q26,Miscellaneous!E:F,2,0))</f>
        <v/>
      </c>
      <c r="U26" s="708" t="s">
        <v>480</v>
      </c>
      <c r="V26" s="709">
        <f t="shared" si="7"/>
        <v>0</v>
      </c>
      <c r="W26" s="709">
        <f t="shared" si="8"/>
        <v>0</v>
      </c>
      <c r="X26" s="709">
        <f t="shared" si="9"/>
        <v>0</v>
      </c>
      <c r="Y26" s="709">
        <f t="shared" si="10"/>
        <v>0</v>
      </c>
      <c r="Z26" s="709">
        <f t="shared" si="11"/>
        <v>0</v>
      </c>
      <c r="AA26" s="710">
        <f t="shared" si="12"/>
        <v>0</v>
      </c>
    </row>
    <row r="27" spans="1:27">
      <c r="A27" s="355" t="s">
        <v>8441</v>
      </c>
      <c r="C27" s="642" t="s">
        <v>8449</v>
      </c>
      <c r="D27" s="674" t="s">
        <v>8447</v>
      </c>
      <c r="E27" s="681"/>
      <c r="F27" s="681"/>
      <c r="G27" s="681"/>
      <c r="H27" s="681"/>
      <c r="I27" s="681"/>
      <c r="J27" s="682">
        <f t="shared" si="3"/>
        <v>0</v>
      </c>
      <c r="K27" s="673"/>
      <c r="L27" s="451"/>
      <c r="M27" s="452"/>
      <c r="N27" s="341"/>
      <c r="P27" s="990">
        <f t="shared" si="6"/>
        <v>0</v>
      </c>
      <c r="Q27" s="708" t="str">
        <f>IF(ISNA(VLOOKUP(P27,RTB_BudgetOwner_tbl[#All],2,0)),"",VLOOKUP(P27,RTB_BudgetOwner_tbl[#All],2,0))</f>
        <v/>
      </c>
      <c r="R27" s="708" t="s">
        <v>8545</v>
      </c>
      <c r="S27" s="708" t="str">
        <f t="shared" si="4"/>
        <v>App Support - Capgemini</v>
      </c>
      <c r="T27" s="708" t="str">
        <f>IF(ISNA(VLOOKUP(Q27,Miscellaneous!E:F,2,0)),"",VLOOKUP(Q27,Miscellaneous!E:F,2,0))</f>
        <v/>
      </c>
      <c r="U27" s="708" t="s">
        <v>480</v>
      </c>
      <c r="V27" s="709">
        <f t="shared" si="7"/>
        <v>0</v>
      </c>
      <c r="W27" s="709">
        <f t="shared" si="8"/>
        <v>0</v>
      </c>
      <c r="X27" s="709">
        <f t="shared" si="9"/>
        <v>0</v>
      </c>
      <c r="Y27" s="709">
        <f t="shared" si="10"/>
        <v>0</v>
      </c>
      <c r="Z27" s="709">
        <f t="shared" si="11"/>
        <v>0</v>
      </c>
      <c r="AA27" s="710">
        <f t="shared" si="12"/>
        <v>0</v>
      </c>
    </row>
    <row r="28" spans="1:27">
      <c r="A28" s="356" t="b">
        <f>IF(COUNTIF(J$24:J$57,"&lt;&gt;0")=COUNTA(K$24:K$57),TRUE,FALSE)</f>
        <v>1</v>
      </c>
      <c r="C28" s="635" t="s">
        <v>266</v>
      </c>
      <c r="D28" s="449"/>
      <c r="E28" s="690"/>
      <c r="F28" s="690"/>
      <c r="G28" s="690"/>
      <c r="H28" s="690"/>
      <c r="I28" s="690"/>
      <c r="J28" s="689">
        <f t="shared" si="3"/>
        <v>0</v>
      </c>
      <c r="K28" s="673"/>
      <c r="L28" s="451"/>
      <c r="M28" s="452"/>
      <c r="N28" s="341"/>
      <c r="P28" s="990">
        <f t="shared" si="6"/>
        <v>0</v>
      </c>
      <c r="Q28" s="708" t="str">
        <f>IF(ISNA(VLOOKUP(P28,RTB_BudgetOwner_tbl[#All],2,0)),"",VLOOKUP(P28,RTB_BudgetOwner_tbl[#All],2,0))</f>
        <v/>
      </c>
      <c r="R28" s="708" t="s">
        <v>8545</v>
      </c>
      <c r="S28" s="708" t="str">
        <f t="shared" si="4"/>
        <v>App Support - Other</v>
      </c>
      <c r="T28" s="708" t="str">
        <f>IF(ISNA(VLOOKUP(Q28,Miscellaneous!E:F,2,0)),"",VLOOKUP(Q28,Miscellaneous!E:F,2,0))</f>
        <v/>
      </c>
      <c r="U28" s="708" t="s">
        <v>480</v>
      </c>
      <c r="V28" s="709">
        <f t="shared" si="7"/>
        <v>0</v>
      </c>
      <c r="W28" s="709">
        <f t="shared" si="8"/>
        <v>0</v>
      </c>
      <c r="X28" s="709">
        <f t="shared" si="9"/>
        <v>0</v>
      </c>
      <c r="Y28" s="709">
        <f t="shared" si="10"/>
        <v>0</v>
      </c>
      <c r="Z28" s="709">
        <f t="shared" si="11"/>
        <v>0</v>
      </c>
      <c r="AA28" s="710">
        <f t="shared" si="12"/>
        <v>0</v>
      </c>
    </row>
    <row r="29" spans="1:27">
      <c r="A29" s="354"/>
      <c r="C29" s="635" t="s">
        <v>267</v>
      </c>
      <c r="D29" s="334" t="s">
        <v>8507</v>
      </c>
      <c r="E29" s="690"/>
      <c r="F29" s="690"/>
      <c r="G29" s="690"/>
      <c r="H29" s="691"/>
      <c r="I29" s="690"/>
      <c r="J29" s="689">
        <f t="shared" si="3"/>
        <v>0</v>
      </c>
      <c r="K29" s="673"/>
      <c r="L29" s="451"/>
      <c r="M29" s="452"/>
      <c r="N29" s="341"/>
      <c r="P29" s="990">
        <f t="shared" si="6"/>
        <v>0</v>
      </c>
      <c r="Q29" s="708" t="str">
        <f>IF(ISNA(VLOOKUP(P29,RTB_BudgetOwner_tbl[#All],2,0)),"",VLOOKUP(P29,RTB_BudgetOwner_tbl[#All],2,0))</f>
        <v/>
      </c>
      <c r="R29" s="708" t="s">
        <v>8545</v>
      </c>
      <c r="S29" s="708" t="str">
        <f t="shared" si="4"/>
        <v xml:space="preserve">COE Support - NG </v>
      </c>
      <c r="T29" s="708" t="str">
        <f>IF(ISNA(VLOOKUP(Q29,Miscellaneous!E:F,2,0)),"",VLOOKUP(Q29,Miscellaneous!E:F,2,0))</f>
        <v/>
      </c>
      <c r="U29" s="708" t="s">
        <v>480</v>
      </c>
      <c r="V29" s="709">
        <f t="shared" si="7"/>
        <v>0</v>
      </c>
      <c r="W29" s="709">
        <f t="shared" si="8"/>
        <v>0</v>
      </c>
      <c r="X29" s="709">
        <f t="shared" si="9"/>
        <v>0</v>
      </c>
      <c r="Y29" s="709">
        <f t="shared" si="10"/>
        <v>0</v>
      </c>
      <c r="Z29" s="709">
        <f t="shared" si="11"/>
        <v>0</v>
      </c>
      <c r="AA29" s="710">
        <f t="shared" si="12"/>
        <v>0</v>
      </c>
    </row>
    <row r="30" spans="1:27">
      <c r="A30" s="355" t="s">
        <v>303</v>
      </c>
      <c r="C30" s="635" t="s">
        <v>268</v>
      </c>
      <c r="D30" s="334" t="s">
        <v>33</v>
      </c>
      <c r="E30" s="687"/>
      <c r="F30" s="687"/>
      <c r="G30" s="687"/>
      <c r="H30" s="687"/>
      <c r="I30" s="687"/>
      <c r="J30" s="689">
        <f t="shared" si="3"/>
        <v>0</v>
      </c>
      <c r="K30" s="673"/>
      <c r="L30" s="451"/>
      <c r="M30" s="452"/>
      <c r="N30" s="341"/>
      <c r="P30" s="990">
        <f t="shared" si="6"/>
        <v>0</v>
      </c>
      <c r="Q30" s="708" t="str">
        <f>IF(ISNA(VLOOKUP(P30,RTB_BudgetOwner_tbl[#All],2,0)),"",VLOOKUP(P30,RTB_BudgetOwner_tbl[#All],2,0))</f>
        <v/>
      </c>
      <c r="R30" s="708" t="s">
        <v>8545</v>
      </c>
      <c r="S30" s="708" t="str">
        <f t="shared" si="4"/>
        <v>Telcom/Network Services - Verizon</v>
      </c>
      <c r="T30" s="708" t="str">
        <f>IF(ISNA(VLOOKUP(Q30,Miscellaneous!E:F,2,0)),"",VLOOKUP(Q30,Miscellaneous!E:F,2,0))</f>
        <v/>
      </c>
      <c r="U30" s="708" t="s">
        <v>480</v>
      </c>
      <c r="V30" s="709">
        <f t="shared" si="7"/>
        <v>0</v>
      </c>
      <c r="W30" s="709">
        <f t="shared" si="8"/>
        <v>0</v>
      </c>
      <c r="X30" s="709">
        <f t="shared" si="9"/>
        <v>0</v>
      </c>
      <c r="Y30" s="709">
        <f t="shared" si="10"/>
        <v>0</v>
      </c>
      <c r="Z30" s="709">
        <f t="shared" si="11"/>
        <v>0</v>
      </c>
      <c r="AA30" s="710">
        <f t="shared" si="12"/>
        <v>0</v>
      </c>
    </row>
    <row r="31" spans="1:27">
      <c r="A31" s="356" t="b">
        <f>IF(COUNTIF(J$24:J$57,"&lt;&gt;0")=COUNTA(L$24:L$57),TRUE,FALSE)</f>
        <v>1</v>
      </c>
      <c r="C31" s="635" t="s">
        <v>269</v>
      </c>
      <c r="D31" s="449"/>
      <c r="E31" s="690"/>
      <c r="F31" s="690"/>
      <c r="G31" s="690"/>
      <c r="H31" s="690"/>
      <c r="I31" s="690"/>
      <c r="J31" s="689">
        <f t="shared" si="3"/>
        <v>0</v>
      </c>
      <c r="K31" s="673"/>
      <c r="L31" s="451"/>
      <c r="M31" s="452"/>
      <c r="N31" s="341"/>
      <c r="P31" s="990">
        <f t="shared" si="6"/>
        <v>0</v>
      </c>
      <c r="Q31" s="708" t="str">
        <f>IF(ISNA(VLOOKUP(P31,RTB_BudgetOwner_tbl[#All],2,0)),"",VLOOKUP(P31,RTB_BudgetOwner_tbl[#All],2,0))</f>
        <v/>
      </c>
      <c r="R31" s="708" t="s">
        <v>8545</v>
      </c>
      <c r="S31" s="708" t="str">
        <f t="shared" si="4"/>
        <v>Telcom/Network Services - Other</v>
      </c>
      <c r="T31" s="708" t="str">
        <f>IF(ISNA(VLOOKUP(Q31,Miscellaneous!E:F,2,0)),"",VLOOKUP(Q31,Miscellaneous!E:F,2,0))</f>
        <v/>
      </c>
      <c r="U31" s="708" t="s">
        <v>480</v>
      </c>
      <c r="V31" s="709">
        <f t="shared" si="7"/>
        <v>0</v>
      </c>
      <c r="W31" s="709">
        <f t="shared" si="8"/>
        <v>0</v>
      </c>
      <c r="X31" s="709">
        <f t="shared" si="9"/>
        <v>0</v>
      </c>
      <c r="Y31" s="709">
        <f t="shared" si="10"/>
        <v>0</v>
      </c>
      <c r="Z31" s="709">
        <f t="shared" si="11"/>
        <v>0</v>
      </c>
      <c r="AA31" s="710">
        <f t="shared" si="12"/>
        <v>0</v>
      </c>
    </row>
    <row r="32" spans="1:27">
      <c r="A32" s="341"/>
      <c r="C32" s="636" t="s">
        <v>278</v>
      </c>
      <c r="D32" s="335" t="s">
        <v>12830</v>
      </c>
      <c r="E32" s="687"/>
      <c r="F32" s="687"/>
      <c r="G32" s="687"/>
      <c r="H32" s="687"/>
      <c r="I32" s="687"/>
      <c r="J32" s="689">
        <f t="shared" si="3"/>
        <v>0</v>
      </c>
      <c r="K32" s="673"/>
      <c r="L32" s="451"/>
      <c r="M32" s="452"/>
      <c r="N32" s="341"/>
      <c r="P32" s="990">
        <f t="shared" si="6"/>
        <v>0</v>
      </c>
      <c r="Q32" s="708" t="str">
        <f>IF(ISNA(VLOOKUP(P32,RTB_BudgetOwner_tbl[#All],2,0)),"",VLOOKUP(P32,RTB_BudgetOwner_tbl[#All],2,0))</f>
        <v/>
      </c>
      <c r="R32" s="708" t="s">
        <v>8545</v>
      </c>
      <c r="S32" s="708" t="str">
        <f t="shared" si="4"/>
        <v>Client Services (Laptops, Desktops, etc)</v>
      </c>
      <c r="T32" s="708" t="str">
        <f>IF(ISNA(VLOOKUP(Q32,Miscellaneous!E:F,2,0)),"",VLOOKUP(Q32,Miscellaneous!E:F,2,0))</f>
        <v/>
      </c>
      <c r="U32" s="708" t="s">
        <v>480</v>
      </c>
      <c r="V32" s="709">
        <f t="shared" si="7"/>
        <v>0</v>
      </c>
      <c r="W32" s="709">
        <f t="shared" si="8"/>
        <v>0</v>
      </c>
      <c r="X32" s="709">
        <f t="shared" si="9"/>
        <v>0</v>
      </c>
      <c r="Y32" s="709">
        <f t="shared" si="10"/>
        <v>0</v>
      </c>
      <c r="Z32" s="709">
        <f t="shared" si="11"/>
        <v>0</v>
      </c>
      <c r="AA32" s="710">
        <f t="shared" si="12"/>
        <v>0</v>
      </c>
    </row>
    <row r="33" spans="1:27">
      <c r="A33" s="355" t="s">
        <v>32</v>
      </c>
      <c r="C33" s="636" t="s">
        <v>14956</v>
      </c>
      <c r="D33" s="335" t="s">
        <v>14957</v>
      </c>
      <c r="E33" s="687"/>
      <c r="F33" s="687"/>
      <c r="G33" s="687"/>
      <c r="H33" s="687"/>
      <c r="I33" s="687"/>
      <c r="J33" s="689">
        <f t="shared" si="3"/>
        <v>0</v>
      </c>
      <c r="K33" s="673"/>
      <c r="L33" s="451"/>
      <c r="M33" s="452"/>
      <c r="N33" s="341"/>
      <c r="P33" s="990">
        <f t="shared" si="6"/>
        <v>0</v>
      </c>
      <c r="Q33" s="708" t="str">
        <f>IF(ISNA(VLOOKUP(P33,RTB_BudgetOwner_tbl[#All],2,0)),"",VLOOKUP(P33,RTB_BudgetOwner_tbl[#All],2,0))</f>
        <v/>
      </c>
      <c r="R33" s="708" t="s">
        <v>8545</v>
      </c>
      <c r="S33" s="708" t="str">
        <f t="shared" si="4"/>
        <v>Managed Hosting Services - DXC</v>
      </c>
      <c r="T33" s="708" t="str">
        <f>IF(ISNA(VLOOKUP(Q33,Miscellaneous!E:F,2,0)),"",VLOOKUP(Q33,Miscellaneous!E:F,2,0))</f>
        <v/>
      </c>
      <c r="U33" s="708" t="s">
        <v>480</v>
      </c>
      <c r="V33" s="709">
        <f t="shared" si="7"/>
        <v>0</v>
      </c>
      <c r="W33" s="709">
        <f t="shared" si="8"/>
        <v>0</v>
      </c>
      <c r="X33" s="709">
        <f t="shared" si="9"/>
        <v>0</v>
      </c>
      <c r="Y33" s="709">
        <f t="shared" si="10"/>
        <v>0</v>
      </c>
      <c r="Z33" s="709">
        <f t="shared" si="11"/>
        <v>0</v>
      </c>
      <c r="AA33" s="710">
        <f t="shared" si="12"/>
        <v>0</v>
      </c>
    </row>
    <row r="34" spans="1:27">
      <c r="A34" s="356" t="b">
        <f>IF(COUNTIF(J$24:J$57,"&lt;&gt;0")=COUNTA(M$24:M$57),TRUE,FALSE)</f>
        <v>1</v>
      </c>
      <c r="C34" s="636" t="s">
        <v>9029</v>
      </c>
      <c r="D34" s="335" t="s">
        <v>9028</v>
      </c>
      <c r="E34" s="690"/>
      <c r="F34" s="690"/>
      <c r="G34" s="690"/>
      <c r="H34" s="690"/>
      <c r="I34" s="690"/>
      <c r="J34" s="689">
        <f t="shared" si="3"/>
        <v>0</v>
      </c>
      <c r="K34" s="673"/>
      <c r="L34" s="451"/>
      <c r="M34" s="452"/>
      <c r="N34" s="341"/>
      <c r="P34" s="990">
        <f t="shared" si="6"/>
        <v>0</v>
      </c>
      <c r="Q34" s="708" t="str">
        <f>IF(ISNA(VLOOKUP(P34,RTB_BudgetOwner_tbl[#All],2,0)),"",VLOOKUP(P34,RTB_BudgetOwner_tbl[#All],2,0))</f>
        <v/>
      </c>
      <c r="R34" s="708" t="s">
        <v>8545</v>
      </c>
      <c r="S34" s="708" t="str">
        <f t="shared" si="4"/>
        <v>Managed Hosting Services - Syntax</v>
      </c>
      <c r="T34" s="708" t="str">
        <f>IF(ISNA(VLOOKUP(Q34,Miscellaneous!E:F,2,0)),"",VLOOKUP(Q34,Miscellaneous!E:F,2,0))</f>
        <v/>
      </c>
      <c r="U34" s="708" t="s">
        <v>480</v>
      </c>
      <c r="V34" s="709">
        <f t="shared" si="7"/>
        <v>0</v>
      </c>
      <c r="W34" s="709">
        <f t="shared" si="8"/>
        <v>0</v>
      </c>
      <c r="X34" s="709">
        <f t="shared" si="9"/>
        <v>0</v>
      </c>
      <c r="Y34" s="709">
        <f t="shared" si="10"/>
        <v>0</v>
      </c>
      <c r="Z34" s="709">
        <f t="shared" si="11"/>
        <v>0</v>
      </c>
      <c r="AA34" s="710">
        <f t="shared" si="12"/>
        <v>0</v>
      </c>
    </row>
    <row r="35" spans="1:27">
      <c r="C35" s="635" t="s">
        <v>270</v>
      </c>
      <c r="D35" s="449"/>
      <c r="E35" s="690"/>
      <c r="F35" s="690"/>
      <c r="G35" s="690"/>
      <c r="H35" s="690"/>
      <c r="I35" s="690"/>
      <c r="J35" s="689">
        <f t="shared" si="3"/>
        <v>0</v>
      </c>
      <c r="K35" s="673"/>
      <c r="L35" s="451"/>
      <c r="M35" s="452"/>
      <c r="N35" s="341"/>
      <c r="P35" s="990">
        <f t="shared" si="6"/>
        <v>0</v>
      </c>
      <c r="Q35" s="708" t="str">
        <f>IF(ISNA(VLOOKUP(P35,RTB_BudgetOwner_tbl[#All],2,0)),"",VLOOKUP(P35,RTB_BudgetOwner_tbl[#All],2,0))</f>
        <v/>
      </c>
      <c r="R35" s="708" t="s">
        <v>8545</v>
      </c>
      <c r="S35" s="708" t="str">
        <f t="shared" si="4"/>
        <v>Managed Hosting Services - Other</v>
      </c>
      <c r="T35" s="708" t="str">
        <f>IF(ISNA(VLOOKUP(Q35,Miscellaneous!E:F,2,0)),"",VLOOKUP(Q35,Miscellaneous!E:F,2,0))</f>
        <v/>
      </c>
      <c r="U35" s="708" t="s">
        <v>480</v>
      </c>
      <c r="V35" s="709">
        <f t="shared" si="7"/>
        <v>0</v>
      </c>
      <c r="W35" s="709">
        <f t="shared" si="8"/>
        <v>0</v>
      </c>
      <c r="X35" s="709">
        <f t="shared" si="9"/>
        <v>0</v>
      </c>
      <c r="Y35" s="709">
        <f t="shared" si="10"/>
        <v>0</v>
      </c>
      <c r="Z35" s="709">
        <f t="shared" si="11"/>
        <v>0</v>
      </c>
      <c r="AA35" s="710">
        <f t="shared" si="12"/>
        <v>0</v>
      </c>
    </row>
    <row r="36" spans="1:27">
      <c r="C36" s="635" t="s">
        <v>285</v>
      </c>
      <c r="D36" s="449"/>
      <c r="E36" s="690"/>
      <c r="F36" s="690"/>
      <c r="G36" s="690"/>
      <c r="H36" s="690"/>
      <c r="I36" s="690"/>
      <c r="J36" s="689">
        <f t="shared" si="3"/>
        <v>0</v>
      </c>
      <c r="K36" s="673"/>
      <c r="L36" s="451"/>
      <c r="M36" s="452"/>
      <c r="N36" s="341"/>
      <c r="P36" s="990">
        <f t="shared" si="6"/>
        <v>0</v>
      </c>
      <c r="Q36" s="708" t="str">
        <f>IF(ISNA(VLOOKUP(P36,RTB_BudgetOwner_tbl[#All],2,0)),"",VLOOKUP(P36,RTB_BudgetOwner_tbl[#All],2,0))</f>
        <v/>
      </c>
      <c r="R36" s="708" t="s">
        <v>8545</v>
      </c>
      <c r="S36" s="708" t="str">
        <f t="shared" si="4"/>
        <v xml:space="preserve">Cloud Core Infrastructure Costs </v>
      </c>
      <c r="T36" s="708" t="str">
        <f>IF(ISNA(VLOOKUP(Q36,Miscellaneous!E:F,2,0)),"",VLOOKUP(Q36,Miscellaneous!E:F,2,0))</f>
        <v/>
      </c>
      <c r="U36" s="708" t="s">
        <v>480</v>
      </c>
      <c r="V36" s="709">
        <f t="shared" si="7"/>
        <v>0</v>
      </c>
      <c r="W36" s="709">
        <f t="shared" si="8"/>
        <v>0</v>
      </c>
      <c r="X36" s="709">
        <f t="shared" si="9"/>
        <v>0</v>
      </c>
      <c r="Y36" s="709">
        <f t="shared" si="10"/>
        <v>0</v>
      </c>
      <c r="Z36" s="709">
        <f t="shared" si="11"/>
        <v>0</v>
      </c>
      <c r="AA36" s="710">
        <f t="shared" si="12"/>
        <v>0</v>
      </c>
    </row>
    <row r="37" spans="1:27">
      <c r="C37" s="635" t="s">
        <v>272</v>
      </c>
      <c r="D37" s="449"/>
      <c r="E37" s="690"/>
      <c r="F37" s="690"/>
      <c r="G37" s="690"/>
      <c r="H37" s="690"/>
      <c r="I37" s="690"/>
      <c r="J37" s="689">
        <f t="shared" si="3"/>
        <v>0</v>
      </c>
      <c r="K37" s="673"/>
      <c r="L37" s="451"/>
      <c r="M37" s="452"/>
      <c r="N37" s="341"/>
      <c r="P37" s="990">
        <f t="shared" si="6"/>
        <v>0</v>
      </c>
      <c r="Q37" s="708" t="str">
        <f>IF(ISNA(VLOOKUP(P37,RTB_BudgetOwner_tbl[#All],2,0)),"",VLOOKUP(P37,RTB_BudgetOwner_tbl[#All],2,0))</f>
        <v/>
      </c>
      <c r="R37" s="708" t="s">
        <v>8545</v>
      </c>
      <c r="S37" s="708" t="str">
        <f t="shared" si="4"/>
        <v xml:space="preserve">Cloud Core Infrastructure Support </v>
      </c>
      <c r="T37" s="708" t="str">
        <f>IF(ISNA(VLOOKUP(Q37,Miscellaneous!E:F,2,0)),"",VLOOKUP(Q37,Miscellaneous!E:F,2,0))</f>
        <v/>
      </c>
      <c r="U37" s="708" t="s">
        <v>480</v>
      </c>
      <c r="V37" s="709">
        <f t="shared" si="7"/>
        <v>0</v>
      </c>
      <c r="W37" s="709">
        <f t="shared" si="8"/>
        <v>0</v>
      </c>
      <c r="X37" s="709">
        <f t="shared" si="9"/>
        <v>0</v>
      </c>
      <c r="Y37" s="709">
        <f t="shared" si="10"/>
        <v>0</v>
      </c>
      <c r="Z37" s="709">
        <f t="shared" si="11"/>
        <v>0</v>
      </c>
      <c r="AA37" s="710">
        <f t="shared" si="12"/>
        <v>0</v>
      </c>
    </row>
    <row r="38" spans="1:27" ht="15" customHeight="1">
      <c r="C38" s="635" t="s">
        <v>273</v>
      </c>
      <c r="D38" s="449"/>
      <c r="E38" s="690"/>
      <c r="F38" s="690"/>
      <c r="G38" s="690"/>
      <c r="H38" s="690"/>
      <c r="I38" s="690"/>
      <c r="J38" s="689">
        <f t="shared" si="3"/>
        <v>0</v>
      </c>
      <c r="K38" s="673"/>
      <c r="L38" s="451"/>
      <c r="M38" s="452"/>
      <c r="N38" s="341"/>
      <c r="P38" s="990">
        <f t="shared" si="6"/>
        <v>0</v>
      </c>
      <c r="Q38" s="708" t="str">
        <f>IF(ISNA(VLOOKUP(P38,RTB_BudgetOwner_tbl[#All],2,0)),"",VLOOKUP(P38,RTB_BudgetOwner_tbl[#All],2,0))</f>
        <v/>
      </c>
      <c r="R38" s="708" t="s">
        <v>8545</v>
      </c>
      <c r="S38" s="708" t="str">
        <f t="shared" si="4"/>
        <v xml:space="preserve">Cloud Infrastructure Hosting Costs (per app) </v>
      </c>
      <c r="T38" s="708" t="str">
        <f>IF(ISNA(VLOOKUP(Q38,Miscellaneous!E:F,2,0)),"",VLOOKUP(Q38,Miscellaneous!E:F,2,0))</f>
        <v/>
      </c>
      <c r="U38" s="708" t="s">
        <v>480</v>
      </c>
      <c r="V38" s="709">
        <f t="shared" si="7"/>
        <v>0</v>
      </c>
      <c r="W38" s="709">
        <f t="shared" si="8"/>
        <v>0</v>
      </c>
      <c r="X38" s="709">
        <f t="shared" si="9"/>
        <v>0</v>
      </c>
      <c r="Y38" s="709">
        <f t="shared" si="10"/>
        <v>0</v>
      </c>
      <c r="Z38" s="709">
        <f t="shared" si="11"/>
        <v>0</v>
      </c>
      <c r="AA38" s="710">
        <f t="shared" si="12"/>
        <v>0</v>
      </c>
    </row>
    <row r="39" spans="1:27" ht="15" customHeight="1">
      <c r="C39" s="636" t="s">
        <v>274</v>
      </c>
      <c r="D39" s="449"/>
      <c r="E39" s="690"/>
      <c r="F39" s="690"/>
      <c r="G39" s="690"/>
      <c r="H39" s="690"/>
      <c r="I39" s="690"/>
      <c r="J39" s="689">
        <f t="shared" si="3"/>
        <v>0</v>
      </c>
      <c r="K39" s="673"/>
      <c r="L39" s="451"/>
      <c r="M39" s="452"/>
      <c r="N39" s="341"/>
      <c r="P39" s="990">
        <f t="shared" si="6"/>
        <v>0</v>
      </c>
      <c r="Q39" s="708" t="str">
        <f>IF(ISNA(VLOOKUP(P39,RTB_BudgetOwner_tbl[#All],2,0)),"",VLOOKUP(P39,RTB_BudgetOwner_tbl[#All],2,0))</f>
        <v/>
      </c>
      <c r="R39" s="708" t="s">
        <v>8545</v>
      </c>
      <c r="S39" s="708" t="str">
        <f t="shared" si="4"/>
        <v>Cloud Infrastructure Support Costs (per app)</v>
      </c>
      <c r="T39" s="708" t="str">
        <f>IF(ISNA(VLOOKUP(Q39,Miscellaneous!E:F,2,0)),"",VLOOKUP(Q39,Miscellaneous!E:F,2,0))</f>
        <v/>
      </c>
      <c r="U39" s="708" t="s">
        <v>480</v>
      </c>
      <c r="V39" s="709">
        <f t="shared" si="7"/>
        <v>0</v>
      </c>
      <c r="W39" s="709">
        <f t="shared" si="8"/>
        <v>0</v>
      </c>
      <c r="X39" s="709">
        <f t="shared" si="9"/>
        <v>0</v>
      </c>
      <c r="Y39" s="709">
        <f t="shared" si="10"/>
        <v>0</v>
      </c>
      <c r="Z39" s="709">
        <f t="shared" si="11"/>
        <v>0</v>
      </c>
      <c r="AA39" s="710">
        <f t="shared" si="12"/>
        <v>0</v>
      </c>
    </row>
    <row r="40" spans="1:27">
      <c r="C40" s="636" t="s">
        <v>275</v>
      </c>
      <c r="D40" s="449"/>
      <c r="E40" s="690"/>
      <c r="F40" s="690"/>
      <c r="G40" s="690"/>
      <c r="H40" s="690"/>
      <c r="I40" s="690"/>
      <c r="J40" s="688">
        <f t="shared" si="3"/>
        <v>0</v>
      </c>
      <c r="K40" s="673"/>
      <c r="L40" s="451"/>
      <c r="M40" s="452"/>
      <c r="N40" s="341"/>
      <c r="P40" s="990">
        <f t="shared" si="6"/>
        <v>0</v>
      </c>
      <c r="Q40" s="708" t="str">
        <f>IF(ISNA(VLOOKUP(P40,RTB_BudgetOwner_tbl[#All],2,0)),"",VLOOKUP(P40,RTB_BudgetOwner_tbl[#All],2,0))</f>
        <v/>
      </c>
      <c r="R40" s="708" t="s">
        <v>8545</v>
      </c>
      <c r="S40" s="708" t="str">
        <f t="shared" si="4"/>
        <v xml:space="preserve">DaaS Infrastructure Hosting Costs  </v>
      </c>
      <c r="T40" s="708" t="str">
        <f>IF(ISNA(VLOOKUP(Q40,Miscellaneous!E:F,2,0)),"",VLOOKUP(Q40,Miscellaneous!E:F,2,0))</f>
        <v/>
      </c>
      <c r="U40" s="708" t="s">
        <v>480</v>
      </c>
      <c r="V40" s="709">
        <f t="shared" si="7"/>
        <v>0</v>
      </c>
      <c r="W40" s="709">
        <f t="shared" si="8"/>
        <v>0</v>
      </c>
      <c r="X40" s="709">
        <f t="shared" si="9"/>
        <v>0</v>
      </c>
      <c r="Y40" s="709">
        <f t="shared" si="10"/>
        <v>0</v>
      </c>
      <c r="Z40" s="709">
        <f t="shared" si="11"/>
        <v>0</v>
      </c>
      <c r="AA40" s="710">
        <f t="shared" si="12"/>
        <v>0</v>
      </c>
    </row>
    <row r="41" spans="1:27">
      <c r="C41" s="636" t="s">
        <v>276</v>
      </c>
      <c r="D41" s="450"/>
      <c r="E41" s="690"/>
      <c r="F41" s="690"/>
      <c r="G41" s="690"/>
      <c r="H41" s="690"/>
      <c r="I41" s="690"/>
      <c r="J41" s="689">
        <f t="shared" si="3"/>
        <v>0</v>
      </c>
      <c r="K41" s="673"/>
      <c r="L41" s="451"/>
      <c r="M41" s="452"/>
      <c r="N41" s="341"/>
      <c r="P41" s="990">
        <f t="shared" si="6"/>
        <v>0</v>
      </c>
      <c r="Q41" s="708" t="str">
        <f>IF(ISNA(VLOOKUP(P41,RTB_BudgetOwner_tbl[#All],2,0)),"",VLOOKUP(P41,RTB_BudgetOwner_tbl[#All],2,0))</f>
        <v/>
      </c>
      <c r="R41" s="708" t="s">
        <v>8545</v>
      </c>
      <c r="S41" s="708" t="str">
        <f t="shared" si="4"/>
        <v xml:space="preserve">DaaS Infrastructure Support Costs </v>
      </c>
      <c r="T41" s="708" t="str">
        <f>IF(ISNA(VLOOKUP(Q41,Miscellaneous!E:F,2,0)),"",VLOOKUP(Q41,Miscellaneous!E:F,2,0))</f>
        <v/>
      </c>
      <c r="U41" s="708" t="s">
        <v>480</v>
      </c>
      <c r="V41" s="709">
        <f t="shared" si="7"/>
        <v>0</v>
      </c>
      <c r="W41" s="709">
        <f t="shared" si="8"/>
        <v>0</v>
      </c>
      <c r="X41" s="709">
        <f t="shared" si="9"/>
        <v>0</v>
      </c>
      <c r="Y41" s="709">
        <f t="shared" si="10"/>
        <v>0</v>
      </c>
      <c r="Z41" s="709">
        <f t="shared" si="11"/>
        <v>0</v>
      </c>
      <c r="AA41" s="710">
        <f t="shared" si="12"/>
        <v>0</v>
      </c>
    </row>
    <row r="42" spans="1:27">
      <c r="C42" s="635" t="s">
        <v>8471</v>
      </c>
      <c r="D42" s="449"/>
      <c r="E42" s="690"/>
      <c r="F42" s="690"/>
      <c r="G42" s="690"/>
      <c r="H42" s="690"/>
      <c r="I42" s="690"/>
      <c r="J42" s="689">
        <f t="shared" si="3"/>
        <v>0</v>
      </c>
      <c r="K42" s="673"/>
      <c r="L42" s="451"/>
      <c r="M42" s="452"/>
      <c r="N42" s="341"/>
      <c r="P42" s="990">
        <f t="shared" si="6"/>
        <v>0</v>
      </c>
      <c r="Q42" s="708" t="str">
        <f>IF(ISNA(VLOOKUP(P42,RTB_BudgetOwner_tbl[#All],2,0)),"",VLOOKUP(P42,RTB_BudgetOwner_tbl[#All],2,0))</f>
        <v/>
      </c>
      <c r="R42" s="708" t="s">
        <v>8545</v>
      </c>
      <c r="S42" s="708" t="str">
        <f t="shared" si="4"/>
        <v>3rd Party Software Support &amp; Maintenance</v>
      </c>
      <c r="T42" s="708" t="str">
        <f>IF(ISNA(VLOOKUP(Q42,Miscellaneous!E:F,2,0)),"",VLOOKUP(Q42,Miscellaneous!E:F,2,0))</f>
        <v/>
      </c>
      <c r="U42" s="708" t="s">
        <v>480</v>
      </c>
      <c r="V42" s="709">
        <f t="shared" si="7"/>
        <v>0</v>
      </c>
      <c r="W42" s="709">
        <f t="shared" si="8"/>
        <v>0</v>
      </c>
      <c r="X42" s="709">
        <f t="shared" si="9"/>
        <v>0</v>
      </c>
      <c r="Y42" s="709">
        <f t="shared" si="10"/>
        <v>0</v>
      </c>
      <c r="Z42" s="709">
        <f t="shared" si="11"/>
        <v>0</v>
      </c>
      <c r="AA42" s="710">
        <f t="shared" si="12"/>
        <v>0</v>
      </c>
    </row>
    <row r="43" spans="1:27">
      <c r="C43" s="635" t="s">
        <v>277</v>
      </c>
      <c r="D43" s="449"/>
      <c r="E43" s="690"/>
      <c r="F43" s="690"/>
      <c r="G43" s="690"/>
      <c r="H43" s="690"/>
      <c r="I43" s="690"/>
      <c r="J43" s="689">
        <f>SUM(E43:I43)</f>
        <v>0</v>
      </c>
      <c r="K43" s="673"/>
      <c r="L43" s="451"/>
      <c r="M43" s="452"/>
      <c r="N43" s="341"/>
      <c r="P43" s="990">
        <f t="shared" si="6"/>
        <v>0</v>
      </c>
      <c r="Q43" s="708" t="str">
        <f>IF(ISNA(VLOOKUP(P43,RTB_BudgetOwner_tbl[#All],2,0)),"",VLOOKUP(P43,RTB_BudgetOwner_tbl[#All],2,0))</f>
        <v/>
      </c>
      <c r="R43" s="708" t="s">
        <v>8545</v>
      </c>
      <c r="S43" s="708" t="str">
        <f t="shared" si="4"/>
        <v>Software Subscription License</v>
      </c>
      <c r="T43" s="708" t="str">
        <f>IF(ISNA(VLOOKUP(Q43,Miscellaneous!E:F,2,0)),"",VLOOKUP(Q43,Miscellaneous!E:F,2,0))</f>
        <v/>
      </c>
      <c r="U43" s="708" t="s">
        <v>480</v>
      </c>
      <c r="V43" s="709">
        <f t="shared" si="7"/>
        <v>0</v>
      </c>
      <c r="W43" s="709">
        <f t="shared" si="8"/>
        <v>0</v>
      </c>
      <c r="X43" s="709">
        <f t="shared" si="9"/>
        <v>0</v>
      </c>
      <c r="Y43" s="709">
        <f t="shared" si="10"/>
        <v>0</v>
      </c>
      <c r="Z43" s="709">
        <f t="shared" si="11"/>
        <v>0</v>
      </c>
      <c r="AA43" s="710">
        <f t="shared" si="12"/>
        <v>0</v>
      </c>
    </row>
    <row r="44" spans="1:27">
      <c r="C44" s="635" t="s">
        <v>8414</v>
      </c>
      <c r="D44" s="449"/>
      <c r="E44" s="690"/>
      <c r="F44" s="690"/>
      <c r="G44" s="690"/>
      <c r="H44" s="690"/>
      <c r="I44" s="690"/>
      <c r="J44" s="688">
        <f t="shared" si="3"/>
        <v>0</v>
      </c>
      <c r="K44" s="673"/>
      <c r="L44" s="540"/>
      <c r="M44" s="452"/>
      <c r="N44" s="341"/>
      <c r="P44" s="990">
        <f t="shared" si="6"/>
        <v>0</v>
      </c>
      <c r="Q44" s="708" t="str">
        <f>IF(ISNA(VLOOKUP(P44,RTB_BudgetOwner_tbl[#All],2,0)),"",VLOOKUP(P44,RTB_BudgetOwner_tbl[#All],2,0))</f>
        <v/>
      </c>
      <c r="R44" s="708" t="s">
        <v>8545</v>
      </c>
      <c r="S44" s="708" t="str">
        <f t="shared" si="4"/>
        <v>SaaS software license costs</v>
      </c>
      <c r="T44" s="708" t="str">
        <f>IF(ISNA(VLOOKUP(Q44,Miscellaneous!E:F,2,0)),"",VLOOKUP(Q44,Miscellaneous!E:F,2,0))</f>
        <v/>
      </c>
      <c r="U44" s="708" t="s">
        <v>480</v>
      </c>
      <c r="V44" s="709">
        <f t="shared" si="7"/>
        <v>0</v>
      </c>
      <c r="W44" s="709">
        <f t="shared" si="8"/>
        <v>0</v>
      </c>
      <c r="X44" s="709">
        <f t="shared" si="9"/>
        <v>0</v>
      </c>
      <c r="Y44" s="709">
        <f t="shared" si="10"/>
        <v>0</v>
      </c>
      <c r="Z44" s="709">
        <f t="shared" si="11"/>
        <v>0</v>
      </c>
      <c r="AA44" s="710">
        <f t="shared" si="12"/>
        <v>0</v>
      </c>
    </row>
    <row r="45" spans="1:27">
      <c r="C45" s="637"/>
      <c r="D45" s="449"/>
      <c r="E45" s="692"/>
      <c r="F45" s="692"/>
      <c r="G45" s="692"/>
      <c r="H45" s="692"/>
      <c r="I45" s="692"/>
      <c r="J45" s="688">
        <f>SUM(E45:I45)</f>
        <v>0</v>
      </c>
      <c r="K45" s="673"/>
      <c r="L45" s="453"/>
      <c r="M45" s="454"/>
      <c r="N45" s="341"/>
      <c r="P45" s="990">
        <f t="shared" si="6"/>
        <v>0</v>
      </c>
      <c r="Q45" s="708" t="str">
        <f>IF(ISNA(VLOOKUP(P45,RTB_BudgetOwner_tbl[#All],2,0)),"",VLOOKUP(P45,RTB_BudgetOwner_tbl[#All],2,0))</f>
        <v/>
      </c>
      <c r="R45" s="708" t="s">
        <v>8545</v>
      </c>
      <c r="S45" s="708" t="str">
        <f t="shared" si="4"/>
        <v/>
      </c>
      <c r="T45" s="708" t="str">
        <f>IF(ISNA(VLOOKUP(Q45,Miscellaneous!E:F,2,0)),"",VLOOKUP(Q45,Miscellaneous!E:F,2,0))</f>
        <v/>
      </c>
      <c r="U45" s="708" t="s">
        <v>480</v>
      </c>
      <c r="V45" s="709">
        <f t="shared" si="7"/>
        <v>0</v>
      </c>
      <c r="W45" s="709">
        <f t="shared" si="8"/>
        <v>0</v>
      </c>
      <c r="X45" s="709">
        <f t="shared" si="9"/>
        <v>0</v>
      </c>
      <c r="Y45" s="709">
        <f t="shared" si="10"/>
        <v>0</v>
      </c>
      <c r="Z45" s="709">
        <f t="shared" si="11"/>
        <v>0</v>
      </c>
      <c r="AA45" s="710">
        <f t="shared" si="12"/>
        <v>0</v>
      </c>
    </row>
    <row r="46" spans="1:27">
      <c r="C46" s="637"/>
      <c r="D46" s="449"/>
      <c r="E46" s="692"/>
      <c r="F46" s="692"/>
      <c r="G46" s="692"/>
      <c r="H46" s="692"/>
      <c r="I46" s="692"/>
      <c r="J46" s="688">
        <f>SUM(E46:I46)</f>
        <v>0</v>
      </c>
      <c r="K46" s="673"/>
      <c r="L46" s="453"/>
      <c r="M46" s="454"/>
      <c r="N46" s="341"/>
      <c r="P46" s="990">
        <f t="shared" si="6"/>
        <v>0</v>
      </c>
      <c r="Q46" s="708" t="str">
        <f>IF(ISNA(VLOOKUP(P46,RTB_BudgetOwner_tbl[#All],2,0)),"",VLOOKUP(P46,RTB_BudgetOwner_tbl[#All],2,0))</f>
        <v/>
      </c>
      <c r="R46" s="708" t="s">
        <v>8545</v>
      </c>
      <c r="S46" s="708" t="str">
        <f t="shared" si="4"/>
        <v/>
      </c>
      <c r="T46" s="708" t="str">
        <f>IF(ISNA(VLOOKUP(Q46,Miscellaneous!E:F,2,0)),"",VLOOKUP(Q46,Miscellaneous!E:F,2,0))</f>
        <v/>
      </c>
      <c r="U46" s="708" t="s">
        <v>480</v>
      </c>
      <c r="V46" s="709">
        <f t="shared" si="7"/>
        <v>0</v>
      </c>
      <c r="W46" s="709">
        <f t="shared" si="8"/>
        <v>0</v>
      </c>
      <c r="X46" s="709">
        <f t="shared" si="9"/>
        <v>0</v>
      </c>
      <c r="Y46" s="709">
        <f t="shared" si="10"/>
        <v>0</v>
      </c>
      <c r="Z46" s="709">
        <f t="shared" si="11"/>
        <v>0</v>
      </c>
      <c r="AA46" s="710">
        <f t="shared" si="12"/>
        <v>0</v>
      </c>
    </row>
    <row r="47" spans="1:27">
      <c r="C47" s="637"/>
      <c r="D47" s="449"/>
      <c r="E47" s="692"/>
      <c r="F47" s="692"/>
      <c r="G47" s="692"/>
      <c r="H47" s="692"/>
      <c r="I47" s="692"/>
      <c r="J47" s="688">
        <f>SUM(E47:I47)</f>
        <v>0</v>
      </c>
      <c r="K47" s="673"/>
      <c r="L47" s="453"/>
      <c r="M47" s="454"/>
      <c r="N47" s="341"/>
      <c r="P47" s="990">
        <f t="shared" si="6"/>
        <v>0</v>
      </c>
      <c r="Q47" s="708" t="str">
        <f>IF(ISNA(VLOOKUP(P47,RTB_BudgetOwner_tbl[#All],2,0)),"",VLOOKUP(P47,RTB_BudgetOwner_tbl[#All],2,0))</f>
        <v/>
      </c>
      <c r="R47" s="708" t="s">
        <v>8545</v>
      </c>
      <c r="S47" s="708" t="str">
        <f>IF(ISBLANK(C47),"",C47)</f>
        <v/>
      </c>
      <c r="T47" s="708" t="str">
        <f>IF(ISNA(VLOOKUP(Q47,Miscellaneous!E:F,2,0)),"",VLOOKUP(Q47,Miscellaneous!E:F,2,0))</f>
        <v/>
      </c>
      <c r="U47" s="708" t="s">
        <v>480</v>
      </c>
      <c r="V47" s="709">
        <f t="shared" si="7"/>
        <v>0</v>
      </c>
      <c r="W47" s="709">
        <f t="shared" si="8"/>
        <v>0</v>
      </c>
      <c r="X47" s="709">
        <f t="shared" si="9"/>
        <v>0</v>
      </c>
      <c r="Y47" s="709">
        <f t="shared" si="10"/>
        <v>0</v>
      </c>
      <c r="Z47" s="709">
        <f t="shared" si="11"/>
        <v>0</v>
      </c>
      <c r="AA47" s="710">
        <f t="shared" si="12"/>
        <v>0</v>
      </c>
    </row>
    <row r="48" spans="1:27">
      <c r="C48" s="637"/>
      <c r="D48" s="449"/>
      <c r="E48" s="692"/>
      <c r="F48" s="692"/>
      <c r="G48" s="692"/>
      <c r="H48" s="692"/>
      <c r="I48" s="692"/>
      <c r="J48" s="688">
        <f>SUM(E48:I48)</f>
        <v>0</v>
      </c>
      <c r="K48" s="673"/>
      <c r="L48" s="453"/>
      <c r="M48" s="454"/>
      <c r="N48" s="341"/>
      <c r="P48" s="990">
        <f t="shared" si="6"/>
        <v>0</v>
      </c>
      <c r="Q48" s="708" t="str">
        <f>IF(ISNA(VLOOKUP(P48,RTB_BudgetOwner_tbl[#All],2,0)),"",VLOOKUP(P48,RTB_BudgetOwner_tbl[#All],2,0))</f>
        <v/>
      </c>
      <c r="R48" s="708" t="s">
        <v>8545</v>
      </c>
      <c r="S48" s="708" t="str">
        <f t="shared" ref="S48:S57" si="13">IF(ISBLANK(C48),"",C48)</f>
        <v/>
      </c>
      <c r="T48" s="708" t="str">
        <f>IF(ISNA(VLOOKUP(Q48,Miscellaneous!E:F,2,0)),"",VLOOKUP(Q48,Miscellaneous!E:F,2,0))</f>
        <v/>
      </c>
      <c r="U48" s="708" t="s">
        <v>480</v>
      </c>
      <c r="V48" s="709">
        <f t="shared" si="7"/>
        <v>0</v>
      </c>
      <c r="W48" s="709">
        <f t="shared" si="8"/>
        <v>0</v>
      </c>
      <c r="X48" s="709">
        <f t="shared" si="9"/>
        <v>0</v>
      </c>
      <c r="Y48" s="709">
        <f t="shared" si="10"/>
        <v>0</v>
      </c>
      <c r="Z48" s="709">
        <f t="shared" si="11"/>
        <v>0</v>
      </c>
      <c r="AA48" s="710">
        <f t="shared" si="12"/>
        <v>0</v>
      </c>
    </row>
    <row r="49" spans="3:49">
      <c r="C49" s="449"/>
      <c r="D49" s="449"/>
      <c r="E49" s="692"/>
      <c r="F49" s="692"/>
      <c r="G49" s="692"/>
      <c r="H49" s="692"/>
      <c r="I49" s="692"/>
      <c r="J49" s="688">
        <f t="shared" si="3"/>
        <v>0</v>
      </c>
      <c r="K49" s="673"/>
      <c r="L49" s="451"/>
      <c r="M49" s="452"/>
      <c r="N49" s="341"/>
      <c r="P49" s="990">
        <f t="shared" si="6"/>
        <v>0</v>
      </c>
      <c r="Q49" s="708" t="str">
        <f>IF(ISNA(VLOOKUP(P49,RTB_BudgetOwner_tbl[#All],2,0)),"",VLOOKUP(P49,RTB_BudgetOwner_tbl[#All],2,0))</f>
        <v/>
      </c>
      <c r="R49" s="708" t="s">
        <v>8545</v>
      </c>
      <c r="S49" s="708" t="str">
        <f t="shared" si="13"/>
        <v/>
      </c>
      <c r="T49" s="708" t="str">
        <f>IF(ISNA(VLOOKUP(Q49,Miscellaneous!E:F,2,0)),"",VLOOKUP(Q49,Miscellaneous!E:F,2,0))</f>
        <v/>
      </c>
      <c r="U49" s="708" t="s">
        <v>480</v>
      </c>
      <c r="V49" s="709">
        <f t="shared" si="7"/>
        <v>0</v>
      </c>
      <c r="W49" s="709">
        <f t="shared" si="8"/>
        <v>0</v>
      </c>
      <c r="X49" s="709">
        <f t="shared" si="9"/>
        <v>0</v>
      </c>
      <c r="Y49" s="709">
        <f t="shared" si="10"/>
        <v>0</v>
      </c>
      <c r="Z49" s="709">
        <f t="shared" si="11"/>
        <v>0</v>
      </c>
      <c r="AA49" s="710">
        <f t="shared" si="12"/>
        <v>0</v>
      </c>
    </row>
    <row r="50" spans="3:49">
      <c r="C50" s="449"/>
      <c r="D50" s="449"/>
      <c r="E50" s="692"/>
      <c r="F50" s="692"/>
      <c r="G50" s="692"/>
      <c r="H50" s="692"/>
      <c r="I50" s="692"/>
      <c r="J50" s="688">
        <f t="shared" si="3"/>
        <v>0</v>
      </c>
      <c r="K50" s="673"/>
      <c r="L50" s="451"/>
      <c r="M50" s="452"/>
      <c r="N50" s="341"/>
      <c r="P50" s="990">
        <f t="shared" si="6"/>
        <v>0</v>
      </c>
      <c r="Q50" s="708" t="str">
        <f>IF(ISNA(VLOOKUP(P50,RTB_BudgetOwner_tbl[#All],2,0)),"",VLOOKUP(P50,RTB_BudgetOwner_tbl[#All],2,0))</f>
        <v/>
      </c>
      <c r="R50" s="708" t="s">
        <v>8545</v>
      </c>
      <c r="S50" s="708" t="str">
        <f t="shared" si="13"/>
        <v/>
      </c>
      <c r="T50" s="708" t="str">
        <f>IF(ISNA(VLOOKUP(Q50,Miscellaneous!E:F,2,0)),"",VLOOKUP(Q50,Miscellaneous!E:F,2,0))</f>
        <v/>
      </c>
      <c r="U50" s="708" t="s">
        <v>480</v>
      </c>
      <c r="V50" s="709">
        <f t="shared" si="7"/>
        <v>0</v>
      </c>
      <c r="W50" s="709">
        <f t="shared" si="8"/>
        <v>0</v>
      </c>
      <c r="X50" s="709">
        <f t="shared" si="9"/>
        <v>0</v>
      </c>
      <c r="Y50" s="709">
        <f t="shared" si="10"/>
        <v>0</v>
      </c>
      <c r="Z50" s="709">
        <f t="shared" si="11"/>
        <v>0</v>
      </c>
      <c r="AA50" s="710">
        <f t="shared" si="12"/>
        <v>0</v>
      </c>
    </row>
    <row r="51" spans="3:49">
      <c r="C51" s="449"/>
      <c r="D51" s="449"/>
      <c r="E51" s="692"/>
      <c r="F51" s="692"/>
      <c r="G51" s="692"/>
      <c r="H51" s="692"/>
      <c r="I51" s="692"/>
      <c r="J51" s="688">
        <f t="shared" si="3"/>
        <v>0</v>
      </c>
      <c r="K51" s="673"/>
      <c r="L51" s="451"/>
      <c r="M51" s="452"/>
      <c r="N51" s="341"/>
      <c r="P51" s="990">
        <f t="shared" si="6"/>
        <v>0</v>
      </c>
      <c r="Q51" s="708" t="str">
        <f>IF(ISNA(VLOOKUP(P51,RTB_BudgetOwner_tbl[#All],2,0)),"",VLOOKUP(P51,RTB_BudgetOwner_tbl[#All],2,0))</f>
        <v/>
      </c>
      <c r="R51" s="708" t="s">
        <v>8545</v>
      </c>
      <c r="S51" s="708" t="str">
        <f t="shared" si="13"/>
        <v/>
      </c>
      <c r="T51" s="708" t="str">
        <f>IF(ISNA(VLOOKUP(Q51,Miscellaneous!E:F,2,0)),"",VLOOKUP(Q51,Miscellaneous!E:F,2,0))</f>
        <v/>
      </c>
      <c r="U51" s="708" t="s">
        <v>480</v>
      </c>
      <c r="V51" s="709">
        <f t="shared" si="7"/>
        <v>0</v>
      </c>
      <c r="W51" s="709">
        <f t="shared" si="8"/>
        <v>0</v>
      </c>
      <c r="X51" s="709">
        <f t="shared" si="9"/>
        <v>0</v>
      </c>
      <c r="Y51" s="709">
        <f t="shared" si="10"/>
        <v>0</v>
      </c>
      <c r="Z51" s="709">
        <f t="shared" si="11"/>
        <v>0</v>
      </c>
      <c r="AA51" s="710">
        <f t="shared" si="12"/>
        <v>0</v>
      </c>
    </row>
    <row r="52" spans="3:49">
      <c r="C52" s="449"/>
      <c r="D52" s="449"/>
      <c r="E52" s="692"/>
      <c r="F52" s="692"/>
      <c r="G52" s="692"/>
      <c r="H52" s="692"/>
      <c r="I52" s="692"/>
      <c r="J52" s="688">
        <f t="shared" si="3"/>
        <v>0</v>
      </c>
      <c r="K52" s="673"/>
      <c r="L52" s="451"/>
      <c r="M52" s="452"/>
      <c r="N52" s="341"/>
      <c r="P52" s="990">
        <f t="shared" si="6"/>
        <v>0</v>
      </c>
      <c r="Q52" s="708" t="str">
        <f>IF(ISNA(VLOOKUP(P52,RTB_BudgetOwner_tbl[#All],2,0)),"",VLOOKUP(P52,RTB_BudgetOwner_tbl[#All],2,0))</f>
        <v/>
      </c>
      <c r="R52" s="708" t="s">
        <v>8545</v>
      </c>
      <c r="S52" s="708" t="str">
        <f t="shared" si="13"/>
        <v/>
      </c>
      <c r="T52" s="708" t="str">
        <f>IF(ISNA(VLOOKUP(Q52,Miscellaneous!E:F,2,0)),"",VLOOKUP(Q52,Miscellaneous!E:F,2,0))</f>
        <v/>
      </c>
      <c r="U52" s="708" t="s">
        <v>480</v>
      </c>
      <c r="V52" s="709">
        <f t="shared" si="7"/>
        <v>0</v>
      </c>
      <c r="W52" s="709">
        <f t="shared" si="8"/>
        <v>0</v>
      </c>
      <c r="X52" s="709">
        <f t="shared" si="9"/>
        <v>0</v>
      </c>
      <c r="Y52" s="709">
        <f t="shared" si="10"/>
        <v>0</v>
      </c>
      <c r="Z52" s="709">
        <f t="shared" si="11"/>
        <v>0</v>
      </c>
      <c r="AA52" s="710">
        <f t="shared" si="12"/>
        <v>0</v>
      </c>
    </row>
    <row r="53" spans="3:49">
      <c r="C53" s="637"/>
      <c r="D53" s="449"/>
      <c r="E53" s="690"/>
      <c r="F53" s="690"/>
      <c r="G53" s="690"/>
      <c r="H53" s="690"/>
      <c r="I53" s="690"/>
      <c r="J53" s="689">
        <f t="shared" si="3"/>
        <v>0</v>
      </c>
      <c r="K53" s="673"/>
      <c r="L53" s="451"/>
      <c r="M53" s="452"/>
      <c r="N53" s="341"/>
      <c r="P53" s="990">
        <f t="shared" si="6"/>
        <v>0</v>
      </c>
      <c r="Q53" s="708" t="str">
        <f>IF(ISNA(VLOOKUP(P53,RTB_BudgetOwner_tbl[#All],2,0)),"",VLOOKUP(P53,RTB_BudgetOwner_tbl[#All],2,0))</f>
        <v/>
      </c>
      <c r="R53" s="708" t="s">
        <v>8545</v>
      </c>
      <c r="S53" s="708" t="str">
        <f t="shared" si="13"/>
        <v/>
      </c>
      <c r="T53" s="708" t="str">
        <f>IF(ISNA(VLOOKUP(Q53,Miscellaneous!E:F,2,0)),"",VLOOKUP(Q53,Miscellaneous!E:F,2,0))</f>
        <v/>
      </c>
      <c r="U53" s="708" t="s">
        <v>480</v>
      </c>
      <c r="V53" s="709">
        <f t="shared" si="7"/>
        <v>0</v>
      </c>
      <c r="W53" s="709">
        <f t="shared" si="8"/>
        <v>0</v>
      </c>
      <c r="X53" s="709">
        <f t="shared" si="9"/>
        <v>0</v>
      </c>
      <c r="Y53" s="709">
        <f t="shared" si="10"/>
        <v>0</v>
      </c>
      <c r="Z53" s="709">
        <f t="shared" si="11"/>
        <v>0</v>
      </c>
      <c r="AA53" s="710">
        <f t="shared" si="12"/>
        <v>0</v>
      </c>
    </row>
    <row r="54" spans="3:49">
      <c r="C54" s="638"/>
      <c r="D54" s="449"/>
      <c r="E54" s="690"/>
      <c r="F54" s="690"/>
      <c r="G54" s="690"/>
      <c r="H54" s="690"/>
      <c r="I54" s="690"/>
      <c r="J54" s="689">
        <f t="shared" si="3"/>
        <v>0</v>
      </c>
      <c r="K54" s="673"/>
      <c r="L54" s="451"/>
      <c r="M54" s="452"/>
      <c r="N54" s="341"/>
      <c r="P54" s="990">
        <f t="shared" si="6"/>
        <v>0</v>
      </c>
      <c r="Q54" s="708" t="str">
        <f>IF(ISNA(VLOOKUP(P54,RTB_BudgetOwner_tbl[#All],2,0)),"",VLOOKUP(P54,RTB_BudgetOwner_tbl[#All],2,0))</f>
        <v/>
      </c>
      <c r="R54" s="708" t="s">
        <v>8545</v>
      </c>
      <c r="S54" s="708" t="str">
        <f t="shared" si="13"/>
        <v/>
      </c>
      <c r="T54" s="708" t="str">
        <f>IF(ISNA(VLOOKUP(Q54,Miscellaneous!E:F,2,0)),"",VLOOKUP(Q54,Miscellaneous!E:F,2,0))</f>
        <v/>
      </c>
      <c r="U54" s="708" t="s">
        <v>480</v>
      </c>
      <c r="V54" s="709">
        <f t="shared" si="7"/>
        <v>0</v>
      </c>
      <c r="W54" s="709">
        <f t="shared" si="8"/>
        <v>0</v>
      </c>
      <c r="X54" s="709">
        <f t="shared" si="9"/>
        <v>0</v>
      </c>
      <c r="Y54" s="709">
        <f t="shared" si="10"/>
        <v>0</v>
      </c>
      <c r="Z54" s="709">
        <f t="shared" si="11"/>
        <v>0</v>
      </c>
      <c r="AA54" s="710">
        <f t="shared" si="12"/>
        <v>0</v>
      </c>
    </row>
    <row r="55" spans="3:49">
      <c r="C55" s="638"/>
      <c r="D55" s="449"/>
      <c r="E55" s="690"/>
      <c r="F55" s="690"/>
      <c r="G55" s="690"/>
      <c r="H55" s="690"/>
      <c r="I55" s="690"/>
      <c r="J55" s="689">
        <f t="shared" si="3"/>
        <v>0</v>
      </c>
      <c r="K55" s="673"/>
      <c r="L55" s="451"/>
      <c r="M55" s="452"/>
      <c r="N55" s="341"/>
      <c r="P55" s="990">
        <f t="shared" si="6"/>
        <v>0</v>
      </c>
      <c r="Q55" s="708" t="str">
        <f>IF(ISNA(VLOOKUP(P55,RTB_BudgetOwner_tbl[#All],2,0)),"",VLOOKUP(P55,RTB_BudgetOwner_tbl[#All],2,0))</f>
        <v/>
      </c>
      <c r="R55" s="708" t="s">
        <v>8545</v>
      </c>
      <c r="S55" s="708" t="str">
        <f t="shared" si="13"/>
        <v/>
      </c>
      <c r="T55" s="708" t="str">
        <f>IF(ISNA(VLOOKUP(Q55,Miscellaneous!E:F,2,0)),"",VLOOKUP(Q55,Miscellaneous!E:F,2,0))</f>
        <v/>
      </c>
      <c r="U55" s="708" t="s">
        <v>480</v>
      </c>
      <c r="V55" s="709">
        <f t="shared" si="7"/>
        <v>0</v>
      </c>
      <c r="W55" s="709">
        <f t="shared" si="8"/>
        <v>0</v>
      </c>
      <c r="X55" s="709">
        <f t="shared" si="9"/>
        <v>0</v>
      </c>
      <c r="Y55" s="709">
        <f t="shared" si="10"/>
        <v>0</v>
      </c>
      <c r="Z55" s="709">
        <f t="shared" si="11"/>
        <v>0</v>
      </c>
      <c r="AA55" s="710">
        <f t="shared" si="12"/>
        <v>0</v>
      </c>
    </row>
    <row r="56" spans="3:49">
      <c r="C56" s="638"/>
      <c r="D56" s="449"/>
      <c r="E56" s="690"/>
      <c r="F56" s="690"/>
      <c r="G56" s="690"/>
      <c r="H56" s="690"/>
      <c r="I56" s="690"/>
      <c r="J56" s="689">
        <f t="shared" si="3"/>
        <v>0</v>
      </c>
      <c r="K56" s="673"/>
      <c r="L56" s="451"/>
      <c r="M56" s="452"/>
      <c r="N56" s="341"/>
      <c r="P56" s="990">
        <f t="shared" si="6"/>
        <v>0</v>
      </c>
      <c r="Q56" s="708" t="str">
        <f>IF(ISNA(VLOOKUP(P56,RTB_BudgetOwner_tbl[#All],2,0)),"",VLOOKUP(P56,RTB_BudgetOwner_tbl[#All],2,0))</f>
        <v/>
      </c>
      <c r="R56" s="708" t="s">
        <v>8545</v>
      </c>
      <c r="S56" s="708" t="str">
        <f t="shared" si="13"/>
        <v/>
      </c>
      <c r="T56" s="708" t="str">
        <f>IF(ISNA(VLOOKUP(Q56,Miscellaneous!E:F,2,0)),"",VLOOKUP(Q56,Miscellaneous!E:F,2,0))</f>
        <v/>
      </c>
      <c r="U56" s="708" t="s">
        <v>480</v>
      </c>
      <c r="V56" s="709">
        <f t="shared" si="7"/>
        <v>0</v>
      </c>
      <c r="W56" s="709">
        <f t="shared" si="8"/>
        <v>0</v>
      </c>
      <c r="X56" s="709">
        <f t="shared" si="9"/>
        <v>0</v>
      </c>
      <c r="Y56" s="709">
        <f t="shared" si="10"/>
        <v>0</v>
      </c>
      <c r="Z56" s="709">
        <f t="shared" si="11"/>
        <v>0</v>
      </c>
      <c r="AA56" s="710">
        <f t="shared" si="12"/>
        <v>0</v>
      </c>
    </row>
    <row r="57" spans="3:49" ht="15" thickBot="1">
      <c r="C57" s="638"/>
      <c r="D57" s="449"/>
      <c r="E57" s="690"/>
      <c r="F57" s="690"/>
      <c r="G57" s="690"/>
      <c r="H57" s="690"/>
      <c r="I57" s="690"/>
      <c r="J57" s="689">
        <f t="shared" si="3"/>
        <v>0</v>
      </c>
      <c r="K57" s="673"/>
      <c r="L57" s="451"/>
      <c r="M57" s="452"/>
      <c r="N57" s="341"/>
      <c r="P57" s="990">
        <f>K60</f>
        <v>0</v>
      </c>
      <c r="Q57" s="708" t="str">
        <f>IF(ISNA(VLOOKUP(P57,RTB_BudgetOwner_tbl[#All],2,0)),"",VLOOKUP(P57,RTB_BudgetOwner_tbl[#All],2,0))</f>
        <v/>
      </c>
      <c r="R57" s="708" t="s">
        <v>8545</v>
      </c>
      <c r="S57" s="708" t="str">
        <f t="shared" si="13"/>
        <v/>
      </c>
      <c r="T57" s="708" t="str">
        <f>IF(ISNA(VLOOKUP(Q57,Miscellaneous!E:F,2,0)),"",VLOOKUP(Q57,Miscellaneous!E:F,2,0))</f>
        <v/>
      </c>
      <c r="U57" s="708" t="s">
        <v>480</v>
      </c>
      <c r="V57" s="709">
        <f t="shared" si="7"/>
        <v>0</v>
      </c>
      <c r="W57" s="709">
        <f t="shared" si="8"/>
        <v>0</v>
      </c>
      <c r="X57" s="709">
        <f t="shared" si="9"/>
        <v>0</v>
      </c>
      <c r="Y57" s="709">
        <f t="shared" si="10"/>
        <v>0</v>
      </c>
      <c r="Z57" s="709">
        <f t="shared" si="11"/>
        <v>0</v>
      </c>
      <c r="AA57" s="710">
        <f t="shared" si="12"/>
        <v>0</v>
      </c>
    </row>
    <row r="58" spans="3:49" ht="15" thickTop="1">
      <c r="C58" s="639" t="s">
        <v>8462</v>
      </c>
      <c r="D58" s="331"/>
      <c r="E58" s="693">
        <f>SUM(E24:E57)-E59</f>
        <v>0</v>
      </c>
      <c r="F58" s="693">
        <f>SUM(F24:F57)-F59</f>
        <v>0</v>
      </c>
      <c r="G58" s="693">
        <f>SUM(G24:G57)-G59</f>
        <v>0</v>
      </c>
      <c r="H58" s="693">
        <f>SUM(H24:H57)-H59</f>
        <v>0</v>
      </c>
      <c r="I58" s="693">
        <f>SUM(I24:I57)-I59</f>
        <v>0</v>
      </c>
      <c r="J58" s="688">
        <f t="shared" si="3"/>
        <v>0</v>
      </c>
      <c r="K58" s="103"/>
      <c r="L58" s="104"/>
      <c r="M58" s="105"/>
      <c r="N58" s="341"/>
      <c r="P58" s="723" t="s">
        <v>18</v>
      </c>
      <c r="Q58" s="711"/>
      <c r="R58" s="711"/>
      <c r="S58" s="711"/>
      <c r="T58" s="711"/>
      <c r="U58" s="711"/>
      <c r="V58" s="712">
        <f>SUBTOTAL(9,'RTB for Srvc Trans'!V$24:V$57)</f>
        <v>0</v>
      </c>
      <c r="W58" s="712">
        <f>SUBTOTAL(9,'RTB for Srvc Trans'!W$24:W$57)</f>
        <v>0</v>
      </c>
      <c r="X58" s="712">
        <f>SUBTOTAL(9,'RTB for Srvc Trans'!X$24:X$57)</f>
        <v>0</v>
      </c>
      <c r="Y58" s="712">
        <f>SUBTOTAL(9,'RTB for Srvc Trans'!Y$24:Y$57)</f>
        <v>0</v>
      </c>
      <c r="Z58" s="712">
        <f>SUBTOTAL(9,'RTB for Srvc Trans'!Z$24:Z$57)</f>
        <v>0</v>
      </c>
      <c r="AA58" s="713">
        <f>SUBTOTAL(9,'RTB for Srvc Trans'!AA$24:AA$57)</f>
        <v>0</v>
      </c>
    </row>
    <row r="59" spans="3:49">
      <c r="C59" s="639" t="s">
        <v>34</v>
      </c>
      <c r="D59" s="330"/>
      <c r="E59" s="693">
        <f>SUMIF($K24:$K57,"Bus*",E24:E57)</f>
        <v>0</v>
      </c>
      <c r="F59" s="693">
        <f>SUMIF($K24:$K57,"Bus*",F24:F57)</f>
        <v>0</v>
      </c>
      <c r="G59" s="693">
        <f>SUMIF($K24:$K57,"Bus*",G24:G57)</f>
        <v>0</v>
      </c>
      <c r="H59" s="693">
        <f>SUMIF($K24:$K57,"Bus*",H24:H57)</f>
        <v>0</v>
      </c>
      <c r="I59" s="693">
        <f>SUMIF($K24:$K57,"Bus*",I24:I57)</f>
        <v>0</v>
      </c>
      <c r="J59" s="688">
        <f t="shared" si="3"/>
        <v>0</v>
      </c>
      <c r="K59" s="103"/>
      <c r="L59" s="104"/>
      <c r="M59" s="105"/>
    </row>
    <row r="60" spans="3:49">
      <c r="C60" s="639" t="s">
        <v>35</v>
      </c>
      <c r="D60" s="330"/>
      <c r="E60" s="693">
        <f>SUM(E58:E59)</f>
        <v>0</v>
      </c>
      <c r="F60" s="693">
        <f>SUM(F58:F59)</f>
        <v>0</v>
      </c>
      <c r="G60" s="693">
        <f>SUM(G58:G59)</f>
        <v>0</v>
      </c>
      <c r="H60" s="693">
        <f>SUM(H58:H59)</f>
        <v>0</v>
      </c>
      <c r="I60" s="693">
        <f>SUM(I58:I59)</f>
        <v>0</v>
      </c>
      <c r="J60" s="688">
        <f t="shared" si="3"/>
        <v>0</v>
      </c>
      <c r="K60" s="103"/>
      <c r="L60" s="104"/>
      <c r="M60" s="105"/>
    </row>
    <row r="61" spans="3:49" ht="15" thickBot="1">
      <c r="C61" s="640"/>
      <c r="D61" s="332"/>
      <c r="E61" s="83"/>
      <c r="F61" s="83"/>
      <c r="G61" s="83"/>
      <c r="H61" s="83"/>
      <c r="I61" s="83"/>
      <c r="J61" s="84"/>
      <c r="K61" s="85"/>
      <c r="L61" s="86"/>
      <c r="M61" s="87"/>
    </row>
    <row r="62" spans="3:49" ht="39" customHeight="1" thickBot="1">
      <c r="C62" s="1607" t="s">
        <v>36</v>
      </c>
      <c r="D62" s="1608"/>
      <c r="E62" s="1608"/>
      <c r="F62" s="1608"/>
      <c r="G62" s="1608"/>
      <c r="H62" s="1608"/>
      <c r="I62" s="1608"/>
      <c r="J62" s="1608"/>
      <c r="K62" s="1608"/>
      <c r="L62" s="1608"/>
      <c r="M62" s="1609"/>
      <c r="P62" s="861" t="str">
        <f>CONCATENATE("Reduced RTB Summary (",Variables!$C$4,"M)")</f>
        <v>Reduced RTB Summary ($M)</v>
      </c>
    </row>
    <row r="63" spans="3:49">
      <c r="C63" s="1000" t="str">
        <f>CONCATENATE("All figures in exact amounts (",Variables!$C$4,")")</f>
        <v>All figures in exact amounts ($)</v>
      </c>
      <c r="D63" s="360"/>
      <c r="E63" s="88" t="s">
        <v>26</v>
      </c>
      <c r="F63" s="88" t="s">
        <v>27</v>
      </c>
      <c r="G63" s="88" t="s">
        <v>28</v>
      </c>
      <c r="H63" s="88" t="s">
        <v>29</v>
      </c>
      <c r="I63" s="88" t="s">
        <v>30</v>
      </c>
      <c r="J63" s="89"/>
      <c r="K63" s="90"/>
      <c r="L63" s="90"/>
      <c r="M63" s="457"/>
    </row>
    <row r="64" spans="3:49">
      <c r="C64" s="641" t="s">
        <v>131</v>
      </c>
      <c r="D64" s="360" t="s">
        <v>16</v>
      </c>
      <c r="E64" s="88" t="str">
        <f>D6</f>
        <v>FY 22</v>
      </c>
      <c r="F64" s="90" t="str">
        <f>E6</f>
        <v>FY 23</v>
      </c>
      <c r="G64" s="90" t="str">
        <f>F6</f>
        <v>FY 24</v>
      </c>
      <c r="H64" s="90" t="str">
        <f>G6</f>
        <v>FY 25</v>
      </c>
      <c r="I64" s="90" t="str">
        <f>H6</f>
        <v>FY 26</v>
      </c>
      <c r="J64" s="89" t="s">
        <v>18</v>
      </c>
      <c r="K64" s="90" t="s">
        <v>8441</v>
      </c>
      <c r="L64" s="90" t="s">
        <v>283</v>
      </c>
      <c r="M64" s="458" t="s">
        <v>32</v>
      </c>
      <c r="P64" s="717" t="s">
        <v>8444</v>
      </c>
      <c r="Q64" s="718" t="s">
        <v>8454</v>
      </c>
      <c r="R64" s="718" t="s">
        <v>8431</v>
      </c>
      <c r="S64" s="718" t="s">
        <v>226</v>
      </c>
      <c r="T64" s="719" t="str">
        <f>E64</f>
        <v>FY 22</v>
      </c>
      <c r="U64" s="719" t="str">
        <f>F64</f>
        <v>FY 23</v>
      </c>
      <c r="V64" s="719" t="str">
        <f>G64</f>
        <v>FY 24</v>
      </c>
      <c r="W64" s="719" t="str">
        <f>H64</f>
        <v>FY 25</v>
      </c>
      <c r="X64" s="719" t="str">
        <f>I64</f>
        <v>FY 26</v>
      </c>
      <c r="Y64" s="720" t="s">
        <v>18</v>
      </c>
      <c r="AB64"/>
      <c r="AC64"/>
      <c r="AD64"/>
      <c r="AE64"/>
      <c r="AF64"/>
      <c r="AG64"/>
      <c r="AH64"/>
      <c r="AI64"/>
      <c r="AJ64"/>
      <c r="AK64"/>
      <c r="AL64"/>
      <c r="AM64"/>
      <c r="AN64"/>
      <c r="AO64"/>
      <c r="AP64"/>
      <c r="AQ64"/>
      <c r="AR64"/>
      <c r="AS64"/>
      <c r="AT64"/>
      <c r="AU64"/>
      <c r="AV64"/>
      <c r="AW64"/>
    </row>
    <row r="65" spans="1:49">
      <c r="A65" s="345" t="s">
        <v>16</v>
      </c>
      <c r="C65" s="642" t="s">
        <v>265</v>
      </c>
      <c r="D65" s="334" t="s">
        <v>12</v>
      </c>
      <c r="E65" s="681"/>
      <c r="F65" s="681"/>
      <c r="G65" s="681"/>
      <c r="H65" s="681"/>
      <c r="I65" s="681"/>
      <c r="J65" s="682">
        <f t="shared" ref="J65:J80" si="14">SUM(E65:I65)</f>
        <v>0</v>
      </c>
      <c r="K65" s="673"/>
      <c r="L65" s="451"/>
      <c r="M65" s="452"/>
      <c r="P65" s="721" t="s">
        <v>8437</v>
      </c>
      <c r="Q65" s="708" t="str">
        <f>VLOOKUP(P65,RTB_BudgetOwner_tbl[#All],2,0)</f>
        <v>Infra_Operations</v>
      </c>
      <c r="R65" s="708" t="str">
        <f>VLOOKUP(Q65,Miscellaneous!E:F,2,0)</f>
        <v>Shannon Soland</v>
      </c>
      <c r="S65" s="708" t="s">
        <v>480</v>
      </c>
      <c r="T65" s="709">
        <f t="shared" ref="T65:T74" si="15">SUMIF($K$65:$K$98,$P65,E$65:E$98)</f>
        <v>0</v>
      </c>
      <c r="U65" s="709">
        <f t="shared" ref="U65:U74" si="16">SUMIF($K$65:$K$98,$P65,F$65:F$98)</f>
        <v>0</v>
      </c>
      <c r="V65" s="709">
        <f t="shared" ref="V65:V74" si="17">SUMIF($K$65:$K$98,$P65,G$65:G$98)</f>
        <v>0</v>
      </c>
      <c r="W65" s="709">
        <f t="shared" ref="W65:W74" si="18">SUMIF($K$65:$K$98,$P65,H$65:H$98)</f>
        <v>0</v>
      </c>
      <c r="X65" s="709">
        <f t="shared" ref="X65:X74" si="19">SUMIF($K$65:$K$98,$P65,I$65:I$98)</f>
        <v>0</v>
      </c>
      <c r="Y65" s="710">
        <f>SUM(T65:X65)</f>
        <v>0</v>
      </c>
      <c r="AB65"/>
      <c r="AC65"/>
      <c r="AD65"/>
      <c r="AE65"/>
      <c r="AF65"/>
      <c r="AG65"/>
      <c r="AH65"/>
      <c r="AI65"/>
      <c r="AJ65"/>
      <c r="AK65"/>
      <c r="AL65"/>
      <c r="AM65"/>
      <c r="AN65"/>
      <c r="AO65"/>
      <c r="AP65"/>
      <c r="AQ65"/>
      <c r="AR65"/>
      <c r="AS65"/>
      <c r="AT65"/>
      <c r="AU65"/>
      <c r="AV65"/>
      <c r="AW65"/>
    </row>
    <row r="66" spans="1:49">
      <c r="A66" s="349" t="b">
        <f>IF(COUNTIFS(J$65:J$98,"&lt;&gt;0",D$65:D$98,"")=0,TRUE,FALSE)</f>
        <v>1</v>
      </c>
      <c r="C66" s="642" t="s">
        <v>8450</v>
      </c>
      <c r="D66" s="336" t="s">
        <v>203</v>
      </c>
      <c r="E66" s="681"/>
      <c r="F66" s="681"/>
      <c r="G66" s="681"/>
      <c r="H66" s="681"/>
      <c r="I66" s="681"/>
      <c r="J66" s="682">
        <f t="shared" si="14"/>
        <v>0</v>
      </c>
      <c r="K66" s="673"/>
      <c r="L66" s="451"/>
      <c r="M66" s="452"/>
      <c r="P66" s="721" t="s">
        <v>8438</v>
      </c>
      <c r="Q66" s="708" t="str">
        <f>VLOOKUP(P66,RTB_BudgetOwner_tbl[#All],2,0)</f>
        <v>Infra_Operations</v>
      </c>
      <c r="R66" s="708" t="str">
        <f>VLOOKUP(Q66,Miscellaneous!E:F,2,0)</f>
        <v>Shannon Soland</v>
      </c>
      <c r="S66" s="708" t="s">
        <v>480</v>
      </c>
      <c r="T66" s="709">
        <f t="shared" si="15"/>
        <v>0</v>
      </c>
      <c r="U66" s="709">
        <f t="shared" si="16"/>
        <v>0</v>
      </c>
      <c r="V66" s="709">
        <f t="shared" si="17"/>
        <v>0</v>
      </c>
      <c r="W66" s="709">
        <f t="shared" si="18"/>
        <v>0</v>
      </c>
      <c r="X66" s="709">
        <f t="shared" si="19"/>
        <v>0</v>
      </c>
      <c r="Y66" s="710">
        <f t="shared" ref="Y66:Y74" si="20">SUM(T66:X66)</f>
        <v>0</v>
      </c>
      <c r="AB66"/>
      <c r="AC66"/>
      <c r="AD66"/>
      <c r="AE66"/>
      <c r="AF66"/>
      <c r="AG66"/>
      <c r="AH66"/>
      <c r="AI66"/>
      <c r="AJ66"/>
      <c r="AK66"/>
      <c r="AL66"/>
      <c r="AM66"/>
      <c r="AN66"/>
      <c r="AO66"/>
      <c r="AP66"/>
      <c r="AQ66"/>
      <c r="AR66"/>
      <c r="AS66"/>
      <c r="AT66"/>
      <c r="AU66"/>
      <c r="AV66"/>
      <c r="AW66"/>
    </row>
    <row r="67" spans="1:49">
      <c r="A67" s="346"/>
      <c r="C67" s="642" t="s">
        <v>8448</v>
      </c>
      <c r="D67" s="674" t="s">
        <v>8446</v>
      </c>
      <c r="E67" s="681"/>
      <c r="F67" s="681"/>
      <c r="G67" s="681"/>
      <c r="H67" s="681"/>
      <c r="I67" s="681"/>
      <c r="J67" s="682">
        <f t="shared" ref="J67:J68" si="21">SUM(E67:I67)</f>
        <v>0</v>
      </c>
      <c r="K67" s="673"/>
      <c r="L67" s="451"/>
      <c r="M67" s="452"/>
      <c r="P67" s="721" t="s">
        <v>8439</v>
      </c>
      <c r="Q67" s="708" t="str">
        <f>VLOOKUP(P67,RTB_BudgetOwner_tbl[#All],2,0)</f>
        <v>Infra_Operations</v>
      </c>
      <c r="R67" s="708" t="str">
        <f>VLOOKUP(Q67,Miscellaneous!E:F,2,0)</f>
        <v>Shannon Soland</v>
      </c>
      <c r="S67" s="708" t="s">
        <v>480</v>
      </c>
      <c r="T67" s="709">
        <f t="shared" si="15"/>
        <v>0</v>
      </c>
      <c r="U67" s="709">
        <f t="shared" si="16"/>
        <v>0</v>
      </c>
      <c r="V67" s="709">
        <f t="shared" si="17"/>
        <v>0</v>
      </c>
      <c r="W67" s="709">
        <f t="shared" si="18"/>
        <v>0</v>
      </c>
      <c r="X67" s="709">
        <f t="shared" si="19"/>
        <v>0</v>
      </c>
      <c r="Y67" s="710">
        <f t="shared" si="20"/>
        <v>0</v>
      </c>
      <c r="AB67"/>
      <c r="AC67"/>
      <c r="AD67"/>
      <c r="AE67"/>
      <c r="AF67"/>
      <c r="AG67"/>
      <c r="AH67"/>
      <c r="AI67"/>
      <c r="AJ67"/>
      <c r="AK67"/>
      <c r="AL67"/>
      <c r="AM67"/>
      <c r="AN67"/>
      <c r="AO67"/>
      <c r="AP67"/>
      <c r="AQ67"/>
      <c r="AR67"/>
      <c r="AS67"/>
      <c r="AT67"/>
      <c r="AU67"/>
      <c r="AV67"/>
      <c r="AW67"/>
    </row>
    <row r="68" spans="1:49">
      <c r="A68" s="345" t="s">
        <v>8441</v>
      </c>
      <c r="C68" s="642" t="s">
        <v>8449</v>
      </c>
      <c r="D68" s="674" t="s">
        <v>8447</v>
      </c>
      <c r="E68" s="681"/>
      <c r="F68" s="681"/>
      <c r="G68" s="681"/>
      <c r="H68" s="681"/>
      <c r="I68" s="681"/>
      <c r="J68" s="682">
        <f t="shared" si="21"/>
        <v>0</v>
      </c>
      <c r="K68" s="673"/>
      <c r="L68" s="451"/>
      <c r="M68" s="452"/>
      <c r="P68" s="721" t="s">
        <v>8440</v>
      </c>
      <c r="Q68" s="708" t="str">
        <f>VLOOKUP(P68,RTB_BudgetOwner_tbl[#All],2,0)</f>
        <v>Infra_Operations</v>
      </c>
      <c r="R68" s="708" t="str">
        <f>VLOOKUP(Q68,Miscellaneous!E:F,2,0)</f>
        <v>Shannon Soland</v>
      </c>
      <c r="S68" s="708" t="s">
        <v>480</v>
      </c>
      <c r="T68" s="709">
        <f t="shared" si="15"/>
        <v>0</v>
      </c>
      <c r="U68" s="709">
        <f t="shared" si="16"/>
        <v>0</v>
      </c>
      <c r="V68" s="709">
        <f t="shared" si="17"/>
        <v>0</v>
      </c>
      <c r="W68" s="709">
        <f t="shared" si="18"/>
        <v>0</v>
      </c>
      <c r="X68" s="709">
        <f t="shared" si="19"/>
        <v>0</v>
      </c>
      <c r="Y68" s="710">
        <f t="shared" si="20"/>
        <v>0</v>
      </c>
      <c r="AB68"/>
      <c r="AC68"/>
      <c r="AD68"/>
      <c r="AE68"/>
      <c r="AF68"/>
      <c r="AG68"/>
      <c r="AH68"/>
      <c r="AI68"/>
      <c r="AJ68"/>
      <c r="AK68"/>
      <c r="AL68"/>
      <c r="AM68"/>
      <c r="AN68"/>
      <c r="AO68"/>
      <c r="AP68"/>
      <c r="AQ68"/>
      <c r="AR68"/>
      <c r="AS68"/>
      <c r="AT68"/>
      <c r="AU68"/>
      <c r="AV68"/>
      <c r="AW68"/>
    </row>
    <row r="69" spans="1:49">
      <c r="A69" s="349" t="b">
        <f>IF(COUNTIF(J$65:J$98,"&lt;&gt;0")=COUNTA(K$65:K$98),TRUE,FALSE)</f>
        <v>1</v>
      </c>
      <c r="C69" s="635" t="s">
        <v>266</v>
      </c>
      <c r="D69" s="449"/>
      <c r="E69" s="681"/>
      <c r="F69" s="681"/>
      <c r="G69" s="681"/>
      <c r="H69" s="681"/>
      <c r="I69" s="681"/>
      <c r="J69" s="682">
        <f t="shared" si="14"/>
        <v>0</v>
      </c>
      <c r="K69" s="673"/>
      <c r="L69" s="451"/>
      <c r="M69" s="452"/>
      <c r="P69" s="722" t="s">
        <v>8436</v>
      </c>
      <c r="Q69" s="708" t="str">
        <f>VLOOKUP(P69,RTB_BudgetOwner_tbl[#All],2,0)</f>
        <v>Software</v>
      </c>
      <c r="R69" s="708" t="str">
        <f>VLOOKUP(Q69,Miscellaneous!E:F,2,0)</f>
        <v>John Conley</v>
      </c>
      <c r="S69" s="708" t="s">
        <v>480</v>
      </c>
      <c r="T69" s="709">
        <f t="shared" si="15"/>
        <v>0</v>
      </c>
      <c r="U69" s="709">
        <f t="shared" si="16"/>
        <v>0</v>
      </c>
      <c r="V69" s="709">
        <f t="shared" si="17"/>
        <v>0</v>
      </c>
      <c r="W69" s="709">
        <f t="shared" si="18"/>
        <v>0</v>
      </c>
      <c r="X69" s="709">
        <f t="shared" si="19"/>
        <v>0</v>
      </c>
      <c r="Y69" s="710">
        <f t="shared" si="20"/>
        <v>0</v>
      </c>
      <c r="AB69"/>
      <c r="AC69"/>
      <c r="AD69"/>
      <c r="AE69"/>
      <c r="AF69"/>
      <c r="AG69"/>
      <c r="AH69"/>
      <c r="AI69"/>
      <c r="AJ69"/>
      <c r="AK69"/>
      <c r="AL69"/>
      <c r="AM69"/>
      <c r="AN69"/>
      <c r="AO69"/>
      <c r="AP69"/>
      <c r="AQ69"/>
      <c r="AR69"/>
      <c r="AS69"/>
      <c r="AT69"/>
      <c r="AU69"/>
      <c r="AV69"/>
      <c r="AW69"/>
    </row>
    <row r="70" spans="1:49">
      <c r="C70" s="635" t="s">
        <v>267</v>
      </c>
      <c r="D70" s="334" t="s">
        <v>8507</v>
      </c>
      <c r="E70" s="681"/>
      <c r="F70" s="681"/>
      <c r="G70" s="681"/>
      <c r="H70" s="681"/>
      <c r="I70" s="681"/>
      <c r="J70" s="683">
        <f t="shared" si="14"/>
        <v>0</v>
      </c>
      <c r="K70" s="673"/>
      <c r="L70" s="451"/>
      <c r="M70" s="452"/>
      <c r="P70" s="722" t="s">
        <v>8435</v>
      </c>
      <c r="Q70" s="708" t="str">
        <f>VLOOKUP(P70,RTB_BudgetOwner_tbl[#All],2,0)</f>
        <v>Security</v>
      </c>
      <c r="R70" s="708" t="str">
        <f>VLOOKUP(Q70,Miscellaneous!E:F,2,0)</f>
        <v xml:space="preserve">Simon Jenner </v>
      </c>
      <c r="S70" s="708" t="s">
        <v>480</v>
      </c>
      <c r="T70" s="709">
        <f t="shared" si="15"/>
        <v>0</v>
      </c>
      <c r="U70" s="709">
        <f t="shared" si="16"/>
        <v>0</v>
      </c>
      <c r="V70" s="709">
        <f t="shared" si="17"/>
        <v>0</v>
      </c>
      <c r="W70" s="709">
        <f t="shared" si="18"/>
        <v>0</v>
      </c>
      <c r="X70" s="709">
        <f t="shared" si="19"/>
        <v>0</v>
      </c>
      <c r="Y70" s="710">
        <f t="shared" si="20"/>
        <v>0</v>
      </c>
      <c r="AB70"/>
      <c r="AC70"/>
      <c r="AD70"/>
      <c r="AE70"/>
      <c r="AF70"/>
      <c r="AG70"/>
      <c r="AH70"/>
      <c r="AI70"/>
      <c r="AJ70"/>
      <c r="AK70"/>
      <c r="AL70"/>
      <c r="AM70"/>
      <c r="AN70"/>
      <c r="AO70"/>
      <c r="AP70"/>
      <c r="AQ70"/>
      <c r="AR70"/>
      <c r="AS70"/>
      <c r="AT70"/>
      <c r="AU70"/>
      <c r="AV70"/>
      <c r="AW70"/>
    </row>
    <row r="71" spans="1:49">
      <c r="A71" s="345" t="s">
        <v>283</v>
      </c>
      <c r="C71" s="642" t="s">
        <v>268</v>
      </c>
      <c r="D71" s="334" t="s">
        <v>33</v>
      </c>
      <c r="E71" s="684"/>
      <c r="F71" s="684"/>
      <c r="G71" s="684"/>
      <c r="H71" s="684"/>
      <c r="I71" s="684"/>
      <c r="J71" s="682">
        <f t="shared" si="14"/>
        <v>0</v>
      </c>
      <c r="K71" s="673"/>
      <c r="L71" s="451"/>
      <c r="M71" s="452"/>
      <c r="P71" s="722" t="s">
        <v>12819</v>
      </c>
      <c r="Q71" s="708" t="str">
        <f>VLOOKUP(P71,RTB_BudgetOwner_tbl[#All],2,0)</f>
        <v>AppDevelopment</v>
      </c>
      <c r="R71" s="708" t="str">
        <f>VLOOKUP(Q71,Miscellaneous!E:F,2,0)</f>
        <v>Narayan Devireddy</v>
      </c>
      <c r="S71" s="708" t="s">
        <v>480</v>
      </c>
      <c r="T71" s="709">
        <f t="shared" ref="T71" si="22">SUMIF($K$65:$K$98,$P71,E$65:E$98)</f>
        <v>0</v>
      </c>
      <c r="U71" s="709">
        <f t="shared" ref="U71" si="23">SUMIF($K$65:$K$98,$P71,F$65:F$98)</f>
        <v>0</v>
      </c>
      <c r="V71" s="709">
        <f t="shared" ref="V71" si="24">SUMIF($K$65:$K$98,$P71,G$65:G$98)</f>
        <v>0</v>
      </c>
      <c r="W71" s="709">
        <f t="shared" ref="W71" si="25">SUMIF($K$65:$K$98,$P71,H$65:H$98)</f>
        <v>0</v>
      </c>
      <c r="X71" s="709">
        <f t="shared" ref="X71" si="26">SUMIF($K$65:$K$98,$P71,I$65:I$98)</f>
        <v>0</v>
      </c>
      <c r="Y71" s="710">
        <f t="shared" ref="Y71" si="27">SUM(T71:X71)</f>
        <v>0</v>
      </c>
      <c r="AB71"/>
      <c r="AC71"/>
      <c r="AD71"/>
      <c r="AE71"/>
      <c r="AF71"/>
      <c r="AG71"/>
      <c r="AH71"/>
      <c r="AI71"/>
      <c r="AJ71"/>
      <c r="AK71"/>
      <c r="AL71"/>
      <c r="AM71"/>
      <c r="AN71"/>
      <c r="AO71"/>
      <c r="AP71"/>
      <c r="AQ71"/>
      <c r="AR71"/>
      <c r="AS71"/>
      <c r="AT71"/>
      <c r="AU71"/>
      <c r="AV71"/>
      <c r="AW71"/>
    </row>
    <row r="72" spans="1:49">
      <c r="A72" s="349" t="b">
        <f>IF(COUNTIF(J$65:J$98,"&lt;&gt;0")=COUNTA(L$65:L$98),TRUE,FALSE)</f>
        <v>1</v>
      </c>
      <c r="C72" s="642" t="s">
        <v>269</v>
      </c>
      <c r="D72" s="449"/>
      <c r="E72" s="681"/>
      <c r="F72" s="681"/>
      <c r="G72" s="681"/>
      <c r="H72" s="681"/>
      <c r="I72" s="681"/>
      <c r="J72" s="682">
        <f t="shared" si="14"/>
        <v>0</v>
      </c>
      <c r="K72" s="673"/>
      <c r="L72" s="451"/>
      <c r="M72" s="452"/>
      <c r="P72" s="722" t="s">
        <v>4738</v>
      </c>
      <c r="Q72" s="708" t="str">
        <f>VLOOKUP(P72,RTB_BudgetOwner_tbl[#All],2,0)</f>
        <v>CNI</v>
      </c>
      <c r="R72" s="708" t="str">
        <f>VLOOKUP(Q72,Miscellaneous!E:F,2,0)</f>
        <v>Steve Olive</v>
      </c>
      <c r="S72" s="708" t="s">
        <v>480</v>
      </c>
      <c r="T72" s="709">
        <f t="shared" si="15"/>
        <v>0</v>
      </c>
      <c r="U72" s="709">
        <f t="shared" si="16"/>
        <v>0</v>
      </c>
      <c r="V72" s="709">
        <f t="shared" si="17"/>
        <v>0</v>
      </c>
      <c r="W72" s="709">
        <f t="shared" si="18"/>
        <v>0</v>
      </c>
      <c r="X72" s="709">
        <f t="shared" si="19"/>
        <v>0</v>
      </c>
      <c r="Y72" s="710">
        <f t="shared" si="20"/>
        <v>0</v>
      </c>
      <c r="AB72"/>
      <c r="AC72"/>
      <c r="AD72"/>
      <c r="AE72"/>
      <c r="AF72"/>
      <c r="AG72"/>
      <c r="AH72"/>
      <c r="AI72"/>
      <c r="AJ72"/>
      <c r="AK72"/>
      <c r="AL72"/>
      <c r="AM72"/>
      <c r="AN72"/>
      <c r="AO72"/>
      <c r="AP72"/>
      <c r="AQ72"/>
      <c r="AR72"/>
      <c r="AS72"/>
      <c r="AT72"/>
      <c r="AU72"/>
      <c r="AV72"/>
      <c r="AW72"/>
    </row>
    <row r="73" spans="1:49">
      <c r="A73" s="347"/>
      <c r="C73" s="642" t="s">
        <v>278</v>
      </c>
      <c r="D73" s="335" t="s">
        <v>12830</v>
      </c>
      <c r="E73" s="681"/>
      <c r="F73" s="681"/>
      <c r="G73" s="681"/>
      <c r="H73" s="681"/>
      <c r="I73" s="681"/>
      <c r="J73" s="682">
        <f t="shared" si="14"/>
        <v>0</v>
      </c>
      <c r="K73" s="673"/>
      <c r="L73" s="451"/>
      <c r="M73" s="452"/>
      <c r="P73" s="722" t="s">
        <v>8809</v>
      </c>
      <c r="Q73" s="708" t="str">
        <f>VLOOKUP("Business",RTB_BudgetOwner_tbl[#All],2,0)</f>
        <v>Business</v>
      </c>
      <c r="R73" s="708" t="str">
        <f>VLOOKUP(Q73,Miscellaneous!E:F,2,0)</f>
        <v>Narayan Devireddy</v>
      </c>
      <c r="S73" s="708" t="s">
        <v>480</v>
      </c>
      <c r="T73" s="709">
        <f>SUMIF($K$65:$K$98,$Q73,E$65:E$98)</f>
        <v>0</v>
      </c>
      <c r="U73" s="709">
        <f>SUMIF($K$65:$K$98,$Q73,F$65:F$98)</f>
        <v>0</v>
      </c>
      <c r="V73" s="709">
        <f>SUMIF($K$65:$K$98,$Q73,G$65:G$98)</f>
        <v>0</v>
      </c>
      <c r="W73" s="709">
        <f>SUMIF($K$65:$K$98,$Q73,H$65:H$98)</f>
        <v>0</v>
      </c>
      <c r="X73" s="709">
        <f>SUMIF($K$65:$K$98,$Q73,I$65:I$98)</f>
        <v>0</v>
      </c>
      <c r="Y73" s="710">
        <f t="shared" si="20"/>
        <v>0</v>
      </c>
      <c r="AB73"/>
      <c r="AC73"/>
      <c r="AD73"/>
      <c r="AE73"/>
      <c r="AF73"/>
      <c r="AG73"/>
      <c r="AH73"/>
      <c r="AI73"/>
      <c r="AJ73"/>
      <c r="AK73"/>
      <c r="AL73"/>
      <c r="AM73"/>
      <c r="AN73"/>
      <c r="AO73"/>
      <c r="AP73"/>
      <c r="AQ73"/>
      <c r="AR73"/>
      <c r="AS73"/>
      <c r="AT73"/>
      <c r="AU73"/>
      <c r="AV73"/>
      <c r="AW73"/>
    </row>
    <row r="74" spans="1:49" ht="15" thickBot="1">
      <c r="A74" s="345" t="s">
        <v>32</v>
      </c>
      <c r="C74" s="642" t="s">
        <v>14956</v>
      </c>
      <c r="D74" s="335" t="s">
        <v>14957</v>
      </c>
      <c r="E74" s="681"/>
      <c r="F74" s="681"/>
      <c r="G74" s="681"/>
      <c r="H74" s="681"/>
      <c r="I74" s="681"/>
      <c r="J74" s="682">
        <f t="shared" si="14"/>
        <v>0</v>
      </c>
      <c r="K74" s="673"/>
      <c r="L74" s="451"/>
      <c r="M74" s="452"/>
      <c r="P74" s="722" t="s">
        <v>13</v>
      </c>
      <c r="Q74" s="708" t="str">
        <f>VLOOKUP(P74,RTB_BudgetOwner_tbl[#All],2,0)</f>
        <v>Other</v>
      </c>
      <c r="R74" s="708" t="str">
        <f>VLOOKUP(Q74,Miscellaneous!E:F,2,0)</f>
        <v>Steve Olive</v>
      </c>
      <c r="S74" s="708" t="s">
        <v>480</v>
      </c>
      <c r="T74" s="709">
        <f t="shared" si="15"/>
        <v>0</v>
      </c>
      <c r="U74" s="709">
        <f t="shared" si="16"/>
        <v>0</v>
      </c>
      <c r="V74" s="709">
        <f t="shared" si="17"/>
        <v>0</v>
      </c>
      <c r="W74" s="709">
        <f t="shared" si="18"/>
        <v>0</v>
      </c>
      <c r="X74" s="709">
        <f t="shared" si="19"/>
        <v>0</v>
      </c>
      <c r="Y74" s="710">
        <f t="shared" si="20"/>
        <v>0</v>
      </c>
      <c r="AB74"/>
      <c r="AC74"/>
      <c r="AD74"/>
      <c r="AE74"/>
      <c r="AF74"/>
      <c r="AG74"/>
      <c r="AH74"/>
      <c r="AI74"/>
      <c r="AJ74"/>
      <c r="AK74"/>
      <c r="AL74"/>
      <c r="AM74"/>
      <c r="AN74"/>
      <c r="AO74"/>
      <c r="AP74"/>
      <c r="AQ74"/>
      <c r="AR74"/>
      <c r="AS74"/>
      <c r="AT74"/>
      <c r="AU74"/>
      <c r="AV74"/>
      <c r="AW74"/>
    </row>
    <row r="75" spans="1:49" ht="15" thickTop="1">
      <c r="A75" s="349" t="b">
        <f>IF(COUNTIF(J$65:J$98,"&lt;&gt;0")=COUNTA(M$65:M$98),TRUE,FALSE)</f>
        <v>1</v>
      </c>
      <c r="C75" s="642" t="s">
        <v>9029</v>
      </c>
      <c r="D75" s="335" t="s">
        <v>9028</v>
      </c>
      <c r="E75" s="681"/>
      <c r="F75" s="681"/>
      <c r="G75" s="681"/>
      <c r="H75" s="681"/>
      <c r="I75" s="681"/>
      <c r="J75" s="682">
        <f t="shared" si="14"/>
        <v>0</v>
      </c>
      <c r="K75" s="673"/>
      <c r="L75" s="451"/>
      <c r="M75" s="452"/>
      <c r="P75" s="723" t="s">
        <v>18</v>
      </c>
      <c r="Q75" s="711"/>
      <c r="R75" s="711"/>
      <c r="S75" s="711"/>
      <c r="T75" s="712">
        <f>SUBTOTAL(9,'RTB for Srvc Trans'!T$65:T$74)</f>
        <v>0</v>
      </c>
      <c r="U75" s="712">
        <f>SUBTOTAL(9,'RTB for Srvc Trans'!U$65:U$74)</f>
        <v>0</v>
      </c>
      <c r="V75" s="712">
        <f>SUBTOTAL(9,'RTB for Srvc Trans'!V$65:V$74)</f>
        <v>0</v>
      </c>
      <c r="W75" s="712">
        <f>SUBTOTAL(9,'RTB for Srvc Trans'!W$65:W$74)</f>
        <v>0</v>
      </c>
      <c r="X75" s="712">
        <f>SUBTOTAL(9,'RTB for Srvc Trans'!X$65:X$74)</f>
        <v>0</v>
      </c>
      <c r="Y75" s="713">
        <f>SUBTOTAL(9,'RTB for Srvc Trans'!Y$65:Y$74)</f>
        <v>0</v>
      </c>
      <c r="AB75"/>
      <c r="AC75"/>
      <c r="AD75"/>
      <c r="AE75"/>
      <c r="AF75"/>
      <c r="AG75"/>
      <c r="AH75"/>
      <c r="AI75"/>
      <c r="AJ75"/>
      <c r="AK75"/>
      <c r="AL75"/>
      <c r="AM75"/>
      <c r="AN75"/>
      <c r="AO75"/>
      <c r="AP75"/>
      <c r="AQ75"/>
      <c r="AR75"/>
      <c r="AS75"/>
      <c r="AT75"/>
      <c r="AU75"/>
      <c r="AV75"/>
      <c r="AW75"/>
    </row>
    <row r="76" spans="1:49">
      <c r="C76" s="642" t="s">
        <v>270</v>
      </c>
      <c r="D76" s="449"/>
      <c r="E76" s="681"/>
      <c r="F76" s="681"/>
      <c r="G76" s="681"/>
      <c r="H76" s="681"/>
      <c r="I76" s="681"/>
      <c r="J76" s="682">
        <f t="shared" si="14"/>
        <v>0</v>
      </c>
      <c r="K76" s="673"/>
      <c r="L76" s="451"/>
      <c r="M76" s="452"/>
      <c r="T76" s="680"/>
      <c r="U76" s="680"/>
      <c r="V76" s="680"/>
      <c r="W76" s="680"/>
      <c r="X76" s="680"/>
      <c r="Y76" s="680"/>
      <c r="AB76"/>
      <c r="AC76"/>
      <c r="AD76"/>
      <c r="AE76"/>
      <c r="AF76"/>
      <c r="AG76"/>
      <c r="AH76"/>
      <c r="AI76"/>
      <c r="AJ76"/>
      <c r="AK76"/>
      <c r="AL76"/>
      <c r="AM76"/>
      <c r="AN76"/>
      <c r="AO76"/>
      <c r="AP76"/>
      <c r="AQ76"/>
      <c r="AR76"/>
      <c r="AS76"/>
      <c r="AT76"/>
      <c r="AU76"/>
      <c r="AV76"/>
      <c r="AW76"/>
    </row>
    <row r="77" spans="1:49">
      <c r="C77" s="636" t="s">
        <v>271</v>
      </c>
      <c r="D77" s="449"/>
      <c r="E77" s="681"/>
      <c r="F77" s="681"/>
      <c r="G77" s="681"/>
      <c r="H77" s="681"/>
      <c r="I77" s="681"/>
      <c r="J77" s="682">
        <f t="shared" si="14"/>
        <v>0</v>
      </c>
      <c r="K77" s="673"/>
      <c r="L77" s="451"/>
      <c r="M77" s="452"/>
      <c r="T77" s="680"/>
      <c r="U77" s="680"/>
      <c r="V77" s="680"/>
      <c r="W77" s="680"/>
      <c r="X77" s="680"/>
      <c r="Y77" s="680"/>
      <c r="AB77"/>
      <c r="AC77"/>
      <c r="AD77"/>
      <c r="AE77"/>
      <c r="AF77"/>
      <c r="AG77"/>
      <c r="AH77"/>
      <c r="AI77"/>
      <c r="AJ77"/>
      <c r="AK77"/>
      <c r="AL77"/>
      <c r="AM77"/>
      <c r="AN77"/>
      <c r="AO77"/>
      <c r="AP77"/>
      <c r="AQ77"/>
      <c r="AR77"/>
      <c r="AS77"/>
      <c r="AT77"/>
      <c r="AU77"/>
      <c r="AV77"/>
    </row>
    <row r="78" spans="1:49">
      <c r="C78" s="636" t="s">
        <v>272</v>
      </c>
      <c r="D78" s="449"/>
      <c r="E78" s="681"/>
      <c r="F78" s="681"/>
      <c r="G78" s="681"/>
      <c r="H78" s="681"/>
      <c r="I78" s="681"/>
      <c r="J78" s="682">
        <f t="shared" si="14"/>
        <v>0</v>
      </c>
      <c r="K78" s="673"/>
      <c r="L78" s="451"/>
      <c r="M78" s="452"/>
      <c r="T78" s="680"/>
      <c r="U78" s="680"/>
      <c r="V78" s="680"/>
      <c r="W78" s="680"/>
      <c r="X78" s="680"/>
      <c r="Y78" s="680"/>
      <c r="AB78"/>
      <c r="AC78"/>
      <c r="AD78"/>
      <c r="AE78"/>
      <c r="AF78"/>
      <c r="AG78"/>
      <c r="AH78"/>
      <c r="AI78"/>
    </row>
    <row r="79" spans="1:49">
      <c r="C79" s="636" t="s">
        <v>273</v>
      </c>
      <c r="D79" s="449"/>
      <c r="E79" s="681"/>
      <c r="F79" s="681"/>
      <c r="G79" s="681"/>
      <c r="H79" s="681"/>
      <c r="I79" s="681"/>
      <c r="J79" s="682">
        <f t="shared" si="14"/>
        <v>0</v>
      </c>
      <c r="K79" s="673"/>
      <c r="L79" s="451"/>
      <c r="M79" s="452"/>
      <c r="T79" s="680"/>
      <c r="U79" s="680"/>
      <c r="V79" s="680"/>
      <c r="W79" s="680"/>
      <c r="X79" s="680"/>
      <c r="Y79" s="680"/>
    </row>
    <row r="80" spans="1:49">
      <c r="C80" s="636" t="s">
        <v>274</v>
      </c>
      <c r="D80" s="449"/>
      <c r="E80" s="681"/>
      <c r="F80" s="681"/>
      <c r="G80" s="681"/>
      <c r="H80" s="681"/>
      <c r="I80" s="681"/>
      <c r="J80" s="682">
        <f t="shared" si="14"/>
        <v>0</v>
      </c>
      <c r="K80" s="673"/>
      <c r="L80" s="451"/>
      <c r="M80" s="452"/>
      <c r="T80" s="680"/>
      <c r="U80" s="680"/>
      <c r="V80" s="680"/>
      <c r="W80" s="680"/>
      <c r="X80" s="680"/>
      <c r="Y80" s="680"/>
    </row>
    <row r="81" spans="3:27">
      <c r="C81" s="636" t="s">
        <v>275</v>
      </c>
      <c r="D81" s="449"/>
      <c r="E81" s="681"/>
      <c r="F81" s="681"/>
      <c r="G81" s="681"/>
      <c r="H81" s="681"/>
      <c r="I81" s="681"/>
      <c r="J81" s="682">
        <f t="shared" ref="J81:J98" si="28">SUM(E81:I81)</f>
        <v>0</v>
      </c>
      <c r="K81" s="673"/>
      <c r="L81" s="451"/>
      <c r="M81" s="452"/>
    </row>
    <row r="82" spans="3:27">
      <c r="C82" s="636" t="s">
        <v>276</v>
      </c>
      <c r="D82" s="450"/>
      <c r="E82" s="681"/>
      <c r="F82" s="681"/>
      <c r="G82" s="681"/>
      <c r="H82" s="681"/>
      <c r="I82" s="681"/>
      <c r="J82" s="682">
        <f t="shared" si="28"/>
        <v>0</v>
      </c>
      <c r="K82" s="673"/>
      <c r="L82" s="451"/>
      <c r="M82" s="452"/>
    </row>
    <row r="83" spans="3:27">
      <c r="C83" s="635" t="s">
        <v>8471</v>
      </c>
      <c r="D83" s="449"/>
      <c r="E83" s="681"/>
      <c r="F83" s="681"/>
      <c r="G83" s="681"/>
      <c r="H83" s="681"/>
      <c r="I83" s="681"/>
      <c r="J83" s="682">
        <f t="shared" si="28"/>
        <v>0</v>
      </c>
      <c r="K83" s="673"/>
      <c r="L83" s="451"/>
      <c r="M83" s="452"/>
    </row>
    <row r="84" spans="3:27">
      <c r="C84" s="635" t="s">
        <v>277</v>
      </c>
      <c r="D84" s="449"/>
      <c r="E84" s="681"/>
      <c r="F84" s="681"/>
      <c r="G84" s="681"/>
      <c r="H84" s="681"/>
      <c r="I84" s="681"/>
      <c r="J84" s="682">
        <f t="shared" si="28"/>
        <v>0</v>
      </c>
      <c r="K84" s="673"/>
      <c r="L84" s="451"/>
      <c r="M84" s="452"/>
    </row>
    <row r="85" spans="3:27">
      <c r="C85" s="635" t="s">
        <v>8414</v>
      </c>
      <c r="D85" s="449"/>
      <c r="E85" s="681"/>
      <c r="F85" s="681"/>
      <c r="G85" s="681"/>
      <c r="H85" s="681"/>
      <c r="I85" s="681"/>
      <c r="J85" s="682">
        <f t="shared" si="28"/>
        <v>0</v>
      </c>
      <c r="K85" s="673"/>
      <c r="L85" s="540"/>
      <c r="M85" s="452"/>
    </row>
    <row r="86" spans="3:27">
      <c r="C86" s="450"/>
      <c r="D86" s="450"/>
      <c r="E86" s="685"/>
      <c r="F86" s="685"/>
      <c r="G86" s="685"/>
      <c r="H86" s="685"/>
      <c r="I86" s="685"/>
      <c r="J86" s="682">
        <f>SUM(E86:I86)</f>
        <v>0</v>
      </c>
      <c r="K86" s="673"/>
      <c r="L86" s="453"/>
      <c r="M86" s="454"/>
    </row>
    <row r="87" spans="3:27">
      <c r="C87" s="450"/>
      <c r="D87" s="450"/>
      <c r="E87" s="685"/>
      <c r="F87" s="685"/>
      <c r="G87" s="685"/>
      <c r="H87" s="685"/>
      <c r="I87" s="685"/>
      <c r="J87" s="682">
        <f>SUM(E87:I87)</f>
        <v>0</v>
      </c>
      <c r="K87" s="673"/>
      <c r="L87" s="453"/>
      <c r="M87" s="454"/>
    </row>
    <row r="88" spans="3:27">
      <c r="C88" s="450"/>
      <c r="D88" s="450"/>
      <c r="E88" s="685"/>
      <c r="F88" s="685"/>
      <c r="G88" s="685"/>
      <c r="H88" s="685"/>
      <c r="I88" s="685"/>
      <c r="J88" s="682">
        <f>SUM(E88:I88)</f>
        <v>0</v>
      </c>
      <c r="K88" s="673"/>
      <c r="L88" s="453"/>
      <c r="M88" s="454"/>
    </row>
    <row r="89" spans="3:27">
      <c r="C89" s="450"/>
      <c r="D89" s="450"/>
      <c r="E89" s="685"/>
      <c r="F89" s="685"/>
      <c r="G89" s="685"/>
      <c r="H89" s="685"/>
      <c r="I89" s="685"/>
      <c r="J89" s="682">
        <f>SUM(E89:I89)</f>
        <v>0</v>
      </c>
      <c r="K89" s="673"/>
      <c r="L89" s="453"/>
      <c r="M89" s="454"/>
      <c r="Z89"/>
      <c r="AA89"/>
    </row>
    <row r="90" spans="3:27">
      <c r="C90" s="450"/>
      <c r="D90" s="450"/>
      <c r="E90" s="685"/>
      <c r="F90" s="685"/>
      <c r="G90" s="685"/>
      <c r="H90" s="685"/>
      <c r="I90" s="685"/>
      <c r="J90" s="682">
        <f t="shared" si="28"/>
        <v>0</v>
      </c>
      <c r="K90" s="673"/>
      <c r="L90" s="451"/>
      <c r="M90" s="452"/>
      <c r="Z90"/>
      <c r="AA90"/>
    </row>
    <row r="91" spans="3:27">
      <c r="C91" s="450"/>
      <c r="D91" s="450"/>
      <c r="E91" s="685"/>
      <c r="F91" s="685"/>
      <c r="G91" s="685"/>
      <c r="H91" s="685"/>
      <c r="I91" s="685"/>
      <c r="J91" s="682">
        <f t="shared" si="28"/>
        <v>0</v>
      </c>
      <c r="K91" s="673"/>
      <c r="L91" s="451"/>
      <c r="M91" s="452"/>
      <c r="Z91"/>
      <c r="AA91"/>
    </row>
    <row r="92" spans="3:27">
      <c r="C92" s="450"/>
      <c r="D92" s="450"/>
      <c r="E92" s="685"/>
      <c r="F92" s="685"/>
      <c r="G92" s="685"/>
      <c r="H92" s="685"/>
      <c r="I92" s="685"/>
      <c r="J92" s="682">
        <f t="shared" si="28"/>
        <v>0</v>
      </c>
      <c r="K92" s="673"/>
      <c r="L92" s="451"/>
      <c r="M92" s="452"/>
      <c r="Z92"/>
      <c r="AA92"/>
    </row>
    <row r="93" spans="3:27">
      <c r="C93" s="450"/>
      <c r="D93" s="450"/>
      <c r="E93" s="685"/>
      <c r="F93" s="685"/>
      <c r="G93" s="685"/>
      <c r="H93" s="685"/>
      <c r="I93" s="685"/>
      <c r="J93" s="682">
        <f t="shared" si="28"/>
        <v>0</v>
      </c>
      <c r="K93" s="673"/>
      <c r="L93" s="451"/>
      <c r="M93" s="452"/>
      <c r="Z93"/>
      <c r="AA93"/>
    </row>
    <row r="94" spans="3:27">
      <c r="C94" s="450"/>
      <c r="D94" s="450"/>
      <c r="E94" s="685"/>
      <c r="F94" s="685"/>
      <c r="G94" s="685"/>
      <c r="H94" s="685"/>
      <c r="I94" s="685"/>
      <c r="J94" s="682">
        <f t="shared" si="28"/>
        <v>0</v>
      </c>
      <c r="K94" s="673"/>
      <c r="L94" s="451"/>
      <c r="M94" s="452"/>
      <c r="Z94"/>
      <c r="AA94"/>
    </row>
    <row r="95" spans="3:27">
      <c r="C95" s="450"/>
      <c r="D95" s="450"/>
      <c r="E95" s="685"/>
      <c r="F95" s="685"/>
      <c r="G95" s="685"/>
      <c r="H95" s="685"/>
      <c r="I95" s="685"/>
      <c r="J95" s="682">
        <f t="shared" si="28"/>
        <v>0</v>
      </c>
      <c r="K95" s="673"/>
      <c r="L95" s="451"/>
      <c r="M95" s="452"/>
      <c r="Z95"/>
      <c r="AA95"/>
    </row>
    <row r="96" spans="3:27">
      <c r="C96" s="450"/>
      <c r="D96" s="450"/>
      <c r="E96" s="685"/>
      <c r="F96" s="685"/>
      <c r="G96" s="685"/>
      <c r="H96" s="685"/>
      <c r="I96" s="685"/>
      <c r="J96" s="682">
        <f t="shared" si="28"/>
        <v>0</v>
      </c>
      <c r="K96" s="673"/>
      <c r="L96" s="451"/>
      <c r="M96" s="452"/>
      <c r="Z96"/>
      <c r="AA96"/>
    </row>
    <row r="97" spans="3:27">
      <c r="C97" s="450"/>
      <c r="D97" s="450"/>
      <c r="E97" s="685"/>
      <c r="F97" s="685"/>
      <c r="G97" s="685"/>
      <c r="H97" s="685"/>
      <c r="I97" s="685"/>
      <c r="J97" s="682">
        <f t="shared" si="28"/>
        <v>0</v>
      </c>
      <c r="K97" s="673"/>
      <c r="L97" s="451"/>
      <c r="M97" s="452"/>
      <c r="Z97"/>
      <c r="AA97"/>
    </row>
    <row r="98" spans="3:27">
      <c r="C98" s="638"/>
      <c r="D98" s="450"/>
      <c r="E98" s="681"/>
      <c r="F98" s="681"/>
      <c r="G98" s="681"/>
      <c r="H98" s="681"/>
      <c r="I98" s="681"/>
      <c r="J98" s="682">
        <f t="shared" si="28"/>
        <v>0</v>
      </c>
      <c r="K98" s="673"/>
      <c r="L98" s="451"/>
      <c r="M98" s="452"/>
      <c r="Z98"/>
      <c r="AA98"/>
    </row>
    <row r="99" spans="3:27">
      <c r="C99" s="643" t="s">
        <v>8463</v>
      </c>
      <c r="D99" s="331"/>
      <c r="E99" s="686">
        <f>SUM(E65:E98)-E100</f>
        <v>0</v>
      </c>
      <c r="F99" s="686">
        <f>SUM(F65:F98)-F100</f>
        <v>0</v>
      </c>
      <c r="G99" s="686">
        <f>SUM(G65:G98)-G100</f>
        <v>0</v>
      </c>
      <c r="H99" s="686">
        <f>SUM(H65:H98)-H100</f>
        <v>0</v>
      </c>
      <c r="I99" s="686">
        <f>SUM(I65:I98)-I100</f>
        <v>0</v>
      </c>
      <c r="J99" s="682">
        <f>SUM(E99:I99)</f>
        <v>0</v>
      </c>
      <c r="K99" s="80"/>
      <c r="L99" s="81"/>
      <c r="M99" s="82"/>
      <c r="Z99"/>
      <c r="AA99"/>
    </row>
    <row r="100" spans="3:27">
      <c r="C100" s="643" t="s">
        <v>129</v>
      </c>
      <c r="D100" s="331"/>
      <c r="E100" s="686">
        <f>SUMIF($K65:$K98,"Bus*",E65:E98)</f>
        <v>0</v>
      </c>
      <c r="F100" s="686">
        <f>SUMIF($K65:$K98,"Bus*",F65:F98)</f>
        <v>0</v>
      </c>
      <c r="G100" s="686">
        <f>SUMIF($K65:$K98,"Bus*",G65:G98)</f>
        <v>0</v>
      </c>
      <c r="H100" s="686">
        <f>SUMIF($K65:$K98,"Bus*",H65:H98)</f>
        <v>0</v>
      </c>
      <c r="I100" s="686">
        <f>SUMIF($K65:$K98,"Bus*",I65:I98)</f>
        <v>0</v>
      </c>
      <c r="J100" s="682">
        <f>SUM(E100:I100)</f>
        <v>0</v>
      </c>
      <c r="K100" s="80"/>
      <c r="L100" s="81"/>
      <c r="M100" s="82"/>
      <c r="Z100"/>
      <c r="AA100"/>
    </row>
    <row r="101" spans="3:27">
      <c r="C101" s="643" t="s">
        <v>130</v>
      </c>
      <c r="D101" s="331"/>
      <c r="E101" s="686">
        <f>SUM(E99:E100)</f>
        <v>0</v>
      </c>
      <c r="F101" s="686">
        <f>SUM(F99:F100)</f>
        <v>0</v>
      </c>
      <c r="G101" s="686">
        <f>SUM(G99:G100)</f>
        <v>0</v>
      </c>
      <c r="H101" s="686">
        <f>SUM(H99:H100)</f>
        <v>0</v>
      </c>
      <c r="I101" s="686">
        <f>SUM(I99:I100)</f>
        <v>0</v>
      </c>
      <c r="J101" s="682">
        <f>SUM(E101:I101)</f>
        <v>0</v>
      </c>
      <c r="K101" s="80"/>
      <c r="L101" s="81"/>
      <c r="M101" s="82"/>
      <c r="Z101"/>
      <c r="AA101"/>
    </row>
    <row r="102" spans="3:27">
      <c r="Z102"/>
      <c r="AA102"/>
    </row>
    <row r="103" spans="3:27">
      <c r="Z103"/>
      <c r="AA103"/>
    </row>
  </sheetData>
  <sheetProtection algorithmName="SHA-512" hashValue="pveVdPRiKu8aDOQp8HF4LoQ+teCVgGDitNySKJq5KoQO6TFIARKuP8PAxVN5G06597iC0c92/61GMFobKPZo0A==" saltValue="lRr9NwARnAqScaa4PXDhiQ==" spinCount="100000" sheet="1" formatCells="0" formatColumns="0" formatRows="0"/>
  <protectedRanges>
    <protectedRange sqref="L65:M65 M99:M101 L69:M98 M66:M68 M26:M27" name="Rem RTB Notes"/>
    <protectedRange sqref="C88:I98 C86:D87 E26:I27 E65:I87" name="Rem RTB Details"/>
    <protectedRange sqref="I2:I3" name="Header Dates"/>
    <protectedRange sqref="D8:H9 D12:H13" name="Planning Costs"/>
    <protectedRange sqref="J8:K10 J18:K19 J15:K16 J12:K13" name="Planning Notes"/>
    <protectedRange sqref="D28 D31 D69 D72 D76 D35:D44 D84:D87 C86:I98 E24:I25 E28:I44 C45:I57" name="Add RTB Details"/>
    <protectedRange sqref="K65:M101 K24:M60" name="Add RTB Notes"/>
  </protectedRanges>
  <mergeCells count="24">
    <mergeCell ref="J15:M15"/>
    <mergeCell ref="J16:M16"/>
    <mergeCell ref="J2:L4"/>
    <mergeCell ref="D4:F4"/>
    <mergeCell ref="C1:I1"/>
    <mergeCell ref="D2:G2"/>
    <mergeCell ref="H4:I4"/>
    <mergeCell ref="D3:I3"/>
    <mergeCell ref="C62:M62"/>
    <mergeCell ref="C21:M21"/>
    <mergeCell ref="C5:C6"/>
    <mergeCell ref="J5:M5"/>
    <mergeCell ref="J6:M6"/>
    <mergeCell ref="J7:M7"/>
    <mergeCell ref="J8:M8"/>
    <mergeCell ref="J9:M9"/>
    <mergeCell ref="J10:M10"/>
    <mergeCell ref="J11:M11"/>
    <mergeCell ref="J17:M17"/>
    <mergeCell ref="J18:M18"/>
    <mergeCell ref="J19:M19"/>
    <mergeCell ref="J12:M12"/>
    <mergeCell ref="J13:M13"/>
    <mergeCell ref="J14:M14"/>
  </mergeCells>
  <conditionalFormatting sqref="E23:I23">
    <cfRule type="cellIs" dxfId="685" priority="117" operator="equal">
      <formula>0</formula>
    </cfRule>
  </conditionalFormatting>
  <conditionalFormatting sqref="E64:I64">
    <cfRule type="cellIs" dxfId="684" priority="116" operator="equal">
      <formula>0</formula>
    </cfRule>
  </conditionalFormatting>
  <conditionalFormatting sqref="D6:H6 D7">
    <cfRule type="cellIs" dxfId="683" priority="115" operator="equal">
      <formula>0</formula>
    </cfRule>
  </conditionalFormatting>
  <conditionalFormatting sqref="D11">
    <cfRule type="cellIs" dxfId="682" priority="111" operator="equal">
      <formula>0</formula>
    </cfRule>
  </conditionalFormatting>
  <conditionalFormatting sqref="D14">
    <cfRule type="cellIs" dxfId="681" priority="110" operator="equal">
      <formula>0</formula>
    </cfRule>
  </conditionalFormatting>
  <conditionalFormatting sqref="D17">
    <cfRule type="cellIs" dxfId="680" priority="109" operator="equal">
      <formula>0</formula>
    </cfRule>
  </conditionalFormatting>
  <conditionalFormatting sqref="L66:L70 L72:L87 L89:L98 L24:L44 L46:L57">
    <cfRule type="expression" dxfId="679" priority="107">
      <formula>AND($J24&lt;&gt;0,ISBLANK($L24))</formula>
    </cfRule>
  </conditionalFormatting>
  <conditionalFormatting sqref="K65:K87 K89:K98 K24:K44 K46:K57">
    <cfRule type="expression" dxfId="678" priority="106">
      <formula>AND($J24&lt;&gt;0,ISBLANK($K24))</formula>
    </cfRule>
  </conditionalFormatting>
  <conditionalFormatting sqref="M66:M70 M72:M87 M89:M98 M24:M44 M46:M57">
    <cfRule type="expression" dxfId="677" priority="105">
      <formula>AND($J24&lt;&gt;0,ISBLANK($M24))</formula>
    </cfRule>
  </conditionalFormatting>
  <conditionalFormatting sqref="L65">
    <cfRule type="expression" dxfId="676" priority="87">
      <formula>AND($J65&lt;&gt;0,ISBLANK($L65))</formula>
    </cfRule>
  </conditionalFormatting>
  <conditionalFormatting sqref="M65">
    <cfRule type="expression" dxfId="675" priority="86">
      <formula>AND($J65&lt;&gt;0,ISBLANK($M65))</formula>
    </cfRule>
  </conditionalFormatting>
  <conditionalFormatting sqref="A22">
    <cfRule type="cellIs" dxfId="674" priority="79" operator="notEqual">
      <formula>0</formula>
    </cfRule>
  </conditionalFormatting>
  <conditionalFormatting sqref="I2">
    <cfRule type="cellIs" dxfId="673" priority="41" operator="notEqual">
      <formula>""</formula>
    </cfRule>
    <cfRule type="expression" dxfId="672" priority="78">
      <formula>$I2&gt;TODAY()</formula>
    </cfRule>
  </conditionalFormatting>
  <conditionalFormatting sqref="A5">
    <cfRule type="expression" dxfId="671" priority="77">
      <formula>$I2&gt;TODAY()</formula>
    </cfRule>
  </conditionalFormatting>
  <conditionalFormatting sqref="A69">
    <cfRule type="cellIs" dxfId="670" priority="55" operator="equal">
      <formula>TRUE</formula>
    </cfRule>
    <cfRule type="cellIs" dxfId="669" priority="56" operator="equal">
      <formula>FALSE</formula>
    </cfRule>
  </conditionalFormatting>
  <conditionalFormatting sqref="A72">
    <cfRule type="cellIs" dxfId="668" priority="53" operator="equal">
      <formula>TRUE</formula>
    </cfRule>
    <cfRule type="cellIs" dxfId="667" priority="54" operator="equal">
      <formula>FALSE</formula>
    </cfRule>
  </conditionalFormatting>
  <conditionalFormatting sqref="A75">
    <cfRule type="cellIs" dxfId="666" priority="51" operator="equal">
      <formula>TRUE</formula>
    </cfRule>
    <cfRule type="cellIs" dxfId="665" priority="52" operator="equal">
      <formula>FALSE</formula>
    </cfRule>
  </conditionalFormatting>
  <conditionalFormatting sqref="A66">
    <cfRule type="cellIs" dxfId="664" priority="43" operator="equal">
      <formula>TRUE</formula>
    </cfRule>
    <cfRule type="cellIs" dxfId="663" priority="44" operator="equal">
      <formula>FALSE</formula>
    </cfRule>
  </conditionalFormatting>
  <conditionalFormatting sqref="A25">
    <cfRule type="cellIs" dxfId="662" priority="61" operator="equal">
      <formula>TRUE</formula>
    </cfRule>
    <cfRule type="cellIs" dxfId="661" priority="62" operator="equal">
      <formula>FALSE</formula>
    </cfRule>
  </conditionalFormatting>
  <conditionalFormatting sqref="A28">
    <cfRule type="cellIs" dxfId="660" priority="45" operator="equal">
      <formula>TRUE</formula>
    </cfRule>
    <cfRule type="cellIs" dxfId="659" priority="46" operator="equal">
      <formula>FALSE</formula>
    </cfRule>
  </conditionalFormatting>
  <conditionalFormatting sqref="A31">
    <cfRule type="cellIs" dxfId="658" priority="47" operator="equal">
      <formula>TRUE</formula>
    </cfRule>
    <cfRule type="cellIs" dxfId="657" priority="48" operator="equal">
      <formula>FALSE</formula>
    </cfRule>
  </conditionalFormatting>
  <conditionalFormatting sqref="A34">
    <cfRule type="cellIs" dxfId="656" priority="49" operator="equal">
      <formula>TRUE</formula>
    </cfRule>
    <cfRule type="cellIs" dxfId="655" priority="50" operator="equal">
      <formula>FALSE</formula>
    </cfRule>
  </conditionalFormatting>
  <conditionalFormatting sqref="D8:H9 C47:C57 F65:I66 C86:C87 E89:I98 C89:C98 F69:I74 E75:I87 E24:I25 E28:I44 E46:I57">
    <cfRule type="cellIs" dxfId="654" priority="40" operator="notEqual">
      <formula>""</formula>
    </cfRule>
  </conditionalFormatting>
  <conditionalFormatting sqref="D12:H13">
    <cfRule type="cellIs" dxfId="653" priority="39" operator="notEqual">
      <formula>""</formula>
    </cfRule>
  </conditionalFormatting>
  <conditionalFormatting sqref="J8:M10">
    <cfRule type="cellIs" dxfId="652" priority="38" operator="notEqual">
      <formula>""</formula>
    </cfRule>
  </conditionalFormatting>
  <conditionalFormatting sqref="J12:M13 J15:M16 J18:M19">
    <cfRule type="cellIs" dxfId="651" priority="37" operator="notEqual">
      <formula>""</formula>
    </cfRule>
  </conditionalFormatting>
  <conditionalFormatting sqref="D28 D31 D35:D44 D46:D57">
    <cfRule type="cellIs" dxfId="650" priority="30" operator="notEqual">
      <formula>""</formula>
    </cfRule>
    <cfRule type="expression" dxfId="649" priority="35">
      <formula>AND($J28&lt;&gt;0,ISBLANK($D28))</formula>
    </cfRule>
  </conditionalFormatting>
  <conditionalFormatting sqref="D69 D72 D76:D87 D89:D98">
    <cfRule type="expression" dxfId="648" priority="29">
      <formula>AND($J69&lt;&gt;0,ISBLANK($D69))</formula>
    </cfRule>
    <cfRule type="cellIs" dxfId="647" priority="32" operator="notEqual">
      <formula>""</formula>
    </cfRule>
  </conditionalFormatting>
  <conditionalFormatting sqref="L71">
    <cfRule type="expression" dxfId="646" priority="28">
      <formula>AND($J71&lt;&gt;0,ISBLANK($L71))</formula>
    </cfRule>
  </conditionalFormatting>
  <conditionalFormatting sqref="M71">
    <cfRule type="expression" dxfId="645" priority="26">
      <formula>AND($J71&lt;&gt;0,ISBLANK($M71))</formula>
    </cfRule>
  </conditionalFormatting>
  <conditionalFormatting sqref="F67:I68">
    <cfRule type="cellIs" dxfId="644" priority="21" operator="notEqual">
      <formula>""</formula>
    </cfRule>
  </conditionalFormatting>
  <conditionalFormatting sqref="E26:I27">
    <cfRule type="cellIs" dxfId="643" priority="17" operator="notEqual">
      <formula>""</formula>
    </cfRule>
  </conditionalFormatting>
  <conditionalFormatting sqref="L88">
    <cfRule type="expression" dxfId="642" priority="16">
      <formula>AND($J88&lt;&gt;0,ISBLANK($L88))</formula>
    </cfRule>
  </conditionalFormatting>
  <conditionalFormatting sqref="K88">
    <cfRule type="expression" dxfId="641" priority="15">
      <formula>AND($J88&lt;&gt;0,ISBLANK($K88))</formula>
    </cfRule>
  </conditionalFormatting>
  <conditionalFormatting sqref="M88">
    <cfRule type="expression" dxfId="640" priority="14">
      <formula>AND($J88&lt;&gt;0,ISBLANK($M88))</formula>
    </cfRule>
  </conditionalFormatting>
  <conditionalFormatting sqref="E88:I88 C88">
    <cfRule type="cellIs" dxfId="639" priority="13" operator="notEqual">
      <formula>""</formula>
    </cfRule>
  </conditionalFormatting>
  <conditionalFormatting sqref="D88">
    <cfRule type="expression" dxfId="638" priority="11">
      <formula>AND($J88&lt;&gt;0,ISBLANK($D88))</formula>
    </cfRule>
    <cfRule type="cellIs" dxfId="637" priority="12" operator="notEqual">
      <formula>""</formula>
    </cfRule>
  </conditionalFormatting>
  <conditionalFormatting sqref="L45">
    <cfRule type="expression" dxfId="636" priority="9">
      <formula>AND($J45&lt;&gt;0,ISBLANK($L45))</formula>
    </cfRule>
  </conditionalFormatting>
  <conditionalFormatting sqref="K45">
    <cfRule type="expression" dxfId="635" priority="8">
      <formula>AND($J45&lt;&gt;0,ISBLANK($K45))</formula>
    </cfRule>
  </conditionalFormatting>
  <conditionalFormatting sqref="M45">
    <cfRule type="expression" dxfId="634" priority="7">
      <formula>AND($J45&lt;&gt;0,ISBLANK($M45))</formula>
    </cfRule>
  </conditionalFormatting>
  <conditionalFormatting sqref="C45 E45:I45">
    <cfRule type="cellIs" dxfId="633" priority="6" operator="notEqual">
      <formula>""</formula>
    </cfRule>
  </conditionalFormatting>
  <conditionalFormatting sqref="D45">
    <cfRule type="cellIs" dxfId="632" priority="4" operator="notEqual">
      <formula>""</formula>
    </cfRule>
    <cfRule type="expression" dxfId="631" priority="5">
      <formula>AND($J45&lt;&gt;0,ISBLANK($D45))</formula>
    </cfRule>
  </conditionalFormatting>
  <conditionalFormatting sqref="E65:E66 E69:E74">
    <cfRule type="cellIs" dxfId="630" priority="3" operator="notEqual">
      <formula>""</formula>
    </cfRule>
  </conditionalFormatting>
  <conditionalFormatting sqref="E67:E68">
    <cfRule type="cellIs" dxfId="629" priority="2" operator="notEqual">
      <formula>""</formula>
    </cfRule>
  </conditionalFormatting>
  <conditionalFormatting sqref="C46">
    <cfRule type="cellIs" dxfId="628" priority="1" operator="notEqual">
      <formula>""</formula>
    </cfRule>
  </conditionalFormatting>
  <dataValidations count="8">
    <dataValidation type="list" allowBlank="1" showInputMessage="1" showErrorMessage="1" sqref="K61" xr:uid="{00000000-0002-0000-0A00-000000000000}">
      <formula1>"Service Del, IS Self-Funded,Bus-Direct Invoice,Bus-Underspend,Bus-Transfer to IS,DR&amp;S,Other"</formula1>
    </dataValidation>
    <dataValidation type="list" allowBlank="1" showInputMessage="1" showErrorMessage="1" sqref="K86:K98 K70 K45:K57 K29" xr:uid="{EACF259E-A1EB-4A0C-ABF3-F2DF3988DDA5}">
      <formula1>RTB_BudgetOwners</formula1>
    </dataValidation>
    <dataValidation type="list" allowBlank="1" showInputMessage="1" showErrorMessage="1" sqref="K24:K28 K66:K69 K65 K33 K74" xr:uid="{EE048DC6-543E-472C-9028-77FDC2D90D61}">
      <formula1>IT_Bus_App_Services</formula1>
    </dataValidation>
    <dataValidation type="list" allowBlank="1" showInputMessage="1" showErrorMessage="1" sqref="K30:K31 K71:K72" xr:uid="{B80E2465-4D0F-4D7A-B7A6-55ABA69B9973}">
      <formula1>IT_Network_Infra_Services</formula1>
    </dataValidation>
    <dataValidation type="list" allowBlank="1" showInputMessage="1" showErrorMessage="1" sqref="K32 K73 K81 K40 K41 K82" xr:uid="{F3BC4827-DCDC-4F57-B744-76014A2F9DCB}">
      <formula1>IT_End_User_Collab_Services</formula1>
    </dataValidation>
    <dataValidation type="list" allowBlank="1" showInputMessage="1" showErrorMessage="1" sqref="K75 K77 K78:K80 K34:K39 K76" xr:uid="{3D0EE796-4BCA-4814-8787-BA2CFB9033D2}">
      <formula1>IT_Cloud_Hosting_Services</formula1>
    </dataValidation>
    <dataValidation type="list" allowBlank="1" showInputMessage="1" showErrorMessage="1" sqref="K84:K85 K43:K44" xr:uid="{07D80779-756D-4534-BCB3-D8B19F72C1FE}">
      <formula1>IT_Commercial</formula1>
    </dataValidation>
    <dataValidation type="list" allowBlank="1" showInputMessage="1" showErrorMessage="1" sqref="K83 K42" xr:uid="{EC0F4508-C688-465E-937C-D1F7AB554760}">
      <formula1>Software_Support</formula1>
    </dataValidation>
  </dataValidations>
  <printOptions horizontalCentered="1"/>
  <pageMargins left="0.25" right="0.25" top="0.5" bottom="0.48" header="0.25" footer="0.23"/>
  <pageSetup scale="50" fitToWidth="0" orientation="landscape" r:id="rId1"/>
  <headerFooter>
    <oddHeader>&amp;C&amp;"Tahoma,Bold"&amp;14&amp;F - &amp;A</oddHeader>
    <oddFooter>&amp;L&amp;"Tahoma,Regular"&amp;P of &amp;N&amp;R&amp;"Tahoma,Regular"&amp;D</oddFooter>
  </headerFooter>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C8482-D67C-4797-9908-D2D6DBD0CD2D}">
  <sheetPr codeName="Sheet7">
    <tabColor theme="3" tint="0.59999389629810485"/>
  </sheetPr>
  <dimension ref="A1:AD156"/>
  <sheetViews>
    <sheetView showGridLines="0" zoomScale="70" zoomScaleNormal="70" workbookViewId="0">
      <pane xSplit="4" ySplit="4" topLeftCell="E5" activePane="bottomRight" state="frozen"/>
      <selection activeCell="A5" sqref="A5"/>
      <selection pane="topRight" activeCell="A5" sqref="A5"/>
      <selection pane="bottomLeft" activeCell="A5" sqref="A5"/>
      <selection pane="bottomRight" activeCell="J18" sqref="J18"/>
    </sheetView>
  </sheetViews>
  <sheetFormatPr defaultColWidth="9.1796875" defaultRowHeight="12"/>
  <cols>
    <col min="1" max="1" width="15.453125" style="986" customWidth="1"/>
    <col min="2" max="2" width="39.26953125" style="986" customWidth="1"/>
    <col min="3" max="3" width="14" style="979" bestFit="1" customWidth="1"/>
    <col min="4" max="4" width="16.81640625" style="986" bestFit="1" customWidth="1"/>
    <col min="5" max="15" width="11.7265625" style="986" customWidth="1"/>
    <col min="16" max="16" width="14.1796875" style="979" bestFit="1" customWidth="1"/>
    <col min="17" max="17" width="100.7265625" style="985" customWidth="1"/>
    <col min="18" max="30" width="9.1796875" style="963"/>
    <col min="31" max="16384" width="9.1796875" style="979"/>
  </cols>
  <sheetData>
    <row r="1" spans="1:30" s="963" customFormat="1" ht="21">
      <c r="A1" s="1646" t="s">
        <v>8810</v>
      </c>
      <c r="B1" s="1646"/>
      <c r="D1" s="964"/>
      <c r="E1" s="964"/>
      <c r="F1" s="964"/>
      <c r="G1" s="964"/>
      <c r="H1" s="964"/>
      <c r="I1" s="964"/>
      <c r="J1" s="964"/>
      <c r="K1" s="964"/>
      <c r="L1" s="964"/>
      <c r="M1" s="964"/>
      <c r="N1" s="964"/>
      <c r="O1" s="964"/>
      <c r="Q1" s="1647" t="s">
        <v>8433</v>
      </c>
    </row>
    <row r="2" spans="1:30" s="963" customFormat="1">
      <c r="A2" s="964"/>
      <c r="B2" s="964"/>
      <c r="E2" s="1645" t="str">
        <f>CONCATENATE("▼❹Enter values (",Variables!$C$4,") as appropriate▼")</f>
        <v>▼❹Enter values ($) as appropriate▼</v>
      </c>
      <c r="F2" s="1645"/>
      <c r="G2" s="1645"/>
      <c r="H2" s="1645"/>
      <c r="I2" s="1645"/>
      <c r="J2" s="1645"/>
      <c r="K2" s="1645"/>
      <c r="L2" s="1645"/>
      <c r="M2" s="1645"/>
      <c r="N2" s="1645"/>
      <c r="O2" s="1645"/>
      <c r="P2" s="965" t="s">
        <v>8428</v>
      </c>
      <c r="Q2" s="1647"/>
    </row>
    <row r="3" spans="1:30" s="989" customFormat="1">
      <c r="A3" s="951" t="s">
        <v>8531</v>
      </c>
      <c r="B3" s="951" t="s">
        <v>8532</v>
      </c>
      <c r="C3" s="965" t="s">
        <v>8428</v>
      </c>
      <c r="D3" s="951" t="s">
        <v>8533</v>
      </c>
      <c r="E3" s="1067" t="str">
        <f>Variables!B29</f>
        <v>FY 23</v>
      </c>
      <c r="F3" s="1067" t="str">
        <f>CONCATENATE("FY ",RIGHT(E3,2)+1)</f>
        <v>FY 24</v>
      </c>
      <c r="G3" s="1067" t="str">
        <f t="shared" ref="G3:O3" si="0">CONCATENATE("FY ",RIGHT(F3,2)+1)</f>
        <v>FY 25</v>
      </c>
      <c r="H3" s="1067" t="str">
        <f t="shared" si="0"/>
        <v>FY 26</v>
      </c>
      <c r="I3" s="1067" t="str">
        <f t="shared" si="0"/>
        <v>FY 27</v>
      </c>
      <c r="J3" s="1067" t="str">
        <f t="shared" si="0"/>
        <v>FY 28</v>
      </c>
      <c r="K3" s="1067" t="str">
        <f t="shared" si="0"/>
        <v>FY 29</v>
      </c>
      <c r="L3" s="1067" t="str">
        <f t="shared" si="0"/>
        <v>FY 30</v>
      </c>
      <c r="M3" s="1067" t="str">
        <f t="shared" si="0"/>
        <v>FY 31</v>
      </c>
      <c r="N3" s="1067" t="str">
        <f t="shared" si="0"/>
        <v>FY 32</v>
      </c>
      <c r="O3" s="1067" t="str">
        <f t="shared" si="0"/>
        <v>FY 33</v>
      </c>
      <c r="P3" s="987"/>
      <c r="Q3" s="988" t="s">
        <v>8543</v>
      </c>
    </row>
    <row r="4" spans="1:30" s="971" customFormat="1">
      <c r="A4" s="966" t="s">
        <v>8429</v>
      </c>
      <c r="B4" s="966" t="s">
        <v>8430</v>
      </c>
      <c r="C4" s="967" t="s">
        <v>8431</v>
      </c>
      <c r="D4" s="966" t="s">
        <v>226</v>
      </c>
      <c r="E4" s="1067" t="s">
        <v>444</v>
      </c>
      <c r="F4" s="1067" t="s">
        <v>449</v>
      </c>
      <c r="G4" s="1067" t="s">
        <v>454</v>
      </c>
      <c r="H4" s="1067" t="s">
        <v>457</v>
      </c>
      <c r="I4" s="1067" t="s">
        <v>461</v>
      </c>
      <c r="J4" s="1067" t="s">
        <v>464</v>
      </c>
      <c r="K4" s="1067" t="s">
        <v>467</v>
      </c>
      <c r="L4" s="1067" t="s">
        <v>468</v>
      </c>
      <c r="M4" s="1067" t="s">
        <v>471</v>
      </c>
      <c r="N4" s="1067" t="s">
        <v>474</v>
      </c>
      <c r="O4" s="1067" t="s">
        <v>476</v>
      </c>
      <c r="P4" s="968" t="s">
        <v>18</v>
      </c>
      <c r="Q4" s="969" t="s">
        <v>8432</v>
      </c>
      <c r="R4" s="970"/>
      <c r="S4" s="970"/>
      <c r="T4" s="970"/>
      <c r="U4" s="970"/>
      <c r="V4" s="970"/>
      <c r="W4" s="970"/>
      <c r="X4" s="970"/>
      <c r="Y4" s="970"/>
      <c r="Z4" s="970"/>
      <c r="AA4" s="970"/>
      <c r="AB4" s="970"/>
      <c r="AC4" s="970"/>
      <c r="AD4" s="970"/>
    </row>
    <row r="5" spans="1:30">
      <c r="A5" s="972" t="s">
        <v>8426</v>
      </c>
      <c r="B5" s="973" t="s">
        <v>8451</v>
      </c>
      <c r="C5" s="974" t="str">
        <f>IF(ISNA(VLOOKUP(B5,'Benefits Drop Down Values'!G:H,2,0)),"",VLOOKUP(B5,'Benefits Drop Down Values'!G:H,2,0))</f>
        <v>Narayan Devireddy</v>
      </c>
      <c r="D5" s="975" t="s">
        <v>21</v>
      </c>
      <c r="E5" s="981">
        <v>5000</v>
      </c>
      <c r="F5" s="981">
        <v>5000</v>
      </c>
      <c r="G5" s="981">
        <v>5000</v>
      </c>
      <c r="H5" s="981">
        <v>5000</v>
      </c>
      <c r="I5" s="981">
        <v>5000</v>
      </c>
      <c r="J5" s="976"/>
      <c r="K5" s="976"/>
      <c r="L5" s="976"/>
      <c r="M5" s="976"/>
      <c r="N5" s="976"/>
      <c r="O5" s="976"/>
      <c r="P5" s="977">
        <f>SUM(BenDet_tbl[[#This Row],[Year 1]:[Year 11]])</f>
        <v>25000</v>
      </c>
      <c r="Q5" s="978" t="s">
        <v>16485</v>
      </c>
    </row>
    <row r="6" spans="1:30">
      <c r="A6" s="972" t="s">
        <v>8426</v>
      </c>
      <c r="B6" s="973" t="s">
        <v>8451</v>
      </c>
      <c r="C6" s="974" t="str">
        <f>IF(ISNA(VLOOKUP(B6,'Benefits Drop Down Values'!G:H,2,0)),"",VLOOKUP(B6,'Benefits Drop Down Values'!G:H,2,0))</f>
        <v>Narayan Devireddy</v>
      </c>
      <c r="D6" s="975" t="s">
        <v>21</v>
      </c>
      <c r="E6" s="981">
        <v>5000</v>
      </c>
      <c r="F6" s="981">
        <v>5000</v>
      </c>
      <c r="G6" s="981">
        <v>5000</v>
      </c>
      <c r="H6" s="981">
        <v>5000</v>
      </c>
      <c r="I6" s="981">
        <v>5000</v>
      </c>
      <c r="J6" s="976"/>
      <c r="K6" s="976"/>
      <c r="L6" s="976"/>
      <c r="M6" s="976"/>
      <c r="N6" s="976"/>
      <c r="O6" s="976"/>
      <c r="P6" s="977">
        <f>SUM(BenDet_tbl[[#This Row],[Year 1]:[Year 11]])</f>
        <v>25000</v>
      </c>
      <c r="Q6" s="978" t="s">
        <v>16486</v>
      </c>
    </row>
    <row r="7" spans="1:30">
      <c r="A7" s="972"/>
      <c r="B7" s="973"/>
      <c r="C7" s="980"/>
      <c r="D7" s="975"/>
      <c r="E7" s="981"/>
      <c r="F7" s="981"/>
      <c r="G7" s="981"/>
      <c r="H7" s="981"/>
      <c r="I7" s="981"/>
      <c r="J7" s="981"/>
      <c r="K7" s="981"/>
      <c r="L7" s="981"/>
      <c r="M7" s="981"/>
      <c r="N7" s="981"/>
      <c r="O7" s="981"/>
      <c r="P7" s="982"/>
      <c r="Q7" s="978"/>
    </row>
    <row r="8" spans="1:30">
      <c r="A8" s="972"/>
      <c r="B8" s="973"/>
      <c r="C8" s="980"/>
      <c r="D8" s="975"/>
      <c r="E8" s="981"/>
      <c r="F8" s="981"/>
      <c r="G8" s="981"/>
      <c r="H8" s="981"/>
      <c r="I8" s="981"/>
      <c r="J8" s="981"/>
      <c r="K8" s="981"/>
      <c r="L8" s="981"/>
      <c r="M8" s="981"/>
      <c r="N8" s="981"/>
      <c r="O8" s="981"/>
      <c r="P8" s="982"/>
      <c r="Q8" s="978"/>
    </row>
    <row r="9" spans="1:30">
      <c r="A9" s="972"/>
      <c r="B9" s="973"/>
      <c r="C9" s="980"/>
      <c r="D9" s="975"/>
      <c r="E9" s="981"/>
      <c r="F9" s="981"/>
      <c r="G9" s="981"/>
      <c r="H9" s="981"/>
      <c r="I9" s="981"/>
      <c r="J9" s="981"/>
      <c r="K9" s="981"/>
      <c r="L9" s="981"/>
      <c r="M9" s="981"/>
      <c r="N9" s="981"/>
      <c r="O9" s="981"/>
      <c r="P9" s="982"/>
      <c r="Q9" s="978"/>
    </row>
    <row r="10" spans="1:30">
      <c r="A10" s="972"/>
      <c r="B10" s="973"/>
      <c r="C10" s="980"/>
      <c r="D10" s="975"/>
      <c r="E10" s="981"/>
      <c r="F10" s="981"/>
      <c r="G10" s="981"/>
      <c r="H10" s="981"/>
      <c r="I10" s="981"/>
      <c r="J10" s="981"/>
      <c r="K10" s="981"/>
      <c r="L10" s="981"/>
      <c r="M10" s="981"/>
      <c r="N10" s="981"/>
      <c r="O10" s="981"/>
      <c r="P10" s="982"/>
      <c r="Q10" s="978"/>
    </row>
    <row r="11" spans="1:30">
      <c r="A11" s="972"/>
      <c r="B11" s="973"/>
      <c r="C11" s="980"/>
      <c r="D11" s="975"/>
      <c r="E11" s="981"/>
      <c r="F11" s="981"/>
      <c r="G11" s="981"/>
      <c r="H11" s="981"/>
      <c r="I11" s="981"/>
      <c r="J11" s="981"/>
      <c r="K11" s="981"/>
      <c r="L11" s="981"/>
      <c r="M11" s="981"/>
      <c r="N11" s="981"/>
      <c r="O11" s="981"/>
      <c r="P11" s="982"/>
      <c r="Q11" s="978"/>
    </row>
    <row r="12" spans="1:30">
      <c r="A12" s="972"/>
      <c r="B12" s="973"/>
      <c r="C12" s="980"/>
      <c r="D12" s="975"/>
      <c r="E12" s="981"/>
      <c r="F12" s="981"/>
      <c r="G12" s="981"/>
      <c r="H12" s="981"/>
      <c r="I12" s="981"/>
      <c r="J12" s="981"/>
      <c r="K12" s="981"/>
      <c r="L12" s="981"/>
      <c r="M12" s="981"/>
      <c r="N12" s="981"/>
      <c r="O12" s="981"/>
      <c r="P12" s="982"/>
      <c r="Q12" s="978"/>
    </row>
    <row r="13" spans="1:30">
      <c r="A13" s="972"/>
      <c r="B13" s="973"/>
      <c r="C13" s="980"/>
      <c r="D13" s="975"/>
      <c r="E13" s="981"/>
      <c r="F13" s="981"/>
      <c r="G13" s="981"/>
      <c r="H13" s="981"/>
      <c r="I13" s="981"/>
      <c r="J13" s="981"/>
      <c r="K13" s="981"/>
      <c r="L13" s="981"/>
      <c r="M13" s="981"/>
      <c r="N13" s="981"/>
      <c r="O13" s="981"/>
      <c r="P13" s="982"/>
      <c r="Q13" s="978"/>
    </row>
    <row r="14" spans="1:30">
      <c r="A14" s="972"/>
      <c r="B14" s="973"/>
      <c r="C14" s="980"/>
      <c r="D14" s="975"/>
      <c r="E14" s="981"/>
      <c r="F14" s="981"/>
      <c r="G14" s="981"/>
      <c r="H14" s="981"/>
      <c r="I14" s="981"/>
      <c r="J14" s="981"/>
      <c r="K14" s="981"/>
      <c r="L14" s="981"/>
      <c r="M14" s="981"/>
      <c r="N14" s="981"/>
      <c r="O14" s="981"/>
      <c r="P14" s="982"/>
      <c r="Q14" s="978"/>
    </row>
    <row r="15" spans="1:30">
      <c r="A15" s="972"/>
      <c r="B15" s="973"/>
      <c r="C15" s="980"/>
      <c r="D15" s="975"/>
      <c r="E15" s="981"/>
      <c r="F15" s="981"/>
      <c r="G15" s="981"/>
      <c r="H15" s="981"/>
      <c r="I15" s="981"/>
      <c r="J15" s="981"/>
      <c r="K15" s="981"/>
      <c r="L15" s="981"/>
      <c r="M15" s="981"/>
      <c r="N15" s="981"/>
      <c r="O15" s="981"/>
      <c r="P15" s="982"/>
      <c r="Q15" s="978"/>
    </row>
    <row r="16" spans="1:30">
      <c r="A16" s="972"/>
      <c r="B16" s="973"/>
      <c r="C16" s="980"/>
      <c r="D16" s="975"/>
      <c r="E16" s="981"/>
      <c r="F16" s="981"/>
      <c r="G16" s="981"/>
      <c r="H16" s="981"/>
      <c r="I16" s="981"/>
      <c r="J16" s="981"/>
      <c r="K16" s="981"/>
      <c r="L16" s="981"/>
      <c r="M16" s="981"/>
      <c r="N16" s="981"/>
      <c r="O16" s="981"/>
      <c r="P16" s="982"/>
      <c r="Q16" s="978"/>
    </row>
    <row r="17" spans="1:17">
      <c r="A17" s="972"/>
      <c r="B17" s="973"/>
      <c r="C17" s="980"/>
      <c r="D17" s="975"/>
      <c r="E17" s="981"/>
      <c r="F17" s="981"/>
      <c r="G17" s="981"/>
      <c r="H17" s="981"/>
      <c r="I17" s="981"/>
      <c r="J17" s="981"/>
      <c r="K17" s="981"/>
      <c r="L17" s="981"/>
      <c r="M17" s="981"/>
      <c r="N17" s="981"/>
      <c r="O17" s="981"/>
      <c r="P17" s="982"/>
      <c r="Q17" s="978"/>
    </row>
    <row r="18" spans="1:17">
      <c r="A18" s="972"/>
      <c r="B18" s="973"/>
      <c r="C18" s="980"/>
      <c r="D18" s="975"/>
      <c r="E18" s="981"/>
      <c r="F18" s="981"/>
      <c r="G18" s="981"/>
      <c r="H18" s="981"/>
      <c r="I18" s="981"/>
      <c r="J18" s="981"/>
      <c r="K18" s="981"/>
      <c r="L18" s="981"/>
      <c r="M18" s="981"/>
      <c r="N18" s="981"/>
      <c r="O18" s="981"/>
      <c r="P18" s="982"/>
      <c r="Q18" s="978"/>
    </row>
    <row r="19" spans="1:17">
      <c r="A19" s="972"/>
      <c r="B19" s="973"/>
      <c r="C19" s="980"/>
      <c r="D19" s="975"/>
      <c r="E19" s="981"/>
      <c r="F19" s="981"/>
      <c r="G19" s="981"/>
      <c r="H19" s="981"/>
      <c r="I19" s="981"/>
      <c r="J19" s="981"/>
      <c r="K19" s="981"/>
      <c r="L19" s="981"/>
      <c r="M19" s="981"/>
      <c r="N19" s="981"/>
      <c r="O19" s="981"/>
      <c r="P19" s="982"/>
      <c r="Q19" s="978"/>
    </row>
    <row r="20" spans="1:17">
      <c r="A20" s="972"/>
      <c r="B20" s="973"/>
      <c r="C20" s="980"/>
      <c r="D20" s="975"/>
      <c r="E20" s="981"/>
      <c r="F20" s="981"/>
      <c r="G20" s="981"/>
      <c r="H20" s="981"/>
      <c r="I20" s="981"/>
      <c r="J20" s="981"/>
      <c r="K20" s="981"/>
      <c r="L20" s="981"/>
      <c r="M20" s="981"/>
      <c r="N20" s="981"/>
      <c r="O20" s="981"/>
      <c r="P20" s="982"/>
      <c r="Q20" s="978"/>
    </row>
    <row r="21" spans="1:17">
      <c r="A21" s="972"/>
      <c r="B21" s="973"/>
      <c r="C21" s="980"/>
      <c r="D21" s="975"/>
      <c r="E21" s="981"/>
      <c r="F21" s="981"/>
      <c r="G21" s="981"/>
      <c r="H21" s="981"/>
      <c r="I21" s="981"/>
      <c r="J21" s="981"/>
      <c r="K21" s="981"/>
      <c r="L21" s="981"/>
      <c r="M21" s="981"/>
      <c r="N21" s="981"/>
      <c r="O21" s="981"/>
      <c r="P21" s="982"/>
      <c r="Q21" s="978"/>
    </row>
    <row r="22" spans="1:17">
      <c r="A22" s="972"/>
      <c r="B22" s="973"/>
      <c r="C22" s="980"/>
      <c r="D22" s="975"/>
      <c r="E22" s="981"/>
      <c r="F22" s="981"/>
      <c r="G22" s="981"/>
      <c r="H22" s="981"/>
      <c r="I22" s="981"/>
      <c r="J22" s="981"/>
      <c r="K22" s="981"/>
      <c r="L22" s="981"/>
      <c r="M22" s="981"/>
      <c r="N22" s="981"/>
      <c r="O22" s="981"/>
      <c r="P22" s="982"/>
      <c r="Q22" s="978"/>
    </row>
    <row r="23" spans="1:17" s="963" customFormat="1">
      <c r="A23" s="972"/>
      <c r="B23" s="973"/>
      <c r="C23" s="980"/>
      <c r="D23" s="975"/>
      <c r="E23" s="981"/>
      <c r="F23" s="981"/>
      <c r="G23" s="981"/>
      <c r="H23" s="981"/>
      <c r="I23" s="981"/>
      <c r="J23" s="981"/>
      <c r="K23" s="981"/>
      <c r="L23" s="981"/>
      <c r="M23" s="981"/>
      <c r="N23" s="981"/>
      <c r="O23" s="981"/>
      <c r="P23" s="982"/>
      <c r="Q23" s="978"/>
    </row>
    <row r="24" spans="1:17" s="963" customFormat="1">
      <c r="A24" s="983"/>
      <c r="B24" s="983"/>
      <c r="D24" s="983"/>
      <c r="E24" s="983"/>
      <c r="F24" s="983"/>
      <c r="G24" s="983"/>
      <c r="H24" s="983"/>
      <c r="I24" s="983"/>
      <c r="J24" s="983"/>
      <c r="K24" s="983"/>
      <c r="L24" s="983"/>
      <c r="M24" s="983"/>
      <c r="N24" s="983"/>
      <c r="O24" s="983"/>
      <c r="Q24" s="978"/>
    </row>
    <row r="25" spans="1:17" s="963" customFormat="1">
      <c r="A25" s="983"/>
      <c r="B25" s="983"/>
      <c r="D25" s="983"/>
      <c r="E25" s="983"/>
      <c r="F25" s="983"/>
      <c r="G25" s="983"/>
      <c r="H25" s="983"/>
      <c r="I25" s="983"/>
      <c r="J25" s="983"/>
      <c r="K25" s="983"/>
      <c r="L25" s="983"/>
      <c r="M25" s="983"/>
      <c r="N25" s="983"/>
      <c r="O25" s="983"/>
      <c r="Q25" s="978"/>
    </row>
    <row r="26" spans="1:17" s="963" customFormat="1">
      <c r="A26" s="983"/>
      <c r="B26" s="983"/>
      <c r="D26" s="983"/>
      <c r="E26" s="983"/>
      <c r="F26" s="983"/>
      <c r="G26" s="983"/>
      <c r="H26" s="983"/>
      <c r="I26" s="983"/>
      <c r="J26" s="983"/>
      <c r="K26" s="983"/>
      <c r="L26" s="983"/>
      <c r="M26" s="983"/>
      <c r="N26" s="983"/>
      <c r="O26" s="983"/>
      <c r="Q26" s="978"/>
    </row>
    <row r="27" spans="1:17" s="963" customFormat="1">
      <c r="A27" s="983"/>
      <c r="B27" s="983"/>
      <c r="D27" s="983"/>
      <c r="E27" s="983"/>
      <c r="F27" s="983"/>
      <c r="G27" s="983"/>
      <c r="H27" s="983"/>
      <c r="I27" s="983"/>
      <c r="J27" s="983"/>
      <c r="K27" s="983"/>
      <c r="L27" s="983"/>
      <c r="M27" s="983"/>
      <c r="N27" s="983"/>
      <c r="O27" s="983"/>
      <c r="Q27" s="978"/>
    </row>
    <row r="28" spans="1:17" s="963" customFormat="1">
      <c r="A28" s="983"/>
      <c r="B28" s="983"/>
      <c r="D28" s="983"/>
      <c r="E28" s="983"/>
      <c r="F28" s="983"/>
      <c r="G28" s="983"/>
      <c r="H28" s="983"/>
      <c r="I28" s="983"/>
      <c r="J28" s="983"/>
      <c r="K28" s="983"/>
      <c r="L28" s="983"/>
      <c r="M28" s="983"/>
      <c r="N28" s="983"/>
      <c r="O28" s="983"/>
      <c r="Q28" s="978"/>
    </row>
    <row r="29" spans="1:17" s="963" customFormat="1">
      <c r="A29" s="983"/>
      <c r="B29" s="983"/>
      <c r="D29" s="983"/>
      <c r="E29" s="983"/>
      <c r="F29" s="983"/>
      <c r="G29" s="983"/>
      <c r="H29" s="983"/>
      <c r="I29" s="983"/>
      <c r="J29" s="983"/>
      <c r="K29" s="983"/>
      <c r="L29" s="983"/>
      <c r="M29" s="983"/>
      <c r="N29" s="983"/>
      <c r="O29" s="983"/>
      <c r="Q29" s="978"/>
    </row>
    <row r="30" spans="1:17" s="963" customFormat="1">
      <c r="A30" s="983"/>
      <c r="B30" s="983"/>
      <c r="D30" s="983"/>
      <c r="E30" s="983"/>
      <c r="F30" s="983"/>
      <c r="G30" s="983"/>
      <c r="H30" s="983"/>
      <c r="I30" s="983"/>
      <c r="J30" s="983"/>
      <c r="K30" s="983"/>
      <c r="L30" s="983"/>
      <c r="M30" s="983"/>
      <c r="N30" s="983"/>
      <c r="O30" s="983"/>
      <c r="Q30" s="978"/>
    </row>
    <row r="31" spans="1:17" s="963" customFormat="1">
      <c r="A31" s="983"/>
      <c r="B31" s="983"/>
      <c r="D31" s="983"/>
      <c r="E31" s="983"/>
      <c r="F31" s="983"/>
      <c r="G31" s="983"/>
      <c r="H31" s="983"/>
      <c r="I31" s="983"/>
      <c r="J31" s="983"/>
      <c r="K31" s="983"/>
      <c r="L31" s="983"/>
      <c r="M31" s="983"/>
      <c r="N31" s="983"/>
      <c r="O31" s="983"/>
      <c r="Q31" s="978"/>
    </row>
    <row r="32" spans="1:17" s="963" customFormat="1">
      <c r="A32" s="983"/>
      <c r="B32" s="983"/>
      <c r="D32" s="983"/>
      <c r="E32" s="983"/>
      <c r="F32" s="983"/>
      <c r="G32" s="983"/>
      <c r="H32" s="983"/>
      <c r="I32" s="983"/>
      <c r="J32" s="983"/>
      <c r="K32" s="983"/>
      <c r="L32" s="983"/>
      <c r="M32" s="983"/>
      <c r="N32" s="983"/>
      <c r="O32" s="983"/>
      <c r="Q32" s="978"/>
    </row>
    <row r="33" spans="1:17" s="963" customFormat="1">
      <c r="A33" s="983"/>
      <c r="B33" s="983"/>
      <c r="D33" s="983"/>
      <c r="E33" s="983"/>
      <c r="F33" s="983"/>
      <c r="G33" s="983"/>
      <c r="H33" s="983"/>
      <c r="I33" s="983"/>
      <c r="J33" s="983"/>
      <c r="K33" s="983"/>
      <c r="L33" s="983"/>
      <c r="M33" s="983"/>
      <c r="N33" s="983"/>
      <c r="O33" s="983"/>
      <c r="Q33" s="978"/>
    </row>
    <row r="34" spans="1:17" s="963" customFormat="1">
      <c r="A34" s="983"/>
      <c r="B34" s="983"/>
      <c r="D34" s="983"/>
      <c r="E34" s="983"/>
      <c r="F34" s="983"/>
      <c r="G34" s="983"/>
      <c r="H34" s="983"/>
      <c r="I34" s="983"/>
      <c r="J34" s="983"/>
      <c r="K34" s="983"/>
      <c r="L34" s="983"/>
      <c r="M34" s="983"/>
      <c r="N34" s="983"/>
      <c r="O34" s="983"/>
      <c r="Q34" s="978"/>
    </row>
    <row r="35" spans="1:17" s="963" customFormat="1">
      <c r="A35" s="983"/>
      <c r="B35" s="983"/>
      <c r="D35" s="983"/>
      <c r="E35" s="983"/>
      <c r="F35" s="983"/>
      <c r="G35" s="983"/>
      <c r="H35" s="983"/>
      <c r="I35" s="983"/>
      <c r="J35" s="983"/>
      <c r="K35" s="983"/>
      <c r="L35" s="983"/>
      <c r="M35" s="983"/>
      <c r="N35" s="983"/>
      <c r="O35" s="983"/>
      <c r="Q35" s="978"/>
    </row>
    <row r="36" spans="1:17" s="963" customFormat="1">
      <c r="A36" s="983"/>
      <c r="B36" s="983"/>
      <c r="D36" s="983"/>
      <c r="E36" s="983"/>
      <c r="F36" s="983"/>
      <c r="G36" s="983"/>
      <c r="H36" s="983"/>
      <c r="I36" s="983"/>
      <c r="J36" s="983"/>
      <c r="K36" s="983"/>
      <c r="L36" s="983"/>
      <c r="M36" s="983"/>
      <c r="N36" s="983"/>
      <c r="O36" s="983"/>
      <c r="Q36" s="978"/>
    </row>
    <row r="37" spans="1:17" s="963" customFormat="1">
      <c r="A37" s="983"/>
      <c r="B37" s="983"/>
      <c r="D37" s="983"/>
      <c r="E37" s="983"/>
      <c r="F37" s="983"/>
      <c r="G37" s="983"/>
      <c r="H37" s="983"/>
      <c r="I37" s="983"/>
      <c r="J37" s="983"/>
      <c r="K37" s="983"/>
      <c r="L37" s="983"/>
      <c r="M37" s="983"/>
      <c r="N37" s="983"/>
      <c r="O37" s="983"/>
      <c r="Q37" s="978"/>
    </row>
    <row r="38" spans="1:17" s="963" customFormat="1">
      <c r="A38" s="983"/>
      <c r="B38" s="983"/>
      <c r="D38" s="983"/>
      <c r="E38" s="983"/>
      <c r="F38" s="983"/>
      <c r="G38" s="983"/>
      <c r="H38" s="983"/>
      <c r="I38" s="983"/>
      <c r="J38" s="983"/>
      <c r="K38" s="983"/>
      <c r="L38" s="983"/>
      <c r="M38" s="983"/>
      <c r="N38" s="983"/>
      <c r="O38" s="983"/>
      <c r="Q38" s="978"/>
    </row>
    <row r="39" spans="1:17" s="963" customFormat="1">
      <c r="A39" s="983"/>
      <c r="B39" s="983"/>
      <c r="D39" s="983"/>
      <c r="E39" s="983"/>
      <c r="F39" s="983"/>
      <c r="G39" s="983"/>
      <c r="H39" s="983"/>
      <c r="I39" s="983"/>
      <c r="J39" s="983"/>
      <c r="K39" s="983"/>
      <c r="L39" s="983"/>
      <c r="M39" s="983"/>
      <c r="N39" s="983"/>
      <c r="O39" s="983"/>
      <c r="Q39" s="978"/>
    </row>
    <row r="40" spans="1:17" s="963" customFormat="1">
      <c r="A40" s="983"/>
      <c r="B40" s="983"/>
      <c r="D40" s="983"/>
      <c r="E40" s="983"/>
      <c r="F40" s="983"/>
      <c r="G40" s="983"/>
      <c r="H40" s="983"/>
      <c r="I40" s="983"/>
      <c r="J40" s="983"/>
      <c r="K40" s="983"/>
      <c r="L40" s="983"/>
      <c r="M40" s="983"/>
      <c r="N40" s="983"/>
      <c r="O40" s="983"/>
      <c r="Q40" s="978"/>
    </row>
    <row r="41" spans="1:17" s="963" customFormat="1">
      <c r="A41" s="983"/>
      <c r="B41" s="983"/>
      <c r="D41" s="983"/>
      <c r="E41" s="983"/>
      <c r="F41" s="983"/>
      <c r="G41" s="983"/>
      <c r="H41" s="983"/>
      <c r="I41" s="983"/>
      <c r="J41" s="983"/>
      <c r="K41" s="983"/>
      <c r="L41" s="983"/>
      <c r="M41" s="983"/>
      <c r="N41" s="983"/>
      <c r="O41" s="983"/>
      <c r="Q41" s="978"/>
    </row>
    <row r="42" spans="1:17" s="963" customFormat="1">
      <c r="A42" s="983"/>
      <c r="B42" s="983"/>
      <c r="D42" s="983"/>
      <c r="E42" s="983"/>
      <c r="F42" s="983"/>
      <c r="G42" s="983"/>
      <c r="H42" s="983"/>
      <c r="I42" s="983"/>
      <c r="J42" s="983"/>
      <c r="K42" s="983"/>
      <c r="L42" s="983"/>
      <c r="M42" s="983"/>
      <c r="N42" s="983"/>
      <c r="O42" s="983"/>
      <c r="Q42" s="978"/>
    </row>
    <row r="43" spans="1:17" s="963" customFormat="1">
      <c r="A43" s="983"/>
      <c r="B43" s="983"/>
      <c r="D43" s="983"/>
      <c r="E43" s="983"/>
      <c r="F43" s="983"/>
      <c r="G43" s="983"/>
      <c r="H43" s="983"/>
      <c r="I43" s="983"/>
      <c r="J43" s="983"/>
      <c r="K43" s="983"/>
      <c r="L43" s="983"/>
      <c r="M43" s="983"/>
      <c r="N43" s="983"/>
      <c r="O43" s="983"/>
      <c r="Q43" s="978"/>
    </row>
    <row r="44" spans="1:17" s="963" customFormat="1">
      <c r="A44" s="983"/>
      <c r="B44" s="983"/>
      <c r="D44" s="983"/>
      <c r="E44" s="983"/>
      <c r="F44" s="983"/>
      <c r="G44" s="983"/>
      <c r="H44" s="983"/>
      <c r="I44" s="983"/>
      <c r="J44" s="983"/>
      <c r="K44" s="983"/>
      <c r="L44" s="983"/>
      <c r="M44" s="983"/>
      <c r="N44" s="983"/>
      <c r="O44" s="983"/>
      <c r="Q44" s="978"/>
    </row>
    <row r="45" spans="1:17" s="963" customFormat="1">
      <c r="A45" s="983"/>
      <c r="B45" s="983"/>
      <c r="D45" s="983"/>
      <c r="E45" s="983"/>
      <c r="F45" s="983"/>
      <c r="G45" s="983"/>
      <c r="H45" s="983"/>
      <c r="I45" s="983"/>
      <c r="J45" s="983"/>
      <c r="K45" s="983"/>
      <c r="L45" s="983"/>
      <c r="M45" s="983"/>
      <c r="N45" s="983"/>
      <c r="O45" s="983"/>
      <c r="Q45" s="978"/>
    </row>
    <row r="46" spans="1:17" s="963" customFormat="1">
      <c r="A46" s="983"/>
      <c r="B46" s="983"/>
      <c r="D46" s="983"/>
      <c r="E46" s="983"/>
      <c r="F46" s="983"/>
      <c r="G46" s="983"/>
      <c r="H46" s="983"/>
      <c r="I46" s="983"/>
      <c r="J46" s="983"/>
      <c r="K46" s="983"/>
      <c r="L46" s="983"/>
      <c r="M46" s="983"/>
      <c r="N46" s="983"/>
      <c r="O46" s="983"/>
      <c r="Q46" s="978"/>
    </row>
    <row r="47" spans="1:17" s="963" customFormat="1">
      <c r="A47" s="983"/>
      <c r="B47" s="983"/>
      <c r="D47" s="983"/>
      <c r="E47" s="983"/>
      <c r="F47" s="983"/>
      <c r="G47" s="983"/>
      <c r="H47" s="983"/>
      <c r="I47" s="983"/>
      <c r="J47" s="983"/>
      <c r="K47" s="983"/>
      <c r="L47" s="983"/>
      <c r="M47" s="983"/>
      <c r="N47" s="983"/>
      <c r="O47" s="983"/>
      <c r="Q47" s="978"/>
    </row>
    <row r="48" spans="1:17" s="963" customFormat="1">
      <c r="A48" s="983"/>
      <c r="B48" s="983"/>
      <c r="D48" s="983"/>
      <c r="E48" s="983"/>
      <c r="F48" s="983"/>
      <c r="G48" s="983"/>
      <c r="H48" s="983"/>
      <c r="I48" s="983"/>
      <c r="J48" s="983"/>
      <c r="K48" s="983"/>
      <c r="L48" s="983"/>
      <c r="M48" s="983"/>
      <c r="N48" s="983"/>
      <c r="O48" s="983"/>
      <c r="Q48" s="978"/>
    </row>
    <row r="49" spans="1:17" s="963" customFormat="1">
      <c r="A49" s="983"/>
      <c r="B49" s="983"/>
      <c r="D49" s="983"/>
      <c r="E49" s="983"/>
      <c r="F49" s="983"/>
      <c r="G49" s="983"/>
      <c r="H49" s="983"/>
      <c r="I49" s="983"/>
      <c r="J49" s="983"/>
      <c r="K49" s="983"/>
      <c r="L49" s="983"/>
      <c r="M49" s="983"/>
      <c r="N49" s="983"/>
      <c r="O49" s="983"/>
      <c r="Q49" s="978"/>
    </row>
    <row r="50" spans="1:17" s="963" customFormat="1">
      <c r="A50" s="983"/>
      <c r="B50" s="983"/>
      <c r="D50" s="983"/>
      <c r="E50" s="983"/>
      <c r="F50" s="983"/>
      <c r="G50" s="983"/>
      <c r="H50" s="983"/>
      <c r="I50" s="983"/>
      <c r="J50" s="983"/>
      <c r="K50" s="983"/>
      <c r="L50" s="983"/>
      <c r="M50" s="983"/>
      <c r="N50" s="983"/>
      <c r="O50" s="983"/>
      <c r="Q50" s="978"/>
    </row>
    <row r="51" spans="1:17" s="963" customFormat="1">
      <c r="A51" s="983"/>
      <c r="B51" s="983"/>
      <c r="D51" s="983"/>
      <c r="E51" s="983"/>
      <c r="F51" s="983"/>
      <c r="G51" s="983"/>
      <c r="H51" s="983"/>
      <c r="I51" s="983"/>
      <c r="J51" s="983"/>
      <c r="K51" s="983"/>
      <c r="L51" s="983"/>
      <c r="M51" s="983"/>
      <c r="N51" s="983"/>
      <c r="O51" s="983"/>
      <c r="Q51" s="978"/>
    </row>
    <row r="52" spans="1:17" s="963" customFormat="1">
      <c r="A52" s="983"/>
      <c r="B52" s="983"/>
      <c r="D52" s="983"/>
      <c r="E52" s="983"/>
      <c r="F52" s="983"/>
      <c r="G52" s="983"/>
      <c r="H52" s="983"/>
      <c r="I52" s="983"/>
      <c r="J52" s="983"/>
      <c r="K52" s="983"/>
      <c r="L52" s="983"/>
      <c r="M52" s="983"/>
      <c r="N52" s="983"/>
      <c r="O52" s="983"/>
      <c r="Q52" s="978"/>
    </row>
    <row r="53" spans="1:17" s="963" customFormat="1">
      <c r="A53" s="983"/>
      <c r="B53" s="983"/>
      <c r="D53" s="983"/>
      <c r="E53" s="983"/>
      <c r="F53" s="983"/>
      <c r="G53" s="983"/>
      <c r="H53" s="983"/>
      <c r="I53" s="983"/>
      <c r="J53" s="983"/>
      <c r="K53" s="983"/>
      <c r="L53" s="983"/>
      <c r="M53" s="983"/>
      <c r="N53" s="983"/>
      <c r="O53" s="983"/>
      <c r="Q53" s="978"/>
    </row>
    <row r="54" spans="1:17" s="963" customFormat="1">
      <c r="A54" s="983"/>
      <c r="B54" s="983"/>
      <c r="D54" s="983"/>
      <c r="E54" s="983"/>
      <c r="F54" s="983"/>
      <c r="G54" s="983"/>
      <c r="H54" s="983"/>
      <c r="I54" s="983"/>
      <c r="J54" s="983"/>
      <c r="K54" s="983"/>
      <c r="L54" s="983"/>
      <c r="M54" s="983"/>
      <c r="N54" s="983"/>
      <c r="O54" s="983"/>
      <c r="Q54" s="978"/>
    </row>
    <row r="55" spans="1:17" s="963" customFormat="1">
      <c r="A55" s="983"/>
      <c r="B55" s="983"/>
      <c r="D55" s="983"/>
      <c r="E55" s="983"/>
      <c r="F55" s="983"/>
      <c r="G55" s="983"/>
      <c r="H55" s="983"/>
      <c r="I55" s="983"/>
      <c r="J55" s="983"/>
      <c r="K55" s="983"/>
      <c r="L55" s="983"/>
      <c r="M55" s="983"/>
      <c r="N55" s="983"/>
      <c r="O55" s="983"/>
      <c r="Q55" s="978"/>
    </row>
    <row r="56" spans="1:17" s="963" customFormat="1">
      <c r="A56" s="983"/>
      <c r="B56" s="983"/>
      <c r="D56" s="983"/>
      <c r="E56" s="983"/>
      <c r="F56" s="983"/>
      <c r="G56" s="983"/>
      <c r="H56" s="983"/>
      <c r="I56" s="983"/>
      <c r="J56" s="983"/>
      <c r="K56" s="983"/>
      <c r="L56" s="983"/>
      <c r="M56" s="983"/>
      <c r="N56" s="983"/>
      <c r="O56" s="983"/>
      <c r="Q56" s="978"/>
    </row>
    <row r="57" spans="1:17" s="963" customFormat="1">
      <c r="A57" s="983"/>
      <c r="B57" s="983"/>
      <c r="D57" s="983"/>
      <c r="E57" s="983"/>
      <c r="F57" s="983"/>
      <c r="G57" s="983"/>
      <c r="H57" s="983"/>
      <c r="I57" s="983"/>
      <c r="J57" s="983"/>
      <c r="K57" s="983"/>
      <c r="L57" s="983"/>
      <c r="M57" s="983"/>
      <c r="N57" s="983"/>
      <c r="O57" s="983"/>
      <c r="Q57" s="978"/>
    </row>
    <row r="58" spans="1:17" s="963" customFormat="1">
      <c r="A58" s="983"/>
      <c r="B58" s="983"/>
      <c r="D58" s="983"/>
      <c r="E58" s="983"/>
      <c r="F58" s="983"/>
      <c r="G58" s="983"/>
      <c r="H58" s="983"/>
      <c r="I58" s="983"/>
      <c r="J58" s="983"/>
      <c r="K58" s="983"/>
      <c r="L58" s="983"/>
      <c r="M58" s="983"/>
      <c r="N58" s="983"/>
      <c r="O58" s="983"/>
      <c r="Q58" s="978"/>
    </row>
    <row r="59" spans="1:17" s="963" customFormat="1">
      <c r="A59" s="983"/>
      <c r="B59" s="983"/>
      <c r="D59" s="983"/>
      <c r="E59" s="983"/>
      <c r="F59" s="983"/>
      <c r="G59" s="983"/>
      <c r="H59" s="983"/>
      <c r="I59" s="983"/>
      <c r="J59" s="983"/>
      <c r="K59" s="983"/>
      <c r="L59" s="983"/>
      <c r="M59" s="983"/>
      <c r="N59" s="983"/>
      <c r="O59" s="983"/>
      <c r="Q59" s="973"/>
    </row>
    <row r="60" spans="1:17" s="963" customFormat="1">
      <c r="A60" s="983"/>
      <c r="B60" s="983"/>
      <c r="D60" s="983"/>
      <c r="E60" s="983"/>
      <c r="F60" s="983"/>
      <c r="G60" s="983"/>
      <c r="H60" s="983"/>
      <c r="I60" s="983"/>
      <c r="J60" s="983"/>
      <c r="K60" s="983"/>
      <c r="L60" s="983"/>
      <c r="M60" s="983"/>
      <c r="N60" s="983"/>
      <c r="O60" s="983"/>
      <c r="Q60" s="973"/>
    </row>
    <row r="61" spans="1:17" s="963" customFormat="1">
      <c r="A61" s="983"/>
      <c r="B61" s="983"/>
      <c r="D61" s="983"/>
      <c r="E61" s="983"/>
      <c r="F61" s="983"/>
      <c r="G61" s="983"/>
      <c r="H61" s="983"/>
      <c r="I61" s="983"/>
      <c r="J61" s="983"/>
      <c r="K61" s="983"/>
      <c r="L61" s="983"/>
      <c r="M61" s="983"/>
      <c r="N61" s="983"/>
      <c r="O61" s="983"/>
      <c r="Q61" s="973"/>
    </row>
    <row r="62" spans="1:17" s="963" customFormat="1">
      <c r="A62" s="983"/>
      <c r="B62" s="983"/>
      <c r="D62" s="983"/>
      <c r="E62" s="983"/>
      <c r="F62" s="983"/>
      <c r="G62" s="983"/>
      <c r="H62" s="983"/>
      <c r="I62" s="983"/>
      <c r="J62" s="983"/>
      <c r="K62" s="983"/>
      <c r="L62" s="983"/>
      <c r="M62" s="983"/>
      <c r="N62" s="983"/>
      <c r="O62" s="983"/>
      <c r="Q62" s="973"/>
    </row>
    <row r="63" spans="1:17" s="963" customFormat="1">
      <c r="A63" s="983"/>
      <c r="B63" s="983"/>
      <c r="D63" s="983"/>
      <c r="E63" s="983"/>
      <c r="F63" s="983"/>
      <c r="G63" s="983"/>
      <c r="H63" s="983"/>
      <c r="I63" s="983"/>
      <c r="J63" s="983"/>
      <c r="K63" s="983"/>
      <c r="L63" s="983"/>
      <c r="M63" s="983"/>
      <c r="N63" s="983"/>
      <c r="O63" s="983"/>
      <c r="Q63" s="973"/>
    </row>
    <row r="64" spans="1:17" s="963" customFormat="1">
      <c r="A64" s="983"/>
      <c r="B64" s="983"/>
      <c r="D64" s="983"/>
      <c r="E64" s="983"/>
      <c r="F64" s="983"/>
      <c r="G64" s="983"/>
      <c r="H64" s="983"/>
      <c r="I64" s="983"/>
      <c r="J64" s="983"/>
      <c r="K64" s="983"/>
      <c r="L64" s="983"/>
      <c r="M64" s="983"/>
      <c r="N64" s="983"/>
      <c r="O64" s="983"/>
      <c r="Q64" s="973"/>
    </row>
    <row r="65" spans="1:17" s="963" customFormat="1">
      <c r="A65" s="983"/>
      <c r="B65" s="983"/>
      <c r="D65" s="983"/>
      <c r="E65" s="983"/>
      <c r="F65" s="983"/>
      <c r="G65" s="983"/>
      <c r="H65" s="983"/>
      <c r="I65" s="983"/>
      <c r="J65" s="983"/>
      <c r="K65" s="983"/>
      <c r="L65" s="983"/>
      <c r="M65" s="983"/>
      <c r="N65" s="983"/>
      <c r="O65" s="983"/>
      <c r="Q65" s="973"/>
    </row>
    <row r="66" spans="1:17" s="963" customFormat="1">
      <c r="A66" s="983"/>
      <c r="B66" s="983"/>
      <c r="D66" s="983"/>
      <c r="E66" s="983"/>
      <c r="F66" s="983"/>
      <c r="G66" s="983"/>
      <c r="H66" s="983"/>
      <c r="I66" s="983"/>
      <c r="J66" s="983"/>
      <c r="K66" s="983"/>
      <c r="L66" s="983"/>
      <c r="M66" s="983"/>
      <c r="N66" s="983"/>
      <c r="O66" s="983"/>
      <c r="Q66" s="973"/>
    </row>
    <row r="67" spans="1:17" s="963" customFormat="1">
      <c r="A67" s="983"/>
      <c r="B67" s="983"/>
      <c r="D67" s="983"/>
      <c r="E67" s="983"/>
      <c r="F67" s="983"/>
      <c r="G67" s="983"/>
      <c r="H67" s="983"/>
      <c r="I67" s="983"/>
      <c r="J67" s="983"/>
      <c r="K67" s="983"/>
      <c r="L67" s="983"/>
      <c r="M67" s="983"/>
      <c r="N67" s="983"/>
      <c r="O67" s="983"/>
      <c r="Q67" s="973"/>
    </row>
    <row r="68" spans="1:17" s="963" customFormat="1">
      <c r="A68" s="983"/>
      <c r="B68" s="983"/>
      <c r="D68" s="983"/>
      <c r="E68" s="983"/>
      <c r="F68" s="983"/>
      <c r="G68" s="983"/>
      <c r="H68" s="983"/>
      <c r="I68" s="983"/>
      <c r="J68" s="983"/>
      <c r="K68" s="983"/>
      <c r="L68" s="983"/>
      <c r="M68" s="983"/>
      <c r="N68" s="983"/>
      <c r="O68" s="983"/>
      <c r="Q68" s="973"/>
    </row>
    <row r="69" spans="1:17" s="963" customFormat="1">
      <c r="A69" s="983"/>
      <c r="B69" s="983"/>
      <c r="D69" s="983"/>
      <c r="E69" s="983"/>
      <c r="F69" s="983"/>
      <c r="G69" s="983"/>
      <c r="H69" s="983"/>
      <c r="I69" s="983"/>
      <c r="J69" s="983"/>
      <c r="K69" s="983"/>
      <c r="L69" s="983"/>
      <c r="M69" s="983"/>
      <c r="N69" s="983"/>
      <c r="O69" s="983"/>
      <c r="Q69" s="973"/>
    </row>
    <row r="70" spans="1:17" s="963" customFormat="1">
      <c r="A70" s="983"/>
      <c r="B70" s="983"/>
      <c r="D70" s="983"/>
      <c r="E70" s="983"/>
      <c r="F70" s="983"/>
      <c r="G70" s="983"/>
      <c r="H70" s="983"/>
      <c r="I70" s="983"/>
      <c r="J70" s="983"/>
      <c r="K70" s="983"/>
      <c r="L70" s="983"/>
      <c r="M70" s="983"/>
      <c r="N70" s="983"/>
      <c r="O70" s="983"/>
      <c r="Q70" s="973"/>
    </row>
    <row r="71" spans="1:17" s="963" customFormat="1">
      <c r="A71" s="983"/>
      <c r="B71" s="983"/>
      <c r="D71" s="983"/>
      <c r="E71" s="983"/>
      <c r="F71" s="983"/>
      <c r="G71" s="983"/>
      <c r="H71" s="983"/>
      <c r="I71" s="983"/>
      <c r="J71" s="983"/>
      <c r="K71" s="983"/>
      <c r="L71" s="983"/>
      <c r="M71" s="983"/>
      <c r="N71" s="983"/>
      <c r="O71" s="983"/>
      <c r="Q71" s="973"/>
    </row>
    <row r="72" spans="1:17" s="963" customFormat="1">
      <c r="A72" s="983"/>
      <c r="B72" s="983"/>
      <c r="D72" s="983"/>
      <c r="E72" s="983"/>
      <c r="F72" s="983"/>
      <c r="G72" s="983"/>
      <c r="H72" s="983"/>
      <c r="I72" s="983"/>
      <c r="J72" s="983"/>
      <c r="K72" s="983"/>
      <c r="L72" s="983"/>
      <c r="M72" s="983"/>
      <c r="N72" s="983"/>
      <c r="O72" s="983"/>
      <c r="Q72" s="973"/>
    </row>
    <row r="73" spans="1:17" s="963" customFormat="1">
      <c r="A73" s="983"/>
      <c r="B73" s="983"/>
      <c r="D73" s="983"/>
      <c r="E73" s="983"/>
      <c r="F73" s="983"/>
      <c r="G73" s="983"/>
      <c r="H73" s="983"/>
      <c r="I73" s="983"/>
      <c r="J73" s="983"/>
      <c r="K73" s="983"/>
      <c r="L73" s="983"/>
      <c r="M73" s="983"/>
      <c r="N73" s="983"/>
      <c r="O73" s="983"/>
      <c r="Q73" s="973"/>
    </row>
    <row r="74" spans="1:17" s="963" customFormat="1">
      <c r="A74" s="983"/>
      <c r="B74" s="983"/>
      <c r="D74" s="983"/>
      <c r="E74" s="983"/>
      <c r="F74" s="983"/>
      <c r="G74" s="983"/>
      <c r="H74" s="983"/>
      <c r="I74" s="983"/>
      <c r="J74" s="983"/>
      <c r="K74" s="983"/>
      <c r="L74" s="983"/>
      <c r="M74" s="983"/>
      <c r="N74" s="983"/>
      <c r="O74" s="983"/>
      <c r="Q74" s="973"/>
    </row>
    <row r="75" spans="1:17" s="963" customFormat="1">
      <c r="A75" s="983"/>
      <c r="B75" s="983"/>
      <c r="D75" s="983"/>
      <c r="E75" s="983"/>
      <c r="F75" s="983"/>
      <c r="G75" s="983"/>
      <c r="H75" s="983"/>
      <c r="I75" s="983"/>
      <c r="J75" s="983"/>
      <c r="K75" s="983"/>
      <c r="L75" s="983"/>
      <c r="M75" s="983"/>
      <c r="N75" s="983"/>
      <c r="O75" s="983"/>
      <c r="Q75" s="973"/>
    </row>
    <row r="76" spans="1:17" s="963" customFormat="1">
      <c r="A76" s="983"/>
      <c r="B76" s="983"/>
      <c r="D76" s="983"/>
      <c r="E76" s="983"/>
      <c r="F76" s="983"/>
      <c r="G76" s="983"/>
      <c r="H76" s="983"/>
      <c r="I76" s="983"/>
      <c r="J76" s="983"/>
      <c r="K76" s="983"/>
      <c r="L76" s="983"/>
      <c r="M76" s="983"/>
      <c r="N76" s="983"/>
      <c r="O76" s="983"/>
      <c r="Q76" s="973"/>
    </row>
    <row r="77" spans="1:17" s="963" customFormat="1">
      <c r="A77" s="983"/>
      <c r="B77" s="983"/>
      <c r="D77" s="983"/>
      <c r="E77" s="983"/>
      <c r="F77" s="983"/>
      <c r="G77" s="983"/>
      <c r="H77" s="983"/>
      <c r="I77" s="983"/>
      <c r="J77" s="983"/>
      <c r="K77" s="983"/>
      <c r="L77" s="983"/>
      <c r="M77" s="983"/>
      <c r="N77" s="983"/>
      <c r="O77" s="983"/>
      <c r="Q77" s="973"/>
    </row>
    <row r="78" spans="1:17" s="963" customFormat="1">
      <c r="A78" s="983"/>
      <c r="B78" s="983"/>
      <c r="D78" s="983"/>
      <c r="E78" s="983"/>
      <c r="F78" s="983"/>
      <c r="G78" s="983"/>
      <c r="H78" s="983"/>
      <c r="I78" s="983"/>
      <c r="J78" s="983"/>
      <c r="K78" s="983"/>
      <c r="L78" s="983"/>
      <c r="M78" s="983"/>
      <c r="N78" s="983"/>
      <c r="O78" s="983"/>
      <c r="Q78" s="973"/>
    </row>
    <row r="79" spans="1:17" s="963" customFormat="1">
      <c r="A79" s="983"/>
      <c r="B79" s="983"/>
      <c r="D79" s="983"/>
      <c r="E79" s="983"/>
      <c r="F79" s="983"/>
      <c r="G79" s="983"/>
      <c r="H79" s="983"/>
      <c r="I79" s="983"/>
      <c r="J79" s="983"/>
      <c r="K79" s="983"/>
      <c r="L79" s="983"/>
      <c r="M79" s="983"/>
      <c r="N79" s="983"/>
      <c r="O79" s="983"/>
      <c r="Q79" s="973"/>
    </row>
    <row r="80" spans="1:17" s="963" customFormat="1">
      <c r="A80" s="983"/>
      <c r="B80" s="983"/>
      <c r="D80" s="983"/>
      <c r="E80" s="983"/>
      <c r="F80" s="983"/>
      <c r="G80" s="983"/>
      <c r="H80" s="983"/>
      <c r="I80" s="983"/>
      <c r="J80" s="983"/>
      <c r="K80" s="983"/>
      <c r="L80" s="983"/>
      <c r="M80" s="983"/>
      <c r="N80" s="983"/>
      <c r="O80" s="983"/>
      <c r="Q80" s="973"/>
    </row>
    <row r="81" spans="1:17" s="963" customFormat="1">
      <c r="A81" s="983"/>
      <c r="B81" s="983"/>
      <c r="D81" s="983"/>
      <c r="E81" s="983"/>
      <c r="F81" s="983"/>
      <c r="G81" s="983"/>
      <c r="H81" s="983"/>
      <c r="I81" s="983"/>
      <c r="J81" s="983"/>
      <c r="K81" s="983"/>
      <c r="L81" s="983"/>
      <c r="M81" s="983"/>
      <c r="N81" s="983"/>
      <c r="O81" s="983"/>
      <c r="Q81" s="973"/>
    </row>
    <row r="82" spans="1:17" s="963" customFormat="1">
      <c r="A82" s="983"/>
      <c r="B82" s="983"/>
      <c r="D82" s="983"/>
      <c r="E82" s="983"/>
      <c r="F82" s="983"/>
      <c r="G82" s="983"/>
      <c r="H82" s="983"/>
      <c r="I82" s="983"/>
      <c r="J82" s="983"/>
      <c r="K82" s="983"/>
      <c r="L82" s="983"/>
      <c r="M82" s="983"/>
      <c r="N82" s="983"/>
      <c r="O82" s="983"/>
      <c r="Q82" s="973"/>
    </row>
    <row r="83" spans="1:17" s="963" customFormat="1">
      <c r="A83" s="983"/>
      <c r="B83" s="983"/>
      <c r="D83" s="983"/>
      <c r="E83" s="983"/>
      <c r="F83" s="983"/>
      <c r="G83" s="983"/>
      <c r="H83" s="983"/>
      <c r="I83" s="983"/>
      <c r="J83" s="983"/>
      <c r="K83" s="983"/>
      <c r="L83" s="983"/>
      <c r="M83" s="983"/>
      <c r="N83" s="983"/>
      <c r="O83" s="983"/>
      <c r="Q83" s="973"/>
    </row>
    <row r="84" spans="1:17" s="963" customFormat="1">
      <c r="A84" s="983"/>
      <c r="B84" s="983"/>
      <c r="D84" s="983"/>
      <c r="E84" s="983"/>
      <c r="F84" s="983"/>
      <c r="G84" s="983"/>
      <c r="H84" s="983"/>
      <c r="I84" s="983"/>
      <c r="J84" s="983"/>
      <c r="K84" s="983"/>
      <c r="L84" s="983"/>
      <c r="M84" s="983"/>
      <c r="N84" s="983"/>
      <c r="O84" s="983"/>
      <c r="Q84" s="973"/>
    </row>
    <row r="85" spans="1:17" s="963" customFormat="1">
      <c r="A85" s="983"/>
      <c r="B85" s="983"/>
      <c r="D85" s="983"/>
      <c r="E85" s="983"/>
      <c r="F85" s="983"/>
      <c r="G85" s="983"/>
      <c r="H85" s="983"/>
      <c r="I85" s="983"/>
      <c r="J85" s="983"/>
      <c r="K85" s="983"/>
      <c r="L85" s="983"/>
      <c r="M85" s="983"/>
      <c r="N85" s="983"/>
      <c r="O85" s="983"/>
      <c r="Q85" s="973"/>
    </row>
    <row r="86" spans="1:17" s="963" customFormat="1">
      <c r="A86" s="983"/>
      <c r="B86" s="983"/>
      <c r="D86" s="983"/>
      <c r="E86" s="983"/>
      <c r="F86" s="983"/>
      <c r="G86" s="983"/>
      <c r="H86" s="983"/>
      <c r="I86" s="983"/>
      <c r="J86" s="983"/>
      <c r="K86" s="983"/>
      <c r="L86" s="983"/>
      <c r="M86" s="983"/>
      <c r="N86" s="983"/>
      <c r="O86" s="983"/>
      <c r="Q86" s="973"/>
    </row>
    <row r="87" spans="1:17" s="963" customFormat="1">
      <c r="A87" s="983"/>
      <c r="B87" s="983"/>
      <c r="D87" s="983"/>
      <c r="E87" s="983"/>
      <c r="F87" s="983"/>
      <c r="G87" s="983"/>
      <c r="H87" s="983"/>
      <c r="I87" s="983"/>
      <c r="J87" s="983"/>
      <c r="K87" s="983"/>
      <c r="L87" s="983"/>
      <c r="M87" s="983"/>
      <c r="N87" s="983"/>
      <c r="O87" s="983"/>
      <c r="Q87" s="973"/>
    </row>
    <row r="88" spans="1:17" s="963" customFormat="1">
      <c r="A88" s="983"/>
      <c r="B88" s="983"/>
      <c r="D88" s="983"/>
      <c r="E88" s="983"/>
      <c r="F88" s="983"/>
      <c r="G88" s="983"/>
      <c r="H88" s="983"/>
      <c r="I88" s="983"/>
      <c r="J88" s="983"/>
      <c r="K88" s="983"/>
      <c r="L88" s="983"/>
      <c r="M88" s="983"/>
      <c r="N88" s="983"/>
      <c r="O88" s="983"/>
      <c r="Q88" s="973"/>
    </row>
    <row r="89" spans="1:17" s="963" customFormat="1">
      <c r="A89" s="983"/>
      <c r="B89" s="983"/>
      <c r="D89" s="983"/>
      <c r="E89" s="983"/>
      <c r="F89" s="983"/>
      <c r="G89" s="983"/>
      <c r="H89" s="983"/>
      <c r="I89" s="983"/>
      <c r="J89" s="983"/>
      <c r="K89" s="983"/>
      <c r="L89" s="983"/>
      <c r="M89" s="983"/>
      <c r="N89" s="983"/>
      <c r="O89" s="983"/>
      <c r="Q89" s="973"/>
    </row>
    <row r="90" spans="1:17" s="963" customFormat="1">
      <c r="A90" s="983"/>
      <c r="B90" s="983"/>
      <c r="D90" s="983"/>
      <c r="E90" s="983"/>
      <c r="F90" s="983"/>
      <c r="G90" s="983"/>
      <c r="H90" s="983"/>
      <c r="I90" s="983"/>
      <c r="J90" s="983"/>
      <c r="K90" s="983"/>
      <c r="L90" s="983"/>
      <c r="M90" s="983"/>
      <c r="N90" s="983"/>
      <c r="O90" s="983"/>
      <c r="Q90" s="973"/>
    </row>
    <row r="91" spans="1:17" s="963" customFormat="1">
      <c r="A91" s="983"/>
      <c r="B91" s="983"/>
      <c r="D91" s="983"/>
      <c r="E91" s="983"/>
      <c r="F91" s="983"/>
      <c r="G91" s="983"/>
      <c r="H91" s="983"/>
      <c r="I91" s="983"/>
      <c r="J91" s="983"/>
      <c r="K91" s="983"/>
      <c r="L91" s="983"/>
      <c r="M91" s="983"/>
      <c r="N91" s="983"/>
      <c r="O91" s="983"/>
      <c r="Q91" s="973"/>
    </row>
    <row r="92" spans="1:17" s="963" customFormat="1">
      <c r="A92" s="983"/>
      <c r="B92" s="983"/>
      <c r="D92" s="983"/>
      <c r="E92" s="983"/>
      <c r="F92" s="983"/>
      <c r="G92" s="983"/>
      <c r="H92" s="983"/>
      <c r="I92" s="983"/>
      <c r="J92" s="983"/>
      <c r="K92" s="983"/>
      <c r="L92" s="983"/>
      <c r="M92" s="983"/>
      <c r="N92" s="983"/>
      <c r="O92" s="983"/>
      <c r="Q92" s="973"/>
    </row>
    <row r="93" spans="1:17" s="963" customFormat="1">
      <c r="A93" s="983"/>
      <c r="B93" s="983"/>
      <c r="D93" s="983"/>
      <c r="E93" s="983"/>
      <c r="F93" s="983"/>
      <c r="G93" s="983"/>
      <c r="H93" s="983"/>
      <c r="I93" s="983"/>
      <c r="J93" s="983"/>
      <c r="K93" s="983"/>
      <c r="L93" s="983"/>
      <c r="M93" s="983"/>
      <c r="N93" s="983"/>
      <c r="O93" s="983"/>
      <c r="Q93" s="973"/>
    </row>
    <row r="94" spans="1:17" s="963" customFormat="1">
      <c r="A94" s="983"/>
      <c r="B94" s="983"/>
      <c r="D94" s="983"/>
      <c r="E94" s="983"/>
      <c r="F94" s="983"/>
      <c r="G94" s="983"/>
      <c r="H94" s="983"/>
      <c r="I94" s="983"/>
      <c r="J94" s="983"/>
      <c r="K94" s="983"/>
      <c r="L94" s="983"/>
      <c r="M94" s="983"/>
      <c r="N94" s="983"/>
      <c r="O94" s="983"/>
      <c r="Q94" s="973"/>
    </row>
    <row r="95" spans="1:17" s="963" customFormat="1">
      <c r="A95" s="983"/>
      <c r="B95" s="983"/>
      <c r="D95" s="983"/>
      <c r="E95" s="983"/>
      <c r="F95" s="983"/>
      <c r="G95" s="983"/>
      <c r="H95" s="983"/>
      <c r="I95" s="983"/>
      <c r="J95" s="983"/>
      <c r="K95" s="983"/>
      <c r="L95" s="983"/>
      <c r="M95" s="983"/>
      <c r="N95" s="983"/>
      <c r="O95" s="983"/>
      <c r="Q95" s="973"/>
    </row>
    <row r="96" spans="1:17" s="963" customFormat="1">
      <c r="A96" s="983"/>
      <c r="B96" s="983"/>
      <c r="D96" s="983"/>
      <c r="E96" s="983"/>
      <c r="F96" s="983"/>
      <c r="G96" s="983"/>
      <c r="H96" s="983"/>
      <c r="I96" s="983"/>
      <c r="J96" s="983"/>
      <c r="K96" s="983"/>
      <c r="L96" s="983"/>
      <c r="M96" s="983"/>
      <c r="N96" s="983"/>
      <c r="O96" s="983"/>
      <c r="Q96" s="973"/>
    </row>
    <row r="97" spans="1:17" s="963" customFormat="1">
      <c r="A97" s="983"/>
      <c r="B97" s="983"/>
      <c r="D97" s="983"/>
      <c r="E97" s="983"/>
      <c r="F97" s="983"/>
      <c r="G97" s="983"/>
      <c r="H97" s="983"/>
      <c r="I97" s="983"/>
      <c r="J97" s="983"/>
      <c r="K97" s="983"/>
      <c r="L97" s="983"/>
      <c r="M97" s="983"/>
      <c r="N97" s="983"/>
      <c r="O97" s="983"/>
      <c r="Q97" s="973"/>
    </row>
    <row r="98" spans="1:17" s="963" customFormat="1">
      <c r="A98" s="983"/>
      <c r="B98" s="983"/>
      <c r="D98" s="983"/>
      <c r="E98" s="983"/>
      <c r="F98" s="983"/>
      <c r="G98" s="983"/>
      <c r="H98" s="983"/>
      <c r="I98" s="983"/>
      <c r="J98" s="983"/>
      <c r="K98" s="983"/>
      <c r="L98" s="983"/>
      <c r="M98" s="983"/>
      <c r="N98" s="983"/>
      <c r="O98" s="983"/>
      <c r="Q98" s="973"/>
    </row>
    <row r="99" spans="1:17" s="963" customFormat="1">
      <c r="A99" s="983"/>
      <c r="B99" s="983"/>
      <c r="D99" s="983"/>
      <c r="E99" s="983"/>
      <c r="F99" s="983"/>
      <c r="G99" s="983"/>
      <c r="H99" s="983"/>
      <c r="I99" s="983"/>
      <c r="J99" s="983"/>
      <c r="K99" s="983"/>
      <c r="L99" s="983"/>
      <c r="M99" s="983"/>
      <c r="N99" s="983"/>
      <c r="O99" s="983"/>
      <c r="Q99" s="973"/>
    </row>
    <row r="100" spans="1:17" s="963" customFormat="1">
      <c r="A100" s="983"/>
      <c r="B100" s="983"/>
      <c r="D100" s="983"/>
      <c r="E100" s="983"/>
      <c r="F100" s="983"/>
      <c r="G100" s="983"/>
      <c r="H100" s="983"/>
      <c r="I100" s="983"/>
      <c r="J100" s="983"/>
      <c r="K100" s="983"/>
      <c r="L100" s="983"/>
      <c r="M100" s="983"/>
      <c r="N100" s="983"/>
      <c r="O100" s="983"/>
      <c r="Q100" s="973"/>
    </row>
    <row r="101" spans="1:17" s="963" customFormat="1">
      <c r="A101" s="983"/>
      <c r="B101" s="983"/>
      <c r="D101" s="983"/>
      <c r="E101" s="983"/>
      <c r="F101" s="983"/>
      <c r="G101" s="983"/>
      <c r="H101" s="983"/>
      <c r="I101" s="983"/>
      <c r="J101" s="983"/>
      <c r="K101" s="983"/>
      <c r="L101" s="983"/>
      <c r="M101" s="983"/>
      <c r="N101" s="983"/>
      <c r="O101" s="983"/>
      <c r="Q101" s="973"/>
    </row>
    <row r="102" spans="1:17" s="963" customFormat="1">
      <c r="A102" s="983"/>
      <c r="B102" s="983"/>
      <c r="D102" s="983"/>
      <c r="E102" s="983"/>
      <c r="F102" s="983"/>
      <c r="G102" s="983"/>
      <c r="H102" s="983"/>
      <c r="I102" s="983"/>
      <c r="J102" s="983"/>
      <c r="K102" s="983"/>
      <c r="L102" s="983"/>
      <c r="M102" s="983"/>
      <c r="N102" s="983"/>
      <c r="O102" s="983"/>
      <c r="Q102" s="973"/>
    </row>
    <row r="103" spans="1:17" s="963" customFormat="1">
      <c r="A103" s="983"/>
      <c r="B103" s="983"/>
      <c r="D103" s="983"/>
      <c r="E103" s="983"/>
      <c r="F103" s="983"/>
      <c r="G103" s="983"/>
      <c r="H103" s="983"/>
      <c r="I103" s="983"/>
      <c r="J103" s="983"/>
      <c r="K103" s="983"/>
      <c r="L103" s="983"/>
      <c r="M103" s="983"/>
      <c r="N103" s="983"/>
      <c r="O103" s="983"/>
      <c r="Q103" s="973"/>
    </row>
    <row r="104" spans="1:17" s="963" customFormat="1">
      <c r="A104" s="983"/>
      <c r="B104" s="983"/>
      <c r="D104" s="983"/>
      <c r="E104" s="983"/>
      <c r="F104" s="983"/>
      <c r="G104" s="983"/>
      <c r="H104" s="983"/>
      <c r="I104" s="983"/>
      <c r="J104" s="983"/>
      <c r="K104" s="983"/>
      <c r="L104" s="983"/>
      <c r="M104" s="983"/>
      <c r="N104" s="983"/>
      <c r="O104" s="983"/>
      <c r="Q104" s="973"/>
    </row>
    <row r="105" spans="1:17" s="963" customFormat="1">
      <c r="A105" s="983"/>
      <c r="B105" s="983"/>
      <c r="D105" s="983"/>
      <c r="E105" s="983"/>
      <c r="F105" s="983"/>
      <c r="G105" s="983"/>
      <c r="H105" s="983"/>
      <c r="I105" s="983"/>
      <c r="J105" s="983"/>
      <c r="K105" s="983"/>
      <c r="L105" s="983"/>
      <c r="M105" s="983"/>
      <c r="N105" s="983"/>
      <c r="O105" s="983"/>
      <c r="Q105" s="973"/>
    </row>
    <row r="106" spans="1:17" s="963" customFormat="1">
      <c r="A106" s="983"/>
      <c r="B106" s="983"/>
      <c r="D106" s="983"/>
      <c r="E106" s="983"/>
      <c r="F106" s="983"/>
      <c r="G106" s="983"/>
      <c r="H106" s="983"/>
      <c r="I106" s="983"/>
      <c r="J106" s="983"/>
      <c r="K106" s="983"/>
      <c r="L106" s="983"/>
      <c r="M106" s="983"/>
      <c r="N106" s="983"/>
      <c r="O106" s="983"/>
      <c r="Q106" s="973"/>
    </row>
    <row r="107" spans="1:17" s="963" customFormat="1">
      <c r="A107" s="983"/>
      <c r="B107" s="983"/>
      <c r="D107" s="983"/>
      <c r="E107" s="983"/>
      <c r="F107" s="983"/>
      <c r="G107" s="983"/>
      <c r="H107" s="983"/>
      <c r="I107" s="983"/>
      <c r="J107" s="983"/>
      <c r="K107" s="983"/>
      <c r="L107" s="983"/>
      <c r="M107" s="983"/>
      <c r="N107" s="983"/>
      <c r="O107" s="983"/>
      <c r="Q107" s="973"/>
    </row>
    <row r="108" spans="1:17" s="963" customFormat="1">
      <c r="A108" s="983"/>
      <c r="B108" s="983"/>
      <c r="D108" s="983"/>
      <c r="E108" s="983"/>
      <c r="F108" s="983"/>
      <c r="G108" s="983"/>
      <c r="H108" s="983"/>
      <c r="I108" s="983"/>
      <c r="J108" s="983"/>
      <c r="K108" s="983"/>
      <c r="L108" s="983"/>
      <c r="M108" s="983"/>
      <c r="N108" s="983"/>
      <c r="O108" s="983"/>
      <c r="Q108" s="973"/>
    </row>
    <row r="109" spans="1:17" s="963" customFormat="1">
      <c r="A109" s="983"/>
      <c r="B109" s="983"/>
      <c r="D109" s="983"/>
      <c r="E109" s="983"/>
      <c r="F109" s="983"/>
      <c r="G109" s="983"/>
      <c r="H109" s="983"/>
      <c r="I109" s="983"/>
      <c r="J109" s="983"/>
      <c r="K109" s="983"/>
      <c r="L109" s="983"/>
      <c r="M109" s="983"/>
      <c r="N109" s="983"/>
      <c r="O109" s="983"/>
      <c r="Q109" s="973"/>
    </row>
    <row r="110" spans="1:17" s="963" customFormat="1">
      <c r="A110" s="983"/>
      <c r="B110" s="983"/>
      <c r="D110" s="983"/>
      <c r="E110" s="983"/>
      <c r="F110" s="983"/>
      <c r="G110" s="983"/>
      <c r="H110" s="983"/>
      <c r="I110" s="983"/>
      <c r="J110" s="983"/>
      <c r="K110" s="983"/>
      <c r="L110" s="983"/>
      <c r="M110" s="983"/>
      <c r="N110" s="983"/>
      <c r="O110" s="983"/>
      <c r="Q110" s="973"/>
    </row>
    <row r="111" spans="1:17" s="963" customFormat="1">
      <c r="A111" s="983"/>
      <c r="B111" s="983"/>
      <c r="D111" s="983"/>
      <c r="E111" s="983"/>
      <c r="F111" s="983"/>
      <c r="G111" s="983"/>
      <c r="H111" s="983"/>
      <c r="I111" s="983"/>
      <c r="J111" s="983"/>
      <c r="K111" s="983"/>
      <c r="L111" s="983"/>
      <c r="M111" s="983"/>
      <c r="N111" s="983"/>
      <c r="O111" s="983"/>
      <c r="Q111" s="973"/>
    </row>
    <row r="112" spans="1:17" s="963" customFormat="1">
      <c r="A112" s="983"/>
      <c r="B112" s="983"/>
      <c r="D112" s="983"/>
      <c r="E112" s="983"/>
      <c r="F112" s="983"/>
      <c r="G112" s="983"/>
      <c r="H112" s="983"/>
      <c r="I112" s="983"/>
      <c r="J112" s="983"/>
      <c r="K112" s="983"/>
      <c r="L112" s="983"/>
      <c r="M112" s="983"/>
      <c r="N112" s="983"/>
      <c r="O112" s="983"/>
      <c r="Q112" s="973"/>
    </row>
    <row r="113" spans="1:17" s="963" customFormat="1">
      <c r="A113" s="983"/>
      <c r="B113" s="983"/>
      <c r="D113" s="983"/>
      <c r="E113" s="983"/>
      <c r="F113" s="983"/>
      <c r="G113" s="983"/>
      <c r="H113" s="983"/>
      <c r="I113" s="983"/>
      <c r="J113" s="983"/>
      <c r="K113" s="983"/>
      <c r="L113" s="983"/>
      <c r="M113" s="983"/>
      <c r="N113" s="983"/>
      <c r="O113" s="983"/>
      <c r="Q113" s="973"/>
    </row>
    <row r="114" spans="1:17" s="963" customFormat="1">
      <c r="A114" s="983"/>
      <c r="B114" s="983"/>
      <c r="D114" s="983"/>
      <c r="E114" s="983"/>
      <c r="F114" s="983"/>
      <c r="G114" s="983"/>
      <c r="H114" s="983"/>
      <c r="I114" s="983"/>
      <c r="J114" s="983"/>
      <c r="K114" s="983"/>
      <c r="L114" s="983"/>
      <c r="M114" s="983"/>
      <c r="N114" s="983"/>
      <c r="O114" s="983"/>
      <c r="Q114" s="973"/>
    </row>
    <row r="115" spans="1:17" s="963" customFormat="1">
      <c r="A115" s="983"/>
      <c r="B115" s="983"/>
      <c r="D115" s="983"/>
      <c r="E115" s="983"/>
      <c r="F115" s="983"/>
      <c r="G115" s="983"/>
      <c r="H115" s="983"/>
      <c r="I115" s="983"/>
      <c r="J115" s="983"/>
      <c r="K115" s="983"/>
      <c r="L115" s="983"/>
      <c r="M115" s="983"/>
      <c r="N115" s="983"/>
      <c r="O115" s="983"/>
      <c r="Q115" s="984"/>
    </row>
    <row r="116" spans="1:17" s="963" customFormat="1">
      <c r="A116" s="983"/>
      <c r="B116" s="983"/>
      <c r="D116" s="983"/>
      <c r="E116" s="983"/>
      <c r="F116" s="983"/>
      <c r="G116" s="983"/>
      <c r="H116" s="983"/>
      <c r="I116" s="983"/>
      <c r="J116" s="983"/>
      <c r="K116" s="983"/>
      <c r="L116" s="983"/>
      <c r="M116" s="983"/>
      <c r="N116" s="983"/>
      <c r="O116" s="983"/>
      <c r="Q116" s="984"/>
    </row>
    <row r="117" spans="1:17" s="963" customFormat="1">
      <c r="A117" s="983"/>
      <c r="B117" s="983"/>
      <c r="D117" s="983"/>
      <c r="E117" s="983"/>
      <c r="F117" s="983"/>
      <c r="G117" s="983"/>
      <c r="H117" s="983"/>
      <c r="I117" s="983"/>
      <c r="J117" s="983"/>
      <c r="K117" s="983"/>
      <c r="L117" s="983"/>
      <c r="M117" s="983"/>
      <c r="N117" s="983"/>
      <c r="O117" s="983"/>
      <c r="Q117" s="984"/>
    </row>
    <row r="118" spans="1:17" s="963" customFormat="1">
      <c r="A118" s="983"/>
      <c r="B118" s="983"/>
      <c r="D118" s="983"/>
      <c r="E118" s="983"/>
      <c r="F118" s="983"/>
      <c r="G118" s="983"/>
      <c r="H118" s="983"/>
      <c r="I118" s="983"/>
      <c r="J118" s="983"/>
      <c r="K118" s="983"/>
      <c r="L118" s="983"/>
      <c r="M118" s="983"/>
      <c r="N118" s="983"/>
      <c r="O118" s="983"/>
      <c r="Q118" s="984"/>
    </row>
    <row r="119" spans="1:17" s="963" customFormat="1">
      <c r="A119" s="983"/>
      <c r="B119" s="983"/>
      <c r="D119" s="983"/>
      <c r="E119" s="983"/>
      <c r="F119" s="983"/>
      <c r="G119" s="983"/>
      <c r="H119" s="983"/>
      <c r="I119" s="983"/>
      <c r="J119" s="983"/>
      <c r="K119" s="983"/>
      <c r="L119" s="983"/>
      <c r="M119" s="983"/>
      <c r="N119" s="983"/>
      <c r="O119" s="983"/>
      <c r="Q119" s="984"/>
    </row>
    <row r="120" spans="1:17" s="963" customFormat="1">
      <c r="A120" s="983"/>
      <c r="B120" s="983"/>
      <c r="D120" s="983"/>
      <c r="E120" s="983"/>
      <c r="F120" s="983"/>
      <c r="G120" s="983"/>
      <c r="H120" s="983"/>
      <c r="I120" s="983"/>
      <c r="J120" s="983"/>
      <c r="K120" s="983"/>
      <c r="L120" s="983"/>
      <c r="M120" s="983"/>
      <c r="N120" s="983"/>
      <c r="O120" s="983"/>
      <c r="Q120" s="984"/>
    </row>
    <row r="121" spans="1:17" s="963" customFormat="1">
      <c r="A121" s="983"/>
      <c r="B121" s="983"/>
      <c r="D121" s="983"/>
      <c r="E121" s="983"/>
      <c r="F121" s="983"/>
      <c r="G121" s="983"/>
      <c r="H121" s="983"/>
      <c r="I121" s="983"/>
      <c r="J121" s="983"/>
      <c r="K121" s="983"/>
      <c r="L121" s="983"/>
      <c r="M121" s="983"/>
      <c r="N121" s="983"/>
      <c r="O121" s="983"/>
      <c r="Q121" s="984"/>
    </row>
    <row r="122" spans="1:17" s="963" customFormat="1">
      <c r="A122" s="983"/>
      <c r="B122" s="983"/>
      <c r="D122" s="983"/>
      <c r="E122" s="983"/>
      <c r="F122" s="983"/>
      <c r="G122" s="983"/>
      <c r="H122" s="983"/>
      <c r="I122" s="983"/>
      <c r="J122" s="983"/>
      <c r="K122" s="983"/>
      <c r="L122" s="983"/>
      <c r="M122" s="983"/>
      <c r="N122" s="983"/>
      <c r="O122" s="983"/>
      <c r="Q122" s="984"/>
    </row>
    <row r="123" spans="1:17" s="963" customFormat="1">
      <c r="A123" s="983"/>
      <c r="B123" s="983"/>
      <c r="D123" s="983"/>
      <c r="E123" s="983"/>
      <c r="F123" s="983"/>
      <c r="G123" s="983"/>
      <c r="H123" s="983"/>
      <c r="I123" s="983"/>
      <c r="J123" s="983"/>
      <c r="K123" s="983"/>
      <c r="L123" s="983"/>
      <c r="M123" s="983"/>
      <c r="N123" s="983"/>
      <c r="O123" s="983"/>
      <c r="Q123" s="984"/>
    </row>
    <row r="124" spans="1:17" s="963" customFormat="1">
      <c r="A124" s="983"/>
      <c r="B124" s="983"/>
      <c r="D124" s="983"/>
      <c r="E124" s="983"/>
      <c r="F124" s="983"/>
      <c r="G124" s="983"/>
      <c r="H124" s="983"/>
      <c r="I124" s="983"/>
      <c r="J124" s="983"/>
      <c r="K124" s="983"/>
      <c r="L124" s="983"/>
      <c r="M124" s="983"/>
      <c r="N124" s="983"/>
      <c r="O124" s="983"/>
      <c r="Q124" s="985"/>
    </row>
    <row r="125" spans="1:17" s="963" customFormat="1">
      <c r="A125" s="983"/>
      <c r="B125" s="983"/>
      <c r="D125" s="983"/>
      <c r="E125" s="983"/>
      <c r="F125" s="983"/>
      <c r="G125" s="983"/>
      <c r="H125" s="983"/>
      <c r="I125" s="983"/>
      <c r="J125" s="983"/>
      <c r="K125" s="983"/>
      <c r="L125" s="983"/>
      <c r="M125" s="983"/>
      <c r="N125" s="983"/>
      <c r="O125" s="983"/>
      <c r="Q125" s="985"/>
    </row>
    <row r="126" spans="1:17" s="963" customFormat="1">
      <c r="A126" s="983"/>
      <c r="B126" s="983"/>
      <c r="D126" s="983"/>
      <c r="E126" s="983"/>
      <c r="F126" s="983"/>
      <c r="G126" s="983"/>
      <c r="H126" s="983"/>
      <c r="I126" s="983"/>
      <c r="J126" s="983"/>
      <c r="K126" s="983"/>
      <c r="L126" s="983"/>
      <c r="M126" s="983"/>
      <c r="N126" s="983"/>
      <c r="O126" s="983"/>
      <c r="Q126" s="985"/>
    </row>
    <row r="127" spans="1:17" s="963" customFormat="1">
      <c r="A127" s="983"/>
      <c r="B127" s="983"/>
      <c r="D127" s="983"/>
      <c r="E127" s="983"/>
      <c r="F127" s="983"/>
      <c r="G127" s="983"/>
      <c r="H127" s="983"/>
      <c r="I127" s="983"/>
      <c r="J127" s="983"/>
      <c r="K127" s="983"/>
      <c r="L127" s="983"/>
      <c r="M127" s="983"/>
      <c r="N127" s="983"/>
      <c r="O127" s="983"/>
      <c r="Q127" s="985"/>
    </row>
    <row r="128" spans="1:17" s="963" customFormat="1">
      <c r="A128" s="983"/>
      <c r="B128" s="983"/>
      <c r="D128" s="983"/>
      <c r="E128" s="983"/>
      <c r="F128" s="983"/>
      <c r="G128" s="983"/>
      <c r="H128" s="983"/>
      <c r="I128" s="983"/>
      <c r="J128" s="983"/>
      <c r="K128" s="983"/>
      <c r="L128" s="983"/>
      <c r="M128" s="983"/>
      <c r="N128" s="983"/>
      <c r="O128" s="983"/>
      <c r="Q128" s="985"/>
    </row>
    <row r="129" spans="1:17" s="963" customFormat="1">
      <c r="A129" s="983"/>
      <c r="B129" s="983"/>
      <c r="D129" s="983"/>
      <c r="E129" s="983"/>
      <c r="F129" s="983"/>
      <c r="G129" s="983"/>
      <c r="H129" s="983"/>
      <c r="I129" s="983"/>
      <c r="J129" s="983"/>
      <c r="K129" s="983"/>
      <c r="L129" s="983"/>
      <c r="M129" s="983"/>
      <c r="N129" s="983"/>
      <c r="O129" s="983"/>
      <c r="Q129" s="985"/>
    </row>
    <row r="130" spans="1:17" s="963" customFormat="1">
      <c r="A130" s="983"/>
      <c r="B130" s="983"/>
      <c r="D130" s="983"/>
      <c r="E130" s="983"/>
      <c r="F130" s="983"/>
      <c r="G130" s="983"/>
      <c r="H130" s="983"/>
      <c r="I130" s="983"/>
      <c r="J130" s="983"/>
      <c r="K130" s="983"/>
      <c r="L130" s="983"/>
      <c r="M130" s="983"/>
      <c r="N130" s="983"/>
      <c r="O130" s="983"/>
      <c r="Q130" s="985"/>
    </row>
    <row r="131" spans="1:17" s="963" customFormat="1">
      <c r="A131" s="983"/>
      <c r="B131" s="983"/>
      <c r="D131" s="983"/>
      <c r="E131" s="983"/>
      <c r="F131" s="983"/>
      <c r="G131" s="983"/>
      <c r="H131" s="983"/>
      <c r="I131" s="983"/>
      <c r="J131" s="983"/>
      <c r="K131" s="983"/>
      <c r="L131" s="983"/>
      <c r="M131" s="983"/>
      <c r="N131" s="983"/>
      <c r="O131" s="983"/>
      <c r="Q131" s="985"/>
    </row>
    <row r="132" spans="1:17" s="963" customFormat="1">
      <c r="A132" s="983"/>
      <c r="B132" s="983"/>
      <c r="D132" s="983"/>
      <c r="E132" s="983"/>
      <c r="F132" s="983"/>
      <c r="G132" s="983"/>
      <c r="H132" s="983"/>
      <c r="I132" s="983"/>
      <c r="J132" s="983"/>
      <c r="K132" s="983"/>
      <c r="L132" s="983"/>
      <c r="M132" s="983"/>
      <c r="N132" s="983"/>
      <c r="O132" s="983"/>
      <c r="Q132" s="985"/>
    </row>
    <row r="133" spans="1:17" s="963" customFormat="1">
      <c r="A133" s="983"/>
      <c r="B133" s="983"/>
      <c r="D133" s="983"/>
      <c r="E133" s="983"/>
      <c r="F133" s="983"/>
      <c r="G133" s="983"/>
      <c r="H133" s="983"/>
      <c r="I133" s="983"/>
      <c r="J133" s="983"/>
      <c r="K133" s="983"/>
      <c r="L133" s="983"/>
      <c r="M133" s="983"/>
      <c r="N133" s="983"/>
      <c r="O133" s="983"/>
      <c r="Q133" s="985"/>
    </row>
    <row r="134" spans="1:17" s="963" customFormat="1">
      <c r="A134" s="983"/>
      <c r="B134" s="983"/>
      <c r="D134" s="983"/>
      <c r="E134" s="983"/>
      <c r="F134" s="983"/>
      <c r="G134" s="983"/>
      <c r="H134" s="983"/>
      <c r="I134" s="983"/>
      <c r="J134" s="983"/>
      <c r="K134" s="983"/>
      <c r="L134" s="983"/>
      <c r="M134" s="983"/>
      <c r="N134" s="983"/>
      <c r="O134" s="983"/>
      <c r="Q134" s="985"/>
    </row>
    <row r="135" spans="1:17" s="963" customFormat="1">
      <c r="A135" s="983"/>
      <c r="B135" s="983"/>
      <c r="D135" s="983"/>
      <c r="E135" s="983"/>
      <c r="F135" s="983"/>
      <c r="G135" s="983"/>
      <c r="H135" s="983"/>
      <c r="I135" s="983"/>
      <c r="J135" s="983"/>
      <c r="K135" s="983"/>
      <c r="L135" s="983"/>
      <c r="M135" s="983"/>
      <c r="N135" s="983"/>
      <c r="O135" s="983"/>
      <c r="Q135" s="985"/>
    </row>
    <row r="136" spans="1:17" s="963" customFormat="1">
      <c r="A136" s="983"/>
      <c r="B136" s="983"/>
      <c r="D136" s="983"/>
      <c r="E136" s="983"/>
      <c r="F136" s="983"/>
      <c r="G136" s="983"/>
      <c r="H136" s="983"/>
      <c r="I136" s="983"/>
      <c r="J136" s="983"/>
      <c r="K136" s="983"/>
      <c r="L136" s="983"/>
      <c r="M136" s="983"/>
      <c r="N136" s="983"/>
      <c r="O136" s="983"/>
      <c r="Q136" s="985"/>
    </row>
    <row r="137" spans="1:17" s="963" customFormat="1">
      <c r="A137" s="983"/>
      <c r="B137" s="983"/>
      <c r="D137" s="983"/>
      <c r="E137" s="983"/>
      <c r="F137" s="983"/>
      <c r="G137" s="983"/>
      <c r="H137" s="983"/>
      <c r="I137" s="983"/>
      <c r="J137" s="983"/>
      <c r="K137" s="983"/>
      <c r="L137" s="983"/>
      <c r="M137" s="983"/>
      <c r="N137" s="983"/>
      <c r="O137" s="983"/>
      <c r="Q137" s="985"/>
    </row>
    <row r="138" spans="1:17" s="963" customFormat="1">
      <c r="A138" s="983"/>
      <c r="B138" s="983"/>
      <c r="D138" s="983"/>
      <c r="E138" s="983"/>
      <c r="F138" s="983"/>
      <c r="G138" s="983"/>
      <c r="H138" s="983"/>
      <c r="I138" s="983"/>
      <c r="J138" s="983"/>
      <c r="K138" s="983"/>
      <c r="L138" s="983"/>
      <c r="M138" s="983"/>
      <c r="N138" s="983"/>
      <c r="O138" s="983"/>
      <c r="Q138" s="985"/>
    </row>
    <row r="139" spans="1:17" s="963" customFormat="1">
      <c r="A139" s="983"/>
      <c r="B139" s="983"/>
      <c r="D139" s="983"/>
      <c r="E139" s="983"/>
      <c r="F139" s="983"/>
      <c r="G139" s="983"/>
      <c r="H139" s="983"/>
      <c r="I139" s="983"/>
      <c r="J139" s="983"/>
      <c r="K139" s="983"/>
      <c r="L139" s="983"/>
      <c r="M139" s="983"/>
      <c r="N139" s="983"/>
      <c r="O139" s="983"/>
      <c r="Q139" s="985"/>
    </row>
    <row r="140" spans="1:17" s="963" customFormat="1">
      <c r="A140" s="983"/>
      <c r="B140" s="983"/>
      <c r="D140" s="983"/>
      <c r="E140" s="983"/>
      <c r="F140" s="983"/>
      <c r="G140" s="983"/>
      <c r="H140" s="983"/>
      <c r="I140" s="983"/>
      <c r="J140" s="983"/>
      <c r="K140" s="983"/>
      <c r="L140" s="983"/>
      <c r="M140" s="983"/>
      <c r="N140" s="983"/>
      <c r="O140" s="983"/>
      <c r="Q140" s="985"/>
    </row>
    <row r="141" spans="1:17" s="963" customFormat="1">
      <c r="A141" s="983"/>
      <c r="B141" s="983"/>
      <c r="D141" s="983"/>
      <c r="E141" s="983"/>
      <c r="F141" s="983"/>
      <c r="G141" s="983"/>
      <c r="H141" s="983"/>
      <c r="I141" s="983"/>
      <c r="J141" s="983"/>
      <c r="K141" s="983"/>
      <c r="L141" s="983"/>
      <c r="M141" s="983"/>
      <c r="N141" s="983"/>
      <c r="O141" s="983"/>
      <c r="Q141" s="985"/>
    </row>
    <row r="142" spans="1:17" s="963" customFormat="1">
      <c r="A142" s="983"/>
      <c r="B142" s="983"/>
      <c r="D142" s="983"/>
      <c r="E142" s="983"/>
      <c r="F142" s="983"/>
      <c r="G142" s="983"/>
      <c r="H142" s="983"/>
      <c r="I142" s="983"/>
      <c r="J142" s="983"/>
      <c r="K142" s="983"/>
      <c r="L142" s="983"/>
      <c r="M142" s="983"/>
      <c r="N142" s="983"/>
      <c r="O142" s="983"/>
      <c r="Q142" s="985"/>
    </row>
    <row r="143" spans="1:17" s="963" customFormat="1">
      <c r="A143" s="983"/>
      <c r="B143" s="983"/>
      <c r="D143" s="983"/>
      <c r="E143" s="983"/>
      <c r="F143" s="983"/>
      <c r="G143" s="983"/>
      <c r="H143" s="983"/>
      <c r="I143" s="983"/>
      <c r="J143" s="983"/>
      <c r="K143" s="983"/>
      <c r="L143" s="983"/>
      <c r="M143" s="983"/>
      <c r="N143" s="983"/>
      <c r="O143" s="983"/>
      <c r="Q143" s="985"/>
    </row>
    <row r="144" spans="1:17" s="963" customFormat="1">
      <c r="A144" s="983"/>
      <c r="B144" s="983"/>
      <c r="D144" s="983"/>
      <c r="E144" s="983"/>
      <c r="F144" s="983"/>
      <c r="G144" s="983"/>
      <c r="H144" s="983"/>
      <c r="I144" s="983"/>
      <c r="J144" s="983"/>
      <c r="K144" s="983"/>
      <c r="L144" s="983"/>
      <c r="M144" s="983"/>
      <c r="N144" s="983"/>
      <c r="O144" s="983"/>
      <c r="Q144" s="985"/>
    </row>
    <row r="145" spans="1:17" s="963" customFormat="1">
      <c r="A145" s="983"/>
      <c r="B145" s="983"/>
      <c r="D145" s="983"/>
      <c r="E145" s="983"/>
      <c r="F145" s="983"/>
      <c r="G145" s="983"/>
      <c r="H145" s="983"/>
      <c r="I145" s="983"/>
      <c r="J145" s="983"/>
      <c r="K145" s="983"/>
      <c r="L145" s="983"/>
      <c r="M145" s="983"/>
      <c r="N145" s="983"/>
      <c r="O145" s="983"/>
      <c r="Q145" s="985"/>
    </row>
    <row r="146" spans="1:17" s="963" customFormat="1">
      <c r="A146" s="983"/>
      <c r="B146" s="983"/>
      <c r="D146" s="983"/>
      <c r="E146" s="983"/>
      <c r="F146" s="983"/>
      <c r="G146" s="983"/>
      <c r="H146" s="983"/>
      <c r="I146" s="983"/>
      <c r="J146" s="983"/>
      <c r="K146" s="983"/>
      <c r="L146" s="983"/>
      <c r="M146" s="983"/>
      <c r="N146" s="983"/>
      <c r="O146" s="983"/>
      <c r="Q146" s="985"/>
    </row>
    <row r="147" spans="1:17" s="963" customFormat="1">
      <c r="A147" s="983"/>
      <c r="B147" s="983"/>
      <c r="D147" s="983"/>
      <c r="E147" s="983"/>
      <c r="F147" s="983"/>
      <c r="G147" s="983"/>
      <c r="H147" s="983"/>
      <c r="I147" s="983"/>
      <c r="J147" s="983"/>
      <c r="K147" s="983"/>
      <c r="L147" s="983"/>
      <c r="M147" s="983"/>
      <c r="N147" s="983"/>
      <c r="O147" s="983"/>
      <c r="Q147" s="985"/>
    </row>
    <row r="148" spans="1:17" s="963" customFormat="1">
      <c r="A148" s="983"/>
      <c r="B148" s="983"/>
      <c r="D148" s="983"/>
      <c r="E148" s="983"/>
      <c r="F148" s="983"/>
      <c r="G148" s="983"/>
      <c r="H148" s="983"/>
      <c r="I148" s="983"/>
      <c r="J148" s="983"/>
      <c r="K148" s="983"/>
      <c r="L148" s="983"/>
      <c r="M148" s="983"/>
      <c r="N148" s="983"/>
      <c r="O148" s="983"/>
      <c r="Q148" s="985"/>
    </row>
    <row r="149" spans="1:17" s="963" customFormat="1">
      <c r="A149" s="983"/>
      <c r="B149" s="983"/>
      <c r="D149" s="983"/>
      <c r="E149" s="983"/>
      <c r="F149" s="983"/>
      <c r="G149" s="983"/>
      <c r="H149" s="983"/>
      <c r="I149" s="983"/>
      <c r="J149" s="983"/>
      <c r="K149" s="983"/>
      <c r="L149" s="983"/>
      <c r="M149" s="983"/>
      <c r="N149" s="983"/>
      <c r="O149" s="983"/>
      <c r="Q149" s="985"/>
    </row>
    <row r="150" spans="1:17" s="963" customFormat="1">
      <c r="A150" s="983"/>
      <c r="B150" s="983"/>
      <c r="D150" s="983"/>
      <c r="E150" s="983"/>
      <c r="F150" s="983"/>
      <c r="G150" s="983"/>
      <c r="H150" s="983"/>
      <c r="I150" s="983"/>
      <c r="J150" s="983"/>
      <c r="K150" s="983"/>
      <c r="L150" s="983"/>
      <c r="M150" s="983"/>
      <c r="N150" s="983"/>
      <c r="O150" s="983"/>
      <c r="Q150" s="985"/>
    </row>
    <row r="151" spans="1:17" s="963" customFormat="1">
      <c r="A151" s="983"/>
      <c r="B151" s="983"/>
      <c r="D151" s="983"/>
      <c r="E151" s="983"/>
      <c r="F151" s="983"/>
      <c r="G151" s="983"/>
      <c r="H151" s="983"/>
      <c r="I151" s="983"/>
      <c r="J151" s="983"/>
      <c r="K151" s="983"/>
      <c r="L151" s="983"/>
      <c r="M151" s="983"/>
      <c r="N151" s="983"/>
      <c r="O151" s="983"/>
      <c r="Q151" s="985"/>
    </row>
    <row r="152" spans="1:17" s="963" customFormat="1">
      <c r="A152" s="983"/>
      <c r="B152" s="983"/>
      <c r="D152" s="983"/>
      <c r="E152" s="983"/>
      <c r="F152" s="983"/>
      <c r="G152" s="983"/>
      <c r="H152" s="983"/>
      <c r="I152" s="983"/>
      <c r="J152" s="983"/>
      <c r="K152" s="983"/>
      <c r="L152" s="983"/>
      <c r="M152" s="983"/>
      <c r="N152" s="983"/>
      <c r="O152" s="983"/>
      <c r="Q152" s="985"/>
    </row>
    <row r="153" spans="1:17" s="963" customFormat="1">
      <c r="A153" s="983"/>
      <c r="B153" s="983"/>
      <c r="D153" s="983"/>
      <c r="E153" s="983"/>
      <c r="F153" s="983"/>
      <c r="G153" s="983"/>
      <c r="H153" s="983"/>
      <c r="I153" s="983"/>
      <c r="J153" s="983"/>
      <c r="K153" s="983"/>
      <c r="L153" s="983"/>
      <c r="M153" s="983"/>
      <c r="N153" s="983"/>
      <c r="O153" s="983"/>
      <c r="Q153" s="985"/>
    </row>
    <row r="154" spans="1:17" s="963" customFormat="1">
      <c r="A154" s="983"/>
      <c r="B154" s="983"/>
      <c r="D154" s="983"/>
      <c r="E154" s="983"/>
      <c r="F154" s="983"/>
      <c r="G154" s="983"/>
      <c r="H154" s="983"/>
      <c r="I154" s="983"/>
      <c r="J154" s="983"/>
      <c r="K154" s="983"/>
      <c r="L154" s="983"/>
      <c r="M154" s="983"/>
      <c r="N154" s="983"/>
      <c r="O154" s="983"/>
      <c r="Q154" s="985"/>
    </row>
    <row r="155" spans="1:17" s="963" customFormat="1">
      <c r="A155" s="983"/>
      <c r="B155" s="983"/>
      <c r="D155" s="983"/>
      <c r="E155" s="983"/>
      <c r="F155" s="983"/>
      <c r="G155" s="983"/>
      <c r="H155" s="983"/>
      <c r="I155" s="983"/>
      <c r="J155" s="983"/>
      <c r="K155" s="983"/>
      <c r="L155" s="983"/>
      <c r="M155" s="983"/>
      <c r="N155" s="983"/>
      <c r="O155" s="983"/>
      <c r="Q155" s="985"/>
    </row>
    <row r="156" spans="1:17">
      <c r="A156" s="983"/>
      <c r="B156" s="983"/>
      <c r="C156" s="963"/>
      <c r="D156" s="983"/>
      <c r="E156" s="983"/>
      <c r="F156" s="983"/>
      <c r="G156" s="983"/>
      <c r="H156" s="983"/>
      <c r="I156" s="983"/>
      <c r="J156" s="983"/>
      <c r="K156" s="983"/>
      <c r="L156" s="983"/>
      <c r="M156" s="983"/>
      <c r="N156" s="983"/>
      <c r="O156" s="983"/>
      <c r="P156" s="963"/>
    </row>
  </sheetData>
  <sheetProtection insertRows="0" autoFilter="0"/>
  <protectedRanges>
    <protectedRange sqref="E5:I6" name="Sort Range_2"/>
  </protectedRanges>
  <mergeCells count="3">
    <mergeCell ref="E2:O2"/>
    <mergeCell ref="A1:B1"/>
    <mergeCell ref="Q1:Q2"/>
  </mergeCells>
  <conditionalFormatting sqref="Q6">
    <cfRule type="expression" dxfId="627" priority="10">
      <formula>($B9&lt;&gt;$AZ$40)</formula>
    </cfRule>
  </conditionalFormatting>
  <conditionalFormatting sqref="Q5:Q6">
    <cfRule type="expression" dxfId="626" priority="11">
      <formula>($B7&lt;&gt;$AZ$40)</formula>
    </cfRule>
  </conditionalFormatting>
  <conditionalFormatting sqref="E5:H5">
    <cfRule type="expression" dxfId="625" priority="7">
      <formula>$B7&lt;&gt;$BE$18</formula>
    </cfRule>
    <cfRule type="expression" dxfId="624" priority="8">
      <formula>$A7&lt;&gt;$BE$58</formula>
    </cfRule>
  </conditionalFormatting>
  <conditionalFormatting sqref="E6:H6">
    <cfRule type="expression" dxfId="623" priority="5">
      <formula>$B9&lt;&gt;$BE$18</formula>
    </cfRule>
    <cfRule type="expression" dxfId="622" priority="6">
      <formula>$A9&lt;&gt;$BE$58</formula>
    </cfRule>
  </conditionalFormatting>
  <conditionalFormatting sqref="I5">
    <cfRule type="expression" dxfId="621" priority="3">
      <formula>$B7&lt;&gt;$BE$18</formula>
    </cfRule>
    <cfRule type="expression" dxfId="620" priority="4">
      <formula>$A7&lt;&gt;$BE$58</formula>
    </cfRule>
  </conditionalFormatting>
  <conditionalFormatting sqref="I6">
    <cfRule type="expression" dxfId="619" priority="1">
      <formula>$B9&lt;&gt;$BE$18</formula>
    </cfRule>
    <cfRule type="expression" dxfId="618" priority="2">
      <formula>$A9&lt;&gt;$BE$58</formula>
    </cfRule>
  </conditionalFormatting>
  <dataValidations count="4">
    <dataValidation type="list" allowBlank="1" showInputMessage="1" showErrorMessage="1" sqref="Q29:Q47" xr:uid="{585A06DB-9DF7-4D20-9DFF-05CF7FF5307E}">
      <formula1>"I&amp;O, DR&amp;S, App Dev, Architecture, Business"</formula1>
    </dataValidation>
    <dataValidation type="list" allowBlank="1" showInputMessage="1" showErrorMessage="1" sqref="D5:D6" xr:uid="{F4F74EEB-DEF8-473A-9FBA-45EDE123B9F2}">
      <formula1>Accounting_Type</formula1>
    </dataValidation>
    <dataValidation type="list" allowBlank="1" showInputMessage="1" showErrorMessage="1" sqref="A5:A6" xr:uid="{94A4FA43-A79F-4C46-AC93-A3594DC51351}">
      <formula1>Benefits</formula1>
    </dataValidation>
    <dataValidation type="list" allowBlank="1" showInputMessage="1" showErrorMessage="1" sqref="B5:B6" xr:uid="{16FFB4FC-440D-48CC-AC6D-D6E4AF3ACB1C}">
      <formula1>IF($A5="","",IF($A5="Type1",Type1,Type2))</formula1>
    </dataValidation>
  </dataValidations>
  <pageMargins left="0.7" right="0.7" top="0.75" bottom="0.75" header="0.3" footer="0.3"/>
  <pageSetup orientation="landscape" r:id="rId1"/>
  <legacy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51074-3663-496D-A541-7770FB499E21}">
  <sheetPr codeName="Sheet8">
    <tabColor theme="1"/>
  </sheetPr>
  <dimension ref="A1:AU117"/>
  <sheetViews>
    <sheetView showGridLines="0" workbookViewId="0"/>
  </sheetViews>
  <sheetFormatPr defaultColWidth="9.1796875" defaultRowHeight="13"/>
  <cols>
    <col min="1" max="16384" width="9.1796875" style="649"/>
  </cols>
  <sheetData>
    <row r="1" spans="1:47">
      <c r="A1" s="648"/>
      <c r="B1" s="648"/>
      <c r="C1" s="648"/>
      <c r="D1" s="648"/>
      <c r="E1" s="648"/>
      <c r="F1" s="648"/>
      <c r="G1" s="648"/>
      <c r="H1" s="648"/>
      <c r="I1" s="648"/>
      <c r="J1" s="648"/>
      <c r="K1" s="648"/>
      <c r="L1" s="648"/>
      <c r="M1" s="648"/>
      <c r="N1" s="648"/>
      <c r="O1" s="648"/>
      <c r="P1" s="648"/>
      <c r="Q1" s="648"/>
      <c r="R1" s="648"/>
      <c r="S1" s="648"/>
      <c r="T1" s="648"/>
      <c r="U1" s="648"/>
      <c r="V1" s="648"/>
      <c r="W1" s="648"/>
      <c r="X1" s="648"/>
      <c r="Y1" s="648"/>
      <c r="Z1" s="648"/>
      <c r="AA1" s="648"/>
      <c r="AB1" s="648"/>
      <c r="AC1" s="648"/>
      <c r="AD1" s="648"/>
      <c r="AE1" s="648"/>
      <c r="AF1" s="648"/>
      <c r="AG1" s="648"/>
      <c r="AH1" s="648"/>
      <c r="AI1" s="648"/>
      <c r="AJ1" s="648"/>
      <c r="AK1" s="648"/>
      <c r="AL1" s="648"/>
      <c r="AM1" s="648"/>
      <c r="AN1" s="648"/>
      <c r="AO1" s="648"/>
      <c r="AP1" s="648"/>
      <c r="AQ1" s="648"/>
      <c r="AR1" s="648"/>
      <c r="AS1" s="648"/>
      <c r="AT1" s="648"/>
      <c r="AU1" s="648"/>
    </row>
    <row r="2" spans="1:47">
      <c r="A2" s="648"/>
      <c r="B2" s="648"/>
      <c r="C2" s="648"/>
      <c r="D2" s="648"/>
      <c r="E2" s="648"/>
      <c r="F2" s="648"/>
      <c r="G2" s="648"/>
      <c r="H2" s="648"/>
      <c r="I2" s="648"/>
      <c r="J2" s="648"/>
      <c r="K2" s="648"/>
      <c r="L2" s="648"/>
      <c r="M2" s="648"/>
      <c r="N2" s="648"/>
      <c r="O2" s="648"/>
      <c r="P2" s="648"/>
      <c r="Q2" s="648"/>
      <c r="R2" s="648"/>
      <c r="S2" s="648"/>
      <c r="T2" s="648"/>
      <c r="U2" s="648"/>
      <c r="V2" s="648"/>
      <c r="W2" s="648"/>
      <c r="X2" s="648"/>
      <c r="Y2" s="648"/>
      <c r="Z2" s="648"/>
      <c r="AA2" s="648"/>
      <c r="AB2" s="648"/>
      <c r="AC2" s="648"/>
      <c r="AD2" s="648"/>
      <c r="AE2" s="648"/>
      <c r="AF2" s="648"/>
      <c r="AG2" s="648"/>
      <c r="AH2" s="648"/>
      <c r="AI2" s="648"/>
      <c r="AJ2" s="648"/>
      <c r="AK2" s="648"/>
      <c r="AL2" s="648"/>
      <c r="AM2" s="648"/>
      <c r="AN2" s="648"/>
      <c r="AO2" s="648"/>
      <c r="AP2" s="648"/>
      <c r="AQ2" s="648"/>
      <c r="AR2" s="648"/>
      <c r="AS2" s="648"/>
      <c r="AT2" s="648"/>
      <c r="AU2" s="648"/>
    </row>
    <row r="3" spans="1:47">
      <c r="A3" s="648"/>
      <c r="B3" s="648"/>
      <c r="C3" s="648"/>
      <c r="D3" s="648"/>
      <c r="E3" s="648"/>
      <c r="F3" s="648"/>
      <c r="G3" s="648"/>
      <c r="H3" s="648"/>
      <c r="I3" s="648"/>
      <c r="J3" s="648"/>
      <c r="K3" s="648"/>
      <c r="L3" s="648"/>
      <c r="M3" s="648"/>
      <c r="N3" s="648"/>
      <c r="O3" s="648"/>
      <c r="P3" s="648"/>
      <c r="Q3" s="648"/>
      <c r="R3" s="648"/>
      <c r="S3" s="648"/>
      <c r="T3" s="648"/>
      <c r="U3" s="648"/>
      <c r="V3" s="648"/>
      <c r="W3" s="648"/>
      <c r="X3" s="648"/>
      <c r="Y3" s="648"/>
      <c r="Z3" s="648"/>
      <c r="AA3" s="648"/>
      <c r="AB3" s="648"/>
      <c r="AC3" s="648"/>
      <c r="AD3" s="648"/>
      <c r="AE3" s="648"/>
      <c r="AF3" s="648"/>
      <c r="AG3" s="648"/>
      <c r="AH3" s="648"/>
      <c r="AI3" s="648"/>
      <c r="AJ3" s="648"/>
      <c r="AK3" s="648"/>
      <c r="AL3" s="648"/>
      <c r="AM3" s="648"/>
      <c r="AN3" s="648"/>
      <c r="AO3" s="648"/>
      <c r="AP3" s="648"/>
      <c r="AQ3" s="648"/>
      <c r="AR3" s="648"/>
      <c r="AS3" s="648"/>
      <c r="AT3" s="648"/>
      <c r="AU3" s="648"/>
    </row>
    <row r="4" spans="1:47">
      <c r="A4" s="648"/>
      <c r="B4" s="648"/>
      <c r="C4" s="648"/>
      <c r="D4" s="648"/>
      <c r="E4" s="648"/>
      <c r="F4" s="648"/>
      <c r="G4" s="648"/>
      <c r="H4" s="648"/>
      <c r="I4" s="648"/>
      <c r="J4" s="648"/>
      <c r="K4" s="648"/>
      <c r="L4" s="648"/>
      <c r="M4" s="648"/>
      <c r="N4" s="648"/>
      <c r="O4" s="648"/>
      <c r="P4" s="648"/>
      <c r="Q4" s="648"/>
      <c r="R4" s="648"/>
      <c r="S4" s="648"/>
      <c r="T4" s="648"/>
      <c r="U4" s="648"/>
      <c r="V4" s="648"/>
      <c r="W4" s="648"/>
      <c r="X4" s="648"/>
      <c r="Y4" s="648"/>
      <c r="Z4" s="648"/>
      <c r="AA4" s="648"/>
      <c r="AB4" s="648"/>
      <c r="AC4" s="648"/>
      <c r="AD4" s="648"/>
      <c r="AE4" s="648"/>
      <c r="AF4" s="648"/>
      <c r="AG4" s="648"/>
      <c r="AH4" s="648"/>
      <c r="AI4" s="648"/>
      <c r="AJ4" s="648"/>
      <c r="AK4" s="648"/>
      <c r="AL4" s="648"/>
      <c r="AM4" s="648"/>
      <c r="AN4" s="648"/>
      <c r="AO4" s="648"/>
      <c r="AP4" s="648"/>
      <c r="AQ4" s="648"/>
      <c r="AR4" s="648"/>
      <c r="AS4" s="648"/>
      <c r="AT4" s="648"/>
      <c r="AU4" s="648"/>
    </row>
    <row r="5" spans="1:47">
      <c r="A5" s="648"/>
      <c r="B5" s="648"/>
      <c r="C5" s="648"/>
      <c r="D5" s="648"/>
      <c r="E5" s="648"/>
      <c r="F5" s="648"/>
      <c r="G5" s="648"/>
      <c r="H5" s="648"/>
      <c r="I5" s="648"/>
      <c r="J5" s="648"/>
      <c r="K5" s="648"/>
      <c r="L5" s="648"/>
      <c r="M5" s="648"/>
      <c r="N5" s="648"/>
      <c r="O5" s="648"/>
      <c r="P5" s="648"/>
      <c r="Q5" s="648"/>
      <c r="R5" s="648"/>
      <c r="S5" s="648"/>
      <c r="T5" s="648"/>
      <c r="U5" s="648"/>
      <c r="V5" s="648"/>
      <c r="W5" s="648"/>
      <c r="X5" s="648"/>
      <c r="Y5" s="648"/>
      <c r="Z5" s="648"/>
      <c r="AA5" s="648"/>
      <c r="AB5" s="648"/>
      <c r="AC5" s="648"/>
      <c r="AD5" s="648"/>
      <c r="AE5" s="648"/>
      <c r="AF5" s="648"/>
      <c r="AG5" s="648"/>
      <c r="AH5" s="648"/>
      <c r="AI5" s="648"/>
      <c r="AJ5" s="648"/>
      <c r="AK5" s="648"/>
      <c r="AL5" s="648"/>
      <c r="AM5" s="648"/>
      <c r="AN5" s="648"/>
      <c r="AO5" s="648"/>
      <c r="AP5" s="648"/>
      <c r="AQ5" s="648"/>
      <c r="AR5" s="648"/>
      <c r="AS5" s="648"/>
      <c r="AT5" s="648"/>
      <c r="AU5" s="648"/>
    </row>
    <row r="6" spans="1:47">
      <c r="A6" s="648"/>
      <c r="B6" s="648"/>
      <c r="C6" s="648"/>
      <c r="D6" s="648"/>
      <c r="E6" s="648"/>
      <c r="F6" s="648"/>
      <c r="G6" s="648"/>
      <c r="H6" s="648"/>
      <c r="I6" s="648"/>
      <c r="J6" s="648"/>
      <c r="K6" s="648"/>
      <c r="L6" s="648"/>
      <c r="M6" s="648"/>
      <c r="N6" s="648"/>
      <c r="O6" s="648"/>
      <c r="P6" s="648"/>
      <c r="Q6" s="648"/>
      <c r="R6" s="648"/>
      <c r="S6" s="648"/>
      <c r="T6" s="648"/>
      <c r="U6" s="648"/>
      <c r="V6" s="648"/>
      <c r="W6" s="648"/>
      <c r="X6" s="648"/>
      <c r="Y6" s="648"/>
      <c r="Z6" s="648"/>
      <c r="AA6" s="648"/>
      <c r="AB6" s="648"/>
      <c r="AC6" s="648"/>
      <c r="AD6" s="648"/>
      <c r="AE6" s="648"/>
      <c r="AF6" s="648"/>
      <c r="AG6" s="648"/>
      <c r="AH6" s="648"/>
      <c r="AI6" s="648"/>
      <c r="AJ6" s="648"/>
      <c r="AK6" s="648"/>
      <c r="AL6" s="648"/>
      <c r="AM6" s="648"/>
      <c r="AN6" s="648"/>
      <c r="AO6" s="648"/>
      <c r="AP6" s="648"/>
      <c r="AQ6" s="648"/>
      <c r="AR6" s="648"/>
      <c r="AS6" s="648"/>
      <c r="AT6" s="648"/>
      <c r="AU6" s="648"/>
    </row>
    <row r="7" spans="1:47">
      <c r="A7" s="648"/>
      <c r="B7" s="648"/>
      <c r="C7" s="648"/>
      <c r="D7" s="648"/>
      <c r="E7" s="648"/>
      <c r="F7" s="648"/>
      <c r="G7" s="648"/>
      <c r="H7" s="648"/>
      <c r="I7" s="648"/>
      <c r="J7" s="648"/>
      <c r="K7" s="648"/>
      <c r="L7" s="648"/>
      <c r="M7" s="648"/>
      <c r="N7" s="648"/>
      <c r="O7" s="648"/>
      <c r="P7" s="648"/>
      <c r="Q7" s="648"/>
      <c r="R7" s="648"/>
      <c r="S7" s="648"/>
      <c r="T7" s="648"/>
      <c r="U7" s="648"/>
      <c r="V7" s="648"/>
      <c r="W7" s="648"/>
      <c r="X7" s="648"/>
      <c r="Y7" s="648"/>
      <c r="Z7" s="648"/>
      <c r="AA7" s="648"/>
      <c r="AB7" s="648"/>
      <c r="AC7" s="648"/>
      <c r="AD7" s="648"/>
      <c r="AE7" s="648"/>
      <c r="AF7" s="648"/>
      <c r="AG7" s="648"/>
      <c r="AH7" s="648"/>
      <c r="AI7" s="648"/>
      <c r="AJ7" s="648"/>
      <c r="AK7" s="648"/>
      <c r="AL7" s="648"/>
      <c r="AM7" s="648"/>
      <c r="AN7" s="648"/>
      <c r="AO7" s="648"/>
      <c r="AP7" s="648"/>
      <c r="AQ7" s="648"/>
      <c r="AR7" s="648"/>
      <c r="AS7" s="648"/>
      <c r="AT7" s="648"/>
      <c r="AU7" s="648"/>
    </row>
    <row r="8" spans="1:47">
      <c r="A8" s="648"/>
      <c r="B8" s="648"/>
      <c r="C8" s="648"/>
      <c r="D8" s="648"/>
      <c r="E8" s="648"/>
      <c r="F8" s="648"/>
      <c r="G8" s="648"/>
      <c r="H8" s="648"/>
      <c r="I8" s="648"/>
      <c r="J8" s="648"/>
      <c r="K8" s="648"/>
      <c r="L8" s="648"/>
      <c r="M8" s="648"/>
      <c r="N8" s="648"/>
      <c r="O8" s="648"/>
      <c r="P8" s="648"/>
      <c r="Q8" s="648"/>
      <c r="R8" s="648"/>
      <c r="S8" s="648"/>
      <c r="T8" s="648"/>
      <c r="U8" s="648"/>
      <c r="V8" s="648"/>
      <c r="W8" s="648"/>
      <c r="X8" s="648"/>
      <c r="Y8" s="648"/>
      <c r="Z8" s="648"/>
      <c r="AA8" s="648"/>
      <c r="AB8" s="648"/>
      <c r="AC8" s="648"/>
      <c r="AD8" s="648"/>
      <c r="AE8" s="648"/>
      <c r="AF8" s="648"/>
      <c r="AG8" s="648"/>
      <c r="AH8" s="648"/>
      <c r="AI8" s="648"/>
      <c r="AJ8" s="648"/>
      <c r="AK8" s="648"/>
      <c r="AL8" s="648"/>
      <c r="AM8" s="648"/>
      <c r="AN8" s="648"/>
      <c r="AO8" s="648"/>
      <c r="AP8" s="648"/>
      <c r="AQ8" s="648"/>
      <c r="AR8" s="648"/>
      <c r="AS8" s="648"/>
      <c r="AT8" s="648"/>
      <c r="AU8" s="648"/>
    </row>
    <row r="9" spans="1:47">
      <c r="A9" s="648"/>
      <c r="B9" s="648"/>
      <c r="C9" s="648"/>
      <c r="D9" s="648"/>
      <c r="E9" s="648"/>
      <c r="F9" s="648"/>
      <c r="G9" s="648"/>
      <c r="H9" s="648"/>
      <c r="I9" s="648"/>
      <c r="J9" s="648"/>
      <c r="K9" s="648"/>
      <c r="L9" s="648"/>
      <c r="M9" s="648"/>
      <c r="N9" s="648"/>
      <c r="O9" s="648"/>
      <c r="P9" s="648"/>
      <c r="Q9" s="648"/>
      <c r="R9" s="648"/>
      <c r="S9" s="648"/>
      <c r="T9" s="648"/>
      <c r="U9" s="648"/>
      <c r="V9" s="648"/>
      <c r="W9" s="648"/>
      <c r="X9" s="648"/>
      <c r="Y9" s="648"/>
      <c r="Z9" s="648"/>
      <c r="AA9" s="648"/>
      <c r="AB9" s="648"/>
      <c r="AC9" s="648"/>
      <c r="AD9" s="648"/>
      <c r="AE9" s="648"/>
      <c r="AF9" s="648"/>
      <c r="AG9" s="648"/>
      <c r="AH9" s="648"/>
      <c r="AI9" s="648"/>
      <c r="AJ9" s="648"/>
      <c r="AK9" s="648"/>
      <c r="AL9" s="648"/>
      <c r="AM9" s="648"/>
      <c r="AN9" s="648"/>
      <c r="AO9" s="648"/>
      <c r="AP9" s="648"/>
      <c r="AQ9" s="648"/>
      <c r="AR9" s="648"/>
      <c r="AS9" s="648"/>
      <c r="AT9" s="648"/>
      <c r="AU9" s="648"/>
    </row>
    <row r="10" spans="1:47">
      <c r="A10" s="648"/>
      <c r="B10" s="648"/>
      <c r="C10" s="648"/>
      <c r="D10" s="648"/>
      <c r="E10" s="648"/>
      <c r="F10" s="648"/>
      <c r="G10" s="648"/>
      <c r="H10" s="648"/>
      <c r="I10" s="648"/>
      <c r="J10" s="648"/>
      <c r="K10" s="648"/>
      <c r="L10" s="648"/>
      <c r="M10" s="648"/>
      <c r="N10" s="648"/>
      <c r="O10" s="648"/>
      <c r="P10" s="648"/>
      <c r="Q10" s="648"/>
      <c r="R10" s="648"/>
      <c r="S10" s="648"/>
      <c r="T10" s="648"/>
      <c r="U10" s="648"/>
      <c r="V10" s="648"/>
      <c r="W10" s="648"/>
      <c r="X10" s="648"/>
      <c r="Y10" s="648"/>
      <c r="Z10" s="648"/>
      <c r="AA10" s="648"/>
      <c r="AB10" s="648"/>
      <c r="AC10" s="648"/>
      <c r="AD10" s="648"/>
      <c r="AE10" s="648"/>
      <c r="AF10" s="648"/>
      <c r="AG10" s="648"/>
      <c r="AH10" s="648"/>
      <c r="AI10" s="648"/>
      <c r="AJ10" s="648"/>
      <c r="AK10" s="648"/>
      <c r="AL10" s="648"/>
      <c r="AM10" s="648"/>
      <c r="AN10" s="648"/>
      <c r="AO10" s="648"/>
      <c r="AP10" s="648"/>
      <c r="AQ10" s="648"/>
      <c r="AR10" s="648"/>
      <c r="AS10" s="648"/>
      <c r="AT10" s="648"/>
      <c r="AU10" s="648"/>
    </row>
    <row r="11" spans="1:47">
      <c r="A11" s="648"/>
      <c r="B11" s="648"/>
      <c r="C11" s="648"/>
      <c r="D11" s="648"/>
      <c r="E11" s="648"/>
      <c r="F11" s="648"/>
      <c r="G11" s="648"/>
      <c r="H11" s="648"/>
      <c r="I11" s="648"/>
      <c r="J11" s="648"/>
      <c r="K11" s="648"/>
      <c r="L11" s="648"/>
      <c r="M11" s="648"/>
      <c r="N11" s="648"/>
      <c r="O11" s="648"/>
      <c r="P11" s="648"/>
      <c r="Q11" s="648"/>
      <c r="R11" s="648"/>
      <c r="S11" s="648"/>
      <c r="T11" s="648"/>
      <c r="U11" s="648"/>
      <c r="V11" s="648"/>
      <c r="W11" s="648"/>
      <c r="X11" s="648"/>
      <c r="Y11" s="648"/>
      <c r="Z11" s="648"/>
      <c r="AA11" s="648"/>
      <c r="AB11" s="648"/>
      <c r="AC11" s="648"/>
      <c r="AD11" s="648"/>
      <c r="AE11" s="648"/>
      <c r="AF11" s="648"/>
      <c r="AG11" s="648"/>
      <c r="AH11" s="648"/>
      <c r="AI11" s="648"/>
      <c r="AJ11" s="648"/>
      <c r="AK11" s="648"/>
      <c r="AL11" s="648"/>
      <c r="AM11" s="648"/>
      <c r="AN11" s="648"/>
      <c r="AO11" s="648"/>
      <c r="AP11" s="648"/>
      <c r="AQ11" s="648"/>
      <c r="AR11" s="648"/>
      <c r="AS11" s="648"/>
      <c r="AT11" s="648"/>
      <c r="AU11" s="648"/>
    </row>
    <row r="12" spans="1:47">
      <c r="A12" s="648"/>
      <c r="B12" s="648"/>
      <c r="C12" s="648"/>
      <c r="D12" s="648"/>
      <c r="E12" s="648"/>
      <c r="F12" s="648"/>
      <c r="G12" s="648"/>
      <c r="H12" s="648"/>
      <c r="I12" s="648"/>
      <c r="J12" s="648"/>
      <c r="K12" s="648"/>
      <c r="L12" s="648"/>
      <c r="M12" s="648"/>
      <c r="N12" s="648"/>
      <c r="O12" s="648"/>
      <c r="P12" s="648"/>
      <c r="Q12" s="648"/>
      <c r="R12" s="648"/>
      <c r="S12" s="648"/>
      <c r="T12" s="648"/>
      <c r="U12" s="648"/>
      <c r="V12" s="648"/>
      <c r="W12" s="648"/>
      <c r="X12" s="648"/>
      <c r="Y12" s="648"/>
      <c r="Z12" s="648"/>
      <c r="AA12" s="648"/>
      <c r="AB12" s="648"/>
      <c r="AC12" s="648"/>
      <c r="AD12" s="648"/>
      <c r="AE12" s="648"/>
      <c r="AF12" s="648"/>
      <c r="AG12" s="648"/>
      <c r="AH12" s="648"/>
      <c r="AI12" s="648"/>
      <c r="AJ12" s="648"/>
      <c r="AK12" s="648"/>
      <c r="AL12" s="648"/>
      <c r="AM12" s="648"/>
      <c r="AN12" s="648"/>
      <c r="AO12" s="648"/>
      <c r="AP12" s="648"/>
      <c r="AQ12" s="648"/>
      <c r="AR12" s="648"/>
      <c r="AS12" s="648"/>
      <c r="AT12" s="648"/>
      <c r="AU12" s="648"/>
    </row>
    <row r="13" spans="1:47">
      <c r="A13" s="648"/>
      <c r="B13" s="648"/>
      <c r="C13" s="648"/>
      <c r="D13" s="648"/>
      <c r="E13" s="648"/>
      <c r="F13" s="648"/>
      <c r="G13" s="648"/>
      <c r="H13" s="648"/>
      <c r="I13" s="648"/>
      <c r="J13" s="648"/>
      <c r="K13" s="648"/>
      <c r="L13" s="648"/>
      <c r="M13" s="648"/>
      <c r="N13" s="648"/>
      <c r="O13" s="648"/>
      <c r="P13" s="648"/>
      <c r="Q13" s="648"/>
      <c r="R13" s="648"/>
      <c r="S13" s="648"/>
      <c r="T13" s="648"/>
      <c r="U13" s="648"/>
      <c r="V13" s="648"/>
      <c r="W13" s="648"/>
      <c r="X13" s="648"/>
      <c r="Y13" s="648"/>
      <c r="Z13" s="648"/>
      <c r="AA13" s="648"/>
      <c r="AB13" s="648"/>
      <c r="AC13" s="648"/>
      <c r="AD13" s="648"/>
      <c r="AE13" s="648"/>
      <c r="AF13" s="648"/>
      <c r="AG13" s="648"/>
      <c r="AH13" s="648"/>
      <c r="AI13" s="648"/>
      <c r="AJ13" s="648"/>
      <c r="AK13" s="648"/>
      <c r="AL13" s="648"/>
      <c r="AM13" s="648"/>
      <c r="AN13" s="648"/>
      <c r="AO13" s="648"/>
      <c r="AP13" s="648"/>
      <c r="AQ13" s="648"/>
      <c r="AR13" s="648"/>
      <c r="AS13" s="648"/>
      <c r="AT13" s="648"/>
      <c r="AU13" s="648"/>
    </row>
    <row r="14" spans="1:47">
      <c r="A14" s="648"/>
      <c r="B14" s="648"/>
      <c r="C14" s="648"/>
      <c r="D14" s="648"/>
      <c r="E14" s="648"/>
      <c r="F14" s="648"/>
      <c r="G14" s="648"/>
      <c r="H14" s="648"/>
      <c r="I14" s="648"/>
      <c r="J14" s="648"/>
      <c r="K14" s="648"/>
      <c r="L14" s="648"/>
      <c r="M14" s="648"/>
      <c r="N14" s="648"/>
      <c r="O14" s="648"/>
      <c r="P14" s="648"/>
      <c r="Q14" s="648"/>
      <c r="R14" s="648"/>
      <c r="S14" s="648"/>
      <c r="T14" s="648"/>
      <c r="U14" s="648"/>
      <c r="V14" s="648"/>
      <c r="W14" s="648"/>
      <c r="X14" s="648"/>
      <c r="Y14" s="648"/>
      <c r="Z14" s="648"/>
      <c r="AA14" s="648"/>
      <c r="AB14" s="648"/>
      <c r="AC14" s="648"/>
      <c r="AD14" s="648"/>
      <c r="AE14" s="648"/>
      <c r="AF14" s="648"/>
      <c r="AG14" s="648"/>
      <c r="AH14" s="648"/>
      <c r="AI14" s="648"/>
      <c r="AJ14" s="648"/>
      <c r="AK14" s="648"/>
      <c r="AL14" s="648"/>
      <c r="AM14" s="648"/>
      <c r="AN14" s="648"/>
      <c r="AO14" s="648"/>
      <c r="AP14" s="648"/>
      <c r="AQ14" s="648"/>
      <c r="AR14" s="648"/>
      <c r="AS14" s="648"/>
      <c r="AT14" s="648"/>
      <c r="AU14" s="648"/>
    </row>
    <row r="15" spans="1:47">
      <c r="A15" s="648"/>
      <c r="B15" s="648"/>
      <c r="C15" s="648"/>
      <c r="D15" s="648"/>
      <c r="E15" s="648"/>
      <c r="F15" s="648"/>
      <c r="G15" s="648"/>
      <c r="H15" s="648"/>
      <c r="I15" s="648"/>
      <c r="J15" s="648"/>
      <c r="K15" s="648"/>
      <c r="L15" s="648"/>
      <c r="M15" s="648"/>
      <c r="N15" s="648"/>
      <c r="O15" s="648"/>
      <c r="P15" s="648"/>
      <c r="Q15" s="648"/>
      <c r="R15" s="648"/>
      <c r="S15" s="648"/>
      <c r="T15" s="648"/>
      <c r="U15" s="648"/>
      <c r="V15" s="648"/>
      <c r="W15" s="648"/>
      <c r="X15" s="648"/>
      <c r="Y15" s="648"/>
      <c r="Z15" s="648"/>
      <c r="AA15" s="648"/>
      <c r="AB15" s="648"/>
      <c r="AC15" s="648"/>
      <c r="AD15" s="648"/>
      <c r="AE15" s="648"/>
      <c r="AF15" s="648"/>
      <c r="AG15" s="648"/>
      <c r="AH15" s="648"/>
      <c r="AI15" s="648"/>
      <c r="AJ15" s="648"/>
      <c r="AK15" s="648"/>
      <c r="AL15" s="648"/>
      <c r="AM15" s="648"/>
      <c r="AN15" s="648"/>
      <c r="AO15" s="648"/>
      <c r="AP15" s="648"/>
      <c r="AQ15" s="648"/>
      <c r="AR15" s="648"/>
      <c r="AS15" s="648"/>
      <c r="AT15" s="648"/>
      <c r="AU15" s="648"/>
    </row>
    <row r="16" spans="1:47">
      <c r="A16" s="648"/>
      <c r="B16" s="648"/>
      <c r="C16" s="648"/>
      <c r="D16" s="648"/>
      <c r="E16" s="648"/>
      <c r="F16" s="648"/>
      <c r="G16" s="648"/>
      <c r="H16" s="648"/>
      <c r="I16" s="648"/>
      <c r="J16" s="648"/>
      <c r="K16" s="648"/>
      <c r="L16" s="648"/>
      <c r="M16" s="648"/>
      <c r="N16" s="648"/>
      <c r="O16" s="648"/>
      <c r="P16" s="648"/>
      <c r="Q16" s="648"/>
      <c r="R16" s="648"/>
      <c r="S16" s="648"/>
      <c r="T16" s="648"/>
      <c r="U16" s="648"/>
      <c r="V16" s="648"/>
      <c r="W16" s="648"/>
      <c r="X16" s="648"/>
      <c r="Y16" s="648"/>
      <c r="Z16" s="648"/>
      <c r="AA16" s="648"/>
      <c r="AB16" s="648"/>
      <c r="AC16" s="648"/>
      <c r="AD16" s="648"/>
      <c r="AE16" s="648"/>
      <c r="AF16" s="648"/>
      <c r="AG16" s="648"/>
      <c r="AH16" s="648"/>
      <c r="AI16" s="648"/>
      <c r="AJ16" s="648"/>
      <c r="AK16" s="648"/>
      <c r="AL16" s="648"/>
      <c r="AM16" s="648"/>
      <c r="AN16" s="648"/>
      <c r="AO16" s="648"/>
      <c r="AP16" s="648"/>
      <c r="AQ16" s="648"/>
      <c r="AR16" s="648"/>
      <c r="AS16" s="648"/>
      <c r="AT16" s="648"/>
      <c r="AU16" s="648"/>
    </row>
    <row r="17" spans="1:47">
      <c r="A17" s="648"/>
      <c r="B17" s="648"/>
      <c r="C17" s="648"/>
      <c r="D17" s="648"/>
      <c r="E17" s="648"/>
      <c r="F17" s="648"/>
      <c r="G17" s="648"/>
      <c r="H17" s="648"/>
      <c r="I17" s="648"/>
      <c r="J17" s="648"/>
      <c r="K17" s="648"/>
      <c r="L17" s="648"/>
      <c r="M17" s="648"/>
      <c r="N17" s="648"/>
      <c r="O17" s="648"/>
      <c r="P17" s="648"/>
      <c r="Q17" s="648"/>
      <c r="R17" s="648"/>
      <c r="S17" s="648"/>
      <c r="T17" s="648"/>
      <c r="U17" s="648"/>
      <c r="V17" s="648"/>
      <c r="W17" s="648"/>
      <c r="X17" s="648"/>
      <c r="Y17" s="648"/>
      <c r="Z17" s="648"/>
      <c r="AA17" s="648"/>
      <c r="AB17" s="648"/>
      <c r="AC17" s="648"/>
      <c r="AD17" s="648"/>
      <c r="AE17" s="648"/>
      <c r="AF17" s="648"/>
      <c r="AG17" s="648"/>
      <c r="AH17" s="648"/>
      <c r="AI17" s="648"/>
      <c r="AJ17" s="648"/>
      <c r="AK17" s="648"/>
      <c r="AL17" s="648"/>
      <c r="AM17" s="648"/>
      <c r="AN17" s="648"/>
      <c r="AO17" s="648"/>
      <c r="AP17" s="648"/>
      <c r="AQ17" s="648"/>
      <c r="AR17" s="648"/>
      <c r="AS17" s="648"/>
      <c r="AT17" s="648"/>
      <c r="AU17" s="648"/>
    </row>
    <row r="18" spans="1:47">
      <c r="A18" s="648"/>
      <c r="B18" s="648"/>
      <c r="C18" s="648"/>
      <c r="D18" s="648"/>
      <c r="E18" s="648"/>
      <c r="F18" s="648"/>
      <c r="G18" s="648"/>
      <c r="H18" s="648"/>
      <c r="I18" s="648"/>
      <c r="J18" s="648"/>
      <c r="K18" s="648"/>
      <c r="L18" s="648"/>
      <c r="M18" s="648"/>
      <c r="N18" s="648"/>
      <c r="O18" s="648"/>
      <c r="P18" s="648"/>
      <c r="Q18" s="648"/>
      <c r="R18" s="648"/>
      <c r="S18" s="648"/>
      <c r="T18" s="648"/>
      <c r="U18" s="648"/>
      <c r="V18" s="648"/>
      <c r="W18" s="648"/>
      <c r="X18" s="648"/>
      <c r="Y18" s="648"/>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row>
    <row r="19" spans="1:47">
      <c r="A19" s="648"/>
      <c r="B19" s="648"/>
      <c r="C19" s="648"/>
      <c r="D19" s="648"/>
      <c r="E19" s="648"/>
      <c r="F19" s="648"/>
      <c r="G19" s="648"/>
      <c r="H19" s="648"/>
      <c r="I19" s="648"/>
      <c r="J19" s="648"/>
      <c r="K19" s="648"/>
      <c r="L19" s="648"/>
      <c r="M19" s="648"/>
      <c r="N19" s="648"/>
      <c r="O19" s="648"/>
      <c r="P19" s="648"/>
      <c r="Q19" s="648"/>
      <c r="R19" s="648"/>
      <c r="S19" s="648"/>
      <c r="T19" s="648"/>
      <c r="U19" s="648"/>
      <c r="V19" s="648"/>
      <c r="W19" s="648"/>
      <c r="X19" s="648"/>
      <c r="Y19" s="648"/>
      <c r="Z19" s="648"/>
      <c r="AA19" s="648"/>
      <c r="AB19" s="648"/>
      <c r="AC19" s="648"/>
      <c r="AD19" s="648"/>
      <c r="AE19" s="648"/>
      <c r="AF19" s="648"/>
      <c r="AG19" s="648"/>
      <c r="AH19" s="648"/>
      <c r="AI19" s="648"/>
      <c r="AJ19" s="648"/>
      <c r="AK19" s="648"/>
      <c r="AL19" s="648"/>
      <c r="AM19" s="648"/>
      <c r="AN19" s="648"/>
      <c r="AO19" s="648"/>
      <c r="AP19" s="648"/>
      <c r="AQ19" s="648"/>
      <c r="AR19" s="648"/>
      <c r="AS19" s="648"/>
      <c r="AT19" s="648"/>
      <c r="AU19" s="648"/>
    </row>
    <row r="20" spans="1:47">
      <c r="A20" s="648"/>
      <c r="B20" s="648"/>
      <c r="C20" s="648"/>
      <c r="D20" s="648"/>
      <c r="E20" s="648"/>
      <c r="F20" s="648"/>
      <c r="G20" s="648"/>
      <c r="H20" s="648"/>
      <c r="I20" s="648"/>
      <c r="J20" s="648"/>
      <c r="K20" s="648"/>
      <c r="L20" s="648"/>
      <c r="M20" s="648"/>
      <c r="N20" s="648"/>
      <c r="O20" s="648"/>
      <c r="P20" s="648"/>
      <c r="Q20" s="648"/>
      <c r="R20" s="648"/>
      <c r="S20" s="648"/>
      <c r="T20" s="648"/>
      <c r="U20" s="648"/>
      <c r="V20" s="648"/>
      <c r="W20" s="648"/>
      <c r="X20" s="648"/>
      <c r="Y20" s="648"/>
      <c r="Z20" s="648"/>
      <c r="AA20" s="648"/>
      <c r="AB20" s="648"/>
      <c r="AC20" s="648"/>
      <c r="AD20" s="648"/>
      <c r="AE20" s="648"/>
      <c r="AF20" s="648"/>
      <c r="AG20" s="648"/>
      <c r="AH20" s="648"/>
      <c r="AI20" s="648"/>
      <c r="AJ20" s="648"/>
      <c r="AK20" s="648"/>
      <c r="AL20" s="648"/>
      <c r="AM20" s="648"/>
      <c r="AN20" s="648"/>
      <c r="AO20" s="648"/>
      <c r="AP20" s="648"/>
      <c r="AQ20" s="648"/>
      <c r="AR20" s="648"/>
      <c r="AS20" s="648"/>
      <c r="AT20" s="648"/>
      <c r="AU20" s="648"/>
    </row>
    <row r="21" spans="1:47">
      <c r="A21" s="648"/>
      <c r="B21" s="648"/>
      <c r="C21" s="648"/>
      <c r="D21" s="648"/>
      <c r="E21" s="648"/>
      <c r="F21" s="648"/>
      <c r="G21" s="648"/>
      <c r="H21" s="648"/>
      <c r="I21" s="648"/>
      <c r="J21" s="648"/>
      <c r="K21" s="648"/>
      <c r="L21" s="648"/>
      <c r="M21" s="648"/>
      <c r="N21" s="648"/>
      <c r="O21" s="648"/>
      <c r="P21" s="648"/>
      <c r="Q21" s="648"/>
      <c r="R21" s="648"/>
      <c r="S21" s="648"/>
      <c r="T21" s="648"/>
      <c r="U21" s="648"/>
      <c r="V21" s="648"/>
      <c r="W21" s="648"/>
      <c r="X21" s="648"/>
      <c r="Y21" s="648"/>
      <c r="Z21" s="648"/>
      <c r="AA21" s="648"/>
      <c r="AB21" s="648"/>
      <c r="AC21" s="648"/>
      <c r="AD21" s="648"/>
      <c r="AE21" s="648"/>
      <c r="AF21" s="648"/>
      <c r="AG21" s="648"/>
      <c r="AH21" s="648"/>
      <c r="AI21" s="648"/>
      <c r="AJ21" s="648"/>
      <c r="AK21" s="648"/>
      <c r="AL21" s="648"/>
      <c r="AM21" s="648"/>
      <c r="AN21" s="648"/>
      <c r="AO21" s="648"/>
      <c r="AP21" s="648"/>
      <c r="AQ21" s="648"/>
      <c r="AR21" s="648"/>
      <c r="AS21" s="648"/>
      <c r="AT21" s="648"/>
      <c r="AU21" s="648"/>
    </row>
    <row r="22" spans="1:47">
      <c r="A22" s="648"/>
      <c r="B22" s="648"/>
      <c r="C22" s="648"/>
      <c r="D22" s="648"/>
      <c r="E22" s="648"/>
      <c r="F22" s="648"/>
      <c r="G22" s="648"/>
      <c r="H22" s="648"/>
      <c r="I22" s="648"/>
      <c r="J22" s="648"/>
      <c r="K22" s="648"/>
      <c r="L22" s="648"/>
      <c r="M22" s="648"/>
      <c r="N22" s="648"/>
      <c r="O22" s="648"/>
      <c r="P22" s="648"/>
      <c r="Q22" s="648"/>
      <c r="R22" s="648"/>
      <c r="S22" s="648"/>
      <c r="T22" s="648"/>
      <c r="U22" s="648"/>
      <c r="V22" s="648"/>
      <c r="W22" s="648"/>
      <c r="X22" s="648"/>
      <c r="Y22" s="648"/>
      <c r="Z22" s="648"/>
      <c r="AA22" s="648"/>
      <c r="AB22" s="648"/>
      <c r="AC22" s="648"/>
      <c r="AD22" s="648"/>
      <c r="AE22" s="648"/>
      <c r="AF22" s="648"/>
      <c r="AG22" s="648"/>
      <c r="AH22" s="648"/>
      <c r="AI22" s="648"/>
      <c r="AJ22" s="648"/>
      <c r="AK22" s="648"/>
      <c r="AL22" s="648"/>
      <c r="AM22" s="648"/>
      <c r="AN22" s="648"/>
      <c r="AO22" s="648"/>
      <c r="AP22" s="648"/>
      <c r="AQ22" s="648"/>
      <c r="AR22" s="648"/>
      <c r="AS22" s="648"/>
      <c r="AT22" s="648"/>
      <c r="AU22" s="648"/>
    </row>
    <row r="23" spans="1:47">
      <c r="A23" s="648"/>
      <c r="B23" s="648"/>
      <c r="C23" s="648"/>
      <c r="D23" s="648"/>
      <c r="E23" s="648"/>
      <c r="F23" s="648"/>
      <c r="G23" s="648"/>
      <c r="H23" s="648"/>
      <c r="I23" s="648"/>
      <c r="J23" s="648"/>
      <c r="K23" s="648"/>
      <c r="L23" s="648"/>
      <c r="M23" s="648"/>
      <c r="N23" s="648"/>
      <c r="O23" s="648"/>
      <c r="P23" s="648"/>
      <c r="Q23" s="648"/>
      <c r="R23" s="648"/>
      <c r="S23" s="648"/>
      <c r="T23" s="648"/>
      <c r="U23" s="648"/>
      <c r="V23" s="648"/>
      <c r="W23" s="648"/>
      <c r="X23" s="648"/>
      <c r="Y23" s="648"/>
      <c r="Z23" s="648"/>
      <c r="AA23" s="648"/>
      <c r="AB23" s="648"/>
      <c r="AC23" s="648"/>
      <c r="AD23" s="648"/>
      <c r="AE23" s="648"/>
      <c r="AF23" s="648"/>
      <c r="AG23" s="648"/>
      <c r="AH23" s="648"/>
      <c r="AI23" s="648"/>
      <c r="AJ23" s="648"/>
      <c r="AK23" s="648"/>
      <c r="AL23" s="648"/>
      <c r="AM23" s="648"/>
      <c r="AN23" s="648"/>
      <c r="AO23" s="648"/>
      <c r="AP23" s="648"/>
      <c r="AQ23" s="648"/>
      <c r="AR23" s="648"/>
      <c r="AS23" s="648"/>
      <c r="AT23" s="648"/>
      <c r="AU23" s="648"/>
    </row>
    <row r="24" spans="1:47">
      <c r="A24" s="648"/>
      <c r="B24" s="648"/>
      <c r="C24" s="648"/>
      <c r="D24" s="648"/>
      <c r="E24" s="648"/>
      <c r="F24" s="648"/>
      <c r="G24" s="648"/>
      <c r="H24" s="648"/>
      <c r="I24" s="648"/>
      <c r="J24" s="648"/>
      <c r="K24" s="648"/>
      <c r="L24" s="648"/>
      <c r="M24" s="648"/>
      <c r="N24" s="648"/>
      <c r="O24" s="648"/>
      <c r="P24" s="648"/>
      <c r="Q24" s="648"/>
      <c r="R24" s="648"/>
      <c r="S24" s="648"/>
      <c r="T24" s="648"/>
      <c r="U24" s="648"/>
      <c r="V24" s="648"/>
      <c r="W24" s="648"/>
      <c r="X24" s="648"/>
      <c r="Y24" s="648"/>
      <c r="Z24" s="648"/>
      <c r="AA24" s="648"/>
      <c r="AB24" s="648"/>
      <c r="AC24" s="648"/>
      <c r="AD24" s="648"/>
      <c r="AE24" s="648"/>
      <c r="AF24" s="648"/>
      <c r="AG24" s="648"/>
      <c r="AH24" s="648"/>
      <c r="AI24" s="648"/>
      <c r="AJ24" s="648"/>
      <c r="AK24" s="648"/>
      <c r="AL24" s="648"/>
      <c r="AM24" s="648"/>
      <c r="AN24" s="648"/>
      <c r="AO24" s="648"/>
      <c r="AP24" s="648"/>
      <c r="AQ24" s="648"/>
      <c r="AR24" s="648"/>
      <c r="AS24" s="648"/>
      <c r="AT24" s="648"/>
      <c r="AU24" s="648"/>
    </row>
    <row r="25" spans="1:47">
      <c r="A25" s="648"/>
      <c r="B25" s="648"/>
      <c r="C25" s="648"/>
      <c r="D25" s="648"/>
      <c r="E25" s="648"/>
      <c r="F25" s="648"/>
      <c r="G25" s="648"/>
      <c r="H25" s="648"/>
      <c r="I25" s="648"/>
      <c r="J25" s="648"/>
      <c r="K25" s="648"/>
      <c r="L25" s="648"/>
      <c r="M25" s="648"/>
      <c r="N25" s="648"/>
      <c r="O25" s="648"/>
      <c r="P25" s="648"/>
      <c r="Q25" s="648"/>
      <c r="R25" s="648"/>
      <c r="S25" s="648"/>
      <c r="T25" s="648"/>
      <c r="U25" s="648"/>
      <c r="V25" s="648"/>
      <c r="W25" s="648"/>
      <c r="X25" s="648"/>
      <c r="Y25" s="648"/>
      <c r="Z25" s="648"/>
      <c r="AA25" s="648"/>
      <c r="AB25" s="648"/>
      <c r="AC25" s="648"/>
      <c r="AD25" s="648"/>
      <c r="AE25" s="648"/>
      <c r="AF25" s="648"/>
      <c r="AG25" s="648"/>
      <c r="AH25" s="648"/>
      <c r="AI25" s="648"/>
      <c r="AJ25" s="648"/>
      <c r="AK25" s="648"/>
      <c r="AL25" s="648"/>
      <c r="AM25" s="648"/>
      <c r="AN25" s="648"/>
      <c r="AO25" s="648"/>
      <c r="AP25" s="648"/>
      <c r="AQ25" s="648"/>
      <c r="AR25" s="648"/>
      <c r="AS25" s="648"/>
      <c r="AT25" s="648"/>
      <c r="AU25" s="648"/>
    </row>
    <row r="26" spans="1:47">
      <c r="A26" s="648"/>
      <c r="B26" s="648"/>
      <c r="C26" s="648"/>
      <c r="D26" s="648"/>
      <c r="E26" s="648"/>
      <c r="F26" s="648"/>
      <c r="G26" s="648"/>
      <c r="H26" s="648"/>
      <c r="I26" s="648"/>
      <c r="J26" s="648"/>
      <c r="K26" s="648"/>
      <c r="L26" s="648"/>
      <c r="M26" s="648"/>
      <c r="N26" s="648"/>
      <c r="O26" s="648"/>
      <c r="P26" s="648"/>
      <c r="Q26" s="648"/>
      <c r="R26" s="648"/>
      <c r="S26" s="648"/>
      <c r="T26" s="648"/>
      <c r="U26" s="648"/>
      <c r="V26" s="648"/>
      <c r="W26" s="648"/>
      <c r="X26" s="648"/>
      <c r="Y26" s="648"/>
      <c r="Z26" s="648"/>
      <c r="AA26" s="648"/>
      <c r="AB26" s="648"/>
      <c r="AC26" s="648"/>
      <c r="AD26" s="648"/>
      <c r="AE26" s="648"/>
      <c r="AF26" s="648"/>
      <c r="AG26" s="648"/>
      <c r="AH26" s="648"/>
      <c r="AI26" s="648"/>
      <c r="AJ26" s="648"/>
      <c r="AK26" s="648"/>
      <c r="AL26" s="648"/>
      <c r="AM26" s="648"/>
      <c r="AN26" s="648"/>
      <c r="AO26" s="648"/>
      <c r="AP26" s="648"/>
      <c r="AQ26" s="648"/>
      <c r="AR26" s="648"/>
      <c r="AS26" s="648"/>
      <c r="AT26" s="648"/>
      <c r="AU26" s="648"/>
    </row>
    <row r="27" spans="1:47">
      <c r="A27" s="648"/>
      <c r="B27" s="648"/>
      <c r="C27" s="648"/>
      <c r="D27" s="648"/>
      <c r="E27" s="648"/>
      <c r="F27" s="648"/>
      <c r="G27" s="648"/>
      <c r="H27" s="648"/>
      <c r="I27" s="648"/>
      <c r="J27" s="648"/>
      <c r="K27" s="648"/>
      <c r="L27" s="648"/>
      <c r="M27" s="648"/>
      <c r="N27" s="648"/>
      <c r="O27" s="648"/>
      <c r="P27" s="648"/>
      <c r="Q27" s="648"/>
      <c r="R27" s="648"/>
      <c r="S27" s="648"/>
      <c r="T27" s="648"/>
      <c r="U27" s="648"/>
      <c r="V27" s="648"/>
      <c r="W27" s="648"/>
      <c r="X27" s="648"/>
      <c r="Y27" s="648"/>
      <c r="Z27" s="648"/>
      <c r="AA27" s="648"/>
      <c r="AB27" s="648"/>
      <c r="AC27" s="648"/>
      <c r="AD27" s="648"/>
      <c r="AE27" s="648"/>
      <c r="AF27" s="648"/>
      <c r="AG27" s="648"/>
      <c r="AH27" s="648"/>
      <c r="AI27" s="648"/>
      <c r="AJ27" s="648"/>
      <c r="AK27" s="648"/>
      <c r="AL27" s="648"/>
      <c r="AM27" s="648"/>
      <c r="AN27" s="648"/>
      <c r="AO27" s="648"/>
      <c r="AP27" s="648"/>
      <c r="AQ27" s="648"/>
      <c r="AR27" s="648"/>
      <c r="AS27" s="648"/>
      <c r="AT27" s="648"/>
      <c r="AU27" s="648"/>
    </row>
    <row r="28" spans="1:47">
      <c r="A28" s="648"/>
      <c r="B28" s="648"/>
      <c r="C28" s="648"/>
      <c r="D28" s="648"/>
      <c r="E28" s="648"/>
      <c r="F28" s="648"/>
      <c r="G28" s="648"/>
      <c r="H28" s="648"/>
      <c r="I28" s="648"/>
      <c r="J28" s="648"/>
      <c r="K28" s="648"/>
      <c r="L28" s="648"/>
      <c r="M28" s="648"/>
      <c r="N28" s="648"/>
      <c r="O28" s="648"/>
      <c r="P28" s="648"/>
      <c r="Q28" s="648"/>
      <c r="R28" s="648"/>
      <c r="S28" s="648"/>
      <c r="T28" s="648"/>
      <c r="U28" s="648"/>
      <c r="V28" s="648"/>
      <c r="W28" s="648"/>
      <c r="X28" s="648"/>
      <c r="Y28" s="648"/>
      <c r="Z28" s="648"/>
      <c r="AA28" s="648"/>
      <c r="AB28" s="648"/>
      <c r="AC28" s="648"/>
      <c r="AD28" s="648"/>
      <c r="AE28" s="648"/>
      <c r="AF28" s="648"/>
      <c r="AG28" s="648"/>
      <c r="AH28" s="648"/>
      <c r="AI28" s="648"/>
      <c r="AJ28" s="648"/>
      <c r="AK28" s="648"/>
      <c r="AL28" s="648"/>
      <c r="AM28" s="648"/>
      <c r="AN28" s="648"/>
      <c r="AO28" s="648"/>
      <c r="AP28" s="648"/>
      <c r="AQ28" s="648"/>
      <c r="AR28" s="648"/>
      <c r="AS28" s="648"/>
      <c r="AT28" s="648"/>
      <c r="AU28" s="648"/>
    </row>
    <row r="29" spans="1:47">
      <c r="A29" s="648"/>
      <c r="B29" s="648"/>
      <c r="C29" s="648"/>
      <c r="D29" s="648"/>
      <c r="E29" s="648"/>
      <c r="F29" s="648"/>
      <c r="G29" s="648"/>
      <c r="H29" s="648"/>
      <c r="I29" s="648"/>
      <c r="J29" s="648"/>
      <c r="K29" s="648"/>
      <c r="L29" s="648"/>
      <c r="M29" s="648"/>
      <c r="N29" s="648"/>
      <c r="O29" s="648"/>
      <c r="P29" s="648"/>
      <c r="Q29" s="648"/>
      <c r="R29" s="648"/>
      <c r="S29" s="648"/>
      <c r="T29" s="648"/>
      <c r="U29" s="648"/>
      <c r="V29" s="648"/>
      <c r="W29" s="648"/>
      <c r="X29" s="648"/>
      <c r="Y29" s="648"/>
      <c r="Z29" s="648"/>
      <c r="AA29" s="648"/>
      <c r="AB29" s="648"/>
      <c r="AC29" s="648"/>
      <c r="AD29" s="648"/>
      <c r="AE29" s="648"/>
      <c r="AF29" s="648"/>
      <c r="AG29" s="648"/>
      <c r="AH29" s="648"/>
      <c r="AI29" s="648"/>
      <c r="AJ29" s="648"/>
      <c r="AK29" s="648"/>
      <c r="AL29" s="648"/>
      <c r="AM29" s="648"/>
      <c r="AN29" s="648"/>
      <c r="AO29" s="648"/>
      <c r="AP29" s="648"/>
      <c r="AQ29" s="648"/>
      <c r="AR29" s="648"/>
      <c r="AS29" s="648"/>
      <c r="AT29" s="648"/>
      <c r="AU29" s="648"/>
    </row>
    <row r="30" spans="1:47">
      <c r="A30" s="648"/>
      <c r="B30" s="648"/>
      <c r="C30" s="648"/>
      <c r="D30" s="648"/>
      <c r="E30" s="648"/>
      <c r="F30" s="648"/>
      <c r="G30" s="648"/>
      <c r="H30" s="648"/>
      <c r="I30" s="648"/>
      <c r="J30" s="648"/>
      <c r="K30" s="648"/>
      <c r="L30" s="648"/>
      <c r="M30" s="648"/>
      <c r="N30" s="648"/>
      <c r="O30" s="648"/>
      <c r="P30" s="648"/>
      <c r="Q30" s="648"/>
      <c r="R30" s="648"/>
      <c r="S30" s="648"/>
      <c r="T30" s="648"/>
      <c r="U30" s="648"/>
      <c r="V30" s="648"/>
      <c r="W30" s="648"/>
      <c r="X30" s="648"/>
      <c r="Y30" s="648"/>
      <c r="Z30" s="648"/>
      <c r="AA30" s="648"/>
      <c r="AB30" s="648"/>
      <c r="AC30" s="648"/>
      <c r="AD30" s="648"/>
      <c r="AE30" s="648"/>
      <c r="AF30" s="648"/>
      <c r="AG30" s="648"/>
      <c r="AH30" s="648"/>
      <c r="AI30" s="648"/>
      <c r="AJ30" s="648"/>
      <c r="AK30" s="648"/>
      <c r="AL30" s="648"/>
      <c r="AM30" s="648"/>
      <c r="AN30" s="648"/>
      <c r="AO30" s="648"/>
      <c r="AP30" s="648"/>
      <c r="AQ30" s="648"/>
      <c r="AR30" s="648"/>
      <c r="AS30" s="648"/>
      <c r="AT30" s="648"/>
      <c r="AU30" s="648"/>
    </row>
    <row r="31" spans="1:47">
      <c r="A31" s="648"/>
      <c r="B31" s="648"/>
      <c r="C31" s="648"/>
      <c r="D31" s="648"/>
      <c r="E31" s="648"/>
      <c r="F31" s="648"/>
      <c r="G31" s="648"/>
      <c r="H31" s="648"/>
      <c r="I31" s="648"/>
      <c r="J31" s="648"/>
      <c r="K31" s="648"/>
      <c r="L31" s="648"/>
      <c r="M31" s="648"/>
      <c r="N31" s="648"/>
      <c r="O31" s="648"/>
      <c r="P31" s="648"/>
      <c r="Q31" s="648"/>
      <c r="R31" s="648"/>
      <c r="S31" s="648"/>
      <c r="T31" s="648"/>
      <c r="U31" s="648"/>
      <c r="V31" s="648"/>
      <c r="W31" s="648"/>
      <c r="X31" s="648"/>
      <c r="Y31" s="648"/>
      <c r="Z31" s="648"/>
      <c r="AA31" s="648"/>
      <c r="AB31" s="648"/>
      <c r="AC31" s="648"/>
      <c r="AD31" s="648"/>
      <c r="AE31" s="648"/>
      <c r="AF31" s="648"/>
      <c r="AG31" s="648"/>
      <c r="AH31" s="648"/>
      <c r="AI31" s="648"/>
      <c r="AJ31" s="648"/>
      <c r="AK31" s="648"/>
      <c r="AL31" s="648"/>
      <c r="AM31" s="648"/>
      <c r="AN31" s="648"/>
      <c r="AO31" s="648"/>
      <c r="AP31" s="648"/>
      <c r="AQ31" s="648"/>
      <c r="AR31" s="648"/>
      <c r="AS31" s="648"/>
      <c r="AT31" s="648"/>
      <c r="AU31" s="648"/>
    </row>
    <row r="32" spans="1:47">
      <c r="A32" s="648"/>
      <c r="B32" s="648"/>
      <c r="C32" s="648"/>
      <c r="D32" s="648"/>
      <c r="E32" s="648"/>
      <c r="F32" s="648"/>
      <c r="G32" s="648"/>
      <c r="H32" s="648"/>
      <c r="I32" s="648"/>
      <c r="J32" s="648"/>
      <c r="K32" s="648"/>
      <c r="L32" s="648"/>
      <c r="M32" s="648"/>
      <c r="N32" s="648"/>
      <c r="O32" s="648"/>
      <c r="P32" s="648"/>
      <c r="Q32" s="648"/>
      <c r="R32" s="648"/>
      <c r="S32" s="648"/>
      <c r="T32" s="648"/>
      <c r="U32" s="648"/>
      <c r="V32" s="648"/>
      <c r="W32" s="648"/>
      <c r="X32" s="648"/>
      <c r="Y32" s="648"/>
      <c r="Z32" s="648"/>
      <c r="AA32" s="648"/>
      <c r="AB32" s="648"/>
      <c r="AC32" s="648"/>
      <c r="AD32" s="648"/>
      <c r="AE32" s="648"/>
      <c r="AF32" s="648"/>
      <c r="AG32" s="648"/>
      <c r="AH32" s="648"/>
      <c r="AI32" s="648"/>
      <c r="AJ32" s="648"/>
      <c r="AK32" s="648"/>
      <c r="AL32" s="648"/>
      <c r="AM32" s="648"/>
      <c r="AN32" s="648"/>
      <c r="AO32" s="648"/>
      <c r="AP32" s="648"/>
      <c r="AQ32" s="648"/>
      <c r="AR32" s="648"/>
      <c r="AS32" s="648"/>
      <c r="AT32" s="648"/>
      <c r="AU32" s="648"/>
    </row>
    <row r="33" spans="1:47">
      <c r="A33" s="648"/>
      <c r="B33" s="648"/>
      <c r="C33" s="648"/>
      <c r="D33" s="648"/>
      <c r="E33" s="648"/>
      <c r="F33" s="648"/>
      <c r="G33" s="648"/>
      <c r="H33" s="648"/>
      <c r="I33" s="648"/>
      <c r="J33" s="648"/>
      <c r="K33" s="648"/>
      <c r="L33" s="648"/>
      <c r="M33" s="648"/>
      <c r="N33" s="648"/>
      <c r="O33" s="648"/>
      <c r="P33" s="648"/>
      <c r="Q33" s="648"/>
      <c r="R33" s="648"/>
      <c r="S33" s="648"/>
      <c r="T33" s="648"/>
      <c r="U33" s="648"/>
      <c r="V33" s="648"/>
      <c r="W33" s="648"/>
      <c r="X33" s="648"/>
      <c r="Y33" s="648"/>
      <c r="Z33" s="648"/>
      <c r="AA33" s="648"/>
      <c r="AB33" s="648"/>
      <c r="AC33" s="648"/>
      <c r="AD33" s="648"/>
      <c r="AE33" s="648"/>
      <c r="AF33" s="648"/>
      <c r="AG33" s="648"/>
      <c r="AH33" s="648"/>
      <c r="AI33" s="648"/>
      <c r="AJ33" s="648"/>
      <c r="AK33" s="648"/>
      <c r="AL33" s="648"/>
      <c r="AM33" s="648"/>
      <c r="AN33" s="648"/>
      <c r="AO33" s="648"/>
      <c r="AP33" s="648"/>
      <c r="AQ33" s="648"/>
      <c r="AR33" s="648"/>
      <c r="AS33" s="648"/>
      <c r="AT33" s="648"/>
      <c r="AU33" s="648"/>
    </row>
    <row r="34" spans="1:47">
      <c r="A34" s="648"/>
      <c r="B34" s="648"/>
      <c r="C34" s="648"/>
      <c r="D34" s="648"/>
      <c r="E34" s="648"/>
      <c r="F34" s="648"/>
      <c r="G34" s="648"/>
      <c r="H34" s="648"/>
      <c r="I34" s="648"/>
      <c r="J34" s="648"/>
      <c r="K34" s="648"/>
      <c r="L34" s="648"/>
      <c r="M34" s="648"/>
      <c r="N34" s="648"/>
      <c r="O34" s="648"/>
      <c r="P34" s="648"/>
      <c r="Q34" s="648"/>
      <c r="R34" s="648"/>
      <c r="S34" s="648"/>
      <c r="T34" s="648"/>
      <c r="U34" s="648"/>
      <c r="V34" s="648"/>
      <c r="W34" s="648"/>
      <c r="X34" s="648"/>
      <c r="Y34" s="648"/>
      <c r="Z34" s="648"/>
      <c r="AA34" s="648"/>
      <c r="AB34" s="648"/>
      <c r="AC34" s="648"/>
      <c r="AD34" s="648"/>
      <c r="AE34" s="648"/>
      <c r="AF34" s="648"/>
      <c r="AG34" s="648"/>
      <c r="AH34" s="648"/>
      <c r="AI34" s="648"/>
      <c r="AJ34" s="648"/>
      <c r="AK34" s="648"/>
      <c r="AL34" s="648"/>
      <c r="AM34" s="648"/>
      <c r="AN34" s="648"/>
      <c r="AO34" s="648"/>
      <c r="AP34" s="648"/>
      <c r="AQ34" s="648"/>
      <c r="AR34" s="648"/>
      <c r="AS34" s="648"/>
      <c r="AT34" s="648"/>
      <c r="AU34" s="648"/>
    </row>
    <row r="35" spans="1:47">
      <c r="A35" s="648"/>
      <c r="B35" s="648"/>
      <c r="C35" s="648"/>
      <c r="D35" s="648"/>
      <c r="E35" s="648"/>
      <c r="F35" s="648"/>
      <c r="G35" s="648"/>
      <c r="H35" s="648"/>
      <c r="I35" s="648"/>
      <c r="J35" s="648"/>
      <c r="K35" s="648"/>
      <c r="L35" s="648"/>
      <c r="M35" s="648"/>
      <c r="N35" s="648"/>
      <c r="O35" s="648"/>
      <c r="P35" s="648"/>
      <c r="Q35" s="648"/>
      <c r="R35" s="648"/>
      <c r="S35" s="648"/>
      <c r="T35" s="648"/>
      <c r="U35" s="648"/>
      <c r="V35" s="648"/>
      <c r="W35" s="648"/>
      <c r="X35" s="648"/>
      <c r="Y35" s="648"/>
      <c r="Z35" s="648"/>
      <c r="AA35" s="648"/>
      <c r="AB35" s="648"/>
      <c r="AC35" s="648"/>
      <c r="AD35" s="648"/>
      <c r="AE35" s="648"/>
      <c r="AF35" s="648"/>
      <c r="AG35" s="648"/>
      <c r="AH35" s="648"/>
      <c r="AI35" s="648"/>
      <c r="AJ35" s="648"/>
      <c r="AK35" s="648"/>
      <c r="AL35" s="648"/>
      <c r="AM35" s="648"/>
      <c r="AN35" s="648"/>
      <c r="AO35" s="648"/>
      <c r="AP35" s="648"/>
      <c r="AQ35" s="648"/>
      <c r="AR35" s="648"/>
      <c r="AS35" s="648"/>
      <c r="AT35" s="648"/>
      <c r="AU35" s="648"/>
    </row>
    <row r="36" spans="1:47">
      <c r="A36" s="648"/>
      <c r="B36" s="648"/>
      <c r="C36" s="648"/>
      <c r="D36" s="648"/>
      <c r="E36" s="648"/>
      <c r="F36" s="648"/>
      <c r="G36" s="648"/>
      <c r="H36" s="648"/>
      <c r="I36" s="648"/>
      <c r="J36" s="648"/>
      <c r="K36" s="648"/>
      <c r="L36" s="648"/>
      <c r="M36" s="648"/>
      <c r="N36" s="648"/>
      <c r="O36" s="648"/>
      <c r="P36" s="648"/>
      <c r="Q36" s="648"/>
      <c r="R36" s="648"/>
      <c r="S36" s="648"/>
      <c r="T36" s="648"/>
      <c r="U36" s="648"/>
      <c r="V36" s="648"/>
      <c r="W36" s="648"/>
      <c r="X36" s="648"/>
      <c r="Y36" s="648"/>
      <c r="Z36" s="648"/>
      <c r="AA36" s="648"/>
      <c r="AB36" s="648"/>
      <c r="AC36" s="648"/>
      <c r="AD36" s="648"/>
      <c r="AE36" s="648"/>
      <c r="AF36" s="648"/>
      <c r="AG36" s="648"/>
      <c r="AH36" s="648"/>
      <c r="AI36" s="648"/>
      <c r="AJ36" s="648"/>
      <c r="AK36" s="648"/>
      <c r="AL36" s="648"/>
      <c r="AM36" s="648"/>
      <c r="AN36" s="648"/>
      <c r="AO36" s="648"/>
      <c r="AP36" s="648"/>
      <c r="AQ36" s="648"/>
      <c r="AR36" s="648"/>
      <c r="AS36" s="648"/>
      <c r="AT36" s="648"/>
      <c r="AU36" s="648"/>
    </row>
    <row r="37" spans="1:47">
      <c r="A37" s="648"/>
      <c r="B37" s="648"/>
      <c r="C37" s="648"/>
      <c r="D37" s="648"/>
      <c r="E37" s="648"/>
      <c r="F37" s="648"/>
      <c r="G37" s="648"/>
      <c r="H37" s="648"/>
      <c r="I37" s="648"/>
      <c r="J37" s="648"/>
      <c r="K37" s="648"/>
      <c r="L37" s="648"/>
      <c r="M37" s="648"/>
      <c r="N37" s="648"/>
      <c r="O37" s="648"/>
      <c r="P37" s="648"/>
      <c r="Q37" s="648"/>
      <c r="R37" s="648"/>
      <c r="S37" s="648"/>
      <c r="T37" s="648"/>
      <c r="U37" s="648"/>
      <c r="V37" s="648"/>
      <c r="W37" s="648"/>
      <c r="X37" s="648"/>
      <c r="Y37" s="648"/>
      <c r="Z37" s="648"/>
      <c r="AA37" s="648"/>
      <c r="AB37" s="648"/>
      <c r="AC37" s="648"/>
      <c r="AD37" s="648"/>
      <c r="AE37" s="648"/>
      <c r="AF37" s="648"/>
      <c r="AG37" s="648"/>
      <c r="AH37" s="648"/>
      <c r="AI37" s="648"/>
      <c r="AJ37" s="648"/>
      <c r="AK37" s="648"/>
      <c r="AL37" s="648"/>
      <c r="AM37" s="648"/>
      <c r="AN37" s="648"/>
      <c r="AO37" s="648"/>
      <c r="AP37" s="648"/>
      <c r="AQ37" s="648"/>
      <c r="AR37" s="648"/>
      <c r="AS37" s="648"/>
      <c r="AT37" s="648"/>
      <c r="AU37" s="648"/>
    </row>
    <row r="38" spans="1:47">
      <c r="A38" s="648"/>
      <c r="B38" s="648"/>
      <c r="C38" s="648"/>
      <c r="D38" s="648"/>
      <c r="E38" s="648"/>
      <c r="F38" s="648"/>
      <c r="G38" s="648"/>
      <c r="H38" s="648"/>
      <c r="I38" s="648"/>
      <c r="J38" s="648"/>
      <c r="K38" s="648"/>
      <c r="L38" s="648"/>
      <c r="M38" s="648"/>
      <c r="N38" s="648"/>
      <c r="O38" s="648"/>
      <c r="P38" s="648"/>
      <c r="Q38" s="648"/>
      <c r="R38" s="648"/>
      <c r="S38" s="648"/>
      <c r="T38" s="648"/>
      <c r="U38" s="648"/>
      <c r="V38" s="648"/>
      <c r="W38" s="648"/>
      <c r="X38" s="648"/>
      <c r="Y38" s="648"/>
      <c r="Z38" s="648"/>
      <c r="AA38" s="648"/>
      <c r="AB38" s="648"/>
      <c r="AC38" s="648"/>
      <c r="AD38" s="648"/>
      <c r="AE38" s="648"/>
      <c r="AF38" s="648"/>
      <c r="AG38" s="648"/>
      <c r="AH38" s="648"/>
      <c r="AI38" s="648"/>
      <c r="AJ38" s="648"/>
      <c r="AK38" s="648"/>
      <c r="AL38" s="648"/>
      <c r="AM38" s="648"/>
      <c r="AN38" s="648"/>
      <c r="AO38" s="648"/>
      <c r="AP38" s="648"/>
      <c r="AQ38" s="648"/>
      <c r="AR38" s="648"/>
      <c r="AS38" s="648"/>
      <c r="AT38" s="648"/>
      <c r="AU38" s="648"/>
    </row>
    <row r="39" spans="1:47">
      <c r="A39" s="648"/>
      <c r="B39" s="648"/>
      <c r="C39" s="648"/>
      <c r="D39" s="648"/>
      <c r="E39" s="648"/>
      <c r="F39" s="648"/>
      <c r="G39" s="648"/>
      <c r="H39" s="648"/>
      <c r="I39" s="648"/>
      <c r="J39" s="648"/>
      <c r="K39" s="648"/>
      <c r="L39" s="648"/>
      <c r="M39" s="648"/>
      <c r="N39" s="648"/>
      <c r="O39" s="648"/>
      <c r="P39" s="648"/>
      <c r="Q39" s="648"/>
      <c r="R39" s="648"/>
      <c r="S39" s="648"/>
      <c r="T39" s="648"/>
      <c r="U39" s="648"/>
      <c r="V39" s="648"/>
      <c r="W39" s="648"/>
      <c r="X39" s="648"/>
      <c r="Y39" s="648"/>
      <c r="Z39" s="648"/>
      <c r="AA39" s="648"/>
      <c r="AB39" s="648"/>
      <c r="AC39" s="648"/>
      <c r="AD39" s="648"/>
      <c r="AE39" s="648"/>
      <c r="AF39" s="648"/>
      <c r="AG39" s="648"/>
      <c r="AH39" s="648"/>
      <c r="AI39" s="648"/>
      <c r="AJ39" s="648"/>
      <c r="AK39" s="648"/>
      <c r="AL39" s="648"/>
      <c r="AM39" s="648"/>
      <c r="AN39" s="648"/>
      <c r="AO39" s="648"/>
      <c r="AP39" s="648"/>
      <c r="AQ39" s="648"/>
      <c r="AR39" s="648"/>
      <c r="AS39" s="648"/>
      <c r="AT39" s="648"/>
      <c r="AU39" s="648"/>
    </row>
    <row r="40" spans="1:47">
      <c r="A40" s="648"/>
      <c r="B40" s="648"/>
      <c r="C40" s="648"/>
      <c r="D40" s="648"/>
      <c r="E40" s="648"/>
      <c r="F40" s="648"/>
      <c r="G40" s="648"/>
      <c r="H40" s="648"/>
      <c r="I40" s="648"/>
      <c r="J40" s="648"/>
      <c r="K40" s="648"/>
      <c r="L40" s="648"/>
      <c r="M40" s="648"/>
      <c r="N40" s="648"/>
      <c r="O40" s="648"/>
      <c r="P40" s="648"/>
      <c r="Q40" s="648"/>
      <c r="R40" s="648"/>
      <c r="S40" s="648"/>
      <c r="T40" s="648"/>
      <c r="U40" s="648"/>
      <c r="V40" s="648"/>
      <c r="W40" s="648"/>
      <c r="X40" s="648"/>
      <c r="Y40" s="648"/>
      <c r="Z40" s="648"/>
      <c r="AA40" s="648"/>
      <c r="AB40" s="648"/>
      <c r="AC40" s="648"/>
      <c r="AD40" s="648"/>
      <c r="AE40" s="648"/>
      <c r="AF40" s="648"/>
      <c r="AG40" s="648"/>
      <c r="AH40" s="648"/>
      <c r="AI40" s="648"/>
      <c r="AJ40" s="648"/>
      <c r="AK40" s="648"/>
      <c r="AL40" s="648"/>
      <c r="AM40" s="648"/>
      <c r="AN40" s="648"/>
      <c r="AO40" s="648"/>
      <c r="AP40" s="648"/>
      <c r="AQ40" s="648"/>
      <c r="AR40" s="648"/>
      <c r="AS40" s="648"/>
      <c r="AT40" s="648"/>
      <c r="AU40" s="648"/>
    </row>
    <row r="41" spans="1:47">
      <c r="A41" s="648"/>
      <c r="B41" s="648"/>
      <c r="C41" s="648"/>
      <c r="D41" s="648"/>
      <c r="E41" s="648"/>
      <c r="F41" s="648"/>
      <c r="G41" s="648"/>
      <c r="H41" s="648"/>
      <c r="I41" s="648"/>
      <c r="J41" s="648"/>
      <c r="K41" s="648"/>
      <c r="L41" s="648"/>
      <c r="M41" s="648"/>
      <c r="N41" s="648"/>
      <c r="O41" s="648"/>
      <c r="P41" s="648"/>
      <c r="Q41" s="648"/>
      <c r="R41" s="648"/>
      <c r="S41" s="648"/>
      <c r="T41" s="648"/>
      <c r="U41" s="648"/>
      <c r="V41" s="648"/>
      <c r="W41" s="648"/>
      <c r="X41" s="648"/>
      <c r="Y41" s="648"/>
      <c r="Z41" s="648"/>
      <c r="AA41" s="648"/>
      <c r="AB41" s="648"/>
      <c r="AC41" s="648"/>
      <c r="AD41" s="648"/>
      <c r="AE41" s="648"/>
      <c r="AF41" s="648"/>
      <c r="AG41" s="648"/>
      <c r="AH41" s="648"/>
      <c r="AI41" s="648"/>
      <c r="AJ41" s="648"/>
      <c r="AK41" s="648"/>
      <c r="AL41" s="648"/>
      <c r="AM41" s="648"/>
      <c r="AN41" s="648"/>
      <c r="AO41" s="648"/>
      <c r="AP41" s="648"/>
      <c r="AQ41" s="648"/>
      <c r="AR41" s="648"/>
      <c r="AS41" s="648"/>
      <c r="AT41" s="648"/>
      <c r="AU41" s="648"/>
    </row>
    <row r="42" spans="1:47">
      <c r="A42" s="648"/>
      <c r="B42" s="648"/>
      <c r="C42" s="648"/>
      <c r="D42" s="648"/>
      <c r="E42" s="648"/>
      <c r="F42" s="648"/>
      <c r="G42" s="648"/>
      <c r="H42" s="648"/>
      <c r="I42" s="648"/>
      <c r="J42" s="648"/>
      <c r="K42" s="648"/>
      <c r="L42" s="648"/>
      <c r="M42" s="648"/>
      <c r="N42" s="648"/>
      <c r="O42" s="648"/>
      <c r="P42" s="648"/>
      <c r="Q42" s="648"/>
      <c r="R42" s="648"/>
      <c r="S42" s="648"/>
      <c r="T42" s="648"/>
      <c r="U42" s="648"/>
      <c r="V42" s="648"/>
      <c r="W42" s="648"/>
      <c r="X42" s="648"/>
      <c r="Y42" s="648"/>
      <c r="Z42" s="648"/>
      <c r="AA42" s="648"/>
      <c r="AB42" s="648"/>
      <c r="AC42" s="648"/>
      <c r="AD42" s="648"/>
      <c r="AE42" s="648"/>
      <c r="AF42" s="648"/>
      <c r="AG42" s="648"/>
      <c r="AH42" s="648"/>
      <c r="AI42" s="648"/>
      <c r="AJ42" s="648"/>
      <c r="AK42" s="648"/>
      <c r="AL42" s="648"/>
      <c r="AM42" s="648"/>
      <c r="AN42" s="648"/>
      <c r="AO42" s="648"/>
      <c r="AP42" s="648"/>
      <c r="AQ42" s="648"/>
      <c r="AR42" s="648"/>
      <c r="AS42" s="648"/>
      <c r="AT42" s="648"/>
      <c r="AU42" s="648"/>
    </row>
    <row r="43" spans="1:47">
      <c r="A43" s="648"/>
      <c r="B43" s="648"/>
      <c r="C43" s="648"/>
      <c r="D43" s="648"/>
      <c r="E43" s="648"/>
      <c r="F43" s="648"/>
      <c r="G43" s="648"/>
      <c r="H43" s="648"/>
      <c r="I43" s="648"/>
      <c r="J43" s="648"/>
      <c r="K43" s="648"/>
      <c r="L43" s="648"/>
      <c r="M43" s="648"/>
      <c r="N43" s="648"/>
      <c r="O43" s="648"/>
      <c r="P43" s="648"/>
      <c r="Q43" s="648"/>
      <c r="R43" s="648"/>
      <c r="S43" s="648"/>
      <c r="T43" s="648"/>
      <c r="U43" s="648"/>
      <c r="V43" s="648"/>
      <c r="W43" s="648"/>
      <c r="X43" s="648"/>
      <c r="Y43" s="648"/>
      <c r="Z43" s="648"/>
      <c r="AA43" s="648"/>
      <c r="AB43" s="648"/>
      <c r="AC43" s="648"/>
      <c r="AD43" s="648"/>
      <c r="AE43" s="648"/>
      <c r="AF43" s="648"/>
      <c r="AG43" s="648"/>
      <c r="AH43" s="648"/>
      <c r="AI43" s="648"/>
      <c r="AJ43" s="648"/>
      <c r="AK43" s="648"/>
      <c r="AL43" s="648"/>
      <c r="AM43" s="648"/>
      <c r="AN43" s="648"/>
      <c r="AO43" s="648"/>
      <c r="AP43" s="648"/>
      <c r="AQ43" s="648"/>
      <c r="AR43" s="648"/>
      <c r="AS43" s="648"/>
      <c r="AT43" s="648"/>
      <c r="AU43" s="648"/>
    </row>
    <row r="44" spans="1:47">
      <c r="A44" s="648"/>
      <c r="B44" s="648"/>
      <c r="C44" s="648"/>
      <c r="D44" s="648"/>
      <c r="E44" s="648"/>
      <c r="F44" s="648"/>
      <c r="G44" s="648"/>
      <c r="H44" s="648"/>
      <c r="I44" s="648"/>
      <c r="J44" s="648"/>
      <c r="K44" s="648"/>
      <c r="L44" s="648"/>
      <c r="M44" s="648"/>
      <c r="N44" s="648"/>
      <c r="O44" s="648"/>
      <c r="P44" s="648"/>
      <c r="Q44" s="648"/>
      <c r="R44" s="648"/>
      <c r="S44" s="648"/>
      <c r="T44" s="648"/>
      <c r="U44" s="648"/>
      <c r="V44" s="648"/>
      <c r="W44" s="648"/>
      <c r="X44" s="648"/>
      <c r="Y44" s="648"/>
      <c r="Z44" s="648"/>
      <c r="AA44" s="648"/>
      <c r="AB44" s="648"/>
      <c r="AC44" s="648"/>
      <c r="AD44" s="648"/>
      <c r="AE44" s="648"/>
      <c r="AF44" s="648"/>
      <c r="AG44" s="648"/>
      <c r="AH44" s="648"/>
      <c r="AI44" s="648"/>
      <c r="AJ44" s="648"/>
      <c r="AK44" s="648"/>
      <c r="AL44" s="648"/>
      <c r="AM44" s="648"/>
      <c r="AN44" s="648"/>
      <c r="AO44" s="648"/>
      <c r="AP44" s="648"/>
      <c r="AQ44" s="648"/>
      <c r="AR44" s="648"/>
      <c r="AS44" s="648"/>
      <c r="AT44" s="648"/>
      <c r="AU44" s="648"/>
    </row>
    <row r="45" spans="1:47">
      <c r="A45" s="648"/>
      <c r="B45" s="648"/>
      <c r="C45" s="648"/>
      <c r="D45" s="648"/>
      <c r="E45" s="648"/>
      <c r="F45" s="648"/>
      <c r="G45" s="648"/>
      <c r="H45" s="648"/>
      <c r="I45" s="648"/>
      <c r="J45" s="648"/>
      <c r="K45" s="648"/>
      <c r="L45" s="648"/>
      <c r="M45" s="648"/>
      <c r="N45" s="648"/>
      <c r="O45" s="648"/>
      <c r="P45" s="648"/>
      <c r="Q45" s="648"/>
      <c r="R45" s="648"/>
      <c r="S45" s="648"/>
      <c r="T45" s="648"/>
      <c r="U45" s="648"/>
      <c r="V45" s="648"/>
      <c r="W45" s="648"/>
      <c r="X45" s="648"/>
      <c r="Y45" s="648"/>
      <c r="Z45" s="648"/>
      <c r="AA45" s="648"/>
      <c r="AB45" s="648"/>
      <c r="AC45" s="648"/>
      <c r="AD45" s="648"/>
      <c r="AE45" s="648"/>
      <c r="AF45" s="648"/>
      <c r="AG45" s="648"/>
      <c r="AH45" s="648"/>
      <c r="AI45" s="648"/>
      <c r="AJ45" s="648"/>
      <c r="AK45" s="648"/>
      <c r="AL45" s="648"/>
      <c r="AM45" s="648"/>
      <c r="AN45" s="648"/>
      <c r="AO45" s="648"/>
      <c r="AP45" s="648"/>
      <c r="AQ45" s="648"/>
      <c r="AR45" s="648"/>
      <c r="AS45" s="648"/>
      <c r="AT45" s="648"/>
      <c r="AU45" s="648"/>
    </row>
    <row r="46" spans="1:47">
      <c r="A46" s="648"/>
      <c r="B46" s="648"/>
      <c r="C46" s="648"/>
      <c r="D46" s="648"/>
      <c r="E46" s="648"/>
      <c r="F46" s="648"/>
      <c r="G46" s="648"/>
      <c r="H46" s="648"/>
      <c r="I46" s="648"/>
      <c r="J46" s="648"/>
      <c r="K46" s="648"/>
      <c r="L46" s="648"/>
      <c r="M46" s="648"/>
      <c r="N46" s="648"/>
      <c r="O46" s="648"/>
      <c r="P46" s="648"/>
      <c r="Q46" s="648"/>
      <c r="R46" s="648"/>
      <c r="S46" s="648"/>
      <c r="T46" s="648"/>
      <c r="U46" s="648"/>
      <c r="V46" s="648"/>
      <c r="W46" s="648"/>
      <c r="X46" s="648"/>
      <c r="Y46" s="648"/>
      <c r="Z46" s="648"/>
      <c r="AA46" s="648"/>
      <c r="AB46" s="648"/>
      <c r="AC46" s="648"/>
      <c r="AD46" s="648"/>
      <c r="AE46" s="648"/>
      <c r="AF46" s="648"/>
      <c r="AG46" s="648"/>
      <c r="AH46" s="648"/>
      <c r="AI46" s="648"/>
      <c r="AJ46" s="648"/>
      <c r="AK46" s="648"/>
      <c r="AL46" s="648"/>
      <c r="AM46" s="648"/>
      <c r="AN46" s="648"/>
      <c r="AO46" s="648"/>
      <c r="AP46" s="648"/>
      <c r="AQ46" s="648"/>
      <c r="AR46" s="648"/>
      <c r="AS46" s="648"/>
      <c r="AT46" s="648"/>
      <c r="AU46" s="648"/>
    </row>
    <row r="47" spans="1:47">
      <c r="A47" s="648"/>
      <c r="B47" s="648"/>
      <c r="C47" s="648"/>
      <c r="D47" s="648"/>
      <c r="E47" s="648"/>
      <c r="F47" s="648"/>
      <c r="G47" s="648"/>
      <c r="H47" s="648"/>
      <c r="I47" s="648"/>
      <c r="J47" s="648"/>
      <c r="K47" s="648"/>
      <c r="L47" s="648"/>
      <c r="M47" s="648"/>
      <c r="N47" s="648"/>
      <c r="O47" s="648"/>
      <c r="P47" s="648"/>
      <c r="Q47" s="648"/>
      <c r="R47" s="648"/>
      <c r="S47" s="648"/>
      <c r="T47" s="648"/>
      <c r="U47" s="648"/>
      <c r="V47" s="648"/>
      <c r="W47" s="648"/>
      <c r="X47" s="648"/>
      <c r="Y47" s="648"/>
      <c r="Z47" s="648"/>
      <c r="AA47" s="648"/>
      <c r="AB47" s="648"/>
      <c r="AC47" s="648"/>
      <c r="AD47" s="648"/>
      <c r="AE47" s="648"/>
      <c r="AF47" s="648"/>
      <c r="AG47" s="648"/>
      <c r="AH47" s="648"/>
      <c r="AI47" s="648"/>
      <c r="AJ47" s="648"/>
      <c r="AK47" s="648"/>
      <c r="AL47" s="648"/>
      <c r="AM47" s="648"/>
      <c r="AN47" s="648"/>
      <c r="AO47" s="648"/>
      <c r="AP47" s="648"/>
      <c r="AQ47" s="648"/>
      <c r="AR47" s="648"/>
      <c r="AS47" s="648"/>
      <c r="AT47" s="648"/>
      <c r="AU47" s="648"/>
    </row>
    <row r="48" spans="1:47">
      <c r="A48" s="648"/>
      <c r="B48" s="648"/>
      <c r="C48" s="648"/>
      <c r="D48" s="648"/>
      <c r="E48" s="648"/>
      <c r="F48" s="648"/>
      <c r="G48" s="648"/>
      <c r="H48" s="648"/>
      <c r="I48" s="648"/>
      <c r="J48" s="648"/>
      <c r="K48" s="648"/>
      <c r="L48" s="648"/>
      <c r="M48" s="648"/>
      <c r="N48" s="648"/>
      <c r="O48" s="648"/>
      <c r="P48" s="648"/>
      <c r="Q48" s="648"/>
      <c r="R48" s="648"/>
      <c r="S48" s="648"/>
      <c r="T48" s="648"/>
      <c r="U48" s="648"/>
      <c r="V48" s="648"/>
      <c r="W48" s="648"/>
      <c r="X48" s="648"/>
      <c r="Y48" s="648"/>
      <c r="Z48" s="648"/>
      <c r="AA48" s="648"/>
      <c r="AB48" s="648"/>
      <c r="AC48" s="648"/>
      <c r="AD48" s="648"/>
      <c r="AE48" s="648"/>
      <c r="AF48" s="648"/>
      <c r="AG48" s="648"/>
      <c r="AH48" s="648"/>
      <c r="AI48" s="648"/>
      <c r="AJ48" s="648"/>
      <c r="AK48" s="648"/>
      <c r="AL48" s="648"/>
      <c r="AM48" s="648"/>
      <c r="AN48" s="648"/>
      <c r="AO48" s="648"/>
      <c r="AP48" s="648"/>
      <c r="AQ48" s="648"/>
      <c r="AR48" s="648"/>
      <c r="AS48" s="648"/>
      <c r="AT48" s="648"/>
      <c r="AU48" s="648"/>
    </row>
    <row r="49" spans="1:47">
      <c r="A49" s="648"/>
      <c r="B49" s="648"/>
      <c r="C49" s="648"/>
      <c r="D49" s="648"/>
      <c r="E49" s="648"/>
      <c r="F49" s="648"/>
      <c r="G49" s="648"/>
      <c r="H49" s="648"/>
      <c r="I49" s="648"/>
      <c r="J49" s="648"/>
      <c r="K49" s="648"/>
      <c r="L49" s="648"/>
      <c r="M49" s="648"/>
      <c r="N49" s="648"/>
      <c r="O49" s="648"/>
      <c r="P49" s="648"/>
      <c r="Q49" s="648"/>
      <c r="R49" s="648"/>
      <c r="S49" s="648"/>
      <c r="T49" s="648"/>
      <c r="U49" s="648"/>
      <c r="V49" s="648"/>
      <c r="W49" s="648"/>
      <c r="X49" s="648"/>
      <c r="Y49" s="648"/>
      <c r="Z49" s="648"/>
      <c r="AA49" s="648"/>
      <c r="AB49" s="648"/>
      <c r="AC49" s="648"/>
      <c r="AD49" s="648"/>
      <c r="AE49" s="648"/>
      <c r="AF49" s="648"/>
      <c r="AG49" s="648"/>
      <c r="AH49" s="648"/>
      <c r="AI49" s="648"/>
      <c r="AJ49" s="648"/>
      <c r="AK49" s="648"/>
      <c r="AL49" s="648"/>
      <c r="AM49" s="648"/>
      <c r="AN49" s="648"/>
      <c r="AO49" s="648"/>
      <c r="AP49" s="648"/>
      <c r="AQ49" s="648"/>
      <c r="AR49" s="648"/>
      <c r="AS49" s="648"/>
      <c r="AT49" s="648"/>
      <c r="AU49" s="648"/>
    </row>
    <row r="50" spans="1:47">
      <c r="A50" s="648"/>
      <c r="B50" s="648"/>
      <c r="C50" s="648"/>
      <c r="D50" s="648"/>
      <c r="E50" s="648"/>
      <c r="F50" s="648"/>
      <c r="G50" s="648"/>
      <c r="H50" s="648"/>
      <c r="I50" s="648"/>
      <c r="J50" s="648"/>
      <c r="K50" s="648"/>
      <c r="L50" s="648"/>
      <c r="M50" s="648"/>
      <c r="N50" s="648"/>
      <c r="O50" s="648"/>
      <c r="P50" s="648"/>
      <c r="Q50" s="648"/>
      <c r="R50" s="648"/>
      <c r="S50" s="648"/>
      <c r="T50" s="648"/>
      <c r="U50" s="648"/>
      <c r="V50" s="648"/>
      <c r="W50" s="648"/>
      <c r="X50" s="648"/>
      <c r="Y50" s="648"/>
      <c r="Z50" s="648"/>
      <c r="AA50" s="648"/>
      <c r="AB50" s="648"/>
      <c r="AC50" s="648"/>
      <c r="AD50" s="648"/>
      <c r="AE50" s="648"/>
      <c r="AF50" s="648"/>
      <c r="AG50" s="648"/>
      <c r="AH50" s="648"/>
      <c r="AI50" s="648"/>
      <c r="AJ50" s="648"/>
      <c r="AK50" s="648"/>
      <c r="AL50" s="648"/>
      <c r="AM50" s="648"/>
      <c r="AN50" s="648"/>
      <c r="AO50" s="648"/>
      <c r="AP50" s="648"/>
      <c r="AQ50" s="648"/>
      <c r="AR50" s="648"/>
      <c r="AS50" s="648"/>
      <c r="AT50" s="648"/>
      <c r="AU50" s="648"/>
    </row>
    <row r="51" spans="1:47">
      <c r="A51" s="648"/>
      <c r="B51" s="648"/>
      <c r="C51" s="648"/>
      <c r="D51" s="648"/>
      <c r="E51" s="648"/>
      <c r="F51" s="648"/>
      <c r="G51" s="648"/>
      <c r="H51" s="648"/>
      <c r="I51" s="648"/>
      <c r="J51" s="648"/>
      <c r="K51" s="648"/>
      <c r="L51" s="648"/>
      <c r="M51" s="648"/>
      <c r="N51" s="648"/>
      <c r="O51" s="648"/>
      <c r="P51" s="648"/>
      <c r="Q51" s="648"/>
      <c r="R51" s="648"/>
      <c r="S51" s="648"/>
      <c r="T51" s="648"/>
      <c r="U51" s="648"/>
      <c r="V51" s="648"/>
      <c r="W51" s="648"/>
      <c r="X51" s="648"/>
      <c r="Y51" s="648"/>
      <c r="Z51" s="648"/>
      <c r="AA51" s="648"/>
      <c r="AB51" s="648"/>
      <c r="AC51" s="648"/>
      <c r="AD51" s="648"/>
      <c r="AE51" s="648"/>
      <c r="AF51" s="648"/>
      <c r="AG51" s="648"/>
      <c r="AH51" s="648"/>
      <c r="AI51" s="648"/>
      <c r="AJ51" s="648"/>
      <c r="AK51" s="648"/>
      <c r="AL51" s="648"/>
      <c r="AM51" s="648"/>
      <c r="AN51" s="648"/>
      <c r="AO51" s="648"/>
      <c r="AP51" s="648"/>
      <c r="AQ51" s="648"/>
      <c r="AR51" s="648"/>
      <c r="AS51" s="648"/>
      <c r="AT51" s="648"/>
      <c r="AU51" s="648"/>
    </row>
    <row r="52" spans="1:47">
      <c r="A52" s="648"/>
      <c r="B52" s="648"/>
      <c r="C52" s="648"/>
      <c r="D52" s="648"/>
      <c r="E52" s="648"/>
      <c r="F52" s="648"/>
      <c r="G52" s="648"/>
      <c r="H52" s="648"/>
      <c r="I52" s="648"/>
      <c r="J52" s="648"/>
      <c r="K52" s="648"/>
      <c r="L52" s="648"/>
      <c r="M52" s="648"/>
      <c r="N52" s="648"/>
      <c r="O52" s="648"/>
      <c r="P52" s="648"/>
      <c r="Q52" s="648"/>
      <c r="R52" s="648"/>
      <c r="S52" s="648"/>
      <c r="T52" s="648"/>
      <c r="U52" s="648"/>
      <c r="V52" s="648"/>
      <c r="W52" s="648"/>
      <c r="X52" s="648"/>
      <c r="Y52" s="648"/>
      <c r="Z52" s="648"/>
      <c r="AA52" s="648"/>
      <c r="AB52" s="648"/>
      <c r="AC52" s="648"/>
      <c r="AD52" s="648"/>
      <c r="AE52" s="648"/>
      <c r="AF52" s="648"/>
      <c r="AG52" s="648"/>
      <c r="AH52" s="648"/>
      <c r="AI52" s="648"/>
      <c r="AJ52" s="648"/>
      <c r="AK52" s="648"/>
      <c r="AL52" s="648"/>
      <c r="AM52" s="648"/>
      <c r="AN52" s="648"/>
      <c r="AO52" s="648"/>
      <c r="AP52" s="648"/>
      <c r="AQ52" s="648"/>
      <c r="AR52" s="648"/>
      <c r="AS52" s="648"/>
      <c r="AT52" s="648"/>
      <c r="AU52" s="648"/>
    </row>
    <row r="53" spans="1:47">
      <c r="A53" s="648"/>
      <c r="B53" s="648"/>
      <c r="C53" s="648"/>
      <c r="D53" s="648"/>
      <c r="E53" s="648"/>
      <c r="F53" s="648"/>
      <c r="G53" s="648"/>
      <c r="H53" s="648"/>
      <c r="I53" s="648"/>
      <c r="J53" s="648"/>
      <c r="K53" s="648"/>
      <c r="L53" s="648"/>
      <c r="M53" s="648"/>
      <c r="N53" s="648"/>
      <c r="O53" s="648"/>
      <c r="P53" s="648"/>
      <c r="Q53" s="648"/>
      <c r="R53" s="648"/>
      <c r="S53" s="648"/>
      <c r="T53" s="648"/>
      <c r="U53" s="648"/>
      <c r="V53" s="648"/>
      <c r="W53" s="648"/>
      <c r="X53" s="648"/>
      <c r="Y53" s="648"/>
      <c r="Z53" s="648"/>
      <c r="AA53" s="648"/>
      <c r="AB53" s="648"/>
      <c r="AC53" s="648"/>
      <c r="AD53" s="648"/>
      <c r="AE53" s="648"/>
      <c r="AF53" s="648"/>
      <c r="AG53" s="648"/>
      <c r="AH53" s="648"/>
      <c r="AI53" s="648"/>
      <c r="AJ53" s="648"/>
      <c r="AK53" s="648"/>
      <c r="AL53" s="648"/>
      <c r="AM53" s="648"/>
      <c r="AN53" s="648"/>
      <c r="AO53" s="648"/>
      <c r="AP53" s="648"/>
      <c r="AQ53" s="648"/>
      <c r="AR53" s="648"/>
      <c r="AS53" s="648"/>
      <c r="AT53" s="648"/>
      <c r="AU53" s="648"/>
    </row>
    <row r="54" spans="1:47">
      <c r="A54" s="648"/>
      <c r="B54" s="648"/>
      <c r="C54" s="648"/>
      <c r="D54" s="648"/>
      <c r="E54" s="648"/>
      <c r="F54" s="648"/>
      <c r="G54" s="648"/>
      <c r="H54" s="648"/>
      <c r="I54" s="648"/>
      <c r="J54" s="648"/>
      <c r="K54" s="648"/>
      <c r="L54" s="648"/>
      <c r="M54" s="648"/>
      <c r="N54" s="648"/>
      <c r="O54" s="648"/>
      <c r="P54" s="648"/>
      <c r="Q54" s="648"/>
      <c r="R54" s="648"/>
      <c r="S54" s="648"/>
      <c r="T54" s="648"/>
      <c r="U54" s="648"/>
      <c r="V54" s="648"/>
      <c r="W54" s="648"/>
      <c r="X54" s="648"/>
      <c r="Y54" s="648"/>
      <c r="Z54" s="648"/>
      <c r="AA54" s="648"/>
      <c r="AB54" s="648"/>
      <c r="AC54" s="648"/>
      <c r="AD54" s="648"/>
      <c r="AE54" s="648"/>
      <c r="AF54" s="648"/>
      <c r="AG54" s="648"/>
      <c r="AH54" s="648"/>
      <c r="AI54" s="648"/>
      <c r="AJ54" s="648"/>
      <c r="AK54" s="648"/>
      <c r="AL54" s="648"/>
      <c r="AM54" s="648"/>
      <c r="AN54" s="648"/>
      <c r="AO54" s="648"/>
      <c r="AP54" s="648"/>
      <c r="AQ54" s="648"/>
      <c r="AR54" s="648"/>
      <c r="AS54" s="648"/>
      <c r="AT54" s="648"/>
      <c r="AU54" s="648"/>
    </row>
    <row r="55" spans="1:47">
      <c r="A55" s="648"/>
      <c r="B55" s="648"/>
      <c r="C55" s="648"/>
      <c r="D55" s="648"/>
      <c r="E55" s="648"/>
      <c r="F55" s="648"/>
      <c r="G55" s="648"/>
      <c r="H55" s="648"/>
      <c r="I55" s="648"/>
      <c r="J55" s="648"/>
      <c r="K55" s="648"/>
      <c r="L55" s="648"/>
      <c r="M55" s="648"/>
      <c r="N55" s="648"/>
      <c r="O55" s="648"/>
      <c r="P55" s="648"/>
      <c r="Q55" s="648"/>
      <c r="R55" s="648"/>
      <c r="S55" s="648"/>
      <c r="T55" s="648"/>
      <c r="U55" s="648"/>
      <c r="V55" s="648"/>
      <c r="W55" s="648"/>
      <c r="X55" s="648"/>
      <c r="Y55" s="648"/>
      <c r="Z55" s="648"/>
      <c r="AA55" s="648"/>
      <c r="AB55" s="648"/>
      <c r="AC55" s="648"/>
      <c r="AD55" s="648"/>
      <c r="AE55" s="648"/>
      <c r="AF55" s="648"/>
      <c r="AG55" s="648"/>
      <c r="AH55" s="648"/>
      <c r="AI55" s="648"/>
      <c r="AJ55" s="648"/>
      <c r="AK55" s="648"/>
      <c r="AL55" s="648"/>
      <c r="AM55" s="648"/>
      <c r="AN55" s="648"/>
      <c r="AO55" s="648"/>
      <c r="AP55" s="648"/>
      <c r="AQ55" s="648"/>
      <c r="AR55" s="648"/>
      <c r="AS55" s="648"/>
      <c r="AT55" s="648"/>
      <c r="AU55" s="648"/>
    </row>
    <row r="56" spans="1:47">
      <c r="A56" s="648"/>
      <c r="B56" s="648"/>
      <c r="C56" s="648"/>
      <c r="D56" s="648"/>
      <c r="E56" s="648"/>
      <c r="F56" s="648"/>
      <c r="G56" s="648"/>
      <c r="H56" s="648"/>
      <c r="I56" s="648"/>
      <c r="J56" s="648"/>
      <c r="K56" s="648"/>
      <c r="L56" s="648"/>
      <c r="M56" s="648"/>
      <c r="N56" s="648"/>
      <c r="O56" s="648"/>
      <c r="P56" s="648"/>
      <c r="Q56" s="648"/>
      <c r="R56" s="648"/>
      <c r="S56" s="648"/>
      <c r="T56" s="648"/>
      <c r="U56" s="648"/>
      <c r="V56" s="648"/>
      <c r="W56" s="648"/>
      <c r="X56" s="648"/>
      <c r="Y56" s="648"/>
      <c r="Z56" s="648"/>
      <c r="AA56" s="648"/>
      <c r="AB56" s="648"/>
      <c r="AC56" s="648"/>
      <c r="AD56" s="648"/>
      <c r="AE56" s="648"/>
      <c r="AF56" s="648"/>
      <c r="AG56" s="648"/>
      <c r="AH56" s="648"/>
      <c r="AI56" s="648"/>
      <c r="AJ56" s="648"/>
      <c r="AK56" s="648"/>
      <c r="AL56" s="648"/>
      <c r="AM56" s="648"/>
      <c r="AN56" s="648"/>
      <c r="AO56" s="648"/>
      <c r="AP56" s="648"/>
      <c r="AQ56" s="648"/>
      <c r="AR56" s="648"/>
      <c r="AS56" s="648"/>
      <c r="AT56" s="648"/>
      <c r="AU56" s="648"/>
    </row>
    <row r="57" spans="1:47">
      <c r="A57" s="648"/>
      <c r="B57" s="648"/>
      <c r="C57" s="648"/>
      <c r="D57" s="648"/>
      <c r="E57" s="648"/>
      <c r="F57" s="648"/>
      <c r="G57" s="648"/>
      <c r="H57" s="648"/>
      <c r="I57" s="648"/>
      <c r="J57" s="648"/>
      <c r="K57" s="648"/>
      <c r="L57" s="648"/>
      <c r="M57" s="648"/>
      <c r="N57" s="648"/>
      <c r="O57" s="648"/>
      <c r="P57" s="648"/>
      <c r="Q57" s="648"/>
      <c r="R57" s="648"/>
      <c r="S57" s="648"/>
      <c r="T57" s="648"/>
      <c r="U57" s="648"/>
      <c r="V57" s="648"/>
      <c r="W57" s="648"/>
      <c r="X57" s="648"/>
      <c r="Y57" s="648"/>
      <c r="Z57" s="648"/>
      <c r="AA57" s="648"/>
      <c r="AB57" s="648"/>
      <c r="AC57" s="648"/>
      <c r="AD57" s="648"/>
      <c r="AE57" s="648"/>
      <c r="AF57" s="648"/>
      <c r="AG57" s="648"/>
      <c r="AH57" s="648"/>
      <c r="AI57" s="648"/>
      <c r="AJ57" s="648"/>
      <c r="AK57" s="648"/>
      <c r="AL57" s="648"/>
      <c r="AM57" s="648"/>
      <c r="AN57" s="648"/>
      <c r="AO57" s="648"/>
      <c r="AP57" s="648"/>
      <c r="AQ57" s="648"/>
      <c r="AR57" s="648"/>
      <c r="AS57" s="648"/>
      <c r="AT57" s="648"/>
      <c r="AU57" s="648"/>
    </row>
    <row r="58" spans="1:47">
      <c r="A58" s="648"/>
      <c r="B58" s="648"/>
      <c r="C58" s="648"/>
      <c r="D58" s="648"/>
      <c r="E58" s="648"/>
      <c r="F58" s="648"/>
      <c r="G58" s="648"/>
      <c r="H58" s="648"/>
      <c r="I58" s="648"/>
      <c r="J58" s="648"/>
      <c r="K58" s="648"/>
      <c r="L58" s="648"/>
      <c r="M58" s="648"/>
      <c r="N58" s="648"/>
      <c r="O58" s="648"/>
      <c r="P58" s="648"/>
      <c r="Q58" s="648"/>
      <c r="R58" s="648"/>
      <c r="S58" s="648"/>
      <c r="T58" s="648"/>
      <c r="U58" s="648"/>
      <c r="V58" s="648"/>
      <c r="W58" s="648"/>
      <c r="X58" s="648"/>
      <c r="Y58" s="648"/>
      <c r="Z58" s="648"/>
      <c r="AA58" s="648"/>
      <c r="AB58" s="648"/>
      <c r="AC58" s="648"/>
      <c r="AD58" s="648"/>
      <c r="AE58" s="648"/>
      <c r="AF58" s="648"/>
      <c r="AG58" s="648"/>
      <c r="AH58" s="648"/>
      <c r="AI58" s="648"/>
      <c r="AJ58" s="648"/>
      <c r="AK58" s="648"/>
      <c r="AL58" s="648"/>
      <c r="AM58" s="648"/>
      <c r="AN58" s="648"/>
      <c r="AO58" s="648"/>
      <c r="AP58" s="648"/>
      <c r="AQ58" s="648"/>
      <c r="AR58" s="648"/>
      <c r="AS58" s="648"/>
      <c r="AT58" s="648"/>
      <c r="AU58" s="648"/>
    </row>
    <row r="59" spans="1:47">
      <c r="A59" s="648"/>
      <c r="B59" s="648"/>
      <c r="C59" s="648"/>
      <c r="D59" s="648"/>
      <c r="E59" s="648"/>
      <c r="F59" s="648"/>
      <c r="G59" s="648"/>
      <c r="H59" s="648"/>
      <c r="I59" s="648"/>
      <c r="J59" s="648"/>
      <c r="K59" s="648"/>
      <c r="L59" s="648"/>
      <c r="M59" s="648"/>
      <c r="N59" s="648"/>
      <c r="O59" s="648"/>
      <c r="P59" s="648"/>
      <c r="Q59" s="648"/>
      <c r="R59" s="648"/>
      <c r="S59" s="648"/>
      <c r="T59" s="648"/>
      <c r="U59" s="648"/>
      <c r="V59" s="648"/>
      <c r="W59" s="648"/>
      <c r="X59" s="648"/>
      <c r="Y59" s="648"/>
      <c r="Z59" s="648"/>
      <c r="AA59" s="648"/>
      <c r="AB59" s="648"/>
      <c r="AC59" s="648"/>
      <c r="AD59" s="648"/>
      <c r="AE59" s="648"/>
      <c r="AF59" s="648"/>
      <c r="AG59" s="648"/>
      <c r="AH59" s="648"/>
      <c r="AI59" s="648"/>
      <c r="AJ59" s="648"/>
      <c r="AK59" s="648"/>
      <c r="AL59" s="648"/>
      <c r="AM59" s="648"/>
      <c r="AN59" s="648"/>
      <c r="AO59" s="648"/>
      <c r="AP59" s="648"/>
      <c r="AQ59" s="648"/>
      <c r="AR59" s="648"/>
      <c r="AS59" s="648"/>
      <c r="AT59" s="648"/>
      <c r="AU59" s="648"/>
    </row>
    <row r="60" spans="1:47">
      <c r="A60" s="648"/>
      <c r="B60" s="648"/>
      <c r="C60" s="648"/>
      <c r="D60" s="648"/>
      <c r="E60" s="648"/>
      <c r="F60" s="648"/>
      <c r="G60" s="648"/>
      <c r="H60" s="648"/>
      <c r="I60" s="648"/>
      <c r="J60" s="648"/>
      <c r="K60" s="648"/>
      <c r="L60" s="648"/>
      <c r="M60" s="648"/>
      <c r="N60" s="648"/>
      <c r="O60" s="648"/>
      <c r="P60" s="648"/>
      <c r="Q60" s="648"/>
      <c r="R60" s="648"/>
      <c r="S60" s="648"/>
      <c r="T60" s="648"/>
      <c r="U60" s="648"/>
      <c r="V60" s="648"/>
      <c r="W60" s="648"/>
      <c r="X60" s="648"/>
      <c r="Y60" s="648"/>
      <c r="Z60" s="648"/>
      <c r="AA60" s="648"/>
      <c r="AB60" s="648"/>
      <c r="AC60" s="648"/>
      <c r="AD60" s="648"/>
      <c r="AE60" s="648"/>
      <c r="AF60" s="648"/>
      <c r="AG60" s="648"/>
      <c r="AH60" s="648"/>
      <c r="AI60" s="648"/>
      <c r="AJ60" s="648"/>
      <c r="AK60" s="648"/>
      <c r="AL60" s="648"/>
      <c r="AM60" s="648"/>
      <c r="AN60" s="648"/>
      <c r="AO60" s="648"/>
      <c r="AP60" s="648"/>
      <c r="AQ60" s="648"/>
      <c r="AR60" s="648"/>
      <c r="AS60" s="648"/>
      <c r="AT60" s="648"/>
      <c r="AU60" s="648"/>
    </row>
    <row r="61" spans="1:47">
      <c r="A61" s="648"/>
      <c r="B61" s="648"/>
      <c r="C61" s="648"/>
      <c r="D61" s="648"/>
      <c r="E61" s="648"/>
      <c r="F61" s="648"/>
      <c r="G61" s="648"/>
      <c r="H61" s="648"/>
      <c r="I61" s="648"/>
      <c r="J61" s="648"/>
      <c r="K61" s="648"/>
      <c r="L61" s="648"/>
      <c r="M61" s="648"/>
      <c r="N61" s="648"/>
      <c r="O61" s="648"/>
      <c r="P61" s="648"/>
      <c r="Q61" s="648"/>
      <c r="R61" s="648"/>
      <c r="S61" s="648"/>
      <c r="T61" s="648"/>
      <c r="U61" s="648"/>
      <c r="V61" s="648"/>
      <c r="W61" s="648"/>
      <c r="X61" s="648"/>
      <c r="Y61" s="648"/>
      <c r="Z61" s="648"/>
      <c r="AA61" s="648"/>
      <c r="AB61" s="648"/>
      <c r="AC61" s="648"/>
      <c r="AD61" s="648"/>
      <c r="AE61" s="648"/>
      <c r="AF61" s="648"/>
      <c r="AG61" s="648"/>
      <c r="AH61" s="648"/>
      <c r="AI61" s="648"/>
      <c r="AJ61" s="648"/>
      <c r="AK61" s="648"/>
      <c r="AL61" s="648"/>
      <c r="AM61" s="648"/>
      <c r="AN61" s="648"/>
      <c r="AO61" s="648"/>
      <c r="AP61" s="648"/>
      <c r="AQ61" s="648"/>
      <c r="AR61" s="648"/>
      <c r="AS61" s="648"/>
      <c r="AT61" s="648"/>
      <c r="AU61" s="648"/>
    </row>
    <row r="62" spans="1:47">
      <c r="A62" s="648"/>
      <c r="B62" s="648"/>
      <c r="C62" s="648"/>
      <c r="D62" s="648"/>
      <c r="E62" s="648"/>
      <c r="F62" s="648"/>
      <c r="G62" s="648"/>
      <c r="H62" s="648"/>
      <c r="I62" s="648"/>
      <c r="J62" s="648"/>
      <c r="K62" s="648"/>
      <c r="L62" s="648"/>
      <c r="M62" s="648"/>
      <c r="N62" s="648"/>
      <c r="O62" s="648"/>
      <c r="P62" s="648"/>
      <c r="Q62" s="648"/>
      <c r="R62" s="648"/>
      <c r="S62" s="648"/>
      <c r="T62" s="648"/>
      <c r="U62" s="648"/>
      <c r="V62" s="648"/>
      <c r="W62" s="648"/>
      <c r="X62" s="648"/>
      <c r="Y62" s="648"/>
      <c r="Z62" s="648"/>
      <c r="AA62" s="648"/>
      <c r="AB62" s="648"/>
      <c r="AC62" s="648"/>
      <c r="AD62" s="648"/>
      <c r="AE62" s="648"/>
      <c r="AF62" s="648"/>
      <c r="AG62" s="648"/>
      <c r="AH62" s="648"/>
      <c r="AI62" s="648"/>
      <c r="AJ62" s="648"/>
      <c r="AK62" s="648"/>
      <c r="AL62" s="648"/>
      <c r="AM62" s="648"/>
      <c r="AN62" s="648"/>
      <c r="AO62" s="648"/>
      <c r="AP62" s="648"/>
      <c r="AQ62" s="648"/>
      <c r="AR62" s="648"/>
      <c r="AS62" s="648"/>
      <c r="AT62" s="648"/>
      <c r="AU62" s="648"/>
    </row>
    <row r="63" spans="1:47">
      <c r="A63" s="648"/>
      <c r="B63" s="648"/>
      <c r="C63" s="648"/>
      <c r="D63" s="648"/>
      <c r="E63" s="648"/>
      <c r="F63" s="648"/>
      <c r="G63" s="648"/>
      <c r="H63" s="648"/>
      <c r="I63" s="648"/>
      <c r="J63" s="648"/>
      <c r="K63" s="648"/>
      <c r="L63" s="648"/>
      <c r="M63" s="648"/>
      <c r="N63" s="648"/>
      <c r="O63" s="648"/>
      <c r="P63" s="648"/>
      <c r="Q63" s="648"/>
      <c r="R63" s="648"/>
      <c r="S63" s="648"/>
      <c r="T63" s="648"/>
      <c r="U63" s="648"/>
      <c r="V63" s="648"/>
      <c r="W63" s="648"/>
      <c r="X63" s="648"/>
      <c r="Y63" s="648"/>
      <c r="Z63" s="648"/>
      <c r="AA63" s="648"/>
      <c r="AB63" s="648"/>
      <c r="AC63" s="648"/>
      <c r="AD63" s="648"/>
      <c r="AE63" s="648"/>
      <c r="AF63" s="648"/>
      <c r="AG63" s="648"/>
      <c r="AH63" s="648"/>
      <c r="AI63" s="648"/>
      <c r="AJ63" s="648"/>
      <c r="AK63" s="648"/>
      <c r="AL63" s="648"/>
      <c r="AM63" s="648"/>
      <c r="AN63" s="648"/>
      <c r="AO63" s="648"/>
      <c r="AP63" s="648"/>
      <c r="AQ63" s="648"/>
      <c r="AR63" s="648"/>
      <c r="AS63" s="648"/>
      <c r="AT63" s="648"/>
      <c r="AU63" s="648"/>
    </row>
    <row r="64" spans="1:47">
      <c r="A64" s="648"/>
      <c r="B64" s="648"/>
      <c r="C64" s="648"/>
      <c r="D64" s="648"/>
      <c r="E64" s="648"/>
      <c r="F64" s="648"/>
      <c r="G64" s="648"/>
      <c r="H64" s="648"/>
      <c r="I64" s="648"/>
      <c r="J64" s="648"/>
      <c r="K64" s="648"/>
      <c r="L64" s="648"/>
      <c r="M64" s="648"/>
      <c r="N64" s="648"/>
      <c r="O64" s="648"/>
      <c r="P64" s="648"/>
      <c r="Q64" s="648"/>
      <c r="R64" s="648"/>
      <c r="S64" s="648"/>
      <c r="T64" s="648"/>
      <c r="U64" s="648"/>
      <c r="V64" s="648"/>
      <c r="W64" s="648"/>
      <c r="X64" s="648"/>
      <c r="Y64" s="648"/>
      <c r="Z64" s="648"/>
      <c r="AA64" s="648"/>
      <c r="AB64" s="648"/>
      <c r="AC64" s="648"/>
      <c r="AD64" s="648"/>
      <c r="AE64" s="648"/>
      <c r="AF64" s="648"/>
      <c r="AG64" s="648"/>
      <c r="AH64" s="648"/>
      <c r="AI64" s="648"/>
      <c r="AJ64" s="648"/>
      <c r="AK64" s="648"/>
      <c r="AL64" s="648"/>
      <c r="AM64" s="648"/>
      <c r="AN64" s="648"/>
      <c r="AO64" s="648"/>
      <c r="AP64" s="648"/>
      <c r="AQ64" s="648"/>
      <c r="AR64" s="648"/>
      <c r="AS64" s="648"/>
      <c r="AT64" s="648"/>
      <c r="AU64" s="648"/>
    </row>
    <row r="65" spans="1:47">
      <c r="A65" s="648"/>
      <c r="B65" s="648"/>
      <c r="C65" s="648"/>
      <c r="D65" s="648"/>
      <c r="E65" s="648"/>
      <c r="F65" s="648"/>
      <c r="G65" s="648"/>
      <c r="H65" s="648"/>
      <c r="I65" s="648"/>
      <c r="J65" s="648"/>
      <c r="K65" s="648"/>
      <c r="L65" s="648"/>
      <c r="M65" s="648"/>
      <c r="N65" s="648"/>
      <c r="O65" s="648"/>
      <c r="P65" s="648"/>
      <c r="Q65" s="648"/>
      <c r="R65" s="648"/>
      <c r="S65" s="648"/>
      <c r="T65" s="648"/>
      <c r="U65" s="648"/>
      <c r="V65" s="648"/>
      <c r="W65" s="648"/>
      <c r="X65" s="648"/>
      <c r="Y65" s="648"/>
      <c r="Z65" s="648"/>
      <c r="AA65" s="648"/>
      <c r="AB65" s="648"/>
      <c r="AC65" s="648"/>
      <c r="AD65" s="648"/>
      <c r="AE65" s="648"/>
      <c r="AF65" s="648"/>
      <c r="AG65" s="648"/>
      <c r="AH65" s="648"/>
      <c r="AI65" s="648"/>
      <c r="AJ65" s="648"/>
      <c r="AK65" s="648"/>
      <c r="AL65" s="648"/>
      <c r="AM65" s="648"/>
      <c r="AN65" s="648"/>
      <c r="AO65" s="648"/>
      <c r="AP65" s="648"/>
      <c r="AQ65" s="648"/>
      <c r="AR65" s="648"/>
      <c r="AS65" s="648"/>
      <c r="AT65" s="648"/>
      <c r="AU65" s="648"/>
    </row>
    <row r="66" spans="1:47">
      <c r="A66" s="648"/>
      <c r="B66" s="648"/>
      <c r="C66" s="648"/>
      <c r="D66" s="648"/>
      <c r="E66" s="648"/>
      <c r="F66" s="648"/>
      <c r="G66" s="648"/>
      <c r="H66" s="648"/>
      <c r="I66" s="648"/>
      <c r="J66" s="648"/>
      <c r="K66" s="648"/>
      <c r="L66" s="648"/>
      <c r="M66" s="648"/>
      <c r="N66" s="648"/>
      <c r="O66" s="648"/>
      <c r="P66" s="648"/>
      <c r="Q66" s="648"/>
      <c r="R66" s="648"/>
      <c r="S66" s="648"/>
      <c r="T66" s="648"/>
      <c r="U66" s="648"/>
      <c r="V66" s="648"/>
      <c r="W66" s="648"/>
      <c r="X66" s="648"/>
      <c r="Y66" s="648"/>
      <c r="Z66" s="648"/>
      <c r="AA66" s="648"/>
      <c r="AB66" s="648"/>
      <c r="AC66" s="648"/>
      <c r="AD66" s="648"/>
      <c r="AE66" s="648"/>
      <c r="AF66" s="648"/>
      <c r="AG66" s="648"/>
      <c r="AH66" s="648"/>
      <c r="AI66" s="648"/>
      <c r="AJ66" s="648"/>
      <c r="AK66" s="648"/>
      <c r="AL66" s="648"/>
      <c r="AM66" s="648"/>
      <c r="AN66" s="648"/>
      <c r="AO66" s="648"/>
      <c r="AP66" s="648"/>
      <c r="AQ66" s="648"/>
      <c r="AR66" s="648"/>
      <c r="AS66" s="648"/>
      <c r="AT66" s="648"/>
      <c r="AU66" s="648"/>
    </row>
    <row r="67" spans="1:47">
      <c r="A67" s="648"/>
      <c r="B67" s="648"/>
      <c r="C67" s="648"/>
      <c r="D67" s="648"/>
      <c r="E67" s="648"/>
      <c r="F67" s="648"/>
      <c r="G67" s="648"/>
      <c r="H67" s="648"/>
      <c r="I67" s="648"/>
      <c r="J67" s="648"/>
      <c r="K67" s="648"/>
      <c r="L67" s="648"/>
      <c r="M67" s="648"/>
      <c r="N67" s="648"/>
      <c r="O67" s="648"/>
      <c r="P67" s="648"/>
      <c r="Q67" s="648"/>
      <c r="R67" s="648"/>
      <c r="S67" s="648"/>
      <c r="T67" s="648"/>
      <c r="U67" s="648"/>
      <c r="V67" s="648"/>
      <c r="W67" s="648"/>
      <c r="X67" s="648"/>
      <c r="Y67" s="648"/>
      <c r="Z67" s="648"/>
      <c r="AA67" s="648"/>
      <c r="AB67" s="648"/>
      <c r="AC67" s="648"/>
      <c r="AD67" s="648"/>
      <c r="AE67" s="648"/>
      <c r="AF67" s="648"/>
      <c r="AG67" s="648"/>
      <c r="AH67" s="648"/>
      <c r="AI67" s="648"/>
      <c r="AJ67" s="648"/>
      <c r="AK67" s="648"/>
      <c r="AL67" s="648"/>
      <c r="AM67" s="648"/>
      <c r="AN67" s="648"/>
      <c r="AO67" s="648"/>
      <c r="AP67" s="648"/>
      <c r="AQ67" s="648"/>
      <c r="AR67" s="648"/>
      <c r="AS67" s="648"/>
      <c r="AT67" s="648"/>
      <c r="AU67" s="648"/>
    </row>
    <row r="68" spans="1:47">
      <c r="A68" s="648"/>
      <c r="B68" s="648"/>
      <c r="C68" s="648"/>
      <c r="D68" s="648"/>
      <c r="E68" s="648"/>
      <c r="F68" s="648"/>
      <c r="G68" s="648"/>
      <c r="H68" s="648"/>
      <c r="I68" s="648"/>
      <c r="J68" s="648"/>
      <c r="K68" s="648"/>
      <c r="L68" s="648"/>
      <c r="M68" s="648"/>
      <c r="N68" s="648"/>
      <c r="O68" s="648"/>
      <c r="P68" s="648"/>
      <c r="Q68" s="648"/>
      <c r="R68" s="648"/>
      <c r="S68" s="648"/>
      <c r="T68" s="648"/>
      <c r="U68" s="648"/>
      <c r="V68" s="648"/>
      <c r="W68" s="648"/>
      <c r="X68" s="648"/>
      <c r="Y68" s="648"/>
      <c r="Z68" s="648"/>
      <c r="AA68" s="648"/>
      <c r="AB68" s="648"/>
      <c r="AC68" s="648"/>
      <c r="AD68" s="648"/>
      <c r="AE68" s="648"/>
      <c r="AF68" s="648"/>
      <c r="AG68" s="648"/>
      <c r="AH68" s="648"/>
      <c r="AI68" s="648"/>
      <c r="AJ68" s="648"/>
      <c r="AK68" s="648"/>
      <c r="AL68" s="648"/>
      <c r="AM68" s="648"/>
      <c r="AN68" s="648"/>
      <c r="AO68" s="648"/>
      <c r="AP68" s="648"/>
      <c r="AQ68" s="648"/>
      <c r="AR68" s="648"/>
      <c r="AS68" s="648"/>
      <c r="AT68" s="648"/>
      <c r="AU68" s="648"/>
    </row>
    <row r="69" spans="1:47">
      <c r="A69" s="648"/>
      <c r="B69" s="648"/>
      <c r="C69" s="648"/>
      <c r="D69" s="648"/>
      <c r="E69" s="648"/>
      <c r="F69" s="648"/>
      <c r="G69" s="648"/>
      <c r="H69" s="648"/>
      <c r="I69" s="648"/>
      <c r="J69" s="648"/>
      <c r="K69" s="648"/>
      <c r="L69" s="648"/>
      <c r="M69" s="648"/>
      <c r="N69" s="648"/>
      <c r="O69" s="648"/>
      <c r="P69" s="648"/>
      <c r="Q69" s="648"/>
      <c r="R69" s="648"/>
      <c r="S69" s="648"/>
      <c r="T69" s="648"/>
      <c r="U69" s="648"/>
      <c r="V69" s="648"/>
      <c r="W69" s="648"/>
      <c r="X69" s="648"/>
      <c r="Y69" s="648"/>
      <c r="Z69" s="648"/>
      <c r="AA69" s="648"/>
      <c r="AB69" s="648"/>
      <c r="AC69" s="648"/>
      <c r="AD69" s="648"/>
      <c r="AE69" s="648"/>
      <c r="AF69" s="648"/>
      <c r="AG69" s="648"/>
      <c r="AH69" s="648"/>
      <c r="AI69" s="648"/>
      <c r="AJ69" s="648"/>
      <c r="AK69" s="648"/>
      <c r="AL69" s="648"/>
      <c r="AM69" s="648"/>
      <c r="AN69" s="648"/>
      <c r="AO69" s="648"/>
      <c r="AP69" s="648"/>
      <c r="AQ69" s="648"/>
      <c r="AR69" s="648"/>
      <c r="AS69" s="648"/>
      <c r="AT69" s="648"/>
      <c r="AU69" s="648"/>
    </row>
    <row r="70" spans="1:47">
      <c r="A70" s="648"/>
      <c r="B70" s="648"/>
      <c r="C70" s="648"/>
      <c r="D70" s="648"/>
      <c r="E70" s="648"/>
      <c r="F70" s="648"/>
      <c r="G70" s="648"/>
      <c r="H70" s="648"/>
      <c r="I70" s="648"/>
      <c r="J70" s="648"/>
      <c r="K70" s="648"/>
      <c r="L70" s="648"/>
      <c r="M70" s="648"/>
      <c r="N70" s="648"/>
      <c r="O70" s="648"/>
      <c r="P70" s="648"/>
      <c r="Q70" s="648"/>
      <c r="R70" s="648"/>
      <c r="S70" s="648"/>
      <c r="T70" s="648"/>
      <c r="U70" s="648"/>
      <c r="V70" s="648"/>
      <c r="W70" s="648"/>
      <c r="X70" s="648"/>
      <c r="Y70" s="648"/>
      <c r="Z70" s="648"/>
      <c r="AA70" s="648"/>
      <c r="AB70" s="648"/>
      <c r="AC70" s="648"/>
      <c r="AD70" s="648"/>
      <c r="AE70" s="648"/>
      <c r="AF70" s="648"/>
      <c r="AG70" s="648"/>
      <c r="AH70" s="648"/>
      <c r="AI70" s="648"/>
      <c r="AJ70" s="648"/>
      <c r="AK70" s="648"/>
      <c r="AL70" s="648"/>
      <c r="AM70" s="648"/>
      <c r="AN70" s="648"/>
      <c r="AO70" s="648"/>
      <c r="AP70" s="648"/>
      <c r="AQ70" s="648"/>
      <c r="AR70" s="648"/>
      <c r="AS70" s="648"/>
      <c r="AT70" s="648"/>
      <c r="AU70" s="648"/>
    </row>
    <row r="71" spans="1:47">
      <c r="A71" s="648"/>
      <c r="B71" s="648"/>
      <c r="C71" s="648"/>
      <c r="D71" s="648"/>
      <c r="E71" s="648"/>
      <c r="F71" s="648"/>
      <c r="G71" s="648"/>
      <c r="H71" s="648"/>
      <c r="I71" s="648"/>
      <c r="J71" s="648"/>
      <c r="K71" s="648"/>
      <c r="L71" s="648"/>
      <c r="M71" s="648"/>
      <c r="N71" s="648"/>
      <c r="O71" s="648"/>
      <c r="P71" s="648"/>
      <c r="Q71" s="648"/>
      <c r="R71" s="648"/>
      <c r="S71" s="648"/>
      <c r="T71" s="648"/>
      <c r="U71" s="648"/>
      <c r="V71" s="648"/>
      <c r="W71" s="648"/>
      <c r="X71" s="648"/>
      <c r="Y71" s="648"/>
      <c r="Z71" s="648"/>
      <c r="AA71" s="648"/>
      <c r="AB71" s="648"/>
      <c r="AC71" s="648"/>
      <c r="AD71" s="648"/>
      <c r="AE71" s="648"/>
      <c r="AF71" s="648"/>
      <c r="AG71" s="648"/>
      <c r="AH71" s="648"/>
      <c r="AI71" s="648"/>
      <c r="AJ71" s="648"/>
      <c r="AK71" s="648"/>
      <c r="AL71" s="648"/>
      <c r="AM71" s="648"/>
      <c r="AN71" s="648"/>
      <c r="AO71" s="648"/>
      <c r="AP71" s="648"/>
      <c r="AQ71" s="648"/>
      <c r="AR71" s="648"/>
      <c r="AS71" s="648"/>
      <c r="AT71" s="648"/>
      <c r="AU71" s="648"/>
    </row>
    <row r="72" spans="1:47">
      <c r="A72" s="648"/>
      <c r="B72" s="648"/>
      <c r="C72" s="648"/>
      <c r="D72" s="648"/>
      <c r="E72" s="648"/>
      <c r="F72" s="648"/>
      <c r="G72" s="648"/>
      <c r="H72" s="648"/>
      <c r="I72" s="648"/>
      <c r="J72" s="648"/>
      <c r="K72" s="648"/>
      <c r="L72" s="648"/>
      <c r="M72" s="648"/>
      <c r="N72" s="648"/>
      <c r="O72" s="648"/>
      <c r="P72" s="648"/>
      <c r="Q72" s="648"/>
      <c r="R72" s="648"/>
      <c r="S72" s="648"/>
      <c r="T72" s="648"/>
      <c r="U72" s="648"/>
      <c r="V72" s="648"/>
      <c r="W72" s="648"/>
      <c r="X72" s="648"/>
      <c r="Y72" s="648"/>
      <c r="Z72" s="648"/>
      <c r="AA72" s="648"/>
      <c r="AB72" s="648"/>
      <c r="AC72" s="648"/>
      <c r="AD72" s="648"/>
      <c r="AE72" s="648"/>
      <c r="AF72" s="648"/>
      <c r="AG72" s="648"/>
      <c r="AH72" s="648"/>
      <c r="AI72" s="648"/>
      <c r="AJ72" s="648"/>
      <c r="AK72" s="648"/>
      <c r="AL72" s="648"/>
      <c r="AM72" s="648"/>
      <c r="AN72" s="648"/>
      <c r="AO72" s="648"/>
      <c r="AP72" s="648"/>
      <c r="AQ72" s="648"/>
      <c r="AR72" s="648"/>
      <c r="AS72" s="648"/>
      <c r="AT72" s="648"/>
      <c r="AU72" s="648"/>
    </row>
    <row r="73" spans="1:47">
      <c r="A73" s="648"/>
      <c r="B73" s="648"/>
      <c r="C73" s="648"/>
      <c r="D73" s="648"/>
      <c r="E73" s="648"/>
      <c r="F73" s="648"/>
      <c r="G73" s="648"/>
      <c r="H73" s="648"/>
      <c r="I73" s="648"/>
      <c r="J73" s="648"/>
      <c r="K73" s="648"/>
      <c r="L73" s="648"/>
      <c r="M73" s="648"/>
      <c r="N73" s="648"/>
      <c r="O73" s="648"/>
      <c r="P73" s="648"/>
      <c r="Q73" s="648"/>
      <c r="R73" s="648"/>
      <c r="S73" s="648"/>
      <c r="T73" s="648"/>
      <c r="U73" s="648"/>
      <c r="V73" s="648"/>
      <c r="W73" s="648"/>
      <c r="X73" s="648"/>
      <c r="Y73" s="648"/>
      <c r="Z73" s="648"/>
      <c r="AA73" s="648"/>
      <c r="AB73" s="648"/>
      <c r="AC73" s="648"/>
      <c r="AD73" s="648"/>
      <c r="AE73" s="648"/>
      <c r="AF73" s="648"/>
      <c r="AG73" s="648"/>
      <c r="AH73" s="648"/>
      <c r="AI73" s="648"/>
      <c r="AJ73" s="648"/>
      <c r="AK73" s="648"/>
      <c r="AL73" s="648"/>
      <c r="AM73" s="648"/>
      <c r="AN73" s="648"/>
      <c r="AO73" s="648"/>
      <c r="AP73" s="648"/>
      <c r="AQ73" s="648"/>
      <c r="AR73" s="648"/>
      <c r="AS73" s="648"/>
      <c r="AT73" s="648"/>
      <c r="AU73" s="648"/>
    </row>
    <row r="74" spans="1:47">
      <c r="A74" s="648"/>
      <c r="B74" s="648"/>
      <c r="C74" s="648"/>
      <c r="D74" s="648"/>
      <c r="E74" s="648"/>
      <c r="F74" s="648"/>
      <c r="G74" s="648"/>
      <c r="H74" s="648"/>
      <c r="I74" s="648"/>
      <c r="J74" s="648"/>
      <c r="K74" s="648"/>
      <c r="L74" s="648"/>
      <c r="M74" s="648"/>
      <c r="N74" s="648"/>
      <c r="O74" s="648"/>
      <c r="P74" s="648"/>
      <c r="Q74" s="648"/>
      <c r="R74" s="648"/>
      <c r="S74" s="648"/>
      <c r="T74" s="648"/>
      <c r="U74" s="648"/>
      <c r="V74" s="648"/>
      <c r="W74" s="648"/>
      <c r="X74" s="648"/>
      <c r="Y74" s="648"/>
      <c r="Z74" s="648"/>
      <c r="AA74" s="648"/>
      <c r="AB74" s="648"/>
      <c r="AC74" s="648"/>
      <c r="AD74" s="648"/>
      <c r="AE74" s="648"/>
      <c r="AF74" s="648"/>
      <c r="AG74" s="648"/>
      <c r="AH74" s="648"/>
      <c r="AI74" s="648"/>
      <c r="AJ74" s="648"/>
      <c r="AK74" s="648"/>
      <c r="AL74" s="648"/>
      <c r="AM74" s="648"/>
      <c r="AN74" s="648"/>
      <c r="AO74" s="648"/>
      <c r="AP74" s="648"/>
      <c r="AQ74" s="648"/>
      <c r="AR74" s="648"/>
      <c r="AS74" s="648"/>
      <c r="AT74" s="648"/>
      <c r="AU74" s="648"/>
    </row>
    <row r="75" spans="1:47">
      <c r="A75" s="648"/>
      <c r="B75" s="648"/>
      <c r="C75" s="648"/>
      <c r="D75" s="648"/>
      <c r="E75" s="648"/>
      <c r="F75" s="648"/>
      <c r="G75" s="648"/>
      <c r="H75" s="648"/>
      <c r="I75" s="648"/>
      <c r="J75" s="648"/>
      <c r="K75" s="648"/>
      <c r="L75" s="648"/>
      <c r="M75" s="648"/>
      <c r="N75" s="648"/>
      <c r="O75" s="648"/>
      <c r="P75" s="648"/>
      <c r="Q75" s="648"/>
      <c r="R75" s="648"/>
      <c r="S75" s="648"/>
      <c r="T75" s="648"/>
      <c r="U75" s="648"/>
      <c r="V75" s="648"/>
      <c r="W75" s="648"/>
      <c r="X75" s="648"/>
      <c r="Y75" s="648"/>
      <c r="Z75" s="648"/>
      <c r="AA75" s="648"/>
      <c r="AB75" s="648"/>
      <c r="AC75" s="648"/>
      <c r="AD75" s="648"/>
      <c r="AE75" s="648"/>
      <c r="AF75" s="648"/>
      <c r="AG75" s="648"/>
      <c r="AH75" s="648"/>
      <c r="AI75" s="648"/>
      <c r="AJ75" s="648"/>
      <c r="AK75" s="648"/>
      <c r="AL75" s="648"/>
      <c r="AM75" s="648"/>
      <c r="AN75" s="648"/>
      <c r="AO75" s="648"/>
      <c r="AP75" s="648"/>
      <c r="AQ75" s="648"/>
      <c r="AR75" s="648"/>
      <c r="AS75" s="648"/>
      <c r="AT75" s="648"/>
      <c r="AU75" s="648"/>
    </row>
    <row r="76" spans="1:47">
      <c r="A76" s="648"/>
      <c r="B76" s="648"/>
      <c r="C76" s="648"/>
      <c r="D76" s="648"/>
      <c r="E76" s="648"/>
      <c r="F76" s="648"/>
      <c r="G76" s="648"/>
      <c r="H76" s="648"/>
      <c r="I76" s="648"/>
      <c r="J76" s="648"/>
      <c r="K76" s="648"/>
      <c r="L76" s="648"/>
      <c r="M76" s="648"/>
      <c r="N76" s="648"/>
      <c r="O76" s="648"/>
      <c r="P76" s="648"/>
      <c r="Q76" s="648"/>
      <c r="R76" s="648"/>
      <c r="S76" s="648"/>
      <c r="T76" s="648"/>
      <c r="U76" s="648"/>
      <c r="V76" s="648"/>
      <c r="W76" s="648"/>
      <c r="X76" s="648"/>
      <c r="Y76" s="648"/>
      <c r="Z76" s="648"/>
      <c r="AA76" s="648"/>
      <c r="AB76" s="648"/>
      <c r="AC76" s="648"/>
      <c r="AD76" s="648"/>
      <c r="AE76" s="648"/>
      <c r="AF76" s="648"/>
      <c r="AG76" s="648"/>
      <c r="AH76" s="648"/>
      <c r="AI76" s="648"/>
      <c r="AJ76" s="648"/>
      <c r="AK76" s="648"/>
      <c r="AL76" s="648"/>
      <c r="AM76" s="648"/>
      <c r="AN76" s="648"/>
      <c r="AO76" s="648"/>
      <c r="AP76" s="648"/>
      <c r="AQ76" s="648"/>
      <c r="AR76" s="648"/>
      <c r="AS76" s="648"/>
      <c r="AT76" s="648"/>
      <c r="AU76" s="648"/>
    </row>
    <row r="77" spans="1:47">
      <c r="A77" s="648"/>
      <c r="B77" s="648"/>
      <c r="C77" s="648"/>
      <c r="D77" s="648"/>
      <c r="E77" s="648"/>
      <c r="F77" s="648"/>
      <c r="G77" s="648"/>
      <c r="H77" s="648"/>
      <c r="I77" s="648"/>
      <c r="J77" s="648"/>
      <c r="K77" s="648"/>
      <c r="L77" s="648"/>
      <c r="M77" s="648"/>
      <c r="N77" s="648"/>
      <c r="O77" s="648"/>
      <c r="P77" s="648"/>
      <c r="Q77" s="648"/>
      <c r="R77" s="648"/>
      <c r="S77" s="648"/>
      <c r="T77" s="648"/>
      <c r="U77" s="648"/>
      <c r="V77" s="648"/>
      <c r="W77" s="648"/>
      <c r="X77" s="648"/>
      <c r="Y77" s="648"/>
      <c r="Z77" s="648"/>
      <c r="AA77" s="648"/>
      <c r="AB77" s="648"/>
      <c r="AC77" s="648"/>
      <c r="AD77" s="648"/>
      <c r="AE77" s="648"/>
      <c r="AF77" s="648"/>
      <c r="AG77" s="648"/>
      <c r="AH77" s="648"/>
      <c r="AI77" s="648"/>
      <c r="AJ77" s="648"/>
      <c r="AK77" s="648"/>
      <c r="AL77" s="648"/>
      <c r="AM77" s="648"/>
      <c r="AN77" s="648"/>
      <c r="AO77" s="648"/>
      <c r="AP77" s="648"/>
      <c r="AQ77" s="648"/>
      <c r="AR77" s="648"/>
      <c r="AS77" s="648"/>
      <c r="AT77" s="648"/>
      <c r="AU77" s="648"/>
    </row>
    <row r="78" spans="1:47">
      <c r="A78" s="648"/>
      <c r="B78" s="648"/>
      <c r="C78" s="648"/>
      <c r="D78" s="648"/>
      <c r="E78" s="648"/>
      <c r="F78" s="648"/>
      <c r="G78" s="648"/>
      <c r="H78" s="648"/>
      <c r="I78" s="648"/>
      <c r="J78" s="648"/>
      <c r="K78" s="648"/>
      <c r="L78" s="648"/>
      <c r="M78" s="648"/>
      <c r="N78" s="648"/>
      <c r="O78" s="648"/>
      <c r="P78" s="648"/>
      <c r="Q78" s="648"/>
      <c r="R78" s="648"/>
      <c r="S78" s="648"/>
      <c r="T78" s="648"/>
      <c r="U78" s="648"/>
      <c r="V78" s="648"/>
      <c r="W78" s="648"/>
      <c r="X78" s="648"/>
      <c r="Y78" s="648"/>
      <c r="Z78" s="648"/>
      <c r="AA78" s="648"/>
      <c r="AB78" s="648"/>
      <c r="AC78" s="648"/>
      <c r="AD78" s="648"/>
      <c r="AE78" s="648"/>
      <c r="AF78" s="648"/>
      <c r="AG78" s="648"/>
      <c r="AH78" s="648"/>
      <c r="AI78" s="648"/>
      <c r="AJ78" s="648"/>
      <c r="AK78" s="648"/>
      <c r="AL78" s="648"/>
      <c r="AM78" s="648"/>
      <c r="AN78" s="648"/>
      <c r="AO78" s="648"/>
      <c r="AP78" s="648"/>
      <c r="AQ78" s="648"/>
      <c r="AR78" s="648"/>
      <c r="AS78" s="648"/>
      <c r="AT78" s="648"/>
      <c r="AU78" s="648"/>
    </row>
    <row r="79" spans="1:47">
      <c r="A79" s="648"/>
      <c r="B79" s="648"/>
      <c r="C79" s="648"/>
      <c r="D79" s="648"/>
      <c r="E79" s="648"/>
      <c r="F79" s="648"/>
      <c r="G79" s="648"/>
      <c r="H79" s="648"/>
      <c r="I79" s="648"/>
      <c r="J79" s="648"/>
      <c r="K79" s="648"/>
      <c r="L79" s="648"/>
      <c r="M79" s="648"/>
      <c r="N79" s="648"/>
      <c r="O79" s="648"/>
      <c r="P79" s="648"/>
      <c r="Q79" s="648"/>
      <c r="R79" s="648"/>
      <c r="S79" s="648"/>
      <c r="T79" s="648"/>
      <c r="U79" s="648"/>
      <c r="V79" s="648"/>
      <c r="W79" s="648"/>
      <c r="X79" s="648"/>
      <c r="Y79" s="648"/>
      <c r="Z79" s="648"/>
      <c r="AA79" s="648"/>
      <c r="AB79" s="648"/>
      <c r="AC79" s="648"/>
      <c r="AD79" s="648"/>
      <c r="AE79" s="648"/>
      <c r="AF79" s="648"/>
      <c r="AG79" s="648"/>
      <c r="AH79" s="648"/>
      <c r="AI79" s="648"/>
      <c r="AJ79" s="648"/>
      <c r="AK79" s="648"/>
      <c r="AL79" s="648"/>
      <c r="AM79" s="648"/>
      <c r="AN79" s="648"/>
      <c r="AO79" s="648"/>
      <c r="AP79" s="648"/>
      <c r="AQ79" s="648"/>
      <c r="AR79" s="648"/>
      <c r="AS79" s="648"/>
      <c r="AT79" s="648"/>
      <c r="AU79" s="648"/>
    </row>
    <row r="80" spans="1:47">
      <c r="A80" s="648"/>
      <c r="B80" s="648"/>
      <c r="C80" s="648"/>
      <c r="D80" s="648"/>
      <c r="E80" s="648"/>
      <c r="F80" s="648"/>
      <c r="G80" s="648"/>
      <c r="H80" s="648"/>
      <c r="I80" s="648"/>
      <c r="J80" s="648"/>
      <c r="K80" s="648"/>
      <c r="L80" s="648"/>
      <c r="M80" s="648"/>
      <c r="N80" s="648"/>
      <c r="O80" s="648"/>
      <c r="P80" s="648"/>
      <c r="Q80" s="648"/>
      <c r="R80" s="648"/>
      <c r="S80" s="648"/>
      <c r="T80" s="648"/>
      <c r="U80" s="648"/>
      <c r="V80" s="648"/>
      <c r="W80" s="648"/>
      <c r="X80" s="648"/>
      <c r="Y80" s="648"/>
      <c r="Z80" s="648"/>
      <c r="AA80" s="648"/>
      <c r="AB80" s="648"/>
      <c r="AC80" s="648"/>
      <c r="AD80" s="648"/>
      <c r="AE80" s="648"/>
      <c r="AF80" s="648"/>
      <c r="AG80" s="648"/>
      <c r="AH80" s="648"/>
      <c r="AI80" s="648"/>
      <c r="AJ80" s="648"/>
      <c r="AK80" s="648"/>
      <c r="AL80" s="648"/>
      <c r="AM80" s="648"/>
      <c r="AN80" s="648"/>
      <c r="AO80" s="648"/>
      <c r="AP80" s="648"/>
      <c r="AQ80" s="648"/>
      <c r="AR80" s="648"/>
      <c r="AS80" s="648"/>
      <c r="AT80" s="648"/>
      <c r="AU80" s="648"/>
    </row>
    <row r="81" spans="1:47">
      <c r="A81" s="648"/>
      <c r="B81" s="648"/>
      <c r="C81" s="648"/>
      <c r="D81" s="648"/>
      <c r="E81" s="648"/>
      <c r="F81" s="648"/>
      <c r="G81" s="648"/>
      <c r="H81" s="648"/>
      <c r="I81" s="648"/>
      <c r="J81" s="648"/>
      <c r="K81" s="648"/>
      <c r="L81" s="648"/>
      <c r="M81" s="648"/>
      <c r="N81" s="648"/>
      <c r="O81" s="648"/>
      <c r="P81" s="648"/>
      <c r="Q81" s="648"/>
      <c r="R81" s="648"/>
      <c r="S81" s="648"/>
      <c r="T81" s="648"/>
      <c r="U81" s="648"/>
      <c r="V81" s="648"/>
      <c r="W81" s="648"/>
      <c r="X81" s="648"/>
      <c r="Y81" s="648"/>
      <c r="Z81" s="648"/>
      <c r="AA81" s="648"/>
      <c r="AB81" s="648"/>
      <c r="AC81" s="648"/>
      <c r="AD81" s="648"/>
      <c r="AE81" s="648"/>
      <c r="AF81" s="648"/>
      <c r="AG81" s="648"/>
      <c r="AH81" s="648"/>
      <c r="AI81" s="648"/>
      <c r="AJ81" s="648"/>
      <c r="AK81" s="648"/>
      <c r="AL81" s="648"/>
      <c r="AM81" s="648"/>
      <c r="AN81" s="648"/>
      <c r="AO81" s="648"/>
      <c r="AP81" s="648"/>
      <c r="AQ81" s="648"/>
      <c r="AR81" s="648"/>
      <c r="AS81" s="648"/>
      <c r="AT81" s="648"/>
      <c r="AU81" s="648"/>
    </row>
    <row r="82" spans="1:47">
      <c r="A82" s="648"/>
      <c r="B82" s="648"/>
      <c r="C82" s="648"/>
      <c r="D82" s="648"/>
      <c r="E82" s="648"/>
      <c r="F82" s="648"/>
      <c r="G82" s="648"/>
      <c r="H82" s="648"/>
      <c r="I82" s="648"/>
      <c r="J82" s="648"/>
      <c r="K82" s="648"/>
      <c r="L82" s="648"/>
      <c r="M82" s="648"/>
      <c r="N82" s="648"/>
      <c r="O82" s="648"/>
      <c r="P82" s="648"/>
      <c r="Q82" s="648"/>
      <c r="R82" s="648"/>
      <c r="S82" s="648"/>
      <c r="T82" s="648"/>
      <c r="U82" s="648"/>
      <c r="V82" s="648"/>
      <c r="W82" s="648"/>
      <c r="X82" s="648"/>
      <c r="Y82" s="648"/>
      <c r="Z82" s="648"/>
      <c r="AA82" s="648"/>
      <c r="AB82" s="648"/>
      <c r="AC82" s="648"/>
      <c r="AD82" s="648"/>
      <c r="AE82" s="648"/>
      <c r="AF82" s="648"/>
      <c r="AG82" s="648"/>
      <c r="AH82" s="648"/>
      <c r="AI82" s="648"/>
      <c r="AJ82" s="648"/>
      <c r="AK82" s="648"/>
      <c r="AL82" s="648"/>
      <c r="AM82" s="648"/>
      <c r="AN82" s="648"/>
      <c r="AO82" s="648"/>
      <c r="AP82" s="648"/>
      <c r="AQ82" s="648"/>
      <c r="AR82" s="648"/>
      <c r="AS82" s="648"/>
      <c r="AT82" s="648"/>
      <c r="AU82" s="648"/>
    </row>
    <row r="83" spans="1:47">
      <c r="A83" s="648"/>
      <c r="B83" s="648"/>
      <c r="C83" s="648"/>
      <c r="D83" s="648"/>
      <c r="E83" s="648"/>
      <c r="F83" s="648"/>
      <c r="G83" s="648"/>
      <c r="H83" s="648"/>
      <c r="I83" s="648"/>
      <c r="J83" s="648"/>
      <c r="K83" s="648"/>
      <c r="L83" s="648"/>
      <c r="M83" s="648"/>
      <c r="N83" s="648"/>
      <c r="O83" s="648"/>
      <c r="P83" s="648"/>
      <c r="Q83" s="648"/>
      <c r="R83" s="648"/>
      <c r="S83" s="648"/>
      <c r="T83" s="648"/>
      <c r="U83" s="648"/>
      <c r="V83" s="648"/>
      <c r="W83" s="648"/>
      <c r="X83" s="648"/>
      <c r="Y83" s="648"/>
      <c r="Z83" s="648"/>
      <c r="AA83" s="648"/>
      <c r="AB83" s="648"/>
      <c r="AC83" s="648"/>
      <c r="AD83" s="648"/>
      <c r="AE83" s="648"/>
      <c r="AF83" s="648"/>
      <c r="AG83" s="648"/>
      <c r="AH83" s="648"/>
      <c r="AI83" s="648"/>
      <c r="AJ83" s="648"/>
      <c r="AK83" s="648"/>
      <c r="AL83" s="648"/>
      <c r="AM83" s="648"/>
      <c r="AN83" s="648"/>
      <c r="AO83" s="648"/>
      <c r="AP83" s="648"/>
      <c r="AQ83" s="648"/>
      <c r="AR83" s="648"/>
      <c r="AS83" s="648"/>
      <c r="AT83" s="648"/>
      <c r="AU83" s="648"/>
    </row>
    <row r="84" spans="1:47">
      <c r="A84" s="648"/>
      <c r="B84" s="648"/>
      <c r="C84" s="648"/>
      <c r="D84" s="648"/>
      <c r="E84" s="648"/>
      <c r="F84" s="648"/>
      <c r="G84" s="648"/>
      <c r="H84" s="648"/>
      <c r="I84" s="648"/>
      <c r="J84" s="648"/>
      <c r="K84" s="648"/>
      <c r="L84" s="648"/>
      <c r="M84" s="648"/>
      <c r="N84" s="648"/>
      <c r="O84" s="648"/>
      <c r="P84" s="648"/>
      <c r="Q84" s="648"/>
      <c r="R84" s="648"/>
      <c r="S84" s="648"/>
      <c r="T84" s="648"/>
      <c r="U84" s="648"/>
      <c r="V84" s="648"/>
      <c r="W84" s="648"/>
      <c r="X84" s="648"/>
      <c r="Y84" s="648"/>
      <c r="Z84" s="648"/>
      <c r="AA84" s="648"/>
      <c r="AB84" s="648"/>
      <c r="AC84" s="648"/>
      <c r="AD84" s="648"/>
      <c r="AE84" s="648"/>
      <c r="AF84" s="648"/>
      <c r="AG84" s="648"/>
      <c r="AH84" s="648"/>
      <c r="AI84" s="648"/>
      <c r="AJ84" s="648"/>
      <c r="AK84" s="648"/>
      <c r="AL84" s="648"/>
      <c r="AM84" s="648"/>
      <c r="AN84" s="648"/>
      <c r="AO84" s="648"/>
      <c r="AP84" s="648"/>
      <c r="AQ84" s="648"/>
      <c r="AR84" s="648"/>
      <c r="AS84" s="648"/>
      <c r="AT84" s="648"/>
      <c r="AU84" s="648"/>
    </row>
    <row r="85" spans="1:47">
      <c r="A85" s="648"/>
      <c r="B85" s="648"/>
      <c r="C85" s="648"/>
      <c r="D85" s="648"/>
      <c r="E85" s="648"/>
      <c r="F85" s="648"/>
      <c r="G85" s="648"/>
      <c r="H85" s="648"/>
      <c r="I85" s="648"/>
      <c r="J85" s="648"/>
      <c r="K85" s="648"/>
      <c r="L85" s="648"/>
      <c r="M85" s="648"/>
      <c r="N85" s="648"/>
      <c r="O85" s="648"/>
      <c r="P85" s="648"/>
      <c r="Q85" s="648"/>
      <c r="R85" s="648"/>
      <c r="S85" s="648"/>
      <c r="T85" s="648"/>
      <c r="U85" s="648"/>
      <c r="V85" s="648"/>
      <c r="W85" s="648"/>
      <c r="X85" s="648"/>
      <c r="Y85" s="648"/>
      <c r="Z85" s="648"/>
      <c r="AA85" s="648"/>
      <c r="AB85" s="648"/>
      <c r="AC85" s="648"/>
      <c r="AD85" s="648"/>
      <c r="AE85" s="648"/>
      <c r="AF85" s="648"/>
      <c r="AG85" s="648"/>
      <c r="AH85" s="648"/>
      <c r="AI85" s="648"/>
      <c r="AJ85" s="648"/>
      <c r="AK85" s="648"/>
      <c r="AL85" s="648"/>
      <c r="AM85" s="648"/>
      <c r="AN85" s="648"/>
      <c r="AO85" s="648"/>
      <c r="AP85" s="648"/>
      <c r="AQ85" s="648"/>
      <c r="AR85" s="648"/>
      <c r="AS85" s="648"/>
      <c r="AT85" s="648"/>
      <c r="AU85" s="648"/>
    </row>
    <row r="86" spans="1:47">
      <c r="A86" s="648"/>
      <c r="B86" s="648"/>
      <c r="C86" s="648"/>
      <c r="D86" s="648"/>
      <c r="E86" s="648"/>
      <c r="F86" s="648"/>
      <c r="G86" s="648"/>
      <c r="H86" s="648"/>
      <c r="I86" s="648"/>
      <c r="J86" s="648"/>
      <c r="K86" s="648"/>
      <c r="L86" s="648"/>
      <c r="M86" s="648"/>
      <c r="N86" s="648"/>
      <c r="O86" s="648"/>
      <c r="P86" s="648"/>
      <c r="Q86" s="648"/>
      <c r="R86" s="648"/>
      <c r="S86" s="648"/>
      <c r="T86" s="648"/>
      <c r="U86" s="648"/>
      <c r="V86" s="648"/>
      <c r="W86" s="648"/>
      <c r="X86" s="648"/>
      <c r="Y86" s="648"/>
      <c r="Z86" s="648"/>
      <c r="AA86" s="648"/>
      <c r="AB86" s="648"/>
      <c r="AC86" s="648"/>
      <c r="AD86" s="648"/>
      <c r="AE86" s="648"/>
      <c r="AF86" s="648"/>
      <c r="AG86" s="648"/>
      <c r="AH86" s="648"/>
      <c r="AI86" s="648"/>
      <c r="AJ86" s="648"/>
      <c r="AK86" s="648"/>
      <c r="AL86" s="648"/>
      <c r="AM86" s="648"/>
      <c r="AN86" s="648"/>
      <c r="AO86" s="648"/>
      <c r="AP86" s="648"/>
      <c r="AQ86" s="648"/>
      <c r="AR86" s="648"/>
      <c r="AS86" s="648"/>
      <c r="AT86" s="648"/>
      <c r="AU86" s="648"/>
    </row>
    <row r="87" spans="1:47">
      <c r="A87" s="648"/>
      <c r="B87" s="648"/>
      <c r="C87" s="648"/>
      <c r="D87" s="648"/>
      <c r="E87" s="648"/>
      <c r="F87" s="648"/>
      <c r="G87" s="648"/>
      <c r="H87" s="648"/>
      <c r="I87" s="648"/>
      <c r="J87" s="648"/>
      <c r="K87" s="648"/>
      <c r="L87" s="648"/>
      <c r="M87" s="648"/>
      <c r="N87" s="648"/>
      <c r="O87" s="648"/>
      <c r="P87" s="648"/>
      <c r="Q87" s="648"/>
      <c r="R87" s="648"/>
      <c r="S87" s="648"/>
      <c r="T87" s="648"/>
      <c r="U87" s="648"/>
      <c r="V87" s="648"/>
      <c r="W87" s="648"/>
      <c r="X87" s="648"/>
      <c r="Y87" s="648"/>
      <c r="Z87" s="648"/>
      <c r="AA87" s="648"/>
      <c r="AB87" s="648"/>
      <c r="AC87" s="648"/>
      <c r="AD87" s="648"/>
      <c r="AE87" s="648"/>
      <c r="AF87" s="648"/>
      <c r="AG87" s="648"/>
      <c r="AH87" s="648"/>
      <c r="AI87" s="648"/>
      <c r="AJ87" s="648"/>
      <c r="AK87" s="648"/>
      <c r="AL87" s="648"/>
      <c r="AM87" s="648"/>
      <c r="AN87" s="648"/>
      <c r="AO87" s="648"/>
      <c r="AP87" s="648"/>
      <c r="AQ87" s="648"/>
      <c r="AR87" s="648"/>
      <c r="AS87" s="648"/>
      <c r="AT87" s="648"/>
      <c r="AU87" s="648"/>
    </row>
    <row r="88" spans="1:47">
      <c r="A88" s="648"/>
      <c r="B88" s="648"/>
      <c r="C88" s="648"/>
      <c r="D88" s="648"/>
      <c r="E88" s="648"/>
      <c r="F88" s="648"/>
      <c r="G88" s="648"/>
      <c r="H88" s="648"/>
      <c r="I88" s="648"/>
      <c r="J88" s="648"/>
      <c r="K88" s="648"/>
      <c r="L88" s="648"/>
      <c r="M88" s="648"/>
      <c r="N88" s="648"/>
      <c r="O88" s="648"/>
      <c r="P88" s="648"/>
      <c r="Q88" s="648"/>
      <c r="R88" s="648"/>
      <c r="S88" s="648"/>
      <c r="T88" s="648"/>
      <c r="U88" s="648"/>
      <c r="V88" s="648"/>
      <c r="W88" s="648"/>
      <c r="X88" s="648"/>
      <c r="Y88" s="648"/>
      <c r="Z88" s="648"/>
      <c r="AA88" s="648"/>
      <c r="AB88" s="648"/>
      <c r="AC88" s="648"/>
      <c r="AD88" s="648"/>
      <c r="AE88" s="648"/>
      <c r="AF88" s="648"/>
      <c r="AG88" s="648"/>
      <c r="AH88" s="648"/>
      <c r="AI88" s="648"/>
      <c r="AJ88" s="648"/>
      <c r="AK88" s="648"/>
      <c r="AL88" s="648"/>
      <c r="AM88" s="648"/>
      <c r="AN88" s="648"/>
      <c r="AO88" s="648"/>
      <c r="AP88" s="648"/>
      <c r="AQ88" s="648"/>
      <c r="AR88" s="648"/>
      <c r="AS88" s="648"/>
      <c r="AT88" s="648"/>
      <c r="AU88" s="648"/>
    </row>
    <row r="89" spans="1:47">
      <c r="A89" s="648"/>
      <c r="B89" s="648"/>
      <c r="C89" s="648"/>
      <c r="D89" s="648"/>
      <c r="E89" s="648"/>
      <c r="F89" s="648"/>
      <c r="G89" s="648"/>
      <c r="H89" s="648"/>
      <c r="I89" s="648"/>
      <c r="J89" s="648"/>
      <c r="K89" s="648"/>
      <c r="L89" s="648"/>
      <c r="M89" s="648"/>
      <c r="N89" s="648"/>
      <c r="O89" s="648"/>
      <c r="P89" s="648"/>
      <c r="Q89" s="648"/>
      <c r="R89" s="648"/>
      <c r="S89" s="648"/>
      <c r="T89" s="648"/>
      <c r="U89" s="648"/>
      <c r="V89" s="648"/>
      <c r="W89" s="648"/>
      <c r="X89" s="648"/>
      <c r="Y89" s="648"/>
      <c r="Z89" s="648"/>
      <c r="AA89" s="648"/>
      <c r="AB89" s="648"/>
      <c r="AC89" s="648"/>
      <c r="AD89" s="648"/>
      <c r="AE89" s="648"/>
      <c r="AF89" s="648"/>
      <c r="AG89" s="648"/>
      <c r="AH89" s="648"/>
      <c r="AI89" s="648"/>
      <c r="AJ89" s="648"/>
      <c r="AK89" s="648"/>
      <c r="AL89" s="648"/>
      <c r="AM89" s="648"/>
      <c r="AN89" s="648"/>
      <c r="AO89" s="648"/>
      <c r="AP89" s="648"/>
      <c r="AQ89" s="648"/>
      <c r="AR89" s="648"/>
      <c r="AS89" s="648"/>
      <c r="AT89" s="648"/>
      <c r="AU89" s="648"/>
    </row>
    <row r="90" spans="1:47">
      <c r="A90" s="648"/>
      <c r="B90" s="648"/>
      <c r="C90" s="648"/>
      <c r="D90" s="648"/>
      <c r="E90" s="648"/>
      <c r="F90" s="648"/>
      <c r="G90" s="648"/>
      <c r="H90" s="648"/>
      <c r="I90" s="648"/>
      <c r="J90" s="648"/>
      <c r="K90" s="648"/>
      <c r="L90" s="648"/>
      <c r="M90" s="648"/>
      <c r="N90" s="648"/>
      <c r="O90" s="648"/>
      <c r="P90" s="648"/>
      <c r="Q90" s="648"/>
      <c r="R90" s="648"/>
      <c r="S90" s="648"/>
      <c r="T90" s="648"/>
      <c r="U90" s="648"/>
      <c r="V90" s="648"/>
      <c r="W90" s="648"/>
      <c r="X90" s="648"/>
      <c r="Y90" s="648"/>
      <c r="Z90" s="648"/>
      <c r="AA90" s="648"/>
      <c r="AB90" s="648"/>
      <c r="AC90" s="648"/>
      <c r="AD90" s="648"/>
      <c r="AE90" s="648"/>
      <c r="AF90" s="648"/>
      <c r="AG90" s="648"/>
      <c r="AH90" s="648"/>
      <c r="AI90" s="648"/>
      <c r="AJ90" s="648"/>
      <c r="AK90" s="648"/>
      <c r="AL90" s="648"/>
      <c r="AM90" s="648"/>
      <c r="AN90" s="648"/>
      <c r="AO90" s="648"/>
      <c r="AP90" s="648"/>
      <c r="AQ90" s="648"/>
      <c r="AR90" s="648"/>
      <c r="AS90" s="648"/>
      <c r="AT90" s="648"/>
      <c r="AU90" s="648"/>
    </row>
    <row r="91" spans="1:47">
      <c r="A91" s="648"/>
      <c r="B91" s="648"/>
      <c r="C91" s="648"/>
      <c r="D91" s="648"/>
      <c r="E91" s="648"/>
      <c r="F91" s="648"/>
      <c r="G91" s="648"/>
      <c r="H91" s="648"/>
      <c r="I91" s="648"/>
      <c r="J91" s="648"/>
      <c r="K91" s="648"/>
      <c r="L91" s="648"/>
      <c r="M91" s="648"/>
      <c r="N91" s="648"/>
      <c r="O91" s="648"/>
      <c r="P91" s="648"/>
      <c r="Q91" s="648"/>
      <c r="R91" s="648"/>
      <c r="S91" s="648"/>
      <c r="T91" s="648"/>
      <c r="U91" s="648"/>
      <c r="V91" s="648"/>
      <c r="W91" s="648"/>
      <c r="X91" s="648"/>
      <c r="Y91" s="648"/>
      <c r="Z91" s="648"/>
      <c r="AA91" s="648"/>
      <c r="AB91" s="648"/>
      <c r="AC91" s="648"/>
      <c r="AD91" s="648"/>
      <c r="AE91" s="648"/>
      <c r="AF91" s="648"/>
      <c r="AG91" s="648"/>
      <c r="AH91" s="648"/>
      <c r="AI91" s="648"/>
      <c r="AJ91" s="648"/>
      <c r="AK91" s="648"/>
      <c r="AL91" s="648"/>
      <c r="AM91" s="648"/>
      <c r="AN91" s="648"/>
      <c r="AO91" s="648"/>
      <c r="AP91" s="648"/>
      <c r="AQ91" s="648"/>
      <c r="AR91" s="648"/>
      <c r="AS91" s="648"/>
      <c r="AT91" s="648"/>
      <c r="AU91" s="648"/>
    </row>
    <row r="92" spans="1:47">
      <c r="A92" s="648"/>
      <c r="B92" s="648"/>
      <c r="C92" s="648"/>
      <c r="D92" s="648"/>
      <c r="E92" s="648"/>
      <c r="F92" s="648"/>
      <c r="G92" s="648"/>
      <c r="H92" s="648"/>
      <c r="I92" s="648"/>
      <c r="J92" s="648"/>
      <c r="K92" s="648"/>
      <c r="L92" s="648"/>
      <c r="M92" s="648"/>
      <c r="N92" s="648"/>
      <c r="O92" s="648"/>
      <c r="P92" s="648"/>
      <c r="Q92" s="648"/>
      <c r="R92" s="648"/>
      <c r="S92" s="648"/>
      <c r="T92" s="648"/>
      <c r="U92" s="648"/>
      <c r="V92" s="648"/>
      <c r="W92" s="648"/>
      <c r="X92" s="648"/>
      <c r="Y92" s="648"/>
      <c r="Z92" s="648"/>
      <c r="AA92" s="648"/>
      <c r="AB92" s="648"/>
      <c r="AC92" s="648"/>
      <c r="AD92" s="648"/>
      <c r="AE92" s="648"/>
      <c r="AF92" s="648"/>
      <c r="AG92" s="648"/>
      <c r="AH92" s="648"/>
      <c r="AI92" s="648"/>
      <c r="AJ92" s="648"/>
      <c r="AK92" s="648"/>
      <c r="AL92" s="648"/>
      <c r="AM92" s="648"/>
      <c r="AN92" s="648"/>
      <c r="AO92" s="648"/>
      <c r="AP92" s="648"/>
      <c r="AQ92" s="648"/>
      <c r="AR92" s="648"/>
      <c r="AS92" s="648"/>
      <c r="AT92" s="648"/>
      <c r="AU92" s="648"/>
    </row>
    <row r="93" spans="1:47">
      <c r="A93" s="648"/>
      <c r="B93" s="648"/>
      <c r="C93" s="648"/>
      <c r="D93" s="648"/>
      <c r="E93" s="648"/>
      <c r="F93" s="648"/>
      <c r="G93" s="648"/>
      <c r="H93" s="648"/>
      <c r="I93" s="648"/>
      <c r="J93" s="648"/>
      <c r="K93" s="648"/>
      <c r="L93" s="648"/>
      <c r="M93" s="648"/>
      <c r="N93" s="648"/>
      <c r="O93" s="648"/>
      <c r="P93" s="648"/>
      <c r="Q93" s="648"/>
      <c r="R93" s="648"/>
      <c r="S93" s="648"/>
      <c r="T93" s="648"/>
      <c r="U93" s="648"/>
      <c r="V93" s="648"/>
      <c r="W93" s="648"/>
      <c r="X93" s="648"/>
      <c r="Y93" s="648"/>
      <c r="Z93" s="648"/>
      <c r="AA93" s="648"/>
      <c r="AB93" s="648"/>
      <c r="AC93" s="648"/>
      <c r="AD93" s="648"/>
      <c r="AE93" s="648"/>
      <c r="AF93" s="648"/>
      <c r="AG93" s="648"/>
      <c r="AH93" s="648"/>
      <c r="AI93" s="648"/>
      <c r="AJ93" s="648"/>
      <c r="AK93" s="648"/>
      <c r="AL93" s="648"/>
      <c r="AM93" s="648"/>
      <c r="AN93" s="648"/>
      <c r="AO93" s="648"/>
      <c r="AP93" s="648"/>
      <c r="AQ93" s="648"/>
      <c r="AR93" s="648"/>
      <c r="AS93" s="648"/>
      <c r="AT93" s="648"/>
      <c r="AU93" s="648"/>
    </row>
    <row r="94" spans="1:47">
      <c r="A94" s="648"/>
      <c r="B94" s="648"/>
      <c r="C94" s="648"/>
      <c r="D94" s="648"/>
      <c r="E94" s="648"/>
      <c r="F94" s="648"/>
      <c r="G94" s="648"/>
      <c r="H94" s="648"/>
      <c r="I94" s="648"/>
      <c r="J94" s="648"/>
      <c r="K94" s="648"/>
      <c r="L94" s="648"/>
      <c r="M94" s="648"/>
      <c r="N94" s="648"/>
      <c r="O94" s="648"/>
      <c r="P94" s="648"/>
      <c r="Q94" s="648"/>
      <c r="R94" s="648"/>
      <c r="S94" s="648"/>
      <c r="T94" s="648"/>
      <c r="U94" s="648"/>
      <c r="V94" s="648"/>
      <c r="W94" s="648"/>
      <c r="X94" s="648"/>
      <c r="Y94" s="648"/>
      <c r="Z94" s="648"/>
      <c r="AA94" s="648"/>
      <c r="AB94" s="648"/>
      <c r="AC94" s="648"/>
      <c r="AD94" s="648"/>
      <c r="AE94" s="648"/>
      <c r="AF94" s="648"/>
      <c r="AG94" s="648"/>
      <c r="AH94" s="648"/>
      <c r="AI94" s="648"/>
      <c r="AJ94" s="648"/>
      <c r="AK94" s="648"/>
      <c r="AL94" s="648"/>
      <c r="AM94" s="648"/>
      <c r="AN94" s="648"/>
      <c r="AO94" s="648"/>
      <c r="AP94" s="648"/>
      <c r="AQ94" s="648"/>
      <c r="AR94" s="648"/>
      <c r="AS94" s="648"/>
      <c r="AT94" s="648"/>
      <c r="AU94" s="648"/>
    </row>
    <row r="95" spans="1:47">
      <c r="A95" s="648"/>
      <c r="B95" s="648"/>
      <c r="C95" s="648"/>
      <c r="D95" s="648"/>
      <c r="E95" s="648"/>
      <c r="F95" s="648"/>
      <c r="G95" s="648"/>
      <c r="H95" s="648"/>
      <c r="I95" s="648"/>
      <c r="J95" s="648"/>
      <c r="K95" s="648"/>
      <c r="L95" s="648"/>
      <c r="M95" s="648"/>
      <c r="N95" s="648"/>
      <c r="O95" s="648"/>
      <c r="P95" s="648"/>
      <c r="Q95" s="648"/>
      <c r="R95" s="648"/>
      <c r="S95" s="648"/>
      <c r="T95" s="648"/>
      <c r="U95" s="648"/>
      <c r="V95" s="648"/>
      <c r="W95" s="648"/>
      <c r="X95" s="648"/>
      <c r="Y95" s="648"/>
      <c r="Z95" s="648"/>
      <c r="AA95" s="648"/>
      <c r="AB95" s="648"/>
      <c r="AC95" s="648"/>
      <c r="AD95" s="648"/>
      <c r="AE95" s="648"/>
      <c r="AF95" s="648"/>
      <c r="AG95" s="648"/>
      <c r="AH95" s="648"/>
      <c r="AI95" s="648"/>
      <c r="AJ95" s="648"/>
      <c r="AK95" s="648"/>
      <c r="AL95" s="648"/>
      <c r="AM95" s="648"/>
      <c r="AN95" s="648"/>
      <c r="AO95" s="648"/>
      <c r="AP95" s="648"/>
      <c r="AQ95" s="648"/>
      <c r="AR95" s="648"/>
      <c r="AS95" s="648"/>
      <c r="AT95" s="648"/>
      <c r="AU95" s="648"/>
    </row>
    <row r="96" spans="1:47">
      <c r="A96" s="648"/>
      <c r="B96" s="648"/>
      <c r="C96" s="648"/>
      <c r="D96" s="648"/>
      <c r="E96" s="648"/>
      <c r="F96" s="648"/>
      <c r="G96" s="648"/>
      <c r="H96" s="648"/>
      <c r="I96" s="648"/>
      <c r="J96" s="648"/>
      <c r="K96" s="648"/>
      <c r="L96" s="648"/>
      <c r="M96" s="648"/>
      <c r="N96" s="648"/>
      <c r="O96" s="648"/>
      <c r="P96" s="648"/>
      <c r="Q96" s="648"/>
      <c r="R96" s="648"/>
      <c r="S96" s="648"/>
      <c r="T96" s="648"/>
      <c r="U96" s="648"/>
      <c r="V96" s="648"/>
      <c r="W96" s="648"/>
      <c r="X96" s="648"/>
      <c r="Y96" s="648"/>
      <c r="Z96" s="648"/>
      <c r="AA96" s="648"/>
      <c r="AB96" s="648"/>
      <c r="AC96" s="648"/>
      <c r="AD96" s="648"/>
      <c r="AE96" s="648"/>
      <c r="AF96" s="648"/>
      <c r="AG96" s="648"/>
      <c r="AH96" s="648"/>
      <c r="AI96" s="648"/>
      <c r="AJ96" s="648"/>
      <c r="AK96" s="648"/>
      <c r="AL96" s="648"/>
      <c r="AM96" s="648"/>
      <c r="AN96" s="648"/>
      <c r="AO96" s="648"/>
      <c r="AP96" s="648"/>
      <c r="AQ96" s="648"/>
      <c r="AR96" s="648"/>
      <c r="AS96" s="648"/>
      <c r="AT96" s="648"/>
      <c r="AU96" s="648"/>
    </row>
    <row r="97" spans="1:47">
      <c r="A97" s="648"/>
      <c r="B97" s="648"/>
      <c r="C97" s="648"/>
      <c r="D97" s="648"/>
      <c r="E97" s="648"/>
      <c r="F97" s="648"/>
      <c r="G97" s="648"/>
      <c r="H97" s="648"/>
      <c r="I97" s="648"/>
      <c r="J97" s="648"/>
      <c r="K97" s="648"/>
      <c r="L97" s="648"/>
      <c r="M97" s="648"/>
      <c r="N97" s="648"/>
      <c r="O97" s="648"/>
      <c r="P97" s="648"/>
      <c r="Q97" s="648"/>
      <c r="R97" s="648"/>
      <c r="S97" s="648"/>
      <c r="T97" s="648"/>
      <c r="U97" s="648"/>
      <c r="V97" s="648"/>
      <c r="W97" s="648"/>
      <c r="X97" s="648"/>
      <c r="Y97" s="648"/>
      <c r="Z97" s="648"/>
      <c r="AA97" s="648"/>
      <c r="AB97" s="648"/>
      <c r="AC97" s="648"/>
      <c r="AD97" s="648"/>
      <c r="AE97" s="648"/>
      <c r="AF97" s="648"/>
      <c r="AG97" s="648"/>
      <c r="AH97" s="648"/>
      <c r="AI97" s="648"/>
      <c r="AJ97" s="648"/>
      <c r="AK97" s="648"/>
      <c r="AL97" s="648"/>
      <c r="AM97" s="648"/>
      <c r="AN97" s="648"/>
      <c r="AO97" s="648"/>
      <c r="AP97" s="648"/>
      <c r="AQ97" s="648"/>
      <c r="AR97" s="648"/>
      <c r="AS97" s="648"/>
      <c r="AT97" s="648"/>
      <c r="AU97" s="648"/>
    </row>
    <row r="98" spans="1:47">
      <c r="A98" s="648"/>
      <c r="B98" s="648"/>
      <c r="C98" s="648"/>
      <c r="D98" s="648"/>
      <c r="E98" s="648"/>
      <c r="F98" s="648"/>
      <c r="G98" s="648"/>
      <c r="H98" s="648"/>
      <c r="I98" s="648"/>
      <c r="J98" s="648"/>
      <c r="K98" s="648"/>
      <c r="L98" s="648"/>
      <c r="M98" s="648"/>
      <c r="N98" s="648"/>
      <c r="O98" s="648"/>
      <c r="P98" s="648"/>
      <c r="Q98" s="648"/>
      <c r="R98" s="648"/>
      <c r="S98" s="648"/>
      <c r="T98" s="648"/>
      <c r="U98" s="648"/>
      <c r="V98" s="648"/>
      <c r="W98" s="648"/>
      <c r="X98" s="648"/>
      <c r="Y98" s="648"/>
      <c r="Z98" s="648"/>
      <c r="AA98" s="648"/>
      <c r="AB98" s="648"/>
      <c r="AC98" s="648"/>
      <c r="AD98" s="648"/>
      <c r="AE98" s="648"/>
      <c r="AF98" s="648"/>
      <c r="AG98" s="648"/>
      <c r="AH98" s="648"/>
      <c r="AI98" s="648"/>
      <c r="AJ98" s="648"/>
      <c r="AK98" s="648"/>
      <c r="AL98" s="648"/>
      <c r="AM98" s="648"/>
      <c r="AN98" s="648"/>
      <c r="AO98" s="648"/>
      <c r="AP98" s="648"/>
      <c r="AQ98" s="648"/>
      <c r="AR98" s="648"/>
      <c r="AS98" s="648"/>
      <c r="AT98" s="648"/>
      <c r="AU98" s="648"/>
    </row>
    <row r="99" spans="1:47">
      <c r="A99" s="648"/>
      <c r="B99" s="648"/>
      <c r="C99" s="648"/>
      <c r="D99" s="648"/>
      <c r="E99" s="648"/>
      <c r="F99" s="648"/>
      <c r="G99" s="648"/>
      <c r="H99" s="648"/>
      <c r="I99" s="648"/>
      <c r="J99" s="648"/>
      <c r="K99" s="648"/>
      <c r="L99" s="648"/>
      <c r="M99" s="648"/>
      <c r="N99" s="648"/>
      <c r="O99" s="648"/>
      <c r="P99" s="648"/>
      <c r="Q99" s="648"/>
      <c r="R99" s="648"/>
      <c r="S99" s="648"/>
      <c r="T99" s="648"/>
      <c r="U99" s="648"/>
      <c r="V99" s="648"/>
      <c r="W99" s="648"/>
      <c r="X99" s="648"/>
      <c r="Y99" s="648"/>
      <c r="Z99" s="648"/>
      <c r="AA99" s="648"/>
      <c r="AB99" s="648"/>
      <c r="AC99" s="648"/>
      <c r="AD99" s="648"/>
      <c r="AE99" s="648"/>
      <c r="AF99" s="648"/>
      <c r="AG99" s="648"/>
      <c r="AH99" s="648"/>
      <c r="AI99" s="648"/>
      <c r="AJ99" s="648"/>
      <c r="AK99" s="648"/>
      <c r="AL99" s="648"/>
      <c r="AM99" s="648"/>
      <c r="AN99" s="648"/>
      <c r="AO99" s="648"/>
      <c r="AP99" s="648"/>
      <c r="AQ99" s="648"/>
      <c r="AR99" s="648"/>
      <c r="AS99" s="648"/>
      <c r="AT99" s="648"/>
      <c r="AU99" s="648"/>
    </row>
    <row r="100" spans="1:47">
      <c r="A100" s="648"/>
      <c r="B100" s="648"/>
      <c r="C100" s="648"/>
      <c r="D100" s="648"/>
      <c r="E100" s="648"/>
      <c r="F100" s="648"/>
      <c r="G100" s="648"/>
      <c r="H100" s="648"/>
      <c r="I100" s="648"/>
      <c r="J100" s="648"/>
      <c r="K100" s="648"/>
      <c r="L100" s="648"/>
      <c r="M100" s="648"/>
      <c r="N100" s="648"/>
      <c r="O100" s="648"/>
      <c r="P100" s="648"/>
      <c r="Q100" s="648"/>
      <c r="R100" s="648"/>
      <c r="S100" s="648"/>
      <c r="T100" s="648"/>
      <c r="U100" s="648"/>
      <c r="V100" s="648"/>
      <c r="W100" s="648"/>
      <c r="X100" s="648"/>
      <c r="Y100" s="648"/>
      <c r="Z100" s="648"/>
      <c r="AA100" s="648"/>
      <c r="AB100" s="648"/>
      <c r="AC100" s="648"/>
      <c r="AD100" s="648"/>
      <c r="AE100" s="648"/>
      <c r="AF100" s="648"/>
      <c r="AG100" s="648"/>
      <c r="AH100" s="648"/>
      <c r="AI100" s="648"/>
      <c r="AJ100" s="648"/>
      <c r="AK100" s="648"/>
      <c r="AL100" s="648"/>
      <c r="AM100" s="648"/>
      <c r="AN100" s="648"/>
      <c r="AO100" s="648"/>
      <c r="AP100" s="648"/>
      <c r="AQ100" s="648"/>
      <c r="AR100" s="648"/>
      <c r="AS100" s="648"/>
      <c r="AT100" s="648"/>
      <c r="AU100" s="648"/>
    </row>
    <row r="101" spans="1:47">
      <c r="A101" s="648"/>
      <c r="B101" s="648"/>
      <c r="C101" s="648"/>
      <c r="D101" s="648"/>
      <c r="E101" s="648"/>
      <c r="F101" s="648"/>
      <c r="G101" s="648"/>
      <c r="H101" s="648"/>
      <c r="I101" s="648"/>
      <c r="J101" s="648"/>
      <c r="K101" s="648"/>
      <c r="L101" s="648"/>
      <c r="M101" s="648"/>
      <c r="N101" s="648"/>
      <c r="O101" s="648"/>
      <c r="P101" s="648"/>
      <c r="Q101" s="648"/>
      <c r="R101" s="648"/>
      <c r="S101" s="648"/>
      <c r="T101" s="648"/>
      <c r="U101" s="648"/>
      <c r="V101" s="648"/>
      <c r="W101" s="648"/>
      <c r="X101" s="648"/>
      <c r="Y101" s="648"/>
      <c r="Z101" s="648"/>
      <c r="AA101" s="648"/>
      <c r="AB101" s="648"/>
      <c r="AC101" s="648"/>
      <c r="AD101" s="648"/>
      <c r="AE101" s="648"/>
      <c r="AF101" s="648"/>
      <c r="AG101" s="648"/>
      <c r="AH101" s="648"/>
      <c r="AI101" s="648"/>
      <c r="AJ101" s="648"/>
      <c r="AK101" s="648"/>
      <c r="AL101" s="648"/>
      <c r="AM101" s="648"/>
      <c r="AN101" s="648"/>
      <c r="AO101" s="648"/>
      <c r="AP101" s="648"/>
      <c r="AQ101" s="648"/>
      <c r="AR101" s="648"/>
      <c r="AS101" s="648"/>
      <c r="AT101" s="648"/>
      <c r="AU101" s="648"/>
    </row>
    <row r="102" spans="1:47">
      <c r="A102" s="648"/>
      <c r="B102" s="648"/>
      <c r="C102" s="648"/>
      <c r="D102" s="648"/>
      <c r="E102" s="648"/>
      <c r="F102" s="648"/>
      <c r="G102" s="648"/>
      <c r="H102" s="648"/>
      <c r="I102" s="648"/>
      <c r="J102" s="648"/>
      <c r="K102" s="648"/>
      <c r="L102" s="648"/>
      <c r="M102" s="648"/>
      <c r="N102" s="648"/>
      <c r="O102" s="648"/>
      <c r="P102" s="648"/>
      <c r="Q102" s="648"/>
      <c r="R102" s="648"/>
      <c r="S102" s="648"/>
      <c r="T102" s="648"/>
      <c r="U102" s="648"/>
      <c r="V102" s="648"/>
      <c r="W102" s="648"/>
      <c r="X102" s="648"/>
      <c r="Y102" s="648"/>
      <c r="Z102" s="648"/>
      <c r="AA102" s="648"/>
      <c r="AB102" s="648"/>
      <c r="AC102" s="648"/>
      <c r="AD102" s="648"/>
      <c r="AE102" s="648"/>
      <c r="AF102" s="648"/>
      <c r="AG102" s="648"/>
      <c r="AH102" s="648"/>
      <c r="AI102" s="648"/>
      <c r="AJ102" s="648"/>
      <c r="AK102" s="648"/>
      <c r="AL102" s="648"/>
      <c r="AM102" s="648"/>
      <c r="AN102" s="648"/>
      <c r="AO102" s="648"/>
      <c r="AP102" s="648"/>
      <c r="AQ102" s="648"/>
      <c r="AR102" s="648"/>
      <c r="AS102" s="648"/>
      <c r="AT102" s="648"/>
      <c r="AU102" s="648"/>
    </row>
    <row r="103" spans="1:47">
      <c r="A103" s="648"/>
      <c r="B103" s="648"/>
      <c r="C103" s="648"/>
      <c r="D103" s="648"/>
      <c r="E103" s="648"/>
      <c r="F103" s="648"/>
      <c r="G103" s="648"/>
      <c r="H103" s="648"/>
      <c r="I103" s="648"/>
      <c r="J103" s="648"/>
      <c r="K103" s="648"/>
      <c r="L103" s="648"/>
      <c r="M103" s="648"/>
      <c r="N103" s="648"/>
      <c r="O103" s="648"/>
      <c r="P103" s="648"/>
      <c r="Q103" s="648"/>
      <c r="R103" s="648"/>
      <c r="S103" s="648"/>
      <c r="T103" s="648"/>
      <c r="U103" s="648"/>
      <c r="V103" s="648"/>
      <c r="W103" s="648"/>
      <c r="X103" s="648"/>
      <c r="Y103" s="648"/>
      <c r="Z103" s="648"/>
      <c r="AA103" s="648"/>
      <c r="AB103" s="648"/>
      <c r="AC103" s="648"/>
      <c r="AD103" s="648"/>
      <c r="AE103" s="648"/>
      <c r="AF103" s="648"/>
      <c r="AG103" s="648"/>
      <c r="AH103" s="648"/>
      <c r="AI103" s="648"/>
      <c r="AJ103" s="648"/>
      <c r="AK103" s="648"/>
      <c r="AL103" s="648"/>
      <c r="AM103" s="648"/>
      <c r="AN103" s="648"/>
      <c r="AO103" s="648"/>
      <c r="AP103" s="648"/>
      <c r="AQ103" s="648"/>
      <c r="AR103" s="648"/>
      <c r="AS103" s="648"/>
      <c r="AT103" s="648"/>
      <c r="AU103" s="648"/>
    </row>
    <row r="104" spans="1:47">
      <c r="A104" s="648"/>
      <c r="B104" s="648"/>
      <c r="C104" s="648"/>
      <c r="D104" s="648"/>
      <c r="E104" s="648"/>
      <c r="F104" s="648"/>
      <c r="G104" s="648"/>
      <c r="H104" s="648"/>
      <c r="I104" s="648"/>
      <c r="J104" s="648"/>
      <c r="K104" s="648"/>
      <c r="L104" s="648"/>
      <c r="M104" s="648"/>
      <c r="N104" s="648"/>
      <c r="O104" s="648"/>
      <c r="P104" s="648"/>
      <c r="Q104" s="648"/>
      <c r="R104" s="648"/>
      <c r="S104" s="648"/>
      <c r="T104" s="648"/>
      <c r="U104" s="648"/>
      <c r="V104" s="648"/>
      <c r="W104" s="648"/>
      <c r="X104" s="648"/>
      <c r="Y104" s="648"/>
      <c r="Z104" s="648"/>
      <c r="AA104" s="648"/>
      <c r="AB104" s="648"/>
      <c r="AC104" s="648"/>
      <c r="AD104" s="648"/>
      <c r="AE104" s="648"/>
      <c r="AF104" s="648"/>
      <c r="AG104" s="648"/>
      <c r="AH104" s="648"/>
      <c r="AI104" s="648"/>
      <c r="AJ104" s="648"/>
      <c r="AK104" s="648"/>
      <c r="AL104" s="648"/>
      <c r="AM104" s="648"/>
      <c r="AN104" s="648"/>
      <c r="AO104" s="648"/>
      <c r="AP104" s="648"/>
      <c r="AQ104" s="648"/>
      <c r="AR104" s="648"/>
      <c r="AS104" s="648"/>
      <c r="AT104" s="648"/>
      <c r="AU104" s="648"/>
    </row>
    <row r="105" spans="1:47">
      <c r="A105" s="648"/>
      <c r="B105" s="648"/>
      <c r="C105" s="648"/>
      <c r="D105" s="648"/>
      <c r="E105" s="648"/>
      <c r="F105" s="648"/>
      <c r="G105" s="648"/>
      <c r="H105" s="648"/>
      <c r="I105" s="648"/>
      <c r="J105" s="648"/>
      <c r="K105" s="648"/>
      <c r="L105" s="648"/>
      <c r="M105" s="648"/>
      <c r="N105" s="648"/>
      <c r="O105" s="648"/>
      <c r="P105" s="648"/>
      <c r="Q105" s="648"/>
      <c r="R105" s="648"/>
      <c r="S105" s="648"/>
      <c r="T105" s="648"/>
      <c r="U105" s="648"/>
      <c r="V105" s="648"/>
      <c r="W105" s="648"/>
      <c r="X105" s="648"/>
      <c r="Y105" s="648"/>
      <c r="Z105" s="648"/>
      <c r="AA105" s="648"/>
      <c r="AB105" s="648"/>
      <c r="AC105" s="648"/>
      <c r="AD105" s="648"/>
      <c r="AE105" s="648"/>
      <c r="AF105" s="648"/>
      <c r="AG105" s="648"/>
      <c r="AH105" s="648"/>
      <c r="AI105" s="648"/>
      <c r="AJ105" s="648"/>
      <c r="AK105" s="648"/>
      <c r="AL105" s="648"/>
      <c r="AM105" s="648"/>
      <c r="AN105" s="648"/>
      <c r="AO105" s="648"/>
      <c r="AP105" s="648"/>
      <c r="AQ105" s="648"/>
      <c r="AR105" s="648"/>
      <c r="AS105" s="648"/>
      <c r="AT105" s="648"/>
      <c r="AU105" s="648"/>
    </row>
    <row r="106" spans="1:47">
      <c r="A106" s="648"/>
      <c r="B106" s="648"/>
      <c r="C106" s="648"/>
      <c r="D106" s="648"/>
      <c r="E106" s="648"/>
      <c r="F106" s="648"/>
      <c r="G106" s="648"/>
      <c r="H106" s="648"/>
      <c r="I106" s="648"/>
      <c r="J106" s="648"/>
      <c r="K106" s="648"/>
      <c r="L106" s="648"/>
      <c r="M106" s="648"/>
      <c r="N106" s="648"/>
      <c r="O106" s="648"/>
      <c r="P106" s="648"/>
      <c r="Q106" s="648"/>
      <c r="R106" s="648"/>
      <c r="S106" s="648"/>
      <c r="T106" s="648"/>
      <c r="U106" s="648"/>
      <c r="V106" s="648"/>
      <c r="W106" s="648"/>
      <c r="X106" s="648"/>
      <c r="Y106" s="648"/>
      <c r="Z106" s="648"/>
      <c r="AA106" s="648"/>
      <c r="AB106" s="648"/>
      <c r="AC106" s="648"/>
      <c r="AD106" s="648"/>
      <c r="AE106" s="648"/>
      <c r="AF106" s="648"/>
      <c r="AG106" s="648"/>
      <c r="AH106" s="648"/>
      <c r="AI106" s="648"/>
      <c r="AJ106" s="648"/>
      <c r="AK106" s="648"/>
      <c r="AL106" s="648"/>
      <c r="AM106" s="648"/>
      <c r="AN106" s="648"/>
      <c r="AO106" s="648"/>
      <c r="AP106" s="648"/>
      <c r="AQ106" s="648"/>
      <c r="AR106" s="648"/>
      <c r="AS106" s="648"/>
      <c r="AT106" s="648"/>
      <c r="AU106" s="648"/>
    </row>
    <row r="107" spans="1:47">
      <c r="A107" s="648"/>
      <c r="B107" s="648"/>
      <c r="C107" s="648"/>
      <c r="D107" s="648"/>
      <c r="E107" s="648"/>
      <c r="F107" s="648"/>
      <c r="G107" s="648"/>
      <c r="H107" s="648"/>
      <c r="I107" s="648"/>
      <c r="J107" s="648"/>
      <c r="K107" s="648"/>
      <c r="L107" s="648"/>
      <c r="M107" s="648"/>
      <c r="N107" s="648"/>
      <c r="O107" s="648"/>
      <c r="P107" s="648"/>
      <c r="Q107" s="648"/>
      <c r="R107" s="648"/>
      <c r="S107" s="648"/>
      <c r="T107" s="648"/>
      <c r="U107" s="648"/>
      <c r="V107" s="648"/>
      <c r="W107" s="648"/>
      <c r="X107" s="648"/>
      <c r="Y107" s="648"/>
      <c r="Z107" s="648"/>
      <c r="AA107" s="648"/>
      <c r="AB107" s="648"/>
      <c r="AC107" s="648"/>
      <c r="AD107" s="648"/>
      <c r="AE107" s="648"/>
      <c r="AF107" s="648"/>
      <c r="AG107" s="648"/>
      <c r="AH107" s="648"/>
      <c r="AI107" s="648"/>
      <c r="AJ107" s="648"/>
      <c r="AK107" s="648"/>
      <c r="AL107" s="648"/>
      <c r="AM107" s="648"/>
      <c r="AN107" s="648"/>
      <c r="AO107" s="648"/>
      <c r="AP107" s="648"/>
      <c r="AQ107" s="648"/>
      <c r="AR107" s="648"/>
      <c r="AS107" s="648"/>
      <c r="AT107" s="648"/>
      <c r="AU107" s="648"/>
    </row>
    <row r="108" spans="1:47">
      <c r="A108" s="648"/>
      <c r="B108" s="648"/>
      <c r="C108" s="648"/>
      <c r="D108" s="648"/>
      <c r="E108" s="648"/>
      <c r="F108" s="648"/>
      <c r="G108" s="648"/>
      <c r="H108" s="648"/>
      <c r="I108" s="648"/>
      <c r="J108" s="648"/>
      <c r="K108" s="648"/>
      <c r="L108" s="648"/>
      <c r="M108" s="648"/>
      <c r="N108" s="648"/>
      <c r="O108" s="648"/>
      <c r="P108" s="648"/>
      <c r="Q108" s="648"/>
      <c r="R108" s="648"/>
      <c r="S108" s="648"/>
      <c r="T108" s="648"/>
      <c r="U108" s="648"/>
      <c r="V108" s="648"/>
      <c r="W108" s="648"/>
      <c r="X108" s="648"/>
      <c r="Y108" s="648"/>
      <c r="Z108" s="648"/>
      <c r="AA108" s="648"/>
      <c r="AB108" s="648"/>
      <c r="AC108" s="648"/>
      <c r="AD108" s="648"/>
      <c r="AE108" s="648"/>
      <c r="AF108" s="648"/>
      <c r="AG108" s="648"/>
      <c r="AH108" s="648"/>
      <c r="AI108" s="648"/>
      <c r="AJ108" s="648"/>
      <c r="AK108" s="648"/>
      <c r="AL108" s="648"/>
      <c r="AM108" s="648"/>
      <c r="AN108" s="648"/>
      <c r="AO108" s="648"/>
      <c r="AP108" s="648"/>
      <c r="AQ108" s="648"/>
      <c r="AR108" s="648"/>
      <c r="AS108" s="648"/>
      <c r="AT108" s="648"/>
      <c r="AU108" s="648"/>
    </row>
    <row r="109" spans="1:47">
      <c r="A109" s="648"/>
      <c r="B109" s="648"/>
      <c r="C109" s="648"/>
      <c r="D109" s="648"/>
      <c r="E109" s="648"/>
      <c r="F109" s="648"/>
      <c r="G109" s="648"/>
      <c r="H109" s="648"/>
      <c r="I109" s="648"/>
      <c r="J109" s="648"/>
      <c r="K109" s="648"/>
      <c r="L109" s="648"/>
      <c r="M109" s="648"/>
      <c r="N109" s="648"/>
      <c r="O109" s="648"/>
      <c r="P109" s="648"/>
      <c r="Q109" s="648"/>
      <c r="R109" s="648"/>
      <c r="S109" s="648"/>
      <c r="T109" s="648"/>
      <c r="U109" s="648"/>
      <c r="V109" s="648"/>
      <c r="W109" s="648"/>
      <c r="X109" s="648"/>
      <c r="Y109" s="648"/>
      <c r="Z109" s="648"/>
      <c r="AA109" s="648"/>
      <c r="AB109" s="648"/>
      <c r="AC109" s="648"/>
      <c r="AD109" s="648"/>
      <c r="AE109" s="648"/>
      <c r="AF109" s="648"/>
      <c r="AG109" s="648"/>
      <c r="AH109" s="648"/>
      <c r="AI109" s="648"/>
      <c r="AJ109" s="648"/>
      <c r="AK109" s="648"/>
      <c r="AL109" s="648"/>
      <c r="AM109" s="648"/>
      <c r="AN109" s="648"/>
      <c r="AO109" s="648"/>
      <c r="AP109" s="648"/>
      <c r="AQ109" s="648"/>
      <c r="AR109" s="648"/>
      <c r="AS109" s="648"/>
      <c r="AT109" s="648"/>
      <c r="AU109" s="648"/>
    </row>
    <row r="110" spans="1:47">
      <c r="A110" s="648"/>
      <c r="B110" s="648"/>
      <c r="C110" s="648"/>
      <c r="D110" s="648"/>
      <c r="E110" s="648"/>
      <c r="F110" s="648"/>
      <c r="G110" s="648"/>
      <c r="H110" s="648"/>
      <c r="I110" s="648"/>
      <c r="J110" s="648"/>
      <c r="K110" s="648"/>
      <c r="L110" s="648"/>
      <c r="M110" s="648"/>
      <c r="N110" s="648"/>
      <c r="O110" s="648"/>
      <c r="P110" s="648"/>
      <c r="Q110" s="648"/>
      <c r="R110" s="648"/>
      <c r="S110" s="648"/>
      <c r="T110" s="648"/>
      <c r="U110" s="648"/>
      <c r="V110" s="648"/>
      <c r="W110" s="648"/>
      <c r="X110" s="648"/>
      <c r="Y110" s="648"/>
      <c r="Z110" s="648"/>
      <c r="AA110" s="648"/>
      <c r="AB110" s="648"/>
      <c r="AC110" s="648"/>
      <c r="AD110" s="648"/>
      <c r="AE110" s="648"/>
      <c r="AF110" s="648"/>
      <c r="AG110" s="648"/>
      <c r="AH110" s="648"/>
      <c r="AI110" s="648"/>
      <c r="AJ110" s="648"/>
      <c r="AK110" s="648"/>
      <c r="AL110" s="648"/>
      <c r="AM110" s="648"/>
      <c r="AN110" s="648"/>
      <c r="AO110" s="648"/>
      <c r="AP110" s="648"/>
      <c r="AQ110" s="648"/>
      <c r="AR110" s="648"/>
      <c r="AS110" s="648"/>
      <c r="AT110" s="648"/>
      <c r="AU110" s="648"/>
    </row>
    <row r="111" spans="1:47">
      <c r="A111" s="648"/>
      <c r="B111" s="648"/>
      <c r="C111" s="648"/>
      <c r="D111" s="648"/>
      <c r="E111" s="648"/>
      <c r="F111" s="648"/>
      <c r="G111" s="648"/>
      <c r="H111" s="648"/>
      <c r="I111" s="648"/>
      <c r="J111" s="648"/>
      <c r="K111" s="648"/>
      <c r="L111" s="648"/>
      <c r="M111" s="648"/>
      <c r="N111" s="648"/>
      <c r="O111" s="648"/>
      <c r="P111" s="648"/>
      <c r="Q111" s="648"/>
      <c r="R111" s="648"/>
      <c r="S111" s="648"/>
      <c r="T111" s="648"/>
      <c r="U111" s="648"/>
      <c r="V111" s="648"/>
      <c r="W111" s="648"/>
      <c r="X111" s="648"/>
      <c r="Y111" s="648"/>
      <c r="Z111" s="648"/>
      <c r="AA111" s="648"/>
      <c r="AB111" s="648"/>
      <c r="AC111" s="648"/>
      <c r="AD111" s="648"/>
      <c r="AE111" s="648"/>
      <c r="AF111" s="648"/>
      <c r="AG111" s="648"/>
      <c r="AH111" s="648"/>
      <c r="AI111" s="648"/>
      <c r="AJ111" s="648"/>
      <c r="AK111" s="648"/>
      <c r="AL111" s="648"/>
      <c r="AM111" s="648"/>
      <c r="AN111" s="648"/>
      <c r="AO111" s="648"/>
      <c r="AP111" s="648"/>
      <c r="AQ111" s="648"/>
      <c r="AR111" s="648"/>
      <c r="AS111" s="648"/>
      <c r="AT111" s="648"/>
      <c r="AU111" s="648"/>
    </row>
    <row r="112" spans="1:47">
      <c r="A112" s="648"/>
      <c r="B112" s="648"/>
      <c r="C112" s="648"/>
      <c r="D112" s="648"/>
      <c r="E112" s="648"/>
      <c r="F112" s="648"/>
      <c r="G112" s="648"/>
      <c r="H112" s="648"/>
      <c r="I112" s="648"/>
      <c r="J112" s="648"/>
      <c r="K112" s="648"/>
      <c r="L112" s="648"/>
      <c r="M112" s="648"/>
      <c r="N112" s="648"/>
      <c r="O112" s="648"/>
      <c r="P112" s="648"/>
      <c r="Q112" s="648"/>
      <c r="R112" s="648"/>
      <c r="S112" s="648"/>
      <c r="T112" s="648"/>
      <c r="U112" s="648"/>
      <c r="V112" s="648"/>
      <c r="W112" s="648"/>
      <c r="X112" s="648"/>
      <c r="Y112" s="648"/>
      <c r="Z112" s="648"/>
      <c r="AA112" s="648"/>
      <c r="AB112" s="648"/>
      <c r="AC112" s="648"/>
      <c r="AD112" s="648"/>
      <c r="AE112" s="648"/>
      <c r="AF112" s="648"/>
      <c r="AG112" s="648"/>
      <c r="AH112" s="648"/>
      <c r="AI112" s="648"/>
      <c r="AJ112" s="648"/>
      <c r="AK112" s="648"/>
      <c r="AL112" s="648"/>
      <c r="AM112" s="648"/>
      <c r="AN112" s="648"/>
      <c r="AO112" s="648"/>
      <c r="AP112" s="648"/>
      <c r="AQ112" s="648"/>
      <c r="AR112" s="648"/>
      <c r="AS112" s="648"/>
      <c r="AT112" s="648"/>
      <c r="AU112" s="648"/>
    </row>
    <row r="113" spans="1:47">
      <c r="A113" s="648"/>
      <c r="B113" s="648"/>
      <c r="C113" s="648"/>
      <c r="D113" s="648"/>
      <c r="E113" s="648"/>
      <c r="F113" s="648"/>
      <c r="G113" s="648"/>
      <c r="H113" s="648"/>
      <c r="I113" s="648"/>
      <c r="J113" s="648"/>
      <c r="K113" s="648"/>
      <c r="L113" s="648"/>
      <c r="M113" s="648"/>
      <c r="N113" s="648"/>
      <c r="O113" s="648"/>
      <c r="P113" s="648"/>
      <c r="Q113" s="648"/>
      <c r="R113" s="648"/>
      <c r="S113" s="648"/>
      <c r="T113" s="648"/>
      <c r="U113" s="648"/>
      <c r="V113" s="648"/>
      <c r="W113" s="648"/>
      <c r="X113" s="648"/>
      <c r="Y113" s="648"/>
      <c r="Z113" s="648"/>
      <c r="AA113" s="648"/>
      <c r="AB113" s="648"/>
      <c r="AC113" s="648"/>
      <c r="AD113" s="648"/>
      <c r="AE113" s="648"/>
      <c r="AF113" s="648"/>
      <c r="AG113" s="648"/>
      <c r="AH113" s="648"/>
      <c r="AI113" s="648"/>
      <c r="AJ113" s="648"/>
      <c r="AK113" s="648"/>
      <c r="AL113" s="648"/>
      <c r="AM113" s="648"/>
      <c r="AN113" s="648"/>
      <c r="AO113" s="648"/>
      <c r="AP113" s="648"/>
      <c r="AQ113" s="648"/>
      <c r="AR113" s="648"/>
      <c r="AS113" s="648"/>
      <c r="AT113" s="648"/>
      <c r="AU113" s="648"/>
    </row>
    <row r="114" spans="1:47">
      <c r="A114" s="648"/>
      <c r="B114" s="648"/>
      <c r="C114" s="648"/>
      <c r="D114" s="648"/>
      <c r="E114" s="648"/>
      <c r="F114" s="648"/>
      <c r="G114" s="648"/>
      <c r="H114" s="648"/>
      <c r="I114" s="648"/>
      <c r="J114" s="648"/>
      <c r="K114" s="648"/>
      <c r="L114" s="648"/>
      <c r="M114" s="648"/>
      <c r="N114" s="648"/>
      <c r="O114" s="648"/>
      <c r="P114" s="648"/>
      <c r="Q114" s="648"/>
      <c r="R114" s="648"/>
      <c r="S114" s="648"/>
      <c r="T114" s="648"/>
      <c r="U114" s="648"/>
      <c r="V114" s="648"/>
      <c r="W114" s="648"/>
      <c r="X114" s="648"/>
      <c r="Y114" s="648"/>
      <c r="Z114" s="648"/>
      <c r="AA114" s="648"/>
      <c r="AB114" s="648"/>
      <c r="AC114" s="648"/>
      <c r="AD114" s="648"/>
      <c r="AE114" s="648"/>
      <c r="AF114" s="648"/>
      <c r="AG114" s="648"/>
      <c r="AH114" s="648"/>
      <c r="AI114" s="648"/>
      <c r="AJ114" s="648"/>
      <c r="AK114" s="648"/>
      <c r="AL114" s="648"/>
      <c r="AM114" s="648"/>
      <c r="AN114" s="648"/>
      <c r="AO114" s="648"/>
      <c r="AP114" s="648"/>
      <c r="AQ114" s="648"/>
      <c r="AR114" s="648"/>
      <c r="AS114" s="648"/>
      <c r="AT114" s="648"/>
      <c r="AU114" s="648"/>
    </row>
    <row r="115" spans="1:47">
      <c r="A115" s="648"/>
      <c r="B115" s="648"/>
      <c r="C115" s="648"/>
      <c r="D115" s="648"/>
      <c r="E115" s="648"/>
      <c r="F115" s="648"/>
      <c r="G115" s="648"/>
      <c r="H115" s="648"/>
      <c r="I115" s="648"/>
      <c r="J115" s="648"/>
      <c r="K115" s="648"/>
      <c r="L115" s="648"/>
      <c r="M115" s="648"/>
      <c r="N115" s="648"/>
      <c r="O115" s="648"/>
      <c r="P115" s="648"/>
      <c r="Q115" s="648"/>
      <c r="R115" s="648"/>
      <c r="S115" s="648"/>
      <c r="T115" s="648"/>
      <c r="U115" s="648"/>
      <c r="V115" s="648"/>
      <c r="W115" s="648"/>
      <c r="X115" s="648"/>
      <c r="Y115" s="648"/>
      <c r="Z115" s="648"/>
      <c r="AA115" s="648"/>
      <c r="AB115" s="648"/>
      <c r="AC115" s="648"/>
      <c r="AD115" s="648"/>
      <c r="AE115" s="648"/>
      <c r="AF115" s="648"/>
      <c r="AG115" s="648"/>
      <c r="AH115" s="648"/>
      <c r="AI115" s="648"/>
      <c r="AJ115" s="648"/>
      <c r="AK115" s="648"/>
      <c r="AL115" s="648"/>
      <c r="AM115" s="648"/>
      <c r="AN115" s="648"/>
      <c r="AO115" s="648"/>
      <c r="AP115" s="648"/>
      <c r="AQ115" s="648"/>
      <c r="AR115" s="648"/>
      <c r="AS115" s="648"/>
      <c r="AT115" s="648"/>
      <c r="AU115" s="648"/>
    </row>
    <row r="116" spans="1:47">
      <c r="A116" s="648"/>
      <c r="B116" s="648"/>
      <c r="C116" s="648"/>
      <c r="D116" s="648"/>
      <c r="E116" s="648"/>
      <c r="F116" s="648"/>
      <c r="G116" s="648"/>
      <c r="H116" s="648"/>
      <c r="I116" s="648"/>
      <c r="J116" s="648"/>
      <c r="K116" s="648"/>
      <c r="L116" s="648"/>
      <c r="M116" s="648"/>
      <c r="N116" s="648"/>
      <c r="O116" s="648"/>
      <c r="P116" s="648"/>
      <c r="Q116" s="648"/>
      <c r="R116" s="648"/>
      <c r="S116" s="648"/>
      <c r="T116" s="648"/>
      <c r="U116" s="648"/>
      <c r="V116" s="648"/>
      <c r="W116" s="648"/>
      <c r="X116" s="648"/>
      <c r="Y116" s="648"/>
      <c r="Z116" s="648"/>
      <c r="AA116" s="648"/>
      <c r="AB116" s="648"/>
      <c r="AC116" s="648"/>
      <c r="AD116" s="648"/>
      <c r="AE116" s="648"/>
      <c r="AF116" s="648"/>
      <c r="AG116" s="648"/>
      <c r="AH116" s="648"/>
      <c r="AI116" s="648"/>
      <c r="AJ116" s="648"/>
      <c r="AK116" s="648"/>
      <c r="AL116" s="648"/>
      <c r="AM116" s="648"/>
      <c r="AN116" s="648"/>
      <c r="AO116" s="648"/>
      <c r="AP116" s="648"/>
      <c r="AQ116" s="648"/>
      <c r="AR116" s="648"/>
      <c r="AS116" s="648"/>
      <c r="AT116" s="648"/>
      <c r="AU116" s="648"/>
    </row>
    <row r="117" spans="1:47">
      <c r="A117" s="648"/>
      <c r="B117" s="648"/>
      <c r="C117" s="648"/>
      <c r="D117" s="648"/>
      <c r="E117" s="648"/>
      <c r="F117" s="648"/>
      <c r="G117" s="648"/>
      <c r="H117" s="648"/>
      <c r="I117" s="648"/>
      <c r="J117" s="648"/>
      <c r="K117" s="648"/>
      <c r="L117" s="648"/>
      <c r="M117" s="648"/>
      <c r="N117" s="648"/>
      <c r="O117" s="648"/>
      <c r="P117" s="648"/>
      <c r="Q117" s="648"/>
      <c r="R117" s="648"/>
      <c r="S117" s="648"/>
      <c r="T117" s="648"/>
      <c r="U117" s="648"/>
      <c r="V117" s="648"/>
      <c r="W117" s="648"/>
      <c r="X117" s="648"/>
      <c r="Y117" s="648"/>
      <c r="Z117" s="648"/>
      <c r="AA117" s="648"/>
      <c r="AB117" s="648"/>
      <c r="AC117" s="648"/>
      <c r="AD117" s="648"/>
      <c r="AE117" s="648"/>
      <c r="AF117" s="648"/>
      <c r="AG117" s="648"/>
      <c r="AH117" s="648"/>
      <c r="AI117" s="648"/>
      <c r="AJ117" s="648"/>
      <c r="AK117" s="648"/>
      <c r="AL117" s="648"/>
      <c r="AM117" s="648"/>
      <c r="AN117" s="648"/>
      <c r="AO117" s="648"/>
      <c r="AP117" s="648"/>
      <c r="AQ117" s="648"/>
      <c r="AR117" s="648"/>
      <c r="AS117" s="648"/>
      <c r="AT117" s="648"/>
      <c r="AU117" s="648"/>
    </row>
  </sheetData>
  <sheetProtection selectLockedCells="1" selectUnlockedCells="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C2CAB-E71D-4058-A1CD-349DE2941F1D}">
  <sheetPr codeName="Sheet9">
    <tabColor theme="8" tint="0.79998168889431442"/>
  </sheetPr>
  <dimension ref="A1:S143"/>
  <sheetViews>
    <sheetView zoomScaleNormal="100" workbookViewId="0">
      <pane xSplit="3" ySplit="16" topLeftCell="D17" activePane="bottomRight" state="frozen"/>
      <selection pane="topRight" activeCell="D1" sqref="D1"/>
      <selection pane="bottomLeft" activeCell="A16" sqref="A16"/>
      <selection pane="bottomRight" activeCell="S15" sqref="S15"/>
    </sheetView>
  </sheetViews>
  <sheetFormatPr defaultColWidth="9.1796875" defaultRowHeight="13"/>
  <cols>
    <col min="1" max="1" width="5.54296875" style="1024" customWidth="1"/>
    <col min="2" max="2" width="26.54296875" style="962" bestFit="1" customWidth="1"/>
    <col min="3" max="3" width="17.81640625" style="962" bestFit="1" customWidth="1"/>
    <col min="4" max="4" width="29.7265625" style="962" bestFit="1" customWidth="1"/>
    <col min="5" max="5" width="16.1796875" style="962" bestFit="1" customWidth="1"/>
    <col min="6" max="17" width="8.7265625" style="962" customWidth="1"/>
    <col min="18" max="19" width="9.1796875" style="1063"/>
    <col min="20" max="16384" width="9.1796875" style="962"/>
  </cols>
  <sheetData>
    <row r="1" spans="2:19">
      <c r="B1" s="1678" t="str">
        <f ca="1" xml:space="preserve"> MID(CELL("filename",B1),FIND("]",CELL("filename",B1))+1,255)</f>
        <v>Business Case Summary</v>
      </c>
      <c r="C1" s="1678"/>
      <c r="D1" s="1678"/>
      <c r="E1" s="1389"/>
      <c r="F1" s="1390"/>
      <c r="G1" s="1390"/>
      <c r="H1" s="1390"/>
      <c r="I1" s="1389"/>
      <c r="J1" s="1389"/>
      <c r="K1" s="1389"/>
      <c r="L1" s="1389"/>
      <c r="M1" s="1389"/>
      <c r="N1" s="1389"/>
      <c r="O1" s="1389"/>
      <c r="P1" s="1389"/>
      <c r="Q1" s="1389"/>
    </row>
    <row r="2" spans="2:19">
      <c r="B2" s="1391" t="s">
        <v>8642</v>
      </c>
      <c r="C2" s="1391"/>
      <c r="D2" s="1392" t="str">
        <f>Variables!$B$4</f>
        <v>US</v>
      </c>
      <c r="E2" s="1393"/>
      <c r="F2" s="1389"/>
      <c r="G2" s="1390"/>
      <c r="H2" s="1390"/>
      <c r="I2" s="1390"/>
      <c r="J2" s="1389"/>
      <c r="K2" s="1389"/>
      <c r="L2" s="1389"/>
      <c r="M2" s="1389"/>
      <c r="N2" s="1389"/>
      <c r="O2" s="1389"/>
      <c r="P2" s="1389"/>
      <c r="Q2" s="1389"/>
      <c r="R2" s="1394"/>
    </row>
    <row r="3" spans="2:19">
      <c r="B3" s="1391" t="s">
        <v>491</v>
      </c>
      <c r="C3" s="1391"/>
      <c r="D3" s="1392" t="str">
        <f>Variables!$B$2</f>
        <v>6252US</v>
      </c>
      <c r="E3" s="1390"/>
      <c r="F3" s="1389"/>
      <c r="G3" s="1390"/>
      <c r="H3" s="1390"/>
      <c r="I3" s="1390"/>
      <c r="J3" s="1389"/>
      <c r="K3" s="1389"/>
      <c r="L3" s="1389"/>
      <c r="M3" s="1389"/>
      <c r="N3" s="1389"/>
      <c r="O3" s="1389"/>
      <c r="P3" s="1395"/>
      <c r="Q3" s="1396"/>
      <c r="R3" s="1394"/>
    </row>
    <row r="4" spans="2:19">
      <c r="B4" s="1391" t="s">
        <v>8539</v>
      </c>
      <c r="C4" s="1391"/>
      <c r="D4" s="1679" t="str">
        <f>Variables!$B$3</f>
        <v>Data Mgmt Tools and Initiatives</v>
      </c>
      <c r="E4" s="1679"/>
      <c r="F4" s="1679"/>
      <c r="G4" s="1679"/>
      <c r="H4" s="1679"/>
      <c r="I4" s="1679"/>
      <c r="J4" s="1679"/>
      <c r="K4" s="1397"/>
      <c r="L4" s="1397"/>
      <c r="M4" s="1397"/>
      <c r="N4" s="1397"/>
      <c r="O4" s="1397"/>
      <c r="P4" s="1389"/>
      <c r="Q4" s="1389"/>
      <c r="R4" s="1394"/>
    </row>
    <row r="5" spans="2:19">
      <c r="B5" s="1391" t="s">
        <v>8540</v>
      </c>
      <c r="C5" s="1391"/>
      <c r="D5" s="1398" t="str">
        <f>Variables!$B$5</f>
        <v>Strategic Program</v>
      </c>
      <c r="E5" s="1399"/>
      <c r="F5" s="1399"/>
      <c r="G5" s="1399"/>
      <c r="H5" s="1399"/>
      <c r="I5" s="1390"/>
      <c r="J5" s="1389"/>
      <c r="K5" s="1389"/>
      <c r="L5" s="1389"/>
      <c r="M5" s="1389"/>
      <c r="N5" s="1389"/>
      <c r="O5" s="1389"/>
      <c r="P5" s="1389"/>
      <c r="Q5" s="1389"/>
      <c r="R5" s="1394"/>
    </row>
    <row r="6" spans="2:19">
      <c r="B6" s="1391" t="s">
        <v>8541</v>
      </c>
      <c r="C6" s="1391"/>
      <c r="D6" s="1398" t="str">
        <f>Variables!$B$6</f>
        <v>Narayan Devireddy</v>
      </c>
      <c r="E6" s="1399"/>
      <c r="F6" s="1399"/>
      <c r="G6" s="1399"/>
      <c r="H6" s="1399"/>
      <c r="I6" s="1390"/>
      <c r="J6" s="1389"/>
      <c r="K6" s="1389"/>
      <c r="L6" s="1389"/>
      <c r="M6" s="1389"/>
      <c r="N6" s="1389"/>
      <c r="O6" s="1389"/>
      <c r="P6" s="1389"/>
      <c r="Q6" s="1389"/>
      <c r="R6" s="1394"/>
    </row>
    <row r="7" spans="2:19">
      <c r="B7" s="1391" t="s">
        <v>496</v>
      </c>
      <c r="C7" s="1391"/>
      <c r="D7" s="1398" t="str">
        <f>Variables!$B$7</f>
        <v>Joel Semel</v>
      </c>
      <c r="E7" s="1399"/>
      <c r="F7" s="1399"/>
      <c r="G7" s="1399"/>
      <c r="H7" s="1399"/>
      <c r="I7" s="1390"/>
      <c r="J7" s="1389"/>
      <c r="K7" s="1389"/>
      <c r="L7" s="1389"/>
      <c r="M7" s="1389"/>
      <c r="N7" s="1389"/>
      <c r="O7" s="1389"/>
      <c r="P7" s="1389"/>
      <c r="Q7" s="1389"/>
      <c r="R7" s="1394"/>
    </row>
    <row r="8" spans="2:19">
      <c r="B8" s="1391" t="s">
        <v>8542</v>
      </c>
      <c r="C8" s="1391"/>
      <c r="D8" s="1400">
        <f>Variables!$B$9</f>
        <v>44354</v>
      </c>
      <c r="E8" s="1401"/>
      <c r="F8" s="1401"/>
      <c r="G8" s="1401"/>
      <c r="H8" s="1401"/>
      <c r="I8" s="1390"/>
      <c r="J8" s="1389"/>
      <c r="K8" s="1389"/>
      <c r="L8" s="1389"/>
      <c r="M8" s="1389"/>
      <c r="N8" s="1389"/>
      <c r="O8" s="1389"/>
      <c r="P8" s="1389"/>
      <c r="Q8" s="1389"/>
      <c r="R8" s="1394"/>
    </row>
    <row r="9" spans="2:19">
      <c r="B9" s="1402" t="s">
        <v>8648</v>
      </c>
      <c r="C9" s="1403" t="s">
        <v>8647</v>
      </c>
      <c r="D9" s="1392" t="str">
        <f>CONCATENATE("20",RIGHT(Variables!$B$19,2))</f>
        <v>2022</v>
      </c>
      <c r="E9" s="1404"/>
      <c r="F9" s="1405"/>
      <c r="G9" s="1405"/>
      <c r="H9" s="1406"/>
      <c r="I9" s="1390"/>
      <c r="J9" s="1389"/>
      <c r="K9" s="1389"/>
      <c r="L9" s="1389"/>
      <c r="M9" s="1389"/>
      <c r="N9" s="1389"/>
      <c r="O9" s="1389"/>
      <c r="P9" s="1389"/>
      <c r="Q9" s="1389"/>
      <c r="R9" s="1394"/>
    </row>
    <row r="10" spans="2:19">
      <c r="B10" s="1391" t="s">
        <v>8649</v>
      </c>
      <c r="C10" s="1403" t="s">
        <v>8647</v>
      </c>
      <c r="D10" s="1392" t="str">
        <f>CONCATENATE("20",RIGHT(Variables!$B$29,2))</f>
        <v>2023</v>
      </c>
      <c r="E10" s="1407"/>
      <c r="F10" s="1395" t="s">
        <v>8701</v>
      </c>
      <c r="G10" s="1408" t="str">
        <f>CONCATENATE("20",RIGHT(Variables!$B$32,2))</f>
        <v>2022</v>
      </c>
      <c r="H10" s="1404"/>
      <c r="I10" s="1404"/>
      <c r="J10" s="1389"/>
      <c r="K10" s="1389"/>
      <c r="L10" s="1389"/>
      <c r="M10" s="1389"/>
      <c r="N10" s="1389"/>
      <c r="O10" s="1389"/>
      <c r="P10" s="1389"/>
      <c r="Q10" s="1389"/>
      <c r="R10" s="1394"/>
      <c r="S10" s="1394"/>
    </row>
    <row r="11" spans="2:19" ht="13.5" thickBot="1">
      <c r="B11" s="1391" t="s">
        <v>8650</v>
      </c>
      <c r="C11" s="1403" t="s">
        <v>8647</v>
      </c>
      <c r="D11" s="1392" t="str">
        <f>CONCATENATE("20",RIGHT(Variables!$B$30,2))</f>
        <v>2022</v>
      </c>
      <c r="E11" s="1407"/>
      <c r="F11" s="1409"/>
      <c r="G11" s="1404"/>
      <c r="H11" s="1404"/>
      <c r="I11" s="1389"/>
      <c r="J11" s="1389"/>
      <c r="K11" s="1389"/>
      <c r="L11" s="1389"/>
      <c r="M11" s="1389"/>
      <c r="N11" s="1389"/>
      <c r="O11" s="1389"/>
      <c r="P11" s="1389"/>
      <c r="Q11" s="1389"/>
      <c r="R11" s="1394"/>
    </row>
    <row r="12" spans="2:19" ht="13.5" thickBot="1">
      <c r="B12" s="1677" t="s">
        <v>8643</v>
      </c>
      <c r="C12" s="1677"/>
      <c r="D12" s="1392" t="str">
        <f>Variables!B14</f>
        <v>High</v>
      </c>
      <c r="E12" s="1409"/>
      <c r="F12" s="1395" t="s">
        <v>8700</v>
      </c>
      <c r="G12" s="1410">
        <f>'Priority Scoring'!$D$22</f>
        <v>53.333333333333336</v>
      </c>
      <c r="H12" s="1389"/>
      <c r="I12" s="1389"/>
      <c r="J12" s="1389"/>
      <c r="K12" s="1389"/>
      <c r="L12" s="1389"/>
      <c r="M12" s="1389"/>
      <c r="N12" s="1389"/>
      <c r="O12" s="1389"/>
      <c r="P12" s="1389"/>
      <c r="Q12" s="1389"/>
    </row>
    <row r="13" spans="2:19">
      <c r="B13" s="1677" t="s">
        <v>8644</v>
      </c>
      <c r="C13" s="1677"/>
      <c r="D13" s="1392" t="str">
        <f>Variables!B12</f>
        <v>Business Critical</v>
      </c>
      <c r="E13" s="1409"/>
      <c r="F13" s="1404"/>
      <c r="G13" s="1404"/>
      <c r="H13" s="1389"/>
      <c r="I13" s="1389"/>
      <c r="J13" s="1389"/>
      <c r="K13" s="1389"/>
      <c r="L13" s="1389"/>
      <c r="M13" s="1389"/>
      <c r="N13" s="1389"/>
      <c r="O13" s="1389"/>
      <c r="P13" s="1389"/>
      <c r="Q13" s="1389"/>
    </row>
    <row r="14" spans="2:19">
      <c r="B14" s="1677" t="s">
        <v>8645</v>
      </c>
      <c r="C14" s="1677"/>
      <c r="D14" s="1392" t="str">
        <f>Variables!B13</f>
        <v>Medium</v>
      </c>
      <c r="E14" s="1409"/>
      <c r="F14" s="1404"/>
      <c r="G14" s="1404"/>
      <c r="H14" s="1389"/>
      <c r="I14" s="1389"/>
      <c r="J14" s="1389"/>
      <c r="K14" s="1389"/>
      <c r="L14" s="1389"/>
      <c r="M14" s="1389"/>
      <c r="N14" s="1389"/>
      <c r="O14" s="1389"/>
      <c r="P14" s="1389"/>
      <c r="Q14" s="1389"/>
    </row>
    <row r="15" spans="2:19">
      <c r="B15" s="1677" t="s">
        <v>8646</v>
      </c>
      <c r="C15" s="1677"/>
      <c r="D15" s="1392" t="str">
        <f>Variables!B15</f>
        <v>No</v>
      </c>
      <c r="E15" s="1409"/>
      <c r="F15" s="1404"/>
      <c r="G15" s="1404"/>
      <c r="H15" s="1389"/>
      <c r="I15" s="1389"/>
      <c r="J15" s="1389"/>
      <c r="K15" s="1389"/>
      <c r="L15" s="1389"/>
      <c r="M15" s="1389"/>
      <c r="N15" s="1389"/>
      <c r="O15" s="1389"/>
      <c r="P15" s="1389"/>
      <c r="Q15" s="1389"/>
    </row>
    <row r="16" spans="2:19">
      <c r="B16" s="1677" t="s">
        <v>9027</v>
      </c>
      <c r="C16" s="1677"/>
      <c r="D16" s="1392" t="str">
        <f>Variables!B16</f>
        <v>No</v>
      </c>
      <c r="E16" s="1405"/>
      <c r="F16" s="1405"/>
      <c r="G16" s="1406"/>
      <c r="H16" s="1390"/>
      <c r="I16" s="1389"/>
      <c r="J16" s="1389"/>
      <c r="K16" s="1389"/>
      <c r="L16" s="1389"/>
      <c r="M16" s="1389"/>
      <c r="N16" s="1389"/>
      <c r="O16" s="1389"/>
      <c r="P16" s="1389"/>
      <c r="Q16" s="1389"/>
    </row>
    <row r="17" spans="1:17" ht="13.5" thickBot="1">
      <c r="B17" s="1026"/>
      <c r="C17" s="678"/>
      <c r="D17" s="678"/>
      <c r="E17" s="678"/>
      <c r="F17" s="676"/>
      <c r="G17" s="676"/>
      <c r="H17" s="676"/>
      <c r="I17" s="676"/>
      <c r="J17" s="676"/>
      <c r="K17" s="676"/>
      <c r="L17" s="676"/>
      <c r="M17" s="676"/>
      <c r="N17" s="676"/>
      <c r="O17" s="676"/>
      <c r="P17" s="676"/>
      <c r="Q17" s="677"/>
    </row>
    <row r="18" spans="1:17" ht="13.5" thickBot="1">
      <c r="A18" s="1656" t="s">
        <v>8589</v>
      </c>
      <c r="B18" s="1667" t="s">
        <v>8582</v>
      </c>
      <c r="C18" s="1668"/>
      <c r="D18" s="995" t="str">
        <f>CONCATENATE("(",Variables!$C$4,"M)")</f>
        <v>($M)</v>
      </c>
      <c r="E18" s="1043" t="s">
        <v>292</v>
      </c>
      <c r="F18" s="1040" t="str">
        <f>Variables!$B$19</f>
        <v>FY 22</v>
      </c>
      <c r="G18" s="1022" t="str">
        <f>CONCATENATE("FY ",RIGHT(F18,2)+1)</f>
        <v>FY 23</v>
      </c>
      <c r="H18" s="1022" t="str">
        <f t="shared" ref="H18:P18" si="0">CONCATENATE("FY ",RIGHT(G18,2)+1)</f>
        <v>FY 24</v>
      </c>
      <c r="I18" s="1022" t="str">
        <f t="shared" si="0"/>
        <v>FY 25</v>
      </c>
      <c r="J18" s="1022" t="str">
        <f t="shared" si="0"/>
        <v>FY 26</v>
      </c>
      <c r="K18" s="1022" t="str">
        <f t="shared" si="0"/>
        <v>FY 27</v>
      </c>
      <c r="L18" s="1022" t="str">
        <f t="shared" si="0"/>
        <v>FY 28</v>
      </c>
      <c r="M18" s="1022" t="str">
        <f t="shared" si="0"/>
        <v>FY 29</v>
      </c>
      <c r="N18" s="1022" t="str">
        <f t="shared" si="0"/>
        <v>FY 30</v>
      </c>
      <c r="O18" s="1022" t="str">
        <f t="shared" si="0"/>
        <v>FY 31</v>
      </c>
      <c r="P18" s="1022" t="str">
        <f t="shared" si="0"/>
        <v>FY 32</v>
      </c>
      <c r="Q18" s="707"/>
    </row>
    <row r="19" spans="1:17">
      <c r="A19" s="1657"/>
      <c r="C19" s="1046" t="s">
        <v>8429</v>
      </c>
      <c r="D19" s="1039" t="s">
        <v>226</v>
      </c>
      <c r="E19" s="1044"/>
      <c r="F19" s="1041" t="s">
        <v>444</v>
      </c>
      <c r="G19" s="1029" t="s">
        <v>449</v>
      </c>
      <c r="H19" s="1029" t="s">
        <v>454</v>
      </c>
      <c r="I19" s="1029" t="s">
        <v>457</v>
      </c>
      <c r="J19" s="1029" t="s">
        <v>461</v>
      </c>
      <c r="K19" s="1029" t="s">
        <v>464</v>
      </c>
      <c r="L19" s="1029" t="s">
        <v>467</v>
      </c>
      <c r="M19" s="1029" t="s">
        <v>468</v>
      </c>
      <c r="N19" s="1029" t="s">
        <v>471</v>
      </c>
      <c r="O19" s="1029" t="s">
        <v>474</v>
      </c>
      <c r="P19" s="1029" t="s">
        <v>476</v>
      </c>
      <c r="Q19" s="1029" t="s">
        <v>18</v>
      </c>
    </row>
    <row r="20" spans="1:17">
      <c r="A20" s="1657"/>
      <c r="C20" s="1045" t="s">
        <v>19</v>
      </c>
      <c r="D20" s="1035" t="s">
        <v>21</v>
      </c>
      <c r="E20" s="1042">
        <f>'Monthly Summary'!B74</f>
        <v>0</v>
      </c>
      <c r="F20" s="1036">
        <f>SUM('Monthly Summary'!C74:N74)</f>
        <v>0</v>
      </c>
      <c r="G20" s="1036">
        <f>SUM('Monthly Summary'!O74:Z74)</f>
        <v>0</v>
      </c>
      <c r="H20" s="1036">
        <f>SUM('Monthly Summary'!AA74:AL74)</f>
        <v>0</v>
      </c>
      <c r="I20" s="1036">
        <f>SUM('Monthly Summary'!AM74:AX74)</f>
        <v>0</v>
      </c>
      <c r="J20" s="1036">
        <f>SUM('Monthly Summary'!AY74:BJ74)</f>
        <v>0</v>
      </c>
      <c r="K20" s="1036">
        <f>SUM('Monthly Summary'!BK74:BV74)</f>
        <v>0</v>
      </c>
      <c r="L20" s="1037"/>
      <c r="M20" s="1037"/>
      <c r="N20" s="1037"/>
      <c r="O20" s="1037"/>
      <c r="P20" s="1037"/>
      <c r="Q20" s="1038">
        <f>SUM(E20:P20)</f>
        <v>0</v>
      </c>
    </row>
    <row r="21" spans="1:17" ht="13.5" thickBot="1">
      <c r="A21" s="1657"/>
      <c r="C21" s="1047" t="s">
        <v>19</v>
      </c>
      <c r="D21" s="1048" t="s">
        <v>20</v>
      </c>
      <c r="E21" s="1049">
        <f>'Monthly Summary'!B75</f>
        <v>0</v>
      </c>
      <c r="F21" s="1050">
        <f>SUM('Monthly Summary'!C75:N75)</f>
        <v>0</v>
      </c>
      <c r="G21" s="1050">
        <f>SUM('Monthly Summary'!O75:Z75)</f>
        <v>0</v>
      </c>
      <c r="H21" s="1050">
        <f>SUM('Monthly Summary'!AA75:AL75)</f>
        <v>0</v>
      </c>
      <c r="I21" s="1050">
        <f>SUM('Monthly Summary'!AM75:AX75)</f>
        <v>0</v>
      </c>
      <c r="J21" s="1050">
        <f>SUM('Monthly Summary'!AY75:BJ75)</f>
        <v>0</v>
      </c>
      <c r="K21" s="1050">
        <f>SUM('Monthly Summary'!BK75:BV75)</f>
        <v>0</v>
      </c>
      <c r="L21" s="1051"/>
      <c r="M21" s="1051"/>
      <c r="N21" s="1051"/>
      <c r="O21" s="1051"/>
      <c r="P21" s="1051"/>
      <c r="Q21" s="1052">
        <f>SUM(E21:P21)</f>
        <v>0</v>
      </c>
    </row>
    <row r="22" spans="1:17" ht="14" thickTop="1" thickBot="1">
      <c r="A22" s="1658"/>
      <c r="C22" s="1053" t="s">
        <v>8583</v>
      </c>
      <c r="D22" s="1053"/>
      <c r="E22" s="1056">
        <f>SUM(E20:E21)</f>
        <v>0</v>
      </c>
      <c r="F22" s="1056">
        <f t="shared" ref="F22:Q22" si="1">SUM(F20:F21)</f>
        <v>0</v>
      </c>
      <c r="G22" s="1056">
        <f t="shared" si="1"/>
        <v>0</v>
      </c>
      <c r="H22" s="1056">
        <f t="shared" si="1"/>
        <v>0</v>
      </c>
      <c r="I22" s="1056">
        <f t="shared" si="1"/>
        <v>0</v>
      </c>
      <c r="J22" s="1056">
        <f t="shared" si="1"/>
        <v>0</v>
      </c>
      <c r="K22" s="1056">
        <f t="shared" si="1"/>
        <v>0</v>
      </c>
      <c r="L22" s="1056">
        <f t="shared" si="1"/>
        <v>0</v>
      </c>
      <c r="M22" s="1056">
        <f t="shared" si="1"/>
        <v>0</v>
      </c>
      <c r="N22" s="1056">
        <f t="shared" si="1"/>
        <v>0</v>
      </c>
      <c r="O22" s="1056">
        <f t="shared" si="1"/>
        <v>0</v>
      </c>
      <c r="P22" s="1056">
        <f t="shared" si="1"/>
        <v>0</v>
      </c>
      <c r="Q22" s="1056">
        <f t="shared" si="1"/>
        <v>0</v>
      </c>
    </row>
    <row r="23" spans="1:17" ht="13.5" thickBot="1"/>
    <row r="24" spans="1:17" ht="13.5" thickBot="1">
      <c r="A24" s="1659" t="s">
        <v>8590</v>
      </c>
      <c r="B24" s="1667" t="s">
        <v>8584</v>
      </c>
      <c r="C24" s="1668"/>
      <c r="D24" s="995"/>
      <c r="E24" s="995" t="str">
        <f>CONCATENATE("(",Variables!$C$4,"M)")</f>
        <v>($M)</v>
      </c>
      <c r="F24" s="1040" t="str">
        <f>Variables!$B$19</f>
        <v>FY 22</v>
      </c>
      <c r="G24" s="1022" t="str">
        <f>CONCATENATE("FY ",RIGHT(F24,2)+1)</f>
        <v>FY 23</v>
      </c>
      <c r="H24" s="1022" t="str">
        <f t="shared" ref="H24" si="2">CONCATENATE("FY ",RIGHT(G24,2)+1)</f>
        <v>FY 24</v>
      </c>
      <c r="I24" s="1022" t="str">
        <f t="shared" ref="I24" si="3">CONCATENATE("FY ",RIGHT(H24,2)+1)</f>
        <v>FY 25</v>
      </c>
      <c r="J24" s="1022" t="str">
        <f t="shared" ref="J24" si="4">CONCATENATE("FY ",RIGHT(I24,2)+1)</f>
        <v>FY 26</v>
      </c>
      <c r="K24" s="1022" t="str">
        <f t="shared" ref="K24" si="5">CONCATENATE("FY ",RIGHT(J24,2)+1)</f>
        <v>FY 27</v>
      </c>
      <c r="L24" s="1022" t="str">
        <f t="shared" ref="L24" si="6">CONCATENATE("FY ",RIGHT(K24,2)+1)</f>
        <v>FY 28</v>
      </c>
      <c r="M24" s="1022" t="str">
        <f t="shared" ref="M24" si="7">CONCATENATE("FY ",RIGHT(L24,2)+1)</f>
        <v>FY 29</v>
      </c>
      <c r="N24" s="1022" t="str">
        <f t="shared" ref="N24" si="8">CONCATENATE("FY ",RIGHT(M24,2)+1)</f>
        <v>FY 30</v>
      </c>
      <c r="O24" s="1022" t="str">
        <f t="shared" ref="O24" si="9">CONCATENATE("FY ",RIGHT(N24,2)+1)</f>
        <v>FY 31</v>
      </c>
      <c r="P24" s="1022" t="str">
        <f t="shared" ref="P24" si="10">CONCATENATE("FY ",RIGHT(O24,2)+1)</f>
        <v>FY 32</v>
      </c>
      <c r="Q24" s="707"/>
    </row>
    <row r="25" spans="1:17">
      <c r="A25" s="1660"/>
      <c r="B25" s="1021" t="s">
        <v>8476</v>
      </c>
      <c r="C25" s="1021" t="s">
        <v>8431</v>
      </c>
      <c r="D25" s="1021" t="s">
        <v>8429</v>
      </c>
      <c r="E25" s="1021" t="s">
        <v>226</v>
      </c>
      <c r="F25" s="1057" t="s">
        <v>8568</v>
      </c>
      <c r="G25" s="1057" t="s">
        <v>8569</v>
      </c>
      <c r="H25" s="1057" t="s">
        <v>8570</v>
      </c>
      <c r="I25" s="1057" t="s">
        <v>8571</v>
      </c>
      <c r="J25" s="1057" t="s">
        <v>8572</v>
      </c>
      <c r="K25" s="1057" t="s">
        <v>8573</v>
      </c>
      <c r="L25" s="1057" t="s">
        <v>8574</v>
      </c>
      <c r="M25" s="1057" t="s">
        <v>8575</v>
      </c>
      <c r="N25" s="1057" t="s">
        <v>8576</v>
      </c>
      <c r="O25" s="1057" t="s">
        <v>8577</v>
      </c>
      <c r="P25" s="1057" t="s">
        <v>8578</v>
      </c>
      <c r="Q25" s="1057" t="s">
        <v>8581</v>
      </c>
    </row>
    <row r="26" spans="1:17">
      <c r="A26" s="1660"/>
      <c r="F26" s="1008">
        <v>0</v>
      </c>
      <c r="G26" s="1008">
        <v>0</v>
      </c>
      <c r="H26" s="1008">
        <v>0</v>
      </c>
      <c r="I26" s="1008">
        <v>0</v>
      </c>
      <c r="J26" s="1008">
        <v>0</v>
      </c>
      <c r="K26" s="1008">
        <v>0</v>
      </c>
      <c r="L26" s="1008">
        <v>0</v>
      </c>
      <c r="M26" s="1008">
        <v>0</v>
      </c>
      <c r="N26" s="1008">
        <v>0</v>
      </c>
      <c r="O26" s="1008">
        <v>0</v>
      </c>
      <c r="P26" s="1008">
        <v>0</v>
      </c>
      <c r="Q26" s="1008">
        <v>0</v>
      </c>
    </row>
    <row r="27" spans="1:17">
      <c r="A27" s="1660"/>
      <c r="D27" s="962" t="s">
        <v>8545</v>
      </c>
      <c r="E27" s="962" t="s">
        <v>480</v>
      </c>
      <c r="F27" s="1008">
        <v>0</v>
      </c>
      <c r="G27" s="1008">
        <v>0</v>
      </c>
      <c r="H27" s="1008">
        <v>0</v>
      </c>
      <c r="I27" s="1008">
        <v>0</v>
      </c>
      <c r="J27" s="1008">
        <v>0</v>
      </c>
      <c r="K27" s="1008">
        <v>0</v>
      </c>
      <c r="L27" s="1008">
        <v>0</v>
      </c>
      <c r="M27" s="1008">
        <v>0</v>
      </c>
      <c r="N27" s="1008">
        <v>0</v>
      </c>
      <c r="O27" s="1008">
        <v>0</v>
      </c>
      <c r="P27" s="1008">
        <v>0</v>
      </c>
      <c r="Q27" s="1008">
        <v>0</v>
      </c>
    </row>
    <row r="28" spans="1:17">
      <c r="A28" s="1660"/>
      <c r="B28" s="962" t="s">
        <v>460</v>
      </c>
      <c r="C28" s="962" t="s">
        <v>456</v>
      </c>
      <c r="D28" s="962" t="s">
        <v>8400</v>
      </c>
      <c r="E28" s="962" t="s">
        <v>21</v>
      </c>
      <c r="F28" s="1008">
        <v>0</v>
      </c>
      <c r="G28" s="1008">
        <v>0</v>
      </c>
      <c r="H28" s="1008">
        <v>0</v>
      </c>
      <c r="I28" s="1008">
        <v>0</v>
      </c>
      <c r="J28" s="1008">
        <v>0</v>
      </c>
      <c r="K28" s="1008">
        <v>0</v>
      </c>
      <c r="L28" s="1008">
        <v>0</v>
      </c>
      <c r="M28" s="1008">
        <v>0</v>
      </c>
      <c r="N28" s="1008">
        <v>0</v>
      </c>
      <c r="O28" s="1008">
        <v>0</v>
      </c>
      <c r="P28" s="1008">
        <v>0</v>
      </c>
      <c r="Q28" s="1008">
        <v>0</v>
      </c>
    </row>
    <row r="29" spans="1:17">
      <c r="A29" s="1660"/>
      <c r="B29" s="1054" t="s">
        <v>8583</v>
      </c>
      <c r="C29" s="1054"/>
      <c r="D29" s="1054"/>
      <c r="E29" s="1054"/>
      <c r="F29" s="1055">
        <v>0</v>
      </c>
      <c r="G29" s="1055">
        <v>0</v>
      </c>
      <c r="H29" s="1055">
        <v>0</v>
      </c>
      <c r="I29" s="1055">
        <v>0</v>
      </c>
      <c r="J29" s="1055">
        <v>0</v>
      </c>
      <c r="K29" s="1055">
        <v>0</v>
      </c>
      <c r="L29" s="1055">
        <v>0</v>
      </c>
      <c r="M29" s="1055">
        <v>0</v>
      </c>
      <c r="N29" s="1055">
        <v>0</v>
      </c>
      <c r="O29" s="1055">
        <v>0</v>
      </c>
      <c r="P29" s="1055">
        <v>0</v>
      </c>
      <c r="Q29" s="1055">
        <v>0</v>
      </c>
    </row>
    <row r="30" spans="1:17" ht="14.5">
      <c r="A30" s="1660"/>
      <c r="B30"/>
      <c r="C30"/>
      <c r="D30"/>
      <c r="E30"/>
      <c r="F30"/>
      <c r="G30"/>
      <c r="H30"/>
      <c r="I30"/>
      <c r="J30"/>
      <c r="K30"/>
      <c r="L30"/>
      <c r="M30"/>
      <c r="N30"/>
      <c r="O30"/>
      <c r="P30"/>
      <c r="Q30"/>
    </row>
    <row r="31" spans="1:17" ht="14.5">
      <c r="A31" s="1660"/>
      <c r="B31"/>
      <c r="C31"/>
      <c r="D31"/>
      <c r="E31"/>
      <c r="F31"/>
      <c r="G31"/>
      <c r="H31"/>
      <c r="I31"/>
      <c r="J31"/>
      <c r="K31"/>
      <c r="L31"/>
      <c r="M31"/>
      <c r="N31"/>
      <c r="O31"/>
      <c r="P31"/>
      <c r="Q31"/>
    </row>
    <row r="32" spans="1:17" ht="14.5">
      <c r="A32" s="1660"/>
      <c r="B32"/>
      <c r="C32"/>
      <c r="D32"/>
      <c r="E32"/>
      <c r="F32"/>
      <c r="G32"/>
      <c r="H32"/>
      <c r="I32"/>
      <c r="J32"/>
      <c r="K32"/>
      <c r="L32"/>
      <c r="M32"/>
      <c r="N32"/>
      <c r="O32"/>
      <c r="P32"/>
      <c r="Q32"/>
    </row>
    <row r="33" spans="1:17" ht="14.5">
      <c r="A33" s="1660"/>
      <c r="B33"/>
      <c r="C33"/>
      <c r="D33"/>
      <c r="E33"/>
      <c r="F33"/>
      <c r="G33"/>
      <c r="H33"/>
      <c r="I33"/>
      <c r="J33"/>
      <c r="K33"/>
      <c r="L33"/>
      <c r="M33"/>
      <c r="N33"/>
      <c r="O33"/>
      <c r="P33"/>
      <c r="Q33"/>
    </row>
    <row r="34" spans="1:17" ht="14.5">
      <c r="A34" s="1660"/>
      <c r="B34"/>
      <c r="C34"/>
      <c r="D34"/>
      <c r="E34"/>
      <c r="F34"/>
      <c r="G34"/>
      <c r="H34"/>
      <c r="I34"/>
      <c r="J34"/>
      <c r="K34"/>
      <c r="L34"/>
      <c r="M34"/>
      <c r="N34"/>
      <c r="O34"/>
      <c r="P34"/>
      <c r="Q34"/>
    </row>
    <row r="35" spans="1:17" ht="14.5">
      <c r="A35" s="1660"/>
      <c r="B35"/>
      <c r="C35"/>
      <c r="D35"/>
      <c r="E35"/>
      <c r="F35"/>
      <c r="G35"/>
      <c r="H35"/>
      <c r="I35"/>
      <c r="J35"/>
      <c r="K35"/>
      <c r="L35"/>
      <c r="M35"/>
      <c r="N35"/>
      <c r="O35"/>
      <c r="P35"/>
      <c r="Q35"/>
    </row>
    <row r="36" spans="1:17" ht="14.5">
      <c r="A36" s="1660"/>
      <c r="B36"/>
      <c r="C36"/>
      <c r="D36"/>
      <c r="E36"/>
      <c r="F36"/>
      <c r="G36"/>
      <c r="H36"/>
      <c r="I36"/>
      <c r="J36"/>
      <c r="K36"/>
      <c r="L36"/>
      <c r="M36"/>
      <c r="N36"/>
      <c r="O36"/>
      <c r="P36"/>
      <c r="Q36"/>
    </row>
    <row r="37" spans="1:17" ht="14.5">
      <c r="A37" s="1660"/>
      <c r="B37"/>
      <c r="C37"/>
      <c r="D37"/>
      <c r="E37"/>
      <c r="F37"/>
      <c r="G37"/>
      <c r="H37"/>
      <c r="I37"/>
      <c r="J37"/>
      <c r="K37"/>
      <c r="L37"/>
      <c r="M37"/>
      <c r="N37"/>
      <c r="O37"/>
      <c r="P37"/>
      <c r="Q37"/>
    </row>
    <row r="38" spans="1:17" ht="14.5">
      <c r="A38" s="1660"/>
      <c r="B38"/>
      <c r="C38"/>
      <c r="D38"/>
      <c r="E38"/>
      <c r="F38"/>
      <c r="G38"/>
      <c r="H38"/>
      <c r="I38"/>
      <c r="J38"/>
      <c r="K38"/>
      <c r="L38"/>
      <c r="M38"/>
      <c r="N38"/>
      <c r="O38"/>
      <c r="P38"/>
      <c r="Q38"/>
    </row>
    <row r="39" spans="1:17" ht="14.5">
      <c r="A39" s="1660"/>
      <c r="B39"/>
      <c r="C39"/>
      <c r="D39"/>
      <c r="E39"/>
      <c r="F39"/>
      <c r="G39"/>
      <c r="H39"/>
      <c r="I39"/>
      <c r="J39"/>
      <c r="K39"/>
      <c r="L39"/>
      <c r="M39"/>
      <c r="N39"/>
      <c r="O39"/>
      <c r="P39"/>
      <c r="Q39"/>
    </row>
    <row r="40" spans="1:17" ht="14.5">
      <c r="A40" s="1660"/>
      <c r="B40"/>
      <c r="C40"/>
      <c r="D40"/>
      <c r="E40"/>
      <c r="F40"/>
      <c r="G40"/>
      <c r="H40"/>
      <c r="I40"/>
      <c r="J40"/>
      <c r="K40"/>
      <c r="L40"/>
      <c r="M40"/>
      <c r="N40"/>
      <c r="O40"/>
      <c r="P40"/>
      <c r="Q40"/>
    </row>
    <row r="41" spans="1:17" ht="14.5">
      <c r="A41" s="1660"/>
      <c r="B41"/>
      <c r="C41"/>
      <c r="D41"/>
      <c r="E41"/>
      <c r="F41"/>
      <c r="G41"/>
      <c r="H41"/>
      <c r="I41"/>
      <c r="J41"/>
      <c r="K41"/>
      <c r="L41"/>
      <c r="M41"/>
      <c r="N41"/>
      <c r="O41"/>
      <c r="P41"/>
      <c r="Q41"/>
    </row>
    <row r="42" spans="1:17" ht="14.5">
      <c r="A42" s="1660"/>
      <c r="B42"/>
      <c r="C42"/>
      <c r="D42"/>
      <c r="E42"/>
      <c r="F42"/>
      <c r="G42"/>
      <c r="H42"/>
      <c r="I42"/>
      <c r="J42"/>
      <c r="K42"/>
      <c r="L42"/>
      <c r="M42"/>
      <c r="N42"/>
      <c r="O42"/>
      <c r="P42"/>
      <c r="Q42"/>
    </row>
    <row r="43" spans="1:17" ht="14.5">
      <c r="A43" s="1660"/>
      <c r="B43"/>
      <c r="C43"/>
      <c r="D43"/>
      <c r="E43"/>
      <c r="F43"/>
      <c r="G43"/>
      <c r="H43"/>
      <c r="I43"/>
      <c r="J43"/>
      <c r="K43"/>
      <c r="L43"/>
      <c r="M43"/>
      <c r="N43"/>
      <c r="O43"/>
      <c r="P43"/>
      <c r="Q43"/>
    </row>
    <row r="44" spans="1:17" ht="14.5">
      <c r="A44" s="1660"/>
      <c r="B44"/>
      <c r="C44"/>
      <c r="D44"/>
      <c r="E44"/>
      <c r="F44"/>
      <c r="G44"/>
      <c r="H44"/>
      <c r="I44"/>
      <c r="J44"/>
      <c r="K44"/>
      <c r="L44"/>
      <c r="M44"/>
      <c r="N44"/>
      <c r="O44"/>
      <c r="P44"/>
      <c r="Q44"/>
    </row>
    <row r="45" spans="1:17" ht="14.5">
      <c r="A45" s="1660"/>
      <c r="B45"/>
      <c r="C45"/>
      <c r="D45"/>
      <c r="E45"/>
      <c r="F45"/>
      <c r="G45"/>
      <c r="H45"/>
      <c r="I45"/>
      <c r="J45"/>
      <c r="K45"/>
      <c r="L45"/>
      <c r="M45"/>
      <c r="N45"/>
      <c r="O45"/>
      <c r="P45"/>
      <c r="Q45"/>
    </row>
    <row r="46" spans="1:17" ht="14.5">
      <c r="A46" s="1660"/>
      <c r="B46"/>
      <c r="C46"/>
      <c r="D46"/>
      <c r="E46"/>
      <c r="F46"/>
      <c r="G46"/>
      <c r="H46"/>
      <c r="I46"/>
      <c r="J46"/>
      <c r="K46"/>
      <c r="L46"/>
      <c r="M46"/>
      <c r="N46"/>
      <c r="O46"/>
      <c r="P46"/>
      <c r="Q46"/>
    </row>
    <row r="47" spans="1:17" ht="14.5">
      <c r="A47" s="1660"/>
      <c r="B47"/>
      <c r="C47"/>
      <c r="D47"/>
      <c r="E47"/>
      <c r="F47"/>
      <c r="G47"/>
      <c r="H47"/>
      <c r="I47"/>
      <c r="J47"/>
      <c r="K47"/>
      <c r="L47"/>
      <c r="M47"/>
      <c r="N47"/>
      <c r="O47"/>
      <c r="P47"/>
      <c r="Q47"/>
    </row>
    <row r="48" spans="1:17" ht="14.5">
      <c r="A48" s="1660"/>
      <c r="B48"/>
      <c r="C48"/>
      <c r="D48"/>
      <c r="E48"/>
      <c r="F48"/>
      <c r="G48"/>
      <c r="H48"/>
      <c r="I48"/>
      <c r="J48"/>
      <c r="K48"/>
      <c r="L48"/>
      <c r="M48"/>
      <c r="N48"/>
      <c r="O48"/>
      <c r="P48"/>
      <c r="Q48"/>
    </row>
    <row r="49" spans="1:1">
      <c r="A49" s="1660"/>
    </row>
    <row r="50" spans="1:1">
      <c r="A50" s="1660"/>
    </row>
    <row r="51" spans="1:1">
      <c r="A51" s="1660"/>
    </row>
    <row r="52" spans="1:1">
      <c r="A52" s="1660"/>
    </row>
    <row r="53" spans="1:1">
      <c r="A53" s="1660"/>
    </row>
    <row r="54" spans="1:1">
      <c r="A54" s="1660"/>
    </row>
    <row r="55" spans="1:1">
      <c r="A55" s="1660"/>
    </row>
    <row r="56" spans="1:1">
      <c r="A56" s="1660"/>
    </row>
    <row r="57" spans="1:1">
      <c r="A57" s="1660"/>
    </row>
    <row r="58" spans="1:1">
      <c r="A58" s="1660"/>
    </row>
    <row r="59" spans="1:1">
      <c r="A59" s="1660"/>
    </row>
    <row r="60" spans="1:1">
      <c r="A60" s="1660"/>
    </row>
    <row r="61" spans="1:1">
      <c r="A61" s="1660"/>
    </row>
    <row r="62" spans="1:1">
      <c r="A62" s="1660"/>
    </row>
    <row r="63" spans="1:1">
      <c r="A63" s="1660"/>
    </row>
    <row r="64" spans="1:1">
      <c r="A64" s="1660"/>
    </row>
    <row r="65" spans="1:17">
      <c r="A65" s="1660"/>
    </row>
    <row r="66" spans="1:17">
      <c r="A66" s="1660"/>
    </row>
    <row r="67" spans="1:17" ht="13.5" thickBot="1">
      <c r="A67" s="1660"/>
    </row>
    <row r="68" spans="1:17" ht="15.75" customHeight="1" thickBot="1">
      <c r="A68" s="1660"/>
      <c r="B68" s="1667" t="s">
        <v>8587</v>
      </c>
      <c r="C68" s="1667"/>
      <c r="D68" s="1668"/>
      <c r="E68" s="995" t="str">
        <f>CONCATENATE("(",Variables!$C$4,"M)")</f>
        <v>($M)</v>
      </c>
      <c r="F68" s="1040" t="str">
        <f>Variables!$B$19</f>
        <v>FY 22</v>
      </c>
      <c r="G68" s="1022" t="str">
        <f>CONCATENATE("FY ",RIGHT(F68,2)+1)</f>
        <v>FY 23</v>
      </c>
      <c r="H68" s="1022" t="str">
        <f t="shared" ref="H68" si="11">CONCATENATE("FY ",RIGHT(G68,2)+1)</f>
        <v>FY 24</v>
      </c>
      <c r="I68" s="1022" t="str">
        <f t="shared" ref="I68" si="12">CONCATENATE("FY ",RIGHT(H68,2)+1)</f>
        <v>FY 25</v>
      </c>
      <c r="J68" s="1022" t="str">
        <f t="shared" ref="J68" si="13">CONCATENATE("FY ",RIGHT(I68,2)+1)</f>
        <v>FY 26</v>
      </c>
      <c r="K68" s="1022" t="str">
        <f t="shared" ref="K68" si="14">CONCATENATE("FY ",RIGHT(J68,2)+1)</f>
        <v>FY 27</v>
      </c>
      <c r="L68" s="1022" t="str">
        <f t="shared" ref="L68" si="15">CONCATENATE("FY ",RIGHT(K68,2)+1)</f>
        <v>FY 28</v>
      </c>
      <c r="M68" s="1022" t="str">
        <f t="shared" ref="M68" si="16">CONCATENATE("FY ",RIGHT(L68,2)+1)</f>
        <v>FY 29</v>
      </c>
      <c r="N68" s="1022" t="str">
        <f t="shared" ref="N68" si="17">CONCATENATE("FY ",RIGHT(M68,2)+1)</f>
        <v>FY 30</v>
      </c>
      <c r="O68" s="1022" t="str">
        <f t="shared" ref="O68" si="18">CONCATENATE("FY ",RIGHT(N68,2)+1)</f>
        <v>FY 31</v>
      </c>
      <c r="P68" s="1022" t="str">
        <f t="shared" ref="P68" si="19">CONCATENATE("FY ",RIGHT(O68,2)+1)</f>
        <v>FY 32</v>
      </c>
      <c r="Q68" s="707"/>
    </row>
    <row r="69" spans="1:17" s="1063" customFormat="1" ht="15.75" customHeight="1">
      <c r="A69" s="1660"/>
      <c r="B69" s="1062"/>
      <c r="C69" s="1062"/>
      <c r="D69" s="1062"/>
      <c r="E69" s="1021" t="s">
        <v>226</v>
      </c>
      <c r="F69" s="1057" t="s">
        <v>8568</v>
      </c>
      <c r="G69" s="1057" t="s">
        <v>8569</v>
      </c>
      <c r="H69" s="1057" t="s">
        <v>8570</v>
      </c>
      <c r="I69" s="1057" t="s">
        <v>8571</v>
      </c>
      <c r="J69" s="1057" t="s">
        <v>8572</v>
      </c>
      <c r="K69" s="1057" t="s">
        <v>8573</v>
      </c>
      <c r="L69" s="1057" t="s">
        <v>8574</v>
      </c>
      <c r="M69" s="1057" t="s">
        <v>8575</v>
      </c>
      <c r="N69" s="1057" t="s">
        <v>8576</v>
      </c>
      <c r="O69" s="1057" t="s">
        <v>8577</v>
      </c>
      <c r="P69" s="1057" t="s">
        <v>8578</v>
      </c>
      <c r="Q69" s="962" t="s">
        <v>8581</v>
      </c>
    </row>
    <row r="70" spans="1:17" s="1063" customFormat="1" ht="15.75" customHeight="1">
      <c r="A70" s="1660"/>
      <c r="B70" s="1062"/>
      <c r="C70" s="1062"/>
      <c r="D70" s="1062"/>
      <c r="E70" s="962" t="s">
        <v>480</v>
      </c>
      <c r="F70" s="1008">
        <v>0</v>
      </c>
      <c r="G70" s="1008">
        <v>0</v>
      </c>
      <c r="H70" s="1008">
        <v>0</v>
      </c>
      <c r="I70" s="1008">
        <v>0</v>
      </c>
      <c r="J70" s="1008">
        <v>0</v>
      </c>
      <c r="K70" s="1008">
        <v>0</v>
      </c>
      <c r="L70" s="1008">
        <v>0</v>
      </c>
      <c r="M70" s="1008">
        <v>0</v>
      </c>
      <c r="N70" s="1008">
        <v>0</v>
      </c>
      <c r="O70" s="1008">
        <v>0</v>
      </c>
      <c r="P70" s="1008">
        <v>0</v>
      </c>
      <c r="Q70" s="1008">
        <v>0</v>
      </c>
    </row>
    <row r="71" spans="1:17" s="1063" customFormat="1" ht="15.75" customHeight="1">
      <c r="A71" s="1660"/>
      <c r="B71" s="1062"/>
      <c r="C71" s="1062"/>
      <c r="D71" s="1062"/>
      <c r="E71" s="1054" t="s">
        <v>8583</v>
      </c>
      <c r="F71" s="1055">
        <v>0</v>
      </c>
      <c r="G71" s="1055">
        <v>0</v>
      </c>
      <c r="H71" s="1055">
        <v>0</v>
      </c>
      <c r="I71" s="1055">
        <v>0</v>
      </c>
      <c r="J71" s="1055">
        <v>0</v>
      </c>
      <c r="K71" s="1055">
        <v>0</v>
      </c>
      <c r="L71" s="1055">
        <v>0</v>
      </c>
      <c r="M71" s="1055">
        <v>0</v>
      </c>
      <c r="N71" s="1055">
        <v>0</v>
      </c>
      <c r="O71" s="1055">
        <v>0</v>
      </c>
      <c r="P71" s="1055">
        <v>0</v>
      </c>
      <c r="Q71" s="1055">
        <v>0</v>
      </c>
    </row>
    <row r="72" spans="1:17" s="1063" customFormat="1" ht="15.75" customHeight="1">
      <c r="A72" s="1660"/>
      <c r="B72" s="1062"/>
      <c r="C72" s="1062"/>
      <c r="D72" s="1062"/>
      <c r="E72"/>
      <c r="F72"/>
      <c r="G72"/>
      <c r="H72"/>
      <c r="I72"/>
      <c r="J72"/>
      <c r="K72"/>
      <c r="L72"/>
      <c r="M72"/>
      <c r="N72"/>
      <c r="O72"/>
      <c r="P72"/>
      <c r="Q72"/>
    </row>
    <row r="73" spans="1:17" s="1063" customFormat="1" ht="15.75" customHeight="1">
      <c r="A73" s="1660"/>
      <c r="B73" s="1062"/>
      <c r="C73" s="1062"/>
      <c r="D73" s="1062"/>
      <c r="E73"/>
      <c r="F73"/>
      <c r="G73"/>
      <c r="H73"/>
      <c r="I73"/>
      <c r="J73"/>
      <c r="K73"/>
      <c r="L73"/>
      <c r="M73"/>
      <c r="N73"/>
      <c r="O73"/>
      <c r="P73"/>
      <c r="Q73"/>
    </row>
    <row r="74" spans="1:17" s="1063" customFormat="1" ht="15.75" customHeight="1" thickBot="1">
      <c r="A74" s="1660"/>
      <c r="B74" s="1062"/>
      <c r="C74" s="1062"/>
      <c r="D74" s="1062"/>
      <c r="E74"/>
      <c r="F74"/>
      <c r="G74"/>
      <c r="H74"/>
      <c r="I74"/>
      <c r="J74"/>
      <c r="K74"/>
      <c r="L74"/>
      <c r="M74"/>
      <c r="N74"/>
      <c r="O74"/>
      <c r="P74"/>
      <c r="Q74"/>
    </row>
    <row r="75" spans="1:17" ht="15.75" customHeight="1" thickBot="1">
      <c r="A75" s="1660"/>
      <c r="B75" s="1667" t="s">
        <v>8585</v>
      </c>
      <c r="C75" s="1668"/>
      <c r="D75" s="995"/>
      <c r="E75" s="995" t="str">
        <f>CONCATENATE("(",Variables!$C$4,"M)")</f>
        <v>($M)</v>
      </c>
      <c r="F75" s="1040" t="str">
        <f>Variables!$B$19</f>
        <v>FY 22</v>
      </c>
      <c r="G75" s="1022" t="str">
        <f>CONCATENATE("FY ",RIGHT(F75,2)+1)</f>
        <v>FY 23</v>
      </c>
      <c r="H75" s="1022" t="str">
        <f t="shared" ref="H75" si="20">CONCATENATE("FY ",RIGHT(G75,2)+1)</f>
        <v>FY 24</v>
      </c>
      <c r="I75" s="1022" t="str">
        <f t="shared" ref="I75" si="21">CONCATENATE("FY ",RIGHT(H75,2)+1)</f>
        <v>FY 25</v>
      </c>
      <c r="J75" s="1022" t="str">
        <f t="shared" ref="J75" si="22">CONCATENATE("FY ",RIGHT(I75,2)+1)</f>
        <v>FY 26</v>
      </c>
      <c r="K75" s="1022" t="str">
        <f t="shared" ref="K75" si="23">CONCATENATE("FY ",RIGHT(J75,2)+1)</f>
        <v>FY 27</v>
      </c>
      <c r="L75" s="1022" t="str">
        <f t="shared" ref="L75" si="24">CONCATENATE("FY ",RIGHT(K75,2)+1)</f>
        <v>FY 28</v>
      </c>
      <c r="M75" s="1022" t="str">
        <f t="shared" ref="M75" si="25">CONCATENATE("FY ",RIGHT(L75,2)+1)</f>
        <v>FY 29</v>
      </c>
      <c r="N75" s="1022" t="str">
        <f t="shared" ref="N75" si="26">CONCATENATE("FY ",RIGHT(M75,2)+1)</f>
        <v>FY 30</v>
      </c>
      <c r="O75" s="1022" t="str">
        <f t="shared" ref="O75" si="27">CONCATENATE("FY ",RIGHT(N75,2)+1)</f>
        <v>FY 31</v>
      </c>
      <c r="P75" s="1022" t="str">
        <f t="shared" ref="P75" si="28">CONCATENATE("FY ",RIGHT(O75,2)+1)</f>
        <v>FY 32</v>
      </c>
      <c r="Q75" s="707"/>
    </row>
    <row r="76" spans="1:17" ht="14.5">
      <c r="A76" s="1660"/>
      <c r="B76"/>
      <c r="C76" s="1059" t="s">
        <v>8431</v>
      </c>
      <c r="D76" s="1046" t="s">
        <v>8429</v>
      </c>
      <c r="E76" s="1039" t="s">
        <v>226</v>
      </c>
      <c r="F76" s="1041" t="s">
        <v>444</v>
      </c>
      <c r="G76" s="1029" t="s">
        <v>449</v>
      </c>
      <c r="H76" s="1029" t="s">
        <v>454</v>
      </c>
      <c r="I76" s="1029" t="s">
        <v>457</v>
      </c>
      <c r="J76" s="1029" t="s">
        <v>461</v>
      </c>
      <c r="K76" s="1029" t="s">
        <v>464</v>
      </c>
      <c r="L76" s="1029" t="s">
        <v>467</v>
      </c>
      <c r="M76" s="1029" t="s">
        <v>468</v>
      </c>
      <c r="N76" s="1029" t="s">
        <v>471</v>
      </c>
      <c r="O76" s="1029" t="s">
        <v>474</v>
      </c>
      <c r="P76" s="1029" t="s">
        <v>476</v>
      </c>
      <c r="Q76" s="1029" t="s">
        <v>18</v>
      </c>
    </row>
    <row r="77" spans="1:17">
      <c r="A77" s="1660"/>
      <c r="C77" s="1030" t="str">
        <f>Miscellaneous!$F$11</f>
        <v>Steve Olive</v>
      </c>
      <c r="D77" s="1031" t="s">
        <v>167</v>
      </c>
      <c r="E77" s="1035" t="s">
        <v>21</v>
      </c>
      <c r="F77" s="1032">
        <f>IF(OR('Error Check'!$C$3="Errors Found",'Error Check'!$C$15="Errors Found",'Error Check'!$C$17="Errors Found"),IFERROR(GETPIVOTDATA(" Year 1",$E$69,"Accounting Type","Capex")*RiskMargin,0),'Monthly Summary'!BX$86)</f>
        <v>9760</v>
      </c>
      <c r="G77" s="1032">
        <f>IF(OR('Error Check'!$C$3="Errors Found",'Error Check'!$C$15="Errors Found",'Error Check'!$C$17="Errors Found"),IFERROR(GETPIVOTDATA(" Year 2",$E$69,"Accounting Type","Capex")*RiskMargin,0),'Monthly Summary'!BY$86)</f>
        <v>0</v>
      </c>
      <c r="H77" s="1032">
        <f>IF(OR('Error Check'!$C$3="Errors Found",'Error Check'!$C$15="Errors Found",'Error Check'!$C$17="Errors Found"),IFERROR(GETPIVOTDATA(" Year 3",$E$69,"Accounting Type","Capex")*RiskMargin,0),'Monthly Summary'!BZ$86)</f>
        <v>0</v>
      </c>
      <c r="I77" s="1032">
        <f>IF(OR('Error Check'!$C$3="Errors Found",'Error Check'!$C$15="Errors Found",'Error Check'!$C$17="Errors Found"),IFERROR(GETPIVOTDATA(" Year 4",$E$69,"Accounting Type","Capex")*RiskMargin,0),'Monthly Summary'!CA$86)</f>
        <v>0</v>
      </c>
      <c r="J77" s="1032">
        <f>IF(OR('Error Check'!$C$3="Errors Found",'Error Check'!$C$15="Errors Found",'Error Check'!$C$17="Errors Found"),IFERROR(GETPIVOTDATA(" Year 5",$E$69,"Accounting Type","Capex")*RiskMargin,0),'Monthly Summary'!CB$86)</f>
        <v>0</v>
      </c>
      <c r="K77" s="1032">
        <f>IF(OR('Error Check'!$C$3="Errors Found",'Error Check'!$C$15="Errors Found",'Error Check'!$C$17="Errors Found"),IFERROR(GETPIVOTDATA(" Year 6",$E$69,"Accounting Type","Capex")*RiskMargin,0),'Monthly Summary'!CC$86)</f>
        <v>0</v>
      </c>
      <c r="L77" s="1033"/>
      <c r="M77" s="1033"/>
      <c r="N77" s="1033"/>
      <c r="O77" s="1033"/>
      <c r="P77" s="1033"/>
      <c r="Q77" s="1032">
        <f>SUM(F77:P77)</f>
        <v>9760</v>
      </c>
    </row>
    <row r="78" spans="1:17">
      <c r="A78" s="1660"/>
      <c r="C78" s="1034" t="str">
        <f>Miscellaneous!$F$11</f>
        <v>Steve Olive</v>
      </c>
      <c r="D78" s="1035" t="s">
        <v>167</v>
      </c>
      <c r="E78" s="1035" t="s">
        <v>20</v>
      </c>
      <c r="F78" s="1036">
        <f>IF(OR('Error Check'!$C$3="Errors Found",'Error Check'!$C$15="Errors Found",'Error Check'!$C$17="Errors Found"),IFERROR(GETPIVOTDATA(" Year 1",$E$69,"Accounting Type","Opex")*RiskMargin,0),'Monthly Summary'!BX$85)</f>
        <v>0</v>
      </c>
      <c r="G78" s="1036">
        <f>IF(OR('Error Check'!$C$3="Errors Found",'Error Check'!$C$15="Errors Found",'Error Check'!$C$17="Errors Found"),IFERROR(GETPIVOTDATA(" Year 2",$E$69,"Accounting Type","Opex")*RiskMargin,0),'Monthly Summary'!BY$85)</f>
        <v>0</v>
      </c>
      <c r="H78" s="1036">
        <f>IF(OR('Error Check'!$C$3="Errors Found",'Error Check'!$C$15="Errors Found",'Error Check'!$C$17="Errors Found"),IFERROR(GETPIVOTDATA(" Year 3",$E$69,"Accounting Type","Opex")*RiskMargin,0),'Monthly Summary'!BZ$85)</f>
        <v>0</v>
      </c>
      <c r="I78" s="1036">
        <f>IF(OR('Error Check'!$C$3="Errors Found",'Error Check'!$C$15="Errors Found",'Error Check'!$C$17="Errors Found"),IFERROR(GETPIVOTDATA(" Year 4",$E$69,"Accounting Type","Opex")*RiskMargin,0),'Monthly Summary'!CA$85)</f>
        <v>0</v>
      </c>
      <c r="J78" s="1036">
        <f>IF(OR('Error Check'!$C$3="Errors Found",'Error Check'!$C$15="Errors Found",'Error Check'!$C$17="Errors Found"),IFERROR(GETPIVOTDATA(" Year 5",$E$69,"Accounting Type","Opex")*RiskMargin,0),'Monthly Summary'!CB$85)</f>
        <v>0</v>
      </c>
      <c r="K78" s="1036">
        <f>IF(OR('Error Check'!$C$3="Errors Found",'Error Check'!$C$15="Errors Found",'Error Check'!$C$17="Errors Found"),IFERROR(GETPIVOTDATA(" Year 6",$E$69,"Accounting Type","Opex")*RiskMargin,0),'Monthly Summary'!CC$85)</f>
        <v>0</v>
      </c>
      <c r="L78" s="1037"/>
      <c r="M78" s="1037"/>
      <c r="N78" s="1037"/>
      <c r="O78" s="1037"/>
      <c r="P78" s="1037"/>
      <c r="Q78" s="1036">
        <f>SUM(F78:P78)</f>
        <v>0</v>
      </c>
    </row>
    <row r="79" spans="1:17" ht="13.5" thickBot="1">
      <c r="A79" s="1660"/>
      <c r="C79" s="1060" t="str">
        <f>Miscellaneous!$F$11</f>
        <v>Steve Olive</v>
      </c>
      <c r="D79" s="1014" t="s">
        <v>107</v>
      </c>
      <c r="E79" s="1014" t="s">
        <v>21</v>
      </c>
      <c r="F79" s="1015">
        <f>IF(OR('Error Check'!$C$3="Errors Found",'Error Check'!$C$15="Errors Found",'Error Check'!$C$17="Errors Found"),IFERROR((GETPIVOTDATA(" Year 1",$E$69,"Accounting Type","Capex")+F77)*AFUDC,0),'Monthly Summary'!BX$88)</f>
        <v>876.30720328815778</v>
      </c>
      <c r="G79" s="1015">
        <f>IF(OR('Error Check'!$C$3="Errors Found",'Error Check'!$C$15="Errors Found",'Error Check'!$C$17="Errors Found"),IFERROR(IF(GETPIVOTDATA(" Year 2",$E$69,"Accounting Type","Capex")=0,0,(IFERROR((GETPIVOTDATA(" Year 2",$E$69,"Accounting Type","Capex")+G77+SUM($F$79:F$79))*AFUDC,0))),0),'Monthly Summary'!BY$88)</f>
        <v>0</v>
      </c>
      <c r="H79" s="1015">
        <f>IF(OR('Error Check'!$C$3="Errors Found",'Error Check'!$C$15="Errors Found",'Error Check'!$C$17="Errors Found"),IFERROR(IF(GETPIVOTDATA(" Year 3",$E$69,"Accounting Type","Capex")=0,0,(IFERROR((GETPIVOTDATA(" Year 3",$E$69,"Accounting Type","Capex")+H77+SUM($F$79:G$79))*AFUDC,0))),0),'Monthly Summary'!BZ$88)</f>
        <v>0</v>
      </c>
      <c r="I79" s="1015">
        <f>IF(OR('Error Check'!$C$3="Errors Found",'Error Check'!$C$15="Errors Found",'Error Check'!$C$17="Errors Found"),IFERROR(IF(GETPIVOTDATA(" Year 4",$E$69,"Accounting Type","Capex")=0,0,(IFERROR((GETPIVOTDATA(" Year 4",$E$69,"Accounting Type","Capex")+I77+SUM($F$79:H$79))*AFUDC,0))),0),'Monthly Summary'!CA$88)</f>
        <v>0</v>
      </c>
      <c r="J79" s="1015">
        <f>IF(OR('Error Check'!$C$3="Errors Found",'Error Check'!$C$15="Errors Found",'Error Check'!$C$17="Errors Found"),IFERROR(IF(GETPIVOTDATA(" Year 5",$E$69,"Accounting Type","Capex")=0,0,(IFERROR((GETPIVOTDATA(" Year 5",$E$69,"Accounting Type","Capex")+J77+SUM($F$79:I$79))*AFUDC,0))),0),'Monthly Summary'!CB$88)</f>
        <v>0</v>
      </c>
      <c r="K79" s="1015">
        <f>IF(OR('Error Check'!$C$3="Errors Found",'Error Check'!$C$15="Errors Found",'Error Check'!$C$17="Errors Found"),IFERROR(IF(GETPIVOTDATA(" Year 6",$E$69,"Accounting Type","Capex")=0,0,(IFERROR((GETPIVOTDATA(" Year 6",$E$69,"Accounting Type","Capex")+K77+SUM($F$79:J$79))*AFUDC,0))),0),'Monthly Summary'!CC$88)</f>
        <v>0</v>
      </c>
      <c r="L79" s="1058"/>
      <c r="M79" s="1058"/>
      <c r="N79" s="1058"/>
      <c r="O79" s="1058"/>
      <c r="P79" s="1058"/>
      <c r="Q79" s="1015">
        <f>SUM(F79:P79)</f>
        <v>876.30720328815778</v>
      </c>
    </row>
    <row r="80" spans="1:17" ht="15.5" thickTop="1" thickBot="1">
      <c r="A80" s="1661"/>
      <c r="B80"/>
      <c r="C80" s="1053" t="s">
        <v>8583</v>
      </c>
      <c r="D80" s="1053"/>
      <c r="E80" s="1056"/>
      <c r="F80" s="1056">
        <f>SUM(F77:F79)</f>
        <v>10636.307203288157</v>
      </c>
      <c r="G80" s="1056">
        <f t="shared" ref="G80:Q80" si="29">SUM(G77:G79)</f>
        <v>0</v>
      </c>
      <c r="H80" s="1056">
        <f t="shared" si="29"/>
        <v>0</v>
      </c>
      <c r="I80" s="1056">
        <f t="shared" si="29"/>
        <v>0</v>
      </c>
      <c r="J80" s="1056">
        <f t="shared" si="29"/>
        <v>0</v>
      </c>
      <c r="K80" s="1056">
        <f t="shared" si="29"/>
        <v>0</v>
      </c>
      <c r="L80" s="1056">
        <f t="shared" si="29"/>
        <v>0</v>
      </c>
      <c r="M80" s="1056">
        <f t="shared" si="29"/>
        <v>0</v>
      </c>
      <c r="N80" s="1056">
        <f t="shared" si="29"/>
        <v>0</v>
      </c>
      <c r="O80" s="1056">
        <f t="shared" si="29"/>
        <v>0</v>
      </c>
      <c r="P80" s="1056">
        <f t="shared" si="29"/>
        <v>0</v>
      </c>
      <c r="Q80" s="1056">
        <f t="shared" si="29"/>
        <v>10636.307203288157</v>
      </c>
    </row>
    <row r="81" spans="1:19" ht="15" thickBot="1">
      <c r="B81"/>
      <c r="C81"/>
      <c r="D81"/>
      <c r="E81"/>
      <c r="F81"/>
      <c r="G81"/>
      <c r="H81"/>
      <c r="I81"/>
      <c r="J81"/>
      <c r="K81"/>
      <c r="L81"/>
      <c r="M81"/>
      <c r="N81"/>
      <c r="O81"/>
      <c r="P81"/>
      <c r="Q81"/>
    </row>
    <row r="82" spans="1:19" ht="15.5">
      <c r="B82" s="1673" t="s">
        <v>8586</v>
      </c>
      <c r="C82" s="1673"/>
      <c r="D82" s="1147" t="str">
        <f>CONCATENATE("(",Variables!$C$4,"M)")</f>
        <v>($M)</v>
      </c>
      <c r="E82" s="1043" t="s">
        <v>292</v>
      </c>
      <c r="F82" s="1040" t="str">
        <f>Variables!$B$19</f>
        <v>FY 22</v>
      </c>
      <c r="G82" s="1022" t="str">
        <f>CONCATENATE("FY ",RIGHT(F82,2)+1)</f>
        <v>FY 23</v>
      </c>
      <c r="H82" s="1022" t="str">
        <f t="shared" ref="H82" si="30">CONCATENATE("FY ",RIGHT(G82,2)+1)</f>
        <v>FY 24</v>
      </c>
      <c r="I82" s="1022" t="str">
        <f t="shared" ref="I82" si="31">CONCATENATE("FY ",RIGHT(H82,2)+1)</f>
        <v>FY 25</v>
      </c>
      <c r="J82" s="1022" t="str">
        <f t="shared" ref="J82" si="32">CONCATENATE("FY ",RIGHT(I82,2)+1)</f>
        <v>FY 26</v>
      </c>
      <c r="K82" s="1022" t="str">
        <f t="shared" ref="K82" si="33">CONCATENATE("FY ",RIGHT(J82,2)+1)</f>
        <v>FY 27</v>
      </c>
      <c r="L82" s="1022" t="str">
        <f t="shared" ref="L82" si="34">CONCATENATE("FY ",RIGHT(K82,2)+1)</f>
        <v>FY 28</v>
      </c>
      <c r="M82" s="1022" t="str">
        <f t="shared" ref="M82" si="35">CONCATENATE("FY ",RIGHT(L82,2)+1)</f>
        <v>FY 29</v>
      </c>
      <c r="N82" s="1022" t="str">
        <f t="shared" ref="N82" si="36">CONCATENATE("FY ",RIGHT(M82,2)+1)</f>
        <v>FY 30</v>
      </c>
      <c r="O82" s="1022" t="str">
        <f t="shared" ref="O82" si="37">CONCATENATE("FY ",RIGHT(N82,2)+1)</f>
        <v>FY 31</v>
      </c>
      <c r="P82" s="1022" t="str">
        <f t="shared" ref="P82" si="38">CONCATENATE("FY ",RIGHT(O82,2)+1)</f>
        <v>FY 32</v>
      </c>
      <c r="Q82" s="707"/>
    </row>
    <row r="83" spans="1:19" ht="14.5">
      <c r="B83"/>
      <c r="C83"/>
      <c r="D83" s="1039" t="s">
        <v>226</v>
      </c>
      <c r="E83" s="1039"/>
      <c r="F83" s="1041" t="s">
        <v>8568</v>
      </c>
      <c r="G83" s="1029" t="s">
        <v>449</v>
      </c>
      <c r="H83" s="1029" t="s">
        <v>454</v>
      </c>
      <c r="I83" s="1029" t="s">
        <v>457</v>
      </c>
      <c r="J83" s="1029" t="s">
        <v>461</v>
      </c>
      <c r="K83" s="1029" t="s">
        <v>464</v>
      </c>
      <c r="L83" s="1029" t="s">
        <v>467</v>
      </c>
      <c r="M83" s="1029" t="s">
        <v>468</v>
      </c>
      <c r="N83" s="1029" t="s">
        <v>471</v>
      </c>
      <c r="O83" s="1029" t="s">
        <v>474</v>
      </c>
      <c r="P83" s="1029" t="s">
        <v>476</v>
      </c>
      <c r="Q83" s="1029" t="s">
        <v>18</v>
      </c>
    </row>
    <row r="84" spans="1:19" ht="14.5">
      <c r="B84"/>
      <c r="C84"/>
      <c r="D84" s="1034" t="s">
        <v>21</v>
      </c>
      <c r="E84" s="1036">
        <f>E20</f>
        <v>0</v>
      </c>
      <c r="F84" s="1036">
        <f>F20+F77+F79+IFERROR(GETPIVOTDATA(" Year 1",$E$69,"Accounting Type","Capex"),0)</f>
        <v>10636.307203288157</v>
      </c>
      <c r="G84" s="1036">
        <f>G20+G77+G79+IFERROR(GETPIVOTDATA(" Year 2",$E$69,"Accounting Type","Capex"),0)</f>
        <v>0</v>
      </c>
      <c r="H84" s="1036">
        <f>H20+H77+H79+IFERROR(GETPIVOTDATA(" Year 3",$E$69,"Accounting Type","Capex"),0)</f>
        <v>0</v>
      </c>
      <c r="I84" s="1036">
        <f>I20+I77+I79+IFERROR(GETPIVOTDATA(" Year 4",$E$69,"Accounting Type","Capex"),0)</f>
        <v>0</v>
      </c>
      <c r="J84" s="1036">
        <f>J20+J77+J79+IFERROR(GETPIVOTDATA(" Year 5",$E$69,"Accounting Type","Capex"),0)</f>
        <v>0</v>
      </c>
      <c r="K84" s="1036">
        <f>K20+K77+K79+IFERROR(GETPIVOTDATA(" Year 6",$E$69,"Accounting Type","Capex"),0)</f>
        <v>0</v>
      </c>
      <c r="L84" s="1036">
        <f>L20+L77+L79+IFERROR(GETPIVOTDATA(" Year 7",$E$69,"Accounting Type","Capex"),0)</f>
        <v>0</v>
      </c>
      <c r="M84" s="1036">
        <f>M20+M77+M79+IFERROR(GETPIVOTDATA(" Year 8",$E$69,"Accounting Type","Capex"),0)</f>
        <v>0</v>
      </c>
      <c r="N84" s="1036">
        <f>N20+N77+N79+IFERROR(GETPIVOTDATA(" Year 9",$E$69,"Accounting Type","Capex"),0)</f>
        <v>0</v>
      </c>
      <c r="O84" s="1036">
        <f>O20+O77+O79+IFERROR(GETPIVOTDATA(" Year 10",$E$69,"Accounting Type","Capex"),0)</f>
        <v>0</v>
      </c>
      <c r="P84" s="1036">
        <f>P20+P77+P79+IFERROR(GETPIVOTDATA(" Year 11",$E$69,"Accounting Type","Capex"),0)</f>
        <v>0</v>
      </c>
      <c r="Q84" s="1038">
        <f>SUM(E84:P84)</f>
        <v>10636.307203288157</v>
      </c>
    </row>
    <row r="85" spans="1:19">
      <c r="D85" s="1034" t="s">
        <v>20</v>
      </c>
      <c r="E85" s="1036">
        <f>E21</f>
        <v>0</v>
      </c>
      <c r="F85" s="1036">
        <f>F21+F78+IFERROR(GETPIVOTDATA(" Year 1",$E$69,"Accounting Type","Opex"),0)</f>
        <v>0</v>
      </c>
      <c r="G85" s="1036">
        <f>G21+G78+IFERROR(GETPIVOTDATA(" Year 2",$E$69,"Accounting Type","Opex"),0)</f>
        <v>0</v>
      </c>
      <c r="H85" s="1036">
        <f>H21+H78+IFERROR(GETPIVOTDATA(" Year 3",$E$69,"Accounting Type","Opex"),0)</f>
        <v>0</v>
      </c>
      <c r="I85" s="1036">
        <f>I21+I78+IFERROR(GETPIVOTDATA(" Year 4",$E$69,"Accounting Type","Opex"),0)</f>
        <v>0</v>
      </c>
      <c r="J85" s="1036">
        <f>J21+J78+IFERROR(GETPIVOTDATA(" Year 5",$E$69,"Accounting Type","Opex"),0)</f>
        <v>0</v>
      </c>
      <c r="K85" s="1036">
        <f>K21+K78+IFERROR(GETPIVOTDATA(" Year 6",$E$69,"Accounting Type","Opex"),0)</f>
        <v>0</v>
      </c>
      <c r="L85" s="1036">
        <f>L21+L78+IFERROR(GETPIVOTDATA(" Year 7",$E$69,"Accounting Type","Opex"),0)</f>
        <v>0</v>
      </c>
      <c r="M85" s="1036">
        <f>M21+M78+IFERROR(GETPIVOTDATA(" Year 8",$E$69,"Accounting Type","Opex"),0)</f>
        <v>0</v>
      </c>
      <c r="N85" s="1036">
        <f>N21+N78+IFERROR(GETPIVOTDATA(" Year 9",$E$69,"Accounting Type","Opex"),0)</f>
        <v>0</v>
      </c>
      <c r="O85" s="1036">
        <f>O21+O78+IFERROR(GETPIVOTDATA(" Year 10",$E$69,"Accounting Type","Opex"),0)</f>
        <v>0</v>
      </c>
      <c r="P85" s="1036">
        <f>P21+P78+IFERROR(GETPIVOTDATA(" Year 11",$E$69,"Accounting Type","Opex"),0)</f>
        <v>0</v>
      </c>
      <c r="Q85" s="1038">
        <f>SUM(E85:P85)</f>
        <v>0</v>
      </c>
    </row>
    <row r="86" spans="1:19" ht="13.5" thickBot="1">
      <c r="D86" s="1065" t="s">
        <v>480</v>
      </c>
      <c r="E86" s="1064"/>
      <c r="F86" s="1050">
        <f>IFERROR(GETPIVOTDATA(" Year 1",$E$69,"Accounting Type","RTB"),0)</f>
        <v>0</v>
      </c>
      <c r="G86" s="1050">
        <f>GETPIVOTDATA(" Year 2",$E$69,"Accounting Type","RTB")</f>
        <v>0</v>
      </c>
      <c r="H86" s="1050">
        <f>IFERROR(GETPIVOTDATA(" Year 3",$E$69,"Accounting Type","RTB"),0)</f>
        <v>0</v>
      </c>
      <c r="I86" s="1050">
        <f>IFERROR(GETPIVOTDATA(" Year 4",$E$69,"Accounting Type","RTB"),0)</f>
        <v>0</v>
      </c>
      <c r="J86" s="1050">
        <f>GETPIVOTDATA(" Year 5",$E$69,"Accounting Type","RTB")</f>
        <v>0</v>
      </c>
      <c r="K86" s="1050">
        <f>IFERROR(GETPIVOTDATA(" Year 6",$E$69,"Accounting Type","RTB"),0)</f>
        <v>0</v>
      </c>
      <c r="L86" s="1050">
        <f>GETPIVOTDATA(" Year 7",$E$69,"Accounting Type","RTB")</f>
        <v>0</v>
      </c>
      <c r="M86" s="1050">
        <f>IFERROR(GETPIVOTDATA(" Year 8",$E$69,"Accounting Type","RTB"),0)</f>
        <v>0</v>
      </c>
      <c r="N86" s="1050">
        <f>IFERROR(GETPIVOTDATA(" Year 9",$E$69,"Accounting Type","RTB"),0)</f>
        <v>0</v>
      </c>
      <c r="O86" s="1050">
        <f>IFERROR(GETPIVOTDATA(" Year 10",$E$69,"Accounting Type","RTB"),0)</f>
        <v>0</v>
      </c>
      <c r="P86" s="1050">
        <f>GETPIVOTDATA(" Year 11",$E$69,"Accounting Type","RTB")</f>
        <v>0</v>
      </c>
      <c r="Q86" s="1052">
        <f>SUM(E86:P86)</f>
        <v>0</v>
      </c>
    </row>
    <row r="87" spans="1:19" s="1148" customFormat="1" ht="16" thickTop="1">
      <c r="B87" s="1146" t="s">
        <v>8728</v>
      </c>
      <c r="C87" s="1146"/>
      <c r="D87" s="1146"/>
      <c r="E87" s="1149">
        <f>SUM(E84:E86)</f>
        <v>0</v>
      </c>
      <c r="F87" s="1149">
        <f>SUM(F84:F86)</f>
        <v>10636.307203288157</v>
      </c>
      <c r="G87" s="1149">
        <f t="shared" ref="G87:Q87" si="39">SUM(G84:G86)</f>
        <v>0</v>
      </c>
      <c r="H87" s="1149">
        <f t="shared" si="39"/>
        <v>0</v>
      </c>
      <c r="I87" s="1149">
        <f t="shared" si="39"/>
        <v>0</v>
      </c>
      <c r="J87" s="1149">
        <f t="shared" si="39"/>
        <v>0</v>
      </c>
      <c r="K87" s="1149">
        <f t="shared" si="39"/>
        <v>0</v>
      </c>
      <c r="L87" s="1149">
        <f t="shared" si="39"/>
        <v>0</v>
      </c>
      <c r="M87" s="1149">
        <f t="shared" si="39"/>
        <v>0</v>
      </c>
      <c r="N87" s="1149">
        <f t="shared" si="39"/>
        <v>0</v>
      </c>
      <c r="O87" s="1149">
        <f t="shared" si="39"/>
        <v>0</v>
      </c>
      <c r="P87" s="1149">
        <f t="shared" si="39"/>
        <v>0</v>
      </c>
      <c r="Q87" s="1149">
        <f t="shared" si="39"/>
        <v>10636.307203288157</v>
      </c>
      <c r="R87" s="1151"/>
      <c r="S87" s="1151"/>
    </row>
    <row r="89" spans="1:19" ht="13.5" thickBot="1"/>
    <row r="90" spans="1:19" ht="13.5" thickBot="1">
      <c r="A90" s="1027"/>
      <c r="B90" s="1671" t="s">
        <v>8563</v>
      </c>
      <c r="C90" s="1668"/>
      <c r="D90" s="1027"/>
      <c r="E90" s="995" t="str">
        <f>CONCATENATE("(",Variables!$C$4,"M)")</f>
        <v>($M)</v>
      </c>
      <c r="F90" s="1040" t="str">
        <f>Variables!$B$19</f>
        <v>FY 22</v>
      </c>
      <c r="G90" s="1022" t="str">
        <f>CONCATENATE("FY ",RIGHT(F90,2)+1)</f>
        <v>FY 23</v>
      </c>
      <c r="H90" s="1022" t="str">
        <f t="shared" ref="H90:P90" si="40">CONCATENATE("FY ",RIGHT(G90,2)+1)</f>
        <v>FY 24</v>
      </c>
      <c r="I90" s="1022" t="str">
        <f t="shared" si="40"/>
        <v>FY 25</v>
      </c>
      <c r="J90" s="1022" t="str">
        <f t="shared" si="40"/>
        <v>FY 26</v>
      </c>
      <c r="K90" s="1022" t="str">
        <f t="shared" si="40"/>
        <v>FY 27</v>
      </c>
      <c r="L90" s="1022" t="str">
        <f t="shared" si="40"/>
        <v>FY 28</v>
      </c>
      <c r="M90" s="1022" t="str">
        <f t="shared" si="40"/>
        <v>FY 29</v>
      </c>
      <c r="N90" s="1022" t="str">
        <f t="shared" si="40"/>
        <v>FY 30</v>
      </c>
      <c r="O90" s="1022" t="str">
        <f t="shared" si="40"/>
        <v>FY 31</v>
      </c>
      <c r="P90" s="1022" t="str">
        <f t="shared" si="40"/>
        <v>FY 32</v>
      </c>
      <c r="Q90" s="707"/>
    </row>
    <row r="91" spans="1:19">
      <c r="A91" s="1027"/>
      <c r="B91" s="1071" t="s">
        <v>8454</v>
      </c>
      <c r="C91" s="1071" t="s">
        <v>8431</v>
      </c>
      <c r="D91" s="1071" t="s">
        <v>8458</v>
      </c>
      <c r="E91" s="1071" t="s">
        <v>226</v>
      </c>
      <c r="F91" s="1069" t="s">
        <v>444</v>
      </c>
      <c r="G91" s="1069" t="s">
        <v>449</v>
      </c>
      <c r="H91" s="1069" t="s">
        <v>454</v>
      </c>
      <c r="I91" s="1069" t="s">
        <v>457</v>
      </c>
      <c r="J91" s="1069" t="s">
        <v>461</v>
      </c>
      <c r="K91" s="1069" t="s">
        <v>464</v>
      </c>
      <c r="L91" s="1069" t="s">
        <v>467</v>
      </c>
      <c r="M91" s="1069" t="s">
        <v>468</v>
      </c>
      <c r="N91" s="1069" t="s">
        <v>471</v>
      </c>
      <c r="O91" s="1069" t="s">
        <v>474</v>
      </c>
      <c r="P91" s="1069" t="s">
        <v>476</v>
      </c>
      <c r="Q91" s="1070" t="s">
        <v>18</v>
      </c>
    </row>
    <row r="92" spans="1:19" ht="12.75" customHeight="1">
      <c r="A92" s="1674" t="s">
        <v>8459</v>
      </c>
      <c r="B92" s="727" t="s">
        <v>109</v>
      </c>
      <c r="C92" s="728" t="str">
        <f>VLOOKUP(D92,Bene_Owner_tbl[],2,0)</f>
        <v>Narayan Devireddy</v>
      </c>
      <c r="D92" s="728" t="s">
        <v>8451</v>
      </c>
      <c r="E92" s="728" t="s">
        <v>20</v>
      </c>
      <c r="F92" s="729">
        <f>SUMPRODUCT((BenDet_tbl[Detail]=$D92)*(BenDet_tbl[Accounting Type]=$E92)*(Benefits!$E$3:$O$3=F$90)*BenDet_tbl[[Year 1]:[Year 11]])</f>
        <v>0</v>
      </c>
      <c r="G92" s="729">
        <f>SUMPRODUCT((BenDet_tbl[Detail]=$D92)*(BenDet_tbl[Accounting Type]=$E92)*(Benefits!$E$3:$O$3=G$90)*BenDet_tbl[[Year 1]:[Year 11]])</f>
        <v>0</v>
      </c>
      <c r="H92" s="729">
        <f>SUMPRODUCT((BenDet_tbl[Detail]=$D92)*(BenDet_tbl[Accounting Type]=$E92)*(Benefits!$E$3:$O$3=H$90)*BenDet_tbl[[Year 1]:[Year 11]])</f>
        <v>0</v>
      </c>
      <c r="I92" s="729">
        <f>SUMPRODUCT((BenDet_tbl[Detail]=$D92)*(BenDet_tbl[Accounting Type]=$E92)*(Benefits!$E$3:$O$3=I$90)*BenDet_tbl[[Year 1]:[Year 11]])</f>
        <v>0</v>
      </c>
      <c r="J92" s="729">
        <f>SUMPRODUCT((BenDet_tbl[Detail]=$D92)*(BenDet_tbl[Accounting Type]=$E92)*(Benefits!$E$3:$O$3=J$90)*BenDet_tbl[[Year 1]:[Year 11]])</f>
        <v>0</v>
      </c>
      <c r="K92" s="729">
        <f>SUMPRODUCT((BenDet_tbl[Detail]=$D92)*(BenDet_tbl[Accounting Type]=$E92)*(Benefits!$E$3:$O$3=K$90)*BenDet_tbl[[Year 1]:[Year 11]])</f>
        <v>0</v>
      </c>
      <c r="L92" s="729">
        <f>SUMPRODUCT((BenDet_tbl[Detail]=$D92)*(BenDet_tbl[Accounting Type]=$E92)*(Benefits!$E$3:$O$3=L$90)*BenDet_tbl[[Year 1]:[Year 11]])</f>
        <v>0</v>
      </c>
      <c r="M92" s="729">
        <f>SUMPRODUCT((BenDet_tbl[Detail]=$D92)*(BenDet_tbl[Accounting Type]=$E92)*(Benefits!$E$3:$O$3=M$90)*BenDet_tbl[[Year 1]:[Year 11]])</f>
        <v>0</v>
      </c>
      <c r="N92" s="729">
        <f>SUMPRODUCT((BenDet_tbl[Detail]=$D92)*(BenDet_tbl[Accounting Type]=$E92)*(Benefits!$E$3:$O$3=N$90)*BenDet_tbl[[Year 1]:[Year 11]])</f>
        <v>0</v>
      </c>
      <c r="O92" s="729">
        <f>SUMPRODUCT((BenDet_tbl[Detail]=$D92)*(BenDet_tbl[Accounting Type]=$E92)*(Benefits!$E$3:$O$3=O$90)*BenDet_tbl[[Year 1]:[Year 11]])</f>
        <v>0</v>
      </c>
      <c r="P92" s="729">
        <f>SUMPRODUCT((BenDet_tbl[Detail]=$D92)*(BenDet_tbl[Accounting Type]=$E92)*(Benefits!$E$3:$O$3=P$90)*BenDet_tbl[[Year 1]:[Year 11]])</f>
        <v>0</v>
      </c>
      <c r="Q92" s="729">
        <f t="shared" ref="Q92:Q109" si="41">SUM(F92:P92)</f>
        <v>0</v>
      </c>
    </row>
    <row r="93" spans="1:19">
      <c r="A93" s="1675"/>
      <c r="B93" s="730" t="s">
        <v>109</v>
      </c>
      <c r="C93" s="731" t="str">
        <f>VLOOKUP(D93,Bene_Owner_tbl[],2,0)</f>
        <v>Narayan Devireddy</v>
      </c>
      <c r="D93" s="731" t="s">
        <v>8451</v>
      </c>
      <c r="E93" s="1340" t="s">
        <v>21</v>
      </c>
      <c r="F93" s="726">
        <f>SUMPRODUCT((BenDet_tbl[Detail]=$D93)*(BenDet_tbl[Accounting Type]=$E93)*(Benefits!$E$3:$O$3=F$90)*BenDet_tbl[[Year 1]:[Year 11]])</f>
        <v>0</v>
      </c>
      <c r="G93" s="726">
        <f>SUMPRODUCT((BenDet_tbl[Detail]=$D93)*(BenDet_tbl[Accounting Type]=$E93)*(Benefits!$E$3:$O$3=G$90)*BenDet_tbl[[Year 1]:[Year 11]])</f>
        <v>10000</v>
      </c>
      <c r="H93" s="726">
        <f>SUMPRODUCT((BenDet_tbl[Detail]=$D93)*(BenDet_tbl[Accounting Type]=$E93)*(Benefits!$E$3:$O$3=H$90)*BenDet_tbl[[Year 1]:[Year 11]])</f>
        <v>10000</v>
      </c>
      <c r="I93" s="726">
        <f>SUMPRODUCT((BenDet_tbl[Detail]=$D93)*(BenDet_tbl[Accounting Type]=$E93)*(Benefits!$E$3:$O$3=I$90)*BenDet_tbl[[Year 1]:[Year 11]])</f>
        <v>10000</v>
      </c>
      <c r="J93" s="726">
        <f>SUMPRODUCT((BenDet_tbl[Detail]=$D93)*(BenDet_tbl[Accounting Type]=$E93)*(Benefits!$E$3:$O$3=J$90)*BenDet_tbl[[Year 1]:[Year 11]])</f>
        <v>10000</v>
      </c>
      <c r="K93" s="726">
        <f>SUMPRODUCT((BenDet_tbl[Detail]=$D93)*(BenDet_tbl[Accounting Type]=$E93)*(Benefits!$E$3:$O$3=K$90)*BenDet_tbl[[Year 1]:[Year 11]])</f>
        <v>10000</v>
      </c>
      <c r="L93" s="726">
        <f>SUMPRODUCT((BenDet_tbl[Detail]=$D93)*(BenDet_tbl[Accounting Type]=$E93)*(Benefits!$E$3:$O$3=L$90)*BenDet_tbl[[Year 1]:[Year 11]])</f>
        <v>0</v>
      </c>
      <c r="M93" s="726">
        <f>SUMPRODUCT((BenDet_tbl[Detail]=$D93)*(BenDet_tbl[Accounting Type]=$E93)*(Benefits!$E$3:$O$3=M$90)*BenDet_tbl[[Year 1]:[Year 11]])</f>
        <v>0</v>
      </c>
      <c r="N93" s="726">
        <f>SUMPRODUCT((BenDet_tbl[Detail]=$D93)*(BenDet_tbl[Accounting Type]=$E93)*(Benefits!$E$3:$O$3=N$90)*BenDet_tbl[[Year 1]:[Year 11]])</f>
        <v>0</v>
      </c>
      <c r="O93" s="726">
        <f>SUMPRODUCT((BenDet_tbl[Detail]=$D93)*(BenDet_tbl[Accounting Type]=$E93)*(Benefits!$E$3:$O$3=O$90)*BenDet_tbl[[Year 1]:[Year 11]])</f>
        <v>0</v>
      </c>
      <c r="P93" s="726">
        <f>SUMPRODUCT((BenDet_tbl[Detail]=$D93)*(BenDet_tbl[Accounting Type]=$E93)*(Benefits!$E$3:$O$3=P$90)*BenDet_tbl[[Year 1]:[Year 11]])</f>
        <v>0</v>
      </c>
      <c r="Q93" s="726">
        <f t="shared" si="41"/>
        <v>50000</v>
      </c>
    </row>
    <row r="94" spans="1:19">
      <c r="A94" s="1675"/>
      <c r="B94" s="730" t="s">
        <v>109</v>
      </c>
      <c r="C94" s="731" t="str">
        <f>VLOOKUP(D94,Bene_Owner_tbl[],2,0)</f>
        <v>Narayan Devireddy</v>
      </c>
      <c r="D94" s="731" t="s">
        <v>8979</v>
      </c>
      <c r="E94" s="1340" t="s">
        <v>20</v>
      </c>
      <c r="F94" s="726">
        <f>SUMPRODUCT((BenDet_tbl[Detail]=$D94)*(BenDet_tbl[Accounting Type]=$E94)*(Benefits!$E$3:$O$3=F$90)*BenDet_tbl[[Year 1]:[Year 11]])</f>
        <v>0</v>
      </c>
      <c r="G94" s="726">
        <f>SUMPRODUCT((BenDet_tbl[Detail]=$D94)*(BenDet_tbl[Accounting Type]=$E94)*(Benefits!$E$3:$O$3=G$90)*BenDet_tbl[[Year 1]:[Year 11]])</f>
        <v>0</v>
      </c>
      <c r="H94" s="726">
        <f>SUMPRODUCT((BenDet_tbl[Detail]=$D94)*(BenDet_tbl[Accounting Type]=$E94)*(Benefits!$E$3:$O$3=H$90)*BenDet_tbl[[Year 1]:[Year 11]])</f>
        <v>0</v>
      </c>
      <c r="I94" s="726">
        <f>SUMPRODUCT((BenDet_tbl[Detail]=$D94)*(BenDet_tbl[Accounting Type]=$E94)*(Benefits!$E$3:$O$3=I$90)*BenDet_tbl[[Year 1]:[Year 11]])</f>
        <v>0</v>
      </c>
      <c r="J94" s="726">
        <f>SUMPRODUCT((BenDet_tbl[Detail]=$D94)*(BenDet_tbl[Accounting Type]=$E94)*(Benefits!$E$3:$O$3=J$90)*BenDet_tbl[[Year 1]:[Year 11]])</f>
        <v>0</v>
      </c>
      <c r="K94" s="726">
        <f>SUMPRODUCT((BenDet_tbl[Detail]=$D94)*(BenDet_tbl[Accounting Type]=$E94)*(Benefits!$E$3:$O$3=K$90)*BenDet_tbl[[Year 1]:[Year 11]])</f>
        <v>0</v>
      </c>
      <c r="L94" s="726">
        <f>SUMPRODUCT((BenDet_tbl[Detail]=$D94)*(BenDet_tbl[Accounting Type]=$E94)*(Benefits!$E$3:$O$3=L$90)*BenDet_tbl[[Year 1]:[Year 11]])</f>
        <v>0</v>
      </c>
      <c r="M94" s="726">
        <f>SUMPRODUCT((BenDet_tbl[Detail]=$D94)*(BenDet_tbl[Accounting Type]=$E94)*(Benefits!$E$3:$O$3=M$90)*BenDet_tbl[[Year 1]:[Year 11]])</f>
        <v>0</v>
      </c>
      <c r="N94" s="726">
        <f>SUMPRODUCT((BenDet_tbl[Detail]=$D94)*(BenDet_tbl[Accounting Type]=$E94)*(Benefits!$E$3:$O$3=N$90)*BenDet_tbl[[Year 1]:[Year 11]])</f>
        <v>0</v>
      </c>
      <c r="O94" s="726">
        <f>SUMPRODUCT((BenDet_tbl[Detail]=$D94)*(BenDet_tbl[Accounting Type]=$E94)*(Benefits!$E$3:$O$3=O$90)*BenDet_tbl[[Year 1]:[Year 11]])</f>
        <v>0</v>
      </c>
      <c r="P94" s="726">
        <f>SUMPRODUCT((BenDet_tbl[Detail]=$D94)*(BenDet_tbl[Accounting Type]=$E94)*(Benefits!$E$3:$O$3=P$90)*BenDet_tbl[[Year 1]:[Year 11]])</f>
        <v>0</v>
      </c>
      <c r="Q94" s="726">
        <f t="shared" si="41"/>
        <v>0</v>
      </c>
    </row>
    <row r="95" spans="1:19">
      <c r="A95" s="1675"/>
      <c r="B95" s="730" t="s">
        <v>109</v>
      </c>
      <c r="C95" s="731" t="str">
        <f>VLOOKUP(D95,Bene_Owner_tbl[],2,0)</f>
        <v>Narayan Devireddy</v>
      </c>
      <c r="D95" s="731" t="s">
        <v>8979</v>
      </c>
      <c r="E95" s="1340" t="s">
        <v>21</v>
      </c>
      <c r="F95" s="726">
        <f>SUMPRODUCT((BenDet_tbl[Detail]=$D95)*(BenDet_tbl[Accounting Type]=$E95)*(Benefits!$E$3:$O$3=F$90)*BenDet_tbl[[Year 1]:[Year 11]])</f>
        <v>0</v>
      </c>
      <c r="G95" s="726">
        <f>SUMPRODUCT((BenDet_tbl[Detail]=$D95)*(BenDet_tbl[Accounting Type]=$E95)*(Benefits!$E$3:$O$3=G$90)*BenDet_tbl[[Year 1]:[Year 11]])</f>
        <v>0</v>
      </c>
      <c r="H95" s="726">
        <f>SUMPRODUCT((BenDet_tbl[Detail]=$D95)*(BenDet_tbl[Accounting Type]=$E95)*(Benefits!$E$3:$O$3=H$90)*BenDet_tbl[[Year 1]:[Year 11]])</f>
        <v>0</v>
      </c>
      <c r="I95" s="726">
        <f>SUMPRODUCT((BenDet_tbl[Detail]=$D95)*(BenDet_tbl[Accounting Type]=$E95)*(Benefits!$E$3:$O$3=I$90)*BenDet_tbl[[Year 1]:[Year 11]])</f>
        <v>0</v>
      </c>
      <c r="J95" s="726">
        <f>SUMPRODUCT((BenDet_tbl[Detail]=$D95)*(BenDet_tbl[Accounting Type]=$E95)*(Benefits!$E$3:$O$3=J$90)*BenDet_tbl[[Year 1]:[Year 11]])</f>
        <v>0</v>
      </c>
      <c r="K95" s="726">
        <f>SUMPRODUCT((BenDet_tbl[Detail]=$D95)*(BenDet_tbl[Accounting Type]=$E95)*(Benefits!$E$3:$O$3=K$90)*BenDet_tbl[[Year 1]:[Year 11]])</f>
        <v>0</v>
      </c>
      <c r="L95" s="726">
        <f>SUMPRODUCT((BenDet_tbl[Detail]=$D95)*(BenDet_tbl[Accounting Type]=$E95)*(Benefits!$E$3:$O$3=L$90)*BenDet_tbl[[Year 1]:[Year 11]])</f>
        <v>0</v>
      </c>
      <c r="M95" s="726">
        <f>SUMPRODUCT((BenDet_tbl[Detail]=$D95)*(BenDet_tbl[Accounting Type]=$E95)*(Benefits!$E$3:$O$3=M$90)*BenDet_tbl[[Year 1]:[Year 11]])</f>
        <v>0</v>
      </c>
      <c r="N95" s="726">
        <f>SUMPRODUCT((BenDet_tbl[Detail]=$D95)*(BenDet_tbl[Accounting Type]=$E95)*(Benefits!$E$3:$O$3=N$90)*BenDet_tbl[[Year 1]:[Year 11]])</f>
        <v>0</v>
      </c>
      <c r="O95" s="726">
        <f>SUMPRODUCT((BenDet_tbl[Detail]=$D95)*(BenDet_tbl[Accounting Type]=$E95)*(Benefits!$E$3:$O$3=O$90)*BenDet_tbl[[Year 1]:[Year 11]])</f>
        <v>0</v>
      </c>
      <c r="P95" s="726">
        <f>SUMPRODUCT((BenDet_tbl[Detail]=$D95)*(BenDet_tbl[Accounting Type]=$E95)*(Benefits!$E$3:$O$3=P$90)*BenDet_tbl[[Year 1]:[Year 11]])</f>
        <v>0</v>
      </c>
      <c r="Q95" s="726">
        <f t="shared" si="41"/>
        <v>0</v>
      </c>
    </row>
    <row r="96" spans="1:19">
      <c r="A96" s="1675"/>
      <c r="B96" s="730" t="s">
        <v>109</v>
      </c>
      <c r="C96" s="731" t="str">
        <f>VLOOKUP(D96,Bene_Owner_tbl[],2,0)</f>
        <v>Narayan Devireddy</v>
      </c>
      <c r="D96" s="731" t="s">
        <v>8802</v>
      </c>
      <c r="E96" s="1340" t="s">
        <v>20</v>
      </c>
      <c r="F96" s="726">
        <f>SUMPRODUCT((BenDet_tbl[Detail]=$D96)*(BenDet_tbl[Accounting Type]=$E96)*(Benefits!$E$3:$O$3=F$90)*BenDet_tbl[[Year 1]:[Year 11]])</f>
        <v>0</v>
      </c>
      <c r="G96" s="726">
        <f>SUMPRODUCT((BenDet_tbl[Detail]=$D96)*(BenDet_tbl[Accounting Type]=$E96)*(Benefits!$E$3:$O$3=G$90)*BenDet_tbl[[Year 1]:[Year 11]])</f>
        <v>0</v>
      </c>
      <c r="H96" s="726">
        <f>SUMPRODUCT((BenDet_tbl[Detail]=$D96)*(BenDet_tbl[Accounting Type]=$E96)*(Benefits!$E$3:$O$3=H$90)*BenDet_tbl[[Year 1]:[Year 11]])</f>
        <v>0</v>
      </c>
      <c r="I96" s="726">
        <f>SUMPRODUCT((BenDet_tbl[Detail]=$D96)*(BenDet_tbl[Accounting Type]=$E96)*(Benefits!$E$3:$O$3=I$90)*BenDet_tbl[[Year 1]:[Year 11]])</f>
        <v>0</v>
      </c>
      <c r="J96" s="726">
        <f>SUMPRODUCT((BenDet_tbl[Detail]=$D96)*(BenDet_tbl[Accounting Type]=$E96)*(Benefits!$E$3:$O$3=J$90)*BenDet_tbl[[Year 1]:[Year 11]])</f>
        <v>0</v>
      </c>
      <c r="K96" s="726">
        <f>SUMPRODUCT((BenDet_tbl[Detail]=$D96)*(BenDet_tbl[Accounting Type]=$E96)*(Benefits!$E$3:$O$3=K$90)*BenDet_tbl[[Year 1]:[Year 11]])</f>
        <v>0</v>
      </c>
      <c r="L96" s="726">
        <f>SUMPRODUCT((BenDet_tbl[Detail]=$D96)*(BenDet_tbl[Accounting Type]=$E96)*(Benefits!$E$3:$O$3=L$90)*BenDet_tbl[[Year 1]:[Year 11]])</f>
        <v>0</v>
      </c>
      <c r="M96" s="726">
        <f>SUMPRODUCT((BenDet_tbl[Detail]=$D96)*(BenDet_tbl[Accounting Type]=$E96)*(Benefits!$E$3:$O$3=M$90)*BenDet_tbl[[Year 1]:[Year 11]])</f>
        <v>0</v>
      </c>
      <c r="N96" s="726">
        <f>SUMPRODUCT((BenDet_tbl[Detail]=$D96)*(BenDet_tbl[Accounting Type]=$E96)*(Benefits!$E$3:$O$3=N$90)*BenDet_tbl[[Year 1]:[Year 11]])</f>
        <v>0</v>
      </c>
      <c r="O96" s="726">
        <f>SUMPRODUCT((BenDet_tbl[Detail]=$D96)*(BenDet_tbl[Accounting Type]=$E96)*(Benefits!$E$3:$O$3=O$90)*BenDet_tbl[[Year 1]:[Year 11]])</f>
        <v>0</v>
      </c>
      <c r="P96" s="726">
        <f>SUMPRODUCT((BenDet_tbl[Detail]=$D96)*(BenDet_tbl[Accounting Type]=$E96)*(Benefits!$E$3:$O$3=P$90)*BenDet_tbl[[Year 1]:[Year 11]])</f>
        <v>0</v>
      </c>
      <c r="Q96" s="726">
        <f t="shared" si="41"/>
        <v>0</v>
      </c>
    </row>
    <row r="97" spans="1:17">
      <c r="A97" s="1675"/>
      <c r="B97" s="730" t="s">
        <v>109</v>
      </c>
      <c r="C97" s="731" t="str">
        <f>VLOOKUP(D97,Bene_Owner_tbl[],2,0)</f>
        <v>Narayan Devireddy</v>
      </c>
      <c r="D97" s="731" t="s">
        <v>8802</v>
      </c>
      <c r="E97" s="731" t="s">
        <v>21</v>
      </c>
      <c r="F97" s="726">
        <f>SUMPRODUCT((BenDet_tbl[Detail]=$D97)*(BenDet_tbl[Accounting Type]=$E97)*(Benefits!$E$3:$O$3=F$90)*BenDet_tbl[[Year 1]:[Year 11]])</f>
        <v>0</v>
      </c>
      <c r="G97" s="726">
        <f>SUMPRODUCT((BenDet_tbl[Detail]=$D97)*(BenDet_tbl[Accounting Type]=$E97)*(Benefits!$E$3:$O$3=G$90)*BenDet_tbl[[Year 1]:[Year 11]])</f>
        <v>0</v>
      </c>
      <c r="H97" s="726">
        <f>SUMPRODUCT((BenDet_tbl[Detail]=$D97)*(BenDet_tbl[Accounting Type]=$E97)*(Benefits!$E$3:$O$3=H$90)*BenDet_tbl[[Year 1]:[Year 11]])</f>
        <v>0</v>
      </c>
      <c r="I97" s="726">
        <f>SUMPRODUCT((BenDet_tbl[Detail]=$D97)*(BenDet_tbl[Accounting Type]=$E97)*(Benefits!$E$3:$O$3=I$90)*BenDet_tbl[[Year 1]:[Year 11]])</f>
        <v>0</v>
      </c>
      <c r="J97" s="726">
        <f>SUMPRODUCT((BenDet_tbl[Detail]=$D97)*(BenDet_tbl[Accounting Type]=$E97)*(Benefits!$E$3:$O$3=J$90)*BenDet_tbl[[Year 1]:[Year 11]])</f>
        <v>0</v>
      </c>
      <c r="K97" s="726">
        <f>SUMPRODUCT((BenDet_tbl[Detail]=$D97)*(BenDet_tbl[Accounting Type]=$E97)*(Benefits!$E$3:$O$3=K$90)*BenDet_tbl[[Year 1]:[Year 11]])</f>
        <v>0</v>
      </c>
      <c r="L97" s="726">
        <f>SUMPRODUCT((BenDet_tbl[Detail]=$D97)*(BenDet_tbl[Accounting Type]=$E97)*(Benefits!$E$3:$O$3=L$90)*BenDet_tbl[[Year 1]:[Year 11]])</f>
        <v>0</v>
      </c>
      <c r="M97" s="726">
        <f>SUMPRODUCT((BenDet_tbl[Detail]=$D97)*(BenDet_tbl[Accounting Type]=$E97)*(Benefits!$E$3:$O$3=M$90)*BenDet_tbl[[Year 1]:[Year 11]])</f>
        <v>0</v>
      </c>
      <c r="N97" s="726">
        <f>SUMPRODUCT((BenDet_tbl[Detail]=$D97)*(BenDet_tbl[Accounting Type]=$E97)*(Benefits!$E$3:$O$3=N$90)*BenDet_tbl[[Year 1]:[Year 11]])</f>
        <v>0</v>
      </c>
      <c r="O97" s="726">
        <f>SUMPRODUCT((BenDet_tbl[Detail]=$D97)*(BenDet_tbl[Accounting Type]=$E97)*(Benefits!$E$3:$O$3=O$90)*BenDet_tbl[[Year 1]:[Year 11]])</f>
        <v>0</v>
      </c>
      <c r="P97" s="726">
        <f>SUMPRODUCT((BenDet_tbl[Detail]=$D97)*(BenDet_tbl[Accounting Type]=$E97)*(Benefits!$E$3:$O$3=P$90)*BenDet_tbl[[Year 1]:[Year 11]])</f>
        <v>0</v>
      </c>
      <c r="Q97" s="726">
        <f t="shared" si="41"/>
        <v>0</v>
      </c>
    </row>
    <row r="98" spans="1:17">
      <c r="A98" s="1675"/>
      <c r="B98" s="730" t="s">
        <v>109</v>
      </c>
      <c r="C98" s="731" t="str">
        <f>VLOOKUP(D98,Bene_Owner_tbl[],2,0)</f>
        <v>Narayan Devireddy</v>
      </c>
      <c r="D98" s="731" t="s">
        <v>8427</v>
      </c>
      <c r="E98" s="731" t="s">
        <v>20</v>
      </c>
      <c r="F98" s="726">
        <f>SUMPRODUCT((BenDet_tbl[Detail]=$D98)*(BenDet_tbl[Accounting Type]=$E98)*(Benefits!$E$3:$O$3=F$90)*BenDet_tbl[[Year 1]:[Year 11]])</f>
        <v>0</v>
      </c>
      <c r="G98" s="726">
        <f>SUMPRODUCT((BenDet_tbl[Detail]=$D98)*(BenDet_tbl[Accounting Type]=$E98)*(Benefits!$E$3:$O$3=G$90)*BenDet_tbl[[Year 1]:[Year 11]])</f>
        <v>0</v>
      </c>
      <c r="H98" s="726">
        <f>SUMPRODUCT((BenDet_tbl[Detail]=$D98)*(BenDet_tbl[Accounting Type]=$E98)*(Benefits!$E$3:$O$3=H$90)*BenDet_tbl[[Year 1]:[Year 11]])</f>
        <v>0</v>
      </c>
      <c r="I98" s="726">
        <f>SUMPRODUCT((BenDet_tbl[Detail]=$D98)*(BenDet_tbl[Accounting Type]=$E98)*(Benefits!$E$3:$O$3=I$90)*BenDet_tbl[[Year 1]:[Year 11]])</f>
        <v>0</v>
      </c>
      <c r="J98" s="726">
        <f>SUMPRODUCT((BenDet_tbl[Detail]=$D98)*(BenDet_tbl[Accounting Type]=$E98)*(Benefits!$E$3:$O$3=J$90)*BenDet_tbl[[Year 1]:[Year 11]])</f>
        <v>0</v>
      </c>
      <c r="K98" s="726">
        <f>SUMPRODUCT((BenDet_tbl[Detail]=$D98)*(BenDet_tbl[Accounting Type]=$E98)*(Benefits!$E$3:$O$3=K$90)*BenDet_tbl[[Year 1]:[Year 11]])</f>
        <v>0</v>
      </c>
      <c r="L98" s="726">
        <f>SUMPRODUCT((BenDet_tbl[Detail]=$D98)*(BenDet_tbl[Accounting Type]=$E98)*(Benefits!$E$3:$O$3=L$90)*BenDet_tbl[[Year 1]:[Year 11]])</f>
        <v>0</v>
      </c>
      <c r="M98" s="726">
        <f>SUMPRODUCT((BenDet_tbl[Detail]=$D98)*(BenDet_tbl[Accounting Type]=$E98)*(Benefits!$E$3:$O$3=M$90)*BenDet_tbl[[Year 1]:[Year 11]])</f>
        <v>0</v>
      </c>
      <c r="N98" s="726">
        <f>SUMPRODUCT((BenDet_tbl[Detail]=$D98)*(BenDet_tbl[Accounting Type]=$E98)*(Benefits!$E$3:$O$3=N$90)*BenDet_tbl[[Year 1]:[Year 11]])</f>
        <v>0</v>
      </c>
      <c r="O98" s="726">
        <f>SUMPRODUCT((BenDet_tbl[Detail]=$D98)*(BenDet_tbl[Accounting Type]=$E98)*(Benefits!$E$3:$O$3=O$90)*BenDet_tbl[[Year 1]:[Year 11]])</f>
        <v>0</v>
      </c>
      <c r="P98" s="726">
        <f>SUMPRODUCT((BenDet_tbl[Detail]=$D98)*(BenDet_tbl[Accounting Type]=$E98)*(Benefits!$E$3:$O$3=P$90)*BenDet_tbl[[Year 1]:[Year 11]])</f>
        <v>0</v>
      </c>
      <c r="Q98" s="726">
        <f t="shared" si="41"/>
        <v>0</v>
      </c>
    </row>
    <row r="99" spans="1:17">
      <c r="A99" s="1675"/>
      <c r="B99" s="730" t="s">
        <v>109</v>
      </c>
      <c r="C99" s="731" t="str">
        <f>VLOOKUP(D99,Bene_Owner_tbl[],2,0)</f>
        <v>Narayan Devireddy</v>
      </c>
      <c r="D99" s="731" t="s">
        <v>8427</v>
      </c>
      <c r="E99" s="731" t="s">
        <v>21</v>
      </c>
      <c r="F99" s="726">
        <f>SUMPRODUCT((BenDet_tbl[Detail]=$D99)*(BenDet_tbl[Accounting Type]=$E99)*(Benefits!$E$3:$O$3=F$90)*BenDet_tbl[[Year 1]:[Year 11]])</f>
        <v>0</v>
      </c>
      <c r="G99" s="726">
        <f>SUMPRODUCT((BenDet_tbl[Detail]=$D99)*(BenDet_tbl[Accounting Type]=$E99)*(Benefits!$E$3:$O$3=G$90)*BenDet_tbl[[Year 1]:[Year 11]])</f>
        <v>0</v>
      </c>
      <c r="H99" s="726">
        <f>SUMPRODUCT((BenDet_tbl[Detail]=$D99)*(BenDet_tbl[Accounting Type]=$E99)*(Benefits!$E$3:$O$3=H$90)*BenDet_tbl[[Year 1]:[Year 11]])</f>
        <v>0</v>
      </c>
      <c r="I99" s="726">
        <f>SUMPRODUCT((BenDet_tbl[Detail]=$D99)*(BenDet_tbl[Accounting Type]=$E99)*(Benefits!$E$3:$O$3=I$90)*BenDet_tbl[[Year 1]:[Year 11]])</f>
        <v>0</v>
      </c>
      <c r="J99" s="726">
        <f>SUMPRODUCT((BenDet_tbl[Detail]=$D99)*(BenDet_tbl[Accounting Type]=$E99)*(Benefits!$E$3:$O$3=J$90)*BenDet_tbl[[Year 1]:[Year 11]])</f>
        <v>0</v>
      </c>
      <c r="K99" s="726">
        <f>SUMPRODUCT((BenDet_tbl[Detail]=$D99)*(BenDet_tbl[Accounting Type]=$E99)*(Benefits!$E$3:$O$3=K$90)*BenDet_tbl[[Year 1]:[Year 11]])</f>
        <v>0</v>
      </c>
      <c r="L99" s="726">
        <f>SUMPRODUCT((BenDet_tbl[Detail]=$D99)*(BenDet_tbl[Accounting Type]=$E99)*(Benefits!$E$3:$O$3=L$90)*BenDet_tbl[[Year 1]:[Year 11]])</f>
        <v>0</v>
      </c>
      <c r="M99" s="726">
        <f>SUMPRODUCT((BenDet_tbl[Detail]=$D99)*(BenDet_tbl[Accounting Type]=$E99)*(Benefits!$E$3:$O$3=M$90)*BenDet_tbl[[Year 1]:[Year 11]])</f>
        <v>0</v>
      </c>
      <c r="N99" s="726">
        <f>SUMPRODUCT((BenDet_tbl[Detail]=$D99)*(BenDet_tbl[Accounting Type]=$E99)*(Benefits!$E$3:$O$3=N$90)*BenDet_tbl[[Year 1]:[Year 11]])</f>
        <v>0</v>
      </c>
      <c r="O99" s="726">
        <f>SUMPRODUCT((BenDet_tbl[Detail]=$D99)*(BenDet_tbl[Accounting Type]=$E99)*(Benefits!$E$3:$O$3=O$90)*BenDet_tbl[[Year 1]:[Year 11]])</f>
        <v>0</v>
      </c>
      <c r="P99" s="726">
        <f>SUMPRODUCT((BenDet_tbl[Detail]=$D99)*(BenDet_tbl[Accounting Type]=$E99)*(Benefits!$E$3:$O$3=P$90)*BenDet_tbl[[Year 1]:[Year 11]])</f>
        <v>0</v>
      </c>
      <c r="Q99" s="726">
        <f t="shared" si="41"/>
        <v>0</v>
      </c>
    </row>
    <row r="100" spans="1:17">
      <c r="A100" s="1676"/>
      <c r="B100" s="732" t="s">
        <v>109</v>
      </c>
      <c r="C100" s="733" t="str">
        <f>VLOOKUP(B100,Miscellaneous!E:F,2,0)</f>
        <v>Narayan Devireddy</v>
      </c>
      <c r="D100" s="733" t="s">
        <v>8809</v>
      </c>
      <c r="E100" s="741" t="s">
        <v>480</v>
      </c>
      <c r="F100" s="734">
        <f>SUMPRODUCT(('RTB for Srvc Trans'!$P$65:$P$74=$D100)*('RTB for Srvc Trans'!$T$64:$X$64=F$90)*'RTB for Srvc Trans'!$T$65:$X$74)</f>
        <v>0</v>
      </c>
      <c r="G100" s="734">
        <f>SUMPRODUCT(('RTB for Srvc Trans'!$P$65:$P$74=$D100)*('RTB for Srvc Trans'!$T$64:$X$64=G$90)*'RTB for Srvc Trans'!$T$65:$X$74)</f>
        <v>0</v>
      </c>
      <c r="H100" s="734">
        <f>SUMPRODUCT(('RTB for Srvc Trans'!$P$65:$P$74=$D100)*('RTB for Srvc Trans'!$T$64:$X$64=H$90)*'RTB for Srvc Trans'!$T$65:$X$74)</f>
        <v>0</v>
      </c>
      <c r="I100" s="734">
        <f>SUMPRODUCT(('RTB for Srvc Trans'!$P$65:$P$74=$D100)*('RTB for Srvc Trans'!$T$64:$X$64=I$90)*'RTB for Srvc Trans'!$T$65:$X$74)</f>
        <v>0</v>
      </c>
      <c r="J100" s="734">
        <f>SUMPRODUCT(('RTB for Srvc Trans'!$P$65:$P$74=$D100)*('RTB for Srvc Trans'!$T$64:$X$64=J$90)*'RTB for Srvc Trans'!$T$65:$X$74)</f>
        <v>0</v>
      </c>
      <c r="K100" s="734">
        <f>SUMPRODUCT(('RTB for Srvc Trans'!$P$65:$P$74=$D100)*('RTB for Srvc Trans'!$T$64:$X$64=K$90)*'RTB for Srvc Trans'!$T$65:$X$74)</f>
        <v>0</v>
      </c>
      <c r="L100" s="734">
        <f>SUMPRODUCT(('RTB for Srvc Trans'!$P$65:$P$74=$D100)*('RTB for Srvc Trans'!$T$64:$X$64=L$90)*'RTB for Srvc Trans'!$T$65:$X$74)</f>
        <v>0</v>
      </c>
      <c r="M100" s="734">
        <f>SUMPRODUCT(('RTB for Srvc Trans'!$P$65:$P$74=$D100)*('RTB for Srvc Trans'!$T$64:$X$64=M$90)*'RTB for Srvc Trans'!$T$65:$X$74)</f>
        <v>0</v>
      </c>
      <c r="N100" s="734">
        <f>SUMPRODUCT(('RTB for Srvc Trans'!$P$65:$P$74=$D100)*('RTB for Srvc Trans'!$T$64:$X$64=N$90)*'RTB for Srvc Trans'!$T$65:$X$74)</f>
        <v>0</v>
      </c>
      <c r="O100" s="734">
        <f>SUMPRODUCT(('RTB for Srvc Trans'!$P$65:$P$74=$D100)*('RTB for Srvc Trans'!$T$64:$X$64=O$90)*'RTB for Srvc Trans'!$T$65:$X$74)</f>
        <v>0</v>
      </c>
      <c r="P100" s="734">
        <f>SUMPRODUCT(('RTB for Srvc Trans'!$P$65:$P$74=$D100)*('RTB for Srvc Trans'!$T$64:$X$64=P$90)*'RTB for Srvc Trans'!$T$65:$X$74)</f>
        <v>0</v>
      </c>
      <c r="Q100" s="734">
        <f t="shared" si="41"/>
        <v>0</v>
      </c>
    </row>
    <row r="101" spans="1:17">
      <c r="A101" s="1662" t="s">
        <v>8817</v>
      </c>
      <c r="B101" s="735" t="str">
        <f>VLOOKUP(D101,RTB_BudgetOwner_tbl[],2,0)</f>
        <v>Infra_Operations</v>
      </c>
      <c r="C101" s="736" t="str">
        <f>VLOOKUP(B101,Miscellaneous!E:F,2,0)</f>
        <v>Shannon Soland</v>
      </c>
      <c r="D101" s="736" t="str">
        <f>Miscellaneous!$P$3</f>
        <v>IT Bus App Services</v>
      </c>
      <c r="E101" s="737" t="s">
        <v>480</v>
      </c>
      <c r="F101" s="724">
        <f>SUMPRODUCT(('RTB for Srvc Trans'!$P$65:$P$74=$D101)*('RTB for Srvc Trans'!$T$64:$X$64=F$90)*'RTB for Srvc Trans'!$T$65:$X$74)</f>
        <v>0</v>
      </c>
      <c r="G101" s="724">
        <f>SUMPRODUCT(('RTB for Srvc Trans'!$P$65:$P$74=$D101)*('RTB for Srvc Trans'!$T$64:$X$64=G$90)*'RTB for Srvc Trans'!$T$65:$X$74)</f>
        <v>0</v>
      </c>
      <c r="H101" s="724">
        <f>SUMPRODUCT(('RTB for Srvc Trans'!$P$65:$P$74=$D101)*('RTB for Srvc Trans'!$T$64:$X$64=H$90)*'RTB for Srvc Trans'!$T$65:$X$74)</f>
        <v>0</v>
      </c>
      <c r="I101" s="724">
        <f>SUMPRODUCT(('RTB for Srvc Trans'!$P$65:$P$74=$D101)*('RTB for Srvc Trans'!$T$64:$X$64=I$90)*'RTB for Srvc Trans'!$T$65:$X$74)</f>
        <v>0</v>
      </c>
      <c r="J101" s="724">
        <f>SUMPRODUCT(('RTB for Srvc Trans'!$P$65:$P$74=$D101)*('RTB for Srvc Trans'!$T$64:$X$64=J$90)*'RTB for Srvc Trans'!$T$65:$X$74)</f>
        <v>0</v>
      </c>
      <c r="K101" s="724">
        <f>SUMPRODUCT(('RTB for Srvc Trans'!$P$65:$P$74=$D101)*('RTB for Srvc Trans'!$T$64:$X$64=K$90)*'RTB for Srvc Trans'!$T$65:$X$74)</f>
        <v>0</v>
      </c>
      <c r="L101" s="724">
        <f>SUMPRODUCT(('RTB for Srvc Trans'!$P$65:$P$74=$D101)*('RTB for Srvc Trans'!$T$64:$X$64=L$90)*'RTB for Srvc Trans'!$T$65:$X$74)</f>
        <v>0</v>
      </c>
      <c r="M101" s="724">
        <f>SUMPRODUCT(('RTB for Srvc Trans'!$P$65:$P$74=$D101)*('RTB for Srvc Trans'!$T$64:$X$64=M$90)*'RTB for Srvc Trans'!$T$65:$X$74)</f>
        <v>0</v>
      </c>
      <c r="N101" s="724">
        <f>SUMPRODUCT(('RTB for Srvc Trans'!$P$65:$P$74=$D101)*('RTB for Srvc Trans'!$T$64:$X$64=N$90)*'RTB for Srvc Trans'!$T$65:$X$74)</f>
        <v>0</v>
      </c>
      <c r="O101" s="724">
        <f>SUMPRODUCT(('RTB for Srvc Trans'!$P$65:$P$74=$D101)*('RTB for Srvc Trans'!$T$64:$X$64=O$90)*'RTB for Srvc Trans'!$T$65:$X$74)</f>
        <v>0</v>
      </c>
      <c r="P101" s="724">
        <f>SUMPRODUCT(('RTB for Srvc Trans'!$P$65:$P$74=$D101)*('RTB for Srvc Trans'!$T$64:$X$64=P$90)*'RTB for Srvc Trans'!$T$65:$X$74)</f>
        <v>0</v>
      </c>
      <c r="Q101" s="724">
        <f t="shared" si="41"/>
        <v>0</v>
      </c>
    </row>
    <row r="102" spans="1:17">
      <c r="A102" s="1663"/>
      <c r="B102" s="735" t="str">
        <f>VLOOKUP(D102,RTB_BudgetOwner_tbl[],2,0)</f>
        <v>Infra_Operations</v>
      </c>
      <c r="C102" s="736" t="str">
        <f>VLOOKUP(B102,Miscellaneous!E:F,2,0)</f>
        <v>Shannon Soland</v>
      </c>
      <c r="D102" s="736" t="str">
        <f>Miscellaneous!$P$4</f>
        <v>IT Network Infra Services</v>
      </c>
      <c r="E102" s="737" t="s">
        <v>480</v>
      </c>
      <c r="F102" s="724">
        <f>SUMPRODUCT(('RTB for Srvc Trans'!$P$65:$P$74=$D102)*('RTB for Srvc Trans'!$T$64:$X$64=F$90)*'RTB for Srvc Trans'!$T$65:$X$74)</f>
        <v>0</v>
      </c>
      <c r="G102" s="724">
        <f>SUMPRODUCT(('RTB for Srvc Trans'!$P$65:$P$74=$D102)*('RTB for Srvc Trans'!$T$64:$X$64=G$90)*'RTB for Srvc Trans'!$T$65:$X$74)</f>
        <v>0</v>
      </c>
      <c r="H102" s="724">
        <f>SUMPRODUCT(('RTB for Srvc Trans'!$P$65:$P$74=$D102)*('RTB for Srvc Trans'!$T$64:$X$64=H$90)*'RTB for Srvc Trans'!$T$65:$X$74)</f>
        <v>0</v>
      </c>
      <c r="I102" s="724">
        <f>SUMPRODUCT(('RTB for Srvc Trans'!$P$65:$P$74=$D102)*('RTB for Srvc Trans'!$T$64:$X$64=I$90)*'RTB for Srvc Trans'!$T$65:$X$74)</f>
        <v>0</v>
      </c>
      <c r="J102" s="724">
        <f>SUMPRODUCT(('RTB for Srvc Trans'!$P$65:$P$74=$D102)*('RTB for Srvc Trans'!$T$64:$X$64=J$90)*'RTB for Srvc Trans'!$T$65:$X$74)</f>
        <v>0</v>
      </c>
      <c r="K102" s="724">
        <f>SUMPRODUCT(('RTB for Srvc Trans'!$P$65:$P$74=$D102)*('RTB for Srvc Trans'!$T$64:$X$64=K$90)*'RTB for Srvc Trans'!$T$65:$X$74)</f>
        <v>0</v>
      </c>
      <c r="L102" s="724">
        <f>SUMPRODUCT(('RTB for Srvc Trans'!$P$65:$P$74=$D102)*('RTB for Srvc Trans'!$T$64:$X$64=L$90)*'RTB for Srvc Trans'!$T$65:$X$74)</f>
        <v>0</v>
      </c>
      <c r="M102" s="724">
        <f>SUMPRODUCT(('RTB for Srvc Trans'!$P$65:$P$74=$D102)*('RTB for Srvc Trans'!$T$64:$X$64=M$90)*'RTB for Srvc Trans'!$T$65:$X$74)</f>
        <v>0</v>
      </c>
      <c r="N102" s="724">
        <f>SUMPRODUCT(('RTB for Srvc Trans'!$P$65:$P$74=$D102)*('RTB for Srvc Trans'!$T$64:$X$64=N$90)*'RTB for Srvc Trans'!$T$65:$X$74)</f>
        <v>0</v>
      </c>
      <c r="O102" s="724">
        <f>SUMPRODUCT(('RTB for Srvc Trans'!$P$65:$P$74=$D102)*('RTB for Srvc Trans'!$T$64:$X$64=O$90)*'RTB for Srvc Trans'!$T$65:$X$74)</f>
        <v>0</v>
      </c>
      <c r="P102" s="724">
        <f>SUMPRODUCT(('RTB for Srvc Trans'!$P$65:$P$74=$D102)*('RTB for Srvc Trans'!$T$64:$X$64=P$90)*'RTB for Srvc Trans'!$T$65:$X$74)</f>
        <v>0</v>
      </c>
      <c r="Q102" s="724">
        <f t="shared" si="41"/>
        <v>0</v>
      </c>
    </row>
    <row r="103" spans="1:17">
      <c r="A103" s="1663"/>
      <c r="B103" s="735" t="str">
        <f>VLOOKUP(D103,RTB_BudgetOwner_tbl[],2,0)</f>
        <v>Infra_Operations</v>
      </c>
      <c r="C103" s="736" t="str">
        <f>VLOOKUP(B103,Miscellaneous!E:F,2,0)</f>
        <v>Shannon Soland</v>
      </c>
      <c r="D103" s="736" t="str">
        <f>Miscellaneous!$P$5</f>
        <v>IT End User &amp; Collab Services</v>
      </c>
      <c r="E103" s="737" t="s">
        <v>480</v>
      </c>
      <c r="F103" s="724">
        <f>SUMPRODUCT(('RTB for Srvc Trans'!$P$65:$P$74=$D103)*('RTB for Srvc Trans'!$T$64:$X$64=F$90)*'RTB for Srvc Trans'!$T$65:$X$74)</f>
        <v>0</v>
      </c>
      <c r="G103" s="724">
        <f>SUMPRODUCT(('RTB for Srvc Trans'!$P$65:$P$74=$D103)*('RTB for Srvc Trans'!$T$64:$X$64=G$90)*'RTB for Srvc Trans'!$T$65:$X$74)</f>
        <v>0</v>
      </c>
      <c r="H103" s="724">
        <f>SUMPRODUCT(('RTB for Srvc Trans'!$P$65:$P$74=$D103)*('RTB for Srvc Trans'!$T$64:$X$64=H$90)*'RTB for Srvc Trans'!$T$65:$X$74)</f>
        <v>0</v>
      </c>
      <c r="I103" s="724">
        <f>SUMPRODUCT(('RTB for Srvc Trans'!$P$65:$P$74=$D103)*('RTB for Srvc Trans'!$T$64:$X$64=I$90)*'RTB for Srvc Trans'!$T$65:$X$74)</f>
        <v>0</v>
      </c>
      <c r="J103" s="724">
        <f>SUMPRODUCT(('RTB for Srvc Trans'!$P$65:$P$74=$D103)*('RTB for Srvc Trans'!$T$64:$X$64=J$90)*'RTB for Srvc Trans'!$T$65:$X$74)</f>
        <v>0</v>
      </c>
      <c r="K103" s="724">
        <f>SUMPRODUCT(('RTB for Srvc Trans'!$P$65:$P$74=$D103)*('RTB for Srvc Trans'!$T$64:$X$64=K$90)*'RTB for Srvc Trans'!$T$65:$X$74)</f>
        <v>0</v>
      </c>
      <c r="L103" s="724">
        <f>SUMPRODUCT(('RTB for Srvc Trans'!$P$65:$P$74=$D103)*('RTB for Srvc Trans'!$T$64:$X$64=L$90)*'RTB for Srvc Trans'!$T$65:$X$74)</f>
        <v>0</v>
      </c>
      <c r="M103" s="724">
        <f>SUMPRODUCT(('RTB for Srvc Trans'!$P$65:$P$74=$D103)*('RTB for Srvc Trans'!$T$64:$X$64=M$90)*'RTB for Srvc Trans'!$T$65:$X$74)</f>
        <v>0</v>
      </c>
      <c r="N103" s="724">
        <f>SUMPRODUCT(('RTB for Srvc Trans'!$P$65:$P$74=$D103)*('RTB for Srvc Trans'!$T$64:$X$64=N$90)*'RTB for Srvc Trans'!$T$65:$X$74)</f>
        <v>0</v>
      </c>
      <c r="O103" s="724">
        <f>SUMPRODUCT(('RTB for Srvc Trans'!$P$65:$P$74=$D103)*('RTB for Srvc Trans'!$T$64:$X$64=O$90)*'RTB for Srvc Trans'!$T$65:$X$74)</f>
        <v>0</v>
      </c>
      <c r="P103" s="724">
        <f>SUMPRODUCT(('RTB for Srvc Trans'!$P$65:$P$74=$D103)*('RTB for Srvc Trans'!$T$64:$X$64=P$90)*'RTB for Srvc Trans'!$T$65:$X$74)</f>
        <v>0</v>
      </c>
      <c r="Q103" s="724">
        <f t="shared" si="41"/>
        <v>0</v>
      </c>
    </row>
    <row r="104" spans="1:17">
      <c r="A104" s="1663"/>
      <c r="B104" s="735" t="str">
        <f>VLOOKUP(D104,RTB_BudgetOwner_tbl[],2,0)</f>
        <v>Infra_Operations</v>
      </c>
      <c r="C104" s="736" t="str">
        <f>VLOOKUP(B104,Miscellaneous!E:F,2,0)</f>
        <v>Shannon Soland</v>
      </c>
      <c r="D104" s="736" t="str">
        <f>Miscellaneous!$P$6</f>
        <v>IT Cloud &amp; Hosting Services</v>
      </c>
      <c r="E104" s="737" t="s">
        <v>480</v>
      </c>
      <c r="F104" s="724">
        <f>SUMPRODUCT(('RTB for Srvc Trans'!$P$65:$P$74=$D104)*('RTB for Srvc Trans'!$T$64:$X$64=F$90)*'RTB for Srvc Trans'!$T$65:$X$74)</f>
        <v>0</v>
      </c>
      <c r="G104" s="724">
        <f>SUMPRODUCT(('RTB for Srvc Trans'!$P$65:$P$74=$D104)*('RTB for Srvc Trans'!$T$64:$X$64=G$90)*'RTB for Srvc Trans'!$T$65:$X$74)</f>
        <v>0</v>
      </c>
      <c r="H104" s="724">
        <f>SUMPRODUCT(('RTB for Srvc Trans'!$P$65:$P$74=$D104)*('RTB for Srvc Trans'!$T$64:$X$64=H$90)*'RTB for Srvc Trans'!$T$65:$X$74)</f>
        <v>0</v>
      </c>
      <c r="I104" s="724">
        <f>SUMPRODUCT(('RTB for Srvc Trans'!$P$65:$P$74=$D104)*('RTB for Srvc Trans'!$T$64:$X$64=I$90)*'RTB for Srvc Trans'!$T$65:$X$74)</f>
        <v>0</v>
      </c>
      <c r="J104" s="724">
        <f>SUMPRODUCT(('RTB for Srvc Trans'!$P$65:$P$74=$D104)*('RTB for Srvc Trans'!$T$64:$X$64=J$90)*'RTB for Srvc Trans'!$T$65:$X$74)</f>
        <v>0</v>
      </c>
      <c r="K104" s="724">
        <f>SUMPRODUCT(('RTB for Srvc Trans'!$P$65:$P$74=$D104)*('RTB for Srvc Trans'!$T$64:$X$64=K$90)*'RTB for Srvc Trans'!$T$65:$X$74)</f>
        <v>0</v>
      </c>
      <c r="L104" s="724">
        <f>SUMPRODUCT(('RTB for Srvc Trans'!$P$65:$P$74=$D104)*('RTB for Srvc Trans'!$T$64:$X$64=L$90)*'RTB for Srvc Trans'!$T$65:$X$74)</f>
        <v>0</v>
      </c>
      <c r="M104" s="724">
        <f>SUMPRODUCT(('RTB for Srvc Trans'!$P$65:$P$74=$D104)*('RTB for Srvc Trans'!$T$64:$X$64=M$90)*'RTB for Srvc Trans'!$T$65:$X$74)</f>
        <v>0</v>
      </c>
      <c r="N104" s="724">
        <f>SUMPRODUCT(('RTB for Srvc Trans'!$P$65:$P$74=$D104)*('RTB for Srvc Trans'!$T$64:$X$64=N$90)*'RTB for Srvc Trans'!$T$65:$X$74)</f>
        <v>0</v>
      </c>
      <c r="O104" s="724">
        <f>SUMPRODUCT(('RTB for Srvc Trans'!$P$65:$P$74=$D104)*('RTB for Srvc Trans'!$T$64:$X$64=O$90)*'RTB for Srvc Trans'!$T$65:$X$74)</f>
        <v>0</v>
      </c>
      <c r="P104" s="724">
        <f>SUMPRODUCT(('RTB for Srvc Trans'!$P$65:$P$74=$D104)*('RTB for Srvc Trans'!$T$64:$X$64=P$90)*'RTB for Srvc Trans'!$T$65:$X$74)</f>
        <v>0</v>
      </c>
      <c r="Q104" s="724">
        <f t="shared" si="41"/>
        <v>0</v>
      </c>
    </row>
    <row r="105" spans="1:17">
      <c r="A105" s="1663"/>
      <c r="B105" s="735" t="str">
        <f>VLOOKUP(D105,RTB_BudgetOwner_tbl[],2,0)</f>
        <v>Software</v>
      </c>
      <c r="C105" s="736" t="str">
        <f>VLOOKUP(B105,Miscellaneous!E:F,2,0)</f>
        <v>John Conley</v>
      </c>
      <c r="D105" s="736" t="str">
        <f>Miscellaneous!$P$7</f>
        <v>IT Commercial</v>
      </c>
      <c r="E105" s="737" t="s">
        <v>480</v>
      </c>
      <c r="F105" s="724">
        <f>SUMPRODUCT(('RTB for Srvc Trans'!$P$65:$P$74=$D105)*('RTB for Srvc Trans'!$T$64:$X$64=F$90)*'RTB for Srvc Trans'!$T$65:$X$74)</f>
        <v>0</v>
      </c>
      <c r="G105" s="724">
        <f>SUMPRODUCT(('RTB for Srvc Trans'!$P$65:$P$74=$D105)*('RTB for Srvc Trans'!$T$64:$X$64=G$90)*'RTB for Srvc Trans'!$T$65:$X$74)</f>
        <v>0</v>
      </c>
      <c r="H105" s="724">
        <f>SUMPRODUCT(('RTB for Srvc Trans'!$P$65:$P$74=$D105)*('RTB for Srvc Trans'!$T$64:$X$64=H$90)*'RTB for Srvc Trans'!$T$65:$X$74)</f>
        <v>0</v>
      </c>
      <c r="I105" s="724">
        <f>SUMPRODUCT(('RTB for Srvc Trans'!$P$65:$P$74=$D105)*('RTB for Srvc Trans'!$T$64:$X$64=I$90)*'RTB for Srvc Trans'!$T$65:$X$74)</f>
        <v>0</v>
      </c>
      <c r="J105" s="724">
        <f>SUMPRODUCT(('RTB for Srvc Trans'!$P$65:$P$74=$D105)*('RTB for Srvc Trans'!$T$64:$X$64=J$90)*'RTB for Srvc Trans'!$T$65:$X$74)</f>
        <v>0</v>
      </c>
      <c r="K105" s="724">
        <f>SUMPRODUCT(('RTB for Srvc Trans'!$P$65:$P$74=$D105)*('RTB for Srvc Trans'!$T$64:$X$64=K$90)*'RTB for Srvc Trans'!$T$65:$X$74)</f>
        <v>0</v>
      </c>
      <c r="L105" s="724">
        <f>SUMPRODUCT(('RTB for Srvc Trans'!$P$65:$P$74=$D105)*('RTB for Srvc Trans'!$T$64:$X$64=L$90)*'RTB for Srvc Trans'!$T$65:$X$74)</f>
        <v>0</v>
      </c>
      <c r="M105" s="724">
        <f>SUMPRODUCT(('RTB for Srvc Trans'!$P$65:$P$74=$D105)*('RTB for Srvc Trans'!$T$64:$X$64=M$90)*'RTB for Srvc Trans'!$T$65:$X$74)</f>
        <v>0</v>
      </c>
      <c r="N105" s="724">
        <f>SUMPRODUCT(('RTB for Srvc Trans'!$P$65:$P$74=$D105)*('RTB for Srvc Trans'!$T$64:$X$64=N$90)*'RTB for Srvc Trans'!$T$65:$X$74)</f>
        <v>0</v>
      </c>
      <c r="O105" s="724">
        <f>SUMPRODUCT(('RTB for Srvc Trans'!$P$65:$P$74=$D105)*('RTB for Srvc Trans'!$T$64:$X$64=O$90)*'RTB for Srvc Trans'!$T$65:$X$74)</f>
        <v>0</v>
      </c>
      <c r="P105" s="724">
        <f>SUMPRODUCT(('RTB for Srvc Trans'!$P$65:$P$74=$D105)*('RTB for Srvc Trans'!$T$64:$X$64=P$90)*'RTB for Srvc Trans'!$T$65:$X$74)</f>
        <v>0</v>
      </c>
      <c r="Q105" s="724">
        <f t="shared" si="41"/>
        <v>0</v>
      </c>
    </row>
    <row r="106" spans="1:17">
      <c r="A106" s="1663"/>
      <c r="B106" s="735" t="str">
        <f>VLOOKUP(D106,RTB_BudgetOwner_tbl[],2,0)</f>
        <v>Security</v>
      </c>
      <c r="C106" s="736" t="str">
        <f>VLOOKUP(B106,Miscellaneous!E:F,2,0)</f>
        <v xml:space="preserve">Simon Jenner </v>
      </c>
      <c r="D106" s="736" t="str">
        <f>Miscellaneous!$P$8</f>
        <v>IT Security</v>
      </c>
      <c r="E106" s="737" t="s">
        <v>480</v>
      </c>
      <c r="F106" s="724">
        <f>SUMPRODUCT(('RTB for Srvc Trans'!$P$65:$P$74=$D106)*('RTB for Srvc Trans'!$T$64:$X$64=F$90)*'RTB for Srvc Trans'!$T$65:$X$74)</f>
        <v>0</v>
      </c>
      <c r="G106" s="724">
        <f>SUMPRODUCT(('RTB for Srvc Trans'!$P$65:$P$74=$D106)*('RTB for Srvc Trans'!$T$64:$X$64=G$90)*'RTB for Srvc Trans'!$T$65:$X$74)</f>
        <v>0</v>
      </c>
      <c r="H106" s="724">
        <f>SUMPRODUCT(('RTB for Srvc Trans'!$P$65:$P$74=$D106)*('RTB for Srvc Trans'!$T$64:$X$64=H$90)*'RTB for Srvc Trans'!$T$65:$X$74)</f>
        <v>0</v>
      </c>
      <c r="I106" s="724">
        <f>SUMPRODUCT(('RTB for Srvc Trans'!$P$65:$P$74=$D106)*('RTB for Srvc Trans'!$T$64:$X$64=I$90)*'RTB for Srvc Trans'!$T$65:$X$74)</f>
        <v>0</v>
      </c>
      <c r="J106" s="724">
        <f>SUMPRODUCT(('RTB for Srvc Trans'!$P$65:$P$74=$D106)*('RTB for Srvc Trans'!$T$64:$X$64=J$90)*'RTB for Srvc Trans'!$T$65:$X$74)</f>
        <v>0</v>
      </c>
      <c r="K106" s="724">
        <f>SUMPRODUCT(('RTB for Srvc Trans'!$P$65:$P$74=$D106)*('RTB for Srvc Trans'!$T$64:$X$64=K$90)*'RTB for Srvc Trans'!$T$65:$X$74)</f>
        <v>0</v>
      </c>
      <c r="L106" s="724">
        <f>SUMPRODUCT(('RTB for Srvc Trans'!$P$65:$P$74=$D106)*('RTB for Srvc Trans'!$T$64:$X$64=L$90)*'RTB for Srvc Trans'!$T$65:$X$74)</f>
        <v>0</v>
      </c>
      <c r="M106" s="724">
        <f>SUMPRODUCT(('RTB for Srvc Trans'!$P$65:$P$74=$D106)*('RTB for Srvc Trans'!$T$64:$X$64=M$90)*'RTB for Srvc Trans'!$T$65:$X$74)</f>
        <v>0</v>
      </c>
      <c r="N106" s="724">
        <f>SUMPRODUCT(('RTB for Srvc Trans'!$P$65:$P$74=$D106)*('RTB for Srvc Trans'!$T$64:$X$64=N$90)*'RTB for Srvc Trans'!$T$65:$X$74)</f>
        <v>0</v>
      </c>
      <c r="O106" s="724">
        <f>SUMPRODUCT(('RTB for Srvc Trans'!$P$65:$P$74=$D106)*('RTB for Srvc Trans'!$T$64:$X$64=O$90)*'RTB for Srvc Trans'!$T$65:$X$74)</f>
        <v>0</v>
      </c>
      <c r="P106" s="724">
        <f>SUMPRODUCT(('RTB for Srvc Trans'!$P$65:$P$74=$D106)*('RTB for Srvc Trans'!$T$64:$X$64=P$90)*'RTB for Srvc Trans'!$T$65:$X$74)</f>
        <v>0</v>
      </c>
      <c r="Q106" s="724">
        <f t="shared" si="41"/>
        <v>0</v>
      </c>
    </row>
    <row r="107" spans="1:17">
      <c r="A107" s="1663"/>
      <c r="B107" s="735" t="str">
        <f>VLOOKUP(D107,RTB_BudgetOwner_tbl[],2,0)</f>
        <v>AppDevelopment</v>
      </c>
      <c r="C107" s="736" t="str">
        <f>VLOOKUP(B107,Miscellaneous!E:F,2,0)</f>
        <v>Narayan Devireddy</v>
      </c>
      <c r="D107" s="736" t="str">
        <f>Miscellaneous!$P$12</f>
        <v>GSE</v>
      </c>
      <c r="E107" s="737" t="s">
        <v>480</v>
      </c>
      <c r="F107" s="724">
        <f>SUMPRODUCT(('RTB for Srvc Trans'!$P$65:$P$74=$D107)*('RTB for Srvc Trans'!$T$64:$X$64=F$90)*'RTB for Srvc Trans'!$T$65:$X$74)</f>
        <v>0</v>
      </c>
      <c r="G107" s="724">
        <f>SUMPRODUCT(('RTB for Srvc Trans'!$P$65:$P$74=$D107)*('RTB for Srvc Trans'!$T$64:$X$64=G$90)*'RTB for Srvc Trans'!$T$65:$X$74)</f>
        <v>0</v>
      </c>
      <c r="H107" s="724">
        <f>SUMPRODUCT(('RTB for Srvc Trans'!$P$65:$P$74=$D107)*('RTB for Srvc Trans'!$T$64:$X$64=H$90)*'RTB for Srvc Trans'!$T$65:$X$74)</f>
        <v>0</v>
      </c>
      <c r="I107" s="724">
        <f>SUMPRODUCT(('RTB for Srvc Trans'!$P$65:$P$74=$D107)*('RTB for Srvc Trans'!$T$64:$X$64=I$90)*'RTB for Srvc Trans'!$T$65:$X$74)</f>
        <v>0</v>
      </c>
      <c r="J107" s="724">
        <f>SUMPRODUCT(('RTB for Srvc Trans'!$P$65:$P$74=$D107)*('RTB for Srvc Trans'!$T$64:$X$64=J$90)*'RTB for Srvc Trans'!$T$65:$X$74)</f>
        <v>0</v>
      </c>
      <c r="K107" s="724">
        <f>SUMPRODUCT(('RTB for Srvc Trans'!$P$65:$P$74=$D107)*('RTB for Srvc Trans'!$T$64:$X$64=K$90)*'RTB for Srvc Trans'!$T$65:$X$74)</f>
        <v>0</v>
      </c>
      <c r="L107" s="724">
        <f>SUMPRODUCT(('RTB for Srvc Trans'!$P$65:$P$74=$D107)*('RTB for Srvc Trans'!$T$64:$X$64=L$90)*'RTB for Srvc Trans'!$T$65:$X$74)</f>
        <v>0</v>
      </c>
      <c r="M107" s="724">
        <f>SUMPRODUCT(('RTB for Srvc Trans'!$P$65:$P$74=$D107)*('RTB for Srvc Trans'!$T$64:$X$64=M$90)*'RTB for Srvc Trans'!$T$65:$X$74)</f>
        <v>0</v>
      </c>
      <c r="N107" s="724">
        <f>SUMPRODUCT(('RTB for Srvc Trans'!$P$65:$P$74=$D107)*('RTB for Srvc Trans'!$T$64:$X$64=N$90)*'RTB for Srvc Trans'!$T$65:$X$74)</f>
        <v>0</v>
      </c>
      <c r="O107" s="724">
        <f>SUMPRODUCT(('RTB for Srvc Trans'!$P$65:$P$74=$D107)*('RTB for Srvc Trans'!$T$64:$X$64=O$90)*'RTB for Srvc Trans'!$T$65:$X$74)</f>
        <v>0</v>
      </c>
      <c r="P107" s="724">
        <f>SUMPRODUCT(('RTB for Srvc Trans'!$P$65:$P$74=$D107)*('RTB for Srvc Trans'!$T$64:$X$64=P$90)*'RTB for Srvc Trans'!$T$65:$X$74)</f>
        <v>0</v>
      </c>
      <c r="Q107" s="724">
        <f t="shared" ref="Q107" si="42">SUM(F107:P107)</f>
        <v>0</v>
      </c>
    </row>
    <row r="108" spans="1:17">
      <c r="A108" s="1663"/>
      <c r="B108" s="735" t="str">
        <f>VLOOKUP(D108,RTB_BudgetOwner_tbl[],2,0)</f>
        <v>CNI</v>
      </c>
      <c r="C108" s="736" t="str">
        <f>VLOOKUP(B108,Miscellaneous!E:F,2,0)</f>
        <v>Steve Olive</v>
      </c>
      <c r="D108" s="736" t="str">
        <f>Miscellaneous!$P$9</f>
        <v>CNI</v>
      </c>
      <c r="E108" s="737" t="s">
        <v>480</v>
      </c>
      <c r="F108" s="724">
        <f>SUMPRODUCT(('RTB for Srvc Trans'!$P$65:$P$74=$D108)*('RTB for Srvc Trans'!$T$64:$X$64=F$90)*'RTB for Srvc Trans'!$T$65:$X$74)</f>
        <v>0</v>
      </c>
      <c r="G108" s="724">
        <f>SUMPRODUCT(('RTB for Srvc Trans'!$P$65:$P$74=$D108)*('RTB for Srvc Trans'!$T$64:$X$64=G$90)*'RTB for Srvc Trans'!$T$65:$X$74)</f>
        <v>0</v>
      </c>
      <c r="H108" s="724">
        <f>SUMPRODUCT(('RTB for Srvc Trans'!$P$65:$P$74=$D108)*('RTB for Srvc Trans'!$T$64:$X$64=H$90)*'RTB for Srvc Trans'!$T$65:$X$74)</f>
        <v>0</v>
      </c>
      <c r="I108" s="724">
        <f>SUMPRODUCT(('RTB for Srvc Trans'!$P$65:$P$74=$D108)*('RTB for Srvc Trans'!$T$64:$X$64=I$90)*'RTB for Srvc Trans'!$T$65:$X$74)</f>
        <v>0</v>
      </c>
      <c r="J108" s="724">
        <f>SUMPRODUCT(('RTB for Srvc Trans'!$P$65:$P$74=$D108)*('RTB for Srvc Trans'!$T$64:$X$64=J$90)*'RTB for Srvc Trans'!$T$65:$X$74)</f>
        <v>0</v>
      </c>
      <c r="K108" s="724">
        <f>SUMPRODUCT(('RTB for Srvc Trans'!$P$65:$P$74=$D108)*('RTB for Srvc Trans'!$T$64:$X$64=K$90)*'RTB for Srvc Trans'!$T$65:$X$74)</f>
        <v>0</v>
      </c>
      <c r="L108" s="724">
        <f>SUMPRODUCT(('RTB for Srvc Trans'!$P$65:$P$74=$D108)*('RTB for Srvc Trans'!$T$64:$X$64=L$90)*'RTB for Srvc Trans'!$T$65:$X$74)</f>
        <v>0</v>
      </c>
      <c r="M108" s="724">
        <f>SUMPRODUCT(('RTB for Srvc Trans'!$P$65:$P$74=$D108)*('RTB for Srvc Trans'!$T$64:$X$64=M$90)*'RTB for Srvc Trans'!$T$65:$X$74)</f>
        <v>0</v>
      </c>
      <c r="N108" s="724">
        <f>SUMPRODUCT(('RTB for Srvc Trans'!$P$65:$P$74=$D108)*('RTB for Srvc Trans'!$T$64:$X$64=N$90)*'RTB for Srvc Trans'!$T$65:$X$74)</f>
        <v>0</v>
      </c>
      <c r="O108" s="724">
        <f>SUMPRODUCT(('RTB for Srvc Trans'!$P$65:$P$74=$D108)*('RTB for Srvc Trans'!$T$64:$X$64=O$90)*'RTB for Srvc Trans'!$T$65:$X$74)</f>
        <v>0</v>
      </c>
      <c r="P108" s="724">
        <f>SUMPRODUCT(('RTB for Srvc Trans'!$P$65:$P$74=$D108)*('RTB for Srvc Trans'!$T$64:$X$64=P$90)*'RTB for Srvc Trans'!$T$65:$X$74)</f>
        <v>0</v>
      </c>
      <c r="Q108" s="724">
        <f t="shared" si="41"/>
        <v>0</v>
      </c>
    </row>
    <row r="109" spans="1:17" ht="13.5" thickBot="1">
      <c r="A109" s="1664"/>
      <c r="B109" s="738" t="str">
        <f>VLOOKUP(D109,RTB_BudgetOwner_tbl[],2,0)</f>
        <v>Other</v>
      </c>
      <c r="C109" s="739" t="str">
        <f>VLOOKUP(B109,Miscellaneous!E:F,2,0)</f>
        <v>Steve Olive</v>
      </c>
      <c r="D109" s="739" t="str">
        <f>Miscellaneous!$P$11</f>
        <v>Other</v>
      </c>
      <c r="E109" s="740" t="s">
        <v>480</v>
      </c>
      <c r="F109" s="725">
        <f>SUMPRODUCT(('RTB for Srvc Trans'!$P$65:$P$74=$D109)*('RTB for Srvc Trans'!$T$64:$X$64=F$90)*'RTB for Srvc Trans'!$T$65:$X$74)</f>
        <v>0</v>
      </c>
      <c r="G109" s="725">
        <f>SUMPRODUCT(('RTB for Srvc Trans'!$P$65:$P$74=$D109)*('RTB for Srvc Trans'!$T$64:$X$64=G$90)*'RTB for Srvc Trans'!$T$65:$X$74)</f>
        <v>0</v>
      </c>
      <c r="H109" s="725">
        <f>SUMPRODUCT(('RTB for Srvc Trans'!$P$65:$P$74=$D109)*('RTB for Srvc Trans'!$T$64:$X$64=H$90)*'RTB for Srvc Trans'!$T$65:$X$74)</f>
        <v>0</v>
      </c>
      <c r="I109" s="725">
        <f>SUMPRODUCT(('RTB for Srvc Trans'!$P$65:$P$74=$D109)*('RTB for Srvc Trans'!$T$64:$X$64=I$90)*'RTB for Srvc Trans'!$T$65:$X$74)</f>
        <v>0</v>
      </c>
      <c r="J109" s="725">
        <f>SUMPRODUCT(('RTB for Srvc Trans'!$P$65:$P$74=$D109)*('RTB for Srvc Trans'!$T$64:$X$64=J$90)*'RTB for Srvc Trans'!$T$65:$X$74)</f>
        <v>0</v>
      </c>
      <c r="K109" s="725">
        <f>SUMPRODUCT(('RTB for Srvc Trans'!$P$65:$P$74=$D109)*('RTB for Srvc Trans'!$T$64:$X$64=K$90)*'RTB for Srvc Trans'!$T$65:$X$74)</f>
        <v>0</v>
      </c>
      <c r="L109" s="725">
        <f>SUMPRODUCT(('RTB for Srvc Trans'!$P$65:$P$74=$D109)*('RTB for Srvc Trans'!$T$64:$X$64=L$90)*'RTB for Srvc Trans'!$T$65:$X$74)</f>
        <v>0</v>
      </c>
      <c r="M109" s="725">
        <f>SUMPRODUCT(('RTB for Srvc Trans'!$P$65:$P$74=$D109)*('RTB for Srvc Trans'!$T$64:$X$64=M$90)*'RTB for Srvc Trans'!$T$65:$X$74)</f>
        <v>0</v>
      </c>
      <c r="N109" s="725">
        <f>SUMPRODUCT(('RTB for Srvc Trans'!$P$65:$P$74=$D109)*('RTB for Srvc Trans'!$T$64:$X$64=N$90)*'RTB for Srvc Trans'!$T$65:$X$74)</f>
        <v>0</v>
      </c>
      <c r="O109" s="725">
        <f>SUMPRODUCT(('RTB for Srvc Trans'!$P$65:$P$74=$D109)*('RTB for Srvc Trans'!$T$64:$X$64=O$90)*'RTB for Srvc Trans'!$T$65:$X$74)</f>
        <v>0</v>
      </c>
      <c r="P109" s="725">
        <f>SUMPRODUCT(('RTB for Srvc Trans'!$P$65:$P$74=$D109)*('RTB for Srvc Trans'!$T$64:$X$64=P$90)*'RTB for Srvc Trans'!$T$65:$X$74)</f>
        <v>0</v>
      </c>
      <c r="Q109" s="725">
        <f t="shared" si="41"/>
        <v>0</v>
      </c>
    </row>
    <row r="110" spans="1:17" ht="13.5" thickTop="1">
      <c r="A110" s="649"/>
      <c r="B110" s="1053" t="s">
        <v>8591</v>
      </c>
      <c r="C110" s="1053"/>
      <c r="D110" s="1053"/>
      <c r="E110" s="1056"/>
      <c r="F110" s="1056">
        <f t="shared" ref="F110:Q110" si="43">SUM(F92:F109)</f>
        <v>0</v>
      </c>
      <c r="G110" s="1056">
        <f t="shared" si="43"/>
        <v>10000</v>
      </c>
      <c r="H110" s="1056">
        <f t="shared" si="43"/>
        <v>10000</v>
      </c>
      <c r="I110" s="1056">
        <f t="shared" si="43"/>
        <v>10000</v>
      </c>
      <c r="J110" s="1056">
        <f t="shared" si="43"/>
        <v>10000</v>
      </c>
      <c r="K110" s="1056">
        <f t="shared" si="43"/>
        <v>10000</v>
      </c>
      <c r="L110" s="1056">
        <f t="shared" si="43"/>
        <v>0</v>
      </c>
      <c r="M110" s="1056">
        <f t="shared" si="43"/>
        <v>0</v>
      </c>
      <c r="N110" s="1056">
        <f t="shared" si="43"/>
        <v>0</v>
      </c>
      <c r="O110" s="1056">
        <f t="shared" si="43"/>
        <v>0</v>
      </c>
      <c r="P110" s="1056">
        <f t="shared" si="43"/>
        <v>0</v>
      </c>
      <c r="Q110" s="1056">
        <f t="shared" si="43"/>
        <v>50000</v>
      </c>
    </row>
    <row r="112" spans="1:17" ht="15.5">
      <c r="A112" s="1652" t="s">
        <v>8592</v>
      </c>
      <c r="B112" s="1672" t="s">
        <v>8749</v>
      </c>
      <c r="C112" s="1672"/>
      <c r="D112" s="1061"/>
      <c r="E112" s="1061" t="str">
        <f>CONCATENATE("(",Variables!$C$4,"M)")</f>
        <v>($M)</v>
      </c>
      <c r="F112" s="1040" t="str">
        <f>Variables!$B$19</f>
        <v>FY 22</v>
      </c>
      <c r="G112" s="1022" t="str">
        <f>CONCATENATE("FY ",RIGHT(F112,2)+1)</f>
        <v>FY 23</v>
      </c>
      <c r="H112" s="1022" t="str">
        <f t="shared" ref="H112" si="44">CONCATENATE("FY ",RIGHT(G112,2)+1)</f>
        <v>FY 24</v>
      </c>
      <c r="I112" s="1022" t="str">
        <f t="shared" ref="I112" si="45">CONCATENATE("FY ",RIGHT(H112,2)+1)</f>
        <v>FY 25</v>
      </c>
      <c r="J112" s="1022" t="str">
        <f t="shared" ref="J112" si="46">CONCATENATE("FY ",RIGHT(I112,2)+1)</f>
        <v>FY 26</v>
      </c>
      <c r="K112" s="1022" t="str">
        <f t="shared" ref="K112" si="47">CONCATENATE("FY ",RIGHT(J112,2)+1)</f>
        <v>FY 27</v>
      </c>
      <c r="L112" s="1022" t="str">
        <f t="shared" ref="L112" si="48">CONCATENATE("FY ",RIGHT(K112,2)+1)</f>
        <v>FY 28</v>
      </c>
      <c r="M112" s="1022" t="str">
        <f t="shared" ref="M112" si="49">CONCATENATE("FY ",RIGHT(L112,2)+1)</f>
        <v>FY 29</v>
      </c>
      <c r="N112" s="1022" t="str">
        <f t="shared" ref="N112" si="50">CONCATENATE("FY ",RIGHT(M112,2)+1)</f>
        <v>FY 30</v>
      </c>
      <c r="O112" s="1022" t="str">
        <f t="shared" ref="O112" si="51">CONCATENATE("FY ",RIGHT(N112,2)+1)</f>
        <v>FY 31</v>
      </c>
      <c r="P112" s="1022" t="str">
        <f t="shared" ref="P112" si="52">CONCATENATE("FY ",RIGHT(O112,2)+1)</f>
        <v>FY 32</v>
      </c>
      <c r="Q112" s="707"/>
    </row>
    <row r="113" spans="1:17">
      <c r="A113" s="1652"/>
      <c r="E113" s="1021" t="s">
        <v>226</v>
      </c>
      <c r="F113" s="1057" t="s">
        <v>8568</v>
      </c>
      <c r="G113" s="1057" t="s">
        <v>8569</v>
      </c>
      <c r="H113" s="1057" t="s">
        <v>8570</v>
      </c>
      <c r="I113" s="1057" t="s">
        <v>8571</v>
      </c>
      <c r="J113" s="1057" t="s">
        <v>8572</v>
      </c>
      <c r="K113" s="1057" t="s">
        <v>8573</v>
      </c>
      <c r="L113" s="1057" t="s">
        <v>8574</v>
      </c>
      <c r="M113" s="1057" t="s">
        <v>8575</v>
      </c>
      <c r="N113" s="1057" t="s">
        <v>8576</v>
      </c>
      <c r="O113" s="1057" t="s">
        <v>8577</v>
      </c>
      <c r="P113" s="1057" t="s">
        <v>8578</v>
      </c>
      <c r="Q113" s="1057" t="s">
        <v>8581</v>
      </c>
    </row>
    <row r="114" spans="1:17">
      <c r="A114" s="1652"/>
      <c r="E114" s="1068" t="s">
        <v>21</v>
      </c>
      <c r="F114" s="1008">
        <v>0</v>
      </c>
      <c r="G114" s="1008">
        <v>0</v>
      </c>
      <c r="H114" s="1008">
        <v>0</v>
      </c>
      <c r="I114" s="1008">
        <v>0</v>
      </c>
      <c r="J114" s="1008">
        <v>0</v>
      </c>
      <c r="K114" s="1008">
        <v>0</v>
      </c>
      <c r="L114" s="1008">
        <v>0</v>
      </c>
      <c r="M114" s="1008">
        <v>0</v>
      </c>
      <c r="N114" s="1008">
        <v>0</v>
      </c>
      <c r="O114" s="1008">
        <v>0</v>
      </c>
      <c r="P114" s="1008">
        <v>0</v>
      </c>
      <c r="Q114" s="1008">
        <v>0</v>
      </c>
    </row>
    <row r="115" spans="1:17">
      <c r="A115" s="1652"/>
      <c r="E115" s="1068" t="s">
        <v>20</v>
      </c>
      <c r="F115" s="1008">
        <v>0</v>
      </c>
      <c r="G115" s="1008">
        <v>0</v>
      </c>
      <c r="H115" s="1008">
        <v>0</v>
      </c>
      <c r="I115" s="1008">
        <v>0</v>
      </c>
      <c r="J115" s="1008">
        <v>0</v>
      </c>
      <c r="K115" s="1008">
        <v>0</v>
      </c>
      <c r="L115" s="1008">
        <v>0</v>
      </c>
      <c r="M115" s="1008">
        <v>0</v>
      </c>
      <c r="N115" s="1008">
        <v>0</v>
      </c>
      <c r="O115" s="1008">
        <v>0</v>
      </c>
      <c r="P115" s="1008">
        <v>0</v>
      </c>
      <c r="Q115" s="1008">
        <v>0</v>
      </c>
    </row>
    <row r="116" spans="1:17">
      <c r="A116" s="1652"/>
      <c r="E116" s="1068" t="s">
        <v>480</v>
      </c>
      <c r="F116" s="1008">
        <v>0</v>
      </c>
      <c r="G116" s="1008">
        <v>0</v>
      </c>
      <c r="H116" s="1008">
        <v>0</v>
      </c>
      <c r="I116" s="1008">
        <v>0</v>
      </c>
      <c r="J116" s="1008">
        <v>0</v>
      </c>
      <c r="K116" s="1008">
        <v>0</v>
      </c>
      <c r="L116" s="1008">
        <v>0</v>
      </c>
      <c r="M116" s="1008">
        <v>0</v>
      </c>
      <c r="N116" s="1008">
        <v>0</v>
      </c>
      <c r="O116" s="1008">
        <v>0</v>
      </c>
      <c r="P116" s="1008">
        <v>0</v>
      </c>
      <c r="Q116" s="1008">
        <v>0</v>
      </c>
    </row>
    <row r="117" spans="1:17">
      <c r="A117" s="1652"/>
      <c r="B117" s="1072"/>
      <c r="C117" s="1072"/>
      <c r="D117" s="1072"/>
      <c r="E117" s="1073" t="s">
        <v>8583</v>
      </c>
      <c r="F117" s="1074">
        <v>0</v>
      </c>
      <c r="G117" s="1074">
        <v>0</v>
      </c>
      <c r="H117" s="1074">
        <v>0</v>
      </c>
      <c r="I117" s="1074">
        <v>0</v>
      </c>
      <c r="J117" s="1074">
        <v>0</v>
      </c>
      <c r="K117" s="1074">
        <v>0</v>
      </c>
      <c r="L117" s="1074">
        <v>0</v>
      </c>
      <c r="M117" s="1074">
        <v>0</v>
      </c>
      <c r="N117" s="1074">
        <v>0</v>
      </c>
      <c r="O117" s="1074">
        <v>0</v>
      </c>
      <c r="P117" s="1074">
        <v>0</v>
      </c>
      <c r="Q117" s="1074">
        <v>0</v>
      </c>
    </row>
    <row r="119" spans="1:17" ht="13.5" thickBot="1"/>
    <row r="120" spans="1:17" ht="13.5" customHeight="1" thickBot="1">
      <c r="A120" s="1650" t="s">
        <v>8605</v>
      </c>
      <c r="D120" s="1081" t="s">
        <v>8596</v>
      </c>
      <c r="E120" s="1082" t="str">
        <f>CONCATENATE("(",Variables!$C$4,"M)")</f>
        <v>($M)</v>
      </c>
      <c r="F120" s="1022" t="str">
        <f>Variables!$B$19</f>
        <v>FY 22</v>
      </c>
      <c r="G120" s="1022" t="str">
        <f>CONCATENATE("FY ",RIGHT(F120,2)+1)</f>
        <v>FY 23</v>
      </c>
      <c r="H120" s="1022" t="str">
        <f t="shared" ref="H120" si="53">CONCATENATE("FY ",RIGHT(G120,2)+1)</f>
        <v>FY 24</v>
      </c>
      <c r="I120" s="1022" t="str">
        <f t="shared" ref="I120" si="54">CONCATENATE("FY ",RIGHT(H120,2)+1)</f>
        <v>FY 25</v>
      </c>
      <c r="J120" s="1022" t="str">
        <f t="shared" ref="J120" si="55">CONCATENATE("FY ",RIGHT(I120,2)+1)</f>
        <v>FY 26</v>
      </c>
      <c r="K120" s="1022" t="str">
        <f t="shared" ref="K120" si="56">CONCATENATE("FY ",RIGHT(J120,2)+1)</f>
        <v>FY 27</v>
      </c>
      <c r="L120" s="1022" t="str">
        <f t="shared" ref="L120" si="57">CONCATENATE("FY ",RIGHT(K120,2)+1)</f>
        <v>FY 28</v>
      </c>
      <c r="M120" s="1022" t="str">
        <f t="shared" ref="M120" si="58">CONCATENATE("FY ",RIGHT(L120,2)+1)</f>
        <v>FY 29</v>
      </c>
      <c r="N120" s="1022" t="str">
        <f t="shared" ref="N120" si="59">CONCATENATE("FY ",RIGHT(M120,2)+1)</f>
        <v>FY 30</v>
      </c>
      <c r="O120" s="1022" t="str">
        <f t="shared" ref="O120" si="60">CONCATENATE("FY ",RIGHT(N120,2)+1)</f>
        <v>FY 31</v>
      </c>
      <c r="P120" s="1022" t="str">
        <f t="shared" ref="P120" si="61">CONCATENATE("FY ",RIGHT(O120,2)+1)</f>
        <v>FY 32</v>
      </c>
    </row>
    <row r="121" spans="1:17" ht="15" customHeight="1">
      <c r="A121" s="1651"/>
      <c r="D121" s="1079"/>
      <c r="E121" s="1083" t="s">
        <v>226</v>
      </c>
      <c r="F121" s="1069" t="s">
        <v>444</v>
      </c>
      <c r="G121" s="1069" t="s">
        <v>449</v>
      </c>
      <c r="H121" s="1069" t="s">
        <v>454</v>
      </c>
      <c r="I121" s="1069" t="s">
        <v>457</v>
      </c>
      <c r="J121" s="1069" t="s">
        <v>461</v>
      </c>
      <c r="K121" s="1069" t="s">
        <v>464</v>
      </c>
      <c r="L121" s="1069" t="s">
        <v>467</v>
      </c>
      <c r="M121" s="1069" t="s">
        <v>468</v>
      </c>
      <c r="N121" s="1069" t="s">
        <v>471</v>
      </c>
      <c r="O121" s="1069" t="s">
        <v>474</v>
      </c>
      <c r="P121" s="1069" t="s">
        <v>476</v>
      </c>
    </row>
    <row r="122" spans="1:17" ht="15" customHeight="1">
      <c r="A122" s="1651"/>
      <c r="D122" s="1080" t="s">
        <v>8595</v>
      </c>
      <c r="E122" s="1084" t="s">
        <v>8593</v>
      </c>
      <c r="F122" s="1085">
        <f>SUM(F123:F125)</f>
        <v>-10636.307203288157</v>
      </c>
      <c r="G122" s="1085">
        <f t="shared" ref="G122:P122" si="62">SUM(G123:G125)</f>
        <v>0</v>
      </c>
      <c r="H122" s="1085">
        <f t="shared" si="62"/>
        <v>0</v>
      </c>
      <c r="I122" s="1085">
        <f t="shared" si="62"/>
        <v>0</v>
      </c>
      <c r="J122" s="1085">
        <f t="shared" si="62"/>
        <v>0</v>
      </c>
      <c r="K122" s="1085">
        <f t="shared" si="62"/>
        <v>0</v>
      </c>
      <c r="L122" s="1085">
        <f t="shared" si="62"/>
        <v>0</v>
      </c>
      <c r="M122" s="1085">
        <f t="shared" si="62"/>
        <v>0</v>
      </c>
      <c r="N122" s="1085">
        <f t="shared" si="62"/>
        <v>0</v>
      </c>
      <c r="O122" s="1085">
        <f t="shared" si="62"/>
        <v>0</v>
      </c>
      <c r="P122" s="1085">
        <f t="shared" si="62"/>
        <v>0</v>
      </c>
    </row>
    <row r="123" spans="1:17" ht="15" customHeight="1">
      <c r="A123" s="1651"/>
      <c r="D123" s="1077"/>
      <c r="E123" s="1086" t="s">
        <v>21</v>
      </c>
      <c r="F123" s="1087">
        <f>GETPIVOTDATA(" Year 1",$E$113,"Accounting Type","Capex")-F84</f>
        <v>-10636.307203288157</v>
      </c>
      <c r="G123" s="1087">
        <f>GETPIVOTDATA(" Year 2",$E$113,"Accounting Type","Capex")-G84</f>
        <v>0</v>
      </c>
      <c r="H123" s="1087">
        <f>GETPIVOTDATA(" Year 3",$E$113,"Accounting Type","Capex")-H84</f>
        <v>0</v>
      </c>
      <c r="I123" s="1087">
        <f>GETPIVOTDATA(" Year 4",$E$113,"Accounting Type","Capex")-I84</f>
        <v>0</v>
      </c>
      <c r="J123" s="1087">
        <f>GETPIVOTDATA(" Year 5",$E$113,"Accounting Type","Capex")-J84</f>
        <v>0</v>
      </c>
      <c r="K123" s="1087">
        <f>GETPIVOTDATA(" Year 6",$E$113,"Accounting Type","Capex")-K84</f>
        <v>0</v>
      </c>
      <c r="L123" s="1087">
        <f>GETPIVOTDATA(" Year 7",$E$113,"Accounting Type","Capex")-L84</f>
        <v>0</v>
      </c>
      <c r="M123" s="1087">
        <f>GETPIVOTDATA(" Year 8",$E$113,"Accounting Type","Capex")-M84</f>
        <v>0</v>
      </c>
      <c r="N123" s="1087">
        <f>GETPIVOTDATA(" Year 9",$E$113,"Accounting Type","Capex")-N84</f>
        <v>0</v>
      </c>
      <c r="O123" s="1087">
        <f>GETPIVOTDATA(" Year 10",$E$113,"Accounting Type","Capex")-O84</f>
        <v>0</v>
      </c>
      <c r="P123" s="1087">
        <f>GETPIVOTDATA(" Year 11",$E$113,"Accounting Type","Capex")-P84</f>
        <v>0</v>
      </c>
    </row>
    <row r="124" spans="1:17" ht="15" customHeight="1">
      <c r="A124" s="1651"/>
      <c r="D124" s="1077"/>
      <c r="E124" s="1086" t="s">
        <v>20</v>
      </c>
      <c r="F124" s="1087">
        <f>GETPIVOTDATA(" Year 1",$E$113,"Accounting Type","Opex")-F85</f>
        <v>0</v>
      </c>
      <c r="G124" s="1087">
        <f>GETPIVOTDATA(" Year 2",$E$113,"Accounting Type","Opex")-G85</f>
        <v>0</v>
      </c>
      <c r="H124" s="1087">
        <f>GETPIVOTDATA(" Year 3",$E$113,"Accounting Type","Opex")-H85</f>
        <v>0</v>
      </c>
      <c r="I124" s="1087">
        <f>GETPIVOTDATA(" Year 4",$E$113,"Accounting Type","Opex")-I85</f>
        <v>0</v>
      </c>
      <c r="J124" s="1087">
        <f>GETPIVOTDATA(" Year 5",$E$113,"Accounting Type","Opex")-J85</f>
        <v>0</v>
      </c>
      <c r="K124" s="1087">
        <f>GETPIVOTDATA(" Year 6",$E$113,"Accounting Type","Opex")-K85</f>
        <v>0</v>
      </c>
      <c r="L124" s="1087">
        <f>GETPIVOTDATA(" Year 7",$E$113,"Accounting Type","Opex")-L85</f>
        <v>0</v>
      </c>
      <c r="M124" s="1087">
        <f>GETPIVOTDATA(" Year 8",$E$113,"Accounting Type","Opex")-M85</f>
        <v>0</v>
      </c>
      <c r="N124" s="1087">
        <f>GETPIVOTDATA(" Year 9",$E$113,"Accounting Type","Opex")-N85</f>
        <v>0</v>
      </c>
      <c r="O124" s="1087">
        <f>GETPIVOTDATA(" Year 10",$E$113,"Accounting Type","Opex")-O85</f>
        <v>0</v>
      </c>
      <c r="P124" s="1087">
        <f>GETPIVOTDATA(" Year 11",$E$113,"Accounting Type","Opex")-P85</f>
        <v>0</v>
      </c>
    </row>
    <row r="125" spans="1:17" ht="15" customHeight="1">
      <c r="A125" s="1651"/>
      <c r="D125" s="1030"/>
      <c r="E125" s="1088" t="s">
        <v>480</v>
      </c>
      <c r="F125" s="1089">
        <f>GETPIVOTDATA(" Year 1",$E$113,"Accounting Type","RTB")-F86</f>
        <v>0</v>
      </c>
      <c r="G125" s="1089">
        <f>GETPIVOTDATA(" Year 2",$E$113,"Accounting Type","RTB")-G86</f>
        <v>0</v>
      </c>
      <c r="H125" s="1089">
        <f>GETPIVOTDATA(" Year 3",$E$113,"Accounting Type","RTB")-H86</f>
        <v>0</v>
      </c>
      <c r="I125" s="1089">
        <f>GETPIVOTDATA(" Year 4",$E$113,"Accounting Type","RTB")-I86</f>
        <v>0</v>
      </c>
      <c r="J125" s="1089">
        <f>GETPIVOTDATA(" Year 5",$E$113,"Accounting Type","RTB")-J86</f>
        <v>0</v>
      </c>
      <c r="K125" s="1089">
        <f>GETPIVOTDATA(" Year 6",$E$113,"Accounting Type","RTB")-K86</f>
        <v>0</v>
      </c>
      <c r="L125" s="1089">
        <f>GETPIVOTDATA(" Year 7",$E$113,"Accounting Type","RTB")-L86</f>
        <v>0</v>
      </c>
      <c r="M125" s="1089">
        <f>GETPIVOTDATA(" Year 8",$E$113,"Accounting Type","RTB")-M86</f>
        <v>0</v>
      </c>
      <c r="N125" s="1089">
        <f>GETPIVOTDATA(" Year 9",$E$113,"Accounting Type","RTB")-N86</f>
        <v>0</v>
      </c>
      <c r="O125" s="1089">
        <f>GETPIVOTDATA(" Year 10",$E$113,"Accounting Type","RTB")-O86</f>
        <v>0</v>
      </c>
      <c r="P125" s="1089">
        <f>GETPIVOTDATA(" Year 11",$E$113,"Accounting Type","RTB")-P86</f>
        <v>0</v>
      </c>
    </row>
    <row r="126" spans="1:17" ht="15" customHeight="1">
      <c r="A126" s="1651"/>
      <c r="D126" s="1080" t="s">
        <v>8594</v>
      </c>
      <c r="E126" s="1084" t="s">
        <v>8593</v>
      </c>
      <c r="F126" s="1085">
        <f>SUM(F127:F129)</f>
        <v>-10636.307203288157</v>
      </c>
      <c r="G126" s="1085">
        <f t="shared" ref="G126" si="63">SUM(G127:G129)</f>
        <v>-10636.307203288157</v>
      </c>
      <c r="H126" s="1085">
        <f t="shared" ref="H126" si="64">SUM(H127:H129)</f>
        <v>-10636.307203288157</v>
      </c>
      <c r="I126" s="1085">
        <f t="shared" ref="I126" si="65">SUM(I127:I129)</f>
        <v>-10636.307203288157</v>
      </c>
      <c r="J126" s="1085">
        <f t="shared" ref="J126" si="66">SUM(J127:J129)</f>
        <v>-10636.307203288157</v>
      </c>
      <c r="K126" s="1085">
        <f t="shared" ref="K126" si="67">SUM(K127:K129)</f>
        <v>-10636.307203288157</v>
      </c>
      <c r="L126" s="1085">
        <f t="shared" ref="L126" si="68">SUM(L127:L129)</f>
        <v>-10636.307203288157</v>
      </c>
      <c r="M126" s="1085">
        <f t="shared" ref="M126" si="69">SUM(M127:M129)</f>
        <v>-10636.307203288157</v>
      </c>
      <c r="N126" s="1085">
        <f t="shared" ref="N126" si="70">SUM(N127:N129)</f>
        <v>-10636.307203288157</v>
      </c>
      <c r="O126" s="1085">
        <f t="shared" ref="O126" si="71">SUM(O127:O129)</f>
        <v>-10636.307203288157</v>
      </c>
      <c r="P126" s="1085">
        <f t="shared" ref="P126" si="72">SUM(P127:P129)</f>
        <v>-10636.307203288157</v>
      </c>
    </row>
    <row r="127" spans="1:17" ht="15" customHeight="1">
      <c r="A127" s="1651"/>
      <c r="D127" s="1077"/>
      <c r="E127" s="1086" t="s">
        <v>21</v>
      </c>
      <c r="F127" s="1087">
        <f>F123</f>
        <v>-10636.307203288157</v>
      </c>
      <c r="G127" s="1087">
        <f>F127+G123</f>
        <v>-10636.307203288157</v>
      </c>
      <c r="H127" s="1087">
        <f t="shared" ref="H127:P127" si="73">G127+H123</f>
        <v>-10636.307203288157</v>
      </c>
      <c r="I127" s="1087">
        <f t="shared" si="73"/>
        <v>-10636.307203288157</v>
      </c>
      <c r="J127" s="1087">
        <f t="shared" si="73"/>
        <v>-10636.307203288157</v>
      </c>
      <c r="K127" s="1087">
        <f t="shared" si="73"/>
        <v>-10636.307203288157</v>
      </c>
      <c r="L127" s="1087">
        <f t="shared" si="73"/>
        <v>-10636.307203288157</v>
      </c>
      <c r="M127" s="1087">
        <f t="shared" si="73"/>
        <v>-10636.307203288157</v>
      </c>
      <c r="N127" s="1087">
        <f t="shared" si="73"/>
        <v>-10636.307203288157</v>
      </c>
      <c r="O127" s="1087">
        <f t="shared" si="73"/>
        <v>-10636.307203288157</v>
      </c>
      <c r="P127" s="1087">
        <f t="shared" si="73"/>
        <v>-10636.307203288157</v>
      </c>
    </row>
    <row r="128" spans="1:17" ht="15" customHeight="1">
      <c r="A128" s="1651"/>
      <c r="D128" s="1077"/>
      <c r="E128" s="1086" t="s">
        <v>20</v>
      </c>
      <c r="F128" s="1087">
        <f>F124</f>
        <v>0</v>
      </c>
      <c r="G128" s="1087">
        <f>F128+G124</f>
        <v>0</v>
      </c>
      <c r="H128" s="1087">
        <f t="shared" ref="H128:P128" si="74">G128+H124</f>
        <v>0</v>
      </c>
      <c r="I128" s="1087">
        <f t="shared" si="74"/>
        <v>0</v>
      </c>
      <c r="J128" s="1087">
        <f t="shared" si="74"/>
        <v>0</v>
      </c>
      <c r="K128" s="1087">
        <f t="shared" si="74"/>
        <v>0</v>
      </c>
      <c r="L128" s="1087">
        <f t="shared" si="74"/>
        <v>0</v>
      </c>
      <c r="M128" s="1087">
        <f t="shared" si="74"/>
        <v>0</v>
      </c>
      <c r="N128" s="1087">
        <f t="shared" si="74"/>
        <v>0</v>
      </c>
      <c r="O128" s="1087">
        <f t="shared" si="74"/>
        <v>0</v>
      </c>
      <c r="P128" s="1087">
        <f t="shared" si="74"/>
        <v>0</v>
      </c>
    </row>
    <row r="129" spans="1:16" ht="15" customHeight="1">
      <c r="A129" s="1651"/>
      <c r="D129" s="1030"/>
      <c r="E129" s="1088" t="s">
        <v>480</v>
      </c>
      <c r="F129" s="1089">
        <f>F125</f>
        <v>0</v>
      </c>
      <c r="G129" s="1089">
        <f>F129+G125</f>
        <v>0</v>
      </c>
      <c r="H129" s="1089">
        <f t="shared" ref="H129:P129" si="75">G129+H125</f>
        <v>0</v>
      </c>
      <c r="I129" s="1089">
        <f t="shared" si="75"/>
        <v>0</v>
      </c>
      <c r="J129" s="1089">
        <f t="shared" si="75"/>
        <v>0</v>
      </c>
      <c r="K129" s="1089">
        <f t="shared" si="75"/>
        <v>0</v>
      </c>
      <c r="L129" s="1089">
        <f t="shared" si="75"/>
        <v>0</v>
      </c>
      <c r="M129" s="1089">
        <f t="shared" si="75"/>
        <v>0</v>
      </c>
      <c r="N129" s="1089">
        <f t="shared" si="75"/>
        <v>0</v>
      </c>
      <c r="O129" s="1089">
        <f t="shared" si="75"/>
        <v>0</v>
      </c>
      <c r="P129" s="1089">
        <f t="shared" si="75"/>
        <v>0</v>
      </c>
    </row>
    <row r="130" spans="1:16" ht="15" customHeight="1">
      <c r="A130" s="1651"/>
    </row>
    <row r="131" spans="1:16" ht="15.75" customHeight="1" thickBot="1">
      <c r="A131" s="1651"/>
      <c r="D131" s="1075" t="s">
        <v>8597</v>
      </c>
      <c r="E131" s="1076" t="str">
        <f>CONCATENATE("(",Variables!$C$4,"M)")</f>
        <v>($M)</v>
      </c>
      <c r="F131" s="1040" t="str">
        <f>Variables!$B$19</f>
        <v>FY 22</v>
      </c>
      <c r="G131" s="1022" t="str">
        <f>CONCATENATE("FY ",RIGHT(F131,2)+1)</f>
        <v>FY 23</v>
      </c>
      <c r="H131" s="1022" t="str">
        <f t="shared" ref="H131" si="76">CONCATENATE("FY ",RIGHT(G131,2)+1)</f>
        <v>FY 24</v>
      </c>
      <c r="I131" s="1022" t="str">
        <f t="shared" ref="I131" si="77">CONCATENATE("FY ",RIGHT(H131,2)+1)</f>
        <v>FY 25</v>
      </c>
      <c r="J131" s="1022" t="str">
        <f t="shared" ref="J131" si="78">CONCATENATE("FY ",RIGHT(I131,2)+1)</f>
        <v>FY 26</v>
      </c>
      <c r="K131" s="1022" t="str">
        <f t="shared" ref="K131" si="79">CONCATENATE("FY ",RIGHT(J131,2)+1)</f>
        <v>FY 27</v>
      </c>
      <c r="L131" s="1022" t="str">
        <f t="shared" ref="L131" si="80">CONCATENATE("FY ",RIGHT(K131,2)+1)</f>
        <v>FY 28</v>
      </c>
      <c r="M131" s="1022" t="str">
        <f t="shared" ref="M131" si="81">CONCATENATE("FY ",RIGHT(L131,2)+1)</f>
        <v>FY 29</v>
      </c>
      <c r="N131" s="1022" t="str">
        <f t="shared" ref="N131" si="82">CONCATENATE("FY ",RIGHT(M131,2)+1)</f>
        <v>FY 30</v>
      </c>
      <c r="O131" s="1022" t="str">
        <f t="shared" ref="O131" si="83">CONCATENATE("FY ",RIGHT(N131,2)+1)</f>
        <v>FY 31</v>
      </c>
      <c r="P131" s="1022" t="str">
        <f t="shared" ref="P131" si="84">CONCATENATE("FY ",RIGHT(O131,2)+1)</f>
        <v>FY 32</v>
      </c>
    </row>
    <row r="132" spans="1:16" ht="15" customHeight="1">
      <c r="A132" s="1651"/>
      <c r="D132" s="1079"/>
      <c r="E132" s="1078"/>
      <c r="F132" s="1069" t="s">
        <v>444</v>
      </c>
      <c r="G132" s="1069" t="s">
        <v>449</v>
      </c>
      <c r="H132" s="1069" t="s">
        <v>454</v>
      </c>
      <c r="I132" s="1069" t="s">
        <v>457</v>
      </c>
      <c r="J132" s="1069" t="s">
        <v>461</v>
      </c>
      <c r="K132" s="1069" t="s">
        <v>464</v>
      </c>
      <c r="L132" s="1069" t="s">
        <v>467</v>
      </c>
      <c r="M132" s="1069" t="s">
        <v>468</v>
      </c>
      <c r="N132" s="1069" t="s">
        <v>471</v>
      </c>
      <c r="O132" s="1069" t="s">
        <v>474</v>
      </c>
      <c r="P132" s="1069" t="s">
        <v>476</v>
      </c>
    </row>
    <row r="133" spans="1:16" ht="15" customHeight="1">
      <c r="A133" s="1651"/>
      <c r="D133" s="1669" t="s">
        <v>8598</v>
      </c>
      <c r="E133" s="1670"/>
      <c r="F133" s="1101">
        <f>-(F87/(1+Variables!$B$57)^0)</f>
        <v>-10636.307203288157</v>
      </c>
      <c r="G133" s="1101">
        <f>-(G87/(1+Variables!$B$57)^1)</f>
        <v>0</v>
      </c>
      <c r="H133" s="1101">
        <f>-(H87/(1+Variables!$B$57)^2)</f>
        <v>0</v>
      </c>
      <c r="I133" s="1101">
        <f>-(I87/(1+Variables!$B$57)^3)</f>
        <v>0</v>
      </c>
      <c r="J133" s="1101">
        <f>-(J87/(1+Variables!$B$57)^4)</f>
        <v>0</v>
      </c>
      <c r="K133" s="1101">
        <f>-(K87/(1+Variables!$B$57)^5)</f>
        <v>0</v>
      </c>
      <c r="L133" s="1101">
        <f>-(L87/(1+Variables!$B$57)^6)</f>
        <v>0</v>
      </c>
      <c r="M133" s="1101">
        <f>-(M87/(1+Variables!$B$57)^7)</f>
        <v>0</v>
      </c>
      <c r="N133" s="1101">
        <f>-(N87/(1+Variables!$B$57)^8)</f>
        <v>0</v>
      </c>
      <c r="O133" s="1101">
        <f>-(O87/(1+Variables!$B$57)^9)</f>
        <v>0</v>
      </c>
      <c r="P133" s="1101">
        <f>-(P87/(1+Variables!$B$57)^10)</f>
        <v>0</v>
      </c>
    </row>
    <row r="134" spans="1:16" ht="15" customHeight="1">
      <c r="A134" s="1651"/>
      <c r="D134" s="1669" t="s">
        <v>8599</v>
      </c>
      <c r="E134" s="1670"/>
      <c r="F134" s="1102">
        <f>(GETPIVOTDATA(" Year 1",$E$113)/(1+Variables!$B$57)^0)</f>
        <v>0</v>
      </c>
      <c r="G134" s="1102">
        <f>(GETPIVOTDATA(" Year 2",$E$113)/(1+Variables!$B$57)^1)</f>
        <v>0</v>
      </c>
      <c r="H134" s="1102">
        <f>(GETPIVOTDATA(" Year 3",$E$113)/(1+Variables!$B$57)^2)</f>
        <v>0</v>
      </c>
      <c r="I134" s="1102">
        <f>(GETPIVOTDATA(" Year 4",$E$113)/(1+Variables!$B$57)^3)</f>
        <v>0</v>
      </c>
      <c r="J134" s="1102">
        <f>(GETPIVOTDATA(" Year 5",$E$113)/(1+Variables!$B$57)^4)</f>
        <v>0</v>
      </c>
      <c r="K134" s="1102">
        <f>(GETPIVOTDATA(" Year 6",$E$113)/(1+Variables!$B$57)^5)</f>
        <v>0</v>
      </c>
      <c r="L134" s="1102">
        <f>(GETPIVOTDATA(" Year 7",$E$113)/(1+Variables!$B$57)^6)</f>
        <v>0</v>
      </c>
      <c r="M134" s="1102">
        <f>(GETPIVOTDATA(" Year 8",$E$113)/(1+Variables!$B$57)^7)</f>
        <v>0</v>
      </c>
      <c r="N134" s="1102">
        <f>(GETPIVOTDATA(" Year 9",$E$113)/(1+Variables!$B$57)^8)</f>
        <v>0</v>
      </c>
      <c r="O134" s="1102">
        <f>(GETPIVOTDATA(" Year 10",$E$113)/(1+Variables!$B$57)^9)</f>
        <v>0</v>
      </c>
      <c r="P134" s="1102">
        <f>(GETPIVOTDATA(" Year 11",$E$113)/(1+Variables!$B$57)^10)</f>
        <v>0</v>
      </c>
    </row>
    <row r="135" spans="1:16" ht="15" customHeight="1">
      <c r="A135" s="1651"/>
      <c r="D135" s="1669" t="s">
        <v>8600</v>
      </c>
      <c r="E135" s="1670"/>
      <c r="F135" s="1102">
        <f>F134+F133</f>
        <v>-10636.307203288157</v>
      </c>
      <c r="G135" s="1102">
        <f t="shared" ref="G135:P135" si="85">G134+G133</f>
        <v>0</v>
      </c>
      <c r="H135" s="1102">
        <f t="shared" si="85"/>
        <v>0</v>
      </c>
      <c r="I135" s="1102">
        <f t="shared" si="85"/>
        <v>0</v>
      </c>
      <c r="J135" s="1102">
        <f t="shared" si="85"/>
        <v>0</v>
      </c>
      <c r="K135" s="1102">
        <f t="shared" si="85"/>
        <v>0</v>
      </c>
      <c r="L135" s="1102">
        <f t="shared" si="85"/>
        <v>0</v>
      </c>
      <c r="M135" s="1102">
        <f t="shared" si="85"/>
        <v>0</v>
      </c>
      <c r="N135" s="1102">
        <f t="shared" si="85"/>
        <v>0</v>
      </c>
      <c r="O135" s="1102">
        <f t="shared" si="85"/>
        <v>0</v>
      </c>
      <c r="P135" s="1102">
        <f t="shared" si="85"/>
        <v>0</v>
      </c>
    </row>
    <row r="136" spans="1:16" ht="15" customHeight="1">
      <c r="A136" s="1651"/>
      <c r="D136" s="1665" t="s">
        <v>8601</v>
      </c>
      <c r="E136" s="1666"/>
      <c r="F136" s="1103">
        <f>F135</f>
        <v>-10636.307203288157</v>
      </c>
      <c r="G136" s="1103">
        <f>F136+G135</f>
        <v>-10636.307203288157</v>
      </c>
      <c r="H136" s="1103">
        <f t="shared" ref="H136:P136" si="86">G136+H135</f>
        <v>-10636.307203288157</v>
      </c>
      <c r="I136" s="1103">
        <f t="shared" si="86"/>
        <v>-10636.307203288157</v>
      </c>
      <c r="J136" s="1103">
        <f t="shared" si="86"/>
        <v>-10636.307203288157</v>
      </c>
      <c r="K136" s="1103">
        <f t="shared" si="86"/>
        <v>-10636.307203288157</v>
      </c>
      <c r="L136" s="1103">
        <f t="shared" si="86"/>
        <v>-10636.307203288157</v>
      </c>
      <c r="M136" s="1103">
        <f t="shared" si="86"/>
        <v>-10636.307203288157</v>
      </c>
      <c r="N136" s="1103">
        <f t="shared" si="86"/>
        <v>-10636.307203288157</v>
      </c>
      <c r="O136" s="1103">
        <f t="shared" si="86"/>
        <v>-10636.307203288157</v>
      </c>
      <c r="P136" s="1103">
        <f t="shared" si="86"/>
        <v>-10636.307203288157</v>
      </c>
    </row>
    <row r="137" spans="1:16" ht="15" customHeight="1">
      <c r="A137" s="1651"/>
    </row>
    <row r="138" spans="1:16" ht="15" customHeight="1">
      <c r="A138" s="1651"/>
      <c r="D138" s="962" t="s">
        <v>8694</v>
      </c>
      <c r="F138" s="1104">
        <f>SUM(F135:P135)</f>
        <v>-10636.307203288157</v>
      </c>
    </row>
    <row r="139" spans="1:16" ht="15" customHeight="1">
      <c r="A139" s="1651"/>
    </row>
    <row r="140" spans="1:16" ht="15" customHeight="1">
      <c r="A140" s="1651"/>
      <c r="D140" s="1653" t="s">
        <v>8602</v>
      </c>
      <c r="E140" s="1654"/>
      <c r="F140" s="1654"/>
      <c r="G140" s="1654"/>
      <c r="H140" s="1654"/>
      <c r="I140" s="1654"/>
      <c r="J140" s="1654"/>
      <c r="K140" s="1654"/>
      <c r="L140" s="1654"/>
      <c r="M140" s="1654"/>
      <c r="N140" s="1654"/>
      <c r="O140" s="1654"/>
      <c r="P140" s="1655"/>
    </row>
    <row r="141" spans="1:16" ht="15" customHeight="1">
      <c r="A141" s="1651"/>
      <c r="D141" s="1648" t="s">
        <v>8603</v>
      </c>
      <c r="E141" s="1649"/>
      <c r="F141" s="1085">
        <f>NPV(Variables!$B$57,F122:P122)</f>
        <v>-10034.252078573732</v>
      </c>
      <c r="G141" s="1030"/>
      <c r="H141" s="1031"/>
      <c r="I141" s="1031"/>
      <c r="J141" s="1031"/>
      <c r="K141" s="1031"/>
      <c r="L141" s="1031"/>
      <c r="M141" s="1031"/>
      <c r="N141" s="1031"/>
      <c r="O141" s="1031"/>
      <c r="P141" s="1031"/>
    </row>
    <row r="142" spans="1:16" ht="15" customHeight="1">
      <c r="A142" s="1651"/>
      <c r="D142" s="1648" t="s">
        <v>8604</v>
      </c>
      <c r="E142" s="1649"/>
      <c r="F142" s="1415">
        <f>IFERROR(-SUM($F$134:F$134)/SUM($F$133:F$133),0)</f>
        <v>0</v>
      </c>
      <c r="G142" s="1415">
        <f>IFERROR(-SUM($F$134:G$134)/SUM($F$133:G$133),0)</f>
        <v>0</v>
      </c>
      <c r="H142" s="1415">
        <f>IFERROR(-SUM($F$134:H$134)/SUM($F$133:H$133),0)</f>
        <v>0</v>
      </c>
      <c r="I142" s="1415">
        <f>IFERROR(-SUM($F$134:I$134)/SUM($F$133:I$133),0)</f>
        <v>0</v>
      </c>
      <c r="J142" s="1415">
        <f>IFERROR(-SUM($F$134:J$134)/SUM($F$133:J$133),0)</f>
        <v>0</v>
      </c>
      <c r="K142" s="1415">
        <f>IFERROR(-SUM($F$134:K$134)/SUM($F$133:K$133),0)</f>
        <v>0</v>
      </c>
      <c r="L142" s="1415">
        <f>IFERROR(-SUM($F$134:L$134)/SUM($F$133:L$133),0)</f>
        <v>0</v>
      </c>
      <c r="M142" s="1415">
        <f>IFERROR(-SUM($F$134:M$134)/SUM($F$133:M$133),0)</f>
        <v>0</v>
      </c>
      <c r="N142" s="1415">
        <f>IFERROR(-SUM($F$134:N$134)/SUM($F$133:N$133),0)</f>
        <v>0</v>
      </c>
      <c r="O142" s="1415">
        <f>IFERROR(-SUM($F$134:O$134)/SUM($F$133:O$133),0)</f>
        <v>0</v>
      </c>
      <c r="P142" s="1415">
        <f>IFERROR(-SUM($F$134:P$134)/SUM($F$133:P$133),0)</f>
        <v>0</v>
      </c>
    </row>
    <row r="143" spans="1:16" ht="15" customHeight="1">
      <c r="A143" s="1651"/>
      <c r="D143" s="1648" t="s">
        <v>8693</v>
      </c>
      <c r="E143" s="1649"/>
      <c r="F143" s="1090">
        <f>IFERROR(-SUM($F$134:P134)/SUM($F$133:P133),"")</f>
        <v>0</v>
      </c>
    </row>
  </sheetData>
  <mergeCells count="28">
    <mergeCell ref="B12:C12"/>
    <mergeCell ref="B13:C13"/>
    <mergeCell ref="B14:C14"/>
    <mergeCell ref="B16:C16"/>
    <mergeCell ref="B1:D1"/>
    <mergeCell ref="D4:J4"/>
    <mergeCell ref="B15:C15"/>
    <mergeCell ref="A18:A22"/>
    <mergeCell ref="A24:A80"/>
    <mergeCell ref="A101:A109"/>
    <mergeCell ref="D136:E136"/>
    <mergeCell ref="B18:C18"/>
    <mergeCell ref="D133:E133"/>
    <mergeCell ref="D134:E134"/>
    <mergeCell ref="D135:E135"/>
    <mergeCell ref="B90:C90"/>
    <mergeCell ref="B112:C112"/>
    <mergeCell ref="B24:C24"/>
    <mergeCell ref="B75:C75"/>
    <mergeCell ref="B82:C82"/>
    <mergeCell ref="B68:D68"/>
    <mergeCell ref="A92:A100"/>
    <mergeCell ref="D143:E143"/>
    <mergeCell ref="A120:A143"/>
    <mergeCell ref="D141:E141"/>
    <mergeCell ref="D142:E142"/>
    <mergeCell ref="A112:A117"/>
    <mergeCell ref="D140:P140"/>
  </mergeCell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82269-B438-4905-A0D9-0CEE7AE1E9ED}">
  <sheetPr codeName="Sheet10">
    <tabColor theme="3" tint="0.59999389629810485"/>
  </sheetPr>
  <dimension ref="A1:G22"/>
  <sheetViews>
    <sheetView showGridLines="0" workbookViewId="0">
      <pane ySplit="2" topLeftCell="A3" activePane="bottomLeft" state="frozen"/>
      <selection pane="bottomLeft" activeCell="L13" sqref="L13:L14"/>
    </sheetView>
  </sheetViews>
  <sheetFormatPr defaultColWidth="9.1796875" defaultRowHeight="14.5"/>
  <cols>
    <col min="1" max="2" width="9.1796875" style="1109"/>
    <col min="3" max="3" width="30.54296875" style="1109" bestFit="1" customWidth="1"/>
    <col min="4" max="4" width="14.7265625" style="1145" bestFit="1" customWidth="1"/>
    <col min="5" max="5" width="9.1796875" style="1145"/>
    <col min="6" max="6" width="24" style="1145" customWidth="1"/>
    <col min="7" max="7" width="42.453125" style="1145" bestFit="1" customWidth="1"/>
    <col min="8" max="16384" width="9.1796875" style="1109"/>
  </cols>
  <sheetData>
    <row r="1" spans="1:7" ht="23.5">
      <c r="A1" s="1105" t="s">
        <v>8674</v>
      </c>
      <c r="B1" s="1106"/>
      <c r="C1" s="1107"/>
      <c r="D1" s="1108"/>
      <c r="E1" s="1108"/>
      <c r="F1" s="1108"/>
      <c r="G1" s="1108"/>
    </row>
    <row r="2" spans="1:7">
      <c r="A2" s="1110"/>
      <c r="B2" s="1110"/>
      <c r="C2" s="1110"/>
      <c r="D2" s="1111"/>
      <c r="E2" s="1111"/>
      <c r="F2" s="1112"/>
      <c r="G2" s="1111"/>
    </row>
    <row r="3" spans="1:7">
      <c r="A3" s="1110"/>
      <c r="B3" s="1110"/>
      <c r="C3" s="1110"/>
      <c r="D3" s="1111"/>
      <c r="E3" s="1111"/>
      <c r="F3" s="1112"/>
      <c r="G3" s="1111"/>
    </row>
    <row r="4" spans="1:7" ht="21">
      <c r="A4" s="1110"/>
      <c r="B4" s="1680" t="s">
        <v>8675</v>
      </c>
      <c r="C4" s="1680"/>
      <c r="D4" s="1680"/>
      <c r="E4" s="1680"/>
      <c r="F4" s="1680"/>
      <c r="G4" s="1111"/>
    </row>
    <row r="5" spans="1:7">
      <c r="A5" s="1110"/>
      <c r="B5" s="1110"/>
      <c r="C5" s="1110"/>
      <c r="D5" s="1111"/>
      <c r="E5" s="1111"/>
      <c r="F5" s="1112"/>
      <c r="G5" s="1111"/>
    </row>
    <row r="6" spans="1:7" ht="15.5">
      <c r="A6" s="1110"/>
      <c r="B6" s="1113" t="s">
        <v>8676</v>
      </c>
      <c r="C6" s="1114"/>
      <c r="D6" s="1115">
        <f>IFERROR(IF(
('Business Case Summary'!F143)*0.4&gt;0.5,0.5,
IF(
('Business Case Summary'!F143)*0.4&lt;=0.15,0.15,
('Business Case Summary'!F143)*0.4)),0)</f>
        <v>0.15</v>
      </c>
      <c r="E6" s="1116"/>
      <c r="F6" s="1117">
        <f>IFERROR('Business Case Summary'!F143+100%,"")</f>
        <v>1</v>
      </c>
      <c r="G6" s="1118" t="s">
        <v>8981</v>
      </c>
    </row>
    <row r="7" spans="1:7" ht="15.5">
      <c r="A7" s="1110"/>
      <c r="B7" s="1119" t="s">
        <v>8644</v>
      </c>
      <c r="C7" s="1120"/>
      <c r="D7" s="1121">
        <f>E8+E9</f>
        <v>0.09</v>
      </c>
      <c r="E7" s="1122"/>
      <c r="F7" s="1123" t="str">
        <f>CONCATENATE(F8," - ",F9)</f>
        <v>Business Critical - Medium</v>
      </c>
      <c r="G7" s="1118"/>
    </row>
    <row r="8" spans="1:7" ht="39">
      <c r="A8" s="1110"/>
      <c r="B8" s="1124"/>
      <c r="C8" s="1125" t="s">
        <v>8677</v>
      </c>
      <c r="D8" s="1126"/>
      <c r="E8" s="1127">
        <f>IF(F8="Business Critical",0.08,(IF(F8="Operational Critical",0.03,0)))</f>
        <v>0.08</v>
      </c>
      <c r="F8" s="1123" t="str">
        <f>Variables!B12</f>
        <v>Business Critical</v>
      </c>
      <c r="G8" s="1128" t="s">
        <v>8678</v>
      </c>
    </row>
    <row r="9" spans="1:7" ht="15.5">
      <c r="A9" s="1110"/>
      <c r="B9" s="1124"/>
      <c r="C9" s="1125" t="s">
        <v>8679</v>
      </c>
      <c r="D9" s="1126"/>
      <c r="E9" s="1127">
        <f>IF(F9="High",0.02,(IF(F9="Medium",0.01,0)))</f>
        <v>0.01</v>
      </c>
      <c r="F9" s="1123" t="str">
        <f>Variables!B13</f>
        <v>Medium</v>
      </c>
      <c r="G9" s="1129" t="s">
        <v>8680</v>
      </c>
    </row>
    <row r="10" spans="1:7" ht="52">
      <c r="A10" s="1110"/>
      <c r="B10" s="1119" t="s">
        <v>8643</v>
      </c>
      <c r="C10" s="1120"/>
      <c r="D10" s="1121">
        <f>IF(F10="High",0.1,IF(F10="Medium",0.075,IF(F10="Low",0.025,0)))</f>
        <v>0.1</v>
      </c>
      <c r="E10" s="1122"/>
      <c r="F10" s="1123" t="str">
        <f>Variables!B14</f>
        <v>High</v>
      </c>
      <c r="G10" s="1118" t="s">
        <v>8692</v>
      </c>
    </row>
    <row r="11" spans="1:7" ht="15.5">
      <c r="A11" s="1110"/>
      <c r="B11" s="1119" t="s">
        <v>8646</v>
      </c>
      <c r="C11" s="1411"/>
      <c r="D11" s="1412">
        <f>IF(F11="Yes",1,0)</f>
        <v>0</v>
      </c>
      <c r="E11" s="1413"/>
      <c r="F11" s="1414" t="str">
        <f>Variables!B15</f>
        <v>No</v>
      </c>
      <c r="G11" s="1118" t="s">
        <v>8681</v>
      </c>
    </row>
    <row r="12" spans="1:7" ht="15.5">
      <c r="A12" s="1110"/>
      <c r="B12" s="1119" t="s">
        <v>9063</v>
      </c>
      <c r="C12" s="1411"/>
      <c r="D12" s="1412">
        <f>IF(F12="Yes",0.1,0)</f>
        <v>0</v>
      </c>
      <c r="E12" s="1413"/>
      <c r="F12" s="1414" t="str">
        <f>Variables!B16</f>
        <v>No</v>
      </c>
      <c r="G12" s="1118" t="s">
        <v>8980</v>
      </c>
    </row>
    <row r="13" spans="1:7">
      <c r="A13" s="1110"/>
      <c r="B13" s="1110"/>
      <c r="C13" s="1110"/>
      <c r="D13" s="1111"/>
      <c r="E13" s="1111"/>
      <c r="F13" s="1112"/>
      <c r="G13" s="1111"/>
    </row>
    <row r="14" spans="1:7" ht="21">
      <c r="A14" s="1110"/>
      <c r="B14" s="1681" t="s">
        <v>8682</v>
      </c>
      <c r="C14" s="1681"/>
      <c r="D14" s="1681"/>
      <c r="E14" s="1681"/>
      <c r="F14" s="1681"/>
      <c r="G14" s="1111"/>
    </row>
    <row r="15" spans="1:7">
      <c r="A15" s="1110"/>
      <c r="B15" s="1110"/>
      <c r="C15" s="1110"/>
      <c r="D15" s="1111"/>
      <c r="E15" s="1111"/>
      <c r="F15" s="1111"/>
      <c r="G15" s="1111"/>
    </row>
    <row r="16" spans="1:7" ht="39">
      <c r="A16" s="1110"/>
      <c r="B16" s="1113" t="s">
        <v>8683</v>
      </c>
      <c r="C16" s="1114"/>
      <c r="D16" s="1115">
        <v>0.1</v>
      </c>
      <c r="E16" s="1130"/>
      <c r="F16" s="1131">
        <f>'Business Case Summary'!D11-'Business Case Summary'!D9+1</f>
        <v>1</v>
      </c>
      <c r="G16" s="1118" t="s">
        <v>8696</v>
      </c>
    </row>
    <row r="17" spans="1:7" ht="15.5">
      <c r="A17" s="1110"/>
      <c r="B17" s="1119" t="s">
        <v>8684</v>
      </c>
      <c r="C17" s="1120"/>
      <c r="D17" s="1121">
        <f>(SUM(E18:E20))</f>
        <v>0.2</v>
      </c>
      <c r="E17" s="1132"/>
      <c r="F17" s="1123"/>
      <c r="G17" s="1133"/>
    </row>
    <row r="18" spans="1:7" ht="39">
      <c r="A18" s="1110"/>
      <c r="B18" s="1124"/>
      <c r="C18" s="1125" t="s">
        <v>8685</v>
      </c>
      <c r="D18" s="1126"/>
      <c r="E18" s="1127">
        <f>IF(CAPEXTOTAL=0,0,IF(F18 &lt;= 0.25, 0.1,IF(F18 &gt; 0.5, 0, 0.05)))</f>
        <v>0.1</v>
      </c>
      <c r="F18" s="1134">
        <f>IFERROR(OPEXTOTAL  /  CAPEXTOTAL,"")</f>
        <v>0</v>
      </c>
      <c r="G18" s="1118" t="s">
        <v>8695</v>
      </c>
    </row>
    <row r="19" spans="1:7" ht="26">
      <c r="A19" s="1110"/>
      <c r="B19" s="1124"/>
      <c r="C19" s="1125" t="s">
        <v>8686</v>
      </c>
      <c r="D19" s="1126"/>
      <c r="E19" s="1127">
        <f>IF(F19=0,0,IF(F19&lt;=3,0.1,0))</f>
        <v>0</v>
      </c>
      <c r="F19" s="1123">
        <f t="array" ref="F19">SUM(IF(FREQUENCY(IF(LEN('Individual FTC Cost View'!AB3:AB449)&gt;0,MATCH('Individual FTC Cost View'!AB3:AB449,'Individual FTC Cost View'!AB3:AB449,0),""),IF(LEN('Individual FTC Cost View'!AB3:AB449)&gt;0,MATCH('Individual FTC Cost View'!AB3:AB449,'Individual FTC Cost View'!AB3:AB449,0),""))&gt;0,1))</f>
        <v>6</v>
      </c>
      <c r="G19" s="1118" t="s">
        <v>8687</v>
      </c>
    </row>
    <row r="20" spans="1:7" ht="39">
      <c r="A20" s="1110"/>
      <c r="B20" s="1135"/>
      <c r="C20" s="1136" t="s">
        <v>8688</v>
      </c>
      <c r="D20" s="1137"/>
      <c r="E20" s="1138">
        <f xml:space="preserve"> IF(TOTEX=0,0,
IF(TOTEX&gt;5000000,0,
IF(TOTEX&gt;=2000000,0.05,0.1)))</f>
        <v>0.1</v>
      </c>
      <c r="F20" s="1150">
        <f>TOTEX</f>
        <v>10636.307203288157</v>
      </c>
      <c r="G20" s="1118" t="s">
        <v>8689</v>
      </c>
    </row>
    <row r="21" spans="1:7">
      <c r="A21" s="1110"/>
      <c r="B21" s="1110"/>
      <c r="C21" s="1110"/>
      <c r="D21" s="1139"/>
      <c r="E21" s="1111"/>
      <c r="F21" s="1112"/>
      <c r="G21" s="1111"/>
    </row>
    <row r="22" spans="1:7" ht="21">
      <c r="A22" s="1110"/>
      <c r="B22" s="1140" t="s">
        <v>8690</v>
      </c>
      <c r="C22" s="1141"/>
      <c r="D22" s="1142">
        <f>IF(SUM(D6:D12,D16:D17)/1.2*100 &gt; 100, 100, IFERROR(SUM(D6:D12,D16:D17)/1.2*100,"To be calculated"))</f>
        <v>53.333333333333336</v>
      </c>
      <c r="E22" s="1143"/>
      <c r="F22" s="1144"/>
      <c r="G22" s="1118" t="s">
        <v>8691</v>
      </c>
    </row>
  </sheetData>
  <sheetProtection algorithmName="SHA-512" hashValue="ndMSD7vRJxBaXzV30+FzNzmVk3EaORueYLFSs2QwY49pdrdSak8q1vCe4X85LfroR3w2cSC+yr7/jH+H8DKjEw==" saltValue="gnkHiSCl07RUyO0wq/TUyg==" spinCount="100000" sheet="1" objects="1" scenarios="1"/>
  <mergeCells count="2">
    <mergeCell ref="B4:F4"/>
    <mergeCell ref="B14:F14"/>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CBE28-2777-4A48-840A-AA706F12B5B8}">
  <sheetPr codeName="Sheet11">
    <tabColor theme="8" tint="0.79998168889431442"/>
  </sheetPr>
  <dimension ref="A1:BO497"/>
  <sheetViews>
    <sheetView workbookViewId="0">
      <selection activeCell="AS252" sqref="AS252"/>
    </sheetView>
  </sheetViews>
  <sheetFormatPr defaultColWidth="9.1796875" defaultRowHeight="13"/>
  <cols>
    <col min="1" max="1" width="5.54296875" style="962" customWidth="1"/>
    <col min="2" max="2" width="24.54296875" style="1024" bestFit="1" customWidth="1"/>
    <col min="3" max="3" width="22.7265625" style="962" bestFit="1" customWidth="1"/>
    <col min="4" max="4" width="20" style="962" bestFit="1" customWidth="1"/>
    <col min="5" max="5" width="50.453125" style="962" bestFit="1" customWidth="1"/>
    <col min="6" max="6" width="16.1796875" style="962" bestFit="1" customWidth="1"/>
    <col min="7" max="18" width="8.7265625" style="962" customWidth="1"/>
    <col min="19" max="25" width="5" style="962" bestFit="1" customWidth="1"/>
    <col min="26" max="26" width="5" style="962" customWidth="1"/>
    <col min="27" max="27" width="5" style="962" bestFit="1" customWidth="1"/>
    <col min="28" max="28" width="14.7265625" style="962" customWidth="1"/>
    <col min="29" max="29" width="19.7265625" style="962" customWidth="1"/>
    <col min="30" max="30" width="45.453125" style="962" customWidth="1"/>
    <col min="31" max="31" width="15.7265625" style="962" bestFit="1" customWidth="1"/>
    <col min="32" max="32" width="12.54296875" style="962" bestFit="1" customWidth="1"/>
    <col min="33" max="44" width="9.1796875" style="962"/>
    <col min="45" max="58" width="6" style="962" bestFit="1" customWidth="1"/>
    <col min="59" max="59" width="11.26953125" style="962" bestFit="1" customWidth="1"/>
    <col min="60" max="16384" width="9.1796875" style="962"/>
  </cols>
  <sheetData>
    <row r="1" spans="1:67" s="1166" customFormat="1" ht="17.25" customHeight="1" thickBot="1">
      <c r="B1" s="1682" t="str">
        <f ca="1">"Business Case [ "&amp;MID(CELL("filename",B1),FIND("]",CELL("filename",B1))+1,255)&amp;" ]"</f>
        <v>Business Case [ Individual FTC Cost View ]</v>
      </c>
      <c r="C1" s="1682"/>
      <c r="D1" s="1682"/>
      <c r="E1" s="1156"/>
      <c r="F1" s="1157"/>
      <c r="G1" s="1157"/>
      <c r="H1" s="1157"/>
      <c r="I1" s="1156"/>
      <c r="J1" s="1156"/>
      <c r="K1" s="1156"/>
      <c r="L1" s="1156"/>
      <c r="M1" s="1156"/>
      <c r="N1" s="1156"/>
      <c r="O1" s="1156"/>
      <c r="P1" s="1156"/>
      <c r="Q1" s="1156"/>
      <c r="R1" s="1156"/>
      <c r="AG1" s="1178" t="str">
        <f>Variables!$B$19</f>
        <v>FY 22</v>
      </c>
      <c r="AH1" s="1179" t="str">
        <f>CONCATENATE("FY ",RIGHT(AG1,2)+1)</f>
        <v>FY 23</v>
      </c>
      <c r="AI1" s="1179" t="str">
        <f t="shared" ref="AI1:AQ1" si="0">CONCATENATE("FY ",RIGHT(AH1,2)+1)</f>
        <v>FY 24</v>
      </c>
      <c r="AJ1" s="1179" t="str">
        <f t="shared" si="0"/>
        <v>FY 25</v>
      </c>
      <c r="AK1" s="1179" t="str">
        <f t="shared" si="0"/>
        <v>FY 26</v>
      </c>
      <c r="AL1" s="1179" t="str">
        <f t="shared" si="0"/>
        <v>FY 27</v>
      </c>
      <c r="AM1" s="1179" t="str">
        <f t="shared" si="0"/>
        <v>FY 28</v>
      </c>
      <c r="AN1" s="1179" t="str">
        <f t="shared" si="0"/>
        <v>FY 29</v>
      </c>
      <c r="AO1" s="1179" t="str">
        <f t="shared" si="0"/>
        <v>FY 30</v>
      </c>
      <c r="AP1" s="1179" t="str">
        <f t="shared" si="0"/>
        <v>FY 31</v>
      </c>
      <c r="AQ1" s="1179" t="str">
        <f t="shared" si="0"/>
        <v>FY 32</v>
      </c>
      <c r="AS1" s="1167"/>
      <c r="AT1" s="1167"/>
      <c r="AU1" s="1167"/>
      <c r="AV1" s="1167"/>
      <c r="AW1" s="1167"/>
      <c r="AX1" s="1167"/>
      <c r="AY1" s="1167"/>
      <c r="AZ1" s="1167"/>
      <c r="BA1" s="1167"/>
      <c r="BB1" s="1167"/>
      <c r="BC1" s="1167"/>
      <c r="BD1" s="1167"/>
      <c r="BE1" s="1167"/>
      <c r="BF1" s="1167"/>
      <c r="BG1" s="1167"/>
      <c r="BH1" s="1167"/>
      <c r="BI1" s="1167"/>
      <c r="BJ1" s="1167"/>
      <c r="BK1" s="1167"/>
      <c r="BL1" s="1167"/>
      <c r="BM1" s="1167"/>
      <c r="BN1" s="1167"/>
      <c r="BO1" s="1167"/>
    </row>
    <row r="2" spans="1:67" s="1166" customFormat="1" ht="26.5" thickBot="1">
      <c r="B2" s="1152" t="s">
        <v>8642</v>
      </c>
      <c r="C2" s="1152"/>
      <c r="D2" s="1170" t="str">
        <f>Variables!$B$4</f>
        <v>US</v>
      </c>
      <c r="E2" s="1155"/>
      <c r="F2" s="1156"/>
      <c r="G2" s="1157"/>
      <c r="H2" s="1157"/>
      <c r="I2" s="1157"/>
      <c r="J2" s="1156"/>
      <c r="K2" s="1156"/>
      <c r="L2" s="1156"/>
      <c r="M2" s="1156"/>
      <c r="N2" s="1156"/>
      <c r="O2" s="1156"/>
      <c r="P2" s="1156"/>
      <c r="Q2" s="1156"/>
      <c r="R2" s="1156"/>
      <c r="AB2" s="1173" t="s">
        <v>8476</v>
      </c>
      <c r="AC2" s="1174" t="s">
        <v>8429</v>
      </c>
      <c r="AD2" s="1174" t="s">
        <v>8430</v>
      </c>
      <c r="AE2" s="1174" t="s">
        <v>8431</v>
      </c>
      <c r="AF2" s="1175" t="s">
        <v>226</v>
      </c>
      <c r="AG2" s="1066" t="s">
        <v>444</v>
      </c>
      <c r="AH2" s="1066" t="s">
        <v>449</v>
      </c>
      <c r="AI2" s="1066" t="s">
        <v>454</v>
      </c>
      <c r="AJ2" s="1066" t="s">
        <v>457</v>
      </c>
      <c r="AK2" s="1066" t="s">
        <v>461</v>
      </c>
      <c r="AL2" s="1066" t="s">
        <v>464</v>
      </c>
      <c r="AM2" s="1066" t="s">
        <v>467</v>
      </c>
      <c r="AN2" s="1066" t="s">
        <v>468</v>
      </c>
      <c r="AO2" s="1066" t="s">
        <v>471</v>
      </c>
      <c r="AP2" s="1066" t="s">
        <v>474</v>
      </c>
      <c r="AQ2" s="1176" t="s">
        <v>476</v>
      </c>
      <c r="AR2" s="1177" t="s">
        <v>18</v>
      </c>
      <c r="AS2" s="1167"/>
      <c r="AT2" s="1167"/>
      <c r="AU2" s="1167"/>
      <c r="AV2" s="1167"/>
      <c r="AW2" s="1167"/>
      <c r="AX2" s="1167"/>
      <c r="AY2" s="1167"/>
      <c r="AZ2" s="1167"/>
      <c r="BA2" s="1167"/>
      <c r="BB2" s="1167"/>
      <c r="BC2" s="1167"/>
      <c r="BD2" s="1167"/>
      <c r="BE2" s="1167"/>
      <c r="BF2" s="1167"/>
      <c r="BG2" s="1167"/>
      <c r="BH2" s="1167"/>
      <c r="BI2" s="1167"/>
      <c r="BJ2" s="1167"/>
      <c r="BK2" s="1167"/>
      <c r="BL2" s="1167"/>
      <c r="BM2" s="1167"/>
      <c r="BN2" s="1167"/>
      <c r="BO2" s="1167"/>
    </row>
    <row r="3" spans="1:67" s="1166" customFormat="1" ht="15.5">
      <c r="B3" s="1152" t="s">
        <v>491</v>
      </c>
      <c r="C3" s="1152"/>
      <c r="D3" s="1170" t="str">
        <f>Variables!$B$2</f>
        <v>6252US</v>
      </c>
      <c r="E3" s="1157"/>
      <c r="F3" s="1156"/>
      <c r="G3" s="1157"/>
      <c r="H3" s="1157"/>
      <c r="I3" s="1157"/>
      <c r="J3" s="1156"/>
      <c r="K3" s="1168"/>
      <c r="L3" s="1168"/>
      <c r="M3" s="1168"/>
      <c r="N3" s="1168"/>
      <c r="O3" s="1156"/>
      <c r="P3" s="1156"/>
      <c r="Q3" s="1156"/>
      <c r="R3" s="1156"/>
      <c r="AA3" s="1683" t="str">
        <f>CONCATENATE("Forecasted Remaining Resource Costs by Fiscal Year (",Variables!$C$4,"M)")</f>
        <v>Forecasted Remaining Resource Costs by Fiscal Year ($M)</v>
      </c>
      <c r="AB3" s="1005" t="str">
        <f>'Resource Costs'!$FC5</f>
        <v>Architecture</v>
      </c>
      <c r="AC3" s="1005" t="str">
        <f>'Resource Costs'!$FD5</f>
        <v>Architecture_Interfaces</v>
      </c>
      <c r="AD3" s="1005" t="str">
        <f>'Resource Costs'!$FE5</f>
        <v>Labor</v>
      </c>
      <c r="AE3" s="1005" t="str">
        <f>'Resource Costs'!$FF5</f>
        <v>Lisa Pratico</v>
      </c>
      <c r="AF3" s="1005" t="str">
        <f>'Resource Costs'!$FG5</f>
        <v>Capex</v>
      </c>
      <c r="AG3" s="1006">
        <f>'Resource Costs'!$FH5</f>
        <v>97600</v>
      </c>
      <c r="AH3" s="1006">
        <f>'Resource Costs'!$FI5</f>
        <v>0</v>
      </c>
      <c r="AI3" s="1006">
        <f>'Resource Costs'!$FJ5</f>
        <v>0</v>
      </c>
      <c r="AJ3" s="1006">
        <f>'Resource Costs'!$FK5</f>
        <v>0</v>
      </c>
      <c r="AK3" s="1006">
        <f>'Resource Costs'!$FL5</f>
        <v>0</v>
      </c>
      <c r="AL3" s="1006">
        <f>'Resource Costs'!$FM5</f>
        <v>0</v>
      </c>
      <c r="AM3" s="1007">
        <v>0</v>
      </c>
      <c r="AN3" s="1007">
        <v>0</v>
      </c>
      <c r="AO3" s="1007">
        <v>0</v>
      </c>
      <c r="AP3" s="1007">
        <v>0</v>
      </c>
      <c r="AQ3" s="1007">
        <v>0</v>
      </c>
      <c r="AR3" s="1016">
        <f>SUM(AG3:AQ3)</f>
        <v>97600</v>
      </c>
      <c r="AS3" s="1167"/>
      <c r="AT3" s="1167"/>
      <c r="AU3" s="1167"/>
      <c r="AV3" s="1167"/>
      <c r="AW3" s="1167"/>
      <c r="AX3" s="1167"/>
      <c r="AY3" s="1167"/>
      <c r="AZ3" s="1167"/>
      <c r="BA3" s="1167"/>
      <c r="BB3" s="1167"/>
      <c r="BC3" s="1167"/>
      <c r="BD3" s="1167"/>
      <c r="BE3" s="1167"/>
      <c r="BF3" s="1167"/>
      <c r="BG3" s="1167"/>
      <c r="BH3" s="1167"/>
      <c r="BI3" s="1167"/>
      <c r="BJ3" s="1167"/>
      <c r="BK3" s="1167"/>
      <c r="BL3" s="1167"/>
      <c r="BM3" s="1167"/>
      <c r="BN3" s="1167"/>
      <c r="BO3" s="1167"/>
    </row>
    <row r="4" spans="1:67" s="1166" customFormat="1" ht="15.5">
      <c r="B4" s="1152" t="s">
        <v>8539</v>
      </c>
      <c r="C4" s="1152"/>
      <c r="D4" s="1692" t="str">
        <f>Variables!$B$3</f>
        <v>Data Mgmt Tools and Initiatives</v>
      </c>
      <c r="E4" s="1692"/>
      <c r="F4" s="1692"/>
      <c r="G4" s="1692"/>
      <c r="H4" s="1692"/>
      <c r="I4" s="1692"/>
      <c r="J4" s="1692"/>
      <c r="K4" s="1156"/>
      <c r="L4" s="1156"/>
      <c r="M4" s="1156"/>
      <c r="N4" s="1156"/>
      <c r="O4" s="1156"/>
      <c r="P4" s="1156"/>
      <c r="Q4" s="1156"/>
      <c r="R4" s="1156"/>
      <c r="AA4" s="1684"/>
      <c r="AB4" s="1005" t="str">
        <f>'Resource Costs'!$FC6</f>
        <v>US_IT</v>
      </c>
      <c r="AC4" s="1005" t="str">
        <f>'Resource Costs'!$FD6</f>
        <v>Planning</v>
      </c>
      <c r="AD4" s="1005" t="str">
        <f>'Resource Costs'!$FE6</f>
        <v>Labor</v>
      </c>
      <c r="AE4" s="1005" t="str">
        <f>'Resource Costs'!$FF6</f>
        <v>Steve Olive</v>
      </c>
      <c r="AF4" s="1005" t="str">
        <f>'Resource Costs'!$FG6</f>
        <v>Capex</v>
      </c>
      <c r="AG4" s="1006">
        <f>'Resource Costs'!$FH6</f>
        <v>0</v>
      </c>
      <c r="AH4" s="1006">
        <f>'Resource Costs'!$FI6</f>
        <v>0</v>
      </c>
      <c r="AI4" s="1006">
        <f>'Resource Costs'!$FJ6</f>
        <v>0</v>
      </c>
      <c r="AJ4" s="1006">
        <f>'Resource Costs'!$FK6</f>
        <v>0</v>
      </c>
      <c r="AK4" s="1006">
        <f>'Resource Costs'!$FL6</f>
        <v>0</v>
      </c>
      <c r="AL4" s="1006">
        <f>'Resource Costs'!$FM6</f>
        <v>0</v>
      </c>
      <c r="AM4" s="1007">
        <v>0</v>
      </c>
      <c r="AN4" s="1007">
        <v>0</v>
      </c>
      <c r="AO4" s="1007">
        <v>0</v>
      </c>
      <c r="AP4" s="1007">
        <v>0</v>
      </c>
      <c r="AQ4" s="1007">
        <v>0</v>
      </c>
      <c r="AR4" s="1016">
        <f t="shared" ref="AR4:AR67" si="1">SUM(AG4:AQ4)</f>
        <v>0</v>
      </c>
      <c r="AS4" s="1167"/>
      <c r="AT4" s="1167"/>
      <c r="AU4" s="1167"/>
      <c r="AV4" s="1167"/>
      <c r="AW4" s="1167"/>
      <c r="AX4" s="1167"/>
      <c r="AY4" s="1167"/>
      <c r="AZ4" s="1167"/>
      <c r="BA4" s="1167"/>
      <c r="BB4" s="1167"/>
      <c r="BC4" s="1167"/>
      <c r="BD4" s="1167"/>
      <c r="BE4" s="1167"/>
      <c r="BF4" s="1167"/>
      <c r="BG4" s="1167"/>
      <c r="BH4" s="1167"/>
      <c r="BI4" s="1167"/>
      <c r="BJ4" s="1167"/>
      <c r="BK4" s="1167"/>
      <c r="BL4" s="1167"/>
      <c r="BM4" s="1167"/>
      <c r="BN4" s="1167"/>
      <c r="BO4" s="1167"/>
    </row>
    <row r="5" spans="1:67" s="1166" customFormat="1" ht="15.5">
      <c r="B5" s="1152" t="s">
        <v>8540</v>
      </c>
      <c r="C5" s="1152"/>
      <c r="D5" s="1171" t="str">
        <f>Variables!$B$5</f>
        <v>Strategic Program</v>
      </c>
      <c r="E5" s="1158"/>
      <c r="F5" s="1158"/>
      <c r="G5" s="1158"/>
      <c r="H5" s="1158"/>
      <c r="I5" s="1157"/>
      <c r="J5" s="1156"/>
      <c r="K5" s="1156"/>
      <c r="L5" s="1156"/>
      <c r="M5" s="1156"/>
      <c r="N5" s="1156"/>
      <c r="O5" s="1156"/>
      <c r="P5" s="1156"/>
      <c r="Q5" s="1156"/>
      <c r="R5" s="1156"/>
      <c r="AA5" s="1684"/>
      <c r="AB5" s="1005" t="str">
        <f>'Resource Costs'!$FC7</f>
        <v>AppDevelopment</v>
      </c>
      <c r="AC5" s="1005" t="str">
        <f>'Resource Costs'!$FD7</f>
        <v>Pilot_Implementation</v>
      </c>
      <c r="AD5" s="1005" t="str">
        <f>'Resource Costs'!$FE7</f>
        <v>Labor</v>
      </c>
      <c r="AE5" s="1005" t="str">
        <f>'Resource Costs'!$FF7</f>
        <v>Narayan Devireddy</v>
      </c>
      <c r="AF5" s="1005" t="str">
        <f>'Resource Costs'!$FG7</f>
        <v>Capex</v>
      </c>
      <c r="AG5" s="1006">
        <f>'Resource Costs'!$FH7</f>
        <v>0</v>
      </c>
      <c r="AH5" s="1006">
        <f>'Resource Costs'!$FI7</f>
        <v>0</v>
      </c>
      <c r="AI5" s="1006">
        <f>'Resource Costs'!$FJ7</f>
        <v>0</v>
      </c>
      <c r="AJ5" s="1006">
        <f>'Resource Costs'!$FK7</f>
        <v>0</v>
      </c>
      <c r="AK5" s="1006">
        <f>'Resource Costs'!$FL7</f>
        <v>0</v>
      </c>
      <c r="AL5" s="1006">
        <f>'Resource Costs'!$FM7</f>
        <v>0</v>
      </c>
      <c r="AM5" s="1007">
        <v>0</v>
      </c>
      <c r="AN5" s="1007">
        <v>0</v>
      </c>
      <c r="AO5" s="1007">
        <v>0</v>
      </c>
      <c r="AP5" s="1007">
        <v>0</v>
      </c>
      <c r="AQ5" s="1007">
        <v>0</v>
      </c>
      <c r="AR5" s="1016">
        <f t="shared" si="1"/>
        <v>0</v>
      </c>
      <c r="AS5" s="1167"/>
      <c r="AT5" s="1167"/>
      <c r="AU5" s="1167"/>
      <c r="AV5" s="1167"/>
      <c r="AW5" s="1167"/>
      <c r="AX5" s="1167"/>
      <c r="AY5" s="1167"/>
      <c r="AZ5" s="1167"/>
      <c r="BA5" s="1167"/>
      <c r="BB5" s="1167"/>
      <c r="BC5" s="1167"/>
      <c r="BD5" s="1167"/>
      <c r="BE5" s="1167"/>
      <c r="BF5" s="1167"/>
      <c r="BG5" s="1167"/>
      <c r="BH5" s="1167"/>
      <c r="BI5" s="1167"/>
      <c r="BJ5" s="1167"/>
      <c r="BK5" s="1167"/>
      <c r="BL5" s="1167"/>
      <c r="BM5" s="1167"/>
      <c r="BN5" s="1167"/>
      <c r="BO5" s="1167"/>
    </row>
    <row r="6" spans="1:67" s="1166" customFormat="1" ht="15.5">
      <c r="B6" s="1152" t="s">
        <v>8541</v>
      </c>
      <c r="C6" s="1152"/>
      <c r="D6" s="1171" t="str">
        <f>Variables!$B$6</f>
        <v>Narayan Devireddy</v>
      </c>
      <c r="E6" s="1158"/>
      <c r="F6" s="1158"/>
      <c r="G6" s="1158"/>
      <c r="H6" s="1158"/>
      <c r="I6" s="1157"/>
      <c r="J6" s="1156"/>
      <c r="K6" s="1156"/>
      <c r="L6" s="1156"/>
      <c r="M6" s="1156"/>
      <c r="N6" s="1156"/>
      <c r="O6" s="1156"/>
      <c r="P6" s="1156"/>
      <c r="Q6" s="1156"/>
      <c r="R6" s="1156"/>
      <c r="AA6" s="1684"/>
      <c r="AB6" s="1005" t="str">
        <f>'Resource Costs'!$FC8</f>
        <v>AppDevelopment</v>
      </c>
      <c r="AC6" s="1005" t="str">
        <f>'Resource Costs'!$FD8</f>
        <v>Development_Testing</v>
      </c>
      <c r="AD6" s="1005" t="str">
        <f>'Resource Costs'!$FE8</f>
        <v>Labor</v>
      </c>
      <c r="AE6" s="1005" t="str">
        <f>'Resource Costs'!$FF8</f>
        <v>Narayan Devireddy</v>
      </c>
      <c r="AF6" s="1005" t="str">
        <f>'Resource Costs'!$FG8</f>
        <v>Capex</v>
      </c>
      <c r="AG6" s="1006">
        <f>'Resource Costs'!$FH8</f>
        <v>0</v>
      </c>
      <c r="AH6" s="1006">
        <f>'Resource Costs'!$FI8</f>
        <v>0</v>
      </c>
      <c r="AI6" s="1006">
        <f>'Resource Costs'!$FJ8</f>
        <v>0</v>
      </c>
      <c r="AJ6" s="1006">
        <f>'Resource Costs'!$FK8</f>
        <v>0</v>
      </c>
      <c r="AK6" s="1006">
        <f>'Resource Costs'!$FL8</f>
        <v>0</v>
      </c>
      <c r="AL6" s="1006">
        <f>'Resource Costs'!$FM8</f>
        <v>0</v>
      </c>
      <c r="AM6" s="1007">
        <v>0</v>
      </c>
      <c r="AN6" s="1007">
        <v>0</v>
      </c>
      <c r="AO6" s="1007">
        <v>0</v>
      </c>
      <c r="AP6" s="1007">
        <v>0</v>
      </c>
      <c r="AQ6" s="1007">
        <v>0</v>
      </c>
      <c r="AR6" s="1016">
        <f t="shared" si="1"/>
        <v>0</v>
      </c>
      <c r="AS6" s="1167"/>
      <c r="AT6" s="1167"/>
      <c r="AU6" s="1167"/>
      <c r="AV6" s="1167"/>
      <c r="AW6" s="1167"/>
      <c r="AX6" s="1167"/>
      <c r="AY6" s="1167"/>
      <c r="AZ6" s="1167"/>
      <c r="BA6" s="1167"/>
      <c r="BB6" s="1167"/>
      <c r="BC6" s="1167"/>
      <c r="BD6" s="1167"/>
      <c r="BE6" s="1167"/>
      <c r="BF6" s="1167"/>
      <c r="BG6" s="1167"/>
      <c r="BH6" s="1167"/>
      <c r="BI6" s="1167"/>
      <c r="BJ6" s="1167"/>
      <c r="BK6" s="1167"/>
      <c r="BL6" s="1167"/>
      <c r="BM6" s="1167"/>
      <c r="BN6" s="1167"/>
      <c r="BO6" s="1167"/>
    </row>
    <row r="7" spans="1:67" s="1166" customFormat="1" ht="15.5">
      <c r="B7" s="1152" t="s">
        <v>496</v>
      </c>
      <c r="C7" s="1152"/>
      <c r="D7" s="1171" t="str">
        <f>Variables!$B$7</f>
        <v>Joel Semel</v>
      </c>
      <c r="E7" s="1158"/>
      <c r="F7" s="1158"/>
      <c r="G7" s="1158"/>
      <c r="H7" s="1158"/>
      <c r="I7" s="1157"/>
      <c r="J7" s="1156"/>
      <c r="K7" s="1156"/>
      <c r="L7" s="1156"/>
      <c r="M7" s="1156"/>
      <c r="N7" s="1156"/>
      <c r="O7" s="1156"/>
      <c r="P7" s="1156"/>
      <c r="Q7" s="1156"/>
      <c r="R7" s="1156"/>
      <c r="AA7" s="1684"/>
      <c r="AB7" s="1005" t="str">
        <f>'Resource Costs'!$FC9</f>
        <v>US_IT</v>
      </c>
      <c r="AC7" s="1005" t="str">
        <f>'Resource Costs'!$FD9</f>
        <v>Planning</v>
      </c>
      <c r="AD7" s="1005" t="str">
        <f>'Resource Costs'!$FE9</f>
        <v>Labor</v>
      </c>
      <c r="AE7" s="1005" t="str">
        <f>'Resource Costs'!$FF9</f>
        <v>Steve Olive</v>
      </c>
      <c r="AF7" s="1005" t="str">
        <f>'Resource Costs'!$FG9</f>
        <v>Capex</v>
      </c>
      <c r="AG7" s="1006">
        <f>'Resource Costs'!$FH9</f>
        <v>0</v>
      </c>
      <c r="AH7" s="1006">
        <f>'Resource Costs'!$FI9</f>
        <v>0</v>
      </c>
      <c r="AI7" s="1006">
        <f>'Resource Costs'!$FJ9</f>
        <v>0</v>
      </c>
      <c r="AJ7" s="1006">
        <f>'Resource Costs'!$FK9</f>
        <v>0</v>
      </c>
      <c r="AK7" s="1006">
        <f>'Resource Costs'!$FL9</f>
        <v>0</v>
      </c>
      <c r="AL7" s="1006">
        <f>'Resource Costs'!$FM9</f>
        <v>0</v>
      </c>
      <c r="AM7" s="1007">
        <v>0</v>
      </c>
      <c r="AN7" s="1007">
        <v>0</v>
      </c>
      <c r="AO7" s="1007">
        <v>0</v>
      </c>
      <c r="AP7" s="1007">
        <v>0</v>
      </c>
      <c r="AQ7" s="1007">
        <v>0</v>
      </c>
      <c r="AR7" s="1016">
        <f t="shared" si="1"/>
        <v>0</v>
      </c>
      <c r="AS7" s="1167"/>
      <c r="AT7" s="1167"/>
      <c r="AU7" s="1167"/>
      <c r="AV7" s="1167"/>
      <c r="AW7" s="1167"/>
      <c r="AX7" s="1167"/>
      <c r="AY7" s="1167"/>
      <c r="AZ7" s="1167"/>
      <c r="BA7" s="1167"/>
      <c r="BB7" s="1167"/>
      <c r="BC7" s="1167"/>
      <c r="BD7" s="1167"/>
      <c r="BE7" s="1167"/>
      <c r="BF7" s="1167"/>
      <c r="BG7" s="1167"/>
      <c r="BH7" s="1167"/>
      <c r="BI7" s="1167"/>
      <c r="BJ7" s="1167"/>
      <c r="BK7" s="1167"/>
      <c r="BL7" s="1167"/>
      <c r="BM7" s="1167"/>
      <c r="BN7" s="1167"/>
      <c r="BO7" s="1167"/>
    </row>
    <row r="8" spans="1:67" s="1166" customFormat="1" ht="12.75" customHeight="1">
      <c r="B8" s="1152" t="s">
        <v>8542</v>
      </c>
      <c r="C8" s="1152"/>
      <c r="D8" s="1172">
        <f>Variables!$B$9</f>
        <v>44354</v>
      </c>
      <c r="E8" s="1159"/>
      <c r="F8" s="1159"/>
      <c r="G8" s="1159"/>
      <c r="H8" s="1159"/>
      <c r="I8" s="1157"/>
      <c r="J8" s="1156"/>
      <c r="K8" s="1156"/>
      <c r="L8" s="1156"/>
      <c r="M8" s="1156"/>
      <c r="N8" s="1156"/>
      <c r="O8" s="1156"/>
      <c r="P8" s="1156"/>
      <c r="Q8" s="1156"/>
      <c r="R8" s="1156"/>
      <c r="S8" s="1169"/>
      <c r="T8" s="1169"/>
      <c r="U8" s="1169"/>
      <c r="V8" s="1169"/>
      <c r="W8" s="1169"/>
      <c r="X8" s="1169"/>
      <c r="Y8" s="1169"/>
      <c r="Z8" s="1169"/>
      <c r="AA8" s="1684"/>
      <c r="AB8" s="1005" t="str">
        <f>'Resource Costs'!$FC10</f>
        <v>US_IT</v>
      </c>
      <c r="AC8" s="1005" t="str">
        <f>'Resource Costs'!$FD10</f>
        <v>Planning</v>
      </c>
      <c r="AD8" s="1005" t="str">
        <f>'Resource Costs'!$FE10</f>
        <v>Labor</v>
      </c>
      <c r="AE8" s="1005" t="str">
        <f>'Resource Costs'!$FF10</f>
        <v>Steve Olive</v>
      </c>
      <c r="AF8" s="1005" t="str">
        <f>'Resource Costs'!$FG10</f>
        <v>Capex</v>
      </c>
      <c r="AG8" s="1006">
        <f>'Resource Costs'!$FH10</f>
        <v>0</v>
      </c>
      <c r="AH8" s="1006">
        <f>'Resource Costs'!$FI10</f>
        <v>0</v>
      </c>
      <c r="AI8" s="1006">
        <f>'Resource Costs'!$FJ10</f>
        <v>0</v>
      </c>
      <c r="AJ8" s="1006">
        <f>'Resource Costs'!$FK10</f>
        <v>0</v>
      </c>
      <c r="AK8" s="1006">
        <f>'Resource Costs'!$FL10</f>
        <v>0</v>
      </c>
      <c r="AL8" s="1006">
        <f>'Resource Costs'!$FM10</f>
        <v>0</v>
      </c>
      <c r="AM8" s="1007">
        <v>0</v>
      </c>
      <c r="AN8" s="1007">
        <v>0</v>
      </c>
      <c r="AO8" s="1007">
        <v>0</v>
      </c>
      <c r="AP8" s="1007">
        <v>0</v>
      </c>
      <c r="AQ8" s="1007">
        <v>0</v>
      </c>
      <c r="AR8" s="1016">
        <f t="shared" si="1"/>
        <v>0</v>
      </c>
      <c r="AS8" s="1167"/>
      <c r="AT8" s="1167"/>
      <c r="AU8" s="1167"/>
      <c r="AV8" s="1167"/>
      <c r="AW8" s="1167"/>
      <c r="AX8" s="1167"/>
      <c r="AY8" s="1167"/>
      <c r="AZ8" s="1167"/>
      <c r="BA8" s="1167"/>
      <c r="BB8" s="1167"/>
      <c r="BC8" s="1167"/>
      <c r="BD8" s="1167"/>
      <c r="BE8" s="1167"/>
      <c r="BF8" s="1167"/>
      <c r="BG8" s="1167"/>
      <c r="BH8" s="1167"/>
      <c r="BI8" s="1167"/>
      <c r="BJ8" s="1167"/>
      <c r="BK8" s="1167"/>
      <c r="BL8" s="1167"/>
      <c r="BM8" s="1167"/>
      <c r="BN8" s="1167"/>
      <c r="BO8" s="1167"/>
    </row>
    <row r="9" spans="1:67" s="1166" customFormat="1" ht="13.5" customHeight="1">
      <c r="B9" s="1153" t="s">
        <v>8648</v>
      </c>
      <c r="C9" s="1154" t="s">
        <v>8647</v>
      </c>
      <c r="D9" s="1170" t="str">
        <f>CONCATENATE("20",RIGHT(Variables!$B$19,2))</f>
        <v>2022</v>
      </c>
      <c r="E9" s="1160"/>
      <c r="F9" s="1161"/>
      <c r="G9" s="1161"/>
      <c r="H9" s="1162"/>
      <c r="I9" s="1157"/>
      <c r="J9" s="1156"/>
      <c r="K9" s="1156"/>
      <c r="L9" s="1156"/>
      <c r="M9" s="1156"/>
      <c r="N9" s="1156"/>
      <c r="O9" s="1156"/>
      <c r="P9" s="1156"/>
      <c r="Q9" s="1156"/>
      <c r="R9" s="1156"/>
      <c r="S9" s="1169"/>
      <c r="T9" s="1169"/>
      <c r="U9" s="1169"/>
      <c r="V9" s="1169"/>
      <c r="W9" s="1169"/>
      <c r="X9" s="1169"/>
      <c r="Y9" s="1169"/>
      <c r="Z9" s="1169"/>
      <c r="AA9" s="1684"/>
      <c r="AB9" s="1005" t="str">
        <f>'Resource Costs'!$FC11</f>
        <v>AppDevelopment</v>
      </c>
      <c r="AC9" s="1005" t="str">
        <f>'Resource Costs'!$FD11</f>
        <v>Development_Testing</v>
      </c>
      <c r="AD9" s="1005" t="str">
        <f>'Resource Costs'!$FE11</f>
        <v>Labor</v>
      </c>
      <c r="AE9" s="1005" t="str">
        <f>'Resource Costs'!$FF11</f>
        <v>Narayan Devireddy</v>
      </c>
      <c r="AF9" s="1005" t="str">
        <f>'Resource Costs'!$FG11</f>
        <v>Capex</v>
      </c>
      <c r="AG9" s="1006">
        <f>'Resource Costs'!$FH11</f>
        <v>0</v>
      </c>
      <c r="AH9" s="1006">
        <f>'Resource Costs'!$FI11</f>
        <v>0</v>
      </c>
      <c r="AI9" s="1006">
        <f>'Resource Costs'!$FJ11</f>
        <v>0</v>
      </c>
      <c r="AJ9" s="1006">
        <f>'Resource Costs'!$FK11</f>
        <v>0</v>
      </c>
      <c r="AK9" s="1006">
        <f>'Resource Costs'!$FL11</f>
        <v>0</v>
      </c>
      <c r="AL9" s="1006">
        <f>'Resource Costs'!$FM11</f>
        <v>0</v>
      </c>
      <c r="AM9" s="1007">
        <v>0</v>
      </c>
      <c r="AN9" s="1007">
        <v>0</v>
      </c>
      <c r="AO9" s="1007">
        <v>0</v>
      </c>
      <c r="AP9" s="1007">
        <v>0</v>
      </c>
      <c r="AQ9" s="1007">
        <v>0</v>
      </c>
      <c r="AR9" s="1016">
        <f t="shared" si="1"/>
        <v>0</v>
      </c>
      <c r="AS9" s="1167"/>
      <c r="AT9" s="1167"/>
      <c r="AU9" s="1167"/>
      <c r="AV9" s="1167"/>
      <c r="AW9" s="1167"/>
      <c r="AX9" s="1167"/>
      <c r="AY9" s="1167"/>
      <c r="AZ9" s="1167"/>
      <c r="BA9" s="1167"/>
      <c r="BB9" s="1167"/>
      <c r="BC9" s="1167"/>
      <c r="BD9" s="1167"/>
      <c r="BE9" s="1167"/>
      <c r="BF9" s="1167"/>
      <c r="BG9" s="1167"/>
      <c r="BH9" s="1167"/>
      <c r="BI9" s="1167"/>
      <c r="BJ9" s="1167"/>
      <c r="BK9" s="1167"/>
      <c r="BL9" s="1167"/>
      <c r="BM9" s="1167"/>
      <c r="BN9" s="1167"/>
      <c r="BO9" s="1167"/>
    </row>
    <row r="10" spans="1:67" s="1166" customFormat="1" ht="13.5" customHeight="1">
      <c r="B10" s="1152" t="s">
        <v>8649</v>
      </c>
      <c r="C10" s="1154" t="s">
        <v>8647</v>
      </c>
      <c r="D10" s="1170" t="str">
        <f>CONCATENATE("20",RIGHT(Variables!$B$29,2))</f>
        <v>2023</v>
      </c>
      <c r="E10" s="1163" t="s">
        <v>8697</v>
      </c>
      <c r="F10" s="1165" t="str">
        <f>CONCATENATE("20",RIGHT(Variables!$B$32,2))</f>
        <v>2022</v>
      </c>
      <c r="G10" s="1164"/>
      <c r="H10" s="1160"/>
      <c r="I10" s="1160"/>
      <c r="J10" s="1156"/>
      <c r="K10" s="1156"/>
      <c r="L10" s="1156"/>
      <c r="M10" s="1156"/>
      <c r="N10" s="1156"/>
      <c r="O10" s="1156"/>
      <c r="P10" s="1156"/>
      <c r="Q10" s="1156"/>
      <c r="R10" s="1156"/>
      <c r="S10" s="1169"/>
      <c r="T10" s="1169"/>
      <c r="U10" s="1169"/>
      <c r="V10" s="1169"/>
      <c r="W10" s="1169"/>
      <c r="X10" s="1169"/>
      <c r="Y10" s="1169"/>
      <c r="Z10" s="1169"/>
      <c r="AA10" s="1684"/>
      <c r="AB10" s="1005" t="str">
        <f>'Resource Costs'!$FC12</f>
        <v>Security</v>
      </c>
      <c r="AC10" s="1005" t="str">
        <f>'Resource Costs'!$FD12</f>
        <v>Development_Testing</v>
      </c>
      <c r="AD10" s="1005" t="str">
        <f>'Resource Costs'!$FE12</f>
        <v>Labor</v>
      </c>
      <c r="AE10" s="1005" t="str">
        <f>'Resource Costs'!$FF12</f>
        <v xml:space="preserve">Simon Jenner </v>
      </c>
      <c r="AF10" s="1005" t="str">
        <f>'Resource Costs'!$FG12</f>
        <v>Capex</v>
      </c>
      <c r="AG10" s="1006">
        <f>'Resource Costs'!$FH12</f>
        <v>0</v>
      </c>
      <c r="AH10" s="1006">
        <f>'Resource Costs'!$FI12</f>
        <v>0</v>
      </c>
      <c r="AI10" s="1006">
        <f>'Resource Costs'!$FJ12</f>
        <v>0</v>
      </c>
      <c r="AJ10" s="1006">
        <f>'Resource Costs'!$FK12</f>
        <v>0</v>
      </c>
      <c r="AK10" s="1006">
        <f>'Resource Costs'!$FL12</f>
        <v>0</v>
      </c>
      <c r="AL10" s="1006">
        <f>'Resource Costs'!$FM12</f>
        <v>0</v>
      </c>
      <c r="AM10" s="1007"/>
      <c r="AN10" s="1007"/>
      <c r="AO10" s="1007"/>
      <c r="AP10" s="1007"/>
      <c r="AQ10" s="1007"/>
      <c r="AR10" s="1016">
        <f t="shared" si="1"/>
        <v>0</v>
      </c>
      <c r="AS10" s="1167"/>
      <c r="AT10" s="1167"/>
      <c r="AU10" s="1167"/>
      <c r="AV10" s="1167"/>
      <c r="AW10" s="1167"/>
      <c r="AX10" s="1167"/>
      <c r="AY10" s="1167"/>
      <c r="AZ10" s="1167"/>
      <c r="BA10" s="1167"/>
      <c r="BB10" s="1167"/>
      <c r="BC10" s="1167"/>
      <c r="BD10" s="1167"/>
      <c r="BE10" s="1167"/>
      <c r="BF10" s="1167"/>
      <c r="BG10" s="1167"/>
      <c r="BH10" s="1167"/>
      <c r="BI10" s="1167"/>
      <c r="BJ10" s="1167"/>
      <c r="BK10" s="1167"/>
      <c r="BL10" s="1167"/>
      <c r="BM10" s="1167"/>
      <c r="BN10" s="1167"/>
      <c r="BO10" s="1167"/>
    </row>
    <row r="11" spans="1:67" s="1166" customFormat="1" ht="13.5" customHeight="1">
      <c r="B11" s="1152" t="s">
        <v>8650</v>
      </c>
      <c r="C11" s="1154" t="s">
        <v>8647</v>
      </c>
      <c r="D11" s="1170" t="str">
        <f>CONCATENATE("20",RIGHT(Variables!$B$30,2))</f>
        <v>2022</v>
      </c>
      <c r="E11" s="1163"/>
      <c r="F11" s="1164"/>
      <c r="G11" s="1160"/>
      <c r="H11" s="1160"/>
      <c r="I11" s="1156"/>
      <c r="J11" s="1156"/>
      <c r="K11" s="1156"/>
      <c r="L11" s="1156"/>
      <c r="M11" s="1156"/>
      <c r="N11" s="1156"/>
      <c r="O11" s="1156"/>
      <c r="P11" s="1156"/>
      <c r="Q11" s="1156"/>
      <c r="R11" s="1156"/>
      <c r="S11" s="1169"/>
      <c r="T11" s="1169"/>
      <c r="U11" s="1169"/>
      <c r="V11" s="1169"/>
      <c r="W11" s="1169"/>
      <c r="X11" s="1169"/>
      <c r="Y11" s="1169"/>
      <c r="Z11" s="1169"/>
      <c r="AA11" s="1684"/>
      <c r="AB11" s="1005" t="str">
        <f>'Resource Costs'!$FC13</f>
        <v>Architecture</v>
      </c>
      <c r="AC11" s="1005" t="str">
        <f>'Resource Costs'!$FD13</f>
        <v>Architecture_Interfaces</v>
      </c>
      <c r="AD11" s="1005" t="str">
        <f>'Resource Costs'!$FE13</f>
        <v>Labor</v>
      </c>
      <c r="AE11" s="1005" t="str">
        <f>'Resource Costs'!$FF13</f>
        <v>Lisa Pratico</v>
      </c>
      <c r="AF11" s="1005" t="str">
        <f>'Resource Costs'!$FG13</f>
        <v>Capex</v>
      </c>
      <c r="AG11" s="1006">
        <f>'Resource Costs'!$FH13</f>
        <v>0</v>
      </c>
      <c r="AH11" s="1006">
        <f>'Resource Costs'!$FI13</f>
        <v>0</v>
      </c>
      <c r="AI11" s="1006">
        <f>'Resource Costs'!$FJ13</f>
        <v>0</v>
      </c>
      <c r="AJ11" s="1006">
        <f>'Resource Costs'!$FK13</f>
        <v>0</v>
      </c>
      <c r="AK11" s="1006">
        <f>'Resource Costs'!$FL13</f>
        <v>0</v>
      </c>
      <c r="AL11" s="1006">
        <f>'Resource Costs'!$FM13</f>
        <v>0</v>
      </c>
      <c r="AM11" s="1007"/>
      <c r="AN11" s="1007"/>
      <c r="AO11" s="1007"/>
      <c r="AP11" s="1007"/>
      <c r="AQ11" s="1007"/>
      <c r="AR11" s="1016">
        <f t="shared" si="1"/>
        <v>0</v>
      </c>
      <c r="AS11" s="1167"/>
      <c r="AT11" s="1167"/>
      <c r="AU11" s="1167"/>
      <c r="AV11" s="1167"/>
      <c r="AW11" s="1167"/>
      <c r="AX11" s="1167"/>
      <c r="AY11" s="1167"/>
      <c r="AZ11" s="1167"/>
      <c r="BA11" s="1167"/>
      <c r="BB11" s="1167"/>
      <c r="BC11" s="1167"/>
      <c r="BD11" s="1167"/>
      <c r="BE11" s="1167"/>
      <c r="BF11" s="1167"/>
      <c r="BG11" s="1167"/>
      <c r="BH11" s="1167"/>
      <c r="BI11" s="1167"/>
      <c r="BJ11" s="1167"/>
      <c r="BK11" s="1167"/>
      <c r="BL11" s="1167"/>
      <c r="BM11" s="1167"/>
      <c r="BN11" s="1167"/>
      <c r="BO11" s="1167"/>
    </row>
    <row r="12" spans="1:67" s="676" customFormat="1" ht="15" customHeight="1">
      <c r="A12" s="678"/>
      <c r="B12" s="714"/>
      <c r="C12" s="678"/>
      <c r="D12" s="678"/>
      <c r="E12" s="678"/>
      <c r="Q12" s="677"/>
      <c r="R12" s="677"/>
      <c r="S12" s="677"/>
      <c r="T12" s="677"/>
      <c r="U12" s="677"/>
      <c r="V12" s="677"/>
      <c r="W12" s="677"/>
      <c r="X12" s="677"/>
      <c r="Y12" s="677"/>
      <c r="Z12" s="677"/>
      <c r="AA12" s="1684"/>
      <c r="AB12" s="1005" t="str">
        <f>'Resource Costs'!$FC14</f>
        <v>AppDevelopment</v>
      </c>
      <c r="AC12" s="1005" t="str">
        <f>'Resource Costs'!$FD14</f>
        <v>Pilot_Implementation</v>
      </c>
      <c r="AD12" s="1005" t="str">
        <f>'Resource Costs'!$FE14</f>
        <v>Labor</v>
      </c>
      <c r="AE12" s="1005" t="str">
        <f>'Resource Costs'!$FF14</f>
        <v>Narayan Devireddy</v>
      </c>
      <c r="AF12" s="1005" t="str">
        <f>'Resource Costs'!$FG14</f>
        <v>Capex</v>
      </c>
      <c r="AG12" s="1006">
        <f>'Resource Costs'!$FH14</f>
        <v>0</v>
      </c>
      <c r="AH12" s="1006">
        <f>'Resource Costs'!$FI14</f>
        <v>0</v>
      </c>
      <c r="AI12" s="1006">
        <f>'Resource Costs'!$FJ14</f>
        <v>0</v>
      </c>
      <c r="AJ12" s="1006">
        <f>'Resource Costs'!$FK14</f>
        <v>0</v>
      </c>
      <c r="AK12" s="1006">
        <f>'Resource Costs'!$FL14</f>
        <v>0</v>
      </c>
      <c r="AL12" s="1006">
        <f>'Resource Costs'!$FM14</f>
        <v>0</v>
      </c>
      <c r="AM12" s="1007">
        <v>0</v>
      </c>
      <c r="AN12" s="1007">
        <v>0</v>
      </c>
      <c r="AO12" s="1007">
        <v>0</v>
      </c>
      <c r="AP12" s="1007">
        <v>0</v>
      </c>
      <c r="AQ12" s="1007">
        <v>0</v>
      </c>
      <c r="AR12" s="1016">
        <f t="shared" si="1"/>
        <v>0</v>
      </c>
      <c r="AS12" s="675"/>
      <c r="AT12" s="675"/>
      <c r="AU12" s="675"/>
      <c r="AV12" s="675"/>
      <c r="AW12" s="675"/>
      <c r="AX12" s="675"/>
      <c r="AY12" s="675"/>
      <c r="AZ12" s="675"/>
      <c r="BA12" s="675"/>
      <c r="BB12" s="675"/>
      <c r="BC12" s="675"/>
      <c r="BD12" s="675"/>
    </row>
    <row r="13" spans="1:67" s="716" customFormat="1" ht="15" customHeight="1">
      <c r="A13" s="714"/>
      <c r="B13" s="1691" t="s">
        <v>8579</v>
      </c>
      <c r="C13" s="1691"/>
      <c r="D13" s="1691"/>
      <c r="E13" s="714"/>
      <c r="F13" s="1025" t="str">
        <f>CONCATENATE("(",Variables!$C$4,"M)")</f>
        <v>($M)</v>
      </c>
      <c r="G13" s="1022" t="str">
        <f>Variables!$B$19</f>
        <v>FY 22</v>
      </c>
      <c r="H13" s="1022" t="str">
        <f>CONCATENATE("FY ",RIGHT(G13,2)+1)</f>
        <v>FY 23</v>
      </c>
      <c r="I13" s="1022" t="str">
        <f t="shared" ref="I13" si="2">CONCATENATE("FY ",RIGHT(H13,2)+1)</f>
        <v>FY 24</v>
      </c>
      <c r="J13" s="1022" t="str">
        <f t="shared" ref="J13" si="3">CONCATENATE("FY ",RIGHT(I13,2)+1)</f>
        <v>FY 25</v>
      </c>
      <c r="K13" s="1022" t="str">
        <f t="shared" ref="K13" si="4">CONCATENATE("FY ",RIGHT(J13,2)+1)</f>
        <v>FY 26</v>
      </c>
      <c r="L13" s="1022" t="str">
        <f t="shared" ref="L13" si="5">CONCATENATE("FY ",RIGHT(K13,2)+1)</f>
        <v>FY 27</v>
      </c>
      <c r="M13" s="1022" t="str">
        <f t="shared" ref="M13" si="6">CONCATENATE("FY ",RIGHT(L13,2)+1)</f>
        <v>FY 28</v>
      </c>
      <c r="N13" s="1022" t="str">
        <f t="shared" ref="N13" si="7">CONCATENATE("FY ",RIGHT(M13,2)+1)</f>
        <v>FY 29</v>
      </c>
      <c r="O13" s="1022" t="str">
        <f t="shared" ref="O13" si="8">CONCATENATE("FY ",RIGHT(N13,2)+1)</f>
        <v>FY 30</v>
      </c>
      <c r="P13" s="1022" t="str">
        <f t="shared" ref="P13" si="9">CONCATENATE("FY ",RIGHT(O13,2)+1)</f>
        <v>FY 31</v>
      </c>
      <c r="Q13" s="1022" t="str">
        <f t="shared" ref="Q13" si="10">CONCATENATE("FY ",RIGHT(P13,2)+1)</f>
        <v>FY 32</v>
      </c>
      <c r="R13" s="707"/>
      <c r="S13" s="707"/>
      <c r="T13" s="707"/>
      <c r="U13" s="707"/>
      <c r="V13" s="707"/>
      <c r="W13" s="707"/>
      <c r="X13" s="707"/>
      <c r="Y13" s="707"/>
      <c r="Z13" s="707"/>
      <c r="AA13" s="1684"/>
      <c r="AB13" s="1005" t="str">
        <f>'Resource Costs'!$FC15</f>
        <v>AppDevelopment</v>
      </c>
      <c r="AC13" s="1005" t="str">
        <f>'Resource Costs'!$FD15</f>
        <v>Pilot_Implementation</v>
      </c>
      <c r="AD13" s="1005" t="str">
        <f>'Resource Costs'!$FE15</f>
        <v>Labor</v>
      </c>
      <c r="AE13" s="1005" t="str">
        <f>'Resource Costs'!$FF15</f>
        <v>Narayan Devireddy</v>
      </c>
      <c r="AF13" s="1005" t="str">
        <f>'Resource Costs'!$FG15</f>
        <v>Capex</v>
      </c>
      <c r="AG13" s="1006">
        <f>'Resource Costs'!$FH15</f>
        <v>0</v>
      </c>
      <c r="AH13" s="1006">
        <f>'Resource Costs'!$FI15</f>
        <v>0</v>
      </c>
      <c r="AI13" s="1006">
        <f>'Resource Costs'!$FJ15</f>
        <v>0</v>
      </c>
      <c r="AJ13" s="1006">
        <f>'Resource Costs'!$FK15</f>
        <v>0</v>
      </c>
      <c r="AK13" s="1006">
        <f>'Resource Costs'!$FL15</f>
        <v>0</v>
      </c>
      <c r="AL13" s="1006">
        <f>'Resource Costs'!$FM15</f>
        <v>0</v>
      </c>
      <c r="AM13" s="1007">
        <v>0</v>
      </c>
      <c r="AN13" s="1007">
        <v>0</v>
      </c>
      <c r="AO13" s="1007">
        <v>0</v>
      </c>
      <c r="AP13" s="1007">
        <v>0</v>
      </c>
      <c r="AQ13" s="1007">
        <v>0</v>
      </c>
      <c r="AR13" s="1016">
        <f t="shared" si="1"/>
        <v>0</v>
      </c>
      <c r="AS13" s="715"/>
      <c r="AT13" s="715"/>
      <c r="AU13" s="715"/>
      <c r="AV13" s="715"/>
      <c r="AW13" s="715"/>
      <c r="AX13" s="715"/>
      <c r="AY13" s="715"/>
      <c r="AZ13" s="715"/>
      <c r="BA13" s="715"/>
      <c r="BB13" s="715"/>
      <c r="BC13" s="715"/>
      <c r="BD13" s="715"/>
      <c r="BE13" s="715"/>
    </row>
    <row r="14" spans="1:67" s="716" customFormat="1">
      <c r="A14" s="714"/>
      <c r="B14" s="1023" t="s">
        <v>8476</v>
      </c>
      <c r="C14" s="1023" t="s">
        <v>8429</v>
      </c>
      <c r="D14" s="1023" t="s">
        <v>8431</v>
      </c>
      <c r="E14" s="1023" t="s">
        <v>8430</v>
      </c>
      <c r="F14" s="1023" t="s">
        <v>226</v>
      </c>
      <c r="G14" s="1028" t="s">
        <v>8568</v>
      </c>
      <c r="H14" s="1028" t="s">
        <v>8569</v>
      </c>
      <c r="I14" s="1028" t="s">
        <v>8570</v>
      </c>
      <c r="J14" s="1028" t="s">
        <v>8571</v>
      </c>
      <c r="K14" s="1028" t="s">
        <v>8572</v>
      </c>
      <c r="L14" s="1028" t="s">
        <v>8573</v>
      </c>
      <c r="M14" s="1028" t="s">
        <v>8574</v>
      </c>
      <c r="N14" s="1028" t="s">
        <v>8575</v>
      </c>
      <c r="O14" s="1028" t="s">
        <v>8576</v>
      </c>
      <c r="P14" s="1028" t="s">
        <v>8577</v>
      </c>
      <c r="Q14" s="1028" t="s">
        <v>8578</v>
      </c>
      <c r="R14" s="1028" t="s">
        <v>8581</v>
      </c>
      <c r="S14" s="707"/>
      <c r="T14" s="707"/>
      <c r="U14" s="707"/>
      <c r="V14" s="707"/>
      <c r="W14" s="707"/>
      <c r="X14" s="707"/>
      <c r="Y14" s="707"/>
      <c r="Z14" s="707"/>
      <c r="AA14" s="1684"/>
      <c r="AB14" s="1005" t="str">
        <f>'Resource Costs'!$FC16</f>
        <v>AppDevelopment</v>
      </c>
      <c r="AC14" s="1005" t="str">
        <f>'Resource Costs'!$FD16</f>
        <v>Development_Testing</v>
      </c>
      <c r="AD14" s="1005" t="str">
        <f>'Resource Costs'!$FE16</f>
        <v>Labor</v>
      </c>
      <c r="AE14" s="1005" t="str">
        <f>'Resource Costs'!$FF16</f>
        <v>Narayan Devireddy</v>
      </c>
      <c r="AF14" s="1005" t="str">
        <f>'Resource Costs'!$FG16</f>
        <v>Capex</v>
      </c>
      <c r="AG14" s="1006">
        <f>'Resource Costs'!$FH16</f>
        <v>0</v>
      </c>
      <c r="AH14" s="1006">
        <f>'Resource Costs'!$FI16</f>
        <v>0</v>
      </c>
      <c r="AI14" s="1006">
        <f>'Resource Costs'!$FJ16</f>
        <v>0</v>
      </c>
      <c r="AJ14" s="1006">
        <f>'Resource Costs'!$FK16</f>
        <v>0</v>
      </c>
      <c r="AK14" s="1006">
        <f>'Resource Costs'!$FL16</f>
        <v>0</v>
      </c>
      <c r="AL14" s="1006">
        <f>'Resource Costs'!$FM16</f>
        <v>0</v>
      </c>
      <c r="AM14" s="1007">
        <v>0</v>
      </c>
      <c r="AN14" s="1007">
        <v>0</v>
      </c>
      <c r="AO14" s="1007">
        <v>0</v>
      </c>
      <c r="AP14" s="1007">
        <v>0</v>
      </c>
      <c r="AQ14" s="1007">
        <v>0</v>
      </c>
      <c r="AR14" s="1016">
        <f t="shared" si="1"/>
        <v>0</v>
      </c>
      <c r="AS14" s="715"/>
      <c r="AT14" s="715"/>
      <c r="AU14" s="715"/>
      <c r="AV14" s="715"/>
      <c r="AW14" s="715"/>
      <c r="AX14" s="715"/>
      <c r="AY14" s="715"/>
      <c r="AZ14" s="715"/>
      <c r="BA14" s="715"/>
      <c r="BB14" s="715"/>
      <c r="BC14" s="715"/>
      <c r="BD14" s="715"/>
      <c r="BE14" s="715"/>
    </row>
    <row r="15" spans="1:67">
      <c r="C15" s="962" t="s">
        <v>8545</v>
      </c>
      <c r="E15" s="962" t="s">
        <v>8471</v>
      </c>
      <c r="F15" s="962" t="s">
        <v>480</v>
      </c>
      <c r="G15" s="1008">
        <v>0</v>
      </c>
      <c r="H15" s="1008">
        <v>0</v>
      </c>
      <c r="I15" s="1008">
        <v>0</v>
      </c>
      <c r="J15" s="1008">
        <v>0</v>
      </c>
      <c r="K15" s="1008">
        <v>0</v>
      </c>
      <c r="L15" s="1008">
        <v>0</v>
      </c>
      <c r="M15" s="1008">
        <v>0</v>
      </c>
      <c r="N15" s="1008">
        <v>0</v>
      </c>
      <c r="O15" s="1008">
        <v>0</v>
      </c>
      <c r="P15" s="1008">
        <v>0</v>
      </c>
      <c r="Q15" s="1008">
        <v>0</v>
      </c>
      <c r="R15" s="1008">
        <v>0</v>
      </c>
      <c r="AA15" s="1684"/>
      <c r="AB15" s="1005" t="str">
        <f>'Resource Costs'!$FC17</f>
        <v>Infra_Operations</v>
      </c>
      <c r="AC15" s="1005" t="str">
        <f>'Resource Costs'!$FD17</f>
        <v>Development_Testing</v>
      </c>
      <c r="AD15" s="1005" t="str">
        <f>'Resource Costs'!$FE17</f>
        <v>Labor</v>
      </c>
      <c r="AE15" s="1005" t="str">
        <f>'Resource Costs'!$FF17</f>
        <v>Shannon Soland</v>
      </c>
      <c r="AF15" s="1005" t="str">
        <f>'Resource Costs'!$FG17</f>
        <v>Capex</v>
      </c>
      <c r="AG15" s="1006">
        <f>'Resource Costs'!$FH17</f>
        <v>0</v>
      </c>
      <c r="AH15" s="1006">
        <f>'Resource Costs'!$FI17</f>
        <v>0</v>
      </c>
      <c r="AI15" s="1006">
        <f>'Resource Costs'!$FJ17</f>
        <v>0</v>
      </c>
      <c r="AJ15" s="1006">
        <f>'Resource Costs'!$FK17</f>
        <v>0</v>
      </c>
      <c r="AK15" s="1006">
        <f>'Resource Costs'!$FL17</f>
        <v>0</v>
      </c>
      <c r="AL15" s="1006">
        <f>'Resource Costs'!$FM17</f>
        <v>0</v>
      </c>
      <c r="AM15" s="1007">
        <v>0</v>
      </c>
      <c r="AN15" s="1007">
        <v>0</v>
      </c>
      <c r="AO15" s="1007">
        <v>0</v>
      </c>
      <c r="AP15" s="1007">
        <v>0</v>
      </c>
      <c r="AQ15" s="1007">
        <v>0</v>
      </c>
      <c r="AR15" s="1016">
        <f t="shared" si="1"/>
        <v>0</v>
      </c>
    </row>
    <row r="16" spans="1:67">
      <c r="E16" s="962" t="s">
        <v>8449</v>
      </c>
      <c r="F16" s="962" t="s">
        <v>480</v>
      </c>
      <c r="G16" s="1008">
        <v>0</v>
      </c>
      <c r="H16" s="1008">
        <v>0</v>
      </c>
      <c r="I16" s="1008">
        <v>0</v>
      </c>
      <c r="J16" s="1008">
        <v>0</v>
      </c>
      <c r="K16" s="1008">
        <v>0</v>
      </c>
      <c r="L16" s="1008">
        <v>0</v>
      </c>
      <c r="M16" s="1008">
        <v>0</v>
      </c>
      <c r="N16" s="1008">
        <v>0</v>
      </c>
      <c r="O16" s="1008">
        <v>0</v>
      </c>
      <c r="P16" s="1008">
        <v>0</v>
      </c>
      <c r="Q16" s="1008">
        <v>0</v>
      </c>
      <c r="R16" s="1008">
        <v>0</v>
      </c>
      <c r="AA16" s="1684"/>
      <c r="AB16" s="1005" t="str">
        <f>'Resource Costs'!$FC18</f>
        <v>AppDevelopment</v>
      </c>
      <c r="AC16" s="1005" t="str">
        <f>'Resource Costs'!$FD18</f>
        <v>Development_Testing</v>
      </c>
      <c r="AD16" s="1005" t="str">
        <f>'Resource Costs'!$FE18</f>
        <v>Labor</v>
      </c>
      <c r="AE16" s="1005" t="str">
        <f>'Resource Costs'!$FF18</f>
        <v>Narayan Devireddy</v>
      </c>
      <c r="AF16" s="1005" t="str">
        <f>'Resource Costs'!$FG18</f>
        <v>Capex</v>
      </c>
      <c r="AG16" s="1006">
        <f>'Resource Costs'!$FH18</f>
        <v>0</v>
      </c>
      <c r="AH16" s="1006">
        <f>'Resource Costs'!$FI18</f>
        <v>0</v>
      </c>
      <c r="AI16" s="1006">
        <f>'Resource Costs'!$FJ18</f>
        <v>0</v>
      </c>
      <c r="AJ16" s="1006">
        <f>'Resource Costs'!$FK18</f>
        <v>0</v>
      </c>
      <c r="AK16" s="1006">
        <f>'Resource Costs'!$FL18</f>
        <v>0</v>
      </c>
      <c r="AL16" s="1006">
        <f>'Resource Costs'!$FM18</f>
        <v>0</v>
      </c>
      <c r="AM16" s="1007">
        <v>0</v>
      </c>
      <c r="AN16" s="1007">
        <v>0</v>
      </c>
      <c r="AO16" s="1007">
        <v>0</v>
      </c>
      <c r="AP16" s="1007">
        <v>0</v>
      </c>
      <c r="AQ16" s="1007">
        <v>0</v>
      </c>
      <c r="AR16" s="1016">
        <f t="shared" si="1"/>
        <v>0</v>
      </c>
    </row>
    <row r="17" spans="5:44">
      <c r="E17" s="962" t="s">
        <v>265</v>
      </c>
      <c r="F17" s="962" t="s">
        <v>480</v>
      </c>
      <c r="G17" s="1008">
        <v>0</v>
      </c>
      <c r="H17" s="1008">
        <v>0</v>
      </c>
      <c r="I17" s="1008">
        <v>0</v>
      </c>
      <c r="J17" s="1008">
        <v>0</v>
      </c>
      <c r="K17" s="1008">
        <v>0</v>
      </c>
      <c r="L17" s="1008">
        <v>0</v>
      </c>
      <c r="M17" s="1008">
        <v>0</v>
      </c>
      <c r="N17" s="1008">
        <v>0</v>
      </c>
      <c r="O17" s="1008">
        <v>0</v>
      </c>
      <c r="P17" s="1008">
        <v>0</v>
      </c>
      <c r="Q17" s="1008">
        <v>0</v>
      </c>
      <c r="R17" s="1008">
        <v>0</v>
      </c>
      <c r="AA17" s="1684"/>
      <c r="AB17" s="1005" t="str">
        <f>'Resource Costs'!$FC19</f>
        <v>Security</v>
      </c>
      <c r="AC17" s="1005" t="str">
        <f>'Resource Costs'!$FD19</f>
        <v>Pilot_Implementation</v>
      </c>
      <c r="AD17" s="1005" t="str">
        <f>'Resource Costs'!$FE19</f>
        <v>Labor</v>
      </c>
      <c r="AE17" s="1005" t="str">
        <f>'Resource Costs'!$FF19</f>
        <v xml:space="preserve">Simon Jenner </v>
      </c>
      <c r="AF17" s="1005" t="str">
        <f>'Resource Costs'!$FG19</f>
        <v>Capex</v>
      </c>
      <c r="AG17" s="1006">
        <f>'Resource Costs'!$FH19</f>
        <v>0</v>
      </c>
      <c r="AH17" s="1006">
        <f>'Resource Costs'!$FI19</f>
        <v>0</v>
      </c>
      <c r="AI17" s="1006">
        <f>'Resource Costs'!$FJ19</f>
        <v>0</v>
      </c>
      <c r="AJ17" s="1006">
        <f>'Resource Costs'!$FK19</f>
        <v>0</v>
      </c>
      <c r="AK17" s="1006">
        <f>'Resource Costs'!$FL19</f>
        <v>0</v>
      </c>
      <c r="AL17" s="1006">
        <f>'Resource Costs'!$FM19</f>
        <v>0</v>
      </c>
      <c r="AM17" s="1007">
        <v>0</v>
      </c>
      <c r="AN17" s="1007">
        <v>0</v>
      </c>
      <c r="AO17" s="1007">
        <v>0</v>
      </c>
      <c r="AP17" s="1007">
        <v>0</v>
      </c>
      <c r="AQ17" s="1007">
        <v>0</v>
      </c>
      <c r="AR17" s="1016">
        <f t="shared" si="1"/>
        <v>0</v>
      </c>
    </row>
    <row r="18" spans="5:44">
      <c r="E18" s="962" t="s">
        <v>266</v>
      </c>
      <c r="F18" s="962" t="s">
        <v>480</v>
      </c>
      <c r="G18" s="1008">
        <v>0</v>
      </c>
      <c r="H18" s="1008">
        <v>0</v>
      </c>
      <c r="I18" s="1008">
        <v>0</v>
      </c>
      <c r="J18" s="1008">
        <v>0</v>
      </c>
      <c r="K18" s="1008">
        <v>0</v>
      </c>
      <c r="L18" s="1008">
        <v>0</v>
      </c>
      <c r="M18" s="1008">
        <v>0</v>
      </c>
      <c r="N18" s="1008">
        <v>0</v>
      </c>
      <c r="O18" s="1008">
        <v>0</v>
      </c>
      <c r="P18" s="1008">
        <v>0</v>
      </c>
      <c r="Q18" s="1008">
        <v>0</v>
      </c>
      <c r="R18" s="1008">
        <v>0</v>
      </c>
      <c r="AA18" s="1684"/>
      <c r="AB18" s="1005" t="str">
        <f>'Resource Costs'!$FC20</f>
        <v>AppDevelopment</v>
      </c>
      <c r="AC18" s="1005" t="str">
        <f>'Resource Costs'!$FD20</f>
        <v>Development_Testing</v>
      </c>
      <c r="AD18" s="1005" t="str">
        <f>'Resource Costs'!$FE20</f>
        <v>Labor</v>
      </c>
      <c r="AE18" s="1005" t="str">
        <f>'Resource Costs'!$FF20</f>
        <v>Narayan Devireddy</v>
      </c>
      <c r="AF18" s="1005" t="str">
        <f>'Resource Costs'!$FG20</f>
        <v>Capex</v>
      </c>
      <c r="AG18" s="1006">
        <f>'Resource Costs'!$FH20</f>
        <v>0</v>
      </c>
      <c r="AH18" s="1006">
        <f>'Resource Costs'!$FI20</f>
        <v>0</v>
      </c>
      <c r="AI18" s="1006">
        <f>'Resource Costs'!$FJ20</f>
        <v>0</v>
      </c>
      <c r="AJ18" s="1006">
        <f>'Resource Costs'!$FK20</f>
        <v>0</v>
      </c>
      <c r="AK18" s="1006">
        <f>'Resource Costs'!$FL20</f>
        <v>0</v>
      </c>
      <c r="AL18" s="1006">
        <f>'Resource Costs'!$FM20</f>
        <v>0</v>
      </c>
      <c r="AM18" s="1007">
        <v>0</v>
      </c>
      <c r="AN18" s="1007">
        <v>0</v>
      </c>
      <c r="AO18" s="1007">
        <v>0</v>
      </c>
      <c r="AP18" s="1007">
        <v>0</v>
      </c>
      <c r="AQ18" s="1007">
        <v>0</v>
      </c>
      <c r="AR18" s="1016">
        <f t="shared" si="1"/>
        <v>0</v>
      </c>
    </row>
    <row r="19" spans="5:44">
      <c r="E19" s="962" t="s">
        <v>8448</v>
      </c>
      <c r="F19" s="962" t="s">
        <v>480</v>
      </c>
      <c r="G19" s="1008">
        <v>0</v>
      </c>
      <c r="H19" s="1008">
        <v>0</v>
      </c>
      <c r="I19" s="1008">
        <v>0</v>
      </c>
      <c r="J19" s="1008">
        <v>0</v>
      </c>
      <c r="K19" s="1008">
        <v>0</v>
      </c>
      <c r="L19" s="1008">
        <v>0</v>
      </c>
      <c r="M19" s="1008">
        <v>0</v>
      </c>
      <c r="N19" s="1008">
        <v>0</v>
      </c>
      <c r="O19" s="1008">
        <v>0</v>
      </c>
      <c r="P19" s="1008">
        <v>0</v>
      </c>
      <c r="Q19" s="1008">
        <v>0</v>
      </c>
      <c r="R19" s="1008">
        <v>0</v>
      </c>
      <c r="AA19" s="1684"/>
      <c r="AB19" s="1005" t="str">
        <f>'Resource Costs'!$FC21</f>
        <v>Infra_Operations</v>
      </c>
      <c r="AC19" s="1005" t="str">
        <f>'Resource Costs'!$FD21</f>
        <v>Pilot_Implementation</v>
      </c>
      <c r="AD19" s="1005" t="str">
        <f>'Resource Costs'!$FE21</f>
        <v>Labor</v>
      </c>
      <c r="AE19" s="1005" t="str">
        <f>'Resource Costs'!$FF21</f>
        <v>Shannon Soland</v>
      </c>
      <c r="AF19" s="1005" t="str">
        <f>'Resource Costs'!$FG21</f>
        <v>Capex</v>
      </c>
      <c r="AG19" s="1006">
        <f>'Resource Costs'!$FH21</f>
        <v>0</v>
      </c>
      <c r="AH19" s="1006">
        <f>'Resource Costs'!$FI21</f>
        <v>0</v>
      </c>
      <c r="AI19" s="1006">
        <f>'Resource Costs'!$FJ21</f>
        <v>0</v>
      </c>
      <c r="AJ19" s="1006">
        <f>'Resource Costs'!$FK21</f>
        <v>0</v>
      </c>
      <c r="AK19" s="1006">
        <f>'Resource Costs'!$FL21</f>
        <v>0</v>
      </c>
      <c r="AL19" s="1006">
        <f>'Resource Costs'!$FM21</f>
        <v>0</v>
      </c>
      <c r="AM19" s="1007">
        <v>0</v>
      </c>
      <c r="AN19" s="1007">
        <v>0</v>
      </c>
      <c r="AO19" s="1007">
        <v>0</v>
      </c>
      <c r="AP19" s="1007">
        <v>0</v>
      </c>
      <c r="AQ19" s="1007">
        <v>0</v>
      </c>
      <c r="AR19" s="1016">
        <f t="shared" si="1"/>
        <v>0</v>
      </c>
    </row>
    <row r="20" spans="5:44">
      <c r="E20" s="962" t="s">
        <v>8450</v>
      </c>
      <c r="F20" s="962" t="s">
        <v>480</v>
      </c>
      <c r="G20" s="1008">
        <v>0</v>
      </c>
      <c r="H20" s="1008">
        <v>0</v>
      </c>
      <c r="I20" s="1008">
        <v>0</v>
      </c>
      <c r="J20" s="1008">
        <v>0</v>
      </c>
      <c r="K20" s="1008">
        <v>0</v>
      </c>
      <c r="L20" s="1008">
        <v>0</v>
      </c>
      <c r="M20" s="1008">
        <v>0</v>
      </c>
      <c r="N20" s="1008">
        <v>0</v>
      </c>
      <c r="O20" s="1008">
        <v>0</v>
      </c>
      <c r="P20" s="1008">
        <v>0</v>
      </c>
      <c r="Q20" s="1008">
        <v>0</v>
      </c>
      <c r="R20" s="1008">
        <v>0</v>
      </c>
      <c r="AA20" s="1684"/>
      <c r="AB20" s="1005" t="str">
        <f>'Resource Costs'!$FC22</f>
        <v>US_IT</v>
      </c>
      <c r="AC20" s="1005" t="str">
        <f>'Resource Costs'!$FD22</f>
        <v>Planning</v>
      </c>
      <c r="AD20" s="1005" t="str">
        <f>'Resource Costs'!$FE22</f>
        <v>Labor</v>
      </c>
      <c r="AE20" s="1005" t="str">
        <f>'Resource Costs'!$FF22</f>
        <v>Steve Olive</v>
      </c>
      <c r="AF20" s="1005" t="str">
        <f>'Resource Costs'!$FG22</f>
        <v>Capex</v>
      </c>
      <c r="AG20" s="1006">
        <f>'Resource Costs'!$FH22</f>
        <v>0</v>
      </c>
      <c r="AH20" s="1006">
        <f>'Resource Costs'!$FI22</f>
        <v>0</v>
      </c>
      <c r="AI20" s="1006">
        <f>'Resource Costs'!$FJ22</f>
        <v>0</v>
      </c>
      <c r="AJ20" s="1006">
        <f>'Resource Costs'!$FK22</f>
        <v>0</v>
      </c>
      <c r="AK20" s="1006">
        <f>'Resource Costs'!$FL22</f>
        <v>0</v>
      </c>
      <c r="AL20" s="1006">
        <f>'Resource Costs'!$FM22</f>
        <v>0</v>
      </c>
      <c r="AM20" s="1007">
        <v>0</v>
      </c>
      <c r="AN20" s="1007">
        <v>0</v>
      </c>
      <c r="AO20" s="1007">
        <v>0</v>
      </c>
      <c r="AP20" s="1007">
        <v>0</v>
      </c>
      <c r="AQ20" s="1007">
        <v>0</v>
      </c>
      <c r="AR20" s="1016">
        <f t="shared" si="1"/>
        <v>0</v>
      </c>
    </row>
    <row r="21" spans="5:44">
      <c r="E21" s="962" t="s">
        <v>278</v>
      </c>
      <c r="F21" s="962" t="s">
        <v>480</v>
      </c>
      <c r="G21" s="1008">
        <v>0</v>
      </c>
      <c r="H21" s="1008">
        <v>0</v>
      </c>
      <c r="I21" s="1008">
        <v>0</v>
      </c>
      <c r="J21" s="1008">
        <v>0</v>
      </c>
      <c r="K21" s="1008">
        <v>0</v>
      </c>
      <c r="L21" s="1008">
        <v>0</v>
      </c>
      <c r="M21" s="1008">
        <v>0</v>
      </c>
      <c r="N21" s="1008">
        <v>0</v>
      </c>
      <c r="O21" s="1008">
        <v>0</v>
      </c>
      <c r="P21" s="1008">
        <v>0</v>
      </c>
      <c r="Q21" s="1008">
        <v>0</v>
      </c>
      <c r="R21" s="1008">
        <v>0</v>
      </c>
      <c r="AA21" s="1684"/>
      <c r="AB21" s="1005" t="str">
        <f>'Resource Costs'!$FC23</f>
        <v/>
      </c>
      <c r="AC21" s="1005" t="str">
        <f>'Resource Costs'!$FD23</f>
        <v/>
      </c>
      <c r="AD21" s="1005" t="str">
        <f>'Resource Costs'!$FE23</f>
        <v>Labor</v>
      </c>
      <c r="AE21" s="1005" t="str">
        <f>'Resource Costs'!$FF23</f>
        <v/>
      </c>
      <c r="AF21" s="1005" t="str">
        <f>'Resource Costs'!$FG23</f>
        <v/>
      </c>
      <c r="AG21" s="1006">
        <f>'Resource Costs'!$FH23</f>
        <v>0</v>
      </c>
      <c r="AH21" s="1006">
        <f>'Resource Costs'!$FI23</f>
        <v>0</v>
      </c>
      <c r="AI21" s="1006">
        <f>'Resource Costs'!$FJ23</f>
        <v>0</v>
      </c>
      <c r="AJ21" s="1006">
        <f>'Resource Costs'!$FK23</f>
        <v>0</v>
      </c>
      <c r="AK21" s="1006">
        <f>'Resource Costs'!$FL23</f>
        <v>0</v>
      </c>
      <c r="AL21" s="1006">
        <f>'Resource Costs'!$FM23</f>
        <v>0</v>
      </c>
      <c r="AM21" s="1007">
        <v>0</v>
      </c>
      <c r="AN21" s="1007">
        <v>0</v>
      </c>
      <c r="AO21" s="1007">
        <v>0</v>
      </c>
      <c r="AP21" s="1007">
        <v>0</v>
      </c>
      <c r="AQ21" s="1007">
        <v>0</v>
      </c>
      <c r="AR21" s="1016">
        <f t="shared" si="1"/>
        <v>0</v>
      </c>
    </row>
    <row r="22" spans="5:44">
      <c r="E22" s="962" t="s">
        <v>285</v>
      </c>
      <c r="F22" s="962" t="s">
        <v>480</v>
      </c>
      <c r="G22" s="1008">
        <v>0</v>
      </c>
      <c r="H22" s="1008">
        <v>0</v>
      </c>
      <c r="I22" s="1008">
        <v>0</v>
      </c>
      <c r="J22" s="1008">
        <v>0</v>
      </c>
      <c r="K22" s="1008">
        <v>0</v>
      </c>
      <c r="L22" s="1008">
        <v>0</v>
      </c>
      <c r="M22" s="1008">
        <v>0</v>
      </c>
      <c r="N22" s="1008">
        <v>0</v>
      </c>
      <c r="O22" s="1008">
        <v>0</v>
      </c>
      <c r="P22" s="1008">
        <v>0</v>
      </c>
      <c r="Q22" s="1008">
        <v>0</v>
      </c>
      <c r="R22" s="1008">
        <v>0</v>
      </c>
      <c r="AA22" s="1684"/>
      <c r="AB22" s="1005" t="str">
        <f>'Resource Costs'!$FC24</f>
        <v/>
      </c>
      <c r="AC22" s="1005" t="str">
        <f>'Resource Costs'!$FD24</f>
        <v/>
      </c>
      <c r="AD22" s="1005" t="str">
        <f>'Resource Costs'!$FE24</f>
        <v>Labor</v>
      </c>
      <c r="AE22" s="1005" t="str">
        <f>'Resource Costs'!$FF24</f>
        <v/>
      </c>
      <c r="AF22" s="1005" t="str">
        <f>'Resource Costs'!$FG24</f>
        <v/>
      </c>
      <c r="AG22" s="1006">
        <f>'Resource Costs'!$FH24</f>
        <v>0</v>
      </c>
      <c r="AH22" s="1006">
        <f>'Resource Costs'!$FI24</f>
        <v>0</v>
      </c>
      <c r="AI22" s="1006">
        <f>'Resource Costs'!$FJ24</f>
        <v>0</v>
      </c>
      <c r="AJ22" s="1006">
        <f>'Resource Costs'!$FK24</f>
        <v>0</v>
      </c>
      <c r="AK22" s="1006">
        <f>'Resource Costs'!$FL24</f>
        <v>0</v>
      </c>
      <c r="AL22" s="1006">
        <f>'Resource Costs'!$FM24</f>
        <v>0</v>
      </c>
      <c r="AM22" s="1007">
        <v>0</v>
      </c>
      <c r="AN22" s="1007">
        <v>0</v>
      </c>
      <c r="AO22" s="1007">
        <v>0</v>
      </c>
      <c r="AP22" s="1007">
        <v>0</v>
      </c>
      <c r="AQ22" s="1007">
        <v>0</v>
      </c>
      <c r="AR22" s="1016">
        <f t="shared" si="1"/>
        <v>0</v>
      </c>
    </row>
    <row r="23" spans="5:44">
      <c r="E23" s="962" t="s">
        <v>272</v>
      </c>
      <c r="F23" s="962" t="s">
        <v>480</v>
      </c>
      <c r="G23" s="1008">
        <v>0</v>
      </c>
      <c r="H23" s="1008">
        <v>0</v>
      </c>
      <c r="I23" s="1008">
        <v>0</v>
      </c>
      <c r="J23" s="1008">
        <v>0</v>
      </c>
      <c r="K23" s="1008">
        <v>0</v>
      </c>
      <c r="L23" s="1008">
        <v>0</v>
      </c>
      <c r="M23" s="1008">
        <v>0</v>
      </c>
      <c r="N23" s="1008">
        <v>0</v>
      </c>
      <c r="O23" s="1008">
        <v>0</v>
      </c>
      <c r="P23" s="1008">
        <v>0</v>
      </c>
      <c r="Q23" s="1008">
        <v>0</v>
      </c>
      <c r="R23" s="1008">
        <v>0</v>
      </c>
      <c r="AA23" s="1684"/>
      <c r="AB23" s="1005" t="str">
        <f>'Resource Costs'!$FC25</f>
        <v/>
      </c>
      <c r="AC23" s="1005" t="str">
        <f>'Resource Costs'!$FD25</f>
        <v/>
      </c>
      <c r="AD23" s="1005" t="str">
        <f>'Resource Costs'!$FE25</f>
        <v>Labor</v>
      </c>
      <c r="AE23" s="1005" t="str">
        <f>'Resource Costs'!$FF25</f>
        <v/>
      </c>
      <c r="AF23" s="1005" t="str">
        <f>'Resource Costs'!$FG25</f>
        <v/>
      </c>
      <c r="AG23" s="1006">
        <f>'Resource Costs'!$FH25</f>
        <v>0</v>
      </c>
      <c r="AH23" s="1006">
        <f>'Resource Costs'!$FI25</f>
        <v>0</v>
      </c>
      <c r="AI23" s="1006">
        <f>'Resource Costs'!$FJ25</f>
        <v>0</v>
      </c>
      <c r="AJ23" s="1006">
        <f>'Resource Costs'!$FK25</f>
        <v>0</v>
      </c>
      <c r="AK23" s="1006">
        <f>'Resource Costs'!$FL25</f>
        <v>0</v>
      </c>
      <c r="AL23" s="1006">
        <f>'Resource Costs'!$FM25</f>
        <v>0</v>
      </c>
      <c r="AM23" s="1007">
        <v>0</v>
      </c>
      <c r="AN23" s="1007">
        <v>0</v>
      </c>
      <c r="AO23" s="1007">
        <v>0</v>
      </c>
      <c r="AP23" s="1007">
        <v>0</v>
      </c>
      <c r="AQ23" s="1007">
        <v>0</v>
      </c>
      <c r="AR23" s="1016">
        <f t="shared" si="1"/>
        <v>0</v>
      </c>
    </row>
    <row r="24" spans="5:44">
      <c r="E24" s="962" t="s">
        <v>273</v>
      </c>
      <c r="F24" s="962" t="s">
        <v>480</v>
      </c>
      <c r="G24" s="1008">
        <v>0</v>
      </c>
      <c r="H24" s="1008">
        <v>0</v>
      </c>
      <c r="I24" s="1008">
        <v>0</v>
      </c>
      <c r="J24" s="1008">
        <v>0</v>
      </c>
      <c r="K24" s="1008">
        <v>0</v>
      </c>
      <c r="L24" s="1008">
        <v>0</v>
      </c>
      <c r="M24" s="1008">
        <v>0</v>
      </c>
      <c r="N24" s="1008">
        <v>0</v>
      </c>
      <c r="O24" s="1008">
        <v>0</v>
      </c>
      <c r="P24" s="1008">
        <v>0</v>
      </c>
      <c r="Q24" s="1008">
        <v>0</v>
      </c>
      <c r="R24" s="1008">
        <v>0</v>
      </c>
      <c r="AA24" s="1684"/>
      <c r="AB24" s="1005" t="str">
        <f>'Resource Costs'!$FC26</f>
        <v/>
      </c>
      <c r="AC24" s="1005" t="str">
        <f>'Resource Costs'!$FD26</f>
        <v/>
      </c>
      <c r="AD24" s="1005" t="str">
        <f>'Resource Costs'!$FE26</f>
        <v>Labor</v>
      </c>
      <c r="AE24" s="1005" t="str">
        <f>'Resource Costs'!$FF26</f>
        <v/>
      </c>
      <c r="AF24" s="1005" t="str">
        <f>'Resource Costs'!$FG26</f>
        <v/>
      </c>
      <c r="AG24" s="1006">
        <f>'Resource Costs'!$FH26</f>
        <v>0</v>
      </c>
      <c r="AH24" s="1006">
        <f>'Resource Costs'!$FI26</f>
        <v>0</v>
      </c>
      <c r="AI24" s="1006">
        <f>'Resource Costs'!$FJ26</f>
        <v>0</v>
      </c>
      <c r="AJ24" s="1006">
        <f>'Resource Costs'!$FK26</f>
        <v>0</v>
      </c>
      <c r="AK24" s="1006">
        <f>'Resource Costs'!$FL26</f>
        <v>0</v>
      </c>
      <c r="AL24" s="1006">
        <f>'Resource Costs'!$FM26</f>
        <v>0</v>
      </c>
      <c r="AM24" s="1007">
        <v>0</v>
      </c>
      <c r="AN24" s="1007">
        <v>0</v>
      </c>
      <c r="AO24" s="1007">
        <v>0</v>
      </c>
      <c r="AP24" s="1007">
        <v>0</v>
      </c>
      <c r="AQ24" s="1007">
        <v>0</v>
      </c>
      <c r="AR24" s="1016">
        <f t="shared" si="1"/>
        <v>0</v>
      </c>
    </row>
    <row r="25" spans="5:44">
      <c r="E25" s="962" t="s">
        <v>274</v>
      </c>
      <c r="F25" s="962" t="s">
        <v>480</v>
      </c>
      <c r="G25" s="1008">
        <v>0</v>
      </c>
      <c r="H25" s="1008">
        <v>0</v>
      </c>
      <c r="I25" s="1008">
        <v>0</v>
      </c>
      <c r="J25" s="1008">
        <v>0</v>
      </c>
      <c r="K25" s="1008">
        <v>0</v>
      </c>
      <c r="L25" s="1008">
        <v>0</v>
      </c>
      <c r="M25" s="1008">
        <v>0</v>
      </c>
      <c r="N25" s="1008">
        <v>0</v>
      </c>
      <c r="O25" s="1008">
        <v>0</v>
      </c>
      <c r="P25" s="1008">
        <v>0</v>
      </c>
      <c r="Q25" s="1008">
        <v>0</v>
      </c>
      <c r="R25" s="1008">
        <v>0</v>
      </c>
      <c r="AA25" s="1684"/>
      <c r="AB25" s="1005" t="str">
        <f>'Resource Costs'!$FC27</f>
        <v/>
      </c>
      <c r="AC25" s="1005" t="str">
        <f>'Resource Costs'!$FD27</f>
        <v/>
      </c>
      <c r="AD25" s="1005" t="str">
        <f>'Resource Costs'!$FE27</f>
        <v>Labor</v>
      </c>
      <c r="AE25" s="1005" t="str">
        <f>'Resource Costs'!$FF27</f>
        <v/>
      </c>
      <c r="AF25" s="1005" t="str">
        <f>'Resource Costs'!$FG27</f>
        <v/>
      </c>
      <c r="AG25" s="1006">
        <f>'Resource Costs'!$FH27</f>
        <v>0</v>
      </c>
      <c r="AH25" s="1006">
        <f>'Resource Costs'!$FI27</f>
        <v>0</v>
      </c>
      <c r="AI25" s="1006">
        <f>'Resource Costs'!$FJ27</f>
        <v>0</v>
      </c>
      <c r="AJ25" s="1006">
        <f>'Resource Costs'!$FK27</f>
        <v>0</v>
      </c>
      <c r="AK25" s="1006">
        <f>'Resource Costs'!$FL27</f>
        <v>0</v>
      </c>
      <c r="AL25" s="1006">
        <f>'Resource Costs'!$FM27</f>
        <v>0</v>
      </c>
      <c r="AM25" s="1007">
        <v>0</v>
      </c>
      <c r="AN25" s="1007">
        <v>0</v>
      </c>
      <c r="AO25" s="1007">
        <v>0</v>
      </c>
      <c r="AP25" s="1007">
        <v>0</v>
      </c>
      <c r="AQ25" s="1007">
        <v>0</v>
      </c>
      <c r="AR25" s="1016">
        <f t="shared" si="1"/>
        <v>0</v>
      </c>
    </row>
    <row r="26" spans="5:44">
      <c r="E26" s="962" t="s">
        <v>267</v>
      </c>
      <c r="F26" s="962" t="s">
        <v>480</v>
      </c>
      <c r="G26" s="1008">
        <v>0</v>
      </c>
      <c r="H26" s="1008">
        <v>0</v>
      </c>
      <c r="I26" s="1008">
        <v>0</v>
      </c>
      <c r="J26" s="1008">
        <v>0</v>
      </c>
      <c r="K26" s="1008">
        <v>0</v>
      </c>
      <c r="L26" s="1008">
        <v>0</v>
      </c>
      <c r="M26" s="1008">
        <v>0</v>
      </c>
      <c r="N26" s="1008">
        <v>0</v>
      </c>
      <c r="O26" s="1008">
        <v>0</v>
      </c>
      <c r="P26" s="1008">
        <v>0</v>
      </c>
      <c r="Q26" s="1008">
        <v>0</v>
      </c>
      <c r="R26" s="1008">
        <v>0</v>
      </c>
      <c r="AA26" s="1684"/>
      <c r="AB26" s="1005" t="str">
        <f>'Resource Costs'!$FC28</f>
        <v/>
      </c>
      <c r="AC26" s="1005" t="str">
        <f>'Resource Costs'!$FD28</f>
        <v/>
      </c>
      <c r="AD26" s="1005" t="str">
        <f>'Resource Costs'!$FE28</f>
        <v>Labor</v>
      </c>
      <c r="AE26" s="1005" t="str">
        <f>'Resource Costs'!$FF28</f>
        <v/>
      </c>
      <c r="AF26" s="1005" t="str">
        <f>'Resource Costs'!$FG28</f>
        <v/>
      </c>
      <c r="AG26" s="1006">
        <f>'Resource Costs'!$FH28</f>
        <v>0</v>
      </c>
      <c r="AH26" s="1006">
        <f>'Resource Costs'!$FI28</f>
        <v>0</v>
      </c>
      <c r="AI26" s="1006">
        <f>'Resource Costs'!$FJ28</f>
        <v>0</v>
      </c>
      <c r="AJ26" s="1006">
        <f>'Resource Costs'!$FK28</f>
        <v>0</v>
      </c>
      <c r="AK26" s="1006">
        <f>'Resource Costs'!$FL28</f>
        <v>0</v>
      </c>
      <c r="AL26" s="1006">
        <f>'Resource Costs'!$FM28</f>
        <v>0</v>
      </c>
      <c r="AM26" s="1007">
        <v>0</v>
      </c>
      <c r="AN26" s="1007">
        <v>0</v>
      </c>
      <c r="AO26" s="1007">
        <v>0</v>
      </c>
      <c r="AP26" s="1007">
        <v>0</v>
      </c>
      <c r="AQ26" s="1007">
        <v>0</v>
      </c>
      <c r="AR26" s="1016">
        <f t="shared" si="1"/>
        <v>0</v>
      </c>
    </row>
    <row r="27" spans="5:44">
      <c r="E27" s="962" t="s">
        <v>275</v>
      </c>
      <c r="F27" s="962" t="s">
        <v>480</v>
      </c>
      <c r="G27" s="1008">
        <v>0</v>
      </c>
      <c r="H27" s="1008">
        <v>0</v>
      </c>
      <c r="I27" s="1008">
        <v>0</v>
      </c>
      <c r="J27" s="1008">
        <v>0</v>
      </c>
      <c r="K27" s="1008">
        <v>0</v>
      </c>
      <c r="L27" s="1008">
        <v>0</v>
      </c>
      <c r="M27" s="1008">
        <v>0</v>
      </c>
      <c r="N27" s="1008">
        <v>0</v>
      </c>
      <c r="O27" s="1008">
        <v>0</v>
      </c>
      <c r="P27" s="1008">
        <v>0</v>
      </c>
      <c r="Q27" s="1008">
        <v>0</v>
      </c>
      <c r="R27" s="1008">
        <v>0</v>
      </c>
      <c r="AA27" s="1684"/>
      <c r="AB27" s="1005" t="str">
        <f>'Resource Costs'!$FC29</f>
        <v/>
      </c>
      <c r="AC27" s="1005" t="str">
        <f>'Resource Costs'!$FD29</f>
        <v/>
      </c>
      <c r="AD27" s="1005" t="str">
        <f>'Resource Costs'!$FE29</f>
        <v>Labor</v>
      </c>
      <c r="AE27" s="1005" t="str">
        <f>'Resource Costs'!$FF29</f>
        <v/>
      </c>
      <c r="AF27" s="1005" t="str">
        <f>'Resource Costs'!$FG29</f>
        <v/>
      </c>
      <c r="AG27" s="1006">
        <f>'Resource Costs'!$FH29</f>
        <v>0</v>
      </c>
      <c r="AH27" s="1006">
        <f>'Resource Costs'!$FI29</f>
        <v>0</v>
      </c>
      <c r="AI27" s="1006">
        <f>'Resource Costs'!$FJ29</f>
        <v>0</v>
      </c>
      <c r="AJ27" s="1006">
        <f>'Resource Costs'!$FK29</f>
        <v>0</v>
      </c>
      <c r="AK27" s="1006">
        <f>'Resource Costs'!$FL29</f>
        <v>0</v>
      </c>
      <c r="AL27" s="1006">
        <f>'Resource Costs'!$FM29</f>
        <v>0</v>
      </c>
      <c r="AM27" s="1007">
        <v>0</v>
      </c>
      <c r="AN27" s="1007">
        <v>0</v>
      </c>
      <c r="AO27" s="1007">
        <v>0</v>
      </c>
      <c r="AP27" s="1007">
        <v>0</v>
      </c>
      <c r="AQ27" s="1007">
        <v>0</v>
      </c>
      <c r="AR27" s="1016">
        <f t="shared" si="1"/>
        <v>0</v>
      </c>
    </row>
    <row r="28" spans="5:44">
      <c r="E28" s="962" t="s">
        <v>276</v>
      </c>
      <c r="F28" s="962" t="s">
        <v>480</v>
      </c>
      <c r="G28" s="1008">
        <v>0</v>
      </c>
      <c r="H28" s="1008">
        <v>0</v>
      </c>
      <c r="I28" s="1008">
        <v>0</v>
      </c>
      <c r="J28" s="1008">
        <v>0</v>
      </c>
      <c r="K28" s="1008">
        <v>0</v>
      </c>
      <c r="L28" s="1008">
        <v>0</v>
      </c>
      <c r="M28" s="1008">
        <v>0</v>
      </c>
      <c r="N28" s="1008">
        <v>0</v>
      </c>
      <c r="O28" s="1008">
        <v>0</v>
      </c>
      <c r="P28" s="1008">
        <v>0</v>
      </c>
      <c r="Q28" s="1008">
        <v>0</v>
      </c>
      <c r="R28" s="1008">
        <v>0</v>
      </c>
      <c r="AA28" s="1684"/>
      <c r="AB28" s="1005" t="str">
        <f>'Resource Costs'!$FC30</f>
        <v/>
      </c>
      <c r="AC28" s="1005" t="str">
        <f>'Resource Costs'!$FD30</f>
        <v/>
      </c>
      <c r="AD28" s="1005" t="str">
        <f>'Resource Costs'!$FE30</f>
        <v>Labor</v>
      </c>
      <c r="AE28" s="1005" t="str">
        <f>'Resource Costs'!$FF30</f>
        <v/>
      </c>
      <c r="AF28" s="1005" t="str">
        <f>'Resource Costs'!$FG30</f>
        <v/>
      </c>
      <c r="AG28" s="1006">
        <f>'Resource Costs'!$FH30</f>
        <v>0</v>
      </c>
      <c r="AH28" s="1006">
        <f>'Resource Costs'!$FI30</f>
        <v>0</v>
      </c>
      <c r="AI28" s="1006">
        <f>'Resource Costs'!$FJ30</f>
        <v>0</v>
      </c>
      <c r="AJ28" s="1006">
        <f>'Resource Costs'!$FK30</f>
        <v>0</v>
      </c>
      <c r="AK28" s="1006">
        <f>'Resource Costs'!$FL30</f>
        <v>0</v>
      </c>
      <c r="AL28" s="1006">
        <f>'Resource Costs'!$FM30</f>
        <v>0</v>
      </c>
      <c r="AM28" s="1007">
        <v>0</v>
      </c>
      <c r="AN28" s="1007">
        <v>0</v>
      </c>
      <c r="AO28" s="1007">
        <v>0</v>
      </c>
      <c r="AP28" s="1007">
        <v>0</v>
      </c>
      <c r="AQ28" s="1007">
        <v>0</v>
      </c>
      <c r="AR28" s="1016">
        <f t="shared" si="1"/>
        <v>0</v>
      </c>
    </row>
    <row r="29" spans="5:44">
      <c r="E29" s="962" t="s">
        <v>270</v>
      </c>
      <c r="F29" s="962" t="s">
        <v>480</v>
      </c>
      <c r="G29" s="1008">
        <v>0</v>
      </c>
      <c r="H29" s="1008">
        <v>0</v>
      </c>
      <c r="I29" s="1008">
        <v>0</v>
      </c>
      <c r="J29" s="1008">
        <v>0</v>
      </c>
      <c r="K29" s="1008">
        <v>0</v>
      </c>
      <c r="L29" s="1008">
        <v>0</v>
      </c>
      <c r="M29" s="1008">
        <v>0</v>
      </c>
      <c r="N29" s="1008">
        <v>0</v>
      </c>
      <c r="O29" s="1008">
        <v>0</v>
      </c>
      <c r="P29" s="1008">
        <v>0</v>
      </c>
      <c r="Q29" s="1008">
        <v>0</v>
      </c>
      <c r="R29" s="1008">
        <v>0</v>
      </c>
      <c r="AA29" s="1684"/>
      <c r="AB29" s="1005" t="str">
        <f>'Resource Costs'!$FC31</f>
        <v/>
      </c>
      <c r="AC29" s="1005" t="str">
        <f>'Resource Costs'!$FD31</f>
        <v/>
      </c>
      <c r="AD29" s="1005" t="str">
        <f>'Resource Costs'!$FE31</f>
        <v>Labor</v>
      </c>
      <c r="AE29" s="1005" t="str">
        <f>'Resource Costs'!$FF31</f>
        <v/>
      </c>
      <c r="AF29" s="1005" t="str">
        <f>'Resource Costs'!$FG31</f>
        <v/>
      </c>
      <c r="AG29" s="1006">
        <f>'Resource Costs'!$FH31</f>
        <v>0</v>
      </c>
      <c r="AH29" s="1006">
        <f>'Resource Costs'!$FI31</f>
        <v>0</v>
      </c>
      <c r="AI29" s="1006">
        <f>'Resource Costs'!$FJ31</f>
        <v>0</v>
      </c>
      <c r="AJ29" s="1006">
        <f>'Resource Costs'!$FK31</f>
        <v>0</v>
      </c>
      <c r="AK29" s="1006">
        <f>'Resource Costs'!$FL31</f>
        <v>0</v>
      </c>
      <c r="AL29" s="1006">
        <f>'Resource Costs'!$FM31</f>
        <v>0</v>
      </c>
      <c r="AM29" s="1007">
        <v>0</v>
      </c>
      <c r="AN29" s="1007">
        <v>0</v>
      </c>
      <c r="AO29" s="1007">
        <v>0</v>
      </c>
      <c r="AP29" s="1007">
        <v>0</v>
      </c>
      <c r="AQ29" s="1007">
        <v>0</v>
      </c>
      <c r="AR29" s="1016">
        <f t="shared" si="1"/>
        <v>0</v>
      </c>
    </row>
    <row r="30" spans="5:44">
      <c r="E30" s="962" t="s">
        <v>8414</v>
      </c>
      <c r="F30" s="962" t="s">
        <v>480</v>
      </c>
      <c r="G30" s="1008">
        <v>0</v>
      </c>
      <c r="H30" s="1008">
        <v>0</v>
      </c>
      <c r="I30" s="1008">
        <v>0</v>
      </c>
      <c r="J30" s="1008">
        <v>0</v>
      </c>
      <c r="K30" s="1008">
        <v>0</v>
      </c>
      <c r="L30" s="1008">
        <v>0</v>
      </c>
      <c r="M30" s="1008">
        <v>0</v>
      </c>
      <c r="N30" s="1008">
        <v>0</v>
      </c>
      <c r="O30" s="1008">
        <v>0</v>
      </c>
      <c r="P30" s="1008">
        <v>0</v>
      </c>
      <c r="Q30" s="1008">
        <v>0</v>
      </c>
      <c r="R30" s="1008">
        <v>0</v>
      </c>
      <c r="AA30" s="1684"/>
      <c r="AB30" s="1005" t="str">
        <f>'Resource Costs'!$FC32</f>
        <v/>
      </c>
      <c r="AC30" s="1005" t="str">
        <f>'Resource Costs'!$FD32</f>
        <v/>
      </c>
      <c r="AD30" s="1005" t="str">
        <f>'Resource Costs'!$FE32</f>
        <v>Labor</v>
      </c>
      <c r="AE30" s="1005" t="str">
        <f>'Resource Costs'!$FF32</f>
        <v/>
      </c>
      <c r="AF30" s="1005" t="str">
        <f>'Resource Costs'!$FG32</f>
        <v/>
      </c>
      <c r="AG30" s="1006">
        <f>'Resource Costs'!$FH32</f>
        <v>0</v>
      </c>
      <c r="AH30" s="1006">
        <f>'Resource Costs'!$FI32</f>
        <v>0</v>
      </c>
      <c r="AI30" s="1006">
        <f>'Resource Costs'!$FJ32</f>
        <v>0</v>
      </c>
      <c r="AJ30" s="1006">
        <f>'Resource Costs'!$FK32</f>
        <v>0</v>
      </c>
      <c r="AK30" s="1006">
        <f>'Resource Costs'!$FL32</f>
        <v>0</v>
      </c>
      <c r="AL30" s="1006">
        <f>'Resource Costs'!$FM32</f>
        <v>0</v>
      </c>
      <c r="AM30" s="1007">
        <v>0</v>
      </c>
      <c r="AN30" s="1007">
        <v>0</v>
      </c>
      <c r="AO30" s="1007">
        <v>0</v>
      </c>
      <c r="AP30" s="1007">
        <v>0</v>
      </c>
      <c r="AQ30" s="1007">
        <v>0</v>
      </c>
      <c r="AR30" s="1016">
        <f t="shared" si="1"/>
        <v>0</v>
      </c>
    </row>
    <row r="31" spans="5:44">
      <c r="E31" s="962" t="s">
        <v>277</v>
      </c>
      <c r="F31" s="962" t="s">
        <v>480</v>
      </c>
      <c r="G31" s="1008">
        <v>0</v>
      </c>
      <c r="H31" s="1008">
        <v>0</v>
      </c>
      <c r="I31" s="1008">
        <v>0</v>
      </c>
      <c r="J31" s="1008">
        <v>0</v>
      </c>
      <c r="K31" s="1008">
        <v>0</v>
      </c>
      <c r="L31" s="1008">
        <v>0</v>
      </c>
      <c r="M31" s="1008">
        <v>0</v>
      </c>
      <c r="N31" s="1008">
        <v>0</v>
      </c>
      <c r="O31" s="1008">
        <v>0</v>
      </c>
      <c r="P31" s="1008">
        <v>0</v>
      </c>
      <c r="Q31" s="1008">
        <v>0</v>
      </c>
      <c r="R31" s="1008">
        <v>0</v>
      </c>
      <c r="AA31" s="1684"/>
      <c r="AB31" s="1005" t="str">
        <f>'Resource Costs'!$FC33</f>
        <v/>
      </c>
      <c r="AC31" s="1005" t="str">
        <f>'Resource Costs'!$FD33</f>
        <v/>
      </c>
      <c r="AD31" s="1005" t="str">
        <f>'Resource Costs'!$FE33</f>
        <v>Labor</v>
      </c>
      <c r="AE31" s="1005" t="str">
        <f>'Resource Costs'!$FF33</f>
        <v/>
      </c>
      <c r="AF31" s="1005" t="str">
        <f>'Resource Costs'!$FG33</f>
        <v/>
      </c>
      <c r="AG31" s="1006">
        <f>'Resource Costs'!$FH33</f>
        <v>0</v>
      </c>
      <c r="AH31" s="1006">
        <f>'Resource Costs'!$FI33</f>
        <v>0</v>
      </c>
      <c r="AI31" s="1006">
        <f>'Resource Costs'!$FJ33</f>
        <v>0</v>
      </c>
      <c r="AJ31" s="1006">
        <f>'Resource Costs'!$FK33</f>
        <v>0</v>
      </c>
      <c r="AK31" s="1006">
        <f>'Resource Costs'!$FL33</f>
        <v>0</v>
      </c>
      <c r="AL31" s="1006">
        <f>'Resource Costs'!$FM33</f>
        <v>0</v>
      </c>
      <c r="AM31" s="1007">
        <v>0</v>
      </c>
      <c r="AN31" s="1007">
        <v>0</v>
      </c>
      <c r="AO31" s="1007">
        <v>0</v>
      </c>
      <c r="AP31" s="1007">
        <v>0</v>
      </c>
      <c r="AQ31" s="1007">
        <v>0</v>
      </c>
      <c r="AR31" s="1016">
        <f t="shared" si="1"/>
        <v>0</v>
      </c>
    </row>
    <row r="32" spans="5:44">
      <c r="E32" s="962" t="s">
        <v>269</v>
      </c>
      <c r="F32" s="962" t="s">
        <v>480</v>
      </c>
      <c r="G32" s="1008">
        <v>0</v>
      </c>
      <c r="H32" s="1008">
        <v>0</v>
      </c>
      <c r="I32" s="1008">
        <v>0</v>
      </c>
      <c r="J32" s="1008">
        <v>0</v>
      </c>
      <c r="K32" s="1008">
        <v>0</v>
      </c>
      <c r="L32" s="1008">
        <v>0</v>
      </c>
      <c r="M32" s="1008">
        <v>0</v>
      </c>
      <c r="N32" s="1008">
        <v>0</v>
      </c>
      <c r="O32" s="1008">
        <v>0</v>
      </c>
      <c r="P32" s="1008">
        <v>0</v>
      </c>
      <c r="Q32" s="1008">
        <v>0</v>
      </c>
      <c r="R32" s="1008">
        <v>0</v>
      </c>
      <c r="AA32" s="1684"/>
      <c r="AB32" s="1005" t="str">
        <f>'Resource Costs'!$FC34</f>
        <v/>
      </c>
      <c r="AC32" s="1005" t="str">
        <f>'Resource Costs'!$FD34</f>
        <v/>
      </c>
      <c r="AD32" s="1005" t="str">
        <f>'Resource Costs'!$FE34</f>
        <v>Labor</v>
      </c>
      <c r="AE32" s="1005" t="str">
        <f>'Resource Costs'!$FF34</f>
        <v/>
      </c>
      <c r="AF32" s="1005" t="str">
        <f>'Resource Costs'!$FG34</f>
        <v/>
      </c>
      <c r="AG32" s="1006">
        <f>'Resource Costs'!$FH34</f>
        <v>0</v>
      </c>
      <c r="AH32" s="1006">
        <f>'Resource Costs'!$FI34</f>
        <v>0</v>
      </c>
      <c r="AI32" s="1006">
        <f>'Resource Costs'!$FJ34</f>
        <v>0</v>
      </c>
      <c r="AJ32" s="1006">
        <f>'Resource Costs'!$FK34</f>
        <v>0</v>
      </c>
      <c r="AK32" s="1006">
        <f>'Resource Costs'!$FL34</f>
        <v>0</v>
      </c>
      <c r="AL32" s="1006">
        <f>'Resource Costs'!$FM34</f>
        <v>0</v>
      </c>
      <c r="AM32" s="1007">
        <v>0</v>
      </c>
      <c r="AN32" s="1007">
        <v>0</v>
      </c>
      <c r="AO32" s="1007">
        <v>0</v>
      </c>
      <c r="AP32" s="1007">
        <v>0</v>
      </c>
      <c r="AQ32" s="1007">
        <v>0</v>
      </c>
      <c r="AR32" s="1016">
        <f t="shared" si="1"/>
        <v>0</v>
      </c>
    </row>
    <row r="33" spans="2:44">
      <c r="E33" s="962" t="s">
        <v>268</v>
      </c>
      <c r="F33" s="962" t="s">
        <v>480</v>
      </c>
      <c r="G33" s="1008">
        <v>0</v>
      </c>
      <c r="H33" s="1008">
        <v>0</v>
      </c>
      <c r="I33" s="1008">
        <v>0</v>
      </c>
      <c r="J33" s="1008">
        <v>0</v>
      </c>
      <c r="K33" s="1008">
        <v>0</v>
      </c>
      <c r="L33" s="1008">
        <v>0</v>
      </c>
      <c r="M33" s="1008">
        <v>0</v>
      </c>
      <c r="N33" s="1008">
        <v>0</v>
      </c>
      <c r="O33" s="1008">
        <v>0</v>
      </c>
      <c r="P33" s="1008">
        <v>0</v>
      </c>
      <c r="Q33" s="1008">
        <v>0</v>
      </c>
      <c r="R33" s="1008">
        <v>0</v>
      </c>
      <c r="AA33" s="1684"/>
      <c r="AB33" s="1005" t="str">
        <f>'Resource Costs'!$FC35</f>
        <v/>
      </c>
      <c r="AC33" s="1005" t="str">
        <f>'Resource Costs'!$FD35</f>
        <v/>
      </c>
      <c r="AD33" s="1005" t="str">
        <f>'Resource Costs'!$FE35</f>
        <v>Labor</v>
      </c>
      <c r="AE33" s="1005" t="str">
        <f>'Resource Costs'!$FF35</f>
        <v/>
      </c>
      <c r="AF33" s="1005" t="str">
        <f>'Resource Costs'!$FG35</f>
        <v/>
      </c>
      <c r="AG33" s="1006">
        <f>'Resource Costs'!$FH35</f>
        <v>0</v>
      </c>
      <c r="AH33" s="1006">
        <f>'Resource Costs'!$FI35</f>
        <v>0</v>
      </c>
      <c r="AI33" s="1006">
        <f>'Resource Costs'!$FJ35</f>
        <v>0</v>
      </c>
      <c r="AJ33" s="1006">
        <f>'Resource Costs'!$FK35</f>
        <v>0</v>
      </c>
      <c r="AK33" s="1006">
        <f>'Resource Costs'!$FL35</f>
        <v>0</v>
      </c>
      <c r="AL33" s="1006">
        <f>'Resource Costs'!$FM35</f>
        <v>0</v>
      </c>
      <c r="AM33" s="1007">
        <v>0</v>
      </c>
      <c r="AN33" s="1007">
        <v>0</v>
      </c>
      <c r="AO33" s="1007">
        <v>0</v>
      </c>
      <c r="AP33" s="1007">
        <v>0</v>
      </c>
      <c r="AQ33" s="1007">
        <v>0</v>
      </c>
      <c r="AR33" s="1016">
        <f t="shared" si="1"/>
        <v>0</v>
      </c>
    </row>
    <row r="34" spans="2:44">
      <c r="F34" s="962" t="s">
        <v>480</v>
      </c>
      <c r="G34" s="1008">
        <v>0</v>
      </c>
      <c r="H34" s="1008">
        <v>0</v>
      </c>
      <c r="I34" s="1008">
        <v>0</v>
      </c>
      <c r="J34" s="1008">
        <v>0</v>
      </c>
      <c r="K34" s="1008">
        <v>0</v>
      </c>
      <c r="L34" s="1008">
        <v>0</v>
      </c>
      <c r="M34" s="1008">
        <v>0</v>
      </c>
      <c r="N34" s="1008">
        <v>0</v>
      </c>
      <c r="O34" s="1008">
        <v>0</v>
      </c>
      <c r="P34" s="1008">
        <v>0</v>
      </c>
      <c r="Q34" s="1008">
        <v>0</v>
      </c>
      <c r="R34" s="1008">
        <v>0</v>
      </c>
      <c r="AA34" s="1684"/>
      <c r="AB34" s="1005" t="str">
        <f>'Resource Costs'!$FC36</f>
        <v/>
      </c>
      <c r="AC34" s="1005" t="str">
        <f>'Resource Costs'!$FD36</f>
        <v/>
      </c>
      <c r="AD34" s="1005" t="str">
        <f>'Resource Costs'!$FE36</f>
        <v>Labor</v>
      </c>
      <c r="AE34" s="1005" t="str">
        <f>'Resource Costs'!$FF36</f>
        <v/>
      </c>
      <c r="AF34" s="1005" t="str">
        <f>'Resource Costs'!$FG36</f>
        <v/>
      </c>
      <c r="AG34" s="1006">
        <f>'Resource Costs'!$FH36</f>
        <v>0</v>
      </c>
      <c r="AH34" s="1006">
        <f>'Resource Costs'!$FI36</f>
        <v>0</v>
      </c>
      <c r="AI34" s="1006">
        <f>'Resource Costs'!$FJ36</f>
        <v>0</v>
      </c>
      <c r="AJ34" s="1006">
        <f>'Resource Costs'!$FK36</f>
        <v>0</v>
      </c>
      <c r="AK34" s="1006">
        <f>'Resource Costs'!$FL36</f>
        <v>0</v>
      </c>
      <c r="AL34" s="1006">
        <f>'Resource Costs'!$FM36</f>
        <v>0</v>
      </c>
      <c r="AM34" s="1007">
        <v>0</v>
      </c>
      <c r="AN34" s="1007">
        <v>0</v>
      </c>
      <c r="AO34" s="1007">
        <v>0</v>
      </c>
      <c r="AP34" s="1007">
        <v>0</v>
      </c>
      <c r="AQ34" s="1007">
        <v>0</v>
      </c>
      <c r="AR34" s="1016">
        <f t="shared" si="1"/>
        <v>0</v>
      </c>
    </row>
    <row r="35" spans="2:44">
      <c r="E35" s="962" t="s">
        <v>9029</v>
      </c>
      <c r="F35" s="962" t="s">
        <v>480</v>
      </c>
      <c r="G35" s="1008">
        <v>0</v>
      </c>
      <c r="H35" s="1008">
        <v>0</v>
      </c>
      <c r="I35" s="1008">
        <v>0</v>
      </c>
      <c r="J35" s="1008">
        <v>0</v>
      </c>
      <c r="K35" s="1008">
        <v>0</v>
      </c>
      <c r="L35" s="1008">
        <v>0</v>
      </c>
      <c r="M35" s="1008">
        <v>0</v>
      </c>
      <c r="N35" s="1008">
        <v>0</v>
      </c>
      <c r="O35" s="1008">
        <v>0</v>
      </c>
      <c r="P35" s="1008">
        <v>0</v>
      </c>
      <c r="Q35" s="1008">
        <v>0</v>
      </c>
      <c r="R35" s="1008">
        <v>0</v>
      </c>
      <c r="AA35" s="1684"/>
      <c r="AB35" s="1005" t="str">
        <f>'Resource Costs'!$FC37</f>
        <v/>
      </c>
      <c r="AC35" s="1005" t="str">
        <f>'Resource Costs'!$FD37</f>
        <v/>
      </c>
      <c r="AD35" s="1005" t="str">
        <f>'Resource Costs'!$FE37</f>
        <v>Labor</v>
      </c>
      <c r="AE35" s="1005" t="str">
        <f>'Resource Costs'!$FF37</f>
        <v/>
      </c>
      <c r="AF35" s="1005" t="str">
        <f>'Resource Costs'!$FG37</f>
        <v/>
      </c>
      <c r="AG35" s="1006">
        <f>'Resource Costs'!$FH37</f>
        <v>0</v>
      </c>
      <c r="AH35" s="1006">
        <f>'Resource Costs'!$FI37</f>
        <v>0</v>
      </c>
      <c r="AI35" s="1006">
        <f>'Resource Costs'!$FJ37</f>
        <v>0</v>
      </c>
      <c r="AJ35" s="1006">
        <f>'Resource Costs'!$FK37</f>
        <v>0</v>
      </c>
      <c r="AK35" s="1006">
        <f>'Resource Costs'!$FL37</f>
        <v>0</v>
      </c>
      <c r="AL35" s="1006">
        <f>'Resource Costs'!$FM37</f>
        <v>0</v>
      </c>
      <c r="AM35" s="1007">
        <v>0</v>
      </c>
      <c r="AN35" s="1007">
        <v>0</v>
      </c>
      <c r="AO35" s="1007">
        <v>0</v>
      </c>
      <c r="AP35" s="1007">
        <v>0</v>
      </c>
      <c r="AQ35" s="1007">
        <v>0</v>
      </c>
      <c r="AR35" s="1016">
        <f t="shared" si="1"/>
        <v>0</v>
      </c>
    </row>
    <row r="36" spans="2:44">
      <c r="E36" s="962" t="s">
        <v>14956</v>
      </c>
      <c r="F36" s="962" t="s">
        <v>480</v>
      </c>
      <c r="G36" s="1008">
        <v>0</v>
      </c>
      <c r="H36" s="1008">
        <v>0</v>
      </c>
      <c r="I36" s="1008">
        <v>0</v>
      </c>
      <c r="J36" s="1008">
        <v>0</v>
      </c>
      <c r="K36" s="1008">
        <v>0</v>
      </c>
      <c r="L36" s="1008">
        <v>0</v>
      </c>
      <c r="M36" s="1008">
        <v>0</v>
      </c>
      <c r="N36" s="1008">
        <v>0</v>
      </c>
      <c r="O36" s="1008">
        <v>0</v>
      </c>
      <c r="P36" s="1008">
        <v>0</v>
      </c>
      <c r="Q36" s="1008">
        <v>0</v>
      </c>
      <c r="R36" s="1008">
        <v>0</v>
      </c>
      <c r="AA36" s="1684"/>
      <c r="AB36" s="1005" t="str">
        <f>'Resource Costs'!$FC38</f>
        <v/>
      </c>
      <c r="AC36" s="1005" t="str">
        <f>'Resource Costs'!$FD38</f>
        <v/>
      </c>
      <c r="AD36" s="1005" t="str">
        <f>'Resource Costs'!$FE38</f>
        <v>Labor</v>
      </c>
      <c r="AE36" s="1005" t="str">
        <f>'Resource Costs'!$FF38</f>
        <v/>
      </c>
      <c r="AF36" s="1005" t="str">
        <f>'Resource Costs'!$FG38</f>
        <v/>
      </c>
      <c r="AG36" s="1006">
        <f>'Resource Costs'!$FH38</f>
        <v>0</v>
      </c>
      <c r="AH36" s="1006">
        <f>'Resource Costs'!$FI38</f>
        <v>0</v>
      </c>
      <c r="AI36" s="1006">
        <f>'Resource Costs'!$FJ38</f>
        <v>0</v>
      </c>
      <c r="AJ36" s="1006">
        <f>'Resource Costs'!$FK38</f>
        <v>0</v>
      </c>
      <c r="AK36" s="1006">
        <f>'Resource Costs'!$FL38</f>
        <v>0</v>
      </c>
      <c r="AL36" s="1006">
        <f>'Resource Costs'!$FM38</f>
        <v>0</v>
      </c>
      <c r="AM36" s="1007">
        <v>0</v>
      </c>
      <c r="AN36" s="1007">
        <v>0</v>
      </c>
      <c r="AO36" s="1007">
        <v>0</v>
      </c>
      <c r="AP36" s="1007">
        <v>0</v>
      </c>
      <c r="AQ36" s="1007">
        <v>0</v>
      </c>
      <c r="AR36" s="1016">
        <f t="shared" si="1"/>
        <v>0</v>
      </c>
    </row>
    <row r="37" spans="2:44">
      <c r="G37" s="1008">
        <v>0</v>
      </c>
      <c r="H37" s="1008">
        <v>0</v>
      </c>
      <c r="I37" s="1008">
        <v>0</v>
      </c>
      <c r="J37" s="1008">
        <v>0</v>
      </c>
      <c r="K37" s="1008">
        <v>0</v>
      </c>
      <c r="L37" s="1008">
        <v>0</v>
      </c>
      <c r="M37" s="1008">
        <v>0</v>
      </c>
      <c r="N37" s="1008">
        <v>0</v>
      </c>
      <c r="O37" s="1008">
        <v>0</v>
      </c>
      <c r="P37" s="1008">
        <v>0</v>
      </c>
      <c r="Q37" s="1008">
        <v>0</v>
      </c>
      <c r="R37" s="1008">
        <v>0</v>
      </c>
      <c r="AA37" s="1684"/>
      <c r="AB37" s="1005" t="str">
        <f>'Resource Costs'!$FC39</f>
        <v/>
      </c>
      <c r="AC37" s="1005" t="str">
        <f>'Resource Costs'!$FD39</f>
        <v/>
      </c>
      <c r="AD37" s="1005" t="str">
        <f>'Resource Costs'!$FE39</f>
        <v>Labor</v>
      </c>
      <c r="AE37" s="1005" t="str">
        <f>'Resource Costs'!$FF39</f>
        <v/>
      </c>
      <c r="AF37" s="1005" t="str">
        <f>'Resource Costs'!$FG39</f>
        <v/>
      </c>
      <c r="AG37" s="1006">
        <f>'Resource Costs'!$FH39</f>
        <v>0</v>
      </c>
      <c r="AH37" s="1006">
        <f>'Resource Costs'!$FI39</f>
        <v>0</v>
      </c>
      <c r="AI37" s="1006">
        <f>'Resource Costs'!$FJ39</f>
        <v>0</v>
      </c>
      <c r="AJ37" s="1006">
        <f>'Resource Costs'!$FK39</f>
        <v>0</v>
      </c>
      <c r="AK37" s="1006">
        <f>'Resource Costs'!$FL39</f>
        <v>0</v>
      </c>
      <c r="AL37" s="1006">
        <f>'Resource Costs'!$FM39</f>
        <v>0</v>
      </c>
      <c r="AM37" s="1007">
        <v>0</v>
      </c>
      <c r="AN37" s="1007">
        <v>0</v>
      </c>
      <c r="AO37" s="1007">
        <v>0</v>
      </c>
      <c r="AP37" s="1007">
        <v>0</v>
      </c>
      <c r="AQ37" s="1007">
        <v>0</v>
      </c>
      <c r="AR37" s="1016">
        <f t="shared" si="1"/>
        <v>0</v>
      </c>
    </row>
    <row r="38" spans="2:44">
      <c r="E38" s="962" t="s">
        <v>8407</v>
      </c>
      <c r="G38" s="1008">
        <v>0</v>
      </c>
      <c r="H38" s="1008">
        <v>0</v>
      </c>
      <c r="I38" s="1008">
        <v>0</v>
      </c>
      <c r="J38" s="1008">
        <v>0</v>
      </c>
      <c r="K38" s="1008">
        <v>0</v>
      </c>
      <c r="L38" s="1008">
        <v>0</v>
      </c>
      <c r="M38" s="1008">
        <v>0</v>
      </c>
      <c r="N38" s="1008">
        <v>0</v>
      </c>
      <c r="O38" s="1008">
        <v>0</v>
      </c>
      <c r="P38" s="1008">
        <v>0</v>
      </c>
      <c r="Q38" s="1008">
        <v>0</v>
      </c>
      <c r="R38" s="1008">
        <v>0</v>
      </c>
      <c r="AA38" s="1684"/>
      <c r="AB38" s="1005" t="str">
        <f>'Resource Costs'!$FC40</f>
        <v/>
      </c>
      <c r="AC38" s="1005" t="str">
        <f>'Resource Costs'!$FD40</f>
        <v/>
      </c>
      <c r="AD38" s="1005" t="str">
        <f>'Resource Costs'!$FE40</f>
        <v>Labor</v>
      </c>
      <c r="AE38" s="1005" t="str">
        <f>'Resource Costs'!$FF40</f>
        <v/>
      </c>
      <c r="AF38" s="1005" t="str">
        <f>'Resource Costs'!$FG40</f>
        <v/>
      </c>
      <c r="AG38" s="1006">
        <f>'Resource Costs'!$FH40</f>
        <v>0</v>
      </c>
      <c r="AH38" s="1006">
        <f>'Resource Costs'!$FI40</f>
        <v>0</v>
      </c>
      <c r="AI38" s="1006">
        <f>'Resource Costs'!$FJ40</f>
        <v>0</v>
      </c>
      <c r="AJ38" s="1006">
        <f>'Resource Costs'!$FK40</f>
        <v>0</v>
      </c>
      <c r="AK38" s="1006">
        <f>'Resource Costs'!$FL40</f>
        <v>0</v>
      </c>
      <c r="AL38" s="1006">
        <f>'Resource Costs'!$FM40</f>
        <v>0</v>
      </c>
      <c r="AM38" s="1007">
        <v>0</v>
      </c>
      <c r="AN38" s="1007">
        <v>0</v>
      </c>
      <c r="AO38" s="1007">
        <v>0</v>
      </c>
      <c r="AP38" s="1007">
        <v>0</v>
      </c>
      <c r="AQ38" s="1007">
        <v>0</v>
      </c>
      <c r="AR38" s="1016">
        <f t="shared" si="1"/>
        <v>0</v>
      </c>
    </row>
    <row r="39" spans="2:44">
      <c r="B39" s="1024" t="s">
        <v>460</v>
      </c>
      <c r="C39" s="962" t="s">
        <v>8400</v>
      </c>
      <c r="D39" s="962" t="s">
        <v>456</v>
      </c>
      <c r="E39" s="962" t="s">
        <v>8407</v>
      </c>
      <c r="F39" s="962" t="s">
        <v>21</v>
      </c>
      <c r="G39" s="1008">
        <v>0</v>
      </c>
      <c r="H39" s="1008">
        <v>0</v>
      </c>
      <c r="I39" s="1008">
        <v>0</v>
      </c>
      <c r="J39" s="1008">
        <v>0</v>
      </c>
      <c r="K39" s="1008">
        <v>0</v>
      </c>
      <c r="L39" s="1008">
        <v>0</v>
      </c>
      <c r="M39" s="1008">
        <v>0</v>
      </c>
      <c r="N39" s="1008">
        <v>0</v>
      </c>
      <c r="O39" s="1008">
        <v>0</v>
      </c>
      <c r="P39" s="1008">
        <v>0</v>
      </c>
      <c r="Q39" s="1008">
        <v>0</v>
      </c>
      <c r="R39" s="1008">
        <v>0</v>
      </c>
      <c r="AA39" s="1684"/>
      <c r="AB39" s="1005" t="str">
        <f>'Resource Costs'!$FC41</f>
        <v/>
      </c>
      <c r="AC39" s="1005" t="str">
        <f>'Resource Costs'!$FD41</f>
        <v/>
      </c>
      <c r="AD39" s="1005" t="str">
        <f>'Resource Costs'!$FE41</f>
        <v>Labor</v>
      </c>
      <c r="AE39" s="1005" t="str">
        <f>'Resource Costs'!$FF41</f>
        <v/>
      </c>
      <c r="AF39" s="1005" t="str">
        <f>'Resource Costs'!$FG41</f>
        <v/>
      </c>
      <c r="AG39" s="1006">
        <f>'Resource Costs'!$FH41</f>
        <v>0</v>
      </c>
      <c r="AH39" s="1006">
        <f>'Resource Costs'!$FI41</f>
        <v>0</v>
      </c>
      <c r="AI39" s="1006">
        <f>'Resource Costs'!$FJ41</f>
        <v>0</v>
      </c>
      <c r="AJ39" s="1006">
        <f>'Resource Costs'!$FK41</f>
        <v>0</v>
      </c>
      <c r="AK39" s="1006">
        <f>'Resource Costs'!$FL41</f>
        <v>0</v>
      </c>
      <c r="AL39" s="1006">
        <f>'Resource Costs'!$FM41</f>
        <v>0</v>
      </c>
      <c r="AM39" s="1007">
        <v>0</v>
      </c>
      <c r="AN39" s="1007">
        <v>0</v>
      </c>
      <c r="AO39" s="1007">
        <v>0</v>
      </c>
      <c r="AP39" s="1007">
        <v>0</v>
      </c>
      <c r="AQ39" s="1007">
        <v>0</v>
      </c>
      <c r="AR39" s="1016">
        <f t="shared" si="1"/>
        <v>0</v>
      </c>
    </row>
    <row r="40" spans="2:44">
      <c r="B40" s="1024" t="s">
        <v>41</v>
      </c>
      <c r="C40" s="1024"/>
      <c r="D40" s="1024"/>
      <c r="E40" s="1024"/>
      <c r="F40" s="1024"/>
      <c r="G40" s="1008">
        <v>0</v>
      </c>
      <c r="H40" s="1008">
        <v>0</v>
      </c>
      <c r="I40" s="1008">
        <v>0</v>
      </c>
      <c r="J40" s="1008">
        <v>0</v>
      </c>
      <c r="K40" s="1008">
        <v>0</v>
      </c>
      <c r="L40" s="1008">
        <v>0</v>
      </c>
      <c r="M40" s="1008">
        <v>0</v>
      </c>
      <c r="N40" s="1008">
        <v>0</v>
      </c>
      <c r="O40" s="1008">
        <v>0</v>
      </c>
      <c r="P40" s="1008">
        <v>0</v>
      </c>
      <c r="Q40" s="1008">
        <v>0</v>
      </c>
      <c r="R40" s="1008">
        <v>0</v>
      </c>
      <c r="AA40" s="1684"/>
      <c r="AB40" s="1005" t="str">
        <f>'Resource Costs'!$FC42</f>
        <v/>
      </c>
      <c r="AC40" s="1005" t="str">
        <f>'Resource Costs'!$FD42</f>
        <v/>
      </c>
      <c r="AD40" s="1005" t="str">
        <f>'Resource Costs'!$FE42</f>
        <v>Labor</v>
      </c>
      <c r="AE40" s="1005" t="str">
        <f>'Resource Costs'!$FF42</f>
        <v/>
      </c>
      <c r="AF40" s="1005" t="str">
        <f>'Resource Costs'!$FG42</f>
        <v/>
      </c>
      <c r="AG40" s="1006">
        <f>'Resource Costs'!$FH42</f>
        <v>0</v>
      </c>
      <c r="AH40" s="1006">
        <f>'Resource Costs'!$FI42</f>
        <v>0</v>
      </c>
      <c r="AI40" s="1006">
        <f>'Resource Costs'!$FJ42</f>
        <v>0</v>
      </c>
      <c r="AJ40" s="1006">
        <f>'Resource Costs'!$FK42</f>
        <v>0</v>
      </c>
      <c r="AK40" s="1006">
        <f>'Resource Costs'!$FL42</f>
        <v>0</v>
      </c>
      <c r="AL40" s="1006">
        <f>'Resource Costs'!$FM42</f>
        <v>0</v>
      </c>
      <c r="AM40" s="1007">
        <v>0</v>
      </c>
      <c r="AN40" s="1007">
        <v>0</v>
      </c>
      <c r="AO40" s="1007">
        <v>0</v>
      </c>
      <c r="AP40" s="1007">
        <v>0</v>
      </c>
      <c r="AQ40" s="1007">
        <v>0</v>
      </c>
      <c r="AR40" s="1016">
        <f t="shared" si="1"/>
        <v>0</v>
      </c>
    </row>
    <row r="41" spans="2:44" ht="14.5">
      <c r="B41"/>
      <c r="C41"/>
      <c r="D41"/>
      <c r="E41"/>
      <c r="F41"/>
      <c r="G41"/>
      <c r="H41"/>
      <c r="I41"/>
      <c r="J41"/>
      <c r="K41"/>
      <c r="L41"/>
      <c r="M41"/>
      <c r="N41"/>
      <c r="O41"/>
      <c r="P41"/>
      <c r="Q41"/>
      <c r="R41"/>
      <c r="AA41" s="1684"/>
      <c r="AB41" s="1005" t="str">
        <f>'Resource Costs'!$FC43</f>
        <v/>
      </c>
      <c r="AC41" s="1005" t="str">
        <f>'Resource Costs'!$FD43</f>
        <v/>
      </c>
      <c r="AD41" s="1005" t="str">
        <f>'Resource Costs'!$FE43</f>
        <v>Labor</v>
      </c>
      <c r="AE41" s="1005" t="str">
        <f>'Resource Costs'!$FF43</f>
        <v/>
      </c>
      <c r="AF41" s="1005" t="str">
        <f>'Resource Costs'!$FG43</f>
        <v/>
      </c>
      <c r="AG41" s="1006">
        <f>'Resource Costs'!$FH43</f>
        <v>0</v>
      </c>
      <c r="AH41" s="1006">
        <f>'Resource Costs'!$FI43</f>
        <v>0</v>
      </c>
      <c r="AI41" s="1006">
        <f>'Resource Costs'!$FJ43</f>
        <v>0</v>
      </c>
      <c r="AJ41" s="1006">
        <f>'Resource Costs'!$FK43</f>
        <v>0</v>
      </c>
      <c r="AK41" s="1006">
        <f>'Resource Costs'!$FL43</f>
        <v>0</v>
      </c>
      <c r="AL41" s="1006">
        <f>'Resource Costs'!$FM43</f>
        <v>0</v>
      </c>
      <c r="AM41" s="1007">
        <v>0</v>
      </c>
      <c r="AN41" s="1007">
        <v>0</v>
      </c>
      <c r="AO41" s="1007">
        <v>0</v>
      </c>
      <c r="AP41" s="1007">
        <v>0</v>
      </c>
      <c r="AQ41" s="1007">
        <v>0</v>
      </c>
      <c r="AR41" s="1016">
        <f t="shared" si="1"/>
        <v>0</v>
      </c>
    </row>
    <row r="42" spans="2:44" ht="14.5">
      <c r="B42"/>
      <c r="C42"/>
      <c r="D42"/>
      <c r="E42"/>
      <c r="F42"/>
      <c r="G42"/>
      <c r="H42"/>
      <c r="I42"/>
      <c r="J42"/>
      <c r="K42"/>
      <c r="L42"/>
      <c r="M42"/>
      <c r="N42"/>
      <c r="O42"/>
      <c r="P42"/>
      <c r="Q42"/>
      <c r="R42"/>
      <c r="AA42" s="1684"/>
      <c r="AB42" s="1005" t="str">
        <f>'Resource Costs'!$FC44</f>
        <v/>
      </c>
      <c r="AC42" s="1005" t="str">
        <f>'Resource Costs'!$FD44</f>
        <v/>
      </c>
      <c r="AD42" s="1005" t="str">
        <f>'Resource Costs'!$FE44</f>
        <v>Labor</v>
      </c>
      <c r="AE42" s="1005" t="str">
        <f>'Resource Costs'!$FF44</f>
        <v/>
      </c>
      <c r="AF42" s="1005" t="str">
        <f>'Resource Costs'!$FG44</f>
        <v/>
      </c>
      <c r="AG42" s="1006">
        <f>'Resource Costs'!$FH44</f>
        <v>0</v>
      </c>
      <c r="AH42" s="1006">
        <f>'Resource Costs'!$FI44</f>
        <v>0</v>
      </c>
      <c r="AI42" s="1006">
        <f>'Resource Costs'!$FJ44</f>
        <v>0</v>
      </c>
      <c r="AJ42" s="1006">
        <f>'Resource Costs'!$FK44</f>
        <v>0</v>
      </c>
      <c r="AK42" s="1006">
        <f>'Resource Costs'!$FL44</f>
        <v>0</v>
      </c>
      <c r="AL42" s="1006">
        <f>'Resource Costs'!$FM44</f>
        <v>0</v>
      </c>
      <c r="AM42" s="1007">
        <v>0</v>
      </c>
      <c r="AN42" s="1007">
        <v>0</v>
      </c>
      <c r="AO42" s="1007">
        <v>0</v>
      </c>
      <c r="AP42" s="1007">
        <v>0</v>
      </c>
      <c r="AQ42" s="1007">
        <v>0</v>
      </c>
      <c r="AR42" s="1016">
        <f t="shared" si="1"/>
        <v>0</v>
      </c>
    </row>
    <row r="43" spans="2:44" ht="14.5">
      <c r="B43"/>
      <c r="C43"/>
      <c r="D43"/>
      <c r="E43"/>
      <c r="F43"/>
      <c r="G43"/>
      <c r="H43"/>
      <c r="I43"/>
      <c r="J43"/>
      <c r="K43"/>
      <c r="L43"/>
      <c r="M43"/>
      <c r="N43"/>
      <c r="O43"/>
      <c r="P43"/>
      <c r="Q43"/>
      <c r="R43"/>
      <c r="AA43" s="1684"/>
      <c r="AB43" s="1005" t="str">
        <f>'Resource Costs'!$FC45</f>
        <v/>
      </c>
      <c r="AC43" s="1005" t="str">
        <f>'Resource Costs'!$FD45</f>
        <v/>
      </c>
      <c r="AD43" s="1005" t="str">
        <f>'Resource Costs'!$FE45</f>
        <v>Labor</v>
      </c>
      <c r="AE43" s="1005" t="str">
        <f>'Resource Costs'!$FF45</f>
        <v/>
      </c>
      <c r="AF43" s="1005" t="str">
        <f>'Resource Costs'!$FG45</f>
        <v/>
      </c>
      <c r="AG43" s="1006">
        <f>'Resource Costs'!$FH45</f>
        <v>0</v>
      </c>
      <c r="AH43" s="1006">
        <f>'Resource Costs'!$FI45</f>
        <v>0</v>
      </c>
      <c r="AI43" s="1006">
        <f>'Resource Costs'!$FJ45</f>
        <v>0</v>
      </c>
      <c r="AJ43" s="1006">
        <f>'Resource Costs'!$FK45</f>
        <v>0</v>
      </c>
      <c r="AK43" s="1006">
        <f>'Resource Costs'!$FL45</f>
        <v>0</v>
      </c>
      <c r="AL43" s="1006">
        <f>'Resource Costs'!$FM45</f>
        <v>0</v>
      </c>
      <c r="AM43" s="1007">
        <v>0</v>
      </c>
      <c r="AN43" s="1007">
        <v>0</v>
      </c>
      <c r="AO43" s="1007">
        <v>0</v>
      </c>
      <c r="AP43" s="1007">
        <v>0</v>
      </c>
      <c r="AQ43" s="1007">
        <v>0</v>
      </c>
      <c r="AR43" s="1016">
        <f t="shared" si="1"/>
        <v>0</v>
      </c>
    </row>
    <row r="44" spans="2:44" ht="14.5">
      <c r="B44"/>
      <c r="C44"/>
      <c r="D44"/>
      <c r="E44"/>
      <c r="F44"/>
      <c r="G44"/>
      <c r="H44"/>
      <c r="I44"/>
      <c r="J44"/>
      <c r="K44"/>
      <c r="L44"/>
      <c r="M44"/>
      <c r="N44"/>
      <c r="O44"/>
      <c r="P44"/>
      <c r="Q44"/>
      <c r="R44"/>
      <c r="AA44" s="1684"/>
      <c r="AB44" s="1005" t="str">
        <f>'Resource Costs'!$FC46</f>
        <v/>
      </c>
      <c r="AC44" s="1005" t="str">
        <f>'Resource Costs'!$FD46</f>
        <v/>
      </c>
      <c r="AD44" s="1005" t="str">
        <f>'Resource Costs'!$FE46</f>
        <v>Labor</v>
      </c>
      <c r="AE44" s="1005" t="str">
        <f>'Resource Costs'!$FF46</f>
        <v/>
      </c>
      <c r="AF44" s="1005" t="str">
        <f>'Resource Costs'!$FG46</f>
        <v/>
      </c>
      <c r="AG44" s="1006">
        <f>'Resource Costs'!$FH46</f>
        <v>0</v>
      </c>
      <c r="AH44" s="1006">
        <f>'Resource Costs'!$FI46</f>
        <v>0</v>
      </c>
      <c r="AI44" s="1006">
        <f>'Resource Costs'!$FJ46</f>
        <v>0</v>
      </c>
      <c r="AJ44" s="1006">
        <f>'Resource Costs'!$FK46</f>
        <v>0</v>
      </c>
      <c r="AK44" s="1006">
        <f>'Resource Costs'!$FL46</f>
        <v>0</v>
      </c>
      <c r="AL44" s="1006">
        <f>'Resource Costs'!$FM46</f>
        <v>0</v>
      </c>
      <c r="AM44" s="1007">
        <v>0</v>
      </c>
      <c r="AN44" s="1007">
        <v>0</v>
      </c>
      <c r="AO44" s="1007">
        <v>0</v>
      </c>
      <c r="AP44" s="1007">
        <v>0</v>
      </c>
      <c r="AQ44" s="1007">
        <v>0</v>
      </c>
      <c r="AR44" s="1016">
        <f t="shared" si="1"/>
        <v>0</v>
      </c>
    </row>
    <row r="45" spans="2:44" ht="14.5">
      <c r="B45"/>
      <c r="C45"/>
      <c r="D45"/>
      <c r="E45"/>
      <c r="F45"/>
      <c r="G45"/>
      <c r="H45"/>
      <c r="I45"/>
      <c r="J45"/>
      <c r="K45"/>
      <c r="L45"/>
      <c r="M45"/>
      <c r="N45"/>
      <c r="O45"/>
      <c r="P45"/>
      <c r="Q45"/>
      <c r="R45"/>
      <c r="AA45" s="1684"/>
      <c r="AB45" s="1005" t="str">
        <f>'Resource Costs'!$FC47</f>
        <v/>
      </c>
      <c r="AC45" s="1005" t="str">
        <f>'Resource Costs'!$FD47</f>
        <v/>
      </c>
      <c r="AD45" s="1005" t="str">
        <f>'Resource Costs'!$FE47</f>
        <v>Labor</v>
      </c>
      <c r="AE45" s="1005" t="str">
        <f>'Resource Costs'!$FF47</f>
        <v/>
      </c>
      <c r="AF45" s="1005" t="str">
        <f>'Resource Costs'!$FG47</f>
        <v/>
      </c>
      <c r="AG45" s="1006">
        <f>'Resource Costs'!$FH47</f>
        <v>0</v>
      </c>
      <c r="AH45" s="1006">
        <f>'Resource Costs'!$FI47</f>
        <v>0</v>
      </c>
      <c r="AI45" s="1006">
        <f>'Resource Costs'!$FJ47</f>
        <v>0</v>
      </c>
      <c r="AJ45" s="1006">
        <f>'Resource Costs'!$FK47</f>
        <v>0</v>
      </c>
      <c r="AK45" s="1006">
        <f>'Resource Costs'!$FL47</f>
        <v>0</v>
      </c>
      <c r="AL45" s="1006">
        <f>'Resource Costs'!$FM47</f>
        <v>0</v>
      </c>
      <c r="AM45" s="1007">
        <v>0</v>
      </c>
      <c r="AN45" s="1007">
        <v>0</v>
      </c>
      <c r="AO45" s="1007">
        <v>0</v>
      </c>
      <c r="AP45" s="1007">
        <v>0</v>
      </c>
      <c r="AQ45" s="1007">
        <v>0</v>
      </c>
      <c r="AR45" s="1016">
        <f t="shared" si="1"/>
        <v>0</v>
      </c>
    </row>
    <row r="46" spans="2:44" ht="14.5">
      <c r="B46"/>
      <c r="C46"/>
      <c r="D46"/>
      <c r="E46"/>
      <c r="F46"/>
      <c r="G46"/>
      <c r="H46"/>
      <c r="I46"/>
      <c r="J46"/>
      <c r="K46"/>
      <c r="L46"/>
      <c r="M46"/>
      <c r="N46"/>
      <c r="O46"/>
      <c r="P46"/>
      <c r="Q46"/>
      <c r="R46"/>
      <c r="AA46" s="1684"/>
      <c r="AB46" s="1005" t="str">
        <f>'Resource Costs'!$FC48</f>
        <v/>
      </c>
      <c r="AC46" s="1005" t="str">
        <f>'Resource Costs'!$FD48</f>
        <v/>
      </c>
      <c r="AD46" s="1005" t="str">
        <f>'Resource Costs'!$FE48</f>
        <v>Labor</v>
      </c>
      <c r="AE46" s="1005" t="str">
        <f>'Resource Costs'!$FF48</f>
        <v/>
      </c>
      <c r="AF46" s="1005" t="str">
        <f>'Resource Costs'!$FG48</f>
        <v/>
      </c>
      <c r="AG46" s="1006">
        <f>'Resource Costs'!$FH48</f>
        <v>0</v>
      </c>
      <c r="AH46" s="1006">
        <f>'Resource Costs'!$FI48</f>
        <v>0</v>
      </c>
      <c r="AI46" s="1006">
        <f>'Resource Costs'!$FJ48</f>
        <v>0</v>
      </c>
      <c r="AJ46" s="1006">
        <f>'Resource Costs'!$FK48</f>
        <v>0</v>
      </c>
      <c r="AK46" s="1006">
        <f>'Resource Costs'!$FL48</f>
        <v>0</v>
      </c>
      <c r="AL46" s="1006">
        <f>'Resource Costs'!$FM48</f>
        <v>0</v>
      </c>
      <c r="AM46" s="1007">
        <v>0</v>
      </c>
      <c r="AN46" s="1007">
        <v>0</v>
      </c>
      <c r="AO46" s="1007">
        <v>0</v>
      </c>
      <c r="AP46" s="1007">
        <v>0</v>
      </c>
      <c r="AQ46" s="1007">
        <v>0</v>
      </c>
      <c r="AR46" s="1016">
        <f t="shared" si="1"/>
        <v>0</v>
      </c>
    </row>
    <row r="47" spans="2:44" ht="14.5">
      <c r="B47"/>
      <c r="C47"/>
      <c r="D47"/>
      <c r="E47"/>
      <c r="F47"/>
      <c r="G47"/>
      <c r="H47"/>
      <c r="I47"/>
      <c r="J47"/>
      <c r="K47"/>
      <c r="L47"/>
      <c r="M47"/>
      <c r="N47"/>
      <c r="O47"/>
      <c r="P47"/>
      <c r="Q47"/>
      <c r="R47"/>
      <c r="AA47" s="1684"/>
      <c r="AB47" s="1005" t="str">
        <f>'Resource Costs'!$FC49</f>
        <v/>
      </c>
      <c r="AC47" s="1005" t="str">
        <f>'Resource Costs'!$FD49</f>
        <v/>
      </c>
      <c r="AD47" s="1005" t="str">
        <f>'Resource Costs'!$FE49</f>
        <v>Labor</v>
      </c>
      <c r="AE47" s="1005" t="str">
        <f>'Resource Costs'!$FF49</f>
        <v/>
      </c>
      <c r="AF47" s="1005" t="str">
        <f>'Resource Costs'!$FG49</f>
        <v/>
      </c>
      <c r="AG47" s="1006">
        <f>'Resource Costs'!$FH49</f>
        <v>0</v>
      </c>
      <c r="AH47" s="1006">
        <f>'Resource Costs'!$FI49</f>
        <v>0</v>
      </c>
      <c r="AI47" s="1006">
        <f>'Resource Costs'!$FJ49</f>
        <v>0</v>
      </c>
      <c r="AJ47" s="1006">
        <f>'Resource Costs'!$FK49</f>
        <v>0</v>
      </c>
      <c r="AK47" s="1006">
        <f>'Resource Costs'!$FL49</f>
        <v>0</v>
      </c>
      <c r="AL47" s="1006">
        <f>'Resource Costs'!$FM49</f>
        <v>0</v>
      </c>
      <c r="AM47" s="1007">
        <v>0</v>
      </c>
      <c r="AN47" s="1007">
        <v>0</v>
      </c>
      <c r="AO47" s="1007">
        <v>0</v>
      </c>
      <c r="AP47" s="1007">
        <v>0</v>
      </c>
      <c r="AQ47" s="1007">
        <v>0</v>
      </c>
      <c r="AR47" s="1016">
        <f t="shared" si="1"/>
        <v>0</v>
      </c>
    </row>
    <row r="48" spans="2:44" ht="14.5">
      <c r="B48"/>
      <c r="C48"/>
      <c r="D48"/>
      <c r="E48"/>
      <c r="F48"/>
      <c r="G48"/>
      <c r="H48"/>
      <c r="I48"/>
      <c r="J48"/>
      <c r="K48"/>
      <c r="L48"/>
      <c r="M48"/>
      <c r="N48"/>
      <c r="O48"/>
      <c r="P48"/>
      <c r="Q48"/>
      <c r="R48"/>
      <c r="AA48" s="1684"/>
      <c r="AB48" s="1005" t="str">
        <f>'Resource Costs'!$FC50</f>
        <v/>
      </c>
      <c r="AC48" s="1005" t="str">
        <f>'Resource Costs'!$FD50</f>
        <v/>
      </c>
      <c r="AD48" s="1005" t="str">
        <f>'Resource Costs'!$FE50</f>
        <v>Labor</v>
      </c>
      <c r="AE48" s="1005" t="str">
        <f>'Resource Costs'!$FF50</f>
        <v/>
      </c>
      <c r="AF48" s="1005" t="str">
        <f>'Resource Costs'!$FG50</f>
        <v/>
      </c>
      <c r="AG48" s="1006">
        <f>'Resource Costs'!$FH50</f>
        <v>0</v>
      </c>
      <c r="AH48" s="1006">
        <f>'Resource Costs'!$FI50</f>
        <v>0</v>
      </c>
      <c r="AI48" s="1006">
        <f>'Resource Costs'!$FJ50</f>
        <v>0</v>
      </c>
      <c r="AJ48" s="1006">
        <f>'Resource Costs'!$FK50</f>
        <v>0</v>
      </c>
      <c r="AK48" s="1006">
        <f>'Resource Costs'!$FL50</f>
        <v>0</v>
      </c>
      <c r="AL48" s="1006">
        <f>'Resource Costs'!$FM50</f>
        <v>0</v>
      </c>
      <c r="AM48" s="1007">
        <v>0</v>
      </c>
      <c r="AN48" s="1007">
        <v>0</v>
      </c>
      <c r="AO48" s="1007">
        <v>0</v>
      </c>
      <c r="AP48" s="1007">
        <v>0</v>
      </c>
      <c r="AQ48" s="1007">
        <v>0</v>
      </c>
      <c r="AR48" s="1016">
        <f t="shared" si="1"/>
        <v>0</v>
      </c>
    </row>
    <row r="49" spans="2:44" ht="14.5">
      <c r="B49"/>
      <c r="C49"/>
      <c r="D49"/>
      <c r="E49"/>
      <c r="F49"/>
      <c r="G49"/>
      <c r="H49"/>
      <c r="I49"/>
      <c r="J49"/>
      <c r="K49"/>
      <c r="L49"/>
      <c r="M49"/>
      <c r="N49"/>
      <c r="O49"/>
      <c r="P49"/>
      <c r="Q49"/>
      <c r="R49"/>
      <c r="AA49" s="1684"/>
      <c r="AB49" s="1005" t="str">
        <f>'Resource Costs'!$FC51</f>
        <v/>
      </c>
      <c r="AC49" s="1005" t="str">
        <f>'Resource Costs'!$FD51</f>
        <v/>
      </c>
      <c r="AD49" s="1005" t="str">
        <f>'Resource Costs'!$FE51</f>
        <v>Labor</v>
      </c>
      <c r="AE49" s="1005" t="str">
        <f>'Resource Costs'!$FF51</f>
        <v/>
      </c>
      <c r="AF49" s="1005" t="str">
        <f>'Resource Costs'!$FG51</f>
        <v/>
      </c>
      <c r="AG49" s="1006">
        <f>'Resource Costs'!$FH51</f>
        <v>0</v>
      </c>
      <c r="AH49" s="1006">
        <f>'Resource Costs'!$FI51</f>
        <v>0</v>
      </c>
      <c r="AI49" s="1006">
        <f>'Resource Costs'!$FJ51</f>
        <v>0</v>
      </c>
      <c r="AJ49" s="1006">
        <f>'Resource Costs'!$FK51</f>
        <v>0</v>
      </c>
      <c r="AK49" s="1006">
        <f>'Resource Costs'!$FL51</f>
        <v>0</v>
      </c>
      <c r="AL49" s="1006">
        <f>'Resource Costs'!$FM51</f>
        <v>0</v>
      </c>
      <c r="AM49" s="1007">
        <v>0</v>
      </c>
      <c r="AN49" s="1007">
        <v>0</v>
      </c>
      <c r="AO49" s="1007">
        <v>0</v>
      </c>
      <c r="AP49" s="1007">
        <v>0</v>
      </c>
      <c r="AQ49" s="1007">
        <v>0</v>
      </c>
      <c r="AR49" s="1016">
        <f t="shared" si="1"/>
        <v>0</v>
      </c>
    </row>
    <row r="50" spans="2:44" ht="14.5">
      <c r="B50"/>
      <c r="C50"/>
      <c r="D50"/>
      <c r="E50"/>
      <c r="F50"/>
      <c r="G50"/>
      <c r="H50"/>
      <c r="I50"/>
      <c r="J50"/>
      <c r="K50"/>
      <c r="L50"/>
      <c r="M50"/>
      <c r="N50"/>
      <c r="O50"/>
      <c r="P50"/>
      <c r="Q50"/>
      <c r="R50"/>
      <c r="AA50" s="1684"/>
      <c r="AB50" s="1005" t="str">
        <f>'Resource Costs'!$FC52</f>
        <v/>
      </c>
      <c r="AC50" s="1005" t="str">
        <f>'Resource Costs'!$FD52</f>
        <v/>
      </c>
      <c r="AD50" s="1005" t="str">
        <f>'Resource Costs'!$FE52</f>
        <v>Labor</v>
      </c>
      <c r="AE50" s="1005" t="str">
        <f>'Resource Costs'!$FF52</f>
        <v/>
      </c>
      <c r="AF50" s="1005" t="str">
        <f>'Resource Costs'!$FG52</f>
        <v/>
      </c>
      <c r="AG50" s="1006">
        <f>'Resource Costs'!$FH52</f>
        <v>0</v>
      </c>
      <c r="AH50" s="1006">
        <f>'Resource Costs'!$FI52</f>
        <v>0</v>
      </c>
      <c r="AI50" s="1006">
        <f>'Resource Costs'!$FJ52</f>
        <v>0</v>
      </c>
      <c r="AJ50" s="1006">
        <f>'Resource Costs'!$FK52</f>
        <v>0</v>
      </c>
      <c r="AK50" s="1006">
        <f>'Resource Costs'!$FL52</f>
        <v>0</v>
      </c>
      <c r="AL50" s="1006">
        <f>'Resource Costs'!$FM52</f>
        <v>0</v>
      </c>
      <c r="AM50" s="1007">
        <v>0</v>
      </c>
      <c r="AN50" s="1007">
        <v>0</v>
      </c>
      <c r="AO50" s="1007">
        <v>0</v>
      </c>
      <c r="AP50" s="1007">
        <v>0</v>
      </c>
      <c r="AQ50" s="1007">
        <v>0</v>
      </c>
      <c r="AR50" s="1016">
        <f t="shared" si="1"/>
        <v>0</v>
      </c>
    </row>
    <row r="51" spans="2:44" ht="14.5">
      <c r="B51"/>
      <c r="C51"/>
      <c r="D51"/>
      <c r="E51"/>
      <c r="F51"/>
      <c r="G51"/>
      <c r="H51"/>
      <c r="I51"/>
      <c r="J51"/>
      <c r="K51"/>
      <c r="L51"/>
      <c r="M51"/>
      <c r="N51"/>
      <c r="O51"/>
      <c r="P51"/>
      <c r="Q51"/>
      <c r="R51"/>
      <c r="AA51" s="1684"/>
      <c r="AB51" s="1005" t="str">
        <f>'Resource Costs'!$FC53</f>
        <v/>
      </c>
      <c r="AC51" s="1005" t="str">
        <f>'Resource Costs'!$FD53</f>
        <v/>
      </c>
      <c r="AD51" s="1005" t="str">
        <f>'Resource Costs'!$FE53</f>
        <v>Labor</v>
      </c>
      <c r="AE51" s="1005" t="str">
        <f>'Resource Costs'!$FF53</f>
        <v/>
      </c>
      <c r="AF51" s="1005" t="str">
        <f>'Resource Costs'!$FG53</f>
        <v/>
      </c>
      <c r="AG51" s="1006">
        <f>'Resource Costs'!$FH53</f>
        <v>0</v>
      </c>
      <c r="AH51" s="1006">
        <f>'Resource Costs'!$FI53</f>
        <v>0</v>
      </c>
      <c r="AI51" s="1006">
        <f>'Resource Costs'!$FJ53</f>
        <v>0</v>
      </c>
      <c r="AJ51" s="1006">
        <f>'Resource Costs'!$FK53</f>
        <v>0</v>
      </c>
      <c r="AK51" s="1006">
        <f>'Resource Costs'!$FL53</f>
        <v>0</v>
      </c>
      <c r="AL51" s="1006">
        <f>'Resource Costs'!$FM53</f>
        <v>0</v>
      </c>
      <c r="AM51" s="1007">
        <v>0</v>
      </c>
      <c r="AN51" s="1007">
        <v>0</v>
      </c>
      <c r="AO51" s="1007">
        <v>0</v>
      </c>
      <c r="AP51" s="1007">
        <v>0</v>
      </c>
      <c r="AQ51" s="1007">
        <v>0</v>
      </c>
      <c r="AR51" s="1016">
        <f t="shared" si="1"/>
        <v>0</v>
      </c>
    </row>
    <row r="52" spans="2:44" ht="14.5">
      <c r="B52"/>
      <c r="C52"/>
      <c r="D52"/>
      <c r="E52"/>
      <c r="F52"/>
      <c r="G52"/>
      <c r="H52"/>
      <c r="I52"/>
      <c r="J52"/>
      <c r="K52"/>
      <c r="L52"/>
      <c r="M52"/>
      <c r="N52"/>
      <c r="O52"/>
      <c r="P52"/>
      <c r="Q52"/>
      <c r="R52"/>
      <c r="AA52" s="1684"/>
      <c r="AB52" s="1005" t="str">
        <f>'Resource Costs'!$FC54</f>
        <v/>
      </c>
      <c r="AC52" s="1005" t="str">
        <f>'Resource Costs'!$FD54</f>
        <v/>
      </c>
      <c r="AD52" s="1005" t="str">
        <f>'Resource Costs'!$FE54</f>
        <v>Labor</v>
      </c>
      <c r="AE52" s="1005" t="str">
        <f>'Resource Costs'!$FF54</f>
        <v/>
      </c>
      <c r="AF52" s="1005" t="str">
        <f>'Resource Costs'!$FG54</f>
        <v/>
      </c>
      <c r="AG52" s="1006">
        <f>'Resource Costs'!$FH54</f>
        <v>0</v>
      </c>
      <c r="AH52" s="1006">
        <f>'Resource Costs'!$FI54</f>
        <v>0</v>
      </c>
      <c r="AI52" s="1006">
        <f>'Resource Costs'!$FJ54</f>
        <v>0</v>
      </c>
      <c r="AJ52" s="1006">
        <f>'Resource Costs'!$FK54</f>
        <v>0</v>
      </c>
      <c r="AK52" s="1006">
        <f>'Resource Costs'!$FL54</f>
        <v>0</v>
      </c>
      <c r="AL52" s="1006">
        <f>'Resource Costs'!$FM54</f>
        <v>0</v>
      </c>
      <c r="AM52" s="1007">
        <v>0</v>
      </c>
      <c r="AN52" s="1007">
        <v>0</v>
      </c>
      <c r="AO52" s="1007">
        <v>0</v>
      </c>
      <c r="AP52" s="1007">
        <v>0</v>
      </c>
      <c r="AQ52" s="1007">
        <v>0</v>
      </c>
      <c r="AR52" s="1016">
        <f t="shared" si="1"/>
        <v>0</v>
      </c>
    </row>
    <row r="53" spans="2:44" ht="14.5">
      <c r="B53"/>
      <c r="C53"/>
      <c r="D53"/>
      <c r="E53"/>
      <c r="F53"/>
      <c r="G53"/>
      <c r="H53"/>
      <c r="I53"/>
      <c r="J53"/>
      <c r="K53"/>
      <c r="L53"/>
      <c r="M53"/>
      <c r="N53"/>
      <c r="O53"/>
      <c r="P53"/>
      <c r="Q53"/>
      <c r="R53"/>
      <c r="AA53" s="1684"/>
      <c r="AB53" s="1005" t="str">
        <f>'Resource Costs'!$FC55</f>
        <v/>
      </c>
      <c r="AC53" s="1005" t="str">
        <f>'Resource Costs'!$FD55</f>
        <v/>
      </c>
      <c r="AD53" s="1005" t="str">
        <f>'Resource Costs'!$FE55</f>
        <v>Labor</v>
      </c>
      <c r="AE53" s="1005" t="str">
        <f>'Resource Costs'!$FF55</f>
        <v/>
      </c>
      <c r="AF53" s="1005" t="str">
        <f>'Resource Costs'!$FG55</f>
        <v/>
      </c>
      <c r="AG53" s="1006">
        <f>'Resource Costs'!$FH55</f>
        <v>0</v>
      </c>
      <c r="AH53" s="1006">
        <f>'Resource Costs'!$FI55</f>
        <v>0</v>
      </c>
      <c r="AI53" s="1006">
        <f>'Resource Costs'!$FJ55</f>
        <v>0</v>
      </c>
      <c r="AJ53" s="1006">
        <f>'Resource Costs'!$FK55</f>
        <v>0</v>
      </c>
      <c r="AK53" s="1006">
        <f>'Resource Costs'!$FL55</f>
        <v>0</v>
      </c>
      <c r="AL53" s="1006">
        <f>'Resource Costs'!$FM55</f>
        <v>0</v>
      </c>
      <c r="AM53" s="1007">
        <v>0</v>
      </c>
      <c r="AN53" s="1007">
        <v>0</v>
      </c>
      <c r="AO53" s="1007">
        <v>0</v>
      </c>
      <c r="AP53" s="1007">
        <v>0</v>
      </c>
      <c r="AQ53" s="1007">
        <v>0</v>
      </c>
      <c r="AR53" s="1016">
        <f t="shared" si="1"/>
        <v>0</v>
      </c>
    </row>
    <row r="54" spans="2:44" ht="14.5">
      <c r="B54"/>
      <c r="C54"/>
      <c r="D54"/>
      <c r="E54"/>
      <c r="F54"/>
      <c r="G54"/>
      <c r="H54"/>
      <c r="I54"/>
      <c r="J54"/>
      <c r="K54"/>
      <c r="L54"/>
      <c r="M54"/>
      <c r="N54"/>
      <c r="O54"/>
      <c r="P54"/>
      <c r="Q54"/>
      <c r="R54"/>
      <c r="AA54" s="1684"/>
      <c r="AB54" s="1005" t="str">
        <f>'Resource Costs'!$FC56</f>
        <v/>
      </c>
      <c r="AC54" s="1005" t="str">
        <f>'Resource Costs'!$FD56</f>
        <v/>
      </c>
      <c r="AD54" s="1005" t="str">
        <f>'Resource Costs'!$FE56</f>
        <v>Labor</v>
      </c>
      <c r="AE54" s="1005" t="str">
        <f>'Resource Costs'!$FF56</f>
        <v/>
      </c>
      <c r="AF54" s="1005" t="str">
        <f>'Resource Costs'!$FG56</f>
        <v/>
      </c>
      <c r="AG54" s="1006">
        <f>'Resource Costs'!$FH56</f>
        <v>0</v>
      </c>
      <c r="AH54" s="1006">
        <f>'Resource Costs'!$FI56</f>
        <v>0</v>
      </c>
      <c r="AI54" s="1006">
        <f>'Resource Costs'!$FJ56</f>
        <v>0</v>
      </c>
      <c r="AJ54" s="1006">
        <f>'Resource Costs'!$FK56</f>
        <v>0</v>
      </c>
      <c r="AK54" s="1006">
        <f>'Resource Costs'!$FL56</f>
        <v>0</v>
      </c>
      <c r="AL54" s="1006">
        <f>'Resource Costs'!$FM56</f>
        <v>0</v>
      </c>
      <c r="AM54" s="1007">
        <v>0</v>
      </c>
      <c r="AN54" s="1007">
        <v>0</v>
      </c>
      <c r="AO54" s="1007">
        <v>0</v>
      </c>
      <c r="AP54" s="1007">
        <v>0</v>
      </c>
      <c r="AQ54" s="1007">
        <v>0</v>
      </c>
      <c r="AR54" s="1016">
        <f t="shared" si="1"/>
        <v>0</v>
      </c>
    </row>
    <row r="55" spans="2:44" ht="14.5">
      <c r="B55"/>
      <c r="C55"/>
      <c r="D55"/>
      <c r="E55"/>
      <c r="F55"/>
      <c r="G55"/>
      <c r="H55"/>
      <c r="I55"/>
      <c r="J55"/>
      <c r="K55"/>
      <c r="L55"/>
      <c r="M55"/>
      <c r="N55"/>
      <c r="O55"/>
      <c r="P55"/>
      <c r="Q55"/>
      <c r="R55"/>
      <c r="AA55" s="1684"/>
      <c r="AB55" s="1005" t="str">
        <f>'Resource Costs'!$FC57</f>
        <v/>
      </c>
      <c r="AC55" s="1005" t="str">
        <f>'Resource Costs'!$FD57</f>
        <v/>
      </c>
      <c r="AD55" s="1005" t="str">
        <f>'Resource Costs'!$FE57</f>
        <v>Labor</v>
      </c>
      <c r="AE55" s="1005" t="str">
        <f>'Resource Costs'!$FF57</f>
        <v/>
      </c>
      <c r="AF55" s="1005" t="str">
        <f>'Resource Costs'!$FG57</f>
        <v/>
      </c>
      <c r="AG55" s="1006">
        <f>'Resource Costs'!$FH57</f>
        <v>0</v>
      </c>
      <c r="AH55" s="1006">
        <f>'Resource Costs'!$FI57</f>
        <v>0</v>
      </c>
      <c r="AI55" s="1006">
        <f>'Resource Costs'!$FJ57</f>
        <v>0</v>
      </c>
      <c r="AJ55" s="1006">
        <f>'Resource Costs'!$FK57</f>
        <v>0</v>
      </c>
      <c r="AK55" s="1006">
        <f>'Resource Costs'!$FL57</f>
        <v>0</v>
      </c>
      <c r="AL55" s="1006">
        <f>'Resource Costs'!$FM57</f>
        <v>0</v>
      </c>
      <c r="AM55" s="1007">
        <v>0</v>
      </c>
      <c r="AN55" s="1007">
        <v>0</v>
      </c>
      <c r="AO55" s="1007">
        <v>0</v>
      </c>
      <c r="AP55" s="1007">
        <v>0</v>
      </c>
      <c r="AQ55" s="1007">
        <v>0</v>
      </c>
      <c r="AR55" s="1016">
        <f t="shared" si="1"/>
        <v>0</v>
      </c>
    </row>
    <row r="56" spans="2:44" ht="14.5">
      <c r="B56"/>
      <c r="C56"/>
      <c r="D56"/>
      <c r="E56"/>
      <c r="F56"/>
      <c r="G56"/>
      <c r="H56"/>
      <c r="I56"/>
      <c r="J56"/>
      <c r="K56"/>
      <c r="L56"/>
      <c r="M56"/>
      <c r="N56"/>
      <c r="O56"/>
      <c r="P56"/>
      <c r="Q56"/>
      <c r="R56"/>
      <c r="AA56" s="1684"/>
      <c r="AB56" s="1005" t="str">
        <f>'Resource Costs'!$FC58</f>
        <v/>
      </c>
      <c r="AC56" s="1005" t="str">
        <f>'Resource Costs'!$FD58</f>
        <v/>
      </c>
      <c r="AD56" s="1005" t="str">
        <f>'Resource Costs'!$FE58</f>
        <v>Labor</v>
      </c>
      <c r="AE56" s="1005" t="str">
        <f>'Resource Costs'!$FF58</f>
        <v/>
      </c>
      <c r="AF56" s="1005" t="str">
        <f>'Resource Costs'!$FG58</f>
        <v/>
      </c>
      <c r="AG56" s="1006">
        <f>'Resource Costs'!$FH58</f>
        <v>0</v>
      </c>
      <c r="AH56" s="1006">
        <f>'Resource Costs'!$FI58</f>
        <v>0</v>
      </c>
      <c r="AI56" s="1006">
        <f>'Resource Costs'!$FJ58</f>
        <v>0</v>
      </c>
      <c r="AJ56" s="1006">
        <f>'Resource Costs'!$FK58</f>
        <v>0</v>
      </c>
      <c r="AK56" s="1006">
        <f>'Resource Costs'!$FL58</f>
        <v>0</v>
      </c>
      <c r="AL56" s="1006">
        <f>'Resource Costs'!$FM58</f>
        <v>0</v>
      </c>
      <c r="AM56" s="1007">
        <v>0</v>
      </c>
      <c r="AN56" s="1007">
        <v>0</v>
      </c>
      <c r="AO56" s="1007">
        <v>0</v>
      </c>
      <c r="AP56" s="1007">
        <v>0</v>
      </c>
      <c r="AQ56" s="1007">
        <v>0</v>
      </c>
      <c r="AR56" s="1016">
        <f t="shared" si="1"/>
        <v>0</v>
      </c>
    </row>
    <row r="57" spans="2:44" ht="14.5">
      <c r="B57"/>
      <c r="C57"/>
      <c r="D57"/>
      <c r="E57"/>
      <c r="F57"/>
      <c r="G57"/>
      <c r="H57"/>
      <c r="I57"/>
      <c r="J57"/>
      <c r="K57"/>
      <c r="L57"/>
      <c r="M57"/>
      <c r="N57"/>
      <c r="O57"/>
      <c r="P57"/>
      <c r="Q57"/>
      <c r="R57"/>
      <c r="AA57" s="1684"/>
      <c r="AB57" s="1005" t="str">
        <f>'Resource Costs'!$FC59</f>
        <v/>
      </c>
      <c r="AC57" s="1005" t="str">
        <f>'Resource Costs'!$FD59</f>
        <v/>
      </c>
      <c r="AD57" s="1005" t="str">
        <f>'Resource Costs'!$FE59</f>
        <v>Labor</v>
      </c>
      <c r="AE57" s="1005" t="str">
        <f>'Resource Costs'!$FF59</f>
        <v/>
      </c>
      <c r="AF57" s="1005" t="str">
        <f>'Resource Costs'!$FG59</f>
        <v/>
      </c>
      <c r="AG57" s="1006">
        <f>'Resource Costs'!$FH59</f>
        <v>0</v>
      </c>
      <c r="AH57" s="1006">
        <f>'Resource Costs'!$FI59</f>
        <v>0</v>
      </c>
      <c r="AI57" s="1006">
        <f>'Resource Costs'!$FJ59</f>
        <v>0</v>
      </c>
      <c r="AJ57" s="1006">
        <f>'Resource Costs'!$FK59</f>
        <v>0</v>
      </c>
      <c r="AK57" s="1006">
        <f>'Resource Costs'!$FL59</f>
        <v>0</v>
      </c>
      <c r="AL57" s="1006">
        <f>'Resource Costs'!$FM59</f>
        <v>0</v>
      </c>
      <c r="AM57" s="1007">
        <v>0</v>
      </c>
      <c r="AN57" s="1007">
        <v>0</v>
      </c>
      <c r="AO57" s="1007">
        <v>0</v>
      </c>
      <c r="AP57" s="1007">
        <v>0</v>
      </c>
      <c r="AQ57" s="1007">
        <v>0</v>
      </c>
      <c r="AR57" s="1016">
        <f t="shared" si="1"/>
        <v>0</v>
      </c>
    </row>
    <row r="58" spans="2:44" ht="14.5">
      <c r="B58"/>
      <c r="C58"/>
      <c r="D58"/>
      <c r="E58"/>
      <c r="F58"/>
      <c r="G58"/>
      <c r="H58"/>
      <c r="I58"/>
      <c r="J58"/>
      <c r="K58"/>
      <c r="L58"/>
      <c r="M58"/>
      <c r="N58"/>
      <c r="O58"/>
      <c r="P58"/>
      <c r="Q58"/>
      <c r="R58"/>
      <c r="AA58" s="1684"/>
      <c r="AB58" s="1005" t="str">
        <f>'Resource Costs'!$FC60</f>
        <v/>
      </c>
      <c r="AC58" s="1005" t="str">
        <f>'Resource Costs'!$FD60</f>
        <v/>
      </c>
      <c r="AD58" s="1005" t="str">
        <f>'Resource Costs'!$FE60</f>
        <v>Labor</v>
      </c>
      <c r="AE58" s="1005" t="str">
        <f>'Resource Costs'!$FF60</f>
        <v/>
      </c>
      <c r="AF58" s="1005" t="str">
        <f>'Resource Costs'!$FG60</f>
        <v/>
      </c>
      <c r="AG58" s="1006">
        <f>'Resource Costs'!$FH60</f>
        <v>0</v>
      </c>
      <c r="AH58" s="1006">
        <f>'Resource Costs'!$FI60</f>
        <v>0</v>
      </c>
      <c r="AI58" s="1006">
        <f>'Resource Costs'!$FJ60</f>
        <v>0</v>
      </c>
      <c r="AJ58" s="1006">
        <f>'Resource Costs'!$FK60</f>
        <v>0</v>
      </c>
      <c r="AK58" s="1006">
        <f>'Resource Costs'!$FL60</f>
        <v>0</v>
      </c>
      <c r="AL58" s="1006">
        <f>'Resource Costs'!$FM60</f>
        <v>0</v>
      </c>
      <c r="AM58" s="1007">
        <v>0</v>
      </c>
      <c r="AN58" s="1007">
        <v>0</v>
      </c>
      <c r="AO58" s="1007">
        <v>0</v>
      </c>
      <c r="AP58" s="1007">
        <v>0</v>
      </c>
      <c r="AQ58" s="1007">
        <v>0</v>
      </c>
      <c r="AR58" s="1016">
        <f t="shared" si="1"/>
        <v>0</v>
      </c>
    </row>
    <row r="59" spans="2:44" ht="14.5">
      <c r="B59"/>
      <c r="C59"/>
      <c r="D59"/>
      <c r="E59"/>
      <c r="F59"/>
      <c r="G59"/>
      <c r="H59"/>
      <c r="I59"/>
      <c r="J59"/>
      <c r="K59"/>
      <c r="L59"/>
      <c r="M59"/>
      <c r="N59"/>
      <c r="O59"/>
      <c r="P59"/>
      <c r="Q59"/>
      <c r="R59"/>
      <c r="AA59" s="1684"/>
      <c r="AB59" s="1005" t="str">
        <f>'Resource Costs'!$FC61</f>
        <v/>
      </c>
      <c r="AC59" s="1005" t="str">
        <f>'Resource Costs'!$FD61</f>
        <v/>
      </c>
      <c r="AD59" s="1005" t="str">
        <f>'Resource Costs'!$FE61</f>
        <v>Labor</v>
      </c>
      <c r="AE59" s="1005" t="str">
        <f>'Resource Costs'!$FF61</f>
        <v/>
      </c>
      <c r="AF59" s="1005" t="str">
        <f>'Resource Costs'!$FG61</f>
        <v/>
      </c>
      <c r="AG59" s="1006">
        <f>'Resource Costs'!$FH61</f>
        <v>0</v>
      </c>
      <c r="AH59" s="1006">
        <f>'Resource Costs'!$FI61</f>
        <v>0</v>
      </c>
      <c r="AI59" s="1006">
        <f>'Resource Costs'!$FJ61</f>
        <v>0</v>
      </c>
      <c r="AJ59" s="1006">
        <f>'Resource Costs'!$FK61</f>
        <v>0</v>
      </c>
      <c r="AK59" s="1006">
        <f>'Resource Costs'!$FL61</f>
        <v>0</v>
      </c>
      <c r="AL59" s="1006">
        <f>'Resource Costs'!$FM61</f>
        <v>0</v>
      </c>
      <c r="AM59" s="1007">
        <v>0</v>
      </c>
      <c r="AN59" s="1007">
        <v>0</v>
      </c>
      <c r="AO59" s="1007">
        <v>0</v>
      </c>
      <c r="AP59" s="1007">
        <v>0</v>
      </c>
      <c r="AQ59" s="1007">
        <v>0</v>
      </c>
      <c r="AR59" s="1016">
        <f t="shared" si="1"/>
        <v>0</v>
      </c>
    </row>
    <row r="60" spans="2:44" ht="14.5">
      <c r="B60"/>
      <c r="C60"/>
      <c r="D60"/>
      <c r="E60"/>
      <c r="F60"/>
      <c r="G60"/>
      <c r="H60"/>
      <c r="I60"/>
      <c r="J60"/>
      <c r="K60"/>
      <c r="L60"/>
      <c r="M60"/>
      <c r="N60"/>
      <c r="O60"/>
      <c r="P60"/>
      <c r="Q60"/>
      <c r="R60"/>
      <c r="AA60" s="1684"/>
      <c r="AB60" s="1005" t="str">
        <f>'Resource Costs'!$FC62</f>
        <v/>
      </c>
      <c r="AC60" s="1005" t="str">
        <f>'Resource Costs'!$FD62</f>
        <v/>
      </c>
      <c r="AD60" s="1005" t="str">
        <f>'Resource Costs'!$FE62</f>
        <v>Labor</v>
      </c>
      <c r="AE60" s="1005" t="str">
        <f>'Resource Costs'!$FF62</f>
        <v/>
      </c>
      <c r="AF60" s="1005" t="str">
        <f>'Resource Costs'!$FG62</f>
        <v/>
      </c>
      <c r="AG60" s="1006">
        <f>'Resource Costs'!$FH62</f>
        <v>0</v>
      </c>
      <c r="AH60" s="1006">
        <f>'Resource Costs'!$FI62</f>
        <v>0</v>
      </c>
      <c r="AI60" s="1006">
        <f>'Resource Costs'!$FJ62</f>
        <v>0</v>
      </c>
      <c r="AJ60" s="1006">
        <f>'Resource Costs'!$FK62</f>
        <v>0</v>
      </c>
      <c r="AK60" s="1006">
        <f>'Resource Costs'!$FL62</f>
        <v>0</v>
      </c>
      <c r="AL60" s="1006">
        <f>'Resource Costs'!$FM62</f>
        <v>0</v>
      </c>
      <c r="AM60" s="1007">
        <v>0</v>
      </c>
      <c r="AN60" s="1007">
        <v>0</v>
      </c>
      <c r="AO60" s="1007">
        <v>0</v>
      </c>
      <c r="AP60" s="1007">
        <v>0</v>
      </c>
      <c r="AQ60" s="1007">
        <v>0</v>
      </c>
      <c r="AR60" s="1016">
        <f t="shared" si="1"/>
        <v>0</v>
      </c>
    </row>
    <row r="61" spans="2:44" ht="14.5">
      <c r="B61"/>
      <c r="C61"/>
      <c r="D61"/>
      <c r="E61"/>
      <c r="F61"/>
      <c r="G61"/>
      <c r="H61"/>
      <c r="I61"/>
      <c r="J61"/>
      <c r="K61"/>
      <c r="L61"/>
      <c r="M61"/>
      <c r="N61"/>
      <c r="O61"/>
      <c r="P61"/>
      <c r="Q61"/>
      <c r="R61"/>
      <c r="AA61" s="1684"/>
      <c r="AB61" s="1005" t="str">
        <f>'Resource Costs'!$FC63</f>
        <v/>
      </c>
      <c r="AC61" s="1005" t="str">
        <f>'Resource Costs'!$FD63</f>
        <v/>
      </c>
      <c r="AD61" s="1005" t="str">
        <f>'Resource Costs'!$FE63</f>
        <v>Labor</v>
      </c>
      <c r="AE61" s="1005" t="str">
        <f>'Resource Costs'!$FF63</f>
        <v/>
      </c>
      <c r="AF61" s="1005" t="str">
        <f>'Resource Costs'!$FG63</f>
        <v/>
      </c>
      <c r="AG61" s="1006">
        <f>'Resource Costs'!$FH63</f>
        <v>0</v>
      </c>
      <c r="AH61" s="1006">
        <f>'Resource Costs'!$FI63</f>
        <v>0</v>
      </c>
      <c r="AI61" s="1006">
        <f>'Resource Costs'!$FJ63</f>
        <v>0</v>
      </c>
      <c r="AJ61" s="1006">
        <f>'Resource Costs'!$FK63</f>
        <v>0</v>
      </c>
      <c r="AK61" s="1006">
        <f>'Resource Costs'!$FL63</f>
        <v>0</v>
      </c>
      <c r="AL61" s="1006">
        <f>'Resource Costs'!$FM63</f>
        <v>0</v>
      </c>
      <c r="AM61" s="1007">
        <v>0</v>
      </c>
      <c r="AN61" s="1007">
        <v>0</v>
      </c>
      <c r="AO61" s="1007">
        <v>0</v>
      </c>
      <c r="AP61" s="1007">
        <v>0</v>
      </c>
      <c r="AQ61" s="1007">
        <v>0</v>
      </c>
      <c r="AR61" s="1016">
        <f t="shared" si="1"/>
        <v>0</v>
      </c>
    </row>
    <row r="62" spans="2:44" ht="14.5">
      <c r="B62"/>
      <c r="C62"/>
      <c r="D62"/>
      <c r="E62"/>
      <c r="F62"/>
      <c r="G62"/>
      <c r="H62"/>
      <c r="I62"/>
      <c r="J62"/>
      <c r="K62"/>
      <c r="L62"/>
      <c r="M62"/>
      <c r="N62"/>
      <c r="O62"/>
      <c r="P62"/>
      <c r="Q62"/>
      <c r="R62"/>
      <c r="AA62" s="1684"/>
      <c r="AB62" s="1005" t="str">
        <f>'Resource Costs'!$FC64</f>
        <v/>
      </c>
      <c r="AC62" s="1005" t="str">
        <f>'Resource Costs'!$FD64</f>
        <v/>
      </c>
      <c r="AD62" s="1005" t="str">
        <f>'Resource Costs'!$FE64</f>
        <v>Labor</v>
      </c>
      <c r="AE62" s="1005" t="str">
        <f>'Resource Costs'!$FF64</f>
        <v/>
      </c>
      <c r="AF62" s="1005" t="str">
        <f>'Resource Costs'!$FG64</f>
        <v/>
      </c>
      <c r="AG62" s="1006">
        <f>'Resource Costs'!$FH64</f>
        <v>0</v>
      </c>
      <c r="AH62" s="1006">
        <f>'Resource Costs'!$FI64</f>
        <v>0</v>
      </c>
      <c r="AI62" s="1006">
        <f>'Resource Costs'!$FJ64</f>
        <v>0</v>
      </c>
      <c r="AJ62" s="1006">
        <f>'Resource Costs'!$FK64</f>
        <v>0</v>
      </c>
      <c r="AK62" s="1006">
        <f>'Resource Costs'!$FL64</f>
        <v>0</v>
      </c>
      <c r="AL62" s="1006">
        <f>'Resource Costs'!$FM64</f>
        <v>0</v>
      </c>
      <c r="AM62" s="1007">
        <v>0</v>
      </c>
      <c r="AN62" s="1007">
        <v>0</v>
      </c>
      <c r="AO62" s="1007">
        <v>0</v>
      </c>
      <c r="AP62" s="1007">
        <v>0</v>
      </c>
      <c r="AQ62" s="1007">
        <v>0</v>
      </c>
      <c r="AR62" s="1016">
        <f t="shared" si="1"/>
        <v>0</v>
      </c>
    </row>
    <row r="63" spans="2:44" ht="14.5">
      <c r="B63"/>
      <c r="C63"/>
      <c r="D63"/>
      <c r="E63"/>
      <c r="F63"/>
      <c r="G63"/>
      <c r="H63"/>
      <c r="I63"/>
      <c r="J63"/>
      <c r="K63"/>
      <c r="L63"/>
      <c r="M63"/>
      <c r="N63"/>
      <c r="O63"/>
      <c r="P63"/>
      <c r="Q63"/>
      <c r="R63"/>
      <c r="AA63" s="1684"/>
      <c r="AB63" s="1005" t="str">
        <f>'Resource Costs'!$FC65</f>
        <v/>
      </c>
      <c r="AC63" s="1005" t="str">
        <f>'Resource Costs'!$FD65</f>
        <v/>
      </c>
      <c r="AD63" s="1005" t="str">
        <f>'Resource Costs'!$FE65</f>
        <v>Labor</v>
      </c>
      <c r="AE63" s="1005" t="str">
        <f>'Resource Costs'!$FF65</f>
        <v/>
      </c>
      <c r="AF63" s="1005" t="str">
        <f>'Resource Costs'!$FG65</f>
        <v/>
      </c>
      <c r="AG63" s="1006">
        <f>'Resource Costs'!$FH65</f>
        <v>0</v>
      </c>
      <c r="AH63" s="1006">
        <f>'Resource Costs'!$FI65</f>
        <v>0</v>
      </c>
      <c r="AI63" s="1006">
        <f>'Resource Costs'!$FJ65</f>
        <v>0</v>
      </c>
      <c r="AJ63" s="1006">
        <f>'Resource Costs'!$FK65</f>
        <v>0</v>
      </c>
      <c r="AK63" s="1006">
        <f>'Resource Costs'!$FL65</f>
        <v>0</v>
      </c>
      <c r="AL63" s="1006">
        <f>'Resource Costs'!$FM65</f>
        <v>0</v>
      </c>
      <c r="AM63" s="1007">
        <v>0</v>
      </c>
      <c r="AN63" s="1007">
        <v>0</v>
      </c>
      <c r="AO63" s="1007">
        <v>0</v>
      </c>
      <c r="AP63" s="1007">
        <v>0</v>
      </c>
      <c r="AQ63" s="1007">
        <v>0</v>
      </c>
      <c r="AR63" s="1016">
        <f t="shared" si="1"/>
        <v>0</v>
      </c>
    </row>
    <row r="64" spans="2:44" ht="14.5">
      <c r="B64"/>
      <c r="C64"/>
      <c r="D64"/>
      <c r="E64"/>
      <c r="F64"/>
      <c r="G64"/>
      <c r="H64"/>
      <c r="I64"/>
      <c r="J64"/>
      <c r="K64"/>
      <c r="L64"/>
      <c r="M64"/>
      <c r="N64"/>
      <c r="O64"/>
      <c r="P64"/>
      <c r="Q64"/>
      <c r="R64"/>
      <c r="AA64" s="1684"/>
      <c r="AB64" s="1005" t="str">
        <f>'Resource Costs'!$FC66</f>
        <v/>
      </c>
      <c r="AC64" s="1005" t="str">
        <f>'Resource Costs'!$FD66</f>
        <v/>
      </c>
      <c r="AD64" s="1005" t="str">
        <f>'Resource Costs'!$FE66</f>
        <v>Labor</v>
      </c>
      <c r="AE64" s="1005" t="str">
        <f>'Resource Costs'!$FF66</f>
        <v/>
      </c>
      <c r="AF64" s="1005" t="str">
        <f>'Resource Costs'!$FG66</f>
        <v/>
      </c>
      <c r="AG64" s="1006">
        <f>'Resource Costs'!$FH66</f>
        <v>0</v>
      </c>
      <c r="AH64" s="1006">
        <f>'Resource Costs'!$FI66</f>
        <v>0</v>
      </c>
      <c r="AI64" s="1006">
        <f>'Resource Costs'!$FJ66</f>
        <v>0</v>
      </c>
      <c r="AJ64" s="1006">
        <f>'Resource Costs'!$FK66</f>
        <v>0</v>
      </c>
      <c r="AK64" s="1006">
        <f>'Resource Costs'!$FL66</f>
        <v>0</v>
      </c>
      <c r="AL64" s="1006">
        <f>'Resource Costs'!$FM66</f>
        <v>0</v>
      </c>
      <c r="AM64" s="1007">
        <v>0</v>
      </c>
      <c r="AN64" s="1007">
        <v>0</v>
      </c>
      <c r="AO64" s="1007">
        <v>0</v>
      </c>
      <c r="AP64" s="1007">
        <v>0</v>
      </c>
      <c r="AQ64" s="1007">
        <v>0</v>
      </c>
      <c r="AR64" s="1016">
        <f t="shared" si="1"/>
        <v>0</v>
      </c>
    </row>
    <row r="65" spans="2:44" ht="14.5">
      <c r="B65"/>
      <c r="C65"/>
      <c r="D65"/>
      <c r="E65"/>
      <c r="F65"/>
      <c r="G65"/>
      <c r="H65"/>
      <c r="I65"/>
      <c r="J65"/>
      <c r="K65"/>
      <c r="L65"/>
      <c r="M65"/>
      <c r="N65"/>
      <c r="O65"/>
      <c r="P65"/>
      <c r="Q65"/>
      <c r="R65"/>
      <c r="AA65" s="1684"/>
      <c r="AB65" s="1005" t="str">
        <f>'Resource Costs'!$FC67</f>
        <v/>
      </c>
      <c r="AC65" s="1005" t="str">
        <f>'Resource Costs'!$FD67</f>
        <v/>
      </c>
      <c r="AD65" s="1005" t="str">
        <f>'Resource Costs'!$FE67</f>
        <v>Labor</v>
      </c>
      <c r="AE65" s="1005" t="str">
        <f>'Resource Costs'!$FF67</f>
        <v/>
      </c>
      <c r="AF65" s="1005" t="str">
        <f>'Resource Costs'!$FG67</f>
        <v/>
      </c>
      <c r="AG65" s="1006">
        <f>'Resource Costs'!$FH67</f>
        <v>0</v>
      </c>
      <c r="AH65" s="1006">
        <f>'Resource Costs'!$FI67</f>
        <v>0</v>
      </c>
      <c r="AI65" s="1006">
        <f>'Resource Costs'!$FJ67</f>
        <v>0</v>
      </c>
      <c r="AJ65" s="1006">
        <f>'Resource Costs'!$FK67</f>
        <v>0</v>
      </c>
      <c r="AK65" s="1006">
        <f>'Resource Costs'!$FL67</f>
        <v>0</v>
      </c>
      <c r="AL65" s="1006">
        <f>'Resource Costs'!$FM67</f>
        <v>0</v>
      </c>
      <c r="AM65" s="1007">
        <v>0</v>
      </c>
      <c r="AN65" s="1007">
        <v>0</v>
      </c>
      <c r="AO65" s="1007">
        <v>0</v>
      </c>
      <c r="AP65" s="1007">
        <v>0</v>
      </c>
      <c r="AQ65" s="1007">
        <v>0</v>
      </c>
      <c r="AR65" s="1016">
        <f t="shared" si="1"/>
        <v>0</v>
      </c>
    </row>
    <row r="66" spans="2:44" ht="14.5">
      <c r="B66"/>
      <c r="C66"/>
      <c r="D66"/>
      <c r="E66"/>
      <c r="F66"/>
      <c r="G66"/>
      <c r="H66"/>
      <c r="I66"/>
      <c r="J66"/>
      <c r="K66"/>
      <c r="L66"/>
      <c r="M66"/>
      <c r="N66"/>
      <c r="O66"/>
      <c r="P66"/>
      <c r="Q66"/>
      <c r="R66"/>
      <c r="AA66" s="1684"/>
      <c r="AB66" s="1005" t="str">
        <f>'Resource Costs'!$FC68</f>
        <v/>
      </c>
      <c r="AC66" s="1005" t="str">
        <f>'Resource Costs'!$FD68</f>
        <v/>
      </c>
      <c r="AD66" s="1005" t="str">
        <f>'Resource Costs'!$FE68</f>
        <v>Labor</v>
      </c>
      <c r="AE66" s="1005" t="str">
        <f>'Resource Costs'!$FF68</f>
        <v/>
      </c>
      <c r="AF66" s="1005" t="str">
        <f>'Resource Costs'!$FG68</f>
        <v/>
      </c>
      <c r="AG66" s="1006">
        <f>'Resource Costs'!$FH68</f>
        <v>0</v>
      </c>
      <c r="AH66" s="1006">
        <f>'Resource Costs'!$FI68</f>
        <v>0</v>
      </c>
      <c r="AI66" s="1006">
        <f>'Resource Costs'!$FJ68</f>
        <v>0</v>
      </c>
      <c r="AJ66" s="1006">
        <f>'Resource Costs'!$FK68</f>
        <v>0</v>
      </c>
      <c r="AK66" s="1006">
        <f>'Resource Costs'!$FL68</f>
        <v>0</v>
      </c>
      <c r="AL66" s="1006">
        <f>'Resource Costs'!$FM68</f>
        <v>0</v>
      </c>
      <c r="AM66" s="1007">
        <v>0</v>
      </c>
      <c r="AN66" s="1007">
        <v>0</v>
      </c>
      <c r="AO66" s="1007">
        <v>0</v>
      </c>
      <c r="AP66" s="1007">
        <v>0</v>
      </c>
      <c r="AQ66" s="1007">
        <v>0</v>
      </c>
      <c r="AR66" s="1016">
        <f t="shared" si="1"/>
        <v>0</v>
      </c>
    </row>
    <row r="67" spans="2:44" ht="14.5">
      <c r="B67"/>
      <c r="C67"/>
      <c r="D67"/>
      <c r="E67"/>
      <c r="F67"/>
      <c r="G67"/>
      <c r="H67"/>
      <c r="I67"/>
      <c r="J67"/>
      <c r="K67"/>
      <c r="L67"/>
      <c r="M67"/>
      <c r="N67"/>
      <c r="O67"/>
      <c r="P67"/>
      <c r="Q67"/>
      <c r="R67"/>
      <c r="AA67" s="1684"/>
      <c r="AB67" s="1005" t="str">
        <f>'Resource Costs'!$FC69</f>
        <v/>
      </c>
      <c r="AC67" s="1005" t="str">
        <f>'Resource Costs'!$FD69</f>
        <v/>
      </c>
      <c r="AD67" s="1005" t="str">
        <f>'Resource Costs'!$FE69</f>
        <v>Labor</v>
      </c>
      <c r="AE67" s="1005" t="str">
        <f>'Resource Costs'!$FF69</f>
        <v/>
      </c>
      <c r="AF67" s="1005" t="str">
        <f>'Resource Costs'!$FG69</f>
        <v/>
      </c>
      <c r="AG67" s="1006">
        <f>'Resource Costs'!$FH69</f>
        <v>0</v>
      </c>
      <c r="AH67" s="1006">
        <f>'Resource Costs'!$FI69</f>
        <v>0</v>
      </c>
      <c r="AI67" s="1006">
        <f>'Resource Costs'!$FJ69</f>
        <v>0</v>
      </c>
      <c r="AJ67" s="1006">
        <f>'Resource Costs'!$FK69</f>
        <v>0</v>
      </c>
      <c r="AK67" s="1006">
        <f>'Resource Costs'!$FL69</f>
        <v>0</v>
      </c>
      <c r="AL67" s="1006">
        <f>'Resource Costs'!$FM69</f>
        <v>0</v>
      </c>
      <c r="AM67" s="1007">
        <v>0</v>
      </c>
      <c r="AN67" s="1007">
        <v>0</v>
      </c>
      <c r="AO67" s="1007">
        <v>0</v>
      </c>
      <c r="AP67" s="1007">
        <v>0</v>
      </c>
      <c r="AQ67" s="1007">
        <v>0</v>
      </c>
      <c r="AR67" s="1016">
        <f t="shared" si="1"/>
        <v>0</v>
      </c>
    </row>
    <row r="68" spans="2:44" ht="14.5">
      <c r="B68"/>
      <c r="C68"/>
      <c r="D68"/>
      <c r="E68"/>
      <c r="F68"/>
      <c r="G68"/>
      <c r="H68"/>
      <c r="I68"/>
      <c r="J68"/>
      <c r="K68"/>
      <c r="L68"/>
      <c r="M68"/>
      <c r="N68"/>
      <c r="O68"/>
      <c r="P68"/>
      <c r="Q68"/>
      <c r="R68"/>
      <c r="AA68" s="1684"/>
      <c r="AB68" s="1005" t="str">
        <f>'Resource Costs'!$FC70</f>
        <v/>
      </c>
      <c r="AC68" s="1005" t="str">
        <f>'Resource Costs'!$FD70</f>
        <v/>
      </c>
      <c r="AD68" s="1005" t="str">
        <f>'Resource Costs'!$FE70</f>
        <v>Labor</v>
      </c>
      <c r="AE68" s="1005" t="str">
        <f>'Resource Costs'!$FF70</f>
        <v/>
      </c>
      <c r="AF68" s="1005" t="str">
        <f>'Resource Costs'!$FG70</f>
        <v/>
      </c>
      <c r="AG68" s="1006">
        <f>'Resource Costs'!$FH70</f>
        <v>0</v>
      </c>
      <c r="AH68" s="1006">
        <f>'Resource Costs'!$FI70</f>
        <v>0</v>
      </c>
      <c r="AI68" s="1006">
        <f>'Resource Costs'!$FJ70</f>
        <v>0</v>
      </c>
      <c r="AJ68" s="1006">
        <f>'Resource Costs'!$FK70</f>
        <v>0</v>
      </c>
      <c r="AK68" s="1006">
        <f>'Resource Costs'!$FL70</f>
        <v>0</v>
      </c>
      <c r="AL68" s="1006">
        <f>'Resource Costs'!$FM70</f>
        <v>0</v>
      </c>
      <c r="AM68" s="1007">
        <v>0</v>
      </c>
      <c r="AN68" s="1007">
        <v>0</v>
      </c>
      <c r="AO68" s="1007">
        <v>0</v>
      </c>
      <c r="AP68" s="1007">
        <v>0</v>
      </c>
      <c r="AQ68" s="1007">
        <v>0</v>
      </c>
      <c r="AR68" s="1016">
        <f t="shared" ref="AR68:AR131" si="11">SUM(AG68:AQ68)</f>
        <v>0</v>
      </c>
    </row>
    <row r="69" spans="2:44" ht="14.5">
      <c r="B69"/>
      <c r="C69"/>
      <c r="D69"/>
      <c r="E69"/>
      <c r="F69"/>
      <c r="G69"/>
      <c r="H69"/>
      <c r="I69"/>
      <c r="J69"/>
      <c r="K69"/>
      <c r="L69"/>
      <c r="M69"/>
      <c r="N69"/>
      <c r="O69"/>
      <c r="P69"/>
      <c r="Q69"/>
      <c r="R69"/>
      <c r="AA69" s="1684"/>
      <c r="AB69" s="1005" t="str">
        <f>'Resource Costs'!$FC71</f>
        <v/>
      </c>
      <c r="AC69" s="1005" t="str">
        <f>'Resource Costs'!$FD71</f>
        <v/>
      </c>
      <c r="AD69" s="1005" t="str">
        <f>'Resource Costs'!$FE71</f>
        <v>Labor</v>
      </c>
      <c r="AE69" s="1005" t="str">
        <f>'Resource Costs'!$FF71</f>
        <v/>
      </c>
      <c r="AF69" s="1005" t="str">
        <f>'Resource Costs'!$FG71</f>
        <v/>
      </c>
      <c r="AG69" s="1006">
        <f>'Resource Costs'!$FH71</f>
        <v>0</v>
      </c>
      <c r="AH69" s="1006">
        <f>'Resource Costs'!$FI71</f>
        <v>0</v>
      </c>
      <c r="AI69" s="1006">
        <f>'Resource Costs'!$FJ71</f>
        <v>0</v>
      </c>
      <c r="AJ69" s="1006">
        <f>'Resource Costs'!$FK71</f>
        <v>0</v>
      </c>
      <c r="AK69" s="1006">
        <f>'Resource Costs'!$FL71</f>
        <v>0</v>
      </c>
      <c r="AL69" s="1006">
        <f>'Resource Costs'!$FM71</f>
        <v>0</v>
      </c>
      <c r="AM69" s="1007">
        <v>0</v>
      </c>
      <c r="AN69" s="1007">
        <v>0</v>
      </c>
      <c r="AO69" s="1007">
        <v>0</v>
      </c>
      <c r="AP69" s="1007">
        <v>0</v>
      </c>
      <c r="AQ69" s="1007">
        <v>0</v>
      </c>
      <c r="AR69" s="1016">
        <f t="shared" si="11"/>
        <v>0</v>
      </c>
    </row>
    <row r="70" spans="2:44" ht="14.5">
      <c r="B70"/>
      <c r="C70"/>
      <c r="D70"/>
      <c r="E70"/>
      <c r="F70"/>
      <c r="G70"/>
      <c r="H70"/>
      <c r="I70"/>
      <c r="J70"/>
      <c r="K70"/>
      <c r="L70"/>
      <c r="M70"/>
      <c r="N70"/>
      <c r="O70"/>
      <c r="P70"/>
      <c r="Q70"/>
      <c r="R70"/>
      <c r="AA70" s="1684"/>
      <c r="AB70" s="1005" t="str">
        <f>'Resource Costs'!$FC72</f>
        <v/>
      </c>
      <c r="AC70" s="1005" t="str">
        <f>'Resource Costs'!$FD72</f>
        <v/>
      </c>
      <c r="AD70" s="1005" t="str">
        <f>'Resource Costs'!$FE72</f>
        <v>Labor</v>
      </c>
      <c r="AE70" s="1005" t="str">
        <f>'Resource Costs'!$FF72</f>
        <v/>
      </c>
      <c r="AF70" s="1005" t="str">
        <f>'Resource Costs'!$FG72</f>
        <v/>
      </c>
      <c r="AG70" s="1006">
        <f>'Resource Costs'!$FH72</f>
        <v>0</v>
      </c>
      <c r="AH70" s="1006">
        <f>'Resource Costs'!$FI72</f>
        <v>0</v>
      </c>
      <c r="AI70" s="1006">
        <f>'Resource Costs'!$FJ72</f>
        <v>0</v>
      </c>
      <c r="AJ70" s="1006">
        <f>'Resource Costs'!$FK72</f>
        <v>0</v>
      </c>
      <c r="AK70" s="1006">
        <f>'Resource Costs'!$FL72</f>
        <v>0</v>
      </c>
      <c r="AL70" s="1006">
        <f>'Resource Costs'!$FM72</f>
        <v>0</v>
      </c>
      <c r="AM70" s="1007">
        <v>0</v>
      </c>
      <c r="AN70" s="1007">
        <v>0</v>
      </c>
      <c r="AO70" s="1007">
        <v>0</v>
      </c>
      <c r="AP70" s="1007">
        <v>0</v>
      </c>
      <c r="AQ70" s="1007">
        <v>0</v>
      </c>
      <c r="AR70" s="1016">
        <f t="shared" si="11"/>
        <v>0</v>
      </c>
    </row>
    <row r="71" spans="2:44" ht="14.5">
      <c r="B71"/>
      <c r="C71"/>
      <c r="D71"/>
      <c r="E71"/>
      <c r="F71"/>
      <c r="G71"/>
      <c r="H71"/>
      <c r="I71"/>
      <c r="J71"/>
      <c r="K71"/>
      <c r="L71"/>
      <c r="M71"/>
      <c r="N71"/>
      <c r="O71"/>
      <c r="P71"/>
      <c r="Q71"/>
      <c r="R71"/>
      <c r="AA71" s="1684"/>
      <c r="AB71" s="1005" t="str">
        <f>'Resource Costs'!$FC73</f>
        <v/>
      </c>
      <c r="AC71" s="1005" t="str">
        <f>'Resource Costs'!$FD73</f>
        <v/>
      </c>
      <c r="AD71" s="1005" t="str">
        <f>'Resource Costs'!$FE73</f>
        <v>Labor</v>
      </c>
      <c r="AE71" s="1005" t="str">
        <f>'Resource Costs'!$FF73</f>
        <v/>
      </c>
      <c r="AF71" s="1005" t="str">
        <f>'Resource Costs'!$FG73</f>
        <v/>
      </c>
      <c r="AG71" s="1006">
        <f>'Resource Costs'!$FH73</f>
        <v>0</v>
      </c>
      <c r="AH71" s="1006">
        <f>'Resource Costs'!$FI73</f>
        <v>0</v>
      </c>
      <c r="AI71" s="1006">
        <f>'Resource Costs'!$FJ73</f>
        <v>0</v>
      </c>
      <c r="AJ71" s="1006">
        <f>'Resource Costs'!$FK73</f>
        <v>0</v>
      </c>
      <c r="AK71" s="1006">
        <f>'Resource Costs'!$FL73</f>
        <v>0</v>
      </c>
      <c r="AL71" s="1006">
        <f>'Resource Costs'!$FM73</f>
        <v>0</v>
      </c>
      <c r="AM71" s="1007">
        <v>0</v>
      </c>
      <c r="AN71" s="1007">
        <v>0</v>
      </c>
      <c r="AO71" s="1007">
        <v>0</v>
      </c>
      <c r="AP71" s="1007">
        <v>0</v>
      </c>
      <c r="AQ71" s="1007">
        <v>0</v>
      </c>
      <c r="AR71" s="1016">
        <f t="shared" si="11"/>
        <v>0</v>
      </c>
    </row>
    <row r="72" spans="2:44" ht="14.5">
      <c r="B72"/>
      <c r="C72"/>
      <c r="D72"/>
      <c r="E72"/>
      <c r="F72"/>
      <c r="G72"/>
      <c r="H72"/>
      <c r="I72"/>
      <c r="J72"/>
      <c r="K72"/>
      <c r="L72"/>
      <c r="M72"/>
      <c r="N72"/>
      <c r="O72"/>
      <c r="P72"/>
      <c r="Q72"/>
      <c r="R72"/>
      <c r="AA72" s="1684"/>
      <c r="AB72" s="1005" t="str">
        <f>'Resource Costs'!$FC74</f>
        <v/>
      </c>
      <c r="AC72" s="1005" t="str">
        <f>'Resource Costs'!$FD74</f>
        <v/>
      </c>
      <c r="AD72" s="1005" t="str">
        <f>'Resource Costs'!$FE74</f>
        <v>Labor</v>
      </c>
      <c r="AE72" s="1005" t="str">
        <f>'Resource Costs'!$FF74</f>
        <v/>
      </c>
      <c r="AF72" s="1005" t="str">
        <f>'Resource Costs'!$FG74</f>
        <v/>
      </c>
      <c r="AG72" s="1006">
        <f>'Resource Costs'!$FH74</f>
        <v>0</v>
      </c>
      <c r="AH72" s="1006">
        <f>'Resource Costs'!$FI74</f>
        <v>0</v>
      </c>
      <c r="AI72" s="1006">
        <f>'Resource Costs'!$FJ74</f>
        <v>0</v>
      </c>
      <c r="AJ72" s="1006">
        <f>'Resource Costs'!$FK74</f>
        <v>0</v>
      </c>
      <c r="AK72" s="1006">
        <f>'Resource Costs'!$FL74</f>
        <v>0</v>
      </c>
      <c r="AL72" s="1006">
        <f>'Resource Costs'!$FM74</f>
        <v>0</v>
      </c>
      <c r="AM72" s="1007">
        <v>0</v>
      </c>
      <c r="AN72" s="1007">
        <v>0</v>
      </c>
      <c r="AO72" s="1007">
        <v>0</v>
      </c>
      <c r="AP72" s="1007">
        <v>0</v>
      </c>
      <c r="AQ72" s="1007">
        <v>0</v>
      </c>
      <c r="AR72" s="1016">
        <f t="shared" si="11"/>
        <v>0</v>
      </c>
    </row>
    <row r="73" spans="2:44" ht="15" customHeight="1">
      <c r="B73"/>
      <c r="C73"/>
      <c r="D73"/>
      <c r="E73"/>
      <c r="F73"/>
      <c r="G73"/>
      <c r="H73"/>
      <c r="I73"/>
      <c r="J73"/>
      <c r="K73"/>
      <c r="L73"/>
      <c r="M73"/>
      <c r="N73"/>
      <c r="O73"/>
      <c r="P73"/>
      <c r="Q73"/>
      <c r="R73"/>
      <c r="AA73" s="1684"/>
      <c r="AB73" s="1005" t="str">
        <f>'Resource Costs'!$FC75</f>
        <v/>
      </c>
      <c r="AC73" s="1005" t="str">
        <f>'Resource Costs'!$FD75</f>
        <v/>
      </c>
      <c r="AD73" s="1005" t="str">
        <f>'Resource Costs'!$FE75</f>
        <v>Labor</v>
      </c>
      <c r="AE73" s="1005" t="str">
        <f>'Resource Costs'!$FF75</f>
        <v/>
      </c>
      <c r="AF73" s="1005" t="str">
        <f>'Resource Costs'!$FG75</f>
        <v/>
      </c>
      <c r="AG73" s="1006">
        <f>'Resource Costs'!$FH75</f>
        <v>0</v>
      </c>
      <c r="AH73" s="1006">
        <f>'Resource Costs'!$FI75</f>
        <v>0</v>
      </c>
      <c r="AI73" s="1006">
        <f>'Resource Costs'!$FJ75</f>
        <v>0</v>
      </c>
      <c r="AJ73" s="1006">
        <f>'Resource Costs'!$FK75</f>
        <v>0</v>
      </c>
      <c r="AK73" s="1006">
        <f>'Resource Costs'!$FL75</f>
        <v>0</v>
      </c>
      <c r="AL73" s="1006">
        <f>'Resource Costs'!$FM75</f>
        <v>0</v>
      </c>
      <c r="AM73" s="1007">
        <v>0</v>
      </c>
      <c r="AN73" s="1007">
        <v>0</v>
      </c>
      <c r="AO73" s="1007">
        <v>0</v>
      </c>
      <c r="AP73" s="1007">
        <v>0</v>
      </c>
      <c r="AQ73" s="1007">
        <v>0</v>
      </c>
      <c r="AR73" s="1016">
        <f t="shared" si="11"/>
        <v>0</v>
      </c>
    </row>
    <row r="74" spans="2:44" ht="15" customHeight="1">
      <c r="B74" s="2"/>
      <c r="C74"/>
      <c r="D74"/>
      <c r="E74"/>
      <c r="F74"/>
      <c r="G74"/>
      <c r="H74"/>
      <c r="I74"/>
      <c r="J74"/>
      <c r="K74"/>
      <c r="L74"/>
      <c r="M74"/>
      <c r="N74"/>
      <c r="O74"/>
      <c r="P74"/>
      <c r="Q74"/>
      <c r="AA74" s="1684"/>
      <c r="AB74" s="1005" t="str">
        <f>'Resource Costs'!$FC76</f>
        <v/>
      </c>
      <c r="AC74" s="1005" t="str">
        <f>'Resource Costs'!$FD76</f>
        <v/>
      </c>
      <c r="AD74" s="1005" t="str">
        <f>'Resource Costs'!$FE76</f>
        <v>Labor</v>
      </c>
      <c r="AE74" s="1005" t="str">
        <f>'Resource Costs'!$FF76</f>
        <v/>
      </c>
      <c r="AF74" s="1005" t="str">
        <f>'Resource Costs'!$FG76</f>
        <v/>
      </c>
      <c r="AG74" s="1006">
        <f>'Resource Costs'!$FH76</f>
        <v>0</v>
      </c>
      <c r="AH74" s="1006">
        <f>'Resource Costs'!$FI76</f>
        <v>0</v>
      </c>
      <c r="AI74" s="1006">
        <f>'Resource Costs'!$FJ76</f>
        <v>0</v>
      </c>
      <c r="AJ74" s="1006">
        <f>'Resource Costs'!$FK76</f>
        <v>0</v>
      </c>
      <c r="AK74" s="1006">
        <f>'Resource Costs'!$FL76</f>
        <v>0</v>
      </c>
      <c r="AL74" s="1006">
        <f>'Resource Costs'!$FM76</f>
        <v>0</v>
      </c>
      <c r="AM74" s="1007">
        <v>0</v>
      </c>
      <c r="AN74" s="1007">
        <v>0</v>
      </c>
      <c r="AO74" s="1007">
        <v>0</v>
      </c>
      <c r="AP74" s="1007">
        <v>0</v>
      </c>
      <c r="AQ74" s="1007">
        <v>0</v>
      </c>
      <c r="AR74" s="1016">
        <f t="shared" si="11"/>
        <v>0</v>
      </c>
    </row>
    <row r="75" spans="2:44" ht="15" customHeight="1">
      <c r="B75" s="2"/>
      <c r="C75"/>
      <c r="D75"/>
      <c r="E75"/>
      <c r="F75"/>
      <c r="G75"/>
      <c r="H75"/>
      <c r="I75"/>
      <c r="J75"/>
      <c r="K75"/>
      <c r="L75"/>
      <c r="M75"/>
      <c r="N75"/>
      <c r="O75"/>
      <c r="P75"/>
      <c r="Q75"/>
      <c r="AA75" s="1684"/>
      <c r="AB75" s="1005" t="str">
        <f>'Resource Costs'!$FC77</f>
        <v/>
      </c>
      <c r="AC75" s="1005" t="str">
        <f>'Resource Costs'!$FD77</f>
        <v/>
      </c>
      <c r="AD75" s="1005" t="str">
        <f>'Resource Costs'!$FE77</f>
        <v>Labor</v>
      </c>
      <c r="AE75" s="1005" t="str">
        <f>'Resource Costs'!$FF77</f>
        <v/>
      </c>
      <c r="AF75" s="1005" t="str">
        <f>'Resource Costs'!$FG77</f>
        <v/>
      </c>
      <c r="AG75" s="1006">
        <f>'Resource Costs'!$FH77</f>
        <v>0</v>
      </c>
      <c r="AH75" s="1006">
        <f>'Resource Costs'!$FI77</f>
        <v>0</v>
      </c>
      <c r="AI75" s="1006">
        <f>'Resource Costs'!$FJ77</f>
        <v>0</v>
      </c>
      <c r="AJ75" s="1006">
        <f>'Resource Costs'!$FK77</f>
        <v>0</v>
      </c>
      <c r="AK75" s="1006">
        <f>'Resource Costs'!$FL77</f>
        <v>0</v>
      </c>
      <c r="AL75" s="1006">
        <f>'Resource Costs'!$FM77</f>
        <v>0</v>
      </c>
      <c r="AM75" s="1007">
        <v>0</v>
      </c>
      <c r="AN75" s="1007">
        <v>0</v>
      </c>
      <c r="AO75" s="1007">
        <v>0</v>
      </c>
      <c r="AP75" s="1007">
        <v>0</v>
      </c>
      <c r="AQ75" s="1007">
        <v>0</v>
      </c>
      <c r="AR75" s="1016">
        <f t="shared" si="11"/>
        <v>0</v>
      </c>
    </row>
    <row r="76" spans="2:44" ht="15" customHeight="1">
      <c r="B76" s="2"/>
      <c r="C76"/>
      <c r="D76"/>
      <c r="E76"/>
      <c r="F76"/>
      <c r="G76"/>
      <c r="H76"/>
      <c r="I76"/>
      <c r="J76"/>
      <c r="K76"/>
      <c r="L76"/>
      <c r="M76"/>
      <c r="N76"/>
      <c r="O76"/>
      <c r="P76"/>
      <c r="Q76"/>
      <c r="AA76" s="1684"/>
      <c r="AB76" s="1005" t="str">
        <f>'Resource Costs'!$FC78</f>
        <v/>
      </c>
      <c r="AC76" s="1005" t="str">
        <f>'Resource Costs'!$FD78</f>
        <v/>
      </c>
      <c r="AD76" s="1005" t="str">
        <f>'Resource Costs'!$FE78</f>
        <v>Labor</v>
      </c>
      <c r="AE76" s="1005" t="str">
        <f>'Resource Costs'!$FF78</f>
        <v/>
      </c>
      <c r="AF76" s="1005" t="str">
        <f>'Resource Costs'!$FG78</f>
        <v/>
      </c>
      <c r="AG76" s="1006">
        <f>'Resource Costs'!$FH78</f>
        <v>0</v>
      </c>
      <c r="AH76" s="1006">
        <f>'Resource Costs'!$FI78</f>
        <v>0</v>
      </c>
      <c r="AI76" s="1006">
        <f>'Resource Costs'!$FJ78</f>
        <v>0</v>
      </c>
      <c r="AJ76" s="1006">
        <f>'Resource Costs'!$FK78</f>
        <v>0</v>
      </c>
      <c r="AK76" s="1006">
        <f>'Resource Costs'!$FL78</f>
        <v>0</v>
      </c>
      <c r="AL76" s="1006">
        <f>'Resource Costs'!$FM78</f>
        <v>0</v>
      </c>
      <c r="AM76" s="1007">
        <v>0</v>
      </c>
      <c r="AN76" s="1007">
        <v>0</v>
      </c>
      <c r="AO76" s="1007">
        <v>0</v>
      </c>
      <c r="AP76" s="1007">
        <v>0</v>
      </c>
      <c r="AQ76" s="1007">
        <v>0</v>
      </c>
      <c r="AR76" s="1016">
        <f t="shared" si="11"/>
        <v>0</v>
      </c>
    </row>
    <row r="77" spans="2:44" ht="15" customHeight="1">
      <c r="B77" s="2"/>
      <c r="C77"/>
      <c r="D77"/>
      <c r="E77"/>
      <c r="F77"/>
      <c r="G77"/>
      <c r="H77"/>
      <c r="I77"/>
      <c r="J77"/>
      <c r="K77"/>
      <c r="L77"/>
      <c r="M77"/>
      <c r="N77"/>
      <c r="O77"/>
      <c r="P77"/>
      <c r="Q77"/>
      <c r="AA77" s="1684"/>
      <c r="AB77" s="1005" t="str">
        <f>'Resource Costs'!$FC79</f>
        <v/>
      </c>
      <c r="AC77" s="1005" t="str">
        <f>'Resource Costs'!$FD79</f>
        <v/>
      </c>
      <c r="AD77" s="1005" t="str">
        <f>'Resource Costs'!$FE79</f>
        <v>Labor</v>
      </c>
      <c r="AE77" s="1005" t="str">
        <f>'Resource Costs'!$FF79</f>
        <v/>
      </c>
      <c r="AF77" s="1005" t="str">
        <f>'Resource Costs'!$FG79</f>
        <v/>
      </c>
      <c r="AG77" s="1006">
        <f>'Resource Costs'!$FH79</f>
        <v>0</v>
      </c>
      <c r="AH77" s="1006">
        <f>'Resource Costs'!$FI79</f>
        <v>0</v>
      </c>
      <c r="AI77" s="1006">
        <f>'Resource Costs'!$FJ79</f>
        <v>0</v>
      </c>
      <c r="AJ77" s="1006">
        <f>'Resource Costs'!$FK79</f>
        <v>0</v>
      </c>
      <c r="AK77" s="1006">
        <f>'Resource Costs'!$FL79</f>
        <v>0</v>
      </c>
      <c r="AL77" s="1006">
        <f>'Resource Costs'!$FM79</f>
        <v>0</v>
      </c>
      <c r="AM77" s="1007">
        <v>0</v>
      </c>
      <c r="AN77" s="1007">
        <v>0</v>
      </c>
      <c r="AO77" s="1007">
        <v>0</v>
      </c>
      <c r="AP77" s="1007">
        <v>0</v>
      </c>
      <c r="AQ77" s="1007">
        <v>0</v>
      </c>
      <c r="AR77" s="1016">
        <f t="shared" si="11"/>
        <v>0</v>
      </c>
    </row>
    <row r="78" spans="2:44" ht="15" customHeight="1">
      <c r="B78" s="2"/>
      <c r="C78"/>
      <c r="D78"/>
      <c r="E78"/>
      <c r="F78"/>
      <c r="G78"/>
      <c r="H78"/>
      <c r="I78"/>
      <c r="J78"/>
      <c r="K78"/>
      <c r="L78"/>
      <c r="M78"/>
      <c r="N78"/>
      <c r="O78"/>
      <c r="P78"/>
      <c r="Q78"/>
      <c r="AA78" s="1684"/>
      <c r="AB78" s="1005" t="str">
        <f>'Resource Costs'!$FC80</f>
        <v/>
      </c>
      <c r="AC78" s="1005" t="str">
        <f>'Resource Costs'!$FD80</f>
        <v/>
      </c>
      <c r="AD78" s="1005" t="str">
        <f>'Resource Costs'!$FE80</f>
        <v>Labor</v>
      </c>
      <c r="AE78" s="1005" t="str">
        <f>'Resource Costs'!$FF80</f>
        <v/>
      </c>
      <c r="AF78" s="1005" t="str">
        <f>'Resource Costs'!$FG80</f>
        <v/>
      </c>
      <c r="AG78" s="1006">
        <f>'Resource Costs'!$FH80</f>
        <v>0</v>
      </c>
      <c r="AH78" s="1006">
        <f>'Resource Costs'!$FI80</f>
        <v>0</v>
      </c>
      <c r="AI78" s="1006">
        <f>'Resource Costs'!$FJ80</f>
        <v>0</v>
      </c>
      <c r="AJ78" s="1006">
        <f>'Resource Costs'!$FK80</f>
        <v>0</v>
      </c>
      <c r="AK78" s="1006">
        <f>'Resource Costs'!$FL80</f>
        <v>0</v>
      </c>
      <c r="AL78" s="1006">
        <f>'Resource Costs'!$FM80</f>
        <v>0</v>
      </c>
      <c r="AM78" s="1007">
        <v>0</v>
      </c>
      <c r="AN78" s="1007">
        <v>0</v>
      </c>
      <c r="AO78" s="1007">
        <v>0</v>
      </c>
      <c r="AP78" s="1007">
        <v>0</v>
      </c>
      <c r="AQ78" s="1007">
        <v>0</v>
      </c>
      <c r="AR78" s="1016">
        <f t="shared" si="11"/>
        <v>0</v>
      </c>
    </row>
    <row r="79" spans="2:44" ht="15" customHeight="1">
      <c r="B79" s="2"/>
      <c r="C79"/>
      <c r="D79"/>
      <c r="E79"/>
      <c r="F79"/>
      <c r="G79"/>
      <c r="H79"/>
      <c r="I79"/>
      <c r="J79"/>
      <c r="K79"/>
      <c r="L79"/>
      <c r="M79"/>
      <c r="N79"/>
      <c r="O79"/>
      <c r="P79"/>
      <c r="Q79"/>
      <c r="AA79" s="1684"/>
      <c r="AB79" s="1005" t="str">
        <f>'Resource Costs'!$FC81</f>
        <v/>
      </c>
      <c r="AC79" s="1005" t="str">
        <f>'Resource Costs'!$FD81</f>
        <v/>
      </c>
      <c r="AD79" s="1005" t="str">
        <f>'Resource Costs'!$FE81</f>
        <v>Labor</v>
      </c>
      <c r="AE79" s="1005" t="str">
        <f>'Resource Costs'!$FF81</f>
        <v/>
      </c>
      <c r="AF79" s="1005" t="str">
        <f>'Resource Costs'!$FG81</f>
        <v/>
      </c>
      <c r="AG79" s="1006">
        <f>'Resource Costs'!$FH81</f>
        <v>0</v>
      </c>
      <c r="AH79" s="1006">
        <f>'Resource Costs'!$FI81</f>
        <v>0</v>
      </c>
      <c r="AI79" s="1006">
        <f>'Resource Costs'!$FJ81</f>
        <v>0</v>
      </c>
      <c r="AJ79" s="1006">
        <f>'Resource Costs'!$FK81</f>
        <v>0</v>
      </c>
      <c r="AK79" s="1006">
        <f>'Resource Costs'!$FL81</f>
        <v>0</v>
      </c>
      <c r="AL79" s="1006">
        <f>'Resource Costs'!$FM81</f>
        <v>0</v>
      </c>
      <c r="AM79" s="1007">
        <v>0</v>
      </c>
      <c r="AN79" s="1007">
        <v>0</v>
      </c>
      <c r="AO79" s="1007">
        <v>0</v>
      </c>
      <c r="AP79" s="1007">
        <v>0</v>
      </c>
      <c r="AQ79" s="1007">
        <v>0</v>
      </c>
      <c r="AR79" s="1016">
        <f t="shared" si="11"/>
        <v>0</v>
      </c>
    </row>
    <row r="80" spans="2:44" ht="15" customHeight="1">
      <c r="B80" s="2"/>
      <c r="C80"/>
      <c r="D80"/>
      <c r="E80"/>
      <c r="F80"/>
      <c r="G80"/>
      <c r="H80"/>
      <c r="I80"/>
      <c r="J80"/>
      <c r="K80"/>
      <c r="L80"/>
      <c r="M80"/>
      <c r="N80"/>
      <c r="O80"/>
      <c r="P80"/>
      <c r="Q80"/>
      <c r="AA80" s="1684"/>
      <c r="AB80" s="1005" t="str">
        <f>'Resource Costs'!$FC82</f>
        <v/>
      </c>
      <c r="AC80" s="1005" t="str">
        <f>'Resource Costs'!$FD82</f>
        <v/>
      </c>
      <c r="AD80" s="1005" t="str">
        <f>'Resource Costs'!$FE82</f>
        <v>Labor</v>
      </c>
      <c r="AE80" s="1005" t="str">
        <f>'Resource Costs'!$FF82</f>
        <v/>
      </c>
      <c r="AF80" s="1005" t="str">
        <f>'Resource Costs'!$FG82</f>
        <v/>
      </c>
      <c r="AG80" s="1006">
        <f>'Resource Costs'!$FH82</f>
        <v>0</v>
      </c>
      <c r="AH80" s="1006">
        <f>'Resource Costs'!$FI82</f>
        <v>0</v>
      </c>
      <c r="AI80" s="1006">
        <f>'Resource Costs'!$FJ82</f>
        <v>0</v>
      </c>
      <c r="AJ80" s="1006">
        <f>'Resource Costs'!$FK82</f>
        <v>0</v>
      </c>
      <c r="AK80" s="1006">
        <f>'Resource Costs'!$FL82</f>
        <v>0</v>
      </c>
      <c r="AL80" s="1006">
        <f>'Resource Costs'!$FM82</f>
        <v>0</v>
      </c>
      <c r="AM80" s="1007">
        <v>0</v>
      </c>
      <c r="AN80" s="1007">
        <v>0</v>
      </c>
      <c r="AO80" s="1007">
        <v>0</v>
      </c>
      <c r="AP80" s="1007">
        <v>0</v>
      </c>
      <c r="AQ80" s="1007">
        <v>0</v>
      </c>
      <c r="AR80" s="1016">
        <f t="shared" si="11"/>
        <v>0</v>
      </c>
    </row>
    <row r="81" spans="2:44" ht="15" customHeight="1">
      <c r="B81" s="2"/>
      <c r="C81"/>
      <c r="D81"/>
      <c r="E81"/>
      <c r="F81"/>
      <c r="G81"/>
      <c r="H81"/>
      <c r="I81"/>
      <c r="J81"/>
      <c r="K81"/>
      <c r="L81"/>
      <c r="M81"/>
      <c r="N81"/>
      <c r="O81"/>
      <c r="P81"/>
      <c r="Q81"/>
      <c r="AA81" s="1684"/>
      <c r="AB81" s="1005" t="str">
        <f>'Resource Costs'!$FC83</f>
        <v/>
      </c>
      <c r="AC81" s="1005" t="str">
        <f>'Resource Costs'!$FD83</f>
        <v/>
      </c>
      <c r="AD81" s="1005" t="str">
        <f>'Resource Costs'!$FE83</f>
        <v>Labor</v>
      </c>
      <c r="AE81" s="1005" t="str">
        <f>'Resource Costs'!$FF83</f>
        <v/>
      </c>
      <c r="AF81" s="1005" t="str">
        <f>'Resource Costs'!$FG83</f>
        <v/>
      </c>
      <c r="AG81" s="1006">
        <f>'Resource Costs'!$FH83</f>
        <v>0</v>
      </c>
      <c r="AH81" s="1006">
        <f>'Resource Costs'!$FI83</f>
        <v>0</v>
      </c>
      <c r="AI81" s="1006">
        <f>'Resource Costs'!$FJ83</f>
        <v>0</v>
      </c>
      <c r="AJ81" s="1006">
        <f>'Resource Costs'!$FK83</f>
        <v>0</v>
      </c>
      <c r="AK81" s="1006">
        <f>'Resource Costs'!$FL83</f>
        <v>0</v>
      </c>
      <c r="AL81" s="1006">
        <f>'Resource Costs'!$FM83</f>
        <v>0</v>
      </c>
      <c r="AM81" s="1007">
        <v>0</v>
      </c>
      <c r="AN81" s="1007">
        <v>0</v>
      </c>
      <c r="AO81" s="1007">
        <v>0</v>
      </c>
      <c r="AP81" s="1007">
        <v>0</v>
      </c>
      <c r="AQ81" s="1007">
        <v>0</v>
      </c>
      <c r="AR81" s="1016">
        <f t="shared" si="11"/>
        <v>0</v>
      </c>
    </row>
    <row r="82" spans="2:44" ht="15" customHeight="1">
      <c r="B82" s="2"/>
      <c r="C82"/>
      <c r="D82"/>
      <c r="E82"/>
      <c r="F82"/>
      <c r="G82"/>
      <c r="H82"/>
      <c r="I82"/>
      <c r="J82"/>
      <c r="K82"/>
      <c r="L82"/>
      <c r="M82"/>
      <c r="N82"/>
      <c r="O82"/>
      <c r="P82"/>
      <c r="Q82"/>
      <c r="AA82" s="1684"/>
      <c r="AB82" s="1005" t="str">
        <f>'Resource Costs'!$FC84</f>
        <v/>
      </c>
      <c r="AC82" s="1005" t="str">
        <f>'Resource Costs'!$FD84</f>
        <v/>
      </c>
      <c r="AD82" s="1005" t="str">
        <f>'Resource Costs'!$FE84</f>
        <v>Labor</v>
      </c>
      <c r="AE82" s="1005" t="str">
        <f>'Resource Costs'!$FF84</f>
        <v/>
      </c>
      <c r="AF82" s="1005" t="str">
        <f>'Resource Costs'!$FG84</f>
        <v/>
      </c>
      <c r="AG82" s="1006">
        <f>'Resource Costs'!$FH84</f>
        <v>0</v>
      </c>
      <c r="AH82" s="1006">
        <f>'Resource Costs'!$FI84</f>
        <v>0</v>
      </c>
      <c r="AI82" s="1006">
        <f>'Resource Costs'!$FJ84</f>
        <v>0</v>
      </c>
      <c r="AJ82" s="1006">
        <f>'Resource Costs'!$FK84</f>
        <v>0</v>
      </c>
      <c r="AK82" s="1006">
        <f>'Resource Costs'!$FL84</f>
        <v>0</v>
      </c>
      <c r="AL82" s="1006">
        <f>'Resource Costs'!$FM84</f>
        <v>0</v>
      </c>
      <c r="AM82" s="1007">
        <v>0</v>
      </c>
      <c r="AN82" s="1007">
        <v>0</v>
      </c>
      <c r="AO82" s="1007">
        <v>0</v>
      </c>
      <c r="AP82" s="1007">
        <v>0</v>
      </c>
      <c r="AQ82" s="1007">
        <v>0</v>
      </c>
      <c r="AR82" s="1016">
        <f t="shared" si="11"/>
        <v>0</v>
      </c>
    </row>
    <row r="83" spans="2:44" ht="15" customHeight="1">
      <c r="B83" s="2"/>
      <c r="C83"/>
      <c r="D83"/>
      <c r="E83"/>
      <c r="F83"/>
      <c r="G83"/>
      <c r="H83"/>
      <c r="I83"/>
      <c r="J83"/>
      <c r="K83"/>
      <c r="L83"/>
      <c r="M83"/>
      <c r="N83"/>
      <c r="O83"/>
      <c r="P83"/>
      <c r="Q83"/>
      <c r="AA83" s="1684"/>
      <c r="AB83" s="1005" t="str">
        <f>'Resource Costs'!$FC85</f>
        <v/>
      </c>
      <c r="AC83" s="1005" t="str">
        <f>'Resource Costs'!$FD85</f>
        <v/>
      </c>
      <c r="AD83" s="1005" t="str">
        <f>'Resource Costs'!$FE85</f>
        <v>Labor</v>
      </c>
      <c r="AE83" s="1005" t="str">
        <f>'Resource Costs'!$FF85</f>
        <v/>
      </c>
      <c r="AF83" s="1005" t="str">
        <f>'Resource Costs'!$FG85</f>
        <v/>
      </c>
      <c r="AG83" s="1006">
        <f>'Resource Costs'!$FH85</f>
        <v>0</v>
      </c>
      <c r="AH83" s="1006">
        <f>'Resource Costs'!$FI85</f>
        <v>0</v>
      </c>
      <c r="AI83" s="1006">
        <f>'Resource Costs'!$FJ85</f>
        <v>0</v>
      </c>
      <c r="AJ83" s="1006">
        <f>'Resource Costs'!$FK85</f>
        <v>0</v>
      </c>
      <c r="AK83" s="1006">
        <f>'Resource Costs'!$FL85</f>
        <v>0</v>
      </c>
      <c r="AL83" s="1006">
        <f>'Resource Costs'!$FM85</f>
        <v>0</v>
      </c>
      <c r="AM83" s="1007">
        <v>0</v>
      </c>
      <c r="AN83" s="1007">
        <v>0</v>
      </c>
      <c r="AO83" s="1007">
        <v>0</v>
      </c>
      <c r="AP83" s="1007">
        <v>0</v>
      </c>
      <c r="AQ83" s="1007">
        <v>0</v>
      </c>
      <c r="AR83" s="1016">
        <f t="shared" si="11"/>
        <v>0</v>
      </c>
    </row>
    <row r="84" spans="2:44" ht="15" customHeight="1">
      <c r="B84" s="2"/>
      <c r="C84"/>
      <c r="D84"/>
      <c r="E84"/>
      <c r="F84"/>
      <c r="G84"/>
      <c r="H84"/>
      <c r="I84"/>
      <c r="J84"/>
      <c r="K84"/>
      <c r="L84"/>
      <c r="M84"/>
      <c r="N84"/>
      <c r="O84"/>
      <c r="P84"/>
      <c r="Q84"/>
      <c r="AA84" s="1684"/>
      <c r="AB84" s="1005" t="str">
        <f>'Resource Costs'!$FC86</f>
        <v/>
      </c>
      <c r="AC84" s="1005" t="str">
        <f>'Resource Costs'!$FD86</f>
        <v/>
      </c>
      <c r="AD84" s="1005" t="str">
        <f>'Resource Costs'!$FE86</f>
        <v>Labor</v>
      </c>
      <c r="AE84" s="1005" t="str">
        <f>'Resource Costs'!$FF86</f>
        <v/>
      </c>
      <c r="AF84" s="1005" t="str">
        <f>'Resource Costs'!$FG86</f>
        <v/>
      </c>
      <c r="AG84" s="1006">
        <f>'Resource Costs'!$FH86</f>
        <v>0</v>
      </c>
      <c r="AH84" s="1006">
        <f>'Resource Costs'!$FI86</f>
        <v>0</v>
      </c>
      <c r="AI84" s="1006">
        <f>'Resource Costs'!$FJ86</f>
        <v>0</v>
      </c>
      <c r="AJ84" s="1006">
        <f>'Resource Costs'!$FK86</f>
        <v>0</v>
      </c>
      <c r="AK84" s="1006">
        <f>'Resource Costs'!$FL86</f>
        <v>0</v>
      </c>
      <c r="AL84" s="1006">
        <f>'Resource Costs'!$FM86</f>
        <v>0</v>
      </c>
      <c r="AM84" s="1007">
        <v>0</v>
      </c>
      <c r="AN84" s="1007">
        <v>0</v>
      </c>
      <c r="AO84" s="1007">
        <v>0</v>
      </c>
      <c r="AP84" s="1007">
        <v>0</v>
      </c>
      <c r="AQ84" s="1007">
        <v>0</v>
      </c>
      <c r="AR84" s="1016">
        <f t="shared" si="11"/>
        <v>0</v>
      </c>
    </row>
    <row r="85" spans="2:44" ht="15" customHeight="1">
      <c r="B85" s="2"/>
      <c r="C85"/>
      <c r="D85"/>
      <c r="E85"/>
      <c r="F85"/>
      <c r="G85"/>
      <c r="H85"/>
      <c r="I85"/>
      <c r="J85"/>
      <c r="K85"/>
      <c r="L85"/>
      <c r="M85"/>
      <c r="N85"/>
      <c r="O85"/>
      <c r="P85"/>
      <c r="Q85"/>
      <c r="AA85" s="1684"/>
      <c r="AB85" s="1005" t="str">
        <f>'Resource Costs'!$FC87</f>
        <v/>
      </c>
      <c r="AC85" s="1005" t="str">
        <f>'Resource Costs'!$FD87</f>
        <v/>
      </c>
      <c r="AD85" s="1005" t="str">
        <f>'Resource Costs'!$FE87</f>
        <v>Labor</v>
      </c>
      <c r="AE85" s="1005" t="str">
        <f>'Resource Costs'!$FF87</f>
        <v/>
      </c>
      <c r="AF85" s="1005" t="str">
        <f>'Resource Costs'!$FG87</f>
        <v/>
      </c>
      <c r="AG85" s="1006">
        <f>'Resource Costs'!$FH87</f>
        <v>0</v>
      </c>
      <c r="AH85" s="1006">
        <f>'Resource Costs'!$FI87</f>
        <v>0</v>
      </c>
      <c r="AI85" s="1006">
        <f>'Resource Costs'!$FJ87</f>
        <v>0</v>
      </c>
      <c r="AJ85" s="1006">
        <f>'Resource Costs'!$FK87</f>
        <v>0</v>
      </c>
      <c r="AK85" s="1006">
        <f>'Resource Costs'!$FL87</f>
        <v>0</v>
      </c>
      <c r="AL85" s="1006">
        <f>'Resource Costs'!$FM87</f>
        <v>0</v>
      </c>
      <c r="AM85" s="1007">
        <v>0</v>
      </c>
      <c r="AN85" s="1007">
        <v>0</v>
      </c>
      <c r="AO85" s="1007">
        <v>0</v>
      </c>
      <c r="AP85" s="1007">
        <v>0</v>
      </c>
      <c r="AQ85" s="1007">
        <v>0</v>
      </c>
      <c r="AR85" s="1016">
        <f t="shared" si="11"/>
        <v>0</v>
      </c>
    </row>
    <row r="86" spans="2:44" ht="15" customHeight="1">
      <c r="B86" s="2"/>
      <c r="C86"/>
      <c r="D86"/>
      <c r="E86"/>
      <c r="F86"/>
      <c r="G86"/>
      <c r="H86"/>
      <c r="I86"/>
      <c r="J86"/>
      <c r="K86"/>
      <c r="L86"/>
      <c r="M86"/>
      <c r="N86"/>
      <c r="O86"/>
      <c r="P86"/>
      <c r="Q86"/>
      <c r="AA86" s="1684"/>
      <c r="AB86" s="1005" t="str">
        <f>'Resource Costs'!$FC88</f>
        <v/>
      </c>
      <c r="AC86" s="1005" t="str">
        <f>'Resource Costs'!$FD88</f>
        <v/>
      </c>
      <c r="AD86" s="1005" t="str">
        <f>'Resource Costs'!$FE88</f>
        <v>Labor</v>
      </c>
      <c r="AE86" s="1005" t="str">
        <f>'Resource Costs'!$FF88</f>
        <v/>
      </c>
      <c r="AF86" s="1005" t="str">
        <f>'Resource Costs'!$FG88</f>
        <v/>
      </c>
      <c r="AG86" s="1006">
        <f>'Resource Costs'!$FH88</f>
        <v>0</v>
      </c>
      <c r="AH86" s="1006">
        <f>'Resource Costs'!$FI88</f>
        <v>0</v>
      </c>
      <c r="AI86" s="1006">
        <f>'Resource Costs'!$FJ88</f>
        <v>0</v>
      </c>
      <c r="AJ86" s="1006">
        <f>'Resource Costs'!$FK88</f>
        <v>0</v>
      </c>
      <c r="AK86" s="1006">
        <f>'Resource Costs'!$FL88</f>
        <v>0</v>
      </c>
      <c r="AL86" s="1006">
        <f>'Resource Costs'!$FM88</f>
        <v>0</v>
      </c>
      <c r="AM86" s="1007">
        <v>0</v>
      </c>
      <c r="AN86" s="1007">
        <v>0</v>
      </c>
      <c r="AO86" s="1007">
        <v>0</v>
      </c>
      <c r="AP86" s="1007">
        <v>0</v>
      </c>
      <c r="AQ86" s="1007">
        <v>0</v>
      </c>
      <c r="AR86" s="1016">
        <f t="shared" si="11"/>
        <v>0</v>
      </c>
    </row>
    <row r="87" spans="2:44" ht="15" customHeight="1">
      <c r="B87" s="2"/>
      <c r="C87"/>
      <c r="D87"/>
      <c r="E87"/>
      <c r="F87"/>
      <c r="G87"/>
      <c r="H87"/>
      <c r="I87"/>
      <c r="J87"/>
      <c r="K87"/>
      <c r="L87"/>
      <c r="M87"/>
      <c r="N87"/>
      <c r="O87"/>
      <c r="P87"/>
      <c r="Q87"/>
      <c r="AA87" s="1684"/>
      <c r="AB87" s="1005" t="str">
        <f>'Resource Costs'!$FC89</f>
        <v/>
      </c>
      <c r="AC87" s="1005" t="str">
        <f>'Resource Costs'!$FD89</f>
        <v/>
      </c>
      <c r="AD87" s="1005" t="str">
        <f>'Resource Costs'!$FE89</f>
        <v>Labor</v>
      </c>
      <c r="AE87" s="1005" t="str">
        <f>'Resource Costs'!$FF89</f>
        <v/>
      </c>
      <c r="AF87" s="1005" t="str">
        <f>'Resource Costs'!$FG89</f>
        <v/>
      </c>
      <c r="AG87" s="1006">
        <f>'Resource Costs'!$FH89</f>
        <v>0</v>
      </c>
      <c r="AH87" s="1006">
        <f>'Resource Costs'!$FI89</f>
        <v>0</v>
      </c>
      <c r="AI87" s="1006">
        <f>'Resource Costs'!$FJ89</f>
        <v>0</v>
      </c>
      <c r="AJ87" s="1006">
        <f>'Resource Costs'!$FK89</f>
        <v>0</v>
      </c>
      <c r="AK87" s="1006">
        <f>'Resource Costs'!$FL89</f>
        <v>0</v>
      </c>
      <c r="AL87" s="1006">
        <f>'Resource Costs'!$FM89</f>
        <v>0</v>
      </c>
      <c r="AM87" s="1007">
        <v>0</v>
      </c>
      <c r="AN87" s="1007">
        <v>0</v>
      </c>
      <c r="AO87" s="1007">
        <v>0</v>
      </c>
      <c r="AP87" s="1007">
        <v>0</v>
      </c>
      <c r="AQ87" s="1007">
        <v>0</v>
      </c>
      <c r="AR87" s="1016">
        <f t="shared" si="11"/>
        <v>0</v>
      </c>
    </row>
    <row r="88" spans="2:44" ht="15" customHeight="1">
      <c r="B88" s="2"/>
      <c r="C88"/>
      <c r="D88"/>
      <c r="E88"/>
      <c r="F88"/>
      <c r="G88"/>
      <c r="H88"/>
      <c r="I88"/>
      <c r="J88"/>
      <c r="K88"/>
      <c r="L88"/>
      <c r="M88"/>
      <c r="N88"/>
      <c r="O88"/>
      <c r="P88"/>
      <c r="Q88"/>
      <c r="AA88" s="1684"/>
      <c r="AB88" s="1005" t="str">
        <f>'Resource Costs'!$FC90</f>
        <v/>
      </c>
      <c r="AC88" s="1005" t="str">
        <f>'Resource Costs'!$FD90</f>
        <v/>
      </c>
      <c r="AD88" s="1005" t="str">
        <f>'Resource Costs'!$FE90</f>
        <v>Labor</v>
      </c>
      <c r="AE88" s="1005" t="str">
        <f>'Resource Costs'!$FF90</f>
        <v/>
      </c>
      <c r="AF88" s="1005" t="str">
        <f>'Resource Costs'!$FG90</f>
        <v/>
      </c>
      <c r="AG88" s="1006">
        <f>'Resource Costs'!$FH90</f>
        <v>0</v>
      </c>
      <c r="AH88" s="1006">
        <f>'Resource Costs'!$FI90</f>
        <v>0</v>
      </c>
      <c r="AI88" s="1006">
        <f>'Resource Costs'!$FJ90</f>
        <v>0</v>
      </c>
      <c r="AJ88" s="1006">
        <f>'Resource Costs'!$FK90</f>
        <v>0</v>
      </c>
      <c r="AK88" s="1006">
        <f>'Resource Costs'!$FL90</f>
        <v>0</v>
      </c>
      <c r="AL88" s="1006">
        <f>'Resource Costs'!$FM90</f>
        <v>0</v>
      </c>
      <c r="AM88" s="1007">
        <v>0</v>
      </c>
      <c r="AN88" s="1007">
        <v>0</v>
      </c>
      <c r="AO88" s="1007">
        <v>0</v>
      </c>
      <c r="AP88" s="1007">
        <v>0</v>
      </c>
      <c r="AQ88" s="1007">
        <v>0</v>
      </c>
      <c r="AR88" s="1016">
        <f t="shared" si="11"/>
        <v>0</v>
      </c>
    </row>
    <row r="89" spans="2:44" ht="15" customHeight="1">
      <c r="B89" s="2"/>
      <c r="C89"/>
      <c r="D89"/>
      <c r="E89"/>
      <c r="F89"/>
      <c r="G89"/>
      <c r="H89"/>
      <c r="I89"/>
      <c r="J89"/>
      <c r="K89"/>
      <c r="L89"/>
      <c r="M89"/>
      <c r="N89"/>
      <c r="O89"/>
      <c r="P89"/>
      <c r="Q89"/>
      <c r="AA89" s="1684"/>
      <c r="AB89" s="1005" t="str">
        <f>'Resource Costs'!$FC91</f>
        <v/>
      </c>
      <c r="AC89" s="1005" t="str">
        <f>'Resource Costs'!$FD91</f>
        <v/>
      </c>
      <c r="AD89" s="1005" t="str">
        <f>'Resource Costs'!$FE91</f>
        <v>Labor</v>
      </c>
      <c r="AE89" s="1005" t="str">
        <f>'Resource Costs'!$FF91</f>
        <v/>
      </c>
      <c r="AF89" s="1005" t="str">
        <f>'Resource Costs'!$FG91</f>
        <v/>
      </c>
      <c r="AG89" s="1006">
        <f>'Resource Costs'!$FH91</f>
        <v>0</v>
      </c>
      <c r="AH89" s="1006">
        <f>'Resource Costs'!$FI91</f>
        <v>0</v>
      </c>
      <c r="AI89" s="1006">
        <f>'Resource Costs'!$FJ91</f>
        <v>0</v>
      </c>
      <c r="AJ89" s="1006">
        <f>'Resource Costs'!$FK91</f>
        <v>0</v>
      </c>
      <c r="AK89" s="1006">
        <f>'Resource Costs'!$FL91</f>
        <v>0</v>
      </c>
      <c r="AL89" s="1006">
        <f>'Resource Costs'!$FM91</f>
        <v>0</v>
      </c>
      <c r="AM89" s="1007">
        <v>0</v>
      </c>
      <c r="AN89" s="1007">
        <v>0</v>
      </c>
      <c r="AO89" s="1007">
        <v>0</v>
      </c>
      <c r="AP89" s="1007">
        <v>0</v>
      </c>
      <c r="AQ89" s="1007">
        <v>0</v>
      </c>
      <c r="AR89" s="1016">
        <f t="shared" si="11"/>
        <v>0</v>
      </c>
    </row>
    <row r="90" spans="2:44" ht="15" customHeight="1">
      <c r="B90" s="2"/>
      <c r="C90"/>
      <c r="D90"/>
      <c r="E90"/>
      <c r="F90"/>
      <c r="G90"/>
      <c r="H90"/>
      <c r="I90"/>
      <c r="J90"/>
      <c r="K90"/>
      <c r="L90"/>
      <c r="M90"/>
      <c r="N90"/>
      <c r="O90"/>
      <c r="P90"/>
      <c r="Q90"/>
      <c r="AA90" s="1684"/>
      <c r="AB90" s="1005" t="str">
        <f>'Resource Costs'!$FC92</f>
        <v/>
      </c>
      <c r="AC90" s="1005" t="str">
        <f>'Resource Costs'!$FD92</f>
        <v/>
      </c>
      <c r="AD90" s="1005" t="str">
        <f>'Resource Costs'!$FE92</f>
        <v>Labor</v>
      </c>
      <c r="AE90" s="1005" t="str">
        <f>'Resource Costs'!$FF92</f>
        <v/>
      </c>
      <c r="AF90" s="1005" t="str">
        <f>'Resource Costs'!$FG92</f>
        <v/>
      </c>
      <c r="AG90" s="1006">
        <f>'Resource Costs'!$FH92</f>
        <v>0</v>
      </c>
      <c r="AH90" s="1006">
        <f>'Resource Costs'!$FI92</f>
        <v>0</v>
      </c>
      <c r="AI90" s="1006">
        <f>'Resource Costs'!$FJ92</f>
        <v>0</v>
      </c>
      <c r="AJ90" s="1006">
        <f>'Resource Costs'!$FK92</f>
        <v>0</v>
      </c>
      <c r="AK90" s="1006">
        <f>'Resource Costs'!$FL92</f>
        <v>0</v>
      </c>
      <c r="AL90" s="1006">
        <f>'Resource Costs'!$FM92</f>
        <v>0</v>
      </c>
      <c r="AM90" s="1007">
        <v>0</v>
      </c>
      <c r="AN90" s="1007">
        <v>0</v>
      </c>
      <c r="AO90" s="1007">
        <v>0</v>
      </c>
      <c r="AP90" s="1007">
        <v>0</v>
      </c>
      <c r="AQ90" s="1007">
        <v>0</v>
      </c>
      <c r="AR90" s="1016">
        <f t="shared" si="11"/>
        <v>0</v>
      </c>
    </row>
    <row r="91" spans="2:44" ht="15" customHeight="1">
      <c r="B91" s="2"/>
      <c r="C91"/>
      <c r="D91"/>
      <c r="E91"/>
      <c r="F91"/>
      <c r="G91"/>
      <c r="H91"/>
      <c r="I91"/>
      <c r="J91"/>
      <c r="K91"/>
      <c r="L91"/>
      <c r="M91"/>
      <c r="N91"/>
      <c r="O91"/>
      <c r="P91"/>
      <c r="Q91"/>
      <c r="AA91" s="1684"/>
      <c r="AB91" s="1005" t="str">
        <f>'Resource Costs'!$FC93</f>
        <v/>
      </c>
      <c r="AC91" s="1005" t="str">
        <f>'Resource Costs'!$FD93</f>
        <v/>
      </c>
      <c r="AD91" s="1005" t="str">
        <f>'Resource Costs'!$FE93</f>
        <v>Labor</v>
      </c>
      <c r="AE91" s="1005" t="str">
        <f>'Resource Costs'!$FF93</f>
        <v/>
      </c>
      <c r="AF91" s="1005" t="str">
        <f>'Resource Costs'!$FG93</f>
        <v/>
      </c>
      <c r="AG91" s="1006">
        <f>'Resource Costs'!$FH93</f>
        <v>0</v>
      </c>
      <c r="AH91" s="1006">
        <f>'Resource Costs'!$FI93</f>
        <v>0</v>
      </c>
      <c r="AI91" s="1006">
        <f>'Resource Costs'!$FJ93</f>
        <v>0</v>
      </c>
      <c r="AJ91" s="1006">
        <f>'Resource Costs'!$FK93</f>
        <v>0</v>
      </c>
      <c r="AK91" s="1006">
        <f>'Resource Costs'!$FL93</f>
        <v>0</v>
      </c>
      <c r="AL91" s="1006">
        <f>'Resource Costs'!$FM93</f>
        <v>0</v>
      </c>
      <c r="AM91" s="1007">
        <v>0</v>
      </c>
      <c r="AN91" s="1007">
        <v>0</v>
      </c>
      <c r="AO91" s="1007">
        <v>0</v>
      </c>
      <c r="AP91" s="1007">
        <v>0</v>
      </c>
      <c r="AQ91" s="1007">
        <v>0</v>
      </c>
      <c r="AR91" s="1016">
        <f t="shared" si="11"/>
        <v>0</v>
      </c>
    </row>
    <row r="92" spans="2:44" ht="15" customHeight="1">
      <c r="B92" s="2"/>
      <c r="C92"/>
      <c r="D92"/>
      <c r="E92"/>
      <c r="F92"/>
      <c r="G92"/>
      <c r="H92"/>
      <c r="I92"/>
      <c r="J92"/>
      <c r="K92"/>
      <c r="L92"/>
      <c r="M92"/>
      <c r="N92"/>
      <c r="O92"/>
      <c r="P92"/>
      <c r="Q92"/>
      <c r="AA92" s="1684"/>
      <c r="AB92" s="1005" t="str">
        <f>'Resource Costs'!$FC94</f>
        <v/>
      </c>
      <c r="AC92" s="1005" t="str">
        <f>'Resource Costs'!$FD94</f>
        <v/>
      </c>
      <c r="AD92" s="1005" t="str">
        <f>'Resource Costs'!$FE94</f>
        <v>Labor</v>
      </c>
      <c r="AE92" s="1005" t="str">
        <f>'Resource Costs'!$FF94</f>
        <v/>
      </c>
      <c r="AF92" s="1005" t="str">
        <f>'Resource Costs'!$FG94</f>
        <v/>
      </c>
      <c r="AG92" s="1006">
        <f>'Resource Costs'!$FH94</f>
        <v>0</v>
      </c>
      <c r="AH92" s="1006">
        <f>'Resource Costs'!$FI94</f>
        <v>0</v>
      </c>
      <c r="AI92" s="1006">
        <f>'Resource Costs'!$FJ94</f>
        <v>0</v>
      </c>
      <c r="AJ92" s="1006">
        <f>'Resource Costs'!$FK94</f>
        <v>0</v>
      </c>
      <c r="AK92" s="1006">
        <f>'Resource Costs'!$FL94</f>
        <v>0</v>
      </c>
      <c r="AL92" s="1006">
        <f>'Resource Costs'!$FM94</f>
        <v>0</v>
      </c>
      <c r="AM92" s="1007">
        <v>0</v>
      </c>
      <c r="AN92" s="1007">
        <v>0</v>
      </c>
      <c r="AO92" s="1007">
        <v>0</v>
      </c>
      <c r="AP92" s="1007">
        <v>0</v>
      </c>
      <c r="AQ92" s="1007">
        <v>0</v>
      </c>
      <c r="AR92" s="1016">
        <f t="shared" si="11"/>
        <v>0</v>
      </c>
    </row>
    <row r="93" spans="2:44" ht="15" customHeight="1">
      <c r="B93" s="2"/>
      <c r="C93"/>
      <c r="D93"/>
      <c r="E93"/>
      <c r="F93"/>
      <c r="G93"/>
      <c r="H93"/>
      <c r="I93"/>
      <c r="J93"/>
      <c r="K93"/>
      <c r="L93"/>
      <c r="M93"/>
      <c r="N93"/>
      <c r="O93"/>
      <c r="P93"/>
      <c r="Q93"/>
      <c r="AA93" s="1684"/>
      <c r="AB93" s="1005" t="str">
        <f>'Resource Costs'!$FC95</f>
        <v/>
      </c>
      <c r="AC93" s="1005" t="str">
        <f>'Resource Costs'!$FD95</f>
        <v/>
      </c>
      <c r="AD93" s="1005" t="str">
        <f>'Resource Costs'!$FE95</f>
        <v>Labor</v>
      </c>
      <c r="AE93" s="1005" t="str">
        <f>'Resource Costs'!$FF95</f>
        <v/>
      </c>
      <c r="AF93" s="1005" t="str">
        <f>'Resource Costs'!$FG95</f>
        <v/>
      </c>
      <c r="AG93" s="1006">
        <f>'Resource Costs'!$FH95</f>
        <v>0</v>
      </c>
      <c r="AH93" s="1006">
        <f>'Resource Costs'!$FI95</f>
        <v>0</v>
      </c>
      <c r="AI93" s="1006">
        <f>'Resource Costs'!$FJ95</f>
        <v>0</v>
      </c>
      <c r="AJ93" s="1006">
        <f>'Resource Costs'!$FK95</f>
        <v>0</v>
      </c>
      <c r="AK93" s="1006">
        <f>'Resource Costs'!$FL95</f>
        <v>0</v>
      </c>
      <c r="AL93" s="1006">
        <f>'Resource Costs'!$FM95</f>
        <v>0</v>
      </c>
      <c r="AM93" s="1007">
        <v>0</v>
      </c>
      <c r="AN93" s="1007">
        <v>0</v>
      </c>
      <c r="AO93" s="1007">
        <v>0</v>
      </c>
      <c r="AP93" s="1007">
        <v>0</v>
      </c>
      <c r="AQ93" s="1007">
        <v>0</v>
      </c>
      <c r="AR93" s="1016">
        <f t="shared" si="11"/>
        <v>0</v>
      </c>
    </row>
    <row r="94" spans="2:44" ht="15" customHeight="1">
      <c r="B94" s="2"/>
      <c r="C94"/>
      <c r="D94"/>
      <c r="E94"/>
      <c r="F94"/>
      <c r="G94"/>
      <c r="H94"/>
      <c r="I94"/>
      <c r="J94"/>
      <c r="K94"/>
      <c r="L94"/>
      <c r="M94"/>
      <c r="N94"/>
      <c r="O94"/>
      <c r="P94"/>
      <c r="Q94"/>
      <c r="AA94" s="1684"/>
      <c r="AB94" s="1005" t="str">
        <f>'Resource Costs'!$FC96</f>
        <v/>
      </c>
      <c r="AC94" s="1005" t="str">
        <f>'Resource Costs'!$FD96</f>
        <v/>
      </c>
      <c r="AD94" s="1005" t="str">
        <f>'Resource Costs'!$FE96</f>
        <v>Labor</v>
      </c>
      <c r="AE94" s="1005" t="str">
        <f>'Resource Costs'!$FF96</f>
        <v/>
      </c>
      <c r="AF94" s="1005" t="str">
        <f>'Resource Costs'!$FG96</f>
        <v/>
      </c>
      <c r="AG94" s="1006">
        <f>'Resource Costs'!$FH96</f>
        <v>0</v>
      </c>
      <c r="AH94" s="1006">
        <f>'Resource Costs'!$FI96</f>
        <v>0</v>
      </c>
      <c r="AI94" s="1006">
        <f>'Resource Costs'!$FJ96</f>
        <v>0</v>
      </c>
      <c r="AJ94" s="1006">
        <f>'Resource Costs'!$FK96</f>
        <v>0</v>
      </c>
      <c r="AK94" s="1006">
        <f>'Resource Costs'!$FL96</f>
        <v>0</v>
      </c>
      <c r="AL94" s="1006">
        <f>'Resource Costs'!$FM96</f>
        <v>0</v>
      </c>
      <c r="AM94" s="1007">
        <v>0</v>
      </c>
      <c r="AN94" s="1007">
        <v>0</v>
      </c>
      <c r="AO94" s="1007">
        <v>0</v>
      </c>
      <c r="AP94" s="1007">
        <v>0</v>
      </c>
      <c r="AQ94" s="1007">
        <v>0</v>
      </c>
      <c r="AR94" s="1016">
        <f t="shared" si="11"/>
        <v>0</v>
      </c>
    </row>
    <row r="95" spans="2:44" ht="15" customHeight="1">
      <c r="B95" s="2"/>
      <c r="C95"/>
      <c r="D95"/>
      <c r="E95"/>
      <c r="F95"/>
      <c r="G95"/>
      <c r="H95"/>
      <c r="I95"/>
      <c r="J95"/>
      <c r="K95"/>
      <c r="L95"/>
      <c r="M95"/>
      <c r="N95"/>
      <c r="O95"/>
      <c r="P95"/>
      <c r="Q95"/>
      <c r="AA95" s="1684"/>
      <c r="AB95" s="1005" t="str">
        <f>'Resource Costs'!$FC97</f>
        <v/>
      </c>
      <c r="AC95" s="1005" t="str">
        <f>'Resource Costs'!$FD97</f>
        <v/>
      </c>
      <c r="AD95" s="1005" t="str">
        <f>'Resource Costs'!$FE97</f>
        <v>Labor</v>
      </c>
      <c r="AE95" s="1005" t="str">
        <f>'Resource Costs'!$FF97</f>
        <v/>
      </c>
      <c r="AF95" s="1005" t="str">
        <f>'Resource Costs'!$FG97</f>
        <v/>
      </c>
      <c r="AG95" s="1006">
        <f>'Resource Costs'!$FH97</f>
        <v>0</v>
      </c>
      <c r="AH95" s="1006">
        <f>'Resource Costs'!$FI97</f>
        <v>0</v>
      </c>
      <c r="AI95" s="1006">
        <f>'Resource Costs'!$FJ97</f>
        <v>0</v>
      </c>
      <c r="AJ95" s="1006">
        <f>'Resource Costs'!$FK97</f>
        <v>0</v>
      </c>
      <c r="AK95" s="1006">
        <f>'Resource Costs'!$FL97</f>
        <v>0</v>
      </c>
      <c r="AL95" s="1006">
        <f>'Resource Costs'!$FM97</f>
        <v>0</v>
      </c>
      <c r="AM95" s="1007">
        <v>0</v>
      </c>
      <c r="AN95" s="1007">
        <v>0</v>
      </c>
      <c r="AO95" s="1007">
        <v>0</v>
      </c>
      <c r="AP95" s="1007">
        <v>0</v>
      </c>
      <c r="AQ95" s="1007">
        <v>0</v>
      </c>
      <c r="AR95" s="1016">
        <f t="shared" si="11"/>
        <v>0</v>
      </c>
    </row>
    <row r="96" spans="2:44" ht="15" customHeight="1">
      <c r="B96" s="2"/>
      <c r="C96"/>
      <c r="D96"/>
      <c r="E96"/>
      <c r="F96"/>
      <c r="G96"/>
      <c r="H96"/>
      <c r="I96"/>
      <c r="J96"/>
      <c r="K96"/>
      <c r="L96"/>
      <c r="M96"/>
      <c r="N96"/>
      <c r="O96"/>
      <c r="P96"/>
      <c r="Q96"/>
      <c r="AA96" s="1684"/>
      <c r="AB96" s="1005" t="str">
        <f>'Resource Costs'!$FC98</f>
        <v/>
      </c>
      <c r="AC96" s="1005" t="str">
        <f>'Resource Costs'!$FD98</f>
        <v/>
      </c>
      <c r="AD96" s="1005" t="str">
        <f>'Resource Costs'!$FE98</f>
        <v>Labor</v>
      </c>
      <c r="AE96" s="1005" t="str">
        <f>'Resource Costs'!$FF98</f>
        <v/>
      </c>
      <c r="AF96" s="1005" t="str">
        <f>'Resource Costs'!$FG98</f>
        <v/>
      </c>
      <c r="AG96" s="1006">
        <f>'Resource Costs'!$FH98</f>
        <v>0</v>
      </c>
      <c r="AH96" s="1006">
        <f>'Resource Costs'!$FI98</f>
        <v>0</v>
      </c>
      <c r="AI96" s="1006">
        <f>'Resource Costs'!$FJ98</f>
        <v>0</v>
      </c>
      <c r="AJ96" s="1006">
        <f>'Resource Costs'!$FK98</f>
        <v>0</v>
      </c>
      <c r="AK96" s="1006">
        <f>'Resource Costs'!$FL98</f>
        <v>0</v>
      </c>
      <c r="AL96" s="1006">
        <f>'Resource Costs'!$FM98</f>
        <v>0</v>
      </c>
      <c r="AM96" s="1007">
        <v>0</v>
      </c>
      <c r="AN96" s="1007">
        <v>0</v>
      </c>
      <c r="AO96" s="1007">
        <v>0</v>
      </c>
      <c r="AP96" s="1007">
        <v>0</v>
      </c>
      <c r="AQ96" s="1007">
        <v>0</v>
      </c>
      <c r="AR96" s="1016">
        <f t="shared" si="11"/>
        <v>0</v>
      </c>
    </row>
    <row r="97" spans="2:44" ht="15" customHeight="1">
      <c r="B97" s="2"/>
      <c r="C97"/>
      <c r="D97"/>
      <c r="E97"/>
      <c r="F97"/>
      <c r="G97"/>
      <c r="H97"/>
      <c r="I97"/>
      <c r="J97"/>
      <c r="K97"/>
      <c r="L97"/>
      <c r="M97"/>
      <c r="N97"/>
      <c r="O97"/>
      <c r="P97"/>
      <c r="Q97"/>
      <c r="AA97" s="1684"/>
      <c r="AB97" s="1005" t="str">
        <f>'Resource Costs'!$FC99</f>
        <v/>
      </c>
      <c r="AC97" s="1005" t="str">
        <f>'Resource Costs'!$FD99</f>
        <v/>
      </c>
      <c r="AD97" s="1005" t="str">
        <f>'Resource Costs'!$FE99</f>
        <v>Labor</v>
      </c>
      <c r="AE97" s="1005" t="str">
        <f>'Resource Costs'!$FF99</f>
        <v/>
      </c>
      <c r="AF97" s="1005" t="str">
        <f>'Resource Costs'!$FG99</f>
        <v/>
      </c>
      <c r="AG97" s="1006">
        <f>'Resource Costs'!$FH99</f>
        <v>0</v>
      </c>
      <c r="AH97" s="1006">
        <f>'Resource Costs'!$FI99</f>
        <v>0</v>
      </c>
      <c r="AI97" s="1006">
        <f>'Resource Costs'!$FJ99</f>
        <v>0</v>
      </c>
      <c r="AJ97" s="1006">
        <f>'Resource Costs'!$FK99</f>
        <v>0</v>
      </c>
      <c r="AK97" s="1006">
        <f>'Resource Costs'!$FL99</f>
        <v>0</v>
      </c>
      <c r="AL97" s="1006">
        <f>'Resource Costs'!$FM99</f>
        <v>0</v>
      </c>
      <c r="AM97" s="1007">
        <v>0</v>
      </c>
      <c r="AN97" s="1007">
        <v>0</v>
      </c>
      <c r="AO97" s="1007">
        <v>0</v>
      </c>
      <c r="AP97" s="1007">
        <v>0</v>
      </c>
      <c r="AQ97" s="1007">
        <v>0</v>
      </c>
      <c r="AR97" s="1016">
        <f t="shared" si="11"/>
        <v>0</v>
      </c>
    </row>
    <row r="98" spans="2:44" ht="15" customHeight="1">
      <c r="B98" s="2"/>
      <c r="C98"/>
      <c r="D98"/>
      <c r="E98"/>
      <c r="F98"/>
      <c r="G98"/>
      <c r="H98"/>
      <c r="I98"/>
      <c r="J98"/>
      <c r="K98"/>
      <c r="L98"/>
      <c r="M98"/>
      <c r="N98"/>
      <c r="O98"/>
      <c r="P98"/>
      <c r="Q98"/>
      <c r="AA98" s="1684"/>
      <c r="AB98" s="1005" t="str">
        <f>'Resource Costs'!$FC100</f>
        <v/>
      </c>
      <c r="AC98" s="1005" t="str">
        <f>'Resource Costs'!$FD100</f>
        <v/>
      </c>
      <c r="AD98" s="1005" t="str">
        <f>'Resource Costs'!$FE100</f>
        <v>Labor</v>
      </c>
      <c r="AE98" s="1005" t="str">
        <f>'Resource Costs'!$FF100</f>
        <v/>
      </c>
      <c r="AF98" s="1005" t="str">
        <f>'Resource Costs'!$FG100</f>
        <v/>
      </c>
      <c r="AG98" s="1006">
        <f>'Resource Costs'!$FH100</f>
        <v>0</v>
      </c>
      <c r="AH98" s="1006">
        <f>'Resource Costs'!$FI100</f>
        <v>0</v>
      </c>
      <c r="AI98" s="1006">
        <f>'Resource Costs'!$FJ100</f>
        <v>0</v>
      </c>
      <c r="AJ98" s="1006">
        <f>'Resource Costs'!$FK100</f>
        <v>0</v>
      </c>
      <c r="AK98" s="1006">
        <f>'Resource Costs'!$FL100</f>
        <v>0</v>
      </c>
      <c r="AL98" s="1006">
        <f>'Resource Costs'!$FM100</f>
        <v>0</v>
      </c>
      <c r="AM98" s="1007">
        <v>0</v>
      </c>
      <c r="AN98" s="1007">
        <v>0</v>
      </c>
      <c r="AO98" s="1007">
        <v>0</v>
      </c>
      <c r="AP98" s="1007">
        <v>0</v>
      </c>
      <c r="AQ98" s="1007">
        <v>0</v>
      </c>
      <c r="AR98" s="1016">
        <f t="shared" si="11"/>
        <v>0</v>
      </c>
    </row>
    <row r="99" spans="2:44" ht="15" customHeight="1">
      <c r="B99" s="2"/>
      <c r="C99"/>
      <c r="D99"/>
      <c r="E99"/>
      <c r="F99"/>
      <c r="G99"/>
      <c r="H99"/>
      <c r="I99"/>
      <c r="J99"/>
      <c r="K99"/>
      <c r="L99"/>
      <c r="M99"/>
      <c r="N99"/>
      <c r="O99"/>
      <c r="P99"/>
      <c r="Q99"/>
      <c r="AA99" s="1684"/>
      <c r="AB99" s="1005" t="str">
        <f>'Resource Costs'!$FC101</f>
        <v/>
      </c>
      <c r="AC99" s="1005" t="str">
        <f>'Resource Costs'!$FD101</f>
        <v/>
      </c>
      <c r="AD99" s="1005" t="str">
        <f>'Resource Costs'!$FE101</f>
        <v>Labor</v>
      </c>
      <c r="AE99" s="1005" t="str">
        <f>'Resource Costs'!$FF101</f>
        <v/>
      </c>
      <c r="AF99" s="1005" t="str">
        <f>'Resource Costs'!$FG101</f>
        <v/>
      </c>
      <c r="AG99" s="1006">
        <f>'Resource Costs'!$FH101</f>
        <v>0</v>
      </c>
      <c r="AH99" s="1006">
        <f>'Resource Costs'!$FI101</f>
        <v>0</v>
      </c>
      <c r="AI99" s="1006">
        <f>'Resource Costs'!$FJ101</f>
        <v>0</v>
      </c>
      <c r="AJ99" s="1006">
        <f>'Resource Costs'!$FK101</f>
        <v>0</v>
      </c>
      <c r="AK99" s="1006">
        <f>'Resource Costs'!$FL101</f>
        <v>0</v>
      </c>
      <c r="AL99" s="1006">
        <f>'Resource Costs'!$FM101</f>
        <v>0</v>
      </c>
      <c r="AM99" s="1007">
        <v>0</v>
      </c>
      <c r="AN99" s="1007">
        <v>0</v>
      </c>
      <c r="AO99" s="1007">
        <v>0</v>
      </c>
      <c r="AP99" s="1007">
        <v>0</v>
      </c>
      <c r="AQ99" s="1007">
        <v>0</v>
      </c>
      <c r="AR99" s="1016">
        <f t="shared" si="11"/>
        <v>0</v>
      </c>
    </row>
    <row r="100" spans="2:44" ht="15" customHeight="1">
      <c r="B100" s="2"/>
      <c r="C100"/>
      <c r="D100"/>
      <c r="E100"/>
      <c r="F100"/>
      <c r="G100"/>
      <c r="H100"/>
      <c r="I100"/>
      <c r="J100"/>
      <c r="K100"/>
      <c r="L100"/>
      <c r="M100"/>
      <c r="N100"/>
      <c r="O100"/>
      <c r="P100"/>
      <c r="Q100"/>
      <c r="AA100" s="1684"/>
      <c r="AB100" s="1005" t="str">
        <f>'Resource Costs'!$FC102</f>
        <v/>
      </c>
      <c r="AC100" s="1005" t="str">
        <f>'Resource Costs'!$FD102</f>
        <v/>
      </c>
      <c r="AD100" s="1005" t="str">
        <f>'Resource Costs'!$FE102</f>
        <v>Labor</v>
      </c>
      <c r="AE100" s="1005" t="str">
        <f>'Resource Costs'!$FF102</f>
        <v/>
      </c>
      <c r="AF100" s="1005" t="str">
        <f>'Resource Costs'!$FG102</f>
        <v/>
      </c>
      <c r="AG100" s="1006">
        <f>'Resource Costs'!$FH102</f>
        <v>0</v>
      </c>
      <c r="AH100" s="1006">
        <f>'Resource Costs'!$FI102</f>
        <v>0</v>
      </c>
      <c r="AI100" s="1006">
        <f>'Resource Costs'!$FJ102</f>
        <v>0</v>
      </c>
      <c r="AJ100" s="1006">
        <f>'Resource Costs'!$FK102</f>
        <v>0</v>
      </c>
      <c r="AK100" s="1006">
        <f>'Resource Costs'!$FL102</f>
        <v>0</v>
      </c>
      <c r="AL100" s="1006">
        <f>'Resource Costs'!$FM102</f>
        <v>0</v>
      </c>
      <c r="AM100" s="1007">
        <v>0</v>
      </c>
      <c r="AN100" s="1007">
        <v>0</v>
      </c>
      <c r="AO100" s="1007">
        <v>0</v>
      </c>
      <c r="AP100" s="1007">
        <v>0</v>
      </c>
      <c r="AQ100" s="1007">
        <v>0</v>
      </c>
      <c r="AR100" s="1016">
        <f t="shared" si="11"/>
        <v>0</v>
      </c>
    </row>
    <row r="101" spans="2:44" ht="15" customHeight="1">
      <c r="B101" s="2"/>
      <c r="C101"/>
      <c r="D101"/>
      <c r="E101"/>
      <c r="F101"/>
      <c r="G101"/>
      <c r="H101"/>
      <c r="I101"/>
      <c r="J101"/>
      <c r="K101"/>
      <c r="L101"/>
      <c r="M101"/>
      <c r="N101"/>
      <c r="O101"/>
      <c r="P101"/>
      <c r="Q101"/>
      <c r="AA101" s="1684"/>
      <c r="AB101" s="1005" t="str">
        <f>'Resource Costs'!$FC103</f>
        <v/>
      </c>
      <c r="AC101" s="1005" t="str">
        <f>'Resource Costs'!$FD103</f>
        <v/>
      </c>
      <c r="AD101" s="1005" t="str">
        <f>'Resource Costs'!$FE103</f>
        <v>Labor</v>
      </c>
      <c r="AE101" s="1005" t="str">
        <f>'Resource Costs'!$FF103</f>
        <v/>
      </c>
      <c r="AF101" s="1005" t="str">
        <f>'Resource Costs'!$FG103</f>
        <v/>
      </c>
      <c r="AG101" s="1006">
        <f>'Resource Costs'!$FH103</f>
        <v>0</v>
      </c>
      <c r="AH101" s="1006">
        <f>'Resource Costs'!$FI103</f>
        <v>0</v>
      </c>
      <c r="AI101" s="1006">
        <f>'Resource Costs'!$FJ103</f>
        <v>0</v>
      </c>
      <c r="AJ101" s="1006">
        <f>'Resource Costs'!$FK103</f>
        <v>0</v>
      </c>
      <c r="AK101" s="1006">
        <f>'Resource Costs'!$FL103</f>
        <v>0</v>
      </c>
      <c r="AL101" s="1006">
        <f>'Resource Costs'!$FM103</f>
        <v>0</v>
      </c>
      <c r="AM101" s="1007">
        <v>0</v>
      </c>
      <c r="AN101" s="1007">
        <v>0</v>
      </c>
      <c r="AO101" s="1007">
        <v>0</v>
      </c>
      <c r="AP101" s="1007">
        <v>0</v>
      </c>
      <c r="AQ101" s="1007">
        <v>0</v>
      </c>
      <c r="AR101" s="1016">
        <f t="shared" si="11"/>
        <v>0</v>
      </c>
    </row>
    <row r="102" spans="2:44" ht="15" customHeight="1">
      <c r="B102" s="2"/>
      <c r="C102"/>
      <c r="D102"/>
      <c r="E102"/>
      <c r="F102"/>
      <c r="G102"/>
      <c r="H102"/>
      <c r="I102"/>
      <c r="J102"/>
      <c r="K102"/>
      <c r="L102"/>
      <c r="M102"/>
      <c r="N102"/>
      <c r="O102"/>
      <c r="P102"/>
      <c r="Q102"/>
      <c r="AA102" s="1684"/>
      <c r="AB102" s="1005" t="str">
        <f>'Resource Costs'!$FC104</f>
        <v/>
      </c>
      <c r="AC102" s="1005" t="str">
        <f>'Resource Costs'!$FD104</f>
        <v/>
      </c>
      <c r="AD102" s="1005" t="str">
        <f>'Resource Costs'!$FE104</f>
        <v>Labor</v>
      </c>
      <c r="AE102" s="1005" t="str">
        <f>'Resource Costs'!$FF104</f>
        <v/>
      </c>
      <c r="AF102" s="1005" t="str">
        <f>'Resource Costs'!$FG104</f>
        <v/>
      </c>
      <c r="AG102" s="1006">
        <f>'Resource Costs'!$FH104</f>
        <v>0</v>
      </c>
      <c r="AH102" s="1006">
        <f>'Resource Costs'!$FI104</f>
        <v>0</v>
      </c>
      <c r="AI102" s="1006">
        <f>'Resource Costs'!$FJ104</f>
        <v>0</v>
      </c>
      <c r="AJ102" s="1006">
        <f>'Resource Costs'!$FK104</f>
        <v>0</v>
      </c>
      <c r="AK102" s="1006">
        <f>'Resource Costs'!$FL104</f>
        <v>0</v>
      </c>
      <c r="AL102" s="1006">
        <f>'Resource Costs'!$FM104</f>
        <v>0</v>
      </c>
      <c r="AM102" s="1007">
        <v>0</v>
      </c>
      <c r="AN102" s="1007">
        <v>0</v>
      </c>
      <c r="AO102" s="1007">
        <v>0</v>
      </c>
      <c r="AP102" s="1007">
        <v>0</v>
      </c>
      <c r="AQ102" s="1007">
        <v>0</v>
      </c>
      <c r="AR102" s="1016">
        <f t="shared" si="11"/>
        <v>0</v>
      </c>
    </row>
    <row r="103" spans="2:44" ht="15" customHeight="1">
      <c r="B103" s="2"/>
      <c r="C103"/>
      <c r="D103"/>
      <c r="E103"/>
      <c r="F103"/>
      <c r="G103"/>
      <c r="H103"/>
      <c r="I103"/>
      <c r="J103"/>
      <c r="K103"/>
      <c r="L103"/>
      <c r="M103"/>
      <c r="N103"/>
      <c r="O103"/>
      <c r="P103"/>
      <c r="Q103"/>
      <c r="AA103" s="1684"/>
      <c r="AB103" s="1005" t="str">
        <f>'Resource Costs'!$FC105</f>
        <v/>
      </c>
      <c r="AC103" s="1005" t="str">
        <f>'Resource Costs'!$FD105</f>
        <v/>
      </c>
      <c r="AD103" s="1005" t="str">
        <f>'Resource Costs'!$FE105</f>
        <v>Labor</v>
      </c>
      <c r="AE103" s="1005" t="str">
        <f>'Resource Costs'!$FF105</f>
        <v/>
      </c>
      <c r="AF103" s="1005" t="str">
        <f>'Resource Costs'!$FG105</f>
        <v/>
      </c>
      <c r="AG103" s="1006">
        <f>'Resource Costs'!$FH105</f>
        <v>0</v>
      </c>
      <c r="AH103" s="1006">
        <f>'Resource Costs'!$FI105</f>
        <v>0</v>
      </c>
      <c r="AI103" s="1006">
        <f>'Resource Costs'!$FJ105</f>
        <v>0</v>
      </c>
      <c r="AJ103" s="1006">
        <f>'Resource Costs'!$FK105</f>
        <v>0</v>
      </c>
      <c r="AK103" s="1006">
        <f>'Resource Costs'!$FL105</f>
        <v>0</v>
      </c>
      <c r="AL103" s="1006">
        <f>'Resource Costs'!$FM105</f>
        <v>0</v>
      </c>
      <c r="AM103" s="1007">
        <v>0</v>
      </c>
      <c r="AN103" s="1007">
        <v>0</v>
      </c>
      <c r="AO103" s="1007">
        <v>0</v>
      </c>
      <c r="AP103" s="1007">
        <v>0</v>
      </c>
      <c r="AQ103" s="1007">
        <v>0</v>
      </c>
      <c r="AR103" s="1016">
        <f t="shared" si="11"/>
        <v>0</v>
      </c>
    </row>
    <row r="104" spans="2:44" ht="15" customHeight="1">
      <c r="B104" s="2"/>
      <c r="C104"/>
      <c r="D104"/>
      <c r="E104"/>
      <c r="F104"/>
      <c r="G104"/>
      <c r="H104"/>
      <c r="I104"/>
      <c r="J104"/>
      <c r="K104"/>
      <c r="L104"/>
      <c r="M104"/>
      <c r="N104"/>
      <c r="O104"/>
      <c r="P104"/>
      <c r="Q104"/>
      <c r="AA104" s="1684"/>
      <c r="AB104" s="1005" t="str">
        <f>'Resource Costs'!$FC106</f>
        <v/>
      </c>
      <c r="AC104" s="1005" t="str">
        <f>'Resource Costs'!$FD106</f>
        <v/>
      </c>
      <c r="AD104" s="1005" t="str">
        <f>'Resource Costs'!$FE106</f>
        <v>Labor</v>
      </c>
      <c r="AE104" s="1005" t="str">
        <f>'Resource Costs'!$FF106</f>
        <v/>
      </c>
      <c r="AF104" s="1005" t="str">
        <f>'Resource Costs'!$FG106</f>
        <v/>
      </c>
      <c r="AG104" s="1006">
        <f>'Resource Costs'!$FH106</f>
        <v>0</v>
      </c>
      <c r="AH104" s="1006">
        <f>'Resource Costs'!$FI106</f>
        <v>0</v>
      </c>
      <c r="AI104" s="1006">
        <f>'Resource Costs'!$FJ106</f>
        <v>0</v>
      </c>
      <c r="AJ104" s="1006">
        <f>'Resource Costs'!$FK106</f>
        <v>0</v>
      </c>
      <c r="AK104" s="1006">
        <f>'Resource Costs'!$FL106</f>
        <v>0</v>
      </c>
      <c r="AL104" s="1006">
        <f>'Resource Costs'!$FM106</f>
        <v>0</v>
      </c>
      <c r="AM104" s="1007">
        <v>0</v>
      </c>
      <c r="AN104" s="1007">
        <v>0</v>
      </c>
      <c r="AO104" s="1007">
        <v>0</v>
      </c>
      <c r="AP104" s="1007">
        <v>0</v>
      </c>
      <c r="AQ104" s="1007">
        <v>0</v>
      </c>
      <c r="AR104" s="1016">
        <f t="shared" si="11"/>
        <v>0</v>
      </c>
    </row>
    <row r="105" spans="2:44" ht="15" customHeight="1">
      <c r="B105" s="2"/>
      <c r="C105"/>
      <c r="D105"/>
      <c r="E105"/>
      <c r="F105"/>
      <c r="G105"/>
      <c r="H105"/>
      <c r="I105"/>
      <c r="J105"/>
      <c r="K105"/>
      <c r="L105"/>
      <c r="M105"/>
      <c r="N105"/>
      <c r="O105"/>
      <c r="P105"/>
      <c r="Q105"/>
      <c r="AA105" s="1684"/>
      <c r="AB105" s="1005" t="str">
        <f>'Resource Costs'!$FC107</f>
        <v/>
      </c>
      <c r="AC105" s="1005" t="str">
        <f>'Resource Costs'!$FD107</f>
        <v/>
      </c>
      <c r="AD105" s="1005" t="str">
        <f>'Resource Costs'!$FE107</f>
        <v>Labor</v>
      </c>
      <c r="AE105" s="1005" t="str">
        <f>'Resource Costs'!$FF107</f>
        <v/>
      </c>
      <c r="AF105" s="1005" t="str">
        <f>'Resource Costs'!$FG107</f>
        <v/>
      </c>
      <c r="AG105" s="1006">
        <f>'Resource Costs'!$FH107</f>
        <v>0</v>
      </c>
      <c r="AH105" s="1006">
        <f>'Resource Costs'!$FI107</f>
        <v>0</v>
      </c>
      <c r="AI105" s="1006">
        <f>'Resource Costs'!$FJ107</f>
        <v>0</v>
      </c>
      <c r="AJ105" s="1006">
        <f>'Resource Costs'!$FK107</f>
        <v>0</v>
      </c>
      <c r="AK105" s="1006">
        <f>'Resource Costs'!$FL107</f>
        <v>0</v>
      </c>
      <c r="AL105" s="1006">
        <f>'Resource Costs'!$FM107</f>
        <v>0</v>
      </c>
      <c r="AM105" s="1007">
        <v>0</v>
      </c>
      <c r="AN105" s="1007">
        <v>0</v>
      </c>
      <c r="AO105" s="1007">
        <v>0</v>
      </c>
      <c r="AP105" s="1007">
        <v>0</v>
      </c>
      <c r="AQ105" s="1007">
        <v>0</v>
      </c>
      <c r="AR105" s="1016">
        <f t="shared" si="11"/>
        <v>0</v>
      </c>
    </row>
    <row r="106" spans="2:44" ht="15" customHeight="1">
      <c r="B106" s="2"/>
      <c r="C106"/>
      <c r="D106"/>
      <c r="E106"/>
      <c r="F106"/>
      <c r="G106"/>
      <c r="H106"/>
      <c r="I106"/>
      <c r="J106"/>
      <c r="K106"/>
      <c r="L106"/>
      <c r="M106"/>
      <c r="N106"/>
      <c r="O106"/>
      <c r="P106"/>
      <c r="Q106"/>
      <c r="AA106" s="1684"/>
      <c r="AB106" s="1005" t="str">
        <f>'Resource Costs'!$FC108</f>
        <v/>
      </c>
      <c r="AC106" s="1005" t="str">
        <f>'Resource Costs'!$FD108</f>
        <v/>
      </c>
      <c r="AD106" s="1005" t="str">
        <f>'Resource Costs'!$FE108</f>
        <v>Labor</v>
      </c>
      <c r="AE106" s="1005" t="str">
        <f>'Resource Costs'!$FF108</f>
        <v/>
      </c>
      <c r="AF106" s="1005" t="str">
        <f>'Resource Costs'!$FG108</f>
        <v/>
      </c>
      <c r="AG106" s="1006">
        <f>'Resource Costs'!$FH108</f>
        <v>0</v>
      </c>
      <c r="AH106" s="1006">
        <f>'Resource Costs'!$FI108</f>
        <v>0</v>
      </c>
      <c r="AI106" s="1006">
        <f>'Resource Costs'!$FJ108</f>
        <v>0</v>
      </c>
      <c r="AJ106" s="1006">
        <f>'Resource Costs'!$FK108</f>
        <v>0</v>
      </c>
      <c r="AK106" s="1006">
        <f>'Resource Costs'!$FL108</f>
        <v>0</v>
      </c>
      <c r="AL106" s="1006">
        <f>'Resource Costs'!$FM108</f>
        <v>0</v>
      </c>
      <c r="AM106" s="1007">
        <v>0</v>
      </c>
      <c r="AN106" s="1007">
        <v>0</v>
      </c>
      <c r="AO106" s="1007">
        <v>0</v>
      </c>
      <c r="AP106" s="1007">
        <v>0</v>
      </c>
      <c r="AQ106" s="1007">
        <v>0</v>
      </c>
      <c r="AR106" s="1016">
        <f t="shared" si="11"/>
        <v>0</v>
      </c>
    </row>
    <row r="107" spans="2:44" ht="15" customHeight="1">
      <c r="B107" s="2"/>
      <c r="C107"/>
      <c r="D107"/>
      <c r="E107"/>
      <c r="F107"/>
      <c r="G107"/>
      <c r="H107"/>
      <c r="I107"/>
      <c r="J107"/>
      <c r="K107"/>
      <c r="L107"/>
      <c r="M107"/>
      <c r="N107"/>
      <c r="O107"/>
      <c r="P107"/>
      <c r="Q107"/>
      <c r="AA107" s="1684"/>
      <c r="AB107" s="1005" t="str">
        <f>'Resource Costs'!$FC109</f>
        <v/>
      </c>
      <c r="AC107" s="1005" t="str">
        <f>'Resource Costs'!$FD109</f>
        <v/>
      </c>
      <c r="AD107" s="1005" t="str">
        <f>'Resource Costs'!$FE109</f>
        <v>Labor</v>
      </c>
      <c r="AE107" s="1005" t="str">
        <f>'Resource Costs'!$FF109</f>
        <v/>
      </c>
      <c r="AF107" s="1005" t="str">
        <f>'Resource Costs'!$FG109</f>
        <v/>
      </c>
      <c r="AG107" s="1006">
        <f>'Resource Costs'!$FH109</f>
        <v>0</v>
      </c>
      <c r="AH107" s="1006">
        <f>'Resource Costs'!$FI109</f>
        <v>0</v>
      </c>
      <c r="AI107" s="1006">
        <f>'Resource Costs'!$FJ109</f>
        <v>0</v>
      </c>
      <c r="AJ107" s="1006">
        <f>'Resource Costs'!$FK109</f>
        <v>0</v>
      </c>
      <c r="AK107" s="1006">
        <f>'Resource Costs'!$FL109</f>
        <v>0</v>
      </c>
      <c r="AL107" s="1006">
        <f>'Resource Costs'!$FM109</f>
        <v>0</v>
      </c>
      <c r="AM107" s="1007">
        <v>0</v>
      </c>
      <c r="AN107" s="1007">
        <v>0</v>
      </c>
      <c r="AO107" s="1007">
        <v>0</v>
      </c>
      <c r="AP107" s="1007">
        <v>0</v>
      </c>
      <c r="AQ107" s="1007">
        <v>0</v>
      </c>
      <c r="AR107" s="1016">
        <f t="shared" si="11"/>
        <v>0</v>
      </c>
    </row>
    <row r="108" spans="2:44" ht="15" customHeight="1">
      <c r="B108" s="2"/>
      <c r="C108"/>
      <c r="D108"/>
      <c r="E108"/>
      <c r="F108"/>
      <c r="G108"/>
      <c r="H108"/>
      <c r="I108"/>
      <c r="J108"/>
      <c r="K108"/>
      <c r="L108"/>
      <c r="M108"/>
      <c r="N108"/>
      <c r="O108"/>
      <c r="P108"/>
      <c r="Q108"/>
      <c r="AA108" s="1684"/>
      <c r="AB108" s="1005" t="str">
        <f>'Resource Costs'!$FC110</f>
        <v/>
      </c>
      <c r="AC108" s="1005" t="str">
        <f>'Resource Costs'!$FD110</f>
        <v/>
      </c>
      <c r="AD108" s="1005" t="str">
        <f>'Resource Costs'!$FE110</f>
        <v>Labor</v>
      </c>
      <c r="AE108" s="1005" t="str">
        <f>'Resource Costs'!$FF110</f>
        <v/>
      </c>
      <c r="AF108" s="1005" t="str">
        <f>'Resource Costs'!$FG110</f>
        <v/>
      </c>
      <c r="AG108" s="1006">
        <f>'Resource Costs'!$FH110</f>
        <v>0</v>
      </c>
      <c r="AH108" s="1006">
        <f>'Resource Costs'!$FI110</f>
        <v>0</v>
      </c>
      <c r="AI108" s="1006">
        <f>'Resource Costs'!$FJ110</f>
        <v>0</v>
      </c>
      <c r="AJ108" s="1006">
        <f>'Resource Costs'!$FK110</f>
        <v>0</v>
      </c>
      <c r="AK108" s="1006">
        <f>'Resource Costs'!$FL110</f>
        <v>0</v>
      </c>
      <c r="AL108" s="1006">
        <f>'Resource Costs'!$FM110</f>
        <v>0</v>
      </c>
      <c r="AM108" s="1007">
        <v>0</v>
      </c>
      <c r="AN108" s="1007">
        <v>0</v>
      </c>
      <c r="AO108" s="1007">
        <v>0</v>
      </c>
      <c r="AP108" s="1007">
        <v>0</v>
      </c>
      <c r="AQ108" s="1007">
        <v>0</v>
      </c>
      <c r="AR108" s="1016">
        <f t="shared" si="11"/>
        <v>0</v>
      </c>
    </row>
    <row r="109" spans="2:44" ht="15" customHeight="1">
      <c r="B109" s="2"/>
      <c r="C109"/>
      <c r="D109"/>
      <c r="E109"/>
      <c r="F109"/>
      <c r="G109"/>
      <c r="H109"/>
      <c r="I109"/>
      <c r="J109"/>
      <c r="K109"/>
      <c r="L109"/>
      <c r="M109"/>
      <c r="N109"/>
      <c r="O109"/>
      <c r="P109"/>
      <c r="Q109"/>
      <c r="AA109" s="1684"/>
      <c r="AB109" s="1005" t="str">
        <f>'Resource Costs'!$FC111</f>
        <v/>
      </c>
      <c r="AC109" s="1005" t="str">
        <f>'Resource Costs'!$FD111</f>
        <v/>
      </c>
      <c r="AD109" s="1005" t="str">
        <f>'Resource Costs'!$FE111</f>
        <v>Labor</v>
      </c>
      <c r="AE109" s="1005" t="str">
        <f>'Resource Costs'!$FF111</f>
        <v/>
      </c>
      <c r="AF109" s="1005" t="str">
        <f>'Resource Costs'!$FG111</f>
        <v/>
      </c>
      <c r="AG109" s="1006">
        <f>'Resource Costs'!$FH111</f>
        <v>0</v>
      </c>
      <c r="AH109" s="1006">
        <f>'Resource Costs'!$FI111</f>
        <v>0</v>
      </c>
      <c r="AI109" s="1006">
        <f>'Resource Costs'!$FJ111</f>
        <v>0</v>
      </c>
      <c r="AJ109" s="1006">
        <f>'Resource Costs'!$FK111</f>
        <v>0</v>
      </c>
      <c r="AK109" s="1006">
        <f>'Resource Costs'!$FL111</f>
        <v>0</v>
      </c>
      <c r="AL109" s="1006">
        <f>'Resource Costs'!$FM111</f>
        <v>0</v>
      </c>
      <c r="AM109" s="1007">
        <v>0</v>
      </c>
      <c r="AN109" s="1007">
        <v>0</v>
      </c>
      <c r="AO109" s="1007">
        <v>0</v>
      </c>
      <c r="AP109" s="1007">
        <v>0</v>
      </c>
      <c r="AQ109" s="1007">
        <v>0</v>
      </c>
      <c r="AR109" s="1016">
        <f t="shared" si="11"/>
        <v>0</v>
      </c>
    </row>
    <row r="110" spans="2:44" ht="15" customHeight="1">
      <c r="B110" s="2"/>
      <c r="C110"/>
      <c r="D110"/>
      <c r="E110"/>
      <c r="F110"/>
      <c r="G110"/>
      <c r="H110"/>
      <c r="I110"/>
      <c r="J110"/>
      <c r="K110"/>
      <c r="L110"/>
      <c r="M110"/>
      <c r="N110"/>
      <c r="O110"/>
      <c r="P110"/>
      <c r="Q110"/>
      <c r="AA110" s="1684"/>
      <c r="AB110" s="1005" t="str">
        <f>'Resource Costs'!$FC112</f>
        <v/>
      </c>
      <c r="AC110" s="1005" t="str">
        <f>'Resource Costs'!$FD112</f>
        <v/>
      </c>
      <c r="AD110" s="1005" t="str">
        <f>'Resource Costs'!$FE112</f>
        <v>Labor</v>
      </c>
      <c r="AE110" s="1005" t="str">
        <f>'Resource Costs'!$FF112</f>
        <v/>
      </c>
      <c r="AF110" s="1005" t="str">
        <f>'Resource Costs'!$FG112</f>
        <v/>
      </c>
      <c r="AG110" s="1006">
        <f>'Resource Costs'!$FH112</f>
        <v>0</v>
      </c>
      <c r="AH110" s="1006">
        <f>'Resource Costs'!$FI112</f>
        <v>0</v>
      </c>
      <c r="AI110" s="1006">
        <f>'Resource Costs'!$FJ112</f>
        <v>0</v>
      </c>
      <c r="AJ110" s="1006">
        <f>'Resource Costs'!$FK112</f>
        <v>0</v>
      </c>
      <c r="AK110" s="1006">
        <f>'Resource Costs'!$FL112</f>
        <v>0</v>
      </c>
      <c r="AL110" s="1006">
        <f>'Resource Costs'!$FM112</f>
        <v>0</v>
      </c>
      <c r="AM110" s="1007">
        <v>0</v>
      </c>
      <c r="AN110" s="1007">
        <v>0</v>
      </c>
      <c r="AO110" s="1007">
        <v>0</v>
      </c>
      <c r="AP110" s="1007">
        <v>0</v>
      </c>
      <c r="AQ110" s="1007">
        <v>0</v>
      </c>
      <c r="AR110" s="1016">
        <f t="shared" si="11"/>
        <v>0</v>
      </c>
    </row>
    <row r="111" spans="2:44" ht="15" customHeight="1">
      <c r="B111" s="2"/>
      <c r="C111"/>
      <c r="D111"/>
      <c r="E111"/>
      <c r="F111"/>
      <c r="G111"/>
      <c r="H111"/>
      <c r="I111"/>
      <c r="J111"/>
      <c r="K111"/>
      <c r="L111"/>
      <c r="M111"/>
      <c r="N111"/>
      <c r="O111"/>
      <c r="P111"/>
      <c r="Q111"/>
      <c r="AA111" s="1684"/>
      <c r="AB111" s="1005" t="str">
        <f>'Resource Costs'!$FC113</f>
        <v/>
      </c>
      <c r="AC111" s="1005" t="str">
        <f>'Resource Costs'!$FD113</f>
        <v/>
      </c>
      <c r="AD111" s="1005" t="str">
        <f>'Resource Costs'!$FE113</f>
        <v>Labor</v>
      </c>
      <c r="AE111" s="1005" t="str">
        <f>'Resource Costs'!$FF113</f>
        <v/>
      </c>
      <c r="AF111" s="1005" t="str">
        <f>'Resource Costs'!$FG113</f>
        <v/>
      </c>
      <c r="AG111" s="1006">
        <f>'Resource Costs'!$FH113</f>
        <v>0</v>
      </c>
      <c r="AH111" s="1006">
        <f>'Resource Costs'!$FI113</f>
        <v>0</v>
      </c>
      <c r="AI111" s="1006">
        <f>'Resource Costs'!$FJ113</f>
        <v>0</v>
      </c>
      <c r="AJ111" s="1006">
        <f>'Resource Costs'!$FK113</f>
        <v>0</v>
      </c>
      <c r="AK111" s="1006">
        <f>'Resource Costs'!$FL113</f>
        <v>0</v>
      </c>
      <c r="AL111" s="1006">
        <f>'Resource Costs'!$FM113</f>
        <v>0</v>
      </c>
      <c r="AM111" s="1007">
        <v>0</v>
      </c>
      <c r="AN111" s="1007">
        <v>0</v>
      </c>
      <c r="AO111" s="1007">
        <v>0</v>
      </c>
      <c r="AP111" s="1007">
        <v>0</v>
      </c>
      <c r="AQ111" s="1007">
        <v>0</v>
      </c>
      <c r="AR111" s="1016">
        <f t="shared" si="11"/>
        <v>0</v>
      </c>
    </row>
    <row r="112" spans="2:44" ht="15" customHeight="1">
      <c r="B112" s="2"/>
      <c r="C112"/>
      <c r="D112"/>
      <c r="E112"/>
      <c r="F112"/>
      <c r="G112"/>
      <c r="H112"/>
      <c r="I112"/>
      <c r="J112"/>
      <c r="K112"/>
      <c r="L112"/>
      <c r="M112"/>
      <c r="N112"/>
      <c r="O112"/>
      <c r="P112"/>
      <c r="Q112"/>
      <c r="AA112" s="1684"/>
      <c r="AB112" s="1005" t="str">
        <f>'Resource Costs'!$FC114</f>
        <v/>
      </c>
      <c r="AC112" s="1005" t="str">
        <f>'Resource Costs'!$FD114</f>
        <v/>
      </c>
      <c r="AD112" s="1005" t="str">
        <f>'Resource Costs'!$FE114</f>
        <v>Labor</v>
      </c>
      <c r="AE112" s="1005" t="str">
        <f>'Resource Costs'!$FF114</f>
        <v/>
      </c>
      <c r="AF112" s="1005" t="str">
        <f>'Resource Costs'!$FG114</f>
        <v/>
      </c>
      <c r="AG112" s="1006">
        <f>'Resource Costs'!$FH114</f>
        <v>0</v>
      </c>
      <c r="AH112" s="1006">
        <f>'Resource Costs'!$FI114</f>
        <v>0</v>
      </c>
      <c r="AI112" s="1006">
        <f>'Resource Costs'!$FJ114</f>
        <v>0</v>
      </c>
      <c r="AJ112" s="1006">
        <f>'Resource Costs'!$FK114</f>
        <v>0</v>
      </c>
      <c r="AK112" s="1006">
        <f>'Resource Costs'!$FL114</f>
        <v>0</v>
      </c>
      <c r="AL112" s="1006">
        <f>'Resource Costs'!$FM114</f>
        <v>0</v>
      </c>
      <c r="AM112" s="1007">
        <v>0</v>
      </c>
      <c r="AN112" s="1007">
        <v>0</v>
      </c>
      <c r="AO112" s="1007">
        <v>0</v>
      </c>
      <c r="AP112" s="1007">
        <v>0</v>
      </c>
      <c r="AQ112" s="1007">
        <v>0</v>
      </c>
      <c r="AR112" s="1016">
        <f t="shared" si="11"/>
        <v>0</v>
      </c>
    </row>
    <row r="113" spans="2:44" ht="15" customHeight="1">
      <c r="B113" s="2"/>
      <c r="C113"/>
      <c r="D113"/>
      <c r="E113"/>
      <c r="F113"/>
      <c r="G113"/>
      <c r="H113"/>
      <c r="I113"/>
      <c r="J113"/>
      <c r="K113"/>
      <c r="L113"/>
      <c r="M113"/>
      <c r="N113"/>
      <c r="O113"/>
      <c r="P113"/>
      <c r="Q113"/>
      <c r="AA113" s="1684"/>
      <c r="AB113" s="1005" t="str">
        <f>'Resource Costs'!$FC115</f>
        <v/>
      </c>
      <c r="AC113" s="1005" t="str">
        <f>'Resource Costs'!$FD115</f>
        <v/>
      </c>
      <c r="AD113" s="1005" t="str">
        <f>'Resource Costs'!$FE115</f>
        <v>Labor</v>
      </c>
      <c r="AE113" s="1005" t="str">
        <f>'Resource Costs'!$FF115</f>
        <v/>
      </c>
      <c r="AF113" s="1005" t="str">
        <f>'Resource Costs'!$FG115</f>
        <v/>
      </c>
      <c r="AG113" s="1006">
        <f>'Resource Costs'!$FH115</f>
        <v>0</v>
      </c>
      <c r="AH113" s="1006">
        <f>'Resource Costs'!$FI115</f>
        <v>0</v>
      </c>
      <c r="AI113" s="1006">
        <f>'Resource Costs'!$FJ115</f>
        <v>0</v>
      </c>
      <c r="AJ113" s="1006">
        <f>'Resource Costs'!$FK115</f>
        <v>0</v>
      </c>
      <c r="AK113" s="1006">
        <f>'Resource Costs'!$FL115</f>
        <v>0</v>
      </c>
      <c r="AL113" s="1006">
        <f>'Resource Costs'!$FM115</f>
        <v>0</v>
      </c>
      <c r="AM113" s="1007">
        <v>0</v>
      </c>
      <c r="AN113" s="1007">
        <v>0</v>
      </c>
      <c r="AO113" s="1007">
        <v>0</v>
      </c>
      <c r="AP113" s="1007">
        <v>0</v>
      </c>
      <c r="AQ113" s="1007">
        <v>0</v>
      </c>
      <c r="AR113" s="1016">
        <f t="shared" si="11"/>
        <v>0</v>
      </c>
    </row>
    <row r="114" spans="2:44" ht="15" customHeight="1">
      <c r="B114" s="2"/>
      <c r="C114"/>
      <c r="D114"/>
      <c r="E114"/>
      <c r="F114"/>
      <c r="G114"/>
      <c r="H114"/>
      <c r="I114"/>
      <c r="J114"/>
      <c r="K114"/>
      <c r="L114"/>
      <c r="M114"/>
      <c r="N114"/>
      <c r="O114"/>
      <c r="P114"/>
      <c r="Q114"/>
      <c r="AA114" s="1684"/>
      <c r="AB114" s="1005" t="str">
        <f>'Resource Costs'!$FC116</f>
        <v/>
      </c>
      <c r="AC114" s="1005" t="str">
        <f>'Resource Costs'!$FD116</f>
        <v/>
      </c>
      <c r="AD114" s="1005" t="str">
        <f>'Resource Costs'!$FE116</f>
        <v>Labor</v>
      </c>
      <c r="AE114" s="1005" t="str">
        <f>'Resource Costs'!$FF116</f>
        <v/>
      </c>
      <c r="AF114" s="1005" t="str">
        <f>'Resource Costs'!$FG116</f>
        <v/>
      </c>
      <c r="AG114" s="1006">
        <f>'Resource Costs'!$FH116</f>
        <v>0</v>
      </c>
      <c r="AH114" s="1006">
        <f>'Resource Costs'!$FI116</f>
        <v>0</v>
      </c>
      <c r="AI114" s="1006">
        <f>'Resource Costs'!$FJ116</f>
        <v>0</v>
      </c>
      <c r="AJ114" s="1006">
        <f>'Resource Costs'!$FK116</f>
        <v>0</v>
      </c>
      <c r="AK114" s="1006">
        <f>'Resource Costs'!$FL116</f>
        <v>0</v>
      </c>
      <c r="AL114" s="1006">
        <f>'Resource Costs'!$FM116</f>
        <v>0</v>
      </c>
      <c r="AM114" s="1007">
        <v>0</v>
      </c>
      <c r="AN114" s="1007">
        <v>0</v>
      </c>
      <c r="AO114" s="1007">
        <v>0</v>
      </c>
      <c r="AP114" s="1007">
        <v>0</v>
      </c>
      <c r="AQ114" s="1007">
        <v>0</v>
      </c>
      <c r="AR114" s="1016">
        <f t="shared" si="11"/>
        <v>0</v>
      </c>
    </row>
    <row r="115" spans="2:44" ht="15" customHeight="1">
      <c r="B115" s="2"/>
      <c r="C115"/>
      <c r="D115"/>
      <c r="E115"/>
      <c r="F115"/>
      <c r="G115"/>
      <c r="H115"/>
      <c r="I115"/>
      <c r="J115"/>
      <c r="K115"/>
      <c r="L115"/>
      <c r="M115"/>
      <c r="N115"/>
      <c r="O115"/>
      <c r="P115"/>
      <c r="Q115"/>
      <c r="AA115" s="1684"/>
      <c r="AB115" s="1005" t="str">
        <f>'Resource Costs'!$FC117</f>
        <v/>
      </c>
      <c r="AC115" s="1005" t="str">
        <f>'Resource Costs'!$FD117</f>
        <v/>
      </c>
      <c r="AD115" s="1005" t="str">
        <f>'Resource Costs'!$FE117</f>
        <v>Labor</v>
      </c>
      <c r="AE115" s="1005" t="str">
        <f>'Resource Costs'!$FF117</f>
        <v/>
      </c>
      <c r="AF115" s="1005" t="str">
        <f>'Resource Costs'!$FG117</f>
        <v/>
      </c>
      <c r="AG115" s="1006">
        <f>'Resource Costs'!$FH117</f>
        <v>0</v>
      </c>
      <c r="AH115" s="1006">
        <f>'Resource Costs'!$FI117</f>
        <v>0</v>
      </c>
      <c r="AI115" s="1006">
        <f>'Resource Costs'!$FJ117</f>
        <v>0</v>
      </c>
      <c r="AJ115" s="1006">
        <f>'Resource Costs'!$FK117</f>
        <v>0</v>
      </c>
      <c r="AK115" s="1006">
        <f>'Resource Costs'!$FL117</f>
        <v>0</v>
      </c>
      <c r="AL115" s="1006">
        <f>'Resource Costs'!$FM117</f>
        <v>0</v>
      </c>
      <c r="AM115" s="1007">
        <v>0</v>
      </c>
      <c r="AN115" s="1007">
        <v>0</v>
      </c>
      <c r="AO115" s="1007">
        <v>0</v>
      </c>
      <c r="AP115" s="1007">
        <v>0</v>
      </c>
      <c r="AQ115" s="1007">
        <v>0</v>
      </c>
      <c r="AR115" s="1016">
        <f t="shared" si="11"/>
        <v>0</v>
      </c>
    </row>
    <row r="116" spans="2:44" ht="15" customHeight="1">
      <c r="B116" s="2"/>
      <c r="C116"/>
      <c r="D116"/>
      <c r="E116"/>
      <c r="F116"/>
      <c r="G116"/>
      <c r="H116"/>
      <c r="I116"/>
      <c r="J116"/>
      <c r="K116"/>
      <c r="L116"/>
      <c r="M116"/>
      <c r="N116"/>
      <c r="O116"/>
      <c r="P116"/>
      <c r="Q116"/>
      <c r="AA116" s="1684"/>
      <c r="AB116" s="1005" t="str">
        <f>'Resource Costs'!$FC118</f>
        <v/>
      </c>
      <c r="AC116" s="1005" t="str">
        <f>'Resource Costs'!$FD118</f>
        <v/>
      </c>
      <c r="AD116" s="1005" t="str">
        <f>'Resource Costs'!$FE118</f>
        <v>Labor</v>
      </c>
      <c r="AE116" s="1005" t="str">
        <f>'Resource Costs'!$FF118</f>
        <v/>
      </c>
      <c r="AF116" s="1005" t="str">
        <f>'Resource Costs'!$FG118</f>
        <v/>
      </c>
      <c r="AG116" s="1006">
        <f>'Resource Costs'!$FH118</f>
        <v>0</v>
      </c>
      <c r="AH116" s="1006">
        <f>'Resource Costs'!$FI118</f>
        <v>0</v>
      </c>
      <c r="AI116" s="1006">
        <f>'Resource Costs'!$FJ118</f>
        <v>0</v>
      </c>
      <c r="AJ116" s="1006">
        <f>'Resource Costs'!$FK118</f>
        <v>0</v>
      </c>
      <c r="AK116" s="1006">
        <f>'Resource Costs'!$FL118</f>
        <v>0</v>
      </c>
      <c r="AL116" s="1006">
        <f>'Resource Costs'!$FM118</f>
        <v>0</v>
      </c>
      <c r="AM116" s="1007">
        <v>0</v>
      </c>
      <c r="AN116" s="1007">
        <v>0</v>
      </c>
      <c r="AO116" s="1007">
        <v>0</v>
      </c>
      <c r="AP116" s="1007">
        <v>0</v>
      </c>
      <c r="AQ116" s="1007">
        <v>0</v>
      </c>
      <c r="AR116" s="1016">
        <f t="shared" si="11"/>
        <v>0</v>
      </c>
    </row>
    <row r="117" spans="2:44" ht="15" customHeight="1">
      <c r="B117" s="2"/>
      <c r="C117"/>
      <c r="D117"/>
      <c r="E117"/>
      <c r="F117"/>
      <c r="G117"/>
      <c r="H117"/>
      <c r="I117"/>
      <c r="J117"/>
      <c r="K117"/>
      <c r="L117"/>
      <c r="M117"/>
      <c r="N117"/>
      <c r="O117"/>
      <c r="P117"/>
      <c r="Q117"/>
      <c r="AA117" s="1684"/>
      <c r="AB117" s="1005" t="str">
        <f>'Resource Costs'!$FC119</f>
        <v/>
      </c>
      <c r="AC117" s="1005" t="str">
        <f>'Resource Costs'!$FD119</f>
        <v/>
      </c>
      <c r="AD117" s="1005" t="str">
        <f>'Resource Costs'!$FE119</f>
        <v>Labor</v>
      </c>
      <c r="AE117" s="1005" t="str">
        <f>'Resource Costs'!$FF119</f>
        <v/>
      </c>
      <c r="AF117" s="1005" t="str">
        <f>'Resource Costs'!$FG119</f>
        <v/>
      </c>
      <c r="AG117" s="1006">
        <f>'Resource Costs'!$FH119</f>
        <v>0</v>
      </c>
      <c r="AH117" s="1006">
        <f>'Resource Costs'!$FI119</f>
        <v>0</v>
      </c>
      <c r="AI117" s="1006">
        <f>'Resource Costs'!$FJ119</f>
        <v>0</v>
      </c>
      <c r="AJ117" s="1006">
        <f>'Resource Costs'!$FK119</f>
        <v>0</v>
      </c>
      <c r="AK117" s="1006">
        <f>'Resource Costs'!$FL119</f>
        <v>0</v>
      </c>
      <c r="AL117" s="1006">
        <f>'Resource Costs'!$FM119</f>
        <v>0</v>
      </c>
      <c r="AM117" s="1007">
        <v>0</v>
      </c>
      <c r="AN117" s="1007">
        <v>0</v>
      </c>
      <c r="AO117" s="1007">
        <v>0</v>
      </c>
      <c r="AP117" s="1007">
        <v>0</v>
      </c>
      <c r="AQ117" s="1007">
        <v>0</v>
      </c>
      <c r="AR117" s="1016">
        <f t="shared" si="11"/>
        <v>0</v>
      </c>
    </row>
    <row r="118" spans="2:44" ht="15" customHeight="1">
      <c r="B118" s="2"/>
      <c r="C118"/>
      <c r="D118"/>
      <c r="E118"/>
      <c r="F118"/>
      <c r="G118"/>
      <c r="H118"/>
      <c r="I118"/>
      <c r="J118"/>
      <c r="K118"/>
      <c r="L118"/>
      <c r="M118"/>
      <c r="N118"/>
      <c r="O118"/>
      <c r="P118"/>
      <c r="Q118"/>
      <c r="AA118" s="1684"/>
      <c r="AB118" s="1005" t="str">
        <f>'Resource Costs'!$FC120</f>
        <v/>
      </c>
      <c r="AC118" s="1005" t="str">
        <f>'Resource Costs'!$FD120</f>
        <v/>
      </c>
      <c r="AD118" s="1005" t="str">
        <f>'Resource Costs'!$FE120</f>
        <v>Labor</v>
      </c>
      <c r="AE118" s="1005" t="str">
        <f>'Resource Costs'!$FF120</f>
        <v/>
      </c>
      <c r="AF118" s="1005" t="str">
        <f>'Resource Costs'!$FG120</f>
        <v/>
      </c>
      <c r="AG118" s="1006">
        <f>'Resource Costs'!$FH120</f>
        <v>0</v>
      </c>
      <c r="AH118" s="1006">
        <f>'Resource Costs'!$FI120</f>
        <v>0</v>
      </c>
      <c r="AI118" s="1006">
        <f>'Resource Costs'!$FJ120</f>
        <v>0</v>
      </c>
      <c r="AJ118" s="1006">
        <f>'Resource Costs'!$FK120</f>
        <v>0</v>
      </c>
      <c r="AK118" s="1006">
        <f>'Resource Costs'!$FL120</f>
        <v>0</v>
      </c>
      <c r="AL118" s="1006">
        <f>'Resource Costs'!$FM120</f>
        <v>0</v>
      </c>
      <c r="AM118" s="1007">
        <v>0</v>
      </c>
      <c r="AN118" s="1007">
        <v>0</v>
      </c>
      <c r="AO118" s="1007">
        <v>0</v>
      </c>
      <c r="AP118" s="1007">
        <v>0</v>
      </c>
      <c r="AQ118" s="1007">
        <v>0</v>
      </c>
      <c r="AR118" s="1016">
        <f t="shared" si="11"/>
        <v>0</v>
      </c>
    </row>
    <row r="119" spans="2:44" ht="15" customHeight="1">
      <c r="B119" s="2"/>
      <c r="C119"/>
      <c r="D119"/>
      <c r="E119"/>
      <c r="F119"/>
      <c r="G119"/>
      <c r="H119"/>
      <c r="I119"/>
      <c r="J119"/>
      <c r="K119"/>
      <c r="L119"/>
      <c r="M119"/>
      <c r="N119"/>
      <c r="O119"/>
      <c r="P119"/>
      <c r="Q119"/>
      <c r="AA119" s="1684"/>
      <c r="AB119" s="1005" t="str">
        <f>'Resource Costs'!$FC121</f>
        <v/>
      </c>
      <c r="AC119" s="1005" t="str">
        <f>'Resource Costs'!$FD121</f>
        <v/>
      </c>
      <c r="AD119" s="1005" t="str">
        <f>'Resource Costs'!$FE121</f>
        <v>Labor</v>
      </c>
      <c r="AE119" s="1005" t="str">
        <f>'Resource Costs'!$FF121</f>
        <v/>
      </c>
      <c r="AF119" s="1005" t="str">
        <f>'Resource Costs'!$FG121</f>
        <v/>
      </c>
      <c r="AG119" s="1006">
        <f>'Resource Costs'!$FH121</f>
        <v>0</v>
      </c>
      <c r="AH119" s="1006">
        <f>'Resource Costs'!$FI121</f>
        <v>0</v>
      </c>
      <c r="AI119" s="1006">
        <f>'Resource Costs'!$FJ121</f>
        <v>0</v>
      </c>
      <c r="AJ119" s="1006">
        <f>'Resource Costs'!$FK121</f>
        <v>0</v>
      </c>
      <c r="AK119" s="1006">
        <f>'Resource Costs'!$FL121</f>
        <v>0</v>
      </c>
      <c r="AL119" s="1006">
        <f>'Resource Costs'!$FM121</f>
        <v>0</v>
      </c>
      <c r="AM119" s="1007">
        <v>0</v>
      </c>
      <c r="AN119" s="1007">
        <v>0</v>
      </c>
      <c r="AO119" s="1007">
        <v>0</v>
      </c>
      <c r="AP119" s="1007">
        <v>0</v>
      </c>
      <c r="AQ119" s="1007">
        <v>0</v>
      </c>
      <c r="AR119" s="1016">
        <f t="shared" si="11"/>
        <v>0</v>
      </c>
    </row>
    <row r="120" spans="2:44" ht="15" customHeight="1">
      <c r="B120" s="2"/>
      <c r="C120"/>
      <c r="D120"/>
      <c r="E120"/>
      <c r="F120"/>
      <c r="G120"/>
      <c r="H120"/>
      <c r="I120"/>
      <c r="J120"/>
      <c r="K120"/>
      <c r="L120"/>
      <c r="M120"/>
      <c r="N120"/>
      <c r="O120"/>
      <c r="P120"/>
      <c r="Q120"/>
      <c r="AA120" s="1684"/>
      <c r="AB120" s="1005" t="str">
        <f>'Resource Costs'!$FC122</f>
        <v/>
      </c>
      <c r="AC120" s="1005" t="str">
        <f>'Resource Costs'!$FD122</f>
        <v/>
      </c>
      <c r="AD120" s="1005" t="str">
        <f>'Resource Costs'!$FE122</f>
        <v>Labor</v>
      </c>
      <c r="AE120" s="1005" t="str">
        <f>'Resource Costs'!$FF122</f>
        <v/>
      </c>
      <c r="AF120" s="1005" t="str">
        <f>'Resource Costs'!$FG122</f>
        <v/>
      </c>
      <c r="AG120" s="1006">
        <f>'Resource Costs'!$FH122</f>
        <v>0</v>
      </c>
      <c r="AH120" s="1006">
        <f>'Resource Costs'!$FI122</f>
        <v>0</v>
      </c>
      <c r="AI120" s="1006">
        <f>'Resource Costs'!$FJ122</f>
        <v>0</v>
      </c>
      <c r="AJ120" s="1006">
        <f>'Resource Costs'!$FK122</f>
        <v>0</v>
      </c>
      <c r="AK120" s="1006">
        <f>'Resource Costs'!$FL122</f>
        <v>0</v>
      </c>
      <c r="AL120" s="1006">
        <f>'Resource Costs'!$FM122</f>
        <v>0</v>
      </c>
      <c r="AM120" s="1007">
        <v>0</v>
      </c>
      <c r="AN120" s="1007">
        <v>0</v>
      </c>
      <c r="AO120" s="1007">
        <v>0</v>
      </c>
      <c r="AP120" s="1007">
        <v>0</v>
      </c>
      <c r="AQ120" s="1007">
        <v>0</v>
      </c>
      <c r="AR120" s="1016">
        <f t="shared" si="11"/>
        <v>0</v>
      </c>
    </row>
    <row r="121" spans="2:44" ht="15" customHeight="1">
      <c r="B121" s="2"/>
      <c r="C121"/>
      <c r="D121"/>
      <c r="E121"/>
      <c r="F121"/>
      <c r="G121"/>
      <c r="H121"/>
      <c r="I121"/>
      <c r="J121"/>
      <c r="K121"/>
      <c r="L121"/>
      <c r="M121"/>
      <c r="N121"/>
      <c r="O121"/>
      <c r="P121"/>
      <c r="Q121"/>
      <c r="AA121" s="1684"/>
      <c r="AB121" s="1005" t="str">
        <f>'Resource Costs'!$FC123</f>
        <v/>
      </c>
      <c r="AC121" s="1005" t="str">
        <f>'Resource Costs'!$FD123</f>
        <v/>
      </c>
      <c r="AD121" s="1005" t="str">
        <f>'Resource Costs'!$FE123</f>
        <v>Labor</v>
      </c>
      <c r="AE121" s="1005" t="str">
        <f>'Resource Costs'!$FF123</f>
        <v/>
      </c>
      <c r="AF121" s="1005" t="str">
        <f>'Resource Costs'!$FG123</f>
        <v/>
      </c>
      <c r="AG121" s="1006">
        <f>'Resource Costs'!$FH123</f>
        <v>0</v>
      </c>
      <c r="AH121" s="1006">
        <f>'Resource Costs'!$FI123</f>
        <v>0</v>
      </c>
      <c r="AI121" s="1006">
        <f>'Resource Costs'!$FJ123</f>
        <v>0</v>
      </c>
      <c r="AJ121" s="1006">
        <f>'Resource Costs'!$FK123</f>
        <v>0</v>
      </c>
      <c r="AK121" s="1006">
        <f>'Resource Costs'!$FL123</f>
        <v>0</v>
      </c>
      <c r="AL121" s="1006">
        <f>'Resource Costs'!$FM123</f>
        <v>0</v>
      </c>
      <c r="AM121" s="1007">
        <v>0</v>
      </c>
      <c r="AN121" s="1007">
        <v>0</v>
      </c>
      <c r="AO121" s="1007">
        <v>0</v>
      </c>
      <c r="AP121" s="1007">
        <v>0</v>
      </c>
      <c r="AQ121" s="1007">
        <v>0</v>
      </c>
      <c r="AR121" s="1016">
        <f t="shared" si="11"/>
        <v>0</v>
      </c>
    </row>
    <row r="122" spans="2:44" ht="15" customHeight="1">
      <c r="B122" s="2"/>
      <c r="C122"/>
      <c r="D122"/>
      <c r="E122"/>
      <c r="F122"/>
      <c r="G122"/>
      <c r="H122"/>
      <c r="I122"/>
      <c r="J122"/>
      <c r="K122"/>
      <c r="L122"/>
      <c r="M122"/>
      <c r="N122"/>
      <c r="O122"/>
      <c r="P122"/>
      <c r="Q122"/>
      <c r="AA122" s="1684"/>
      <c r="AB122" s="1005" t="str">
        <f>'Resource Costs'!$FC124</f>
        <v/>
      </c>
      <c r="AC122" s="1005" t="str">
        <f>'Resource Costs'!$FD124</f>
        <v/>
      </c>
      <c r="AD122" s="1005" t="str">
        <f>'Resource Costs'!$FE124</f>
        <v>Labor</v>
      </c>
      <c r="AE122" s="1005" t="str">
        <f>'Resource Costs'!$FF124</f>
        <v/>
      </c>
      <c r="AF122" s="1005" t="str">
        <f>'Resource Costs'!$FG124</f>
        <v/>
      </c>
      <c r="AG122" s="1006">
        <f>'Resource Costs'!$FH124</f>
        <v>0</v>
      </c>
      <c r="AH122" s="1006">
        <f>'Resource Costs'!$FI124</f>
        <v>0</v>
      </c>
      <c r="AI122" s="1006">
        <f>'Resource Costs'!$FJ124</f>
        <v>0</v>
      </c>
      <c r="AJ122" s="1006">
        <f>'Resource Costs'!$FK124</f>
        <v>0</v>
      </c>
      <c r="AK122" s="1006">
        <f>'Resource Costs'!$FL124</f>
        <v>0</v>
      </c>
      <c r="AL122" s="1006">
        <f>'Resource Costs'!$FM124</f>
        <v>0</v>
      </c>
      <c r="AM122" s="1007">
        <v>0</v>
      </c>
      <c r="AN122" s="1007">
        <v>0</v>
      </c>
      <c r="AO122" s="1007">
        <v>0</v>
      </c>
      <c r="AP122" s="1007">
        <v>0</v>
      </c>
      <c r="AQ122" s="1007">
        <v>0</v>
      </c>
      <c r="AR122" s="1016">
        <f t="shared" si="11"/>
        <v>0</v>
      </c>
    </row>
    <row r="123" spans="2:44" ht="15" customHeight="1">
      <c r="B123" s="2"/>
      <c r="C123"/>
      <c r="D123"/>
      <c r="E123"/>
      <c r="F123"/>
      <c r="G123"/>
      <c r="H123"/>
      <c r="I123"/>
      <c r="J123"/>
      <c r="K123"/>
      <c r="L123"/>
      <c r="M123"/>
      <c r="N123"/>
      <c r="O123"/>
      <c r="P123"/>
      <c r="Q123"/>
      <c r="AA123" s="1684"/>
      <c r="AB123" s="1005" t="str">
        <f>'Resource Costs'!$FC125</f>
        <v/>
      </c>
      <c r="AC123" s="1005" t="str">
        <f>'Resource Costs'!$FD125</f>
        <v/>
      </c>
      <c r="AD123" s="1005" t="str">
        <f>'Resource Costs'!$FE125</f>
        <v>Labor</v>
      </c>
      <c r="AE123" s="1005" t="str">
        <f>'Resource Costs'!$FF125</f>
        <v/>
      </c>
      <c r="AF123" s="1005" t="str">
        <f>'Resource Costs'!$FG125</f>
        <v/>
      </c>
      <c r="AG123" s="1006">
        <f>'Resource Costs'!$FH125</f>
        <v>0</v>
      </c>
      <c r="AH123" s="1006">
        <f>'Resource Costs'!$FI125</f>
        <v>0</v>
      </c>
      <c r="AI123" s="1006">
        <f>'Resource Costs'!$FJ125</f>
        <v>0</v>
      </c>
      <c r="AJ123" s="1006">
        <f>'Resource Costs'!$FK125</f>
        <v>0</v>
      </c>
      <c r="AK123" s="1006">
        <f>'Resource Costs'!$FL125</f>
        <v>0</v>
      </c>
      <c r="AL123" s="1006">
        <f>'Resource Costs'!$FM125</f>
        <v>0</v>
      </c>
      <c r="AM123" s="1007">
        <v>0</v>
      </c>
      <c r="AN123" s="1007">
        <v>0</v>
      </c>
      <c r="AO123" s="1007">
        <v>0</v>
      </c>
      <c r="AP123" s="1007">
        <v>0</v>
      </c>
      <c r="AQ123" s="1007">
        <v>0</v>
      </c>
      <c r="AR123" s="1016">
        <f t="shared" si="11"/>
        <v>0</v>
      </c>
    </row>
    <row r="124" spans="2:44" ht="15" customHeight="1">
      <c r="B124" s="2"/>
      <c r="C124"/>
      <c r="D124"/>
      <c r="E124"/>
      <c r="F124"/>
      <c r="G124"/>
      <c r="H124"/>
      <c r="I124"/>
      <c r="J124"/>
      <c r="K124"/>
      <c r="L124"/>
      <c r="M124"/>
      <c r="N124"/>
      <c r="O124"/>
      <c r="P124"/>
      <c r="Q124"/>
      <c r="AA124" s="1684"/>
      <c r="AB124" s="1005" t="str">
        <f>'Resource Costs'!$FC126</f>
        <v/>
      </c>
      <c r="AC124" s="1005" t="str">
        <f>'Resource Costs'!$FD126</f>
        <v/>
      </c>
      <c r="AD124" s="1005" t="str">
        <f>'Resource Costs'!$FE126</f>
        <v>Labor</v>
      </c>
      <c r="AE124" s="1005" t="str">
        <f>'Resource Costs'!$FF126</f>
        <v/>
      </c>
      <c r="AF124" s="1005" t="str">
        <f>'Resource Costs'!$FG126</f>
        <v/>
      </c>
      <c r="AG124" s="1006">
        <f>'Resource Costs'!$FH126</f>
        <v>0</v>
      </c>
      <c r="AH124" s="1006">
        <f>'Resource Costs'!$FI126</f>
        <v>0</v>
      </c>
      <c r="AI124" s="1006">
        <f>'Resource Costs'!$FJ126</f>
        <v>0</v>
      </c>
      <c r="AJ124" s="1006">
        <f>'Resource Costs'!$FK126</f>
        <v>0</v>
      </c>
      <c r="AK124" s="1006">
        <f>'Resource Costs'!$FL126</f>
        <v>0</v>
      </c>
      <c r="AL124" s="1006">
        <f>'Resource Costs'!$FM126</f>
        <v>0</v>
      </c>
      <c r="AM124" s="1007">
        <v>0</v>
      </c>
      <c r="AN124" s="1007">
        <v>0</v>
      </c>
      <c r="AO124" s="1007">
        <v>0</v>
      </c>
      <c r="AP124" s="1007">
        <v>0</v>
      </c>
      <c r="AQ124" s="1007">
        <v>0</v>
      </c>
      <c r="AR124" s="1016">
        <f t="shared" si="11"/>
        <v>0</v>
      </c>
    </row>
    <row r="125" spans="2:44" ht="15" customHeight="1">
      <c r="B125" s="2"/>
      <c r="C125"/>
      <c r="D125"/>
      <c r="E125"/>
      <c r="F125"/>
      <c r="G125"/>
      <c r="H125"/>
      <c r="I125"/>
      <c r="J125"/>
      <c r="K125"/>
      <c r="L125"/>
      <c r="M125"/>
      <c r="N125"/>
      <c r="O125"/>
      <c r="P125"/>
      <c r="Q125"/>
      <c r="AA125" s="1684"/>
      <c r="AB125" s="1005" t="str">
        <f>'Resource Costs'!$FC127</f>
        <v/>
      </c>
      <c r="AC125" s="1005" t="str">
        <f>'Resource Costs'!$FD127</f>
        <v/>
      </c>
      <c r="AD125" s="1005" t="str">
        <f>'Resource Costs'!$FE127</f>
        <v>Labor</v>
      </c>
      <c r="AE125" s="1005" t="str">
        <f>'Resource Costs'!$FF127</f>
        <v/>
      </c>
      <c r="AF125" s="1005" t="str">
        <f>'Resource Costs'!$FG127</f>
        <v/>
      </c>
      <c r="AG125" s="1006">
        <f>'Resource Costs'!$FH127</f>
        <v>0</v>
      </c>
      <c r="AH125" s="1006">
        <f>'Resource Costs'!$FI127</f>
        <v>0</v>
      </c>
      <c r="AI125" s="1006">
        <f>'Resource Costs'!$FJ127</f>
        <v>0</v>
      </c>
      <c r="AJ125" s="1006">
        <f>'Resource Costs'!$FK127</f>
        <v>0</v>
      </c>
      <c r="AK125" s="1006">
        <f>'Resource Costs'!$FL127</f>
        <v>0</v>
      </c>
      <c r="AL125" s="1006">
        <f>'Resource Costs'!$FM127</f>
        <v>0</v>
      </c>
      <c r="AM125" s="1007">
        <v>0</v>
      </c>
      <c r="AN125" s="1007">
        <v>0</v>
      </c>
      <c r="AO125" s="1007">
        <v>0</v>
      </c>
      <c r="AP125" s="1007">
        <v>0</v>
      </c>
      <c r="AQ125" s="1007">
        <v>0</v>
      </c>
      <c r="AR125" s="1016">
        <f t="shared" si="11"/>
        <v>0</v>
      </c>
    </row>
    <row r="126" spans="2:44" ht="15" customHeight="1">
      <c r="B126" s="2"/>
      <c r="C126"/>
      <c r="D126"/>
      <c r="E126"/>
      <c r="F126"/>
      <c r="G126"/>
      <c r="H126"/>
      <c r="I126"/>
      <c r="J126"/>
      <c r="K126"/>
      <c r="L126"/>
      <c r="M126"/>
      <c r="N126"/>
      <c r="O126"/>
      <c r="P126"/>
      <c r="Q126"/>
      <c r="AA126" s="1684"/>
      <c r="AB126" s="1005" t="str">
        <f>'Resource Costs'!$FC128</f>
        <v/>
      </c>
      <c r="AC126" s="1005" t="str">
        <f>'Resource Costs'!$FD128</f>
        <v/>
      </c>
      <c r="AD126" s="1005" t="str">
        <f>'Resource Costs'!$FE128</f>
        <v>Labor</v>
      </c>
      <c r="AE126" s="1005" t="str">
        <f>'Resource Costs'!$FF128</f>
        <v/>
      </c>
      <c r="AF126" s="1005" t="str">
        <f>'Resource Costs'!$FG128</f>
        <v/>
      </c>
      <c r="AG126" s="1006">
        <f>'Resource Costs'!$FH128</f>
        <v>0</v>
      </c>
      <c r="AH126" s="1006">
        <f>'Resource Costs'!$FI128</f>
        <v>0</v>
      </c>
      <c r="AI126" s="1006">
        <f>'Resource Costs'!$FJ128</f>
        <v>0</v>
      </c>
      <c r="AJ126" s="1006">
        <f>'Resource Costs'!$FK128</f>
        <v>0</v>
      </c>
      <c r="AK126" s="1006">
        <f>'Resource Costs'!$FL128</f>
        <v>0</v>
      </c>
      <c r="AL126" s="1006">
        <f>'Resource Costs'!$FM128</f>
        <v>0</v>
      </c>
      <c r="AM126" s="1007">
        <v>0</v>
      </c>
      <c r="AN126" s="1007">
        <v>0</v>
      </c>
      <c r="AO126" s="1007">
        <v>0</v>
      </c>
      <c r="AP126" s="1007">
        <v>0</v>
      </c>
      <c r="AQ126" s="1007">
        <v>0</v>
      </c>
      <c r="AR126" s="1016">
        <f t="shared" si="11"/>
        <v>0</v>
      </c>
    </row>
    <row r="127" spans="2:44" ht="15" customHeight="1">
      <c r="B127" s="2"/>
      <c r="C127"/>
      <c r="D127"/>
      <c r="E127"/>
      <c r="F127"/>
      <c r="G127"/>
      <c r="H127"/>
      <c r="I127"/>
      <c r="J127"/>
      <c r="K127"/>
      <c r="L127"/>
      <c r="M127"/>
      <c r="N127"/>
      <c r="O127"/>
      <c r="P127"/>
      <c r="Q127"/>
      <c r="AA127" s="1684"/>
      <c r="AB127" s="1005" t="str">
        <f>'Resource Costs'!$FC129</f>
        <v/>
      </c>
      <c r="AC127" s="1005" t="str">
        <f>'Resource Costs'!$FD129</f>
        <v/>
      </c>
      <c r="AD127" s="1005" t="str">
        <f>'Resource Costs'!$FE129</f>
        <v>Labor</v>
      </c>
      <c r="AE127" s="1005" t="str">
        <f>'Resource Costs'!$FF129</f>
        <v/>
      </c>
      <c r="AF127" s="1005" t="str">
        <f>'Resource Costs'!$FG129</f>
        <v/>
      </c>
      <c r="AG127" s="1006">
        <f>'Resource Costs'!$FH129</f>
        <v>0</v>
      </c>
      <c r="AH127" s="1006">
        <f>'Resource Costs'!$FI129</f>
        <v>0</v>
      </c>
      <c r="AI127" s="1006">
        <f>'Resource Costs'!$FJ129</f>
        <v>0</v>
      </c>
      <c r="AJ127" s="1006">
        <f>'Resource Costs'!$FK129</f>
        <v>0</v>
      </c>
      <c r="AK127" s="1006">
        <f>'Resource Costs'!$FL129</f>
        <v>0</v>
      </c>
      <c r="AL127" s="1006">
        <f>'Resource Costs'!$FM129</f>
        <v>0</v>
      </c>
      <c r="AM127" s="1007">
        <v>0</v>
      </c>
      <c r="AN127" s="1007">
        <v>0</v>
      </c>
      <c r="AO127" s="1007">
        <v>0</v>
      </c>
      <c r="AP127" s="1007">
        <v>0</v>
      </c>
      <c r="AQ127" s="1007">
        <v>0</v>
      </c>
      <c r="AR127" s="1016">
        <f t="shared" si="11"/>
        <v>0</v>
      </c>
    </row>
    <row r="128" spans="2:44" ht="15" customHeight="1">
      <c r="B128" s="2"/>
      <c r="C128"/>
      <c r="D128"/>
      <c r="E128"/>
      <c r="F128"/>
      <c r="G128"/>
      <c r="H128"/>
      <c r="I128"/>
      <c r="J128"/>
      <c r="K128"/>
      <c r="L128"/>
      <c r="M128"/>
      <c r="N128"/>
      <c r="O128"/>
      <c r="P128"/>
      <c r="Q128"/>
      <c r="AA128" s="1684"/>
      <c r="AB128" s="1005" t="str">
        <f>'Resource Costs'!$FC130</f>
        <v/>
      </c>
      <c r="AC128" s="1005" t="str">
        <f>'Resource Costs'!$FD130</f>
        <v/>
      </c>
      <c r="AD128" s="1005" t="str">
        <f>'Resource Costs'!$FE130</f>
        <v>Labor</v>
      </c>
      <c r="AE128" s="1005" t="str">
        <f>'Resource Costs'!$FF130</f>
        <v/>
      </c>
      <c r="AF128" s="1005" t="str">
        <f>'Resource Costs'!$FG130</f>
        <v/>
      </c>
      <c r="AG128" s="1006">
        <f>'Resource Costs'!$FH130</f>
        <v>0</v>
      </c>
      <c r="AH128" s="1006">
        <f>'Resource Costs'!$FI130</f>
        <v>0</v>
      </c>
      <c r="AI128" s="1006">
        <f>'Resource Costs'!$FJ130</f>
        <v>0</v>
      </c>
      <c r="AJ128" s="1006">
        <f>'Resource Costs'!$FK130</f>
        <v>0</v>
      </c>
      <c r="AK128" s="1006">
        <f>'Resource Costs'!$FL130</f>
        <v>0</v>
      </c>
      <c r="AL128" s="1006">
        <f>'Resource Costs'!$FM130</f>
        <v>0</v>
      </c>
      <c r="AM128" s="1007">
        <v>0</v>
      </c>
      <c r="AN128" s="1007">
        <v>0</v>
      </c>
      <c r="AO128" s="1007">
        <v>0</v>
      </c>
      <c r="AP128" s="1007">
        <v>0</v>
      </c>
      <c r="AQ128" s="1007">
        <v>0</v>
      </c>
      <c r="AR128" s="1016">
        <f t="shared" si="11"/>
        <v>0</v>
      </c>
    </row>
    <row r="129" spans="2:44" ht="15" customHeight="1">
      <c r="B129" s="2"/>
      <c r="C129"/>
      <c r="D129"/>
      <c r="E129"/>
      <c r="F129"/>
      <c r="G129"/>
      <c r="H129"/>
      <c r="I129"/>
      <c r="J129"/>
      <c r="K129"/>
      <c r="L129"/>
      <c r="M129"/>
      <c r="N129"/>
      <c r="O129"/>
      <c r="P129"/>
      <c r="Q129"/>
      <c r="AA129" s="1684"/>
      <c r="AB129" s="1005" t="str">
        <f>'Resource Costs'!$FC131</f>
        <v/>
      </c>
      <c r="AC129" s="1005" t="str">
        <f>'Resource Costs'!$FD131</f>
        <v/>
      </c>
      <c r="AD129" s="1005" t="str">
        <f>'Resource Costs'!$FE131</f>
        <v>Labor</v>
      </c>
      <c r="AE129" s="1005" t="str">
        <f>'Resource Costs'!$FF131</f>
        <v/>
      </c>
      <c r="AF129" s="1005" t="str">
        <f>'Resource Costs'!$FG131</f>
        <v/>
      </c>
      <c r="AG129" s="1006">
        <f>'Resource Costs'!$FH131</f>
        <v>0</v>
      </c>
      <c r="AH129" s="1006">
        <f>'Resource Costs'!$FI131</f>
        <v>0</v>
      </c>
      <c r="AI129" s="1006">
        <f>'Resource Costs'!$FJ131</f>
        <v>0</v>
      </c>
      <c r="AJ129" s="1006">
        <f>'Resource Costs'!$FK131</f>
        <v>0</v>
      </c>
      <c r="AK129" s="1006">
        <f>'Resource Costs'!$FL131</f>
        <v>0</v>
      </c>
      <c r="AL129" s="1006">
        <f>'Resource Costs'!$FM131</f>
        <v>0</v>
      </c>
      <c r="AM129" s="1007">
        <v>0</v>
      </c>
      <c r="AN129" s="1007">
        <v>0</v>
      </c>
      <c r="AO129" s="1007">
        <v>0</v>
      </c>
      <c r="AP129" s="1007">
        <v>0</v>
      </c>
      <c r="AQ129" s="1007">
        <v>0</v>
      </c>
      <c r="AR129" s="1016">
        <f t="shared" si="11"/>
        <v>0</v>
      </c>
    </row>
    <row r="130" spans="2:44" ht="15" customHeight="1">
      <c r="B130" s="2"/>
      <c r="C130"/>
      <c r="D130"/>
      <c r="E130"/>
      <c r="F130"/>
      <c r="G130"/>
      <c r="H130"/>
      <c r="I130"/>
      <c r="J130"/>
      <c r="K130"/>
      <c r="L130"/>
      <c r="M130"/>
      <c r="N130"/>
      <c r="O130"/>
      <c r="P130"/>
      <c r="Q130"/>
      <c r="AA130" s="1684"/>
      <c r="AB130" s="1005" t="str">
        <f>'Resource Costs'!$FC132</f>
        <v/>
      </c>
      <c r="AC130" s="1005" t="str">
        <f>'Resource Costs'!$FD132</f>
        <v/>
      </c>
      <c r="AD130" s="1005" t="str">
        <f>'Resource Costs'!$FE132</f>
        <v>Labor</v>
      </c>
      <c r="AE130" s="1005" t="str">
        <f>'Resource Costs'!$FF132</f>
        <v/>
      </c>
      <c r="AF130" s="1005" t="str">
        <f>'Resource Costs'!$FG132</f>
        <v/>
      </c>
      <c r="AG130" s="1006">
        <f>'Resource Costs'!$FH132</f>
        <v>0</v>
      </c>
      <c r="AH130" s="1006">
        <f>'Resource Costs'!$FI132</f>
        <v>0</v>
      </c>
      <c r="AI130" s="1006">
        <f>'Resource Costs'!$FJ132</f>
        <v>0</v>
      </c>
      <c r="AJ130" s="1006">
        <f>'Resource Costs'!$FK132</f>
        <v>0</v>
      </c>
      <c r="AK130" s="1006">
        <f>'Resource Costs'!$FL132</f>
        <v>0</v>
      </c>
      <c r="AL130" s="1006">
        <f>'Resource Costs'!$FM132</f>
        <v>0</v>
      </c>
      <c r="AM130" s="1007">
        <v>0</v>
      </c>
      <c r="AN130" s="1007">
        <v>0</v>
      </c>
      <c r="AO130" s="1007">
        <v>0</v>
      </c>
      <c r="AP130" s="1007">
        <v>0</v>
      </c>
      <c r="AQ130" s="1007">
        <v>0</v>
      </c>
      <c r="AR130" s="1016">
        <f t="shared" si="11"/>
        <v>0</v>
      </c>
    </row>
    <row r="131" spans="2:44" ht="15" customHeight="1">
      <c r="B131" s="2"/>
      <c r="C131"/>
      <c r="D131"/>
      <c r="E131"/>
      <c r="F131"/>
      <c r="G131"/>
      <c r="H131"/>
      <c r="I131"/>
      <c r="J131"/>
      <c r="K131"/>
      <c r="L131"/>
      <c r="M131"/>
      <c r="N131"/>
      <c r="O131"/>
      <c r="P131"/>
      <c r="Q131"/>
      <c r="AA131" s="1684"/>
      <c r="AB131" s="1005" t="str">
        <f>'Resource Costs'!$FC133</f>
        <v/>
      </c>
      <c r="AC131" s="1005" t="str">
        <f>'Resource Costs'!$FD133</f>
        <v/>
      </c>
      <c r="AD131" s="1005" t="str">
        <f>'Resource Costs'!$FE133</f>
        <v>Labor</v>
      </c>
      <c r="AE131" s="1005" t="str">
        <f>'Resource Costs'!$FF133</f>
        <v/>
      </c>
      <c r="AF131" s="1005" t="str">
        <f>'Resource Costs'!$FG133</f>
        <v/>
      </c>
      <c r="AG131" s="1006">
        <f>'Resource Costs'!$FH133</f>
        <v>0</v>
      </c>
      <c r="AH131" s="1006">
        <f>'Resource Costs'!$FI133</f>
        <v>0</v>
      </c>
      <c r="AI131" s="1006">
        <f>'Resource Costs'!$FJ133</f>
        <v>0</v>
      </c>
      <c r="AJ131" s="1006">
        <f>'Resource Costs'!$FK133</f>
        <v>0</v>
      </c>
      <c r="AK131" s="1006">
        <f>'Resource Costs'!$FL133</f>
        <v>0</v>
      </c>
      <c r="AL131" s="1006">
        <f>'Resource Costs'!$FM133</f>
        <v>0</v>
      </c>
      <c r="AM131" s="1007">
        <v>0</v>
      </c>
      <c r="AN131" s="1007">
        <v>0</v>
      </c>
      <c r="AO131" s="1007">
        <v>0</v>
      </c>
      <c r="AP131" s="1007">
        <v>0</v>
      </c>
      <c r="AQ131" s="1007">
        <v>0</v>
      </c>
      <c r="AR131" s="1016">
        <f t="shared" si="11"/>
        <v>0</v>
      </c>
    </row>
    <row r="132" spans="2:44" ht="15" customHeight="1">
      <c r="B132" s="2"/>
      <c r="C132"/>
      <c r="D132"/>
      <c r="E132"/>
      <c r="F132"/>
      <c r="G132"/>
      <c r="H132"/>
      <c r="I132"/>
      <c r="J132"/>
      <c r="K132"/>
      <c r="L132"/>
      <c r="M132"/>
      <c r="N132"/>
      <c r="O132"/>
      <c r="P132"/>
      <c r="Q132"/>
      <c r="AA132" s="1684"/>
      <c r="AB132" s="1005" t="str">
        <f>'Resource Costs'!$FC134</f>
        <v/>
      </c>
      <c r="AC132" s="1005" t="str">
        <f>'Resource Costs'!$FD134</f>
        <v/>
      </c>
      <c r="AD132" s="1005" t="str">
        <f>'Resource Costs'!$FE134</f>
        <v>Labor</v>
      </c>
      <c r="AE132" s="1005" t="str">
        <f>'Resource Costs'!$FF134</f>
        <v/>
      </c>
      <c r="AF132" s="1005" t="str">
        <f>'Resource Costs'!$FG134</f>
        <v/>
      </c>
      <c r="AG132" s="1006">
        <f>'Resource Costs'!$FH134</f>
        <v>0</v>
      </c>
      <c r="AH132" s="1006">
        <f>'Resource Costs'!$FI134</f>
        <v>0</v>
      </c>
      <c r="AI132" s="1006">
        <f>'Resource Costs'!$FJ134</f>
        <v>0</v>
      </c>
      <c r="AJ132" s="1006">
        <f>'Resource Costs'!$FK134</f>
        <v>0</v>
      </c>
      <c r="AK132" s="1006">
        <f>'Resource Costs'!$FL134</f>
        <v>0</v>
      </c>
      <c r="AL132" s="1006">
        <f>'Resource Costs'!$FM134</f>
        <v>0</v>
      </c>
      <c r="AM132" s="1007">
        <v>0</v>
      </c>
      <c r="AN132" s="1007">
        <v>0</v>
      </c>
      <c r="AO132" s="1007">
        <v>0</v>
      </c>
      <c r="AP132" s="1007">
        <v>0</v>
      </c>
      <c r="AQ132" s="1007">
        <v>0</v>
      </c>
      <c r="AR132" s="1016">
        <f t="shared" ref="AR132:AR253" si="12">SUM(AG132:AQ132)</f>
        <v>0</v>
      </c>
    </row>
    <row r="133" spans="2:44" ht="15" customHeight="1">
      <c r="B133" s="2"/>
      <c r="C133"/>
      <c r="D133"/>
      <c r="E133"/>
      <c r="F133"/>
      <c r="G133"/>
      <c r="H133"/>
      <c r="I133"/>
      <c r="J133"/>
      <c r="K133"/>
      <c r="L133"/>
      <c r="M133"/>
      <c r="N133"/>
      <c r="O133"/>
      <c r="P133"/>
      <c r="Q133"/>
      <c r="AA133" s="1684"/>
      <c r="AB133" s="1005" t="str">
        <f>'Resource Costs'!$FC135</f>
        <v/>
      </c>
      <c r="AC133" s="1005" t="str">
        <f>'Resource Costs'!$FD135</f>
        <v/>
      </c>
      <c r="AD133" s="1005" t="str">
        <f>'Resource Costs'!$FE135</f>
        <v>Labor</v>
      </c>
      <c r="AE133" s="1005" t="str">
        <f>'Resource Costs'!$FF135</f>
        <v/>
      </c>
      <c r="AF133" s="1005" t="str">
        <f>'Resource Costs'!$FG135</f>
        <v/>
      </c>
      <c r="AG133" s="1006">
        <f>'Resource Costs'!$FH135</f>
        <v>0</v>
      </c>
      <c r="AH133" s="1006">
        <f>'Resource Costs'!$FI135</f>
        <v>0</v>
      </c>
      <c r="AI133" s="1006">
        <f>'Resource Costs'!$FJ135</f>
        <v>0</v>
      </c>
      <c r="AJ133" s="1006">
        <f>'Resource Costs'!$FK135</f>
        <v>0</v>
      </c>
      <c r="AK133" s="1006">
        <f>'Resource Costs'!$FL135</f>
        <v>0</v>
      </c>
      <c r="AL133" s="1006">
        <f>'Resource Costs'!$FM135</f>
        <v>0</v>
      </c>
      <c r="AM133" s="1007">
        <v>0</v>
      </c>
      <c r="AN133" s="1007">
        <v>0</v>
      </c>
      <c r="AO133" s="1007">
        <v>0</v>
      </c>
      <c r="AP133" s="1007">
        <v>0</v>
      </c>
      <c r="AQ133" s="1007">
        <v>0</v>
      </c>
      <c r="AR133" s="1016">
        <f t="shared" si="12"/>
        <v>0</v>
      </c>
    </row>
    <row r="134" spans="2:44" ht="15" customHeight="1">
      <c r="B134" s="2"/>
      <c r="C134"/>
      <c r="D134"/>
      <c r="E134"/>
      <c r="F134"/>
      <c r="G134"/>
      <c r="H134"/>
      <c r="I134"/>
      <c r="J134"/>
      <c r="K134"/>
      <c r="L134"/>
      <c r="M134"/>
      <c r="N134"/>
      <c r="O134"/>
      <c r="P134"/>
      <c r="Q134"/>
      <c r="AA134" s="1684"/>
      <c r="AB134" s="1005" t="str">
        <f>'Resource Costs'!$FC136</f>
        <v/>
      </c>
      <c r="AC134" s="1005" t="str">
        <f>'Resource Costs'!$FD136</f>
        <v/>
      </c>
      <c r="AD134" s="1005" t="str">
        <f>'Resource Costs'!$FE136</f>
        <v>Labor</v>
      </c>
      <c r="AE134" s="1005" t="str">
        <f>'Resource Costs'!$FF136</f>
        <v/>
      </c>
      <c r="AF134" s="1005" t="str">
        <f>'Resource Costs'!$FG136</f>
        <v/>
      </c>
      <c r="AG134" s="1006">
        <f>'Resource Costs'!$FH136</f>
        <v>0</v>
      </c>
      <c r="AH134" s="1006">
        <f>'Resource Costs'!$FI136</f>
        <v>0</v>
      </c>
      <c r="AI134" s="1006">
        <f>'Resource Costs'!$FJ136</f>
        <v>0</v>
      </c>
      <c r="AJ134" s="1006">
        <f>'Resource Costs'!$FK136</f>
        <v>0</v>
      </c>
      <c r="AK134" s="1006">
        <f>'Resource Costs'!$FL136</f>
        <v>0</v>
      </c>
      <c r="AL134" s="1006">
        <f>'Resource Costs'!$FM136</f>
        <v>0</v>
      </c>
      <c r="AM134" s="1007">
        <v>0</v>
      </c>
      <c r="AN134" s="1007">
        <v>0</v>
      </c>
      <c r="AO134" s="1007">
        <v>0</v>
      </c>
      <c r="AP134" s="1007">
        <v>0</v>
      </c>
      <c r="AQ134" s="1007">
        <v>0</v>
      </c>
      <c r="AR134" s="1016">
        <f t="shared" si="12"/>
        <v>0</v>
      </c>
    </row>
    <row r="135" spans="2:44" ht="15" customHeight="1">
      <c r="B135" s="2"/>
      <c r="C135"/>
      <c r="D135"/>
      <c r="E135"/>
      <c r="F135"/>
      <c r="G135"/>
      <c r="H135"/>
      <c r="I135"/>
      <c r="J135"/>
      <c r="K135"/>
      <c r="L135"/>
      <c r="M135"/>
      <c r="N135"/>
      <c r="O135"/>
      <c r="P135"/>
      <c r="Q135"/>
      <c r="AA135" s="1684"/>
      <c r="AB135" s="1005" t="str">
        <f>'Resource Costs'!$FC137</f>
        <v/>
      </c>
      <c r="AC135" s="1005" t="str">
        <f>'Resource Costs'!$FD137</f>
        <v/>
      </c>
      <c r="AD135" s="1005" t="str">
        <f>'Resource Costs'!$FE137</f>
        <v>Labor</v>
      </c>
      <c r="AE135" s="1005" t="str">
        <f>'Resource Costs'!$FF137</f>
        <v/>
      </c>
      <c r="AF135" s="1005" t="str">
        <f>'Resource Costs'!$FG137</f>
        <v/>
      </c>
      <c r="AG135" s="1006">
        <f>'Resource Costs'!$FH137</f>
        <v>0</v>
      </c>
      <c r="AH135" s="1006">
        <f>'Resource Costs'!$FI137</f>
        <v>0</v>
      </c>
      <c r="AI135" s="1006">
        <f>'Resource Costs'!$FJ137</f>
        <v>0</v>
      </c>
      <c r="AJ135" s="1006">
        <f>'Resource Costs'!$FK137</f>
        <v>0</v>
      </c>
      <c r="AK135" s="1006">
        <f>'Resource Costs'!$FL137</f>
        <v>0</v>
      </c>
      <c r="AL135" s="1006">
        <f>'Resource Costs'!$FM137</f>
        <v>0</v>
      </c>
      <c r="AM135" s="1007">
        <v>0</v>
      </c>
      <c r="AN135" s="1007">
        <v>0</v>
      </c>
      <c r="AO135" s="1007">
        <v>0</v>
      </c>
      <c r="AP135" s="1007">
        <v>0</v>
      </c>
      <c r="AQ135" s="1007">
        <v>0</v>
      </c>
      <c r="AR135" s="1016">
        <f t="shared" si="12"/>
        <v>0</v>
      </c>
    </row>
    <row r="136" spans="2:44" ht="15" customHeight="1">
      <c r="B136" s="2"/>
      <c r="C136"/>
      <c r="D136"/>
      <c r="E136"/>
      <c r="F136"/>
      <c r="G136"/>
      <c r="H136"/>
      <c r="I136"/>
      <c r="J136"/>
      <c r="K136"/>
      <c r="L136"/>
      <c r="M136"/>
      <c r="N136"/>
      <c r="O136"/>
      <c r="P136"/>
      <c r="Q136"/>
      <c r="AA136" s="1684"/>
      <c r="AB136" s="1005" t="str">
        <f>'Resource Costs'!$FC138</f>
        <v/>
      </c>
      <c r="AC136" s="1005" t="str">
        <f>'Resource Costs'!$FD138</f>
        <v/>
      </c>
      <c r="AD136" s="1005" t="str">
        <f>'Resource Costs'!$FE138</f>
        <v>Labor</v>
      </c>
      <c r="AE136" s="1005" t="str">
        <f>'Resource Costs'!$FF138</f>
        <v/>
      </c>
      <c r="AF136" s="1005" t="str">
        <f>'Resource Costs'!$FG138</f>
        <v/>
      </c>
      <c r="AG136" s="1006">
        <f>'Resource Costs'!$FH138</f>
        <v>0</v>
      </c>
      <c r="AH136" s="1006">
        <f>'Resource Costs'!$FI138</f>
        <v>0</v>
      </c>
      <c r="AI136" s="1006">
        <f>'Resource Costs'!$FJ138</f>
        <v>0</v>
      </c>
      <c r="AJ136" s="1006">
        <f>'Resource Costs'!$FK138</f>
        <v>0</v>
      </c>
      <c r="AK136" s="1006">
        <f>'Resource Costs'!$FL138</f>
        <v>0</v>
      </c>
      <c r="AL136" s="1006">
        <f>'Resource Costs'!$FM138</f>
        <v>0</v>
      </c>
      <c r="AM136" s="1007">
        <v>0</v>
      </c>
      <c r="AN136" s="1007">
        <v>0</v>
      </c>
      <c r="AO136" s="1007">
        <v>0</v>
      </c>
      <c r="AP136" s="1007">
        <v>0</v>
      </c>
      <c r="AQ136" s="1007">
        <v>0</v>
      </c>
      <c r="AR136" s="1016">
        <f t="shared" si="12"/>
        <v>0</v>
      </c>
    </row>
    <row r="137" spans="2:44" ht="15" customHeight="1">
      <c r="B137" s="2"/>
      <c r="C137"/>
      <c r="D137"/>
      <c r="E137"/>
      <c r="F137"/>
      <c r="G137"/>
      <c r="H137"/>
      <c r="I137"/>
      <c r="J137"/>
      <c r="K137"/>
      <c r="L137"/>
      <c r="M137"/>
      <c r="N137"/>
      <c r="O137"/>
      <c r="P137"/>
      <c r="Q137"/>
      <c r="AA137" s="1684"/>
      <c r="AB137" s="1005" t="str">
        <f>'Resource Costs'!$FC139</f>
        <v/>
      </c>
      <c r="AC137" s="1005" t="str">
        <f>'Resource Costs'!$FD139</f>
        <v/>
      </c>
      <c r="AD137" s="1005" t="str">
        <f>'Resource Costs'!$FE139</f>
        <v>Labor</v>
      </c>
      <c r="AE137" s="1005" t="str">
        <f>'Resource Costs'!$FF139</f>
        <v/>
      </c>
      <c r="AF137" s="1005" t="str">
        <f>'Resource Costs'!$FG139</f>
        <v/>
      </c>
      <c r="AG137" s="1006">
        <f>'Resource Costs'!$FH139</f>
        <v>0</v>
      </c>
      <c r="AH137" s="1006">
        <f>'Resource Costs'!$FI139</f>
        <v>0</v>
      </c>
      <c r="AI137" s="1006">
        <f>'Resource Costs'!$FJ139</f>
        <v>0</v>
      </c>
      <c r="AJ137" s="1006">
        <f>'Resource Costs'!$FK139</f>
        <v>0</v>
      </c>
      <c r="AK137" s="1006">
        <f>'Resource Costs'!$FL139</f>
        <v>0</v>
      </c>
      <c r="AL137" s="1006">
        <f>'Resource Costs'!$FM139</f>
        <v>0</v>
      </c>
      <c r="AM137" s="1007">
        <v>0</v>
      </c>
      <c r="AN137" s="1007">
        <v>0</v>
      </c>
      <c r="AO137" s="1007">
        <v>0</v>
      </c>
      <c r="AP137" s="1007">
        <v>0</v>
      </c>
      <c r="AQ137" s="1007">
        <v>0</v>
      </c>
      <c r="AR137" s="1016">
        <f t="shared" si="12"/>
        <v>0</v>
      </c>
    </row>
    <row r="138" spans="2:44" ht="15" customHeight="1">
      <c r="B138" s="2"/>
      <c r="C138"/>
      <c r="D138"/>
      <c r="E138"/>
      <c r="F138"/>
      <c r="G138"/>
      <c r="H138"/>
      <c r="I138"/>
      <c r="J138"/>
      <c r="K138"/>
      <c r="L138"/>
      <c r="M138"/>
      <c r="N138"/>
      <c r="O138"/>
      <c r="P138"/>
      <c r="Q138"/>
      <c r="AA138" s="1684"/>
      <c r="AB138" s="1005" t="str">
        <f>'Resource Costs'!$FC140</f>
        <v/>
      </c>
      <c r="AC138" s="1005" t="str">
        <f>'Resource Costs'!$FD140</f>
        <v/>
      </c>
      <c r="AD138" s="1005" t="str">
        <f>'Resource Costs'!$FE140</f>
        <v>Labor</v>
      </c>
      <c r="AE138" s="1005" t="str">
        <f>'Resource Costs'!$FF140</f>
        <v/>
      </c>
      <c r="AF138" s="1005" t="str">
        <f>'Resource Costs'!$FG140</f>
        <v/>
      </c>
      <c r="AG138" s="1006">
        <f>'Resource Costs'!$FH140</f>
        <v>0</v>
      </c>
      <c r="AH138" s="1006">
        <f>'Resource Costs'!$FI140</f>
        <v>0</v>
      </c>
      <c r="AI138" s="1006">
        <f>'Resource Costs'!$FJ140</f>
        <v>0</v>
      </c>
      <c r="AJ138" s="1006">
        <f>'Resource Costs'!$FK140</f>
        <v>0</v>
      </c>
      <c r="AK138" s="1006">
        <f>'Resource Costs'!$FL140</f>
        <v>0</v>
      </c>
      <c r="AL138" s="1006">
        <f>'Resource Costs'!$FM140</f>
        <v>0</v>
      </c>
      <c r="AM138" s="1007">
        <v>0</v>
      </c>
      <c r="AN138" s="1007">
        <v>0</v>
      </c>
      <c r="AO138" s="1007">
        <v>0</v>
      </c>
      <c r="AP138" s="1007">
        <v>0</v>
      </c>
      <c r="AQ138" s="1007">
        <v>0</v>
      </c>
      <c r="AR138" s="1016">
        <f t="shared" si="12"/>
        <v>0</v>
      </c>
    </row>
    <row r="139" spans="2:44" ht="15" customHeight="1">
      <c r="B139" s="2"/>
      <c r="C139"/>
      <c r="D139"/>
      <c r="E139"/>
      <c r="F139"/>
      <c r="G139"/>
      <c r="H139"/>
      <c r="I139"/>
      <c r="J139"/>
      <c r="K139"/>
      <c r="L139"/>
      <c r="M139"/>
      <c r="N139"/>
      <c r="O139"/>
      <c r="P139"/>
      <c r="Q139"/>
      <c r="AA139" s="1684"/>
      <c r="AB139" s="1005" t="str">
        <f>'Resource Costs'!$FC141</f>
        <v/>
      </c>
      <c r="AC139" s="1005" t="str">
        <f>'Resource Costs'!$FD141</f>
        <v/>
      </c>
      <c r="AD139" s="1005" t="str">
        <f>'Resource Costs'!$FE141</f>
        <v>Labor</v>
      </c>
      <c r="AE139" s="1005" t="str">
        <f>'Resource Costs'!$FF141</f>
        <v/>
      </c>
      <c r="AF139" s="1005" t="str">
        <f>'Resource Costs'!$FG141</f>
        <v/>
      </c>
      <c r="AG139" s="1006">
        <f>'Resource Costs'!$FH141</f>
        <v>0</v>
      </c>
      <c r="AH139" s="1006">
        <f>'Resource Costs'!$FI141</f>
        <v>0</v>
      </c>
      <c r="AI139" s="1006">
        <f>'Resource Costs'!$FJ141</f>
        <v>0</v>
      </c>
      <c r="AJ139" s="1006">
        <f>'Resource Costs'!$FK141</f>
        <v>0</v>
      </c>
      <c r="AK139" s="1006">
        <f>'Resource Costs'!$FL141</f>
        <v>0</v>
      </c>
      <c r="AL139" s="1006">
        <f>'Resource Costs'!$FM141</f>
        <v>0</v>
      </c>
      <c r="AM139" s="1007">
        <v>0</v>
      </c>
      <c r="AN139" s="1007">
        <v>0</v>
      </c>
      <c r="AO139" s="1007">
        <v>0</v>
      </c>
      <c r="AP139" s="1007">
        <v>0</v>
      </c>
      <c r="AQ139" s="1007">
        <v>0</v>
      </c>
      <c r="AR139" s="1016">
        <f t="shared" si="12"/>
        <v>0</v>
      </c>
    </row>
    <row r="140" spans="2:44" ht="15" customHeight="1">
      <c r="B140" s="2"/>
      <c r="C140"/>
      <c r="D140"/>
      <c r="E140"/>
      <c r="F140"/>
      <c r="G140"/>
      <c r="H140"/>
      <c r="I140"/>
      <c r="J140"/>
      <c r="K140"/>
      <c r="L140"/>
      <c r="M140"/>
      <c r="N140"/>
      <c r="O140"/>
      <c r="P140"/>
      <c r="Q140"/>
      <c r="AA140" s="1684"/>
      <c r="AB140" s="1005" t="str">
        <f>'Resource Costs'!$FC142</f>
        <v/>
      </c>
      <c r="AC140" s="1005" t="str">
        <f>'Resource Costs'!$FD142</f>
        <v/>
      </c>
      <c r="AD140" s="1005" t="str">
        <f>'Resource Costs'!$FE142</f>
        <v>Labor</v>
      </c>
      <c r="AE140" s="1005" t="str">
        <f>'Resource Costs'!$FF142</f>
        <v/>
      </c>
      <c r="AF140" s="1005" t="str">
        <f>'Resource Costs'!$FG142</f>
        <v/>
      </c>
      <c r="AG140" s="1006">
        <f>'Resource Costs'!$FH142</f>
        <v>0</v>
      </c>
      <c r="AH140" s="1006">
        <f>'Resource Costs'!$FI142</f>
        <v>0</v>
      </c>
      <c r="AI140" s="1006">
        <f>'Resource Costs'!$FJ142</f>
        <v>0</v>
      </c>
      <c r="AJ140" s="1006">
        <f>'Resource Costs'!$FK142</f>
        <v>0</v>
      </c>
      <c r="AK140" s="1006">
        <f>'Resource Costs'!$FL142</f>
        <v>0</v>
      </c>
      <c r="AL140" s="1006">
        <f>'Resource Costs'!$FM142</f>
        <v>0</v>
      </c>
      <c r="AM140" s="1007">
        <v>0</v>
      </c>
      <c r="AN140" s="1007">
        <v>0</v>
      </c>
      <c r="AO140" s="1007">
        <v>0</v>
      </c>
      <c r="AP140" s="1007">
        <v>0</v>
      </c>
      <c r="AQ140" s="1007">
        <v>0</v>
      </c>
      <c r="AR140" s="1016">
        <f t="shared" si="12"/>
        <v>0</v>
      </c>
    </row>
    <row r="141" spans="2:44" ht="15" customHeight="1">
      <c r="B141" s="2"/>
      <c r="C141"/>
      <c r="D141"/>
      <c r="E141"/>
      <c r="F141"/>
      <c r="G141"/>
      <c r="H141"/>
      <c r="I141"/>
      <c r="J141"/>
      <c r="K141"/>
      <c r="L141"/>
      <c r="M141"/>
      <c r="N141"/>
      <c r="O141"/>
      <c r="P141"/>
      <c r="Q141"/>
      <c r="AA141" s="1684"/>
      <c r="AB141" s="1005" t="str">
        <f>'Resource Costs'!$FC143</f>
        <v/>
      </c>
      <c r="AC141" s="1005" t="str">
        <f>'Resource Costs'!$FD143</f>
        <v/>
      </c>
      <c r="AD141" s="1005" t="str">
        <f>'Resource Costs'!$FE143</f>
        <v>Labor</v>
      </c>
      <c r="AE141" s="1005" t="str">
        <f>'Resource Costs'!$FF143</f>
        <v/>
      </c>
      <c r="AF141" s="1005" t="str">
        <f>'Resource Costs'!$FG143</f>
        <v/>
      </c>
      <c r="AG141" s="1006">
        <f>'Resource Costs'!$FH143</f>
        <v>0</v>
      </c>
      <c r="AH141" s="1006">
        <f>'Resource Costs'!$FI143</f>
        <v>0</v>
      </c>
      <c r="AI141" s="1006">
        <f>'Resource Costs'!$FJ143</f>
        <v>0</v>
      </c>
      <c r="AJ141" s="1006">
        <f>'Resource Costs'!$FK143</f>
        <v>0</v>
      </c>
      <c r="AK141" s="1006">
        <f>'Resource Costs'!$FL143</f>
        <v>0</v>
      </c>
      <c r="AL141" s="1006">
        <f>'Resource Costs'!$FM143</f>
        <v>0</v>
      </c>
      <c r="AM141" s="1007">
        <v>0</v>
      </c>
      <c r="AN141" s="1007">
        <v>0</v>
      </c>
      <c r="AO141" s="1007">
        <v>0</v>
      </c>
      <c r="AP141" s="1007">
        <v>0</v>
      </c>
      <c r="AQ141" s="1007">
        <v>0</v>
      </c>
      <c r="AR141" s="1016">
        <f t="shared" si="12"/>
        <v>0</v>
      </c>
    </row>
    <row r="142" spans="2:44" ht="15" customHeight="1">
      <c r="B142" s="2"/>
      <c r="C142"/>
      <c r="D142"/>
      <c r="E142"/>
      <c r="F142"/>
      <c r="G142"/>
      <c r="H142"/>
      <c r="I142"/>
      <c r="J142"/>
      <c r="K142"/>
      <c r="L142"/>
      <c r="M142"/>
      <c r="N142"/>
      <c r="O142"/>
      <c r="P142"/>
      <c r="Q142"/>
      <c r="AA142" s="1684"/>
      <c r="AB142" s="1005" t="str">
        <f>'Resource Costs'!$FC144</f>
        <v/>
      </c>
      <c r="AC142" s="1005" t="str">
        <f>'Resource Costs'!$FD144</f>
        <v/>
      </c>
      <c r="AD142" s="1005" t="str">
        <f>'Resource Costs'!$FE144</f>
        <v>Labor</v>
      </c>
      <c r="AE142" s="1005" t="str">
        <f>'Resource Costs'!$FF144</f>
        <v/>
      </c>
      <c r="AF142" s="1005" t="str">
        <f>'Resource Costs'!$FG144</f>
        <v/>
      </c>
      <c r="AG142" s="1006">
        <f>'Resource Costs'!$FH144</f>
        <v>0</v>
      </c>
      <c r="AH142" s="1006">
        <f>'Resource Costs'!$FI144</f>
        <v>0</v>
      </c>
      <c r="AI142" s="1006">
        <f>'Resource Costs'!$FJ144</f>
        <v>0</v>
      </c>
      <c r="AJ142" s="1006">
        <f>'Resource Costs'!$FK144</f>
        <v>0</v>
      </c>
      <c r="AK142" s="1006">
        <f>'Resource Costs'!$FL144</f>
        <v>0</v>
      </c>
      <c r="AL142" s="1006">
        <f>'Resource Costs'!$FM144</f>
        <v>0</v>
      </c>
      <c r="AM142" s="1007">
        <v>0</v>
      </c>
      <c r="AN142" s="1007">
        <v>0</v>
      </c>
      <c r="AO142" s="1007">
        <v>0</v>
      </c>
      <c r="AP142" s="1007">
        <v>0</v>
      </c>
      <c r="AQ142" s="1007">
        <v>0</v>
      </c>
      <c r="AR142" s="1016">
        <f t="shared" si="12"/>
        <v>0</v>
      </c>
    </row>
    <row r="143" spans="2:44" ht="15" customHeight="1">
      <c r="B143" s="2"/>
      <c r="C143"/>
      <c r="D143"/>
      <c r="E143"/>
      <c r="F143"/>
      <c r="G143"/>
      <c r="H143"/>
      <c r="I143"/>
      <c r="J143"/>
      <c r="K143"/>
      <c r="L143"/>
      <c r="M143"/>
      <c r="N143"/>
      <c r="O143"/>
      <c r="P143"/>
      <c r="Q143"/>
      <c r="AA143" s="1684"/>
      <c r="AB143" s="1005" t="str">
        <f>'Resource Costs'!$FC145</f>
        <v/>
      </c>
      <c r="AC143" s="1005" t="str">
        <f>'Resource Costs'!$FD145</f>
        <v/>
      </c>
      <c r="AD143" s="1005" t="str">
        <f>'Resource Costs'!$FE145</f>
        <v>Labor</v>
      </c>
      <c r="AE143" s="1005" t="str">
        <f>'Resource Costs'!$FF145</f>
        <v/>
      </c>
      <c r="AF143" s="1005" t="str">
        <f>'Resource Costs'!$FG145</f>
        <v/>
      </c>
      <c r="AG143" s="1006">
        <f>'Resource Costs'!$FH145</f>
        <v>0</v>
      </c>
      <c r="AH143" s="1006">
        <f>'Resource Costs'!$FI145</f>
        <v>0</v>
      </c>
      <c r="AI143" s="1006">
        <f>'Resource Costs'!$FJ145</f>
        <v>0</v>
      </c>
      <c r="AJ143" s="1006">
        <f>'Resource Costs'!$FK145</f>
        <v>0</v>
      </c>
      <c r="AK143" s="1006">
        <f>'Resource Costs'!$FL145</f>
        <v>0</v>
      </c>
      <c r="AL143" s="1006">
        <f>'Resource Costs'!$FM145</f>
        <v>0</v>
      </c>
      <c r="AM143" s="1007">
        <v>0</v>
      </c>
      <c r="AN143" s="1007">
        <v>0</v>
      </c>
      <c r="AO143" s="1007">
        <v>0</v>
      </c>
      <c r="AP143" s="1007">
        <v>0</v>
      </c>
      <c r="AQ143" s="1007">
        <v>0</v>
      </c>
      <c r="AR143" s="1016">
        <f t="shared" si="12"/>
        <v>0</v>
      </c>
    </row>
    <row r="144" spans="2:44" ht="15" customHeight="1">
      <c r="B144" s="2"/>
      <c r="C144"/>
      <c r="D144"/>
      <c r="E144"/>
      <c r="F144"/>
      <c r="G144"/>
      <c r="H144"/>
      <c r="I144"/>
      <c r="J144"/>
      <c r="K144"/>
      <c r="L144"/>
      <c r="M144"/>
      <c r="N144"/>
      <c r="O144"/>
      <c r="P144"/>
      <c r="Q144"/>
      <c r="AA144" s="1684"/>
      <c r="AB144" s="1005" t="str">
        <f>'Resource Costs'!$FC146</f>
        <v/>
      </c>
      <c r="AC144" s="1005" t="str">
        <f>'Resource Costs'!$FD146</f>
        <v/>
      </c>
      <c r="AD144" s="1005" t="str">
        <f>'Resource Costs'!$FE146</f>
        <v>Labor</v>
      </c>
      <c r="AE144" s="1005" t="str">
        <f>'Resource Costs'!$FF146</f>
        <v/>
      </c>
      <c r="AF144" s="1005" t="str">
        <f>'Resource Costs'!$FG146</f>
        <v/>
      </c>
      <c r="AG144" s="1006">
        <f>'Resource Costs'!$FH146</f>
        <v>0</v>
      </c>
      <c r="AH144" s="1006">
        <f>'Resource Costs'!$FI146</f>
        <v>0</v>
      </c>
      <c r="AI144" s="1006">
        <f>'Resource Costs'!$FJ146</f>
        <v>0</v>
      </c>
      <c r="AJ144" s="1006">
        <f>'Resource Costs'!$FK146</f>
        <v>0</v>
      </c>
      <c r="AK144" s="1006">
        <f>'Resource Costs'!$FL146</f>
        <v>0</v>
      </c>
      <c r="AL144" s="1006">
        <f>'Resource Costs'!$FM146</f>
        <v>0</v>
      </c>
      <c r="AM144" s="1007">
        <v>0</v>
      </c>
      <c r="AN144" s="1007">
        <v>0</v>
      </c>
      <c r="AO144" s="1007">
        <v>0</v>
      </c>
      <c r="AP144" s="1007">
        <v>0</v>
      </c>
      <c r="AQ144" s="1007">
        <v>0</v>
      </c>
      <c r="AR144" s="1016">
        <f t="shared" si="12"/>
        <v>0</v>
      </c>
    </row>
    <row r="145" spans="2:44" ht="15" customHeight="1">
      <c r="B145" s="2"/>
      <c r="C145"/>
      <c r="D145"/>
      <c r="E145"/>
      <c r="F145"/>
      <c r="G145"/>
      <c r="H145"/>
      <c r="I145"/>
      <c r="J145"/>
      <c r="K145"/>
      <c r="L145"/>
      <c r="M145"/>
      <c r="N145"/>
      <c r="O145"/>
      <c r="P145"/>
      <c r="Q145"/>
      <c r="AA145" s="1684"/>
      <c r="AB145" s="1005" t="str">
        <f>'Resource Costs'!$FC147</f>
        <v/>
      </c>
      <c r="AC145" s="1005" t="str">
        <f>'Resource Costs'!$FD147</f>
        <v/>
      </c>
      <c r="AD145" s="1005" t="str">
        <f>'Resource Costs'!$FE147</f>
        <v>Labor</v>
      </c>
      <c r="AE145" s="1005" t="str">
        <f>'Resource Costs'!$FF147</f>
        <v/>
      </c>
      <c r="AF145" s="1005" t="str">
        <f>'Resource Costs'!$FG147</f>
        <v/>
      </c>
      <c r="AG145" s="1006">
        <f>'Resource Costs'!$FH147</f>
        <v>0</v>
      </c>
      <c r="AH145" s="1006">
        <f>'Resource Costs'!$FI147</f>
        <v>0</v>
      </c>
      <c r="AI145" s="1006">
        <f>'Resource Costs'!$FJ147</f>
        <v>0</v>
      </c>
      <c r="AJ145" s="1006">
        <f>'Resource Costs'!$FK147</f>
        <v>0</v>
      </c>
      <c r="AK145" s="1006">
        <f>'Resource Costs'!$FL147</f>
        <v>0</v>
      </c>
      <c r="AL145" s="1006">
        <f>'Resource Costs'!$FM147</f>
        <v>0</v>
      </c>
      <c r="AM145" s="1007">
        <v>0</v>
      </c>
      <c r="AN145" s="1007">
        <v>0</v>
      </c>
      <c r="AO145" s="1007">
        <v>0</v>
      </c>
      <c r="AP145" s="1007">
        <v>0</v>
      </c>
      <c r="AQ145" s="1007">
        <v>0</v>
      </c>
      <c r="AR145" s="1016">
        <f t="shared" si="12"/>
        <v>0</v>
      </c>
    </row>
    <row r="146" spans="2:44" ht="15" customHeight="1">
      <c r="B146" s="2"/>
      <c r="C146"/>
      <c r="D146"/>
      <c r="E146"/>
      <c r="F146"/>
      <c r="G146"/>
      <c r="H146"/>
      <c r="I146"/>
      <c r="J146"/>
      <c r="K146"/>
      <c r="L146"/>
      <c r="M146"/>
      <c r="N146"/>
      <c r="O146"/>
      <c r="P146"/>
      <c r="Q146"/>
      <c r="AA146" s="1684"/>
      <c r="AB146" s="1005" t="str">
        <f>'Resource Costs'!$FC148</f>
        <v/>
      </c>
      <c r="AC146" s="1005" t="str">
        <f>'Resource Costs'!$FD148</f>
        <v/>
      </c>
      <c r="AD146" s="1005" t="str">
        <f>'Resource Costs'!$FE148</f>
        <v>Labor</v>
      </c>
      <c r="AE146" s="1005" t="str">
        <f>'Resource Costs'!$FF148</f>
        <v/>
      </c>
      <c r="AF146" s="1005" t="str">
        <f>'Resource Costs'!$FG148</f>
        <v/>
      </c>
      <c r="AG146" s="1006">
        <f>'Resource Costs'!$FH148</f>
        <v>0</v>
      </c>
      <c r="AH146" s="1006">
        <f>'Resource Costs'!$FI148</f>
        <v>0</v>
      </c>
      <c r="AI146" s="1006">
        <f>'Resource Costs'!$FJ148</f>
        <v>0</v>
      </c>
      <c r="AJ146" s="1006">
        <f>'Resource Costs'!$FK148</f>
        <v>0</v>
      </c>
      <c r="AK146" s="1006">
        <f>'Resource Costs'!$FL148</f>
        <v>0</v>
      </c>
      <c r="AL146" s="1006">
        <f>'Resource Costs'!$FM148</f>
        <v>0</v>
      </c>
      <c r="AM146" s="1007">
        <v>0</v>
      </c>
      <c r="AN146" s="1007">
        <v>0</v>
      </c>
      <c r="AO146" s="1007">
        <v>0</v>
      </c>
      <c r="AP146" s="1007">
        <v>0</v>
      </c>
      <c r="AQ146" s="1007">
        <v>0</v>
      </c>
      <c r="AR146" s="1016">
        <f t="shared" si="12"/>
        <v>0</v>
      </c>
    </row>
    <row r="147" spans="2:44" ht="15" customHeight="1">
      <c r="B147" s="2"/>
      <c r="C147"/>
      <c r="D147"/>
      <c r="E147"/>
      <c r="F147"/>
      <c r="G147"/>
      <c r="H147"/>
      <c r="I147"/>
      <c r="J147"/>
      <c r="K147"/>
      <c r="L147"/>
      <c r="M147"/>
      <c r="N147"/>
      <c r="O147"/>
      <c r="P147"/>
      <c r="Q147"/>
      <c r="AA147" s="1684"/>
      <c r="AB147" s="1005" t="str">
        <f>'Resource Costs'!$FC149</f>
        <v/>
      </c>
      <c r="AC147" s="1005" t="str">
        <f>'Resource Costs'!$FD149</f>
        <v/>
      </c>
      <c r="AD147" s="1005" t="str">
        <f>'Resource Costs'!$FE149</f>
        <v>Labor</v>
      </c>
      <c r="AE147" s="1005" t="str">
        <f>'Resource Costs'!$FF149</f>
        <v/>
      </c>
      <c r="AF147" s="1005" t="str">
        <f>'Resource Costs'!$FG149</f>
        <v/>
      </c>
      <c r="AG147" s="1006">
        <f>'Resource Costs'!$FH149</f>
        <v>0</v>
      </c>
      <c r="AH147" s="1006">
        <f>'Resource Costs'!$FI149</f>
        <v>0</v>
      </c>
      <c r="AI147" s="1006">
        <f>'Resource Costs'!$FJ149</f>
        <v>0</v>
      </c>
      <c r="AJ147" s="1006">
        <f>'Resource Costs'!$FK149</f>
        <v>0</v>
      </c>
      <c r="AK147" s="1006">
        <f>'Resource Costs'!$FL149</f>
        <v>0</v>
      </c>
      <c r="AL147" s="1006">
        <f>'Resource Costs'!$FM149</f>
        <v>0</v>
      </c>
      <c r="AM147" s="1007">
        <v>0</v>
      </c>
      <c r="AN147" s="1007">
        <v>0</v>
      </c>
      <c r="AO147" s="1007">
        <v>0</v>
      </c>
      <c r="AP147" s="1007">
        <v>0</v>
      </c>
      <c r="AQ147" s="1007">
        <v>0</v>
      </c>
      <c r="AR147" s="1016">
        <f t="shared" si="12"/>
        <v>0</v>
      </c>
    </row>
    <row r="148" spans="2:44" ht="15" customHeight="1">
      <c r="B148" s="2"/>
      <c r="C148"/>
      <c r="D148"/>
      <c r="E148"/>
      <c r="F148"/>
      <c r="G148"/>
      <c r="H148"/>
      <c r="I148"/>
      <c r="J148"/>
      <c r="K148"/>
      <c r="L148"/>
      <c r="M148"/>
      <c r="N148"/>
      <c r="O148"/>
      <c r="P148"/>
      <c r="Q148"/>
      <c r="AA148" s="1684"/>
      <c r="AB148" s="1005" t="str">
        <f>'Resource Costs'!$FC150</f>
        <v/>
      </c>
      <c r="AC148" s="1005" t="str">
        <f>'Resource Costs'!$FD150</f>
        <v/>
      </c>
      <c r="AD148" s="1005" t="str">
        <f>'Resource Costs'!$FE150</f>
        <v>Labor</v>
      </c>
      <c r="AE148" s="1005" t="str">
        <f>'Resource Costs'!$FF150</f>
        <v/>
      </c>
      <c r="AF148" s="1005" t="str">
        <f>'Resource Costs'!$FG150</f>
        <v/>
      </c>
      <c r="AG148" s="1006">
        <f>'Resource Costs'!$FH150</f>
        <v>0</v>
      </c>
      <c r="AH148" s="1006">
        <f>'Resource Costs'!$FI150</f>
        <v>0</v>
      </c>
      <c r="AI148" s="1006">
        <f>'Resource Costs'!$FJ150</f>
        <v>0</v>
      </c>
      <c r="AJ148" s="1006">
        <f>'Resource Costs'!$FK150</f>
        <v>0</v>
      </c>
      <c r="AK148" s="1006">
        <f>'Resource Costs'!$FL150</f>
        <v>0</v>
      </c>
      <c r="AL148" s="1006">
        <f>'Resource Costs'!$FM150</f>
        <v>0</v>
      </c>
      <c r="AM148" s="1007">
        <v>0</v>
      </c>
      <c r="AN148" s="1007">
        <v>0</v>
      </c>
      <c r="AO148" s="1007">
        <v>0</v>
      </c>
      <c r="AP148" s="1007">
        <v>0</v>
      </c>
      <c r="AQ148" s="1007">
        <v>0</v>
      </c>
      <c r="AR148" s="1016">
        <f t="shared" si="12"/>
        <v>0</v>
      </c>
    </row>
    <row r="149" spans="2:44" ht="15" customHeight="1">
      <c r="B149" s="2"/>
      <c r="C149"/>
      <c r="D149"/>
      <c r="E149"/>
      <c r="F149"/>
      <c r="G149"/>
      <c r="H149"/>
      <c r="I149"/>
      <c r="J149"/>
      <c r="K149"/>
      <c r="L149"/>
      <c r="M149"/>
      <c r="N149"/>
      <c r="O149"/>
      <c r="P149"/>
      <c r="Q149"/>
      <c r="AA149" s="1684"/>
      <c r="AB149" s="1005" t="str">
        <f>'Resource Costs'!$FC151</f>
        <v/>
      </c>
      <c r="AC149" s="1005" t="str">
        <f>'Resource Costs'!$FD151</f>
        <v/>
      </c>
      <c r="AD149" s="1005" t="str">
        <f>'Resource Costs'!$FE151</f>
        <v>Labor</v>
      </c>
      <c r="AE149" s="1005" t="str">
        <f>'Resource Costs'!$FF151</f>
        <v/>
      </c>
      <c r="AF149" s="1005" t="str">
        <f>'Resource Costs'!$FG151</f>
        <v/>
      </c>
      <c r="AG149" s="1006">
        <f>'Resource Costs'!$FH151</f>
        <v>0</v>
      </c>
      <c r="AH149" s="1006">
        <f>'Resource Costs'!$FI151</f>
        <v>0</v>
      </c>
      <c r="AI149" s="1006">
        <f>'Resource Costs'!$FJ151</f>
        <v>0</v>
      </c>
      <c r="AJ149" s="1006">
        <f>'Resource Costs'!$FK151</f>
        <v>0</v>
      </c>
      <c r="AK149" s="1006">
        <f>'Resource Costs'!$FL151</f>
        <v>0</v>
      </c>
      <c r="AL149" s="1006">
        <f>'Resource Costs'!$FM151</f>
        <v>0</v>
      </c>
      <c r="AM149" s="1007">
        <v>0</v>
      </c>
      <c r="AN149" s="1007">
        <v>0</v>
      </c>
      <c r="AO149" s="1007">
        <v>0</v>
      </c>
      <c r="AP149" s="1007">
        <v>0</v>
      </c>
      <c r="AQ149" s="1007">
        <v>0</v>
      </c>
      <c r="AR149" s="1016">
        <f t="shared" si="12"/>
        <v>0</v>
      </c>
    </row>
    <row r="150" spans="2:44" ht="15" customHeight="1">
      <c r="B150" s="2"/>
      <c r="C150"/>
      <c r="D150"/>
      <c r="E150"/>
      <c r="F150"/>
      <c r="G150"/>
      <c r="H150"/>
      <c r="I150"/>
      <c r="J150"/>
      <c r="K150"/>
      <c r="L150"/>
      <c r="M150"/>
      <c r="N150"/>
      <c r="O150"/>
      <c r="P150"/>
      <c r="Q150"/>
      <c r="AA150" s="1684"/>
      <c r="AB150" s="1005" t="str">
        <f>'Resource Costs'!$FC152</f>
        <v/>
      </c>
      <c r="AC150" s="1005" t="str">
        <f>'Resource Costs'!$FD152</f>
        <v/>
      </c>
      <c r="AD150" s="1005" t="str">
        <f>'Resource Costs'!$FE152</f>
        <v>Labor</v>
      </c>
      <c r="AE150" s="1005" t="str">
        <f>'Resource Costs'!$FF152</f>
        <v/>
      </c>
      <c r="AF150" s="1005" t="str">
        <f>'Resource Costs'!$FG152</f>
        <v/>
      </c>
      <c r="AG150" s="1006">
        <f>'Resource Costs'!$FH152</f>
        <v>0</v>
      </c>
      <c r="AH150" s="1006">
        <f>'Resource Costs'!$FI152</f>
        <v>0</v>
      </c>
      <c r="AI150" s="1006">
        <f>'Resource Costs'!$FJ152</f>
        <v>0</v>
      </c>
      <c r="AJ150" s="1006">
        <f>'Resource Costs'!$FK152</f>
        <v>0</v>
      </c>
      <c r="AK150" s="1006">
        <f>'Resource Costs'!$FL152</f>
        <v>0</v>
      </c>
      <c r="AL150" s="1006">
        <f>'Resource Costs'!$FM152</f>
        <v>0</v>
      </c>
      <c r="AM150" s="1007">
        <v>0</v>
      </c>
      <c r="AN150" s="1007">
        <v>0</v>
      </c>
      <c r="AO150" s="1007">
        <v>0</v>
      </c>
      <c r="AP150" s="1007">
        <v>0</v>
      </c>
      <c r="AQ150" s="1007">
        <v>0</v>
      </c>
      <c r="AR150" s="1016">
        <f t="shared" si="12"/>
        <v>0</v>
      </c>
    </row>
    <row r="151" spans="2:44" ht="15" customHeight="1">
      <c r="B151" s="2"/>
      <c r="C151"/>
      <c r="D151"/>
      <c r="E151"/>
      <c r="F151"/>
      <c r="G151"/>
      <c r="H151"/>
      <c r="I151"/>
      <c r="J151"/>
      <c r="K151"/>
      <c r="L151"/>
      <c r="M151"/>
      <c r="N151"/>
      <c r="O151"/>
      <c r="P151"/>
      <c r="Q151"/>
      <c r="AA151" s="1684"/>
      <c r="AB151" s="1005" t="str">
        <f>'Resource Costs'!$FC153</f>
        <v/>
      </c>
      <c r="AC151" s="1005" t="str">
        <f>'Resource Costs'!$FD153</f>
        <v/>
      </c>
      <c r="AD151" s="1005" t="str">
        <f>'Resource Costs'!$FE153</f>
        <v>Labor</v>
      </c>
      <c r="AE151" s="1005" t="str">
        <f>'Resource Costs'!$FF153</f>
        <v/>
      </c>
      <c r="AF151" s="1005" t="str">
        <f>'Resource Costs'!$FG153</f>
        <v/>
      </c>
      <c r="AG151" s="1006">
        <f>'Resource Costs'!$FH153</f>
        <v>0</v>
      </c>
      <c r="AH151" s="1006">
        <f>'Resource Costs'!$FI153</f>
        <v>0</v>
      </c>
      <c r="AI151" s="1006">
        <f>'Resource Costs'!$FJ153</f>
        <v>0</v>
      </c>
      <c r="AJ151" s="1006">
        <f>'Resource Costs'!$FK153</f>
        <v>0</v>
      </c>
      <c r="AK151" s="1006">
        <f>'Resource Costs'!$FL153</f>
        <v>0</v>
      </c>
      <c r="AL151" s="1006">
        <f>'Resource Costs'!$FM153</f>
        <v>0</v>
      </c>
      <c r="AM151" s="1007">
        <v>0</v>
      </c>
      <c r="AN151" s="1007">
        <v>0</v>
      </c>
      <c r="AO151" s="1007">
        <v>0</v>
      </c>
      <c r="AP151" s="1007">
        <v>0</v>
      </c>
      <c r="AQ151" s="1007">
        <v>0</v>
      </c>
      <c r="AR151" s="1016">
        <f t="shared" si="12"/>
        <v>0</v>
      </c>
    </row>
    <row r="152" spans="2:44" ht="15" customHeight="1">
      <c r="B152" s="2"/>
      <c r="C152" s="136"/>
      <c r="D152" s="136"/>
      <c r="E152" s="136"/>
      <c r="F152" s="136"/>
      <c r="G152" s="136"/>
      <c r="H152" s="136"/>
      <c r="I152" s="136"/>
      <c r="J152" s="136"/>
      <c r="K152" s="136"/>
      <c r="L152" s="136"/>
      <c r="M152" s="136"/>
      <c r="N152" s="136"/>
      <c r="O152" s="136"/>
      <c r="P152" s="136"/>
      <c r="Q152" s="136"/>
      <c r="AA152" s="1684"/>
      <c r="AB152" s="1005" t="str">
        <f>'Resource Costs'!$FC154</f>
        <v/>
      </c>
      <c r="AC152" s="1005" t="str">
        <f>'Resource Costs'!$FD154</f>
        <v/>
      </c>
      <c r="AD152" s="1005" t="str">
        <f>'Resource Costs'!$FE154</f>
        <v>Labor</v>
      </c>
      <c r="AE152" s="1005" t="str">
        <f>'Resource Costs'!$FF154</f>
        <v/>
      </c>
      <c r="AF152" s="1005" t="str">
        <f>'Resource Costs'!$FG154</f>
        <v/>
      </c>
      <c r="AG152" s="1006">
        <f>'Resource Costs'!$FH154</f>
        <v>0</v>
      </c>
      <c r="AH152" s="1006">
        <f>'Resource Costs'!$FI154</f>
        <v>0</v>
      </c>
      <c r="AI152" s="1006">
        <f>'Resource Costs'!$FJ154</f>
        <v>0</v>
      </c>
      <c r="AJ152" s="1006">
        <f>'Resource Costs'!$FK154</f>
        <v>0</v>
      </c>
      <c r="AK152" s="1006">
        <f>'Resource Costs'!$FL154</f>
        <v>0</v>
      </c>
      <c r="AL152" s="1006">
        <f>'Resource Costs'!$FM154</f>
        <v>0</v>
      </c>
      <c r="AM152" s="1007">
        <v>0</v>
      </c>
      <c r="AN152" s="1007">
        <v>0</v>
      </c>
      <c r="AO152" s="1007">
        <v>0</v>
      </c>
      <c r="AP152" s="1007">
        <v>0</v>
      </c>
      <c r="AQ152" s="1007">
        <v>0</v>
      </c>
      <c r="AR152" s="1016">
        <f t="shared" ref="AR152:AR215" si="13">SUM(AG152:AQ152)</f>
        <v>0</v>
      </c>
    </row>
    <row r="153" spans="2:44" ht="15" customHeight="1">
      <c r="B153" s="2"/>
      <c r="C153" s="136"/>
      <c r="D153" s="136"/>
      <c r="E153" s="136"/>
      <c r="F153" s="136"/>
      <c r="G153" s="136"/>
      <c r="H153" s="136"/>
      <c r="I153" s="136"/>
      <c r="J153" s="136"/>
      <c r="K153" s="136"/>
      <c r="L153" s="136"/>
      <c r="M153" s="136"/>
      <c r="N153" s="136"/>
      <c r="O153" s="136"/>
      <c r="P153" s="136"/>
      <c r="Q153" s="136"/>
      <c r="AA153" s="1684"/>
      <c r="AB153" s="1005" t="str">
        <f>'Resource Costs'!$FC155</f>
        <v/>
      </c>
      <c r="AC153" s="1005" t="str">
        <f>'Resource Costs'!$FD155</f>
        <v/>
      </c>
      <c r="AD153" s="1005" t="str">
        <f>'Resource Costs'!$FE155</f>
        <v>Labor</v>
      </c>
      <c r="AE153" s="1005" t="str">
        <f>'Resource Costs'!$FF155</f>
        <v/>
      </c>
      <c r="AF153" s="1005" t="str">
        <f>'Resource Costs'!$FG155</f>
        <v/>
      </c>
      <c r="AG153" s="1006">
        <f>'Resource Costs'!$FH155</f>
        <v>0</v>
      </c>
      <c r="AH153" s="1006">
        <f>'Resource Costs'!$FI155</f>
        <v>0</v>
      </c>
      <c r="AI153" s="1006">
        <f>'Resource Costs'!$FJ155</f>
        <v>0</v>
      </c>
      <c r="AJ153" s="1006">
        <f>'Resource Costs'!$FK155</f>
        <v>0</v>
      </c>
      <c r="AK153" s="1006">
        <f>'Resource Costs'!$FL155</f>
        <v>0</v>
      </c>
      <c r="AL153" s="1006">
        <f>'Resource Costs'!$FM155</f>
        <v>0</v>
      </c>
      <c r="AM153" s="1007">
        <v>0</v>
      </c>
      <c r="AN153" s="1007">
        <v>0</v>
      </c>
      <c r="AO153" s="1007">
        <v>0</v>
      </c>
      <c r="AP153" s="1007">
        <v>0</v>
      </c>
      <c r="AQ153" s="1007">
        <v>0</v>
      </c>
      <c r="AR153" s="1016">
        <f t="shared" si="13"/>
        <v>0</v>
      </c>
    </row>
    <row r="154" spans="2:44" ht="15" customHeight="1">
      <c r="B154" s="2"/>
      <c r="C154" s="136"/>
      <c r="D154" s="136"/>
      <c r="E154" s="136"/>
      <c r="F154" s="136"/>
      <c r="G154" s="136"/>
      <c r="H154" s="136"/>
      <c r="I154" s="136"/>
      <c r="J154" s="136"/>
      <c r="K154" s="136"/>
      <c r="L154" s="136"/>
      <c r="M154" s="136"/>
      <c r="N154" s="136"/>
      <c r="O154" s="136"/>
      <c r="P154" s="136"/>
      <c r="Q154" s="136"/>
      <c r="AA154" s="1684"/>
      <c r="AB154" s="1005" t="str">
        <f>'Resource Costs'!$FC156</f>
        <v/>
      </c>
      <c r="AC154" s="1005" t="str">
        <f>'Resource Costs'!$FD156</f>
        <v/>
      </c>
      <c r="AD154" s="1005" t="str">
        <f>'Resource Costs'!$FE156</f>
        <v>Labor</v>
      </c>
      <c r="AE154" s="1005" t="str">
        <f>'Resource Costs'!$FF156</f>
        <v/>
      </c>
      <c r="AF154" s="1005" t="str">
        <f>'Resource Costs'!$FG156</f>
        <v/>
      </c>
      <c r="AG154" s="1006">
        <f>'Resource Costs'!$FH156</f>
        <v>0</v>
      </c>
      <c r="AH154" s="1006">
        <f>'Resource Costs'!$FI156</f>
        <v>0</v>
      </c>
      <c r="AI154" s="1006">
        <f>'Resource Costs'!$FJ156</f>
        <v>0</v>
      </c>
      <c r="AJ154" s="1006">
        <f>'Resource Costs'!$FK156</f>
        <v>0</v>
      </c>
      <c r="AK154" s="1006">
        <f>'Resource Costs'!$FL156</f>
        <v>0</v>
      </c>
      <c r="AL154" s="1006">
        <f>'Resource Costs'!$FM156</f>
        <v>0</v>
      </c>
      <c r="AM154" s="1007">
        <v>0</v>
      </c>
      <c r="AN154" s="1007">
        <v>0</v>
      </c>
      <c r="AO154" s="1007">
        <v>0</v>
      </c>
      <c r="AP154" s="1007">
        <v>0</v>
      </c>
      <c r="AQ154" s="1007">
        <v>0</v>
      </c>
      <c r="AR154" s="1016">
        <f t="shared" si="13"/>
        <v>0</v>
      </c>
    </row>
    <row r="155" spans="2:44" ht="15" customHeight="1">
      <c r="B155" s="2"/>
      <c r="C155" s="136"/>
      <c r="D155" s="136"/>
      <c r="E155" s="136"/>
      <c r="F155" s="136"/>
      <c r="G155" s="136"/>
      <c r="H155" s="136"/>
      <c r="I155" s="136"/>
      <c r="J155" s="136"/>
      <c r="K155" s="136"/>
      <c r="L155" s="136"/>
      <c r="M155" s="136"/>
      <c r="N155" s="136"/>
      <c r="O155" s="136"/>
      <c r="P155" s="136"/>
      <c r="Q155" s="136"/>
      <c r="AA155" s="1684"/>
      <c r="AB155" s="1005" t="str">
        <f>'Resource Costs'!$FC157</f>
        <v/>
      </c>
      <c r="AC155" s="1005" t="str">
        <f>'Resource Costs'!$FD157</f>
        <v/>
      </c>
      <c r="AD155" s="1005" t="str">
        <f>'Resource Costs'!$FE157</f>
        <v>Labor</v>
      </c>
      <c r="AE155" s="1005" t="str">
        <f>'Resource Costs'!$FF157</f>
        <v/>
      </c>
      <c r="AF155" s="1005" t="str">
        <f>'Resource Costs'!$FG157</f>
        <v/>
      </c>
      <c r="AG155" s="1006">
        <f>'Resource Costs'!$FH157</f>
        <v>0</v>
      </c>
      <c r="AH155" s="1006">
        <f>'Resource Costs'!$FI157</f>
        <v>0</v>
      </c>
      <c r="AI155" s="1006">
        <f>'Resource Costs'!$FJ157</f>
        <v>0</v>
      </c>
      <c r="AJ155" s="1006">
        <f>'Resource Costs'!$FK157</f>
        <v>0</v>
      </c>
      <c r="AK155" s="1006">
        <f>'Resource Costs'!$FL157</f>
        <v>0</v>
      </c>
      <c r="AL155" s="1006">
        <f>'Resource Costs'!$FM157</f>
        <v>0</v>
      </c>
      <c r="AM155" s="1007">
        <v>0</v>
      </c>
      <c r="AN155" s="1007">
        <v>0</v>
      </c>
      <c r="AO155" s="1007">
        <v>0</v>
      </c>
      <c r="AP155" s="1007">
        <v>0</v>
      </c>
      <c r="AQ155" s="1007">
        <v>0</v>
      </c>
      <c r="AR155" s="1016">
        <f t="shared" si="13"/>
        <v>0</v>
      </c>
    </row>
    <row r="156" spans="2:44" ht="15" customHeight="1">
      <c r="B156" s="2"/>
      <c r="C156" s="136"/>
      <c r="D156" s="136"/>
      <c r="E156" s="136"/>
      <c r="F156" s="136"/>
      <c r="G156" s="136"/>
      <c r="H156" s="136"/>
      <c r="I156" s="136"/>
      <c r="J156" s="136"/>
      <c r="K156" s="136"/>
      <c r="L156" s="136"/>
      <c r="M156" s="136"/>
      <c r="N156" s="136"/>
      <c r="O156" s="136"/>
      <c r="P156" s="136"/>
      <c r="Q156" s="136"/>
      <c r="AA156" s="1684"/>
      <c r="AB156" s="1005" t="str">
        <f>'Resource Costs'!$FC158</f>
        <v/>
      </c>
      <c r="AC156" s="1005" t="str">
        <f>'Resource Costs'!$FD158</f>
        <v/>
      </c>
      <c r="AD156" s="1005" t="str">
        <f>'Resource Costs'!$FE158</f>
        <v>Labor</v>
      </c>
      <c r="AE156" s="1005" t="str">
        <f>'Resource Costs'!$FF158</f>
        <v/>
      </c>
      <c r="AF156" s="1005" t="str">
        <f>'Resource Costs'!$FG158</f>
        <v/>
      </c>
      <c r="AG156" s="1006">
        <f>'Resource Costs'!$FH158</f>
        <v>0</v>
      </c>
      <c r="AH156" s="1006">
        <f>'Resource Costs'!$FI158</f>
        <v>0</v>
      </c>
      <c r="AI156" s="1006">
        <f>'Resource Costs'!$FJ158</f>
        <v>0</v>
      </c>
      <c r="AJ156" s="1006">
        <f>'Resource Costs'!$FK158</f>
        <v>0</v>
      </c>
      <c r="AK156" s="1006">
        <f>'Resource Costs'!$FL158</f>
        <v>0</v>
      </c>
      <c r="AL156" s="1006">
        <f>'Resource Costs'!$FM158</f>
        <v>0</v>
      </c>
      <c r="AM156" s="1007">
        <v>0</v>
      </c>
      <c r="AN156" s="1007">
        <v>0</v>
      </c>
      <c r="AO156" s="1007">
        <v>0</v>
      </c>
      <c r="AP156" s="1007">
        <v>0</v>
      </c>
      <c r="AQ156" s="1007">
        <v>0</v>
      </c>
      <c r="AR156" s="1016">
        <f t="shared" si="13"/>
        <v>0</v>
      </c>
    </row>
    <row r="157" spans="2:44" ht="15" customHeight="1">
      <c r="B157" s="2"/>
      <c r="C157" s="136"/>
      <c r="D157" s="136"/>
      <c r="E157" s="136"/>
      <c r="F157" s="136"/>
      <c r="G157" s="136"/>
      <c r="H157" s="136"/>
      <c r="I157" s="136"/>
      <c r="J157" s="136"/>
      <c r="K157" s="136"/>
      <c r="L157" s="136"/>
      <c r="M157" s="136"/>
      <c r="N157" s="136"/>
      <c r="O157" s="136"/>
      <c r="P157" s="136"/>
      <c r="Q157" s="136"/>
      <c r="AA157" s="1684"/>
      <c r="AB157" s="1005" t="str">
        <f>'Resource Costs'!$FC159</f>
        <v/>
      </c>
      <c r="AC157" s="1005" t="str">
        <f>'Resource Costs'!$FD159</f>
        <v/>
      </c>
      <c r="AD157" s="1005" t="str">
        <f>'Resource Costs'!$FE159</f>
        <v>Labor</v>
      </c>
      <c r="AE157" s="1005" t="str">
        <f>'Resource Costs'!$FF159</f>
        <v/>
      </c>
      <c r="AF157" s="1005" t="str">
        <f>'Resource Costs'!$FG159</f>
        <v/>
      </c>
      <c r="AG157" s="1006">
        <f>'Resource Costs'!$FH159</f>
        <v>0</v>
      </c>
      <c r="AH157" s="1006">
        <f>'Resource Costs'!$FI159</f>
        <v>0</v>
      </c>
      <c r="AI157" s="1006">
        <f>'Resource Costs'!$FJ159</f>
        <v>0</v>
      </c>
      <c r="AJ157" s="1006">
        <f>'Resource Costs'!$FK159</f>
        <v>0</v>
      </c>
      <c r="AK157" s="1006">
        <f>'Resource Costs'!$FL159</f>
        <v>0</v>
      </c>
      <c r="AL157" s="1006">
        <f>'Resource Costs'!$FM159</f>
        <v>0</v>
      </c>
      <c r="AM157" s="1007">
        <v>0</v>
      </c>
      <c r="AN157" s="1007">
        <v>0</v>
      </c>
      <c r="AO157" s="1007">
        <v>0</v>
      </c>
      <c r="AP157" s="1007">
        <v>0</v>
      </c>
      <c r="AQ157" s="1007">
        <v>0</v>
      </c>
      <c r="AR157" s="1016">
        <f t="shared" si="13"/>
        <v>0</v>
      </c>
    </row>
    <row r="158" spans="2:44" ht="15" customHeight="1">
      <c r="B158" s="2"/>
      <c r="C158" s="136"/>
      <c r="D158" s="136"/>
      <c r="E158" s="136"/>
      <c r="F158" s="136"/>
      <c r="G158" s="136"/>
      <c r="H158" s="136"/>
      <c r="I158" s="136"/>
      <c r="J158" s="136"/>
      <c r="K158" s="136"/>
      <c r="L158" s="136"/>
      <c r="M158" s="136"/>
      <c r="N158" s="136"/>
      <c r="O158" s="136"/>
      <c r="P158" s="136"/>
      <c r="Q158" s="136"/>
      <c r="AA158" s="1684"/>
      <c r="AB158" s="1005" t="str">
        <f>'Resource Costs'!$FC160</f>
        <v/>
      </c>
      <c r="AC158" s="1005" t="str">
        <f>'Resource Costs'!$FD160</f>
        <v/>
      </c>
      <c r="AD158" s="1005" t="str">
        <f>'Resource Costs'!$FE160</f>
        <v>Labor</v>
      </c>
      <c r="AE158" s="1005" t="str">
        <f>'Resource Costs'!$FF160</f>
        <v/>
      </c>
      <c r="AF158" s="1005" t="str">
        <f>'Resource Costs'!$FG160</f>
        <v/>
      </c>
      <c r="AG158" s="1006">
        <f>'Resource Costs'!$FH160</f>
        <v>0</v>
      </c>
      <c r="AH158" s="1006">
        <f>'Resource Costs'!$FI160</f>
        <v>0</v>
      </c>
      <c r="AI158" s="1006">
        <f>'Resource Costs'!$FJ160</f>
        <v>0</v>
      </c>
      <c r="AJ158" s="1006">
        <f>'Resource Costs'!$FK160</f>
        <v>0</v>
      </c>
      <c r="AK158" s="1006">
        <f>'Resource Costs'!$FL160</f>
        <v>0</v>
      </c>
      <c r="AL158" s="1006">
        <f>'Resource Costs'!$FM160</f>
        <v>0</v>
      </c>
      <c r="AM158" s="1007">
        <v>0</v>
      </c>
      <c r="AN158" s="1007">
        <v>0</v>
      </c>
      <c r="AO158" s="1007">
        <v>0</v>
      </c>
      <c r="AP158" s="1007">
        <v>0</v>
      </c>
      <c r="AQ158" s="1007">
        <v>0</v>
      </c>
      <c r="AR158" s="1016">
        <f t="shared" si="13"/>
        <v>0</v>
      </c>
    </row>
    <row r="159" spans="2:44" ht="15" customHeight="1">
      <c r="B159" s="2"/>
      <c r="C159" s="136"/>
      <c r="D159" s="136"/>
      <c r="E159" s="136"/>
      <c r="F159" s="136"/>
      <c r="G159" s="136"/>
      <c r="H159" s="136"/>
      <c r="I159" s="136"/>
      <c r="J159" s="136"/>
      <c r="K159" s="136"/>
      <c r="L159" s="136"/>
      <c r="M159" s="136"/>
      <c r="N159" s="136"/>
      <c r="O159" s="136"/>
      <c r="P159" s="136"/>
      <c r="Q159" s="136"/>
      <c r="AA159" s="1684"/>
      <c r="AB159" s="1005" t="str">
        <f>'Resource Costs'!$FC161</f>
        <v/>
      </c>
      <c r="AC159" s="1005" t="str">
        <f>'Resource Costs'!$FD161</f>
        <v/>
      </c>
      <c r="AD159" s="1005" t="str">
        <f>'Resource Costs'!$FE161</f>
        <v>Labor</v>
      </c>
      <c r="AE159" s="1005" t="str">
        <f>'Resource Costs'!$FF161</f>
        <v/>
      </c>
      <c r="AF159" s="1005" t="str">
        <f>'Resource Costs'!$FG161</f>
        <v/>
      </c>
      <c r="AG159" s="1006">
        <f>'Resource Costs'!$FH161</f>
        <v>0</v>
      </c>
      <c r="AH159" s="1006">
        <f>'Resource Costs'!$FI161</f>
        <v>0</v>
      </c>
      <c r="AI159" s="1006">
        <f>'Resource Costs'!$FJ161</f>
        <v>0</v>
      </c>
      <c r="AJ159" s="1006">
        <f>'Resource Costs'!$FK161</f>
        <v>0</v>
      </c>
      <c r="AK159" s="1006">
        <f>'Resource Costs'!$FL161</f>
        <v>0</v>
      </c>
      <c r="AL159" s="1006">
        <f>'Resource Costs'!$FM161</f>
        <v>0</v>
      </c>
      <c r="AM159" s="1007">
        <v>0</v>
      </c>
      <c r="AN159" s="1007">
        <v>0</v>
      </c>
      <c r="AO159" s="1007">
        <v>0</v>
      </c>
      <c r="AP159" s="1007">
        <v>0</v>
      </c>
      <c r="AQ159" s="1007">
        <v>0</v>
      </c>
      <c r="AR159" s="1016">
        <f t="shared" si="13"/>
        <v>0</v>
      </c>
    </row>
    <row r="160" spans="2:44" ht="15" customHeight="1">
      <c r="B160" s="2"/>
      <c r="C160" s="136"/>
      <c r="D160" s="136"/>
      <c r="E160" s="136"/>
      <c r="F160" s="136"/>
      <c r="G160" s="136"/>
      <c r="H160" s="136"/>
      <c r="I160" s="136"/>
      <c r="J160" s="136"/>
      <c r="K160" s="136"/>
      <c r="L160" s="136"/>
      <c r="M160" s="136"/>
      <c r="N160" s="136"/>
      <c r="O160" s="136"/>
      <c r="P160" s="136"/>
      <c r="Q160" s="136"/>
      <c r="AA160" s="1684"/>
      <c r="AB160" s="1005" t="str">
        <f>'Resource Costs'!$FC162</f>
        <v/>
      </c>
      <c r="AC160" s="1005" t="str">
        <f>'Resource Costs'!$FD162</f>
        <v/>
      </c>
      <c r="AD160" s="1005" t="str">
        <f>'Resource Costs'!$FE162</f>
        <v>Labor</v>
      </c>
      <c r="AE160" s="1005" t="str">
        <f>'Resource Costs'!$FF162</f>
        <v/>
      </c>
      <c r="AF160" s="1005" t="str">
        <f>'Resource Costs'!$FG162</f>
        <v/>
      </c>
      <c r="AG160" s="1006">
        <f>'Resource Costs'!$FH162</f>
        <v>0</v>
      </c>
      <c r="AH160" s="1006">
        <f>'Resource Costs'!$FI162</f>
        <v>0</v>
      </c>
      <c r="AI160" s="1006">
        <f>'Resource Costs'!$FJ162</f>
        <v>0</v>
      </c>
      <c r="AJ160" s="1006">
        <f>'Resource Costs'!$FK162</f>
        <v>0</v>
      </c>
      <c r="AK160" s="1006">
        <f>'Resource Costs'!$FL162</f>
        <v>0</v>
      </c>
      <c r="AL160" s="1006">
        <f>'Resource Costs'!$FM162</f>
        <v>0</v>
      </c>
      <c r="AM160" s="1007">
        <v>0</v>
      </c>
      <c r="AN160" s="1007">
        <v>0</v>
      </c>
      <c r="AO160" s="1007">
        <v>0</v>
      </c>
      <c r="AP160" s="1007">
        <v>0</v>
      </c>
      <c r="AQ160" s="1007">
        <v>0</v>
      </c>
      <c r="AR160" s="1016">
        <f t="shared" si="13"/>
        <v>0</v>
      </c>
    </row>
    <row r="161" spans="2:44" ht="15" customHeight="1">
      <c r="B161" s="2"/>
      <c r="C161" s="136"/>
      <c r="D161" s="136"/>
      <c r="E161" s="136"/>
      <c r="F161" s="136"/>
      <c r="G161" s="136"/>
      <c r="H161" s="136"/>
      <c r="I161" s="136"/>
      <c r="J161" s="136"/>
      <c r="K161" s="136"/>
      <c r="L161" s="136"/>
      <c r="M161" s="136"/>
      <c r="N161" s="136"/>
      <c r="O161" s="136"/>
      <c r="P161" s="136"/>
      <c r="Q161" s="136"/>
      <c r="AA161" s="1684"/>
      <c r="AB161" s="1005" t="str">
        <f>'Resource Costs'!$FC163</f>
        <v/>
      </c>
      <c r="AC161" s="1005" t="str">
        <f>'Resource Costs'!$FD163</f>
        <v/>
      </c>
      <c r="AD161" s="1005" t="str">
        <f>'Resource Costs'!$FE163</f>
        <v>Labor</v>
      </c>
      <c r="AE161" s="1005" t="str">
        <f>'Resource Costs'!$FF163</f>
        <v/>
      </c>
      <c r="AF161" s="1005" t="str">
        <f>'Resource Costs'!$FG163</f>
        <v/>
      </c>
      <c r="AG161" s="1006">
        <f>'Resource Costs'!$FH163</f>
        <v>0</v>
      </c>
      <c r="AH161" s="1006">
        <f>'Resource Costs'!$FI163</f>
        <v>0</v>
      </c>
      <c r="AI161" s="1006">
        <f>'Resource Costs'!$FJ163</f>
        <v>0</v>
      </c>
      <c r="AJ161" s="1006">
        <f>'Resource Costs'!$FK163</f>
        <v>0</v>
      </c>
      <c r="AK161" s="1006">
        <f>'Resource Costs'!$FL163</f>
        <v>0</v>
      </c>
      <c r="AL161" s="1006">
        <f>'Resource Costs'!$FM163</f>
        <v>0</v>
      </c>
      <c r="AM161" s="1007">
        <v>0</v>
      </c>
      <c r="AN161" s="1007">
        <v>0</v>
      </c>
      <c r="AO161" s="1007">
        <v>0</v>
      </c>
      <c r="AP161" s="1007">
        <v>0</v>
      </c>
      <c r="AQ161" s="1007">
        <v>0</v>
      </c>
      <c r="AR161" s="1016">
        <f t="shared" si="13"/>
        <v>0</v>
      </c>
    </row>
    <row r="162" spans="2:44" ht="15" customHeight="1">
      <c r="B162" s="2"/>
      <c r="C162" s="136"/>
      <c r="D162" s="136"/>
      <c r="E162" s="136"/>
      <c r="F162" s="136"/>
      <c r="G162" s="136"/>
      <c r="H162" s="136"/>
      <c r="I162" s="136"/>
      <c r="J162" s="136"/>
      <c r="K162" s="136"/>
      <c r="L162" s="136"/>
      <c r="M162" s="136"/>
      <c r="N162" s="136"/>
      <c r="O162" s="136"/>
      <c r="P162" s="136"/>
      <c r="Q162" s="136"/>
      <c r="AA162" s="1684"/>
      <c r="AB162" s="1005" t="str">
        <f>'Resource Costs'!$FC164</f>
        <v/>
      </c>
      <c r="AC162" s="1005" t="str">
        <f>'Resource Costs'!$FD164</f>
        <v/>
      </c>
      <c r="AD162" s="1005" t="str">
        <f>'Resource Costs'!$FE164</f>
        <v>Labor</v>
      </c>
      <c r="AE162" s="1005" t="str">
        <f>'Resource Costs'!$FF164</f>
        <v/>
      </c>
      <c r="AF162" s="1005" t="str">
        <f>'Resource Costs'!$FG164</f>
        <v/>
      </c>
      <c r="AG162" s="1006">
        <f>'Resource Costs'!$FH164</f>
        <v>0</v>
      </c>
      <c r="AH162" s="1006">
        <f>'Resource Costs'!$FI164</f>
        <v>0</v>
      </c>
      <c r="AI162" s="1006">
        <f>'Resource Costs'!$FJ164</f>
        <v>0</v>
      </c>
      <c r="AJ162" s="1006">
        <f>'Resource Costs'!$FK164</f>
        <v>0</v>
      </c>
      <c r="AK162" s="1006">
        <f>'Resource Costs'!$FL164</f>
        <v>0</v>
      </c>
      <c r="AL162" s="1006">
        <f>'Resource Costs'!$FM164</f>
        <v>0</v>
      </c>
      <c r="AM162" s="1007">
        <v>0</v>
      </c>
      <c r="AN162" s="1007">
        <v>0</v>
      </c>
      <c r="AO162" s="1007">
        <v>0</v>
      </c>
      <c r="AP162" s="1007">
        <v>0</v>
      </c>
      <c r="AQ162" s="1007">
        <v>0</v>
      </c>
      <c r="AR162" s="1016">
        <f t="shared" si="13"/>
        <v>0</v>
      </c>
    </row>
    <row r="163" spans="2:44" ht="15" customHeight="1">
      <c r="B163" s="2"/>
      <c r="C163" s="136"/>
      <c r="D163" s="136"/>
      <c r="E163" s="136"/>
      <c r="F163" s="136"/>
      <c r="G163" s="136"/>
      <c r="H163" s="136"/>
      <c r="I163" s="136"/>
      <c r="J163" s="136"/>
      <c r="K163" s="136"/>
      <c r="L163" s="136"/>
      <c r="M163" s="136"/>
      <c r="N163" s="136"/>
      <c r="O163" s="136"/>
      <c r="P163" s="136"/>
      <c r="Q163" s="136"/>
      <c r="AA163" s="1684"/>
      <c r="AB163" s="1005" t="str">
        <f>'Resource Costs'!$FC165</f>
        <v/>
      </c>
      <c r="AC163" s="1005" t="str">
        <f>'Resource Costs'!$FD165</f>
        <v/>
      </c>
      <c r="AD163" s="1005" t="str">
        <f>'Resource Costs'!$FE165</f>
        <v>Labor</v>
      </c>
      <c r="AE163" s="1005" t="str">
        <f>'Resource Costs'!$FF165</f>
        <v/>
      </c>
      <c r="AF163" s="1005" t="str">
        <f>'Resource Costs'!$FG165</f>
        <v/>
      </c>
      <c r="AG163" s="1006">
        <f>'Resource Costs'!$FH165</f>
        <v>0</v>
      </c>
      <c r="AH163" s="1006">
        <f>'Resource Costs'!$FI165</f>
        <v>0</v>
      </c>
      <c r="AI163" s="1006">
        <f>'Resource Costs'!$FJ165</f>
        <v>0</v>
      </c>
      <c r="AJ163" s="1006">
        <f>'Resource Costs'!$FK165</f>
        <v>0</v>
      </c>
      <c r="AK163" s="1006">
        <f>'Resource Costs'!$FL165</f>
        <v>0</v>
      </c>
      <c r="AL163" s="1006">
        <f>'Resource Costs'!$FM165</f>
        <v>0</v>
      </c>
      <c r="AM163" s="1007">
        <v>0</v>
      </c>
      <c r="AN163" s="1007">
        <v>0</v>
      </c>
      <c r="AO163" s="1007">
        <v>0</v>
      </c>
      <c r="AP163" s="1007">
        <v>0</v>
      </c>
      <c r="AQ163" s="1007">
        <v>0</v>
      </c>
      <c r="AR163" s="1016">
        <f t="shared" si="13"/>
        <v>0</v>
      </c>
    </row>
    <row r="164" spans="2:44" ht="15" customHeight="1">
      <c r="B164" s="2"/>
      <c r="C164" s="136"/>
      <c r="D164" s="136"/>
      <c r="E164" s="136"/>
      <c r="F164" s="136"/>
      <c r="G164" s="136"/>
      <c r="H164" s="136"/>
      <c r="I164" s="136"/>
      <c r="J164" s="136"/>
      <c r="K164" s="136"/>
      <c r="L164" s="136"/>
      <c r="M164" s="136"/>
      <c r="N164" s="136"/>
      <c r="O164" s="136"/>
      <c r="P164" s="136"/>
      <c r="Q164" s="136"/>
      <c r="AA164" s="1684"/>
      <c r="AB164" s="1005" t="str">
        <f>'Resource Costs'!$FC166</f>
        <v/>
      </c>
      <c r="AC164" s="1005" t="str">
        <f>'Resource Costs'!$FD166</f>
        <v/>
      </c>
      <c r="AD164" s="1005" t="str">
        <f>'Resource Costs'!$FE166</f>
        <v>Labor</v>
      </c>
      <c r="AE164" s="1005" t="str">
        <f>'Resource Costs'!$FF166</f>
        <v/>
      </c>
      <c r="AF164" s="1005" t="str">
        <f>'Resource Costs'!$FG166</f>
        <v/>
      </c>
      <c r="AG164" s="1006">
        <f>'Resource Costs'!$FH166</f>
        <v>0</v>
      </c>
      <c r="AH164" s="1006">
        <f>'Resource Costs'!$FI166</f>
        <v>0</v>
      </c>
      <c r="AI164" s="1006">
        <f>'Resource Costs'!$FJ166</f>
        <v>0</v>
      </c>
      <c r="AJ164" s="1006">
        <f>'Resource Costs'!$FK166</f>
        <v>0</v>
      </c>
      <c r="AK164" s="1006">
        <f>'Resource Costs'!$FL166</f>
        <v>0</v>
      </c>
      <c r="AL164" s="1006">
        <f>'Resource Costs'!$FM166</f>
        <v>0</v>
      </c>
      <c r="AM164" s="1007">
        <v>0</v>
      </c>
      <c r="AN164" s="1007">
        <v>0</v>
      </c>
      <c r="AO164" s="1007">
        <v>0</v>
      </c>
      <c r="AP164" s="1007">
        <v>0</v>
      </c>
      <c r="AQ164" s="1007">
        <v>0</v>
      </c>
      <c r="AR164" s="1016">
        <f t="shared" si="13"/>
        <v>0</v>
      </c>
    </row>
    <row r="165" spans="2:44" ht="15" customHeight="1">
      <c r="B165" s="2"/>
      <c r="C165" s="136"/>
      <c r="D165" s="136"/>
      <c r="E165" s="136"/>
      <c r="F165" s="136"/>
      <c r="G165" s="136"/>
      <c r="H165" s="136"/>
      <c r="I165" s="136"/>
      <c r="J165" s="136"/>
      <c r="K165" s="136"/>
      <c r="L165" s="136"/>
      <c r="M165" s="136"/>
      <c r="N165" s="136"/>
      <c r="O165" s="136"/>
      <c r="P165" s="136"/>
      <c r="Q165" s="136"/>
      <c r="AA165" s="1684"/>
      <c r="AB165" s="1005" t="str">
        <f>'Resource Costs'!$FC167</f>
        <v/>
      </c>
      <c r="AC165" s="1005" t="str">
        <f>'Resource Costs'!$FD167</f>
        <v/>
      </c>
      <c r="AD165" s="1005" t="str">
        <f>'Resource Costs'!$FE167</f>
        <v>Labor</v>
      </c>
      <c r="AE165" s="1005" t="str">
        <f>'Resource Costs'!$FF167</f>
        <v/>
      </c>
      <c r="AF165" s="1005" t="str">
        <f>'Resource Costs'!$FG167</f>
        <v/>
      </c>
      <c r="AG165" s="1006">
        <f>'Resource Costs'!$FH167</f>
        <v>0</v>
      </c>
      <c r="AH165" s="1006">
        <f>'Resource Costs'!$FI167</f>
        <v>0</v>
      </c>
      <c r="AI165" s="1006">
        <f>'Resource Costs'!$FJ167</f>
        <v>0</v>
      </c>
      <c r="AJ165" s="1006">
        <f>'Resource Costs'!$FK167</f>
        <v>0</v>
      </c>
      <c r="AK165" s="1006">
        <f>'Resource Costs'!$FL167</f>
        <v>0</v>
      </c>
      <c r="AL165" s="1006">
        <f>'Resource Costs'!$FM167</f>
        <v>0</v>
      </c>
      <c r="AM165" s="1007">
        <v>0</v>
      </c>
      <c r="AN165" s="1007">
        <v>0</v>
      </c>
      <c r="AO165" s="1007">
        <v>0</v>
      </c>
      <c r="AP165" s="1007">
        <v>0</v>
      </c>
      <c r="AQ165" s="1007">
        <v>0</v>
      </c>
      <c r="AR165" s="1016">
        <f t="shared" si="13"/>
        <v>0</v>
      </c>
    </row>
    <row r="166" spans="2:44" ht="15" customHeight="1">
      <c r="B166" s="2"/>
      <c r="C166" s="136"/>
      <c r="D166" s="136"/>
      <c r="E166" s="136"/>
      <c r="F166" s="136"/>
      <c r="G166" s="136"/>
      <c r="H166" s="136"/>
      <c r="I166" s="136"/>
      <c r="J166" s="136"/>
      <c r="K166" s="136"/>
      <c r="L166" s="136"/>
      <c r="M166" s="136"/>
      <c r="N166" s="136"/>
      <c r="O166" s="136"/>
      <c r="P166" s="136"/>
      <c r="Q166" s="136"/>
      <c r="AA166" s="1684"/>
      <c r="AB166" s="1005" t="str">
        <f>'Resource Costs'!$FC168</f>
        <v/>
      </c>
      <c r="AC166" s="1005" t="str">
        <f>'Resource Costs'!$FD168</f>
        <v/>
      </c>
      <c r="AD166" s="1005" t="str">
        <f>'Resource Costs'!$FE168</f>
        <v>Labor</v>
      </c>
      <c r="AE166" s="1005" t="str">
        <f>'Resource Costs'!$FF168</f>
        <v/>
      </c>
      <c r="AF166" s="1005" t="str">
        <f>'Resource Costs'!$FG168</f>
        <v/>
      </c>
      <c r="AG166" s="1006">
        <f>'Resource Costs'!$FH168</f>
        <v>0</v>
      </c>
      <c r="AH166" s="1006">
        <f>'Resource Costs'!$FI168</f>
        <v>0</v>
      </c>
      <c r="AI166" s="1006">
        <f>'Resource Costs'!$FJ168</f>
        <v>0</v>
      </c>
      <c r="AJ166" s="1006">
        <f>'Resource Costs'!$FK168</f>
        <v>0</v>
      </c>
      <c r="AK166" s="1006">
        <f>'Resource Costs'!$FL168</f>
        <v>0</v>
      </c>
      <c r="AL166" s="1006">
        <f>'Resource Costs'!$FM168</f>
        <v>0</v>
      </c>
      <c r="AM166" s="1007">
        <v>0</v>
      </c>
      <c r="AN166" s="1007">
        <v>0</v>
      </c>
      <c r="AO166" s="1007">
        <v>0</v>
      </c>
      <c r="AP166" s="1007">
        <v>0</v>
      </c>
      <c r="AQ166" s="1007">
        <v>0</v>
      </c>
      <c r="AR166" s="1016">
        <f t="shared" si="13"/>
        <v>0</v>
      </c>
    </row>
    <row r="167" spans="2:44" ht="15" customHeight="1">
      <c r="B167" s="2"/>
      <c r="C167" s="136"/>
      <c r="D167" s="136"/>
      <c r="E167" s="136"/>
      <c r="F167" s="136"/>
      <c r="G167" s="136"/>
      <c r="H167" s="136"/>
      <c r="I167" s="136"/>
      <c r="J167" s="136"/>
      <c r="K167" s="136"/>
      <c r="L167" s="136"/>
      <c r="M167" s="136"/>
      <c r="N167" s="136"/>
      <c r="O167" s="136"/>
      <c r="P167" s="136"/>
      <c r="Q167" s="136"/>
      <c r="AA167" s="1684"/>
      <c r="AB167" s="1005" t="str">
        <f>'Resource Costs'!$FC169</f>
        <v/>
      </c>
      <c r="AC167" s="1005" t="str">
        <f>'Resource Costs'!$FD169</f>
        <v/>
      </c>
      <c r="AD167" s="1005" t="str">
        <f>'Resource Costs'!$FE169</f>
        <v>Labor</v>
      </c>
      <c r="AE167" s="1005" t="str">
        <f>'Resource Costs'!$FF169</f>
        <v/>
      </c>
      <c r="AF167" s="1005" t="str">
        <f>'Resource Costs'!$FG169</f>
        <v/>
      </c>
      <c r="AG167" s="1006">
        <f>'Resource Costs'!$FH169</f>
        <v>0</v>
      </c>
      <c r="AH167" s="1006">
        <f>'Resource Costs'!$FI169</f>
        <v>0</v>
      </c>
      <c r="AI167" s="1006">
        <f>'Resource Costs'!$FJ169</f>
        <v>0</v>
      </c>
      <c r="AJ167" s="1006">
        <f>'Resource Costs'!$FK169</f>
        <v>0</v>
      </c>
      <c r="AK167" s="1006">
        <f>'Resource Costs'!$FL169</f>
        <v>0</v>
      </c>
      <c r="AL167" s="1006">
        <f>'Resource Costs'!$FM169</f>
        <v>0</v>
      </c>
      <c r="AM167" s="1007">
        <v>0</v>
      </c>
      <c r="AN167" s="1007">
        <v>0</v>
      </c>
      <c r="AO167" s="1007">
        <v>0</v>
      </c>
      <c r="AP167" s="1007">
        <v>0</v>
      </c>
      <c r="AQ167" s="1007">
        <v>0</v>
      </c>
      <c r="AR167" s="1016">
        <f t="shared" si="13"/>
        <v>0</v>
      </c>
    </row>
    <row r="168" spans="2:44" ht="15" customHeight="1">
      <c r="B168" s="2"/>
      <c r="C168" s="136"/>
      <c r="D168" s="136"/>
      <c r="E168" s="136"/>
      <c r="F168" s="136"/>
      <c r="G168" s="136"/>
      <c r="H168" s="136"/>
      <c r="I168" s="136"/>
      <c r="J168" s="136"/>
      <c r="K168" s="136"/>
      <c r="L168" s="136"/>
      <c r="M168" s="136"/>
      <c r="N168" s="136"/>
      <c r="O168" s="136"/>
      <c r="P168" s="136"/>
      <c r="Q168" s="136"/>
      <c r="AA168" s="1684"/>
      <c r="AB168" s="1005" t="str">
        <f>'Resource Costs'!$FC170</f>
        <v/>
      </c>
      <c r="AC168" s="1005" t="str">
        <f>'Resource Costs'!$FD170</f>
        <v/>
      </c>
      <c r="AD168" s="1005" t="str">
        <f>'Resource Costs'!$FE170</f>
        <v>Labor</v>
      </c>
      <c r="AE168" s="1005" t="str">
        <f>'Resource Costs'!$FF170</f>
        <v/>
      </c>
      <c r="AF168" s="1005" t="str">
        <f>'Resource Costs'!$FG170</f>
        <v/>
      </c>
      <c r="AG168" s="1006">
        <f>'Resource Costs'!$FH170</f>
        <v>0</v>
      </c>
      <c r="AH168" s="1006">
        <f>'Resource Costs'!$FI170</f>
        <v>0</v>
      </c>
      <c r="AI168" s="1006">
        <f>'Resource Costs'!$FJ170</f>
        <v>0</v>
      </c>
      <c r="AJ168" s="1006">
        <f>'Resource Costs'!$FK170</f>
        <v>0</v>
      </c>
      <c r="AK168" s="1006">
        <f>'Resource Costs'!$FL170</f>
        <v>0</v>
      </c>
      <c r="AL168" s="1006">
        <f>'Resource Costs'!$FM170</f>
        <v>0</v>
      </c>
      <c r="AM168" s="1007">
        <v>0</v>
      </c>
      <c r="AN168" s="1007">
        <v>0</v>
      </c>
      <c r="AO168" s="1007">
        <v>0</v>
      </c>
      <c r="AP168" s="1007">
        <v>0</v>
      </c>
      <c r="AQ168" s="1007">
        <v>0</v>
      </c>
      <c r="AR168" s="1016">
        <f t="shared" si="13"/>
        <v>0</v>
      </c>
    </row>
    <row r="169" spans="2:44" ht="15" customHeight="1">
      <c r="B169" s="2"/>
      <c r="C169" s="136"/>
      <c r="D169" s="136"/>
      <c r="E169" s="136"/>
      <c r="F169" s="136"/>
      <c r="G169" s="136"/>
      <c r="H169" s="136"/>
      <c r="I169" s="136"/>
      <c r="J169" s="136"/>
      <c r="K169" s="136"/>
      <c r="L169" s="136"/>
      <c r="M169" s="136"/>
      <c r="N169" s="136"/>
      <c r="O169" s="136"/>
      <c r="P169" s="136"/>
      <c r="Q169" s="136"/>
      <c r="AA169" s="1684"/>
      <c r="AB169" s="1005" t="str">
        <f>'Resource Costs'!$FC171</f>
        <v/>
      </c>
      <c r="AC169" s="1005" t="str">
        <f>'Resource Costs'!$FD171</f>
        <v/>
      </c>
      <c r="AD169" s="1005" t="str">
        <f>'Resource Costs'!$FE171</f>
        <v>Labor</v>
      </c>
      <c r="AE169" s="1005" t="str">
        <f>'Resource Costs'!$FF171</f>
        <v/>
      </c>
      <c r="AF169" s="1005" t="str">
        <f>'Resource Costs'!$FG171</f>
        <v/>
      </c>
      <c r="AG169" s="1006">
        <f>'Resource Costs'!$FH171</f>
        <v>0</v>
      </c>
      <c r="AH169" s="1006">
        <f>'Resource Costs'!$FI171</f>
        <v>0</v>
      </c>
      <c r="AI169" s="1006">
        <f>'Resource Costs'!$FJ171</f>
        <v>0</v>
      </c>
      <c r="AJ169" s="1006">
        <f>'Resource Costs'!$FK171</f>
        <v>0</v>
      </c>
      <c r="AK169" s="1006">
        <f>'Resource Costs'!$FL171</f>
        <v>0</v>
      </c>
      <c r="AL169" s="1006">
        <f>'Resource Costs'!$FM171</f>
        <v>0</v>
      </c>
      <c r="AM169" s="1007">
        <v>0</v>
      </c>
      <c r="AN169" s="1007">
        <v>0</v>
      </c>
      <c r="AO169" s="1007">
        <v>0</v>
      </c>
      <c r="AP169" s="1007">
        <v>0</v>
      </c>
      <c r="AQ169" s="1007">
        <v>0</v>
      </c>
      <c r="AR169" s="1016">
        <f t="shared" si="13"/>
        <v>0</v>
      </c>
    </row>
    <row r="170" spans="2:44" ht="15" customHeight="1">
      <c r="B170" s="2"/>
      <c r="C170" s="136"/>
      <c r="D170" s="136"/>
      <c r="E170" s="136"/>
      <c r="F170" s="136"/>
      <c r="G170" s="136"/>
      <c r="H170" s="136"/>
      <c r="I170" s="136"/>
      <c r="J170" s="136"/>
      <c r="K170" s="136"/>
      <c r="L170" s="136"/>
      <c r="M170" s="136"/>
      <c r="N170" s="136"/>
      <c r="O170" s="136"/>
      <c r="P170" s="136"/>
      <c r="Q170" s="136"/>
      <c r="AA170" s="1684"/>
      <c r="AB170" s="1005" t="str">
        <f>'Resource Costs'!$FC172</f>
        <v/>
      </c>
      <c r="AC170" s="1005" t="str">
        <f>'Resource Costs'!$FD172</f>
        <v/>
      </c>
      <c r="AD170" s="1005" t="str">
        <f>'Resource Costs'!$FE172</f>
        <v>Labor</v>
      </c>
      <c r="AE170" s="1005" t="str">
        <f>'Resource Costs'!$FF172</f>
        <v/>
      </c>
      <c r="AF170" s="1005" t="str">
        <f>'Resource Costs'!$FG172</f>
        <v/>
      </c>
      <c r="AG170" s="1006">
        <f>'Resource Costs'!$FH172</f>
        <v>0</v>
      </c>
      <c r="AH170" s="1006">
        <f>'Resource Costs'!$FI172</f>
        <v>0</v>
      </c>
      <c r="AI170" s="1006">
        <f>'Resource Costs'!$FJ172</f>
        <v>0</v>
      </c>
      <c r="AJ170" s="1006">
        <f>'Resource Costs'!$FK172</f>
        <v>0</v>
      </c>
      <c r="AK170" s="1006">
        <f>'Resource Costs'!$FL172</f>
        <v>0</v>
      </c>
      <c r="AL170" s="1006">
        <f>'Resource Costs'!$FM172</f>
        <v>0</v>
      </c>
      <c r="AM170" s="1007">
        <v>0</v>
      </c>
      <c r="AN170" s="1007">
        <v>0</v>
      </c>
      <c r="AO170" s="1007">
        <v>0</v>
      </c>
      <c r="AP170" s="1007">
        <v>0</v>
      </c>
      <c r="AQ170" s="1007">
        <v>0</v>
      </c>
      <c r="AR170" s="1016">
        <f t="shared" si="13"/>
        <v>0</v>
      </c>
    </row>
    <row r="171" spans="2:44" ht="15" customHeight="1">
      <c r="B171" s="2"/>
      <c r="C171" s="136"/>
      <c r="D171" s="136"/>
      <c r="E171" s="136"/>
      <c r="F171" s="136"/>
      <c r="G171" s="136"/>
      <c r="H171" s="136"/>
      <c r="I171" s="136"/>
      <c r="J171" s="136"/>
      <c r="K171" s="136"/>
      <c r="L171" s="136"/>
      <c r="M171" s="136"/>
      <c r="N171" s="136"/>
      <c r="O171" s="136"/>
      <c r="P171" s="136"/>
      <c r="Q171" s="136"/>
      <c r="AA171" s="1684"/>
      <c r="AB171" s="1005" t="str">
        <f>'Resource Costs'!$FC173</f>
        <v/>
      </c>
      <c r="AC171" s="1005" t="str">
        <f>'Resource Costs'!$FD173</f>
        <v/>
      </c>
      <c r="AD171" s="1005" t="str">
        <f>'Resource Costs'!$FE173</f>
        <v>Labor</v>
      </c>
      <c r="AE171" s="1005" t="str">
        <f>'Resource Costs'!$FF173</f>
        <v/>
      </c>
      <c r="AF171" s="1005" t="str">
        <f>'Resource Costs'!$FG173</f>
        <v/>
      </c>
      <c r="AG171" s="1006">
        <f>'Resource Costs'!$FH173</f>
        <v>0</v>
      </c>
      <c r="AH171" s="1006">
        <f>'Resource Costs'!$FI173</f>
        <v>0</v>
      </c>
      <c r="AI171" s="1006">
        <f>'Resource Costs'!$FJ173</f>
        <v>0</v>
      </c>
      <c r="AJ171" s="1006">
        <f>'Resource Costs'!$FK173</f>
        <v>0</v>
      </c>
      <c r="AK171" s="1006">
        <f>'Resource Costs'!$FL173</f>
        <v>0</v>
      </c>
      <c r="AL171" s="1006">
        <f>'Resource Costs'!$FM173</f>
        <v>0</v>
      </c>
      <c r="AM171" s="1007">
        <v>0</v>
      </c>
      <c r="AN171" s="1007">
        <v>0</v>
      </c>
      <c r="AO171" s="1007">
        <v>0</v>
      </c>
      <c r="AP171" s="1007">
        <v>0</v>
      </c>
      <c r="AQ171" s="1007">
        <v>0</v>
      </c>
      <c r="AR171" s="1016">
        <f t="shared" si="13"/>
        <v>0</v>
      </c>
    </row>
    <row r="172" spans="2:44" ht="15" customHeight="1">
      <c r="B172" s="2"/>
      <c r="C172" s="136"/>
      <c r="D172" s="136"/>
      <c r="E172" s="136"/>
      <c r="F172" s="136"/>
      <c r="G172" s="136"/>
      <c r="H172" s="136"/>
      <c r="I172" s="136"/>
      <c r="J172" s="136"/>
      <c r="K172" s="136"/>
      <c r="L172" s="136"/>
      <c r="M172" s="136"/>
      <c r="N172" s="136"/>
      <c r="O172" s="136"/>
      <c r="P172" s="136"/>
      <c r="Q172" s="136"/>
      <c r="AA172" s="1684"/>
      <c r="AB172" s="1005" t="str">
        <f>'Resource Costs'!$FC174</f>
        <v/>
      </c>
      <c r="AC172" s="1005" t="str">
        <f>'Resource Costs'!$FD174</f>
        <v/>
      </c>
      <c r="AD172" s="1005" t="str">
        <f>'Resource Costs'!$FE174</f>
        <v>Labor</v>
      </c>
      <c r="AE172" s="1005" t="str">
        <f>'Resource Costs'!$FF174</f>
        <v/>
      </c>
      <c r="AF172" s="1005" t="str">
        <f>'Resource Costs'!$FG174</f>
        <v/>
      </c>
      <c r="AG172" s="1006">
        <f>'Resource Costs'!$FH174</f>
        <v>0</v>
      </c>
      <c r="AH172" s="1006">
        <f>'Resource Costs'!$FI174</f>
        <v>0</v>
      </c>
      <c r="AI172" s="1006">
        <f>'Resource Costs'!$FJ174</f>
        <v>0</v>
      </c>
      <c r="AJ172" s="1006">
        <f>'Resource Costs'!$FK174</f>
        <v>0</v>
      </c>
      <c r="AK172" s="1006">
        <f>'Resource Costs'!$FL174</f>
        <v>0</v>
      </c>
      <c r="AL172" s="1006">
        <f>'Resource Costs'!$FM174</f>
        <v>0</v>
      </c>
      <c r="AM172" s="1007">
        <v>0</v>
      </c>
      <c r="AN172" s="1007">
        <v>0</v>
      </c>
      <c r="AO172" s="1007">
        <v>0</v>
      </c>
      <c r="AP172" s="1007">
        <v>0</v>
      </c>
      <c r="AQ172" s="1007">
        <v>0</v>
      </c>
      <c r="AR172" s="1016">
        <f t="shared" si="13"/>
        <v>0</v>
      </c>
    </row>
    <row r="173" spans="2:44" ht="15" customHeight="1">
      <c r="B173" s="2"/>
      <c r="C173" s="136"/>
      <c r="D173" s="136"/>
      <c r="E173" s="136"/>
      <c r="F173" s="136"/>
      <c r="G173" s="136"/>
      <c r="H173" s="136"/>
      <c r="I173" s="136"/>
      <c r="J173" s="136"/>
      <c r="K173" s="136"/>
      <c r="L173" s="136"/>
      <c r="M173" s="136"/>
      <c r="N173" s="136"/>
      <c r="O173" s="136"/>
      <c r="P173" s="136"/>
      <c r="Q173" s="136"/>
      <c r="AA173" s="1684"/>
      <c r="AB173" s="1005" t="str">
        <f>'Resource Costs'!$FC175</f>
        <v/>
      </c>
      <c r="AC173" s="1005" t="str">
        <f>'Resource Costs'!$FD175</f>
        <v/>
      </c>
      <c r="AD173" s="1005" t="str">
        <f>'Resource Costs'!$FE175</f>
        <v>Labor</v>
      </c>
      <c r="AE173" s="1005" t="str">
        <f>'Resource Costs'!$FF175</f>
        <v/>
      </c>
      <c r="AF173" s="1005" t="str">
        <f>'Resource Costs'!$FG175</f>
        <v/>
      </c>
      <c r="AG173" s="1006">
        <f>'Resource Costs'!$FH175</f>
        <v>0</v>
      </c>
      <c r="AH173" s="1006">
        <f>'Resource Costs'!$FI175</f>
        <v>0</v>
      </c>
      <c r="AI173" s="1006">
        <f>'Resource Costs'!$FJ175</f>
        <v>0</v>
      </c>
      <c r="AJ173" s="1006">
        <f>'Resource Costs'!$FK175</f>
        <v>0</v>
      </c>
      <c r="AK173" s="1006">
        <f>'Resource Costs'!$FL175</f>
        <v>0</v>
      </c>
      <c r="AL173" s="1006">
        <f>'Resource Costs'!$FM175</f>
        <v>0</v>
      </c>
      <c r="AM173" s="1007">
        <v>0</v>
      </c>
      <c r="AN173" s="1007">
        <v>0</v>
      </c>
      <c r="AO173" s="1007">
        <v>0</v>
      </c>
      <c r="AP173" s="1007">
        <v>0</v>
      </c>
      <c r="AQ173" s="1007">
        <v>0</v>
      </c>
      <c r="AR173" s="1016">
        <f t="shared" si="13"/>
        <v>0</v>
      </c>
    </row>
    <row r="174" spans="2:44" ht="15" customHeight="1">
      <c r="B174" s="2"/>
      <c r="C174" s="136"/>
      <c r="D174" s="136"/>
      <c r="E174" s="136"/>
      <c r="F174" s="136"/>
      <c r="G174" s="136"/>
      <c r="H174" s="136"/>
      <c r="I174" s="136"/>
      <c r="J174" s="136"/>
      <c r="K174" s="136"/>
      <c r="L174" s="136"/>
      <c r="M174" s="136"/>
      <c r="N174" s="136"/>
      <c r="O174" s="136"/>
      <c r="P174" s="136"/>
      <c r="Q174" s="136"/>
      <c r="AA174" s="1684"/>
      <c r="AB174" s="1005" t="str">
        <f>'Resource Costs'!$FC176</f>
        <v/>
      </c>
      <c r="AC174" s="1005" t="str">
        <f>'Resource Costs'!$FD176</f>
        <v/>
      </c>
      <c r="AD174" s="1005" t="str">
        <f>'Resource Costs'!$FE176</f>
        <v>Labor</v>
      </c>
      <c r="AE174" s="1005" t="str">
        <f>'Resource Costs'!$FF176</f>
        <v/>
      </c>
      <c r="AF174" s="1005" t="str">
        <f>'Resource Costs'!$FG176</f>
        <v/>
      </c>
      <c r="AG174" s="1006">
        <f>'Resource Costs'!$FH176</f>
        <v>0</v>
      </c>
      <c r="AH174" s="1006">
        <f>'Resource Costs'!$FI176</f>
        <v>0</v>
      </c>
      <c r="AI174" s="1006">
        <f>'Resource Costs'!$FJ176</f>
        <v>0</v>
      </c>
      <c r="AJ174" s="1006">
        <f>'Resource Costs'!$FK176</f>
        <v>0</v>
      </c>
      <c r="AK174" s="1006">
        <f>'Resource Costs'!$FL176</f>
        <v>0</v>
      </c>
      <c r="AL174" s="1006">
        <f>'Resource Costs'!$FM176</f>
        <v>0</v>
      </c>
      <c r="AM174" s="1007">
        <v>0</v>
      </c>
      <c r="AN174" s="1007">
        <v>0</v>
      </c>
      <c r="AO174" s="1007">
        <v>0</v>
      </c>
      <c r="AP174" s="1007">
        <v>0</v>
      </c>
      <c r="AQ174" s="1007">
        <v>0</v>
      </c>
      <c r="AR174" s="1016">
        <f t="shared" si="13"/>
        <v>0</v>
      </c>
    </row>
    <row r="175" spans="2:44" ht="15" customHeight="1">
      <c r="B175" s="2"/>
      <c r="C175" s="136"/>
      <c r="D175" s="136"/>
      <c r="E175" s="136"/>
      <c r="F175" s="136"/>
      <c r="G175" s="136"/>
      <c r="H175" s="136"/>
      <c r="I175" s="136"/>
      <c r="J175" s="136"/>
      <c r="K175" s="136"/>
      <c r="L175" s="136"/>
      <c r="M175" s="136"/>
      <c r="N175" s="136"/>
      <c r="O175" s="136"/>
      <c r="P175" s="136"/>
      <c r="Q175" s="136"/>
      <c r="AA175" s="1684"/>
      <c r="AB175" s="1005" t="str">
        <f>'Resource Costs'!$FC177</f>
        <v/>
      </c>
      <c r="AC175" s="1005" t="str">
        <f>'Resource Costs'!$FD177</f>
        <v/>
      </c>
      <c r="AD175" s="1005" t="str">
        <f>'Resource Costs'!$FE177</f>
        <v>Labor</v>
      </c>
      <c r="AE175" s="1005" t="str">
        <f>'Resource Costs'!$FF177</f>
        <v/>
      </c>
      <c r="AF175" s="1005" t="str">
        <f>'Resource Costs'!$FG177</f>
        <v/>
      </c>
      <c r="AG175" s="1006">
        <f>'Resource Costs'!$FH177</f>
        <v>0</v>
      </c>
      <c r="AH175" s="1006">
        <f>'Resource Costs'!$FI177</f>
        <v>0</v>
      </c>
      <c r="AI175" s="1006">
        <f>'Resource Costs'!$FJ177</f>
        <v>0</v>
      </c>
      <c r="AJ175" s="1006">
        <f>'Resource Costs'!$FK177</f>
        <v>0</v>
      </c>
      <c r="AK175" s="1006">
        <f>'Resource Costs'!$FL177</f>
        <v>0</v>
      </c>
      <c r="AL175" s="1006">
        <f>'Resource Costs'!$FM177</f>
        <v>0</v>
      </c>
      <c r="AM175" s="1007">
        <v>0</v>
      </c>
      <c r="AN175" s="1007">
        <v>0</v>
      </c>
      <c r="AO175" s="1007">
        <v>0</v>
      </c>
      <c r="AP175" s="1007">
        <v>0</v>
      </c>
      <c r="AQ175" s="1007">
        <v>0</v>
      </c>
      <c r="AR175" s="1016">
        <f t="shared" si="13"/>
        <v>0</v>
      </c>
    </row>
    <row r="176" spans="2:44" ht="15" customHeight="1">
      <c r="B176" s="2"/>
      <c r="C176" s="136"/>
      <c r="D176" s="136"/>
      <c r="E176" s="136"/>
      <c r="F176" s="136"/>
      <c r="G176" s="136"/>
      <c r="H176" s="136"/>
      <c r="I176" s="136"/>
      <c r="J176" s="136"/>
      <c r="K176" s="136"/>
      <c r="L176" s="136"/>
      <c r="M176" s="136"/>
      <c r="N176" s="136"/>
      <c r="O176" s="136"/>
      <c r="P176" s="136"/>
      <c r="Q176" s="136"/>
      <c r="AA176" s="1684"/>
      <c r="AB176" s="1005" t="str">
        <f>'Resource Costs'!$FC178</f>
        <v/>
      </c>
      <c r="AC176" s="1005" t="str">
        <f>'Resource Costs'!$FD178</f>
        <v/>
      </c>
      <c r="AD176" s="1005" t="str">
        <f>'Resource Costs'!$FE178</f>
        <v>Labor</v>
      </c>
      <c r="AE176" s="1005" t="str">
        <f>'Resource Costs'!$FF178</f>
        <v/>
      </c>
      <c r="AF176" s="1005" t="str">
        <f>'Resource Costs'!$FG178</f>
        <v/>
      </c>
      <c r="AG176" s="1006">
        <f>'Resource Costs'!$FH178</f>
        <v>0</v>
      </c>
      <c r="AH176" s="1006">
        <f>'Resource Costs'!$FI178</f>
        <v>0</v>
      </c>
      <c r="AI176" s="1006">
        <f>'Resource Costs'!$FJ178</f>
        <v>0</v>
      </c>
      <c r="AJ176" s="1006">
        <f>'Resource Costs'!$FK178</f>
        <v>0</v>
      </c>
      <c r="AK176" s="1006">
        <f>'Resource Costs'!$FL178</f>
        <v>0</v>
      </c>
      <c r="AL176" s="1006">
        <f>'Resource Costs'!$FM178</f>
        <v>0</v>
      </c>
      <c r="AM176" s="1007">
        <v>0</v>
      </c>
      <c r="AN176" s="1007">
        <v>0</v>
      </c>
      <c r="AO176" s="1007">
        <v>0</v>
      </c>
      <c r="AP176" s="1007">
        <v>0</v>
      </c>
      <c r="AQ176" s="1007">
        <v>0</v>
      </c>
      <c r="AR176" s="1016">
        <f t="shared" si="13"/>
        <v>0</v>
      </c>
    </row>
    <row r="177" spans="2:44" ht="15" customHeight="1">
      <c r="B177" s="2"/>
      <c r="C177" s="136"/>
      <c r="D177" s="136"/>
      <c r="E177" s="136"/>
      <c r="F177" s="136"/>
      <c r="G177" s="136"/>
      <c r="H177" s="136"/>
      <c r="I177" s="136"/>
      <c r="J177" s="136"/>
      <c r="K177" s="136"/>
      <c r="L177" s="136"/>
      <c r="M177" s="136"/>
      <c r="N177" s="136"/>
      <c r="O177" s="136"/>
      <c r="P177" s="136"/>
      <c r="Q177" s="136"/>
      <c r="AA177" s="1684"/>
      <c r="AB177" s="1005" t="str">
        <f>'Resource Costs'!$FC179</f>
        <v/>
      </c>
      <c r="AC177" s="1005" t="str">
        <f>'Resource Costs'!$FD179</f>
        <v/>
      </c>
      <c r="AD177" s="1005" t="str">
        <f>'Resource Costs'!$FE179</f>
        <v>Labor</v>
      </c>
      <c r="AE177" s="1005" t="str">
        <f>'Resource Costs'!$FF179</f>
        <v/>
      </c>
      <c r="AF177" s="1005" t="str">
        <f>'Resource Costs'!$FG179</f>
        <v/>
      </c>
      <c r="AG177" s="1006">
        <f>'Resource Costs'!$FH179</f>
        <v>0</v>
      </c>
      <c r="AH177" s="1006">
        <f>'Resource Costs'!$FI179</f>
        <v>0</v>
      </c>
      <c r="AI177" s="1006">
        <f>'Resource Costs'!$FJ179</f>
        <v>0</v>
      </c>
      <c r="AJ177" s="1006">
        <f>'Resource Costs'!$FK179</f>
        <v>0</v>
      </c>
      <c r="AK177" s="1006">
        <f>'Resource Costs'!$FL179</f>
        <v>0</v>
      </c>
      <c r="AL177" s="1006">
        <f>'Resource Costs'!$FM179</f>
        <v>0</v>
      </c>
      <c r="AM177" s="1007">
        <v>0</v>
      </c>
      <c r="AN177" s="1007">
        <v>0</v>
      </c>
      <c r="AO177" s="1007">
        <v>0</v>
      </c>
      <c r="AP177" s="1007">
        <v>0</v>
      </c>
      <c r="AQ177" s="1007">
        <v>0</v>
      </c>
      <c r="AR177" s="1016">
        <f t="shared" si="13"/>
        <v>0</v>
      </c>
    </row>
    <row r="178" spans="2:44" ht="15" customHeight="1">
      <c r="B178" s="2"/>
      <c r="C178" s="136"/>
      <c r="D178" s="136"/>
      <c r="E178" s="136"/>
      <c r="F178" s="136"/>
      <c r="G178" s="136"/>
      <c r="H178" s="136"/>
      <c r="I178" s="136"/>
      <c r="J178" s="136"/>
      <c r="K178" s="136"/>
      <c r="L178" s="136"/>
      <c r="M178" s="136"/>
      <c r="N178" s="136"/>
      <c r="O178" s="136"/>
      <c r="P178" s="136"/>
      <c r="Q178" s="136"/>
      <c r="AA178" s="1684"/>
      <c r="AB178" s="1005" t="str">
        <f>'Resource Costs'!$FC180</f>
        <v/>
      </c>
      <c r="AC178" s="1005" t="str">
        <f>'Resource Costs'!$FD180</f>
        <v/>
      </c>
      <c r="AD178" s="1005" t="str">
        <f>'Resource Costs'!$FE180</f>
        <v>Labor</v>
      </c>
      <c r="AE178" s="1005" t="str">
        <f>'Resource Costs'!$FF180</f>
        <v/>
      </c>
      <c r="AF178" s="1005" t="str">
        <f>'Resource Costs'!$FG180</f>
        <v/>
      </c>
      <c r="AG178" s="1006">
        <f>'Resource Costs'!$FH180</f>
        <v>0</v>
      </c>
      <c r="AH178" s="1006">
        <f>'Resource Costs'!$FI180</f>
        <v>0</v>
      </c>
      <c r="AI178" s="1006">
        <f>'Resource Costs'!$FJ180</f>
        <v>0</v>
      </c>
      <c r="AJ178" s="1006">
        <f>'Resource Costs'!$FK180</f>
        <v>0</v>
      </c>
      <c r="AK178" s="1006">
        <f>'Resource Costs'!$FL180</f>
        <v>0</v>
      </c>
      <c r="AL178" s="1006">
        <f>'Resource Costs'!$FM180</f>
        <v>0</v>
      </c>
      <c r="AM178" s="1007">
        <v>0</v>
      </c>
      <c r="AN178" s="1007">
        <v>0</v>
      </c>
      <c r="AO178" s="1007">
        <v>0</v>
      </c>
      <c r="AP178" s="1007">
        <v>0</v>
      </c>
      <c r="AQ178" s="1007">
        <v>0</v>
      </c>
      <c r="AR178" s="1016">
        <f t="shared" si="13"/>
        <v>0</v>
      </c>
    </row>
    <row r="179" spans="2:44" ht="15" customHeight="1">
      <c r="B179" s="2"/>
      <c r="C179" s="136"/>
      <c r="D179" s="136"/>
      <c r="E179" s="136"/>
      <c r="F179" s="136"/>
      <c r="G179" s="136"/>
      <c r="H179" s="136"/>
      <c r="I179" s="136"/>
      <c r="J179" s="136"/>
      <c r="K179" s="136"/>
      <c r="L179" s="136"/>
      <c r="M179" s="136"/>
      <c r="N179" s="136"/>
      <c r="O179" s="136"/>
      <c r="P179" s="136"/>
      <c r="Q179" s="136"/>
      <c r="AA179" s="1684"/>
      <c r="AB179" s="1005" t="str">
        <f>'Resource Costs'!$FC181</f>
        <v/>
      </c>
      <c r="AC179" s="1005" t="str">
        <f>'Resource Costs'!$FD181</f>
        <v/>
      </c>
      <c r="AD179" s="1005" t="str">
        <f>'Resource Costs'!$FE181</f>
        <v>Labor</v>
      </c>
      <c r="AE179" s="1005" t="str">
        <f>'Resource Costs'!$FF181</f>
        <v/>
      </c>
      <c r="AF179" s="1005" t="str">
        <f>'Resource Costs'!$FG181</f>
        <v/>
      </c>
      <c r="AG179" s="1006">
        <f>'Resource Costs'!$FH181</f>
        <v>0</v>
      </c>
      <c r="AH179" s="1006">
        <f>'Resource Costs'!$FI181</f>
        <v>0</v>
      </c>
      <c r="AI179" s="1006">
        <f>'Resource Costs'!$FJ181</f>
        <v>0</v>
      </c>
      <c r="AJ179" s="1006">
        <f>'Resource Costs'!$FK181</f>
        <v>0</v>
      </c>
      <c r="AK179" s="1006">
        <f>'Resource Costs'!$FL181</f>
        <v>0</v>
      </c>
      <c r="AL179" s="1006">
        <f>'Resource Costs'!$FM181</f>
        <v>0</v>
      </c>
      <c r="AM179" s="1007">
        <v>0</v>
      </c>
      <c r="AN179" s="1007">
        <v>0</v>
      </c>
      <c r="AO179" s="1007">
        <v>0</v>
      </c>
      <c r="AP179" s="1007">
        <v>0</v>
      </c>
      <c r="AQ179" s="1007">
        <v>0</v>
      </c>
      <c r="AR179" s="1016">
        <f t="shared" si="13"/>
        <v>0</v>
      </c>
    </row>
    <row r="180" spans="2:44" ht="15" customHeight="1">
      <c r="B180" s="2"/>
      <c r="C180" s="136"/>
      <c r="D180" s="136"/>
      <c r="E180" s="136"/>
      <c r="F180" s="136"/>
      <c r="G180" s="136"/>
      <c r="H180" s="136"/>
      <c r="I180" s="136"/>
      <c r="J180" s="136"/>
      <c r="K180" s="136"/>
      <c r="L180" s="136"/>
      <c r="M180" s="136"/>
      <c r="N180" s="136"/>
      <c r="O180" s="136"/>
      <c r="P180" s="136"/>
      <c r="Q180" s="136"/>
      <c r="AA180" s="1684"/>
      <c r="AB180" s="1005" t="str">
        <f>'Resource Costs'!$FC182</f>
        <v/>
      </c>
      <c r="AC180" s="1005" t="str">
        <f>'Resource Costs'!$FD182</f>
        <v/>
      </c>
      <c r="AD180" s="1005" t="str">
        <f>'Resource Costs'!$FE182</f>
        <v>Labor</v>
      </c>
      <c r="AE180" s="1005" t="str">
        <f>'Resource Costs'!$FF182</f>
        <v/>
      </c>
      <c r="AF180" s="1005" t="str">
        <f>'Resource Costs'!$FG182</f>
        <v/>
      </c>
      <c r="AG180" s="1006">
        <f>'Resource Costs'!$FH182</f>
        <v>0</v>
      </c>
      <c r="AH180" s="1006">
        <f>'Resource Costs'!$FI182</f>
        <v>0</v>
      </c>
      <c r="AI180" s="1006">
        <f>'Resource Costs'!$FJ182</f>
        <v>0</v>
      </c>
      <c r="AJ180" s="1006">
        <f>'Resource Costs'!$FK182</f>
        <v>0</v>
      </c>
      <c r="AK180" s="1006">
        <f>'Resource Costs'!$FL182</f>
        <v>0</v>
      </c>
      <c r="AL180" s="1006">
        <f>'Resource Costs'!$FM182</f>
        <v>0</v>
      </c>
      <c r="AM180" s="1007">
        <v>0</v>
      </c>
      <c r="AN180" s="1007">
        <v>0</v>
      </c>
      <c r="AO180" s="1007">
        <v>0</v>
      </c>
      <c r="AP180" s="1007">
        <v>0</v>
      </c>
      <c r="AQ180" s="1007">
        <v>0</v>
      </c>
      <c r="AR180" s="1016">
        <f t="shared" si="13"/>
        <v>0</v>
      </c>
    </row>
    <row r="181" spans="2:44" ht="15" customHeight="1">
      <c r="B181" s="2"/>
      <c r="C181" s="136"/>
      <c r="D181" s="136"/>
      <c r="E181" s="136"/>
      <c r="F181" s="136"/>
      <c r="G181" s="136"/>
      <c r="H181" s="136"/>
      <c r="I181" s="136"/>
      <c r="J181" s="136"/>
      <c r="K181" s="136"/>
      <c r="L181" s="136"/>
      <c r="M181" s="136"/>
      <c r="N181" s="136"/>
      <c r="O181" s="136"/>
      <c r="P181" s="136"/>
      <c r="Q181" s="136"/>
      <c r="AA181" s="1684"/>
      <c r="AB181" s="1005" t="str">
        <f>'Resource Costs'!$FC183</f>
        <v/>
      </c>
      <c r="AC181" s="1005" t="str">
        <f>'Resource Costs'!$FD183</f>
        <v/>
      </c>
      <c r="AD181" s="1005" t="str">
        <f>'Resource Costs'!$FE183</f>
        <v>Labor</v>
      </c>
      <c r="AE181" s="1005" t="str">
        <f>'Resource Costs'!$FF183</f>
        <v/>
      </c>
      <c r="AF181" s="1005" t="str">
        <f>'Resource Costs'!$FG183</f>
        <v/>
      </c>
      <c r="AG181" s="1006">
        <f>'Resource Costs'!$FH183</f>
        <v>0</v>
      </c>
      <c r="AH181" s="1006">
        <f>'Resource Costs'!$FI183</f>
        <v>0</v>
      </c>
      <c r="AI181" s="1006">
        <f>'Resource Costs'!$FJ183</f>
        <v>0</v>
      </c>
      <c r="AJ181" s="1006">
        <f>'Resource Costs'!$FK183</f>
        <v>0</v>
      </c>
      <c r="AK181" s="1006">
        <f>'Resource Costs'!$FL183</f>
        <v>0</v>
      </c>
      <c r="AL181" s="1006">
        <f>'Resource Costs'!$FM183</f>
        <v>0</v>
      </c>
      <c r="AM181" s="1007">
        <v>0</v>
      </c>
      <c r="AN181" s="1007">
        <v>0</v>
      </c>
      <c r="AO181" s="1007">
        <v>0</v>
      </c>
      <c r="AP181" s="1007">
        <v>0</v>
      </c>
      <c r="AQ181" s="1007">
        <v>0</v>
      </c>
      <c r="AR181" s="1016">
        <f t="shared" si="13"/>
        <v>0</v>
      </c>
    </row>
    <row r="182" spans="2:44" ht="15" customHeight="1">
      <c r="B182" s="2"/>
      <c r="C182" s="136"/>
      <c r="D182" s="136"/>
      <c r="E182" s="136"/>
      <c r="F182" s="136"/>
      <c r="G182" s="136"/>
      <c r="H182" s="136"/>
      <c r="I182" s="136"/>
      <c r="J182" s="136"/>
      <c r="K182" s="136"/>
      <c r="L182" s="136"/>
      <c r="M182" s="136"/>
      <c r="N182" s="136"/>
      <c r="O182" s="136"/>
      <c r="P182" s="136"/>
      <c r="Q182" s="136"/>
      <c r="AA182" s="1684"/>
      <c r="AB182" s="1005" t="str">
        <f>'Resource Costs'!$FC184</f>
        <v/>
      </c>
      <c r="AC182" s="1005" t="str">
        <f>'Resource Costs'!$FD184</f>
        <v/>
      </c>
      <c r="AD182" s="1005" t="str">
        <f>'Resource Costs'!$FE184</f>
        <v>Labor</v>
      </c>
      <c r="AE182" s="1005" t="str">
        <f>'Resource Costs'!$FF184</f>
        <v/>
      </c>
      <c r="AF182" s="1005" t="str">
        <f>'Resource Costs'!$FG184</f>
        <v/>
      </c>
      <c r="AG182" s="1006">
        <f>'Resource Costs'!$FH184</f>
        <v>0</v>
      </c>
      <c r="AH182" s="1006">
        <f>'Resource Costs'!$FI184</f>
        <v>0</v>
      </c>
      <c r="AI182" s="1006">
        <f>'Resource Costs'!$FJ184</f>
        <v>0</v>
      </c>
      <c r="AJ182" s="1006">
        <f>'Resource Costs'!$FK184</f>
        <v>0</v>
      </c>
      <c r="AK182" s="1006">
        <f>'Resource Costs'!$FL184</f>
        <v>0</v>
      </c>
      <c r="AL182" s="1006">
        <f>'Resource Costs'!$FM184</f>
        <v>0</v>
      </c>
      <c r="AM182" s="1007">
        <v>0</v>
      </c>
      <c r="AN182" s="1007">
        <v>0</v>
      </c>
      <c r="AO182" s="1007">
        <v>0</v>
      </c>
      <c r="AP182" s="1007">
        <v>0</v>
      </c>
      <c r="AQ182" s="1007">
        <v>0</v>
      </c>
      <c r="AR182" s="1016">
        <f t="shared" si="13"/>
        <v>0</v>
      </c>
    </row>
    <row r="183" spans="2:44" ht="15" customHeight="1">
      <c r="B183" s="2"/>
      <c r="C183" s="136"/>
      <c r="D183" s="136"/>
      <c r="E183" s="136"/>
      <c r="F183" s="136"/>
      <c r="G183" s="136"/>
      <c r="H183" s="136"/>
      <c r="I183" s="136"/>
      <c r="J183" s="136"/>
      <c r="K183" s="136"/>
      <c r="L183" s="136"/>
      <c r="M183" s="136"/>
      <c r="N183" s="136"/>
      <c r="O183" s="136"/>
      <c r="P183" s="136"/>
      <c r="Q183" s="136"/>
      <c r="AA183" s="1684"/>
      <c r="AB183" s="1005" t="str">
        <f>'Resource Costs'!$FC185</f>
        <v/>
      </c>
      <c r="AC183" s="1005" t="str">
        <f>'Resource Costs'!$FD185</f>
        <v/>
      </c>
      <c r="AD183" s="1005" t="str">
        <f>'Resource Costs'!$FE185</f>
        <v>Labor</v>
      </c>
      <c r="AE183" s="1005" t="str">
        <f>'Resource Costs'!$FF185</f>
        <v/>
      </c>
      <c r="AF183" s="1005" t="str">
        <f>'Resource Costs'!$FG185</f>
        <v/>
      </c>
      <c r="AG183" s="1006">
        <f>'Resource Costs'!$FH185</f>
        <v>0</v>
      </c>
      <c r="AH183" s="1006">
        <f>'Resource Costs'!$FI185</f>
        <v>0</v>
      </c>
      <c r="AI183" s="1006">
        <f>'Resource Costs'!$FJ185</f>
        <v>0</v>
      </c>
      <c r="AJ183" s="1006">
        <f>'Resource Costs'!$FK185</f>
        <v>0</v>
      </c>
      <c r="AK183" s="1006">
        <f>'Resource Costs'!$FL185</f>
        <v>0</v>
      </c>
      <c r="AL183" s="1006">
        <f>'Resource Costs'!$FM185</f>
        <v>0</v>
      </c>
      <c r="AM183" s="1007">
        <v>0</v>
      </c>
      <c r="AN183" s="1007">
        <v>0</v>
      </c>
      <c r="AO183" s="1007">
        <v>0</v>
      </c>
      <c r="AP183" s="1007">
        <v>0</v>
      </c>
      <c r="AQ183" s="1007">
        <v>0</v>
      </c>
      <c r="AR183" s="1016">
        <f t="shared" si="13"/>
        <v>0</v>
      </c>
    </row>
    <row r="184" spans="2:44" ht="15" customHeight="1">
      <c r="B184" s="2"/>
      <c r="C184" s="136"/>
      <c r="D184" s="136"/>
      <c r="E184" s="136"/>
      <c r="F184" s="136"/>
      <c r="G184" s="136"/>
      <c r="H184" s="136"/>
      <c r="I184" s="136"/>
      <c r="J184" s="136"/>
      <c r="K184" s="136"/>
      <c r="L184" s="136"/>
      <c r="M184" s="136"/>
      <c r="N184" s="136"/>
      <c r="O184" s="136"/>
      <c r="P184" s="136"/>
      <c r="Q184" s="136"/>
      <c r="AA184" s="1684"/>
      <c r="AB184" s="1005" t="str">
        <f>'Resource Costs'!$FC186</f>
        <v/>
      </c>
      <c r="AC184" s="1005" t="str">
        <f>'Resource Costs'!$FD186</f>
        <v/>
      </c>
      <c r="AD184" s="1005" t="str">
        <f>'Resource Costs'!$FE186</f>
        <v>Labor</v>
      </c>
      <c r="AE184" s="1005" t="str">
        <f>'Resource Costs'!$FF186</f>
        <v/>
      </c>
      <c r="AF184" s="1005" t="str">
        <f>'Resource Costs'!$FG186</f>
        <v/>
      </c>
      <c r="AG184" s="1006">
        <f>'Resource Costs'!$FH186</f>
        <v>0</v>
      </c>
      <c r="AH184" s="1006">
        <f>'Resource Costs'!$FI186</f>
        <v>0</v>
      </c>
      <c r="AI184" s="1006">
        <f>'Resource Costs'!$FJ186</f>
        <v>0</v>
      </c>
      <c r="AJ184" s="1006">
        <f>'Resource Costs'!$FK186</f>
        <v>0</v>
      </c>
      <c r="AK184" s="1006">
        <f>'Resource Costs'!$FL186</f>
        <v>0</v>
      </c>
      <c r="AL184" s="1006">
        <f>'Resource Costs'!$FM186</f>
        <v>0</v>
      </c>
      <c r="AM184" s="1007">
        <v>0</v>
      </c>
      <c r="AN184" s="1007">
        <v>0</v>
      </c>
      <c r="AO184" s="1007">
        <v>0</v>
      </c>
      <c r="AP184" s="1007">
        <v>0</v>
      </c>
      <c r="AQ184" s="1007">
        <v>0</v>
      </c>
      <c r="AR184" s="1016">
        <f t="shared" si="13"/>
        <v>0</v>
      </c>
    </row>
    <row r="185" spans="2:44" ht="15" customHeight="1">
      <c r="B185" s="2"/>
      <c r="C185" s="136"/>
      <c r="D185" s="136"/>
      <c r="E185" s="136"/>
      <c r="F185" s="136"/>
      <c r="G185" s="136"/>
      <c r="H185" s="136"/>
      <c r="I185" s="136"/>
      <c r="J185" s="136"/>
      <c r="K185" s="136"/>
      <c r="L185" s="136"/>
      <c r="M185" s="136"/>
      <c r="N185" s="136"/>
      <c r="O185" s="136"/>
      <c r="P185" s="136"/>
      <c r="Q185" s="136"/>
      <c r="AA185" s="1684"/>
      <c r="AB185" s="1005" t="str">
        <f>'Resource Costs'!$FC187</f>
        <v/>
      </c>
      <c r="AC185" s="1005" t="str">
        <f>'Resource Costs'!$FD187</f>
        <v/>
      </c>
      <c r="AD185" s="1005" t="str">
        <f>'Resource Costs'!$FE187</f>
        <v>Labor</v>
      </c>
      <c r="AE185" s="1005" t="str">
        <f>'Resource Costs'!$FF187</f>
        <v/>
      </c>
      <c r="AF185" s="1005" t="str">
        <f>'Resource Costs'!$FG187</f>
        <v/>
      </c>
      <c r="AG185" s="1006">
        <f>'Resource Costs'!$FH187</f>
        <v>0</v>
      </c>
      <c r="AH185" s="1006">
        <f>'Resource Costs'!$FI187</f>
        <v>0</v>
      </c>
      <c r="AI185" s="1006">
        <f>'Resource Costs'!$FJ187</f>
        <v>0</v>
      </c>
      <c r="AJ185" s="1006">
        <f>'Resource Costs'!$FK187</f>
        <v>0</v>
      </c>
      <c r="AK185" s="1006">
        <f>'Resource Costs'!$FL187</f>
        <v>0</v>
      </c>
      <c r="AL185" s="1006">
        <f>'Resource Costs'!$FM187</f>
        <v>0</v>
      </c>
      <c r="AM185" s="1007">
        <v>0</v>
      </c>
      <c r="AN185" s="1007">
        <v>0</v>
      </c>
      <c r="AO185" s="1007">
        <v>0</v>
      </c>
      <c r="AP185" s="1007">
        <v>0</v>
      </c>
      <c r="AQ185" s="1007">
        <v>0</v>
      </c>
      <c r="AR185" s="1016">
        <f t="shared" si="13"/>
        <v>0</v>
      </c>
    </row>
    <row r="186" spans="2:44" ht="15" customHeight="1">
      <c r="B186" s="2"/>
      <c r="C186" s="136"/>
      <c r="D186" s="136"/>
      <c r="E186" s="136"/>
      <c r="F186" s="136"/>
      <c r="G186" s="136"/>
      <c r="H186" s="136"/>
      <c r="I186" s="136"/>
      <c r="J186" s="136"/>
      <c r="K186" s="136"/>
      <c r="L186" s="136"/>
      <c r="M186" s="136"/>
      <c r="N186" s="136"/>
      <c r="O186" s="136"/>
      <c r="P186" s="136"/>
      <c r="Q186" s="136"/>
      <c r="AA186" s="1684"/>
      <c r="AB186" s="1005" t="str">
        <f>'Resource Costs'!$FC188</f>
        <v/>
      </c>
      <c r="AC186" s="1005" t="str">
        <f>'Resource Costs'!$FD188</f>
        <v/>
      </c>
      <c r="AD186" s="1005" t="str">
        <f>'Resource Costs'!$FE188</f>
        <v>Labor</v>
      </c>
      <c r="AE186" s="1005" t="str">
        <f>'Resource Costs'!$FF188</f>
        <v/>
      </c>
      <c r="AF186" s="1005" t="str">
        <f>'Resource Costs'!$FG188</f>
        <v/>
      </c>
      <c r="AG186" s="1006">
        <f>'Resource Costs'!$FH188</f>
        <v>0</v>
      </c>
      <c r="AH186" s="1006">
        <f>'Resource Costs'!$FI188</f>
        <v>0</v>
      </c>
      <c r="AI186" s="1006">
        <f>'Resource Costs'!$FJ188</f>
        <v>0</v>
      </c>
      <c r="AJ186" s="1006">
        <f>'Resource Costs'!$FK188</f>
        <v>0</v>
      </c>
      <c r="AK186" s="1006">
        <f>'Resource Costs'!$FL188</f>
        <v>0</v>
      </c>
      <c r="AL186" s="1006">
        <f>'Resource Costs'!$FM188</f>
        <v>0</v>
      </c>
      <c r="AM186" s="1007">
        <v>0</v>
      </c>
      <c r="AN186" s="1007">
        <v>0</v>
      </c>
      <c r="AO186" s="1007">
        <v>0</v>
      </c>
      <c r="AP186" s="1007">
        <v>0</v>
      </c>
      <c r="AQ186" s="1007">
        <v>0</v>
      </c>
      <c r="AR186" s="1016">
        <f t="shared" si="13"/>
        <v>0</v>
      </c>
    </row>
    <row r="187" spans="2:44" ht="15" customHeight="1">
      <c r="B187" s="2"/>
      <c r="C187" s="136"/>
      <c r="D187" s="136"/>
      <c r="E187" s="136"/>
      <c r="F187" s="136"/>
      <c r="G187" s="136"/>
      <c r="H187" s="136"/>
      <c r="I187" s="136"/>
      <c r="J187" s="136"/>
      <c r="K187" s="136"/>
      <c r="L187" s="136"/>
      <c r="M187" s="136"/>
      <c r="N187" s="136"/>
      <c r="O187" s="136"/>
      <c r="P187" s="136"/>
      <c r="Q187" s="136"/>
      <c r="AA187" s="1684"/>
      <c r="AB187" s="1005" t="str">
        <f>'Resource Costs'!$FC189</f>
        <v/>
      </c>
      <c r="AC187" s="1005" t="str">
        <f>'Resource Costs'!$FD189</f>
        <v/>
      </c>
      <c r="AD187" s="1005" t="str">
        <f>'Resource Costs'!$FE189</f>
        <v>Labor</v>
      </c>
      <c r="AE187" s="1005" t="str">
        <f>'Resource Costs'!$FF189</f>
        <v/>
      </c>
      <c r="AF187" s="1005" t="str">
        <f>'Resource Costs'!$FG189</f>
        <v/>
      </c>
      <c r="AG187" s="1006">
        <f>'Resource Costs'!$FH189</f>
        <v>0</v>
      </c>
      <c r="AH187" s="1006">
        <f>'Resource Costs'!$FI189</f>
        <v>0</v>
      </c>
      <c r="AI187" s="1006">
        <f>'Resource Costs'!$FJ189</f>
        <v>0</v>
      </c>
      <c r="AJ187" s="1006">
        <f>'Resource Costs'!$FK189</f>
        <v>0</v>
      </c>
      <c r="AK187" s="1006">
        <f>'Resource Costs'!$FL189</f>
        <v>0</v>
      </c>
      <c r="AL187" s="1006">
        <f>'Resource Costs'!$FM189</f>
        <v>0</v>
      </c>
      <c r="AM187" s="1007">
        <v>0</v>
      </c>
      <c r="AN187" s="1007">
        <v>0</v>
      </c>
      <c r="AO187" s="1007">
        <v>0</v>
      </c>
      <c r="AP187" s="1007">
        <v>0</v>
      </c>
      <c r="AQ187" s="1007">
        <v>0</v>
      </c>
      <c r="AR187" s="1016">
        <f t="shared" si="13"/>
        <v>0</v>
      </c>
    </row>
    <row r="188" spans="2:44" ht="15" customHeight="1">
      <c r="B188" s="2"/>
      <c r="C188" s="136"/>
      <c r="D188" s="136"/>
      <c r="E188" s="136"/>
      <c r="F188" s="136"/>
      <c r="G188" s="136"/>
      <c r="H188" s="136"/>
      <c r="I188" s="136"/>
      <c r="J188" s="136"/>
      <c r="K188" s="136"/>
      <c r="L188" s="136"/>
      <c r="M188" s="136"/>
      <c r="N188" s="136"/>
      <c r="O188" s="136"/>
      <c r="P188" s="136"/>
      <c r="Q188" s="136"/>
      <c r="AA188" s="1684"/>
      <c r="AB188" s="1005" t="str">
        <f>'Resource Costs'!$FC190</f>
        <v/>
      </c>
      <c r="AC188" s="1005" t="str">
        <f>'Resource Costs'!$FD190</f>
        <v/>
      </c>
      <c r="AD188" s="1005" t="str">
        <f>'Resource Costs'!$FE190</f>
        <v>Labor</v>
      </c>
      <c r="AE188" s="1005" t="str">
        <f>'Resource Costs'!$FF190</f>
        <v/>
      </c>
      <c r="AF188" s="1005" t="str">
        <f>'Resource Costs'!$FG190</f>
        <v/>
      </c>
      <c r="AG188" s="1006">
        <f>'Resource Costs'!$FH190</f>
        <v>0</v>
      </c>
      <c r="AH188" s="1006">
        <f>'Resource Costs'!$FI190</f>
        <v>0</v>
      </c>
      <c r="AI188" s="1006">
        <f>'Resource Costs'!$FJ190</f>
        <v>0</v>
      </c>
      <c r="AJ188" s="1006">
        <f>'Resource Costs'!$FK190</f>
        <v>0</v>
      </c>
      <c r="AK188" s="1006">
        <f>'Resource Costs'!$FL190</f>
        <v>0</v>
      </c>
      <c r="AL188" s="1006">
        <f>'Resource Costs'!$FM190</f>
        <v>0</v>
      </c>
      <c r="AM188" s="1007">
        <v>0</v>
      </c>
      <c r="AN188" s="1007">
        <v>0</v>
      </c>
      <c r="AO188" s="1007">
        <v>0</v>
      </c>
      <c r="AP188" s="1007">
        <v>0</v>
      </c>
      <c r="AQ188" s="1007">
        <v>0</v>
      </c>
      <c r="AR188" s="1016">
        <f t="shared" si="13"/>
        <v>0</v>
      </c>
    </row>
    <row r="189" spans="2:44" ht="15" customHeight="1">
      <c r="B189" s="2"/>
      <c r="C189" s="136"/>
      <c r="D189" s="136"/>
      <c r="E189" s="136"/>
      <c r="F189" s="136"/>
      <c r="G189" s="136"/>
      <c r="H189" s="136"/>
      <c r="I189" s="136"/>
      <c r="J189" s="136"/>
      <c r="K189" s="136"/>
      <c r="L189" s="136"/>
      <c r="M189" s="136"/>
      <c r="N189" s="136"/>
      <c r="O189" s="136"/>
      <c r="P189" s="136"/>
      <c r="Q189" s="136"/>
      <c r="AA189" s="1684"/>
      <c r="AB189" s="1005" t="str">
        <f>'Resource Costs'!$FC191</f>
        <v/>
      </c>
      <c r="AC189" s="1005" t="str">
        <f>'Resource Costs'!$FD191</f>
        <v/>
      </c>
      <c r="AD189" s="1005" t="str">
        <f>'Resource Costs'!$FE191</f>
        <v>Labor</v>
      </c>
      <c r="AE189" s="1005" t="str">
        <f>'Resource Costs'!$FF191</f>
        <v/>
      </c>
      <c r="AF189" s="1005" t="str">
        <f>'Resource Costs'!$FG191</f>
        <v/>
      </c>
      <c r="AG189" s="1006">
        <f>'Resource Costs'!$FH191</f>
        <v>0</v>
      </c>
      <c r="AH189" s="1006">
        <f>'Resource Costs'!$FI191</f>
        <v>0</v>
      </c>
      <c r="AI189" s="1006">
        <f>'Resource Costs'!$FJ191</f>
        <v>0</v>
      </c>
      <c r="AJ189" s="1006">
        <f>'Resource Costs'!$FK191</f>
        <v>0</v>
      </c>
      <c r="AK189" s="1006">
        <f>'Resource Costs'!$FL191</f>
        <v>0</v>
      </c>
      <c r="AL189" s="1006">
        <f>'Resource Costs'!$FM191</f>
        <v>0</v>
      </c>
      <c r="AM189" s="1007">
        <v>0</v>
      </c>
      <c r="AN189" s="1007">
        <v>0</v>
      </c>
      <c r="AO189" s="1007">
        <v>0</v>
      </c>
      <c r="AP189" s="1007">
        <v>0</v>
      </c>
      <c r="AQ189" s="1007">
        <v>0</v>
      </c>
      <c r="AR189" s="1016">
        <f t="shared" si="13"/>
        <v>0</v>
      </c>
    </row>
    <row r="190" spans="2:44" ht="15" customHeight="1">
      <c r="B190" s="2"/>
      <c r="C190" s="136"/>
      <c r="D190" s="136"/>
      <c r="E190" s="136"/>
      <c r="F190" s="136"/>
      <c r="G190" s="136"/>
      <c r="H190" s="136"/>
      <c r="I190" s="136"/>
      <c r="J190" s="136"/>
      <c r="K190" s="136"/>
      <c r="L190" s="136"/>
      <c r="M190" s="136"/>
      <c r="N190" s="136"/>
      <c r="O190" s="136"/>
      <c r="P190" s="136"/>
      <c r="Q190" s="136"/>
      <c r="AA190" s="1684"/>
      <c r="AB190" s="1005" t="str">
        <f>'Resource Costs'!$FC192</f>
        <v/>
      </c>
      <c r="AC190" s="1005" t="str">
        <f>'Resource Costs'!$FD192</f>
        <v/>
      </c>
      <c r="AD190" s="1005" t="str">
        <f>'Resource Costs'!$FE192</f>
        <v>Labor</v>
      </c>
      <c r="AE190" s="1005" t="str">
        <f>'Resource Costs'!$FF192</f>
        <v/>
      </c>
      <c r="AF190" s="1005" t="str">
        <f>'Resource Costs'!$FG192</f>
        <v/>
      </c>
      <c r="AG190" s="1006">
        <f>'Resource Costs'!$FH192</f>
        <v>0</v>
      </c>
      <c r="AH190" s="1006">
        <f>'Resource Costs'!$FI192</f>
        <v>0</v>
      </c>
      <c r="AI190" s="1006">
        <f>'Resource Costs'!$FJ192</f>
        <v>0</v>
      </c>
      <c r="AJ190" s="1006">
        <f>'Resource Costs'!$FK192</f>
        <v>0</v>
      </c>
      <c r="AK190" s="1006">
        <f>'Resource Costs'!$FL192</f>
        <v>0</v>
      </c>
      <c r="AL190" s="1006">
        <f>'Resource Costs'!$FM192</f>
        <v>0</v>
      </c>
      <c r="AM190" s="1007">
        <v>0</v>
      </c>
      <c r="AN190" s="1007">
        <v>0</v>
      </c>
      <c r="AO190" s="1007">
        <v>0</v>
      </c>
      <c r="AP190" s="1007">
        <v>0</v>
      </c>
      <c r="AQ190" s="1007">
        <v>0</v>
      </c>
      <c r="AR190" s="1016">
        <f t="shared" si="13"/>
        <v>0</v>
      </c>
    </row>
    <row r="191" spans="2:44" ht="15" customHeight="1">
      <c r="B191" s="2"/>
      <c r="C191" s="136"/>
      <c r="D191" s="136"/>
      <c r="E191" s="136"/>
      <c r="F191" s="136"/>
      <c r="G191" s="136"/>
      <c r="H191" s="136"/>
      <c r="I191" s="136"/>
      <c r="J191" s="136"/>
      <c r="K191" s="136"/>
      <c r="L191" s="136"/>
      <c r="M191" s="136"/>
      <c r="N191" s="136"/>
      <c r="O191" s="136"/>
      <c r="P191" s="136"/>
      <c r="Q191" s="136"/>
      <c r="AA191" s="1684"/>
      <c r="AB191" s="1005" t="str">
        <f>'Resource Costs'!$FC193</f>
        <v/>
      </c>
      <c r="AC191" s="1005" t="str">
        <f>'Resource Costs'!$FD193</f>
        <v/>
      </c>
      <c r="AD191" s="1005" t="str">
        <f>'Resource Costs'!$FE193</f>
        <v>Labor</v>
      </c>
      <c r="AE191" s="1005" t="str">
        <f>'Resource Costs'!$FF193</f>
        <v/>
      </c>
      <c r="AF191" s="1005" t="str">
        <f>'Resource Costs'!$FG193</f>
        <v/>
      </c>
      <c r="AG191" s="1006">
        <f>'Resource Costs'!$FH193</f>
        <v>0</v>
      </c>
      <c r="AH191" s="1006">
        <f>'Resource Costs'!$FI193</f>
        <v>0</v>
      </c>
      <c r="AI191" s="1006">
        <f>'Resource Costs'!$FJ193</f>
        <v>0</v>
      </c>
      <c r="AJ191" s="1006">
        <f>'Resource Costs'!$FK193</f>
        <v>0</v>
      </c>
      <c r="AK191" s="1006">
        <f>'Resource Costs'!$FL193</f>
        <v>0</v>
      </c>
      <c r="AL191" s="1006">
        <f>'Resource Costs'!$FM193</f>
        <v>0</v>
      </c>
      <c r="AM191" s="1007">
        <v>0</v>
      </c>
      <c r="AN191" s="1007">
        <v>0</v>
      </c>
      <c r="AO191" s="1007">
        <v>0</v>
      </c>
      <c r="AP191" s="1007">
        <v>0</v>
      </c>
      <c r="AQ191" s="1007">
        <v>0</v>
      </c>
      <c r="AR191" s="1016">
        <f t="shared" si="13"/>
        <v>0</v>
      </c>
    </row>
    <row r="192" spans="2:44" ht="15" customHeight="1">
      <c r="B192" s="2"/>
      <c r="C192" s="136"/>
      <c r="D192" s="136"/>
      <c r="E192" s="136"/>
      <c r="F192" s="136"/>
      <c r="G192" s="136"/>
      <c r="H192" s="136"/>
      <c r="I192" s="136"/>
      <c r="J192" s="136"/>
      <c r="K192" s="136"/>
      <c r="L192" s="136"/>
      <c r="M192" s="136"/>
      <c r="N192" s="136"/>
      <c r="O192" s="136"/>
      <c r="P192" s="136"/>
      <c r="Q192" s="136"/>
      <c r="AA192" s="1684"/>
      <c r="AB192" s="1005" t="str">
        <f>'Resource Costs'!$FC194</f>
        <v/>
      </c>
      <c r="AC192" s="1005" t="str">
        <f>'Resource Costs'!$FD194</f>
        <v/>
      </c>
      <c r="AD192" s="1005" t="str">
        <f>'Resource Costs'!$FE194</f>
        <v>Labor</v>
      </c>
      <c r="AE192" s="1005" t="str">
        <f>'Resource Costs'!$FF194</f>
        <v/>
      </c>
      <c r="AF192" s="1005" t="str">
        <f>'Resource Costs'!$FG194</f>
        <v/>
      </c>
      <c r="AG192" s="1006">
        <f>'Resource Costs'!$FH194</f>
        <v>0</v>
      </c>
      <c r="AH192" s="1006">
        <f>'Resource Costs'!$FI194</f>
        <v>0</v>
      </c>
      <c r="AI192" s="1006">
        <f>'Resource Costs'!$FJ194</f>
        <v>0</v>
      </c>
      <c r="AJ192" s="1006">
        <f>'Resource Costs'!$FK194</f>
        <v>0</v>
      </c>
      <c r="AK192" s="1006">
        <f>'Resource Costs'!$FL194</f>
        <v>0</v>
      </c>
      <c r="AL192" s="1006">
        <f>'Resource Costs'!$FM194</f>
        <v>0</v>
      </c>
      <c r="AM192" s="1007">
        <v>0</v>
      </c>
      <c r="AN192" s="1007">
        <v>0</v>
      </c>
      <c r="AO192" s="1007">
        <v>0</v>
      </c>
      <c r="AP192" s="1007">
        <v>0</v>
      </c>
      <c r="AQ192" s="1007">
        <v>0</v>
      </c>
      <c r="AR192" s="1016">
        <f t="shared" si="13"/>
        <v>0</v>
      </c>
    </row>
    <row r="193" spans="2:44" ht="15" customHeight="1">
      <c r="B193" s="2"/>
      <c r="C193" s="136"/>
      <c r="D193" s="136"/>
      <c r="E193" s="136"/>
      <c r="F193" s="136"/>
      <c r="G193" s="136"/>
      <c r="H193" s="136"/>
      <c r="I193" s="136"/>
      <c r="J193" s="136"/>
      <c r="K193" s="136"/>
      <c r="L193" s="136"/>
      <c r="M193" s="136"/>
      <c r="N193" s="136"/>
      <c r="O193" s="136"/>
      <c r="P193" s="136"/>
      <c r="Q193" s="136"/>
      <c r="AA193" s="1684"/>
      <c r="AB193" s="1005" t="str">
        <f>'Resource Costs'!$FC195</f>
        <v/>
      </c>
      <c r="AC193" s="1005" t="str">
        <f>'Resource Costs'!$FD195</f>
        <v/>
      </c>
      <c r="AD193" s="1005" t="str">
        <f>'Resource Costs'!$FE195</f>
        <v>Labor</v>
      </c>
      <c r="AE193" s="1005" t="str">
        <f>'Resource Costs'!$FF195</f>
        <v/>
      </c>
      <c r="AF193" s="1005" t="str">
        <f>'Resource Costs'!$FG195</f>
        <v/>
      </c>
      <c r="AG193" s="1006">
        <f>'Resource Costs'!$FH195</f>
        <v>0</v>
      </c>
      <c r="AH193" s="1006">
        <f>'Resource Costs'!$FI195</f>
        <v>0</v>
      </c>
      <c r="AI193" s="1006">
        <f>'Resource Costs'!$FJ195</f>
        <v>0</v>
      </c>
      <c r="AJ193" s="1006">
        <f>'Resource Costs'!$FK195</f>
        <v>0</v>
      </c>
      <c r="AK193" s="1006">
        <f>'Resource Costs'!$FL195</f>
        <v>0</v>
      </c>
      <c r="AL193" s="1006">
        <f>'Resource Costs'!$FM195</f>
        <v>0</v>
      </c>
      <c r="AM193" s="1007">
        <v>0</v>
      </c>
      <c r="AN193" s="1007">
        <v>0</v>
      </c>
      <c r="AO193" s="1007">
        <v>0</v>
      </c>
      <c r="AP193" s="1007">
        <v>0</v>
      </c>
      <c r="AQ193" s="1007">
        <v>0</v>
      </c>
      <c r="AR193" s="1016">
        <f t="shared" si="13"/>
        <v>0</v>
      </c>
    </row>
    <row r="194" spans="2:44" ht="15" customHeight="1">
      <c r="B194" s="2"/>
      <c r="C194" s="136"/>
      <c r="D194" s="136"/>
      <c r="E194" s="136"/>
      <c r="F194" s="136"/>
      <c r="G194" s="136"/>
      <c r="H194" s="136"/>
      <c r="I194" s="136"/>
      <c r="J194" s="136"/>
      <c r="K194" s="136"/>
      <c r="L194" s="136"/>
      <c r="M194" s="136"/>
      <c r="N194" s="136"/>
      <c r="O194" s="136"/>
      <c r="P194" s="136"/>
      <c r="Q194" s="136"/>
      <c r="AA194" s="1684"/>
      <c r="AB194" s="1005" t="str">
        <f>'Resource Costs'!$FC196</f>
        <v/>
      </c>
      <c r="AC194" s="1005" t="str">
        <f>'Resource Costs'!$FD196</f>
        <v/>
      </c>
      <c r="AD194" s="1005" t="str">
        <f>'Resource Costs'!$FE196</f>
        <v>Labor</v>
      </c>
      <c r="AE194" s="1005" t="str">
        <f>'Resource Costs'!$FF196</f>
        <v/>
      </c>
      <c r="AF194" s="1005" t="str">
        <f>'Resource Costs'!$FG196</f>
        <v/>
      </c>
      <c r="AG194" s="1006">
        <f>'Resource Costs'!$FH196</f>
        <v>0</v>
      </c>
      <c r="AH194" s="1006">
        <f>'Resource Costs'!$FI196</f>
        <v>0</v>
      </c>
      <c r="AI194" s="1006">
        <f>'Resource Costs'!$FJ196</f>
        <v>0</v>
      </c>
      <c r="AJ194" s="1006">
        <f>'Resource Costs'!$FK196</f>
        <v>0</v>
      </c>
      <c r="AK194" s="1006">
        <f>'Resource Costs'!$FL196</f>
        <v>0</v>
      </c>
      <c r="AL194" s="1006">
        <f>'Resource Costs'!$FM196</f>
        <v>0</v>
      </c>
      <c r="AM194" s="1007">
        <v>0</v>
      </c>
      <c r="AN194" s="1007">
        <v>0</v>
      </c>
      <c r="AO194" s="1007">
        <v>0</v>
      </c>
      <c r="AP194" s="1007">
        <v>0</v>
      </c>
      <c r="AQ194" s="1007">
        <v>0</v>
      </c>
      <c r="AR194" s="1016">
        <f t="shared" si="13"/>
        <v>0</v>
      </c>
    </row>
    <row r="195" spans="2:44" ht="15" customHeight="1">
      <c r="B195" s="2"/>
      <c r="C195" s="136"/>
      <c r="D195" s="136"/>
      <c r="E195" s="136"/>
      <c r="F195" s="136"/>
      <c r="G195" s="136"/>
      <c r="H195" s="136"/>
      <c r="I195" s="136"/>
      <c r="J195" s="136"/>
      <c r="K195" s="136"/>
      <c r="L195" s="136"/>
      <c r="M195" s="136"/>
      <c r="N195" s="136"/>
      <c r="O195" s="136"/>
      <c r="P195" s="136"/>
      <c r="Q195" s="136"/>
      <c r="AA195" s="1684"/>
      <c r="AB195" s="1005" t="str">
        <f>'Resource Costs'!$FC197</f>
        <v/>
      </c>
      <c r="AC195" s="1005" t="str">
        <f>'Resource Costs'!$FD197</f>
        <v/>
      </c>
      <c r="AD195" s="1005" t="str">
        <f>'Resource Costs'!$FE197</f>
        <v>Labor</v>
      </c>
      <c r="AE195" s="1005" t="str">
        <f>'Resource Costs'!$FF197</f>
        <v/>
      </c>
      <c r="AF195" s="1005" t="str">
        <f>'Resource Costs'!$FG197</f>
        <v/>
      </c>
      <c r="AG195" s="1006">
        <f>'Resource Costs'!$FH197</f>
        <v>0</v>
      </c>
      <c r="AH195" s="1006">
        <f>'Resource Costs'!$FI197</f>
        <v>0</v>
      </c>
      <c r="AI195" s="1006">
        <f>'Resource Costs'!$FJ197</f>
        <v>0</v>
      </c>
      <c r="AJ195" s="1006">
        <f>'Resource Costs'!$FK197</f>
        <v>0</v>
      </c>
      <c r="AK195" s="1006">
        <f>'Resource Costs'!$FL197</f>
        <v>0</v>
      </c>
      <c r="AL195" s="1006">
        <f>'Resource Costs'!$FM197</f>
        <v>0</v>
      </c>
      <c r="AM195" s="1007">
        <v>0</v>
      </c>
      <c r="AN195" s="1007">
        <v>0</v>
      </c>
      <c r="AO195" s="1007">
        <v>0</v>
      </c>
      <c r="AP195" s="1007">
        <v>0</v>
      </c>
      <c r="AQ195" s="1007">
        <v>0</v>
      </c>
      <c r="AR195" s="1016">
        <f t="shared" si="13"/>
        <v>0</v>
      </c>
    </row>
    <row r="196" spans="2:44" ht="15" customHeight="1">
      <c r="B196" s="2"/>
      <c r="C196" s="136"/>
      <c r="D196" s="136"/>
      <c r="E196" s="136"/>
      <c r="F196" s="136"/>
      <c r="G196" s="136"/>
      <c r="H196" s="136"/>
      <c r="I196" s="136"/>
      <c r="J196" s="136"/>
      <c r="K196" s="136"/>
      <c r="L196" s="136"/>
      <c r="M196" s="136"/>
      <c r="N196" s="136"/>
      <c r="O196" s="136"/>
      <c r="P196" s="136"/>
      <c r="Q196" s="136"/>
      <c r="AA196" s="1684"/>
      <c r="AB196" s="1005" t="str">
        <f>'Resource Costs'!$FC198</f>
        <v/>
      </c>
      <c r="AC196" s="1005" t="str">
        <f>'Resource Costs'!$FD198</f>
        <v/>
      </c>
      <c r="AD196" s="1005" t="str">
        <f>'Resource Costs'!$FE198</f>
        <v>Labor</v>
      </c>
      <c r="AE196" s="1005" t="str">
        <f>'Resource Costs'!$FF198</f>
        <v/>
      </c>
      <c r="AF196" s="1005" t="str">
        <f>'Resource Costs'!$FG198</f>
        <v/>
      </c>
      <c r="AG196" s="1006">
        <f>'Resource Costs'!$FH198</f>
        <v>0</v>
      </c>
      <c r="AH196" s="1006">
        <f>'Resource Costs'!$FI198</f>
        <v>0</v>
      </c>
      <c r="AI196" s="1006">
        <f>'Resource Costs'!$FJ198</f>
        <v>0</v>
      </c>
      <c r="AJ196" s="1006">
        <f>'Resource Costs'!$FK198</f>
        <v>0</v>
      </c>
      <c r="AK196" s="1006">
        <f>'Resource Costs'!$FL198</f>
        <v>0</v>
      </c>
      <c r="AL196" s="1006">
        <f>'Resource Costs'!$FM198</f>
        <v>0</v>
      </c>
      <c r="AM196" s="1007">
        <v>0</v>
      </c>
      <c r="AN196" s="1007">
        <v>0</v>
      </c>
      <c r="AO196" s="1007">
        <v>0</v>
      </c>
      <c r="AP196" s="1007">
        <v>0</v>
      </c>
      <c r="AQ196" s="1007">
        <v>0</v>
      </c>
      <c r="AR196" s="1016">
        <f t="shared" si="13"/>
        <v>0</v>
      </c>
    </row>
    <row r="197" spans="2:44" ht="15" customHeight="1">
      <c r="B197" s="2"/>
      <c r="C197" s="136"/>
      <c r="D197" s="136"/>
      <c r="E197" s="136"/>
      <c r="F197" s="136"/>
      <c r="G197" s="136"/>
      <c r="H197" s="136"/>
      <c r="I197" s="136"/>
      <c r="J197" s="136"/>
      <c r="K197" s="136"/>
      <c r="L197" s="136"/>
      <c r="M197" s="136"/>
      <c r="N197" s="136"/>
      <c r="O197" s="136"/>
      <c r="P197" s="136"/>
      <c r="Q197" s="136"/>
      <c r="AA197" s="1684"/>
      <c r="AB197" s="1005" t="str">
        <f>'Resource Costs'!$FC199</f>
        <v/>
      </c>
      <c r="AC197" s="1005" t="str">
        <f>'Resource Costs'!$FD199</f>
        <v/>
      </c>
      <c r="AD197" s="1005" t="str">
        <f>'Resource Costs'!$FE199</f>
        <v>Labor</v>
      </c>
      <c r="AE197" s="1005" t="str">
        <f>'Resource Costs'!$FF199</f>
        <v/>
      </c>
      <c r="AF197" s="1005" t="str">
        <f>'Resource Costs'!$FG199</f>
        <v/>
      </c>
      <c r="AG197" s="1006">
        <f>'Resource Costs'!$FH199</f>
        <v>0</v>
      </c>
      <c r="AH197" s="1006">
        <f>'Resource Costs'!$FI199</f>
        <v>0</v>
      </c>
      <c r="AI197" s="1006">
        <f>'Resource Costs'!$FJ199</f>
        <v>0</v>
      </c>
      <c r="AJ197" s="1006">
        <f>'Resource Costs'!$FK199</f>
        <v>0</v>
      </c>
      <c r="AK197" s="1006">
        <f>'Resource Costs'!$FL199</f>
        <v>0</v>
      </c>
      <c r="AL197" s="1006">
        <f>'Resource Costs'!$FM199</f>
        <v>0</v>
      </c>
      <c r="AM197" s="1007">
        <v>0</v>
      </c>
      <c r="AN197" s="1007">
        <v>0</v>
      </c>
      <c r="AO197" s="1007">
        <v>0</v>
      </c>
      <c r="AP197" s="1007">
        <v>0</v>
      </c>
      <c r="AQ197" s="1007">
        <v>0</v>
      </c>
      <c r="AR197" s="1016">
        <f t="shared" si="13"/>
        <v>0</v>
      </c>
    </row>
    <row r="198" spans="2:44" ht="15" customHeight="1">
      <c r="B198" s="2"/>
      <c r="C198" s="136"/>
      <c r="D198" s="136"/>
      <c r="E198" s="136"/>
      <c r="F198" s="136"/>
      <c r="G198" s="136"/>
      <c r="H198" s="136"/>
      <c r="I198" s="136"/>
      <c r="J198" s="136"/>
      <c r="K198" s="136"/>
      <c r="L198" s="136"/>
      <c r="M198" s="136"/>
      <c r="N198" s="136"/>
      <c r="O198" s="136"/>
      <c r="P198" s="136"/>
      <c r="Q198" s="136"/>
      <c r="AA198" s="1684"/>
      <c r="AB198" s="1005" t="str">
        <f>'Resource Costs'!$FC200</f>
        <v/>
      </c>
      <c r="AC198" s="1005" t="str">
        <f>'Resource Costs'!$FD200</f>
        <v/>
      </c>
      <c r="AD198" s="1005" t="str">
        <f>'Resource Costs'!$FE200</f>
        <v>Labor</v>
      </c>
      <c r="AE198" s="1005" t="str">
        <f>'Resource Costs'!$FF200</f>
        <v/>
      </c>
      <c r="AF198" s="1005" t="str">
        <f>'Resource Costs'!$FG200</f>
        <v/>
      </c>
      <c r="AG198" s="1006">
        <f>'Resource Costs'!$FH200</f>
        <v>0</v>
      </c>
      <c r="AH198" s="1006">
        <f>'Resource Costs'!$FI200</f>
        <v>0</v>
      </c>
      <c r="AI198" s="1006">
        <f>'Resource Costs'!$FJ200</f>
        <v>0</v>
      </c>
      <c r="AJ198" s="1006">
        <f>'Resource Costs'!$FK200</f>
        <v>0</v>
      </c>
      <c r="AK198" s="1006">
        <f>'Resource Costs'!$FL200</f>
        <v>0</v>
      </c>
      <c r="AL198" s="1006">
        <f>'Resource Costs'!$FM200</f>
        <v>0</v>
      </c>
      <c r="AM198" s="1007">
        <v>0</v>
      </c>
      <c r="AN198" s="1007">
        <v>0</v>
      </c>
      <c r="AO198" s="1007">
        <v>0</v>
      </c>
      <c r="AP198" s="1007">
        <v>0</v>
      </c>
      <c r="AQ198" s="1007">
        <v>0</v>
      </c>
      <c r="AR198" s="1016">
        <f t="shared" si="13"/>
        <v>0</v>
      </c>
    </row>
    <row r="199" spans="2:44" ht="15" customHeight="1">
      <c r="B199" s="2"/>
      <c r="C199" s="136"/>
      <c r="D199" s="136"/>
      <c r="E199" s="136"/>
      <c r="F199" s="136"/>
      <c r="G199" s="136"/>
      <c r="H199" s="136"/>
      <c r="I199" s="136"/>
      <c r="J199" s="136"/>
      <c r="K199" s="136"/>
      <c r="L199" s="136"/>
      <c r="M199" s="136"/>
      <c r="N199" s="136"/>
      <c r="O199" s="136"/>
      <c r="P199" s="136"/>
      <c r="Q199" s="136"/>
      <c r="AA199" s="1684"/>
      <c r="AB199" s="1005" t="str">
        <f>'Resource Costs'!$FC201</f>
        <v/>
      </c>
      <c r="AC199" s="1005" t="str">
        <f>'Resource Costs'!$FD201</f>
        <v/>
      </c>
      <c r="AD199" s="1005" t="str">
        <f>'Resource Costs'!$FE201</f>
        <v>Labor</v>
      </c>
      <c r="AE199" s="1005" t="str">
        <f>'Resource Costs'!$FF201</f>
        <v/>
      </c>
      <c r="AF199" s="1005" t="str">
        <f>'Resource Costs'!$FG201</f>
        <v/>
      </c>
      <c r="AG199" s="1006">
        <f>'Resource Costs'!$FH201</f>
        <v>0</v>
      </c>
      <c r="AH199" s="1006">
        <f>'Resource Costs'!$FI201</f>
        <v>0</v>
      </c>
      <c r="AI199" s="1006">
        <f>'Resource Costs'!$FJ201</f>
        <v>0</v>
      </c>
      <c r="AJ199" s="1006">
        <f>'Resource Costs'!$FK201</f>
        <v>0</v>
      </c>
      <c r="AK199" s="1006">
        <f>'Resource Costs'!$FL201</f>
        <v>0</v>
      </c>
      <c r="AL199" s="1006">
        <f>'Resource Costs'!$FM201</f>
        <v>0</v>
      </c>
      <c r="AM199" s="1007">
        <v>0</v>
      </c>
      <c r="AN199" s="1007">
        <v>0</v>
      </c>
      <c r="AO199" s="1007">
        <v>0</v>
      </c>
      <c r="AP199" s="1007">
        <v>0</v>
      </c>
      <c r="AQ199" s="1007">
        <v>0</v>
      </c>
      <c r="AR199" s="1016">
        <f t="shared" si="13"/>
        <v>0</v>
      </c>
    </row>
    <row r="200" spans="2:44" ht="15" customHeight="1">
      <c r="B200" s="2"/>
      <c r="C200" s="136"/>
      <c r="D200" s="136"/>
      <c r="E200" s="136"/>
      <c r="F200" s="136"/>
      <c r="G200" s="136"/>
      <c r="H200" s="136"/>
      <c r="I200" s="136"/>
      <c r="J200" s="136"/>
      <c r="K200" s="136"/>
      <c r="L200" s="136"/>
      <c r="M200" s="136"/>
      <c r="N200" s="136"/>
      <c r="O200" s="136"/>
      <c r="P200" s="136"/>
      <c r="Q200" s="136"/>
      <c r="AA200" s="1684"/>
      <c r="AB200" s="1005" t="str">
        <f>'Resource Costs'!$FC202</f>
        <v/>
      </c>
      <c r="AC200" s="1005" t="str">
        <f>'Resource Costs'!$FD202</f>
        <v/>
      </c>
      <c r="AD200" s="1005" t="str">
        <f>'Resource Costs'!$FE202</f>
        <v>Labor</v>
      </c>
      <c r="AE200" s="1005" t="str">
        <f>'Resource Costs'!$FF202</f>
        <v/>
      </c>
      <c r="AF200" s="1005" t="str">
        <f>'Resource Costs'!$FG202</f>
        <v/>
      </c>
      <c r="AG200" s="1006">
        <f>'Resource Costs'!$FH202</f>
        <v>0</v>
      </c>
      <c r="AH200" s="1006">
        <f>'Resource Costs'!$FI202</f>
        <v>0</v>
      </c>
      <c r="AI200" s="1006">
        <f>'Resource Costs'!$FJ202</f>
        <v>0</v>
      </c>
      <c r="AJ200" s="1006">
        <f>'Resource Costs'!$FK202</f>
        <v>0</v>
      </c>
      <c r="AK200" s="1006">
        <f>'Resource Costs'!$FL202</f>
        <v>0</v>
      </c>
      <c r="AL200" s="1006">
        <f>'Resource Costs'!$FM202</f>
        <v>0</v>
      </c>
      <c r="AM200" s="1007">
        <v>0</v>
      </c>
      <c r="AN200" s="1007">
        <v>0</v>
      </c>
      <c r="AO200" s="1007">
        <v>0</v>
      </c>
      <c r="AP200" s="1007">
        <v>0</v>
      </c>
      <c r="AQ200" s="1007">
        <v>0</v>
      </c>
      <c r="AR200" s="1016">
        <f t="shared" si="13"/>
        <v>0</v>
      </c>
    </row>
    <row r="201" spans="2:44" ht="15" customHeight="1">
      <c r="B201" s="2"/>
      <c r="C201" s="136"/>
      <c r="D201" s="136"/>
      <c r="E201" s="136"/>
      <c r="F201" s="136"/>
      <c r="G201" s="136"/>
      <c r="H201" s="136"/>
      <c r="I201" s="136"/>
      <c r="J201" s="136"/>
      <c r="K201" s="136"/>
      <c r="L201" s="136"/>
      <c r="M201" s="136"/>
      <c r="N201" s="136"/>
      <c r="O201" s="136"/>
      <c r="P201" s="136"/>
      <c r="Q201" s="136"/>
      <c r="AA201" s="1684"/>
      <c r="AB201" s="1005" t="str">
        <f>'Resource Costs'!$FC203</f>
        <v/>
      </c>
      <c r="AC201" s="1005" t="str">
        <f>'Resource Costs'!$FD203</f>
        <v/>
      </c>
      <c r="AD201" s="1005" t="str">
        <f>'Resource Costs'!$FE203</f>
        <v>Labor</v>
      </c>
      <c r="AE201" s="1005" t="str">
        <f>'Resource Costs'!$FF203</f>
        <v/>
      </c>
      <c r="AF201" s="1005" t="str">
        <f>'Resource Costs'!$FG203</f>
        <v/>
      </c>
      <c r="AG201" s="1006">
        <f>'Resource Costs'!$FH203</f>
        <v>0</v>
      </c>
      <c r="AH201" s="1006">
        <f>'Resource Costs'!$FI203</f>
        <v>0</v>
      </c>
      <c r="AI201" s="1006">
        <f>'Resource Costs'!$FJ203</f>
        <v>0</v>
      </c>
      <c r="AJ201" s="1006">
        <f>'Resource Costs'!$FK203</f>
        <v>0</v>
      </c>
      <c r="AK201" s="1006">
        <f>'Resource Costs'!$FL203</f>
        <v>0</v>
      </c>
      <c r="AL201" s="1006">
        <f>'Resource Costs'!$FM203</f>
        <v>0</v>
      </c>
      <c r="AM201" s="1007">
        <v>0</v>
      </c>
      <c r="AN201" s="1007">
        <v>0</v>
      </c>
      <c r="AO201" s="1007">
        <v>0</v>
      </c>
      <c r="AP201" s="1007">
        <v>0</v>
      </c>
      <c r="AQ201" s="1007">
        <v>0</v>
      </c>
      <c r="AR201" s="1016">
        <f t="shared" si="13"/>
        <v>0</v>
      </c>
    </row>
    <row r="202" spans="2:44" ht="15" customHeight="1">
      <c r="B202" s="2"/>
      <c r="C202" s="136"/>
      <c r="D202" s="136"/>
      <c r="E202" s="136"/>
      <c r="F202" s="136"/>
      <c r="G202" s="136"/>
      <c r="H202" s="136"/>
      <c r="I202" s="136"/>
      <c r="J202" s="136"/>
      <c r="K202" s="136"/>
      <c r="L202" s="136"/>
      <c r="M202" s="136"/>
      <c r="N202" s="136"/>
      <c r="O202" s="136"/>
      <c r="P202" s="136"/>
      <c r="Q202" s="136"/>
      <c r="AA202" s="1684"/>
      <c r="AB202" s="1005" t="str">
        <f>'Resource Costs'!$FC204</f>
        <v/>
      </c>
      <c r="AC202" s="1005" t="str">
        <f>'Resource Costs'!$FD204</f>
        <v/>
      </c>
      <c r="AD202" s="1005" t="str">
        <f>'Resource Costs'!$FE204</f>
        <v>Labor</v>
      </c>
      <c r="AE202" s="1005" t="str">
        <f>'Resource Costs'!$FF204</f>
        <v/>
      </c>
      <c r="AF202" s="1005" t="str">
        <f>'Resource Costs'!$FG204</f>
        <v/>
      </c>
      <c r="AG202" s="1006">
        <f>'Resource Costs'!$FH204</f>
        <v>0</v>
      </c>
      <c r="AH202" s="1006">
        <f>'Resource Costs'!$FI204</f>
        <v>0</v>
      </c>
      <c r="AI202" s="1006">
        <f>'Resource Costs'!$FJ204</f>
        <v>0</v>
      </c>
      <c r="AJ202" s="1006">
        <f>'Resource Costs'!$FK204</f>
        <v>0</v>
      </c>
      <c r="AK202" s="1006">
        <f>'Resource Costs'!$FL204</f>
        <v>0</v>
      </c>
      <c r="AL202" s="1006">
        <f>'Resource Costs'!$FM204</f>
        <v>0</v>
      </c>
      <c r="AM202" s="1007">
        <v>0</v>
      </c>
      <c r="AN202" s="1007">
        <v>0</v>
      </c>
      <c r="AO202" s="1007">
        <v>0</v>
      </c>
      <c r="AP202" s="1007">
        <v>0</v>
      </c>
      <c r="AQ202" s="1007">
        <v>0</v>
      </c>
      <c r="AR202" s="1016">
        <f t="shared" si="13"/>
        <v>0</v>
      </c>
    </row>
    <row r="203" spans="2:44" ht="15" customHeight="1">
      <c r="B203" s="2"/>
      <c r="C203" s="136"/>
      <c r="D203" s="136"/>
      <c r="E203" s="136"/>
      <c r="F203" s="136"/>
      <c r="G203" s="136"/>
      <c r="H203" s="136"/>
      <c r="I203" s="136"/>
      <c r="J203" s="136"/>
      <c r="K203" s="136"/>
      <c r="L203" s="136"/>
      <c r="M203" s="136"/>
      <c r="N203" s="136"/>
      <c r="O203" s="136"/>
      <c r="P203" s="136"/>
      <c r="Q203" s="136"/>
      <c r="AA203" s="1684"/>
      <c r="AB203" s="1005" t="str">
        <f>'Resource Costs'!$FC205</f>
        <v/>
      </c>
      <c r="AC203" s="1005" t="str">
        <f>'Resource Costs'!$FD205</f>
        <v/>
      </c>
      <c r="AD203" s="1005" t="str">
        <f>'Resource Costs'!$FE205</f>
        <v>Labor</v>
      </c>
      <c r="AE203" s="1005" t="str">
        <f>'Resource Costs'!$FF205</f>
        <v/>
      </c>
      <c r="AF203" s="1005" t="str">
        <f>'Resource Costs'!$FG205</f>
        <v/>
      </c>
      <c r="AG203" s="1006">
        <f>'Resource Costs'!$FH205</f>
        <v>0</v>
      </c>
      <c r="AH203" s="1006">
        <f>'Resource Costs'!$FI205</f>
        <v>0</v>
      </c>
      <c r="AI203" s="1006">
        <f>'Resource Costs'!$FJ205</f>
        <v>0</v>
      </c>
      <c r="AJ203" s="1006">
        <f>'Resource Costs'!$FK205</f>
        <v>0</v>
      </c>
      <c r="AK203" s="1006">
        <f>'Resource Costs'!$FL205</f>
        <v>0</v>
      </c>
      <c r="AL203" s="1006">
        <f>'Resource Costs'!$FM205</f>
        <v>0</v>
      </c>
      <c r="AM203" s="1007">
        <v>0</v>
      </c>
      <c r="AN203" s="1007">
        <v>0</v>
      </c>
      <c r="AO203" s="1007">
        <v>0</v>
      </c>
      <c r="AP203" s="1007">
        <v>0</v>
      </c>
      <c r="AQ203" s="1007">
        <v>0</v>
      </c>
      <c r="AR203" s="1016">
        <f t="shared" si="13"/>
        <v>0</v>
      </c>
    </row>
    <row r="204" spans="2:44" ht="15" customHeight="1">
      <c r="B204" s="2"/>
      <c r="C204" s="136"/>
      <c r="D204" s="136"/>
      <c r="E204" s="136"/>
      <c r="F204" s="136"/>
      <c r="G204" s="136"/>
      <c r="H204" s="136"/>
      <c r="I204" s="136"/>
      <c r="J204" s="136"/>
      <c r="K204" s="136"/>
      <c r="L204" s="136"/>
      <c r="M204" s="136"/>
      <c r="N204" s="136"/>
      <c r="O204" s="136"/>
      <c r="P204" s="136"/>
      <c r="Q204" s="136"/>
      <c r="AA204" s="1684"/>
      <c r="AB204" s="1005" t="str">
        <f>'Resource Costs'!$FC206</f>
        <v/>
      </c>
      <c r="AC204" s="1005" t="str">
        <f>'Resource Costs'!$FD206</f>
        <v/>
      </c>
      <c r="AD204" s="1005" t="str">
        <f>'Resource Costs'!$FE206</f>
        <v>Labor</v>
      </c>
      <c r="AE204" s="1005" t="str">
        <f>'Resource Costs'!$FF206</f>
        <v/>
      </c>
      <c r="AF204" s="1005" t="str">
        <f>'Resource Costs'!$FG206</f>
        <v/>
      </c>
      <c r="AG204" s="1006">
        <f>'Resource Costs'!$FH206</f>
        <v>0</v>
      </c>
      <c r="AH204" s="1006">
        <f>'Resource Costs'!$FI206</f>
        <v>0</v>
      </c>
      <c r="AI204" s="1006">
        <f>'Resource Costs'!$FJ206</f>
        <v>0</v>
      </c>
      <c r="AJ204" s="1006">
        <f>'Resource Costs'!$FK206</f>
        <v>0</v>
      </c>
      <c r="AK204" s="1006">
        <f>'Resource Costs'!$FL206</f>
        <v>0</v>
      </c>
      <c r="AL204" s="1006">
        <f>'Resource Costs'!$FM206</f>
        <v>0</v>
      </c>
      <c r="AM204" s="1007">
        <v>0</v>
      </c>
      <c r="AN204" s="1007">
        <v>0</v>
      </c>
      <c r="AO204" s="1007">
        <v>0</v>
      </c>
      <c r="AP204" s="1007">
        <v>0</v>
      </c>
      <c r="AQ204" s="1007">
        <v>0</v>
      </c>
      <c r="AR204" s="1016">
        <f t="shared" si="13"/>
        <v>0</v>
      </c>
    </row>
    <row r="205" spans="2:44" ht="15" customHeight="1">
      <c r="B205" s="2"/>
      <c r="C205" s="136"/>
      <c r="D205" s="136"/>
      <c r="E205" s="136"/>
      <c r="F205" s="136"/>
      <c r="G205" s="136"/>
      <c r="H205" s="136"/>
      <c r="I205" s="136"/>
      <c r="J205" s="136"/>
      <c r="K205" s="136"/>
      <c r="L205" s="136"/>
      <c r="M205" s="136"/>
      <c r="N205" s="136"/>
      <c r="O205" s="136"/>
      <c r="P205" s="136"/>
      <c r="Q205" s="136"/>
      <c r="AA205" s="1684"/>
      <c r="AB205" s="1005" t="str">
        <f>'Resource Costs'!$FC207</f>
        <v/>
      </c>
      <c r="AC205" s="1005" t="str">
        <f>'Resource Costs'!$FD207</f>
        <v/>
      </c>
      <c r="AD205" s="1005" t="str">
        <f>'Resource Costs'!$FE207</f>
        <v>Labor</v>
      </c>
      <c r="AE205" s="1005" t="str">
        <f>'Resource Costs'!$FF207</f>
        <v/>
      </c>
      <c r="AF205" s="1005" t="str">
        <f>'Resource Costs'!$FG207</f>
        <v/>
      </c>
      <c r="AG205" s="1006">
        <f>'Resource Costs'!$FH207</f>
        <v>0</v>
      </c>
      <c r="AH205" s="1006">
        <f>'Resource Costs'!$FI207</f>
        <v>0</v>
      </c>
      <c r="AI205" s="1006">
        <f>'Resource Costs'!$FJ207</f>
        <v>0</v>
      </c>
      <c r="AJ205" s="1006">
        <f>'Resource Costs'!$FK207</f>
        <v>0</v>
      </c>
      <c r="AK205" s="1006">
        <f>'Resource Costs'!$FL207</f>
        <v>0</v>
      </c>
      <c r="AL205" s="1006">
        <f>'Resource Costs'!$FM207</f>
        <v>0</v>
      </c>
      <c r="AM205" s="1007">
        <v>0</v>
      </c>
      <c r="AN205" s="1007">
        <v>0</v>
      </c>
      <c r="AO205" s="1007">
        <v>0</v>
      </c>
      <c r="AP205" s="1007">
        <v>0</v>
      </c>
      <c r="AQ205" s="1007">
        <v>0</v>
      </c>
      <c r="AR205" s="1016">
        <f t="shared" si="13"/>
        <v>0</v>
      </c>
    </row>
    <row r="206" spans="2:44" ht="15" customHeight="1">
      <c r="B206" s="2"/>
      <c r="C206" s="136"/>
      <c r="D206" s="136"/>
      <c r="E206" s="136"/>
      <c r="F206" s="136"/>
      <c r="G206" s="136"/>
      <c r="H206" s="136"/>
      <c r="I206" s="136"/>
      <c r="J206" s="136"/>
      <c r="K206" s="136"/>
      <c r="L206" s="136"/>
      <c r="M206" s="136"/>
      <c r="N206" s="136"/>
      <c r="O206" s="136"/>
      <c r="P206" s="136"/>
      <c r="Q206" s="136"/>
      <c r="AA206" s="1684"/>
      <c r="AB206" s="1005" t="str">
        <f>'Resource Costs'!$FC208</f>
        <v/>
      </c>
      <c r="AC206" s="1005" t="str">
        <f>'Resource Costs'!$FD208</f>
        <v/>
      </c>
      <c r="AD206" s="1005" t="str">
        <f>'Resource Costs'!$FE208</f>
        <v>Labor</v>
      </c>
      <c r="AE206" s="1005" t="str">
        <f>'Resource Costs'!$FF208</f>
        <v/>
      </c>
      <c r="AF206" s="1005" t="str">
        <f>'Resource Costs'!$FG208</f>
        <v/>
      </c>
      <c r="AG206" s="1006">
        <f>'Resource Costs'!$FH208</f>
        <v>0</v>
      </c>
      <c r="AH206" s="1006">
        <f>'Resource Costs'!$FI208</f>
        <v>0</v>
      </c>
      <c r="AI206" s="1006">
        <f>'Resource Costs'!$FJ208</f>
        <v>0</v>
      </c>
      <c r="AJ206" s="1006">
        <f>'Resource Costs'!$FK208</f>
        <v>0</v>
      </c>
      <c r="AK206" s="1006">
        <f>'Resource Costs'!$FL208</f>
        <v>0</v>
      </c>
      <c r="AL206" s="1006">
        <f>'Resource Costs'!$FM208</f>
        <v>0</v>
      </c>
      <c r="AM206" s="1007">
        <v>0</v>
      </c>
      <c r="AN206" s="1007">
        <v>0</v>
      </c>
      <c r="AO206" s="1007">
        <v>0</v>
      </c>
      <c r="AP206" s="1007">
        <v>0</v>
      </c>
      <c r="AQ206" s="1007">
        <v>0</v>
      </c>
      <c r="AR206" s="1016">
        <f t="shared" si="13"/>
        <v>0</v>
      </c>
    </row>
    <row r="207" spans="2:44" ht="15" customHeight="1">
      <c r="B207" s="2"/>
      <c r="C207" s="136"/>
      <c r="D207" s="136"/>
      <c r="E207" s="136"/>
      <c r="F207" s="136"/>
      <c r="G207" s="136"/>
      <c r="H207" s="136"/>
      <c r="I207" s="136"/>
      <c r="J207" s="136"/>
      <c r="K207" s="136"/>
      <c r="L207" s="136"/>
      <c r="M207" s="136"/>
      <c r="N207" s="136"/>
      <c r="O207" s="136"/>
      <c r="P207" s="136"/>
      <c r="Q207" s="136"/>
      <c r="AA207" s="1684"/>
      <c r="AB207" s="1005" t="str">
        <f>'Resource Costs'!$FC209</f>
        <v/>
      </c>
      <c r="AC207" s="1005" t="str">
        <f>'Resource Costs'!$FD209</f>
        <v/>
      </c>
      <c r="AD207" s="1005" t="str">
        <f>'Resource Costs'!$FE209</f>
        <v>Labor</v>
      </c>
      <c r="AE207" s="1005" t="str">
        <f>'Resource Costs'!$FF209</f>
        <v/>
      </c>
      <c r="AF207" s="1005" t="str">
        <f>'Resource Costs'!$FG209</f>
        <v/>
      </c>
      <c r="AG207" s="1006">
        <f>'Resource Costs'!$FH209</f>
        <v>0</v>
      </c>
      <c r="AH207" s="1006">
        <f>'Resource Costs'!$FI209</f>
        <v>0</v>
      </c>
      <c r="AI207" s="1006">
        <f>'Resource Costs'!$FJ209</f>
        <v>0</v>
      </c>
      <c r="AJ207" s="1006">
        <f>'Resource Costs'!$FK209</f>
        <v>0</v>
      </c>
      <c r="AK207" s="1006">
        <f>'Resource Costs'!$FL209</f>
        <v>0</v>
      </c>
      <c r="AL207" s="1006">
        <f>'Resource Costs'!$FM209</f>
        <v>0</v>
      </c>
      <c r="AM207" s="1007">
        <v>0</v>
      </c>
      <c r="AN207" s="1007">
        <v>0</v>
      </c>
      <c r="AO207" s="1007">
        <v>0</v>
      </c>
      <c r="AP207" s="1007">
        <v>0</v>
      </c>
      <c r="AQ207" s="1007">
        <v>0</v>
      </c>
      <c r="AR207" s="1016">
        <f t="shared" si="13"/>
        <v>0</v>
      </c>
    </row>
    <row r="208" spans="2:44" ht="15" customHeight="1">
      <c r="B208" s="2"/>
      <c r="C208" s="136"/>
      <c r="D208" s="136"/>
      <c r="E208" s="136"/>
      <c r="F208" s="136"/>
      <c r="G208" s="136"/>
      <c r="H208" s="136"/>
      <c r="I208" s="136"/>
      <c r="J208" s="136"/>
      <c r="K208" s="136"/>
      <c r="L208" s="136"/>
      <c r="M208" s="136"/>
      <c r="N208" s="136"/>
      <c r="O208" s="136"/>
      <c r="P208" s="136"/>
      <c r="Q208" s="136"/>
      <c r="AA208" s="1684"/>
      <c r="AB208" s="1005" t="str">
        <f>'Resource Costs'!$FC210</f>
        <v/>
      </c>
      <c r="AC208" s="1005" t="str">
        <f>'Resource Costs'!$FD210</f>
        <v/>
      </c>
      <c r="AD208" s="1005" t="str">
        <f>'Resource Costs'!$FE210</f>
        <v>Labor</v>
      </c>
      <c r="AE208" s="1005" t="str">
        <f>'Resource Costs'!$FF210</f>
        <v/>
      </c>
      <c r="AF208" s="1005" t="str">
        <f>'Resource Costs'!$FG210</f>
        <v/>
      </c>
      <c r="AG208" s="1006">
        <f>'Resource Costs'!$FH210</f>
        <v>0</v>
      </c>
      <c r="AH208" s="1006">
        <f>'Resource Costs'!$FI210</f>
        <v>0</v>
      </c>
      <c r="AI208" s="1006">
        <f>'Resource Costs'!$FJ210</f>
        <v>0</v>
      </c>
      <c r="AJ208" s="1006">
        <f>'Resource Costs'!$FK210</f>
        <v>0</v>
      </c>
      <c r="AK208" s="1006">
        <f>'Resource Costs'!$FL210</f>
        <v>0</v>
      </c>
      <c r="AL208" s="1006">
        <f>'Resource Costs'!$FM210</f>
        <v>0</v>
      </c>
      <c r="AM208" s="1007">
        <v>0</v>
      </c>
      <c r="AN208" s="1007">
        <v>0</v>
      </c>
      <c r="AO208" s="1007">
        <v>0</v>
      </c>
      <c r="AP208" s="1007">
        <v>0</v>
      </c>
      <c r="AQ208" s="1007">
        <v>0</v>
      </c>
      <c r="AR208" s="1016">
        <f t="shared" si="13"/>
        <v>0</v>
      </c>
    </row>
    <row r="209" spans="2:44" ht="15" customHeight="1">
      <c r="B209" s="2"/>
      <c r="C209" s="136"/>
      <c r="D209" s="136"/>
      <c r="E209" s="136"/>
      <c r="F209" s="136"/>
      <c r="G209" s="136"/>
      <c r="H209" s="136"/>
      <c r="I209" s="136"/>
      <c r="J209" s="136"/>
      <c r="K209" s="136"/>
      <c r="L209" s="136"/>
      <c r="M209" s="136"/>
      <c r="N209" s="136"/>
      <c r="O209" s="136"/>
      <c r="P209" s="136"/>
      <c r="Q209" s="136"/>
      <c r="AA209" s="1684"/>
      <c r="AB209" s="1005" t="str">
        <f>'Resource Costs'!$FC211</f>
        <v/>
      </c>
      <c r="AC209" s="1005" t="str">
        <f>'Resource Costs'!$FD211</f>
        <v/>
      </c>
      <c r="AD209" s="1005" t="str">
        <f>'Resource Costs'!$FE211</f>
        <v>Labor</v>
      </c>
      <c r="AE209" s="1005" t="str">
        <f>'Resource Costs'!$FF211</f>
        <v/>
      </c>
      <c r="AF209" s="1005" t="str">
        <f>'Resource Costs'!$FG211</f>
        <v/>
      </c>
      <c r="AG209" s="1006">
        <f>'Resource Costs'!$FH211</f>
        <v>0</v>
      </c>
      <c r="AH209" s="1006">
        <f>'Resource Costs'!$FI211</f>
        <v>0</v>
      </c>
      <c r="AI209" s="1006">
        <f>'Resource Costs'!$FJ211</f>
        <v>0</v>
      </c>
      <c r="AJ209" s="1006">
        <f>'Resource Costs'!$FK211</f>
        <v>0</v>
      </c>
      <c r="AK209" s="1006">
        <f>'Resource Costs'!$FL211</f>
        <v>0</v>
      </c>
      <c r="AL209" s="1006">
        <f>'Resource Costs'!$FM211</f>
        <v>0</v>
      </c>
      <c r="AM209" s="1007">
        <v>0</v>
      </c>
      <c r="AN209" s="1007">
        <v>0</v>
      </c>
      <c r="AO209" s="1007">
        <v>0</v>
      </c>
      <c r="AP209" s="1007">
        <v>0</v>
      </c>
      <c r="AQ209" s="1007">
        <v>0</v>
      </c>
      <c r="AR209" s="1016">
        <f t="shared" si="13"/>
        <v>0</v>
      </c>
    </row>
    <row r="210" spans="2:44" ht="15" customHeight="1">
      <c r="B210" s="2"/>
      <c r="C210" s="136"/>
      <c r="D210" s="136"/>
      <c r="E210" s="136"/>
      <c r="F210" s="136"/>
      <c r="G210" s="136"/>
      <c r="H210" s="136"/>
      <c r="I210" s="136"/>
      <c r="J210" s="136"/>
      <c r="K210" s="136"/>
      <c r="L210" s="136"/>
      <c r="M210" s="136"/>
      <c r="N210" s="136"/>
      <c r="O210" s="136"/>
      <c r="P210" s="136"/>
      <c r="Q210" s="136"/>
      <c r="AA210" s="1684"/>
      <c r="AB210" s="1005" t="str">
        <f>'Resource Costs'!$FC212</f>
        <v/>
      </c>
      <c r="AC210" s="1005" t="str">
        <f>'Resource Costs'!$FD212</f>
        <v/>
      </c>
      <c r="AD210" s="1005" t="str">
        <f>'Resource Costs'!$FE212</f>
        <v>Labor</v>
      </c>
      <c r="AE210" s="1005" t="str">
        <f>'Resource Costs'!$FF212</f>
        <v/>
      </c>
      <c r="AF210" s="1005" t="str">
        <f>'Resource Costs'!$FG212</f>
        <v/>
      </c>
      <c r="AG210" s="1006">
        <f>'Resource Costs'!$FH212</f>
        <v>0</v>
      </c>
      <c r="AH210" s="1006">
        <f>'Resource Costs'!$FI212</f>
        <v>0</v>
      </c>
      <c r="AI210" s="1006">
        <f>'Resource Costs'!$FJ212</f>
        <v>0</v>
      </c>
      <c r="AJ210" s="1006">
        <f>'Resource Costs'!$FK212</f>
        <v>0</v>
      </c>
      <c r="AK210" s="1006">
        <f>'Resource Costs'!$FL212</f>
        <v>0</v>
      </c>
      <c r="AL210" s="1006">
        <f>'Resource Costs'!$FM212</f>
        <v>0</v>
      </c>
      <c r="AM210" s="1007">
        <v>0</v>
      </c>
      <c r="AN210" s="1007">
        <v>0</v>
      </c>
      <c r="AO210" s="1007">
        <v>0</v>
      </c>
      <c r="AP210" s="1007">
        <v>0</v>
      </c>
      <c r="AQ210" s="1007">
        <v>0</v>
      </c>
      <c r="AR210" s="1016">
        <f t="shared" si="13"/>
        <v>0</v>
      </c>
    </row>
    <row r="211" spans="2:44" ht="15" customHeight="1">
      <c r="B211" s="2"/>
      <c r="C211" s="136"/>
      <c r="D211" s="136"/>
      <c r="E211" s="136"/>
      <c r="F211" s="136"/>
      <c r="G211" s="136"/>
      <c r="H211" s="136"/>
      <c r="I211" s="136"/>
      <c r="J211" s="136"/>
      <c r="K211" s="136"/>
      <c r="L211" s="136"/>
      <c r="M211" s="136"/>
      <c r="N211" s="136"/>
      <c r="O211" s="136"/>
      <c r="P211" s="136"/>
      <c r="Q211" s="136"/>
      <c r="AA211" s="1684"/>
      <c r="AB211" s="1005" t="str">
        <f>'Resource Costs'!$FC213</f>
        <v/>
      </c>
      <c r="AC211" s="1005" t="str">
        <f>'Resource Costs'!$FD213</f>
        <v/>
      </c>
      <c r="AD211" s="1005" t="str">
        <f>'Resource Costs'!$FE213</f>
        <v>Labor</v>
      </c>
      <c r="AE211" s="1005" t="str">
        <f>'Resource Costs'!$FF213</f>
        <v/>
      </c>
      <c r="AF211" s="1005" t="str">
        <f>'Resource Costs'!$FG213</f>
        <v/>
      </c>
      <c r="AG211" s="1006">
        <f>'Resource Costs'!$FH213</f>
        <v>0</v>
      </c>
      <c r="AH211" s="1006">
        <f>'Resource Costs'!$FI213</f>
        <v>0</v>
      </c>
      <c r="AI211" s="1006">
        <f>'Resource Costs'!$FJ213</f>
        <v>0</v>
      </c>
      <c r="AJ211" s="1006">
        <f>'Resource Costs'!$FK213</f>
        <v>0</v>
      </c>
      <c r="AK211" s="1006">
        <f>'Resource Costs'!$FL213</f>
        <v>0</v>
      </c>
      <c r="AL211" s="1006">
        <f>'Resource Costs'!$FM213</f>
        <v>0</v>
      </c>
      <c r="AM211" s="1007">
        <v>0</v>
      </c>
      <c r="AN211" s="1007">
        <v>0</v>
      </c>
      <c r="AO211" s="1007">
        <v>0</v>
      </c>
      <c r="AP211" s="1007">
        <v>0</v>
      </c>
      <c r="AQ211" s="1007">
        <v>0</v>
      </c>
      <c r="AR211" s="1016">
        <f t="shared" si="13"/>
        <v>0</v>
      </c>
    </row>
    <row r="212" spans="2:44" ht="15" customHeight="1">
      <c r="B212" s="2"/>
      <c r="C212" s="136"/>
      <c r="D212" s="136"/>
      <c r="E212" s="136"/>
      <c r="F212" s="136"/>
      <c r="G212" s="136"/>
      <c r="H212" s="136"/>
      <c r="I212" s="136"/>
      <c r="J212" s="136"/>
      <c r="K212" s="136"/>
      <c r="L212" s="136"/>
      <c r="M212" s="136"/>
      <c r="N212" s="136"/>
      <c r="O212" s="136"/>
      <c r="P212" s="136"/>
      <c r="Q212" s="136"/>
      <c r="AA212" s="1684"/>
      <c r="AB212" s="1005" t="str">
        <f>'Resource Costs'!$FC214</f>
        <v/>
      </c>
      <c r="AC212" s="1005" t="str">
        <f>'Resource Costs'!$FD214</f>
        <v/>
      </c>
      <c r="AD212" s="1005" t="str">
        <f>'Resource Costs'!$FE214</f>
        <v>Labor</v>
      </c>
      <c r="AE212" s="1005" t="str">
        <f>'Resource Costs'!$FF214</f>
        <v/>
      </c>
      <c r="AF212" s="1005" t="str">
        <f>'Resource Costs'!$FG214</f>
        <v/>
      </c>
      <c r="AG212" s="1006">
        <f>'Resource Costs'!$FH214</f>
        <v>0</v>
      </c>
      <c r="AH212" s="1006">
        <f>'Resource Costs'!$FI214</f>
        <v>0</v>
      </c>
      <c r="AI212" s="1006">
        <f>'Resource Costs'!$FJ214</f>
        <v>0</v>
      </c>
      <c r="AJ212" s="1006">
        <f>'Resource Costs'!$FK214</f>
        <v>0</v>
      </c>
      <c r="AK212" s="1006">
        <f>'Resource Costs'!$FL214</f>
        <v>0</v>
      </c>
      <c r="AL212" s="1006">
        <f>'Resource Costs'!$FM214</f>
        <v>0</v>
      </c>
      <c r="AM212" s="1007">
        <v>0</v>
      </c>
      <c r="AN212" s="1007">
        <v>0</v>
      </c>
      <c r="AO212" s="1007">
        <v>0</v>
      </c>
      <c r="AP212" s="1007">
        <v>0</v>
      </c>
      <c r="AQ212" s="1007">
        <v>0</v>
      </c>
      <c r="AR212" s="1016">
        <f t="shared" si="13"/>
        <v>0</v>
      </c>
    </row>
    <row r="213" spans="2:44" ht="15" customHeight="1">
      <c r="B213" s="2"/>
      <c r="C213" s="136"/>
      <c r="D213" s="136"/>
      <c r="E213" s="136"/>
      <c r="F213" s="136"/>
      <c r="G213" s="136"/>
      <c r="H213" s="136"/>
      <c r="I213" s="136"/>
      <c r="J213" s="136"/>
      <c r="K213" s="136"/>
      <c r="L213" s="136"/>
      <c r="M213" s="136"/>
      <c r="N213" s="136"/>
      <c r="O213" s="136"/>
      <c r="P213" s="136"/>
      <c r="Q213" s="136"/>
      <c r="AA213" s="1684"/>
      <c r="AB213" s="1005" t="str">
        <f>'Resource Costs'!$FC215</f>
        <v/>
      </c>
      <c r="AC213" s="1005" t="str">
        <f>'Resource Costs'!$FD215</f>
        <v/>
      </c>
      <c r="AD213" s="1005" t="str">
        <f>'Resource Costs'!$FE215</f>
        <v>Labor</v>
      </c>
      <c r="AE213" s="1005" t="str">
        <f>'Resource Costs'!$FF215</f>
        <v/>
      </c>
      <c r="AF213" s="1005" t="str">
        <f>'Resource Costs'!$FG215</f>
        <v/>
      </c>
      <c r="AG213" s="1006">
        <f>'Resource Costs'!$FH215</f>
        <v>0</v>
      </c>
      <c r="AH213" s="1006">
        <f>'Resource Costs'!$FI215</f>
        <v>0</v>
      </c>
      <c r="AI213" s="1006">
        <f>'Resource Costs'!$FJ215</f>
        <v>0</v>
      </c>
      <c r="AJ213" s="1006">
        <f>'Resource Costs'!$FK215</f>
        <v>0</v>
      </c>
      <c r="AK213" s="1006">
        <f>'Resource Costs'!$FL215</f>
        <v>0</v>
      </c>
      <c r="AL213" s="1006">
        <f>'Resource Costs'!$FM215</f>
        <v>0</v>
      </c>
      <c r="AM213" s="1007">
        <v>0</v>
      </c>
      <c r="AN213" s="1007">
        <v>0</v>
      </c>
      <c r="AO213" s="1007">
        <v>0</v>
      </c>
      <c r="AP213" s="1007">
        <v>0</v>
      </c>
      <c r="AQ213" s="1007">
        <v>0</v>
      </c>
      <c r="AR213" s="1016">
        <f t="shared" si="13"/>
        <v>0</v>
      </c>
    </row>
    <row r="214" spans="2:44" ht="15" customHeight="1">
      <c r="B214" s="2"/>
      <c r="C214" s="136"/>
      <c r="D214" s="136"/>
      <c r="E214" s="136"/>
      <c r="F214" s="136"/>
      <c r="G214" s="136"/>
      <c r="H214" s="136"/>
      <c r="I214" s="136"/>
      <c r="J214" s="136"/>
      <c r="K214" s="136"/>
      <c r="L214" s="136"/>
      <c r="M214" s="136"/>
      <c r="N214" s="136"/>
      <c r="O214" s="136"/>
      <c r="P214" s="136"/>
      <c r="Q214" s="136"/>
      <c r="AA214" s="1684"/>
      <c r="AB214" s="1005" t="str">
        <f>'Resource Costs'!$FC216</f>
        <v/>
      </c>
      <c r="AC214" s="1005" t="str">
        <f>'Resource Costs'!$FD216</f>
        <v/>
      </c>
      <c r="AD214" s="1005" t="str">
        <f>'Resource Costs'!$FE216</f>
        <v>Labor</v>
      </c>
      <c r="AE214" s="1005" t="str">
        <f>'Resource Costs'!$FF216</f>
        <v/>
      </c>
      <c r="AF214" s="1005" t="str">
        <f>'Resource Costs'!$FG216</f>
        <v/>
      </c>
      <c r="AG214" s="1006">
        <f>'Resource Costs'!$FH216</f>
        <v>0</v>
      </c>
      <c r="AH214" s="1006">
        <f>'Resource Costs'!$FI216</f>
        <v>0</v>
      </c>
      <c r="AI214" s="1006">
        <f>'Resource Costs'!$FJ216</f>
        <v>0</v>
      </c>
      <c r="AJ214" s="1006">
        <f>'Resource Costs'!$FK216</f>
        <v>0</v>
      </c>
      <c r="AK214" s="1006">
        <f>'Resource Costs'!$FL216</f>
        <v>0</v>
      </c>
      <c r="AL214" s="1006">
        <f>'Resource Costs'!$FM216</f>
        <v>0</v>
      </c>
      <c r="AM214" s="1007">
        <v>0</v>
      </c>
      <c r="AN214" s="1007">
        <v>0</v>
      </c>
      <c r="AO214" s="1007">
        <v>0</v>
      </c>
      <c r="AP214" s="1007">
        <v>0</v>
      </c>
      <c r="AQ214" s="1007">
        <v>0</v>
      </c>
      <c r="AR214" s="1016">
        <f t="shared" si="13"/>
        <v>0</v>
      </c>
    </row>
    <row r="215" spans="2:44" ht="15" customHeight="1">
      <c r="B215" s="2"/>
      <c r="C215" s="136"/>
      <c r="D215" s="136"/>
      <c r="E215" s="136"/>
      <c r="F215" s="136"/>
      <c r="G215" s="136"/>
      <c r="H215" s="136"/>
      <c r="I215" s="136"/>
      <c r="J215" s="136"/>
      <c r="K215" s="136"/>
      <c r="L215" s="136"/>
      <c r="M215" s="136"/>
      <c r="N215" s="136"/>
      <c r="O215" s="136"/>
      <c r="P215" s="136"/>
      <c r="Q215" s="136"/>
      <c r="AA215" s="1684"/>
      <c r="AB215" s="1005" t="str">
        <f>'Resource Costs'!$FC217</f>
        <v/>
      </c>
      <c r="AC215" s="1005" t="str">
        <f>'Resource Costs'!$FD217</f>
        <v/>
      </c>
      <c r="AD215" s="1005" t="str">
        <f>'Resource Costs'!$FE217</f>
        <v>Labor</v>
      </c>
      <c r="AE215" s="1005" t="str">
        <f>'Resource Costs'!$FF217</f>
        <v/>
      </c>
      <c r="AF215" s="1005" t="str">
        <f>'Resource Costs'!$FG217</f>
        <v/>
      </c>
      <c r="AG215" s="1006">
        <f>'Resource Costs'!$FH217</f>
        <v>0</v>
      </c>
      <c r="AH215" s="1006">
        <f>'Resource Costs'!$FI217</f>
        <v>0</v>
      </c>
      <c r="AI215" s="1006">
        <f>'Resource Costs'!$FJ217</f>
        <v>0</v>
      </c>
      <c r="AJ215" s="1006">
        <f>'Resource Costs'!$FK217</f>
        <v>0</v>
      </c>
      <c r="AK215" s="1006">
        <f>'Resource Costs'!$FL217</f>
        <v>0</v>
      </c>
      <c r="AL215" s="1006">
        <f>'Resource Costs'!$FM217</f>
        <v>0</v>
      </c>
      <c r="AM215" s="1007">
        <v>0</v>
      </c>
      <c r="AN215" s="1007">
        <v>0</v>
      </c>
      <c r="AO215" s="1007">
        <v>0</v>
      </c>
      <c r="AP215" s="1007">
        <v>0</v>
      </c>
      <c r="AQ215" s="1007">
        <v>0</v>
      </c>
      <c r="AR215" s="1016">
        <f t="shared" si="13"/>
        <v>0</v>
      </c>
    </row>
    <row r="216" spans="2:44" ht="15" customHeight="1">
      <c r="B216" s="2"/>
      <c r="C216" s="136"/>
      <c r="D216" s="136"/>
      <c r="E216" s="136"/>
      <c r="F216" s="136"/>
      <c r="G216" s="136"/>
      <c r="H216" s="136"/>
      <c r="I216" s="136"/>
      <c r="J216" s="136"/>
      <c r="K216" s="136"/>
      <c r="L216" s="136"/>
      <c r="M216" s="136"/>
      <c r="N216" s="136"/>
      <c r="O216" s="136"/>
      <c r="P216" s="136"/>
      <c r="Q216" s="136"/>
      <c r="AA216" s="1684"/>
      <c r="AB216" s="1005" t="str">
        <f>'Resource Costs'!$FC218</f>
        <v/>
      </c>
      <c r="AC216" s="1005" t="str">
        <f>'Resource Costs'!$FD218</f>
        <v/>
      </c>
      <c r="AD216" s="1005" t="str">
        <f>'Resource Costs'!$FE218</f>
        <v>Labor</v>
      </c>
      <c r="AE216" s="1005" t="str">
        <f>'Resource Costs'!$FF218</f>
        <v/>
      </c>
      <c r="AF216" s="1005" t="str">
        <f>'Resource Costs'!$FG218</f>
        <v/>
      </c>
      <c r="AG216" s="1006">
        <f>'Resource Costs'!$FH218</f>
        <v>0</v>
      </c>
      <c r="AH216" s="1006">
        <f>'Resource Costs'!$FI218</f>
        <v>0</v>
      </c>
      <c r="AI216" s="1006">
        <f>'Resource Costs'!$FJ218</f>
        <v>0</v>
      </c>
      <c r="AJ216" s="1006">
        <f>'Resource Costs'!$FK218</f>
        <v>0</v>
      </c>
      <c r="AK216" s="1006">
        <f>'Resource Costs'!$FL218</f>
        <v>0</v>
      </c>
      <c r="AL216" s="1006">
        <f>'Resource Costs'!$FM218</f>
        <v>0</v>
      </c>
      <c r="AM216" s="1007">
        <v>0</v>
      </c>
      <c r="AN216" s="1007">
        <v>0</v>
      </c>
      <c r="AO216" s="1007">
        <v>0</v>
      </c>
      <c r="AP216" s="1007">
        <v>0</v>
      </c>
      <c r="AQ216" s="1007">
        <v>0</v>
      </c>
      <c r="AR216" s="1016">
        <f t="shared" ref="AR216:AR252" si="14">SUM(AG216:AQ216)</f>
        <v>0</v>
      </c>
    </row>
    <row r="217" spans="2:44" ht="15" customHeight="1">
      <c r="B217" s="2"/>
      <c r="C217" s="136"/>
      <c r="D217" s="136"/>
      <c r="E217" s="136"/>
      <c r="F217" s="136"/>
      <c r="G217" s="136"/>
      <c r="H217" s="136"/>
      <c r="I217" s="136"/>
      <c r="J217" s="136"/>
      <c r="K217" s="136"/>
      <c r="L217" s="136"/>
      <c r="M217" s="136"/>
      <c r="N217" s="136"/>
      <c r="O217" s="136"/>
      <c r="P217" s="136"/>
      <c r="Q217" s="136"/>
      <c r="AA217" s="1684"/>
      <c r="AB217" s="1005" t="str">
        <f>'Resource Costs'!$FC219</f>
        <v/>
      </c>
      <c r="AC217" s="1005" t="str">
        <f>'Resource Costs'!$FD219</f>
        <v/>
      </c>
      <c r="AD217" s="1005" t="str">
        <f>'Resource Costs'!$FE219</f>
        <v>Labor</v>
      </c>
      <c r="AE217" s="1005" t="str">
        <f>'Resource Costs'!$FF219</f>
        <v/>
      </c>
      <c r="AF217" s="1005" t="str">
        <f>'Resource Costs'!$FG219</f>
        <v/>
      </c>
      <c r="AG217" s="1006">
        <f>'Resource Costs'!$FH219</f>
        <v>0</v>
      </c>
      <c r="AH217" s="1006">
        <f>'Resource Costs'!$FI219</f>
        <v>0</v>
      </c>
      <c r="AI217" s="1006">
        <f>'Resource Costs'!$FJ219</f>
        <v>0</v>
      </c>
      <c r="AJ217" s="1006">
        <f>'Resource Costs'!$FK219</f>
        <v>0</v>
      </c>
      <c r="AK217" s="1006">
        <f>'Resource Costs'!$FL219</f>
        <v>0</v>
      </c>
      <c r="AL217" s="1006">
        <f>'Resource Costs'!$FM219</f>
        <v>0</v>
      </c>
      <c r="AM217" s="1007">
        <v>0</v>
      </c>
      <c r="AN217" s="1007">
        <v>0</v>
      </c>
      <c r="AO217" s="1007">
        <v>0</v>
      </c>
      <c r="AP217" s="1007">
        <v>0</v>
      </c>
      <c r="AQ217" s="1007">
        <v>0</v>
      </c>
      <c r="AR217" s="1016">
        <f t="shared" si="14"/>
        <v>0</v>
      </c>
    </row>
    <row r="218" spans="2:44" ht="15" customHeight="1">
      <c r="B218" s="2"/>
      <c r="C218" s="136"/>
      <c r="D218" s="136"/>
      <c r="E218" s="136"/>
      <c r="F218" s="136"/>
      <c r="G218" s="136"/>
      <c r="H218" s="136"/>
      <c r="I218" s="136"/>
      <c r="J218" s="136"/>
      <c r="K218" s="136"/>
      <c r="L218" s="136"/>
      <c r="M218" s="136"/>
      <c r="N218" s="136"/>
      <c r="O218" s="136"/>
      <c r="P218" s="136"/>
      <c r="Q218" s="136"/>
      <c r="AA218" s="1684"/>
      <c r="AB218" s="1005" t="str">
        <f>'Resource Costs'!$FC220</f>
        <v/>
      </c>
      <c r="AC218" s="1005" t="str">
        <f>'Resource Costs'!$FD220</f>
        <v/>
      </c>
      <c r="AD218" s="1005" t="str">
        <f>'Resource Costs'!$FE220</f>
        <v>Labor</v>
      </c>
      <c r="AE218" s="1005" t="str">
        <f>'Resource Costs'!$FF220</f>
        <v/>
      </c>
      <c r="AF218" s="1005" t="str">
        <f>'Resource Costs'!$FG220</f>
        <v/>
      </c>
      <c r="AG218" s="1006">
        <f>'Resource Costs'!$FH220</f>
        <v>0</v>
      </c>
      <c r="AH218" s="1006">
        <f>'Resource Costs'!$FI220</f>
        <v>0</v>
      </c>
      <c r="AI218" s="1006">
        <f>'Resource Costs'!$FJ220</f>
        <v>0</v>
      </c>
      <c r="AJ218" s="1006">
        <f>'Resource Costs'!$FK220</f>
        <v>0</v>
      </c>
      <c r="AK218" s="1006">
        <f>'Resource Costs'!$FL220</f>
        <v>0</v>
      </c>
      <c r="AL218" s="1006">
        <f>'Resource Costs'!$FM220</f>
        <v>0</v>
      </c>
      <c r="AM218" s="1007">
        <v>0</v>
      </c>
      <c r="AN218" s="1007">
        <v>0</v>
      </c>
      <c r="AO218" s="1007">
        <v>0</v>
      </c>
      <c r="AP218" s="1007">
        <v>0</v>
      </c>
      <c r="AQ218" s="1007">
        <v>0</v>
      </c>
      <c r="AR218" s="1016">
        <f t="shared" si="14"/>
        <v>0</v>
      </c>
    </row>
    <row r="219" spans="2:44" ht="15" customHeight="1">
      <c r="B219" s="2"/>
      <c r="C219" s="136"/>
      <c r="D219" s="136"/>
      <c r="E219" s="136"/>
      <c r="F219" s="136"/>
      <c r="G219" s="136"/>
      <c r="H219" s="136"/>
      <c r="I219" s="136"/>
      <c r="J219" s="136"/>
      <c r="K219" s="136"/>
      <c r="L219" s="136"/>
      <c r="M219" s="136"/>
      <c r="N219" s="136"/>
      <c r="O219" s="136"/>
      <c r="P219" s="136"/>
      <c r="Q219" s="136"/>
      <c r="AA219" s="1684"/>
      <c r="AB219" s="1005" t="str">
        <f>'Resource Costs'!$FC221</f>
        <v/>
      </c>
      <c r="AC219" s="1005" t="str">
        <f>'Resource Costs'!$FD221</f>
        <v/>
      </c>
      <c r="AD219" s="1005" t="str">
        <f>'Resource Costs'!$FE221</f>
        <v>Labor</v>
      </c>
      <c r="AE219" s="1005" t="str">
        <f>'Resource Costs'!$FF221</f>
        <v/>
      </c>
      <c r="AF219" s="1005" t="str">
        <f>'Resource Costs'!$FG221</f>
        <v/>
      </c>
      <c r="AG219" s="1006">
        <f>'Resource Costs'!$FH221</f>
        <v>0</v>
      </c>
      <c r="AH219" s="1006">
        <f>'Resource Costs'!$FI221</f>
        <v>0</v>
      </c>
      <c r="AI219" s="1006">
        <f>'Resource Costs'!$FJ221</f>
        <v>0</v>
      </c>
      <c r="AJ219" s="1006">
        <f>'Resource Costs'!$FK221</f>
        <v>0</v>
      </c>
      <c r="AK219" s="1006">
        <f>'Resource Costs'!$FL221</f>
        <v>0</v>
      </c>
      <c r="AL219" s="1006">
        <f>'Resource Costs'!$FM221</f>
        <v>0</v>
      </c>
      <c r="AM219" s="1007">
        <v>0</v>
      </c>
      <c r="AN219" s="1007">
        <v>0</v>
      </c>
      <c r="AO219" s="1007">
        <v>0</v>
      </c>
      <c r="AP219" s="1007">
        <v>0</v>
      </c>
      <c r="AQ219" s="1007">
        <v>0</v>
      </c>
      <c r="AR219" s="1016">
        <f t="shared" si="14"/>
        <v>0</v>
      </c>
    </row>
    <row r="220" spans="2:44" ht="15" customHeight="1">
      <c r="B220" s="2"/>
      <c r="C220" s="136"/>
      <c r="D220" s="136"/>
      <c r="E220" s="136"/>
      <c r="F220" s="136"/>
      <c r="G220" s="136"/>
      <c r="H220" s="136"/>
      <c r="I220" s="136"/>
      <c r="J220" s="136"/>
      <c r="K220" s="136"/>
      <c r="L220" s="136"/>
      <c r="M220" s="136"/>
      <c r="N220" s="136"/>
      <c r="O220" s="136"/>
      <c r="P220" s="136"/>
      <c r="Q220" s="136"/>
      <c r="AA220" s="1684"/>
      <c r="AB220" s="1005" t="str">
        <f>'Resource Costs'!$FC222</f>
        <v/>
      </c>
      <c r="AC220" s="1005" t="str">
        <f>'Resource Costs'!$FD222</f>
        <v/>
      </c>
      <c r="AD220" s="1005" t="str">
        <f>'Resource Costs'!$FE222</f>
        <v>Labor</v>
      </c>
      <c r="AE220" s="1005" t="str">
        <f>'Resource Costs'!$FF222</f>
        <v/>
      </c>
      <c r="AF220" s="1005" t="str">
        <f>'Resource Costs'!$FG222</f>
        <v/>
      </c>
      <c r="AG220" s="1006">
        <f>'Resource Costs'!$FH222</f>
        <v>0</v>
      </c>
      <c r="AH220" s="1006">
        <f>'Resource Costs'!$FI222</f>
        <v>0</v>
      </c>
      <c r="AI220" s="1006">
        <f>'Resource Costs'!$FJ222</f>
        <v>0</v>
      </c>
      <c r="AJ220" s="1006">
        <f>'Resource Costs'!$FK222</f>
        <v>0</v>
      </c>
      <c r="AK220" s="1006">
        <f>'Resource Costs'!$FL222</f>
        <v>0</v>
      </c>
      <c r="AL220" s="1006">
        <f>'Resource Costs'!$FM222</f>
        <v>0</v>
      </c>
      <c r="AM220" s="1007">
        <v>0</v>
      </c>
      <c r="AN220" s="1007">
        <v>0</v>
      </c>
      <c r="AO220" s="1007">
        <v>0</v>
      </c>
      <c r="AP220" s="1007">
        <v>0</v>
      </c>
      <c r="AQ220" s="1007">
        <v>0</v>
      </c>
      <c r="AR220" s="1016">
        <f t="shared" si="14"/>
        <v>0</v>
      </c>
    </row>
    <row r="221" spans="2:44" ht="15" customHeight="1">
      <c r="B221" s="2"/>
      <c r="C221" s="136"/>
      <c r="D221" s="136"/>
      <c r="E221" s="136"/>
      <c r="F221" s="136"/>
      <c r="G221" s="136"/>
      <c r="H221" s="136"/>
      <c r="I221" s="136"/>
      <c r="J221" s="136"/>
      <c r="K221" s="136"/>
      <c r="L221" s="136"/>
      <c r="M221" s="136"/>
      <c r="N221" s="136"/>
      <c r="O221" s="136"/>
      <c r="P221" s="136"/>
      <c r="Q221" s="136"/>
      <c r="AA221" s="1684"/>
      <c r="AB221" s="1005" t="str">
        <f>'Resource Costs'!$FC223</f>
        <v/>
      </c>
      <c r="AC221" s="1005" t="str">
        <f>'Resource Costs'!$FD223</f>
        <v/>
      </c>
      <c r="AD221" s="1005" t="str">
        <f>'Resource Costs'!$FE223</f>
        <v>Labor</v>
      </c>
      <c r="AE221" s="1005" t="str">
        <f>'Resource Costs'!$FF223</f>
        <v/>
      </c>
      <c r="AF221" s="1005" t="str">
        <f>'Resource Costs'!$FG223</f>
        <v/>
      </c>
      <c r="AG221" s="1006">
        <f>'Resource Costs'!$FH223</f>
        <v>0</v>
      </c>
      <c r="AH221" s="1006">
        <f>'Resource Costs'!$FI223</f>
        <v>0</v>
      </c>
      <c r="AI221" s="1006">
        <f>'Resource Costs'!$FJ223</f>
        <v>0</v>
      </c>
      <c r="AJ221" s="1006">
        <f>'Resource Costs'!$FK223</f>
        <v>0</v>
      </c>
      <c r="AK221" s="1006">
        <f>'Resource Costs'!$FL223</f>
        <v>0</v>
      </c>
      <c r="AL221" s="1006">
        <f>'Resource Costs'!$FM223</f>
        <v>0</v>
      </c>
      <c r="AM221" s="1007">
        <v>0</v>
      </c>
      <c r="AN221" s="1007">
        <v>0</v>
      </c>
      <c r="AO221" s="1007">
        <v>0</v>
      </c>
      <c r="AP221" s="1007">
        <v>0</v>
      </c>
      <c r="AQ221" s="1007">
        <v>0</v>
      </c>
      <c r="AR221" s="1016">
        <f t="shared" si="14"/>
        <v>0</v>
      </c>
    </row>
    <row r="222" spans="2:44" ht="15" customHeight="1">
      <c r="B222" s="2"/>
      <c r="C222" s="136"/>
      <c r="D222" s="136"/>
      <c r="E222" s="136"/>
      <c r="F222" s="136"/>
      <c r="G222" s="136"/>
      <c r="H222" s="136"/>
      <c r="I222" s="136"/>
      <c r="J222" s="136"/>
      <c r="K222" s="136"/>
      <c r="L222" s="136"/>
      <c r="M222" s="136"/>
      <c r="N222" s="136"/>
      <c r="O222" s="136"/>
      <c r="P222" s="136"/>
      <c r="Q222" s="136"/>
      <c r="AA222" s="1684"/>
      <c r="AB222" s="1005" t="str">
        <f>'Resource Costs'!$FC224</f>
        <v/>
      </c>
      <c r="AC222" s="1005" t="str">
        <f>'Resource Costs'!$FD224</f>
        <v/>
      </c>
      <c r="AD222" s="1005" t="str">
        <f>'Resource Costs'!$FE224</f>
        <v>Labor</v>
      </c>
      <c r="AE222" s="1005" t="str">
        <f>'Resource Costs'!$FF224</f>
        <v/>
      </c>
      <c r="AF222" s="1005" t="str">
        <f>'Resource Costs'!$FG224</f>
        <v/>
      </c>
      <c r="AG222" s="1006">
        <f>'Resource Costs'!$FH224</f>
        <v>0</v>
      </c>
      <c r="AH222" s="1006">
        <f>'Resource Costs'!$FI224</f>
        <v>0</v>
      </c>
      <c r="AI222" s="1006">
        <f>'Resource Costs'!$FJ224</f>
        <v>0</v>
      </c>
      <c r="AJ222" s="1006">
        <f>'Resource Costs'!$FK224</f>
        <v>0</v>
      </c>
      <c r="AK222" s="1006">
        <f>'Resource Costs'!$FL224</f>
        <v>0</v>
      </c>
      <c r="AL222" s="1006">
        <f>'Resource Costs'!$FM224</f>
        <v>0</v>
      </c>
      <c r="AM222" s="1007">
        <v>0</v>
      </c>
      <c r="AN222" s="1007">
        <v>0</v>
      </c>
      <c r="AO222" s="1007">
        <v>0</v>
      </c>
      <c r="AP222" s="1007">
        <v>0</v>
      </c>
      <c r="AQ222" s="1007">
        <v>0</v>
      </c>
      <c r="AR222" s="1016">
        <f t="shared" si="14"/>
        <v>0</v>
      </c>
    </row>
    <row r="223" spans="2:44" ht="15" customHeight="1">
      <c r="B223" s="2"/>
      <c r="C223" s="136"/>
      <c r="D223" s="136"/>
      <c r="E223" s="136"/>
      <c r="F223" s="136"/>
      <c r="G223" s="136"/>
      <c r="H223" s="136"/>
      <c r="I223" s="136"/>
      <c r="J223" s="136"/>
      <c r="K223" s="136"/>
      <c r="L223" s="136"/>
      <c r="M223" s="136"/>
      <c r="N223" s="136"/>
      <c r="O223" s="136"/>
      <c r="P223" s="136"/>
      <c r="Q223" s="136"/>
      <c r="AA223" s="1684"/>
      <c r="AB223" s="1005" t="str">
        <f>'Resource Costs'!$FC225</f>
        <v/>
      </c>
      <c r="AC223" s="1005" t="str">
        <f>'Resource Costs'!$FD225</f>
        <v/>
      </c>
      <c r="AD223" s="1005" t="str">
        <f>'Resource Costs'!$FE225</f>
        <v>Labor</v>
      </c>
      <c r="AE223" s="1005" t="str">
        <f>'Resource Costs'!$FF225</f>
        <v/>
      </c>
      <c r="AF223" s="1005" t="str">
        <f>'Resource Costs'!$FG225</f>
        <v/>
      </c>
      <c r="AG223" s="1006">
        <f>'Resource Costs'!$FH225</f>
        <v>0</v>
      </c>
      <c r="AH223" s="1006">
        <f>'Resource Costs'!$FI225</f>
        <v>0</v>
      </c>
      <c r="AI223" s="1006">
        <f>'Resource Costs'!$FJ225</f>
        <v>0</v>
      </c>
      <c r="AJ223" s="1006">
        <f>'Resource Costs'!$FK225</f>
        <v>0</v>
      </c>
      <c r="AK223" s="1006">
        <f>'Resource Costs'!$FL225</f>
        <v>0</v>
      </c>
      <c r="AL223" s="1006">
        <f>'Resource Costs'!$FM225</f>
        <v>0</v>
      </c>
      <c r="AM223" s="1007">
        <v>0</v>
      </c>
      <c r="AN223" s="1007">
        <v>0</v>
      </c>
      <c r="AO223" s="1007">
        <v>0</v>
      </c>
      <c r="AP223" s="1007">
        <v>0</v>
      </c>
      <c r="AQ223" s="1007">
        <v>0</v>
      </c>
      <c r="AR223" s="1016">
        <f t="shared" si="14"/>
        <v>0</v>
      </c>
    </row>
    <row r="224" spans="2:44" ht="15" customHeight="1">
      <c r="B224" s="2"/>
      <c r="C224" s="136"/>
      <c r="D224" s="136"/>
      <c r="E224" s="136"/>
      <c r="F224" s="136"/>
      <c r="G224" s="136"/>
      <c r="H224" s="136"/>
      <c r="I224" s="136"/>
      <c r="J224" s="136"/>
      <c r="K224" s="136"/>
      <c r="L224" s="136"/>
      <c r="M224" s="136"/>
      <c r="N224" s="136"/>
      <c r="O224" s="136"/>
      <c r="P224" s="136"/>
      <c r="Q224" s="136"/>
      <c r="AA224" s="1684"/>
      <c r="AB224" s="1005" t="str">
        <f>'Resource Costs'!$FC226</f>
        <v/>
      </c>
      <c r="AC224" s="1005" t="str">
        <f>'Resource Costs'!$FD226</f>
        <v/>
      </c>
      <c r="AD224" s="1005" t="str">
        <f>'Resource Costs'!$FE226</f>
        <v>Labor</v>
      </c>
      <c r="AE224" s="1005" t="str">
        <f>'Resource Costs'!$FF226</f>
        <v/>
      </c>
      <c r="AF224" s="1005" t="str">
        <f>'Resource Costs'!$FG226</f>
        <v/>
      </c>
      <c r="AG224" s="1006">
        <f>'Resource Costs'!$FH226</f>
        <v>0</v>
      </c>
      <c r="AH224" s="1006">
        <f>'Resource Costs'!$FI226</f>
        <v>0</v>
      </c>
      <c r="AI224" s="1006">
        <f>'Resource Costs'!$FJ226</f>
        <v>0</v>
      </c>
      <c r="AJ224" s="1006">
        <f>'Resource Costs'!$FK226</f>
        <v>0</v>
      </c>
      <c r="AK224" s="1006">
        <f>'Resource Costs'!$FL226</f>
        <v>0</v>
      </c>
      <c r="AL224" s="1006">
        <f>'Resource Costs'!$FM226</f>
        <v>0</v>
      </c>
      <c r="AM224" s="1007">
        <v>0</v>
      </c>
      <c r="AN224" s="1007">
        <v>0</v>
      </c>
      <c r="AO224" s="1007">
        <v>0</v>
      </c>
      <c r="AP224" s="1007">
        <v>0</v>
      </c>
      <c r="AQ224" s="1007">
        <v>0</v>
      </c>
      <c r="AR224" s="1016">
        <f t="shared" si="14"/>
        <v>0</v>
      </c>
    </row>
    <row r="225" spans="2:44" ht="15" customHeight="1">
      <c r="B225" s="2"/>
      <c r="C225" s="136"/>
      <c r="D225" s="136"/>
      <c r="E225" s="136"/>
      <c r="F225" s="136"/>
      <c r="G225" s="136"/>
      <c r="H225" s="136"/>
      <c r="I225" s="136"/>
      <c r="J225" s="136"/>
      <c r="K225" s="136"/>
      <c r="L225" s="136"/>
      <c r="M225" s="136"/>
      <c r="N225" s="136"/>
      <c r="O225" s="136"/>
      <c r="P225" s="136"/>
      <c r="Q225" s="136"/>
      <c r="AA225" s="1684"/>
      <c r="AB225" s="1005" t="str">
        <f>'Resource Costs'!$FC227</f>
        <v/>
      </c>
      <c r="AC225" s="1005" t="str">
        <f>'Resource Costs'!$FD227</f>
        <v/>
      </c>
      <c r="AD225" s="1005" t="str">
        <f>'Resource Costs'!$FE227</f>
        <v>Labor</v>
      </c>
      <c r="AE225" s="1005" t="str">
        <f>'Resource Costs'!$FF227</f>
        <v/>
      </c>
      <c r="AF225" s="1005" t="str">
        <f>'Resource Costs'!$FG227</f>
        <v/>
      </c>
      <c r="AG225" s="1006">
        <f>'Resource Costs'!$FH227</f>
        <v>0</v>
      </c>
      <c r="AH225" s="1006">
        <f>'Resource Costs'!$FI227</f>
        <v>0</v>
      </c>
      <c r="AI225" s="1006">
        <f>'Resource Costs'!$FJ227</f>
        <v>0</v>
      </c>
      <c r="AJ225" s="1006">
        <f>'Resource Costs'!$FK227</f>
        <v>0</v>
      </c>
      <c r="AK225" s="1006">
        <f>'Resource Costs'!$FL227</f>
        <v>0</v>
      </c>
      <c r="AL225" s="1006">
        <f>'Resource Costs'!$FM227</f>
        <v>0</v>
      </c>
      <c r="AM225" s="1007">
        <v>0</v>
      </c>
      <c r="AN225" s="1007">
        <v>0</v>
      </c>
      <c r="AO225" s="1007">
        <v>0</v>
      </c>
      <c r="AP225" s="1007">
        <v>0</v>
      </c>
      <c r="AQ225" s="1007">
        <v>0</v>
      </c>
      <c r="AR225" s="1016">
        <f t="shared" si="14"/>
        <v>0</v>
      </c>
    </row>
    <row r="226" spans="2:44" ht="15" customHeight="1">
      <c r="B226" s="2"/>
      <c r="C226" s="136"/>
      <c r="D226" s="136"/>
      <c r="E226" s="136"/>
      <c r="F226" s="136"/>
      <c r="G226" s="136"/>
      <c r="H226" s="136"/>
      <c r="I226" s="136"/>
      <c r="J226" s="136"/>
      <c r="K226" s="136"/>
      <c r="L226" s="136"/>
      <c r="M226" s="136"/>
      <c r="N226" s="136"/>
      <c r="O226" s="136"/>
      <c r="P226" s="136"/>
      <c r="Q226" s="136"/>
      <c r="AA226" s="1684"/>
      <c r="AB226" s="1005" t="str">
        <f>'Resource Costs'!$FC228</f>
        <v/>
      </c>
      <c r="AC226" s="1005" t="str">
        <f>'Resource Costs'!$FD228</f>
        <v/>
      </c>
      <c r="AD226" s="1005" t="str">
        <f>'Resource Costs'!$FE228</f>
        <v>Labor</v>
      </c>
      <c r="AE226" s="1005" t="str">
        <f>'Resource Costs'!$FF228</f>
        <v/>
      </c>
      <c r="AF226" s="1005" t="str">
        <f>'Resource Costs'!$FG228</f>
        <v/>
      </c>
      <c r="AG226" s="1006">
        <f>'Resource Costs'!$FH228</f>
        <v>0</v>
      </c>
      <c r="AH226" s="1006">
        <f>'Resource Costs'!$FI228</f>
        <v>0</v>
      </c>
      <c r="AI226" s="1006">
        <f>'Resource Costs'!$FJ228</f>
        <v>0</v>
      </c>
      <c r="AJ226" s="1006">
        <f>'Resource Costs'!$FK228</f>
        <v>0</v>
      </c>
      <c r="AK226" s="1006">
        <f>'Resource Costs'!$FL228</f>
        <v>0</v>
      </c>
      <c r="AL226" s="1006">
        <f>'Resource Costs'!$FM228</f>
        <v>0</v>
      </c>
      <c r="AM226" s="1007">
        <v>0</v>
      </c>
      <c r="AN226" s="1007">
        <v>0</v>
      </c>
      <c r="AO226" s="1007">
        <v>0</v>
      </c>
      <c r="AP226" s="1007">
        <v>0</v>
      </c>
      <c r="AQ226" s="1007">
        <v>0</v>
      </c>
      <c r="AR226" s="1016">
        <f t="shared" si="14"/>
        <v>0</v>
      </c>
    </row>
    <row r="227" spans="2:44" ht="15" customHeight="1">
      <c r="B227" s="2"/>
      <c r="C227" s="136"/>
      <c r="D227" s="136"/>
      <c r="E227" s="136"/>
      <c r="F227" s="136"/>
      <c r="G227" s="136"/>
      <c r="H227" s="136"/>
      <c r="I227" s="136"/>
      <c r="J227" s="136"/>
      <c r="K227" s="136"/>
      <c r="L227" s="136"/>
      <c r="M227" s="136"/>
      <c r="N227" s="136"/>
      <c r="O227" s="136"/>
      <c r="P227" s="136"/>
      <c r="Q227" s="136"/>
      <c r="AA227" s="1684"/>
      <c r="AB227" s="1005" t="str">
        <f>'Resource Costs'!$FC229</f>
        <v/>
      </c>
      <c r="AC227" s="1005" t="str">
        <f>'Resource Costs'!$FD229</f>
        <v/>
      </c>
      <c r="AD227" s="1005" t="str">
        <f>'Resource Costs'!$FE229</f>
        <v>Labor</v>
      </c>
      <c r="AE227" s="1005" t="str">
        <f>'Resource Costs'!$FF229</f>
        <v/>
      </c>
      <c r="AF227" s="1005" t="str">
        <f>'Resource Costs'!$FG229</f>
        <v/>
      </c>
      <c r="AG227" s="1006">
        <f>'Resource Costs'!$FH229</f>
        <v>0</v>
      </c>
      <c r="AH227" s="1006">
        <f>'Resource Costs'!$FI229</f>
        <v>0</v>
      </c>
      <c r="AI227" s="1006">
        <f>'Resource Costs'!$FJ229</f>
        <v>0</v>
      </c>
      <c r="AJ227" s="1006">
        <f>'Resource Costs'!$FK229</f>
        <v>0</v>
      </c>
      <c r="AK227" s="1006">
        <f>'Resource Costs'!$FL229</f>
        <v>0</v>
      </c>
      <c r="AL227" s="1006">
        <f>'Resource Costs'!$FM229</f>
        <v>0</v>
      </c>
      <c r="AM227" s="1007">
        <v>0</v>
      </c>
      <c r="AN227" s="1007">
        <v>0</v>
      </c>
      <c r="AO227" s="1007">
        <v>0</v>
      </c>
      <c r="AP227" s="1007">
        <v>0</v>
      </c>
      <c r="AQ227" s="1007">
        <v>0</v>
      </c>
      <c r="AR227" s="1016">
        <f t="shared" si="14"/>
        <v>0</v>
      </c>
    </row>
    <row r="228" spans="2:44" ht="15" customHeight="1">
      <c r="B228" s="2"/>
      <c r="C228" s="136"/>
      <c r="D228" s="136"/>
      <c r="E228" s="136"/>
      <c r="F228" s="136"/>
      <c r="G228" s="136"/>
      <c r="H228" s="136"/>
      <c r="I228" s="136"/>
      <c r="J228" s="136"/>
      <c r="K228" s="136"/>
      <c r="L228" s="136"/>
      <c r="M228" s="136"/>
      <c r="N228" s="136"/>
      <c r="O228" s="136"/>
      <c r="P228" s="136"/>
      <c r="Q228" s="136"/>
      <c r="AA228" s="1684"/>
      <c r="AB228" s="1005" t="str">
        <f>'Resource Costs'!$FC230</f>
        <v/>
      </c>
      <c r="AC228" s="1005" t="str">
        <f>'Resource Costs'!$FD230</f>
        <v/>
      </c>
      <c r="AD228" s="1005" t="str">
        <f>'Resource Costs'!$FE230</f>
        <v>Labor</v>
      </c>
      <c r="AE228" s="1005" t="str">
        <f>'Resource Costs'!$FF230</f>
        <v/>
      </c>
      <c r="AF228" s="1005" t="str">
        <f>'Resource Costs'!$FG230</f>
        <v/>
      </c>
      <c r="AG228" s="1006">
        <f>'Resource Costs'!$FH230</f>
        <v>0</v>
      </c>
      <c r="AH228" s="1006">
        <f>'Resource Costs'!$FI230</f>
        <v>0</v>
      </c>
      <c r="AI228" s="1006">
        <f>'Resource Costs'!$FJ230</f>
        <v>0</v>
      </c>
      <c r="AJ228" s="1006">
        <f>'Resource Costs'!$FK230</f>
        <v>0</v>
      </c>
      <c r="AK228" s="1006">
        <f>'Resource Costs'!$FL230</f>
        <v>0</v>
      </c>
      <c r="AL228" s="1006">
        <f>'Resource Costs'!$FM230</f>
        <v>0</v>
      </c>
      <c r="AM228" s="1007">
        <v>0</v>
      </c>
      <c r="AN228" s="1007">
        <v>0</v>
      </c>
      <c r="AO228" s="1007">
        <v>0</v>
      </c>
      <c r="AP228" s="1007">
        <v>0</v>
      </c>
      <c r="AQ228" s="1007">
        <v>0</v>
      </c>
      <c r="AR228" s="1016">
        <f t="shared" si="14"/>
        <v>0</v>
      </c>
    </row>
    <row r="229" spans="2:44" ht="15" customHeight="1">
      <c r="B229" s="2"/>
      <c r="C229" s="136"/>
      <c r="D229" s="136"/>
      <c r="E229" s="136"/>
      <c r="F229" s="136"/>
      <c r="G229" s="136"/>
      <c r="H229" s="136"/>
      <c r="I229" s="136"/>
      <c r="J229" s="136"/>
      <c r="K229" s="136"/>
      <c r="L229" s="136"/>
      <c r="M229" s="136"/>
      <c r="N229" s="136"/>
      <c r="O229" s="136"/>
      <c r="P229" s="136"/>
      <c r="Q229" s="136"/>
      <c r="AA229" s="1684"/>
      <c r="AB229" s="1005" t="str">
        <f>'Resource Costs'!$FC231</f>
        <v/>
      </c>
      <c r="AC229" s="1005" t="str">
        <f>'Resource Costs'!$FD231</f>
        <v/>
      </c>
      <c r="AD229" s="1005" t="str">
        <f>'Resource Costs'!$FE231</f>
        <v>Labor</v>
      </c>
      <c r="AE229" s="1005" t="str">
        <f>'Resource Costs'!$FF231</f>
        <v/>
      </c>
      <c r="AF229" s="1005" t="str">
        <f>'Resource Costs'!$FG231</f>
        <v/>
      </c>
      <c r="AG229" s="1006">
        <f>'Resource Costs'!$FH231</f>
        <v>0</v>
      </c>
      <c r="AH229" s="1006">
        <f>'Resource Costs'!$FI231</f>
        <v>0</v>
      </c>
      <c r="AI229" s="1006">
        <f>'Resource Costs'!$FJ231</f>
        <v>0</v>
      </c>
      <c r="AJ229" s="1006">
        <f>'Resource Costs'!$FK231</f>
        <v>0</v>
      </c>
      <c r="AK229" s="1006">
        <f>'Resource Costs'!$FL231</f>
        <v>0</v>
      </c>
      <c r="AL229" s="1006">
        <f>'Resource Costs'!$FM231</f>
        <v>0</v>
      </c>
      <c r="AM229" s="1007">
        <v>0</v>
      </c>
      <c r="AN229" s="1007">
        <v>0</v>
      </c>
      <c r="AO229" s="1007">
        <v>0</v>
      </c>
      <c r="AP229" s="1007">
        <v>0</v>
      </c>
      <c r="AQ229" s="1007">
        <v>0</v>
      </c>
      <c r="AR229" s="1016">
        <f t="shared" si="14"/>
        <v>0</v>
      </c>
    </row>
    <row r="230" spans="2:44" ht="15" customHeight="1">
      <c r="B230" s="2"/>
      <c r="C230" s="136"/>
      <c r="D230" s="136"/>
      <c r="E230" s="136"/>
      <c r="F230" s="136"/>
      <c r="G230" s="136"/>
      <c r="H230" s="136"/>
      <c r="I230" s="136"/>
      <c r="J230" s="136"/>
      <c r="K230" s="136"/>
      <c r="L230" s="136"/>
      <c r="M230" s="136"/>
      <c r="N230" s="136"/>
      <c r="O230" s="136"/>
      <c r="P230" s="136"/>
      <c r="Q230" s="136"/>
      <c r="AA230" s="1684"/>
      <c r="AB230" s="1005" t="str">
        <f>'Resource Costs'!$FC232</f>
        <v/>
      </c>
      <c r="AC230" s="1005" t="str">
        <f>'Resource Costs'!$FD232</f>
        <v/>
      </c>
      <c r="AD230" s="1005" t="str">
        <f>'Resource Costs'!$FE232</f>
        <v>Labor</v>
      </c>
      <c r="AE230" s="1005" t="str">
        <f>'Resource Costs'!$FF232</f>
        <v/>
      </c>
      <c r="AF230" s="1005" t="str">
        <f>'Resource Costs'!$FG232</f>
        <v/>
      </c>
      <c r="AG230" s="1006">
        <f>'Resource Costs'!$FH232</f>
        <v>0</v>
      </c>
      <c r="AH230" s="1006">
        <f>'Resource Costs'!$FI232</f>
        <v>0</v>
      </c>
      <c r="AI230" s="1006">
        <f>'Resource Costs'!$FJ232</f>
        <v>0</v>
      </c>
      <c r="AJ230" s="1006">
        <f>'Resource Costs'!$FK232</f>
        <v>0</v>
      </c>
      <c r="AK230" s="1006">
        <f>'Resource Costs'!$FL232</f>
        <v>0</v>
      </c>
      <c r="AL230" s="1006">
        <f>'Resource Costs'!$FM232</f>
        <v>0</v>
      </c>
      <c r="AM230" s="1007">
        <v>0</v>
      </c>
      <c r="AN230" s="1007">
        <v>0</v>
      </c>
      <c r="AO230" s="1007">
        <v>0</v>
      </c>
      <c r="AP230" s="1007">
        <v>0</v>
      </c>
      <c r="AQ230" s="1007">
        <v>0</v>
      </c>
      <c r="AR230" s="1016">
        <f t="shared" si="14"/>
        <v>0</v>
      </c>
    </row>
    <row r="231" spans="2:44" ht="15" customHeight="1">
      <c r="B231" s="2"/>
      <c r="C231" s="136"/>
      <c r="D231" s="136"/>
      <c r="E231" s="136"/>
      <c r="F231" s="136"/>
      <c r="G231" s="136"/>
      <c r="H231" s="136"/>
      <c r="I231" s="136"/>
      <c r="J231" s="136"/>
      <c r="K231" s="136"/>
      <c r="L231" s="136"/>
      <c r="M231" s="136"/>
      <c r="N231" s="136"/>
      <c r="O231" s="136"/>
      <c r="P231" s="136"/>
      <c r="Q231" s="136"/>
      <c r="AA231" s="1684"/>
      <c r="AB231" s="1005" t="str">
        <f>'Resource Costs'!$FC233</f>
        <v/>
      </c>
      <c r="AC231" s="1005" t="str">
        <f>'Resource Costs'!$FD233</f>
        <v/>
      </c>
      <c r="AD231" s="1005" t="str">
        <f>'Resource Costs'!$FE233</f>
        <v>Labor</v>
      </c>
      <c r="AE231" s="1005" t="str">
        <f>'Resource Costs'!$FF233</f>
        <v/>
      </c>
      <c r="AF231" s="1005" t="str">
        <f>'Resource Costs'!$FG233</f>
        <v/>
      </c>
      <c r="AG231" s="1006">
        <f>'Resource Costs'!$FH233</f>
        <v>0</v>
      </c>
      <c r="AH231" s="1006">
        <f>'Resource Costs'!$FI233</f>
        <v>0</v>
      </c>
      <c r="AI231" s="1006">
        <f>'Resource Costs'!$FJ233</f>
        <v>0</v>
      </c>
      <c r="AJ231" s="1006">
        <f>'Resource Costs'!$FK233</f>
        <v>0</v>
      </c>
      <c r="AK231" s="1006">
        <f>'Resource Costs'!$FL233</f>
        <v>0</v>
      </c>
      <c r="AL231" s="1006">
        <f>'Resource Costs'!$FM233</f>
        <v>0</v>
      </c>
      <c r="AM231" s="1007">
        <v>0</v>
      </c>
      <c r="AN231" s="1007">
        <v>0</v>
      </c>
      <c r="AO231" s="1007">
        <v>0</v>
      </c>
      <c r="AP231" s="1007">
        <v>0</v>
      </c>
      <c r="AQ231" s="1007">
        <v>0</v>
      </c>
      <c r="AR231" s="1016">
        <f t="shared" si="14"/>
        <v>0</v>
      </c>
    </row>
    <row r="232" spans="2:44" ht="15" customHeight="1">
      <c r="B232" s="2"/>
      <c r="C232" s="136"/>
      <c r="D232" s="136"/>
      <c r="E232" s="136"/>
      <c r="F232" s="136"/>
      <c r="G232" s="136"/>
      <c r="H232" s="136"/>
      <c r="I232" s="136"/>
      <c r="J232" s="136"/>
      <c r="K232" s="136"/>
      <c r="L232" s="136"/>
      <c r="M232" s="136"/>
      <c r="N232" s="136"/>
      <c r="O232" s="136"/>
      <c r="P232" s="136"/>
      <c r="Q232" s="136"/>
      <c r="AA232" s="1684"/>
      <c r="AB232" s="1005" t="str">
        <f>'Resource Costs'!$FC234</f>
        <v/>
      </c>
      <c r="AC232" s="1005" t="str">
        <f>'Resource Costs'!$FD234</f>
        <v/>
      </c>
      <c r="AD232" s="1005" t="str">
        <f>'Resource Costs'!$FE234</f>
        <v>Labor</v>
      </c>
      <c r="AE232" s="1005" t="str">
        <f>'Resource Costs'!$FF234</f>
        <v/>
      </c>
      <c r="AF232" s="1005" t="str">
        <f>'Resource Costs'!$FG234</f>
        <v/>
      </c>
      <c r="AG232" s="1006">
        <f>'Resource Costs'!$FH234</f>
        <v>0</v>
      </c>
      <c r="AH232" s="1006">
        <f>'Resource Costs'!$FI234</f>
        <v>0</v>
      </c>
      <c r="AI232" s="1006">
        <f>'Resource Costs'!$FJ234</f>
        <v>0</v>
      </c>
      <c r="AJ232" s="1006">
        <f>'Resource Costs'!$FK234</f>
        <v>0</v>
      </c>
      <c r="AK232" s="1006">
        <f>'Resource Costs'!$FL234</f>
        <v>0</v>
      </c>
      <c r="AL232" s="1006">
        <f>'Resource Costs'!$FM234</f>
        <v>0</v>
      </c>
      <c r="AM232" s="1007">
        <v>0</v>
      </c>
      <c r="AN232" s="1007">
        <v>0</v>
      </c>
      <c r="AO232" s="1007">
        <v>0</v>
      </c>
      <c r="AP232" s="1007">
        <v>0</v>
      </c>
      <c r="AQ232" s="1007">
        <v>0</v>
      </c>
      <c r="AR232" s="1016">
        <f t="shared" si="14"/>
        <v>0</v>
      </c>
    </row>
    <row r="233" spans="2:44" ht="15" customHeight="1">
      <c r="B233" s="2"/>
      <c r="C233" s="136"/>
      <c r="D233" s="136"/>
      <c r="E233" s="136"/>
      <c r="F233" s="136"/>
      <c r="G233" s="136"/>
      <c r="H233" s="136"/>
      <c r="I233" s="136"/>
      <c r="J233" s="136"/>
      <c r="K233" s="136"/>
      <c r="L233" s="136"/>
      <c r="M233" s="136"/>
      <c r="N233" s="136"/>
      <c r="O233" s="136"/>
      <c r="P233" s="136"/>
      <c r="Q233" s="136"/>
      <c r="AA233" s="1684"/>
      <c r="AB233" s="1005" t="str">
        <f>'Resource Costs'!$FC235</f>
        <v/>
      </c>
      <c r="AC233" s="1005" t="str">
        <f>'Resource Costs'!$FD235</f>
        <v/>
      </c>
      <c r="AD233" s="1005" t="str">
        <f>'Resource Costs'!$FE235</f>
        <v>Labor</v>
      </c>
      <c r="AE233" s="1005" t="str">
        <f>'Resource Costs'!$FF235</f>
        <v/>
      </c>
      <c r="AF233" s="1005" t="str">
        <f>'Resource Costs'!$FG235</f>
        <v/>
      </c>
      <c r="AG233" s="1006">
        <f>'Resource Costs'!$FH235</f>
        <v>0</v>
      </c>
      <c r="AH233" s="1006">
        <f>'Resource Costs'!$FI235</f>
        <v>0</v>
      </c>
      <c r="AI233" s="1006">
        <f>'Resource Costs'!$FJ235</f>
        <v>0</v>
      </c>
      <c r="AJ233" s="1006">
        <f>'Resource Costs'!$FK235</f>
        <v>0</v>
      </c>
      <c r="AK233" s="1006">
        <f>'Resource Costs'!$FL235</f>
        <v>0</v>
      </c>
      <c r="AL233" s="1006">
        <f>'Resource Costs'!$FM235</f>
        <v>0</v>
      </c>
      <c r="AM233" s="1007">
        <v>0</v>
      </c>
      <c r="AN233" s="1007">
        <v>0</v>
      </c>
      <c r="AO233" s="1007">
        <v>0</v>
      </c>
      <c r="AP233" s="1007">
        <v>0</v>
      </c>
      <c r="AQ233" s="1007">
        <v>0</v>
      </c>
      <c r="AR233" s="1016">
        <f t="shared" si="14"/>
        <v>0</v>
      </c>
    </row>
    <row r="234" spans="2:44" ht="15" customHeight="1">
      <c r="B234" s="2"/>
      <c r="C234" s="136"/>
      <c r="D234" s="136"/>
      <c r="E234" s="136"/>
      <c r="F234" s="136"/>
      <c r="G234" s="136"/>
      <c r="H234" s="136"/>
      <c r="I234" s="136"/>
      <c r="J234" s="136"/>
      <c r="K234" s="136"/>
      <c r="L234" s="136"/>
      <c r="M234" s="136"/>
      <c r="N234" s="136"/>
      <c r="O234" s="136"/>
      <c r="P234" s="136"/>
      <c r="Q234" s="136"/>
      <c r="AA234" s="1684"/>
      <c r="AB234" s="1005" t="str">
        <f>'Resource Costs'!$FC236</f>
        <v/>
      </c>
      <c r="AC234" s="1005" t="str">
        <f>'Resource Costs'!$FD236</f>
        <v/>
      </c>
      <c r="AD234" s="1005" t="str">
        <f>'Resource Costs'!$FE236</f>
        <v>Labor</v>
      </c>
      <c r="AE234" s="1005" t="str">
        <f>'Resource Costs'!$FF236</f>
        <v/>
      </c>
      <c r="AF234" s="1005" t="str">
        <f>'Resource Costs'!$FG236</f>
        <v/>
      </c>
      <c r="AG234" s="1006">
        <f>'Resource Costs'!$FH236</f>
        <v>0</v>
      </c>
      <c r="AH234" s="1006">
        <f>'Resource Costs'!$FI236</f>
        <v>0</v>
      </c>
      <c r="AI234" s="1006">
        <f>'Resource Costs'!$FJ236</f>
        <v>0</v>
      </c>
      <c r="AJ234" s="1006">
        <f>'Resource Costs'!$FK236</f>
        <v>0</v>
      </c>
      <c r="AK234" s="1006">
        <f>'Resource Costs'!$FL236</f>
        <v>0</v>
      </c>
      <c r="AL234" s="1006">
        <f>'Resource Costs'!$FM236</f>
        <v>0</v>
      </c>
      <c r="AM234" s="1007">
        <v>0</v>
      </c>
      <c r="AN234" s="1007">
        <v>0</v>
      </c>
      <c r="AO234" s="1007">
        <v>0</v>
      </c>
      <c r="AP234" s="1007">
        <v>0</v>
      </c>
      <c r="AQ234" s="1007">
        <v>0</v>
      </c>
      <c r="AR234" s="1016">
        <f t="shared" si="14"/>
        <v>0</v>
      </c>
    </row>
    <row r="235" spans="2:44" ht="15" customHeight="1">
      <c r="B235" s="2"/>
      <c r="C235" s="136"/>
      <c r="D235" s="136"/>
      <c r="E235" s="136"/>
      <c r="F235" s="136"/>
      <c r="G235" s="136"/>
      <c r="H235" s="136"/>
      <c r="I235" s="136"/>
      <c r="J235" s="136"/>
      <c r="K235" s="136"/>
      <c r="L235" s="136"/>
      <c r="M235" s="136"/>
      <c r="N235" s="136"/>
      <c r="O235" s="136"/>
      <c r="P235" s="136"/>
      <c r="Q235" s="136"/>
      <c r="AA235" s="1684"/>
      <c r="AB235" s="1005" t="str">
        <f>'Resource Costs'!$FC237</f>
        <v/>
      </c>
      <c r="AC235" s="1005" t="str">
        <f>'Resource Costs'!$FD237</f>
        <v/>
      </c>
      <c r="AD235" s="1005" t="str">
        <f>'Resource Costs'!$FE237</f>
        <v>Labor</v>
      </c>
      <c r="AE235" s="1005" t="str">
        <f>'Resource Costs'!$FF237</f>
        <v/>
      </c>
      <c r="AF235" s="1005" t="str">
        <f>'Resource Costs'!$FG237</f>
        <v/>
      </c>
      <c r="AG235" s="1006">
        <f>'Resource Costs'!$FH237</f>
        <v>0</v>
      </c>
      <c r="AH235" s="1006">
        <f>'Resource Costs'!$FI237</f>
        <v>0</v>
      </c>
      <c r="AI235" s="1006">
        <f>'Resource Costs'!$FJ237</f>
        <v>0</v>
      </c>
      <c r="AJ235" s="1006">
        <f>'Resource Costs'!$FK237</f>
        <v>0</v>
      </c>
      <c r="AK235" s="1006">
        <f>'Resource Costs'!$FL237</f>
        <v>0</v>
      </c>
      <c r="AL235" s="1006">
        <f>'Resource Costs'!$FM237</f>
        <v>0</v>
      </c>
      <c r="AM235" s="1007">
        <v>0</v>
      </c>
      <c r="AN235" s="1007">
        <v>0</v>
      </c>
      <c r="AO235" s="1007">
        <v>0</v>
      </c>
      <c r="AP235" s="1007">
        <v>0</v>
      </c>
      <c r="AQ235" s="1007">
        <v>0</v>
      </c>
      <c r="AR235" s="1016">
        <f t="shared" si="14"/>
        <v>0</v>
      </c>
    </row>
    <row r="236" spans="2:44" ht="15" customHeight="1">
      <c r="B236" s="2"/>
      <c r="C236" s="136"/>
      <c r="D236" s="136"/>
      <c r="E236" s="136"/>
      <c r="F236" s="136"/>
      <c r="G236" s="136"/>
      <c r="H236" s="136"/>
      <c r="I236" s="136"/>
      <c r="J236" s="136"/>
      <c r="K236" s="136"/>
      <c r="L236" s="136"/>
      <c r="M236" s="136"/>
      <c r="N236" s="136"/>
      <c r="O236" s="136"/>
      <c r="P236" s="136"/>
      <c r="Q236" s="136"/>
      <c r="AA236" s="1684"/>
      <c r="AB236" s="1005" t="str">
        <f>'Resource Costs'!$FC238</f>
        <v/>
      </c>
      <c r="AC236" s="1005" t="str">
        <f>'Resource Costs'!$FD238</f>
        <v/>
      </c>
      <c r="AD236" s="1005" t="str">
        <f>'Resource Costs'!$FE238</f>
        <v>Labor</v>
      </c>
      <c r="AE236" s="1005" t="str">
        <f>'Resource Costs'!$FF238</f>
        <v/>
      </c>
      <c r="AF236" s="1005" t="str">
        <f>'Resource Costs'!$FG238</f>
        <v/>
      </c>
      <c r="AG236" s="1006">
        <f>'Resource Costs'!$FH238</f>
        <v>0</v>
      </c>
      <c r="AH236" s="1006">
        <f>'Resource Costs'!$FI238</f>
        <v>0</v>
      </c>
      <c r="AI236" s="1006">
        <f>'Resource Costs'!$FJ238</f>
        <v>0</v>
      </c>
      <c r="AJ236" s="1006">
        <f>'Resource Costs'!$FK238</f>
        <v>0</v>
      </c>
      <c r="AK236" s="1006">
        <f>'Resource Costs'!$FL238</f>
        <v>0</v>
      </c>
      <c r="AL236" s="1006">
        <f>'Resource Costs'!$FM238</f>
        <v>0</v>
      </c>
      <c r="AM236" s="1007">
        <v>0</v>
      </c>
      <c r="AN236" s="1007">
        <v>0</v>
      </c>
      <c r="AO236" s="1007">
        <v>0</v>
      </c>
      <c r="AP236" s="1007">
        <v>0</v>
      </c>
      <c r="AQ236" s="1007">
        <v>0</v>
      </c>
      <c r="AR236" s="1016">
        <f t="shared" si="14"/>
        <v>0</v>
      </c>
    </row>
    <row r="237" spans="2:44" ht="15" customHeight="1">
      <c r="B237" s="2"/>
      <c r="C237" s="136"/>
      <c r="D237" s="136"/>
      <c r="E237" s="136"/>
      <c r="F237" s="136"/>
      <c r="G237" s="136"/>
      <c r="H237" s="136"/>
      <c r="I237" s="136"/>
      <c r="J237" s="136"/>
      <c r="K237" s="136"/>
      <c r="L237" s="136"/>
      <c r="M237" s="136"/>
      <c r="N237" s="136"/>
      <c r="O237" s="136"/>
      <c r="P237" s="136"/>
      <c r="Q237" s="136"/>
      <c r="AA237" s="1684"/>
      <c r="AB237" s="1005" t="str">
        <f>'Resource Costs'!$FC239</f>
        <v/>
      </c>
      <c r="AC237" s="1005" t="str">
        <f>'Resource Costs'!$FD239</f>
        <v/>
      </c>
      <c r="AD237" s="1005" t="str">
        <f>'Resource Costs'!$FE239</f>
        <v>Labor</v>
      </c>
      <c r="AE237" s="1005" t="str">
        <f>'Resource Costs'!$FF239</f>
        <v/>
      </c>
      <c r="AF237" s="1005" t="str">
        <f>'Resource Costs'!$FG239</f>
        <v/>
      </c>
      <c r="AG237" s="1006">
        <f>'Resource Costs'!$FH239</f>
        <v>0</v>
      </c>
      <c r="AH237" s="1006">
        <f>'Resource Costs'!$FI239</f>
        <v>0</v>
      </c>
      <c r="AI237" s="1006">
        <f>'Resource Costs'!$FJ239</f>
        <v>0</v>
      </c>
      <c r="AJ237" s="1006">
        <f>'Resource Costs'!$FK239</f>
        <v>0</v>
      </c>
      <c r="AK237" s="1006">
        <f>'Resource Costs'!$FL239</f>
        <v>0</v>
      </c>
      <c r="AL237" s="1006">
        <f>'Resource Costs'!$FM239</f>
        <v>0</v>
      </c>
      <c r="AM237" s="1007">
        <v>0</v>
      </c>
      <c r="AN237" s="1007">
        <v>0</v>
      </c>
      <c r="AO237" s="1007">
        <v>0</v>
      </c>
      <c r="AP237" s="1007">
        <v>0</v>
      </c>
      <c r="AQ237" s="1007">
        <v>0</v>
      </c>
      <c r="AR237" s="1016">
        <f t="shared" si="14"/>
        <v>0</v>
      </c>
    </row>
    <row r="238" spans="2:44" ht="15" customHeight="1">
      <c r="B238" s="2"/>
      <c r="C238" s="136"/>
      <c r="D238" s="136"/>
      <c r="E238" s="136"/>
      <c r="F238" s="136"/>
      <c r="G238" s="136"/>
      <c r="H238" s="136"/>
      <c r="I238" s="136"/>
      <c r="J238" s="136"/>
      <c r="K238" s="136"/>
      <c r="L238" s="136"/>
      <c r="M238" s="136"/>
      <c r="N238" s="136"/>
      <c r="O238" s="136"/>
      <c r="P238" s="136"/>
      <c r="Q238" s="136"/>
      <c r="AA238" s="1684"/>
      <c r="AB238" s="1005" t="str">
        <f>'Resource Costs'!$FC240</f>
        <v/>
      </c>
      <c r="AC238" s="1005" t="str">
        <f>'Resource Costs'!$FD240</f>
        <v/>
      </c>
      <c r="AD238" s="1005" t="str">
        <f>'Resource Costs'!$FE240</f>
        <v>Labor</v>
      </c>
      <c r="AE238" s="1005" t="str">
        <f>'Resource Costs'!$FF240</f>
        <v/>
      </c>
      <c r="AF238" s="1005" t="str">
        <f>'Resource Costs'!$FG240</f>
        <v/>
      </c>
      <c r="AG238" s="1006">
        <f>'Resource Costs'!$FH240</f>
        <v>0</v>
      </c>
      <c r="AH238" s="1006">
        <f>'Resource Costs'!$FI240</f>
        <v>0</v>
      </c>
      <c r="AI238" s="1006">
        <f>'Resource Costs'!$FJ240</f>
        <v>0</v>
      </c>
      <c r="AJ238" s="1006">
        <f>'Resource Costs'!$FK240</f>
        <v>0</v>
      </c>
      <c r="AK238" s="1006">
        <f>'Resource Costs'!$FL240</f>
        <v>0</v>
      </c>
      <c r="AL238" s="1006">
        <f>'Resource Costs'!$FM240</f>
        <v>0</v>
      </c>
      <c r="AM238" s="1007">
        <v>0</v>
      </c>
      <c r="AN238" s="1007">
        <v>0</v>
      </c>
      <c r="AO238" s="1007">
        <v>0</v>
      </c>
      <c r="AP238" s="1007">
        <v>0</v>
      </c>
      <c r="AQ238" s="1007">
        <v>0</v>
      </c>
      <c r="AR238" s="1016">
        <f t="shared" si="14"/>
        <v>0</v>
      </c>
    </row>
    <row r="239" spans="2:44" ht="15" customHeight="1">
      <c r="B239" s="2"/>
      <c r="C239" s="136"/>
      <c r="D239" s="136"/>
      <c r="E239" s="136"/>
      <c r="F239" s="136"/>
      <c r="G239" s="136"/>
      <c r="H239" s="136"/>
      <c r="I239" s="136"/>
      <c r="J239" s="136"/>
      <c r="K239" s="136"/>
      <c r="L239" s="136"/>
      <c r="M239" s="136"/>
      <c r="N239" s="136"/>
      <c r="O239" s="136"/>
      <c r="P239" s="136"/>
      <c r="Q239" s="136"/>
      <c r="AA239" s="1684"/>
      <c r="AB239" s="1005" t="str">
        <f>'Resource Costs'!$FC241</f>
        <v/>
      </c>
      <c r="AC239" s="1005" t="str">
        <f>'Resource Costs'!$FD241</f>
        <v/>
      </c>
      <c r="AD239" s="1005" t="str">
        <f>'Resource Costs'!$FE241</f>
        <v>Labor</v>
      </c>
      <c r="AE239" s="1005" t="str">
        <f>'Resource Costs'!$FF241</f>
        <v/>
      </c>
      <c r="AF239" s="1005" t="str">
        <f>'Resource Costs'!$FG241</f>
        <v/>
      </c>
      <c r="AG239" s="1006">
        <f>'Resource Costs'!$FH241</f>
        <v>0</v>
      </c>
      <c r="AH239" s="1006">
        <f>'Resource Costs'!$FI241</f>
        <v>0</v>
      </c>
      <c r="AI239" s="1006">
        <f>'Resource Costs'!$FJ241</f>
        <v>0</v>
      </c>
      <c r="AJ239" s="1006">
        <f>'Resource Costs'!$FK241</f>
        <v>0</v>
      </c>
      <c r="AK239" s="1006">
        <f>'Resource Costs'!$FL241</f>
        <v>0</v>
      </c>
      <c r="AL239" s="1006">
        <f>'Resource Costs'!$FM241</f>
        <v>0</v>
      </c>
      <c r="AM239" s="1007">
        <v>0</v>
      </c>
      <c r="AN239" s="1007">
        <v>0</v>
      </c>
      <c r="AO239" s="1007">
        <v>0</v>
      </c>
      <c r="AP239" s="1007">
        <v>0</v>
      </c>
      <c r="AQ239" s="1007">
        <v>0</v>
      </c>
      <c r="AR239" s="1016">
        <f t="shared" si="14"/>
        <v>0</v>
      </c>
    </row>
    <row r="240" spans="2:44" ht="15" customHeight="1">
      <c r="B240" s="2"/>
      <c r="C240" s="136"/>
      <c r="D240" s="136"/>
      <c r="E240" s="136"/>
      <c r="F240" s="136"/>
      <c r="G240" s="136"/>
      <c r="H240" s="136"/>
      <c r="I240" s="136"/>
      <c r="J240" s="136"/>
      <c r="K240" s="136"/>
      <c r="L240" s="136"/>
      <c r="M240" s="136"/>
      <c r="N240" s="136"/>
      <c r="O240" s="136"/>
      <c r="P240" s="136"/>
      <c r="Q240" s="136"/>
      <c r="AA240" s="1684"/>
      <c r="AB240" s="1005" t="str">
        <f>'Resource Costs'!$FC242</f>
        <v/>
      </c>
      <c r="AC240" s="1005" t="str">
        <f>'Resource Costs'!$FD242</f>
        <v/>
      </c>
      <c r="AD240" s="1005" t="str">
        <f>'Resource Costs'!$FE242</f>
        <v>Labor</v>
      </c>
      <c r="AE240" s="1005" t="str">
        <f>'Resource Costs'!$FF242</f>
        <v/>
      </c>
      <c r="AF240" s="1005" t="str">
        <f>'Resource Costs'!$FG242</f>
        <v/>
      </c>
      <c r="AG240" s="1006">
        <f>'Resource Costs'!$FH242</f>
        <v>0</v>
      </c>
      <c r="AH240" s="1006">
        <f>'Resource Costs'!$FI242</f>
        <v>0</v>
      </c>
      <c r="AI240" s="1006">
        <f>'Resource Costs'!$FJ242</f>
        <v>0</v>
      </c>
      <c r="AJ240" s="1006">
        <f>'Resource Costs'!$FK242</f>
        <v>0</v>
      </c>
      <c r="AK240" s="1006">
        <f>'Resource Costs'!$FL242</f>
        <v>0</v>
      </c>
      <c r="AL240" s="1006">
        <f>'Resource Costs'!$FM242</f>
        <v>0</v>
      </c>
      <c r="AM240" s="1007">
        <v>0</v>
      </c>
      <c r="AN240" s="1007">
        <v>0</v>
      </c>
      <c r="AO240" s="1007">
        <v>0</v>
      </c>
      <c r="AP240" s="1007">
        <v>0</v>
      </c>
      <c r="AQ240" s="1007">
        <v>0</v>
      </c>
      <c r="AR240" s="1016">
        <f t="shared" si="14"/>
        <v>0</v>
      </c>
    </row>
    <row r="241" spans="2:44" ht="15" customHeight="1">
      <c r="B241" s="2"/>
      <c r="C241" s="136"/>
      <c r="D241" s="136"/>
      <c r="E241" s="136"/>
      <c r="F241" s="136"/>
      <c r="G241" s="136"/>
      <c r="H241" s="136"/>
      <c r="I241" s="136"/>
      <c r="J241" s="136"/>
      <c r="K241" s="136"/>
      <c r="L241" s="136"/>
      <c r="M241" s="136"/>
      <c r="N241" s="136"/>
      <c r="O241" s="136"/>
      <c r="P241" s="136"/>
      <c r="Q241" s="136"/>
      <c r="AA241" s="1684"/>
      <c r="AB241" s="1005" t="str">
        <f>'Resource Costs'!$FC243</f>
        <v/>
      </c>
      <c r="AC241" s="1005" t="str">
        <f>'Resource Costs'!$FD243</f>
        <v/>
      </c>
      <c r="AD241" s="1005" t="str">
        <f>'Resource Costs'!$FE243</f>
        <v>Labor</v>
      </c>
      <c r="AE241" s="1005" t="str">
        <f>'Resource Costs'!$FF243</f>
        <v/>
      </c>
      <c r="AF241" s="1005" t="str">
        <f>'Resource Costs'!$FG243</f>
        <v/>
      </c>
      <c r="AG241" s="1006">
        <f>'Resource Costs'!$FH243</f>
        <v>0</v>
      </c>
      <c r="AH241" s="1006">
        <f>'Resource Costs'!$FI243</f>
        <v>0</v>
      </c>
      <c r="AI241" s="1006">
        <f>'Resource Costs'!$FJ243</f>
        <v>0</v>
      </c>
      <c r="AJ241" s="1006">
        <f>'Resource Costs'!$FK243</f>
        <v>0</v>
      </c>
      <c r="AK241" s="1006">
        <f>'Resource Costs'!$FL243</f>
        <v>0</v>
      </c>
      <c r="AL241" s="1006">
        <f>'Resource Costs'!$FM243</f>
        <v>0</v>
      </c>
      <c r="AM241" s="1007">
        <v>0</v>
      </c>
      <c r="AN241" s="1007">
        <v>0</v>
      </c>
      <c r="AO241" s="1007">
        <v>0</v>
      </c>
      <c r="AP241" s="1007">
        <v>0</v>
      </c>
      <c r="AQ241" s="1007">
        <v>0</v>
      </c>
      <c r="AR241" s="1016">
        <f t="shared" si="14"/>
        <v>0</v>
      </c>
    </row>
    <row r="242" spans="2:44" ht="15" customHeight="1">
      <c r="B242" s="2"/>
      <c r="C242" s="136"/>
      <c r="D242" s="136"/>
      <c r="E242" s="136"/>
      <c r="F242" s="136"/>
      <c r="G242" s="136"/>
      <c r="H242" s="136"/>
      <c r="I242" s="136"/>
      <c r="J242" s="136"/>
      <c r="K242" s="136"/>
      <c r="L242" s="136"/>
      <c r="M242" s="136"/>
      <c r="N242" s="136"/>
      <c r="O242" s="136"/>
      <c r="P242" s="136"/>
      <c r="Q242" s="136"/>
      <c r="AA242" s="1684"/>
      <c r="AB242" s="1005" t="str">
        <f>'Resource Costs'!$FC244</f>
        <v/>
      </c>
      <c r="AC242" s="1005" t="str">
        <f>'Resource Costs'!$FD244</f>
        <v/>
      </c>
      <c r="AD242" s="1005" t="str">
        <f>'Resource Costs'!$FE244</f>
        <v>Labor</v>
      </c>
      <c r="AE242" s="1005" t="str">
        <f>'Resource Costs'!$FF244</f>
        <v/>
      </c>
      <c r="AF242" s="1005" t="str">
        <f>'Resource Costs'!$FG244</f>
        <v/>
      </c>
      <c r="AG242" s="1006">
        <f>'Resource Costs'!$FH244</f>
        <v>0</v>
      </c>
      <c r="AH242" s="1006">
        <f>'Resource Costs'!$FI244</f>
        <v>0</v>
      </c>
      <c r="AI242" s="1006">
        <f>'Resource Costs'!$FJ244</f>
        <v>0</v>
      </c>
      <c r="AJ242" s="1006">
        <f>'Resource Costs'!$FK244</f>
        <v>0</v>
      </c>
      <c r="AK242" s="1006">
        <f>'Resource Costs'!$FL244</f>
        <v>0</v>
      </c>
      <c r="AL242" s="1006">
        <f>'Resource Costs'!$FM244</f>
        <v>0</v>
      </c>
      <c r="AM242" s="1007">
        <v>0</v>
      </c>
      <c r="AN242" s="1007">
        <v>0</v>
      </c>
      <c r="AO242" s="1007">
        <v>0</v>
      </c>
      <c r="AP242" s="1007">
        <v>0</v>
      </c>
      <c r="AQ242" s="1007">
        <v>0</v>
      </c>
      <c r="AR242" s="1016">
        <f t="shared" si="14"/>
        <v>0</v>
      </c>
    </row>
    <row r="243" spans="2:44" ht="15" customHeight="1">
      <c r="B243" s="2"/>
      <c r="C243" s="136"/>
      <c r="D243" s="136"/>
      <c r="E243" s="136"/>
      <c r="F243" s="136"/>
      <c r="G243" s="136"/>
      <c r="H243" s="136"/>
      <c r="I243" s="136"/>
      <c r="J243" s="136"/>
      <c r="K243" s="136"/>
      <c r="L243" s="136"/>
      <c r="M243" s="136"/>
      <c r="N243" s="136"/>
      <c r="O243" s="136"/>
      <c r="P243" s="136"/>
      <c r="Q243" s="136"/>
      <c r="AA243" s="1684"/>
      <c r="AB243" s="1005" t="str">
        <f>'Resource Costs'!$FC245</f>
        <v/>
      </c>
      <c r="AC243" s="1005" t="str">
        <f>'Resource Costs'!$FD245</f>
        <v/>
      </c>
      <c r="AD243" s="1005" t="str">
        <f>'Resource Costs'!$FE245</f>
        <v>Labor</v>
      </c>
      <c r="AE243" s="1005" t="str">
        <f>'Resource Costs'!$FF245</f>
        <v/>
      </c>
      <c r="AF243" s="1005" t="str">
        <f>'Resource Costs'!$FG245</f>
        <v/>
      </c>
      <c r="AG243" s="1006">
        <f>'Resource Costs'!$FH245</f>
        <v>0</v>
      </c>
      <c r="AH243" s="1006">
        <f>'Resource Costs'!$FI245</f>
        <v>0</v>
      </c>
      <c r="AI243" s="1006">
        <f>'Resource Costs'!$FJ245</f>
        <v>0</v>
      </c>
      <c r="AJ243" s="1006">
        <f>'Resource Costs'!$FK245</f>
        <v>0</v>
      </c>
      <c r="AK243" s="1006">
        <f>'Resource Costs'!$FL245</f>
        <v>0</v>
      </c>
      <c r="AL243" s="1006">
        <f>'Resource Costs'!$FM245</f>
        <v>0</v>
      </c>
      <c r="AM243" s="1007">
        <v>0</v>
      </c>
      <c r="AN243" s="1007">
        <v>0</v>
      </c>
      <c r="AO243" s="1007">
        <v>0</v>
      </c>
      <c r="AP243" s="1007">
        <v>0</v>
      </c>
      <c r="AQ243" s="1007">
        <v>0</v>
      </c>
      <c r="AR243" s="1016">
        <f t="shared" si="14"/>
        <v>0</v>
      </c>
    </row>
    <row r="244" spans="2:44" ht="15" customHeight="1">
      <c r="B244" s="2"/>
      <c r="C244" s="136"/>
      <c r="D244" s="136"/>
      <c r="E244" s="136"/>
      <c r="F244" s="136"/>
      <c r="G244" s="136"/>
      <c r="H244" s="136"/>
      <c r="I244" s="136"/>
      <c r="J244" s="136"/>
      <c r="K244" s="136"/>
      <c r="L244" s="136"/>
      <c r="M244" s="136"/>
      <c r="N244" s="136"/>
      <c r="O244" s="136"/>
      <c r="P244" s="136"/>
      <c r="Q244" s="136"/>
      <c r="AA244" s="1684"/>
      <c r="AB244" s="1005" t="str">
        <f>'Resource Costs'!$FC246</f>
        <v/>
      </c>
      <c r="AC244" s="1005" t="str">
        <f>'Resource Costs'!$FD246</f>
        <v/>
      </c>
      <c r="AD244" s="1005" t="str">
        <f>'Resource Costs'!$FE246</f>
        <v>Labor</v>
      </c>
      <c r="AE244" s="1005" t="str">
        <f>'Resource Costs'!$FF246</f>
        <v/>
      </c>
      <c r="AF244" s="1005" t="str">
        <f>'Resource Costs'!$FG246</f>
        <v/>
      </c>
      <c r="AG244" s="1006">
        <f>'Resource Costs'!$FH246</f>
        <v>0</v>
      </c>
      <c r="AH244" s="1006">
        <f>'Resource Costs'!$FI246</f>
        <v>0</v>
      </c>
      <c r="AI244" s="1006">
        <f>'Resource Costs'!$FJ246</f>
        <v>0</v>
      </c>
      <c r="AJ244" s="1006">
        <f>'Resource Costs'!$FK246</f>
        <v>0</v>
      </c>
      <c r="AK244" s="1006">
        <f>'Resource Costs'!$FL246</f>
        <v>0</v>
      </c>
      <c r="AL244" s="1006">
        <f>'Resource Costs'!$FM246</f>
        <v>0</v>
      </c>
      <c r="AM244" s="1007">
        <v>0</v>
      </c>
      <c r="AN244" s="1007">
        <v>0</v>
      </c>
      <c r="AO244" s="1007">
        <v>0</v>
      </c>
      <c r="AP244" s="1007">
        <v>0</v>
      </c>
      <c r="AQ244" s="1007">
        <v>0</v>
      </c>
      <c r="AR244" s="1016">
        <f t="shared" si="14"/>
        <v>0</v>
      </c>
    </row>
    <row r="245" spans="2:44" ht="15" customHeight="1">
      <c r="B245" s="2"/>
      <c r="C245" s="136"/>
      <c r="D245" s="136"/>
      <c r="E245" s="136"/>
      <c r="F245" s="136"/>
      <c r="G245" s="136"/>
      <c r="H245" s="136"/>
      <c r="I245" s="136"/>
      <c r="J245" s="136"/>
      <c r="K245" s="136"/>
      <c r="L245" s="136"/>
      <c r="M245" s="136"/>
      <c r="N245" s="136"/>
      <c r="O245" s="136"/>
      <c r="P245" s="136"/>
      <c r="Q245" s="136"/>
      <c r="AA245" s="1684"/>
      <c r="AB245" s="1005" t="str">
        <f>'Resource Costs'!$FC247</f>
        <v/>
      </c>
      <c r="AC245" s="1005" t="str">
        <f>'Resource Costs'!$FD247</f>
        <v/>
      </c>
      <c r="AD245" s="1005" t="str">
        <f>'Resource Costs'!$FE247</f>
        <v>Labor</v>
      </c>
      <c r="AE245" s="1005" t="str">
        <f>'Resource Costs'!$FF247</f>
        <v/>
      </c>
      <c r="AF245" s="1005" t="str">
        <f>'Resource Costs'!$FG247</f>
        <v/>
      </c>
      <c r="AG245" s="1006">
        <f>'Resource Costs'!$FH247</f>
        <v>0</v>
      </c>
      <c r="AH245" s="1006">
        <f>'Resource Costs'!$FI247</f>
        <v>0</v>
      </c>
      <c r="AI245" s="1006">
        <f>'Resource Costs'!$FJ247</f>
        <v>0</v>
      </c>
      <c r="AJ245" s="1006">
        <f>'Resource Costs'!$FK247</f>
        <v>0</v>
      </c>
      <c r="AK245" s="1006">
        <f>'Resource Costs'!$FL247</f>
        <v>0</v>
      </c>
      <c r="AL245" s="1006">
        <f>'Resource Costs'!$FM247</f>
        <v>0</v>
      </c>
      <c r="AM245" s="1007">
        <v>0</v>
      </c>
      <c r="AN245" s="1007">
        <v>0</v>
      </c>
      <c r="AO245" s="1007">
        <v>0</v>
      </c>
      <c r="AP245" s="1007">
        <v>0</v>
      </c>
      <c r="AQ245" s="1007">
        <v>0</v>
      </c>
      <c r="AR245" s="1016">
        <f t="shared" si="14"/>
        <v>0</v>
      </c>
    </row>
    <row r="246" spans="2:44" ht="15" customHeight="1">
      <c r="B246" s="2"/>
      <c r="C246" s="136"/>
      <c r="D246" s="136"/>
      <c r="E246" s="136"/>
      <c r="F246" s="136"/>
      <c r="G246" s="136"/>
      <c r="H246" s="136"/>
      <c r="I246" s="136"/>
      <c r="J246" s="136"/>
      <c r="K246" s="136"/>
      <c r="L246" s="136"/>
      <c r="M246" s="136"/>
      <c r="N246" s="136"/>
      <c r="O246" s="136"/>
      <c r="P246" s="136"/>
      <c r="Q246" s="136"/>
      <c r="AA246" s="1684"/>
      <c r="AB246" s="1005" t="str">
        <f>'Resource Costs'!$FC248</f>
        <v/>
      </c>
      <c r="AC246" s="1005" t="str">
        <f>'Resource Costs'!$FD248</f>
        <v/>
      </c>
      <c r="AD246" s="1005" t="str">
        <f>'Resource Costs'!$FE248</f>
        <v>Labor</v>
      </c>
      <c r="AE246" s="1005" t="str">
        <f>'Resource Costs'!$FF248</f>
        <v/>
      </c>
      <c r="AF246" s="1005" t="str">
        <f>'Resource Costs'!$FG248</f>
        <v/>
      </c>
      <c r="AG246" s="1006">
        <f>'Resource Costs'!$FH248</f>
        <v>0</v>
      </c>
      <c r="AH246" s="1006">
        <f>'Resource Costs'!$FI248</f>
        <v>0</v>
      </c>
      <c r="AI246" s="1006">
        <f>'Resource Costs'!$FJ248</f>
        <v>0</v>
      </c>
      <c r="AJ246" s="1006">
        <f>'Resource Costs'!$FK248</f>
        <v>0</v>
      </c>
      <c r="AK246" s="1006">
        <f>'Resource Costs'!$FL248</f>
        <v>0</v>
      </c>
      <c r="AL246" s="1006">
        <f>'Resource Costs'!$FM248</f>
        <v>0</v>
      </c>
      <c r="AM246" s="1007">
        <v>0</v>
      </c>
      <c r="AN246" s="1007">
        <v>0</v>
      </c>
      <c r="AO246" s="1007">
        <v>0</v>
      </c>
      <c r="AP246" s="1007">
        <v>0</v>
      </c>
      <c r="AQ246" s="1007">
        <v>0</v>
      </c>
      <c r="AR246" s="1016">
        <f t="shared" si="14"/>
        <v>0</v>
      </c>
    </row>
    <row r="247" spans="2:44" ht="15" customHeight="1">
      <c r="B247" s="2"/>
      <c r="C247" s="136"/>
      <c r="D247" s="136"/>
      <c r="E247" s="136"/>
      <c r="F247" s="136"/>
      <c r="G247" s="136"/>
      <c r="H247" s="136"/>
      <c r="I247" s="136"/>
      <c r="J247" s="136"/>
      <c r="K247" s="136"/>
      <c r="L247" s="136"/>
      <c r="M247" s="136"/>
      <c r="N247" s="136"/>
      <c r="O247" s="136"/>
      <c r="P247" s="136"/>
      <c r="Q247" s="136"/>
      <c r="AA247" s="1684"/>
      <c r="AB247" s="1005" t="str">
        <f>'Resource Costs'!$FC249</f>
        <v/>
      </c>
      <c r="AC247" s="1005" t="str">
        <f>'Resource Costs'!$FD249</f>
        <v/>
      </c>
      <c r="AD247" s="1005" t="str">
        <f>'Resource Costs'!$FE249</f>
        <v>Labor</v>
      </c>
      <c r="AE247" s="1005" t="str">
        <f>'Resource Costs'!$FF249</f>
        <v/>
      </c>
      <c r="AF247" s="1005" t="str">
        <f>'Resource Costs'!$FG249</f>
        <v/>
      </c>
      <c r="AG247" s="1006">
        <f>'Resource Costs'!$FH249</f>
        <v>0</v>
      </c>
      <c r="AH247" s="1006">
        <f>'Resource Costs'!$FI249</f>
        <v>0</v>
      </c>
      <c r="AI247" s="1006">
        <f>'Resource Costs'!$FJ249</f>
        <v>0</v>
      </c>
      <c r="AJ247" s="1006">
        <f>'Resource Costs'!$FK249</f>
        <v>0</v>
      </c>
      <c r="AK247" s="1006">
        <f>'Resource Costs'!$FL249</f>
        <v>0</v>
      </c>
      <c r="AL247" s="1006">
        <f>'Resource Costs'!$FM249</f>
        <v>0</v>
      </c>
      <c r="AM247" s="1007">
        <v>0</v>
      </c>
      <c r="AN247" s="1007">
        <v>0</v>
      </c>
      <c r="AO247" s="1007">
        <v>0</v>
      </c>
      <c r="AP247" s="1007">
        <v>0</v>
      </c>
      <c r="AQ247" s="1007">
        <v>0</v>
      </c>
      <c r="AR247" s="1016">
        <f t="shared" si="14"/>
        <v>0</v>
      </c>
    </row>
    <row r="248" spans="2:44" ht="15" customHeight="1">
      <c r="B248" s="2"/>
      <c r="C248" s="136"/>
      <c r="D248" s="136"/>
      <c r="E248" s="136"/>
      <c r="F248" s="136"/>
      <c r="G248" s="136"/>
      <c r="H248" s="136"/>
      <c r="I248" s="136"/>
      <c r="J248" s="136"/>
      <c r="K248" s="136"/>
      <c r="L248" s="136"/>
      <c r="M248" s="136"/>
      <c r="N248" s="136"/>
      <c r="O248" s="136"/>
      <c r="P248" s="136"/>
      <c r="Q248" s="136"/>
      <c r="AA248" s="1684"/>
      <c r="AB248" s="1005" t="str">
        <f>'Resource Costs'!$FC250</f>
        <v/>
      </c>
      <c r="AC248" s="1005" t="str">
        <f>'Resource Costs'!$FD250</f>
        <v/>
      </c>
      <c r="AD248" s="1005" t="str">
        <f>'Resource Costs'!$FE250</f>
        <v>Labor</v>
      </c>
      <c r="AE248" s="1005" t="str">
        <f>'Resource Costs'!$FF250</f>
        <v/>
      </c>
      <c r="AF248" s="1005" t="str">
        <f>'Resource Costs'!$FG250</f>
        <v/>
      </c>
      <c r="AG248" s="1006">
        <f>'Resource Costs'!$FH250</f>
        <v>0</v>
      </c>
      <c r="AH248" s="1006">
        <f>'Resource Costs'!$FI250</f>
        <v>0</v>
      </c>
      <c r="AI248" s="1006">
        <f>'Resource Costs'!$FJ250</f>
        <v>0</v>
      </c>
      <c r="AJ248" s="1006">
        <f>'Resource Costs'!$FK250</f>
        <v>0</v>
      </c>
      <c r="AK248" s="1006">
        <f>'Resource Costs'!$FL250</f>
        <v>0</v>
      </c>
      <c r="AL248" s="1006">
        <f>'Resource Costs'!$FM250</f>
        <v>0</v>
      </c>
      <c r="AM248" s="1007">
        <v>0</v>
      </c>
      <c r="AN248" s="1007">
        <v>0</v>
      </c>
      <c r="AO248" s="1007">
        <v>0</v>
      </c>
      <c r="AP248" s="1007">
        <v>0</v>
      </c>
      <c r="AQ248" s="1007">
        <v>0</v>
      </c>
      <c r="AR248" s="1016">
        <f t="shared" si="14"/>
        <v>0</v>
      </c>
    </row>
    <row r="249" spans="2:44" ht="15" customHeight="1">
      <c r="B249" s="2"/>
      <c r="C249" s="136"/>
      <c r="D249" s="136"/>
      <c r="E249" s="136"/>
      <c r="F249" s="136"/>
      <c r="G249" s="136"/>
      <c r="H249" s="136"/>
      <c r="I249" s="136"/>
      <c r="J249" s="136"/>
      <c r="K249" s="136"/>
      <c r="L249" s="136"/>
      <c r="M249" s="136"/>
      <c r="N249" s="136"/>
      <c r="O249" s="136"/>
      <c r="P249" s="136"/>
      <c r="Q249" s="136"/>
      <c r="AA249" s="1684"/>
      <c r="AB249" s="1005" t="str">
        <f>'Resource Costs'!$FC251</f>
        <v/>
      </c>
      <c r="AC249" s="1005" t="str">
        <f>'Resource Costs'!$FD251</f>
        <v/>
      </c>
      <c r="AD249" s="1005" t="str">
        <f>'Resource Costs'!$FE251</f>
        <v>Labor</v>
      </c>
      <c r="AE249" s="1005" t="str">
        <f>'Resource Costs'!$FF251</f>
        <v/>
      </c>
      <c r="AF249" s="1005" t="str">
        <f>'Resource Costs'!$FG251</f>
        <v/>
      </c>
      <c r="AG249" s="1006">
        <f>'Resource Costs'!$FH251</f>
        <v>0</v>
      </c>
      <c r="AH249" s="1006">
        <f>'Resource Costs'!$FI251</f>
        <v>0</v>
      </c>
      <c r="AI249" s="1006">
        <f>'Resource Costs'!$FJ251</f>
        <v>0</v>
      </c>
      <c r="AJ249" s="1006">
        <f>'Resource Costs'!$FK251</f>
        <v>0</v>
      </c>
      <c r="AK249" s="1006">
        <f>'Resource Costs'!$FL251</f>
        <v>0</v>
      </c>
      <c r="AL249" s="1006">
        <f>'Resource Costs'!$FM251</f>
        <v>0</v>
      </c>
      <c r="AM249" s="1007">
        <v>0</v>
      </c>
      <c r="AN249" s="1007">
        <v>0</v>
      </c>
      <c r="AO249" s="1007">
        <v>0</v>
      </c>
      <c r="AP249" s="1007">
        <v>0</v>
      </c>
      <c r="AQ249" s="1007">
        <v>0</v>
      </c>
      <c r="AR249" s="1016">
        <f t="shared" si="14"/>
        <v>0</v>
      </c>
    </row>
    <row r="250" spans="2:44" ht="15" customHeight="1">
      <c r="B250" s="2"/>
      <c r="C250" s="136"/>
      <c r="D250" s="136"/>
      <c r="E250" s="136"/>
      <c r="F250" s="136"/>
      <c r="G250" s="136"/>
      <c r="H250" s="136"/>
      <c r="I250" s="136"/>
      <c r="J250" s="136"/>
      <c r="K250" s="136"/>
      <c r="L250" s="136"/>
      <c r="M250" s="136"/>
      <c r="N250" s="136"/>
      <c r="O250" s="136"/>
      <c r="P250" s="136"/>
      <c r="Q250" s="136"/>
      <c r="AA250" s="1684"/>
      <c r="AB250" s="1005" t="str">
        <f>'Resource Costs'!$FC252</f>
        <v/>
      </c>
      <c r="AC250" s="1005" t="str">
        <f>'Resource Costs'!$FD252</f>
        <v/>
      </c>
      <c r="AD250" s="1005" t="str">
        <f>'Resource Costs'!$FE252</f>
        <v>Labor</v>
      </c>
      <c r="AE250" s="1005" t="str">
        <f>'Resource Costs'!$FF252</f>
        <v/>
      </c>
      <c r="AF250" s="1005" t="str">
        <f>'Resource Costs'!$FG252</f>
        <v/>
      </c>
      <c r="AG250" s="1006">
        <f>'Resource Costs'!$FH252</f>
        <v>0</v>
      </c>
      <c r="AH250" s="1006">
        <f>'Resource Costs'!$FI252</f>
        <v>0</v>
      </c>
      <c r="AI250" s="1006">
        <f>'Resource Costs'!$FJ252</f>
        <v>0</v>
      </c>
      <c r="AJ250" s="1006">
        <f>'Resource Costs'!$FK252</f>
        <v>0</v>
      </c>
      <c r="AK250" s="1006">
        <f>'Resource Costs'!$FL252</f>
        <v>0</v>
      </c>
      <c r="AL250" s="1006">
        <f>'Resource Costs'!$FM252</f>
        <v>0</v>
      </c>
      <c r="AM250" s="1007">
        <v>0</v>
      </c>
      <c r="AN250" s="1007">
        <v>0</v>
      </c>
      <c r="AO250" s="1007">
        <v>0</v>
      </c>
      <c r="AP250" s="1007">
        <v>0</v>
      </c>
      <c r="AQ250" s="1007">
        <v>0</v>
      </c>
      <c r="AR250" s="1016">
        <f t="shared" si="14"/>
        <v>0</v>
      </c>
    </row>
    <row r="251" spans="2:44" ht="15" customHeight="1">
      <c r="B251" s="2"/>
      <c r="C251" s="136"/>
      <c r="D251" s="136"/>
      <c r="E251" s="136"/>
      <c r="F251" s="136"/>
      <c r="G251" s="136"/>
      <c r="H251" s="136"/>
      <c r="I251" s="136"/>
      <c r="J251" s="136"/>
      <c r="K251" s="136"/>
      <c r="L251" s="136"/>
      <c r="M251" s="136"/>
      <c r="N251" s="136"/>
      <c r="O251" s="136"/>
      <c r="P251" s="136"/>
      <c r="Q251" s="136"/>
      <c r="AA251" s="1684"/>
      <c r="AB251" s="1005" t="str">
        <f>'Resource Costs'!$FC253</f>
        <v/>
      </c>
      <c r="AC251" s="1005" t="str">
        <f>'Resource Costs'!$FD253</f>
        <v/>
      </c>
      <c r="AD251" s="1005" t="str">
        <f>'Resource Costs'!$FE253</f>
        <v>Labor</v>
      </c>
      <c r="AE251" s="1005" t="str">
        <f>'Resource Costs'!$FF253</f>
        <v/>
      </c>
      <c r="AF251" s="1005" t="str">
        <f>'Resource Costs'!$FG253</f>
        <v/>
      </c>
      <c r="AG251" s="1006">
        <f>'Resource Costs'!$FH253</f>
        <v>0</v>
      </c>
      <c r="AH251" s="1006">
        <f>'Resource Costs'!$FI253</f>
        <v>0</v>
      </c>
      <c r="AI251" s="1006">
        <f>'Resource Costs'!$FJ253</f>
        <v>0</v>
      </c>
      <c r="AJ251" s="1006">
        <f>'Resource Costs'!$FK253</f>
        <v>0</v>
      </c>
      <c r="AK251" s="1006">
        <f>'Resource Costs'!$FL253</f>
        <v>0</v>
      </c>
      <c r="AL251" s="1006">
        <f>'Resource Costs'!$FM253</f>
        <v>0</v>
      </c>
      <c r="AM251" s="1007">
        <v>0</v>
      </c>
      <c r="AN251" s="1007">
        <v>0</v>
      </c>
      <c r="AO251" s="1007">
        <v>0</v>
      </c>
      <c r="AP251" s="1007">
        <v>0</v>
      </c>
      <c r="AQ251" s="1007">
        <v>0</v>
      </c>
      <c r="AR251" s="1016">
        <f t="shared" si="14"/>
        <v>0</v>
      </c>
    </row>
    <row r="252" spans="2:44" ht="15" customHeight="1" thickBot="1">
      <c r="B252" s="2"/>
      <c r="C252" s="136"/>
      <c r="D252" s="136"/>
      <c r="E252" s="136"/>
      <c r="F252" s="136"/>
      <c r="G252" s="136"/>
      <c r="H252" s="136"/>
      <c r="I252" s="136"/>
      <c r="J252" s="136"/>
      <c r="K252" s="136"/>
      <c r="L252" s="136"/>
      <c r="M252" s="136"/>
      <c r="N252" s="136"/>
      <c r="O252" s="136"/>
      <c r="P252" s="136"/>
      <c r="Q252" s="136"/>
      <c r="AA252" s="1684"/>
      <c r="AB252" s="1005" t="str">
        <f>'Resource Costs'!$FC254</f>
        <v/>
      </c>
      <c r="AC252" s="1005" t="str">
        <f>'Resource Costs'!$FD254</f>
        <v/>
      </c>
      <c r="AD252" s="1005" t="str">
        <f>'Resource Costs'!$FE254</f>
        <v>Labor</v>
      </c>
      <c r="AE252" s="1005" t="str">
        <f>'Resource Costs'!$FF254</f>
        <v/>
      </c>
      <c r="AF252" s="1005" t="str">
        <f>'Resource Costs'!$FG254</f>
        <v/>
      </c>
      <c r="AG252" s="1006">
        <f>'Resource Costs'!$FH254</f>
        <v>0</v>
      </c>
      <c r="AH252" s="1006">
        <f>'Resource Costs'!$FI254</f>
        <v>0</v>
      </c>
      <c r="AI252" s="1006">
        <f>'Resource Costs'!$FJ254</f>
        <v>0</v>
      </c>
      <c r="AJ252" s="1006">
        <f>'Resource Costs'!$FK254</f>
        <v>0</v>
      </c>
      <c r="AK252" s="1006">
        <f>'Resource Costs'!$FL254</f>
        <v>0</v>
      </c>
      <c r="AL252" s="1006">
        <f>'Resource Costs'!$FM254</f>
        <v>0</v>
      </c>
      <c r="AM252" s="1007">
        <v>0</v>
      </c>
      <c r="AN252" s="1007">
        <v>0</v>
      </c>
      <c r="AO252" s="1007">
        <v>0</v>
      </c>
      <c r="AP252" s="1007">
        <v>0</v>
      </c>
      <c r="AQ252" s="1007">
        <v>0</v>
      </c>
      <c r="AR252" s="1016">
        <f t="shared" si="14"/>
        <v>0</v>
      </c>
    </row>
    <row r="253" spans="2:44" ht="14.5">
      <c r="B253" s="2"/>
      <c r="C253"/>
      <c r="D253"/>
      <c r="E253"/>
      <c r="F253"/>
      <c r="G253"/>
      <c r="H253"/>
      <c r="I253"/>
      <c r="J253"/>
      <c r="K253"/>
      <c r="L253"/>
      <c r="M253"/>
      <c r="N253"/>
      <c r="O253"/>
      <c r="P253"/>
      <c r="Q253"/>
      <c r="AA253" s="1685" t="str">
        <f>CONCATENATE("Forecasted Remaining Other Costs by Fiscal Year (",Variables!$C$4,"M)")</f>
        <v>Forecasted Remaining Other Costs by Fiscal Year ($M)</v>
      </c>
      <c r="AB253" s="53" t="str">
        <f>'Other Costs'!$DE5</f>
        <v>Software</v>
      </c>
      <c r="AC253" s="53" t="str">
        <f>'Other Costs'!$DF5</f>
        <v>Software_Costs</v>
      </c>
      <c r="AD253" s="53" t="str">
        <f>'Other Costs'!$DG5</f>
        <v>SaaS software license costs</v>
      </c>
      <c r="AE253" s="53" t="str">
        <f>'Other Costs'!$DH5</f>
        <v>John Conley</v>
      </c>
      <c r="AF253" s="53" t="str">
        <f>'Other Costs'!$DI5</f>
        <v>Capex</v>
      </c>
      <c r="AG253" s="1009">
        <f>'Other Costs'!$DJ5</f>
        <v>0</v>
      </c>
      <c r="AH253" s="1009">
        <f>'Other Costs'!$DK5</f>
        <v>0</v>
      </c>
      <c r="AI253" s="1009">
        <f>'Other Costs'!$DL5</f>
        <v>0</v>
      </c>
      <c r="AJ253" s="1009">
        <f>'Other Costs'!$DM5</f>
        <v>0</v>
      </c>
      <c r="AK253" s="1009">
        <f>'Other Costs'!$DN5</f>
        <v>0</v>
      </c>
      <c r="AL253" s="1009">
        <f>'Other Costs'!$DO5</f>
        <v>0</v>
      </c>
      <c r="AM253" s="1007">
        <v>0</v>
      </c>
      <c r="AN253" s="1007">
        <v>0</v>
      </c>
      <c r="AO253" s="1007">
        <v>0</v>
      </c>
      <c r="AP253" s="1007">
        <v>0</v>
      </c>
      <c r="AQ253" s="1007">
        <v>0</v>
      </c>
      <c r="AR253" s="1016">
        <f t="shared" si="12"/>
        <v>0</v>
      </c>
    </row>
    <row r="254" spans="2:44" ht="15" customHeight="1">
      <c r="B254" s="2"/>
      <c r="C254"/>
      <c r="D254"/>
      <c r="E254"/>
      <c r="F254"/>
      <c r="G254"/>
      <c r="H254"/>
      <c r="I254"/>
      <c r="J254"/>
      <c r="K254"/>
      <c r="L254"/>
      <c r="M254"/>
      <c r="N254"/>
      <c r="O254"/>
      <c r="P254"/>
      <c r="Q254"/>
      <c r="AA254" s="1686"/>
      <c r="AB254" s="53" t="str">
        <f>'Other Costs'!$DE6</f>
        <v>Infra_Operations</v>
      </c>
      <c r="AC254" s="53" t="str">
        <f>'Other Costs'!$DF6</f>
        <v>Hardware</v>
      </c>
      <c r="AD254" s="53" t="str">
        <f>'Other Costs'!$DG6</f>
        <v>Server hardware (including backup and test servers)</v>
      </c>
      <c r="AE254" s="53" t="str">
        <f>'Other Costs'!$DH6</f>
        <v>Shannon Soland</v>
      </c>
      <c r="AF254" s="53" t="str">
        <f>'Other Costs'!$DI6</f>
        <v>Capex</v>
      </c>
      <c r="AG254" s="1009">
        <f>'Other Costs'!$DJ6</f>
        <v>0</v>
      </c>
      <c r="AH254" s="1009">
        <f>'Other Costs'!$DK6</f>
        <v>0</v>
      </c>
      <c r="AI254" s="1009">
        <f>'Other Costs'!$DL6</f>
        <v>0</v>
      </c>
      <c r="AJ254" s="1009">
        <f>'Other Costs'!$DM6</f>
        <v>0</v>
      </c>
      <c r="AK254" s="1009">
        <f>'Other Costs'!$DN6</f>
        <v>0</v>
      </c>
      <c r="AL254" s="1009">
        <f>'Other Costs'!$DO6</f>
        <v>0</v>
      </c>
      <c r="AM254" s="1007">
        <v>0</v>
      </c>
      <c r="AN254" s="1007">
        <v>0</v>
      </c>
      <c r="AO254" s="1007">
        <v>0</v>
      </c>
      <c r="AP254" s="1007">
        <v>0</v>
      </c>
      <c r="AQ254" s="1007">
        <v>0</v>
      </c>
      <c r="AR254" s="1016">
        <f t="shared" ref="AR254:AR317" si="15">SUM(AG254:AQ254)</f>
        <v>0</v>
      </c>
    </row>
    <row r="255" spans="2:44" ht="15" customHeight="1">
      <c r="B255" s="2"/>
      <c r="C255"/>
      <c r="D255"/>
      <c r="E255"/>
      <c r="F255"/>
      <c r="G255"/>
      <c r="H255"/>
      <c r="I255"/>
      <c r="J255"/>
      <c r="K255"/>
      <c r="L255"/>
      <c r="M255"/>
      <c r="N255"/>
      <c r="O255"/>
      <c r="P255"/>
      <c r="Q255"/>
      <c r="AA255" s="1686"/>
      <c r="AB255" s="53" t="str">
        <f>'Other Costs'!$DE7</f>
        <v/>
      </c>
      <c r="AC255" s="53" t="str">
        <f>'Other Costs'!$DF7</f>
        <v/>
      </c>
      <c r="AD255" s="53" t="str">
        <f>'Other Costs'!$DG7</f>
        <v/>
      </c>
      <c r="AE255" s="53" t="str">
        <f>'Other Costs'!$DH7</f>
        <v/>
      </c>
      <c r="AF255" s="53" t="str">
        <f>'Other Costs'!$DI7</f>
        <v/>
      </c>
      <c r="AG255" s="1009">
        <f>'Other Costs'!$DJ7</f>
        <v>0</v>
      </c>
      <c r="AH255" s="1009">
        <f>'Other Costs'!$DK7</f>
        <v>0</v>
      </c>
      <c r="AI255" s="1009">
        <f>'Other Costs'!$DL7</f>
        <v>0</v>
      </c>
      <c r="AJ255" s="1009">
        <f>'Other Costs'!$DM7</f>
        <v>0</v>
      </c>
      <c r="AK255" s="1009">
        <f>'Other Costs'!$DN7</f>
        <v>0</v>
      </c>
      <c r="AL255" s="1009">
        <f>'Other Costs'!$DO7</f>
        <v>0</v>
      </c>
      <c r="AM255" s="1007">
        <v>0</v>
      </c>
      <c r="AN255" s="1007">
        <v>0</v>
      </c>
      <c r="AO255" s="1007">
        <v>0</v>
      </c>
      <c r="AP255" s="1007">
        <v>0</v>
      </c>
      <c r="AQ255" s="1007">
        <v>0</v>
      </c>
      <c r="AR255" s="1016">
        <f t="shared" si="15"/>
        <v>0</v>
      </c>
    </row>
    <row r="256" spans="2:44" ht="15" customHeight="1">
      <c r="B256" s="2"/>
      <c r="C256"/>
      <c r="D256"/>
      <c r="E256"/>
      <c r="F256"/>
      <c r="G256"/>
      <c r="H256"/>
      <c r="I256"/>
      <c r="J256"/>
      <c r="K256"/>
      <c r="L256"/>
      <c r="M256"/>
      <c r="N256"/>
      <c r="O256"/>
      <c r="P256"/>
      <c r="Q256"/>
      <c r="AA256" s="1686"/>
      <c r="AB256" s="53" t="str">
        <f>'Other Costs'!$DE8</f>
        <v/>
      </c>
      <c r="AC256" s="53" t="str">
        <f>'Other Costs'!$DF8</f>
        <v/>
      </c>
      <c r="AD256" s="53" t="str">
        <f>'Other Costs'!$DG8</f>
        <v/>
      </c>
      <c r="AE256" s="53" t="str">
        <f>'Other Costs'!$DH8</f>
        <v/>
      </c>
      <c r="AF256" s="53" t="str">
        <f>'Other Costs'!$DI8</f>
        <v/>
      </c>
      <c r="AG256" s="1009">
        <f>'Other Costs'!$DJ8</f>
        <v>0</v>
      </c>
      <c r="AH256" s="1009">
        <f>'Other Costs'!$DK8</f>
        <v>0</v>
      </c>
      <c r="AI256" s="1009">
        <f>'Other Costs'!$DL8</f>
        <v>0</v>
      </c>
      <c r="AJ256" s="1009">
        <f>'Other Costs'!$DM8</f>
        <v>0</v>
      </c>
      <c r="AK256" s="1009">
        <f>'Other Costs'!$DN8</f>
        <v>0</v>
      </c>
      <c r="AL256" s="1009">
        <f>'Other Costs'!$DO8</f>
        <v>0</v>
      </c>
      <c r="AM256" s="1007">
        <v>0</v>
      </c>
      <c r="AN256" s="1007">
        <v>0</v>
      </c>
      <c r="AO256" s="1007">
        <v>0</v>
      </c>
      <c r="AP256" s="1007">
        <v>0</v>
      </c>
      <c r="AQ256" s="1007">
        <v>0</v>
      </c>
      <c r="AR256" s="1016">
        <f t="shared" si="15"/>
        <v>0</v>
      </c>
    </row>
    <row r="257" spans="2:44" ht="15" customHeight="1">
      <c r="B257" s="2"/>
      <c r="C257"/>
      <c r="D257"/>
      <c r="E257"/>
      <c r="F257"/>
      <c r="G257"/>
      <c r="H257"/>
      <c r="I257"/>
      <c r="J257"/>
      <c r="K257"/>
      <c r="L257"/>
      <c r="M257"/>
      <c r="N257"/>
      <c r="O257"/>
      <c r="P257"/>
      <c r="Q257"/>
      <c r="AA257" s="1686"/>
      <c r="AB257" s="53" t="str">
        <f>'Other Costs'!$DE9</f>
        <v/>
      </c>
      <c r="AC257" s="53" t="str">
        <f>'Other Costs'!$DF9</f>
        <v/>
      </c>
      <c r="AD257" s="53" t="str">
        <f>'Other Costs'!$DG9</f>
        <v/>
      </c>
      <c r="AE257" s="53" t="str">
        <f>'Other Costs'!$DH9</f>
        <v/>
      </c>
      <c r="AF257" s="53" t="str">
        <f>'Other Costs'!$DI9</f>
        <v/>
      </c>
      <c r="AG257" s="1009">
        <f>'Other Costs'!$DJ9</f>
        <v>0</v>
      </c>
      <c r="AH257" s="1009">
        <f>'Other Costs'!$DK9</f>
        <v>0</v>
      </c>
      <c r="AI257" s="1009">
        <f>'Other Costs'!$DL9</f>
        <v>0</v>
      </c>
      <c r="AJ257" s="1009">
        <f>'Other Costs'!$DM9</f>
        <v>0</v>
      </c>
      <c r="AK257" s="1009">
        <f>'Other Costs'!$DN9</f>
        <v>0</v>
      </c>
      <c r="AL257" s="1009">
        <f>'Other Costs'!$DO9</f>
        <v>0</v>
      </c>
      <c r="AM257" s="1007">
        <v>0</v>
      </c>
      <c r="AN257" s="1007">
        <v>0</v>
      </c>
      <c r="AO257" s="1007">
        <v>0</v>
      </c>
      <c r="AP257" s="1007">
        <v>0</v>
      </c>
      <c r="AQ257" s="1007">
        <v>0</v>
      </c>
      <c r="AR257" s="1016">
        <f t="shared" si="15"/>
        <v>0</v>
      </c>
    </row>
    <row r="258" spans="2:44" ht="15" customHeight="1">
      <c r="B258" s="2"/>
      <c r="C258"/>
      <c r="D258"/>
      <c r="E258"/>
      <c r="F258"/>
      <c r="G258"/>
      <c r="H258"/>
      <c r="I258"/>
      <c r="J258"/>
      <c r="K258"/>
      <c r="L258"/>
      <c r="M258"/>
      <c r="N258"/>
      <c r="O258"/>
      <c r="P258"/>
      <c r="Q258"/>
      <c r="AA258" s="1686"/>
      <c r="AB258" s="53" t="str">
        <f>'Other Costs'!$DE10</f>
        <v/>
      </c>
      <c r="AC258" s="53" t="str">
        <f>'Other Costs'!$DF10</f>
        <v/>
      </c>
      <c r="AD258" s="53" t="str">
        <f>'Other Costs'!$DG10</f>
        <v/>
      </c>
      <c r="AE258" s="53" t="str">
        <f>'Other Costs'!$DH10</f>
        <v/>
      </c>
      <c r="AF258" s="53" t="str">
        <f>'Other Costs'!$DI10</f>
        <v/>
      </c>
      <c r="AG258" s="1009">
        <f>'Other Costs'!$DJ10</f>
        <v>0</v>
      </c>
      <c r="AH258" s="1009">
        <f>'Other Costs'!$DK10</f>
        <v>0</v>
      </c>
      <c r="AI258" s="1009">
        <f>'Other Costs'!$DL10</f>
        <v>0</v>
      </c>
      <c r="AJ258" s="1009">
        <f>'Other Costs'!$DM10</f>
        <v>0</v>
      </c>
      <c r="AK258" s="1009">
        <f>'Other Costs'!$DN10</f>
        <v>0</v>
      </c>
      <c r="AL258" s="1009">
        <f>'Other Costs'!$DO10</f>
        <v>0</v>
      </c>
      <c r="AM258" s="1007">
        <v>0</v>
      </c>
      <c r="AN258" s="1007">
        <v>0</v>
      </c>
      <c r="AO258" s="1007">
        <v>0</v>
      </c>
      <c r="AP258" s="1007">
        <v>0</v>
      </c>
      <c r="AQ258" s="1007">
        <v>0</v>
      </c>
      <c r="AR258" s="1016">
        <f t="shared" si="15"/>
        <v>0</v>
      </c>
    </row>
    <row r="259" spans="2:44" ht="15" customHeight="1">
      <c r="B259" s="2"/>
      <c r="C259"/>
      <c r="D259"/>
      <c r="E259"/>
      <c r="F259"/>
      <c r="G259"/>
      <c r="H259"/>
      <c r="I259"/>
      <c r="J259"/>
      <c r="K259"/>
      <c r="L259"/>
      <c r="M259"/>
      <c r="N259"/>
      <c r="O259"/>
      <c r="P259"/>
      <c r="Q259"/>
      <c r="AA259" s="1686"/>
      <c r="AB259" s="53" t="str">
        <f>'Other Costs'!$DE11</f>
        <v/>
      </c>
      <c r="AC259" s="53" t="str">
        <f>'Other Costs'!$DF11</f>
        <v/>
      </c>
      <c r="AD259" s="53" t="str">
        <f>'Other Costs'!$DG11</f>
        <v/>
      </c>
      <c r="AE259" s="53" t="str">
        <f>'Other Costs'!$DH11</f>
        <v/>
      </c>
      <c r="AF259" s="53" t="str">
        <f>'Other Costs'!$DI11</f>
        <v/>
      </c>
      <c r="AG259" s="1009">
        <f>'Other Costs'!$DJ11</f>
        <v>0</v>
      </c>
      <c r="AH259" s="1009">
        <f>'Other Costs'!$DK11</f>
        <v>0</v>
      </c>
      <c r="AI259" s="1009">
        <f>'Other Costs'!$DL11</f>
        <v>0</v>
      </c>
      <c r="AJ259" s="1009">
        <f>'Other Costs'!$DM11</f>
        <v>0</v>
      </c>
      <c r="AK259" s="1009">
        <f>'Other Costs'!$DN11</f>
        <v>0</v>
      </c>
      <c r="AL259" s="1009">
        <f>'Other Costs'!$DO11</f>
        <v>0</v>
      </c>
      <c r="AM259" s="1007">
        <v>0</v>
      </c>
      <c r="AN259" s="1007">
        <v>0</v>
      </c>
      <c r="AO259" s="1007">
        <v>0</v>
      </c>
      <c r="AP259" s="1007">
        <v>0</v>
      </c>
      <c r="AQ259" s="1007">
        <v>0</v>
      </c>
      <c r="AR259" s="1016">
        <f t="shared" si="15"/>
        <v>0</v>
      </c>
    </row>
    <row r="260" spans="2:44" ht="15" customHeight="1">
      <c r="B260" s="2"/>
      <c r="C260"/>
      <c r="D260"/>
      <c r="E260"/>
      <c r="F260"/>
      <c r="G260"/>
      <c r="H260"/>
      <c r="I260"/>
      <c r="J260"/>
      <c r="K260"/>
      <c r="L260"/>
      <c r="M260"/>
      <c r="N260"/>
      <c r="O260"/>
      <c r="P260"/>
      <c r="Q260"/>
      <c r="AA260" s="1686"/>
      <c r="AB260" s="53" t="str">
        <f>'Other Costs'!$DE12</f>
        <v/>
      </c>
      <c r="AC260" s="53" t="str">
        <f>'Other Costs'!$DF12</f>
        <v/>
      </c>
      <c r="AD260" s="53" t="str">
        <f>'Other Costs'!$DG12</f>
        <v/>
      </c>
      <c r="AE260" s="53" t="str">
        <f>'Other Costs'!$DH12</f>
        <v/>
      </c>
      <c r="AF260" s="53" t="str">
        <f>'Other Costs'!$DI12</f>
        <v/>
      </c>
      <c r="AG260" s="1009">
        <f>'Other Costs'!$DJ12</f>
        <v>0</v>
      </c>
      <c r="AH260" s="1009">
        <f>'Other Costs'!$DK12</f>
        <v>0</v>
      </c>
      <c r="AI260" s="1009">
        <f>'Other Costs'!$DL12</f>
        <v>0</v>
      </c>
      <c r="AJ260" s="1009">
        <f>'Other Costs'!$DM12</f>
        <v>0</v>
      </c>
      <c r="AK260" s="1009">
        <f>'Other Costs'!$DN12</f>
        <v>0</v>
      </c>
      <c r="AL260" s="1009">
        <f>'Other Costs'!$DO12</f>
        <v>0</v>
      </c>
      <c r="AM260" s="1007">
        <v>0</v>
      </c>
      <c r="AN260" s="1007">
        <v>0</v>
      </c>
      <c r="AO260" s="1007">
        <v>0</v>
      </c>
      <c r="AP260" s="1007">
        <v>0</v>
      </c>
      <c r="AQ260" s="1007">
        <v>0</v>
      </c>
      <c r="AR260" s="1016">
        <f t="shared" si="15"/>
        <v>0</v>
      </c>
    </row>
    <row r="261" spans="2:44" ht="15" customHeight="1">
      <c r="B261" s="2"/>
      <c r="C261"/>
      <c r="D261"/>
      <c r="E261"/>
      <c r="F261"/>
      <c r="G261"/>
      <c r="H261"/>
      <c r="I261"/>
      <c r="J261"/>
      <c r="K261"/>
      <c r="L261"/>
      <c r="M261"/>
      <c r="N261"/>
      <c r="O261"/>
      <c r="P261"/>
      <c r="Q261"/>
      <c r="AA261" s="1686"/>
      <c r="AB261" s="53" t="str">
        <f>'Other Costs'!$DE13</f>
        <v/>
      </c>
      <c r="AC261" s="53" t="str">
        <f>'Other Costs'!$DF13</f>
        <v/>
      </c>
      <c r="AD261" s="53" t="str">
        <f>'Other Costs'!$DG13</f>
        <v/>
      </c>
      <c r="AE261" s="53" t="str">
        <f>'Other Costs'!$DH13</f>
        <v/>
      </c>
      <c r="AF261" s="53" t="str">
        <f>'Other Costs'!$DI13</f>
        <v/>
      </c>
      <c r="AG261" s="1009">
        <f>'Other Costs'!$DJ13</f>
        <v>0</v>
      </c>
      <c r="AH261" s="1009">
        <f>'Other Costs'!$DK13</f>
        <v>0</v>
      </c>
      <c r="AI261" s="1009">
        <f>'Other Costs'!$DL13</f>
        <v>0</v>
      </c>
      <c r="AJ261" s="1009">
        <f>'Other Costs'!$DM13</f>
        <v>0</v>
      </c>
      <c r="AK261" s="1009">
        <f>'Other Costs'!$DN13</f>
        <v>0</v>
      </c>
      <c r="AL261" s="1009">
        <f>'Other Costs'!$DO13</f>
        <v>0</v>
      </c>
      <c r="AM261" s="1007">
        <v>0</v>
      </c>
      <c r="AN261" s="1007">
        <v>0</v>
      </c>
      <c r="AO261" s="1007">
        <v>0</v>
      </c>
      <c r="AP261" s="1007">
        <v>0</v>
      </c>
      <c r="AQ261" s="1007">
        <v>0</v>
      </c>
      <c r="AR261" s="1016">
        <f t="shared" si="15"/>
        <v>0</v>
      </c>
    </row>
    <row r="262" spans="2:44" ht="15" customHeight="1">
      <c r="B262" s="2"/>
      <c r="C262"/>
      <c r="D262"/>
      <c r="E262"/>
      <c r="F262"/>
      <c r="G262"/>
      <c r="H262"/>
      <c r="I262"/>
      <c r="J262"/>
      <c r="K262"/>
      <c r="L262"/>
      <c r="M262"/>
      <c r="N262"/>
      <c r="O262"/>
      <c r="P262"/>
      <c r="Q262"/>
      <c r="AA262" s="1686"/>
      <c r="AB262" s="53" t="str">
        <f>'Other Costs'!$DE14</f>
        <v/>
      </c>
      <c r="AC262" s="53" t="str">
        <f>'Other Costs'!$DF14</f>
        <v/>
      </c>
      <c r="AD262" s="53" t="str">
        <f>'Other Costs'!$DG14</f>
        <v/>
      </c>
      <c r="AE262" s="53" t="str">
        <f>'Other Costs'!$DH14</f>
        <v/>
      </c>
      <c r="AF262" s="53" t="str">
        <f>'Other Costs'!$DI14</f>
        <v/>
      </c>
      <c r="AG262" s="1009">
        <f>'Other Costs'!$DJ14</f>
        <v>0</v>
      </c>
      <c r="AH262" s="1009">
        <f>'Other Costs'!$DK14</f>
        <v>0</v>
      </c>
      <c r="AI262" s="1009">
        <f>'Other Costs'!$DL14</f>
        <v>0</v>
      </c>
      <c r="AJ262" s="1009">
        <f>'Other Costs'!$DM14</f>
        <v>0</v>
      </c>
      <c r="AK262" s="1009">
        <f>'Other Costs'!$DN14</f>
        <v>0</v>
      </c>
      <c r="AL262" s="1009">
        <f>'Other Costs'!$DO14</f>
        <v>0</v>
      </c>
      <c r="AM262" s="1007">
        <v>0</v>
      </c>
      <c r="AN262" s="1007">
        <v>0</v>
      </c>
      <c r="AO262" s="1007">
        <v>0</v>
      </c>
      <c r="AP262" s="1007">
        <v>0</v>
      </c>
      <c r="AQ262" s="1007">
        <v>0</v>
      </c>
      <c r="AR262" s="1016">
        <f t="shared" si="15"/>
        <v>0</v>
      </c>
    </row>
    <row r="263" spans="2:44" ht="15" customHeight="1">
      <c r="B263" s="2"/>
      <c r="C263"/>
      <c r="D263"/>
      <c r="E263"/>
      <c r="F263"/>
      <c r="G263"/>
      <c r="H263"/>
      <c r="I263"/>
      <c r="J263"/>
      <c r="K263"/>
      <c r="L263"/>
      <c r="M263"/>
      <c r="N263"/>
      <c r="O263"/>
      <c r="P263"/>
      <c r="Q263"/>
      <c r="AA263" s="1686"/>
      <c r="AB263" s="53" t="str">
        <f>'Other Costs'!$DE15</f>
        <v/>
      </c>
      <c r="AC263" s="53" t="str">
        <f>'Other Costs'!$DF15</f>
        <v/>
      </c>
      <c r="AD263" s="53" t="str">
        <f>'Other Costs'!$DG15</f>
        <v/>
      </c>
      <c r="AE263" s="53" t="str">
        <f>'Other Costs'!$DH15</f>
        <v/>
      </c>
      <c r="AF263" s="53" t="str">
        <f>'Other Costs'!$DI15</f>
        <v/>
      </c>
      <c r="AG263" s="1009">
        <f>'Other Costs'!$DJ15</f>
        <v>0</v>
      </c>
      <c r="AH263" s="1009">
        <f>'Other Costs'!$DK15</f>
        <v>0</v>
      </c>
      <c r="AI263" s="1009">
        <f>'Other Costs'!$DL15</f>
        <v>0</v>
      </c>
      <c r="AJ263" s="1009">
        <f>'Other Costs'!$DM15</f>
        <v>0</v>
      </c>
      <c r="AK263" s="1009">
        <f>'Other Costs'!$DN15</f>
        <v>0</v>
      </c>
      <c r="AL263" s="1009">
        <f>'Other Costs'!$DO15</f>
        <v>0</v>
      </c>
      <c r="AM263" s="1007">
        <v>0</v>
      </c>
      <c r="AN263" s="1007">
        <v>0</v>
      </c>
      <c r="AO263" s="1007">
        <v>0</v>
      </c>
      <c r="AP263" s="1007">
        <v>0</v>
      </c>
      <c r="AQ263" s="1007">
        <v>0</v>
      </c>
      <c r="AR263" s="1016">
        <f t="shared" si="15"/>
        <v>0</v>
      </c>
    </row>
    <row r="264" spans="2:44" ht="15" customHeight="1">
      <c r="B264" s="2"/>
      <c r="C264"/>
      <c r="D264"/>
      <c r="E264"/>
      <c r="F264"/>
      <c r="G264"/>
      <c r="H264"/>
      <c r="I264"/>
      <c r="J264"/>
      <c r="K264"/>
      <c r="L264"/>
      <c r="M264"/>
      <c r="N264"/>
      <c r="O264"/>
      <c r="P264"/>
      <c r="Q264"/>
      <c r="AA264" s="1686"/>
      <c r="AB264" s="53" t="str">
        <f>'Other Costs'!$DE16</f>
        <v/>
      </c>
      <c r="AC264" s="53" t="str">
        <f>'Other Costs'!$DF16</f>
        <v/>
      </c>
      <c r="AD264" s="53" t="str">
        <f>'Other Costs'!$DG16</f>
        <v/>
      </c>
      <c r="AE264" s="53" t="str">
        <f>'Other Costs'!$DH16</f>
        <v/>
      </c>
      <c r="AF264" s="53" t="str">
        <f>'Other Costs'!$DI16</f>
        <v/>
      </c>
      <c r="AG264" s="1009">
        <f>'Other Costs'!$DJ16</f>
        <v>0</v>
      </c>
      <c r="AH264" s="1009">
        <f>'Other Costs'!$DK16</f>
        <v>0</v>
      </c>
      <c r="AI264" s="1009">
        <f>'Other Costs'!$DL16</f>
        <v>0</v>
      </c>
      <c r="AJ264" s="1009">
        <f>'Other Costs'!$DM16</f>
        <v>0</v>
      </c>
      <c r="AK264" s="1009">
        <f>'Other Costs'!$DN16</f>
        <v>0</v>
      </c>
      <c r="AL264" s="1009">
        <f>'Other Costs'!$DO16</f>
        <v>0</v>
      </c>
      <c r="AM264" s="1007">
        <v>0</v>
      </c>
      <c r="AN264" s="1007">
        <v>0</v>
      </c>
      <c r="AO264" s="1007">
        <v>0</v>
      </c>
      <c r="AP264" s="1007">
        <v>0</v>
      </c>
      <c r="AQ264" s="1007">
        <v>0</v>
      </c>
      <c r="AR264" s="1016">
        <f t="shared" si="15"/>
        <v>0</v>
      </c>
    </row>
    <row r="265" spans="2:44" ht="15" customHeight="1">
      <c r="B265" s="2"/>
      <c r="C265"/>
      <c r="D265"/>
      <c r="E265"/>
      <c r="F265"/>
      <c r="G265"/>
      <c r="H265"/>
      <c r="I265"/>
      <c r="J265"/>
      <c r="K265"/>
      <c r="L265"/>
      <c r="M265"/>
      <c r="N265"/>
      <c r="O265"/>
      <c r="P265"/>
      <c r="Q265"/>
      <c r="AA265" s="1686"/>
      <c r="AB265" s="53" t="str">
        <f>'Other Costs'!$DE17</f>
        <v/>
      </c>
      <c r="AC265" s="53" t="str">
        <f>'Other Costs'!$DF17</f>
        <v/>
      </c>
      <c r="AD265" s="53" t="str">
        <f>'Other Costs'!$DG17</f>
        <v/>
      </c>
      <c r="AE265" s="53" t="str">
        <f>'Other Costs'!$DH17</f>
        <v/>
      </c>
      <c r="AF265" s="53" t="str">
        <f>'Other Costs'!$DI17</f>
        <v/>
      </c>
      <c r="AG265" s="1009">
        <f>'Other Costs'!$DJ17</f>
        <v>0</v>
      </c>
      <c r="AH265" s="1009">
        <f>'Other Costs'!$DK17</f>
        <v>0</v>
      </c>
      <c r="AI265" s="1009">
        <f>'Other Costs'!$DL17</f>
        <v>0</v>
      </c>
      <c r="AJ265" s="1009">
        <f>'Other Costs'!$DM17</f>
        <v>0</v>
      </c>
      <c r="AK265" s="1009">
        <f>'Other Costs'!$DN17</f>
        <v>0</v>
      </c>
      <c r="AL265" s="1009">
        <f>'Other Costs'!$DO17</f>
        <v>0</v>
      </c>
      <c r="AM265" s="1007">
        <v>0</v>
      </c>
      <c r="AN265" s="1007">
        <v>0</v>
      </c>
      <c r="AO265" s="1007">
        <v>0</v>
      </c>
      <c r="AP265" s="1007">
        <v>0</v>
      </c>
      <c r="AQ265" s="1007">
        <v>0</v>
      </c>
      <c r="AR265" s="1016">
        <f t="shared" si="15"/>
        <v>0</v>
      </c>
    </row>
    <row r="266" spans="2:44" ht="15" customHeight="1">
      <c r="B266" s="2"/>
      <c r="C266"/>
      <c r="D266"/>
      <c r="E266"/>
      <c r="F266"/>
      <c r="G266"/>
      <c r="H266"/>
      <c r="I266"/>
      <c r="J266"/>
      <c r="K266"/>
      <c r="L266"/>
      <c r="M266"/>
      <c r="N266"/>
      <c r="O266"/>
      <c r="P266"/>
      <c r="Q266"/>
      <c r="AA266" s="1686"/>
      <c r="AB266" s="53" t="str">
        <f>'Other Costs'!$DE18</f>
        <v/>
      </c>
      <c r="AC266" s="53" t="str">
        <f>'Other Costs'!$DF18</f>
        <v/>
      </c>
      <c r="AD266" s="53" t="str">
        <f>'Other Costs'!$DG18</f>
        <v/>
      </c>
      <c r="AE266" s="53" t="str">
        <f>'Other Costs'!$DH18</f>
        <v/>
      </c>
      <c r="AF266" s="53" t="str">
        <f>'Other Costs'!$DI18</f>
        <v/>
      </c>
      <c r="AG266" s="1009">
        <f>'Other Costs'!$DJ18</f>
        <v>0</v>
      </c>
      <c r="AH266" s="1009">
        <f>'Other Costs'!$DK18</f>
        <v>0</v>
      </c>
      <c r="AI266" s="1009">
        <f>'Other Costs'!$DL18</f>
        <v>0</v>
      </c>
      <c r="AJ266" s="1009">
        <f>'Other Costs'!$DM18</f>
        <v>0</v>
      </c>
      <c r="AK266" s="1009">
        <f>'Other Costs'!$DN18</f>
        <v>0</v>
      </c>
      <c r="AL266" s="1009">
        <f>'Other Costs'!$DO18</f>
        <v>0</v>
      </c>
      <c r="AM266" s="1007">
        <v>0</v>
      </c>
      <c r="AN266" s="1007">
        <v>0</v>
      </c>
      <c r="AO266" s="1007">
        <v>0</v>
      </c>
      <c r="AP266" s="1007">
        <v>0</v>
      </c>
      <c r="AQ266" s="1007">
        <v>0</v>
      </c>
      <c r="AR266" s="1016">
        <f t="shared" si="15"/>
        <v>0</v>
      </c>
    </row>
    <row r="267" spans="2:44" ht="15" customHeight="1">
      <c r="B267" s="2"/>
      <c r="C267"/>
      <c r="D267"/>
      <c r="E267"/>
      <c r="F267"/>
      <c r="G267"/>
      <c r="H267"/>
      <c r="I267"/>
      <c r="J267"/>
      <c r="K267"/>
      <c r="L267"/>
      <c r="M267"/>
      <c r="N267"/>
      <c r="O267"/>
      <c r="P267"/>
      <c r="Q267"/>
      <c r="AA267" s="1686"/>
      <c r="AB267" s="53" t="str">
        <f>'Other Costs'!$DE19</f>
        <v/>
      </c>
      <c r="AC267" s="53" t="str">
        <f>'Other Costs'!$DF19</f>
        <v/>
      </c>
      <c r="AD267" s="53" t="str">
        <f>'Other Costs'!$DG19</f>
        <v/>
      </c>
      <c r="AE267" s="53" t="str">
        <f>'Other Costs'!$DH19</f>
        <v/>
      </c>
      <c r="AF267" s="53" t="str">
        <f>'Other Costs'!$DI19</f>
        <v/>
      </c>
      <c r="AG267" s="1009">
        <f>'Other Costs'!$DJ19</f>
        <v>0</v>
      </c>
      <c r="AH267" s="1009">
        <f>'Other Costs'!$DK19</f>
        <v>0</v>
      </c>
      <c r="AI267" s="1009">
        <f>'Other Costs'!$DL19</f>
        <v>0</v>
      </c>
      <c r="AJ267" s="1009">
        <f>'Other Costs'!$DM19</f>
        <v>0</v>
      </c>
      <c r="AK267" s="1009">
        <f>'Other Costs'!$DN19</f>
        <v>0</v>
      </c>
      <c r="AL267" s="1009">
        <f>'Other Costs'!$DO19</f>
        <v>0</v>
      </c>
      <c r="AM267" s="1007">
        <v>0</v>
      </c>
      <c r="AN267" s="1007">
        <v>0</v>
      </c>
      <c r="AO267" s="1007">
        <v>0</v>
      </c>
      <c r="AP267" s="1007">
        <v>0</v>
      </c>
      <c r="AQ267" s="1007">
        <v>0</v>
      </c>
      <c r="AR267" s="1016">
        <f t="shared" si="15"/>
        <v>0</v>
      </c>
    </row>
    <row r="268" spans="2:44" ht="15" customHeight="1">
      <c r="B268" s="2"/>
      <c r="C268"/>
      <c r="D268"/>
      <c r="E268"/>
      <c r="F268"/>
      <c r="G268"/>
      <c r="H268"/>
      <c r="I268"/>
      <c r="J268"/>
      <c r="K268"/>
      <c r="L268"/>
      <c r="M268"/>
      <c r="N268"/>
      <c r="O268"/>
      <c r="P268"/>
      <c r="Q268"/>
      <c r="AA268" s="1686"/>
      <c r="AB268" s="53" t="str">
        <f>'Other Costs'!$DE20</f>
        <v/>
      </c>
      <c r="AC268" s="53" t="str">
        <f>'Other Costs'!$DF20</f>
        <v/>
      </c>
      <c r="AD268" s="53" t="str">
        <f>'Other Costs'!$DG20</f>
        <v/>
      </c>
      <c r="AE268" s="53" t="str">
        <f>'Other Costs'!$DH20</f>
        <v/>
      </c>
      <c r="AF268" s="53" t="str">
        <f>'Other Costs'!$DI20</f>
        <v/>
      </c>
      <c r="AG268" s="1009">
        <f>'Other Costs'!$DJ20</f>
        <v>0</v>
      </c>
      <c r="AH268" s="1009">
        <f>'Other Costs'!$DK20</f>
        <v>0</v>
      </c>
      <c r="AI268" s="1009">
        <f>'Other Costs'!$DL20</f>
        <v>0</v>
      </c>
      <c r="AJ268" s="1009">
        <f>'Other Costs'!$DM20</f>
        <v>0</v>
      </c>
      <c r="AK268" s="1009">
        <f>'Other Costs'!$DN20</f>
        <v>0</v>
      </c>
      <c r="AL268" s="1009">
        <f>'Other Costs'!$DO20</f>
        <v>0</v>
      </c>
      <c r="AM268" s="1007">
        <v>0</v>
      </c>
      <c r="AN268" s="1007">
        <v>0</v>
      </c>
      <c r="AO268" s="1007">
        <v>0</v>
      </c>
      <c r="AP268" s="1007">
        <v>0</v>
      </c>
      <c r="AQ268" s="1007">
        <v>0</v>
      </c>
      <c r="AR268" s="1016">
        <f t="shared" si="15"/>
        <v>0</v>
      </c>
    </row>
    <row r="269" spans="2:44" ht="15" customHeight="1">
      <c r="B269" s="2"/>
      <c r="C269"/>
      <c r="D269"/>
      <c r="E269"/>
      <c r="F269"/>
      <c r="G269"/>
      <c r="H269"/>
      <c r="I269"/>
      <c r="J269"/>
      <c r="K269"/>
      <c r="L269"/>
      <c r="M269"/>
      <c r="N269"/>
      <c r="O269"/>
      <c r="P269"/>
      <c r="Q269"/>
      <c r="AA269" s="1686"/>
      <c r="AB269" s="53" t="str">
        <f>'Other Costs'!$DE21</f>
        <v/>
      </c>
      <c r="AC269" s="53" t="str">
        <f>'Other Costs'!$DF21</f>
        <v/>
      </c>
      <c r="AD269" s="53" t="str">
        <f>'Other Costs'!$DG21</f>
        <v/>
      </c>
      <c r="AE269" s="53" t="str">
        <f>'Other Costs'!$DH21</f>
        <v/>
      </c>
      <c r="AF269" s="53" t="str">
        <f>'Other Costs'!$DI21</f>
        <v/>
      </c>
      <c r="AG269" s="1009">
        <f>'Other Costs'!$DJ21</f>
        <v>0</v>
      </c>
      <c r="AH269" s="1009">
        <f>'Other Costs'!$DK21</f>
        <v>0</v>
      </c>
      <c r="AI269" s="1009">
        <f>'Other Costs'!$DL21</f>
        <v>0</v>
      </c>
      <c r="AJ269" s="1009">
        <f>'Other Costs'!$DM21</f>
        <v>0</v>
      </c>
      <c r="AK269" s="1009">
        <f>'Other Costs'!$DN21</f>
        <v>0</v>
      </c>
      <c r="AL269" s="1009">
        <f>'Other Costs'!$DO21</f>
        <v>0</v>
      </c>
      <c r="AM269" s="1007">
        <v>0</v>
      </c>
      <c r="AN269" s="1007">
        <v>0</v>
      </c>
      <c r="AO269" s="1007">
        <v>0</v>
      </c>
      <c r="AP269" s="1007">
        <v>0</v>
      </c>
      <c r="AQ269" s="1007">
        <v>0</v>
      </c>
      <c r="AR269" s="1016">
        <f t="shared" si="15"/>
        <v>0</v>
      </c>
    </row>
    <row r="270" spans="2:44" ht="15" customHeight="1">
      <c r="B270" s="2"/>
      <c r="C270"/>
      <c r="D270"/>
      <c r="E270"/>
      <c r="F270"/>
      <c r="G270"/>
      <c r="H270"/>
      <c r="I270"/>
      <c r="J270"/>
      <c r="K270"/>
      <c r="L270"/>
      <c r="M270"/>
      <c r="N270"/>
      <c r="O270"/>
      <c r="P270"/>
      <c r="Q270"/>
      <c r="AA270" s="1686"/>
      <c r="AB270" s="53" t="str">
        <f>'Other Costs'!$DE22</f>
        <v/>
      </c>
      <c r="AC270" s="53" t="str">
        <f>'Other Costs'!$DF22</f>
        <v/>
      </c>
      <c r="AD270" s="53" t="str">
        <f>'Other Costs'!$DG22</f>
        <v/>
      </c>
      <c r="AE270" s="53" t="str">
        <f>'Other Costs'!$DH22</f>
        <v/>
      </c>
      <c r="AF270" s="53" t="str">
        <f>'Other Costs'!$DI22</f>
        <v/>
      </c>
      <c r="AG270" s="1009">
        <f>'Other Costs'!$DJ22</f>
        <v>0</v>
      </c>
      <c r="AH270" s="1009">
        <f>'Other Costs'!$DK22</f>
        <v>0</v>
      </c>
      <c r="AI270" s="1009">
        <f>'Other Costs'!$DL22</f>
        <v>0</v>
      </c>
      <c r="AJ270" s="1009">
        <f>'Other Costs'!$DM22</f>
        <v>0</v>
      </c>
      <c r="AK270" s="1009">
        <f>'Other Costs'!$DN22</f>
        <v>0</v>
      </c>
      <c r="AL270" s="1009">
        <f>'Other Costs'!$DO22</f>
        <v>0</v>
      </c>
      <c r="AM270" s="1007">
        <v>0</v>
      </c>
      <c r="AN270" s="1007">
        <v>0</v>
      </c>
      <c r="AO270" s="1007">
        <v>0</v>
      </c>
      <c r="AP270" s="1007">
        <v>0</v>
      </c>
      <c r="AQ270" s="1007">
        <v>0</v>
      </c>
      <c r="AR270" s="1016">
        <f t="shared" si="15"/>
        <v>0</v>
      </c>
    </row>
    <row r="271" spans="2:44" ht="15" customHeight="1">
      <c r="B271" s="2"/>
      <c r="C271"/>
      <c r="D271"/>
      <c r="E271"/>
      <c r="F271"/>
      <c r="G271"/>
      <c r="H271"/>
      <c r="I271"/>
      <c r="J271"/>
      <c r="K271"/>
      <c r="L271"/>
      <c r="M271"/>
      <c r="N271"/>
      <c r="O271"/>
      <c r="P271"/>
      <c r="Q271"/>
      <c r="AA271" s="1686"/>
      <c r="AB271" s="53" t="str">
        <f>'Other Costs'!$DE23</f>
        <v/>
      </c>
      <c r="AC271" s="53" t="str">
        <f>'Other Costs'!$DF23</f>
        <v/>
      </c>
      <c r="AD271" s="53" t="str">
        <f>'Other Costs'!$DG23</f>
        <v/>
      </c>
      <c r="AE271" s="53" t="str">
        <f>'Other Costs'!$DH23</f>
        <v/>
      </c>
      <c r="AF271" s="53" t="str">
        <f>'Other Costs'!$DI23</f>
        <v/>
      </c>
      <c r="AG271" s="1009">
        <f>'Other Costs'!$DJ23</f>
        <v>0</v>
      </c>
      <c r="AH271" s="1009">
        <f>'Other Costs'!$DK23</f>
        <v>0</v>
      </c>
      <c r="AI271" s="1009">
        <f>'Other Costs'!$DL23</f>
        <v>0</v>
      </c>
      <c r="AJ271" s="1009">
        <f>'Other Costs'!$DM23</f>
        <v>0</v>
      </c>
      <c r="AK271" s="1009">
        <f>'Other Costs'!$DN23</f>
        <v>0</v>
      </c>
      <c r="AL271" s="1009">
        <f>'Other Costs'!$DO23</f>
        <v>0</v>
      </c>
      <c r="AM271" s="1007">
        <v>0</v>
      </c>
      <c r="AN271" s="1007">
        <v>0</v>
      </c>
      <c r="AO271" s="1007">
        <v>0</v>
      </c>
      <c r="AP271" s="1007">
        <v>0</v>
      </c>
      <c r="AQ271" s="1007">
        <v>0</v>
      </c>
      <c r="AR271" s="1016">
        <f t="shared" si="15"/>
        <v>0</v>
      </c>
    </row>
    <row r="272" spans="2:44" ht="15" customHeight="1">
      <c r="B272" s="2"/>
      <c r="C272"/>
      <c r="D272"/>
      <c r="E272"/>
      <c r="F272"/>
      <c r="G272"/>
      <c r="H272"/>
      <c r="I272"/>
      <c r="J272"/>
      <c r="K272"/>
      <c r="L272"/>
      <c r="M272"/>
      <c r="N272"/>
      <c r="O272"/>
      <c r="P272"/>
      <c r="Q272"/>
      <c r="AA272" s="1686"/>
      <c r="AB272" s="53" t="str">
        <f>'Other Costs'!$DE24</f>
        <v/>
      </c>
      <c r="AC272" s="53" t="str">
        <f>'Other Costs'!$DF24</f>
        <v/>
      </c>
      <c r="AD272" s="53" t="str">
        <f>'Other Costs'!$DG24</f>
        <v/>
      </c>
      <c r="AE272" s="53" t="str">
        <f>'Other Costs'!$DH24</f>
        <v/>
      </c>
      <c r="AF272" s="53" t="str">
        <f>'Other Costs'!$DI24</f>
        <v/>
      </c>
      <c r="AG272" s="1009">
        <f>'Other Costs'!$DJ24</f>
        <v>0</v>
      </c>
      <c r="AH272" s="1009">
        <f>'Other Costs'!$DK24</f>
        <v>0</v>
      </c>
      <c r="AI272" s="1009">
        <f>'Other Costs'!$DL24</f>
        <v>0</v>
      </c>
      <c r="AJ272" s="1009">
        <f>'Other Costs'!$DM24</f>
        <v>0</v>
      </c>
      <c r="AK272" s="1009">
        <f>'Other Costs'!$DN24</f>
        <v>0</v>
      </c>
      <c r="AL272" s="1009">
        <f>'Other Costs'!$DO24</f>
        <v>0</v>
      </c>
      <c r="AM272" s="1007">
        <v>0</v>
      </c>
      <c r="AN272" s="1007">
        <v>0</v>
      </c>
      <c r="AO272" s="1007">
        <v>0</v>
      </c>
      <c r="AP272" s="1007">
        <v>0</v>
      </c>
      <c r="AQ272" s="1007">
        <v>0</v>
      </c>
      <c r="AR272" s="1016">
        <f t="shared" si="15"/>
        <v>0</v>
      </c>
    </row>
    <row r="273" spans="2:44" ht="15" customHeight="1">
      <c r="B273" s="2"/>
      <c r="C273"/>
      <c r="D273"/>
      <c r="E273"/>
      <c r="F273"/>
      <c r="G273"/>
      <c r="H273"/>
      <c r="I273"/>
      <c r="J273"/>
      <c r="K273"/>
      <c r="L273"/>
      <c r="M273"/>
      <c r="N273"/>
      <c r="O273"/>
      <c r="P273"/>
      <c r="Q273"/>
      <c r="AA273" s="1686"/>
      <c r="AB273" s="53" t="str">
        <f>'Other Costs'!$DE25</f>
        <v/>
      </c>
      <c r="AC273" s="53" t="str">
        <f>'Other Costs'!$DF25</f>
        <v/>
      </c>
      <c r="AD273" s="53" t="str">
        <f>'Other Costs'!$DG25</f>
        <v/>
      </c>
      <c r="AE273" s="53" t="str">
        <f>'Other Costs'!$DH25</f>
        <v/>
      </c>
      <c r="AF273" s="53" t="str">
        <f>'Other Costs'!$DI25</f>
        <v/>
      </c>
      <c r="AG273" s="1009">
        <f>'Other Costs'!$DJ25</f>
        <v>0</v>
      </c>
      <c r="AH273" s="1009">
        <f>'Other Costs'!$DK25</f>
        <v>0</v>
      </c>
      <c r="AI273" s="1009">
        <f>'Other Costs'!$DL25</f>
        <v>0</v>
      </c>
      <c r="AJ273" s="1009">
        <f>'Other Costs'!$DM25</f>
        <v>0</v>
      </c>
      <c r="AK273" s="1009">
        <f>'Other Costs'!$DN25</f>
        <v>0</v>
      </c>
      <c r="AL273" s="1009">
        <f>'Other Costs'!$DO25</f>
        <v>0</v>
      </c>
      <c r="AM273" s="1007">
        <v>0</v>
      </c>
      <c r="AN273" s="1007">
        <v>0</v>
      </c>
      <c r="AO273" s="1007">
        <v>0</v>
      </c>
      <c r="AP273" s="1007">
        <v>0</v>
      </c>
      <c r="AQ273" s="1007">
        <v>0</v>
      </c>
      <c r="AR273" s="1016">
        <f t="shared" si="15"/>
        <v>0</v>
      </c>
    </row>
    <row r="274" spans="2:44" ht="15" customHeight="1">
      <c r="B274" s="2"/>
      <c r="C274"/>
      <c r="D274"/>
      <c r="E274"/>
      <c r="F274"/>
      <c r="G274"/>
      <c r="H274"/>
      <c r="I274"/>
      <c r="J274"/>
      <c r="K274"/>
      <c r="L274"/>
      <c r="M274"/>
      <c r="N274"/>
      <c r="O274"/>
      <c r="P274"/>
      <c r="Q274"/>
      <c r="AA274" s="1686"/>
      <c r="AB274" s="53" t="str">
        <f>'Other Costs'!$DE26</f>
        <v/>
      </c>
      <c r="AC274" s="53" t="str">
        <f>'Other Costs'!$DF26</f>
        <v/>
      </c>
      <c r="AD274" s="53" t="str">
        <f>'Other Costs'!$DG26</f>
        <v/>
      </c>
      <c r="AE274" s="53" t="str">
        <f>'Other Costs'!$DH26</f>
        <v/>
      </c>
      <c r="AF274" s="53" t="str">
        <f>'Other Costs'!$DI26</f>
        <v/>
      </c>
      <c r="AG274" s="1009">
        <f>'Other Costs'!$DJ26</f>
        <v>0</v>
      </c>
      <c r="AH274" s="1009">
        <f>'Other Costs'!$DK26</f>
        <v>0</v>
      </c>
      <c r="AI274" s="1009">
        <f>'Other Costs'!$DL26</f>
        <v>0</v>
      </c>
      <c r="AJ274" s="1009">
        <f>'Other Costs'!$DM26</f>
        <v>0</v>
      </c>
      <c r="AK274" s="1009">
        <f>'Other Costs'!$DN26</f>
        <v>0</v>
      </c>
      <c r="AL274" s="1009">
        <f>'Other Costs'!$DO26</f>
        <v>0</v>
      </c>
      <c r="AM274" s="1007">
        <v>0</v>
      </c>
      <c r="AN274" s="1007">
        <v>0</v>
      </c>
      <c r="AO274" s="1007">
        <v>0</v>
      </c>
      <c r="AP274" s="1007">
        <v>0</v>
      </c>
      <c r="AQ274" s="1007">
        <v>0</v>
      </c>
      <c r="AR274" s="1016">
        <f t="shared" si="15"/>
        <v>0</v>
      </c>
    </row>
    <row r="275" spans="2:44" ht="15" customHeight="1">
      <c r="B275" s="2"/>
      <c r="C275"/>
      <c r="D275"/>
      <c r="E275"/>
      <c r="F275"/>
      <c r="G275"/>
      <c r="H275"/>
      <c r="I275"/>
      <c r="J275"/>
      <c r="K275"/>
      <c r="L275"/>
      <c r="M275"/>
      <c r="N275"/>
      <c r="O275"/>
      <c r="P275"/>
      <c r="Q275"/>
      <c r="AA275" s="1686"/>
      <c r="AB275" s="53" t="str">
        <f>'Other Costs'!$DE27</f>
        <v/>
      </c>
      <c r="AC275" s="53" t="str">
        <f>'Other Costs'!$DF27</f>
        <v/>
      </c>
      <c r="AD275" s="53" t="str">
        <f>'Other Costs'!$DG27</f>
        <v/>
      </c>
      <c r="AE275" s="53" t="str">
        <f>'Other Costs'!$DH27</f>
        <v/>
      </c>
      <c r="AF275" s="53" t="str">
        <f>'Other Costs'!$DI27</f>
        <v/>
      </c>
      <c r="AG275" s="1009">
        <f>'Other Costs'!$DJ27</f>
        <v>0</v>
      </c>
      <c r="AH275" s="1009">
        <f>'Other Costs'!$DK27</f>
        <v>0</v>
      </c>
      <c r="AI275" s="1009">
        <f>'Other Costs'!$DL27</f>
        <v>0</v>
      </c>
      <c r="AJ275" s="1009">
        <f>'Other Costs'!$DM27</f>
        <v>0</v>
      </c>
      <c r="AK275" s="1009">
        <f>'Other Costs'!$DN27</f>
        <v>0</v>
      </c>
      <c r="AL275" s="1009">
        <f>'Other Costs'!$DO27</f>
        <v>0</v>
      </c>
      <c r="AM275" s="1007">
        <v>0</v>
      </c>
      <c r="AN275" s="1007">
        <v>0</v>
      </c>
      <c r="AO275" s="1007">
        <v>0</v>
      </c>
      <c r="AP275" s="1007">
        <v>0</v>
      </c>
      <c r="AQ275" s="1007">
        <v>0</v>
      </c>
      <c r="AR275" s="1016">
        <f t="shared" si="15"/>
        <v>0</v>
      </c>
    </row>
    <row r="276" spans="2:44" ht="15" customHeight="1">
      <c r="B276" s="2"/>
      <c r="C276"/>
      <c r="D276"/>
      <c r="E276"/>
      <c r="F276"/>
      <c r="G276"/>
      <c r="H276"/>
      <c r="I276"/>
      <c r="J276"/>
      <c r="K276"/>
      <c r="L276"/>
      <c r="M276"/>
      <c r="N276"/>
      <c r="O276"/>
      <c r="P276"/>
      <c r="Q276"/>
      <c r="AA276" s="1686"/>
      <c r="AB276" s="53" t="str">
        <f>'Other Costs'!$DE28</f>
        <v/>
      </c>
      <c r="AC276" s="53" t="str">
        <f>'Other Costs'!$DF28</f>
        <v/>
      </c>
      <c r="AD276" s="53" t="str">
        <f>'Other Costs'!$DG28</f>
        <v/>
      </c>
      <c r="AE276" s="53" t="str">
        <f>'Other Costs'!$DH28</f>
        <v/>
      </c>
      <c r="AF276" s="53" t="str">
        <f>'Other Costs'!$DI28</f>
        <v/>
      </c>
      <c r="AG276" s="1009">
        <f>'Other Costs'!$DJ28</f>
        <v>0</v>
      </c>
      <c r="AH276" s="1009">
        <f>'Other Costs'!$DK28</f>
        <v>0</v>
      </c>
      <c r="AI276" s="1009">
        <f>'Other Costs'!$DL28</f>
        <v>0</v>
      </c>
      <c r="AJ276" s="1009">
        <f>'Other Costs'!$DM28</f>
        <v>0</v>
      </c>
      <c r="AK276" s="1009">
        <f>'Other Costs'!$DN28</f>
        <v>0</v>
      </c>
      <c r="AL276" s="1009">
        <f>'Other Costs'!$DO28</f>
        <v>0</v>
      </c>
      <c r="AM276" s="1007">
        <v>0</v>
      </c>
      <c r="AN276" s="1007">
        <v>0</v>
      </c>
      <c r="AO276" s="1007">
        <v>0</v>
      </c>
      <c r="AP276" s="1007">
        <v>0</v>
      </c>
      <c r="AQ276" s="1007">
        <v>0</v>
      </c>
      <c r="AR276" s="1016">
        <f t="shared" si="15"/>
        <v>0</v>
      </c>
    </row>
    <row r="277" spans="2:44" ht="15" customHeight="1">
      <c r="B277" s="2"/>
      <c r="C277"/>
      <c r="D277"/>
      <c r="E277"/>
      <c r="F277"/>
      <c r="G277"/>
      <c r="H277"/>
      <c r="I277"/>
      <c r="J277"/>
      <c r="K277"/>
      <c r="L277"/>
      <c r="M277"/>
      <c r="N277"/>
      <c r="O277"/>
      <c r="P277"/>
      <c r="Q277"/>
      <c r="AA277" s="1686"/>
      <c r="AB277" s="53" t="str">
        <f>'Other Costs'!$DE29</f>
        <v/>
      </c>
      <c r="AC277" s="53" t="str">
        <f>'Other Costs'!$DF29</f>
        <v/>
      </c>
      <c r="AD277" s="53" t="str">
        <f>'Other Costs'!$DG29</f>
        <v/>
      </c>
      <c r="AE277" s="53" t="str">
        <f>'Other Costs'!$DH29</f>
        <v/>
      </c>
      <c r="AF277" s="53" t="str">
        <f>'Other Costs'!$DI29</f>
        <v/>
      </c>
      <c r="AG277" s="1009">
        <f>'Other Costs'!$DJ29</f>
        <v>0</v>
      </c>
      <c r="AH277" s="1009">
        <f>'Other Costs'!$DK29</f>
        <v>0</v>
      </c>
      <c r="AI277" s="1009">
        <f>'Other Costs'!$DL29</f>
        <v>0</v>
      </c>
      <c r="AJ277" s="1009">
        <f>'Other Costs'!$DM29</f>
        <v>0</v>
      </c>
      <c r="AK277" s="1009">
        <f>'Other Costs'!$DN29</f>
        <v>0</v>
      </c>
      <c r="AL277" s="1009">
        <f>'Other Costs'!$DO29</f>
        <v>0</v>
      </c>
      <c r="AM277" s="1007">
        <v>0</v>
      </c>
      <c r="AN277" s="1007">
        <v>0</v>
      </c>
      <c r="AO277" s="1007">
        <v>0</v>
      </c>
      <c r="AP277" s="1007">
        <v>0</v>
      </c>
      <c r="AQ277" s="1007">
        <v>0</v>
      </c>
      <c r="AR277" s="1016">
        <f t="shared" si="15"/>
        <v>0</v>
      </c>
    </row>
    <row r="278" spans="2:44" ht="15" customHeight="1">
      <c r="B278" s="2"/>
      <c r="C278"/>
      <c r="D278"/>
      <c r="E278"/>
      <c r="F278"/>
      <c r="G278"/>
      <c r="H278"/>
      <c r="I278"/>
      <c r="J278"/>
      <c r="K278"/>
      <c r="L278"/>
      <c r="M278"/>
      <c r="N278"/>
      <c r="O278"/>
      <c r="P278"/>
      <c r="Q278"/>
      <c r="AA278" s="1686"/>
      <c r="AB278" s="53" t="str">
        <f>'Other Costs'!$DE30</f>
        <v/>
      </c>
      <c r="AC278" s="53" t="str">
        <f>'Other Costs'!$DF30</f>
        <v/>
      </c>
      <c r="AD278" s="53" t="str">
        <f>'Other Costs'!$DG30</f>
        <v/>
      </c>
      <c r="AE278" s="53" t="str">
        <f>'Other Costs'!$DH30</f>
        <v/>
      </c>
      <c r="AF278" s="53" t="str">
        <f>'Other Costs'!$DI30</f>
        <v/>
      </c>
      <c r="AG278" s="1009">
        <f>'Other Costs'!$DJ30</f>
        <v>0</v>
      </c>
      <c r="AH278" s="1009">
        <f>'Other Costs'!$DK30</f>
        <v>0</v>
      </c>
      <c r="AI278" s="1009">
        <f>'Other Costs'!$DL30</f>
        <v>0</v>
      </c>
      <c r="AJ278" s="1009">
        <f>'Other Costs'!$DM30</f>
        <v>0</v>
      </c>
      <c r="AK278" s="1009">
        <f>'Other Costs'!$DN30</f>
        <v>0</v>
      </c>
      <c r="AL278" s="1009">
        <f>'Other Costs'!$DO30</f>
        <v>0</v>
      </c>
      <c r="AM278" s="1007">
        <v>0</v>
      </c>
      <c r="AN278" s="1007">
        <v>0</v>
      </c>
      <c r="AO278" s="1007">
        <v>0</v>
      </c>
      <c r="AP278" s="1007">
        <v>0</v>
      </c>
      <c r="AQ278" s="1007">
        <v>0</v>
      </c>
      <c r="AR278" s="1016">
        <f t="shared" si="15"/>
        <v>0</v>
      </c>
    </row>
    <row r="279" spans="2:44" ht="15" customHeight="1">
      <c r="B279" s="2"/>
      <c r="C279"/>
      <c r="D279"/>
      <c r="E279"/>
      <c r="F279"/>
      <c r="G279"/>
      <c r="H279"/>
      <c r="I279"/>
      <c r="J279"/>
      <c r="K279"/>
      <c r="L279"/>
      <c r="M279"/>
      <c r="N279"/>
      <c r="O279"/>
      <c r="P279"/>
      <c r="Q279"/>
      <c r="AA279" s="1686"/>
      <c r="AB279" s="53" t="str">
        <f>'Other Costs'!$DE31</f>
        <v/>
      </c>
      <c r="AC279" s="53" t="str">
        <f>'Other Costs'!$DF31</f>
        <v/>
      </c>
      <c r="AD279" s="53" t="str">
        <f>'Other Costs'!$DG31</f>
        <v/>
      </c>
      <c r="AE279" s="53" t="str">
        <f>'Other Costs'!$DH31</f>
        <v/>
      </c>
      <c r="AF279" s="53" t="str">
        <f>'Other Costs'!$DI31</f>
        <v/>
      </c>
      <c r="AG279" s="1009">
        <f>'Other Costs'!$DJ31</f>
        <v>0</v>
      </c>
      <c r="AH279" s="1009">
        <f>'Other Costs'!$DK31</f>
        <v>0</v>
      </c>
      <c r="AI279" s="1009">
        <f>'Other Costs'!$DL31</f>
        <v>0</v>
      </c>
      <c r="AJ279" s="1009">
        <f>'Other Costs'!$DM31</f>
        <v>0</v>
      </c>
      <c r="AK279" s="1009">
        <f>'Other Costs'!$DN31</f>
        <v>0</v>
      </c>
      <c r="AL279" s="1009">
        <f>'Other Costs'!$DO31</f>
        <v>0</v>
      </c>
      <c r="AM279" s="1007">
        <v>0</v>
      </c>
      <c r="AN279" s="1007">
        <v>0</v>
      </c>
      <c r="AO279" s="1007">
        <v>0</v>
      </c>
      <c r="AP279" s="1007">
        <v>0</v>
      </c>
      <c r="AQ279" s="1007">
        <v>0</v>
      </c>
      <c r="AR279" s="1016">
        <f t="shared" si="15"/>
        <v>0</v>
      </c>
    </row>
    <row r="280" spans="2:44" ht="15" customHeight="1">
      <c r="B280" s="2"/>
      <c r="C280"/>
      <c r="D280"/>
      <c r="E280"/>
      <c r="F280"/>
      <c r="G280"/>
      <c r="H280"/>
      <c r="I280"/>
      <c r="J280"/>
      <c r="K280"/>
      <c r="L280"/>
      <c r="M280"/>
      <c r="N280"/>
      <c r="O280"/>
      <c r="P280"/>
      <c r="Q280"/>
      <c r="AA280" s="1686"/>
      <c r="AB280" s="53" t="str">
        <f>'Other Costs'!$DE32</f>
        <v/>
      </c>
      <c r="AC280" s="53" t="str">
        <f>'Other Costs'!$DF32</f>
        <v/>
      </c>
      <c r="AD280" s="53" t="str">
        <f>'Other Costs'!$DG32</f>
        <v/>
      </c>
      <c r="AE280" s="53" t="str">
        <f>'Other Costs'!$DH32</f>
        <v/>
      </c>
      <c r="AF280" s="53" t="str">
        <f>'Other Costs'!$DI32</f>
        <v/>
      </c>
      <c r="AG280" s="1009">
        <f>'Other Costs'!$DJ32</f>
        <v>0</v>
      </c>
      <c r="AH280" s="1009">
        <f>'Other Costs'!$DK32</f>
        <v>0</v>
      </c>
      <c r="AI280" s="1009">
        <f>'Other Costs'!$DL32</f>
        <v>0</v>
      </c>
      <c r="AJ280" s="1009">
        <f>'Other Costs'!$DM32</f>
        <v>0</v>
      </c>
      <c r="AK280" s="1009">
        <f>'Other Costs'!$DN32</f>
        <v>0</v>
      </c>
      <c r="AL280" s="1009">
        <f>'Other Costs'!$DO32</f>
        <v>0</v>
      </c>
      <c r="AM280" s="1007">
        <v>0</v>
      </c>
      <c r="AN280" s="1007">
        <v>0</v>
      </c>
      <c r="AO280" s="1007">
        <v>0</v>
      </c>
      <c r="AP280" s="1007">
        <v>0</v>
      </c>
      <c r="AQ280" s="1007">
        <v>0</v>
      </c>
      <c r="AR280" s="1016">
        <f t="shared" si="15"/>
        <v>0</v>
      </c>
    </row>
    <row r="281" spans="2:44" ht="15" customHeight="1">
      <c r="B281" s="2"/>
      <c r="C281"/>
      <c r="D281"/>
      <c r="E281"/>
      <c r="F281"/>
      <c r="G281"/>
      <c r="H281"/>
      <c r="I281"/>
      <c r="J281"/>
      <c r="K281"/>
      <c r="L281"/>
      <c r="M281"/>
      <c r="N281"/>
      <c r="O281"/>
      <c r="P281"/>
      <c r="Q281"/>
      <c r="AA281" s="1686"/>
      <c r="AB281" s="53" t="str">
        <f>'Other Costs'!$DE33</f>
        <v/>
      </c>
      <c r="AC281" s="53" t="str">
        <f>'Other Costs'!$DF33</f>
        <v/>
      </c>
      <c r="AD281" s="53" t="str">
        <f>'Other Costs'!$DG33</f>
        <v/>
      </c>
      <c r="AE281" s="53" t="str">
        <f>'Other Costs'!$DH33</f>
        <v/>
      </c>
      <c r="AF281" s="53" t="str">
        <f>'Other Costs'!$DI33</f>
        <v/>
      </c>
      <c r="AG281" s="1009">
        <f>'Other Costs'!$DJ33</f>
        <v>0</v>
      </c>
      <c r="AH281" s="1009">
        <f>'Other Costs'!$DK33</f>
        <v>0</v>
      </c>
      <c r="AI281" s="1009">
        <f>'Other Costs'!$DL33</f>
        <v>0</v>
      </c>
      <c r="AJ281" s="1009">
        <f>'Other Costs'!$DM33</f>
        <v>0</v>
      </c>
      <c r="AK281" s="1009">
        <f>'Other Costs'!$DN33</f>
        <v>0</v>
      </c>
      <c r="AL281" s="1009">
        <f>'Other Costs'!$DO33</f>
        <v>0</v>
      </c>
      <c r="AM281" s="1007">
        <v>0</v>
      </c>
      <c r="AN281" s="1007">
        <v>0</v>
      </c>
      <c r="AO281" s="1007">
        <v>0</v>
      </c>
      <c r="AP281" s="1007">
        <v>0</v>
      </c>
      <c r="AQ281" s="1007">
        <v>0</v>
      </c>
      <c r="AR281" s="1016">
        <f t="shared" si="15"/>
        <v>0</v>
      </c>
    </row>
    <row r="282" spans="2:44" ht="15" customHeight="1">
      <c r="B282" s="2"/>
      <c r="C282"/>
      <c r="D282"/>
      <c r="E282"/>
      <c r="F282"/>
      <c r="G282"/>
      <c r="H282"/>
      <c r="I282"/>
      <c r="J282"/>
      <c r="K282"/>
      <c r="L282"/>
      <c r="M282"/>
      <c r="N282"/>
      <c r="O282"/>
      <c r="P282"/>
      <c r="Q282"/>
      <c r="AA282" s="1686"/>
      <c r="AB282" s="53" t="str">
        <f>'Other Costs'!$DE34</f>
        <v/>
      </c>
      <c r="AC282" s="53" t="str">
        <f>'Other Costs'!$DF34</f>
        <v/>
      </c>
      <c r="AD282" s="53" t="str">
        <f>'Other Costs'!$DG34</f>
        <v/>
      </c>
      <c r="AE282" s="53" t="str">
        <f>'Other Costs'!$DH34</f>
        <v/>
      </c>
      <c r="AF282" s="53" t="str">
        <f>'Other Costs'!$DI34</f>
        <v/>
      </c>
      <c r="AG282" s="1009">
        <f>'Other Costs'!$DJ34</f>
        <v>0</v>
      </c>
      <c r="AH282" s="1009">
        <f>'Other Costs'!$DK34</f>
        <v>0</v>
      </c>
      <c r="AI282" s="1009">
        <f>'Other Costs'!$DL34</f>
        <v>0</v>
      </c>
      <c r="AJ282" s="1009">
        <f>'Other Costs'!$DM34</f>
        <v>0</v>
      </c>
      <c r="AK282" s="1009">
        <f>'Other Costs'!$DN34</f>
        <v>0</v>
      </c>
      <c r="AL282" s="1009">
        <f>'Other Costs'!$DO34</f>
        <v>0</v>
      </c>
      <c r="AM282" s="1007">
        <v>0</v>
      </c>
      <c r="AN282" s="1007">
        <v>0</v>
      </c>
      <c r="AO282" s="1007">
        <v>0</v>
      </c>
      <c r="AP282" s="1007">
        <v>0</v>
      </c>
      <c r="AQ282" s="1007">
        <v>0</v>
      </c>
      <c r="AR282" s="1016">
        <f t="shared" si="15"/>
        <v>0</v>
      </c>
    </row>
    <row r="283" spans="2:44" ht="15" customHeight="1">
      <c r="B283" s="2"/>
      <c r="C283"/>
      <c r="D283"/>
      <c r="E283"/>
      <c r="F283"/>
      <c r="G283"/>
      <c r="H283"/>
      <c r="I283"/>
      <c r="J283"/>
      <c r="K283"/>
      <c r="L283"/>
      <c r="M283"/>
      <c r="N283"/>
      <c r="O283"/>
      <c r="P283"/>
      <c r="Q283"/>
      <c r="AA283" s="1686"/>
      <c r="AB283" s="53" t="str">
        <f>'Other Costs'!$DE35</f>
        <v/>
      </c>
      <c r="AC283" s="53" t="str">
        <f>'Other Costs'!$DF35</f>
        <v/>
      </c>
      <c r="AD283" s="53" t="str">
        <f>'Other Costs'!$DG35</f>
        <v/>
      </c>
      <c r="AE283" s="53" t="str">
        <f>'Other Costs'!$DH35</f>
        <v/>
      </c>
      <c r="AF283" s="53" t="str">
        <f>'Other Costs'!$DI35</f>
        <v/>
      </c>
      <c r="AG283" s="1009">
        <f>'Other Costs'!$DJ35</f>
        <v>0</v>
      </c>
      <c r="AH283" s="1009">
        <f>'Other Costs'!$DK35</f>
        <v>0</v>
      </c>
      <c r="AI283" s="1009">
        <f>'Other Costs'!$DL35</f>
        <v>0</v>
      </c>
      <c r="AJ283" s="1009">
        <f>'Other Costs'!$DM35</f>
        <v>0</v>
      </c>
      <c r="AK283" s="1009">
        <f>'Other Costs'!$DN35</f>
        <v>0</v>
      </c>
      <c r="AL283" s="1009">
        <f>'Other Costs'!$DO35</f>
        <v>0</v>
      </c>
      <c r="AM283" s="1007">
        <v>0</v>
      </c>
      <c r="AN283" s="1007">
        <v>0</v>
      </c>
      <c r="AO283" s="1007">
        <v>0</v>
      </c>
      <c r="AP283" s="1007">
        <v>0</v>
      </c>
      <c r="AQ283" s="1007">
        <v>0</v>
      </c>
      <c r="AR283" s="1016">
        <f t="shared" si="15"/>
        <v>0</v>
      </c>
    </row>
    <row r="284" spans="2:44" ht="15" customHeight="1">
      <c r="B284" s="2"/>
      <c r="C284"/>
      <c r="D284"/>
      <c r="E284"/>
      <c r="F284"/>
      <c r="G284"/>
      <c r="H284"/>
      <c r="I284"/>
      <c r="J284"/>
      <c r="K284"/>
      <c r="L284"/>
      <c r="M284"/>
      <c r="N284"/>
      <c r="O284"/>
      <c r="P284"/>
      <c r="Q284"/>
      <c r="AA284" s="1686"/>
      <c r="AB284" s="53" t="str">
        <f>'Other Costs'!$DE36</f>
        <v/>
      </c>
      <c r="AC284" s="53" t="str">
        <f>'Other Costs'!$DF36</f>
        <v/>
      </c>
      <c r="AD284" s="53" t="str">
        <f>'Other Costs'!$DG36</f>
        <v/>
      </c>
      <c r="AE284" s="53" t="str">
        <f>'Other Costs'!$DH36</f>
        <v/>
      </c>
      <c r="AF284" s="53" t="str">
        <f>'Other Costs'!$DI36</f>
        <v/>
      </c>
      <c r="AG284" s="1009">
        <f>'Other Costs'!$DJ36</f>
        <v>0</v>
      </c>
      <c r="AH284" s="1009">
        <f>'Other Costs'!$DK36</f>
        <v>0</v>
      </c>
      <c r="AI284" s="1009">
        <f>'Other Costs'!$DL36</f>
        <v>0</v>
      </c>
      <c r="AJ284" s="1009">
        <f>'Other Costs'!$DM36</f>
        <v>0</v>
      </c>
      <c r="AK284" s="1009">
        <f>'Other Costs'!$DN36</f>
        <v>0</v>
      </c>
      <c r="AL284" s="1009">
        <f>'Other Costs'!$DO36</f>
        <v>0</v>
      </c>
      <c r="AM284" s="1007">
        <v>0</v>
      </c>
      <c r="AN284" s="1007">
        <v>0</v>
      </c>
      <c r="AO284" s="1007">
        <v>0</v>
      </c>
      <c r="AP284" s="1007">
        <v>0</v>
      </c>
      <c r="AQ284" s="1007">
        <v>0</v>
      </c>
      <c r="AR284" s="1016">
        <f t="shared" si="15"/>
        <v>0</v>
      </c>
    </row>
    <row r="285" spans="2:44" ht="15" customHeight="1">
      <c r="B285" s="2"/>
      <c r="C285"/>
      <c r="D285"/>
      <c r="E285"/>
      <c r="F285"/>
      <c r="G285"/>
      <c r="H285"/>
      <c r="I285"/>
      <c r="J285"/>
      <c r="K285"/>
      <c r="L285"/>
      <c r="M285"/>
      <c r="N285"/>
      <c r="O285"/>
      <c r="P285"/>
      <c r="Q285"/>
      <c r="AA285" s="1686"/>
      <c r="AB285" s="53" t="str">
        <f>'Other Costs'!$DE37</f>
        <v/>
      </c>
      <c r="AC285" s="53" t="str">
        <f>'Other Costs'!$DF37</f>
        <v/>
      </c>
      <c r="AD285" s="53" t="str">
        <f>'Other Costs'!$DG37</f>
        <v/>
      </c>
      <c r="AE285" s="53" t="str">
        <f>'Other Costs'!$DH37</f>
        <v/>
      </c>
      <c r="AF285" s="53" t="str">
        <f>'Other Costs'!$DI37</f>
        <v/>
      </c>
      <c r="AG285" s="1009">
        <f>'Other Costs'!$DJ37</f>
        <v>0</v>
      </c>
      <c r="AH285" s="1009">
        <f>'Other Costs'!$DK37</f>
        <v>0</v>
      </c>
      <c r="AI285" s="1009">
        <f>'Other Costs'!$DL37</f>
        <v>0</v>
      </c>
      <c r="AJ285" s="1009">
        <f>'Other Costs'!$DM37</f>
        <v>0</v>
      </c>
      <c r="AK285" s="1009">
        <f>'Other Costs'!$DN37</f>
        <v>0</v>
      </c>
      <c r="AL285" s="1009">
        <f>'Other Costs'!$DO37</f>
        <v>0</v>
      </c>
      <c r="AM285" s="1007">
        <v>0</v>
      </c>
      <c r="AN285" s="1007">
        <v>0</v>
      </c>
      <c r="AO285" s="1007">
        <v>0</v>
      </c>
      <c r="AP285" s="1007">
        <v>0</v>
      </c>
      <c r="AQ285" s="1007">
        <v>0</v>
      </c>
      <c r="AR285" s="1016">
        <f t="shared" si="15"/>
        <v>0</v>
      </c>
    </row>
    <row r="286" spans="2:44" ht="15" customHeight="1">
      <c r="B286" s="2"/>
      <c r="C286"/>
      <c r="D286"/>
      <c r="E286"/>
      <c r="F286"/>
      <c r="G286"/>
      <c r="H286"/>
      <c r="I286"/>
      <c r="J286"/>
      <c r="K286"/>
      <c r="L286"/>
      <c r="M286"/>
      <c r="N286"/>
      <c r="O286"/>
      <c r="P286"/>
      <c r="Q286"/>
      <c r="AA286" s="1686"/>
      <c r="AB286" s="53" t="str">
        <f>'Other Costs'!$DE38</f>
        <v/>
      </c>
      <c r="AC286" s="53" t="str">
        <f>'Other Costs'!$DF38</f>
        <v/>
      </c>
      <c r="AD286" s="53" t="str">
        <f>'Other Costs'!$DG38</f>
        <v/>
      </c>
      <c r="AE286" s="53" t="str">
        <f>'Other Costs'!$DH38</f>
        <v/>
      </c>
      <c r="AF286" s="53" t="str">
        <f>'Other Costs'!$DI38</f>
        <v/>
      </c>
      <c r="AG286" s="1009">
        <f>'Other Costs'!$DJ38</f>
        <v>0</v>
      </c>
      <c r="AH286" s="1009">
        <f>'Other Costs'!$DK38</f>
        <v>0</v>
      </c>
      <c r="AI286" s="1009">
        <f>'Other Costs'!$DL38</f>
        <v>0</v>
      </c>
      <c r="AJ286" s="1009">
        <f>'Other Costs'!$DM38</f>
        <v>0</v>
      </c>
      <c r="AK286" s="1009">
        <f>'Other Costs'!$DN38</f>
        <v>0</v>
      </c>
      <c r="AL286" s="1009">
        <f>'Other Costs'!$DO38</f>
        <v>0</v>
      </c>
      <c r="AM286" s="1007">
        <v>0</v>
      </c>
      <c r="AN286" s="1007">
        <v>0</v>
      </c>
      <c r="AO286" s="1007">
        <v>0</v>
      </c>
      <c r="AP286" s="1007">
        <v>0</v>
      </c>
      <c r="AQ286" s="1007">
        <v>0</v>
      </c>
      <c r="AR286" s="1016">
        <f t="shared" si="15"/>
        <v>0</v>
      </c>
    </row>
    <row r="287" spans="2:44" ht="15" customHeight="1">
      <c r="B287" s="2"/>
      <c r="C287"/>
      <c r="D287"/>
      <c r="E287"/>
      <c r="F287"/>
      <c r="G287"/>
      <c r="H287"/>
      <c r="I287"/>
      <c r="J287"/>
      <c r="K287"/>
      <c r="L287"/>
      <c r="M287"/>
      <c r="N287"/>
      <c r="O287"/>
      <c r="P287"/>
      <c r="Q287"/>
      <c r="AA287" s="1686"/>
      <c r="AB287" s="53" t="str">
        <f>'Other Costs'!$DE39</f>
        <v/>
      </c>
      <c r="AC287" s="53" t="str">
        <f>'Other Costs'!$DF39</f>
        <v/>
      </c>
      <c r="AD287" s="53" t="str">
        <f>'Other Costs'!$DG39</f>
        <v/>
      </c>
      <c r="AE287" s="53" t="str">
        <f>'Other Costs'!$DH39</f>
        <v/>
      </c>
      <c r="AF287" s="53" t="str">
        <f>'Other Costs'!$DI39</f>
        <v/>
      </c>
      <c r="AG287" s="1009">
        <f>'Other Costs'!$DJ39</f>
        <v>0</v>
      </c>
      <c r="AH287" s="1009">
        <f>'Other Costs'!$DK39</f>
        <v>0</v>
      </c>
      <c r="AI287" s="1009">
        <f>'Other Costs'!$DL39</f>
        <v>0</v>
      </c>
      <c r="AJ287" s="1009">
        <f>'Other Costs'!$DM39</f>
        <v>0</v>
      </c>
      <c r="AK287" s="1009">
        <f>'Other Costs'!$DN39</f>
        <v>0</v>
      </c>
      <c r="AL287" s="1009">
        <f>'Other Costs'!$DO39</f>
        <v>0</v>
      </c>
      <c r="AM287" s="1007">
        <v>0</v>
      </c>
      <c r="AN287" s="1007">
        <v>0</v>
      </c>
      <c r="AO287" s="1007">
        <v>0</v>
      </c>
      <c r="AP287" s="1007">
        <v>0</v>
      </c>
      <c r="AQ287" s="1007">
        <v>0</v>
      </c>
      <c r="AR287" s="1016">
        <f t="shared" si="15"/>
        <v>0</v>
      </c>
    </row>
    <row r="288" spans="2:44" ht="15" customHeight="1">
      <c r="B288" s="2"/>
      <c r="C288"/>
      <c r="D288"/>
      <c r="E288"/>
      <c r="F288"/>
      <c r="G288"/>
      <c r="H288"/>
      <c r="I288"/>
      <c r="J288"/>
      <c r="K288"/>
      <c r="L288"/>
      <c r="M288"/>
      <c r="N288"/>
      <c r="O288"/>
      <c r="P288"/>
      <c r="Q288"/>
      <c r="AA288" s="1686"/>
      <c r="AB288" s="53" t="str">
        <f>'Other Costs'!$DE40</f>
        <v/>
      </c>
      <c r="AC288" s="53" t="str">
        <f>'Other Costs'!$DF40</f>
        <v/>
      </c>
      <c r="AD288" s="53" t="str">
        <f>'Other Costs'!$DG40</f>
        <v/>
      </c>
      <c r="AE288" s="53" t="str">
        <f>'Other Costs'!$DH40</f>
        <v/>
      </c>
      <c r="AF288" s="53" t="str">
        <f>'Other Costs'!$DI40</f>
        <v/>
      </c>
      <c r="AG288" s="1009">
        <f>'Other Costs'!$DJ40</f>
        <v>0</v>
      </c>
      <c r="AH288" s="1009">
        <f>'Other Costs'!$DK40</f>
        <v>0</v>
      </c>
      <c r="AI288" s="1009">
        <f>'Other Costs'!$DL40</f>
        <v>0</v>
      </c>
      <c r="AJ288" s="1009">
        <f>'Other Costs'!$DM40</f>
        <v>0</v>
      </c>
      <c r="AK288" s="1009">
        <f>'Other Costs'!$DN40</f>
        <v>0</v>
      </c>
      <c r="AL288" s="1009">
        <f>'Other Costs'!$DO40</f>
        <v>0</v>
      </c>
      <c r="AM288" s="1007">
        <v>0</v>
      </c>
      <c r="AN288" s="1007">
        <v>0</v>
      </c>
      <c r="AO288" s="1007">
        <v>0</v>
      </c>
      <c r="AP288" s="1007">
        <v>0</v>
      </c>
      <c r="AQ288" s="1007">
        <v>0</v>
      </c>
      <c r="AR288" s="1016">
        <f t="shared" si="15"/>
        <v>0</v>
      </c>
    </row>
    <row r="289" spans="2:44" ht="15" customHeight="1">
      <c r="B289" s="2"/>
      <c r="C289"/>
      <c r="D289"/>
      <c r="E289"/>
      <c r="F289"/>
      <c r="G289"/>
      <c r="H289"/>
      <c r="I289"/>
      <c r="J289"/>
      <c r="K289"/>
      <c r="L289"/>
      <c r="M289"/>
      <c r="N289"/>
      <c r="O289"/>
      <c r="P289"/>
      <c r="Q289"/>
      <c r="AA289" s="1686"/>
      <c r="AB289" s="53" t="str">
        <f>'Other Costs'!$DE41</f>
        <v/>
      </c>
      <c r="AC289" s="53" t="str">
        <f>'Other Costs'!$DF41</f>
        <v/>
      </c>
      <c r="AD289" s="53" t="str">
        <f>'Other Costs'!$DG41</f>
        <v/>
      </c>
      <c r="AE289" s="53" t="str">
        <f>'Other Costs'!$DH41</f>
        <v/>
      </c>
      <c r="AF289" s="53" t="str">
        <f>'Other Costs'!$DI41</f>
        <v/>
      </c>
      <c r="AG289" s="1009">
        <f>'Other Costs'!$DJ41</f>
        <v>0</v>
      </c>
      <c r="AH289" s="1009">
        <f>'Other Costs'!$DK41</f>
        <v>0</v>
      </c>
      <c r="AI289" s="1009">
        <f>'Other Costs'!$DL41</f>
        <v>0</v>
      </c>
      <c r="AJ289" s="1009">
        <f>'Other Costs'!$DM41</f>
        <v>0</v>
      </c>
      <c r="AK289" s="1009">
        <f>'Other Costs'!$DN41</f>
        <v>0</v>
      </c>
      <c r="AL289" s="1009">
        <f>'Other Costs'!$DO41</f>
        <v>0</v>
      </c>
      <c r="AM289" s="1007">
        <v>0</v>
      </c>
      <c r="AN289" s="1007">
        <v>0</v>
      </c>
      <c r="AO289" s="1007">
        <v>0</v>
      </c>
      <c r="AP289" s="1007">
        <v>0</v>
      </c>
      <c r="AQ289" s="1007">
        <v>0</v>
      </c>
      <c r="AR289" s="1016">
        <f t="shared" si="15"/>
        <v>0</v>
      </c>
    </row>
    <row r="290" spans="2:44" ht="15" customHeight="1">
      <c r="B290" s="2"/>
      <c r="C290"/>
      <c r="D290"/>
      <c r="E290"/>
      <c r="F290"/>
      <c r="G290"/>
      <c r="H290"/>
      <c r="I290"/>
      <c r="J290"/>
      <c r="K290"/>
      <c r="L290"/>
      <c r="M290"/>
      <c r="N290"/>
      <c r="O290"/>
      <c r="P290"/>
      <c r="Q290"/>
      <c r="AA290" s="1686"/>
      <c r="AB290" s="53" t="str">
        <f>'Other Costs'!$DE42</f>
        <v/>
      </c>
      <c r="AC290" s="53" t="str">
        <f>'Other Costs'!$DF42</f>
        <v/>
      </c>
      <c r="AD290" s="53" t="str">
        <f>'Other Costs'!$DG42</f>
        <v/>
      </c>
      <c r="AE290" s="53" t="str">
        <f>'Other Costs'!$DH42</f>
        <v/>
      </c>
      <c r="AF290" s="53" t="str">
        <f>'Other Costs'!$DI42</f>
        <v/>
      </c>
      <c r="AG290" s="1009">
        <f>'Other Costs'!$DJ42</f>
        <v>0</v>
      </c>
      <c r="AH290" s="1009">
        <f>'Other Costs'!$DK42</f>
        <v>0</v>
      </c>
      <c r="AI290" s="1009">
        <f>'Other Costs'!$DL42</f>
        <v>0</v>
      </c>
      <c r="AJ290" s="1009">
        <f>'Other Costs'!$DM42</f>
        <v>0</v>
      </c>
      <c r="AK290" s="1009">
        <f>'Other Costs'!$DN42</f>
        <v>0</v>
      </c>
      <c r="AL290" s="1009">
        <f>'Other Costs'!$DO42</f>
        <v>0</v>
      </c>
      <c r="AM290" s="1007">
        <v>0</v>
      </c>
      <c r="AN290" s="1007">
        <v>0</v>
      </c>
      <c r="AO290" s="1007">
        <v>0</v>
      </c>
      <c r="AP290" s="1007">
        <v>0</v>
      </c>
      <c r="AQ290" s="1007">
        <v>0</v>
      </c>
      <c r="AR290" s="1016">
        <f t="shared" si="15"/>
        <v>0</v>
      </c>
    </row>
    <row r="291" spans="2:44" ht="15" customHeight="1">
      <c r="B291" s="2"/>
      <c r="C291"/>
      <c r="D291"/>
      <c r="E291"/>
      <c r="F291"/>
      <c r="G291"/>
      <c r="H291"/>
      <c r="I291"/>
      <c r="J291"/>
      <c r="K291"/>
      <c r="L291"/>
      <c r="M291"/>
      <c r="N291"/>
      <c r="O291"/>
      <c r="P291"/>
      <c r="Q291"/>
      <c r="AA291" s="1686"/>
      <c r="AB291" s="53" t="str">
        <f>'Other Costs'!$DE43</f>
        <v/>
      </c>
      <c r="AC291" s="53" t="str">
        <f>'Other Costs'!$DF43</f>
        <v/>
      </c>
      <c r="AD291" s="53" t="str">
        <f>'Other Costs'!$DG43</f>
        <v/>
      </c>
      <c r="AE291" s="53" t="str">
        <f>'Other Costs'!$DH43</f>
        <v/>
      </c>
      <c r="AF291" s="53" t="str">
        <f>'Other Costs'!$DI43</f>
        <v/>
      </c>
      <c r="AG291" s="1009">
        <f>'Other Costs'!$DJ43</f>
        <v>0</v>
      </c>
      <c r="AH291" s="1009">
        <f>'Other Costs'!$DK43</f>
        <v>0</v>
      </c>
      <c r="AI291" s="1009">
        <f>'Other Costs'!$DL43</f>
        <v>0</v>
      </c>
      <c r="AJ291" s="1009">
        <f>'Other Costs'!$DM43</f>
        <v>0</v>
      </c>
      <c r="AK291" s="1009">
        <f>'Other Costs'!$DN43</f>
        <v>0</v>
      </c>
      <c r="AL291" s="1009">
        <f>'Other Costs'!$DO43</f>
        <v>0</v>
      </c>
      <c r="AM291" s="1007">
        <v>0</v>
      </c>
      <c r="AN291" s="1007">
        <v>0</v>
      </c>
      <c r="AO291" s="1007">
        <v>0</v>
      </c>
      <c r="AP291" s="1007">
        <v>0</v>
      </c>
      <c r="AQ291" s="1007">
        <v>0</v>
      </c>
      <c r="AR291" s="1016">
        <f t="shared" si="15"/>
        <v>0</v>
      </c>
    </row>
    <row r="292" spans="2:44" ht="15" customHeight="1">
      <c r="B292" s="2"/>
      <c r="C292"/>
      <c r="D292"/>
      <c r="E292"/>
      <c r="F292"/>
      <c r="G292"/>
      <c r="H292"/>
      <c r="I292"/>
      <c r="J292"/>
      <c r="K292"/>
      <c r="L292"/>
      <c r="M292"/>
      <c r="N292"/>
      <c r="O292"/>
      <c r="P292"/>
      <c r="Q292"/>
      <c r="AA292" s="1686"/>
      <c r="AB292" s="53" t="str">
        <f>'Other Costs'!$DE44</f>
        <v/>
      </c>
      <c r="AC292" s="53" t="str">
        <f>'Other Costs'!$DF44</f>
        <v/>
      </c>
      <c r="AD292" s="53" t="str">
        <f>'Other Costs'!$DG44</f>
        <v/>
      </c>
      <c r="AE292" s="53" t="str">
        <f>'Other Costs'!$DH44</f>
        <v/>
      </c>
      <c r="AF292" s="53" t="str">
        <f>'Other Costs'!$DI44</f>
        <v/>
      </c>
      <c r="AG292" s="1009">
        <f>'Other Costs'!$DJ44</f>
        <v>0</v>
      </c>
      <c r="AH292" s="1009">
        <f>'Other Costs'!$DK44</f>
        <v>0</v>
      </c>
      <c r="AI292" s="1009">
        <f>'Other Costs'!$DL44</f>
        <v>0</v>
      </c>
      <c r="AJ292" s="1009">
        <f>'Other Costs'!$DM44</f>
        <v>0</v>
      </c>
      <c r="AK292" s="1009">
        <f>'Other Costs'!$DN44</f>
        <v>0</v>
      </c>
      <c r="AL292" s="1009">
        <f>'Other Costs'!$DO44</f>
        <v>0</v>
      </c>
      <c r="AM292" s="1007">
        <v>0</v>
      </c>
      <c r="AN292" s="1007">
        <v>0</v>
      </c>
      <c r="AO292" s="1007">
        <v>0</v>
      </c>
      <c r="AP292" s="1007">
        <v>0</v>
      </c>
      <c r="AQ292" s="1007">
        <v>0</v>
      </c>
      <c r="AR292" s="1016">
        <f t="shared" si="15"/>
        <v>0</v>
      </c>
    </row>
    <row r="293" spans="2:44" ht="15" customHeight="1">
      <c r="B293" s="2"/>
      <c r="C293"/>
      <c r="D293"/>
      <c r="E293"/>
      <c r="F293"/>
      <c r="G293"/>
      <c r="H293"/>
      <c r="I293"/>
      <c r="J293"/>
      <c r="K293"/>
      <c r="L293"/>
      <c r="M293"/>
      <c r="N293"/>
      <c r="O293"/>
      <c r="P293"/>
      <c r="Q293"/>
      <c r="AA293" s="1686"/>
      <c r="AB293" s="53" t="str">
        <f>'Other Costs'!$DE45</f>
        <v/>
      </c>
      <c r="AC293" s="53" t="str">
        <f>'Other Costs'!$DF45</f>
        <v/>
      </c>
      <c r="AD293" s="53" t="str">
        <f>'Other Costs'!$DG45</f>
        <v/>
      </c>
      <c r="AE293" s="53" t="str">
        <f>'Other Costs'!$DH45</f>
        <v/>
      </c>
      <c r="AF293" s="53" t="str">
        <f>'Other Costs'!$DI45</f>
        <v/>
      </c>
      <c r="AG293" s="1009">
        <f>'Other Costs'!$DJ45</f>
        <v>0</v>
      </c>
      <c r="AH293" s="1009">
        <f>'Other Costs'!$DK45</f>
        <v>0</v>
      </c>
      <c r="AI293" s="1009">
        <f>'Other Costs'!$DL45</f>
        <v>0</v>
      </c>
      <c r="AJ293" s="1009">
        <f>'Other Costs'!$DM45</f>
        <v>0</v>
      </c>
      <c r="AK293" s="1009">
        <f>'Other Costs'!$DN45</f>
        <v>0</v>
      </c>
      <c r="AL293" s="1009">
        <f>'Other Costs'!$DO45</f>
        <v>0</v>
      </c>
      <c r="AM293" s="1007">
        <v>0</v>
      </c>
      <c r="AN293" s="1007">
        <v>0</v>
      </c>
      <c r="AO293" s="1007">
        <v>0</v>
      </c>
      <c r="AP293" s="1007">
        <v>0</v>
      </c>
      <c r="AQ293" s="1007">
        <v>0</v>
      </c>
      <c r="AR293" s="1016">
        <f t="shared" si="15"/>
        <v>0</v>
      </c>
    </row>
    <row r="294" spans="2:44" ht="15" customHeight="1">
      <c r="B294" s="2"/>
      <c r="C294"/>
      <c r="D294"/>
      <c r="E294"/>
      <c r="F294"/>
      <c r="G294"/>
      <c r="H294"/>
      <c r="I294"/>
      <c r="J294"/>
      <c r="K294"/>
      <c r="L294"/>
      <c r="M294"/>
      <c r="N294"/>
      <c r="O294"/>
      <c r="P294"/>
      <c r="Q294"/>
      <c r="AA294" s="1686"/>
      <c r="AB294" s="53" t="str">
        <f>'Other Costs'!$DE46</f>
        <v/>
      </c>
      <c r="AC294" s="53" t="str">
        <f>'Other Costs'!$DF46</f>
        <v/>
      </c>
      <c r="AD294" s="53" t="str">
        <f>'Other Costs'!$DG46</f>
        <v/>
      </c>
      <c r="AE294" s="53" t="str">
        <f>'Other Costs'!$DH46</f>
        <v/>
      </c>
      <c r="AF294" s="53" t="str">
        <f>'Other Costs'!$DI46</f>
        <v/>
      </c>
      <c r="AG294" s="1009">
        <f>'Other Costs'!$DJ46</f>
        <v>0</v>
      </c>
      <c r="AH294" s="1009">
        <f>'Other Costs'!$DK46</f>
        <v>0</v>
      </c>
      <c r="AI294" s="1009">
        <f>'Other Costs'!$DL46</f>
        <v>0</v>
      </c>
      <c r="AJ294" s="1009">
        <f>'Other Costs'!$DM46</f>
        <v>0</v>
      </c>
      <c r="AK294" s="1009">
        <f>'Other Costs'!$DN46</f>
        <v>0</v>
      </c>
      <c r="AL294" s="1009">
        <f>'Other Costs'!$DO46</f>
        <v>0</v>
      </c>
      <c r="AM294" s="1007">
        <v>0</v>
      </c>
      <c r="AN294" s="1007">
        <v>0</v>
      </c>
      <c r="AO294" s="1007">
        <v>0</v>
      </c>
      <c r="AP294" s="1007">
        <v>0</v>
      </c>
      <c r="AQ294" s="1007">
        <v>0</v>
      </c>
      <c r="AR294" s="1016">
        <f t="shared" si="15"/>
        <v>0</v>
      </c>
    </row>
    <row r="295" spans="2:44" ht="15" customHeight="1">
      <c r="B295" s="2"/>
      <c r="C295"/>
      <c r="D295"/>
      <c r="E295"/>
      <c r="F295"/>
      <c r="G295"/>
      <c r="H295"/>
      <c r="I295"/>
      <c r="J295"/>
      <c r="K295"/>
      <c r="L295"/>
      <c r="M295"/>
      <c r="N295"/>
      <c r="O295"/>
      <c r="P295"/>
      <c r="Q295"/>
      <c r="AA295" s="1686"/>
      <c r="AB295" s="53" t="str">
        <f>'Other Costs'!$DE47</f>
        <v/>
      </c>
      <c r="AC295" s="53" t="str">
        <f>'Other Costs'!$DF47</f>
        <v/>
      </c>
      <c r="AD295" s="53" t="str">
        <f>'Other Costs'!$DG47</f>
        <v/>
      </c>
      <c r="AE295" s="53" t="str">
        <f>'Other Costs'!$DH47</f>
        <v/>
      </c>
      <c r="AF295" s="53" t="str">
        <f>'Other Costs'!$DI47</f>
        <v/>
      </c>
      <c r="AG295" s="1009">
        <f>'Other Costs'!$DJ47</f>
        <v>0</v>
      </c>
      <c r="AH295" s="1009">
        <f>'Other Costs'!$DK47</f>
        <v>0</v>
      </c>
      <c r="AI295" s="1009">
        <f>'Other Costs'!$DL47</f>
        <v>0</v>
      </c>
      <c r="AJ295" s="1009">
        <f>'Other Costs'!$DM47</f>
        <v>0</v>
      </c>
      <c r="AK295" s="1009">
        <f>'Other Costs'!$DN47</f>
        <v>0</v>
      </c>
      <c r="AL295" s="1009">
        <f>'Other Costs'!$DO47</f>
        <v>0</v>
      </c>
      <c r="AM295" s="1007">
        <v>0</v>
      </c>
      <c r="AN295" s="1007">
        <v>0</v>
      </c>
      <c r="AO295" s="1007">
        <v>0</v>
      </c>
      <c r="AP295" s="1007">
        <v>0</v>
      </c>
      <c r="AQ295" s="1007">
        <v>0</v>
      </c>
      <c r="AR295" s="1016">
        <f t="shared" si="15"/>
        <v>0</v>
      </c>
    </row>
    <row r="296" spans="2:44" ht="15" customHeight="1">
      <c r="B296" s="2"/>
      <c r="C296"/>
      <c r="D296"/>
      <c r="E296"/>
      <c r="F296"/>
      <c r="G296"/>
      <c r="H296"/>
      <c r="I296"/>
      <c r="J296"/>
      <c r="K296"/>
      <c r="L296"/>
      <c r="M296"/>
      <c r="N296"/>
      <c r="O296"/>
      <c r="P296"/>
      <c r="Q296"/>
      <c r="AA296" s="1686"/>
      <c r="AB296" s="53" t="str">
        <f>'Other Costs'!$DE48</f>
        <v/>
      </c>
      <c r="AC296" s="53" t="str">
        <f>'Other Costs'!$DF48</f>
        <v/>
      </c>
      <c r="AD296" s="53" t="str">
        <f>'Other Costs'!$DG48</f>
        <v/>
      </c>
      <c r="AE296" s="53" t="str">
        <f>'Other Costs'!$DH48</f>
        <v/>
      </c>
      <c r="AF296" s="53" t="str">
        <f>'Other Costs'!$DI48</f>
        <v/>
      </c>
      <c r="AG296" s="1009">
        <f>'Other Costs'!$DJ48</f>
        <v>0</v>
      </c>
      <c r="AH296" s="1009">
        <f>'Other Costs'!$DK48</f>
        <v>0</v>
      </c>
      <c r="AI296" s="1009">
        <f>'Other Costs'!$DL48</f>
        <v>0</v>
      </c>
      <c r="AJ296" s="1009">
        <f>'Other Costs'!$DM48</f>
        <v>0</v>
      </c>
      <c r="AK296" s="1009">
        <f>'Other Costs'!$DN48</f>
        <v>0</v>
      </c>
      <c r="AL296" s="1009">
        <f>'Other Costs'!$DO48</f>
        <v>0</v>
      </c>
      <c r="AM296" s="1007">
        <v>0</v>
      </c>
      <c r="AN296" s="1007">
        <v>0</v>
      </c>
      <c r="AO296" s="1007">
        <v>0</v>
      </c>
      <c r="AP296" s="1007">
        <v>0</v>
      </c>
      <c r="AQ296" s="1007">
        <v>0</v>
      </c>
      <c r="AR296" s="1016">
        <f t="shared" si="15"/>
        <v>0</v>
      </c>
    </row>
    <row r="297" spans="2:44" ht="15" customHeight="1">
      <c r="B297" s="2"/>
      <c r="C297"/>
      <c r="D297"/>
      <c r="E297"/>
      <c r="F297"/>
      <c r="G297"/>
      <c r="H297"/>
      <c r="I297"/>
      <c r="J297"/>
      <c r="K297"/>
      <c r="L297"/>
      <c r="M297"/>
      <c r="N297"/>
      <c r="O297"/>
      <c r="P297"/>
      <c r="Q297"/>
      <c r="AA297" s="1686"/>
      <c r="AB297" s="53" t="str">
        <f>'Other Costs'!$DE49</f>
        <v/>
      </c>
      <c r="AC297" s="53" t="str">
        <f>'Other Costs'!$DF49</f>
        <v/>
      </c>
      <c r="AD297" s="53" t="str">
        <f>'Other Costs'!$DG49</f>
        <v/>
      </c>
      <c r="AE297" s="53" t="str">
        <f>'Other Costs'!$DH49</f>
        <v/>
      </c>
      <c r="AF297" s="53" t="str">
        <f>'Other Costs'!$DI49</f>
        <v/>
      </c>
      <c r="AG297" s="1009">
        <f>'Other Costs'!$DJ49</f>
        <v>0</v>
      </c>
      <c r="AH297" s="1009">
        <f>'Other Costs'!$DK49</f>
        <v>0</v>
      </c>
      <c r="AI297" s="1009">
        <f>'Other Costs'!$DL49</f>
        <v>0</v>
      </c>
      <c r="AJ297" s="1009">
        <f>'Other Costs'!$DM49</f>
        <v>0</v>
      </c>
      <c r="AK297" s="1009">
        <f>'Other Costs'!$DN49</f>
        <v>0</v>
      </c>
      <c r="AL297" s="1009">
        <f>'Other Costs'!$DO49</f>
        <v>0</v>
      </c>
      <c r="AM297" s="1007">
        <v>0</v>
      </c>
      <c r="AN297" s="1007">
        <v>0</v>
      </c>
      <c r="AO297" s="1007">
        <v>0</v>
      </c>
      <c r="AP297" s="1007">
        <v>0</v>
      </c>
      <c r="AQ297" s="1007">
        <v>0</v>
      </c>
      <c r="AR297" s="1016">
        <f t="shared" si="15"/>
        <v>0</v>
      </c>
    </row>
    <row r="298" spans="2:44" ht="15" customHeight="1">
      <c r="B298" s="2"/>
      <c r="C298"/>
      <c r="D298"/>
      <c r="E298"/>
      <c r="F298"/>
      <c r="G298"/>
      <c r="H298"/>
      <c r="I298"/>
      <c r="J298"/>
      <c r="K298"/>
      <c r="L298"/>
      <c r="M298"/>
      <c r="N298"/>
      <c r="O298"/>
      <c r="P298"/>
      <c r="Q298"/>
      <c r="AA298" s="1686"/>
      <c r="AB298" s="53" t="str">
        <f>'Other Costs'!$DE50</f>
        <v/>
      </c>
      <c r="AC298" s="53" t="str">
        <f>'Other Costs'!$DF50</f>
        <v/>
      </c>
      <c r="AD298" s="53" t="str">
        <f>'Other Costs'!$DG50</f>
        <v/>
      </c>
      <c r="AE298" s="53" t="str">
        <f>'Other Costs'!$DH50</f>
        <v/>
      </c>
      <c r="AF298" s="53" t="str">
        <f>'Other Costs'!$DI50</f>
        <v/>
      </c>
      <c r="AG298" s="1009">
        <f>'Other Costs'!$DJ50</f>
        <v>0</v>
      </c>
      <c r="AH298" s="1009">
        <f>'Other Costs'!$DK50</f>
        <v>0</v>
      </c>
      <c r="AI298" s="1009">
        <f>'Other Costs'!$DL50</f>
        <v>0</v>
      </c>
      <c r="AJ298" s="1009">
        <f>'Other Costs'!$DM50</f>
        <v>0</v>
      </c>
      <c r="AK298" s="1009">
        <f>'Other Costs'!$DN50</f>
        <v>0</v>
      </c>
      <c r="AL298" s="1009">
        <f>'Other Costs'!$DO50</f>
        <v>0</v>
      </c>
      <c r="AM298" s="1007">
        <v>0</v>
      </c>
      <c r="AN298" s="1007">
        <v>0</v>
      </c>
      <c r="AO298" s="1007">
        <v>0</v>
      </c>
      <c r="AP298" s="1007">
        <v>0</v>
      </c>
      <c r="AQ298" s="1007">
        <v>0</v>
      </c>
      <c r="AR298" s="1016">
        <f t="shared" si="15"/>
        <v>0</v>
      </c>
    </row>
    <row r="299" spans="2:44" ht="15" customHeight="1">
      <c r="B299" s="2"/>
      <c r="C299"/>
      <c r="D299"/>
      <c r="E299"/>
      <c r="F299"/>
      <c r="G299"/>
      <c r="H299"/>
      <c r="I299"/>
      <c r="J299"/>
      <c r="K299"/>
      <c r="L299"/>
      <c r="M299"/>
      <c r="N299"/>
      <c r="O299"/>
      <c r="P299"/>
      <c r="Q299"/>
      <c r="AA299" s="1686"/>
      <c r="AB299" s="53" t="str">
        <f>'Other Costs'!$DE51</f>
        <v/>
      </c>
      <c r="AC299" s="53" t="str">
        <f>'Other Costs'!$DF51</f>
        <v/>
      </c>
      <c r="AD299" s="53" t="str">
        <f>'Other Costs'!$DG51</f>
        <v/>
      </c>
      <c r="AE299" s="53" t="str">
        <f>'Other Costs'!$DH51</f>
        <v/>
      </c>
      <c r="AF299" s="53" t="str">
        <f>'Other Costs'!$DI51</f>
        <v/>
      </c>
      <c r="AG299" s="1009">
        <f>'Other Costs'!$DJ51</f>
        <v>0</v>
      </c>
      <c r="AH299" s="1009">
        <f>'Other Costs'!$DK51</f>
        <v>0</v>
      </c>
      <c r="AI299" s="1009">
        <f>'Other Costs'!$DL51</f>
        <v>0</v>
      </c>
      <c r="AJ299" s="1009">
        <f>'Other Costs'!$DM51</f>
        <v>0</v>
      </c>
      <c r="AK299" s="1009">
        <f>'Other Costs'!$DN51</f>
        <v>0</v>
      </c>
      <c r="AL299" s="1009">
        <f>'Other Costs'!$DO51</f>
        <v>0</v>
      </c>
      <c r="AM299" s="1007">
        <v>0</v>
      </c>
      <c r="AN299" s="1007">
        <v>0</v>
      </c>
      <c r="AO299" s="1007">
        <v>0</v>
      </c>
      <c r="AP299" s="1007">
        <v>0</v>
      </c>
      <c r="AQ299" s="1007">
        <v>0</v>
      </c>
      <c r="AR299" s="1016">
        <f t="shared" si="15"/>
        <v>0</v>
      </c>
    </row>
    <row r="300" spans="2:44" ht="15" customHeight="1">
      <c r="B300" s="2"/>
      <c r="C300"/>
      <c r="D300"/>
      <c r="E300"/>
      <c r="F300"/>
      <c r="G300"/>
      <c r="H300"/>
      <c r="I300"/>
      <c r="J300"/>
      <c r="K300"/>
      <c r="L300"/>
      <c r="M300"/>
      <c r="N300"/>
      <c r="O300"/>
      <c r="P300"/>
      <c r="Q300"/>
      <c r="AA300" s="1686"/>
      <c r="AB300" s="53" t="str">
        <f>'Other Costs'!$DE52</f>
        <v/>
      </c>
      <c r="AC300" s="53" t="str">
        <f>'Other Costs'!$DF52</f>
        <v/>
      </c>
      <c r="AD300" s="53" t="str">
        <f>'Other Costs'!$DG52</f>
        <v/>
      </c>
      <c r="AE300" s="53" t="str">
        <f>'Other Costs'!$DH52</f>
        <v/>
      </c>
      <c r="AF300" s="53" t="str">
        <f>'Other Costs'!$DI52</f>
        <v/>
      </c>
      <c r="AG300" s="1009">
        <f>'Other Costs'!$DJ52</f>
        <v>0</v>
      </c>
      <c r="AH300" s="1009">
        <f>'Other Costs'!$DK52</f>
        <v>0</v>
      </c>
      <c r="AI300" s="1009">
        <f>'Other Costs'!$DL52</f>
        <v>0</v>
      </c>
      <c r="AJ300" s="1009">
        <f>'Other Costs'!$DM52</f>
        <v>0</v>
      </c>
      <c r="AK300" s="1009">
        <f>'Other Costs'!$DN52</f>
        <v>0</v>
      </c>
      <c r="AL300" s="1009">
        <f>'Other Costs'!$DO52</f>
        <v>0</v>
      </c>
      <c r="AM300" s="1007">
        <v>0</v>
      </c>
      <c r="AN300" s="1007">
        <v>0</v>
      </c>
      <c r="AO300" s="1007">
        <v>0</v>
      </c>
      <c r="AP300" s="1007">
        <v>0</v>
      </c>
      <c r="AQ300" s="1007">
        <v>0</v>
      </c>
      <c r="AR300" s="1016">
        <f t="shared" si="15"/>
        <v>0</v>
      </c>
    </row>
    <row r="301" spans="2:44" ht="15" customHeight="1">
      <c r="B301" s="2"/>
      <c r="C301"/>
      <c r="D301"/>
      <c r="E301"/>
      <c r="F301"/>
      <c r="G301"/>
      <c r="H301"/>
      <c r="I301"/>
      <c r="J301"/>
      <c r="K301"/>
      <c r="L301"/>
      <c r="M301"/>
      <c r="N301"/>
      <c r="O301"/>
      <c r="P301"/>
      <c r="Q301"/>
      <c r="AA301" s="1686"/>
      <c r="AB301" s="53" t="str">
        <f>'Other Costs'!$DE53</f>
        <v/>
      </c>
      <c r="AC301" s="53" t="str">
        <f>'Other Costs'!$DF53</f>
        <v/>
      </c>
      <c r="AD301" s="53" t="str">
        <f>'Other Costs'!$DG53</f>
        <v/>
      </c>
      <c r="AE301" s="53" t="str">
        <f>'Other Costs'!$DH53</f>
        <v/>
      </c>
      <c r="AF301" s="53" t="str">
        <f>'Other Costs'!$DI53</f>
        <v/>
      </c>
      <c r="AG301" s="1009">
        <f>'Other Costs'!$DJ53</f>
        <v>0</v>
      </c>
      <c r="AH301" s="1009">
        <f>'Other Costs'!$DK53</f>
        <v>0</v>
      </c>
      <c r="AI301" s="1009">
        <f>'Other Costs'!$DL53</f>
        <v>0</v>
      </c>
      <c r="AJ301" s="1009">
        <f>'Other Costs'!$DM53</f>
        <v>0</v>
      </c>
      <c r="AK301" s="1009">
        <f>'Other Costs'!$DN53</f>
        <v>0</v>
      </c>
      <c r="AL301" s="1009">
        <f>'Other Costs'!$DO53</f>
        <v>0</v>
      </c>
      <c r="AM301" s="1007">
        <v>0</v>
      </c>
      <c r="AN301" s="1007">
        <v>0</v>
      </c>
      <c r="AO301" s="1007">
        <v>0</v>
      </c>
      <c r="AP301" s="1007">
        <v>0</v>
      </c>
      <c r="AQ301" s="1007">
        <v>0</v>
      </c>
      <c r="AR301" s="1016">
        <f t="shared" si="15"/>
        <v>0</v>
      </c>
    </row>
    <row r="302" spans="2:44" ht="15" customHeight="1">
      <c r="B302" s="2"/>
      <c r="C302"/>
      <c r="D302"/>
      <c r="E302"/>
      <c r="F302"/>
      <c r="G302"/>
      <c r="H302"/>
      <c r="I302"/>
      <c r="J302"/>
      <c r="K302"/>
      <c r="L302"/>
      <c r="M302"/>
      <c r="N302"/>
      <c r="O302"/>
      <c r="P302"/>
      <c r="Q302"/>
      <c r="AA302" s="1686"/>
      <c r="AB302" s="53" t="str">
        <f>'Other Costs'!$DE54</f>
        <v/>
      </c>
      <c r="AC302" s="53" t="str">
        <f>'Other Costs'!$DF54</f>
        <v/>
      </c>
      <c r="AD302" s="53" t="str">
        <f>'Other Costs'!$DG54</f>
        <v/>
      </c>
      <c r="AE302" s="53" t="str">
        <f>'Other Costs'!$DH54</f>
        <v/>
      </c>
      <c r="AF302" s="53" t="str">
        <f>'Other Costs'!$DI54</f>
        <v/>
      </c>
      <c r="AG302" s="1009">
        <f>'Other Costs'!$DJ54</f>
        <v>0</v>
      </c>
      <c r="AH302" s="1009">
        <f>'Other Costs'!$DK54</f>
        <v>0</v>
      </c>
      <c r="AI302" s="1009">
        <f>'Other Costs'!$DL54</f>
        <v>0</v>
      </c>
      <c r="AJ302" s="1009">
        <f>'Other Costs'!$DM54</f>
        <v>0</v>
      </c>
      <c r="AK302" s="1009">
        <f>'Other Costs'!$DN54</f>
        <v>0</v>
      </c>
      <c r="AL302" s="1009">
        <f>'Other Costs'!$DO54</f>
        <v>0</v>
      </c>
      <c r="AM302" s="1007">
        <v>0</v>
      </c>
      <c r="AN302" s="1007">
        <v>0</v>
      </c>
      <c r="AO302" s="1007">
        <v>0</v>
      </c>
      <c r="AP302" s="1007">
        <v>0</v>
      </c>
      <c r="AQ302" s="1007">
        <v>0</v>
      </c>
      <c r="AR302" s="1016">
        <f t="shared" si="15"/>
        <v>0</v>
      </c>
    </row>
    <row r="303" spans="2:44" ht="15" customHeight="1">
      <c r="B303" s="2"/>
      <c r="C303"/>
      <c r="D303"/>
      <c r="E303"/>
      <c r="F303"/>
      <c r="G303"/>
      <c r="H303"/>
      <c r="I303"/>
      <c r="J303"/>
      <c r="K303"/>
      <c r="L303"/>
      <c r="M303"/>
      <c r="N303"/>
      <c r="O303"/>
      <c r="P303"/>
      <c r="Q303"/>
      <c r="AA303" s="1686"/>
      <c r="AB303" s="53" t="str">
        <f>'Other Costs'!$DE55</f>
        <v/>
      </c>
      <c r="AC303" s="53" t="str">
        <f>'Other Costs'!$DF55</f>
        <v/>
      </c>
      <c r="AD303" s="53" t="str">
        <f>'Other Costs'!$DG55</f>
        <v/>
      </c>
      <c r="AE303" s="53" t="str">
        <f>'Other Costs'!$DH55</f>
        <v/>
      </c>
      <c r="AF303" s="53" t="str">
        <f>'Other Costs'!$DI55</f>
        <v/>
      </c>
      <c r="AG303" s="1009">
        <f>'Other Costs'!$DJ55</f>
        <v>0</v>
      </c>
      <c r="AH303" s="1009">
        <f>'Other Costs'!$DK55</f>
        <v>0</v>
      </c>
      <c r="AI303" s="1009">
        <f>'Other Costs'!$DL55</f>
        <v>0</v>
      </c>
      <c r="AJ303" s="1009">
        <f>'Other Costs'!$DM55</f>
        <v>0</v>
      </c>
      <c r="AK303" s="1009">
        <f>'Other Costs'!$DN55</f>
        <v>0</v>
      </c>
      <c r="AL303" s="1009">
        <f>'Other Costs'!$DO55</f>
        <v>0</v>
      </c>
      <c r="AM303" s="1007">
        <v>0</v>
      </c>
      <c r="AN303" s="1007">
        <v>0</v>
      </c>
      <c r="AO303" s="1007">
        <v>0</v>
      </c>
      <c r="AP303" s="1007">
        <v>0</v>
      </c>
      <c r="AQ303" s="1007">
        <v>0</v>
      </c>
      <c r="AR303" s="1016">
        <f t="shared" si="15"/>
        <v>0</v>
      </c>
    </row>
    <row r="304" spans="2:44" ht="15" customHeight="1">
      <c r="B304" s="2"/>
      <c r="C304"/>
      <c r="D304"/>
      <c r="E304"/>
      <c r="F304"/>
      <c r="G304"/>
      <c r="H304"/>
      <c r="I304"/>
      <c r="J304"/>
      <c r="K304"/>
      <c r="L304"/>
      <c r="M304"/>
      <c r="N304"/>
      <c r="O304"/>
      <c r="P304"/>
      <c r="Q304"/>
      <c r="AA304" s="1686"/>
      <c r="AB304" s="53" t="str">
        <f>'Other Costs'!$DE56</f>
        <v/>
      </c>
      <c r="AC304" s="53" t="str">
        <f>'Other Costs'!$DF56</f>
        <v/>
      </c>
      <c r="AD304" s="53" t="str">
        <f>'Other Costs'!$DG56</f>
        <v/>
      </c>
      <c r="AE304" s="53" t="str">
        <f>'Other Costs'!$DH56</f>
        <v/>
      </c>
      <c r="AF304" s="53" t="str">
        <f>'Other Costs'!$DI56</f>
        <v/>
      </c>
      <c r="AG304" s="1009">
        <f>'Other Costs'!$DJ56</f>
        <v>0</v>
      </c>
      <c r="AH304" s="1009">
        <f>'Other Costs'!$DK56</f>
        <v>0</v>
      </c>
      <c r="AI304" s="1009">
        <f>'Other Costs'!$DL56</f>
        <v>0</v>
      </c>
      <c r="AJ304" s="1009">
        <f>'Other Costs'!$DM56</f>
        <v>0</v>
      </c>
      <c r="AK304" s="1009">
        <f>'Other Costs'!$DN56</f>
        <v>0</v>
      </c>
      <c r="AL304" s="1009">
        <f>'Other Costs'!$DO56</f>
        <v>0</v>
      </c>
      <c r="AM304" s="1007">
        <v>0</v>
      </c>
      <c r="AN304" s="1007">
        <v>0</v>
      </c>
      <c r="AO304" s="1007">
        <v>0</v>
      </c>
      <c r="AP304" s="1007">
        <v>0</v>
      </c>
      <c r="AQ304" s="1007">
        <v>0</v>
      </c>
      <c r="AR304" s="1016">
        <f t="shared" si="15"/>
        <v>0</v>
      </c>
    </row>
    <row r="305" spans="2:44" ht="15" customHeight="1">
      <c r="B305" s="2"/>
      <c r="C305"/>
      <c r="D305"/>
      <c r="E305"/>
      <c r="F305"/>
      <c r="G305"/>
      <c r="H305"/>
      <c r="I305"/>
      <c r="J305"/>
      <c r="K305"/>
      <c r="L305"/>
      <c r="M305"/>
      <c r="N305"/>
      <c r="O305"/>
      <c r="P305"/>
      <c r="Q305"/>
      <c r="AA305" s="1686"/>
      <c r="AB305" s="53" t="str">
        <f>'Other Costs'!$DE57</f>
        <v/>
      </c>
      <c r="AC305" s="53" t="str">
        <f>'Other Costs'!$DF57</f>
        <v/>
      </c>
      <c r="AD305" s="53" t="str">
        <f>'Other Costs'!$DG57</f>
        <v/>
      </c>
      <c r="AE305" s="53" t="str">
        <f>'Other Costs'!$DH57</f>
        <v/>
      </c>
      <c r="AF305" s="53" t="str">
        <f>'Other Costs'!$DI57</f>
        <v/>
      </c>
      <c r="AG305" s="1009">
        <f>'Other Costs'!$DJ57</f>
        <v>0</v>
      </c>
      <c r="AH305" s="1009">
        <f>'Other Costs'!$DK57</f>
        <v>0</v>
      </c>
      <c r="AI305" s="1009">
        <f>'Other Costs'!$DL57</f>
        <v>0</v>
      </c>
      <c r="AJ305" s="1009">
        <f>'Other Costs'!$DM57</f>
        <v>0</v>
      </c>
      <c r="AK305" s="1009">
        <f>'Other Costs'!$DN57</f>
        <v>0</v>
      </c>
      <c r="AL305" s="1009">
        <f>'Other Costs'!$DO57</f>
        <v>0</v>
      </c>
      <c r="AM305" s="1007">
        <v>0</v>
      </c>
      <c r="AN305" s="1007">
        <v>0</v>
      </c>
      <c r="AO305" s="1007">
        <v>0</v>
      </c>
      <c r="AP305" s="1007">
        <v>0</v>
      </c>
      <c r="AQ305" s="1007">
        <v>0</v>
      </c>
      <c r="AR305" s="1016">
        <f t="shared" si="15"/>
        <v>0</v>
      </c>
    </row>
    <row r="306" spans="2:44" ht="15" customHeight="1">
      <c r="B306" s="2"/>
      <c r="C306"/>
      <c r="D306"/>
      <c r="E306"/>
      <c r="F306"/>
      <c r="G306"/>
      <c r="H306"/>
      <c r="I306"/>
      <c r="J306"/>
      <c r="K306"/>
      <c r="L306"/>
      <c r="M306"/>
      <c r="N306"/>
      <c r="O306"/>
      <c r="P306"/>
      <c r="Q306"/>
      <c r="AA306" s="1686"/>
      <c r="AB306" s="53" t="str">
        <f>'Other Costs'!$DE58</f>
        <v/>
      </c>
      <c r="AC306" s="53" t="str">
        <f>'Other Costs'!$DF58</f>
        <v/>
      </c>
      <c r="AD306" s="53" t="str">
        <f>'Other Costs'!$DG58</f>
        <v/>
      </c>
      <c r="AE306" s="53" t="str">
        <f>'Other Costs'!$DH58</f>
        <v/>
      </c>
      <c r="AF306" s="53" t="str">
        <f>'Other Costs'!$DI58</f>
        <v/>
      </c>
      <c r="AG306" s="1009">
        <f>'Other Costs'!$DJ58</f>
        <v>0</v>
      </c>
      <c r="AH306" s="1009">
        <f>'Other Costs'!$DK58</f>
        <v>0</v>
      </c>
      <c r="AI306" s="1009">
        <f>'Other Costs'!$DL58</f>
        <v>0</v>
      </c>
      <c r="AJ306" s="1009">
        <f>'Other Costs'!$DM58</f>
        <v>0</v>
      </c>
      <c r="AK306" s="1009">
        <f>'Other Costs'!$DN58</f>
        <v>0</v>
      </c>
      <c r="AL306" s="1009">
        <f>'Other Costs'!$DO58</f>
        <v>0</v>
      </c>
      <c r="AM306" s="1007">
        <v>0</v>
      </c>
      <c r="AN306" s="1007">
        <v>0</v>
      </c>
      <c r="AO306" s="1007">
        <v>0</v>
      </c>
      <c r="AP306" s="1007">
        <v>0</v>
      </c>
      <c r="AQ306" s="1007">
        <v>0</v>
      </c>
      <c r="AR306" s="1016">
        <f t="shared" si="15"/>
        <v>0</v>
      </c>
    </row>
    <row r="307" spans="2:44" ht="15" customHeight="1">
      <c r="B307" s="2"/>
      <c r="C307"/>
      <c r="D307"/>
      <c r="E307"/>
      <c r="F307"/>
      <c r="G307"/>
      <c r="H307"/>
      <c r="I307"/>
      <c r="J307"/>
      <c r="K307"/>
      <c r="L307"/>
      <c r="M307"/>
      <c r="N307"/>
      <c r="O307"/>
      <c r="P307"/>
      <c r="Q307"/>
      <c r="AA307" s="1686"/>
      <c r="AB307" s="53" t="str">
        <f>'Other Costs'!$DE59</f>
        <v/>
      </c>
      <c r="AC307" s="53" t="str">
        <f>'Other Costs'!$DF59</f>
        <v/>
      </c>
      <c r="AD307" s="53" t="str">
        <f>'Other Costs'!$DG59</f>
        <v/>
      </c>
      <c r="AE307" s="53" t="str">
        <f>'Other Costs'!$DH59</f>
        <v/>
      </c>
      <c r="AF307" s="53" t="str">
        <f>'Other Costs'!$DI59</f>
        <v/>
      </c>
      <c r="AG307" s="1009">
        <f>'Other Costs'!$DJ59</f>
        <v>0</v>
      </c>
      <c r="AH307" s="1009">
        <f>'Other Costs'!$DK59</f>
        <v>0</v>
      </c>
      <c r="AI307" s="1009">
        <f>'Other Costs'!$DL59</f>
        <v>0</v>
      </c>
      <c r="AJ307" s="1009">
        <f>'Other Costs'!$DM59</f>
        <v>0</v>
      </c>
      <c r="AK307" s="1009">
        <f>'Other Costs'!$DN59</f>
        <v>0</v>
      </c>
      <c r="AL307" s="1009">
        <f>'Other Costs'!$DO59</f>
        <v>0</v>
      </c>
      <c r="AM307" s="1007">
        <v>0</v>
      </c>
      <c r="AN307" s="1007">
        <v>0</v>
      </c>
      <c r="AO307" s="1007">
        <v>0</v>
      </c>
      <c r="AP307" s="1007">
        <v>0</v>
      </c>
      <c r="AQ307" s="1007">
        <v>0</v>
      </c>
      <c r="AR307" s="1016">
        <f t="shared" si="15"/>
        <v>0</v>
      </c>
    </row>
    <row r="308" spans="2:44" ht="15" customHeight="1">
      <c r="B308" s="2"/>
      <c r="C308"/>
      <c r="D308"/>
      <c r="E308"/>
      <c r="F308"/>
      <c r="G308"/>
      <c r="H308"/>
      <c r="I308"/>
      <c r="J308"/>
      <c r="K308"/>
      <c r="L308"/>
      <c r="M308"/>
      <c r="N308"/>
      <c r="O308"/>
      <c r="P308"/>
      <c r="Q308"/>
      <c r="AA308" s="1686"/>
      <c r="AB308" s="53" t="str">
        <f>'Other Costs'!$DE60</f>
        <v/>
      </c>
      <c r="AC308" s="53" t="str">
        <f>'Other Costs'!$DF60</f>
        <v/>
      </c>
      <c r="AD308" s="53" t="str">
        <f>'Other Costs'!$DG60</f>
        <v/>
      </c>
      <c r="AE308" s="53" t="str">
        <f>'Other Costs'!$DH60</f>
        <v/>
      </c>
      <c r="AF308" s="53" t="str">
        <f>'Other Costs'!$DI60</f>
        <v/>
      </c>
      <c r="AG308" s="1009">
        <f>'Other Costs'!$DJ60</f>
        <v>0</v>
      </c>
      <c r="AH308" s="1009">
        <f>'Other Costs'!$DK60</f>
        <v>0</v>
      </c>
      <c r="AI308" s="1009">
        <f>'Other Costs'!$DL60</f>
        <v>0</v>
      </c>
      <c r="AJ308" s="1009">
        <f>'Other Costs'!$DM60</f>
        <v>0</v>
      </c>
      <c r="AK308" s="1009">
        <f>'Other Costs'!$DN60</f>
        <v>0</v>
      </c>
      <c r="AL308" s="1009">
        <f>'Other Costs'!$DO60</f>
        <v>0</v>
      </c>
      <c r="AM308" s="1007">
        <v>0</v>
      </c>
      <c r="AN308" s="1007">
        <v>0</v>
      </c>
      <c r="AO308" s="1007">
        <v>0</v>
      </c>
      <c r="AP308" s="1007">
        <v>0</v>
      </c>
      <c r="AQ308" s="1007">
        <v>0</v>
      </c>
      <c r="AR308" s="1016">
        <f t="shared" si="15"/>
        <v>0</v>
      </c>
    </row>
    <row r="309" spans="2:44" ht="15" customHeight="1">
      <c r="B309" s="2"/>
      <c r="C309"/>
      <c r="D309"/>
      <c r="E309"/>
      <c r="F309"/>
      <c r="G309"/>
      <c r="H309"/>
      <c r="I309"/>
      <c r="J309"/>
      <c r="K309"/>
      <c r="L309"/>
      <c r="M309"/>
      <c r="N309"/>
      <c r="O309"/>
      <c r="P309"/>
      <c r="Q309"/>
      <c r="AA309" s="1686"/>
      <c r="AB309" s="53" t="str">
        <f>'Other Costs'!$DE61</f>
        <v/>
      </c>
      <c r="AC309" s="53" t="str">
        <f>'Other Costs'!$DF61</f>
        <v/>
      </c>
      <c r="AD309" s="53" t="str">
        <f>'Other Costs'!$DG61</f>
        <v/>
      </c>
      <c r="AE309" s="53" t="str">
        <f>'Other Costs'!$DH61</f>
        <v/>
      </c>
      <c r="AF309" s="53" t="str">
        <f>'Other Costs'!$DI61</f>
        <v/>
      </c>
      <c r="AG309" s="1009">
        <f>'Other Costs'!$DJ61</f>
        <v>0</v>
      </c>
      <c r="AH309" s="1009">
        <f>'Other Costs'!$DK61</f>
        <v>0</v>
      </c>
      <c r="AI309" s="1009">
        <f>'Other Costs'!$DL61</f>
        <v>0</v>
      </c>
      <c r="AJ309" s="1009">
        <f>'Other Costs'!$DM61</f>
        <v>0</v>
      </c>
      <c r="AK309" s="1009">
        <f>'Other Costs'!$DN61</f>
        <v>0</v>
      </c>
      <c r="AL309" s="1009">
        <f>'Other Costs'!$DO61</f>
        <v>0</v>
      </c>
      <c r="AM309" s="1007">
        <v>0</v>
      </c>
      <c r="AN309" s="1007">
        <v>0</v>
      </c>
      <c r="AO309" s="1007">
        <v>0</v>
      </c>
      <c r="AP309" s="1007">
        <v>0</v>
      </c>
      <c r="AQ309" s="1007">
        <v>0</v>
      </c>
      <c r="AR309" s="1016">
        <f t="shared" si="15"/>
        <v>0</v>
      </c>
    </row>
    <row r="310" spans="2:44" ht="15" customHeight="1">
      <c r="B310" s="2"/>
      <c r="C310"/>
      <c r="D310"/>
      <c r="E310"/>
      <c r="F310"/>
      <c r="G310"/>
      <c r="H310"/>
      <c r="I310"/>
      <c r="J310"/>
      <c r="K310"/>
      <c r="L310"/>
      <c r="M310"/>
      <c r="N310"/>
      <c r="O310"/>
      <c r="P310"/>
      <c r="Q310"/>
      <c r="AA310" s="1686"/>
      <c r="AB310" s="53" t="str">
        <f>'Other Costs'!$DE62</f>
        <v/>
      </c>
      <c r="AC310" s="53" t="str">
        <f>'Other Costs'!$DF62</f>
        <v/>
      </c>
      <c r="AD310" s="53" t="str">
        <f>'Other Costs'!$DG62</f>
        <v/>
      </c>
      <c r="AE310" s="53" t="str">
        <f>'Other Costs'!$DH62</f>
        <v/>
      </c>
      <c r="AF310" s="53" t="str">
        <f>'Other Costs'!$DI62</f>
        <v/>
      </c>
      <c r="AG310" s="1009">
        <f>'Other Costs'!$DJ62</f>
        <v>0</v>
      </c>
      <c r="AH310" s="1009">
        <f>'Other Costs'!$DK62</f>
        <v>0</v>
      </c>
      <c r="AI310" s="1009">
        <f>'Other Costs'!$DL62</f>
        <v>0</v>
      </c>
      <c r="AJ310" s="1009">
        <f>'Other Costs'!$DM62</f>
        <v>0</v>
      </c>
      <c r="AK310" s="1009">
        <f>'Other Costs'!$DN62</f>
        <v>0</v>
      </c>
      <c r="AL310" s="1009">
        <f>'Other Costs'!$DO62</f>
        <v>0</v>
      </c>
      <c r="AM310" s="1007">
        <v>0</v>
      </c>
      <c r="AN310" s="1007">
        <v>0</v>
      </c>
      <c r="AO310" s="1007">
        <v>0</v>
      </c>
      <c r="AP310" s="1007">
        <v>0</v>
      </c>
      <c r="AQ310" s="1007">
        <v>0</v>
      </c>
      <c r="AR310" s="1016">
        <f t="shared" si="15"/>
        <v>0</v>
      </c>
    </row>
    <row r="311" spans="2:44" ht="15" customHeight="1">
      <c r="B311" s="2"/>
      <c r="C311"/>
      <c r="D311"/>
      <c r="E311"/>
      <c r="F311"/>
      <c r="G311"/>
      <c r="H311"/>
      <c r="I311"/>
      <c r="J311"/>
      <c r="K311"/>
      <c r="L311"/>
      <c r="M311"/>
      <c r="N311"/>
      <c r="O311"/>
      <c r="P311"/>
      <c r="Q311"/>
      <c r="AA311" s="1686"/>
      <c r="AB311" s="53" t="str">
        <f>'Other Costs'!$DE63</f>
        <v/>
      </c>
      <c r="AC311" s="53" t="str">
        <f>'Other Costs'!$DF63</f>
        <v/>
      </c>
      <c r="AD311" s="53" t="str">
        <f>'Other Costs'!$DG63</f>
        <v/>
      </c>
      <c r="AE311" s="53" t="str">
        <f>'Other Costs'!$DH63</f>
        <v/>
      </c>
      <c r="AF311" s="53" t="str">
        <f>'Other Costs'!$DI63</f>
        <v/>
      </c>
      <c r="AG311" s="1009">
        <f>'Other Costs'!$DJ63</f>
        <v>0</v>
      </c>
      <c r="AH311" s="1009">
        <f>'Other Costs'!$DK63</f>
        <v>0</v>
      </c>
      <c r="AI311" s="1009">
        <f>'Other Costs'!$DL63</f>
        <v>0</v>
      </c>
      <c r="AJ311" s="1009">
        <f>'Other Costs'!$DM63</f>
        <v>0</v>
      </c>
      <c r="AK311" s="1009">
        <f>'Other Costs'!$DN63</f>
        <v>0</v>
      </c>
      <c r="AL311" s="1009">
        <f>'Other Costs'!$DO63</f>
        <v>0</v>
      </c>
      <c r="AM311" s="1007">
        <v>0</v>
      </c>
      <c r="AN311" s="1007">
        <v>0</v>
      </c>
      <c r="AO311" s="1007">
        <v>0</v>
      </c>
      <c r="AP311" s="1007">
        <v>0</v>
      </c>
      <c r="AQ311" s="1007">
        <v>0</v>
      </c>
      <c r="AR311" s="1016">
        <f t="shared" si="15"/>
        <v>0</v>
      </c>
    </row>
    <row r="312" spans="2:44" ht="15" customHeight="1">
      <c r="B312" s="2"/>
      <c r="C312"/>
      <c r="D312"/>
      <c r="E312"/>
      <c r="F312"/>
      <c r="G312"/>
      <c r="H312"/>
      <c r="I312"/>
      <c r="J312"/>
      <c r="K312"/>
      <c r="L312"/>
      <c r="M312"/>
      <c r="N312"/>
      <c r="O312"/>
      <c r="P312"/>
      <c r="Q312"/>
      <c r="AA312" s="1686"/>
      <c r="AB312" s="53" t="str">
        <f>'Other Costs'!$DE64</f>
        <v/>
      </c>
      <c r="AC312" s="53" t="str">
        <f>'Other Costs'!$DF64</f>
        <v/>
      </c>
      <c r="AD312" s="53" t="str">
        <f>'Other Costs'!$DG64</f>
        <v/>
      </c>
      <c r="AE312" s="53" t="str">
        <f>'Other Costs'!$DH64</f>
        <v/>
      </c>
      <c r="AF312" s="53" t="str">
        <f>'Other Costs'!$DI64</f>
        <v/>
      </c>
      <c r="AG312" s="1009">
        <f>'Other Costs'!$DJ64</f>
        <v>0</v>
      </c>
      <c r="AH312" s="1009">
        <f>'Other Costs'!$DK64</f>
        <v>0</v>
      </c>
      <c r="AI312" s="1009">
        <f>'Other Costs'!$DL64</f>
        <v>0</v>
      </c>
      <c r="AJ312" s="1009">
        <f>'Other Costs'!$DM64</f>
        <v>0</v>
      </c>
      <c r="AK312" s="1009">
        <f>'Other Costs'!$DN64</f>
        <v>0</v>
      </c>
      <c r="AL312" s="1009">
        <f>'Other Costs'!$DO64</f>
        <v>0</v>
      </c>
      <c r="AM312" s="1007">
        <v>0</v>
      </c>
      <c r="AN312" s="1007">
        <v>0</v>
      </c>
      <c r="AO312" s="1007">
        <v>0</v>
      </c>
      <c r="AP312" s="1007">
        <v>0</v>
      </c>
      <c r="AQ312" s="1007">
        <v>0</v>
      </c>
      <c r="AR312" s="1016">
        <f t="shared" si="15"/>
        <v>0</v>
      </c>
    </row>
    <row r="313" spans="2:44" ht="15" customHeight="1">
      <c r="B313" s="2"/>
      <c r="C313"/>
      <c r="D313"/>
      <c r="E313"/>
      <c r="F313"/>
      <c r="G313"/>
      <c r="H313"/>
      <c r="I313"/>
      <c r="J313"/>
      <c r="K313"/>
      <c r="L313"/>
      <c r="M313"/>
      <c r="N313"/>
      <c r="O313"/>
      <c r="P313"/>
      <c r="Q313"/>
      <c r="AA313" s="1686"/>
      <c r="AB313" s="53" t="str">
        <f>'Other Costs'!$DE65</f>
        <v/>
      </c>
      <c r="AC313" s="53" t="str">
        <f>'Other Costs'!$DF65</f>
        <v/>
      </c>
      <c r="AD313" s="53" t="str">
        <f>'Other Costs'!$DG65</f>
        <v/>
      </c>
      <c r="AE313" s="53" t="str">
        <f>'Other Costs'!$DH65</f>
        <v/>
      </c>
      <c r="AF313" s="53" t="str">
        <f>'Other Costs'!$DI65</f>
        <v/>
      </c>
      <c r="AG313" s="1009">
        <f>'Other Costs'!$DJ65</f>
        <v>0</v>
      </c>
      <c r="AH313" s="1009">
        <f>'Other Costs'!$DK65</f>
        <v>0</v>
      </c>
      <c r="AI313" s="1009">
        <f>'Other Costs'!$DL65</f>
        <v>0</v>
      </c>
      <c r="AJ313" s="1009">
        <f>'Other Costs'!$DM65</f>
        <v>0</v>
      </c>
      <c r="AK313" s="1009">
        <f>'Other Costs'!$DN65</f>
        <v>0</v>
      </c>
      <c r="AL313" s="1009">
        <f>'Other Costs'!$DO65</f>
        <v>0</v>
      </c>
      <c r="AM313" s="1007">
        <v>0</v>
      </c>
      <c r="AN313" s="1007">
        <v>0</v>
      </c>
      <c r="AO313" s="1007">
        <v>0</v>
      </c>
      <c r="AP313" s="1007">
        <v>0</v>
      </c>
      <c r="AQ313" s="1007">
        <v>0</v>
      </c>
      <c r="AR313" s="1016">
        <f t="shared" si="15"/>
        <v>0</v>
      </c>
    </row>
    <row r="314" spans="2:44" ht="15" customHeight="1">
      <c r="B314" s="2"/>
      <c r="C314"/>
      <c r="D314"/>
      <c r="E314"/>
      <c r="F314"/>
      <c r="G314"/>
      <c r="H314"/>
      <c r="I314"/>
      <c r="J314"/>
      <c r="K314"/>
      <c r="L314"/>
      <c r="M314"/>
      <c r="N314"/>
      <c r="O314"/>
      <c r="P314"/>
      <c r="Q314"/>
      <c r="AA314" s="1686"/>
      <c r="AB314" s="53" t="str">
        <f>'Other Costs'!$DE66</f>
        <v/>
      </c>
      <c r="AC314" s="53" t="str">
        <f>'Other Costs'!$DF66</f>
        <v/>
      </c>
      <c r="AD314" s="53" t="str">
        <f>'Other Costs'!$DG66</f>
        <v/>
      </c>
      <c r="AE314" s="53" t="str">
        <f>'Other Costs'!$DH66</f>
        <v/>
      </c>
      <c r="AF314" s="53" t="str">
        <f>'Other Costs'!$DI66</f>
        <v/>
      </c>
      <c r="AG314" s="1009">
        <f>'Other Costs'!$DJ66</f>
        <v>0</v>
      </c>
      <c r="AH314" s="1009">
        <f>'Other Costs'!$DK66</f>
        <v>0</v>
      </c>
      <c r="AI314" s="1009">
        <f>'Other Costs'!$DL66</f>
        <v>0</v>
      </c>
      <c r="AJ314" s="1009">
        <f>'Other Costs'!$DM66</f>
        <v>0</v>
      </c>
      <c r="AK314" s="1009">
        <f>'Other Costs'!$DN66</f>
        <v>0</v>
      </c>
      <c r="AL314" s="1009">
        <f>'Other Costs'!$DO66</f>
        <v>0</v>
      </c>
      <c r="AM314" s="1007">
        <v>0</v>
      </c>
      <c r="AN314" s="1007">
        <v>0</v>
      </c>
      <c r="AO314" s="1007">
        <v>0</v>
      </c>
      <c r="AP314" s="1007">
        <v>0</v>
      </c>
      <c r="AQ314" s="1007">
        <v>0</v>
      </c>
      <c r="AR314" s="1016">
        <f t="shared" si="15"/>
        <v>0</v>
      </c>
    </row>
    <row r="315" spans="2:44" ht="15" customHeight="1">
      <c r="B315" s="2"/>
      <c r="C315"/>
      <c r="D315"/>
      <c r="E315"/>
      <c r="F315"/>
      <c r="G315"/>
      <c r="H315"/>
      <c r="I315"/>
      <c r="J315"/>
      <c r="K315"/>
      <c r="L315"/>
      <c r="M315"/>
      <c r="N315"/>
      <c r="O315"/>
      <c r="P315"/>
      <c r="Q315"/>
      <c r="AA315" s="1686"/>
      <c r="AB315" s="53" t="str">
        <f>'Other Costs'!$DE67</f>
        <v/>
      </c>
      <c r="AC315" s="53" t="str">
        <f>'Other Costs'!$DF67</f>
        <v/>
      </c>
      <c r="AD315" s="53" t="str">
        <f>'Other Costs'!$DG67</f>
        <v/>
      </c>
      <c r="AE315" s="53" t="str">
        <f>'Other Costs'!$DH67</f>
        <v/>
      </c>
      <c r="AF315" s="53" t="str">
        <f>'Other Costs'!$DI67</f>
        <v/>
      </c>
      <c r="AG315" s="1009">
        <f>'Other Costs'!$DJ67</f>
        <v>0</v>
      </c>
      <c r="AH315" s="1009">
        <f>'Other Costs'!$DK67</f>
        <v>0</v>
      </c>
      <c r="AI315" s="1009">
        <f>'Other Costs'!$DL67</f>
        <v>0</v>
      </c>
      <c r="AJ315" s="1009">
        <f>'Other Costs'!$DM67</f>
        <v>0</v>
      </c>
      <c r="AK315" s="1009">
        <f>'Other Costs'!$DN67</f>
        <v>0</v>
      </c>
      <c r="AL315" s="1009">
        <f>'Other Costs'!$DO67</f>
        <v>0</v>
      </c>
      <c r="AM315" s="1007">
        <v>0</v>
      </c>
      <c r="AN315" s="1007">
        <v>0</v>
      </c>
      <c r="AO315" s="1007">
        <v>0</v>
      </c>
      <c r="AP315" s="1007">
        <v>0</v>
      </c>
      <c r="AQ315" s="1007">
        <v>0</v>
      </c>
      <c r="AR315" s="1016">
        <f t="shared" si="15"/>
        <v>0</v>
      </c>
    </row>
    <row r="316" spans="2:44" ht="15" customHeight="1">
      <c r="B316" s="2"/>
      <c r="C316"/>
      <c r="D316"/>
      <c r="E316"/>
      <c r="F316"/>
      <c r="G316"/>
      <c r="H316"/>
      <c r="I316"/>
      <c r="J316"/>
      <c r="K316"/>
      <c r="L316"/>
      <c r="M316"/>
      <c r="N316"/>
      <c r="O316"/>
      <c r="P316"/>
      <c r="Q316"/>
      <c r="AA316" s="1686"/>
      <c r="AB316" s="53" t="str">
        <f>'Other Costs'!$DE68</f>
        <v/>
      </c>
      <c r="AC316" s="53" t="str">
        <f>'Other Costs'!$DF68</f>
        <v/>
      </c>
      <c r="AD316" s="53" t="str">
        <f>'Other Costs'!$DG68</f>
        <v/>
      </c>
      <c r="AE316" s="53" t="str">
        <f>'Other Costs'!$DH68</f>
        <v/>
      </c>
      <c r="AF316" s="53" t="str">
        <f>'Other Costs'!$DI68</f>
        <v/>
      </c>
      <c r="AG316" s="1009">
        <f>'Other Costs'!$DJ68</f>
        <v>0</v>
      </c>
      <c r="AH316" s="1009">
        <f>'Other Costs'!$DK68</f>
        <v>0</v>
      </c>
      <c r="AI316" s="1009">
        <f>'Other Costs'!$DL68</f>
        <v>0</v>
      </c>
      <c r="AJ316" s="1009">
        <f>'Other Costs'!$DM68</f>
        <v>0</v>
      </c>
      <c r="AK316" s="1009">
        <f>'Other Costs'!$DN68</f>
        <v>0</v>
      </c>
      <c r="AL316" s="1009">
        <f>'Other Costs'!$DO68</f>
        <v>0</v>
      </c>
      <c r="AM316" s="1007">
        <v>0</v>
      </c>
      <c r="AN316" s="1007">
        <v>0</v>
      </c>
      <c r="AO316" s="1007">
        <v>0</v>
      </c>
      <c r="AP316" s="1007">
        <v>0</v>
      </c>
      <c r="AQ316" s="1007">
        <v>0</v>
      </c>
      <c r="AR316" s="1016">
        <f t="shared" si="15"/>
        <v>0</v>
      </c>
    </row>
    <row r="317" spans="2:44" ht="15" customHeight="1">
      <c r="B317" s="2"/>
      <c r="C317"/>
      <c r="D317"/>
      <c r="E317"/>
      <c r="F317"/>
      <c r="G317"/>
      <c r="H317"/>
      <c r="I317"/>
      <c r="J317"/>
      <c r="K317"/>
      <c r="L317"/>
      <c r="M317"/>
      <c r="N317"/>
      <c r="O317"/>
      <c r="P317"/>
      <c r="Q317"/>
      <c r="AA317" s="1686"/>
      <c r="AB317" s="53" t="str">
        <f>'Other Costs'!$DE69</f>
        <v/>
      </c>
      <c r="AC317" s="53" t="str">
        <f>'Other Costs'!$DF69</f>
        <v/>
      </c>
      <c r="AD317" s="53" t="str">
        <f>'Other Costs'!$DG69</f>
        <v/>
      </c>
      <c r="AE317" s="53" t="str">
        <f>'Other Costs'!$DH69</f>
        <v/>
      </c>
      <c r="AF317" s="53" t="str">
        <f>'Other Costs'!$DI69</f>
        <v/>
      </c>
      <c r="AG317" s="1009">
        <f>'Other Costs'!$DJ69</f>
        <v>0</v>
      </c>
      <c r="AH317" s="1009">
        <f>'Other Costs'!$DK69</f>
        <v>0</v>
      </c>
      <c r="AI317" s="1009">
        <f>'Other Costs'!$DL69</f>
        <v>0</v>
      </c>
      <c r="AJ317" s="1009">
        <f>'Other Costs'!$DM69</f>
        <v>0</v>
      </c>
      <c r="AK317" s="1009">
        <f>'Other Costs'!$DN69</f>
        <v>0</v>
      </c>
      <c r="AL317" s="1009">
        <f>'Other Costs'!$DO69</f>
        <v>0</v>
      </c>
      <c r="AM317" s="1007">
        <v>0</v>
      </c>
      <c r="AN317" s="1007">
        <v>0</v>
      </c>
      <c r="AO317" s="1007">
        <v>0</v>
      </c>
      <c r="AP317" s="1007">
        <v>0</v>
      </c>
      <c r="AQ317" s="1007">
        <v>0</v>
      </c>
      <c r="AR317" s="1016">
        <f t="shared" si="15"/>
        <v>0</v>
      </c>
    </row>
    <row r="318" spans="2:44" ht="15" customHeight="1">
      <c r="B318" s="2"/>
      <c r="C318"/>
      <c r="D318"/>
      <c r="E318"/>
      <c r="F318"/>
      <c r="G318"/>
      <c r="H318"/>
      <c r="I318"/>
      <c r="J318"/>
      <c r="K318"/>
      <c r="L318"/>
      <c r="M318"/>
      <c r="N318"/>
      <c r="O318"/>
      <c r="P318"/>
      <c r="Q318"/>
      <c r="AA318" s="1686"/>
      <c r="AB318" s="53" t="str">
        <f>'Other Costs'!$DE70</f>
        <v/>
      </c>
      <c r="AC318" s="53" t="str">
        <f>'Other Costs'!$DF70</f>
        <v/>
      </c>
      <c r="AD318" s="53" t="str">
        <f>'Other Costs'!$DG70</f>
        <v/>
      </c>
      <c r="AE318" s="53" t="str">
        <f>'Other Costs'!$DH70</f>
        <v/>
      </c>
      <c r="AF318" s="53" t="str">
        <f>'Other Costs'!$DI70</f>
        <v/>
      </c>
      <c r="AG318" s="1009">
        <f>'Other Costs'!$DJ70</f>
        <v>0</v>
      </c>
      <c r="AH318" s="1009">
        <f>'Other Costs'!$DK70</f>
        <v>0</v>
      </c>
      <c r="AI318" s="1009">
        <f>'Other Costs'!$DL70</f>
        <v>0</v>
      </c>
      <c r="AJ318" s="1009">
        <f>'Other Costs'!$DM70</f>
        <v>0</v>
      </c>
      <c r="AK318" s="1009">
        <f>'Other Costs'!$DN70</f>
        <v>0</v>
      </c>
      <c r="AL318" s="1009">
        <f>'Other Costs'!$DO70</f>
        <v>0</v>
      </c>
      <c r="AM318" s="1007">
        <v>0</v>
      </c>
      <c r="AN318" s="1007">
        <v>0</v>
      </c>
      <c r="AO318" s="1007">
        <v>0</v>
      </c>
      <c r="AP318" s="1007">
        <v>0</v>
      </c>
      <c r="AQ318" s="1007">
        <v>0</v>
      </c>
      <c r="AR318" s="1016">
        <f t="shared" ref="AR318:AR381" si="16">SUM(AG318:AQ318)</f>
        <v>0</v>
      </c>
    </row>
    <row r="319" spans="2:44" ht="15" customHeight="1">
      <c r="B319" s="2"/>
      <c r="C319"/>
      <c r="D319"/>
      <c r="E319"/>
      <c r="F319"/>
      <c r="G319"/>
      <c r="H319"/>
      <c r="I319"/>
      <c r="J319"/>
      <c r="K319"/>
      <c r="L319"/>
      <c r="M319"/>
      <c r="N319"/>
      <c r="O319"/>
      <c r="P319"/>
      <c r="Q319"/>
      <c r="AA319" s="1686"/>
      <c r="AB319" s="53" t="str">
        <f>'Other Costs'!$DE71</f>
        <v/>
      </c>
      <c r="AC319" s="53" t="str">
        <f>'Other Costs'!$DF71</f>
        <v/>
      </c>
      <c r="AD319" s="53" t="str">
        <f>'Other Costs'!$DG71</f>
        <v/>
      </c>
      <c r="AE319" s="53" t="str">
        <f>'Other Costs'!$DH71</f>
        <v/>
      </c>
      <c r="AF319" s="53" t="str">
        <f>'Other Costs'!$DI71</f>
        <v/>
      </c>
      <c r="AG319" s="1009">
        <f>'Other Costs'!$DJ71</f>
        <v>0</v>
      </c>
      <c r="AH319" s="1009">
        <f>'Other Costs'!$DK71</f>
        <v>0</v>
      </c>
      <c r="AI319" s="1009">
        <f>'Other Costs'!$DL71</f>
        <v>0</v>
      </c>
      <c r="AJ319" s="1009">
        <f>'Other Costs'!$DM71</f>
        <v>0</v>
      </c>
      <c r="AK319" s="1009">
        <f>'Other Costs'!$DN71</f>
        <v>0</v>
      </c>
      <c r="AL319" s="1009">
        <f>'Other Costs'!$DO71</f>
        <v>0</v>
      </c>
      <c r="AM319" s="1007">
        <v>0</v>
      </c>
      <c r="AN319" s="1007">
        <v>0</v>
      </c>
      <c r="AO319" s="1007">
        <v>0</v>
      </c>
      <c r="AP319" s="1007">
        <v>0</v>
      </c>
      <c r="AQ319" s="1007">
        <v>0</v>
      </c>
      <c r="AR319" s="1016">
        <f t="shared" si="16"/>
        <v>0</v>
      </c>
    </row>
    <row r="320" spans="2:44" ht="15" customHeight="1">
      <c r="B320" s="2"/>
      <c r="C320"/>
      <c r="D320"/>
      <c r="E320"/>
      <c r="F320"/>
      <c r="G320"/>
      <c r="H320"/>
      <c r="I320"/>
      <c r="J320"/>
      <c r="K320"/>
      <c r="L320"/>
      <c r="M320"/>
      <c r="N320"/>
      <c r="O320"/>
      <c r="P320"/>
      <c r="Q320"/>
      <c r="AA320" s="1686"/>
      <c r="AB320" s="53" t="str">
        <f>'Other Costs'!$DE72</f>
        <v/>
      </c>
      <c r="AC320" s="53" t="str">
        <f>'Other Costs'!$DF72</f>
        <v/>
      </c>
      <c r="AD320" s="53" t="str">
        <f>'Other Costs'!$DG72</f>
        <v/>
      </c>
      <c r="AE320" s="53" t="str">
        <f>'Other Costs'!$DH72</f>
        <v/>
      </c>
      <c r="AF320" s="53" t="str">
        <f>'Other Costs'!$DI72</f>
        <v/>
      </c>
      <c r="AG320" s="1009">
        <f>'Other Costs'!$DJ72</f>
        <v>0</v>
      </c>
      <c r="AH320" s="1009">
        <f>'Other Costs'!$DK72</f>
        <v>0</v>
      </c>
      <c r="AI320" s="1009">
        <f>'Other Costs'!$DL72</f>
        <v>0</v>
      </c>
      <c r="AJ320" s="1009">
        <f>'Other Costs'!$DM72</f>
        <v>0</v>
      </c>
      <c r="AK320" s="1009">
        <f>'Other Costs'!$DN72</f>
        <v>0</v>
      </c>
      <c r="AL320" s="1009">
        <f>'Other Costs'!$DO72</f>
        <v>0</v>
      </c>
      <c r="AM320" s="1007">
        <v>0</v>
      </c>
      <c r="AN320" s="1007">
        <v>0</v>
      </c>
      <c r="AO320" s="1007">
        <v>0</v>
      </c>
      <c r="AP320" s="1007">
        <v>0</v>
      </c>
      <c r="AQ320" s="1007">
        <v>0</v>
      </c>
      <c r="AR320" s="1016">
        <f t="shared" si="16"/>
        <v>0</v>
      </c>
    </row>
    <row r="321" spans="2:44" ht="15" customHeight="1">
      <c r="B321" s="2"/>
      <c r="C321"/>
      <c r="D321"/>
      <c r="E321"/>
      <c r="F321"/>
      <c r="G321"/>
      <c r="H321"/>
      <c r="I321"/>
      <c r="J321"/>
      <c r="K321"/>
      <c r="L321"/>
      <c r="M321"/>
      <c r="N321"/>
      <c r="O321"/>
      <c r="P321"/>
      <c r="Q321"/>
      <c r="AA321" s="1686"/>
      <c r="AB321" s="53" t="str">
        <f>'Other Costs'!$DE73</f>
        <v/>
      </c>
      <c r="AC321" s="53" t="str">
        <f>'Other Costs'!$DF73</f>
        <v/>
      </c>
      <c r="AD321" s="53" t="str">
        <f>'Other Costs'!$DG73</f>
        <v/>
      </c>
      <c r="AE321" s="53" t="str">
        <f>'Other Costs'!$DH73</f>
        <v/>
      </c>
      <c r="AF321" s="53" t="str">
        <f>'Other Costs'!$DI73</f>
        <v/>
      </c>
      <c r="AG321" s="1009">
        <f>'Other Costs'!$DJ73</f>
        <v>0</v>
      </c>
      <c r="AH321" s="1009">
        <f>'Other Costs'!$DK73</f>
        <v>0</v>
      </c>
      <c r="AI321" s="1009">
        <f>'Other Costs'!$DL73</f>
        <v>0</v>
      </c>
      <c r="AJ321" s="1009">
        <f>'Other Costs'!$DM73</f>
        <v>0</v>
      </c>
      <c r="AK321" s="1009">
        <f>'Other Costs'!$DN73</f>
        <v>0</v>
      </c>
      <c r="AL321" s="1009">
        <f>'Other Costs'!$DO73</f>
        <v>0</v>
      </c>
      <c r="AM321" s="1007">
        <v>0</v>
      </c>
      <c r="AN321" s="1007">
        <v>0</v>
      </c>
      <c r="AO321" s="1007">
        <v>0</v>
      </c>
      <c r="AP321" s="1007">
        <v>0</v>
      </c>
      <c r="AQ321" s="1007">
        <v>0</v>
      </c>
      <c r="AR321" s="1016">
        <f t="shared" si="16"/>
        <v>0</v>
      </c>
    </row>
    <row r="322" spans="2:44" ht="15" customHeight="1">
      <c r="B322" s="2"/>
      <c r="C322"/>
      <c r="D322"/>
      <c r="E322"/>
      <c r="F322"/>
      <c r="G322"/>
      <c r="H322"/>
      <c r="I322"/>
      <c r="J322"/>
      <c r="K322"/>
      <c r="L322"/>
      <c r="M322"/>
      <c r="N322"/>
      <c r="O322"/>
      <c r="P322"/>
      <c r="Q322"/>
      <c r="AA322" s="1686"/>
      <c r="AB322" s="53" t="str">
        <f>'Other Costs'!$DE74</f>
        <v/>
      </c>
      <c r="AC322" s="53" t="str">
        <f>'Other Costs'!$DF74</f>
        <v/>
      </c>
      <c r="AD322" s="53" t="str">
        <f>'Other Costs'!$DG74</f>
        <v/>
      </c>
      <c r="AE322" s="53" t="str">
        <f>'Other Costs'!$DH74</f>
        <v/>
      </c>
      <c r="AF322" s="53" t="str">
        <f>'Other Costs'!$DI74</f>
        <v/>
      </c>
      <c r="AG322" s="1009">
        <f>'Other Costs'!$DJ74</f>
        <v>0</v>
      </c>
      <c r="AH322" s="1009">
        <f>'Other Costs'!$DK74</f>
        <v>0</v>
      </c>
      <c r="AI322" s="1009">
        <f>'Other Costs'!$DL74</f>
        <v>0</v>
      </c>
      <c r="AJ322" s="1009">
        <f>'Other Costs'!$DM74</f>
        <v>0</v>
      </c>
      <c r="AK322" s="1009">
        <f>'Other Costs'!$DN74</f>
        <v>0</v>
      </c>
      <c r="AL322" s="1009">
        <f>'Other Costs'!$DO74</f>
        <v>0</v>
      </c>
      <c r="AM322" s="1007">
        <v>0</v>
      </c>
      <c r="AN322" s="1007">
        <v>0</v>
      </c>
      <c r="AO322" s="1007">
        <v>0</v>
      </c>
      <c r="AP322" s="1007">
        <v>0</v>
      </c>
      <c r="AQ322" s="1007">
        <v>0</v>
      </c>
      <c r="AR322" s="1016">
        <f t="shared" si="16"/>
        <v>0</v>
      </c>
    </row>
    <row r="323" spans="2:44" ht="15" customHeight="1">
      <c r="B323" s="2"/>
      <c r="C323"/>
      <c r="D323"/>
      <c r="E323"/>
      <c r="F323"/>
      <c r="G323"/>
      <c r="H323"/>
      <c r="I323"/>
      <c r="J323"/>
      <c r="K323"/>
      <c r="L323"/>
      <c r="M323"/>
      <c r="N323"/>
      <c r="O323"/>
      <c r="P323"/>
      <c r="Q323"/>
      <c r="AA323" s="1686"/>
      <c r="AB323" s="53" t="str">
        <f>'Other Costs'!$DE75</f>
        <v/>
      </c>
      <c r="AC323" s="53" t="str">
        <f>'Other Costs'!$DF75</f>
        <v/>
      </c>
      <c r="AD323" s="53" t="str">
        <f>'Other Costs'!$DG75</f>
        <v/>
      </c>
      <c r="AE323" s="53" t="str">
        <f>'Other Costs'!$DH75</f>
        <v/>
      </c>
      <c r="AF323" s="53" t="str">
        <f>'Other Costs'!$DI75</f>
        <v/>
      </c>
      <c r="AG323" s="1009">
        <f>'Other Costs'!$DJ75</f>
        <v>0</v>
      </c>
      <c r="AH323" s="1009">
        <f>'Other Costs'!$DK75</f>
        <v>0</v>
      </c>
      <c r="AI323" s="1009">
        <f>'Other Costs'!$DL75</f>
        <v>0</v>
      </c>
      <c r="AJ323" s="1009">
        <f>'Other Costs'!$DM75</f>
        <v>0</v>
      </c>
      <c r="AK323" s="1009">
        <f>'Other Costs'!$DN75</f>
        <v>0</v>
      </c>
      <c r="AL323" s="1009">
        <f>'Other Costs'!$DO75</f>
        <v>0</v>
      </c>
      <c r="AM323" s="1007">
        <v>0</v>
      </c>
      <c r="AN323" s="1007">
        <v>0</v>
      </c>
      <c r="AO323" s="1007">
        <v>0</v>
      </c>
      <c r="AP323" s="1007">
        <v>0</v>
      </c>
      <c r="AQ323" s="1007">
        <v>0</v>
      </c>
      <c r="AR323" s="1016">
        <f t="shared" si="16"/>
        <v>0</v>
      </c>
    </row>
    <row r="324" spans="2:44" ht="15" customHeight="1">
      <c r="B324" s="2"/>
      <c r="C324"/>
      <c r="D324"/>
      <c r="E324"/>
      <c r="F324"/>
      <c r="G324"/>
      <c r="H324"/>
      <c r="I324"/>
      <c r="J324"/>
      <c r="K324"/>
      <c r="L324"/>
      <c r="M324"/>
      <c r="N324"/>
      <c r="O324"/>
      <c r="P324"/>
      <c r="Q324"/>
      <c r="AA324" s="1686"/>
      <c r="AB324" s="53" t="str">
        <f>'Other Costs'!$DE76</f>
        <v/>
      </c>
      <c r="AC324" s="53" t="str">
        <f>'Other Costs'!$DF76</f>
        <v/>
      </c>
      <c r="AD324" s="53" t="str">
        <f>'Other Costs'!$DG76</f>
        <v/>
      </c>
      <c r="AE324" s="53" t="str">
        <f>'Other Costs'!$DH76</f>
        <v/>
      </c>
      <c r="AF324" s="53" t="str">
        <f>'Other Costs'!$DI76</f>
        <v/>
      </c>
      <c r="AG324" s="1009">
        <f>'Other Costs'!$DJ76</f>
        <v>0</v>
      </c>
      <c r="AH324" s="1009">
        <f>'Other Costs'!$DK76</f>
        <v>0</v>
      </c>
      <c r="AI324" s="1009">
        <f>'Other Costs'!$DL76</f>
        <v>0</v>
      </c>
      <c r="AJ324" s="1009">
        <f>'Other Costs'!$DM76</f>
        <v>0</v>
      </c>
      <c r="AK324" s="1009">
        <f>'Other Costs'!$DN76</f>
        <v>0</v>
      </c>
      <c r="AL324" s="1009">
        <f>'Other Costs'!$DO76</f>
        <v>0</v>
      </c>
      <c r="AM324" s="1007">
        <v>0</v>
      </c>
      <c r="AN324" s="1007">
        <v>0</v>
      </c>
      <c r="AO324" s="1007">
        <v>0</v>
      </c>
      <c r="AP324" s="1007">
        <v>0</v>
      </c>
      <c r="AQ324" s="1007">
        <v>0</v>
      </c>
      <c r="AR324" s="1016">
        <f t="shared" si="16"/>
        <v>0</v>
      </c>
    </row>
    <row r="325" spans="2:44" ht="15" customHeight="1">
      <c r="B325" s="2"/>
      <c r="C325"/>
      <c r="D325"/>
      <c r="E325"/>
      <c r="F325"/>
      <c r="G325"/>
      <c r="H325"/>
      <c r="I325"/>
      <c r="J325"/>
      <c r="K325"/>
      <c r="L325"/>
      <c r="M325"/>
      <c r="N325"/>
      <c r="O325"/>
      <c r="P325"/>
      <c r="Q325"/>
      <c r="AA325" s="1686"/>
      <c r="AB325" s="53" t="str">
        <f>'Other Costs'!$DE77</f>
        <v/>
      </c>
      <c r="AC325" s="53" t="str">
        <f>'Other Costs'!$DF77</f>
        <v/>
      </c>
      <c r="AD325" s="53" t="str">
        <f>'Other Costs'!$DG77</f>
        <v/>
      </c>
      <c r="AE325" s="53" t="str">
        <f>'Other Costs'!$DH77</f>
        <v/>
      </c>
      <c r="AF325" s="53" t="str">
        <f>'Other Costs'!$DI77</f>
        <v/>
      </c>
      <c r="AG325" s="1009">
        <f>'Other Costs'!$DJ77</f>
        <v>0</v>
      </c>
      <c r="AH325" s="1009">
        <f>'Other Costs'!$DK77</f>
        <v>0</v>
      </c>
      <c r="AI325" s="1009">
        <f>'Other Costs'!$DL77</f>
        <v>0</v>
      </c>
      <c r="AJ325" s="1009">
        <f>'Other Costs'!$DM77</f>
        <v>0</v>
      </c>
      <c r="AK325" s="1009">
        <f>'Other Costs'!$DN77</f>
        <v>0</v>
      </c>
      <c r="AL325" s="1009">
        <f>'Other Costs'!$DO77</f>
        <v>0</v>
      </c>
      <c r="AM325" s="1007">
        <v>0</v>
      </c>
      <c r="AN325" s="1007">
        <v>0</v>
      </c>
      <c r="AO325" s="1007">
        <v>0</v>
      </c>
      <c r="AP325" s="1007">
        <v>0</v>
      </c>
      <c r="AQ325" s="1007">
        <v>0</v>
      </c>
      <c r="AR325" s="1016">
        <f t="shared" si="16"/>
        <v>0</v>
      </c>
    </row>
    <row r="326" spans="2:44" ht="15" customHeight="1">
      <c r="B326" s="2"/>
      <c r="C326"/>
      <c r="D326"/>
      <c r="E326"/>
      <c r="F326"/>
      <c r="G326"/>
      <c r="H326"/>
      <c r="I326"/>
      <c r="J326"/>
      <c r="K326"/>
      <c r="L326"/>
      <c r="M326"/>
      <c r="N326"/>
      <c r="O326"/>
      <c r="P326"/>
      <c r="Q326"/>
      <c r="AA326" s="1686"/>
      <c r="AB326" s="53" t="str">
        <f>'Other Costs'!$DE78</f>
        <v/>
      </c>
      <c r="AC326" s="53" t="str">
        <f>'Other Costs'!$DF78</f>
        <v/>
      </c>
      <c r="AD326" s="53" t="str">
        <f>'Other Costs'!$DG78</f>
        <v/>
      </c>
      <c r="AE326" s="53" t="str">
        <f>'Other Costs'!$DH78</f>
        <v/>
      </c>
      <c r="AF326" s="53" t="str">
        <f>'Other Costs'!$DI78</f>
        <v/>
      </c>
      <c r="AG326" s="1009">
        <f>'Other Costs'!$DJ78</f>
        <v>0</v>
      </c>
      <c r="AH326" s="1009">
        <f>'Other Costs'!$DK78</f>
        <v>0</v>
      </c>
      <c r="AI326" s="1009">
        <f>'Other Costs'!$DL78</f>
        <v>0</v>
      </c>
      <c r="AJ326" s="1009">
        <f>'Other Costs'!$DM78</f>
        <v>0</v>
      </c>
      <c r="AK326" s="1009">
        <f>'Other Costs'!$DN78</f>
        <v>0</v>
      </c>
      <c r="AL326" s="1009">
        <f>'Other Costs'!$DO78</f>
        <v>0</v>
      </c>
      <c r="AM326" s="1007">
        <v>0</v>
      </c>
      <c r="AN326" s="1007">
        <v>0</v>
      </c>
      <c r="AO326" s="1007">
        <v>0</v>
      </c>
      <c r="AP326" s="1007">
        <v>0</v>
      </c>
      <c r="AQ326" s="1007">
        <v>0</v>
      </c>
      <c r="AR326" s="1016">
        <f t="shared" si="16"/>
        <v>0</v>
      </c>
    </row>
    <row r="327" spans="2:44" ht="15" customHeight="1">
      <c r="B327" s="2"/>
      <c r="C327"/>
      <c r="D327"/>
      <c r="E327"/>
      <c r="F327"/>
      <c r="G327"/>
      <c r="H327"/>
      <c r="I327"/>
      <c r="J327"/>
      <c r="K327"/>
      <c r="L327"/>
      <c r="M327"/>
      <c r="N327"/>
      <c r="O327"/>
      <c r="P327"/>
      <c r="Q327"/>
      <c r="AA327" s="1686"/>
      <c r="AB327" s="53" t="str">
        <f>'Other Costs'!$DE79</f>
        <v/>
      </c>
      <c r="AC327" s="53" t="str">
        <f>'Other Costs'!$DF79</f>
        <v/>
      </c>
      <c r="AD327" s="53" t="str">
        <f>'Other Costs'!$DG79</f>
        <v/>
      </c>
      <c r="AE327" s="53" t="str">
        <f>'Other Costs'!$DH79</f>
        <v/>
      </c>
      <c r="AF327" s="53" t="str">
        <f>'Other Costs'!$DI79</f>
        <v/>
      </c>
      <c r="AG327" s="1009">
        <f>'Other Costs'!$DJ79</f>
        <v>0</v>
      </c>
      <c r="AH327" s="1009">
        <f>'Other Costs'!$DK79</f>
        <v>0</v>
      </c>
      <c r="AI327" s="1009">
        <f>'Other Costs'!$DL79</f>
        <v>0</v>
      </c>
      <c r="AJ327" s="1009">
        <f>'Other Costs'!$DM79</f>
        <v>0</v>
      </c>
      <c r="AK327" s="1009">
        <f>'Other Costs'!$DN79</f>
        <v>0</v>
      </c>
      <c r="AL327" s="1009">
        <f>'Other Costs'!$DO79</f>
        <v>0</v>
      </c>
      <c r="AM327" s="1007">
        <v>0</v>
      </c>
      <c r="AN327" s="1007">
        <v>0</v>
      </c>
      <c r="AO327" s="1007">
        <v>0</v>
      </c>
      <c r="AP327" s="1007">
        <v>0</v>
      </c>
      <c r="AQ327" s="1007">
        <v>0</v>
      </c>
      <c r="AR327" s="1016">
        <f t="shared" si="16"/>
        <v>0</v>
      </c>
    </row>
    <row r="328" spans="2:44" ht="15" customHeight="1">
      <c r="B328" s="2"/>
      <c r="C328"/>
      <c r="D328"/>
      <c r="E328"/>
      <c r="F328"/>
      <c r="G328"/>
      <c r="H328"/>
      <c r="I328"/>
      <c r="J328"/>
      <c r="K328"/>
      <c r="L328"/>
      <c r="M328"/>
      <c r="N328"/>
      <c r="O328"/>
      <c r="P328"/>
      <c r="Q328"/>
      <c r="AA328" s="1686"/>
      <c r="AB328" s="53" t="str">
        <f>'Other Costs'!$DE80</f>
        <v/>
      </c>
      <c r="AC328" s="53" t="str">
        <f>'Other Costs'!$DF80</f>
        <v/>
      </c>
      <c r="AD328" s="53" t="str">
        <f>'Other Costs'!$DG80</f>
        <v/>
      </c>
      <c r="AE328" s="53" t="str">
        <f>'Other Costs'!$DH80</f>
        <v/>
      </c>
      <c r="AF328" s="53" t="str">
        <f>'Other Costs'!$DI80</f>
        <v/>
      </c>
      <c r="AG328" s="1009">
        <f>'Other Costs'!$DJ80</f>
        <v>0</v>
      </c>
      <c r="AH328" s="1009">
        <f>'Other Costs'!$DK80</f>
        <v>0</v>
      </c>
      <c r="AI328" s="1009">
        <f>'Other Costs'!$DL80</f>
        <v>0</v>
      </c>
      <c r="AJ328" s="1009">
        <f>'Other Costs'!$DM80</f>
        <v>0</v>
      </c>
      <c r="AK328" s="1009">
        <f>'Other Costs'!$DN80</f>
        <v>0</v>
      </c>
      <c r="AL328" s="1009">
        <f>'Other Costs'!$DO80</f>
        <v>0</v>
      </c>
      <c r="AM328" s="1007">
        <v>0</v>
      </c>
      <c r="AN328" s="1007">
        <v>0</v>
      </c>
      <c r="AO328" s="1007">
        <v>0</v>
      </c>
      <c r="AP328" s="1007">
        <v>0</v>
      </c>
      <c r="AQ328" s="1007">
        <v>0</v>
      </c>
      <c r="AR328" s="1016">
        <f t="shared" si="16"/>
        <v>0</v>
      </c>
    </row>
    <row r="329" spans="2:44" ht="15" customHeight="1">
      <c r="B329" s="2"/>
      <c r="C329"/>
      <c r="D329"/>
      <c r="E329"/>
      <c r="F329"/>
      <c r="G329"/>
      <c r="H329"/>
      <c r="I329"/>
      <c r="J329"/>
      <c r="K329"/>
      <c r="L329"/>
      <c r="M329"/>
      <c r="N329"/>
      <c r="O329"/>
      <c r="P329"/>
      <c r="Q329"/>
      <c r="AA329" s="1686"/>
      <c r="AB329" s="53" t="str">
        <f>'Other Costs'!$DE81</f>
        <v/>
      </c>
      <c r="AC329" s="53" t="str">
        <f>'Other Costs'!$DF81</f>
        <v/>
      </c>
      <c r="AD329" s="53" t="str">
        <f>'Other Costs'!$DG81</f>
        <v/>
      </c>
      <c r="AE329" s="53" t="str">
        <f>'Other Costs'!$DH81</f>
        <v/>
      </c>
      <c r="AF329" s="53" t="str">
        <f>'Other Costs'!$DI81</f>
        <v/>
      </c>
      <c r="AG329" s="1009">
        <f>'Other Costs'!$DJ81</f>
        <v>0</v>
      </c>
      <c r="AH329" s="1009">
        <f>'Other Costs'!$DK81</f>
        <v>0</v>
      </c>
      <c r="AI329" s="1009">
        <f>'Other Costs'!$DL81</f>
        <v>0</v>
      </c>
      <c r="AJ329" s="1009">
        <f>'Other Costs'!$DM81</f>
        <v>0</v>
      </c>
      <c r="AK329" s="1009">
        <f>'Other Costs'!$DN81</f>
        <v>0</v>
      </c>
      <c r="AL329" s="1009">
        <f>'Other Costs'!$DO81</f>
        <v>0</v>
      </c>
      <c r="AM329" s="1007">
        <v>0</v>
      </c>
      <c r="AN329" s="1007">
        <v>0</v>
      </c>
      <c r="AO329" s="1007">
        <v>0</v>
      </c>
      <c r="AP329" s="1007">
        <v>0</v>
      </c>
      <c r="AQ329" s="1007">
        <v>0</v>
      </c>
      <c r="AR329" s="1016">
        <f t="shared" si="16"/>
        <v>0</v>
      </c>
    </row>
    <row r="330" spans="2:44" ht="15" customHeight="1">
      <c r="B330" s="2"/>
      <c r="C330"/>
      <c r="D330"/>
      <c r="E330"/>
      <c r="F330"/>
      <c r="G330"/>
      <c r="H330"/>
      <c r="I330"/>
      <c r="J330"/>
      <c r="K330"/>
      <c r="L330"/>
      <c r="M330"/>
      <c r="N330"/>
      <c r="O330"/>
      <c r="P330"/>
      <c r="Q330"/>
      <c r="AA330" s="1686"/>
      <c r="AB330" s="53" t="str">
        <f>'Other Costs'!$DE82</f>
        <v/>
      </c>
      <c r="AC330" s="53" t="str">
        <f>'Other Costs'!$DF82</f>
        <v/>
      </c>
      <c r="AD330" s="53" t="str">
        <f>'Other Costs'!$DG82</f>
        <v/>
      </c>
      <c r="AE330" s="53" t="str">
        <f>'Other Costs'!$DH82</f>
        <v/>
      </c>
      <c r="AF330" s="53" t="str">
        <f>'Other Costs'!$DI82</f>
        <v/>
      </c>
      <c r="AG330" s="1009">
        <f>'Other Costs'!$DJ82</f>
        <v>0</v>
      </c>
      <c r="AH330" s="1009">
        <f>'Other Costs'!$DK82</f>
        <v>0</v>
      </c>
      <c r="AI330" s="1009">
        <f>'Other Costs'!$DL82</f>
        <v>0</v>
      </c>
      <c r="AJ330" s="1009">
        <f>'Other Costs'!$DM82</f>
        <v>0</v>
      </c>
      <c r="AK330" s="1009">
        <f>'Other Costs'!$DN82</f>
        <v>0</v>
      </c>
      <c r="AL330" s="1009">
        <f>'Other Costs'!$DO82</f>
        <v>0</v>
      </c>
      <c r="AM330" s="1007">
        <v>0</v>
      </c>
      <c r="AN330" s="1007">
        <v>0</v>
      </c>
      <c r="AO330" s="1007">
        <v>0</v>
      </c>
      <c r="AP330" s="1007">
        <v>0</v>
      </c>
      <c r="AQ330" s="1007">
        <v>0</v>
      </c>
      <c r="AR330" s="1016">
        <f t="shared" si="16"/>
        <v>0</v>
      </c>
    </row>
    <row r="331" spans="2:44" ht="15" customHeight="1">
      <c r="B331" s="2"/>
      <c r="C331"/>
      <c r="D331"/>
      <c r="E331"/>
      <c r="F331"/>
      <c r="G331"/>
      <c r="H331"/>
      <c r="I331"/>
      <c r="J331"/>
      <c r="K331"/>
      <c r="L331"/>
      <c r="M331"/>
      <c r="N331"/>
      <c r="O331"/>
      <c r="P331"/>
      <c r="Q331"/>
      <c r="AA331" s="1686"/>
      <c r="AB331" s="53" t="str">
        <f>'Other Costs'!$DE83</f>
        <v/>
      </c>
      <c r="AC331" s="53" t="str">
        <f>'Other Costs'!$DF83</f>
        <v/>
      </c>
      <c r="AD331" s="53" t="str">
        <f>'Other Costs'!$DG83</f>
        <v/>
      </c>
      <c r="AE331" s="53" t="str">
        <f>'Other Costs'!$DH83</f>
        <v/>
      </c>
      <c r="AF331" s="53" t="str">
        <f>'Other Costs'!$DI83</f>
        <v/>
      </c>
      <c r="AG331" s="1009">
        <f>'Other Costs'!$DJ83</f>
        <v>0</v>
      </c>
      <c r="AH331" s="1009">
        <f>'Other Costs'!$DK83</f>
        <v>0</v>
      </c>
      <c r="AI331" s="1009">
        <f>'Other Costs'!$DL83</f>
        <v>0</v>
      </c>
      <c r="AJ331" s="1009">
        <f>'Other Costs'!$DM83</f>
        <v>0</v>
      </c>
      <c r="AK331" s="1009">
        <f>'Other Costs'!$DN83</f>
        <v>0</v>
      </c>
      <c r="AL331" s="1009">
        <f>'Other Costs'!$DO83</f>
        <v>0</v>
      </c>
      <c r="AM331" s="1007">
        <v>0</v>
      </c>
      <c r="AN331" s="1007">
        <v>0</v>
      </c>
      <c r="AO331" s="1007">
        <v>0</v>
      </c>
      <c r="AP331" s="1007">
        <v>0</v>
      </c>
      <c r="AQ331" s="1007">
        <v>0</v>
      </c>
      <c r="AR331" s="1016">
        <f t="shared" si="16"/>
        <v>0</v>
      </c>
    </row>
    <row r="332" spans="2:44" ht="15" customHeight="1">
      <c r="B332" s="2"/>
      <c r="C332"/>
      <c r="D332"/>
      <c r="E332"/>
      <c r="F332"/>
      <c r="G332"/>
      <c r="H332"/>
      <c r="I332"/>
      <c r="J332"/>
      <c r="K332"/>
      <c r="L332"/>
      <c r="M332"/>
      <c r="N332"/>
      <c r="O332"/>
      <c r="P332"/>
      <c r="Q332"/>
      <c r="AA332" s="1686"/>
      <c r="AB332" s="53" t="str">
        <f>'Other Costs'!$DE84</f>
        <v/>
      </c>
      <c r="AC332" s="53" t="str">
        <f>'Other Costs'!$DF84</f>
        <v/>
      </c>
      <c r="AD332" s="53" t="str">
        <f>'Other Costs'!$DG84</f>
        <v/>
      </c>
      <c r="AE332" s="53" t="str">
        <f>'Other Costs'!$DH84</f>
        <v/>
      </c>
      <c r="AF332" s="53" t="str">
        <f>'Other Costs'!$DI84</f>
        <v/>
      </c>
      <c r="AG332" s="1009">
        <f>'Other Costs'!$DJ84</f>
        <v>0</v>
      </c>
      <c r="AH332" s="1009">
        <f>'Other Costs'!$DK84</f>
        <v>0</v>
      </c>
      <c r="AI332" s="1009">
        <f>'Other Costs'!$DL84</f>
        <v>0</v>
      </c>
      <c r="AJ332" s="1009">
        <f>'Other Costs'!$DM84</f>
        <v>0</v>
      </c>
      <c r="AK332" s="1009">
        <f>'Other Costs'!$DN84</f>
        <v>0</v>
      </c>
      <c r="AL332" s="1009">
        <f>'Other Costs'!$DO84</f>
        <v>0</v>
      </c>
      <c r="AM332" s="1007">
        <v>0</v>
      </c>
      <c r="AN332" s="1007">
        <v>0</v>
      </c>
      <c r="AO332" s="1007">
        <v>0</v>
      </c>
      <c r="AP332" s="1007">
        <v>0</v>
      </c>
      <c r="AQ332" s="1007">
        <v>0</v>
      </c>
      <c r="AR332" s="1016">
        <f t="shared" si="16"/>
        <v>0</v>
      </c>
    </row>
    <row r="333" spans="2:44" ht="15" customHeight="1">
      <c r="B333" s="2"/>
      <c r="C333"/>
      <c r="D333"/>
      <c r="E333"/>
      <c r="F333"/>
      <c r="G333"/>
      <c r="H333"/>
      <c r="I333"/>
      <c r="J333"/>
      <c r="K333"/>
      <c r="L333"/>
      <c r="M333"/>
      <c r="N333"/>
      <c r="O333"/>
      <c r="P333"/>
      <c r="Q333"/>
      <c r="AA333" s="1686"/>
      <c r="AB333" s="53" t="str">
        <f>'Other Costs'!$DE85</f>
        <v/>
      </c>
      <c r="AC333" s="53" t="str">
        <f>'Other Costs'!$DF85</f>
        <v/>
      </c>
      <c r="AD333" s="53" t="str">
        <f>'Other Costs'!$DG85</f>
        <v/>
      </c>
      <c r="AE333" s="53" t="str">
        <f>'Other Costs'!$DH85</f>
        <v/>
      </c>
      <c r="AF333" s="53" t="str">
        <f>'Other Costs'!$DI85</f>
        <v/>
      </c>
      <c r="AG333" s="1009">
        <f>'Other Costs'!$DJ85</f>
        <v>0</v>
      </c>
      <c r="AH333" s="1009">
        <f>'Other Costs'!$DK85</f>
        <v>0</v>
      </c>
      <c r="AI333" s="1009">
        <f>'Other Costs'!$DL85</f>
        <v>0</v>
      </c>
      <c r="AJ333" s="1009">
        <f>'Other Costs'!$DM85</f>
        <v>0</v>
      </c>
      <c r="AK333" s="1009">
        <f>'Other Costs'!$DN85</f>
        <v>0</v>
      </c>
      <c r="AL333" s="1009">
        <f>'Other Costs'!$DO85</f>
        <v>0</v>
      </c>
      <c r="AM333" s="1007">
        <v>0</v>
      </c>
      <c r="AN333" s="1007">
        <v>0</v>
      </c>
      <c r="AO333" s="1007">
        <v>0</v>
      </c>
      <c r="AP333" s="1007">
        <v>0</v>
      </c>
      <c r="AQ333" s="1007">
        <v>0</v>
      </c>
      <c r="AR333" s="1016">
        <f t="shared" si="16"/>
        <v>0</v>
      </c>
    </row>
    <row r="334" spans="2:44" ht="15" customHeight="1">
      <c r="B334" s="2"/>
      <c r="C334"/>
      <c r="D334"/>
      <c r="E334"/>
      <c r="F334"/>
      <c r="G334"/>
      <c r="H334"/>
      <c r="I334"/>
      <c r="J334"/>
      <c r="K334"/>
      <c r="L334"/>
      <c r="M334"/>
      <c r="N334"/>
      <c r="O334"/>
      <c r="P334"/>
      <c r="Q334"/>
      <c r="AA334" s="1686"/>
      <c r="AB334" s="53" t="str">
        <f>'Other Costs'!$DE86</f>
        <v/>
      </c>
      <c r="AC334" s="53" t="str">
        <f>'Other Costs'!$DF86</f>
        <v/>
      </c>
      <c r="AD334" s="53" t="str">
        <f>'Other Costs'!$DG86</f>
        <v/>
      </c>
      <c r="AE334" s="53" t="str">
        <f>'Other Costs'!$DH86</f>
        <v/>
      </c>
      <c r="AF334" s="53" t="str">
        <f>'Other Costs'!$DI86</f>
        <v/>
      </c>
      <c r="AG334" s="1009">
        <f>'Other Costs'!$DJ86</f>
        <v>0</v>
      </c>
      <c r="AH334" s="1009">
        <f>'Other Costs'!$DK86</f>
        <v>0</v>
      </c>
      <c r="AI334" s="1009">
        <f>'Other Costs'!$DL86</f>
        <v>0</v>
      </c>
      <c r="AJ334" s="1009">
        <f>'Other Costs'!$DM86</f>
        <v>0</v>
      </c>
      <c r="AK334" s="1009">
        <f>'Other Costs'!$DN86</f>
        <v>0</v>
      </c>
      <c r="AL334" s="1009">
        <f>'Other Costs'!$DO86</f>
        <v>0</v>
      </c>
      <c r="AM334" s="1007">
        <v>0</v>
      </c>
      <c r="AN334" s="1007">
        <v>0</v>
      </c>
      <c r="AO334" s="1007">
        <v>0</v>
      </c>
      <c r="AP334" s="1007">
        <v>0</v>
      </c>
      <c r="AQ334" s="1007">
        <v>0</v>
      </c>
      <c r="AR334" s="1016">
        <f t="shared" si="16"/>
        <v>0</v>
      </c>
    </row>
    <row r="335" spans="2:44" ht="15" customHeight="1">
      <c r="B335" s="2"/>
      <c r="C335"/>
      <c r="D335"/>
      <c r="E335"/>
      <c r="F335"/>
      <c r="G335"/>
      <c r="H335"/>
      <c r="I335"/>
      <c r="J335"/>
      <c r="K335"/>
      <c r="L335"/>
      <c r="M335"/>
      <c r="N335"/>
      <c r="O335"/>
      <c r="P335"/>
      <c r="Q335"/>
      <c r="AA335" s="1686"/>
      <c r="AB335" s="53" t="str">
        <f>'Other Costs'!$DE87</f>
        <v/>
      </c>
      <c r="AC335" s="53" t="str">
        <f>'Other Costs'!$DF87</f>
        <v/>
      </c>
      <c r="AD335" s="53" t="str">
        <f>'Other Costs'!$DG87</f>
        <v/>
      </c>
      <c r="AE335" s="53" t="str">
        <f>'Other Costs'!$DH87</f>
        <v/>
      </c>
      <c r="AF335" s="53" t="str">
        <f>'Other Costs'!$DI87</f>
        <v/>
      </c>
      <c r="AG335" s="1009">
        <f>'Other Costs'!$DJ87</f>
        <v>0</v>
      </c>
      <c r="AH335" s="1009">
        <f>'Other Costs'!$DK87</f>
        <v>0</v>
      </c>
      <c r="AI335" s="1009">
        <f>'Other Costs'!$DL87</f>
        <v>0</v>
      </c>
      <c r="AJ335" s="1009">
        <f>'Other Costs'!$DM87</f>
        <v>0</v>
      </c>
      <c r="AK335" s="1009">
        <f>'Other Costs'!$DN87</f>
        <v>0</v>
      </c>
      <c r="AL335" s="1009">
        <f>'Other Costs'!$DO87</f>
        <v>0</v>
      </c>
      <c r="AM335" s="1007">
        <v>0</v>
      </c>
      <c r="AN335" s="1007">
        <v>0</v>
      </c>
      <c r="AO335" s="1007">
        <v>0</v>
      </c>
      <c r="AP335" s="1007">
        <v>0</v>
      </c>
      <c r="AQ335" s="1007">
        <v>0</v>
      </c>
      <c r="AR335" s="1016">
        <f t="shared" si="16"/>
        <v>0</v>
      </c>
    </row>
    <row r="336" spans="2:44" ht="15" customHeight="1">
      <c r="B336" s="2"/>
      <c r="C336"/>
      <c r="D336"/>
      <c r="E336"/>
      <c r="F336"/>
      <c r="G336"/>
      <c r="H336"/>
      <c r="I336"/>
      <c r="J336"/>
      <c r="K336"/>
      <c r="L336"/>
      <c r="M336"/>
      <c r="N336"/>
      <c r="O336"/>
      <c r="P336"/>
      <c r="Q336"/>
      <c r="AA336" s="1686"/>
      <c r="AB336" s="53" t="str">
        <f>'Other Costs'!$DE88</f>
        <v/>
      </c>
      <c r="AC336" s="53" t="str">
        <f>'Other Costs'!$DF88</f>
        <v/>
      </c>
      <c r="AD336" s="53" t="str">
        <f>'Other Costs'!$DG88</f>
        <v/>
      </c>
      <c r="AE336" s="53" t="str">
        <f>'Other Costs'!$DH88</f>
        <v/>
      </c>
      <c r="AF336" s="53" t="str">
        <f>'Other Costs'!$DI88</f>
        <v/>
      </c>
      <c r="AG336" s="1009">
        <f>'Other Costs'!$DJ88</f>
        <v>0</v>
      </c>
      <c r="AH336" s="1009">
        <f>'Other Costs'!$DK88</f>
        <v>0</v>
      </c>
      <c r="AI336" s="1009">
        <f>'Other Costs'!$DL88</f>
        <v>0</v>
      </c>
      <c r="AJ336" s="1009">
        <f>'Other Costs'!$DM88</f>
        <v>0</v>
      </c>
      <c r="AK336" s="1009">
        <f>'Other Costs'!$DN88</f>
        <v>0</v>
      </c>
      <c r="AL336" s="1009">
        <f>'Other Costs'!$DO88</f>
        <v>0</v>
      </c>
      <c r="AM336" s="1007">
        <v>0</v>
      </c>
      <c r="AN336" s="1007">
        <v>0</v>
      </c>
      <c r="AO336" s="1007">
        <v>0</v>
      </c>
      <c r="AP336" s="1007">
        <v>0</v>
      </c>
      <c r="AQ336" s="1007">
        <v>0</v>
      </c>
      <c r="AR336" s="1016">
        <f t="shared" si="16"/>
        <v>0</v>
      </c>
    </row>
    <row r="337" spans="2:44" ht="15" customHeight="1">
      <c r="B337" s="2"/>
      <c r="C337"/>
      <c r="D337"/>
      <c r="E337"/>
      <c r="F337"/>
      <c r="G337"/>
      <c r="H337"/>
      <c r="I337"/>
      <c r="J337"/>
      <c r="K337"/>
      <c r="L337"/>
      <c r="M337"/>
      <c r="N337"/>
      <c r="O337"/>
      <c r="P337"/>
      <c r="Q337"/>
      <c r="AA337" s="1686"/>
      <c r="AB337" s="53" t="str">
        <f>'Other Costs'!$DE89</f>
        <v/>
      </c>
      <c r="AC337" s="53" t="str">
        <f>'Other Costs'!$DF89</f>
        <v/>
      </c>
      <c r="AD337" s="53" t="str">
        <f>'Other Costs'!$DG89</f>
        <v/>
      </c>
      <c r="AE337" s="53" t="str">
        <f>'Other Costs'!$DH89</f>
        <v/>
      </c>
      <c r="AF337" s="53" t="str">
        <f>'Other Costs'!$DI89</f>
        <v/>
      </c>
      <c r="AG337" s="1009">
        <f>'Other Costs'!$DJ89</f>
        <v>0</v>
      </c>
      <c r="AH337" s="1009">
        <f>'Other Costs'!$DK89</f>
        <v>0</v>
      </c>
      <c r="AI337" s="1009">
        <f>'Other Costs'!$DL89</f>
        <v>0</v>
      </c>
      <c r="AJ337" s="1009">
        <f>'Other Costs'!$DM89</f>
        <v>0</v>
      </c>
      <c r="AK337" s="1009">
        <f>'Other Costs'!$DN89</f>
        <v>0</v>
      </c>
      <c r="AL337" s="1009">
        <f>'Other Costs'!$DO89</f>
        <v>0</v>
      </c>
      <c r="AM337" s="1007">
        <v>0</v>
      </c>
      <c r="AN337" s="1007">
        <v>0</v>
      </c>
      <c r="AO337" s="1007">
        <v>0</v>
      </c>
      <c r="AP337" s="1007">
        <v>0</v>
      </c>
      <c r="AQ337" s="1007">
        <v>0</v>
      </c>
      <c r="AR337" s="1016">
        <f t="shared" si="16"/>
        <v>0</v>
      </c>
    </row>
    <row r="338" spans="2:44" ht="15" customHeight="1">
      <c r="B338" s="2"/>
      <c r="C338"/>
      <c r="D338"/>
      <c r="E338"/>
      <c r="F338"/>
      <c r="G338"/>
      <c r="H338"/>
      <c r="I338"/>
      <c r="J338"/>
      <c r="K338"/>
      <c r="L338"/>
      <c r="M338"/>
      <c r="N338"/>
      <c r="O338"/>
      <c r="P338"/>
      <c r="Q338"/>
      <c r="AA338" s="1686"/>
      <c r="AB338" s="53" t="str">
        <f>'Other Costs'!$DE90</f>
        <v/>
      </c>
      <c r="AC338" s="53" t="str">
        <f>'Other Costs'!$DF90</f>
        <v/>
      </c>
      <c r="AD338" s="53" t="str">
        <f>'Other Costs'!$DG90</f>
        <v/>
      </c>
      <c r="AE338" s="53" t="str">
        <f>'Other Costs'!$DH90</f>
        <v/>
      </c>
      <c r="AF338" s="53" t="str">
        <f>'Other Costs'!$DI90</f>
        <v/>
      </c>
      <c r="AG338" s="1009">
        <f>'Other Costs'!$DJ90</f>
        <v>0</v>
      </c>
      <c r="AH338" s="1009">
        <f>'Other Costs'!$DK90</f>
        <v>0</v>
      </c>
      <c r="AI338" s="1009">
        <f>'Other Costs'!$DL90</f>
        <v>0</v>
      </c>
      <c r="AJ338" s="1009">
        <f>'Other Costs'!$DM90</f>
        <v>0</v>
      </c>
      <c r="AK338" s="1009">
        <f>'Other Costs'!$DN90</f>
        <v>0</v>
      </c>
      <c r="AL338" s="1009">
        <f>'Other Costs'!$DO90</f>
        <v>0</v>
      </c>
      <c r="AM338" s="1007">
        <v>0</v>
      </c>
      <c r="AN338" s="1007">
        <v>0</v>
      </c>
      <c r="AO338" s="1007">
        <v>0</v>
      </c>
      <c r="AP338" s="1007">
        <v>0</v>
      </c>
      <c r="AQ338" s="1007">
        <v>0</v>
      </c>
      <c r="AR338" s="1016">
        <f t="shared" si="16"/>
        <v>0</v>
      </c>
    </row>
    <row r="339" spans="2:44" ht="15" customHeight="1">
      <c r="B339" s="2"/>
      <c r="C339"/>
      <c r="D339"/>
      <c r="E339"/>
      <c r="F339"/>
      <c r="G339"/>
      <c r="H339"/>
      <c r="I339"/>
      <c r="J339"/>
      <c r="K339"/>
      <c r="L339"/>
      <c r="M339"/>
      <c r="N339"/>
      <c r="O339"/>
      <c r="P339"/>
      <c r="Q339"/>
      <c r="AA339" s="1686"/>
      <c r="AB339" s="53" t="str">
        <f>'Other Costs'!$DE91</f>
        <v/>
      </c>
      <c r="AC339" s="53" t="str">
        <f>'Other Costs'!$DF91</f>
        <v/>
      </c>
      <c r="AD339" s="53" t="str">
        <f>'Other Costs'!$DG91</f>
        <v/>
      </c>
      <c r="AE339" s="53" t="str">
        <f>'Other Costs'!$DH91</f>
        <v/>
      </c>
      <c r="AF339" s="53" t="str">
        <f>'Other Costs'!$DI91</f>
        <v/>
      </c>
      <c r="AG339" s="1009">
        <f>'Other Costs'!$DJ91</f>
        <v>0</v>
      </c>
      <c r="AH339" s="1009">
        <f>'Other Costs'!$DK91</f>
        <v>0</v>
      </c>
      <c r="AI339" s="1009">
        <f>'Other Costs'!$DL91</f>
        <v>0</v>
      </c>
      <c r="AJ339" s="1009">
        <f>'Other Costs'!$DM91</f>
        <v>0</v>
      </c>
      <c r="AK339" s="1009">
        <f>'Other Costs'!$DN91</f>
        <v>0</v>
      </c>
      <c r="AL339" s="1009">
        <f>'Other Costs'!$DO91</f>
        <v>0</v>
      </c>
      <c r="AM339" s="1007">
        <v>0</v>
      </c>
      <c r="AN339" s="1007">
        <v>0</v>
      </c>
      <c r="AO339" s="1007">
        <v>0</v>
      </c>
      <c r="AP339" s="1007">
        <v>0</v>
      </c>
      <c r="AQ339" s="1007">
        <v>0</v>
      </c>
      <c r="AR339" s="1016">
        <f t="shared" si="16"/>
        <v>0</v>
      </c>
    </row>
    <row r="340" spans="2:44" ht="15" customHeight="1">
      <c r="B340" s="2"/>
      <c r="C340"/>
      <c r="D340"/>
      <c r="E340"/>
      <c r="F340"/>
      <c r="G340"/>
      <c r="H340"/>
      <c r="I340"/>
      <c r="J340"/>
      <c r="K340"/>
      <c r="L340"/>
      <c r="M340"/>
      <c r="N340"/>
      <c r="O340"/>
      <c r="P340"/>
      <c r="Q340"/>
      <c r="AA340" s="1686"/>
      <c r="AB340" s="53" t="str">
        <f>'Other Costs'!$DE92</f>
        <v/>
      </c>
      <c r="AC340" s="53" t="str">
        <f>'Other Costs'!$DF92</f>
        <v/>
      </c>
      <c r="AD340" s="53" t="str">
        <f>'Other Costs'!$DG92</f>
        <v/>
      </c>
      <c r="AE340" s="53" t="str">
        <f>'Other Costs'!$DH92</f>
        <v/>
      </c>
      <c r="AF340" s="53" t="str">
        <f>'Other Costs'!$DI92</f>
        <v/>
      </c>
      <c r="AG340" s="1009">
        <f>'Other Costs'!$DJ92</f>
        <v>0</v>
      </c>
      <c r="AH340" s="1009">
        <f>'Other Costs'!$DK92</f>
        <v>0</v>
      </c>
      <c r="AI340" s="1009">
        <f>'Other Costs'!$DL92</f>
        <v>0</v>
      </c>
      <c r="AJ340" s="1009">
        <f>'Other Costs'!$DM92</f>
        <v>0</v>
      </c>
      <c r="AK340" s="1009">
        <f>'Other Costs'!$DN92</f>
        <v>0</v>
      </c>
      <c r="AL340" s="1009">
        <f>'Other Costs'!$DO92</f>
        <v>0</v>
      </c>
      <c r="AM340" s="1007">
        <v>0</v>
      </c>
      <c r="AN340" s="1007">
        <v>0</v>
      </c>
      <c r="AO340" s="1007">
        <v>0</v>
      </c>
      <c r="AP340" s="1007">
        <v>0</v>
      </c>
      <c r="AQ340" s="1007">
        <v>0</v>
      </c>
      <c r="AR340" s="1016">
        <f t="shared" si="16"/>
        <v>0</v>
      </c>
    </row>
    <row r="341" spans="2:44" ht="15" customHeight="1">
      <c r="B341" s="2"/>
      <c r="C341"/>
      <c r="D341"/>
      <c r="E341"/>
      <c r="F341"/>
      <c r="G341"/>
      <c r="H341"/>
      <c r="I341"/>
      <c r="J341"/>
      <c r="K341"/>
      <c r="L341"/>
      <c r="M341"/>
      <c r="N341"/>
      <c r="O341"/>
      <c r="P341"/>
      <c r="Q341"/>
      <c r="AA341" s="1686"/>
      <c r="AB341" s="53" t="str">
        <f>'Other Costs'!$DE93</f>
        <v/>
      </c>
      <c r="AC341" s="53" t="str">
        <f>'Other Costs'!$DF93</f>
        <v/>
      </c>
      <c r="AD341" s="53" t="str">
        <f>'Other Costs'!$DG93</f>
        <v/>
      </c>
      <c r="AE341" s="53" t="str">
        <f>'Other Costs'!$DH93</f>
        <v/>
      </c>
      <c r="AF341" s="53" t="str">
        <f>'Other Costs'!$DI93</f>
        <v/>
      </c>
      <c r="AG341" s="1009">
        <f>'Other Costs'!$DJ93</f>
        <v>0</v>
      </c>
      <c r="AH341" s="1009">
        <f>'Other Costs'!$DK93</f>
        <v>0</v>
      </c>
      <c r="AI341" s="1009">
        <f>'Other Costs'!$DL93</f>
        <v>0</v>
      </c>
      <c r="AJ341" s="1009">
        <f>'Other Costs'!$DM93</f>
        <v>0</v>
      </c>
      <c r="AK341" s="1009">
        <f>'Other Costs'!$DN93</f>
        <v>0</v>
      </c>
      <c r="AL341" s="1009">
        <f>'Other Costs'!$DO93</f>
        <v>0</v>
      </c>
      <c r="AM341" s="1007">
        <v>0</v>
      </c>
      <c r="AN341" s="1007">
        <v>0</v>
      </c>
      <c r="AO341" s="1007">
        <v>0</v>
      </c>
      <c r="AP341" s="1007">
        <v>0</v>
      </c>
      <c r="AQ341" s="1007">
        <v>0</v>
      </c>
      <c r="AR341" s="1016">
        <f t="shared" si="16"/>
        <v>0</v>
      </c>
    </row>
    <row r="342" spans="2:44" ht="15" customHeight="1">
      <c r="B342" s="2"/>
      <c r="C342"/>
      <c r="D342"/>
      <c r="E342"/>
      <c r="F342"/>
      <c r="G342"/>
      <c r="H342"/>
      <c r="I342"/>
      <c r="J342"/>
      <c r="K342"/>
      <c r="L342"/>
      <c r="M342"/>
      <c r="N342"/>
      <c r="O342"/>
      <c r="P342"/>
      <c r="Q342"/>
      <c r="AA342" s="1686"/>
      <c r="AB342" s="53" t="str">
        <f>'Other Costs'!$DE94</f>
        <v/>
      </c>
      <c r="AC342" s="53" t="str">
        <f>'Other Costs'!$DF94</f>
        <v/>
      </c>
      <c r="AD342" s="53" t="str">
        <f>'Other Costs'!$DG94</f>
        <v/>
      </c>
      <c r="AE342" s="53" t="str">
        <f>'Other Costs'!$DH94</f>
        <v/>
      </c>
      <c r="AF342" s="53" t="str">
        <f>'Other Costs'!$DI94</f>
        <v/>
      </c>
      <c r="AG342" s="1009">
        <f>'Other Costs'!$DJ94</f>
        <v>0</v>
      </c>
      <c r="AH342" s="1009">
        <f>'Other Costs'!$DK94</f>
        <v>0</v>
      </c>
      <c r="AI342" s="1009">
        <f>'Other Costs'!$DL94</f>
        <v>0</v>
      </c>
      <c r="AJ342" s="1009">
        <f>'Other Costs'!$DM94</f>
        <v>0</v>
      </c>
      <c r="AK342" s="1009">
        <f>'Other Costs'!$DN94</f>
        <v>0</v>
      </c>
      <c r="AL342" s="1009">
        <f>'Other Costs'!$DO94</f>
        <v>0</v>
      </c>
      <c r="AM342" s="1007">
        <v>0</v>
      </c>
      <c r="AN342" s="1007">
        <v>0</v>
      </c>
      <c r="AO342" s="1007">
        <v>0</v>
      </c>
      <c r="AP342" s="1007">
        <v>0</v>
      </c>
      <c r="AQ342" s="1007">
        <v>0</v>
      </c>
      <c r="AR342" s="1016">
        <f t="shared" si="16"/>
        <v>0</v>
      </c>
    </row>
    <row r="343" spans="2:44" ht="15" customHeight="1">
      <c r="B343" s="2"/>
      <c r="C343"/>
      <c r="D343"/>
      <c r="E343"/>
      <c r="F343"/>
      <c r="G343"/>
      <c r="H343"/>
      <c r="I343"/>
      <c r="J343"/>
      <c r="K343"/>
      <c r="L343"/>
      <c r="M343"/>
      <c r="N343"/>
      <c r="O343"/>
      <c r="P343"/>
      <c r="Q343"/>
      <c r="AA343" s="1686"/>
      <c r="AB343" s="53" t="str">
        <f>'Other Costs'!$DE95</f>
        <v/>
      </c>
      <c r="AC343" s="53" t="str">
        <f>'Other Costs'!$DF95</f>
        <v/>
      </c>
      <c r="AD343" s="53" t="str">
        <f>'Other Costs'!$DG95</f>
        <v/>
      </c>
      <c r="AE343" s="53" t="str">
        <f>'Other Costs'!$DH95</f>
        <v/>
      </c>
      <c r="AF343" s="53" t="str">
        <f>'Other Costs'!$DI95</f>
        <v/>
      </c>
      <c r="AG343" s="1009">
        <f>'Other Costs'!$DJ95</f>
        <v>0</v>
      </c>
      <c r="AH343" s="1009">
        <f>'Other Costs'!$DK95</f>
        <v>0</v>
      </c>
      <c r="AI343" s="1009">
        <f>'Other Costs'!$DL95</f>
        <v>0</v>
      </c>
      <c r="AJ343" s="1009">
        <f>'Other Costs'!$DM95</f>
        <v>0</v>
      </c>
      <c r="AK343" s="1009">
        <f>'Other Costs'!$DN95</f>
        <v>0</v>
      </c>
      <c r="AL343" s="1009">
        <f>'Other Costs'!$DO95</f>
        <v>0</v>
      </c>
      <c r="AM343" s="1007">
        <v>0</v>
      </c>
      <c r="AN343" s="1007">
        <v>0</v>
      </c>
      <c r="AO343" s="1007">
        <v>0</v>
      </c>
      <c r="AP343" s="1007">
        <v>0</v>
      </c>
      <c r="AQ343" s="1007">
        <v>0</v>
      </c>
      <c r="AR343" s="1016">
        <f t="shared" si="16"/>
        <v>0</v>
      </c>
    </row>
    <row r="344" spans="2:44" ht="15" customHeight="1">
      <c r="B344" s="2"/>
      <c r="C344"/>
      <c r="D344"/>
      <c r="E344"/>
      <c r="F344"/>
      <c r="G344"/>
      <c r="H344"/>
      <c r="I344"/>
      <c r="J344"/>
      <c r="K344"/>
      <c r="L344"/>
      <c r="M344"/>
      <c r="N344"/>
      <c r="O344"/>
      <c r="P344"/>
      <c r="Q344"/>
      <c r="AA344" s="1686"/>
      <c r="AB344" s="53" t="str">
        <f>'Other Costs'!$DE96</f>
        <v/>
      </c>
      <c r="AC344" s="53" t="str">
        <f>'Other Costs'!$DF96</f>
        <v/>
      </c>
      <c r="AD344" s="53" t="str">
        <f>'Other Costs'!$DG96</f>
        <v/>
      </c>
      <c r="AE344" s="53" t="str">
        <f>'Other Costs'!$DH96</f>
        <v/>
      </c>
      <c r="AF344" s="53" t="str">
        <f>'Other Costs'!$DI96</f>
        <v/>
      </c>
      <c r="AG344" s="1009">
        <f>'Other Costs'!$DJ96</f>
        <v>0</v>
      </c>
      <c r="AH344" s="1009">
        <f>'Other Costs'!$DK96</f>
        <v>0</v>
      </c>
      <c r="AI344" s="1009">
        <f>'Other Costs'!$DL96</f>
        <v>0</v>
      </c>
      <c r="AJ344" s="1009">
        <f>'Other Costs'!$DM96</f>
        <v>0</v>
      </c>
      <c r="AK344" s="1009">
        <f>'Other Costs'!$DN96</f>
        <v>0</v>
      </c>
      <c r="AL344" s="1009">
        <f>'Other Costs'!$DO96</f>
        <v>0</v>
      </c>
      <c r="AM344" s="1007">
        <v>0</v>
      </c>
      <c r="AN344" s="1007">
        <v>0</v>
      </c>
      <c r="AO344" s="1007">
        <v>0</v>
      </c>
      <c r="AP344" s="1007">
        <v>0</v>
      </c>
      <c r="AQ344" s="1007">
        <v>0</v>
      </c>
      <c r="AR344" s="1016">
        <f t="shared" si="16"/>
        <v>0</v>
      </c>
    </row>
    <row r="345" spans="2:44" ht="15" customHeight="1">
      <c r="B345" s="2"/>
      <c r="C345"/>
      <c r="D345"/>
      <c r="E345"/>
      <c r="F345"/>
      <c r="G345"/>
      <c r="H345"/>
      <c r="I345"/>
      <c r="J345"/>
      <c r="K345"/>
      <c r="L345"/>
      <c r="M345"/>
      <c r="N345"/>
      <c r="O345"/>
      <c r="P345"/>
      <c r="Q345"/>
      <c r="AA345" s="1686"/>
      <c r="AB345" s="53" t="str">
        <f>'Other Costs'!$DE97</f>
        <v/>
      </c>
      <c r="AC345" s="53" t="str">
        <f>'Other Costs'!$DF97</f>
        <v/>
      </c>
      <c r="AD345" s="53" t="str">
        <f>'Other Costs'!$DG97</f>
        <v/>
      </c>
      <c r="AE345" s="53" t="str">
        <f>'Other Costs'!$DH97</f>
        <v/>
      </c>
      <c r="AF345" s="53" t="str">
        <f>'Other Costs'!$DI97</f>
        <v/>
      </c>
      <c r="AG345" s="1009">
        <f>'Other Costs'!$DJ97</f>
        <v>0</v>
      </c>
      <c r="AH345" s="1009">
        <f>'Other Costs'!$DK97</f>
        <v>0</v>
      </c>
      <c r="AI345" s="1009">
        <f>'Other Costs'!$DL97</f>
        <v>0</v>
      </c>
      <c r="AJ345" s="1009">
        <f>'Other Costs'!$DM97</f>
        <v>0</v>
      </c>
      <c r="AK345" s="1009">
        <f>'Other Costs'!$DN97</f>
        <v>0</v>
      </c>
      <c r="AL345" s="1009">
        <f>'Other Costs'!$DO97</f>
        <v>0</v>
      </c>
      <c r="AM345" s="1007">
        <v>0</v>
      </c>
      <c r="AN345" s="1007">
        <v>0</v>
      </c>
      <c r="AO345" s="1007">
        <v>0</v>
      </c>
      <c r="AP345" s="1007">
        <v>0</v>
      </c>
      <c r="AQ345" s="1007">
        <v>0</v>
      </c>
      <c r="AR345" s="1016">
        <f t="shared" si="16"/>
        <v>0</v>
      </c>
    </row>
    <row r="346" spans="2:44" ht="15" customHeight="1">
      <c r="B346" s="2"/>
      <c r="C346"/>
      <c r="D346"/>
      <c r="E346"/>
      <c r="F346"/>
      <c r="G346"/>
      <c r="H346"/>
      <c r="I346"/>
      <c r="J346"/>
      <c r="K346"/>
      <c r="L346"/>
      <c r="M346"/>
      <c r="N346"/>
      <c r="O346"/>
      <c r="P346"/>
      <c r="Q346"/>
      <c r="AA346" s="1686"/>
      <c r="AB346" s="53" t="str">
        <f>'Other Costs'!$DE98</f>
        <v/>
      </c>
      <c r="AC346" s="53" t="str">
        <f>'Other Costs'!$DF98</f>
        <v/>
      </c>
      <c r="AD346" s="53" t="str">
        <f>'Other Costs'!$DG98</f>
        <v/>
      </c>
      <c r="AE346" s="53" t="str">
        <f>'Other Costs'!$DH98</f>
        <v/>
      </c>
      <c r="AF346" s="53" t="str">
        <f>'Other Costs'!$DI98</f>
        <v/>
      </c>
      <c r="AG346" s="1009">
        <f>'Other Costs'!$DJ98</f>
        <v>0</v>
      </c>
      <c r="AH346" s="1009">
        <f>'Other Costs'!$DK98</f>
        <v>0</v>
      </c>
      <c r="AI346" s="1009">
        <f>'Other Costs'!$DL98</f>
        <v>0</v>
      </c>
      <c r="AJ346" s="1009">
        <f>'Other Costs'!$DM98</f>
        <v>0</v>
      </c>
      <c r="AK346" s="1009">
        <f>'Other Costs'!$DN98</f>
        <v>0</v>
      </c>
      <c r="AL346" s="1009">
        <f>'Other Costs'!$DO98</f>
        <v>0</v>
      </c>
      <c r="AM346" s="1007">
        <v>0</v>
      </c>
      <c r="AN346" s="1007">
        <v>0</v>
      </c>
      <c r="AO346" s="1007">
        <v>0</v>
      </c>
      <c r="AP346" s="1007">
        <v>0</v>
      </c>
      <c r="AQ346" s="1007">
        <v>0</v>
      </c>
      <c r="AR346" s="1016">
        <f t="shared" si="16"/>
        <v>0</v>
      </c>
    </row>
    <row r="347" spans="2:44" ht="15" customHeight="1">
      <c r="B347" s="2"/>
      <c r="C347"/>
      <c r="D347"/>
      <c r="E347"/>
      <c r="F347"/>
      <c r="G347"/>
      <c r="H347"/>
      <c r="I347"/>
      <c r="J347"/>
      <c r="K347"/>
      <c r="L347"/>
      <c r="M347"/>
      <c r="N347"/>
      <c r="O347"/>
      <c r="P347"/>
      <c r="Q347"/>
      <c r="AA347" s="1686"/>
      <c r="AB347" s="53" t="str">
        <f>'Other Costs'!$DE99</f>
        <v/>
      </c>
      <c r="AC347" s="53" t="str">
        <f>'Other Costs'!$DF99</f>
        <v/>
      </c>
      <c r="AD347" s="53" t="str">
        <f>'Other Costs'!$DG99</f>
        <v/>
      </c>
      <c r="AE347" s="53" t="str">
        <f>'Other Costs'!$DH99</f>
        <v/>
      </c>
      <c r="AF347" s="53" t="str">
        <f>'Other Costs'!$DI99</f>
        <v/>
      </c>
      <c r="AG347" s="1009">
        <f>'Other Costs'!$DJ99</f>
        <v>0</v>
      </c>
      <c r="AH347" s="1009">
        <f>'Other Costs'!$DK99</f>
        <v>0</v>
      </c>
      <c r="AI347" s="1009">
        <f>'Other Costs'!$DL99</f>
        <v>0</v>
      </c>
      <c r="AJ347" s="1009">
        <f>'Other Costs'!$DM99</f>
        <v>0</v>
      </c>
      <c r="AK347" s="1009">
        <f>'Other Costs'!$DN99</f>
        <v>0</v>
      </c>
      <c r="AL347" s="1009">
        <f>'Other Costs'!$DO99</f>
        <v>0</v>
      </c>
      <c r="AM347" s="1007">
        <v>0</v>
      </c>
      <c r="AN347" s="1007">
        <v>0</v>
      </c>
      <c r="AO347" s="1007">
        <v>0</v>
      </c>
      <c r="AP347" s="1007">
        <v>0</v>
      </c>
      <c r="AQ347" s="1007">
        <v>0</v>
      </c>
      <c r="AR347" s="1016">
        <f t="shared" si="16"/>
        <v>0</v>
      </c>
    </row>
    <row r="348" spans="2:44" ht="15" customHeight="1">
      <c r="B348" s="2"/>
      <c r="C348"/>
      <c r="D348"/>
      <c r="E348"/>
      <c r="F348"/>
      <c r="G348"/>
      <c r="H348"/>
      <c r="I348"/>
      <c r="J348"/>
      <c r="K348"/>
      <c r="L348"/>
      <c r="M348"/>
      <c r="N348"/>
      <c r="O348"/>
      <c r="P348"/>
      <c r="Q348"/>
      <c r="AA348" s="1686"/>
      <c r="AB348" s="53" t="str">
        <f>'Other Costs'!$DE100</f>
        <v/>
      </c>
      <c r="AC348" s="53" t="str">
        <f>'Other Costs'!$DF100</f>
        <v/>
      </c>
      <c r="AD348" s="53" t="str">
        <f>'Other Costs'!$DG100</f>
        <v/>
      </c>
      <c r="AE348" s="53" t="str">
        <f>'Other Costs'!$DH100</f>
        <v/>
      </c>
      <c r="AF348" s="53" t="str">
        <f>'Other Costs'!$DI100</f>
        <v/>
      </c>
      <c r="AG348" s="1009">
        <f>'Other Costs'!$DJ100</f>
        <v>0</v>
      </c>
      <c r="AH348" s="1009">
        <f>'Other Costs'!$DK100</f>
        <v>0</v>
      </c>
      <c r="AI348" s="1009">
        <f>'Other Costs'!$DL100</f>
        <v>0</v>
      </c>
      <c r="AJ348" s="1009">
        <f>'Other Costs'!$DM100</f>
        <v>0</v>
      </c>
      <c r="AK348" s="1009">
        <f>'Other Costs'!$DN100</f>
        <v>0</v>
      </c>
      <c r="AL348" s="1009">
        <f>'Other Costs'!$DO100</f>
        <v>0</v>
      </c>
      <c r="AM348" s="1007">
        <v>0</v>
      </c>
      <c r="AN348" s="1007">
        <v>0</v>
      </c>
      <c r="AO348" s="1007">
        <v>0</v>
      </c>
      <c r="AP348" s="1007">
        <v>0</v>
      </c>
      <c r="AQ348" s="1007">
        <v>0</v>
      </c>
      <c r="AR348" s="1016">
        <f t="shared" si="16"/>
        <v>0</v>
      </c>
    </row>
    <row r="349" spans="2:44" ht="15" customHeight="1">
      <c r="B349" s="2"/>
      <c r="C349"/>
      <c r="D349"/>
      <c r="E349"/>
      <c r="F349"/>
      <c r="G349"/>
      <c r="H349"/>
      <c r="I349"/>
      <c r="J349"/>
      <c r="K349"/>
      <c r="L349"/>
      <c r="M349"/>
      <c r="N349"/>
      <c r="O349"/>
      <c r="P349"/>
      <c r="Q349"/>
      <c r="AA349" s="1686"/>
      <c r="AB349" s="53" t="str">
        <f>'Other Costs'!$DE101</f>
        <v/>
      </c>
      <c r="AC349" s="53" t="str">
        <f>'Other Costs'!$DF101</f>
        <v/>
      </c>
      <c r="AD349" s="53" t="str">
        <f>'Other Costs'!$DG101</f>
        <v/>
      </c>
      <c r="AE349" s="53" t="str">
        <f>'Other Costs'!$DH101</f>
        <v/>
      </c>
      <c r="AF349" s="53" t="str">
        <f>'Other Costs'!$DI101</f>
        <v/>
      </c>
      <c r="AG349" s="1009">
        <f>'Other Costs'!$DJ101</f>
        <v>0</v>
      </c>
      <c r="AH349" s="1009">
        <f>'Other Costs'!$DK101</f>
        <v>0</v>
      </c>
      <c r="AI349" s="1009">
        <f>'Other Costs'!$DL101</f>
        <v>0</v>
      </c>
      <c r="AJ349" s="1009">
        <f>'Other Costs'!$DM101</f>
        <v>0</v>
      </c>
      <c r="AK349" s="1009">
        <f>'Other Costs'!$DN101</f>
        <v>0</v>
      </c>
      <c r="AL349" s="1009">
        <f>'Other Costs'!$DO101</f>
        <v>0</v>
      </c>
      <c r="AM349" s="1007">
        <v>0</v>
      </c>
      <c r="AN349" s="1007">
        <v>0</v>
      </c>
      <c r="AO349" s="1007">
        <v>0</v>
      </c>
      <c r="AP349" s="1007">
        <v>0</v>
      </c>
      <c r="AQ349" s="1007">
        <v>0</v>
      </c>
      <c r="AR349" s="1016">
        <f t="shared" si="16"/>
        <v>0</v>
      </c>
    </row>
    <row r="350" spans="2:44" ht="15" customHeight="1">
      <c r="B350" s="2"/>
      <c r="C350"/>
      <c r="D350"/>
      <c r="E350"/>
      <c r="F350"/>
      <c r="G350"/>
      <c r="H350"/>
      <c r="I350"/>
      <c r="J350"/>
      <c r="K350"/>
      <c r="L350"/>
      <c r="M350"/>
      <c r="N350"/>
      <c r="O350"/>
      <c r="P350"/>
      <c r="Q350"/>
      <c r="AA350" s="1686"/>
      <c r="AB350" s="53" t="str">
        <f>'Other Costs'!$DE102</f>
        <v/>
      </c>
      <c r="AC350" s="53" t="str">
        <f>'Other Costs'!$DF102</f>
        <v/>
      </c>
      <c r="AD350" s="53" t="str">
        <f>'Other Costs'!$DG102</f>
        <v/>
      </c>
      <c r="AE350" s="53" t="str">
        <f>'Other Costs'!$DH102</f>
        <v/>
      </c>
      <c r="AF350" s="53" t="str">
        <f>'Other Costs'!$DI102</f>
        <v/>
      </c>
      <c r="AG350" s="1009">
        <f>'Other Costs'!$DJ102</f>
        <v>0</v>
      </c>
      <c r="AH350" s="1009">
        <f>'Other Costs'!$DK102</f>
        <v>0</v>
      </c>
      <c r="AI350" s="1009">
        <f>'Other Costs'!$DL102</f>
        <v>0</v>
      </c>
      <c r="AJ350" s="1009">
        <f>'Other Costs'!$DM102</f>
        <v>0</v>
      </c>
      <c r="AK350" s="1009">
        <f>'Other Costs'!$DN102</f>
        <v>0</v>
      </c>
      <c r="AL350" s="1009">
        <f>'Other Costs'!$DO102</f>
        <v>0</v>
      </c>
      <c r="AM350" s="1007">
        <v>0</v>
      </c>
      <c r="AN350" s="1007">
        <v>0</v>
      </c>
      <c r="AO350" s="1007">
        <v>0</v>
      </c>
      <c r="AP350" s="1007">
        <v>0</v>
      </c>
      <c r="AQ350" s="1007">
        <v>0</v>
      </c>
      <c r="AR350" s="1016">
        <f t="shared" si="16"/>
        <v>0</v>
      </c>
    </row>
    <row r="351" spans="2:44" ht="15" customHeight="1">
      <c r="B351" s="2"/>
      <c r="C351"/>
      <c r="D351"/>
      <c r="E351"/>
      <c r="F351"/>
      <c r="G351"/>
      <c r="H351"/>
      <c r="I351"/>
      <c r="J351"/>
      <c r="K351"/>
      <c r="L351"/>
      <c r="M351"/>
      <c r="N351"/>
      <c r="O351"/>
      <c r="P351"/>
      <c r="Q351"/>
      <c r="AA351" s="1686"/>
      <c r="AB351" s="53" t="str">
        <f>'Other Costs'!$DE103</f>
        <v/>
      </c>
      <c r="AC351" s="53" t="str">
        <f>'Other Costs'!$DF103</f>
        <v/>
      </c>
      <c r="AD351" s="53" t="str">
        <f>'Other Costs'!$DG103</f>
        <v/>
      </c>
      <c r="AE351" s="53" t="str">
        <f>'Other Costs'!$DH103</f>
        <v/>
      </c>
      <c r="AF351" s="53" t="str">
        <f>'Other Costs'!$DI103</f>
        <v/>
      </c>
      <c r="AG351" s="1009">
        <f>'Other Costs'!$DJ103</f>
        <v>0</v>
      </c>
      <c r="AH351" s="1009">
        <f>'Other Costs'!$DK103</f>
        <v>0</v>
      </c>
      <c r="AI351" s="1009">
        <f>'Other Costs'!$DL103</f>
        <v>0</v>
      </c>
      <c r="AJ351" s="1009">
        <f>'Other Costs'!$DM103</f>
        <v>0</v>
      </c>
      <c r="AK351" s="1009">
        <f>'Other Costs'!$DN103</f>
        <v>0</v>
      </c>
      <c r="AL351" s="1009">
        <f>'Other Costs'!$DO103</f>
        <v>0</v>
      </c>
      <c r="AM351" s="1007">
        <v>0</v>
      </c>
      <c r="AN351" s="1007">
        <v>0</v>
      </c>
      <c r="AO351" s="1007">
        <v>0</v>
      </c>
      <c r="AP351" s="1007">
        <v>0</v>
      </c>
      <c r="AQ351" s="1007">
        <v>0</v>
      </c>
      <c r="AR351" s="1016">
        <f t="shared" si="16"/>
        <v>0</v>
      </c>
    </row>
    <row r="352" spans="2:44" ht="15" customHeight="1">
      <c r="B352" s="2"/>
      <c r="C352"/>
      <c r="D352"/>
      <c r="E352"/>
      <c r="F352"/>
      <c r="G352"/>
      <c r="H352"/>
      <c r="I352"/>
      <c r="J352"/>
      <c r="K352"/>
      <c r="L352"/>
      <c r="M352"/>
      <c r="N352"/>
      <c r="O352"/>
      <c r="P352"/>
      <c r="Q352"/>
      <c r="AA352" s="1686"/>
      <c r="AB352" s="53" t="str">
        <f>'Other Costs'!$DE104</f>
        <v/>
      </c>
      <c r="AC352" s="53" t="str">
        <f>'Other Costs'!$DF104</f>
        <v/>
      </c>
      <c r="AD352" s="53" t="str">
        <f>'Other Costs'!$DG104</f>
        <v/>
      </c>
      <c r="AE352" s="53" t="str">
        <f>'Other Costs'!$DH104</f>
        <v/>
      </c>
      <c r="AF352" s="53" t="str">
        <f>'Other Costs'!$DI104</f>
        <v/>
      </c>
      <c r="AG352" s="1009">
        <f>'Other Costs'!$DJ104</f>
        <v>0</v>
      </c>
      <c r="AH352" s="1009">
        <f>'Other Costs'!$DK104</f>
        <v>0</v>
      </c>
      <c r="AI352" s="1009">
        <f>'Other Costs'!$DL104</f>
        <v>0</v>
      </c>
      <c r="AJ352" s="1009">
        <f>'Other Costs'!$DM104</f>
        <v>0</v>
      </c>
      <c r="AK352" s="1009">
        <f>'Other Costs'!$DN104</f>
        <v>0</v>
      </c>
      <c r="AL352" s="1009">
        <f>'Other Costs'!$DO104</f>
        <v>0</v>
      </c>
      <c r="AM352" s="1007">
        <v>0</v>
      </c>
      <c r="AN352" s="1007">
        <v>0</v>
      </c>
      <c r="AO352" s="1007">
        <v>0</v>
      </c>
      <c r="AP352" s="1007">
        <v>0</v>
      </c>
      <c r="AQ352" s="1007">
        <v>0</v>
      </c>
      <c r="AR352" s="1016">
        <f t="shared" si="16"/>
        <v>0</v>
      </c>
    </row>
    <row r="353" spans="2:44" ht="15" customHeight="1">
      <c r="B353" s="2"/>
      <c r="C353"/>
      <c r="D353"/>
      <c r="E353"/>
      <c r="F353"/>
      <c r="G353"/>
      <c r="H353"/>
      <c r="I353"/>
      <c r="J353"/>
      <c r="K353"/>
      <c r="L353"/>
      <c r="M353"/>
      <c r="N353"/>
      <c r="O353"/>
      <c r="P353"/>
      <c r="Q353"/>
      <c r="AA353" s="1686"/>
      <c r="AB353" s="53" t="str">
        <f>'Other Costs'!$DE105</f>
        <v/>
      </c>
      <c r="AC353" s="53" t="str">
        <f>'Other Costs'!$DF105</f>
        <v/>
      </c>
      <c r="AD353" s="53" t="str">
        <f>'Other Costs'!$DG105</f>
        <v/>
      </c>
      <c r="AE353" s="53" t="str">
        <f>'Other Costs'!$DH105</f>
        <v/>
      </c>
      <c r="AF353" s="53" t="str">
        <f>'Other Costs'!$DI105</f>
        <v/>
      </c>
      <c r="AG353" s="1009">
        <f>'Other Costs'!$DJ105</f>
        <v>0</v>
      </c>
      <c r="AH353" s="1009">
        <f>'Other Costs'!$DK105</f>
        <v>0</v>
      </c>
      <c r="AI353" s="1009">
        <f>'Other Costs'!$DL105</f>
        <v>0</v>
      </c>
      <c r="AJ353" s="1009">
        <f>'Other Costs'!$DM105</f>
        <v>0</v>
      </c>
      <c r="AK353" s="1009">
        <f>'Other Costs'!$DN105</f>
        <v>0</v>
      </c>
      <c r="AL353" s="1009">
        <f>'Other Costs'!$DO105</f>
        <v>0</v>
      </c>
      <c r="AM353" s="1007">
        <v>0</v>
      </c>
      <c r="AN353" s="1007">
        <v>0</v>
      </c>
      <c r="AO353" s="1007">
        <v>0</v>
      </c>
      <c r="AP353" s="1007">
        <v>0</v>
      </c>
      <c r="AQ353" s="1007">
        <v>0</v>
      </c>
      <c r="AR353" s="1016">
        <f t="shared" si="16"/>
        <v>0</v>
      </c>
    </row>
    <row r="354" spans="2:44" ht="15" customHeight="1">
      <c r="B354" s="2"/>
      <c r="C354"/>
      <c r="D354"/>
      <c r="E354"/>
      <c r="F354"/>
      <c r="G354"/>
      <c r="H354"/>
      <c r="I354"/>
      <c r="J354"/>
      <c r="K354"/>
      <c r="L354"/>
      <c r="M354"/>
      <c r="N354"/>
      <c r="O354"/>
      <c r="P354"/>
      <c r="Q354"/>
      <c r="AA354" s="1686"/>
      <c r="AB354" s="53" t="str">
        <f>'Other Costs'!$DE106</f>
        <v/>
      </c>
      <c r="AC354" s="53" t="str">
        <f>'Other Costs'!$DF106</f>
        <v/>
      </c>
      <c r="AD354" s="53" t="str">
        <f>'Other Costs'!$DG106</f>
        <v/>
      </c>
      <c r="AE354" s="53" t="str">
        <f>'Other Costs'!$DH106</f>
        <v/>
      </c>
      <c r="AF354" s="53" t="str">
        <f>'Other Costs'!$DI106</f>
        <v/>
      </c>
      <c r="AG354" s="1009">
        <f>'Other Costs'!$DJ106</f>
        <v>0</v>
      </c>
      <c r="AH354" s="1009">
        <f>'Other Costs'!$DK106</f>
        <v>0</v>
      </c>
      <c r="AI354" s="1009">
        <f>'Other Costs'!$DL106</f>
        <v>0</v>
      </c>
      <c r="AJ354" s="1009">
        <f>'Other Costs'!$DM106</f>
        <v>0</v>
      </c>
      <c r="AK354" s="1009">
        <f>'Other Costs'!$DN106</f>
        <v>0</v>
      </c>
      <c r="AL354" s="1009">
        <f>'Other Costs'!$DO106</f>
        <v>0</v>
      </c>
      <c r="AM354" s="1007">
        <v>0</v>
      </c>
      <c r="AN354" s="1007">
        <v>0</v>
      </c>
      <c r="AO354" s="1007">
        <v>0</v>
      </c>
      <c r="AP354" s="1007">
        <v>0</v>
      </c>
      <c r="AQ354" s="1007">
        <v>0</v>
      </c>
      <c r="AR354" s="1016">
        <f t="shared" si="16"/>
        <v>0</v>
      </c>
    </row>
    <row r="355" spans="2:44" ht="15" customHeight="1">
      <c r="B355" s="2"/>
      <c r="C355"/>
      <c r="D355"/>
      <c r="E355"/>
      <c r="F355"/>
      <c r="G355"/>
      <c r="H355"/>
      <c r="I355"/>
      <c r="J355"/>
      <c r="K355"/>
      <c r="L355"/>
      <c r="M355"/>
      <c r="N355"/>
      <c r="O355"/>
      <c r="P355"/>
      <c r="Q355"/>
      <c r="AA355" s="1686"/>
      <c r="AB355" s="53" t="str">
        <f>'Other Costs'!$DE107</f>
        <v/>
      </c>
      <c r="AC355" s="53" t="str">
        <f>'Other Costs'!$DF107</f>
        <v/>
      </c>
      <c r="AD355" s="53" t="str">
        <f>'Other Costs'!$DG107</f>
        <v/>
      </c>
      <c r="AE355" s="53" t="str">
        <f>'Other Costs'!$DH107</f>
        <v/>
      </c>
      <c r="AF355" s="53" t="str">
        <f>'Other Costs'!$DI107</f>
        <v/>
      </c>
      <c r="AG355" s="1009">
        <f>'Other Costs'!$DJ107</f>
        <v>0</v>
      </c>
      <c r="AH355" s="1009">
        <f>'Other Costs'!$DK107</f>
        <v>0</v>
      </c>
      <c r="AI355" s="1009">
        <f>'Other Costs'!$DL107</f>
        <v>0</v>
      </c>
      <c r="AJ355" s="1009">
        <f>'Other Costs'!$DM107</f>
        <v>0</v>
      </c>
      <c r="AK355" s="1009">
        <f>'Other Costs'!$DN107</f>
        <v>0</v>
      </c>
      <c r="AL355" s="1009">
        <f>'Other Costs'!$DO107</f>
        <v>0</v>
      </c>
      <c r="AM355" s="1007">
        <v>0</v>
      </c>
      <c r="AN355" s="1007">
        <v>0</v>
      </c>
      <c r="AO355" s="1007">
        <v>0</v>
      </c>
      <c r="AP355" s="1007">
        <v>0</v>
      </c>
      <c r="AQ355" s="1007">
        <v>0</v>
      </c>
      <c r="AR355" s="1016">
        <f t="shared" si="16"/>
        <v>0</v>
      </c>
    </row>
    <row r="356" spans="2:44" ht="15" customHeight="1">
      <c r="B356" s="2"/>
      <c r="C356"/>
      <c r="D356"/>
      <c r="E356"/>
      <c r="F356"/>
      <c r="G356"/>
      <c r="H356"/>
      <c r="I356"/>
      <c r="J356"/>
      <c r="K356"/>
      <c r="L356"/>
      <c r="M356"/>
      <c r="N356"/>
      <c r="O356"/>
      <c r="P356"/>
      <c r="Q356"/>
      <c r="AA356" s="1686"/>
      <c r="AB356" s="53" t="str">
        <f>'Other Costs'!$DE108</f>
        <v/>
      </c>
      <c r="AC356" s="53" t="str">
        <f>'Other Costs'!$DF108</f>
        <v/>
      </c>
      <c r="AD356" s="53" t="str">
        <f>'Other Costs'!$DG108</f>
        <v/>
      </c>
      <c r="AE356" s="53" t="str">
        <f>'Other Costs'!$DH108</f>
        <v/>
      </c>
      <c r="AF356" s="53" t="str">
        <f>'Other Costs'!$DI108</f>
        <v/>
      </c>
      <c r="AG356" s="1009">
        <f>'Other Costs'!$DJ108</f>
        <v>0</v>
      </c>
      <c r="AH356" s="1009">
        <f>'Other Costs'!$DK108</f>
        <v>0</v>
      </c>
      <c r="AI356" s="1009">
        <f>'Other Costs'!$DL108</f>
        <v>0</v>
      </c>
      <c r="AJ356" s="1009">
        <f>'Other Costs'!$DM108</f>
        <v>0</v>
      </c>
      <c r="AK356" s="1009">
        <f>'Other Costs'!$DN108</f>
        <v>0</v>
      </c>
      <c r="AL356" s="1009">
        <f>'Other Costs'!$DO108</f>
        <v>0</v>
      </c>
      <c r="AM356" s="1007">
        <v>0</v>
      </c>
      <c r="AN356" s="1007">
        <v>0</v>
      </c>
      <c r="AO356" s="1007">
        <v>0</v>
      </c>
      <c r="AP356" s="1007">
        <v>0</v>
      </c>
      <c r="AQ356" s="1007">
        <v>0</v>
      </c>
      <c r="AR356" s="1016">
        <f t="shared" si="16"/>
        <v>0</v>
      </c>
    </row>
    <row r="357" spans="2:44" ht="15" customHeight="1">
      <c r="B357" s="2"/>
      <c r="C357"/>
      <c r="D357"/>
      <c r="E357"/>
      <c r="F357"/>
      <c r="G357"/>
      <c r="H357"/>
      <c r="I357"/>
      <c r="J357"/>
      <c r="K357"/>
      <c r="L357"/>
      <c r="M357"/>
      <c r="N357"/>
      <c r="O357"/>
      <c r="P357"/>
      <c r="Q357"/>
      <c r="AA357" s="1686"/>
      <c r="AB357" s="53" t="str">
        <f>'Other Costs'!$DE109</f>
        <v/>
      </c>
      <c r="AC357" s="53" t="str">
        <f>'Other Costs'!$DF109</f>
        <v/>
      </c>
      <c r="AD357" s="53" t="str">
        <f>'Other Costs'!$DG109</f>
        <v/>
      </c>
      <c r="AE357" s="53" t="str">
        <f>'Other Costs'!$DH109</f>
        <v/>
      </c>
      <c r="AF357" s="53" t="str">
        <f>'Other Costs'!$DI109</f>
        <v/>
      </c>
      <c r="AG357" s="1009">
        <f>'Other Costs'!$DJ109</f>
        <v>0</v>
      </c>
      <c r="AH357" s="1009">
        <f>'Other Costs'!$DK109</f>
        <v>0</v>
      </c>
      <c r="AI357" s="1009">
        <f>'Other Costs'!$DL109</f>
        <v>0</v>
      </c>
      <c r="AJ357" s="1009">
        <f>'Other Costs'!$DM109</f>
        <v>0</v>
      </c>
      <c r="AK357" s="1009">
        <f>'Other Costs'!$DN109</f>
        <v>0</v>
      </c>
      <c r="AL357" s="1009">
        <f>'Other Costs'!$DO109</f>
        <v>0</v>
      </c>
      <c r="AM357" s="1007">
        <v>0</v>
      </c>
      <c r="AN357" s="1007">
        <v>0</v>
      </c>
      <c r="AO357" s="1007">
        <v>0</v>
      </c>
      <c r="AP357" s="1007">
        <v>0</v>
      </c>
      <c r="AQ357" s="1007">
        <v>0</v>
      </c>
      <c r="AR357" s="1016">
        <f t="shared" si="16"/>
        <v>0</v>
      </c>
    </row>
    <row r="358" spans="2:44" ht="15" customHeight="1">
      <c r="B358" s="2"/>
      <c r="C358"/>
      <c r="D358"/>
      <c r="E358"/>
      <c r="F358"/>
      <c r="G358"/>
      <c r="H358"/>
      <c r="I358"/>
      <c r="J358"/>
      <c r="K358"/>
      <c r="L358"/>
      <c r="M358"/>
      <c r="N358"/>
      <c r="O358"/>
      <c r="P358"/>
      <c r="Q358"/>
      <c r="AA358" s="1686"/>
      <c r="AB358" s="53" t="str">
        <f>'Other Costs'!$DE110</f>
        <v/>
      </c>
      <c r="AC358" s="53" t="str">
        <f>'Other Costs'!$DF110</f>
        <v/>
      </c>
      <c r="AD358" s="53" t="str">
        <f>'Other Costs'!$DG110</f>
        <v/>
      </c>
      <c r="AE358" s="53" t="str">
        <f>'Other Costs'!$DH110</f>
        <v/>
      </c>
      <c r="AF358" s="53" t="str">
        <f>'Other Costs'!$DI110</f>
        <v/>
      </c>
      <c r="AG358" s="1009">
        <f>'Other Costs'!$DJ110</f>
        <v>0</v>
      </c>
      <c r="AH358" s="1009">
        <f>'Other Costs'!$DK110</f>
        <v>0</v>
      </c>
      <c r="AI358" s="1009">
        <f>'Other Costs'!$DL110</f>
        <v>0</v>
      </c>
      <c r="AJ358" s="1009">
        <f>'Other Costs'!$DM110</f>
        <v>0</v>
      </c>
      <c r="AK358" s="1009">
        <f>'Other Costs'!$DN110</f>
        <v>0</v>
      </c>
      <c r="AL358" s="1009">
        <f>'Other Costs'!$DO110</f>
        <v>0</v>
      </c>
      <c r="AM358" s="1007">
        <v>0</v>
      </c>
      <c r="AN358" s="1007">
        <v>0</v>
      </c>
      <c r="AO358" s="1007">
        <v>0</v>
      </c>
      <c r="AP358" s="1007">
        <v>0</v>
      </c>
      <c r="AQ358" s="1007">
        <v>0</v>
      </c>
      <c r="AR358" s="1016">
        <f t="shared" si="16"/>
        <v>0</v>
      </c>
    </row>
    <row r="359" spans="2:44" ht="15" customHeight="1">
      <c r="B359" s="2"/>
      <c r="C359"/>
      <c r="D359"/>
      <c r="E359"/>
      <c r="F359"/>
      <c r="G359"/>
      <c r="H359"/>
      <c r="I359"/>
      <c r="J359"/>
      <c r="K359"/>
      <c r="L359"/>
      <c r="M359"/>
      <c r="N359"/>
      <c r="O359"/>
      <c r="P359"/>
      <c r="Q359"/>
      <c r="AA359" s="1686"/>
      <c r="AB359" s="53" t="str">
        <f>'Other Costs'!$DE111</f>
        <v/>
      </c>
      <c r="AC359" s="53" t="str">
        <f>'Other Costs'!$DF111</f>
        <v/>
      </c>
      <c r="AD359" s="53" t="str">
        <f>'Other Costs'!$DG111</f>
        <v/>
      </c>
      <c r="AE359" s="53" t="str">
        <f>'Other Costs'!$DH111</f>
        <v/>
      </c>
      <c r="AF359" s="53" t="str">
        <f>'Other Costs'!$DI111</f>
        <v/>
      </c>
      <c r="AG359" s="1009">
        <f>'Other Costs'!$DJ111</f>
        <v>0</v>
      </c>
      <c r="AH359" s="1009">
        <f>'Other Costs'!$DK111</f>
        <v>0</v>
      </c>
      <c r="AI359" s="1009">
        <f>'Other Costs'!$DL111</f>
        <v>0</v>
      </c>
      <c r="AJ359" s="1009">
        <f>'Other Costs'!$DM111</f>
        <v>0</v>
      </c>
      <c r="AK359" s="1009">
        <f>'Other Costs'!$DN111</f>
        <v>0</v>
      </c>
      <c r="AL359" s="1009">
        <f>'Other Costs'!$DO111</f>
        <v>0</v>
      </c>
      <c r="AM359" s="1007">
        <v>0</v>
      </c>
      <c r="AN359" s="1007">
        <v>0</v>
      </c>
      <c r="AO359" s="1007">
        <v>0</v>
      </c>
      <c r="AP359" s="1007">
        <v>0</v>
      </c>
      <c r="AQ359" s="1007">
        <v>0</v>
      </c>
      <c r="AR359" s="1016">
        <f t="shared" si="16"/>
        <v>0</v>
      </c>
    </row>
    <row r="360" spans="2:44" ht="15" customHeight="1">
      <c r="B360" s="2"/>
      <c r="C360"/>
      <c r="D360"/>
      <c r="E360"/>
      <c r="F360"/>
      <c r="G360"/>
      <c r="H360"/>
      <c r="I360"/>
      <c r="J360"/>
      <c r="K360"/>
      <c r="L360"/>
      <c r="M360"/>
      <c r="N360"/>
      <c r="O360"/>
      <c r="P360"/>
      <c r="Q360"/>
      <c r="AA360" s="1686"/>
      <c r="AB360" s="53" t="str">
        <f>'Other Costs'!$DE112</f>
        <v/>
      </c>
      <c r="AC360" s="53" t="str">
        <f>'Other Costs'!$DF112</f>
        <v/>
      </c>
      <c r="AD360" s="53" t="str">
        <f>'Other Costs'!$DG112</f>
        <v/>
      </c>
      <c r="AE360" s="53" t="str">
        <f>'Other Costs'!$DH112</f>
        <v/>
      </c>
      <c r="AF360" s="53" t="str">
        <f>'Other Costs'!$DI112</f>
        <v/>
      </c>
      <c r="AG360" s="1009">
        <f>'Other Costs'!$DJ112</f>
        <v>0</v>
      </c>
      <c r="AH360" s="1009">
        <f>'Other Costs'!$DK112</f>
        <v>0</v>
      </c>
      <c r="AI360" s="1009">
        <f>'Other Costs'!$DL112</f>
        <v>0</v>
      </c>
      <c r="AJ360" s="1009">
        <f>'Other Costs'!$DM112</f>
        <v>0</v>
      </c>
      <c r="AK360" s="1009">
        <f>'Other Costs'!$DN112</f>
        <v>0</v>
      </c>
      <c r="AL360" s="1009">
        <f>'Other Costs'!$DO112</f>
        <v>0</v>
      </c>
      <c r="AM360" s="1007">
        <v>0</v>
      </c>
      <c r="AN360" s="1007">
        <v>0</v>
      </c>
      <c r="AO360" s="1007">
        <v>0</v>
      </c>
      <c r="AP360" s="1007">
        <v>0</v>
      </c>
      <c r="AQ360" s="1007">
        <v>0</v>
      </c>
      <c r="AR360" s="1016">
        <f t="shared" si="16"/>
        <v>0</v>
      </c>
    </row>
    <row r="361" spans="2:44" ht="15" customHeight="1">
      <c r="B361" s="2"/>
      <c r="C361"/>
      <c r="D361"/>
      <c r="E361"/>
      <c r="F361"/>
      <c r="G361"/>
      <c r="H361"/>
      <c r="I361"/>
      <c r="J361"/>
      <c r="K361"/>
      <c r="L361"/>
      <c r="M361"/>
      <c r="N361"/>
      <c r="O361"/>
      <c r="P361"/>
      <c r="Q361"/>
      <c r="AA361" s="1686"/>
      <c r="AB361" s="53" t="str">
        <f>'Other Costs'!$DE113</f>
        <v/>
      </c>
      <c r="AC361" s="53" t="str">
        <f>'Other Costs'!$DF113</f>
        <v/>
      </c>
      <c r="AD361" s="53" t="str">
        <f>'Other Costs'!$DG113</f>
        <v/>
      </c>
      <c r="AE361" s="53" t="str">
        <f>'Other Costs'!$DH113</f>
        <v/>
      </c>
      <c r="AF361" s="53" t="str">
        <f>'Other Costs'!$DI113</f>
        <v/>
      </c>
      <c r="AG361" s="1009">
        <f>'Other Costs'!$DJ113</f>
        <v>0</v>
      </c>
      <c r="AH361" s="1009">
        <f>'Other Costs'!$DK113</f>
        <v>0</v>
      </c>
      <c r="AI361" s="1009">
        <f>'Other Costs'!$DL113</f>
        <v>0</v>
      </c>
      <c r="AJ361" s="1009">
        <f>'Other Costs'!$DM113</f>
        <v>0</v>
      </c>
      <c r="AK361" s="1009">
        <f>'Other Costs'!$DN113</f>
        <v>0</v>
      </c>
      <c r="AL361" s="1009">
        <f>'Other Costs'!$DO113</f>
        <v>0</v>
      </c>
      <c r="AM361" s="1007">
        <v>0</v>
      </c>
      <c r="AN361" s="1007">
        <v>0</v>
      </c>
      <c r="AO361" s="1007">
        <v>0</v>
      </c>
      <c r="AP361" s="1007">
        <v>0</v>
      </c>
      <c r="AQ361" s="1007">
        <v>0</v>
      </c>
      <c r="AR361" s="1016">
        <f t="shared" si="16"/>
        <v>0</v>
      </c>
    </row>
    <row r="362" spans="2:44" ht="15" customHeight="1">
      <c r="B362" s="2"/>
      <c r="C362"/>
      <c r="D362"/>
      <c r="E362"/>
      <c r="F362"/>
      <c r="G362"/>
      <c r="H362"/>
      <c r="I362"/>
      <c r="J362"/>
      <c r="K362"/>
      <c r="L362"/>
      <c r="M362"/>
      <c r="N362"/>
      <c r="O362"/>
      <c r="P362"/>
      <c r="Q362"/>
      <c r="AA362" s="1686"/>
      <c r="AB362" s="53" t="str">
        <f>'Other Costs'!$DE114</f>
        <v/>
      </c>
      <c r="AC362" s="53" t="str">
        <f>'Other Costs'!$DF114</f>
        <v/>
      </c>
      <c r="AD362" s="53" t="str">
        <f>'Other Costs'!$DG114</f>
        <v/>
      </c>
      <c r="AE362" s="53" t="str">
        <f>'Other Costs'!$DH114</f>
        <v/>
      </c>
      <c r="AF362" s="53" t="str">
        <f>'Other Costs'!$DI114</f>
        <v/>
      </c>
      <c r="AG362" s="1009">
        <f>'Other Costs'!$DJ114</f>
        <v>0</v>
      </c>
      <c r="AH362" s="1009">
        <f>'Other Costs'!$DK114</f>
        <v>0</v>
      </c>
      <c r="AI362" s="1009">
        <f>'Other Costs'!$DL114</f>
        <v>0</v>
      </c>
      <c r="AJ362" s="1009">
        <f>'Other Costs'!$DM114</f>
        <v>0</v>
      </c>
      <c r="AK362" s="1009">
        <f>'Other Costs'!$DN114</f>
        <v>0</v>
      </c>
      <c r="AL362" s="1009">
        <f>'Other Costs'!$DO114</f>
        <v>0</v>
      </c>
      <c r="AM362" s="1007">
        <v>0</v>
      </c>
      <c r="AN362" s="1007">
        <v>0</v>
      </c>
      <c r="AO362" s="1007">
        <v>0</v>
      </c>
      <c r="AP362" s="1007">
        <v>0</v>
      </c>
      <c r="AQ362" s="1007">
        <v>0</v>
      </c>
      <c r="AR362" s="1016">
        <f t="shared" si="16"/>
        <v>0</v>
      </c>
    </row>
    <row r="363" spans="2:44" ht="15" customHeight="1">
      <c r="B363" s="2"/>
      <c r="C363"/>
      <c r="D363"/>
      <c r="E363"/>
      <c r="F363"/>
      <c r="G363"/>
      <c r="H363"/>
      <c r="I363"/>
      <c r="J363"/>
      <c r="K363"/>
      <c r="L363"/>
      <c r="M363"/>
      <c r="N363"/>
      <c r="O363"/>
      <c r="P363"/>
      <c r="Q363"/>
      <c r="AA363" s="1686"/>
      <c r="AB363" s="53" t="str">
        <f>'Other Costs'!$DE115</f>
        <v/>
      </c>
      <c r="AC363" s="53" t="str">
        <f>'Other Costs'!$DF115</f>
        <v/>
      </c>
      <c r="AD363" s="53" t="str">
        <f>'Other Costs'!$DG115</f>
        <v/>
      </c>
      <c r="AE363" s="53" t="str">
        <f>'Other Costs'!$DH115</f>
        <v/>
      </c>
      <c r="AF363" s="53" t="str">
        <f>'Other Costs'!$DI115</f>
        <v/>
      </c>
      <c r="AG363" s="1009">
        <f>'Other Costs'!$DJ115</f>
        <v>0</v>
      </c>
      <c r="AH363" s="1009">
        <f>'Other Costs'!$DK115</f>
        <v>0</v>
      </c>
      <c r="AI363" s="1009">
        <f>'Other Costs'!$DL115</f>
        <v>0</v>
      </c>
      <c r="AJ363" s="1009">
        <f>'Other Costs'!$DM115</f>
        <v>0</v>
      </c>
      <c r="AK363" s="1009">
        <f>'Other Costs'!$DN115</f>
        <v>0</v>
      </c>
      <c r="AL363" s="1009">
        <f>'Other Costs'!$DO115</f>
        <v>0</v>
      </c>
      <c r="AM363" s="1007">
        <v>0</v>
      </c>
      <c r="AN363" s="1007">
        <v>0</v>
      </c>
      <c r="AO363" s="1007">
        <v>0</v>
      </c>
      <c r="AP363" s="1007">
        <v>0</v>
      </c>
      <c r="AQ363" s="1007">
        <v>0</v>
      </c>
      <c r="AR363" s="1016">
        <f t="shared" si="16"/>
        <v>0</v>
      </c>
    </row>
    <row r="364" spans="2:44" ht="15" customHeight="1">
      <c r="B364" s="2"/>
      <c r="C364"/>
      <c r="D364"/>
      <c r="E364"/>
      <c r="F364"/>
      <c r="G364"/>
      <c r="H364"/>
      <c r="I364"/>
      <c r="J364"/>
      <c r="K364"/>
      <c r="L364"/>
      <c r="M364"/>
      <c r="N364"/>
      <c r="O364"/>
      <c r="P364"/>
      <c r="Q364"/>
      <c r="AA364" s="1686"/>
      <c r="AB364" s="53" t="str">
        <f>'Other Costs'!$DE116</f>
        <v/>
      </c>
      <c r="AC364" s="53" t="str">
        <f>'Other Costs'!$DF116</f>
        <v/>
      </c>
      <c r="AD364" s="53" t="str">
        <f>'Other Costs'!$DG116</f>
        <v/>
      </c>
      <c r="AE364" s="53" t="str">
        <f>'Other Costs'!$DH116</f>
        <v/>
      </c>
      <c r="AF364" s="53" t="str">
        <f>'Other Costs'!$DI116</f>
        <v/>
      </c>
      <c r="AG364" s="1009">
        <f>'Other Costs'!$DJ116</f>
        <v>0</v>
      </c>
      <c r="AH364" s="1009">
        <f>'Other Costs'!$DK116</f>
        <v>0</v>
      </c>
      <c r="AI364" s="1009">
        <f>'Other Costs'!$DL116</f>
        <v>0</v>
      </c>
      <c r="AJ364" s="1009">
        <f>'Other Costs'!$DM116</f>
        <v>0</v>
      </c>
      <c r="AK364" s="1009">
        <f>'Other Costs'!$DN116</f>
        <v>0</v>
      </c>
      <c r="AL364" s="1009">
        <f>'Other Costs'!$DO116</f>
        <v>0</v>
      </c>
      <c r="AM364" s="1007">
        <v>0</v>
      </c>
      <c r="AN364" s="1007">
        <v>0</v>
      </c>
      <c r="AO364" s="1007">
        <v>0</v>
      </c>
      <c r="AP364" s="1007">
        <v>0</v>
      </c>
      <c r="AQ364" s="1007">
        <v>0</v>
      </c>
      <c r="AR364" s="1016">
        <f t="shared" si="16"/>
        <v>0</v>
      </c>
    </row>
    <row r="365" spans="2:44" ht="15" customHeight="1">
      <c r="B365" s="2"/>
      <c r="C365"/>
      <c r="D365"/>
      <c r="E365"/>
      <c r="F365"/>
      <c r="G365"/>
      <c r="H365"/>
      <c r="I365"/>
      <c r="J365"/>
      <c r="K365"/>
      <c r="L365"/>
      <c r="M365"/>
      <c r="N365"/>
      <c r="O365"/>
      <c r="P365"/>
      <c r="Q365"/>
      <c r="AA365" s="1686"/>
      <c r="AB365" s="53" t="str">
        <f>'Other Costs'!$DE117</f>
        <v/>
      </c>
      <c r="AC365" s="53" t="str">
        <f>'Other Costs'!$DF117</f>
        <v/>
      </c>
      <c r="AD365" s="53" t="str">
        <f>'Other Costs'!$DG117</f>
        <v/>
      </c>
      <c r="AE365" s="53" t="str">
        <f>'Other Costs'!$DH117</f>
        <v/>
      </c>
      <c r="AF365" s="53" t="str">
        <f>'Other Costs'!$DI117</f>
        <v/>
      </c>
      <c r="AG365" s="1009">
        <f>'Other Costs'!$DJ117</f>
        <v>0</v>
      </c>
      <c r="AH365" s="1009">
        <f>'Other Costs'!$DK117</f>
        <v>0</v>
      </c>
      <c r="AI365" s="1009">
        <f>'Other Costs'!$DL117</f>
        <v>0</v>
      </c>
      <c r="AJ365" s="1009">
        <f>'Other Costs'!$DM117</f>
        <v>0</v>
      </c>
      <c r="AK365" s="1009">
        <f>'Other Costs'!$DN117</f>
        <v>0</v>
      </c>
      <c r="AL365" s="1009">
        <f>'Other Costs'!$DO117</f>
        <v>0</v>
      </c>
      <c r="AM365" s="1007">
        <v>0</v>
      </c>
      <c r="AN365" s="1007">
        <v>0</v>
      </c>
      <c r="AO365" s="1007">
        <v>0</v>
      </c>
      <c r="AP365" s="1007">
        <v>0</v>
      </c>
      <c r="AQ365" s="1007">
        <v>0</v>
      </c>
      <c r="AR365" s="1016">
        <f t="shared" si="16"/>
        <v>0</v>
      </c>
    </row>
    <row r="366" spans="2:44" ht="15" customHeight="1">
      <c r="B366" s="2"/>
      <c r="C366"/>
      <c r="D366"/>
      <c r="E366"/>
      <c r="F366"/>
      <c r="G366"/>
      <c r="H366"/>
      <c r="I366"/>
      <c r="J366"/>
      <c r="K366"/>
      <c r="L366"/>
      <c r="M366"/>
      <c r="N366"/>
      <c r="O366"/>
      <c r="P366"/>
      <c r="Q366"/>
      <c r="AA366" s="1686"/>
      <c r="AB366" s="53" t="str">
        <f>'Other Costs'!$DE118</f>
        <v/>
      </c>
      <c r="AC366" s="53" t="str">
        <f>'Other Costs'!$DF118</f>
        <v/>
      </c>
      <c r="AD366" s="53" t="str">
        <f>'Other Costs'!$DG118</f>
        <v/>
      </c>
      <c r="AE366" s="53" t="str">
        <f>'Other Costs'!$DH118</f>
        <v/>
      </c>
      <c r="AF366" s="53" t="str">
        <f>'Other Costs'!$DI118</f>
        <v/>
      </c>
      <c r="AG366" s="1009">
        <f>'Other Costs'!$DJ118</f>
        <v>0</v>
      </c>
      <c r="AH366" s="1009">
        <f>'Other Costs'!$DK118</f>
        <v>0</v>
      </c>
      <c r="AI366" s="1009">
        <f>'Other Costs'!$DL118</f>
        <v>0</v>
      </c>
      <c r="AJ366" s="1009">
        <f>'Other Costs'!$DM118</f>
        <v>0</v>
      </c>
      <c r="AK366" s="1009">
        <f>'Other Costs'!$DN118</f>
        <v>0</v>
      </c>
      <c r="AL366" s="1009">
        <f>'Other Costs'!$DO118</f>
        <v>0</v>
      </c>
      <c r="AM366" s="1007">
        <v>0</v>
      </c>
      <c r="AN366" s="1007">
        <v>0</v>
      </c>
      <c r="AO366" s="1007">
        <v>0</v>
      </c>
      <c r="AP366" s="1007">
        <v>0</v>
      </c>
      <c r="AQ366" s="1007">
        <v>0</v>
      </c>
      <c r="AR366" s="1016">
        <f t="shared" si="16"/>
        <v>0</v>
      </c>
    </row>
    <row r="367" spans="2:44" ht="15" customHeight="1">
      <c r="B367" s="2"/>
      <c r="C367"/>
      <c r="D367"/>
      <c r="E367"/>
      <c r="F367"/>
      <c r="G367"/>
      <c r="H367"/>
      <c r="I367"/>
      <c r="J367"/>
      <c r="K367"/>
      <c r="L367"/>
      <c r="M367"/>
      <c r="N367"/>
      <c r="O367"/>
      <c r="P367"/>
      <c r="Q367"/>
      <c r="AA367" s="1686"/>
      <c r="AB367" s="53" t="str">
        <f>'Other Costs'!$DE119</f>
        <v/>
      </c>
      <c r="AC367" s="53" t="str">
        <f>'Other Costs'!$DF119</f>
        <v/>
      </c>
      <c r="AD367" s="53" t="str">
        <f>'Other Costs'!$DG119</f>
        <v/>
      </c>
      <c r="AE367" s="53" t="str">
        <f>'Other Costs'!$DH119</f>
        <v/>
      </c>
      <c r="AF367" s="53" t="str">
        <f>'Other Costs'!$DI119</f>
        <v/>
      </c>
      <c r="AG367" s="1009">
        <f>'Other Costs'!$DJ119</f>
        <v>0</v>
      </c>
      <c r="AH367" s="1009">
        <f>'Other Costs'!$DK119</f>
        <v>0</v>
      </c>
      <c r="AI367" s="1009">
        <f>'Other Costs'!$DL119</f>
        <v>0</v>
      </c>
      <c r="AJ367" s="1009">
        <f>'Other Costs'!$DM119</f>
        <v>0</v>
      </c>
      <c r="AK367" s="1009">
        <f>'Other Costs'!$DN119</f>
        <v>0</v>
      </c>
      <c r="AL367" s="1009">
        <f>'Other Costs'!$DO119</f>
        <v>0</v>
      </c>
      <c r="AM367" s="1007">
        <v>0</v>
      </c>
      <c r="AN367" s="1007">
        <v>0</v>
      </c>
      <c r="AO367" s="1007">
        <v>0</v>
      </c>
      <c r="AP367" s="1007">
        <v>0</v>
      </c>
      <c r="AQ367" s="1007">
        <v>0</v>
      </c>
      <c r="AR367" s="1016">
        <f t="shared" si="16"/>
        <v>0</v>
      </c>
    </row>
    <row r="368" spans="2:44" ht="15" customHeight="1">
      <c r="B368" s="2"/>
      <c r="C368"/>
      <c r="D368"/>
      <c r="E368"/>
      <c r="F368"/>
      <c r="G368"/>
      <c r="H368"/>
      <c r="I368"/>
      <c r="J368"/>
      <c r="K368"/>
      <c r="L368"/>
      <c r="M368"/>
      <c r="N368"/>
      <c r="O368"/>
      <c r="P368"/>
      <c r="Q368"/>
      <c r="AA368" s="1686"/>
      <c r="AB368" s="53" t="str">
        <f>'Other Costs'!$DE120</f>
        <v/>
      </c>
      <c r="AC368" s="53" t="str">
        <f>'Other Costs'!$DF120</f>
        <v/>
      </c>
      <c r="AD368" s="53" t="str">
        <f>'Other Costs'!$DG120</f>
        <v/>
      </c>
      <c r="AE368" s="53" t="str">
        <f>'Other Costs'!$DH120</f>
        <v/>
      </c>
      <c r="AF368" s="53" t="str">
        <f>'Other Costs'!$DI120</f>
        <v/>
      </c>
      <c r="AG368" s="1009">
        <f>'Other Costs'!$DJ120</f>
        <v>0</v>
      </c>
      <c r="AH368" s="1009">
        <f>'Other Costs'!$DK120</f>
        <v>0</v>
      </c>
      <c r="AI368" s="1009">
        <f>'Other Costs'!$DL120</f>
        <v>0</v>
      </c>
      <c r="AJ368" s="1009">
        <f>'Other Costs'!$DM120</f>
        <v>0</v>
      </c>
      <c r="AK368" s="1009">
        <f>'Other Costs'!$DN120</f>
        <v>0</v>
      </c>
      <c r="AL368" s="1009">
        <f>'Other Costs'!$DO120</f>
        <v>0</v>
      </c>
      <c r="AM368" s="1007">
        <v>0</v>
      </c>
      <c r="AN368" s="1007">
        <v>0</v>
      </c>
      <c r="AO368" s="1007">
        <v>0</v>
      </c>
      <c r="AP368" s="1007">
        <v>0</v>
      </c>
      <c r="AQ368" s="1007">
        <v>0</v>
      </c>
      <c r="AR368" s="1016">
        <f t="shared" si="16"/>
        <v>0</v>
      </c>
    </row>
    <row r="369" spans="2:44" ht="15" customHeight="1">
      <c r="B369" s="2"/>
      <c r="C369"/>
      <c r="D369"/>
      <c r="E369"/>
      <c r="F369"/>
      <c r="G369"/>
      <c r="H369"/>
      <c r="I369"/>
      <c r="J369"/>
      <c r="K369"/>
      <c r="L369"/>
      <c r="M369"/>
      <c r="N369"/>
      <c r="O369"/>
      <c r="P369"/>
      <c r="Q369"/>
      <c r="AA369" s="1686"/>
      <c r="AB369" s="53" t="str">
        <f>'Other Costs'!$DE121</f>
        <v/>
      </c>
      <c r="AC369" s="53" t="str">
        <f>'Other Costs'!$DF121</f>
        <v/>
      </c>
      <c r="AD369" s="53" t="str">
        <f>'Other Costs'!$DG121</f>
        <v/>
      </c>
      <c r="AE369" s="53" t="str">
        <f>'Other Costs'!$DH121</f>
        <v/>
      </c>
      <c r="AF369" s="53" t="str">
        <f>'Other Costs'!$DI121</f>
        <v/>
      </c>
      <c r="AG369" s="1009">
        <f>'Other Costs'!$DJ121</f>
        <v>0</v>
      </c>
      <c r="AH369" s="1009">
        <f>'Other Costs'!$DK121</f>
        <v>0</v>
      </c>
      <c r="AI369" s="1009">
        <f>'Other Costs'!$DL121</f>
        <v>0</v>
      </c>
      <c r="AJ369" s="1009">
        <f>'Other Costs'!$DM121</f>
        <v>0</v>
      </c>
      <c r="AK369" s="1009">
        <f>'Other Costs'!$DN121</f>
        <v>0</v>
      </c>
      <c r="AL369" s="1009">
        <f>'Other Costs'!$DO121</f>
        <v>0</v>
      </c>
      <c r="AM369" s="1007">
        <v>0</v>
      </c>
      <c r="AN369" s="1007">
        <v>0</v>
      </c>
      <c r="AO369" s="1007">
        <v>0</v>
      </c>
      <c r="AP369" s="1007">
        <v>0</v>
      </c>
      <c r="AQ369" s="1007">
        <v>0</v>
      </c>
      <c r="AR369" s="1016">
        <f t="shared" si="16"/>
        <v>0</v>
      </c>
    </row>
    <row r="370" spans="2:44" ht="15" customHeight="1">
      <c r="B370" s="2"/>
      <c r="C370"/>
      <c r="D370"/>
      <c r="E370"/>
      <c r="F370"/>
      <c r="G370"/>
      <c r="H370"/>
      <c r="I370"/>
      <c r="J370"/>
      <c r="K370"/>
      <c r="L370"/>
      <c r="M370"/>
      <c r="N370"/>
      <c r="O370"/>
      <c r="P370"/>
      <c r="Q370"/>
      <c r="AA370" s="1686"/>
      <c r="AB370" s="53" t="str">
        <f>'Other Costs'!$DE122</f>
        <v/>
      </c>
      <c r="AC370" s="53" t="str">
        <f>'Other Costs'!$DF122</f>
        <v/>
      </c>
      <c r="AD370" s="53" t="str">
        <f>'Other Costs'!$DG122</f>
        <v/>
      </c>
      <c r="AE370" s="53" t="str">
        <f>'Other Costs'!$DH122</f>
        <v/>
      </c>
      <c r="AF370" s="53" t="str">
        <f>'Other Costs'!$DI122</f>
        <v/>
      </c>
      <c r="AG370" s="1009">
        <f>'Other Costs'!$DJ122</f>
        <v>0</v>
      </c>
      <c r="AH370" s="1009">
        <f>'Other Costs'!$DK122</f>
        <v>0</v>
      </c>
      <c r="AI370" s="1009">
        <f>'Other Costs'!$DL122</f>
        <v>0</v>
      </c>
      <c r="AJ370" s="1009">
        <f>'Other Costs'!$DM122</f>
        <v>0</v>
      </c>
      <c r="AK370" s="1009">
        <f>'Other Costs'!$DN122</f>
        <v>0</v>
      </c>
      <c r="AL370" s="1009">
        <f>'Other Costs'!$DO122</f>
        <v>0</v>
      </c>
      <c r="AM370" s="1007">
        <v>0</v>
      </c>
      <c r="AN370" s="1007">
        <v>0</v>
      </c>
      <c r="AO370" s="1007">
        <v>0</v>
      </c>
      <c r="AP370" s="1007">
        <v>0</v>
      </c>
      <c r="AQ370" s="1007">
        <v>0</v>
      </c>
      <c r="AR370" s="1016">
        <f t="shared" si="16"/>
        <v>0</v>
      </c>
    </row>
    <row r="371" spans="2:44" ht="15" customHeight="1">
      <c r="B371" s="2"/>
      <c r="C371"/>
      <c r="D371"/>
      <c r="E371"/>
      <c r="F371"/>
      <c r="G371"/>
      <c r="H371"/>
      <c r="I371"/>
      <c r="J371"/>
      <c r="K371"/>
      <c r="L371"/>
      <c r="M371"/>
      <c r="N371"/>
      <c r="O371"/>
      <c r="P371"/>
      <c r="Q371"/>
      <c r="AA371" s="1686"/>
      <c r="AB371" s="53" t="str">
        <f>'Other Costs'!$DE123</f>
        <v/>
      </c>
      <c r="AC371" s="53" t="str">
        <f>'Other Costs'!$DF123</f>
        <v/>
      </c>
      <c r="AD371" s="53" t="str">
        <f>'Other Costs'!$DG123</f>
        <v/>
      </c>
      <c r="AE371" s="53" t="str">
        <f>'Other Costs'!$DH123</f>
        <v/>
      </c>
      <c r="AF371" s="53" t="str">
        <f>'Other Costs'!$DI123</f>
        <v/>
      </c>
      <c r="AG371" s="1009">
        <f>'Other Costs'!$DJ123</f>
        <v>0</v>
      </c>
      <c r="AH371" s="1009">
        <f>'Other Costs'!$DK123</f>
        <v>0</v>
      </c>
      <c r="AI371" s="1009">
        <f>'Other Costs'!$DL123</f>
        <v>0</v>
      </c>
      <c r="AJ371" s="1009">
        <f>'Other Costs'!$DM123</f>
        <v>0</v>
      </c>
      <c r="AK371" s="1009">
        <f>'Other Costs'!$DN123</f>
        <v>0</v>
      </c>
      <c r="AL371" s="1009">
        <f>'Other Costs'!$DO123</f>
        <v>0</v>
      </c>
      <c r="AM371" s="1007">
        <v>0</v>
      </c>
      <c r="AN371" s="1007">
        <v>0</v>
      </c>
      <c r="AO371" s="1007">
        <v>0</v>
      </c>
      <c r="AP371" s="1007">
        <v>0</v>
      </c>
      <c r="AQ371" s="1007">
        <v>0</v>
      </c>
      <c r="AR371" s="1016">
        <f t="shared" si="16"/>
        <v>0</v>
      </c>
    </row>
    <row r="372" spans="2:44" ht="15" customHeight="1">
      <c r="B372" s="2"/>
      <c r="C372"/>
      <c r="D372"/>
      <c r="E372"/>
      <c r="F372"/>
      <c r="G372"/>
      <c r="H372"/>
      <c r="I372"/>
      <c r="J372"/>
      <c r="K372"/>
      <c r="L372"/>
      <c r="M372"/>
      <c r="N372"/>
      <c r="O372"/>
      <c r="P372"/>
      <c r="Q372"/>
      <c r="AA372" s="1686"/>
      <c r="AB372" s="53" t="str">
        <f>'Other Costs'!$DE124</f>
        <v/>
      </c>
      <c r="AC372" s="53" t="str">
        <f>'Other Costs'!$DF124</f>
        <v/>
      </c>
      <c r="AD372" s="53" t="str">
        <f>'Other Costs'!$DG124</f>
        <v/>
      </c>
      <c r="AE372" s="53" t="str">
        <f>'Other Costs'!$DH124</f>
        <v/>
      </c>
      <c r="AF372" s="53" t="str">
        <f>'Other Costs'!$DI124</f>
        <v/>
      </c>
      <c r="AG372" s="1009">
        <f>'Other Costs'!$DJ124</f>
        <v>0</v>
      </c>
      <c r="AH372" s="1009">
        <f>'Other Costs'!$DK124</f>
        <v>0</v>
      </c>
      <c r="AI372" s="1009">
        <f>'Other Costs'!$DL124</f>
        <v>0</v>
      </c>
      <c r="AJ372" s="1009">
        <f>'Other Costs'!$DM124</f>
        <v>0</v>
      </c>
      <c r="AK372" s="1009">
        <f>'Other Costs'!$DN124</f>
        <v>0</v>
      </c>
      <c r="AL372" s="1009">
        <f>'Other Costs'!$DO124</f>
        <v>0</v>
      </c>
      <c r="AM372" s="1007">
        <v>0</v>
      </c>
      <c r="AN372" s="1007">
        <v>0</v>
      </c>
      <c r="AO372" s="1007">
        <v>0</v>
      </c>
      <c r="AP372" s="1007">
        <v>0</v>
      </c>
      <c r="AQ372" s="1007">
        <v>0</v>
      </c>
      <c r="AR372" s="1016">
        <f t="shared" si="16"/>
        <v>0</v>
      </c>
    </row>
    <row r="373" spans="2:44" ht="15" customHeight="1">
      <c r="B373" s="2"/>
      <c r="C373"/>
      <c r="D373"/>
      <c r="E373"/>
      <c r="F373"/>
      <c r="G373"/>
      <c r="H373"/>
      <c r="I373"/>
      <c r="J373"/>
      <c r="K373"/>
      <c r="L373"/>
      <c r="M373"/>
      <c r="N373"/>
      <c r="O373"/>
      <c r="P373"/>
      <c r="Q373"/>
      <c r="AA373" s="1686"/>
      <c r="AB373" s="53" t="str">
        <f>'Other Costs'!$DE125</f>
        <v/>
      </c>
      <c r="AC373" s="53" t="str">
        <f>'Other Costs'!$DF125</f>
        <v/>
      </c>
      <c r="AD373" s="53" t="str">
        <f>'Other Costs'!$DG125</f>
        <v/>
      </c>
      <c r="AE373" s="53" t="str">
        <f>'Other Costs'!$DH125</f>
        <v/>
      </c>
      <c r="AF373" s="53" t="str">
        <f>'Other Costs'!$DI125</f>
        <v/>
      </c>
      <c r="AG373" s="1009">
        <f>'Other Costs'!$DJ125</f>
        <v>0</v>
      </c>
      <c r="AH373" s="1009">
        <f>'Other Costs'!$DK125</f>
        <v>0</v>
      </c>
      <c r="AI373" s="1009">
        <f>'Other Costs'!$DL125</f>
        <v>0</v>
      </c>
      <c r="AJ373" s="1009">
        <f>'Other Costs'!$DM125</f>
        <v>0</v>
      </c>
      <c r="AK373" s="1009">
        <f>'Other Costs'!$DN125</f>
        <v>0</v>
      </c>
      <c r="AL373" s="1009">
        <f>'Other Costs'!$DO125</f>
        <v>0</v>
      </c>
      <c r="AM373" s="1007">
        <v>0</v>
      </c>
      <c r="AN373" s="1007">
        <v>0</v>
      </c>
      <c r="AO373" s="1007">
        <v>0</v>
      </c>
      <c r="AP373" s="1007">
        <v>0</v>
      </c>
      <c r="AQ373" s="1007">
        <v>0</v>
      </c>
      <c r="AR373" s="1016">
        <f t="shared" si="16"/>
        <v>0</v>
      </c>
    </row>
    <row r="374" spans="2:44" ht="15" customHeight="1">
      <c r="B374" s="2"/>
      <c r="C374"/>
      <c r="D374"/>
      <c r="E374"/>
      <c r="F374"/>
      <c r="G374"/>
      <c r="H374"/>
      <c r="I374"/>
      <c r="J374"/>
      <c r="K374"/>
      <c r="L374"/>
      <c r="M374"/>
      <c r="N374"/>
      <c r="O374"/>
      <c r="P374"/>
      <c r="Q374"/>
      <c r="AA374" s="1686"/>
      <c r="AB374" s="53" t="str">
        <f>'Other Costs'!$DE126</f>
        <v/>
      </c>
      <c r="AC374" s="53" t="str">
        <f>'Other Costs'!$DF126</f>
        <v/>
      </c>
      <c r="AD374" s="53" t="str">
        <f>'Other Costs'!$DG126</f>
        <v/>
      </c>
      <c r="AE374" s="53" t="str">
        <f>'Other Costs'!$DH126</f>
        <v/>
      </c>
      <c r="AF374" s="53" t="str">
        <f>'Other Costs'!$DI126</f>
        <v/>
      </c>
      <c r="AG374" s="1009">
        <f>'Other Costs'!$DJ126</f>
        <v>0</v>
      </c>
      <c r="AH374" s="1009">
        <f>'Other Costs'!$DK126</f>
        <v>0</v>
      </c>
      <c r="AI374" s="1009">
        <f>'Other Costs'!$DL126</f>
        <v>0</v>
      </c>
      <c r="AJ374" s="1009">
        <f>'Other Costs'!$DM126</f>
        <v>0</v>
      </c>
      <c r="AK374" s="1009">
        <f>'Other Costs'!$DN126</f>
        <v>0</v>
      </c>
      <c r="AL374" s="1009">
        <f>'Other Costs'!$DO126</f>
        <v>0</v>
      </c>
      <c r="AM374" s="1007">
        <v>0</v>
      </c>
      <c r="AN374" s="1007">
        <v>0</v>
      </c>
      <c r="AO374" s="1007">
        <v>0</v>
      </c>
      <c r="AP374" s="1007">
        <v>0</v>
      </c>
      <c r="AQ374" s="1007">
        <v>0</v>
      </c>
      <c r="AR374" s="1016">
        <f t="shared" si="16"/>
        <v>0</v>
      </c>
    </row>
    <row r="375" spans="2:44" ht="15" customHeight="1">
      <c r="B375" s="2"/>
      <c r="C375"/>
      <c r="D375"/>
      <c r="E375"/>
      <c r="F375"/>
      <c r="G375"/>
      <c r="H375"/>
      <c r="I375"/>
      <c r="J375"/>
      <c r="K375"/>
      <c r="L375"/>
      <c r="M375"/>
      <c r="N375"/>
      <c r="O375"/>
      <c r="P375"/>
      <c r="Q375"/>
      <c r="AA375" s="1686"/>
      <c r="AB375" s="53" t="str">
        <f>'Other Costs'!$DE127</f>
        <v/>
      </c>
      <c r="AC375" s="53" t="str">
        <f>'Other Costs'!$DF127</f>
        <v/>
      </c>
      <c r="AD375" s="53" t="str">
        <f>'Other Costs'!$DG127</f>
        <v/>
      </c>
      <c r="AE375" s="53" t="str">
        <f>'Other Costs'!$DH127</f>
        <v/>
      </c>
      <c r="AF375" s="53" t="str">
        <f>'Other Costs'!$DI127</f>
        <v/>
      </c>
      <c r="AG375" s="1009">
        <f>'Other Costs'!$DJ127</f>
        <v>0</v>
      </c>
      <c r="AH375" s="1009">
        <f>'Other Costs'!$DK127</f>
        <v>0</v>
      </c>
      <c r="AI375" s="1009">
        <f>'Other Costs'!$DL127</f>
        <v>0</v>
      </c>
      <c r="AJ375" s="1009">
        <f>'Other Costs'!$DM127</f>
        <v>0</v>
      </c>
      <c r="AK375" s="1009">
        <f>'Other Costs'!$DN127</f>
        <v>0</v>
      </c>
      <c r="AL375" s="1009">
        <f>'Other Costs'!$DO127</f>
        <v>0</v>
      </c>
      <c r="AM375" s="1007">
        <v>0</v>
      </c>
      <c r="AN375" s="1007">
        <v>0</v>
      </c>
      <c r="AO375" s="1007">
        <v>0</v>
      </c>
      <c r="AP375" s="1007">
        <v>0</v>
      </c>
      <c r="AQ375" s="1007">
        <v>0</v>
      </c>
      <c r="AR375" s="1016">
        <f t="shared" si="16"/>
        <v>0</v>
      </c>
    </row>
    <row r="376" spans="2:44" ht="15" customHeight="1">
      <c r="B376" s="2"/>
      <c r="C376"/>
      <c r="D376"/>
      <c r="E376"/>
      <c r="F376"/>
      <c r="G376"/>
      <c r="H376"/>
      <c r="I376"/>
      <c r="J376"/>
      <c r="K376"/>
      <c r="L376"/>
      <c r="M376"/>
      <c r="N376"/>
      <c r="O376"/>
      <c r="P376"/>
      <c r="Q376"/>
      <c r="AA376" s="1686"/>
      <c r="AB376" s="53" t="str">
        <f>'Other Costs'!$DE128</f>
        <v/>
      </c>
      <c r="AC376" s="53" t="str">
        <f>'Other Costs'!$DF128</f>
        <v/>
      </c>
      <c r="AD376" s="53" t="str">
        <f>'Other Costs'!$DG128</f>
        <v/>
      </c>
      <c r="AE376" s="53" t="str">
        <f>'Other Costs'!$DH128</f>
        <v/>
      </c>
      <c r="AF376" s="53" t="str">
        <f>'Other Costs'!$DI128</f>
        <v/>
      </c>
      <c r="AG376" s="1009">
        <f>'Other Costs'!$DJ128</f>
        <v>0</v>
      </c>
      <c r="AH376" s="1009">
        <f>'Other Costs'!$DK128</f>
        <v>0</v>
      </c>
      <c r="AI376" s="1009">
        <f>'Other Costs'!$DL128</f>
        <v>0</v>
      </c>
      <c r="AJ376" s="1009">
        <f>'Other Costs'!$DM128</f>
        <v>0</v>
      </c>
      <c r="AK376" s="1009">
        <f>'Other Costs'!$DN128</f>
        <v>0</v>
      </c>
      <c r="AL376" s="1009">
        <f>'Other Costs'!$DO128</f>
        <v>0</v>
      </c>
      <c r="AM376" s="1007">
        <v>0</v>
      </c>
      <c r="AN376" s="1007">
        <v>0</v>
      </c>
      <c r="AO376" s="1007">
        <v>0</v>
      </c>
      <c r="AP376" s="1007">
        <v>0</v>
      </c>
      <c r="AQ376" s="1007">
        <v>0</v>
      </c>
      <c r="AR376" s="1016">
        <f t="shared" si="16"/>
        <v>0</v>
      </c>
    </row>
    <row r="377" spans="2:44" ht="15" customHeight="1">
      <c r="B377" s="2"/>
      <c r="C377"/>
      <c r="D377"/>
      <c r="E377"/>
      <c r="F377"/>
      <c r="G377"/>
      <c r="H377"/>
      <c r="I377"/>
      <c r="J377"/>
      <c r="K377"/>
      <c r="L377"/>
      <c r="M377"/>
      <c r="N377"/>
      <c r="O377"/>
      <c r="P377"/>
      <c r="Q377"/>
      <c r="AA377" s="1686"/>
      <c r="AB377" s="53" t="str">
        <f>'Other Costs'!$DE129</f>
        <v/>
      </c>
      <c r="AC377" s="53" t="str">
        <f>'Other Costs'!$DF129</f>
        <v/>
      </c>
      <c r="AD377" s="53" t="str">
        <f>'Other Costs'!$DG129</f>
        <v/>
      </c>
      <c r="AE377" s="53" t="str">
        <f>'Other Costs'!$DH129</f>
        <v/>
      </c>
      <c r="AF377" s="53" t="str">
        <f>'Other Costs'!$DI129</f>
        <v/>
      </c>
      <c r="AG377" s="1009">
        <f>'Other Costs'!$DJ129</f>
        <v>0</v>
      </c>
      <c r="AH377" s="1009">
        <f>'Other Costs'!$DK129</f>
        <v>0</v>
      </c>
      <c r="AI377" s="1009">
        <f>'Other Costs'!$DL129</f>
        <v>0</v>
      </c>
      <c r="AJ377" s="1009">
        <f>'Other Costs'!$DM129</f>
        <v>0</v>
      </c>
      <c r="AK377" s="1009">
        <f>'Other Costs'!$DN129</f>
        <v>0</v>
      </c>
      <c r="AL377" s="1009">
        <f>'Other Costs'!$DO129</f>
        <v>0</v>
      </c>
      <c r="AM377" s="1007">
        <v>0</v>
      </c>
      <c r="AN377" s="1007">
        <v>0</v>
      </c>
      <c r="AO377" s="1007">
        <v>0</v>
      </c>
      <c r="AP377" s="1007">
        <v>0</v>
      </c>
      <c r="AQ377" s="1007">
        <v>0</v>
      </c>
      <c r="AR377" s="1016">
        <f t="shared" si="16"/>
        <v>0</v>
      </c>
    </row>
    <row r="378" spans="2:44" ht="15" customHeight="1">
      <c r="B378" s="2"/>
      <c r="C378"/>
      <c r="D378"/>
      <c r="E378"/>
      <c r="F378"/>
      <c r="G378"/>
      <c r="H378"/>
      <c r="I378"/>
      <c r="J378"/>
      <c r="K378"/>
      <c r="L378"/>
      <c r="M378"/>
      <c r="N378"/>
      <c r="O378"/>
      <c r="P378"/>
      <c r="Q378"/>
      <c r="AA378" s="1686"/>
      <c r="AB378" s="53" t="str">
        <f>'Other Costs'!$DE130</f>
        <v/>
      </c>
      <c r="AC378" s="53" t="str">
        <f>'Other Costs'!$DF130</f>
        <v/>
      </c>
      <c r="AD378" s="53" t="str">
        <f>'Other Costs'!$DG130</f>
        <v/>
      </c>
      <c r="AE378" s="53" t="str">
        <f>'Other Costs'!$DH130</f>
        <v/>
      </c>
      <c r="AF378" s="53" t="str">
        <f>'Other Costs'!$DI130</f>
        <v/>
      </c>
      <c r="AG378" s="1009">
        <f>'Other Costs'!$DJ130</f>
        <v>0</v>
      </c>
      <c r="AH378" s="1009">
        <f>'Other Costs'!$DK130</f>
        <v>0</v>
      </c>
      <c r="AI378" s="1009">
        <f>'Other Costs'!$DL130</f>
        <v>0</v>
      </c>
      <c r="AJ378" s="1009">
        <f>'Other Costs'!$DM130</f>
        <v>0</v>
      </c>
      <c r="AK378" s="1009">
        <f>'Other Costs'!$DN130</f>
        <v>0</v>
      </c>
      <c r="AL378" s="1009">
        <f>'Other Costs'!$DO130</f>
        <v>0</v>
      </c>
      <c r="AM378" s="1007">
        <v>0</v>
      </c>
      <c r="AN378" s="1007">
        <v>0</v>
      </c>
      <c r="AO378" s="1007">
        <v>0</v>
      </c>
      <c r="AP378" s="1007">
        <v>0</v>
      </c>
      <c r="AQ378" s="1007">
        <v>0</v>
      </c>
      <c r="AR378" s="1016">
        <f t="shared" si="16"/>
        <v>0</v>
      </c>
    </row>
    <row r="379" spans="2:44" ht="15" customHeight="1">
      <c r="B379" s="2"/>
      <c r="C379"/>
      <c r="D379"/>
      <c r="E379"/>
      <c r="F379"/>
      <c r="G379"/>
      <c r="H379"/>
      <c r="I379"/>
      <c r="J379"/>
      <c r="K379"/>
      <c r="L379"/>
      <c r="M379"/>
      <c r="N379"/>
      <c r="O379"/>
      <c r="P379"/>
      <c r="Q379"/>
      <c r="AA379" s="1686"/>
      <c r="AB379" s="53" t="str">
        <f>'Other Costs'!$DE131</f>
        <v/>
      </c>
      <c r="AC379" s="53" t="str">
        <f>'Other Costs'!$DF131</f>
        <v/>
      </c>
      <c r="AD379" s="53" t="str">
        <f>'Other Costs'!$DG131</f>
        <v/>
      </c>
      <c r="AE379" s="53" t="str">
        <f>'Other Costs'!$DH131</f>
        <v/>
      </c>
      <c r="AF379" s="53" t="str">
        <f>'Other Costs'!$DI131</f>
        <v/>
      </c>
      <c r="AG379" s="1009">
        <f>'Other Costs'!$DJ131</f>
        <v>0</v>
      </c>
      <c r="AH379" s="1009">
        <f>'Other Costs'!$DK131</f>
        <v>0</v>
      </c>
      <c r="AI379" s="1009">
        <f>'Other Costs'!$DL131</f>
        <v>0</v>
      </c>
      <c r="AJ379" s="1009">
        <f>'Other Costs'!$DM131</f>
        <v>0</v>
      </c>
      <c r="AK379" s="1009">
        <f>'Other Costs'!$DN131</f>
        <v>0</v>
      </c>
      <c r="AL379" s="1009">
        <f>'Other Costs'!$DO131</f>
        <v>0</v>
      </c>
      <c r="AM379" s="1007">
        <v>0</v>
      </c>
      <c r="AN379" s="1007">
        <v>0</v>
      </c>
      <c r="AO379" s="1007">
        <v>0</v>
      </c>
      <c r="AP379" s="1007">
        <v>0</v>
      </c>
      <c r="AQ379" s="1007">
        <v>0</v>
      </c>
      <c r="AR379" s="1016">
        <f t="shared" si="16"/>
        <v>0</v>
      </c>
    </row>
    <row r="380" spans="2:44" ht="15" customHeight="1">
      <c r="B380" s="2"/>
      <c r="C380"/>
      <c r="D380"/>
      <c r="E380"/>
      <c r="F380"/>
      <c r="G380"/>
      <c r="H380"/>
      <c r="I380"/>
      <c r="J380"/>
      <c r="K380"/>
      <c r="L380"/>
      <c r="M380"/>
      <c r="N380"/>
      <c r="O380"/>
      <c r="P380"/>
      <c r="Q380"/>
      <c r="AA380" s="1686"/>
      <c r="AB380" s="53" t="str">
        <f>'Other Costs'!$DE132</f>
        <v/>
      </c>
      <c r="AC380" s="53" t="str">
        <f>'Other Costs'!$DF132</f>
        <v/>
      </c>
      <c r="AD380" s="53" t="str">
        <f>'Other Costs'!$DG132</f>
        <v/>
      </c>
      <c r="AE380" s="53" t="str">
        <f>'Other Costs'!$DH132</f>
        <v/>
      </c>
      <c r="AF380" s="53" t="str">
        <f>'Other Costs'!$DI132</f>
        <v/>
      </c>
      <c r="AG380" s="1009">
        <f>'Other Costs'!$DJ132</f>
        <v>0</v>
      </c>
      <c r="AH380" s="1009">
        <f>'Other Costs'!$DK132</f>
        <v>0</v>
      </c>
      <c r="AI380" s="1009">
        <f>'Other Costs'!$DL132</f>
        <v>0</v>
      </c>
      <c r="AJ380" s="1009">
        <f>'Other Costs'!$DM132</f>
        <v>0</v>
      </c>
      <c r="AK380" s="1009">
        <f>'Other Costs'!$DN132</f>
        <v>0</v>
      </c>
      <c r="AL380" s="1009">
        <f>'Other Costs'!$DO132</f>
        <v>0</v>
      </c>
      <c r="AM380" s="1007">
        <v>0</v>
      </c>
      <c r="AN380" s="1007">
        <v>0</v>
      </c>
      <c r="AO380" s="1007">
        <v>0</v>
      </c>
      <c r="AP380" s="1007">
        <v>0</v>
      </c>
      <c r="AQ380" s="1007">
        <v>0</v>
      </c>
      <c r="AR380" s="1016">
        <f t="shared" si="16"/>
        <v>0</v>
      </c>
    </row>
    <row r="381" spans="2:44" ht="15" customHeight="1">
      <c r="B381" s="2"/>
      <c r="C381"/>
      <c r="D381"/>
      <c r="E381"/>
      <c r="F381"/>
      <c r="G381"/>
      <c r="H381"/>
      <c r="I381"/>
      <c r="J381"/>
      <c r="K381"/>
      <c r="L381"/>
      <c r="M381"/>
      <c r="N381"/>
      <c r="O381"/>
      <c r="P381"/>
      <c r="Q381"/>
      <c r="AA381" s="1686"/>
      <c r="AB381" s="53" t="str">
        <f>'Other Costs'!$DE133</f>
        <v/>
      </c>
      <c r="AC381" s="53" t="str">
        <f>'Other Costs'!$DF133</f>
        <v/>
      </c>
      <c r="AD381" s="53" t="str">
        <f>'Other Costs'!$DG133</f>
        <v/>
      </c>
      <c r="AE381" s="53" t="str">
        <f>'Other Costs'!$DH133</f>
        <v/>
      </c>
      <c r="AF381" s="53" t="str">
        <f>'Other Costs'!$DI133</f>
        <v/>
      </c>
      <c r="AG381" s="1009">
        <f>'Other Costs'!$DJ133</f>
        <v>0</v>
      </c>
      <c r="AH381" s="1009">
        <f>'Other Costs'!$DK133</f>
        <v>0</v>
      </c>
      <c r="AI381" s="1009">
        <f>'Other Costs'!$DL133</f>
        <v>0</v>
      </c>
      <c r="AJ381" s="1009">
        <f>'Other Costs'!$DM133</f>
        <v>0</v>
      </c>
      <c r="AK381" s="1009">
        <f>'Other Costs'!$DN133</f>
        <v>0</v>
      </c>
      <c r="AL381" s="1009">
        <f>'Other Costs'!$DO133</f>
        <v>0</v>
      </c>
      <c r="AM381" s="1007">
        <v>0</v>
      </c>
      <c r="AN381" s="1007">
        <v>0</v>
      </c>
      <c r="AO381" s="1007">
        <v>0</v>
      </c>
      <c r="AP381" s="1007">
        <v>0</v>
      </c>
      <c r="AQ381" s="1007">
        <v>0</v>
      </c>
      <c r="AR381" s="1016">
        <f t="shared" si="16"/>
        <v>0</v>
      </c>
    </row>
    <row r="382" spans="2:44" ht="15" customHeight="1">
      <c r="B382" s="2"/>
      <c r="C382"/>
      <c r="D382"/>
      <c r="E382"/>
      <c r="F382"/>
      <c r="G382"/>
      <c r="H382"/>
      <c r="I382"/>
      <c r="J382"/>
      <c r="K382"/>
      <c r="L382"/>
      <c r="M382"/>
      <c r="N382"/>
      <c r="O382"/>
      <c r="P382"/>
      <c r="Q382"/>
      <c r="AA382" s="1686"/>
      <c r="AB382" s="53" t="str">
        <f>'Other Costs'!$DE134</f>
        <v/>
      </c>
      <c r="AC382" s="53" t="str">
        <f>'Other Costs'!$DF134</f>
        <v/>
      </c>
      <c r="AD382" s="53" t="str">
        <f>'Other Costs'!$DG134</f>
        <v/>
      </c>
      <c r="AE382" s="53" t="str">
        <f>'Other Costs'!$DH134</f>
        <v/>
      </c>
      <c r="AF382" s="53" t="str">
        <f>'Other Costs'!$DI134</f>
        <v/>
      </c>
      <c r="AG382" s="1009">
        <f>'Other Costs'!$DJ134</f>
        <v>0</v>
      </c>
      <c r="AH382" s="1009">
        <f>'Other Costs'!$DK134</f>
        <v>0</v>
      </c>
      <c r="AI382" s="1009">
        <f>'Other Costs'!$DL134</f>
        <v>0</v>
      </c>
      <c r="AJ382" s="1009">
        <f>'Other Costs'!$DM134</f>
        <v>0</v>
      </c>
      <c r="AK382" s="1009">
        <f>'Other Costs'!$DN134</f>
        <v>0</v>
      </c>
      <c r="AL382" s="1009">
        <f>'Other Costs'!$DO134</f>
        <v>0</v>
      </c>
      <c r="AM382" s="1007">
        <v>0</v>
      </c>
      <c r="AN382" s="1007">
        <v>0</v>
      </c>
      <c r="AO382" s="1007">
        <v>0</v>
      </c>
      <c r="AP382" s="1007">
        <v>0</v>
      </c>
      <c r="AQ382" s="1007">
        <v>0</v>
      </c>
      <c r="AR382" s="1016">
        <f t="shared" ref="AR382:AR445" si="17">SUM(AG382:AQ382)</f>
        <v>0</v>
      </c>
    </row>
    <row r="383" spans="2:44" ht="15" customHeight="1">
      <c r="B383" s="2"/>
      <c r="C383"/>
      <c r="D383"/>
      <c r="E383"/>
      <c r="F383"/>
      <c r="G383"/>
      <c r="H383"/>
      <c r="I383"/>
      <c r="J383"/>
      <c r="K383"/>
      <c r="L383"/>
      <c r="M383"/>
      <c r="N383"/>
      <c r="O383"/>
      <c r="P383"/>
      <c r="Q383"/>
      <c r="AA383" s="1686"/>
      <c r="AB383" s="53" t="str">
        <f>'Other Costs'!$DE135</f>
        <v/>
      </c>
      <c r="AC383" s="53" t="str">
        <f>'Other Costs'!$DF135</f>
        <v/>
      </c>
      <c r="AD383" s="53" t="str">
        <f>'Other Costs'!$DG135</f>
        <v/>
      </c>
      <c r="AE383" s="53" t="str">
        <f>'Other Costs'!$DH135</f>
        <v/>
      </c>
      <c r="AF383" s="53" t="str">
        <f>'Other Costs'!$DI135</f>
        <v/>
      </c>
      <c r="AG383" s="1009">
        <f>'Other Costs'!$DJ135</f>
        <v>0</v>
      </c>
      <c r="AH383" s="1009">
        <f>'Other Costs'!$DK135</f>
        <v>0</v>
      </c>
      <c r="AI383" s="1009">
        <f>'Other Costs'!$DL135</f>
        <v>0</v>
      </c>
      <c r="AJ383" s="1009">
        <f>'Other Costs'!$DM135</f>
        <v>0</v>
      </c>
      <c r="AK383" s="1009">
        <f>'Other Costs'!$DN135</f>
        <v>0</v>
      </c>
      <c r="AL383" s="1009">
        <f>'Other Costs'!$DO135</f>
        <v>0</v>
      </c>
      <c r="AM383" s="1007">
        <v>0</v>
      </c>
      <c r="AN383" s="1007">
        <v>0</v>
      </c>
      <c r="AO383" s="1007">
        <v>0</v>
      </c>
      <c r="AP383" s="1007">
        <v>0</v>
      </c>
      <c r="AQ383" s="1007">
        <v>0</v>
      </c>
      <c r="AR383" s="1016">
        <f t="shared" si="17"/>
        <v>0</v>
      </c>
    </row>
    <row r="384" spans="2:44" ht="15" customHeight="1">
      <c r="B384" s="2"/>
      <c r="C384"/>
      <c r="D384"/>
      <c r="E384"/>
      <c r="F384"/>
      <c r="G384"/>
      <c r="H384"/>
      <c r="I384"/>
      <c r="J384"/>
      <c r="K384"/>
      <c r="L384"/>
      <c r="M384"/>
      <c r="N384"/>
      <c r="O384"/>
      <c r="P384"/>
      <c r="Q384"/>
      <c r="AA384" s="1686"/>
      <c r="AB384" s="53" t="str">
        <f>'Other Costs'!$DE136</f>
        <v/>
      </c>
      <c r="AC384" s="53" t="str">
        <f>'Other Costs'!$DF136</f>
        <v/>
      </c>
      <c r="AD384" s="53" t="str">
        <f>'Other Costs'!$DG136</f>
        <v/>
      </c>
      <c r="AE384" s="53" t="str">
        <f>'Other Costs'!$DH136</f>
        <v/>
      </c>
      <c r="AF384" s="53" t="str">
        <f>'Other Costs'!$DI136</f>
        <v/>
      </c>
      <c r="AG384" s="1009">
        <f>'Other Costs'!$DJ136</f>
        <v>0</v>
      </c>
      <c r="AH384" s="1009">
        <f>'Other Costs'!$DK136</f>
        <v>0</v>
      </c>
      <c r="AI384" s="1009">
        <f>'Other Costs'!$DL136</f>
        <v>0</v>
      </c>
      <c r="AJ384" s="1009">
        <f>'Other Costs'!$DM136</f>
        <v>0</v>
      </c>
      <c r="AK384" s="1009">
        <f>'Other Costs'!$DN136</f>
        <v>0</v>
      </c>
      <c r="AL384" s="1009">
        <f>'Other Costs'!$DO136</f>
        <v>0</v>
      </c>
      <c r="AM384" s="1007">
        <v>0</v>
      </c>
      <c r="AN384" s="1007">
        <v>0</v>
      </c>
      <c r="AO384" s="1007">
        <v>0</v>
      </c>
      <c r="AP384" s="1007">
        <v>0</v>
      </c>
      <c r="AQ384" s="1007">
        <v>0</v>
      </c>
      <c r="AR384" s="1016">
        <f t="shared" si="17"/>
        <v>0</v>
      </c>
    </row>
    <row r="385" spans="2:44" ht="15" customHeight="1">
      <c r="B385" s="2"/>
      <c r="C385"/>
      <c r="D385"/>
      <c r="E385"/>
      <c r="F385"/>
      <c r="G385"/>
      <c r="H385"/>
      <c r="I385"/>
      <c r="J385"/>
      <c r="K385"/>
      <c r="L385"/>
      <c r="M385"/>
      <c r="N385"/>
      <c r="O385"/>
      <c r="P385"/>
      <c r="Q385"/>
      <c r="AA385" s="1686"/>
      <c r="AB385" s="53" t="str">
        <f>'Other Costs'!$DE137</f>
        <v/>
      </c>
      <c r="AC385" s="53" t="str">
        <f>'Other Costs'!$DF137</f>
        <v/>
      </c>
      <c r="AD385" s="53" t="str">
        <f>'Other Costs'!$DG137</f>
        <v/>
      </c>
      <c r="AE385" s="53" t="str">
        <f>'Other Costs'!$DH137</f>
        <v/>
      </c>
      <c r="AF385" s="53" t="str">
        <f>'Other Costs'!$DI137</f>
        <v/>
      </c>
      <c r="AG385" s="1009">
        <f>'Other Costs'!$DJ137</f>
        <v>0</v>
      </c>
      <c r="AH385" s="1009">
        <f>'Other Costs'!$DK137</f>
        <v>0</v>
      </c>
      <c r="AI385" s="1009">
        <f>'Other Costs'!$DL137</f>
        <v>0</v>
      </c>
      <c r="AJ385" s="1009">
        <f>'Other Costs'!$DM137</f>
        <v>0</v>
      </c>
      <c r="AK385" s="1009">
        <f>'Other Costs'!$DN137</f>
        <v>0</v>
      </c>
      <c r="AL385" s="1009">
        <f>'Other Costs'!$DO137</f>
        <v>0</v>
      </c>
      <c r="AM385" s="1007">
        <v>0</v>
      </c>
      <c r="AN385" s="1007">
        <v>0</v>
      </c>
      <c r="AO385" s="1007">
        <v>0</v>
      </c>
      <c r="AP385" s="1007">
        <v>0</v>
      </c>
      <c r="AQ385" s="1007">
        <v>0</v>
      </c>
      <c r="AR385" s="1016">
        <f t="shared" si="17"/>
        <v>0</v>
      </c>
    </row>
    <row r="386" spans="2:44" ht="15" customHeight="1">
      <c r="B386" s="2"/>
      <c r="C386"/>
      <c r="D386"/>
      <c r="E386"/>
      <c r="F386"/>
      <c r="G386"/>
      <c r="H386"/>
      <c r="I386"/>
      <c r="J386"/>
      <c r="K386"/>
      <c r="L386"/>
      <c r="M386"/>
      <c r="N386"/>
      <c r="O386"/>
      <c r="P386"/>
      <c r="Q386"/>
      <c r="AA386" s="1686"/>
      <c r="AB386" s="53" t="str">
        <f>'Other Costs'!$DE138</f>
        <v/>
      </c>
      <c r="AC386" s="53" t="str">
        <f>'Other Costs'!$DF138</f>
        <v/>
      </c>
      <c r="AD386" s="53" t="str">
        <f>'Other Costs'!$DG138</f>
        <v/>
      </c>
      <c r="AE386" s="53" t="str">
        <f>'Other Costs'!$DH138</f>
        <v/>
      </c>
      <c r="AF386" s="53" t="str">
        <f>'Other Costs'!$DI138</f>
        <v/>
      </c>
      <c r="AG386" s="1009">
        <f>'Other Costs'!$DJ138</f>
        <v>0</v>
      </c>
      <c r="AH386" s="1009">
        <f>'Other Costs'!$DK138</f>
        <v>0</v>
      </c>
      <c r="AI386" s="1009">
        <f>'Other Costs'!$DL138</f>
        <v>0</v>
      </c>
      <c r="AJ386" s="1009">
        <f>'Other Costs'!$DM138</f>
        <v>0</v>
      </c>
      <c r="AK386" s="1009">
        <f>'Other Costs'!$DN138</f>
        <v>0</v>
      </c>
      <c r="AL386" s="1009">
        <f>'Other Costs'!$DO138</f>
        <v>0</v>
      </c>
      <c r="AM386" s="1007">
        <v>0</v>
      </c>
      <c r="AN386" s="1007">
        <v>0</v>
      </c>
      <c r="AO386" s="1007">
        <v>0</v>
      </c>
      <c r="AP386" s="1007">
        <v>0</v>
      </c>
      <c r="AQ386" s="1007">
        <v>0</v>
      </c>
      <c r="AR386" s="1016">
        <f t="shared" si="17"/>
        <v>0</v>
      </c>
    </row>
    <row r="387" spans="2:44" ht="15" customHeight="1">
      <c r="B387" s="2"/>
      <c r="C387"/>
      <c r="D387"/>
      <c r="E387"/>
      <c r="F387"/>
      <c r="G387"/>
      <c r="H387"/>
      <c r="I387"/>
      <c r="J387"/>
      <c r="K387"/>
      <c r="L387"/>
      <c r="M387"/>
      <c r="N387"/>
      <c r="O387"/>
      <c r="P387"/>
      <c r="Q387"/>
      <c r="AA387" s="1686"/>
      <c r="AB387" s="53" t="str">
        <f>'Other Costs'!$DE139</f>
        <v/>
      </c>
      <c r="AC387" s="53" t="str">
        <f>'Other Costs'!$DF139</f>
        <v/>
      </c>
      <c r="AD387" s="53" t="str">
        <f>'Other Costs'!$DG139</f>
        <v/>
      </c>
      <c r="AE387" s="53" t="str">
        <f>'Other Costs'!$DH139</f>
        <v/>
      </c>
      <c r="AF387" s="53" t="str">
        <f>'Other Costs'!$DI139</f>
        <v/>
      </c>
      <c r="AG387" s="1009">
        <f>'Other Costs'!$DJ139</f>
        <v>0</v>
      </c>
      <c r="AH387" s="1009">
        <f>'Other Costs'!$DK139</f>
        <v>0</v>
      </c>
      <c r="AI387" s="1009">
        <f>'Other Costs'!$DL139</f>
        <v>0</v>
      </c>
      <c r="AJ387" s="1009">
        <f>'Other Costs'!$DM139</f>
        <v>0</v>
      </c>
      <c r="AK387" s="1009">
        <f>'Other Costs'!$DN139</f>
        <v>0</v>
      </c>
      <c r="AL387" s="1009">
        <f>'Other Costs'!$DO139</f>
        <v>0</v>
      </c>
      <c r="AM387" s="1007">
        <v>0</v>
      </c>
      <c r="AN387" s="1007">
        <v>0</v>
      </c>
      <c r="AO387" s="1007">
        <v>0</v>
      </c>
      <c r="AP387" s="1007">
        <v>0</v>
      </c>
      <c r="AQ387" s="1007">
        <v>0</v>
      </c>
      <c r="AR387" s="1016">
        <f t="shared" si="17"/>
        <v>0</v>
      </c>
    </row>
    <row r="388" spans="2:44" ht="15" customHeight="1">
      <c r="B388" s="2"/>
      <c r="C388"/>
      <c r="D388"/>
      <c r="E388"/>
      <c r="F388"/>
      <c r="G388"/>
      <c r="H388"/>
      <c r="I388"/>
      <c r="J388"/>
      <c r="K388"/>
      <c r="L388"/>
      <c r="M388"/>
      <c r="N388"/>
      <c r="O388"/>
      <c r="P388"/>
      <c r="Q388"/>
      <c r="AA388" s="1686"/>
      <c r="AB388" s="53" t="str">
        <f>'Other Costs'!$DE140</f>
        <v/>
      </c>
      <c r="AC388" s="53" t="str">
        <f>'Other Costs'!$DF140</f>
        <v/>
      </c>
      <c r="AD388" s="53" t="str">
        <f>'Other Costs'!$DG140</f>
        <v/>
      </c>
      <c r="AE388" s="53" t="str">
        <f>'Other Costs'!$DH140</f>
        <v/>
      </c>
      <c r="AF388" s="53" t="str">
        <f>'Other Costs'!$DI140</f>
        <v/>
      </c>
      <c r="AG388" s="1009">
        <f>'Other Costs'!$DJ140</f>
        <v>0</v>
      </c>
      <c r="AH388" s="1009">
        <f>'Other Costs'!$DK140</f>
        <v>0</v>
      </c>
      <c r="AI388" s="1009">
        <f>'Other Costs'!$DL140</f>
        <v>0</v>
      </c>
      <c r="AJ388" s="1009">
        <f>'Other Costs'!$DM140</f>
        <v>0</v>
      </c>
      <c r="AK388" s="1009">
        <f>'Other Costs'!$DN140</f>
        <v>0</v>
      </c>
      <c r="AL388" s="1009">
        <f>'Other Costs'!$DO140</f>
        <v>0</v>
      </c>
      <c r="AM388" s="1007">
        <v>0</v>
      </c>
      <c r="AN388" s="1007">
        <v>0</v>
      </c>
      <c r="AO388" s="1007">
        <v>0</v>
      </c>
      <c r="AP388" s="1007">
        <v>0</v>
      </c>
      <c r="AQ388" s="1007">
        <v>0</v>
      </c>
      <c r="AR388" s="1016">
        <f t="shared" si="17"/>
        <v>0</v>
      </c>
    </row>
    <row r="389" spans="2:44" ht="15" customHeight="1">
      <c r="B389" s="2"/>
      <c r="C389"/>
      <c r="D389"/>
      <c r="E389"/>
      <c r="F389"/>
      <c r="G389"/>
      <c r="H389"/>
      <c r="I389"/>
      <c r="J389"/>
      <c r="K389"/>
      <c r="L389"/>
      <c r="M389"/>
      <c r="N389"/>
      <c r="O389"/>
      <c r="P389"/>
      <c r="Q389"/>
      <c r="AA389" s="1686"/>
      <c r="AB389" s="53" t="str">
        <f>'Other Costs'!$DE141</f>
        <v/>
      </c>
      <c r="AC389" s="53" t="str">
        <f>'Other Costs'!$DF141</f>
        <v/>
      </c>
      <c r="AD389" s="53" t="str">
        <f>'Other Costs'!$DG141</f>
        <v/>
      </c>
      <c r="AE389" s="53" t="str">
        <f>'Other Costs'!$DH141</f>
        <v/>
      </c>
      <c r="AF389" s="53" t="str">
        <f>'Other Costs'!$DI141</f>
        <v/>
      </c>
      <c r="AG389" s="1009">
        <f>'Other Costs'!$DJ141</f>
        <v>0</v>
      </c>
      <c r="AH389" s="1009">
        <f>'Other Costs'!$DK141</f>
        <v>0</v>
      </c>
      <c r="AI389" s="1009">
        <f>'Other Costs'!$DL141</f>
        <v>0</v>
      </c>
      <c r="AJ389" s="1009">
        <f>'Other Costs'!$DM141</f>
        <v>0</v>
      </c>
      <c r="AK389" s="1009">
        <f>'Other Costs'!$DN141</f>
        <v>0</v>
      </c>
      <c r="AL389" s="1009">
        <f>'Other Costs'!$DO141</f>
        <v>0</v>
      </c>
      <c r="AM389" s="1007">
        <v>0</v>
      </c>
      <c r="AN389" s="1007">
        <v>0</v>
      </c>
      <c r="AO389" s="1007">
        <v>0</v>
      </c>
      <c r="AP389" s="1007">
        <v>0</v>
      </c>
      <c r="AQ389" s="1007">
        <v>0</v>
      </c>
      <c r="AR389" s="1016">
        <f t="shared" si="17"/>
        <v>0</v>
      </c>
    </row>
    <row r="390" spans="2:44" ht="15" customHeight="1">
      <c r="B390" s="2"/>
      <c r="C390"/>
      <c r="D390"/>
      <c r="E390"/>
      <c r="F390"/>
      <c r="G390"/>
      <c r="H390"/>
      <c r="I390"/>
      <c r="J390"/>
      <c r="K390"/>
      <c r="L390"/>
      <c r="M390"/>
      <c r="N390"/>
      <c r="O390"/>
      <c r="P390"/>
      <c r="Q390"/>
      <c r="AA390" s="1686"/>
      <c r="AB390" s="53" t="str">
        <f>'Other Costs'!$DE142</f>
        <v/>
      </c>
      <c r="AC390" s="53" t="str">
        <f>'Other Costs'!$DF142</f>
        <v/>
      </c>
      <c r="AD390" s="53" t="str">
        <f>'Other Costs'!$DG142</f>
        <v/>
      </c>
      <c r="AE390" s="53" t="str">
        <f>'Other Costs'!$DH142</f>
        <v/>
      </c>
      <c r="AF390" s="53" t="str">
        <f>'Other Costs'!$DI142</f>
        <v/>
      </c>
      <c r="AG390" s="1009">
        <f>'Other Costs'!$DJ142</f>
        <v>0</v>
      </c>
      <c r="AH390" s="1009">
        <f>'Other Costs'!$DK142</f>
        <v>0</v>
      </c>
      <c r="AI390" s="1009">
        <f>'Other Costs'!$DL142</f>
        <v>0</v>
      </c>
      <c r="AJ390" s="1009">
        <f>'Other Costs'!$DM142</f>
        <v>0</v>
      </c>
      <c r="AK390" s="1009">
        <f>'Other Costs'!$DN142</f>
        <v>0</v>
      </c>
      <c r="AL390" s="1009">
        <f>'Other Costs'!$DO142</f>
        <v>0</v>
      </c>
      <c r="AM390" s="1007">
        <v>0</v>
      </c>
      <c r="AN390" s="1007">
        <v>0</v>
      </c>
      <c r="AO390" s="1007">
        <v>0</v>
      </c>
      <c r="AP390" s="1007">
        <v>0</v>
      </c>
      <c r="AQ390" s="1007">
        <v>0</v>
      </c>
      <c r="AR390" s="1016">
        <f t="shared" si="17"/>
        <v>0</v>
      </c>
    </row>
    <row r="391" spans="2:44" ht="15" customHeight="1">
      <c r="B391" s="2"/>
      <c r="C391"/>
      <c r="D391"/>
      <c r="E391"/>
      <c r="F391"/>
      <c r="G391"/>
      <c r="H391"/>
      <c r="I391"/>
      <c r="J391"/>
      <c r="K391"/>
      <c r="L391"/>
      <c r="M391"/>
      <c r="N391"/>
      <c r="O391"/>
      <c r="P391"/>
      <c r="Q391"/>
      <c r="AA391" s="1686"/>
      <c r="AB391" s="53" t="str">
        <f>'Other Costs'!$DE143</f>
        <v/>
      </c>
      <c r="AC391" s="53" t="str">
        <f>'Other Costs'!$DF143</f>
        <v/>
      </c>
      <c r="AD391" s="53" t="str">
        <f>'Other Costs'!$DG143</f>
        <v/>
      </c>
      <c r="AE391" s="53" t="str">
        <f>'Other Costs'!$DH143</f>
        <v/>
      </c>
      <c r="AF391" s="53" t="str">
        <f>'Other Costs'!$DI143</f>
        <v/>
      </c>
      <c r="AG391" s="1009">
        <f>'Other Costs'!$DJ143</f>
        <v>0</v>
      </c>
      <c r="AH391" s="1009">
        <f>'Other Costs'!$DK143</f>
        <v>0</v>
      </c>
      <c r="AI391" s="1009">
        <f>'Other Costs'!$DL143</f>
        <v>0</v>
      </c>
      <c r="AJ391" s="1009">
        <f>'Other Costs'!$DM143</f>
        <v>0</v>
      </c>
      <c r="AK391" s="1009">
        <f>'Other Costs'!$DN143</f>
        <v>0</v>
      </c>
      <c r="AL391" s="1009">
        <f>'Other Costs'!$DO143</f>
        <v>0</v>
      </c>
      <c r="AM391" s="1007">
        <v>0</v>
      </c>
      <c r="AN391" s="1007">
        <v>0</v>
      </c>
      <c r="AO391" s="1007">
        <v>0</v>
      </c>
      <c r="AP391" s="1007">
        <v>0</v>
      </c>
      <c r="AQ391" s="1007">
        <v>0</v>
      </c>
      <c r="AR391" s="1016">
        <f t="shared" si="17"/>
        <v>0</v>
      </c>
    </row>
    <row r="392" spans="2:44" ht="15" customHeight="1">
      <c r="B392" s="2"/>
      <c r="C392"/>
      <c r="D392"/>
      <c r="E392"/>
      <c r="F392"/>
      <c r="G392"/>
      <c r="H392"/>
      <c r="I392"/>
      <c r="J392"/>
      <c r="K392"/>
      <c r="L392"/>
      <c r="M392"/>
      <c r="N392"/>
      <c r="O392"/>
      <c r="P392"/>
      <c r="Q392"/>
      <c r="AA392" s="1686"/>
      <c r="AB392" s="53" t="str">
        <f>'Other Costs'!$DE144</f>
        <v/>
      </c>
      <c r="AC392" s="53" t="str">
        <f>'Other Costs'!$DF144</f>
        <v/>
      </c>
      <c r="AD392" s="53" t="str">
        <f>'Other Costs'!$DG144</f>
        <v/>
      </c>
      <c r="AE392" s="53" t="str">
        <f>'Other Costs'!$DH144</f>
        <v/>
      </c>
      <c r="AF392" s="53" t="str">
        <f>'Other Costs'!$DI144</f>
        <v/>
      </c>
      <c r="AG392" s="1009">
        <f>'Other Costs'!$DJ144</f>
        <v>0</v>
      </c>
      <c r="AH392" s="1009">
        <f>'Other Costs'!$DK144</f>
        <v>0</v>
      </c>
      <c r="AI392" s="1009">
        <f>'Other Costs'!$DL144</f>
        <v>0</v>
      </c>
      <c r="AJ392" s="1009">
        <f>'Other Costs'!$DM144</f>
        <v>0</v>
      </c>
      <c r="AK392" s="1009">
        <f>'Other Costs'!$DN144</f>
        <v>0</v>
      </c>
      <c r="AL392" s="1009">
        <f>'Other Costs'!$DO144</f>
        <v>0</v>
      </c>
      <c r="AM392" s="1007">
        <v>0</v>
      </c>
      <c r="AN392" s="1007">
        <v>0</v>
      </c>
      <c r="AO392" s="1007">
        <v>0</v>
      </c>
      <c r="AP392" s="1007">
        <v>0</v>
      </c>
      <c r="AQ392" s="1007">
        <v>0</v>
      </c>
      <c r="AR392" s="1016">
        <f t="shared" si="17"/>
        <v>0</v>
      </c>
    </row>
    <row r="393" spans="2:44" ht="15" customHeight="1">
      <c r="B393" s="2"/>
      <c r="C393"/>
      <c r="D393"/>
      <c r="E393"/>
      <c r="F393"/>
      <c r="G393"/>
      <c r="H393"/>
      <c r="I393"/>
      <c r="J393"/>
      <c r="K393"/>
      <c r="L393"/>
      <c r="M393"/>
      <c r="N393"/>
      <c r="O393"/>
      <c r="P393"/>
      <c r="Q393"/>
      <c r="AA393" s="1686"/>
      <c r="AB393" s="53" t="str">
        <f>'Other Costs'!$DE145</f>
        <v/>
      </c>
      <c r="AC393" s="53" t="str">
        <f>'Other Costs'!$DF145</f>
        <v/>
      </c>
      <c r="AD393" s="53" t="str">
        <f>'Other Costs'!$DG145</f>
        <v/>
      </c>
      <c r="AE393" s="53" t="str">
        <f>'Other Costs'!$DH145</f>
        <v/>
      </c>
      <c r="AF393" s="53" t="str">
        <f>'Other Costs'!$DI145</f>
        <v/>
      </c>
      <c r="AG393" s="1009">
        <f>'Other Costs'!$DJ145</f>
        <v>0</v>
      </c>
      <c r="AH393" s="1009">
        <f>'Other Costs'!$DK145</f>
        <v>0</v>
      </c>
      <c r="AI393" s="1009">
        <f>'Other Costs'!$DL145</f>
        <v>0</v>
      </c>
      <c r="AJ393" s="1009">
        <f>'Other Costs'!$DM145</f>
        <v>0</v>
      </c>
      <c r="AK393" s="1009">
        <f>'Other Costs'!$DN145</f>
        <v>0</v>
      </c>
      <c r="AL393" s="1009">
        <f>'Other Costs'!$DO145</f>
        <v>0</v>
      </c>
      <c r="AM393" s="1007">
        <v>0</v>
      </c>
      <c r="AN393" s="1007">
        <v>0</v>
      </c>
      <c r="AO393" s="1007">
        <v>0</v>
      </c>
      <c r="AP393" s="1007">
        <v>0</v>
      </c>
      <c r="AQ393" s="1007">
        <v>0</v>
      </c>
      <c r="AR393" s="1016">
        <f t="shared" si="17"/>
        <v>0</v>
      </c>
    </row>
    <row r="394" spans="2:44" ht="15" customHeight="1">
      <c r="B394" s="2"/>
      <c r="C394"/>
      <c r="D394"/>
      <c r="E394"/>
      <c r="F394"/>
      <c r="G394"/>
      <c r="H394"/>
      <c r="I394"/>
      <c r="J394"/>
      <c r="K394"/>
      <c r="L394"/>
      <c r="M394"/>
      <c r="N394"/>
      <c r="O394"/>
      <c r="P394"/>
      <c r="Q394"/>
      <c r="AA394" s="1686"/>
      <c r="AB394" s="53" t="str">
        <f>'Other Costs'!$DE146</f>
        <v/>
      </c>
      <c r="AC394" s="53" t="str">
        <f>'Other Costs'!$DF146</f>
        <v/>
      </c>
      <c r="AD394" s="53" t="str">
        <f>'Other Costs'!$DG146</f>
        <v/>
      </c>
      <c r="AE394" s="53" t="str">
        <f>'Other Costs'!$DH146</f>
        <v/>
      </c>
      <c r="AF394" s="53" t="str">
        <f>'Other Costs'!$DI146</f>
        <v/>
      </c>
      <c r="AG394" s="1009">
        <f>'Other Costs'!$DJ146</f>
        <v>0</v>
      </c>
      <c r="AH394" s="1009">
        <f>'Other Costs'!$DK146</f>
        <v>0</v>
      </c>
      <c r="AI394" s="1009">
        <f>'Other Costs'!$DL146</f>
        <v>0</v>
      </c>
      <c r="AJ394" s="1009">
        <f>'Other Costs'!$DM146</f>
        <v>0</v>
      </c>
      <c r="AK394" s="1009">
        <f>'Other Costs'!$DN146</f>
        <v>0</v>
      </c>
      <c r="AL394" s="1009">
        <f>'Other Costs'!$DO146</f>
        <v>0</v>
      </c>
      <c r="AM394" s="1007">
        <v>0</v>
      </c>
      <c r="AN394" s="1007">
        <v>0</v>
      </c>
      <c r="AO394" s="1007">
        <v>0</v>
      </c>
      <c r="AP394" s="1007">
        <v>0</v>
      </c>
      <c r="AQ394" s="1007">
        <v>0</v>
      </c>
      <c r="AR394" s="1016">
        <f t="shared" si="17"/>
        <v>0</v>
      </c>
    </row>
    <row r="395" spans="2:44" ht="15" customHeight="1">
      <c r="B395" s="2"/>
      <c r="C395"/>
      <c r="D395"/>
      <c r="E395"/>
      <c r="F395"/>
      <c r="G395"/>
      <c r="H395"/>
      <c r="I395"/>
      <c r="J395"/>
      <c r="K395"/>
      <c r="L395"/>
      <c r="M395"/>
      <c r="N395"/>
      <c r="O395"/>
      <c r="P395"/>
      <c r="Q395"/>
      <c r="AA395" s="1686"/>
      <c r="AB395" s="53" t="str">
        <f>'Other Costs'!$DE147</f>
        <v/>
      </c>
      <c r="AC395" s="53" t="str">
        <f>'Other Costs'!$DF147</f>
        <v/>
      </c>
      <c r="AD395" s="53" t="str">
        <f>'Other Costs'!$DG147</f>
        <v/>
      </c>
      <c r="AE395" s="53" t="str">
        <f>'Other Costs'!$DH147</f>
        <v/>
      </c>
      <c r="AF395" s="53" t="str">
        <f>'Other Costs'!$DI147</f>
        <v/>
      </c>
      <c r="AG395" s="1009">
        <f>'Other Costs'!$DJ147</f>
        <v>0</v>
      </c>
      <c r="AH395" s="1009">
        <f>'Other Costs'!$DK147</f>
        <v>0</v>
      </c>
      <c r="AI395" s="1009">
        <f>'Other Costs'!$DL147</f>
        <v>0</v>
      </c>
      <c r="AJ395" s="1009">
        <f>'Other Costs'!$DM147</f>
        <v>0</v>
      </c>
      <c r="AK395" s="1009">
        <f>'Other Costs'!$DN147</f>
        <v>0</v>
      </c>
      <c r="AL395" s="1009">
        <f>'Other Costs'!$DO147</f>
        <v>0</v>
      </c>
      <c r="AM395" s="1007">
        <v>0</v>
      </c>
      <c r="AN395" s="1007">
        <v>0</v>
      </c>
      <c r="AO395" s="1007">
        <v>0</v>
      </c>
      <c r="AP395" s="1007">
        <v>0</v>
      </c>
      <c r="AQ395" s="1007">
        <v>0</v>
      </c>
      <c r="AR395" s="1016">
        <f t="shared" si="17"/>
        <v>0</v>
      </c>
    </row>
    <row r="396" spans="2:44" ht="15" customHeight="1">
      <c r="B396" s="2"/>
      <c r="C396"/>
      <c r="D396"/>
      <c r="E396"/>
      <c r="F396"/>
      <c r="G396"/>
      <c r="H396"/>
      <c r="I396"/>
      <c r="J396"/>
      <c r="K396"/>
      <c r="L396"/>
      <c r="M396"/>
      <c r="N396"/>
      <c r="O396"/>
      <c r="P396"/>
      <c r="Q396"/>
      <c r="AA396" s="1686"/>
      <c r="AB396" s="53" t="str">
        <f>'Other Costs'!$DE148</f>
        <v/>
      </c>
      <c r="AC396" s="53" t="str">
        <f>'Other Costs'!$DF148</f>
        <v/>
      </c>
      <c r="AD396" s="53" t="str">
        <f>'Other Costs'!$DG148</f>
        <v/>
      </c>
      <c r="AE396" s="53" t="str">
        <f>'Other Costs'!$DH148</f>
        <v/>
      </c>
      <c r="AF396" s="53" t="str">
        <f>'Other Costs'!$DI148</f>
        <v/>
      </c>
      <c r="AG396" s="1009">
        <f>'Other Costs'!$DJ148</f>
        <v>0</v>
      </c>
      <c r="AH396" s="1009">
        <f>'Other Costs'!$DK148</f>
        <v>0</v>
      </c>
      <c r="AI396" s="1009">
        <f>'Other Costs'!$DL148</f>
        <v>0</v>
      </c>
      <c r="AJ396" s="1009">
        <f>'Other Costs'!$DM148</f>
        <v>0</v>
      </c>
      <c r="AK396" s="1009">
        <f>'Other Costs'!$DN148</f>
        <v>0</v>
      </c>
      <c r="AL396" s="1009">
        <f>'Other Costs'!$DO148</f>
        <v>0</v>
      </c>
      <c r="AM396" s="1007">
        <v>0</v>
      </c>
      <c r="AN396" s="1007">
        <v>0</v>
      </c>
      <c r="AO396" s="1007">
        <v>0</v>
      </c>
      <c r="AP396" s="1007">
        <v>0</v>
      </c>
      <c r="AQ396" s="1007">
        <v>0</v>
      </c>
      <c r="AR396" s="1016">
        <f t="shared" si="17"/>
        <v>0</v>
      </c>
    </row>
    <row r="397" spans="2:44" ht="15" customHeight="1">
      <c r="B397" s="2"/>
      <c r="C397"/>
      <c r="D397"/>
      <c r="E397"/>
      <c r="F397"/>
      <c r="G397"/>
      <c r="H397"/>
      <c r="I397"/>
      <c r="J397"/>
      <c r="K397"/>
      <c r="L397"/>
      <c r="M397"/>
      <c r="N397"/>
      <c r="O397"/>
      <c r="P397"/>
      <c r="Q397"/>
      <c r="AA397" s="1686"/>
      <c r="AB397" s="53" t="str">
        <f>'Other Costs'!$DE149</f>
        <v/>
      </c>
      <c r="AC397" s="53" t="str">
        <f>'Other Costs'!$DF149</f>
        <v/>
      </c>
      <c r="AD397" s="53" t="str">
        <f>'Other Costs'!$DG149</f>
        <v/>
      </c>
      <c r="AE397" s="53" t="str">
        <f>'Other Costs'!$DH149</f>
        <v/>
      </c>
      <c r="AF397" s="53" t="str">
        <f>'Other Costs'!$DI149</f>
        <v/>
      </c>
      <c r="AG397" s="1009">
        <f>'Other Costs'!$DJ149</f>
        <v>0</v>
      </c>
      <c r="AH397" s="1009">
        <f>'Other Costs'!$DK149</f>
        <v>0</v>
      </c>
      <c r="AI397" s="1009">
        <f>'Other Costs'!$DL149</f>
        <v>0</v>
      </c>
      <c r="AJ397" s="1009">
        <f>'Other Costs'!$DM149</f>
        <v>0</v>
      </c>
      <c r="AK397" s="1009">
        <f>'Other Costs'!$DN149</f>
        <v>0</v>
      </c>
      <c r="AL397" s="1009">
        <f>'Other Costs'!$DO149</f>
        <v>0</v>
      </c>
      <c r="AM397" s="1007">
        <v>0</v>
      </c>
      <c r="AN397" s="1007">
        <v>0</v>
      </c>
      <c r="AO397" s="1007">
        <v>0</v>
      </c>
      <c r="AP397" s="1007">
        <v>0</v>
      </c>
      <c r="AQ397" s="1007">
        <v>0</v>
      </c>
      <c r="AR397" s="1016">
        <f t="shared" si="17"/>
        <v>0</v>
      </c>
    </row>
    <row r="398" spans="2:44" ht="15" customHeight="1">
      <c r="B398" s="2"/>
      <c r="C398"/>
      <c r="D398"/>
      <c r="E398"/>
      <c r="F398"/>
      <c r="G398"/>
      <c r="H398"/>
      <c r="I398"/>
      <c r="J398"/>
      <c r="K398"/>
      <c r="L398"/>
      <c r="M398"/>
      <c r="N398"/>
      <c r="O398"/>
      <c r="P398"/>
      <c r="Q398"/>
      <c r="AA398" s="1686"/>
      <c r="AB398" s="53" t="str">
        <f>'Other Costs'!$DE150</f>
        <v/>
      </c>
      <c r="AC398" s="53" t="str">
        <f>'Other Costs'!$DF150</f>
        <v/>
      </c>
      <c r="AD398" s="53" t="str">
        <f>'Other Costs'!$DG150</f>
        <v/>
      </c>
      <c r="AE398" s="53" t="str">
        <f>'Other Costs'!$DH150</f>
        <v/>
      </c>
      <c r="AF398" s="53" t="str">
        <f>'Other Costs'!$DI150</f>
        <v/>
      </c>
      <c r="AG398" s="1009">
        <f>'Other Costs'!$DJ150</f>
        <v>0</v>
      </c>
      <c r="AH398" s="1009">
        <f>'Other Costs'!$DK150</f>
        <v>0</v>
      </c>
      <c r="AI398" s="1009">
        <f>'Other Costs'!$DL150</f>
        <v>0</v>
      </c>
      <c r="AJ398" s="1009">
        <f>'Other Costs'!$DM150</f>
        <v>0</v>
      </c>
      <c r="AK398" s="1009">
        <f>'Other Costs'!$DN150</f>
        <v>0</v>
      </c>
      <c r="AL398" s="1009">
        <f>'Other Costs'!$DO150</f>
        <v>0</v>
      </c>
      <c r="AM398" s="1007">
        <v>0</v>
      </c>
      <c r="AN398" s="1007">
        <v>0</v>
      </c>
      <c r="AO398" s="1007">
        <v>0</v>
      </c>
      <c r="AP398" s="1007">
        <v>0</v>
      </c>
      <c r="AQ398" s="1007">
        <v>0</v>
      </c>
      <c r="AR398" s="1016">
        <f t="shared" si="17"/>
        <v>0</v>
      </c>
    </row>
    <row r="399" spans="2:44" ht="15" customHeight="1">
      <c r="B399" s="2"/>
      <c r="C399"/>
      <c r="D399"/>
      <c r="E399"/>
      <c r="F399"/>
      <c r="G399"/>
      <c r="H399"/>
      <c r="I399"/>
      <c r="J399"/>
      <c r="K399"/>
      <c r="L399"/>
      <c r="M399"/>
      <c r="N399"/>
      <c r="O399"/>
      <c r="P399"/>
      <c r="Q399"/>
      <c r="AA399" s="1686"/>
      <c r="AB399" s="53" t="str">
        <f>'Other Costs'!$DE151</f>
        <v/>
      </c>
      <c r="AC399" s="53" t="str">
        <f>'Other Costs'!$DF151</f>
        <v/>
      </c>
      <c r="AD399" s="53" t="str">
        <f>'Other Costs'!$DG151</f>
        <v/>
      </c>
      <c r="AE399" s="53" t="str">
        <f>'Other Costs'!$DH151</f>
        <v/>
      </c>
      <c r="AF399" s="53" t="str">
        <f>'Other Costs'!$DI151</f>
        <v/>
      </c>
      <c r="AG399" s="1009">
        <f>'Other Costs'!$DJ151</f>
        <v>0</v>
      </c>
      <c r="AH399" s="1009">
        <f>'Other Costs'!$DK151</f>
        <v>0</v>
      </c>
      <c r="AI399" s="1009">
        <f>'Other Costs'!$DL151</f>
        <v>0</v>
      </c>
      <c r="AJ399" s="1009">
        <f>'Other Costs'!$DM151</f>
        <v>0</v>
      </c>
      <c r="AK399" s="1009">
        <f>'Other Costs'!$DN151</f>
        <v>0</v>
      </c>
      <c r="AL399" s="1009">
        <f>'Other Costs'!$DO151</f>
        <v>0</v>
      </c>
      <c r="AM399" s="1007">
        <v>0</v>
      </c>
      <c r="AN399" s="1007">
        <v>0</v>
      </c>
      <c r="AO399" s="1007">
        <v>0</v>
      </c>
      <c r="AP399" s="1007">
        <v>0</v>
      </c>
      <c r="AQ399" s="1007">
        <v>0</v>
      </c>
      <c r="AR399" s="1016">
        <f t="shared" si="17"/>
        <v>0</v>
      </c>
    </row>
    <row r="400" spans="2:44" ht="15" customHeight="1">
      <c r="B400" s="2"/>
      <c r="C400"/>
      <c r="D400"/>
      <c r="E400"/>
      <c r="F400"/>
      <c r="G400"/>
      <c r="H400"/>
      <c r="I400"/>
      <c r="J400"/>
      <c r="K400"/>
      <c r="L400"/>
      <c r="M400"/>
      <c r="N400"/>
      <c r="O400"/>
      <c r="P400"/>
      <c r="Q400"/>
      <c r="AA400" s="1686"/>
      <c r="AB400" s="53" t="str">
        <f>'Other Costs'!$DE152</f>
        <v/>
      </c>
      <c r="AC400" s="53" t="str">
        <f>'Other Costs'!$DF152</f>
        <v/>
      </c>
      <c r="AD400" s="53" t="str">
        <f>'Other Costs'!$DG152</f>
        <v/>
      </c>
      <c r="AE400" s="53" t="str">
        <f>'Other Costs'!$DH152</f>
        <v/>
      </c>
      <c r="AF400" s="53" t="str">
        <f>'Other Costs'!$DI152</f>
        <v/>
      </c>
      <c r="AG400" s="1009">
        <f>'Other Costs'!$DJ152</f>
        <v>0</v>
      </c>
      <c r="AH400" s="1009">
        <f>'Other Costs'!$DK152</f>
        <v>0</v>
      </c>
      <c r="AI400" s="1009">
        <f>'Other Costs'!$DL152</f>
        <v>0</v>
      </c>
      <c r="AJ400" s="1009">
        <f>'Other Costs'!$DM152</f>
        <v>0</v>
      </c>
      <c r="AK400" s="1009">
        <f>'Other Costs'!$DN152</f>
        <v>0</v>
      </c>
      <c r="AL400" s="1009">
        <f>'Other Costs'!$DO152</f>
        <v>0</v>
      </c>
      <c r="AM400" s="1007">
        <v>0</v>
      </c>
      <c r="AN400" s="1007">
        <v>0</v>
      </c>
      <c r="AO400" s="1007">
        <v>0</v>
      </c>
      <c r="AP400" s="1007">
        <v>0</v>
      </c>
      <c r="AQ400" s="1007">
        <v>0</v>
      </c>
      <c r="AR400" s="1016">
        <f t="shared" si="17"/>
        <v>0</v>
      </c>
    </row>
    <row r="401" spans="2:44" ht="15" customHeight="1">
      <c r="B401" s="2"/>
      <c r="C401"/>
      <c r="D401"/>
      <c r="E401"/>
      <c r="F401"/>
      <c r="G401"/>
      <c r="H401"/>
      <c r="I401"/>
      <c r="J401"/>
      <c r="K401"/>
      <c r="L401"/>
      <c r="M401"/>
      <c r="N401"/>
      <c r="O401"/>
      <c r="P401"/>
      <c r="Q401"/>
      <c r="AA401" s="1686"/>
      <c r="AB401" s="53" t="str">
        <f>'Other Costs'!$DE153</f>
        <v/>
      </c>
      <c r="AC401" s="53" t="str">
        <f>'Other Costs'!$DF153</f>
        <v/>
      </c>
      <c r="AD401" s="53" t="str">
        <f>'Other Costs'!$DG153</f>
        <v/>
      </c>
      <c r="AE401" s="53" t="str">
        <f>'Other Costs'!$DH153</f>
        <v/>
      </c>
      <c r="AF401" s="53" t="str">
        <f>'Other Costs'!$DI153</f>
        <v/>
      </c>
      <c r="AG401" s="1009">
        <f>'Other Costs'!$DJ153</f>
        <v>0</v>
      </c>
      <c r="AH401" s="1009">
        <f>'Other Costs'!$DK153</f>
        <v>0</v>
      </c>
      <c r="AI401" s="1009">
        <f>'Other Costs'!$DL153</f>
        <v>0</v>
      </c>
      <c r="AJ401" s="1009">
        <f>'Other Costs'!$DM153</f>
        <v>0</v>
      </c>
      <c r="AK401" s="1009">
        <f>'Other Costs'!$DN153</f>
        <v>0</v>
      </c>
      <c r="AL401" s="1009">
        <f>'Other Costs'!$DO153</f>
        <v>0</v>
      </c>
      <c r="AM401" s="1007">
        <v>0</v>
      </c>
      <c r="AN401" s="1007">
        <v>0</v>
      </c>
      <c r="AO401" s="1007">
        <v>0</v>
      </c>
      <c r="AP401" s="1007">
        <v>0</v>
      </c>
      <c r="AQ401" s="1007">
        <v>0</v>
      </c>
      <c r="AR401" s="1016">
        <f t="shared" si="17"/>
        <v>0</v>
      </c>
    </row>
    <row r="402" spans="2:44" ht="15" customHeight="1">
      <c r="B402" s="2"/>
      <c r="C402"/>
      <c r="D402"/>
      <c r="E402"/>
      <c r="F402"/>
      <c r="G402"/>
      <c r="H402"/>
      <c r="I402"/>
      <c r="J402"/>
      <c r="K402"/>
      <c r="L402"/>
      <c r="M402"/>
      <c r="N402"/>
      <c r="O402"/>
      <c r="P402"/>
      <c r="Q402"/>
      <c r="AA402" s="1686"/>
      <c r="AB402" s="53" t="str">
        <f>'Other Costs'!$DE154</f>
        <v/>
      </c>
      <c r="AC402" s="53" t="str">
        <f>'Other Costs'!$DF154</f>
        <v/>
      </c>
      <c r="AD402" s="53" t="str">
        <f>'Other Costs'!$DG154</f>
        <v/>
      </c>
      <c r="AE402" s="53" t="str">
        <f>'Other Costs'!$DH154</f>
        <v/>
      </c>
      <c r="AF402" s="53" t="str">
        <f>'Other Costs'!$DI154</f>
        <v/>
      </c>
      <c r="AG402" s="1009">
        <f>'Other Costs'!$DJ154</f>
        <v>0</v>
      </c>
      <c r="AH402" s="1009">
        <f>'Other Costs'!$DK154</f>
        <v>0</v>
      </c>
      <c r="AI402" s="1009">
        <f>'Other Costs'!$DL154</f>
        <v>0</v>
      </c>
      <c r="AJ402" s="1009">
        <f>'Other Costs'!$DM154</f>
        <v>0</v>
      </c>
      <c r="AK402" s="1009">
        <f>'Other Costs'!$DN154</f>
        <v>0</v>
      </c>
      <c r="AL402" s="1009">
        <f>'Other Costs'!$DO154</f>
        <v>0</v>
      </c>
      <c r="AM402" s="1007">
        <v>0</v>
      </c>
      <c r="AN402" s="1007">
        <v>0</v>
      </c>
      <c r="AO402" s="1007">
        <v>0</v>
      </c>
      <c r="AP402" s="1007">
        <v>0</v>
      </c>
      <c r="AQ402" s="1007">
        <v>0</v>
      </c>
      <c r="AR402" s="1016">
        <f t="shared" si="17"/>
        <v>0</v>
      </c>
    </row>
    <row r="403" spans="2:44" ht="15" customHeight="1">
      <c r="B403" s="2"/>
      <c r="C403"/>
      <c r="D403"/>
      <c r="E403"/>
      <c r="F403"/>
      <c r="G403"/>
      <c r="H403"/>
      <c r="I403"/>
      <c r="J403"/>
      <c r="K403"/>
      <c r="L403"/>
      <c r="M403"/>
      <c r="N403"/>
      <c r="O403"/>
      <c r="P403"/>
      <c r="Q403"/>
      <c r="AA403" s="1686"/>
      <c r="AB403" s="53" t="str">
        <f>'Other Costs'!$DE155</f>
        <v/>
      </c>
      <c r="AC403" s="53" t="str">
        <f>'Other Costs'!$DF155</f>
        <v/>
      </c>
      <c r="AD403" s="53" t="str">
        <f>'Other Costs'!$DG155</f>
        <v/>
      </c>
      <c r="AE403" s="53" t="str">
        <f>'Other Costs'!$DH155</f>
        <v/>
      </c>
      <c r="AF403" s="53" t="str">
        <f>'Other Costs'!$DI155</f>
        <v/>
      </c>
      <c r="AG403" s="1009">
        <f>'Other Costs'!$DJ155</f>
        <v>0</v>
      </c>
      <c r="AH403" s="1009">
        <f>'Other Costs'!$DK155</f>
        <v>0</v>
      </c>
      <c r="AI403" s="1009">
        <f>'Other Costs'!$DL155</f>
        <v>0</v>
      </c>
      <c r="AJ403" s="1009">
        <f>'Other Costs'!$DM155</f>
        <v>0</v>
      </c>
      <c r="AK403" s="1009">
        <f>'Other Costs'!$DN155</f>
        <v>0</v>
      </c>
      <c r="AL403" s="1009">
        <f>'Other Costs'!$DO155</f>
        <v>0</v>
      </c>
      <c r="AM403" s="1007">
        <v>0</v>
      </c>
      <c r="AN403" s="1007">
        <v>0</v>
      </c>
      <c r="AO403" s="1007">
        <v>0</v>
      </c>
      <c r="AP403" s="1007">
        <v>0</v>
      </c>
      <c r="AQ403" s="1007">
        <v>0</v>
      </c>
      <c r="AR403" s="1016">
        <f t="shared" si="17"/>
        <v>0</v>
      </c>
    </row>
    <row r="404" spans="2:44" ht="15" customHeight="1">
      <c r="B404" s="2"/>
      <c r="C404"/>
      <c r="D404"/>
      <c r="E404"/>
      <c r="F404"/>
      <c r="G404"/>
      <c r="H404"/>
      <c r="I404"/>
      <c r="J404"/>
      <c r="K404"/>
      <c r="L404"/>
      <c r="M404"/>
      <c r="N404"/>
      <c r="O404"/>
      <c r="P404"/>
      <c r="Q404"/>
      <c r="AA404" s="1686"/>
      <c r="AB404" s="53" t="str">
        <f>'Other Costs'!$DE156</f>
        <v/>
      </c>
      <c r="AC404" s="53" t="str">
        <f>'Other Costs'!$DF156</f>
        <v/>
      </c>
      <c r="AD404" s="53" t="str">
        <f>'Other Costs'!$DG156</f>
        <v/>
      </c>
      <c r="AE404" s="53" t="str">
        <f>'Other Costs'!$DH156</f>
        <v/>
      </c>
      <c r="AF404" s="53" t="str">
        <f>'Other Costs'!$DI156</f>
        <v/>
      </c>
      <c r="AG404" s="1009">
        <f>'Other Costs'!$DJ156</f>
        <v>0</v>
      </c>
      <c r="AH404" s="1009">
        <f>'Other Costs'!$DK156</f>
        <v>0</v>
      </c>
      <c r="AI404" s="1009">
        <f>'Other Costs'!$DL156</f>
        <v>0</v>
      </c>
      <c r="AJ404" s="1009">
        <f>'Other Costs'!$DM156</f>
        <v>0</v>
      </c>
      <c r="AK404" s="1009">
        <f>'Other Costs'!$DN156</f>
        <v>0</v>
      </c>
      <c r="AL404" s="1009">
        <f>'Other Costs'!$DO156</f>
        <v>0</v>
      </c>
      <c r="AM404" s="1007">
        <v>0</v>
      </c>
      <c r="AN404" s="1007">
        <v>0</v>
      </c>
      <c r="AO404" s="1007">
        <v>0</v>
      </c>
      <c r="AP404" s="1007">
        <v>0</v>
      </c>
      <c r="AQ404" s="1007">
        <v>0</v>
      </c>
      <c r="AR404" s="1016">
        <f t="shared" si="17"/>
        <v>0</v>
      </c>
    </row>
    <row r="405" spans="2:44" ht="15" customHeight="1">
      <c r="B405" s="2"/>
      <c r="C405"/>
      <c r="D405"/>
      <c r="E405"/>
      <c r="F405"/>
      <c r="G405"/>
      <c r="H405"/>
      <c r="I405"/>
      <c r="J405"/>
      <c r="K405"/>
      <c r="L405"/>
      <c r="M405"/>
      <c r="N405"/>
      <c r="O405"/>
      <c r="P405"/>
      <c r="Q405"/>
      <c r="AA405" s="1686"/>
      <c r="AB405" s="53" t="str">
        <f>'Other Costs'!$DE157</f>
        <v/>
      </c>
      <c r="AC405" s="53" t="str">
        <f>'Other Costs'!$DF157</f>
        <v/>
      </c>
      <c r="AD405" s="53" t="str">
        <f>'Other Costs'!$DG157</f>
        <v/>
      </c>
      <c r="AE405" s="53" t="str">
        <f>'Other Costs'!$DH157</f>
        <v/>
      </c>
      <c r="AF405" s="53" t="str">
        <f>'Other Costs'!$DI157</f>
        <v/>
      </c>
      <c r="AG405" s="1009">
        <f>'Other Costs'!$DJ157</f>
        <v>0</v>
      </c>
      <c r="AH405" s="1009">
        <f>'Other Costs'!$DK157</f>
        <v>0</v>
      </c>
      <c r="AI405" s="1009">
        <f>'Other Costs'!$DL157</f>
        <v>0</v>
      </c>
      <c r="AJ405" s="1009">
        <f>'Other Costs'!$DM157</f>
        <v>0</v>
      </c>
      <c r="AK405" s="1009">
        <f>'Other Costs'!$DN157</f>
        <v>0</v>
      </c>
      <c r="AL405" s="1009">
        <f>'Other Costs'!$DO157</f>
        <v>0</v>
      </c>
      <c r="AM405" s="1007">
        <v>0</v>
      </c>
      <c r="AN405" s="1007">
        <v>0</v>
      </c>
      <c r="AO405" s="1007">
        <v>0</v>
      </c>
      <c r="AP405" s="1007">
        <v>0</v>
      </c>
      <c r="AQ405" s="1007">
        <v>0</v>
      </c>
      <c r="AR405" s="1016">
        <f t="shared" si="17"/>
        <v>0</v>
      </c>
    </row>
    <row r="406" spans="2:44" ht="15" customHeight="1">
      <c r="B406" s="2"/>
      <c r="C406"/>
      <c r="D406"/>
      <c r="E406"/>
      <c r="F406"/>
      <c r="G406"/>
      <c r="H406"/>
      <c r="I406"/>
      <c r="J406"/>
      <c r="K406"/>
      <c r="L406"/>
      <c r="M406"/>
      <c r="N406"/>
      <c r="O406"/>
      <c r="P406"/>
      <c r="Q406"/>
      <c r="AA406" s="1686"/>
      <c r="AB406" s="53" t="str">
        <f>'Other Costs'!$DE158</f>
        <v/>
      </c>
      <c r="AC406" s="53" t="str">
        <f>'Other Costs'!$DF158</f>
        <v/>
      </c>
      <c r="AD406" s="53" t="str">
        <f>'Other Costs'!$DG158</f>
        <v/>
      </c>
      <c r="AE406" s="53" t="str">
        <f>'Other Costs'!$DH158</f>
        <v/>
      </c>
      <c r="AF406" s="53" t="str">
        <f>'Other Costs'!$DI158</f>
        <v/>
      </c>
      <c r="AG406" s="1009">
        <f>'Other Costs'!$DJ158</f>
        <v>0</v>
      </c>
      <c r="AH406" s="1009">
        <f>'Other Costs'!$DK158</f>
        <v>0</v>
      </c>
      <c r="AI406" s="1009">
        <f>'Other Costs'!$DL158</f>
        <v>0</v>
      </c>
      <c r="AJ406" s="1009">
        <f>'Other Costs'!$DM158</f>
        <v>0</v>
      </c>
      <c r="AK406" s="1009">
        <f>'Other Costs'!$DN158</f>
        <v>0</v>
      </c>
      <c r="AL406" s="1009">
        <f>'Other Costs'!$DO158</f>
        <v>0</v>
      </c>
      <c r="AM406" s="1007">
        <v>0</v>
      </c>
      <c r="AN406" s="1007">
        <v>0</v>
      </c>
      <c r="AO406" s="1007">
        <v>0</v>
      </c>
      <c r="AP406" s="1007">
        <v>0</v>
      </c>
      <c r="AQ406" s="1007">
        <v>0</v>
      </c>
      <c r="AR406" s="1016">
        <f t="shared" si="17"/>
        <v>0</v>
      </c>
    </row>
    <row r="407" spans="2:44" ht="15" customHeight="1">
      <c r="B407" s="2"/>
      <c r="C407"/>
      <c r="D407"/>
      <c r="E407"/>
      <c r="F407"/>
      <c r="G407"/>
      <c r="H407"/>
      <c r="I407"/>
      <c r="J407"/>
      <c r="K407"/>
      <c r="L407"/>
      <c r="M407"/>
      <c r="N407"/>
      <c r="O407"/>
      <c r="P407"/>
      <c r="Q407"/>
      <c r="AA407" s="1686"/>
      <c r="AB407" s="53" t="str">
        <f>'Other Costs'!$DE159</f>
        <v/>
      </c>
      <c r="AC407" s="53" t="str">
        <f>'Other Costs'!$DF159</f>
        <v/>
      </c>
      <c r="AD407" s="53" t="str">
        <f>'Other Costs'!$DG159</f>
        <v/>
      </c>
      <c r="AE407" s="53" t="str">
        <f>'Other Costs'!$DH159</f>
        <v/>
      </c>
      <c r="AF407" s="53" t="str">
        <f>'Other Costs'!$DI159</f>
        <v/>
      </c>
      <c r="AG407" s="1009">
        <f>'Other Costs'!$DJ159</f>
        <v>0</v>
      </c>
      <c r="AH407" s="1009">
        <f>'Other Costs'!$DK159</f>
        <v>0</v>
      </c>
      <c r="AI407" s="1009">
        <f>'Other Costs'!$DL159</f>
        <v>0</v>
      </c>
      <c r="AJ407" s="1009">
        <f>'Other Costs'!$DM159</f>
        <v>0</v>
      </c>
      <c r="AK407" s="1009">
        <f>'Other Costs'!$DN159</f>
        <v>0</v>
      </c>
      <c r="AL407" s="1009">
        <f>'Other Costs'!$DO159</f>
        <v>0</v>
      </c>
      <c r="AM407" s="1007">
        <v>0</v>
      </c>
      <c r="AN407" s="1007">
        <v>0</v>
      </c>
      <c r="AO407" s="1007">
        <v>0</v>
      </c>
      <c r="AP407" s="1007">
        <v>0</v>
      </c>
      <c r="AQ407" s="1007">
        <v>0</v>
      </c>
      <c r="AR407" s="1016">
        <f t="shared" si="17"/>
        <v>0</v>
      </c>
    </row>
    <row r="408" spans="2:44" ht="15" customHeight="1">
      <c r="B408" s="2"/>
      <c r="C408"/>
      <c r="D408"/>
      <c r="E408"/>
      <c r="F408"/>
      <c r="G408"/>
      <c r="H408"/>
      <c r="I408"/>
      <c r="J408"/>
      <c r="K408"/>
      <c r="L408"/>
      <c r="M408"/>
      <c r="N408"/>
      <c r="O408"/>
      <c r="P408"/>
      <c r="Q408"/>
      <c r="AA408" s="1686"/>
      <c r="AB408" s="53" t="str">
        <f>'Other Costs'!$DE160</f>
        <v/>
      </c>
      <c r="AC408" s="53" t="str">
        <f>'Other Costs'!$DF160</f>
        <v/>
      </c>
      <c r="AD408" s="53" t="str">
        <f>'Other Costs'!$DG160</f>
        <v/>
      </c>
      <c r="AE408" s="53" t="str">
        <f>'Other Costs'!$DH160</f>
        <v/>
      </c>
      <c r="AF408" s="53" t="str">
        <f>'Other Costs'!$DI160</f>
        <v/>
      </c>
      <c r="AG408" s="1009">
        <f>'Other Costs'!$DJ160</f>
        <v>0</v>
      </c>
      <c r="AH408" s="1009">
        <f>'Other Costs'!$DK160</f>
        <v>0</v>
      </c>
      <c r="AI408" s="1009">
        <f>'Other Costs'!$DL160</f>
        <v>0</v>
      </c>
      <c r="AJ408" s="1009">
        <f>'Other Costs'!$DM160</f>
        <v>0</v>
      </c>
      <c r="AK408" s="1009">
        <f>'Other Costs'!$DN160</f>
        <v>0</v>
      </c>
      <c r="AL408" s="1009">
        <f>'Other Costs'!$DO160</f>
        <v>0</v>
      </c>
      <c r="AM408" s="1007">
        <v>0</v>
      </c>
      <c r="AN408" s="1007">
        <v>0</v>
      </c>
      <c r="AO408" s="1007">
        <v>0</v>
      </c>
      <c r="AP408" s="1007">
        <v>0</v>
      </c>
      <c r="AQ408" s="1007">
        <v>0</v>
      </c>
      <c r="AR408" s="1016">
        <f t="shared" si="17"/>
        <v>0</v>
      </c>
    </row>
    <row r="409" spans="2:44" ht="15" customHeight="1">
      <c r="B409" s="2"/>
      <c r="C409"/>
      <c r="D409"/>
      <c r="E409"/>
      <c r="F409"/>
      <c r="G409"/>
      <c r="H409"/>
      <c r="I409"/>
      <c r="J409"/>
      <c r="K409"/>
      <c r="L409"/>
      <c r="M409"/>
      <c r="N409"/>
      <c r="O409"/>
      <c r="P409"/>
      <c r="Q409"/>
      <c r="AA409" s="1686"/>
      <c r="AB409" s="53" t="str">
        <f>'Other Costs'!$DE161</f>
        <v/>
      </c>
      <c r="AC409" s="53" t="str">
        <f>'Other Costs'!$DF161</f>
        <v/>
      </c>
      <c r="AD409" s="53" t="str">
        <f>'Other Costs'!$DG161</f>
        <v/>
      </c>
      <c r="AE409" s="53" t="str">
        <f>'Other Costs'!$DH161</f>
        <v/>
      </c>
      <c r="AF409" s="53" t="str">
        <f>'Other Costs'!$DI161</f>
        <v/>
      </c>
      <c r="AG409" s="1009">
        <f>'Other Costs'!$DJ161</f>
        <v>0</v>
      </c>
      <c r="AH409" s="1009">
        <f>'Other Costs'!$DK161</f>
        <v>0</v>
      </c>
      <c r="AI409" s="1009">
        <f>'Other Costs'!$DL161</f>
        <v>0</v>
      </c>
      <c r="AJ409" s="1009">
        <f>'Other Costs'!$DM161</f>
        <v>0</v>
      </c>
      <c r="AK409" s="1009">
        <f>'Other Costs'!$DN161</f>
        <v>0</v>
      </c>
      <c r="AL409" s="1009">
        <f>'Other Costs'!$DO161</f>
        <v>0</v>
      </c>
      <c r="AM409" s="1007">
        <v>0</v>
      </c>
      <c r="AN409" s="1007">
        <v>0</v>
      </c>
      <c r="AO409" s="1007">
        <v>0</v>
      </c>
      <c r="AP409" s="1007">
        <v>0</v>
      </c>
      <c r="AQ409" s="1007">
        <v>0</v>
      </c>
      <c r="AR409" s="1016">
        <f t="shared" si="17"/>
        <v>0</v>
      </c>
    </row>
    <row r="410" spans="2:44" ht="15" customHeight="1">
      <c r="B410" s="2"/>
      <c r="C410"/>
      <c r="D410"/>
      <c r="E410"/>
      <c r="F410"/>
      <c r="G410"/>
      <c r="H410"/>
      <c r="I410"/>
      <c r="J410"/>
      <c r="K410"/>
      <c r="L410"/>
      <c r="M410"/>
      <c r="N410"/>
      <c r="O410"/>
      <c r="P410"/>
      <c r="Q410"/>
      <c r="AA410" s="1686"/>
      <c r="AB410" s="53" t="str">
        <f>'Other Costs'!$DE162</f>
        <v/>
      </c>
      <c r="AC410" s="53" t="str">
        <f>'Other Costs'!$DF162</f>
        <v/>
      </c>
      <c r="AD410" s="53" t="str">
        <f>'Other Costs'!$DG162</f>
        <v/>
      </c>
      <c r="AE410" s="53" t="str">
        <f>'Other Costs'!$DH162</f>
        <v/>
      </c>
      <c r="AF410" s="53" t="str">
        <f>'Other Costs'!$DI162</f>
        <v/>
      </c>
      <c r="AG410" s="1009">
        <f>'Other Costs'!$DJ162</f>
        <v>0</v>
      </c>
      <c r="AH410" s="1009">
        <f>'Other Costs'!$DK162</f>
        <v>0</v>
      </c>
      <c r="AI410" s="1009">
        <f>'Other Costs'!$DL162</f>
        <v>0</v>
      </c>
      <c r="AJ410" s="1009">
        <f>'Other Costs'!$DM162</f>
        <v>0</v>
      </c>
      <c r="AK410" s="1009">
        <f>'Other Costs'!$DN162</f>
        <v>0</v>
      </c>
      <c r="AL410" s="1009">
        <f>'Other Costs'!$DO162</f>
        <v>0</v>
      </c>
      <c r="AM410" s="1007">
        <v>0</v>
      </c>
      <c r="AN410" s="1007">
        <v>0</v>
      </c>
      <c r="AO410" s="1007">
        <v>0</v>
      </c>
      <c r="AP410" s="1007">
        <v>0</v>
      </c>
      <c r="AQ410" s="1007">
        <v>0</v>
      </c>
      <c r="AR410" s="1016">
        <f t="shared" si="17"/>
        <v>0</v>
      </c>
    </row>
    <row r="411" spans="2:44" ht="15" customHeight="1">
      <c r="B411" s="2"/>
      <c r="C411"/>
      <c r="D411"/>
      <c r="E411"/>
      <c r="F411"/>
      <c r="G411"/>
      <c r="H411"/>
      <c r="I411"/>
      <c r="J411"/>
      <c r="K411"/>
      <c r="L411"/>
      <c r="M411"/>
      <c r="N411"/>
      <c r="O411"/>
      <c r="P411"/>
      <c r="Q411"/>
      <c r="AA411" s="1686"/>
      <c r="AB411" s="53" t="str">
        <f>'Other Costs'!$DE163</f>
        <v/>
      </c>
      <c r="AC411" s="53" t="str">
        <f>'Other Costs'!$DF163</f>
        <v/>
      </c>
      <c r="AD411" s="53" t="str">
        <f>'Other Costs'!$DG163</f>
        <v/>
      </c>
      <c r="AE411" s="53" t="str">
        <f>'Other Costs'!$DH163</f>
        <v/>
      </c>
      <c r="AF411" s="53" t="str">
        <f>'Other Costs'!$DI163</f>
        <v/>
      </c>
      <c r="AG411" s="1009">
        <f>'Other Costs'!$DJ163</f>
        <v>0</v>
      </c>
      <c r="AH411" s="1009">
        <f>'Other Costs'!$DK163</f>
        <v>0</v>
      </c>
      <c r="AI411" s="1009">
        <f>'Other Costs'!$DL163</f>
        <v>0</v>
      </c>
      <c r="AJ411" s="1009">
        <f>'Other Costs'!$DM163</f>
        <v>0</v>
      </c>
      <c r="AK411" s="1009">
        <f>'Other Costs'!$DN163</f>
        <v>0</v>
      </c>
      <c r="AL411" s="1009">
        <f>'Other Costs'!$DO163</f>
        <v>0</v>
      </c>
      <c r="AM411" s="1007">
        <v>0</v>
      </c>
      <c r="AN411" s="1007">
        <v>0</v>
      </c>
      <c r="AO411" s="1007">
        <v>0</v>
      </c>
      <c r="AP411" s="1007">
        <v>0</v>
      </c>
      <c r="AQ411" s="1007">
        <v>0</v>
      </c>
      <c r="AR411" s="1016">
        <f t="shared" si="17"/>
        <v>0</v>
      </c>
    </row>
    <row r="412" spans="2:44" ht="15" customHeight="1">
      <c r="B412" s="2"/>
      <c r="C412"/>
      <c r="D412"/>
      <c r="E412"/>
      <c r="F412"/>
      <c r="G412"/>
      <c r="H412"/>
      <c r="I412"/>
      <c r="J412"/>
      <c r="K412"/>
      <c r="L412"/>
      <c r="M412"/>
      <c r="N412"/>
      <c r="O412"/>
      <c r="P412"/>
      <c r="Q412"/>
      <c r="AA412" s="1686"/>
      <c r="AB412" s="53" t="str">
        <f>'Other Costs'!$DE164</f>
        <v/>
      </c>
      <c r="AC412" s="53" t="str">
        <f>'Other Costs'!$DF164</f>
        <v/>
      </c>
      <c r="AD412" s="53" t="str">
        <f>'Other Costs'!$DG164</f>
        <v/>
      </c>
      <c r="AE412" s="53" t="str">
        <f>'Other Costs'!$DH164</f>
        <v/>
      </c>
      <c r="AF412" s="53" t="str">
        <f>'Other Costs'!$DI164</f>
        <v/>
      </c>
      <c r="AG412" s="1009">
        <f>'Other Costs'!$DJ164</f>
        <v>0</v>
      </c>
      <c r="AH412" s="1009">
        <f>'Other Costs'!$DK164</f>
        <v>0</v>
      </c>
      <c r="AI412" s="1009">
        <f>'Other Costs'!$DL164</f>
        <v>0</v>
      </c>
      <c r="AJ412" s="1009">
        <f>'Other Costs'!$DM164</f>
        <v>0</v>
      </c>
      <c r="AK412" s="1009">
        <f>'Other Costs'!$DN164</f>
        <v>0</v>
      </c>
      <c r="AL412" s="1009">
        <f>'Other Costs'!$DO164</f>
        <v>0</v>
      </c>
      <c r="AM412" s="1007">
        <v>0</v>
      </c>
      <c r="AN412" s="1007">
        <v>0</v>
      </c>
      <c r="AO412" s="1007">
        <v>0</v>
      </c>
      <c r="AP412" s="1007">
        <v>0</v>
      </c>
      <c r="AQ412" s="1007">
        <v>0</v>
      </c>
      <c r="AR412" s="1016">
        <f t="shared" si="17"/>
        <v>0</v>
      </c>
    </row>
    <row r="413" spans="2:44" ht="15" customHeight="1">
      <c r="B413" s="2"/>
      <c r="C413"/>
      <c r="D413"/>
      <c r="E413"/>
      <c r="F413"/>
      <c r="G413"/>
      <c r="H413"/>
      <c r="I413"/>
      <c r="J413"/>
      <c r="K413"/>
      <c r="L413"/>
      <c r="M413"/>
      <c r="N413"/>
      <c r="O413"/>
      <c r="P413"/>
      <c r="Q413"/>
      <c r="AA413" s="1686"/>
      <c r="AB413" s="53" t="str">
        <f>'Other Costs'!$DE165</f>
        <v/>
      </c>
      <c r="AC413" s="53" t="str">
        <f>'Other Costs'!$DF165</f>
        <v/>
      </c>
      <c r="AD413" s="53" t="str">
        <f>'Other Costs'!$DG165</f>
        <v/>
      </c>
      <c r="AE413" s="53" t="str">
        <f>'Other Costs'!$DH165</f>
        <v/>
      </c>
      <c r="AF413" s="53" t="str">
        <f>'Other Costs'!$DI165</f>
        <v/>
      </c>
      <c r="AG413" s="1009">
        <f>'Other Costs'!$DJ165</f>
        <v>0</v>
      </c>
      <c r="AH413" s="1009">
        <f>'Other Costs'!$DK165</f>
        <v>0</v>
      </c>
      <c r="AI413" s="1009">
        <f>'Other Costs'!$DL165</f>
        <v>0</v>
      </c>
      <c r="AJ413" s="1009">
        <f>'Other Costs'!$DM165</f>
        <v>0</v>
      </c>
      <c r="AK413" s="1009">
        <f>'Other Costs'!$DN165</f>
        <v>0</v>
      </c>
      <c r="AL413" s="1009">
        <f>'Other Costs'!$DO165</f>
        <v>0</v>
      </c>
      <c r="AM413" s="1007">
        <v>0</v>
      </c>
      <c r="AN413" s="1007">
        <v>0</v>
      </c>
      <c r="AO413" s="1007">
        <v>0</v>
      </c>
      <c r="AP413" s="1007">
        <v>0</v>
      </c>
      <c r="AQ413" s="1007">
        <v>0</v>
      </c>
      <c r="AR413" s="1016">
        <f t="shared" si="17"/>
        <v>0</v>
      </c>
    </row>
    <row r="414" spans="2:44" ht="15" customHeight="1">
      <c r="B414" s="2"/>
      <c r="C414"/>
      <c r="D414"/>
      <c r="E414"/>
      <c r="F414"/>
      <c r="G414"/>
      <c r="H414"/>
      <c r="I414"/>
      <c r="J414"/>
      <c r="K414"/>
      <c r="L414"/>
      <c r="M414"/>
      <c r="N414"/>
      <c r="O414"/>
      <c r="P414"/>
      <c r="Q414"/>
      <c r="AA414" s="1686"/>
      <c r="AB414" s="53" t="str">
        <f>'Other Costs'!$DE166</f>
        <v/>
      </c>
      <c r="AC414" s="53" t="str">
        <f>'Other Costs'!$DF166</f>
        <v/>
      </c>
      <c r="AD414" s="53" t="str">
        <f>'Other Costs'!$DG166</f>
        <v/>
      </c>
      <c r="AE414" s="53" t="str">
        <f>'Other Costs'!$DH166</f>
        <v/>
      </c>
      <c r="AF414" s="53" t="str">
        <f>'Other Costs'!$DI166</f>
        <v/>
      </c>
      <c r="AG414" s="1009">
        <f>'Other Costs'!$DJ166</f>
        <v>0</v>
      </c>
      <c r="AH414" s="1009">
        <f>'Other Costs'!$DK166</f>
        <v>0</v>
      </c>
      <c r="AI414" s="1009">
        <f>'Other Costs'!$DL166</f>
        <v>0</v>
      </c>
      <c r="AJ414" s="1009">
        <f>'Other Costs'!$DM166</f>
        <v>0</v>
      </c>
      <c r="AK414" s="1009">
        <f>'Other Costs'!$DN166</f>
        <v>0</v>
      </c>
      <c r="AL414" s="1009">
        <f>'Other Costs'!$DO166</f>
        <v>0</v>
      </c>
      <c r="AM414" s="1007">
        <v>0</v>
      </c>
      <c r="AN414" s="1007">
        <v>0</v>
      </c>
      <c r="AO414" s="1007">
        <v>0</v>
      </c>
      <c r="AP414" s="1007">
        <v>0</v>
      </c>
      <c r="AQ414" s="1007">
        <v>0</v>
      </c>
      <c r="AR414" s="1016">
        <f t="shared" si="17"/>
        <v>0</v>
      </c>
    </row>
    <row r="415" spans="2:44" ht="15" customHeight="1" thickBot="1">
      <c r="B415" s="2"/>
      <c r="C415"/>
      <c r="D415"/>
      <c r="E415"/>
      <c r="F415"/>
      <c r="G415"/>
      <c r="H415"/>
      <c r="I415"/>
      <c r="J415"/>
      <c r="K415"/>
      <c r="L415"/>
      <c r="M415"/>
      <c r="N415"/>
      <c r="O415"/>
      <c r="P415"/>
      <c r="Q415"/>
      <c r="AA415" s="1687"/>
      <c r="AB415" s="1010" t="str">
        <f>'Other Costs'!$DE167</f>
        <v/>
      </c>
      <c r="AC415" s="1011" t="str">
        <f>'Other Costs'!$DF167</f>
        <v/>
      </c>
      <c r="AD415" s="1011" t="str">
        <f>'Other Costs'!$DG167</f>
        <v/>
      </c>
      <c r="AE415" s="1011" t="str">
        <f>'Other Costs'!$DH167</f>
        <v/>
      </c>
      <c r="AF415" s="1011" t="str">
        <f>'Other Costs'!$DI167</f>
        <v/>
      </c>
      <c r="AG415" s="1012">
        <f>'Other Costs'!$DJ167</f>
        <v>0</v>
      </c>
      <c r="AH415" s="1012">
        <f>'Other Costs'!$DK167</f>
        <v>0</v>
      </c>
      <c r="AI415" s="1012">
        <f>'Other Costs'!$DL167</f>
        <v>0</v>
      </c>
      <c r="AJ415" s="1012">
        <f>'Other Costs'!$DM167</f>
        <v>0</v>
      </c>
      <c r="AK415" s="1012">
        <f>'Other Costs'!$DN167</f>
        <v>0</v>
      </c>
      <c r="AL415" s="1012">
        <f>'Other Costs'!$DO167</f>
        <v>0</v>
      </c>
      <c r="AM415" s="1007">
        <v>0</v>
      </c>
      <c r="AN415" s="1007">
        <v>0</v>
      </c>
      <c r="AO415" s="1007">
        <v>0</v>
      </c>
      <c r="AP415" s="1007">
        <v>0</v>
      </c>
      <c r="AQ415" s="1007">
        <v>0</v>
      </c>
      <c r="AR415" s="1017">
        <f t="shared" si="17"/>
        <v>0</v>
      </c>
    </row>
    <row r="416" spans="2:44" ht="15" thickTop="1">
      <c r="B416" s="2"/>
      <c r="C416"/>
      <c r="D416"/>
      <c r="E416"/>
      <c r="F416"/>
      <c r="G416"/>
      <c r="H416"/>
      <c r="I416"/>
      <c r="J416"/>
      <c r="K416"/>
      <c r="L416"/>
      <c r="M416"/>
      <c r="N416"/>
      <c r="O416"/>
      <c r="P416"/>
      <c r="Q416"/>
      <c r="AA416" s="1688" t="str">
        <f>CONCATENATE("RTB for Service Transition by Fiscal Year (",Variables!$C$4,"M)")</f>
        <v>RTB for Service Transition by Fiscal Year ($M)</v>
      </c>
      <c r="AB416" s="962" t="str">
        <f>'RTB for Srvc Trans'!Q24</f>
        <v/>
      </c>
      <c r="AC416" s="962" t="str">
        <f>'RTB for Srvc Trans'!R24</f>
        <v>Ongoing Costs</v>
      </c>
      <c r="AD416" s="962" t="str">
        <f>'RTB for Srvc Trans'!S24</f>
        <v>App Support - IBM</v>
      </c>
      <c r="AE416" s="962" t="str">
        <f>'RTB for Srvc Trans'!T24</f>
        <v/>
      </c>
      <c r="AF416" s="962" t="str">
        <f>'RTB for Srvc Trans'!U24</f>
        <v>RTB</v>
      </c>
      <c r="AG416" s="1008">
        <f>IF(ISNA(INDEX('RTB for Srvc Trans'!$V24:$Z24,MATCH('Individual FTC Cost View'!AG$1,'RTB for Srvc Trans'!$V$23:$Z$23,0))),0,INDEX('RTB for Srvc Trans'!$V24:$Z24,MATCH('Individual FTC Cost View'!AG$1,'RTB for Srvc Trans'!$V$23:$Z$23,0)))</f>
        <v>0</v>
      </c>
      <c r="AH416" s="1008">
        <f>IF(ISNA(INDEX('RTB for Srvc Trans'!$V24:$Z24,MATCH('Individual FTC Cost View'!AH$1,'RTB for Srvc Trans'!$V$23:$Z$23,0))),0,INDEX('RTB for Srvc Trans'!$V24:$Z24,MATCH('Individual FTC Cost View'!AH$1,'RTB for Srvc Trans'!$V$23:$Z$23,0)))</f>
        <v>0</v>
      </c>
      <c r="AI416" s="1008">
        <f>IF(ISNA(INDEX('RTB for Srvc Trans'!$V24:$Z24,MATCH('Individual FTC Cost View'!AI$1,'RTB for Srvc Trans'!$V$23:$Z$23,0))),0,INDEX('RTB for Srvc Trans'!$V24:$Z24,MATCH('Individual FTC Cost View'!AI$1,'RTB for Srvc Trans'!$V$23:$Z$23,0)))</f>
        <v>0</v>
      </c>
      <c r="AJ416" s="1008">
        <f>IF(ISNA(INDEX('RTB for Srvc Trans'!$V24:$Z24,MATCH('Individual FTC Cost View'!AJ$1,'RTB for Srvc Trans'!$V$23:$Z$23,0))),0,INDEX('RTB for Srvc Trans'!$V24:$Z24,MATCH('Individual FTC Cost View'!AJ$1,'RTB for Srvc Trans'!$V$23:$Z$23,0)))</f>
        <v>0</v>
      </c>
      <c r="AK416" s="1008">
        <f>IF(ISNA(INDEX('RTB for Srvc Trans'!$V24:$Z24,MATCH('Individual FTC Cost View'!AK$1,'RTB for Srvc Trans'!$V$23:$Z$23,0))),0,INDEX('RTB for Srvc Trans'!$V24:$Z24,MATCH('Individual FTC Cost View'!AK$1,'RTB for Srvc Trans'!$V$23:$Z$23,0)))</f>
        <v>0</v>
      </c>
      <c r="AL416" s="1008">
        <f>IF(ISNA(INDEX('RTB for Srvc Trans'!$V24:$Z24,MATCH('Individual FTC Cost View'!AL$1,'RTB for Srvc Trans'!$V$23:$Z$23,0))),0,INDEX('RTB for Srvc Trans'!$V24:$Z24,MATCH('Individual FTC Cost View'!AL$1,'RTB for Srvc Trans'!$V$23:$Z$23,0)))</f>
        <v>0</v>
      </c>
      <c r="AM416" s="1008">
        <f>IF(ISNA(INDEX('RTB for Srvc Trans'!$V24:$Z24,MATCH('Individual FTC Cost View'!AM$1,'RTB for Srvc Trans'!$V$23:$Z$23,0))),0,INDEX('RTB for Srvc Trans'!$V24:$Z24,MATCH('Individual FTC Cost View'!AM$1,'RTB for Srvc Trans'!$V$23:$Z$23,0)))</f>
        <v>0</v>
      </c>
      <c r="AN416" s="1008">
        <f>IF(ISNA(INDEX('RTB for Srvc Trans'!$V24:$Z24,MATCH('Individual FTC Cost View'!AN$1,'RTB for Srvc Trans'!$V$23:$Z$23,0))),0,INDEX('RTB for Srvc Trans'!$V24:$Z24,MATCH('Individual FTC Cost View'!AN$1,'RTB for Srvc Trans'!$V$23:$Z$23,0)))</f>
        <v>0</v>
      </c>
      <c r="AO416" s="1008">
        <f>IF(ISNA(INDEX('RTB for Srvc Trans'!$V24:$Z24,MATCH('Individual FTC Cost View'!AO$1,'RTB for Srvc Trans'!$V$23:$Z$23,0))),0,INDEX('RTB for Srvc Trans'!$V24:$Z24,MATCH('Individual FTC Cost View'!AO$1,'RTB for Srvc Trans'!$V$23:$Z$23,0)))</f>
        <v>0</v>
      </c>
      <c r="AP416" s="1008">
        <f>IF(ISNA(INDEX('RTB for Srvc Trans'!$V24:$Z24,MATCH('Individual FTC Cost View'!AP$1,'RTB for Srvc Trans'!$V$23:$Z$23,0))),0,INDEX('RTB for Srvc Trans'!$V24:$Z24,MATCH('Individual FTC Cost View'!AP$1,'RTB for Srvc Trans'!$V$23:$Z$23,0)))</f>
        <v>0</v>
      </c>
      <c r="AQ416" s="1008">
        <f>IF(ISNA(INDEX('RTB for Srvc Trans'!$V24:$Z24,MATCH('Individual FTC Cost View'!AQ$1,'RTB for Srvc Trans'!$V$23:$Z$23,0))),0,INDEX('RTB for Srvc Trans'!$V24:$Z24,MATCH('Individual FTC Cost View'!AQ$1,'RTB for Srvc Trans'!$V$23:$Z$23,0)))</f>
        <v>0</v>
      </c>
      <c r="AR416" s="1018">
        <f t="shared" si="17"/>
        <v>0</v>
      </c>
    </row>
    <row r="417" spans="2:44" ht="15" customHeight="1">
      <c r="B417" s="2"/>
      <c r="C417"/>
      <c r="D417"/>
      <c r="E417"/>
      <c r="F417"/>
      <c r="G417"/>
      <c r="H417"/>
      <c r="I417"/>
      <c r="J417"/>
      <c r="K417"/>
      <c r="L417"/>
      <c r="M417"/>
      <c r="N417"/>
      <c r="O417"/>
      <c r="P417"/>
      <c r="Q417"/>
      <c r="AA417" s="1689"/>
      <c r="AB417" s="962" t="str">
        <f>'RTB for Srvc Trans'!Q25</f>
        <v/>
      </c>
      <c r="AC417" s="962" t="str">
        <f>'RTB for Srvc Trans'!R25</f>
        <v>Ongoing Costs</v>
      </c>
      <c r="AD417" s="962" t="str">
        <f>'RTB for Srvc Trans'!S25</f>
        <v>App Support - Wipro</v>
      </c>
      <c r="AE417" s="962" t="str">
        <f>'RTB for Srvc Trans'!T25</f>
        <v/>
      </c>
      <c r="AF417" s="962" t="str">
        <f>'RTB for Srvc Trans'!U25</f>
        <v>RTB</v>
      </c>
      <c r="AG417" s="1008">
        <f>IF(ISNA(INDEX('RTB for Srvc Trans'!$V25:$Z25,MATCH('Individual FTC Cost View'!AG$1,'RTB for Srvc Trans'!$V$23:$Z$23,0))),0,INDEX('RTB for Srvc Trans'!$V25:$Z25,MATCH('Individual FTC Cost View'!AG$1,'RTB for Srvc Trans'!$V$23:$Z$23,0)))</f>
        <v>0</v>
      </c>
      <c r="AH417" s="1008">
        <f>IF(ISNA(INDEX('RTB for Srvc Trans'!$V25:$Z25,MATCH('Individual FTC Cost View'!AH$1,'RTB for Srvc Trans'!$V$23:$Z$23,0))),0,INDEX('RTB for Srvc Trans'!$V25:$Z25,MATCH('Individual FTC Cost View'!AH$1,'RTB for Srvc Trans'!$V$23:$Z$23,0)))</f>
        <v>0</v>
      </c>
      <c r="AI417" s="1008">
        <f>IF(ISNA(INDEX('RTB for Srvc Trans'!$V25:$Z25,MATCH('Individual FTC Cost View'!AI$1,'RTB for Srvc Trans'!$V$23:$Z$23,0))),0,INDEX('RTB for Srvc Trans'!$V25:$Z25,MATCH('Individual FTC Cost View'!AI$1,'RTB for Srvc Trans'!$V$23:$Z$23,0)))</f>
        <v>0</v>
      </c>
      <c r="AJ417" s="1008">
        <f>IF(ISNA(INDEX('RTB for Srvc Trans'!$V25:$Z25,MATCH('Individual FTC Cost View'!AJ$1,'RTB for Srvc Trans'!$V$23:$Z$23,0))),0,INDEX('RTB for Srvc Trans'!$V25:$Z25,MATCH('Individual FTC Cost View'!AJ$1,'RTB for Srvc Trans'!$V$23:$Z$23,0)))</f>
        <v>0</v>
      </c>
      <c r="AK417" s="1008">
        <f>IF(ISNA(INDEX('RTB for Srvc Trans'!$V25:$Z25,MATCH('Individual FTC Cost View'!AK$1,'RTB for Srvc Trans'!$V$23:$Z$23,0))),0,INDEX('RTB for Srvc Trans'!$V25:$Z25,MATCH('Individual FTC Cost View'!AK$1,'RTB for Srvc Trans'!$V$23:$Z$23,0)))</f>
        <v>0</v>
      </c>
      <c r="AL417" s="1008">
        <f>IF(ISNA(INDEX('RTB for Srvc Trans'!$V25:$Z25,MATCH('Individual FTC Cost View'!AL$1,'RTB for Srvc Trans'!$V$23:$Z$23,0))),0,INDEX('RTB for Srvc Trans'!$V25:$Z25,MATCH('Individual FTC Cost View'!AL$1,'RTB for Srvc Trans'!$V$23:$Z$23,0)))</f>
        <v>0</v>
      </c>
      <c r="AM417" s="1008">
        <f>IF(ISNA(INDEX('RTB for Srvc Trans'!$V25:$Z25,MATCH('Individual FTC Cost View'!AM$1,'RTB for Srvc Trans'!$V$23:$Z$23,0))),0,INDEX('RTB for Srvc Trans'!$V25:$Z25,MATCH('Individual FTC Cost View'!AM$1,'RTB for Srvc Trans'!$V$23:$Z$23,0)))</f>
        <v>0</v>
      </c>
      <c r="AN417" s="1008">
        <f>IF(ISNA(INDEX('RTB for Srvc Trans'!$V25:$Z25,MATCH('Individual FTC Cost View'!AN$1,'RTB for Srvc Trans'!$V$23:$Z$23,0))),0,INDEX('RTB for Srvc Trans'!$V25:$Z25,MATCH('Individual FTC Cost View'!AN$1,'RTB for Srvc Trans'!$V$23:$Z$23,0)))</f>
        <v>0</v>
      </c>
      <c r="AO417" s="1008">
        <f>IF(ISNA(INDEX('RTB for Srvc Trans'!$V25:$Z25,MATCH('Individual FTC Cost View'!AO$1,'RTB for Srvc Trans'!$V$23:$Z$23,0))),0,INDEX('RTB for Srvc Trans'!$V25:$Z25,MATCH('Individual FTC Cost View'!AO$1,'RTB for Srvc Trans'!$V$23:$Z$23,0)))</f>
        <v>0</v>
      </c>
      <c r="AP417" s="1008">
        <f>IF(ISNA(INDEX('RTB for Srvc Trans'!$V25:$Z25,MATCH('Individual FTC Cost View'!AP$1,'RTB for Srvc Trans'!$V$23:$Z$23,0))),0,INDEX('RTB for Srvc Trans'!$V25:$Z25,MATCH('Individual FTC Cost View'!AP$1,'RTB for Srvc Trans'!$V$23:$Z$23,0)))</f>
        <v>0</v>
      </c>
      <c r="AQ417" s="1008">
        <f>IF(ISNA(INDEX('RTB for Srvc Trans'!$V25:$Z25,MATCH('Individual FTC Cost View'!AQ$1,'RTB for Srvc Trans'!$V$23:$Z$23,0))),0,INDEX('RTB for Srvc Trans'!$V25:$Z25,MATCH('Individual FTC Cost View'!AQ$1,'RTB for Srvc Trans'!$V$23:$Z$23,0)))</f>
        <v>0</v>
      </c>
      <c r="AR417" s="1016">
        <f t="shared" si="17"/>
        <v>0</v>
      </c>
    </row>
    <row r="418" spans="2:44" ht="15" customHeight="1">
      <c r="B418" s="2"/>
      <c r="C418"/>
      <c r="D418"/>
      <c r="E418"/>
      <c r="F418"/>
      <c r="G418"/>
      <c r="H418"/>
      <c r="I418"/>
      <c r="J418"/>
      <c r="K418"/>
      <c r="L418"/>
      <c r="M418"/>
      <c r="N418"/>
      <c r="O418"/>
      <c r="P418"/>
      <c r="Q418"/>
      <c r="AA418" s="1689"/>
      <c r="AB418" s="962" t="str">
        <f>'RTB for Srvc Trans'!Q26</f>
        <v/>
      </c>
      <c r="AC418" s="962" t="str">
        <f>'RTB for Srvc Trans'!R26</f>
        <v>Ongoing Costs</v>
      </c>
      <c r="AD418" s="962" t="str">
        <f>'RTB for Srvc Trans'!S26</f>
        <v>App Support - TCS</v>
      </c>
      <c r="AE418" s="962" t="str">
        <f>'RTB for Srvc Trans'!T26</f>
        <v/>
      </c>
      <c r="AF418" s="962" t="str">
        <f>'RTB for Srvc Trans'!U26</f>
        <v>RTB</v>
      </c>
      <c r="AG418" s="1008">
        <f>IF(ISNA(INDEX('RTB for Srvc Trans'!$V26:$Z26,MATCH('Individual FTC Cost View'!AG$1,'RTB for Srvc Trans'!$V$23:$Z$23,0))),0,INDEX('RTB for Srvc Trans'!$V26:$Z26,MATCH('Individual FTC Cost View'!AG$1,'RTB for Srvc Trans'!$V$23:$Z$23,0)))</f>
        <v>0</v>
      </c>
      <c r="AH418" s="1008">
        <f>IF(ISNA(INDEX('RTB for Srvc Trans'!$V26:$Z26,MATCH('Individual FTC Cost View'!AH$1,'RTB for Srvc Trans'!$V$23:$Z$23,0))),0,INDEX('RTB for Srvc Trans'!$V26:$Z26,MATCH('Individual FTC Cost View'!AH$1,'RTB for Srvc Trans'!$V$23:$Z$23,0)))</f>
        <v>0</v>
      </c>
      <c r="AI418" s="1008">
        <f>IF(ISNA(INDEX('RTB for Srvc Trans'!$V26:$Z26,MATCH('Individual FTC Cost View'!AI$1,'RTB for Srvc Trans'!$V$23:$Z$23,0))),0,INDEX('RTB for Srvc Trans'!$V26:$Z26,MATCH('Individual FTC Cost View'!AI$1,'RTB for Srvc Trans'!$V$23:$Z$23,0)))</f>
        <v>0</v>
      </c>
      <c r="AJ418" s="1008">
        <f>IF(ISNA(INDEX('RTB for Srvc Trans'!$V26:$Z26,MATCH('Individual FTC Cost View'!AJ$1,'RTB for Srvc Trans'!$V$23:$Z$23,0))),0,INDEX('RTB for Srvc Trans'!$V26:$Z26,MATCH('Individual FTC Cost View'!AJ$1,'RTB for Srvc Trans'!$V$23:$Z$23,0)))</f>
        <v>0</v>
      </c>
      <c r="AK418" s="1008">
        <f>IF(ISNA(INDEX('RTB for Srvc Trans'!$V26:$Z26,MATCH('Individual FTC Cost View'!AK$1,'RTB for Srvc Trans'!$V$23:$Z$23,0))),0,INDEX('RTB for Srvc Trans'!$V26:$Z26,MATCH('Individual FTC Cost View'!AK$1,'RTB for Srvc Trans'!$V$23:$Z$23,0)))</f>
        <v>0</v>
      </c>
      <c r="AL418" s="1008">
        <f>IF(ISNA(INDEX('RTB for Srvc Trans'!$V26:$Z26,MATCH('Individual FTC Cost View'!AL$1,'RTB for Srvc Trans'!$V$23:$Z$23,0))),0,INDEX('RTB for Srvc Trans'!$V26:$Z26,MATCH('Individual FTC Cost View'!AL$1,'RTB for Srvc Trans'!$V$23:$Z$23,0)))</f>
        <v>0</v>
      </c>
      <c r="AM418" s="1008">
        <f>IF(ISNA(INDEX('RTB for Srvc Trans'!$V26:$Z26,MATCH('Individual FTC Cost View'!AM$1,'RTB for Srvc Trans'!$V$23:$Z$23,0))),0,INDEX('RTB for Srvc Trans'!$V26:$Z26,MATCH('Individual FTC Cost View'!AM$1,'RTB for Srvc Trans'!$V$23:$Z$23,0)))</f>
        <v>0</v>
      </c>
      <c r="AN418" s="1008">
        <f>IF(ISNA(INDEX('RTB for Srvc Trans'!$V26:$Z26,MATCH('Individual FTC Cost View'!AN$1,'RTB for Srvc Trans'!$V$23:$Z$23,0))),0,INDEX('RTB for Srvc Trans'!$V26:$Z26,MATCH('Individual FTC Cost View'!AN$1,'RTB for Srvc Trans'!$V$23:$Z$23,0)))</f>
        <v>0</v>
      </c>
      <c r="AO418" s="1008">
        <f>IF(ISNA(INDEX('RTB for Srvc Trans'!$V26:$Z26,MATCH('Individual FTC Cost View'!AO$1,'RTB for Srvc Trans'!$V$23:$Z$23,0))),0,INDEX('RTB for Srvc Trans'!$V26:$Z26,MATCH('Individual FTC Cost View'!AO$1,'RTB for Srvc Trans'!$V$23:$Z$23,0)))</f>
        <v>0</v>
      </c>
      <c r="AP418" s="1008">
        <f>IF(ISNA(INDEX('RTB for Srvc Trans'!$V26:$Z26,MATCH('Individual FTC Cost View'!AP$1,'RTB for Srvc Trans'!$V$23:$Z$23,0))),0,INDEX('RTB for Srvc Trans'!$V26:$Z26,MATCH('Individual FTC Cost View'!AP$1,'RTB for Srvc Trans'!$V$23:$Z$23,0)))</f>
        <v>0</v>
      </c>
      <c r="AQ418" s="1008">
        <f>IF(ISNA(INDEX('RTB for Srvc Trans'!$V26:$Z26,MATCH('Individual FTC Cost View'!AQ$1,'RTB for Srvc Trans'!$V$23:$Z$23,0))),0,INDEX('RTB for Srvc Trans'!$V26:$Z26,MATCH('Individual FTC Cost View'!AQ$1,'RTB for Srvc Trans'!$V$23:$Z$23,0)))</f>
        <v>0</v>
      </c>
      <c r="AR418" s="1016">
        <f t="shared" si="17"/>
        <v>0</v>
      </c>
    </row>
    <row r="419" spans="2:44" ht="15" customHeight="1">
      <c r="B419" s="2"/>
      <c r="C419"/>
      <c r="D419"/>
      <c r="E419"/>
      <c r="F419"/>
      <c r="G419"/>
      <c r="H419"/>
      <c r="I419"/>
      <c r="J419"/>
      <c r="K419"/>
      <c r="L419"/>
      <c r="M419"/>
      <c r="N419"/>
      <c r="O419"/>
      <c r="P419"/>
      <c r="Q419"/>
      <c r="AA419" s="1689"/>
      <c r="AB419" s="962" t="str">
        <f>'RTB for Srvc Trans'!Q27</f>
        <v/>
      </c>
      <c r="AC419" s="962" t="str">
        <f>'RTB for Srvc Trans'!R27</f>
        <v>Ongoing Costs</v>
      </c>
      <c r="AD419" s="962" t="str">
        <f>'RTB for Srvc Trans'!S27</f>
        <v>App Support - Capgemini</v>
      </c>
      <c r="AE419" s="962" t="str">
        <f>'RTB for Srvc Trans'!T27</f>
        <v/>
      </c>
      <c r="AF419" s="962" t="str">
        <f>'RTB for Srvc Trans'!U27</f>
        <v>RTB</v>
      </c>
      <c r="AG419" s="1008">
        <f>IF(ISNA(INDEX('RTB for Srvc Trans'!$V27:$Z27,MATCH('Individual FTC Cost View'!AG$1,'RTB for Srvc Trans'!$V$23:$Z$23,0))),0,INDEX('RTB for Srvc Trans'!$V27:$Z27,MATCH('Individual FTC Cost View'!AG$1,'RTB for Srvc Trans'!$V$23:$Z$23,0)))</f>
        <v>0</v>
      </c>
      <c r="AH419" s="1008">
        <f>IF(ISNA(INDEX('RTB for Srvc Trans'!$V27:$Z27,MATCH('Individual FTC Cost View'!AH$1,'RTB for Srvc Trans'!$V$23:$Z$23,0))),0,INDEX('RTB for Srvc Trans'!$V27:$Z27,MATCH('Individual FTC Cost View'!AH$1,'RTB for Srvc Trans'!$V$23:$Z$23,0)))</f>
        <v>0</v>
      </c>
      <c r="AI419" s="1008">
        <f>IF(ISNA(INDEX('RTB for Srvc Trans'!$V27:$Z27,MATCH('Individual FTC Cost View'!AI$1,'RTB for Srvc Trans'!$V$23:$Z$23,0))),0,INDEX('RTB for Srvc Trans'!$V27:$Z27,MATCH('Individual FTC Cost View'!AI$1,'RTB for Srvc Trans'!$V$23:$Z$23,0)))</f>
        <v>0</v>
      </c>
      <c r="AJ419" s="1008">
        <f>IF(ISNA(INDEX('RTB for Srvc Trans'!$V27:$Z27,MATCH('Individual FTC Cost View'!AJ$1,'RTB for Srvc Trans'!$V$23:$Z$23,0))),0,INDEX('RTB for Srvc Trans'!$V27:$Z27,MATCH('Individual FTC Cost View'!AJ$1,'RTB for Srvc Trans'!$V$23:$Z$23,0)))</f>
        <v>0</v>
      </c>
      <c r="AK419" s="1008">
        <f>IF(ISNA(INDEX('RTB for Srvc Trans'!$V27:$Z27,MATCH('Individual FTC Cost View'!AK$1,'RTB for Srvc Trans'!$V$23:$Z$23,0))),0,INDEX('RTB for Srvc Trans'!$V27:$Z27,MATCH('Individual FTC Cost View'!AK$1,'RTB for Srvc Trans'!$V$23:$Z$23,0)))</f>
        <v>0</v>
      </c>
      <c r="AL419" s="1008">
        <f>IF(ISNA(INDEX('RTB for Srvc Trans'!$V27:$Z27,MATCH('Individual FTC Cost View'!AL$1,'RTB for Srvc Trans'!$V$23:$Z$23,0))),0,INDEX('RTB for Srvc Trans'!$V27:$Z27,MATCH('Individual FTC Cost View'!AL$1,'RTB for Srvc Trans'!$V$23:$Z$23,0)))</f>
        <v>0</v>
      </c>
      <c r="AM419" s="1008">
        <f>IF(ISNA(INDEX('RTB for Srvc Trans'!$V27:$Z27,MATCH('Individual FTC Cost View'!AM$1,'RTB for Srvc Trans'!$V$23:$Z$23,0))),0,INDEX('RTB for Srvc Trans'!$V27:$Z27,MATCH('Individual FTC Cost View'!AM$1,'RTB for Srvc Trans'!$V$23:$Z$23,0)))</f>
        <v>0</v>
      </c>
      <c r="AN419" s="1008">
        <f>IF(ISNA(INDEX('RTB for Srvc Trans'!$V27:$Z27,MATCH('Individual FTC Cost View'!AN$1,'RTB for Srvc Trans'!$V$23:$Z$23,0))),0,INDEX('RTB for Srvc Trans'!$V27:$Z27,MATCH('Individual FTC Cost View'!AN$1,'RTB for Srvc Trans'!$V$23:$Z$23,0)))</f>
        <v>0</v>
      </c>
      <c r="AO419" s="1008">
        <f>IF(ISNA(INDEX('RTB for Srvc Trans'!$V27:$Z27,MATCH('Individual FTC Cost View'!AO$1,'RTB for Srvc Trans'!$V$23:$Z$23,0))),0,INDEX('RTB for Srvc Trans'!$V27:$Z27,MATCH('Individual FTC Cost View'!AO$1,'RTB for Srvc Trans'!$V$23:$Z$23,0)))</f>
        <v>0</v>
      </c>
      <c r="AP419" s="1008">
        <f>IF(ISNA(INDEX('RTB for Srvc Trans'!$V27:$Z27,MATCH('Individual FTC Cost View'!AP$1,'RTB for Srvc Trans'!$V$23:$Z$23,0))),0,INDEX('RTB for Srvc Trans'!$V27:$Z27,MATCH('Individual FTC Cost View'!AP$1,'RTB for Srvc Trans'!$V$23:$Z$23,0)))</f>
        <v>0</v>
      </c>
      <c r="AQ419" s="1008">
        <f>IF(ISNA(INDEX('RTB for Srvc Trans'!$V27:$Z27,MATCH('Individual FTC Cost View'!AQ$1,'RTB for Srvc Trans'!$V$23:$Z$23,0))),0,INDEX('RTB for Srvc Trans'!$V27:$Z27,MATCH('Individual FTC Cost View'!AQ$1,'RTB for Srvc Trans'!$V$23:$Z$23,0)))</f>
        <v>0</v>
      </c>
      <c r="AR419" s="1016">
        <f t="shared" si="17"/>
        <v>0</v>
      </c>
    </row>
    <row r="420" spans="2:44" ht="15" customHeight="1">
      <c r="B420" s="2"/>
      <c r="C420"/>
      <c r="D420"/>
      <c r="E420"/>
      <c r="F420"/>
      <c r="G420"/>
      <c r="H420"/>
      <c r="I420"/>
      <c r="J420"/>
      <c r="K420"/>
      <c r="L420"/>
      <c r="M420"/>
      <c r="N420"/>
      <c r="O420"/>
      <c r="P420"/>
      <c r="Q420"/>
      <c r="AA420" s="1689"/>
      <c r="AB420" s="962" t="str">
        <f>'RTB for Srvc Trans'!Q28</f>
        <v/>
      </c>
      <c r="AC420" s="962" t="str">
        <f>'RTB for Srvc Trans'!R28</f>
        <v>Ongoing Costs</v>
      </c>
      <c r="AD420" s="962" t="str">
        <f>'RTB for Srvc Trans'!S28</f>
        <v>App Support - Other</v>
      </c>
      <c r="AE420" s="962" t="str">
        <f>'RTB for Srvc Trans'!T28</f>
        <v/>
      </c>
      <c r="AF420" s="962" t="str">
        <f>'RTB for Srvc Trans'!U28</f>
        <v>RTB</v>
      </c>
      <c r="AG420" s="1008">
        <f>IF(ISNA(INDEX('RTB for Srvc Trans'!$V28:$Z28,MATCH('Individual FTC Cost View'!AG$1,'RTB for Srvc Trans'!$V$23:$Z$23,0))),0,INDEX('RTB for Srvc Trans'!$V28:$Z28,MATCH('Individual FTC Cost View'!AG$1,'RTB for Srvc Trans'!$V$23:$Z$23,0)))</f>
        <v>0</v>
      </c>
      <c r="AH420" s="1008">
        <f>IF(ISNA(INDEX('RTB for Srvc Trans'!$V28:$Z28,MATCH('Individual FTC Cost View'!AH$1,'RTB for Srvc Trans'!$V$23:$Z$23,0))),0,INDEX('RTB for Srvc Trans'!$V28:$Z28,MATCH('Individual FTC Cost View'!AH$1,'RTB for Srvc Trans'!$V$23:$Z$23,0)))</f>
        <v>0</v>
      </c>
      <c r="AI420" s="1008">
        <f>IF(ISNA(INDEX('RTB for Srvc Trans'!$V28:$Z28,MATCH('Individual FTC Cost View'!AI$1,'RTB for Srvc Trans'!$V$23:$Z$23,0))),0,INDEX('RTB for Srvc Trans'!$V28:$Z28,MATCH('Individual FTC Cost View'!AI$1,'RTB for Srvc Trans'!$V$23:$Z$23,0)))</f>
        <v>0</v>
      </c>
      <c r="AJ420" s="1008">
        <f>IF(ISNA(INDEX('RTB for Srvc Trans'!$V28:$Z28,MATCH('Individual FTC Cost View'!AJ$1,'RTB for Srvc Trans'!$V$23:$Z$23,0))),0,INDEX('RTB for Srvc Trans'!$V28:$Z28,MATCH('Individual FTC Cost View'!AJ$1,'RTB for Srvc Trans'!$V$23:$Z$23,0)))</f>
        <v>0</v>
      </c>
      <c r="AK420" s="1008">
        <f>IF(ISNA(INDEX('RTB for Srvc Trans'!$V28:$Z28,MATCH('Individual FTC Cost View'!AK$1,'RTB for Srvc Trans'!$V$23:$Z$23,0))),0,INDEX('RTB for Srvc Trans'!$V28:$Z28,MATCH('Individual FTC Cost View'!AK$1,'RTB for Srvc Trans'!$V$23:$Z$23,0)))</f>
        <v>0</v>
      </c>
      <c r="AL420" s="1008">
        <f>IF(ISNA(INDEX('RTB for Srvc Trans'!$V28:$Z28,MATCH('Individual FTC Cost View'!AL$1,'RTB for Srvc Trans'!$V$23:$Z$23,0))),0,INDEX('RTB for Srvc Trans'!$V28:$Z28,MATCH('Individual FTC Cost View'!AL$1,'RTB for Srvc Trans'!$V$23:$Z$23,0)))</f>
        <v>0</v>
      </c>
      <c r="AM420" s="1008">
        <f>IF(ISNA(INDEX('RTB for Srvc Trans'!$V28:$Z28,MATCH('Individual FTC Cost View'!AM$1,'RTB for Srvc Trans'!$V$23:$Z$23,0))),0,INDEX('RTB for Srvc Trans'!$V28:$Z28,MATCH('Individual FTC Cost View'!AM$1,'RTB for Srvc Trans'!$V$23:$Z$23,0)))</f>
        <v>0</v>
      </c>
      <c r="AN420" s="1008">
        <f>IF(ISNA(INDEX('RTB for Srvc Trans'!$V28:$Z28,MATCH('Individual FTC Cost View'!AN$1,'RTB for Srvc Trans'!$V$23:$Z$23,0))),0,INDEX('RTB for Srvc Trans'!$V28:$Z28,MATCH('Individual FTC Cost View'!AN$1,'RTB for Srvc Trans'!$V$23:$Z$23,0)))</f>
        <v>0</v>
      </c>
      <c r="AO420" s="1008">
        <f>IF(ISNA(INDEX('RTB for Srvc Trans'!$V28:$Z28,MATCH('Individual FTC Cost View'!AO$1,'RTB for Srvc Trans'!$V$23:$Z$23,0))),0,INDEX('RTB for Srvc Trans'!$V28:$Z28,MATCH('Individual FTC Cost View'!AO$1,'RTB for Srvc Trans'!$V$23:$Z$23,0)))</f>
        <v>0</v>
      </c>
      <c r="AP420" s="1008">
        <f>IF(ISNA(INDEX('RTB for Srvc Trans'!$V28:$Z28,MATCH('Individual FTC Cost View'!AP$1,'RTB for Srvc Trans'!$V$23:$Z$23,0))),0,INDEX('RTB for Srvc Trans'!$V28:$Z28,MATCH('Individual FTC Cost View'!AP$1,'RTB for Srvc Trans'!$V$23:$Z$23,0)))</f>
        <v>0</v>
      </c>
      <c r="AQ420" s="1008">
        <f>IF(ISNA(INDEX('RTB for Srvc Trans'!$V28:$Z28,MATCH('Individual FTC Cost View'!AQ$1,'RTB for Srvc Trans'!$V$23:$Z$23,0))),0,INDEX('RTB for Srvc Trans'!$V28:$Z28,MATCH('Individual FTC Cost View'!AQ$1,'RTB for Srvc Trans'!$V$23:$Z$23,0)))</f>
        <v>0</v>
      </c>
      <c r="AR420" s="1016">
        <f t="shared" si="17"/>
        <v>0</v>
      </c>
    </row>
    <row r="421" spans="2:44" ht="15" customHeight="1">
      <c r="B421" s="2"/>
      <c r="C421"/>
      <c r="D421"/>
      <c r="E421"/>
      <c r="F421"/>
      <c r="G421"/>
      <c r="H421"/>
      <c r="I421"/>
      <c r="J421"/>
      <c r="K421"/>
      <c r="L421"/>
      <c r="M421"/>
      <c r="N421"/>
      <c r="O421"/>
      <c r="P421"/>
      <c r="Q421"/>
      <c r="AA421" s="1689"/>
      <c r="AB421" s="962" t="str">
        <f>'RTB for Srvc Trans'!Q29</f>
        <v/>
      </c>
      <c r="AC421" s="962" t="str">
        <f>'RTB for Srvc Trans'!R29</f>
        <v>Ongoing Costs</v>
      </c>
      <c r="AD421" s="962" t="str">
        <f>'RTB for Srvc Trans'!S29</f>
        <v xml:space="preserve">COE Support - NG </v>
      </c>
      <c r="AE421" s="962" t="str">
        <f>'RTB for Srvc Trans'!T29</f>
        <v/>
      </c>
      <c r="AF421" s="962" t="str">
        <f>'RTB for Srvc Trans'!U29</f>
        <v>RTB</v>
      </c>
      <c r="AG421" s="1008">
        <f>IF(ISNA(INDEX('RTB for Srvc Trans'!$V29:$Z29,MATCH('Individual FTC Cost View'!AG$1,'RTB for Srvc Trans'!$V$23:$Z$23,0))),0,INDEX('RTB for Srvc Trans'!$V29:$Z29,MATCH('Individual FTC Cost View'!AG$1,'RTB for Srvc Trans'!$V$23:$Z$23,0)))</f>
        <v>0</v>
      </c>
      <c r="AH421" s="1008">
        <f>IF(ISNA(INDEX('RTB for Srvc Trans'!$V29:$Z29,MATCH('Individual FTC Cost View'!AH$1,'RTB for Srvc Trans'!$V$23:$Z$23,0))),0,INDEX('RTB for Srvc Trans'!$V29:$Z29,MATCH('Individual FTC Cost View'!AH$1,'RTB for Srvc Trans'!$V$23:$Z$23,0)))</f>
        <v>0</v>
      </c>
      <c r="AI421" s="1008">
        <f>IF(ISNA(INDEX('RTB for Srvc Trans'!$V29:$Z29,MATCH('Individual FTC Cost View'!AI$1,'RTB for Srvc Trans'!$V$23:$Z$23,0))),0,INDEX('RTB for Srvc Trans'!$V29:$Z29,MATCH('Individual FTC Cost View'!AI$1,'RTB for Srvc Trans'!$V$23:$Z$23,0)))</f>
        <v>0</v>
      </c>
      <c r="AJ421" s="1008">
        <f>IF(ISNA(INDEX('RTB for Srvc Trans'!$V29:$Z29,MATCH('Individual FTC Cost View'!AJ$1,'RTB for Srvc Trans'!$V$23:$Z$23,0))),0,INDEX('RTB for Srvc Trans'!$V29:$Z29,MATCH('Individual FTC Cost View'!AJ$1,'RTB for Srvc Trans'!$V$23:$Z$23,0)))</f>
        <v>0</v>
      </c>
      <c r="AK421" s="1008">
        <f>IF(ISNA(INDEX('RTB for Srvc Trans'!$V29:$Z29,MATCH('Individual FTC Cost View'!AK$1,'RTB for Srvc Trans'!$V$23:$Z$23,0))),0,INDEX('RTB for Srvc Trans'!$V29:$Z29,MATCH('Individual FTC Cost View'!AK$1,'RTB for Srvc Trans'!$V$23:$Z$23,0)))</f>
        <v>0</v>
      </c>
      <c r="AL421" s="1008">
        <f>IF(ISNA(INDEX('RTB for Srvc Trans'!$V29:$Z29,MATCH('Individual FTC Cost View'!AL$1,'RTB for Srvc Trans'!$V$23:$Z$23,0))),0,INDEX('RTB for Srvc Trans'!$V29:$Z29,MATCH('Individual FTC Cost View'!AL$1,'RTB for Srvc Trans'!$V$23:$Z$23,0)))</f>
        <v>0</v>
      </c>
      <c r="AM421" s="1008">
        <f>IF(ISNA(INDEX('RTB for Srvc Trans'!$V29:$Z29,MATCH('Individual FTC Cost View'!AM$1,'RTB for Srvc Trans'!$V$23:$Z$23,0))),0,INDEX('RTB for Srvc Trans'!$V29:$Z29,MATCH('Individual FTC Cost View'!AM$1,'RTB for Srvc Trans'!$V$23:$Z$23,0)))</f>
        <v>0</v>
      </c>
      <c r="AN421" s="1008">
        <f>IF(ISNA(INDEX('RTB for Srvc Trans'!$V29:$Z29,MATCH('Individual FTC Cost View'!AN$1,'RTB for Srvc Trans'!$V$23:$Z$23,0))),0,INDEX('RTB for Srvc Trans'!$V29:$Z29,MATCH('Individual FTC Cost View'!AN$1,'RTB for Srvc Trans'!$V$23:$Z$23,0)))</f>
        <v>0</v>
      </c>
      <c r="AO421" s="1008">
        <f>IF(ISNA(INDEX('RTB for Srvc Trans'!$V29:$Z29,MATCH('Individual FTC Cost View'!AO$1,'RTB for Srvc Trans'!$V$23:$Z$23,0))),0,INDEX('RTB for Srvc Trans'!$V29:$Z29,MATCH('Individual FTC Cost View'!AO$1,'RTB for Srvc Trans'!$V$23:$Z$23,0)))</f>
        <v>0</v>
      </c>
      <c r="AP421" s="1008">
        <f>IF(ISNA(INDEX('RTB for Srvc Trans'!$V29:$Z29,MATCH('Individual FTC Cost View'!AP$1,'RTB for Srvc Trans'!$V$23:$Z$23,0))),0,INDEX('RTB for Srvc Trans'!$V29:$Z29,MATCH('Individual FTC Cost View'!AP$1,'RTB for Srvc Trans'!$V$23:$Z$23,0)))</f>
        <v>0</v>
      </c>
      <c r="AQ421" s="1008">
        <f>IF(ISNA(INDEX('RTB for Srvc Trans'!$V29:$Z29,MATCH('Individual FTC Cost View'!AQ$1,'RTB for Srvc Trans'!$V$23:$Z$23,0))),0,INDEX('RTB for Srvc Trans'!$V29:$Z29,MATCH('Individual FTC Cost View'!AQ$1,'RTB for Srvc Trans'!$V$23:$Z$23,0)))</f>
        <v>0</v>
      </c>
      <c r="AR421" s="1016">
        <f t="shared" si="17"/>
        <v>0</v>
      </c>
    </row>
    <row r="422" spans="2:44" ht="15" customHeight="1">
      <c r="B422" s="2"/>
      <c r="C422"/>
      <c r="D422"/>
      <c r="E422"/>
      <c r="F422"/>
      <c r="G422"/>
      <c r="H422"/>
      <c r="I422"/>
      <c r="J422"/>
      <c r="K422"/>
      <c r="L422"/>
      <c r="M422"/>
      <c r="N422"/>
      <c r="O422"/>
      <c r="P422"/>
      <c r="Q422"/>
      <c r="AA422" s="1689"/>
      <c r="AB422" s="962" t="str">
        <f>'RTB for Srvc Trans'!Q30</f>
        <v/>
      </c>
      <c r="AC422" s="962" t="str">
        <f>'RTB for Srvc Trans'!R30</f>
        <v>Ongoing Costs</v>
      </c>
      <c r="AD422" s="962" t="str">
        <f>'RTB for Srvc Trans'!S30</f>
        <v>Telcom/Network Services - Verizon</v>
      </c>
      <c r="AE422" s="962" t="str">
        <f>'RTB for Srvc Trans'!T30</f>
        <v/>
      </c>
      <c r="AF422" s="962" t="str">
        <f>'RTB for Srvc Trans'!U30</f>
        <v>RTB</v>
      </c>
      <c r="AG422" s="1008">
        <f>IF(ISNA(INDEX('RTB for Srvc Trans'!$V30:$Z30,MATCH('Individual FTC Cost View'!AG$1,'RTB for Srvc Trans'!$V$23:$Z$23,0))),0,INDEX('RTB for Srvc Trans'!$V30:$Z30,MATCH('Individual FTC Cost View'!AG$1,'RTB for Srvc Trans'!$V$23:$Z$23,0)))</f>
        <v>0</v>
      </c>
      <c r="AH422" s="1008">
        <f>IF(ISNA(INDEX('RTB for Srvc Trans'!$V30:$Z30,MATCH('Individual FTC Cost View'!AH$1,'RTB for Srvc Trans'!$V$23:$Z$23,0))),0,INDEX('RTB for Srvc Trans'!$V30:$Z30,MATCH('Individual FTC Cost View'!AH$1,'RTB for Srvc Trans'!$V$23:$Z$23,0)))</f>
        <v>0</v>
      </c>
      <c r="AI422" s="1008">
        <f>IF(ISNA(INDEX('RTB for Srvc Trans'!$V30:$Z30,MATCH('Individual FTC Cost View'!AI$1,'RTB for Srvc Trans'!$V$23:$Z$23,0))),0,INDEX('RTB for Srvc Trans'!$V30:$Z30,MATCH('Individual FTC Cost View'!AI$1,'RTB for Srvc Trans'!$V$23:$Z$23,0)))</f>
        <v>0</v>
      </c>
      <c r="AJ422" s="1008">
        <f>IF(ISNA(INDEX('RTB for Srvc Trans'!$V30:$Z30,MATCH('Individual FTC Cost View'!AJ$1,'RTB for Srvc Trans'!$V$23:$Z$23,0))),0,INDEX('RTB for Srvc Trans'!$V30:$Z30,MATCH('Individual FTC Cost View'!AJ$1,'RTB for Srvc Trans'!$V$23:$Z$23,0)))</f>
        <v>0</v>
      </c>
      <c r="AK422" s="1008">
        <f>IF(ISNA(INDEX('RTB for Srvc Trans'!$V30:$Z30,MATCH('Individual FTC Cost View'!AK$1,'RTB for Srvc Trans'!$V$23:$Z$23,0))),0,INDEX('RTB for Srvc Trans'!$V30:$Z30,MATCH('Individual FTC Cost View'!AK$1,'RTB for Srvc Trans'!$V$23:$Z$23,0)))</f>
        <v>0</v>
      </c>
      <c r="AL422" s="1008">
        <f>IF(ISNA(INDEX('RTB for Srvc Trans'!$V30:$Z30,MATCH('Individual FTC Cost View'!AL$1,'RTB for Srvc Trans'!$V$23:$Z$23,0))),0,INDEX('RTB for Srvc Trans'!$V30:$Z30,MATCH('Individual FTC Cost View'!AL$1,'RTB for Srvc Trans'!$V$23:$Z$23,0)))</f>
        <v>0</v>
      </c>
      <c r="AM422" s="1008">
        <f>IF(ISNA(INDEX('RTB for Srvc Trans'!$V30:$Z30,MATCH('Individual FTC Cost View'!AM$1,'RTB for Srvc Trans'!$V$23:$Z$23,0))),0,INDEX('RTB for Srvc Trans'!$V30:$Z30,MATCH('Individual FTC Cost View'!AM$1,'RTB for Srvc Trans'!$V$23:$Z$23,0)))</f>
        <v>0</v>
      </c>
      <c r="AN422" s="1008">
        <f>IF(ISNA(INDEX('RTB for Srvc Trans'!$V30:$Z30,MATCH('Individual FTC Cost View'!AN$1,'RTB for Srvc Trans'!$V$23:$Z$23,0))),0,INDEX('RTB for Srvc Trans'!$V30:$Z30,MATCH('Individual FTC Cost View'!AN$1,'RTB for Srvc Trans'!$V$23:$Z$23,0)))</f>
        <v>0</v>
      </c>
      <c r="AO422" s="1008">
        <f>IF(ISNA(INDEX('RTB for Srvc Trans'!$V30:$Z30,MATCH('Individual FTC Cost View'!AO$1,'RTB for Srvc Trans'!$V$23:$Z$23,0))),0,INDEX('RTB for Srvc Trans'!$V30:$Z30,MATCH('Individual FTC Cost View'!AO$1,'RTB for Srvc Trans'!$V$23:$Z$23,0)))</f>
        <v>0</v>
      </c>
      <c r="AP422" s="1008">
        <f>IF(ISNA(INDEX('RTB for Srvc Trans'!$V30:$Z30,MATCH('Individual FTC Cost View'!AP$1,'RTB for Srvc Trans'!$V$23:$Z$23,0))),0,INDEX('RTB for Srvc Trans'!$V30:$Z30,MATCH('Individual FTC Cost View'!AP$1,'RTB for Srvc Trans'!$V$23:$Z$23,0)))</f>
        <v>0</v>
      </c>
      <c r="AQ422" s="1008">
        <f>IF(ISNA(INDEX('RTB for Srvc Trans'!$V30:$Z30,MATCH('Individual FTC Cost View'!AQ$1,'RTB for Srvc Trans'!$V$23:$Z$23,0))),0,INDEX('RTB for Srvc Trans'!$V30:$Z30,MATCH('Individual FTC Cost View'!AQ$1,'RTB for Srvc Trans'!$V$23:$Z$23,0)))</f>
        <v>0</v>
      </c>
      <c r="AR422" s="1016">
        <f t="shared" si="17"/>
        <v>0</v>
      </c>
    </row>
    <row r="423" spans="2:44" ht="15" customHeight="1">
      <c r="B423" s="2"/>
      <c r="C423"/>
      <c r="D423"/>
      <c r="E423"/>
      <c r="F423"/>
      <c r="G423"/>
      <c r="H423"/>
      <c r="I423"/>
      <c r="J423"/>
      <c r="K423"/>
      <c r="L423"/>
      <c r="M423"/>
      <c r="N423"/>
      <c r="O423"/>
      <c r="P423"/>
      <c r="Q423"/>
      <c r="AA423" s="1689"/>
      <c r="AB423" s="962" t="str">
        <f>'RTB for Srvc Trans'!Q31</f>
        <v/>
      </c>
      <c r="AC423" s="962" t="str">
        <f>'RTB for Srvc Trans'!R31</f>
        <v>Ongoing Costs</v>
      </c>
      <c r="AD423" s="962" t="str">
        <f>'RTB for Srvc Trans'!S31</f>
        <v>Telcom/Network Services - Other</v>
      </c>
      <c r="AE423" s="962" t="str">
        <f>'RTB for Srvc Trans'!T31</f>
        <v/>
      </c>
      <c r="AF423" s="962" t="str">
        <f>'RTB for Srvc Trans'!U31</f>
        <v>RTB</v>
      </c>
      <c r="AG423" s="1008">
        <f>IF(ISNA(INDEX('RTB for Srvc Trans'!$V31:$Z31,MATCH('Individual FTC Cost View'!AG$1,'RTB for Srvc Trans'!$V$23:$Z$23,0))),0,INDEX('RTB for Srvc Trans'!$V31:$Z31,MATCH('Individual FTC Cost View'!AG$1,'RTB for Srvc Trans'!$V$23:$Z$23,0)))</f>
        <v>0</v>
      </c>
      <c r="AH423" s="1008">
        <f>IF(ISNA(INDEX('RTB for Srvc Trans'!$V31:$Z31,MATCH('Individual FTC Cost View'!AH$1,'RTB for Srvc Trans'!$V$23:$Z$23,0))),0,INDEX('RTB for Srvc Trans'!$V31:$Z31,MATCH('Individual FTC Cost View'!AH$1,'RTB for Srvc Trans'!$V$23:$Z$23,0)))</f>
        <v>0</v>
      </c>
      <c r="AI423" s="1008">
        <f>IF(ISNA(INDEX('RTB for Srvc Trans'!$V31:$Z31,MATCH('Individual FTC Cost View'!AI$1,'RTB for Srvc Trans'!$V$23:$Z$23,0))),0,INDEX('RTB for Srvc Trans'!$V31:$Z31,MATCH('Individual FTC Cost View'!AI$1,'RTB for Srvc Trans'!$V$23:$Z$23,0)))</f>
        <v>0</v>
      </c>
      <c r="AJ423" s="1008">
        <f>IF(ISNA(INDEX('RTB for Srvc Trans'!$V31:$Z31,MATCH('Individual FTC Cost View'!AJ$1,'RTB for Srvc Trans'!$V$23:$Z$23,0))),0,INDEX('RTB for Srvc Trans'!$V31:$Z31,MATCH('Individual FTC Cost View'!AJ$1,'RTB for Srvc Trans'!$V$23:$Z$23,0)))</f>
        <v>0</v>
      </c>
      <c r="AK423" s="1008">
        <f>IF(ISNA(INDEX('RTB for Srvc Trans'!$V31:$Z31,MATCH('Individual FTC Cost View'!AK$1,'RTB for Srvc Trans'!$V$23:$Z$23,0))),0,INDEX('RTB for Srvc Trans'!$V31:$Z31,MATCH('Individual FTC Cost View'!AK$1,'RTB for Srvc Trans'!$V$23:$Z$23,0)))</f>
        <v>0</v>
      </c>
      <c r="AL423" s="1008">
        <f>IF(ISNA(INDEX('RTB for Srvc Trans'!$V31:$Z31,MATCH('Individual FTC Cost View'!AL$1,'RTB for Srvc Trans'!$V$23:$Z$23,0))),0,INDEX('RTB for Srvc Trans'!$V31:$Z31,MATCH('Individual FTC Cost View'!AL$1,'RTB for Srvc Trans'!$V$23:$Z$23,0)))</f>
        <v>0</v>
      </c>
      <c r="AM423" s="1008">
        <f>IF(ISNA(INDEX('RTB for Srvc Trans'!$V31:$Z31,MATCH('Individual FTC Cost View'!AM$1,'RTB for Srvc Trans'!$V$23:$Z$23,0))),0,INDEX('RTB for Srvc Trans'!$V31:$Z31,MATCH('Individual FTC Cost View'!AM$1,'RTB for Srvc Trans'!$V$23:$Z$23,0)))</f>
        <v>0</v>
      </c>
      <c r="AN423" s="1008">
        <f>IF(ISNA(INDEX('RTB for Srvc Trans'!$V31:$Z31,MATCH('Individual FTC Cost View'!AN$1,'RTB for Srvc Trans'!$V$23:$Z$23,0))),0,INDEX('RTB for Srvc Trans'!$V31:$Z31,MATCH('Individual FTC Cost View'!AN$1,'RTB for Srvc Trans'!$V$23:$Z$23,0)))</f>
        <v>0</v>
      </c>
      <c r="AO423" s="1008">
        <f>IF(ISNA(INDEX('RTB for Srvc Trans'!$V31:$Z31,MATCH('Individual FTC Cost View'!AO$1,'RTB for Srvc Trans'!$V$23:$Z$23,0))),0,INDEX('RTB for Srvc Trans'!$V31:$Z31,MATCH('Individual FTC Cost View'!AO$1,'RTB for Srvc Trans'!$V$23:$Z$23,0)))</f>
        <v>0</v>
      </c>
      <c r="AP423" s="1008">
        <f>IF(ISNA(INDEX('RTB for Srvc Trans'!$V31:$Z31,MATCH('Individual FTC Cost View'!AP$1,'RTB for Srvc Trans'!$V$23:$Z$23,0))),0,INDEX('RTB for Srvc Trans'!$V31:$Z31,MATCH('Individual FTC Cost View'!AP$1,'RTB for Srvc Trans'!$V$23:$Z$23,0)))</f>
        <v>0</v>
      </c>
      <c r="AQ423" s="1008">
        <f>IF(ISNA(INDEX('RTB for Srvc Trans'!$V31:$Z31,MATCH('Individual FTC Cost View'!AQ$1,'RTB for Srvc Trans'!$V$23:$Z$23,0))),0,INDEX('RTB for Srvc Trans'!$V31:$Z31,MATCH('Individual FTC Cost View'!AQ$1,'RTB for Srvc Trans'!$V$23:$Z$23,0)))</f>
        <v>0</v>
      </c>
      <c r="AR423" s="1016">
        <f t="shared" si="17"/>
        <v>0</v>
      </c>
    </row>
    <row r="424" spans="2:44" ht="15" customHeight="1">
      <c r="B424" s="2"/>
      <c r="C424"/>
      <c r="D424"/>
      <c r="E424"/>
      <c r="F424"/>
      <c r="G424"/>
      <c r="H424"/>
      <c r="I424"/>
      <c r="J424"/>
      <c r="K424"/>
      <c r="L424"/>
      <c r="M424"/>
      <c r="N424"/>
      <c r="O424"/>
      <c r="P424"/>
      <c r="Q424"/>
      <c r="AA424" s="1689"/>
      <c r="AB424" s="962" t="str">
        <f>'RTB for Srvc Trans'!Q32</f>
        <v/>
      </c>
      <c r="AC424" s="962" t="str">
        <f>'RTB for Srvc Trans'!R32</f>
        <v>Ongoing Costs</v>
      </c>
      <c r="AD424" s="962" t="str">
        <f>'RTB for Srvc Trans'!S32</f>
        <v>Client Services (Laptops, Desktops, etc)</v>
      </c>
      <c r="AE424" s="962" t="str">
        <f>'RTB for Srvc Trans'!T32</f>
        <v/>
      </c>
      <c r="AF424" s="962" t="str">
        <f>'RTB for Srvc Trans'!U32</f>
        <v>RTB</v>
      </c>
      <c r="AG424" s="1008">
        <f>IF(ISNA(INDEX('RTB for Srvc Trans'!$V32:$Z32,MATCH('Individual FTC Cost View'!AG$1,'RTB for Srvc Trans'!$V$23:$Z$23,0))),0,INDEX('RTB for Srvc Trans'!$V32:$Z32,MATCH('Individual FTC Cost View'!AG$1,'RTB for Srvc Trans'!$V$23:$Z$23,0)))</f>
        <v>0</v>
      </c>
      <c r="AH424" s="1008">
        <f>IF(ISNA(INDEX('RTB for Srvc Trans'!$V32:$Z32,MATCH('Individual FTC Cost View'!AH$1,'RTB for Srvc Trans'!$V$23:$Z$23,0))),0,INDEX('RTB for Srvc Trans'!$V32:$Z32,MATCH('Individual FTC Cost View'!AH$1,'RTB for Srvc Trans'!$V$23:$Z$23,0)))</f>
        <v>0</v>
      </c>
      <c r="AI424" s="1008">
        <f>IF(ISNA(INDEX('RTB for Srvc Trans'!$V32:$Z32,MATCH('Individual FTC Cost View'!AI$1,'RTB for Srvc Trans'!$V$23:$Z$23,0))),0,INDEX('RTB for Srvc Trans'!$V32:$Z32,MATCH('Individual FTC Cost View'!AI$1,'RTB for Srvc Trans'!$V$23:$Z$23,0)))</f>
        <v>0</v>
      </c>
      <c r="AJ424" s="1008">
        <f>IF(ISNA(INDEX('RTB for Srvc Trans'!$V32:$Z32,MATCH('Individual FTC Cost View'!AJ$1,'RTB for Srvc Trans'!$V$23:$Z$23,0))),0,INDEX('RTB for Srvc Trans'!$V32:$Z32,MATCH('Individual FTC Cost View'!AJ$1,'RTB for Srvc Trans'!$V$23:$Z$23,0)))</f>
        <v>0</v>
      </c>
      <c r="AK424" s="1008">
        <f>IF(ISNA(INDEX('RTB for Srvc Trans'!$V32:$Z32,MATCH('Individual FTC Cost View'!AK$1,'RTB for Srvc Trans'!$V$23:$Z$23,0))),0,INDEX('RTB for Srvc Trans'!$V32:$Z32,MATCH('Individual FTC Cost View'!AK$1,'RTB for Srvc Trans'!$V$23:$Z$23,0)))</f>
        <v>0</v>
      </c>
      <c r="AL424" s="1008">
        <f>IF(ISNA(INDEX('RTB for Srvc Trans'!$V32:$Z32,MATCH('Individual FTC Cost View'!AL$1,'RTB for Srvc Trans'!$V$23:$Z$23,0))),0,INDEX('RTB for Srvc Trans'!$V32:$Z32,MATCH('Individual FTC Cost View'!AL$1,'RTB for Srvc Trans'!$V$23:$Z$23,0)))</f>
        <v>0</v>
      </c>
      <c r="AM424" s="1008">
        <f>IF(ISNA(INDEX('RTB for Srvc Trans'!$V32:$Z32,MATCH('Individual FTC Cost View'!AM$1,'RTB for Srvc Trans'!$V$23:$Z$23,0))),0,INDEX('RTB for Srvc Trans'!$V32:$Z32,MATCH('Individual FTC Cost View'!AM$1,'RTB for Srvc Trans'!$V$23:$Z$23,0)))</f>
        <v>0</v>
      </c>
      <c r="AN424" s="1008">
        <f>IF(ISNA(INDEX('RTB for Srvc Trans'!$V32:$Z32,MATCH('Individual FTC Cost View'!AN$1,'RTB for Srvc Trans'!$V$23:$Z$23,0))),0,INDEX('RTB for Srvc Trans'!$V32:$Z32,MATCH('Individual FTC Cost View'!AN$1,'RTB for Srvc Trans'!$V$23:$Z$23,0)))</f>
        <v>0</v>
      </c>
      <c r="AO424" s="1008">
        <f>IF(ISNA(INDEX('RTB for Srvc Trans'!$V32:$Z32,MATCH('Individual FTC Cost View'!AO$1,'RTB for Srvc Trans'!$V$23:$Z$23,0))),0,INDEX('RTB for Srvc Trans'!$V32:$Z32,MATCH('Individual FTC Cost View'!AO$1,'RTB for Srvc Trans'!$V$23:$Z$23,0)))</f>
        <v>0</v>
      </c>
      <c r="AP424" s="1008">
        <f>IF(ISNA(INDEX('RTB for Srvc Trans'!$V32:$Z32,MATCH('Individual FTC Cost View'!AP$1,'RTB for Srvc Trans'!$V$23:$Z$23,0))),0,INDEX('RTB for Srvc Trans'!$V32:$Z32,MATCH('Individual FTC Cost View'!AP$1,'RTB for Srvc Trans'!$V$23:$Z$23,0)))</f>
        <v>0</v>
      </c>
      <c r="AQ424" s="1008">
        <f>IF(ISNA(INDEX('RTB for Srvc Trans'!$V32:$Z32,MATCH('Individual FTC Cost View'!AQ$1,'RTB for Srvc Trans'!$V$23:$Z$23,0))),0,INDEX('RTB for Srvc Trans'!$V32:$Z32,MATCH('Individual FTC Cost View'!AQ$1,'RTB for Srvc Trans'!$V$23:$Z$23,0)))</f>
        <v>0</v>
      </c>
      <c r="AR424" s="1016">
        <f t="shared" si="17"/>
        <v>0</v>
      </c>
    </row>
    <row r="425" spans="2:44" ht="15" customHeight="1">
      <c r="B425" s="2"/>
      <c r="C425"/>
      <c r="D425"/>
      <c r="E425"/>
      <c r="F425"/>
      <c r="G425"/>
      <c r="H425"/>
      <c r="I425"/>
      <c r="J425"/>
      <c r="K425"/>
      <c r="L425"/>
      <c r="M425"/>
      <c r="N425"/>
      <c r="O425"/>
      <c r="P425"/>
      <c r="Q425"/>
      <c r="AA425" s="1689"/>
      <c r="AB425" s="962" t="str">
        <f>'RTB for Srvc Trans'!Q33</f>
        <v/>
      </c>
      <c r="AC425" s="962" t="str">
        <f>'RTB for Srvc Trans'!R33</f>
        <v>Ongoing Costs</v>
      </c>
      <c r="AD425" s="962" t="str">
        <f>'RTB for Srvc Trans'!S33</f>
        <v>Managed Hosting Services - DXC</v>
      </c>
      <c r="AE425" s="962" t="str">
        <f>'RTB for Srvc Trans'!T33</f>
        <v/>
      </c>
      <c r="AF425" s="962" t="str">
        <f>'RTB for Srvc Trans'!U33</f>
        <v>RTB</v>
      </c>
      <c r="AG425" s="1008">
        <f>IF(ISNA(INDEX('RTB for Srvc Trans'!$V33:$Z33,MATCH('Individual FTC Cost View'!AG$1,'RTB for Srvc Trans'!$V$23:$Z$23,0))),0,INDEX('RTB for Srvc Trans'!$V33:$Z33,MATCH('Individual FTC Cost View'!AG$1,'RTB for Srvc Trans'!$V$23:$Z$23,0)))</f>
        <v>0</v>
      </c>
      <c r="AH425" s="1008">
        <f>IF(ISNA(INDEX('RTB for Srvc Trans'!$V33:$Z33,MATCH('Individual FTC Cost View'!AH$1,'RTB for Srvc Trans'!$V$23:$Z$23,0))),0,INDEX('RTB for Srvc Trans'!$V33:$Z33,MATCH('Individual FTC Cost View'!AH$1,'RTB for Srvc Trans'!$V$23:$Z$23,0)))</f>
        <v>0</v>
      </c>
      <c r="AI425" s="1008">
        <f>IF(ISNA(INDEX('RTB for Srvc Trans'!$V33:$Z33,MATCH('Individual FTC Cost View'!AI$1,'RTB for Srvc Trans'!$V$23:$Z$23,0))),0,INDEX('RTB for Srvc Trans'!$V33:$Z33,MATCH('Individual FTC Cost View'!AI$1,'RTB for Srvc Trans'!$V$23:$Z$23,0)))</f>
        <v>0</v>
      </c>
      <c r="AJ425" s="1008">
        <f>IF(ISNA(INDEX('RTB for Srvc Trans'!$V33:$Z33,MATCH('Individual FTC Cost View'!AJ$1,'RTB for Srvc Trans'!$V$23:$Z$23,0))),0,INDEX('RTB for Srvc Trans'!$V33:$Z33,MATCH('Individual FTC Cost View'!AJ$1,'RTB for Srvc Trans'!$V$23:$Z$23,0)))</f>
        <v>0</v>
      </c>
      <c r="AK425" s="1008">
        <f>IF(ISNA(INDEX('RTB for Srvc Trans'!$V33:$Z33,MATCH('Individual FTC Cost View'!AK$1,'RTB for Srvc Trans'!$V$23:$Z$23,0))),0,INDEX('RTB for Srvc Trans'!$V33:$Z33,MATCH('Individual FTC Cost View'!AK$1,'RTB for Srvc Trans'!$V$23:$Z$23,0)))</f>
        <v>0</v>
      </c>
      <c r="AL425" s="1008">
        <f>IF(ISNA(INDEX('RTB for Srvc Trans'!$V33:$Z33,MATCH('Individual FTC Cost View'!AL$1,'RTB for Srvc Trans'!$V$23:$Z$23,0))),0,INDEX('RTB for Srvc Trans'!$V33:$Z33,MATCH('Individual FTC Cost View'!AL$1,'RTB for Srvc Trans'!$V$23:$Z$23,0)))</f>
        <v>0</v>
      </c>
      <c r="AM425" s="1008">
        <f>IF(ISNA(INDEX('RTB for Srvc Trans'!$V33:$Z33,MATCH('Individual FTC Cost View'!AM$1,'RTB for Srvc Trans'!$V$23:$Z$23,0))),0,INDEX('RTB for Srvc Trans'!$V33:$Z33,MATCH('Individual FTC Cost View'!AM$1,'RTB for Srvc Trans'!$V$23:$Z$23,0)))</f>
        <v>0</v>
      </c>
      <c r="AN425" s="1008">
        <f>IF(ISNA(INDEX('RTB for Srvc Trans'!$V33:$Z33,MATCH('Individual FTC Cost View'!AN$1,'RTB for Srvc Trans'!$V$23:$Z$23,0))),0,INDEX('RTB for Srvc Trans'!$V33:$Z33,MATCH('Individual FTC Cost View'!AN$1,'RTB for Srvc Trans'!$V$23:$Z$23,0)))</f>
        <v>0</v>
      </c>
      <c r="AO425" s="1008">
        <f>IF(ISNA(INDEX('RTB for Srvc Trans'!$V33:$Z33,MATCH('Individual FTC Cost View'!AO$1,'RTB for Srvc Trans'!$V$23:$Z$23,0))),0,INDEX('RTB for Srvc Trans'!$V33:$Z33,MATCH('Individual FTC Cost View'!AO$1,'RTB for Srvc Trans'!$V$23:$Z$23,0)))</f>
        <v>0</v>
      </c>
      <c r="AP425" s="1008">
        <f>IF(ISNA(INDEX('RTB for Srvc Trans'!$V33:$Z33,MATCH('Individual FTC Cost View'!AP$1,'RTB for Srvc Trans'!$V$23:$Z$23,0))),0,INDEX('RTB for Srvc Trans'!$V33:$Z33,MATCH('Individual FTC Cost View'!AP$1,'RTB for Srvc Trans'!$V$23:$Z$23,0)))</f>
        <v>0</v>
      </c>
      <c r="AQ425" s="1008">
        <f>IF(ISNA(INDEX('RTB for Srvc Trans'!$V33:$Z33,MATCH('Individual FTC Cost View'!AQ$1,'RTB for Srvc Trans'!$V$23:$Z$23,0))),0,INDEX('RTB for Srvc Trans'!$V33:$Z33,MATCH('Individual FTC Cost View'!AQ$1,'RTB for Srvc Trans'!$V$23:$Z$23,0)))</f>
        <v>0</v>
      </c>
      <c r="AR425" s="1016">
        <f t="shared" si="17"/>
        <v>0</v>
      </c>
    </row>
    <row r="426" spans="2:44" ht="15" customHeight="1">
      <c r="B426" s="2"/>
      <c r="C426"/>
      <c r="D426"/>
      <c r="E426"/>
      <c r="F426"/>
      <c r="G426"/>
      <c r="H426"/>
      <c r="I426"/>
      <c r="J426"/>
      <c r="K426"/>
      <c r="L426"/>
      <c r="M426"/>
      <c r="N426"/>
      <c r="O426"/>
      <c r="P426"/>
      <c r="Q426"/>
      <c r="AA426" s="1689"/>
      <c r="AB426" s="962" t="str">
        <f>'RTB for Srvc Trans'!Q34</f>
        <v/>
      </c>
      <c r="AC426" s="962" t="str">
        <f>'RTB for Srvc Trans'!R34</f>
        <v>Ongoing Costs</v>
      </c>
      <c r="AD426" s="962" t="str">
        <f>'RTB for Srvc Trans'!S34</f>
        <v>Managed Hosting Services - Syntax</v>
      </c>
      <c r="AE426" s="962" t="str">
        <f>'RTB for Srvc Trans'!T34</f>
        <v/>
      </c>
      <c r="AF426" s="962" t="str">
        <f>'RTB for Srvc Trans'!U34</f>
        <v>RTB</v>
      </c>
      <c r="AG426" s="1008">
        <f>IF(ISNA(INDEX('RTB for Srvc Trans'!$V34:$Z34,MATCH('Individual FTC Cost View'!AG$1,'RTB for Srvc Trans'!$V$23:$Z$23,0))),0,INDEX('RTB for Srvc Trans'!$V34:$Z34,MATCH('Individual FTC Cost View'!AG$1,'RTB for Srvc Trans'!$V$23:$Z$23,0)))</f>
        <v>0</v>
      </c>
      <c r="AH426" s="1008">
        <f>IF(ISNA(INDEX('RTB for Srvc Trans'!$V34:$Z34,MATCH('Individual FTC Cost View'!AH$1,'RTB for Srvc Trans'!$V$23:$Z$23,0))),0,INDEX('RTB for Srvc Trans'!$V34:$Z34,MATCH('Individual FTC Cost View'!AH$1,'RTB for Srvc Trans'!$V$23:$Z$23,0)))</f>
        <v>0</v>
      </c>
      <c r="AI426" s="1008">
        <f>IF(ISNA(INDEX('RTB for Srvc Trans'!$V34:$Z34,MATCH('Individual FTC Cost View'!AI$1,'RTB for Srvc Trans'!$V$23:$Z$23,0))),0,INDEX('RTB for Srvc Trans'!$V34:$Z34,MATCH('Individual FTC Cost View'!AI$1,'RTB for Srvc Trans'!$V$23:$Z$23,0)))</f>
        <v>0</v>
      </c>
      <c r="AJ426" s="1008">
        <f>IF(ISNA(INDEX('RTB for Srvc Trans'!$V34:$Z34,MATCH('Individual FTC Cost View'!AJ$1,'RTB for Srvc Trans'!$V$23:$Z$23,0))),0,INDEX('RTB for Srvc Trans'!$V34:$Z34,MATCH('Individual FTC Cost View'!AJ$1,'RTB for Srvc Trans'!$V$23:$Z$23,0)))</f>
        <v>0</v>
      </c>
      <c r="AK426" s="1008">
        <f>IF(ISNA(INDEX('RTB for Srvc Trans'!$V34:$Z34,MATCH('Individual FTC Cost View'!AK$1,'RTB for Srvc Trans'!$V$23:$Z$23,0))),0,INDEX('RTB for Srvc Trans'!$V34:$Z34,MATCH('Individual FTC Cost View'!AK$1,'RTB for Srvc Trans'!$V$23:$Z$23,0)))</f>
        <v>0</v>
      </c>
      <c r="AL426" s="1008">
        <f>IF(ISNA(INDEX('RTB for Srvc Trans'!$V34:$Z34,MATCH('Individual FTC Cost View'!AL$1,'RTB for Srvc Trans'!$V$23:$Z$23,0))),0,INDEX('RTB for Srvc Trans'!$V34:$Z34,MATCH('Individual FTC Cost View'!AL$1,'RTB for Srvc Trans'!$V$23:$Z$23,0)))</f>
        <v>0</v>
      </c>
      <c r="AM426" s="1008">
        <f>IF(ISNA(INDEX('RTB for Srvc Trans'!$V34:$Z34,MATCH('Individual FTC Cost View'!AM$1,'RTB for Srvc Trans'!$V$23:$Z$23,0))),0,INDEX('RTB for Srvc Trans'!$V34:$Z34,MATCH('Individual FTC Cost View'!AM$1,'RTB for Srvc Trans'!$V$23:$Z$23,0)))</f>
        <v>0</v>
      </c>
      <c r="AN426" s="1008">
        <f>IF(ISNA(INDEX('RTB for Srvc Trans'!$V34:$Z34,MATCH('Individual FTC Cost View'!AN$1,'RTB for Srvc Trans'!$V$23:$Z$23,0))),0,INDEX('RTB for Srvc Trans'!$V34:$Z34,MATCH('Individual FTC Cost View'!AN$1,'RTB for Srvc Trans'!$V$23:$Z$23,0)))</f>
        <v>0</v>
      </c>
      <c r="AO426" s="1008">
        <f>IF(ISNA(INDEX('RTB for Srvc Trans'!$V34:$Z34,MATCH('Individual FTC Cost View'!AO$1,'RTB for Srvc Trans'!$V$23:$Z$23,0))),0,INDEX('RTB for Srvc Trans'!$V34:$Z34,MATCH('Individual FTC Cost View'!AO$1,'RTB for Srvc Trans'!$V$23:$Z$23,0)))</f>
        <v>0</v>
      </c>
      <c r="AP426" s="1008">
        <f>IF(ISNA(INDEX('RTB for Srvc Trans'!$V34:$Z34,MATCH('Individual FTC Cost View'!AP$1,'RTB for Srvc Trans'!$V$23:$Z$23,0))),0,INDEX('RTB for Srvc Trans'!$V34:$Z34,MATCH('Individual FTC Cost View'!AP$1,'RTB for Srvc Trans'!$V$23:$Z$23,0)))</f>
        <v>0</v>
      </c>
      <c r="AQ426" s="1008">
        <f>IF(ISNA(INDEX('RTB for Srvc Trans'!$V34:$Z34,MATCH('Individual FTC Cost View'!AQ$1,'RTB for Srvc Trans'!$V$23:$Z$23,0))),0,INDEX('RTB for Srvc Trans'!$V34:$Z34,MATCH('Individual FTC Cost View'!AQ$1,'RTB for Srvc Trans'!$V$23:$Z$23,0)))</f>
        <v>0</v>
      </c>
      <c r="AR426" s="1016">
        <f t="shared" si="17"/>
        <v>0</v>
      </c>
    </row>
    <row r="427" spans="2:44" ht="15" customHeight="1">
      <c r="B427" s="2"/>
      <c r="C427"/>
      <c r="D427"/>
      <c r="E427"/>
      <c r="F427"/>
      <c r="G427"/>
      <c r="H427"/>
      <c r="I427"/>
      <c r="J427"/>
      <c r="K427"/>
      <c r="L427"/>
      <c r="M427"/>
      <c r="N427"/>
      <c r="O427"/>
      <c r="P427"/>
      <c r="Q427"/>
      <c r="AA427" s="1689"/>
      <c r="AB427" s="962" t="str">
        <f>'RTB for Srvc Trans'!Q35</f>
        <v/>
      </c>
      <c r="AC427" s="962" t="str">
        <f>'RTB for Srvc Trans'!R35</f>
        <v>Ongoing Costs</v>
      </c>
      <c r="AD427" s="962" t="str">
        <f>'RTB for Srvc Trans'!S35</f>
        <v>Managed Hosting Services - Other</v>
      </c>
      <c r="AE427" s="962" t="str">
        <f>'RTB for Srvc Trans'!T35</f>
        <v/>
      </c>
      <c r="AF427" s="962" t="str">
        <f>'RTB for Srvc Trans'!U35</f>
        <v>RTB</v>
      </c>
      <c r="AG427" s="1008">
        <f>IF(ISNA(INDEX('RTB for Srvc Trans'!$V35:$Z35,MATCH('Individual FTC Cost View'!AG$1,'RTB for Srvc Trans'!$V$23:$Z$23,0))),0,INDEX('RTB for Srvc Trans'!$V35:$Z35,MATCH('Individual FTC Cost View'!AG$1,'RTB for Srvc Trans'!$V$23:$Z$23,0)))</f>
        <v>0</v>
      </c>
      <c r="AH427" s="1008">
        <f>IF(ISNA(INDEX('RTB for Srvc Trans'!$V35:$Z35,MATCH('Individual FTC Cost View'!AH$1,'RTB for Srvc Trans'!$V$23:$Z$23,0))),0,INDEX('RTB for Srvc Trans'!$V35:$Z35,MATCH('Individual FTC Cost View'!AH$1,'RTB for Srvc Trans'!$V$23:$Z$23,0)))</f>
        <v>0</v>
      </c>
      <c r="AI427" s="1008">
        <f>IF(ISNA(INDEX('RTB for Srvc Trans'!$V35:$Z35,MATCH('Individual FTC Cost View'!AI$1,'RTB for Srvc Trans'!$V$23:$Z$23,0))),0,INDEX('RTB for Srvc Trans'!$V35:$Z35,MATCH('Individual FTC Cost View'!AI$1,'RTB for Srvc Trans'!$V$23:$Z$23,0)))</f>
        <v>0</v>
      </c>
      <c r="AJ427" s="1008">
        <f>IF(ISNA(INDEX('RTB for Srvc Trans'!$V35:$Z35,MATCH('Individual FTC Cost View'!AJ$1,'RTB for Srvc Trans'!$V$23:$Z$23,0))),0,INDEX('RTB for Srvc Trans'!$V35:$Z35,MATCH('Individual FTC Cost View'!AJ$1,'RTB for Srvc Trans'!$V$23:$Z$23,0)))</f>
        <v>0</v>
      </c>
      <c r="AK427" s="1008">
        <f>IF(ISNA(INDEX('RTB for Srvc Trans'!$V35:$Z35,MATCH('Individual FTC Cost View'!AK$1,'RTB for Srvc Trans'!$V$23:$Z$23,0))),0,INDEX('RTB for Srvc Trans'!$V35:$Z35,MATCH('Individual FTC Cost View'!AK$1,'RTB for Srvc Trans'!$V$23:$Z$23,0)))</f>
        <v>0</v>
      </c>
      <c r="AL427" s="1008">
        <f>IF(ISNA(INDEX('RTB for Srvc Trans'!$V35:$Z35,MATCH('Individual FTC Cost View'!AL$1,'RTB for Srvc Trans'!$V$23:$Z$23,0))),0,INDEX('RTB for Srvc Trans'!$V35:$Z35,MATCH('Individual FTC Cost View'!AL$1,'RTB for Srvc Trans'!$V$23:$Z$23,0)))</f>
        <v>0</v>
      </c>
      <c r="AM427" s="1008">
        <f>IF(ISNA(INDEX('RTB for Srvc Trans'!$V35:$Z35,MATCH('Individual FTC Cost View'!AM$1,'RTB for Srvc Trans'!$V$23:$Z$23,0))),0,INDEX('RTB for Srvc Trans'!$V35:$Z35,MATCH('Individual FTC Cost View'!AM$1,'RTB for Srvc Trans'!$V$23:$Z$23,0)))</f>
        <v>0</v>
      </c>
      <c r="AN427" s="1008">
        <f>IF(ISNA(INDEX('RTB for Srvc Trans'!$V35:$Z35,MATCH('Individual FTC Cost View'!AN$1,'RTB for Srvc Trans'!$V$23:$Z$23,0))),0,INDEX('RTB for Srvc Trans'!$V35:$Z35,MATCH('Individual FTC Cost View'!AN$1,'RTB for Srvc Trans'!$V$23:$Z$23,0)))</f>
        <v>0</v>
      </c>
      <c r="AO427" s="1008">
        <f>IF(ISNA(INDEX('RTB for Srvc Trans'!$V35:$Z35,MATCH('Individual FTC Cost View'!AO$1,'RTB for Srvc Trans'!$V$23:$Z$23,0))),0,INDEX('RTB for Srvc Trans'!$V35:$Z35,MATCH('Individual FTC Cost View'!AO$1,'RTB for Srvc Trans'!$V$23:$Z$23,0)))</f>
        <v>0</v>
      </c>
      <c r="AP427" s="1008">
        <f>IF(ISNA(INDEX('RTB for Srvc Trans'!$V35:$Z35,MATCH('Individual FTC Cost View'!AP$1,'RTB for Srvc Trans'!$V$23:$Z$23,0))),0,INDEX('RTB for Srvc Trans'!$V35:$Z35,MATCH('Individual FTC Cost View'!AP$1,'RTB for Srvc Trans'!$V$23:$Z$23,0)))</f>
        <v>0</v>
      </c>
      <c r="AQ427" s="1008">
        <f>IF(ISNA(INDEX('RTB for Srvc Trans'!$V35:$Z35,MATCH('Individual FTC Cost View'!AQ$1,'RTB for Srvc Trans'!$V$23:$Z$23,0))),0,INDEX('RTB for Srvc Trans'!$V35:$Z35,MATCH('Individual FTC Cost View'!AQ$1,'RTB for Srvc Trans'!$V$23:$Z$23,0)))</f>
        <v>0</v>
      </c>
      <c r="AR427" s="1016">
        <f t="shared" si="17"/>
        <v>0</v>
      </c>
    </row>
    <row r="428" spans="2:44" ht="15" customHeight="1">
      <c r="B428" s="2"/>
      <c r="C428"/>
      <c r="D428"/>
      <c r="E428"/>
      <c r="F428"/>
      <c r="G428"/>
      <c r="H428"/>
      <c r="I428"/>
      <c r="J428"/>
      <c r="K428"/>
      <c r="L428"/>
      <c r="M428"/>
      <c r="N428"/>
      <c r="O428"/>
      <c r="P428"/>
      <c r="Q428"/>
      <c r="AA428" s="1689"/>
      <c r="AB428" s="962" t="str">
        <f>'RTB for Srvc Trans'!Q36</f>
        <v/>
      </c>
      <c r="AC428" s="962" t="str">
        <f>'RTB for Srvc Trans'!R36</f>
        <v>Ongoing Costs</v>
      </c>
      <c r="AD428" s="962" t="str">
        <f>'RTB for Srvc Trans'!S36</f>
        <v xml:space="preserve">Cloud Core Infrastructure Costs </v>
      </c>
      <c r="AE428" s="962" t="str">
        <f>'RTB for Srvc Trans'!T36</f>
        <v/>
      </c>
      <c r="AF428" s="962" t="str">
        <f>'RTB for Srvc Trans'!U36</f>
        <v>RTB</v>
      </c>
      <c r="AG428" s="1008">
        <f>IF(ISNA(INDEX('RTB for Srvc Trans'!$V36:$Z36,MATCH('Individual FTC Cost View'!AG$1,'RTB for Srvc Trans'!$V$23:$Z$23,0))),0,INDEX('RTB for Srvc Trans'!$V36:$Z36,MATCH('Individual FTC Cost View'!AG$1,'RTB for Srvc Trans'!$V$23:$Z$23,0)))</f>
        <v>0</v>
      </c>
      <c r="AH428" s="1008">
        <f>IF(ISNA(INDEX('RTB for Srvc Trans'!$V36:$Z36,MATCH('Individual FTC Cost View'!AH$1,'RTB for Srvc Trans'!$V$23:$Z$23,0))),0,INDEX('RTB for Srvc Trans'!$V36:$Z36,MATCH('Individual FTC Cost View'!AH$1,'RTB for Srvc Trans'!$V$23:$Z$23,0)))</f>
        <v>0</v>
      </c>
      <c r="AI428" s="1008">
        <f>IF(ISNA(INDEX('RTB for Srvc Trans'!$V36:$Z36,MATCH('Individual FTC Cost View'!AI$1,'RTB for Srvc Trans'!$V$23:$Z$23,0))),0,INDEX('RTB for Srvc Trans'!$V36:$Z36,MATCH('Individual FTC Cost View'!AI$1,'RTB for Srvc Trans'!$V$23:$Z$23,0)))</f>
        <v>0</v>
      </c>
      <c r="AJ428" s="1008">
        <f>IF(ISNA(INDEX('RTB for Srvc Trans'!$V36:$Z36,MATCH('Individual FTC Cost View'!AJ$1,'RTB for Srvc Trans'!$V$23:$Z$23,0))),0,INDEX('RTB for Srvc Trans'!$V36:$Z36,MATCH('Individual FTC Cost View'!AJ$1,'RTB for Srvc Trans'!$V$23:$Z$23,0)))</f>
        <v>0</v>
      </c>
      <c r="AK428" s="1008">
        <f>IF(ISNA(INDEX('RTB for Srvc Trans'!$V36:$Z36,MATCH('Individual FTC Cost View'!AK$1,'RTB for Srvc Trans'!$V$23:$Z$23,0))),0,INDEX('RTB for Srvc Trans'!$V36:$Z36,MATCH('Individual FTC Cost View'!AK$1,'RTB for Srvc Trans'!$V$23:$Z$23,0)))</f>
        <v>0</v>
      </c>
      <c r="AL428" s="1008">
        <f>IF(ISNA(INDEX('RTB for Srvc Trans'!$V36:$Z36,MATCH('Individual FTC Cost View'!AL$1,'RTB for Srvc Trans'!$V$23:$Z$23,0))),0,INDEX('RTB for Srvc Trans'!$V36:$Z36,MATCH('Individual FTC Cost View'!AL$1,'RTB for Srvc Trans'!$V$23:$Z$23,0)))</f>
        <v>0</v>
      </c>
      <c r="AM428" s="1008">
        <f>IF(ISNA(INDEX('RTB for Srvc Trans'!$V36:$Z36,MATCH('Individual FTC Cost View'!AM$1,'RTB for Srvc Trans'!$V$23:$Z$23,0))),0,INDEX('RTB for Srvc Trans'!$V36:$Z36,MATCH('Individual FTC Cost View'!AM$1,'RTB for Srvc Trans'!$V$23:$Z$23,0)))</f>
        <v>0</v>
      </c>
      <c r="AN428" s="1008">
        <f>IF(ISNA(INDEX('RTB for Srvc Trans'!$V36:$Z36,MATCH('Individual FTC Cost View'!AN$1,'RTB for Srvc Trans'!$V$23:$Z$23,0))),0,INDEX('RTB for Srvc Trans'!$V36:$Z36,MATCH('Individual FTC Cost View'!AN$1,'RTB for Srvc Trans'!$V$23:$Z$23,0)))</f>
        <v>0</v>
      </c>
      <c r="AO428" s="1008">
        <f>IF(ISNA(INDEX('RTB for Srvc Trans'!$V36:$Z36,MATCH('Individual FTC Cost View'!AO$1,'RTB for Srvc Trans'!$V$23:$Z$23,0))),0,INDEX('RTB for Srvc Trans'!$V36:$Z36,MATCH('Individual FTC Cost View'!AO$1,'RTB for Srvc Trans'!$V$23:$Z$23,0)))</f>
        <v>0</v>
      </c>
      <c r="AP428" s="1008">
        <f>IF(ISNA(INDEX('RTB for Srvc Trans'!$V36:$Z36,MATCH('Individual FTC Cost View'!AP$1,'RTB for Srvc Trans'!$V$23:$Z$23,0))),0,INDEX('RTB for Srvc Trans'!$V36:$Z36,MATCH('Individual FTC Cost View'!AP$1,'RTB for Srvc Trans'!$V$23:$Z$23,0)))</f>
        <v>0</v>
      </c>
      <c r="AQ428" s="1008">
        <f>IF(ISNA(INDEX('RTB for Srvc Trans'!$V36:$Z36,MATCH('Individual FTC Cost View'!AQ$1,'RTB for Srvc Trans'!$V$23:$Z$23,0))),0,INDEX('RTB for Srvc Trans'!$V36:$Z36,MATCH('Individual FTC Cost View'!AQ$1,'RTB for Srvc Trans'!$V$23:$Z$23,0)))</f>
        <v>0</v>
      </c>
      <c r="AR428" s="1016">
        <f t="shared" si="17"/>
        <v>0</v>
      </c>
    </row>
    <row r="429" spans="2:44" ht="15" customHeight="1">
      <c r="B429" s="2"/>
      <c r="C429"/>
      <c r="D429"/>
      <c r="E429"/>
      <c r="F429"/>
      <c r="G429"/>
      <c r="H429"/>
      <c r="I429"/>
      <c r="J429"/>
      <c r="K429"/>
      <c r="L429"/>
      <c r="M429"/>
      <c r="N429"/>
      <c r="O429"/>
      <c r="P429"/>
      <c r="Q429"/>
      <c r="AA429" s="1689"/>
      <c r="AB429" s="962" t="str">
        <f>'RTB for Srvc Trans'!Q37</f>
        <v/>
      </c>
      <c r="AC429" s="962" t="str">
        <f>'RTB for Srvc Trans'!R37</f>
        <v>Ongoing Costs</v>
      </c>
      <c r="AD429" s="962" t="str">
        <f>'RTB for Srvc Trans'!S37</f>
        <v xml:space="preserve">Cloud Core Infrastructure Support </v>
      </c>
      <c r="AE429" s="962" t="str">
        <f>'RTB for Srvc Trans'!T37</f>
        <v/>
      </c>
      <c r="AF429" s="962" t="str">
        <f>'RTB for Srvc Trans'!U37</f>
        <v>RTB</v>
      </c>
      <c r="AG429" s="1008">
        <f>IF(ISNA(INDEX('RTB for Srvc Trans'!$V37:$Z37,MATCH('Individual FTC Cost View'!AG$1,'RTB for Srvc Trans'!$V$23:$Z$23,0))),0,INDEX('RTB for Srvc Trans'!$V37:$Z37,MATCH('Individual FTC Cost View'!AG$1,'RTB for Srvc Trans'!$V$23:$Z$23,0)))</f>
        <v>0</v>
      </c>
      <c r="AH429" s="1008">
        <f>IF(ISNA(INDEX('RTB for Srvc Trans'!$V37:$Z37,MATCH('Individual FTC Cost View'!AH$1,'RTB for Srvc Trans'!$V$23:$Z$23,0))),0,INDEX('RTB for Srvc Trans'!$V37:$Z37,MATCH('Individual FTC Cost View'!AH$1,'RTB for Srvc Trans'!$V$23:$Z$23,0)))</f>
        <v>0</v>
      </c>
      <c r="AI429" s="1008">
        <f>IF(ISNA(INDEX('RTB for Srvc Trans'!$V37:$Z37,MATCH('Individual FTC Cost View'!AI$1,'RTB for Srvc Trans'!$V$23:$Z$23,0))),0,INDEX('RTB for Srvc Trans'!$V37:$Z37,MATCH('Individual FTC Cost View'!AI$1,'RTB for Srvc Trans'!$V$23:$Z$23,0)))</f>
        <v>0</v>
      </c>
      <c r="AJ429" s="1008">
        <f>IF(ISNA(INDEX('RTB for Srvc Trans'!$V37:$Z37,MATCH('Individual FTC Cost View'!AJ$1,'RTB for Srvc Trans'!$V$23:$Z$23,0))),0,INDEX('RTB for Srvc Trans'!$V37:$Z37,MATCH('Individual FTC Cost View'!AJ$1,'RTB for Srvc Trans'!$V$23:$Z$23,0)))</f>
        <v>0</v>
      </c>
      <c r="AK429" s="1008">
        <f>IF(ISNA(INDEX('RTB for Srvc Trans'!$V37:$Z37,MATCH('Individual FTC Cost View'!AK$1,'RTB for Srvc Trans'!$V$23:$Z$23,0))),0,INDEX('RTB for Srvc Trans'!$V37:$Z37,MATCH('Individual FTC Cost View'!AK$1,'RTB for Srvc Trans'!$V$23:$Z$23,0)))</f>
        <v>0</v>
      </c>
      <c r="AL429" s="1008">
        <f>IF(ISNA(INDEX('RTB for Srvc Trans'!$V37:$Z37,MATCH('Individual FTC Cost View'!AL$1,'RTB for Srvc Trans'!$V$23:$Z$23,0))),0,INDEX('RTB for Srvc Trans'!$V37:$Z37,MATCH('Individual FTC Cost View'!AL$1,'RTB for Srvc Trans'!$V$23:$Z$23,0)))</f>
        <v>0</v>
      </c>
      <c r="AM429" s="1008">
        <f>IF(ISNA(INDEX('RTB for Srvc Trans'!$V37:$Z37,MATCH('Individual FTC Cost View'!AM$1,'RTB for Srvc Trans'!$V$23:$Z$23,0))),0,INDEX('RTB for Srvc Trans'!$V37:$Z37,MATCH('Individual FTC Cost View'!AM$1,'RTB for Srvc Trans'!$V$23:$Z$23,0)))</f>
        <v>0</v>
      </c>
      <c r="AN429" s="1008">
        <f>IF(ISNA(INDEX('RTB for Srvc Trans'!$V37:$Z37,MATCH('Individual FTC Cost View'!AN$1,'RTB for Srvc Trans'!$V$23:$Z$23,0))),0,INDEX('RTB for Srvc Trans'!$V37:$Z37,MATCH('Individual FTC Cost View'!AN$1,'RTB for Srvc Trans'!$V$23:$Z$23,0)))</f>
        <v>0</v>
      </c>
      <c r="AO429" s="1008">
        <f>IF(ISNA(INDEX('RTB for Srvc Trans'!$V37:$Z37,MATCH('Individual FTC Cost View'!AO$1,'RTB for Srvc Trans'!$V$23:$Z$23,0))),0,INDEX('RTB for Srvc Trans'!$V37:$Z37,MATCH('Individual FTC Cost View'!AO$1,'RTB for Srvc Trans'!$V$23:$Z$23,0)))</f>
        <v>0</v>
      </c>
      <c r="AP429" s="1008">
        <f>IF(ISNA(INDEX('RTB for Srvc Trans'!$V37:$Z37,MATCH('Individual FTC Cost View'!AP$1,'RTB for Srvc Trans'!$V$23:$Z$23,0))),0,INDEX('RTB for Srvc Trans'!$V37:$Z37,MATCH('Individual FTC Cost View'!AP$1,'RTB for Srvc Trans'!$V$23:$Z$23,0)))</f>
        <v>0</v>
      </c>
      <c r="AQ429" s="1008">
        <f>IF(ISNA(INDEX('RTB for Srvc Trans'!$V37:$Z37,MATCH('Individual FTC Cost View'!AQ$1,'RTB for Srvc Trans'!$V$23:$Z$23,0))),0,INDEX('RTB for Srvc Trans'!$V37:$Z37,MATCH('Individual FTC Cost View'!AQ$1,'RTB for Srvc Trans'!$V$23:$Z$23,0)))</f>
        <v>0</v>
      </c>
      <c r="AR429" s="1016">
        <f t="shared" si="17"/>
        <v>0</v>
      </c>
    </row>
    <row r="430" spans="2:44" ht="15" customHeight="1">
      <c r="B430" s="2"/>
      <c r="C430"/>
      <c r="D430"/>
      <c r="E430"/>
      <c r="F430"/>
      <c r="G430"/>
      <c r="H430"/>
      <c r="I430"/>
      <c r="J430"/>
      <c r="K430"/>
      <c r="L430"/>
      <c r="M430"/>
      <c r="N430"/>
      <c r="O430"/>
      <c r="P430"/>
      <c r="Q430"/>
      <c r="AA430" s="1689"/>
      <c r="AB430" s="962" t="str">
        <f>'RTB for Srvc Trans'!Q38</f>
        <v/>
      </c>
      <c r="AC430" s="962" t="str">
        <f>'RTB for Srvc Trans'!R38</f>
        <v>Ongoing Costs</v>
      </c>
      <c r="AD430" s="962" t="str">
        <f>'RTB for Srvc Trans'!S38</f>
        <v xml:space="preserve">Cloud Infrastructure Hosting Costs (per app) </v>
      </c>
      <c r="AE430" s="962" t="str">
        <f>'RTB for Srvc Trans'!T38</f>
        <v/>
      </c>
      <c r="AF430" s="962" t="str">
        <f>'RTB for Srvc Trans'!U38</f>
        <v>RTB</v>
      </c>
      <c r="AG430" s="1008">
        <f>IF(ISNA(INDEX('RTB for Srvc Trans'!$V38:$Z38,MATCH('Individual FTC Cost View'!AG$1,'RTB for Srvc Trans'!$V$23:$Z$23,0))),0,INDEX('RTB for Srvc Trans'!$V38:$Z38,MATCH('Individual FTC Cost View'!AG$1,'RTB for Srvc Trans'!$V$23:$Z$23,0)))</f>
        <v>0</v>
      </c>
      <c r="AH430" s="1008">
        <f>IF(ISNA(INDEX('RTB for Srvc Trans'!$V38:$Z38,MATCH('Individual FTC Cost View'!AH$1,'RTB for Srvc Trans'!$V$23:$Z$23,0))),0,INDEX('RTB for Srvc Trans'!$V38:$Z38,MATCH('Individual FTC Cost View'!AH$1,'RTB for Srvc Trans'!$V$23:$Z$23,0)))</f>
        <v>0</v>
      </c>
      <c r="AI430" s="1008">
        <f>IF(ISNA(INDEX('RTB for Srvc Trans'!$V38:$Z38,MATCH('Individual FTC Cost View'!AI$1,'RTB for Srvc Trans'!$V$23:$Z$23,0))),0,INDEX('RTB for Srvc Trans'!$V38:$Z38,MATCH('Individual FTC Cost View'!AI$1,'RTB for Srvc Trans'!$V$23:$Z$23,0)))</f>
        <v>0</v>
      </c>
      <c r="AJ430" s="1008">
        <f>IF(ISNA(INDEX('RTB for Srvc Trans'!$V38:$Z38,MATCH('Individual FTC Cost View'!AJ$1,'RTB for Srvc Trans'!$V$23:$Z$23,0))),0,INDEX('RTB for Srvc Trans'!$V38:$Z38,MATCH('Individual FTC Cost View'!AJ$1,'RTB for Srvc Trans'!$V$23:$Z$23,0)))</f>
        <v>0</v>
      </c>
      <c r="AK430" s="1008">
        <f>IF(ISNA(INDEX('RTB for Srvc Trans'!$V38:$Z38,MATCH('Individual FTC Cost View'!AK$1,'RTB for Srvc Trans'!$V$23:$Z$23,0))),0,INDEX('RTB for Srvc Trans'!$V38:$Z38,MATCH('Individual FTC Cost View'!AK$1,'RTB for Srvc Trans'!$V$23:$Z$23,0)))</f>
        <v>0</v>
      </c>
      <c r="AL430" s="1008">
        <f>IF(ISNA(INDEX('RTB for Srvc Trans'!$V38:$Z38,MATCH('Individual FTC Cost View'!AL$1,'RTB for Srvc Trans'!$V$23:$Z$23,0))),0,INDEX('RTB for Srvc Trans'!$V38:$Z38,MATCH('Individual FTC Cost View'!AL$1,'RTB for Srvc Trans'!$V$23:$Z$23,0)))</f>
        <v>0</v>
      </c>
      <c r="AM430" s="1008">
        <f>IF(ISNA(INDEX('RTB for Srvc Trans'!$V38:$Z38,MATCH('Individual FTC Cost View'!AM$1,'RTB for Srvc Trans'!$V$23:$Z$23,0))),0,INDEX('RTB for Srvc Trans'!$V38:$Z38,MATCH('Individual FTC Cost View'!AM$1,'RTB for Srvc Trans'!$V$23:$Z$23,0)))</f>
        <v>0</v>
      </c>
      <c r="AN430" s="1008">
        <f>IF(ISNA(INDEX('RTB for Srvc Trans'!$V38:$Z38,MATCH('Individual FTC Cost View'!AN$1,'RTB for Srvc Trans'!$V$23:$Z$23,0))),0,INDEX('RTB for Srvc Trans'!$V38:$Z38,MATCH('Individual FTC Cost View'!AN$1,'RTB for Srvc Trans'!$V$23:$Z$23,0)))</f>
        <v>0</v>
      </c>
      <c r="AO430" s="1008">
        <f>IF(ISNA(INDEX('RTB for Srvc Trans'!$V38:$Z38,MATCH('Individual FTC Cost View'!AO$1,'RTB for Srvc Trans'!$V$23:$Z$23,0))),0,INDEX('RTB for Srvc Trans'!$V38:$Z38,MATCH('Individual FTC Cost View'!AO$1,'RTB for Srvc Trans'!$V$23:$Z$23,0)))</f>
        <v>0</v>
      </c>
      <c r="AP430" s="1008">
        <f>IF(ISNA(INDEX('RTB for Srvc Trans'!$V38:$Z38,MATCH('Individual FTC Cost View'!AP$1,'RTB for Srvc Trans'!$V$23:$Z$23,0))),0,INDEX('RTB for Srvc Trans'!$V38:$Z38,MATCH('Individual FTC Cost View'!AP$1,'RTB for Srvc Trans'!$V$23:$Z$23,0)))</f>
        <v>0</v>
      </c>
      <c r="AQ430" s="1008">
        <f>IF(ISNA(INDEX('RTB for Srvc Trans'!$V38:$Z38,MATCH('Individual FTC Cost View'!AQ$1,'RTB for Srvc Trans'!$V$23:$Z$23,0))),0,INDEX('RTB for Srvc Trans'!$V38:$Z38,MATCH('Individual FTC Cost View'!AQ$1,'RTB for Srvc Trans'!$V$23:$Z$23,0)))</f>
        <v>0</v>
      </c>
      <c r="AR430" s="1016">
        <f t="shared" si="17"/>
        <v>0</v>
      </c>
    </row>
    <row r="431" spans="2:44" ht="15" customHeight="1">
      <c r="B431" s="2"/>
      <c r="C431"/>
      <c r="D431"/>
      <c r="E431"/>
      <c r="F431"/>
      <c r="G431"/>
      <c r="H431"/>
      <c r="I431"/>
      <c r="J431"/>
      <c r="K431"/>
      <c r="L431"/>
      <c r="M431"/>
      <c r="N431"/>
      <c r="O431"/>
      <c r="P431"/>
      <c r="Q431"/>
      <c r="AA431" s="1689"/>
      <c r="AB431" s="962" t="str">
        <f>'RTB for Srvc Trans'!Q39</f>
        <v/>
      </c>
      <c r="AC431" s="962" t="str">
        <f>'RTB for Srvc Trans'!R39</f>
        <v>Ongoing Costs</v>
      </c>
      <c r="AD431" s="962" t="str">
        <f>'RTB for Srvc Trans'!S39</f>
        <v>Cloud Infrastructure Support Costs (per app)</v>
      </c>
      <c r="AE431" s="962" t="str">
        <f>'RTB for Srvc Trans'!T39</f>
        <v/>
      </c>
      <c r="AF431" s="962" t="str">
        <f>'RTB for Srvc Trans'!U39</f>
        <v>RTB</v>
      </c>
      <c r="AG431" s="1008">
        <f>IF(ISNA(INDEX('RTB for Srvc Trans'!$V39:$Z39,MATCH('Individual FTC Cost View'!AG$1,'RTB for Srvc Trans'!$V$23:$Z$23,0))),0,INDEX('RTB for Srvc Trans'!$V39:$Z39,MATCH('Individual FTC Cost View'!AG$1,'RTB for Srvc Trans'!$V$23:$Z$23,0)))</f>
        <v>0</v>
      </c>
      <c r="AH431" s="1008">
        <f>IF(ISNA(INDEX('RTB for Srvc Trans'!$V39:$Z39,MATCH('Individual FTC Cost View'!AH$1,'RTB for Srvc Trans'!$V$23:$Z$23,0))),0,INDEX('RTB for Srvc Trans'!$V39:$Z39,MATCH('Individual FTC Cost View'!AH$1,'RTB for Srvc Trans'!$V$23:$Z$23,0)))</f>
        <v>0</v>
      </c>
      <c r="AI431" s="1008">
        <f>IF(ISNA(INDEX('RTB for Srvc Trans'!$V39:$Z39,MATCH('Individual FTC Cost View'!AI$1,'RTB for Srvc Trans'!$V$23:$Z$23,0))),0,INDEX('RTB for Srvc Trans'!$V39:$Z39,MATCH('Individual FTC Cost View'!AI$1,'RTB for Srvc Trans'!$V$23:$Z$23,0)))</f>
        <v>0</v>
      </c>
      <c r="AJ431" s="1008">
        <f>IF(ISNA(INDEX('RTB for Srvc Trans'!$V39:$Z39,MATCH('Individual FTC Cost View'!AJ$1,'RTB for Srvc Trans'!$V$23:$Z$23,0))),0,INDEX('RTB for Srvc Trans'!$V39:$Z39,MATCH('Individual FTC Cost View'!AJ$1,'RTB for Srvc Trans'!$V$23:$Z$23,0)))</f>
        <v>0</v>
      </c>
      <c r="AK431" s="1008">
        <f>IF(ISNA(INDEX('RTB for Srvc Trans'!$V39:$Z39,MATCH('Individual FTC Cost View'!AK$1,'RTB for Srvc Trans'!$V$23:$Z$23,0))),0,INDEX('RTB for Srvc Trans'!$V39:$Z39,MATCH('Individual FTC Cost View'!AK$1,'RTB for Srvc Trans'!$V$23:$Z$23,0)))</f>
        <v>0</v>
      </c>
      <c r="AL431" s="1008">
        <f>IF(ISNA(INDEX('RTB for Srvc Trans'!$V39:$Z39,MATCH('Individual FTC Cost View'!AL$1,'RTB for Srvc Trans'!$V$23:$Z$23,0))),0,INDEX('RTB for Srvc Trans'!$V39:$Z39,MATCH('Individual FTC Cost View'!AL$1,'RTB for Srvc Trans'!$V$23:$Z$23,0)))</f>
        <v>0</v>
      </c>
      <c r="AM431" s="1008">
        <f>IF(ISNA(INDEX('RTB for Srvc Trans'!$V39:$Z39,MATCH('Individual FTC Cost View'!AM$1,'RTB for Srvc Trans'!$V$23:$Z$23,0))),0,INDEX('RTB for Srvc Trans'!$V39:$Z39,MATCH('Individual FTC Cost View'!AM$1,'RTB for Srvc Trans'!$V$23:$Z$23,0)))</f>
        <v>0</v>
      </c>
      <c r="AN431" s="1008">
        <f>IF(ISNA(INDEX('RTB for Srvc Trans'!$V39:$Z39,MATCH('Individual FTC Cost View'!AN$1,'RTB for Srvc Trans'!$V$23:$Z$23,0))),0,INDEX('RTB for Srvc Trans'!$V39:$Z39,MATCH('Individual FTC Cost View'!AN$1,'RTB for Srvc Trans'!$V$23:$Z$23,0)))</f>
        <v>0</v>
      </c>
      <c r="AO431" s="1008">
        <f>IF(ISNA(INDEX('RTB for Srvc Trans'!$V39:$Z39,MATCH('Individual FTC Cost View'!AO$1,'RTB for Srvc Trans'!$V$23:$Z$23,0))),0,INDEX('RTB for Srvc Trans'!$V39:$Z39,MATCH('Individual FTC Cost View'!AO$1,'RTB for Srvc Trans'!$V$23:$Z$23,0)))</f>
        <v>0</v>
      </c>
      <c r="AP431" s="1008">
        <f>IF(ISNA(INDEX('RTB for Srvc Trans'!$V39:$Z39,MATCH('Individual FTC Cost View'!AP$1,'RTB for Srvc Trans'!$V$23:$Z$23,0))),0,INDEX('RTB for Srvc Trans'!$V39:$Z39,MATCH('Individual FTC Cost View'!AP$1,'RTB for Srvc Trans'!$V$23:$Z$23,0)))</f>
        <v>0</v>
      </c>
      <c r="AQ431" s="1008">
        <f>IF(ISNA(INDEX('RTB for Srvc Trans'!$V39:$Z39,MATCH('Individual FTC Cost View'!AQ$1,'RTB for Srvc Trans'!$V$23:$Z$23,0))),0,INDEX('RTB for Srvc Trans'!$V39:$Z39,MATCH('Individual FTC Cost View'!AQ$1,'RTB for Srvc Trans'!$V$23:$Z$23,0)))</f>
        <v>0</v>
      </c>
      <c r="AR431" s="1016">
        <f t="shared" si="17"/>
        <v>0</v>
      </c>
    </row>
    <row r="432" spans="2:44" ht="15" customHeight="1">
      <c r="B432" s="2"/>
      <c r="C432"/>
      <c r="D432"/>
      <c r="E432"/>
      <c r="F432"/>
      <c r="G432"/>
      <c r="H432"/>
      <c r="I432"/>
      <c r="J432"/>
      <c r="K432"/>
      <c r="L432"/>
      <c r="M432"/>
      <c r="N432"/>
      <c r="O432"/>
      <c r="P432"/>
      <c r="Q432"/>
      <c r="AA432" s="1689"/>
      <c r="AB432" s="962" t="str">
        <f>'RTB for Srvc Trans'!Q40</f>
        <v/>
      </c>
      <c r="AC432" s="962" t="str">
        <f>'RTB for Srvc Trans'!R40</f>
        <v>Ongoing Costs</v>
      </c>
      <c r="AD432" s="962" t="str">
        <f>'RTB for Srvc Trans'!S40</f>
        <v xml:space="preserve">DaaS Infrastructure Hosting Costs  </v>
      </c>
      <c r="AE432" s="962" t="str">
        <f>'RTB for Srvc Trans'!T40</f>
        <v/>
      </c>
      <c r="AF432" s="962" t="str">
        <f>'RTB for Srvc Trans'!U40</f>
        <v>RTB</v>
      </c>
      <c r="AG432" s="1008">
        <f>IF(ISNA(INDEX('RTB for Srvc Trans'!$V40:$Z40,MATCH('Individual FTC Cost View'!AG$1,'RTB for Srvc Trans'!$V$23:$Z$23,0))),0,INDEX('RTB for Srvc Trans'!$V40:$Z40,MATCH('Individual FTC Cost View'!AG$1,'RTB for Srvc Trans'!$V$23:$Z$23,0)))</f>
        <v>0</v>
      </c>
      <c r="AH432" s="1008">
        <f>IF(ISNA(INDEX('RTB for Srvc Trans'!$V40:$Z40,MATCH('Individual FTC Cost View'!AH$1,'RTB for Srvc Trans'!$V$23:$Z$23,0))),0,INDEX('RTB for Srvc Trans'!$V40:$Z40,MATCH('Individual FTC Cost View'!AH$1,'RTB for Srvc Trans'!$V$23:$Z$23,0)))</f>
        <v>0</v>
      </c>
      <c r="AI432" s="1008">
        <f>IF(ISNA(INDEX('RTB for Srvc Trans'!$V40:$Z40,MATCH('Individual FTC Cost View'!AI$1,'RTB for Srvc Trans'!$V$23:$Z$23,0))),0,INDEX('RTB for Srvc Trans'!$V40:$Z40,MATCH('Individual FTC Cost View'!AI$1,'RTB for Srvc Trans'!$V$23:$Z$23,0)))</f>
        <v>0</v>
      </c>
      <c r="AJ432" s="1008">
        <f>IF(ISNA(INDEX('RTB for Srvc Trans'!$V40:$Z40,MATCH('Individual FTC Cost View'!AJ$1,'RTB for Srvc Trans'!$V$23:$Z$23,0))),0,INDEX('RTB for Srvc Trans'!$V40:$Z40,MATCH('Individual FTC Cost View'!AJ$1,'RTB for Srvc Trans'!$V$23:$Z$23,0)))</f>
        <v>0</v>
      </c>
      <c r="AK432" s="1008">
        <f>IF(ISNA(INDEX('RTB for Srvc Trans'!$V40:$Z40,MATCH('Individual FTC Cost View'!AK$1,'RTB for Srvc Trans'!$V$23:$Z$23,0))),0,INDEX('RTB for Srvc Trans'!$V40:$Z40,MATCH('Individual FTC Cost View'!AK$1,'RTB for Srvc Trans'!$V$23:$Z$23,0)))</f>
        <v>0</v>
      </c>
      <c r="AL432" s="1008">
        <f>IF(ISNA(INDEX('RTB for Srvc Trans'!$V40:$Z40,MATCH('Individual FTC Cost View'!AL$1,'RTB for Srvc Trans'!$V$23:$Z$23,0))),0,INDEX('RTB for Srvc Trans'!$V40:$Z40,MATCH('Individual FTC Cost View'!AL$1,'RTB for Srvc Trans'!$V$23:$Z$23,0)))</f>
        <v>0</v>
      </c>
      <c r="AM432" s="1008">
        <f>IF(ISNA(INDEX('RTB for Srvc Trans'!$V40:$Z40,MATCH('Individual FTC Cost View'!AM$1,'RTB for Srvc Trans'!$V$23:$Z$23,0))),0,INDEX('RTB for Srvc Trans'!$V40:$Z40,MATCH('Individual FTC Cost View'!AM$1,'RTB for Srvc Trans'!$V$23:$Z$23,0)))</f>
        <v>0</v>
      </c>
      <c r="AN432" s="1008">
        <f>IF(ISNA(INDEX('RTB for Srvc Trans'!$V40:$Z40,MATCH('Individual FTC Cost View'!AN$1,'RTB for Srvc Trans'!$V$23:$Z$23,0))),0,INDEX('RTB for Srvc Trans'!$V40:$Z40,MATCH('Individual FTC Cost View'!AN$1,'RTB for Srvc Trans'!$V$23:$Z$23,0)))</f>
        <v>0</v>
      </c>
      <c r="AO432" s="1008">
        <f>IF(ISNA(INDEX('RTB for Srvc Trans'!$V40:$Z40,MATCH('Individual FTC Cost View'!AO$1,'RTB for Srvc Trans'!$V$23:$Z$23,0))),0,INDEX('RTB for Srvc Trans'!$V40:$Z40,MATCH('Individual FTC Cost View'!AO$1,'RTB for Srvc Trans'!$V$23:$Z$23,0)))</f>
        <v>0</v>
      </c>
      <c r="AP432" s="1008">
        <f>IF(ISNA(INDEX('RTB for Srvc Trans'!$V40:$Z40,MATCH('Individual FTC Cost View'!AP$1,'RTB for Srvc Trans'!$V$23:$Z$23,0))),0,INDEX('RTB for Srvc Trans'!$V40:$Z40,MATCH('Individual FTC Cost View'!AP$1,'RTB for Srvc Trans'!$V$23:$Z$23,0)))</f>
        <v>0</v>
      </c>
      <c r="AQ432" s="1008">
        <f>IF(ISNA(INDEX('RTB for Srvc Trans'!$V40:$Z40,MATCH('Individual FTC Cost View'!AQ$1,'RTB for Srvc Trans'!$V$23:$Z$23,0))),0,INDEX('RTB for Srvc Trans'!$V40:$Z40,MATCH('Individual FTC Cost View'!AQ$1,'RTB for Srvc Trans'!$V$23:$Z$23,0)))</f>
        <v>0</v>
      </c>
      <c r="AR432" s="1016">
        <f t="shared" si="17"/>
        <v>0</v>
      </c>
    </row>
    <row r="433" spans="2:44" ht="15" customHeight="1">
      <c r="B433" s="2"/>
      <c r="C433"/>
      <c r="D433"/>
      <c r="E433"/>
      <c r="F433"/>
      <c r="G433"/>
      <c r="H433"/>
      <c r="I433"/>
      <c r="J433"/>
      <c r="K433"/>
      <c r="L433"/>
      <c r="M433"/>
      <c r="N433"/>
      <c r="O433"/>
      <c r="P433"/>
      <c r="Q433"/>
      <c r="AA433" s="1689"/>
      <c r="AB433" s="962" t="str">
        <f>'RTB for Srvc Trans'!Q41</f>
        <v/>
      </c>
      <c r="AC433" s="962" t="str">
        <f>'RTB for Srvc Trans'!R41</f>
        <v>Ongoing Costs</v>
      </c>
      <c r="AD433" s="962" t="str">
        <f>'RTB for Srvc Trans'!S41</f>
        <v xml:space="preserve">DaaS Infrastructure Support Costs </v>
      </c>
      <c r="AE433" s="962" t="str">
        <f>'RTB for Srvc Trans'!T41</f>
        <v/>
      </c>
      <c r="AF433" s="962" t="str">
        <f>'RTB for Srvc Trans'!U41</f>
        <v>RTB</v>
      </c>
      <c r="AG433" s="1008">
        <f>IF(ISNA(INDEX('RTB for Srvc Trans'!$V41:$Z41,MATCH('Individual FTC Cost View'!AG$1,'RTB for Srvc Trans'!$V$23:$Z$23,0))),0,INDEX('RTB for Srvc Trans'!$V41:$Z41,MATCH('Individual FTC Cost View'!AG$1,'RTB for Srvc Trans'!$V$23:$Z$23,0)))</f>
        <v>0</v>
      </c>
      <c r="AH433" s="1008">
        <f>IF(ISNA(INDEX('RTB for Srvc Trans'!$V41:$Z41,MATCH('Individual FTC Cost View'!AH$1,'RTB for Srvc Trans'!$V$23:$Z$23,0))),0,INDEX('RTB for Srvc Trans'!$V41:$Z41,MATCH('Individual FTC Cost View'!AH$1,'RTB for Srvc Trans'!$V$23:$Z$23,0)))</f>
        <v>0</v>
      </c>
      <c r="AI433" s="1008">
        <f>IF(ISNA(INDEX('RTB for Srvc Trans'!$V41:$Z41,MATCH('Individual FTC Cost View'!AI$1,'RTB for Srvc Trans'!$V$23:$Z$23,0))),0,INDEX('RTB for Srvc Trans'!$V41:$Z41,MATCH('Individual FTC Cost View'!AI$1,'RTB for Srvc Trans'!$V$23:$Z$23,0)))</f>
        <v>0</v>
      </c>
      <c r="AJ433" s="1008">
        <f>IF(ISNA(INDEX('RTB for Srvc Trans'!$V41:$Z41,MATCH('Individual FTC Cost View'!AJ$1,'RTB for Srvc Trans'!$V$23:$Z$23,0))),0,INDEX('RTB for Srvc Trans'!$V41:$Z41,MATCH('Individual FTC Cost View'!AJ$1,'RTB for Srvc Trans'!$V$23:$Z$23,0)))</f>
        <v>0</v>
      </c>
      <c r="AK433" s="1008">
        <f>IF(ISNA(INDEX('RTB for Srvc Trans'!$V41:$Z41,MATCH('Individual FTC Cost View'!AK$1,'RTB for Srvc Trans'!$V$23:$Z$23,0))),0,INDEX('RTB for Srvc Trans'!$V41:$Z41,MATCH('Individual FTC Cost View'!AK$1,'RTB for Srvc Trans'!$V$23:$Z$23,0)))</f>
        <v>0</v>
      </c>
      <c r="AL433" s="1008">
        <f>IF(ISNA(INDEX('RTB for Srvc Trans'!$V41:$Z41,MATCH('Individual FTC Cost View'!AL$1,'RTB for Srvc Trans'!$V$23:$Z$23,0))),0,INDEX('RTB for Srvc Trans'!$V41:$Z41,MATCH('Individual FTC Cost View'!AL$1,'RTB for Srvc Trans'!$V$23:$Z$23,0)))</f>
        <v>0</v>
      </c>
      <c r="AM433" s="1008">
        <f>IF(ISNA(INDEX('RTB for Srvc Trans'!$V41:$Z41,MATCH('Individual FTC Cost View'!AM$1,'RTB for Srvc Trans'!$V$23:$Z$23,0))),0,INDEX('RTB for Srvc Trans'!$V41:$Z41,MATCH('Individual FTC Cost View'!AM$1,'RTB for Srvc Trans'!$V$23:$Z$23,0)))</f>
        <v>0</v>
      </c>
      <c r="AN433" s="1008">
        <f>IF(ISNA(INDEX('RTB for Srvc Trans'!$V41:$Z41,MATCH('Individual FTC Cost View'!AN$1,'RTB for Srvc Trans'!$V$23:$Z$23,0))),0,INDEX('RTB for Srvc Trans'!$V41:$Z41,MATCH('Individual FTC Cost View'!AN$1,'RTB for Srvc Trans'!$V$23:$Z$23,0)))</f>
        <v>0</v>
      </c>
      <c r="AO433" s="1008">
        <f>IF(ISNA(INDEX('RTB for Srvc Trans'!$V41:$Z41,MATCH('Individual FTC Cost View'!AO$1,'RTB for Srvc Trans'!$V$23:$Z$23,0))),0,INDEX('RTB for Srvc Trans'!$V41:$Z41,MATCH('Individual FTC Cost View'!AO$1,'RTB for Srvc Trans'!$V$23:$Z$23,0)))</f>
        <v>0</v>
      </c>
      <c r="AP433" s="1008">
        <f>IF(ISNA(INDEX('RTB for Srvc Trans'!$V41:$Z41,MATCH('Individual FTC Cost View'!AP$1,'RTB for Srvc Trans'!$V$23:$Z$23,0))),0,INDEX('RTB for Srvc Trans'!$V41:$Z41,MATCH('Individual FTC Cost View'!AP$1,'RTB for Srvc Trans'!$V$23:$Z$23,0)))</f>
        <v>0</v>
      </c>
      <c r="AQ433" s="1008">
        <f>IF(ISNA(INDEX('RTB for Srvc Trans'!$V41:$Z41,MATCH('Individual FTC Cost View'!AQ$1,'RTB for Srvc Trans'!$V$23:$Z$23,0))),0,INDEX('RTB for Srvc Trans'!$V41:$Z41,MATCH('Individual FTC Cost View'!AQ$1,'RTB for Srvc Trans'!$V$23:$Z$23,0)))</f>
        <v>0</v>
      </c>
      <c r="AR433" s="1016">
        <f t="shared" si="17"/>
        <v>0</v>
      </c>
    </row>
    <row r="434" spans="2:44" ht="15" customHeight="1">
      <c r="B434" s="2"/>
      <c r="C434"/>
      <c r="D434"/>
      <c r="E434"/>
      <c r="F434"/>
      <c r="G434"/>
      <c r="H434"/>
      <c r="I434"/>
      <c r="J434"/>
      <c r="K434"/>
      <c r="L434"/>
      <c r="M434"/>
      <c r="N434"/>
      <c r="O434"/>
      <c r="P434"/>
      <c r="Q434"/>
      <c r="AA434" s="1689"/>
      <c r="AB434" s="962" t="str">
        <f>'RTB for Srvc Trans'!Q42</f>
        <v/>
      </c>
      <c r="AC434" s="962" t="str">
        <f>'RTB for Srvc Trans'!R42</f>
        <v>Ongoing Costs</v>
      </c>
      <c r="AD434" s="962" t="str">
        <f>'RTB for Srvc Trans'!S42</f>
        <v>3rd Party Software Support &amp; Maintenance</v>
      </c>
      <c r="AE434" s="962" t="str">
        <f>'RTB for Srvc Trans'!T42</f>
        <v/>
      </c>
      <c r="AF434" s="962" t="str">
        <f>'RTB for Srvc Trans'!U42</f>
        <v>RTB</v>
      </c>
      <c r="AG434" s="1008">
        <f>IF(ISNA(INDEX('RTB for Srvc Trans'!$V42:$Z42,MATCH('Individual FTC Cost View'!AG$1,'RTB for Srvc Trans'!$V$23:$Z$23,0))),0,INDEX('RTB for Srvc Trans'!$V42:$Z42,MATCH('Individual FTC Cost View'!AG$1,'RTB for Srvc Trans'!$V$23:$Z$23,0)))</f>
        <v>0</v>
      </c>
      <c r="AH434" s="1008">
        <f>IF(ISNA(INDEX('RTB for Srvc Trans'!$V42:$Z42,MATCH('Individual FTC Cost View'!AH$1,'RTB for Srvc Trans'!$V$23:$Z$23,0))),0,INDEX('RTB for Srvc Trans'!$V42:$Z42,MATCH('Individual FTC Cost View'!AH$1,'RTB for Srvc Trans'!$V$23:$Z$23,0)))</f>
        <v>0</v>
      </c>
      <c r="AI434" s="1008">
        <f>IF(ISNA(INDEX('RTB for Srvc Trans'!$V42:$Z42,MATCH('Individual FTC Cost View'!AI$1,'RTB for Srvc Trans'!$V$23:$Z$23,0))),0,INDEX('RTB for Srvc Trans'!$V42:$Z42,MATCH('Individual FTC Cost View'!AI$1,'RTB for Srvc Trans'!$V$23:$Z$23,0)))</f>
        <v>0</v>
      </c>
      <c r="AJ434" s="1008">
        <f>IF(ISNA(INDEX('RTB for Srvc Trans'!$V42:$Z42,MATCH('Individual FTC Cost View'!AJ$1,'RTB for Srvc Trans'!$V$23:$Z$23,0))),0,INDEX('RTB for Srvc Trans'!$V42:$Z42,MATCH('Individual FTC Cost View'!AJ$1,'RTB for Srvc Trans'!$V$23:$Z$23,0)))</f>
        <v>0</v>
      </c>
      <c r="AK434" s="1008">
        <f>IF(ISNA(INDEX('RTB for Srvc Trans'!$V42:$Z42,MATCH('Individual FTC Cost View'!AK$1,'RTB for Srvc Trans'!$V$23:$Z$23,0))),0,INDEX('RTB for Srvc Trans'!$V42:$Z42,MATCH('Individual FTC Cost View'!AK$1,'RTB for Srvc Trans'!$V$23:$Z$23,0)))</f>
        <v>0</v>
      </c>
      <c r="AL434" s="1008">
        <f>IF(ISNA(INDEX('RTB for Srvc Trans'!$V42:$Z42,MATCH('Individual FTC Cost View'!AL$1,'RTB for Srvc Trans'!$V$23:$Z$23,0))),0,INDEX('RTB for Srvc Trans'!$V42:$Z42,MATCH('Individual FTC Cost View'!AL$1,'RTB for Srvc Trans'!$V$23:$Z$23,0)))</f>
        <v>0</v>
      </c>
      <c r="AM434" s="1008">
        <f>IF(ISNA(INDEX('RTB for Srvc Trans'!$V42:$Z42,MATCH('Individual FTC Cost View'!AM$1,'RTB for Srvc Trans'!$V$23:$Z$23,0))),0,INDEX('RTB for Srvc Trans'!$V42:$Z42,MATCH('Individual FTC Cost View'!AM$1,'RTB for Srvc Trans'!$V$23:$Z$23,0)))</f>
        <v>0</v>
      </c>
      <c r="AN434" s="1008">
        <f>IF(ISNA(INDEX('RTB for Srvc Trans'!$V42:$Z42,MATCH('Individual FTC Cost View'!AN$1,'RTB for Srvc Trans'!$V$23:$Z$23,0))),0,INDEX('RTB for Srvc Trans'!$V42:$Z42,MATCH('Individual FTC Cost View'!AN$1,'RTB for Srvc Trans'!$V$23:$Z$23,0)))</f>
        <v>0</v>
      </c>
      <c r="AO434" s="1008">
        <f>IF(ISNA(INDEX('RTB for Srvc Trans'!$V42:$Z42,MATCH('Individual FTC Cost View'!AO$1,'RTB for Srvc Trans'!$V$23:$Z$23,0))),0,INDEX('RTB for Srvc Trans'!$V42:$Z42,MATCH('Individual FTC Cost View'!AO$1,'RTB for Srvc Trans'!$V$23:$Z$23,0)))</f>
        <v>0</v>
      </c>
      <c r="AP434" s="1008">
        <f>IF(ISNA(INDEX('RTB for Srvc Trans'!$V42:$Z42,MATCH('Individual FTC Cost View'!AP$1,'RTB for Srvc Trans'!$V$23:$Z$23,0))),0,INDEX('RTB for Srvc Trans'!$V42:$Z42,MATCH('Individual FTC Cost View'!AP$1,'RTB for Srvc Trans'!$V$23:$Z$23,0)))</f>
        <v>0</v>
      </c>
      <c r="AQ434" s="1008">
        <f>IF(ISNA(INDEX('RTB for Srvc Trans'!$V42:$Z42,MATCH('Individual FTC Cost View'!AQ$1,'RTB for Srvc Trans'!$V$23:$Z$23,0))),0,INDEX('RTB for Srvc Trans'!$V42:$Z42,MATCH('Individual FTC Cost View'!AQ$1,'RTB for Srvc Trans'!$V$23:$Z$23,0)))</f>
        <v>0</v>
      </c>
      <c r="AR434" s="1016">
        <f t="shared" si="17"/>
        <v>0</v>
      </c>
    </row>
    <row r="435" spans="2:44" ht="15" customHeight="1">
      <c r="B435" s="2"/>
      <c r="C435"/>
      <c r="D435"/>
      <c r="E435"/>
      <c r="F435"/>
      <c r="G435"/>
      <c r="H435"/>
      <c r="I435"/>
      <c r="J435"/>
      <c r="K435"/>
      <c r="L435"/>
      <c r="M435"/>
      <c r="N435"/>
      <c r="O435"/>
      <c r="P435"/>
      <c r="Q435"/>
      <c r="AA435" s="1689"/>
      <c r="AB435" s="962" t="str">
        <f>'RTB for Srvc Trans'!Q43</f>
        <v/>
      </c>
      <c r="AC435" s="962" t="str">
        <f>'RTB for Srvc Trans'!R43</f>
        <v>Ongoing Costs</v>
      </c>
      <c r="AD435" s="962" t="str">
        <f>'RTB for Srvc Trans'!S43</f>
        <v>Software Subscription License</v>
      </c>
      <c r="AE435" s="962" t="str">
        <f>'RTB for Srvc Trans'!T43</f>
        <v/>
      </c>
      <c r="AF435" s="962" t="str">
        <f>'RTB for Srvc Trans'!U43</f>
        <v>RTB</v>
      </c>
      <c r="AG435" s="1008">
        <f>IF(ISNA(INDEX('RTB for Srvc Trans'!$V43:$Z43,MATCH('Individual FTC Cost View'!AG$1,'RTB for Srvc Trans'!$V$23:$Z$23,0))),0,INDEX('RTB for Srvc Trans'!$V43:$Z43,MATCH('Individual FTC Cost View'!AG$1,'RTB for Srvc Trans'!$V$23:$Z$23,0)))</f>
        <v>0</v>
      </c>
      <c r="AH435" s="1008">
        <f>IF(ISNA(INDEX('RTB for Srvc Trans'!$V43:$Z43,MATCH('Individual FTC Cost View'!AH$1,'RTB for Srvc Trans'!$V$23:$Z$23,0))),0,INDEX('RTB for Srvc Trans'!$V43:$Z43,MATCH('Individual FTC Cost View'!AH$1,'RTB for Srvc Trans'!$V$23:$Z$23,0)))</f>
        <v>0</v>
      </c>
      <c r="AI435" s="1008">
        <f>IF(ISNA(INDEX('RTB for Srvc Trans'!$V43:$Z43,MATCH('Individual FTC Cost View'!AI$1,'RTB for Srvc Trans'!$V$23:$Z$23,0))),0,INDEX('RTB for Srvc Trans'!$V43:$Z43,MATCH('Individual FTC Cost View'!AI$1,'RTB for Srvc Trans'!$V$23:$Z$23,0)))</f>
        <v>0</v>
      </c>
      <c r="AJ435" s="1008">
        <f>IF(ISNA(INDEX('RTB for Srvc Trans'!$V43:$Z43,MATCH('Individual FTC Cost View'!AJ$1,'RTB for Srvc Trans'!$V$23:$Z$23,0))),0,INDEX('RTB for Srvc Trans'!$V43:$Z43,MATCH('Individual FTC Cost View'!AJ$1,'RTB for Srvc Trans'!$V$23:$Z$23,0)))</f>
        <v>0</v>
      </c>
      <c r="AK435" s="1008">
        <f>IF(ISNA(INDEX('RTB for Srvc Trans'!$V43:$Z43,MATCH('Individual FTC Cost View'!AK$1,'RTB for Srvc Trans'!$V$23:$Z$23,0))),0,INDEX('RTB for Srvc Trans'!$V43:$Z43,MATCH('Individual FTC Cost View'!AK$1,'RTB for Srvc Trans'!$V$23:$Z$23,0)))</f>
        <v>0</v>
      </c>
      <c r="AL435" s="1008">
        <f>IF(ISNA(INDEX('RTB for Srvc Trans'!$V43:$Z43,MATCH('Individual FTC Cost View'!AL$1,'RTB for Srvc Trans'!$V$23:$Z$23,0))),0,INDEX('RTB for Srvc Trans'!$V43:$Z43,MATCH('Individual FTC Cost View'!AL$1,'RTB for Srvc Trans'!$V$23:$Z$23,0)))</f>
        <v>0</v>
      </c>
      <c r="AM435" s="1008">
        <f>IF(ISNA(INDEX('RTB for Srvc Trans'!$V43:$Z43,MATCH('Individual FTC Cost View'!AM$1,'RTB for Srvc Trans'!$V$23:$Z$23,0))),0,INDEX('RTB for Srvc Trans'!$V43:$Z43,MATCH('Individual FTC Cost View'!AM$1,'RTB for Srvc Trans'!$V$23:$Z$23,0)))</f>
        <v>0</v>
      </c>
      <c r="AN435" s="1008">
        <f>IF(ISNA(INDEX('RTB for Srvc Trans'!$V43:$Z43,MATCH('Individual FTC Cost View'!AN$1,'RTB for Srvc Trans'!$V$23:$Z$23,0))),0,INDEX('RTB for Srvc Trans'!$V43:$Z43,MATCH('Individual FTC Cost View'!AN$1,'RTB for Srvc Trans'!$V$23:$Z$23,0)))</f>
        <v>0</v>
      </c>
      <c r="AO435" s="1008">
        <f>IF(ISNA(INDEX('RTB for Srvc Trans'!$V43:$Z43,MATCH('Individual FTC Cost View'!AO$1,'RTB for Srvc Trans'!$V$23:$Z$23,0))),0,INDEX('RTB for Srvc Trans'!$V43:$Z43,MATCH('Individual FTC Cost View'!AO$1,'RTB for Srvc Trans'!$V$23:$Z$23,0)))</f>
        <v>0</v>
      </c>
      <c r="AP435" s="1008">
        <f>IF(ISNA(INDEX('RTB for Srvc Trans'!$V43:$Z43,MATCH('Individual FTC Cost View'!AP$1,'RTB for Srvc Trans'!$V$23:$Z$23,0))),0,INDEX('RTB for Srvc Trans'!$V43:$Z43,MATCH('Individual FTC Cost View'!AP$1,'RTB for Srvc Trans'!$V$23:$Z$23,0)))</f>
        <v>0</v>
      </c>
      <c r="AQ435" s="1008">
        <f>IF(ISNA(INDEX('RTB for Srvc Trans'!$V43:$Z43,MATCH('Individual FTC Cost View'!AQ$1,'RTB for Srvc Trans'!$V$23:$Z$23,0))),0,INDEX('RTB for Srvc Trans'!$V43:$Z43,MATCH('Individual FTC Cost View'!AQ$1,'RTB for Srvc Trans'!$V$23:$Z$23,0)))</f>
        <v>0</v>
      </c>
      <c r="AR435" s="1016">
        <f t="shared" si="17"/>
        <v>0</v>
      </c>
    </row>
    <row r="436" spans="2:44" ht="15" customHeight="1">
      <c r="B436" s="2"/>
      <c r="C436"/>
      <c r="D436"/>
      <c r="E436"/>
      <c r="F436"/>
      <c r="G436"/>
      <c r="H436"/>
      <c r="I436"/>
      <c r="J436"/>
      <c r="K436"/>
      <c r="L436"/>
      <c r="M436"/>
      <c r="N436"/>
      <c r="O436"/>
      <c r="P436"/>
      <c r="Q436"/>
      <c r="AA436" s="1689"/>
      <c r="AB436" s="962" t="str">
        <f>'RTB for Srvc Trans'!Q44</f>
        <v/>
      </c>
      <c r="AC436" s="962" t="str">
        <f>'RTB for Srvc Trans'!R44</f>
        <v>Ongoing Costs</v>
      </c>
      <c r="AD436" s="962" t="str">
        <f>'RTB for Srvc Trans'!S44</f>
        <v>SaaS software license costs</v>
      </c>
      <c r="AE436" s="962" t="str">
        <f>'RTB for Srvc Trans'!T44</f>
        <v/>
      </c>
      <c r="AF436" s="962" t="str">
        <f>'RTB for Srvc Trans'!U44</f>
        <v>RTB</v>
      </c>
      <c r="AG436" s="1008">
        <f>IF(ISNA(INDEX('RTB for Srvc Trans'!$V44:$Z44,MATCH('Individual FTC Cost View'!AG$1,'RTB for Srvc Trans'!$V$23:$Z$23,0))),0,INDEX('RTB for Srvc Trans'!$V44:$Z44,MATCH('Individual FTC Cost View'!AG$1,'RTB for Srvc Trans'!$V$23:$Z$23,0)))</f>
        <v>0</v>
      </c>
      <c r="AH436" s="1008">
        <f>IF(ISNA(INDEX('RTB for Srvc Trans'!$V44:$Z44,MATCH('Individual FTC Cost View'!AH$1,'RTB for Srvc Trans'!$V$23:$Z$23,0))),0,INDEX('RTB for Srvc Trans'!$V44:$Z44,MATCH('Individual FTC Cost View'!AH$1,'RTB for Srvc Trans'!$V$23:$Z$23,0)))</f>
        <v>0</v>
      </c>
      <c r="AI436" s="1008">
        <f>IF(ISNA(INDEX('RTB for Srvc Trans'!$V44:$Z44,MATCH('Individual FTC Cost View'!AI$1,'RTB for Srvc Trans'!$V$23:$Z$23,0))),0,INDEX('RTB for Srvc Trans'!$V44:$Z44,MATCH('Individual FTC Cost View'!AI$1,'RTB for Srvc Trans'!$V$23:$Z$23,0)))</f>
        <v>0</v>
      </c>
      <c r="AJ436" s="1008">
        <f>IF(ISNA(INDEX('RTB for Srvc Trans'!$V44:$Z44,MATCH('Individual FTC Cost View'!AJ$1,'RTB for Srvc Trans'!$V$23:$Z$23,0))),0,INDEX('RTB for Srvc Trans'!$V44:$Z44,MATCH('Individual FTC Cost View'!AJ$1,'RTB for Srvc Trans'!$V$23:$Z$23,0)))</f>
        <v>0</v>
      </c>
      <c r="AK436" s="1008">
        <f>IF(ISNA(INDEX('RTB for Srvc Trans'!$V44:$Z44,MATCH('Individual FTC Cost View'!AK$1,'RTB for Srvc Trans'!$V$23:$Z$23,0))),0,INDEX('RTB for Srvc Trans'!$V44:$Z44,MATCH('Individual FTC Cost View'!AK$1,'RTB for Srvc Trans'!$V$23:$Z$23,0)))</f>
        <v>0</v>
      </c>
      <c r="AL436" s="1008">
        <f>IF(ISNA(INDEX('RTB for Srvc Trans'!$V44:$Z44,MATCH('Individual FTC Cost View'!AL$1,'RTB for Srvc Trans'!$V$23:$Z$23,0))),0,INDEX('RTB for Srvc Trans'!$V44:$Z44,MATCH('Individual FTC Cost View'!AL$1,'RTB for Srvc Trans'!$V$23:$Z$23,0)))</f>
        <v>0</v>
      </c>
      <c r="AM436" s="1008">
        <f>IF(ISNA(INDEX('RTB for Srvc Trans'!$V44:$Z44,MATCH('Individual FTC Cost View'!AM$1,'RTB for Srvc Trans'!$V$23:$Z$23,0))),0,INDEX('RTB for Srvc Trans'!$V44:$Z44,MATCH('Individual FTC Cost View'!AM$1,'RTB for Srvc Trans'!$V$23:$Z$23,0)))</f>
        <v>0</v>
      </c>
      <c r="AN436" s="1008">
        <f>IF(ISNA(INDEX('RTB for Srvc Trans'!$V44:$Z44,MATCH('Individual FTC Cost View'!AN$1,'RTB for Srvc Trans'!$V$23:$Z$23,0))),0,INDEX('RTB for Srvc Trans'!$V44:$Z44,MATCH('Individual FTC Cost View'!AN$1,'RTB for Srvc Trans'!$V$23:$Z$23,0)))</f>
        <v>0</v>
      </c>
      <c r="AO436" s="1008">
        <f>IF(ISNA(INDEX('RTB for Srvc Trans'!$V44:$Z44,MATCH('Individual FTC Cost View'!AO$1,'RTB for Srvc Trans'!$V$23:$Z$23,0))),0,INDEX('RTB for Srvc Trans'!$V44:$Z44,MATCH('Individual FTC Cost View'!AO$1,'RTB for Srvc Trans'!$V$23:$Z$23,0)))</f>
        <v>0</v>
      </c>
      <c r="AP436" s="1008">
        <f>IF(ISNA(INDEX('RTB for Srvc Trans'!$V44:$Z44,MATCH('Individual FTC Cost View'!AP$1,'RTB for Srvc Trans'!$V$23:$Z$23,0))),0,INDEX('RTB for Srvc Trans'!$V44:$Z44,MATCH('Individual FTC Cost View'!AP$1,'RTB for Srvc Trans'!$V$23:$Z$23,0)))</f>
        <v>0</v>
      </c>
      <c r="AQ436" s="1008">
        <f>IF(ISNA(INDEX('RTB for Srvc Trans'!$V44:$Z44,MATCH('Individual FTC Cost View'!AQ$1,'RTB for Srvc Trans'!$V$23:$Z$23,0))),0,INDEX('RTB for Srvc Trans'!$V44:$Z44,MATCH('Individual FTC Cost View'!AQ$1,'RTB for Srvc Trans'!$V$23:$Z$23,0)))</f>
        <v>0</v>
      </c>
      <c r="AR436" s="1016">
        <f t="shared" si="17"/>
        <v>0</v>
      </c>
    </row>
    <row r="437" spans="2:44" ht="15" customHeight="1">
      <c r="B437" s="2"/>
      <c r="C437"/>
      <c r="D437"/>
      <c r="E437"/>
      <c r="F437"/>
      <c r="G437"/>
      <c r="H437"/>
      <c r="I437"/>
      <c r="J437"/>
      <c r="K437"/>
      <c r="L437"/>
      <c r="M437"/>
      <c r="N437"/>
      <c r="O437"/>
      <c r="P437"/>
      <c r="Q437"/>
      <c r="AA437" s="1689"/>
      <c r="AB437" s="962" t="str">
        <f>'RTB for Srvc Trans'!Q45</f>
        <v/>
      </c>
      <c r="AC437" s="962" t="str">
        <f>'RTB for Srvc Trans'!R45</f>
        <v>Ongoing Costs</v>
      </c>
      <c r="AD437" s="962" t="str">
        <f>'RTB for Srvc Trans'!S45</f>
        <v/>
      </c>
      <c r="AE437" s="962" t="str">
        <f>'RTB for Srvc Trans'!T45</f>
        <v/>
      </c>
      <c r="AF437" s="962" t="str">
        <f>'RTB for Srvc Trans'!U45</f>
        <v>RTB</v>
      </c>
      <c r="AG437" s="1008">
        <f>IF(ISNA(INDEX('RTB for Srvc Trans'!$V45:$Z45,MATCH('Individual FTC Cost View'!AG$1,'RTB for Srvc Trans'!$V$23:$Z$23,0))),0,INDEX('RTB for Srvc Trans'!$V45:$Z45,MATCH('Individual FTC Cost View'!AG$1,'RTB for Srvc Trans'!$V$23:$Z$23,0)))</f>
        <v>0</v>
      </c>
      <c r="AH437" s="1008">
        <f>IF(ISNA(INDEX('RTB for Srvc Trans'!$V45:$Z45,MATCH('Individual FTC Cost View'!AH$1,'RTB for Srvc Trans'!$V$23:$Z$23,0))),0,INDEX('RTB for Srvc Trans'!$V45:$Z45,MATCH('Individual FTC Cost View'!AH$1,'RTB for Srvc Trans'!$V$23:$Z$23,0)))</f>
        <v>0</v>
      </c>
      <c r="AI437" s="1008">
        <f>IF(ISNA(INDEX('RTB for Srvc Trans'!$V45:$Z45,MATCH('Individual FTC Cost View'!AI$1,'RTB for Srvc Trans'!$V$23:$Z$23,0))),0,INDEX('RTB for Srvc Trans'!$V45:$Z45,MATCH('Individual FTC Cost View'!AI$1,'RTB for Srvc Trans'!$V$23:$Z$23,0)))</f>
        <v>0</v>
      </c>
      <c r="AJ437" s="1008">
        <f>IF(ISNA(INDEX('RTB for Srvc Trans'!$V45:$Z45,MATCH('Individual FTC Cost View'!AJ$1,'RTB for Srvc Trans'!$V$23:$Z$23,0))),0,INDEX('RTB for Srvc Trans'!$V45:$Z45,MATCH('Individual FTC Cost View'!AJ$1,'RTB for Srvc Trans'!$V$23:$Z$23,0)))</f>
        <v>0</v>
      </c>
      <c r="AK437" s="1008">
        <f>IF(ISNA(INDEX('RTB for Srvc Trans'!$V45:$Z45,MATCH('Individual FTC Cost View'!AK$1,'RTB for Srvc Trans'!$V$23:$Z$23,0))),0,INDEX('RTB for Srvc Trans'!$V45:$Z45,MATCH('Individual FTC Cost View'!AK$1,'RTB for Srvc Trans'!$V$23:$Z$23,0)))</f>
        <v>0</v>
      </c>
      <c r="AL437" s="1008">
        <f>IF(ISNA(INDEX('RTB for Srvc Trans'!$V45:$Z45,MATCH('Individual FTC Cost View'!AL$1,'RTB for Srvc Trans'!$V$23:$Z$23,0))),0,INDEX('RTB for Srvc Trans'!$V45:$Z45,MATCH('Individual FTC Cost View'!AL$1,'RTB for Srvc Trans'!$V$23:$Z$23,0)))</f>
        <v>0</v>
      </c>
      <c r="AM437" s="1008">
        <f>IF(ISNA(INDEX('RTB for Srvc Trans'!$V45:$Z45,MATCH('Individual FTC Cost View'!AM$1,'RTB for Srvc Trans'!$V$23:$Z$23,0))),0,INDEX('RTB for Srvc Trans'!$V45:$Z45,MATCH('Individual FTC Cost View'!AM$1,'RTB for Srvc Trans'!$V$23:$Z$23,0)))</f>
        <v>0</v>
      </c>
      <c r="AN437" s="1008">
        <f>IF(ISNA(INDEX('RTB for Srvc Trans'!$V45:$Z45,MATCH('Individual FTC Cost View'!AN$1,'RTB for Srvc Trans'!$V$23:$Z$23,0))),0,INDEX('RTB for Srvc Trans'!$V45:$Z45,MATCH('Individual FTC Cost View'!AN$1,'RTB for Srvc Trans'!$V$23:$Z$23,0)))</f>
        <v>0</v>
      </c>
      <c r="AO437" s="1008">
        <f>IF(ISNA(INDEX('RTB for Srvc Trans'!$V45:$Z45,MATCH('Individual FTC Cost View'!AO$1,'RTB for Srvc Trans'!$V$23:$Z$23,0))),0,INDEX('RTB for Srvc Trans'!$V45:$Z45,MATCH('Individual FTC Cost View'!AO$1,'RTB for Srvc Trans'!$V$23:$Z$23,0)))</f>
        <v>0</v>
      </c>
      <c r="AP437" s="1008">
        <f>IF(ISNA(INDEX('RTB for Srvc Trans'!$V45:$Z45,MATCH('Individual FTC Cost View'!AP$1,'RTB for Srvc Trans'!$V$23:$Z$23,0))),0,INDEX('RTB for Srvc Trans'!$V45:$Z45,MATCH('Individual FTC Cost View'!AP$1,'RTB for Srvc Trans'!$V$23:$Z$23,0)))</f>
        <v>0</v>
      </c>
      <c r="AQ437" s="1008">
        <f>IF(ISNA(INDEX('RTB for Srvc Trans'!$V45:$Z45,MATCH('Individual FTC Cost View'!AQ$1,'RTB for Srvc Trans'!$V$23:$Z$23,0))),0,INDEX('RTB for Srvc Trans'!$V45:$Z45,MATCH('Individual FTC Cost View'!AQ$1,'RTB for Srvc Trans'!$V$23:$Z$23,0)))</f>
        <v>0</v>
      </c>
      <c r="AR437" s="1016">
        <f t="shared" si="17"/>
        <v>0</v>
      </c>
    </row>
    <row r="438" spans="2:44" ht="15" customHeight="1">
      <c r="B438" s="2"/>
      <c r="C438"/>
      <c r="D438"/>
      <c r="E438"/>
      <c r="F438"/>
      <c r="G438"/>
      <c r="H438"/>
      <c r="I438"/>
      <c r="J438"/>
      <c r="K438"/>
      <c r="L438"/>
      <c r="M438"/>
      <c r="N438"/>
      <c r="O438"/>
      <c r="P438"/>
      <c r="Q438"/>
      <c r="AA438" s="1689"/>
      <c r="AB438" s="962" t="str">
        <f>'RTB for Srvc Trans'!Q46</f>
        <v/>
      </c>
      <c r="AC438" s="962" t="str">
        <f>'RTB for Srvc Trans'!R46</f>
        <v>Ongoing Costs</v>
      </c>
      <c r="AD438" s="962" t="str">
        <f>'RTB for Srvc Trans'!S46</f>
        <v/>
      </c>
      <c r="AE438" s="962" t="str">
        <f>'RTB for Srvc Trans'!T46</f>
        <v/>
      </c>
      <c r="AF438" s="962" t="str">
        <f>'RTB for Srvc Trans'!U46</f>
        <v>RTB</v>
      </c>
      <c r="AG438" s="1008">
        <f>IF(ISNA(INDEX('RTB for Srvc Trans'!$V46:$Z46,MATCH('Individual FTC Cost View'!AG$1,'RTB for Srvc Trans'!$V$23:$Z$23,0))),0,INDEX('RTB for Srvc Trans'!$V46:$Z46,MATCH('Individual FTC Cost View'!AG$1,'RTB for Srvc Trans'!$V$23:$Z$23,0)))</f>
        <v>0</v>
      </c>
      <c r="AH438" s="1008">
        <f>IF(ISNA(INDEX('RTB for Srvc Trans'!$V46:$Z46,MATCH('Individual FTC Cost View'!AH$1,'RTB for Srvc Trans'!$V$23:$Z$23,0))),0,INDEX('RTB for Srvc Trans'!$V46:$Z46,MATCH('Individual FTC Cost View'!AH$1,'RTB for Srvc Trans'!$V$23:$Z$23,0)))</f>
        <v>0</v>
      </c>
      <c r="AI438" s="1008">
        <f>IF(ISNA(INDEX('RTB for Srvc Trans'!$V46:$Z46,MATCH('Individual FTC Cost View'!AI$1,'RTB for Srvc Trans'!$V$23:$Z$23,0))),0,INDEX('RTB for Srvc Trans'!$V46:$Z46,MATCH('Individual FTC Cost View'!AI$1,'RTB for Srvc Trans'!$V$23:$Z$23,0)))</f>
        <v>0</v>
      </c>
      <c r="AJ438" s="1008">
        <f>IF(ISNA(INDEX('RTB for Srvc Trans'!$V46:$Z46,MATCH('Individual FTC Cost View'!AJ$1,'RTB for Srvc Trans'!$V$23:$Z$23,0))),0,INDEX('RTB for Srvc Trans'!$V46:$Z46,MATCH('Individual FTC Cost View'!AJ$1,'RTB for Srvc Trans'!$V$23:$Z$23,0)))</f>
        <v>0</v>
      </c>
      <c r="AK438" s="1008">
        <f>IF(ISNA(INDEX('RTB for Srvc Trans'!$V46:$Z46,MATCH('Individual FTC Cost View'!AK$1,'RTB for Srvc Trans'!$V$23:$Z$23,0))),0,INDEX('RTB for Srvc Trans'!$V46:$Z46,MATCH('Individual FTC Cost View'!AK$1,'RTB for Srvc Trans'!$V$23:$Z$23,0)))</f>
        <v>0</v>
      </c>
      <c r="AL438" s="1008">
        <f>IF(ISNA(INDEX('RTB for Srvc Trans'!$V46:$Z46,MATCH('Individual FTC Cost View'!AL$1,'RTB for Srvc Trans'!$V$23:$Z$23,0))),0,INDEX('RTB for Srvc Trans'!$V46:$Z46,MATCH('Individual FTC Cost View'!AL$1,'RTB for Srvc Trans'!$V$23:$Z$23,0)))</f>
        <v>0</v>
      </c>
      <c r="AM438" s="1008">
        <f>IF(ISNA(INDEX('RTB for Srvc Trans'!$V46:$Z46,MATCH('Individual FTC Cost View'!AM$1,'RTB for Srvc Trans'!$V$23:$Z$23,0))),0,INDEX('RTB for Srvc Trans'!$V46:$Z46,MATCH('Individual FTC Cost View'!AM$1,'RTB for Srvc Trans'!$V$23:$Z$23,0)))</f>
        <v>0</v>
      </c>
      <c r="AN438" s="1008">
        <f>IF(ISNA(INDEX('RTB for Srvc Trans'!$V46:$Z46,MATCH('Individual FTC Cost View'!AN$1,'RTB for Srvc Trans'!$V$23:$Z$23,0))),0,INDEX('RTB for Srvc Trans'!$V46:$Z46,MATCH('Individual FTC Cost View'!AN$1,'RTB for Srvc Trans'!$V$23:$Z$23,0)))</f>
        <v>0</v>
      </c>
      <c r="AO438" s="1008">
        <f>IF(ISNA(INDEX('RTB for Srvc Trans'!$V46:$Z46,MATCH('Individual FTC Cost View'!AO$1,'RTB for Srvc Trans'!$V$23:$Z$23,0))),0,INDEX('RTB for Srvc Trans'!$V46:$Z46,MATCH('Individual FTC Cost View'!AO$1,'RTB for Srvc Trans'!$V$23:$Z$23,0)))</f>
        <v>0</v>
      </c>
      <c r="AP438" s="1008">
        <f>IF(ISNA(INDEX('RTB for Srvc Trans'!$V46:$Z46,MATCH('Individual FTC Cost View'!AP$1,'RTB for Srvc Trans'!$V$23:$Z$23,0))),0,INDEX('RTB for Srvc Trans'!$V46:$Z46,MATCH('Individual FTC Cost View'!AP$1,'RTB for Srvc Trans'!$V$23:$Z$23,0)))</f>
        <v>0</v>
      </c>
      <c r="AQ438" s="1008">
        <f>IF(ISNA(INDEX('RTB for Srvc Trans'!$V46:$Z46,MATCH('Individual FTC Cost View'!AQ$1,'RTB for Srvc Trans'!$V$23:$Z$23,0))),0,INDEX('RTB for Srvc Trans'!$V46:$Z46,MATCH('Individual FTC Cost View'!AQ$1,'RTB for Srvc Trans'!$V$23:$Z$23,0)))</f>
        <v>0</v>
      </c>
      <c r="AR438" s="1016">
        <f t="shared" si="17"/>
        <v>0</v>
      </c>
    </row>
    <row r="439" spans="2:44" ht="15" customHeight="1">
      <c r="B439" s="2"/>
      <c r="C439"/>
      <c r="D439"/>
      <c r="E439"/>
      <c r="F439"/>
      <c r="G439"/>
      <c r="H439"/>
      <c r="I439"/>
      <c r="J439"/>
      <c r="K439"/>
      <c r="L439"/>
      <c r="M439"/>
      <c r="N439"/>
      <c r="O439"/>
      <c r="P439"/>
      <c r="Q439"/>
      <c r="AA439" s="1689"/>
      <c r="AB439" s="962" t="str">
        <f>'RTB for Srvc Trans'!Q47</f>
        <v/>
      </c>
      <c r="AC439" s="962" t="str">
        <f>'RTB for Srvc Trans'!R47</f>
        <v>Ongoing Costs</v>
      </c>
      <c r="AD439" s="962" t="str">
        <f>'RTB for Srvc Trans'!S47</f>
        <v/>
      </c>
      <c r="AE439" s="962" t="str">
        <f>'RTB for Srvc Trans'!T47</f>
        <v/>
      </c>
      <c r="AF439" s="962" t="str">
        <f>'RTB for Srvc Trans'!U47</f>
        <v>RTB</v>
      </c>
      <c r="AG439" s="1008">
        <f>IF(ISNA(INDEX('RTB for Srvc Trans'!$V47:$Z47,MATCH('Individual FTC Cost View'!AG$1,'RTB for Srvc Trans'!$V$23:$Z$23,0))),0,INDEX('RTB for Srvc Trans'!$V47:$Z47,MATCH('Individual FTC Cost View'!AG$1,'RTB for Srvc Trans'!$V$23:$Z$23,0)))</f>
        <v>0</v>
      </c>
      <c r="AH439" s="1008">
        <f>IF(ISNA(INDEX('RTB for Srvc Trans'!$V47:$Z47,MATCH('Individual FTC Cost View'!AH$1,'RTB for Srvc Trans'!$V$23:$Z$23,0))),0,INDEX('RTB for Srvc Trans'!$V47:$Z47,MATCH('Individual FTC Cost View'!AH$1,'RTB for Srvc Trans'!$V$23:$Z$23,0)))</f>
        <v>0</v>
      </c>
      <c r="AI439" s="1008">
        <f>IF(ISNA(INDEX('RTB for Srvc Trans'!$V47:$Z47,MATCH('Individual FTC Cost View'!AI$1,'RTB for Srvc Trans'!$V$23:$Z$23,0))),0,INDEX('RTB for Srvc Trans'!$V47:$Z47,MATCH('Individual FTC Cost View'!AI$1,'RTB for Srvc Trans'!$V$23:$Z$23,0)))</f>
        <v>0</v>
      </c>
      <c r="AJ439" s="1008">
        <f>IF(ISNA(INDEX('RTB for Srvc Trans'!$V47:$Z47,MATCH('Individual FTC Cost View'!AJ$1,'RTB for Srvc Trans'!$V$23:$Z$23,0))),0,INDEX('RTB for Srvc Trans'!$V47:$Z47,MATCH('Individual FTC Cost View'!AJ$1,'RTB for Srvc Trans'!$V$23:$Z$23,0)))</f>
        <v>0</v>
      </c>
      <c r="AK439" s="1008">
        <f>IF(ISNA(INDEX('RTB for Srvc Trans'!$V47:$Z47,MATCH('Individual FTC Cost View'!AK$1,'RTB for Srvc Trans'!$V$23:$Z$23,0))),0,INDEX('RTB for Srvc Trans'!$V47:$Z47,MATCH('Individual FTC Cost View'!AK$1,'RTB for Srvc Trans'!$V$23:$Z$23,0)))</f>
        <v>0</v>
      </c>
      <c r="AL439" s="1008">
        <f>IF(ISNA(INDEX('RTB for Srvc Trans'!$V47:$Z47,MATCH('Individual FTC Cost View'!AL$1,'RTB for Srvc Trans'!$V$23:$Z$23,0))),0,INDEX('RTB for Srvc Trans'!$V47:$Z47,MATCH('Individual FTC Cost View'!AL$1,'RTB for Srvc Trans'!$V$23:$Z$23,0)))</f>
        <v>0</v>
      </c>
      <c r="AM439" s="1008">
        <f>IF(ISNA(INDEX('RTB for Srvc Trans'!$V47:$Z47,MATCH('Individual FTC Cost View'!AM$1,'RTB for Srvc Trans'!$V$23:$Z$23,0))),0,INDEX('RTB for Srvc Trans'!$V47:$Z47,MATCH('Individual FTC Cost View'!AM$1,'RTB for Srvc Trans'!$V$23:$Z$23,0)))</f>
        <v>0</v>
      </c>
      <c r="AN439" s="1008">
        <f>IF(ISNA(INDEX('RTB for Srvc Trans'!$V47:$Z47,MATCH('Individual FTC Cost View'!AN$1,'RTB for Srvc Trans'!$V$23:$Z$23,0))),0,INDEX('RTB for Srvc Trans'!$V47:$Z47,MATCH('Individual FTC Cost View'!AN$1,'RTB for Srvc Trans'!$V$23:$Z$23,0)))</f>
        <v>0</v>
      </c>
      <c r="AO439" s="1008">
        <f>IF(ISNA(INDEX('RTB for Srvc Trans'!$V47:$Z47,MATCH('Individual FTC Cost View'!AO$1,'RTB for Srvc Trans'!$V$23:$Z$23,0))),0,INDEX('RTB for Srvc Trans'!$V47:$Z47,MATCH('Individual FTC Cost View'!AO$1,'RTB for Srvc Trans'!$V$23:$Z$23,0)))</f>
        <v>0</v>
      </c>
      <c r="AP439" s="1008">
        <f>IF(ISNA(INDEX('RTB for Srvc Trans'!$V47:$Z47,MATCH('Individual FTC Cost View'!AP$1,'RTB for Srvc Trans'!$V$23:$Z$23,0))),0,INDEX('RTB for Srvc Trans'!$V47:$Z47,MATCH('Individual FTC Cost View'!AP$1,'RTB for Srvc Trans'!$V$23:$Z$23,0)))</f>
        <v>0</v>
      </c>
      <c r="AQ439" s="1008">
        <f>IF(ISNA(INDEX('RTB for Srvc Trans'!$V47:$Z47,MATCH('Individual FTC Cost View'!AQ$1,'RTB for Srvc Trans'!$V$23:$Z$23,0))),0,INDEX('RTB for Srvc Trans'!$V47:$Z47,MATCH('Individual FTC Cost View'!AQ$1,'RTB for Srvc Trans'!$V$23:$Z$23,0)))</f>
        <v>0</v>
      </c>
      <c r="AR439" s="1016">
        <f t="shared" si="17"/>
        <v>0</v>
      </c>
    </row>
    <row r="440" spans="2:44" ht="15" customHeight="1">
      <c r="B440" s="2"/>
      <c r="C440"/>
      <c r="D440"/>
      <c r="E440"/>
      <c r="F440"/>
      <c r="G440"/>
      <c r="H440"/>
      <c r="I440"/>
      <c r="J440"/>
      <c r="K440"/>
      <c r="L440"/>
      <c r="M440"/>
      <c r="N440"/>
      <c r="O440"/>
      <c r="P440"/>
      <c r="Q440"/>
      <c r="AA440" s="1689"/>
      <c r="AB440" s="962" t="str">
        <f>'RTB for Srvc Trans'!Q48</f>
        <v/>
      </c>
      <c r="AC440" s="962" t="str">
        <f>'RTB for Srvc Trans'!R48</f>
        <v>Ongoing Costs</v>
      </c>
      <c r="AD440" s="962" t="str">
        <f>'RTB for Srvc Trans'!S48</f>
        <v/>
      </c>
      <c r="AE440" s="962" t="str">
        <f>'RTB for Srvc Trans'!T48</f>
        <v/>
      </c>
      <c r="AF440" s="962" t="str">
        <f>'RTB for Srvc Trans'!U48</f>
        <v>RTB</v>
      </c>
      <c r="AG440" s="1008">
        <f>IF(ISNA(INDEX('RTB for Srvc Trans'!$V48:$Z48,MATCH('Individual FTC Cost View'!AG$1,'RTB for Srvc Trans'!$V$23:$Z$23,0))),0,INDEX('RTB for Srvc Trans'!$V48:$Z48,MATCH('Individual FTC Cost View'!AG$1,'RTB for Srvc Trans'!$V$23:$Z$23,0)))</f>
        <v>0</v>
      </c>
      <c r="AH440" s="1008">
        <f>IF(ISNA(INDEX('RTB for Srvc Trans'!$V48:$Z48,MATCH('Individual FTC Cost View'!AH$1,'RTB for Srvc Trans'!$V$23:$Z$23,0))),0,INDEX('RTB for Srvc Trans'!$V48:$Z48,MATCH('Individual FTC Cost View'!AH$1,'RTB for Srvc Trans'!$V$23:$Z$23,0)))</f>
        <v>0</v>
      </c>
      <c r="AI440" s="1008">
        <f>IF(ISNA(INDEX('RTB for Srvc Trans'!$V48:$Z48,MATCH('Individual FTC Cost View'!AI$1,'RTB for Srvc Trans'!$V$23:$Z$23,0))),0,INDEX('RTB for Srvc Trans'!$V48:$Z48,MATCH('Individual FTC Cost View'!AI$1,'RTB for Srvc Trans'!$V$23:$Z$23,0)))</f>
        <v>0</v>
      </c>
      <c r="AJ440" s="1008">
        <f>IF(ISNA(INDEX('RTB for Srvc Trans'!$V48:$Z48,MATCH('Individual FTC Cost View'!AJ$1,'RTB for Srvc Trans'!$V$23:$Z$23,0))),0,INDEX('RTB for Srvc Trans'!$V48:$Z48,MATCH('Individual FTC Cost View'!AJ$1,'RTB for Srvc Trans'!$V$23:$Z$23,0)))</f>
        <v>0</v>
      </c>
      <c r="AK440" s="1008">
        <f>IF(ISNA(INDEX('RTB for Srvc Trans'!$V48:$Z48,MATCH('Individual FTC Cost View'!AK$1,'RTB for Srvc Trans'!$V$23:$Z$23,0))),0,INDEX('RTB for Srvc Trans'!$V48:$Z48,MATCH('Individual FTC Cost View'!AK$1,'RTB for Srvc Trans'!$V$23:$Z$23,0)))</f>
        <v>0</v>
      </c>
      <c r="AL440" s="1008">
        <f>IF(ISNA(INDEX('RTB for Srvc Trans'!$V48:$Z48,MATCH('Individual FTC Cost View'!AL$1,'RTB for Srvc Trans'!$V$23:$Z$23,0))),0,INDEX('RTB for Srvc Trans'!$V48:$Z48,MATCH('Individual FTC Cost View'!AL$1,'RTB for Srvc Trans'!$V$23:$Z$23,0)))</f>
        <v>0</v>
      </c>
      <c r="AM440" s="1008">
        <f>IF(ISNA(INDEX('RTB for Srvc Trans'!$V48:$Z48,MATCH('Individual FTC Cost View'!AM$1,'RTB for Srvc Trans'!$V$23:$Z$23,0))),0,INDEX('RTB for Srvc Trans'!$V48:$Z48,MATCH('Individual FTC Cost View'!AM$1,'RTB for Srvc Trans'!$V$23:$Z$23,0)))</f>
        <v>0</v>
      </c>
      <c r="AN440" s="1008">
        <f>IF(ISNA(INDEX('RTB for Srvc Trans'!$V48:$Z48,MATCH('Individual FTC Cost View'!AN$1,'RTB for Srvc Trans'!$V$23:$Z$23,0))),0,INDEX('RTB for Srvc Trans'!$V48:$Z48,MATCH('Individual FTC Cost View'!AN$1,'RTB for Srvc Trans'!$V$23:$Z$23,0)))</f>
        <v>0</v>
      </c>
      <c r="AO440" s="1008">
        <f>IF(ISNA(INDEX('RTB for Srvc Trans'!$V48:$Z48,MATCH('Individual FTC Cost View'!AO$1,'RTB for Srvc Trans'!$V$23:$Z$23,0))),0,INDEX('RTB for Srvc Trans'!$V48:$Z48,MATCH('Individual FTC Cost View'!AO$1,'RTB for Srvc Trans'!$V$23:$Z$23,0)))</f>
        <v>0</v>
      </c>
      <c r="AP440" s="1008">
        <f>IF(ISNA(INDEX('RTB for Srvc Trans'!$V48:$Z48,MATCH('Individual FTC Cost View'!AP$1,'RTB for Srvc Trans'!$V$23:$Z$23,0))),0,INDEX('RTB for Srvc Trans'!$V48:$Z48,MATCH('Individual FTC Cost View'!AP$1,'RTB for Srvc Trans'!$V$23:$Z$23,0)))</f>
        <v>0</v>
      </c>
      <c r="AQ440" s="1008">
        <f>IF(ISNA(INDEX('RTB for Srvc Trans'!$V48:$Z48,MATCH('Individual FTC Cost View'!AQ$1,'RTB for Srvc Trans'!$V$23:$Z$23,0))),0,INDEX('RTB for Srvc Trans'!$V48:$Z48,MATCH('Individual FTC Cost View'!AQ$1,'RTB for Srvc Trans'!$V$23:$Z$23,0)))</f>
        <v>0</v>
      </c>
      <c r="AR440" s="1016">
        <f t="shared" si="17"/>
        <v>0</v>
      </c>
    </row>
    <row r="441" spans="2:44" ht="15" customHeight="1">
      <c r="B441" s="2"/>
      <c r="C441"/>
      <c r="D441"/>
      <c r="E441"/>
      <c r="F441"/>
      <c r="G441"/>
      <c r="H441"/>
      <c r="I441"/>
      <c r="J441"/>
      <c r="K441"/>
      <c r="L441"/>
      <c r="M441"/>
      <c r="N441"/>
      <c r="O441"/>
      <c r="P441"/>
      <c r="Q441"/>
      <c r="AA441" s="1689"/>
      <c r="AB441" s="962" t="str">
        <f>'RTB for Srvc Trans'!Q49</f>
        <v/>
      </c>
      <c r="AC441" s="962" t="str">
        <f>'RTB for Srvc Trans'!R49</f>
        <v>Ongoing Costs</v>
      </c>
      <c r="AD441" s="962" t="str">
        <f>'RTB for Srvc Trans'!S49</f>
        <v/>
      </c>
      <c r="AE441" s="962" t="str">
        <f>'RTB for Srvc Trans'!T49</f>
        <v/>
      </c>
      <c r="AF441" s="962" t="str">
        <f>'RTB for Srvc Trans'!U49</f>
        <v>RTB</v>
      </c>
      <c r="AG441" s="1008">
        <f>IF(ISNA(INDEX('RTB for Srvc Trans'!$V49:$Z49,MATCH('Individual FTC Cost View'!AG$1,'RTB for Srvc Trans'!$V$23:$Z$23,0))),0,INDEX('RTB for Srvc Trans'!$V49:$Z49,MATCH('Individual FTC Cost View'!AG$1,'RTB for Srvc Trans'!$V$23:$Z$23,0)))</f>
        <v>0</v>
      </c>
      <c r="AH441" s="1008">
        <f>IF(ISNA(INDEX('RTB for Srvc Trans'!$V49:$Z49,MATCH('Individual FTC Cost View'!AH$1,'RTB for Srvc Trans'!$V$23:$Z$23,0))),0,INDEX('RTB for Srvc Trans'!$V49:$Z49,MATCH('Individual FTC Cost View'!AH$1,'RTB for Srvc Trans'!$V$23:$Z$23,0)))</f>
        <v>0</v>
      </c>
      <c r="AI441" s="1008">
        <f>IF(ISNA(INDEX('RTB for Srvc Trans'!$V49:$Z49,MATCH('Individual FTC Cost View'!AI$1,'RTB for Srvc Trans'!$V$23:$Z$23,0))),0,INDEX('RTB for Srvc Trans'!$V49:$Z49,MATCH('Individual FTC Cost View'!AI$1,'RTB for Srvc Trans'!$V$23:$Z$23,0)))</f>
        <v>0</v>
      </c>
      <c r="AJ441" s="1008">
        <f>IF(ISNA(INDEX('RTB for Srvc Trans'!$V49:$Z49,MATCH('Individual FTC Cost View'!AJ$1,'RTB for Srvc Trans'!$V$23:$Z$23,0))),0,INDEX('RTB for Srvc Trans'!$V49:$Z49,MATCH('Individual FTC Cost View'!AJ$1,'RTB for Srvc Trans'!$V$23:$Z$23,0)))</f>
        <v>0</v>
      </c>
      <c r="AK441" s="1008">
        <f>IF(ISNA(INDEX('RTB for Srvc Trans'!$V49:$Z49,MATCH('Individual FTC Cost View'!AK$1,'RTB for Srvc Trans'!$V$23:$Z$23,0))),0,INDEX('RTB for Srvc Trans'!$V49:$Z49,MATCH('Individual FTC Cost View'!AK$1,'RTB for Srvc Trans'!$V$23:$Z$23,0)))</f>
        <v>0</v>
      </c>
      <c r="AL441" s="1008">
        <f>IF(ISNA(INDEX('RTB for Srvc Trans'!$V49:$Z49,MATCH('Individual FTC Cost View'!AL$1,'RTB for Srvc Trans'!$V$23:$Z$23,0))),0,INDEX('RTB for Srvc Trans'!$V49:$Z49,MATCH('Individual FTC Cost View'!AL$1,'RTB for Srvc Trans'!$V$23:$Z$23,0)))</f>
        <v>0</v>
      </c>
      <c r="AM441" s="1008">
        <f>IF(ISNA(INDEX('RTB for Srvc Trans'!$V49:$Z49,MATCH('Individual FTC Cost View'!AM$1,'RTB for Srvc Trans'!$V$23:$Z$23,0))),0,INDEX('RTB for Srvc Trans'!$V49:$Z49,MATCH('Individual FTC Cost View'!AM$1,'RTB for Srvc Trans'!$V$23:$Z$23,0)))</f>
        <v>0</v>
      </c>
      <c r="AN441" s="1008">
        <f>IF(ISNA(INDEX('RTB for Srvc Trans'!$V49:$Z49,MATCH('Individual FTC Cost View'!AN$1,'RTB for Srvc Trans'!$V$23:$Z$23,0))),0,INDEX('RTB for Srvc Trans'!$V49:$Z49,MATCH('Individual FTC Cost View'!AN$1,'RTB for Srvc Trans'!$V$23:$Z$23,0)))</f>
        <v>0</v>
      </c>
      <c r="AO441" s="1008">
        <f>IF(ISNA(INDEX('RTB for Srvc Trans'!$V49:$Z49,MATCH('Individual FTC Cost View'!AO$1,'RTB for Srvc Trans'!$V$23:$Z$23,0))),0,INDEX('RTB for Srvc Trans'!$V49:$Z49,MATCH('Individual FTC Cost View'!AO$1,'RTB for Srvc Trans'!$V$23:$Z$23,0)))</f>
        <v>0</v>
      </c>
      <c r="AP441" s="1008">
        <f>IF(ISNA(INDEX('RTB for Srvc Trans'!$V49:$Z49,MATCH('Individual FTC Cost View'!AP$1,'RTB for Srvc Trans'!$V$23:$Z$23,0))),0,INDEX('RTB for Srvc Trans'!$V49:$Z49,MATCH('Individual FTC Cost View'!AP$1,'RTB for Srvc Trans'!$V$23:$Z$23,0)))</f>
        <v>0</v>
      </c>
      <c r="AQ441" s="1008">
        <f>IF(ISNA(INDEX('RTB for Srvc Trans'!$V49:$Z49,MATCH('Individual FTC Cost View'!AQ$1,'RTB for Srvc Trans'!$V$23:$Z$23,0))),0,INDEX('RTB for Srvc Trans'!$V49:$Z49,MATCH('Individual FTC Cost View'!AQ$1,'RTB for Srvc Trans'!$V$23:$Z$23,0)))</f>
        <v>0</v>
      </c>
      <c r="AR441" s="1016">
        <f t="shared" si="17"/>
        <v>0</v>
      </c>
    </row>
    <row r="442" spans="2:44" ht="15" customHeight="1">
      <c r="B442" s="2"/>
      <c r="C442"/>
      <c r="D442"/>
      <c r="E442"/>
      <c r="F442"/>
      <c r="G442"/>
      <c r="H442"/>
      <c r="I442"/>
      <c r="J442"/>
      <c r="K442"/>
      <c r="L442"/>
      <c r="M442"/>
      <c r="N442"/>
      <c r="O442"/>
      <c r="P442"/>
      <c r="Q442"/>
      <c r="AA442" s="1689"/>
      <c r="AB442" s="962" t="str">
        <f>'RTB for Srvc Trans'!Q50</f>
        <v/>
      </c>
      <c r="AC442" s="962" t="str">
        <f>'RTB for Srvc Trans'!R50</f>
        <v>Ongoing Costs</v>
      </c>
      <c r="AD442" s="962" t="str">
        <f>'RTB for Srvc Trans'!S50</f>
        <v/>
      </c>
      <c r="AE442" s="962" t="str">
        <f>'RTB for Srvc Trans'!T50</f>
        <v/>
      </c>
      <c r="AF442" s="962" t="str">
        <f>'RTB for Srvc Trans'!U50</f>
        <v>RTB</v>
      </c>
      <c r="AG442" s="1008">
        <f>IF(ISNA(INDEX('RTB for Srvc Trans'!$V50:$Z50,MATCH('Individual FTC Cost View'!AG$1,'RTB for Srvc Trans'!$V$23:$Z$23,0))),0,INDEX('RTB for Srvc Trans'!$V50:$Z50,MATCH('Individual FTC Cost View'!AG$1,'RTB for Srvc Trans'!$V$23:$Z$23,0)))</f>
        <v>0</v>
      </c>
      <c r="AH442" s="1008">
        <f>IF(ISNA(INDEX('RTB for Srvc Trans'!$V50:$Z50,MATCH('Individual FTC Cost View'!AH$1,'RTB for Srvc Trans'!$V$23:$Z$23,0))),0,INDEX('RTB for Srvc Trans'!$V50:$Z50,MATCH('Individual FTC Cost View'!AH$1,'RTB for Srvc Trans'!$V$23:$Z$23,0)))</f>
        <v>0</v>
      </c>
      <c r="AI442" s="1008">
        <f>IF(ISNA(INDEX('RTB for Srvc Trans'!$V50:$Z50,MATCH('Individual FTC Cost View'!AI$1,'RTB for Srvc Trans'!$V$23:$Z$23,0))),0,INDEX('RTB for Srvc Trans'!$V50:$Z50,MATCH('Individual FTC Cost View'!AI$1,'RTB for Srvc Trans'!$V$23:$Z$23,0)))</f>
        <v>0</v>
      </c>
      <c r="AJ442" s="1008">
        <f>IF(ISNA(INDEX('RTB for Srvc Trans'!$V50:$Z50,MATCH('Individual FTC Cost View'!AJ$1,'RTB for Srvc Trans'!$V$23:$Z$23,0))),0,INDEX('RTB for Srvc Trans'!$V50:$Z50,MATCH('Individual FTC Cost View'!AJ$1,'RTB for Srvc Trans'!$V$23:$Z$23,0)))</f>
        <v>0</v>
      </c>
      <c r="AK442" s="1008">
        <f>IF(ISNA(INDEX('RTB for Srvc Trans'!$V50:$Z50,MATCH('Individual FTC Cost View'!AK$1,'RTB for Srvc Trans'!$V$23:$Z$23,0))),0,INDEX('RTB for Srvc Trans'!$V50:$Z50,MATCH('Individual FTC Cost View'!AK$1,'RTB for Srvc Trans'!$V$23:$Z$23,0)))</f>
        <v>0</v>
      </c>
      <c r="AL442" s="1008">
        <f>IF(ISNA(INDEX('RTB for Srvc Trans'!$V50:$Z50,MATCH('Individual FTC Cost View'!AL$1,'RTB for Srvc Trans'!$V$23:$Z$23,0))),0,INDEX('RTB for Srvc Trans'!$V50:$Z50,MATCH('Individual FTC Cost View'!AL$1,'RTB for Srvc Trans'!$V$23:$Z$23,0)))</f>
        <v>0</v>
      </c>
      <c r="AM442" s="1008">
        <f>IF(ISNA(INDEX('RTB for Srvc Trans'!$V50:$Z50,MATCH('Individual FTC Cost View'!AM$1,'RTB for Srvc Trans'!$V$23:$Z$23,0))),0,INDEX('RTB for Srvc Trans'!$V50:$Z50,MATCH('Individual FTC Cost View'!AM$1,'RTB for Srvc Trans'!$V$23:$Z$23,0)))</f>
        <v>0</v>
      </c>
      <c r="AN442" s="1008">
        <f>IF(ISNA(INDEX('RTB for Srvc Trans'!$V50:$Z50,MATCH('Individual FTC Cost View'!AN$1,'RTB for Srvc Trans'!$V$23:$Z$23,0))),0,INDEX('RTB for Srvc Trans'!$V50:$Z50,MATCH('Individual FTC Cost View'!AN$1,'RTB for Srvc Trans'!$V$23:$Z$23,0)))</f>
        <v>0</v>
      </c>
      <c r="AO442" s="1008">
        <f>IF(ISNA(INDEX('RTB for Srvc Trans'!$V50:$Z50,MATCH('Individual FTC Cost View'!AO$1,'RTB for Srvc Trans'!$V$23:$Z$23,0))),0,INDEX('RTB for Srvc Trans'!$V50:$Z50,MATCH('Individual FTC Cost View'!AO$1,'RTB for Srvc Trans'!$V$23:$Z$23,0)))</f>
        <v>0</v>
      </c>
      <c r="AP442" s="1008">
        <f>IF(ISNA(INDEX('RTB for Srvc Trans'!$V50:$Z50,MATCH('Individual FTC Cost View'!AP$1,'RTB for Srvc Trans'!$V$23:$Z$23,0))),0,INDEX('RTB for Srvc Trans'!$V50:$Z50,MATCH('Individual FTC Cost View'!AP$1,'RTB for Srvc Trans'!$V$23:$Z$23,0)))</f>
        <v>0</v>
      </c>
      <c r="AQ442" s="1008">
        <f>IF(ISNA(INDEX('RTB for Srvc Trans'!$V50:$Z50,MATCH('Individual FTC Cost View'!AQ$1,'RTB for Srvc Trans'!$V$23:$Z$23,0))),0,INDEX('RTB for Srvc Trans'!$V50:$Z50,MATCH('Individual FTC Cost View'!AQ$1,'RTB for Srvc Trans'!$V$23:$Z$23,0)))</f>
        <v>0</v>
      </c>
      <c r="AR442" s="1016">
        <f t="shared" si="17"/>
        <v>0</v>
      </c>
    </row>
    <row r="443" spans="2:44" ht="15" customHeight="1">
      <c r="B443" s="2"/>
      <c r="C443"/>
      <c r="D443"/>
      <c r="E443"/>
      <c r="F443"/>
      <c r="G443"/>
      <c r="H443"/>
      <c r="I443"/>
      <c r="J443"/>
      <c r="K443"/>
      <c r="L443"/>
      <c r="M443"/>
      <c r="N443"/>
      <c r="O443"/>
      <c r="P443"/>
      <c r="Q443"/>
      <c r="AA443" s="1689"/>
      <c r="AB443" s="962" t="str">
        <f>'RTB for Srvc Trans'!Q51</f>
        <v/>
      </c>
      <c r="AC443" s="962" t="str">
        <f>'RTB for Srvc Trans'!R51</f>
        <v>Ongoing Costs</v>
      </c>
      <c r="AD443" s="962" t="str">
        <f>'RTB for Srvc Trans'!S51</f>
        <v/>
      </c>
      <c r="AE443" s="962" t="str">
        <f>'RTB for Srvc Trans'!T51</f>
        <v/>
      </c>
      <c r="AF443" s="962" t="str">
        <f>'RTB for Srvc Trans'!U51</f>
        <v>RTB</v>
      </c>
      <c r="AG443" s="1008">
        <f>IF(ISNA(INDEX('RTB for Srvc Trans'!$V51:$Z51,MATCH('Individual FTC Cost View'!AG$1,'RTB for Srvc Trans'!$V$23:$Z$23,0))),0,INDEX('RTB for Srvc Trans'!$V51:$Z51,MATCH('Individual FTC Cost View'!AG$1,'RTB for Srvc Trans'!$V$23:$Z$23,0)))</f>
        <v>0</v>
      </c>
      <c r="AH443" s="1008">
        <f>IF(ISNA(INDEX('RTB for Srvc Trans'!$V51:$Z51,MATCH('Individual FTC Cost View'!AH$1,'RTB for Srvc Trans'!$V$23:$Z$23,0))),0,INDEX('RTB for Srvc Trans'!$V51:$Z51,MATCH('Individual FTC Cost View'!AH$1,'RTB for Srvc Trans'!$V$23:$Z$23,0)))</f>
        <v>0</v>
      </c>
      <c r="AI443" s="1008">
        <f>IF(ISNA(INDEX('RTB for Srvc Trans'!$V51:$Z51,MATCH('Individual FTC Cost View'!AI$1,'RTB for Srvc Trans'!$V$23:$Z$23,0))),0,INDEX('RTB for Srvc Trans'!$V51:$Z51,MATCH('Individual FTC Cost View'!AI$1,'RTB for Srvc Trans'!$V$23:$Z$23,0)))</f>
        <v>0</v>
      </c>
      <c r="AJ443" s="1008">
        <f>IF(ISNA(INDEX('RTB for Srvc Trans'!$V51:$Z51,MATCH('Individual FTC Cost View'!AJ$1,'RTB for Srvc Trans'!$V$23:$Z$23,0))),0,INDEX('RTB for Srvc Trans'!$V51:$Z51,MATCH('Individual FTC Cost View'!AJ$1,'RTB for Srvc Trans'!$V$23:$Z$23,0)))</f>
        <v>0</v>
      </c>
      <c r="AK443" s="1008">
        <f>IF(ISNA(INDEX('RTB for Srvc Trans'!$V51:$Z51,MATCH('Individual FTC Cost View'!AK$1,'RTB for Srvc Trans'!$V$23:$Z$23,0))),0,INDEX('RTB for Srvc Trans'!$V51:$Z51,MATCH('Individual FTC Cost View'!AK$1,'RTB for Srvc Trans'!$V$23:$Z$23,0)))</f>
        <v>0</v>
      </c>
      <c r="AL443" s="1008">
        <f>IF(ISNA(INDEX('RTB for Srvc Trans'!$V51:$Z51,MATCH('Individual FTC Cost View'!AL$1,'RTB for Srvc Trans'!$V$23:$Z$23,0))),0,INDEX('RTB for Srvc Trans'!$V51:$Z51,MATCH('Individual FTC Cost View'!AL$1,'RTB for Srvc Trans'!$V$23:$Z$23,0)))</f>
        <v>0</v>
      </c>
      <c r="AM443" s="1008">
        <f>IF(ISNA(INDEX('RTB for Srvc Trans'!$V51:$Z51,MATCH('Individual FTC Cost View'!AM$1,'RTB for Srvc Trans'!$V$23:$Z$23,0))),0,INDEX('RTB for Srvc Trans'!$V51:$Z51,MATCH('Individual FTC Cost View'!AM$1,'RTB for Srvc Trans'!$V$23:$Z$23,0)))</f>
        <v>0</v>
      </c>
      <c r="AN443" s="1008">
        <f>IF(ISNA(INDEX('RTB for Srvc Trans'!$V51:$Z51,MATCH('Individual FTC Cost View'!AN$1,'RTB for Srvc Trans'!$V$23:$Z$23,0))),0,INDEX('RTB for Srvc Trans'!$V51:$Z51,MATCH('Individual FTC Cost View'!AN$1,'RTB for Srvc Trans'!$V$23:$Z$23,0)))</f>
        <v>0</v>
      </c>
      <c r="AO443" s="1008">
        <f>IF(ISNA(INDEX('RTB for Srvc Trans'!$V51:$Z51,MATCH('Individual FTC Cost View'!AO$1,'RTB for Srvc Trans'!$V$23:$Z$23,0))),0,INDEX('RTB for Srvc Trans'!$V51:$Z51,MATCH('Individual FTC Cost View'!AO$1,'RTB for Srvc Trans'!$V$23:$Z$23,0)))</f>
        <v>0</v>
      </c>
      <c r="AP443" s="1008">
        <f>IF(ISNA(INDEX('RTB for Srvc Trans'!$V51:$Z51,MATCH('Individual FTC Cost View'!AP$1,'RTB for Srvc Trans'!$V$23:$Z$23,0))),0,INDEX('RTB for Srvc Trans'!$V51:$Z51,MATCH('Individual FTC Cost View'!AP$1,'RTB for Srvc Trans'!$V$23:$Z$23,0)))</f>
        <v>0</v>
      </c>
      <c r="AQ443" s="1008">
        <f>IF(ISNA(INDEX('RTB for Srvc Trans'!$V51:$Z51,MATCH('Individual FTC Cost View'!AQ$1,'RTB for Srvc Trans'!$V$23:$Z$23,0))),0,INDEX('RTB for Srvc Trans'!$V51:$Z51,MATCH('Individual FTC Cost View'!AQ$1,'RTB for Srvc Trans'!$V$23:$Z$23,0)))</f>
        <v>0</v>
      </c>
      <c r="AR443" s="1016">
        <f t="shared" si="17"/>
        <v>0</v>
      </c>
    </row>
    <row r="444" spans="2:44" ht="15" customHeight="1">
      <c r="B444" s="2"/>
      <c r="C444"/>
      <c r="D444"/>
      <c r="E444"/>
      <c r="F444"/>
      <c r="G444"/>
      <c r="H444"/>
      <c r="I444"/>
      <c r="J444"/>
      <c r="K444"/>
      <c r="L444"/>
      <c r="M444"/>
      <c r="N444"/>
      <c r="O444"/>
      <c r="P444"/>
      <c r="Q444"/>
      <c r="AA444" s="1689"/>
      <c r="AB444" s="962" t="str">
        <f>'RTB for Srvc Trans'!Q52</f>
        <v/>
      </c>
      <c r="AC444" s="962" t="str">
        <f>'RTB for Srvc Trans'!R52</f>
        <v>Ongoing Costs</v>
      </c>
      <c r="AD444" s="962" t="str">
        <f>'RTB for Srvc Trans'!S52</f>
        <v/>
      </c>
      <c r="AE444" s="962" t="str">
        <f>'RTB for Srvc Trans'!T52</f>
        <v/>
      </c>
      <c r="AF444" s="962" t="str">
        <f>'RTB for Srvc Trans'!U52</f>
        <v>RTB</v>
      </c>
      <c r="AG444" s="1008">
        <f>IF(ISNA(INDEX('RTB for Srvc Trans'!$V52:$Z52,MATCH('Individual FTC Cost View'!AG$1,'RTB for Srvc Trans'!$V$23:$Z$23,0))),0,INDEX('RTB for Srvc Trans'!$V52:$Z52,MATCH('Individual FTC Cost View'!AG$1,'RTB for Srvc Trans'!$V$23:$Z$23,0)))</f>
        <v>0</v>
      </c>
      <c r="AH444" s="1008">
        <f>IF(ISNA(INDEX('RTB for Srvc Trans'!$V52:$Z52,MATCH('Individual FTC Cost View'!AH$1,'RTB for Srvc Trans'!$V$23:$Z$23,0))),0,INDEX('RTB for Srvc Trans'!$V52:$Z52,MATCH('Individual FTC Cost View'!AH$1,'RTB for Srvc Trans'!$V$23:$Z$23,0)))</f>
        <v>0</v>
      </c>
      <c r="AI444" s="1008">
        <f>IF(ISNA(INDEX('RTB for Srvc Trans'!$V52:$Z52,MATCH('Individual FTC Cost View'!AI$1,'RTB for Srvc Trans'!$V$23:$Z$23,0))),0,INDEX('RTB for Srvc Trans'!$V52:$Z52,MATCH('Individual FTC Cost View'!AI$1,'RTB for Srvc Trans'!$V$23:$Z$23,0)))</f>
        <v>0</v>
      </c>
      <c r="AJ444" s="1008">
        <f>IF(ISNA(INDEX('RTB for Srvc Trans'!$V52:$Z52,MATCH('Individual FTC Cost View'!AJ$1,'RTB for Srvc Trans'!$V$23:$Z$23,0))),0,INDEX('RTB for Srvc Trans'!$V52:$Z52,MATCH('Individual FTC Cost View'!AJ$1,'RTB for Srvc Trans'!$V$23:$Z$23,0)))</f>
        <v>0</v>
      </c>
      <c r="AK444" s="1008">
        <f>IF(ISNA(INDEX('RTB for Srvc Trans'!$V52:$Z52,MATCH('Individual FTC Cost View'!AK$1,'RTB for Srvc Trans'!$V$23:$Z$23,0))),0,INDEX('RTB for Srvc Trans'!$V52:$Z52,MATCH('Individual FTC Cost View'!AK$1,'RTB for Srvc Trans'!$V$23:$Z$23,0)))</f>
        <v>0</v>
      </c>
      <c r="AL444" s="1008">
        <f>IF(ISNA(INDEX('RTB for Srvc Trans'!$V52:$Z52,MATCH('Individual FTC Cost View'!AL$1,'RTB for Srvc Trans'!$V$23:$Z$23,0))),0,INDEX('RTB for Srvc Trans'!$V52:$Z52,MATCH('Individual FTC Cost View'!AL$1,'RTB for Srvc Trans'!$V$23:$Z$23,0)))</f>
        <v>0</v>
      </c>
      <c r="AM444" s="1008">
        <f>IF(ISNA(INDEX('RTB for Srvc Trans'!$V52:$Z52,MATCH('Individual FTC Cost View'!AM$1,'RTB for Srvc Trans'!$V$23:$Z$23,0))),0,INDEX('RTB for Srvc Trans'!$V52:$Z52,MATCH('Individual FTC Cost View'!AM$1,'RTB for Srvc Trans'!$V$23:$Z$23,0)))</f>
        <v>0</v>
      </c>
      <c r="AN444" s="1008">
        <f>IF(ISNA(INDEX('RTB for Srvc Trans'!$V52:$Z52,MATCH('Individual FTC Cost View'!AN$1,'RTB for Srvc Trans'!$V$23:$Z$23,0))),0,INDEX('RTB for Srvc Trans'!$V52:$Z52,MATCH('Individual FTC Cost View'!AN$1,'RTB for Srvc Trans'!$V$23:$Z$23,0)))</f>
        <v>0</v>
      </c>
      <c r="AO444" s="1008">
        <f>IF(ISNA(INDEX('RTB for Srvc Trans'!$V52:$Z52,MATCH('Individual FTC Cost View'!AO$1,'RTB for Srvc Trans'!$V$23:$Z$23,0))),0,INDEX('RTB for Srvc Trans'!$V52:$Z52,MATCH('Individual FTC Cost View'!AO$1,'RTB for Srvc Trans'!$V$23:$Z$23,0)))</f>
        <v>0</v>
      </c>
      <c r="AP444" s="1008">
        <f>IF(ISNA(INDEX('RTB for Srvc Trans'!$V52:$Z52,MATCH('Individual FTC Cost View'!AP$1,'RTB for Srvc Trans'!$V$23:$Z$23,0))),0,INDEX('RTB for Srvc Trans'!$V52:$Z52,MATCH('Individual FTC Cost View'!AP$1,'RTB for Srvc Trans'!$V$23:$Z$23,0)))</f>
        <v>0</v>
      </c>
      <c r="AQ444" s="1008">
        <f>IF(ISNA(INDEX('RTB for Srvc Trans'!$V52:$Z52,MATCH('Individual FTC Cost View'!AQ$1,'RTB for Srvc Trans'!$V$23:$Z$23,0))),0,INDEX('RTB for Srvc Trans'!$V52:$Z52,MATCH('Individual FTC Cost View'!AQ$1,'RTB for Srvc Trans'!$V$23:$Z$23,0)))</f>
        <v>0</v>
      </c>
      <c r="AR444" s="1016">
        <f t="shared" si="17"/>
        <v>0</v>
      </c>
    </row>
    <row r="445" spans="2:44" ht="15" customHeight="1">
      <c r="B445" s="2"/>
      <c r="C445"/>
      <c r="D445"/>
      <c r="E445"/>
      <c r="F445"/>
      <c r="G445"/>
      <c r="H445"/>
      <c r="I445"/>
      <c r="J445"/>
      <c r="K445"/>
      <c r="L445"/>
      <c r="M445"/>
      <c r="N445"/>
      <c r="O445"/>
      <c r="P445"/>
      <c r="Q445"/>
      <c r="AA445" s="1689"/>
      <c r="AB445" s="962" t="str">
        <f>'RTB for Srvc Trans'!Q53</f>
        <v/>
      </c>
      <c r="AC445" s="962" t="str">
        <f>'RTB for Srvc Trans'!R53</f>
        <v>Ongoing Costs</v>
      </c>
      <c r="AD445" s="962" t="str">
        <f>'RTB for Srvc Trans'!S53</f>
        <v/>
      </c>
      <c r="AE445" s="962" t="str">
        <f>'RTB for Srvc Trans'!T53</f>
        <v/>
      </c>
      <c r="AF445" s="962" t="str">
        <f>'RTB for Srvc Trans'!U53</f>
        <v>RTB</v>
      </c>
      <c r="AG445" s="1008">
        <f>IF(ISNA(INDEX('RTB for Srvc Trans'!$V53:$Z53,MATCH('Individual FTC Cost View'!AG$1,'RTB for Srvc Trans'!$V$23:$Z$23,0))),0,INDEX('RTB for Srvc Trans'!$V53:$Z53,MATCH('Individual FTC Cost View'!AG$1,'RTB for Srvc Trans'!$V$23:$Z$23,0)))</f>
        <v>0</v>
      </c>
      <c r="AH445" s="1008">
        <f>IF(ISNA(INDEX('RTB for Srvc Trans'!$V53:$Z53,MATCH('Individual FTC Cost View'!AH$1,'RTB for Srvc Trans'!$V$23:$Z$23,0))),0,INDEX('RTB for Srvc Trans'!$V53:$Z53,MATCH('Individual FTC Cost View'!AH$1,'RTB for Srvc Trans'!$V$23:$Z$23,0)))</f>
        <v>0</v>
      </c>
      <c r="AI445" s="1008">
        <f>IF(ISNA(INDEX('RTB for Srvc Trans'!$V53:$Z53,MATCH('Individual FTC Cost View'!AI$1,'RTB for Srvc Trans'!$V$23:$Z$23,0))),0,INDEX('RTB for Srvc Trans'!$V53:$Z53,MATCH('Individual FTC Cost View'!AI$1,'RTB for Srvc Trans'!$V$23:$Z$23,0)))</f>
        <v>0</v>
      </c>
      <c r="AJ445" s="1008">
        <f>IF(ISNA(INDEX('RTB for Srvc Trans'!$V53:$Z53,MATCH('Individual FTC Cost View'!AJ$1,'RTB for Srvc Trans'!$V$23:$Z$23,0))),0,INDEX('RTB for Srvc Trans'!$V53:$Z53,MATCH('Individual FTC Cost View'!AJ$1,'RTB for Srvc Trans'!$V$23:$Z$23,0)))</f>
        <v>0</v>
      </c>
      <c r="AK445" s="1008">
        <f>IF(ISNA(INDEX('RTB for Srvc Trans'!$V53:$Z53,MATCH('Individual FTC Cost View'!AK$1,'RTB for Srvc Trans'!$V$23:$Z$23,0))),0,INDEX('RTB for Srvc Trans'!$V53:$Z53,MATCH('Individual FTC Cost View'!AK$1,'RTB for Srvc Trans'!$V$23:$Z$23,0)))</f>
        <v>0</v>
      </c>
      <c r="AL445" s="1008">
        <f>IF(ISNA(INDEX('RTB for Srvc Trans'!$V53:$Z53,MATCH('Individual FTC Cost View'!AL$1,'RTB for Srvc Trans'!$V$23:$Z$23,0))),0,INDEX('RTB for Srvc Trans'!$V53:$Z53,MATCH('Individual FTC Cost View'!AL$1,'RTB for Srvc Trans'!$V$23:$Z$23,0)))</f>
        <v>0</v>
      </c>
      <c r="AM445" s="1008">
        <f>IF(ISNA(INDEX('RTB for Srvc Trans'!$V53:$Z53,MATCH('Individual FTC Cost View'!AM$1,'RTB for Srvc Trans'!$V$23:$Z$23,0))),0,INDEX('RTB for Srvc Trans'!$V53:$Z53,MATCH('Individual FTC Cost View'!AM$1,'RTB for Srvc Trans'!$V$23:$Z$23,0)))</f>
        <v>0</v>
      </c>
      <c r="AN445" s="1008">
        <f>IF(ISNA(INDEX('RTB for Srvc Trans'!$V53:$Z53,MATCH('Individual FTC Cost View'!AN$1,'RTB for Srvc Trans'!$V$23:$Z$23,0))),0,INDEX('RTB for Srvc Trans'!$V53:$Z53,MATCH('Individual FTC Cost View'!AN$1,'RTB for Srvc Trans'!$V$23:$Z$23,0)))</f>
        <v>0</v>
      </c>
      <c r="AO445" s="1008">
        <f>IF(ISNA(INDEX('RTB for Srvc Trans'!$V53:$Z53,MATCH('Individual FTC Cost View'!AO$1,'RTB for Srvc Trans'!$V$23:$Z$23,0))),0,INDEX('RTB for Srvc Trans'!$V53:$Z53,MATCH('Individual FTC Cost View'!AO$1,'RTB for Srvc Trans'!$V$23:$Z$23,0)))</f>
        <v>0</v>
      </c>
      <c r="AP445" s="1008">
        <f>IF(ISNA(INDEX('RTB for Srvc Trans'!$V53:$Z53,MATCH('Individual FTC Cost View'!AP$1,'RTB for Srvc Trans'!$V$23:$Z$23,0))),0,INDEX('RTB for Srvc Trans'!$V53:$Z53,MATCH('Individual FTC Cost View'!AP$1,'RTB for Srvc Trans'!$V$23:$Z$23,0)))</f>
        <v>0</v>
      </c>
      <c r="AQ445" s="1008">
        <f>IF(ISNA(INDEX('RTB for Srvc Trans'!$V53:$Z53,MATCH('Individual FTC Cost View'!AQ$1,'RTB for Srvc Trans'!$V$23:$Z$23,0))),0,INDEX('RTB for Srvc Trans'!$V53:$Z53,MATCH('Individual FTC Cost View'!AQ$1,'RTB for Srvc Trans'!$V$23:$Z$23,0)))</f>
        <v>0</v>
      </c>
      <c r="AR445" s="1016">
        <f t="shared" si="17"/>
        <v>0</v>
      </c>
    </row>
    <row r="446" spans="2:44" ht="15" customHeight="1">
      <c r="B446" s="2"/>
      <c r="C446"/>
      <c r="D446"/>
      <c r="E446"/>
      <c r="F446"/>
      <c r="G446"/>
      <c r="H446"/>
      <c r="I446"/>
      <c r="J446"/>
      <c r="K446"/>
      <c r="L446"/>
      <c r="M446"/>
      <c r="N446"/>
      <c r="O446"/>
      <c r="P446"/>
      <c r="Q446"/>
      <c r="AA446" s="1689"/>
      <c r="AB446" s="962" t="str">
        <f>'RTB for Srvc Trans'!Q54</f>
        <v/>
      </c>
      <c r="AC446" s="962" t="str">
        <f>'RTB for Srvc Trans'!R54</f>
        <v>Ongoing Costs</v>
      </c>
      <c r="AD446" s="962" t="str">
        <f>'RTB for Srvc Trans'!S54</f>
        <v/>
      </c>
      <c r="AE446" s="962" t="str">
        <f>'RTB for Srvc Trans'!T54</f>
        <v/>
      </c>
      <c r="AF446" s="962" t="str">
        <f>'RTB for Srvc Trans'!U54</f>
        <v>RTB</v>
      </c>
      <c r="AG446" s="1008">
        <f>IF(ISNA(INDEX('RTB for Srvc Trans'!$V54:$Z54,MATCH('Individual FTC Cost View'!AG$1,'RTB for Srvc Trans'!$V$23:$Z$23,0))),0,INDEX('RTB for Srvc Trans'!$V54:$Z54,MATCH('Individual FTC Cost View'!AG$1,'RTB for Srvc Trans'!$V$23:$Z$23,0)))</f>
        <v>0</v>
      </c>
      <c r="AH446" s="1008">
        <f>IF(ISNA(INDEX('RTB for Srvc Trans'!$V54:$Z54,MATCH('Individual FTC Cost View'!AH$1,'RTB for Srvc Trans'!$V$23:$Z$23,0))),0,INDEX('RTB for Srvc Trans'!$V54:$Z54,MATCH('Individual FTC Cost View'!AH$1,'RTB for Srvc Trans'!$V$23:$Z$23,0)))</f>
        <v>0</v>
      </c>
      <c r="AI446" s="1008">
        <f>IF(ISNA(INDEX('RTB for Srvc Trans'!$V54:$Z54,MATCH('Individual FTC Cost View'!AI$1,'RTB for Srvc Trans'!$V$23:$Z$23,0))),0,INDEX('RTB for Srvc Trans'!$V54:$Z54,MATCH('Individual FTC Cost View'!AI$1,'RTB for Srvc Trans'!$V$23:$Z$23,0)))</f>
        <v>0</v>
      </c>
      <c r="AJ446" s="1008">
        <f>IF(ISNA(INDEX('RTB for Srvc Trans'!$V54:$Z54,MATCH('Individual FTC Cost View'!AJ$1,'RTB for Srvc Trans'!$V$23:$Z$23,0))),0,INDEX('RTB for Srvc Trans'!$V54:$Z54,MATCH('Individual FTC Cost View'!AJ$1,'RTB for Srvc Trans'!$V$23:$Z$23,0)))</f>
        <v>0</v>
      </c>
      <c r="AK446" s="1008">
        <f>IF(ISNA(INDEX('RTB for Srvc Trans'!$V54:$Z54,MATCH('Individual FTC Cost View'!AK$1,'RTB for Srvc Trans'!$V$23:$Z$23,0))),0,INDEX('RTB for Srvc Trans'!$V54:$Z54,MATCH('Individual FTC Cost View'!AK$1,'RTB for Srvc Trans'!$V$23:$Z$23,0)))</f>
        <v>0</v>
      </c>
      <c r="AL446" s="1008">
        <f>IF(ISNA(INDEX('RTB for Srvc Trans'!$V54:$Z54,MATCH('Individual FTC Cost View'!AL$1,'RTB for Srvc Trans'!$V$23:$Z$23,0))),0,INDEX('RTB for Srvc Trans'!$V54:$Z54,MATCH('Individual FTC Cost View'!AL$1,'RTB for Srvc Trans'!$V$23:$Z$23,0)))</f>
        <v>0</v>
      </c>
      <c r="AM446" s="1008">
        <f>IF(ISNA(INDEX('RTB for Srvc Trans'!$V54:$Z54,MATCH('Individual FTC Cost View'!AM$1,'RTB for Srvc Trans'!$V$23:$Z$23,0))),0,INDEX('RTB for Srvc Trans'!$V54:$Z54,MATCH('Individual FTC Cost View'!AM$1,'RTB for Srvc Trans'!$V$23:$Z$23,0)))</f>
        <v>0</v>
      </c>
      <c r="AN446" s="1008">
        <f>IF(ISNA(INDEX('RTB for Srvc Trans'!$V54:$Z54,MATCH('Individual FTC Cost View'!AN$1,'RTB for Srvc Trans'!$V$23:$Z$23,0))),0,INDEX('RTB for Srvc Trans'!$V54:$Z54,MATCH('Individual FTC Cost View'!AN$1,'RTB for Srvc Trans'!$V$23:$Z$23,0)))</f>
        <v>0</v>
      </c>
      <c r="AO446" s="1008">
        <f>IF(ISNA(INDEX('RTB for Srvc Trans'!$V54:$Z54,MATCH('Individual FTC Cost View'!AO$1,'RTB for Srvc Trans'!$V$23:$Z$23,0))),0,INDEX('RTB for Srvc Trans'!$V54:$Z54,MATCH('Individual FTC Cost View'!AO$1,'RTB for Srvc Trans'!$V$23:$Z$23,0)))</f>
        <v>0</v>
      </c>
      <c r="AP446" s="1008">
        <f>IF(ISNA(INDEX('RTB for Srvc Trans'!$V54:$Z54,MATCH('Individual FTC Cost View'!AP$1,'RTB for Srvc Trans'!$V$23:$Z$23,0))),0,INDEX('RTB for Srvc Trans'!$V54:$Z54,MATCH('Individual FTC Cost View'!AP$1,'RTB for Srvc Trans'!$V$23:$Z$23,0)))</f>
        <v>0</v>
      </c>
      <c r="AQ446" s="1008">
        <f>IF(ISNA(INDEX('RTB for Srvc Trans'!$V54:$Z54,MATCH('Individual FTC Cost View'!AQ$1,'RTB for Srvc Trans'!$V$23:$Z$23,0))),0,INDEX('RTB for Srvc Trans'!$V54:$Z54,MATCH('Individual FTC Cost View'!AQ$1,'RTB for Srvc Trans'!$V$23:$Z$23,0)))</f>
        <v>0</v>
      </c>
      <c r="AR446" s="1016">
        <f t="shared" ref="AR446:AR449" si="18">SUM(AG446:AQ446)</f>
        <v>0</v>
      </c>
    </row>
    <row r="447" spans="2:44" ht="15" customHeight="1">
      <c r="B447" s="2"/>
      <c r="C447"/>
      <c r="D447"/>
      <c r="E447"/>
      <c r="F447"/>
      <c r="G447"/>
      <c r="H447"/>
      <c r="I447"/>
      <c r="J447"/>
      <c r="K447"/>
      <c r="L447"/>
      <c r="M447"/>
      <c r="N447"/>
      <c r="O447"/>
      <c r="P447"/>
      <c r="Q447"/>
      <c r="AA447" s="1689"/>
      <c r="AB447" s="962" t="str">
        <f>'RTB for Srvc Trans'!Q55</f>
        <v/>
      </c>
      <c r="AC447" s="962" t="str">
        <f>'RTB for Srvc Trans'!R55</f>
        <v>Ongoing Costs</v>
      </c>
      <c r="AD447" s="962" t="str">
        <f>'RTB for Srvc Trans'!S55</f>
        <v/>
      </c>
      <c r="AE447" s="962" t="str">
        <f>'RTB for Srvc Trans'!T55</f>
        <v/>
      </c>
      <c r="AF447" s="962" t="str">
        <f>'RTB for Srvc Trans'!U55</f>
        <v>RTB</v>
      </c>
      <c r="AG447" s="1008">
        <f>IF(ISNA(INDEX('RTB for Srvc Trans'!$V55:$Z55,MATCH('Individual FTC Cost View'!AG$1,'RTB for Srvc Trans'!$V$23:$Z$23,0))),0,INDEX('RTB for Srvc Trans'!$V55:$Z55,MATCH('Individual FTC Cost View'!AG$1,'RTB for Srvc Trans'!$V$23:$Z$23,0)))</f>
        <v>0</v>
      </c>
      <c r="AH447" s="1008">
        <f>IF(ISNA(INDEX('RTB for Srvc Trans'!$V55:$Z55,MATCH('Individual FTC Cost View'!AH$1,'RTB for Srvc Trans'!$V$23:$Z$23,0))),0,INDEX('RTB for Srvc Trans'!$V55:$Z55,MATCH('Individual FTC Cost View'!AH$1,'RTB for Srvc Trans'!$V$23:$Z$23,0)))</f>
        <v>0</v>
      </c>
      <c r="AI447" s="1008">
        <f>IF(ISNA(INDEX('RTB for Srvc Trans'!$V55:$Z55,MATCH('Individual FTC Cost View'!AI$1,'RTB for Srvc Trans'!$V$23:$Z$23,0))),0,INDEX('RTB for Srvc Trans'!$V55:$Z55,MATCH('Individual FTC Cost View'!AI$1,'RTB for Srvc Trans'!$V$23:$Z$23,0)))</f>
        <v>0</v>
      </c>
      <c r="AJ447" s="1008">
        <f>IF(ISNA(INDEX('RTB for Srvc Trans'!$V55:$Z55,MATCH('Individual FTC Cost View'!AJ$1,'RTB for Srvc Trans'!$V$23:$Z$23,0))),0,INDEX('RTB for Srvc Trans'!$V55:$Z55,MATCH('Individual FTC Cost View'!AJ$1,'RTB for Srvc Trans'!$V$23:$Z$23,0)))</f>
        <v>0</v>
      </c>
      <c r="AK447" s="1008">
        <f>IF(ISNA(INDEX('RTB for Srvc Trans'!$V55:$Z55,MATCH('Individual FTC Cost View'!AK$1,'RTB for Srvc Trans'!$V$23:$Z$23,0))),0,INDEX('RTB for Srvc Trans'!$V55:$Z55,MATCH('Individual FTC Cost View'!AK$1,'RTB for Srvc Trans'!$V$23:$Z$23,0)))</f>
        <v>0</v>
      </c>
      <c r="AL447" s="1008">
        <f>IF(ISNA(INDEX('RTB for Srvc Trans'!$V55:$Z55,MATCH('Individual FTC Cost View'!AL$1,'RTB for Srvc Trans'!$V$23:$Z$23,0))),0,INDEX('RTB for Srvc Trans'!$V55:$Z55,MATCH('Individual FTC Cost View'!AL$1,'RTB for Srvc Trans'!$V$23:$Z$23,0)))</f>
        <v>0</v>
      </c>
      <c r="AM447" s="1008">
        <f>IF(ISNA(INDEX('RTB for Srvc Trans'!$V55:$Z55,MATCH('Individual FTC Cost View'!AM$1,'RTB for Srvc Trans'!$V$23:$Z$23,0))),0,INDEX('RTB for Srvc Trans'!$V55:$Z55,MATCH('Individual FTC Cost View'!AM$1,'RTB for Srvc Trans'!$V$23:$Z$23,0)))</f>
        <v>0</v>
      </c>
      <c r="AN447" s="1008">
        <f>IF(ISNA(INDEX('RTB for Srvc Trans'!$V55:$Z55,MATCH('Individual FTC Cost View'!AN$1,'RTB for Srvc Trans'!$V$23:$Z$23,0))),0,INDEX('RTB for Srvc Trans'!$V55:$Z55,MATCH('Individual FTC Cost View'!AN$1,'RTB for Srvc Trans'!$V$23:$Z$23,0)))</f>
        <v>0</v>
      </c>
      <c r="AO447" s="1008">
        <f>IF(ISNA(INDEX('RTB for Srvc Trans'!$V55:$Z55,MATCH('Individual FTC Cost View'!AO$1,'RTB for Srvc Trans'!$V$23:$Z$23,0))),0,INDEX('RTB for Srvc Trans'!$V55:$Z55,MATCH('Individual FTC Cost View'!AO$1,'RTB for Srvc Trans'!$V$23:$Z$23,0)))</f>
        <v>0</v>
      </c>
      <c r="AP447" s="1008">
        <f>IF(ISNA(INDEX('RTB for Srvc Trans'!$V55:$Z55,MATCH('Individual FTC Cost View'!AP$1,'RTB for Srvc Trans'!$V$23:$Z$23,0))),0,INDEX('RTB for Srvc Trans'!$V55:$Z55,MATCH('Individual FTC Cost View'!AP$1,'RTB for Srvc Trans'!$V$23:$Z$23,0)))</f>
        <v>0</v>
      </c>
      <c r="AQ447" s="1008">
        <f>IF(ISNA(INDEX('RTB for Srvc Trans'!$V55:$Z55,MATCH('Individual FTC Cost View'!AQ$1,'RTB for Srvc Trans'!$V$23:$Z$23,0))),0,INDEX('RTB for Srvc Trans'!$V55:$Z55,MATCH('Individual FTC Cost View'!AQ$1,'RTB for Srvc Trans'!$V$23:$Z$23,0)))</f>
        <v>0</v>
      </c>
      <c r="AR447" s="1016">
        <f t="shared" si="18"/>
        <v>0</v>
      </c>
    </row>
    <row r="448" spans="2:44" ht="15" customHeight="1">
      <c r="B448" s="2"/>
      <c r="C448"/>
      <c r="D448"/>
      <c r="E448"/>
      <c r="F448"/>
      <c r="G448"/>
      <c r="H448"/>
      <c r="I448"/>
      <c r="J448"/>
      <c r="K448"/>
      <c r="L448"/>
      <c r="M448"/>
      <c r="N448"/>
      <c r="O448"/>
      <c r="P448"/>
      <c r="Q448"/>
      <c r="AA448" s="1689"/>
      <c r="AB448" s="962" t="str">
        <f>'RTB for Srvc Trans'!Q56</f>
        <v/>
      </c>
      <c r="AC448" s="962" t="str">
        <f>'RTB for Srvc Trans'!R56</f>
        <v>Ongoing Costs</v>
      </c>
      <c r="AD448" s="962" t="str">
        <f>'RTB for Srvc Trans'!S56</f>
        <v/>
      </c>
      <c r="AE448" s="962" t="str">
        <f>'RTB for Srvc Trans'!T56</f>
        <v/>
      </c>
      <c r="AF448" s="962" t="str">
        <f>'RTB for Srvc Trans'!U56</f>
        <v>RTB</v>
      </c>
      <c r="AG448" s="1008">
        <f>IF(ISNA(INDEX('RTB for Srvc Trans'!$V56:$Z56,MATCH('Individual FTC Cost View'!AG$1,'RTB for Srvc Trans'!$V$23:$Z$23,0))),0,INDEX('RTB for Srvc Trans'!$V56:$Z56,MATCH('Individual FTC Cost View'!AG$1,'RTB for Srvc Trans'!$V$23:$Z$23,0)))</f>
        <v>0</v>
      </c>
      <c r="AH448" s="1008">
        <f>IF(ISNA(INDEX('RTB for Srvc Trans'!$V56:$Z56,MATCH('Individual FTC Cost View'!AH$1,'RTB for Srvc Trans'!$V$23:$Z$23,0))),0,INDEX('RTB for Srvc Trans'!$V56:$Z56,MATCH('Individual FTC Cost View'!AH$1,'RTB for Srvc Trans'!$V$23:$Z$23,0)))</f>
        <v>0</v>
      </c>
      <c r="AI448" s="1008">
        <f>IF(ISNA(INDEX('RTB for Srvc Trans'!$V56:$Z56,MATCH('Individual FTC Cost View'!AI$1,'RTB for Srvc Trans'!$V$23:$Z$23,0))),0,INDEX('RTB for Srvc Trans'!$V56:$Z56,MATCH('Individual FTC Cost View'!AI$1,'RTB for Srvc Trans'!$V$23:$Z$23,0)))</f>
        <v>0</v>
      </c>
      <c r="AJ448" s="1008">
        <f>IF(ISNA(INDEX('RTB for Srvc Trans'!$V56:$Z56,MATCH('Individual FTC Cost View'!AJ$1,'RTB for Srvc Trans'!$V$23:$Z$23,0))),0,INDEX('RTB for Srvc Trans'!$V56:$Z56,MATCH('Individual FTC Cost View'!AJ$1,'RTB for Srvc Trans'!$V$23:$Z$23,0)))</f>
        <v>0</v>
      </c>
      <c r="AK448" s="1008">
        <f>IF(ISNA(INDEX('RTB for Srvc Trans'!$V56:$Z56,MATCH('Individual FTC Cost View'!AK$1,'RTB for Srvc Trans'!$V$23:$Z$23,0))),0,INDEX('RTB for Srvc Trans'!$V56:$Z56,MATCH('Individual FTC Cost View'!AK$1,'RTB for Srvc Trans'!$V$23:$Z$23,0)))</f>
        <v>0</v>
      </c>
      <c r="AL448" s="1008">
        <f>IF(ISNA(INDEX('RTB for Srvc Trans'!$V56:$Z56,MATCH('Individual FTC Cost View'!AL$1,'RTB for Srvc Trans'!$V$23:$Z$23,0))),0,INDEX('RTB for Srvc Trans'!$V56:$Z56,MATCH('Individual FTC Cost View'!AL$1,'RTB for Srvc Trans'!$V$23:$Z$23,0)))</f>
        <v>0</v>
      </c>
      <c r="AM448" s="1008">
        <f>IF(ISNA(INDEX('RTB for Srvc Trans'!$V56:$Z56,MATCH('Individual FTC Cost View'!AM$1,'RTB for Srvc Trans'!$V$23:$Z$23,0))),0,INDEX('RTB for Srvc Trans'!$V56:$Z56,MATCH('Individual FTC Cost View'!AM$1,'RTB for Srvc Trans'!$V$23:$Z$23,0)))</f>
        <v>0</v>
      </c>
      <c r="AN448" s="1008">
        <f>IF(ISNA(INDEX('RTB for Srvc Trans'!$V56:$Z56,MATCH('Individual FTC Cost View'!AN$1,'RTB for Srvc Trans'!$V$23:$Z$23,0))),0,INDEX('RTB for Srvc Trans'!$V56:$Z56,MATCH('Individual FTC Cost View'!AN$1,'RTB for Srvc Trans'!$V$23:$Z$23,0)))</f>
        <v>0</v>
      </c>
      <c r="AO448" s="1008">
        <f>IF(ISNA(INDEX('RTB for Srvc Trans'!$V56:$Z56,MATCH('Individual FTC Cost View'!AO$1,'RTB for Srvc Trans'!$V$23:$Z$23,0))),0,INDEX('RTB for Srvc Trans'!$V56:$Z56,MATCH('Individual FTC Cost View'!AO$1,'RTB for Srvc Trans'!$V$23:$Z$23,0)))</f>
        <v>0</v>
      </c>
      <c r="AP448" s="1008">
        <f>IF(ISNA(INDEX('RTB for Srvc Trans'!$V56:$Z56,MATCH('Individual FTC Cost View'!AP$1,'RTB for Srvc Trans'!$V$23:$Z$23,0))),0,INDEX('RTB for Srvc Trans'!$V56:$Z56,MATCH('Individual FTC Cost View'!AP$1,'RTB for Srvc Trans'!$V$23:$Z$23,0)))</f>
        <v>0</v>
      </c>
      <c r="AQ448" s="1008">
        <f>IF(ISNA(INDEX('RTB for Srvc Trans'!$V56:$Z56,MATCH('Individual FTC Cost View'!AQ$1,'RTB for Srvc Trans'!$V$23:$Z$23,0))),0,INDEX('RTB for Srvc Trans'!$V56:$Z56,MATCH('Individual FTC Cost View'!AQ$1,'RTB for Srvc Trans'!$V$23:$Z$23,0)))</f>
        <v>0</v>
      </c>
      <c r="AR448" s="1016">
        <f t="shared" si="18"/>
        <v>0</v>
      </c>
    </row>
    <row r="449" spans="2:44" ht="15" customHeight="1" thickBot="1">
      <c r="B449" s="2"/>
      <c r="C449"/>
      <c r="D449"/>
      <c r="E449"/>
      <c r="F449"/>
      <c r="G449"/>
      <c r="H449"/>
      <c r="I449"/>
      <c r="J449"/>
      <c r="K449"/>
      <c r="L449"/>
      <c r="M449"/>
      <c r="N449"/>
      <c r="O449"/>
      <c r="P449"/>
      <c r="Q449"/>
      <c r="AA449" s="1690"/>
      <c r="AB449" s="1013" t="str">
        <f>'RTB for Srvc Trans'!Q57</f>
        <v/>
      </c>
      <c r="AC449" s="1014" t="str">
        <f>'RTB for Srvc Trans'!R57</f>
        <v>Ongoing Costs</v>
      </c>
      <c r="AD449" s="1014" t="str">
        <f>'RTB for Srvc Trans'!S57</f>
        <v/>
      </c>
      <c r="AE449" s="1014" t="str">
        <f>'RTB for Srvc Trans'!T57</f>
        <v/>
      </c>
      <c r="AF449" s="1014" t="str">
        <f>'RTB for Srvc Trans'!U57</f>
        <v>RTB</v>
      </c>
      <c r="AG449" s="1015">
        <f>IF(ISNA(INDEX('RTB for Srvc Trans'!$V57:$Z57,MATCH('Individual FTC Cost View'!AG$1,'RTB for Srvc Trans'!$V$23:$Z$23,0))),0,INDEX('RTB for Srvc Trans'!$V57:$Z57,MATCH('Individual FTC Cost View'!AG$1,'RTB for Srvc Trans'!$V$23:$Z$23,0)))</f>
        <v>0</v>
      </c>
      <c r="AH449" s="1015">
        <f>IF(ISNA(INDEX('RTB for Srvc Trans'!$V57:$Z57,MATCH('Individual FTC Cost View'!AH$1,'RTB for Srvc Trans'!$V$23:$Z$23,0))),0,INDEX('RTB for Srvc Trans'!$V57:$Z57,MATCH('Individual FTC Cost View'!AH$1,'RTB for Srvc Trans'!$V$23:$Z$23,0)))</f>
        <v>0</v>
      </c>
      <c r="AI449" s="1015">
        <f>IF(ISNA(INDEX('RTB for Srvc Trans'!$V57:$Z57,MATCH('Individual FTC Cost View'!AI$1,'RTB for Srvc Trans'!$V$23:$Z$23,0))),0,INDEX('RTB for Srvc Trans'!$V57:$Z57,MATCH('Individual FTC Cost View'!AI$1,'RTB for Srvc Trans'!$V$23:$Z$23,0)))</f>
        <v>0</v>
      </c>
      <c r="AJ449" s="1015">
        <f>IF(ISNA(INDEX('RTB for Srvc Trans'!$V57:$Z57,MATCH('Individual FTC Cost View'!AJ$1,'RTB for Srvc Trans'!$V$23:$Z$23,0))),0,INDEX('RTB for Srvc Trans'!$V57:$Z57,MATCH('Individual FTC Cost View'!AJ$1,'RTB for Srvc Trans'!$V$23:$Z$23,0)))</f>
        <v>0</v>
      </c>
      <c r="AK449" s="1015">
        <f>IF(ISNA(INDEX('RTB for Srvc Trans'!$V57:$Z57,MATCH('Individual FTC Cost View'!AK$1,'RTB for Srvc Trans'!$V$23:$Z$23,0))),0,INDEX('RTB for Srvc Trans'!$V57:$Z57,MATCH('Individual FTC Cost View'!AK$1,'RTB for Srvc Trans'!$V$23:$Z$23,0)))</f>
        <v>0</v>
      </c>
      <c r="AL449" s="1015">
        <f>IF(ISNA(INDEX('RTB for Srvc Trans'!$V57:$Z57,MATCH('Individual FTC Cost View'!AL$1,'RTB for Srvc Trans'!$V$23:$Z$23,0))),0,INDEX('RTB for Srvc Trans'!$V57:$Z57,MATCH('Individual FTC Cost View'!AL$1,'RTB for Srvc Trans'!$V$23:$Z$23,0)))</f>
        <v>0</v>
      </c>
      <c r="AM449" s="1015">
        <f>IF(ISNA(INDEX('RTB for Srvc Trans'!$V57:$Z57,MATCH('Individual FTC Cost View'!AM$1,'RTB for Srvc Trans'!$V$23:$Z$23,0))),0,INDEX('RTB for Srvc Trans'!$V57:$Z57,MATCH('Individual FTC Cost View'!AM$1,'RTB for Srvc Trans'!$V$23:$Z$23,0)))</f>
        <v>0</v>
      </c>
      <c r="AN449" s="1015">
        <f>IF(ISNA(INDEX('RTB for Srvc Trans'!$V57:$Z57,MATCH('Individual FTC Cost View'!AN$1,'RTB for Srvc Trans'!$V$23:$Z$23,0))),0,INDEX('RTB for Srvc Trans'!$V57:$Z57,MATCH('Individual FTC Cost View'!AN$1,'RTB for Srvc Trans'!$V$23:$Z$23,0)))</f>
        <v>0</v>
      </c>
      <c r="AO449" s="1015">
        <f>IF(ISNA(INDEX('RTB for Srvc Trans'!$V57:$Z57,MATCH('Individual FTC Cost View'!AO$1,'RTB for Srvc Trans'!$V$23:$Z$23,0))),0,INDEX('RTB for Srvc Trans'!$V57:$Z57,MATCH('Individual FTC Cost View'!AO$1,'RTB for Srvc Trans'!$V$23:$Z$23,0)))</f>
        <v>0</v>
      </c>
      <c r="AP449" s="1015">
        <f>IF(ISNA(INDEX('RTB for Srvc Trans'!$V57:$Z57,MATCH('Individual FTC Cost View'!AP$1,'RTB for Srvc Trans'!$V$23:$Z$23,0))),0,INDEX('RTB for Srvc Trans'!$V57:$Z57,MATCH('Individual FTC Cost View'!AP$1,'RTB for Srvc Trans'!$V$23:$Z$23,0)))</f>
        <v>0</v>
      </c>
      <c r="AQ449" s="1020">
        <f>IF(ISNA(INDEX('RTB for Srvc Trans'!$V57:$Z57,MATCH('Individual FTC Cost View'!AQ$1,'RTB for Srvc Trans'!$V$23:$Z$23,0))),0,INDEX('RTB for Srvc Trans'!$V57:$Z57,MATCH('Individual FTC Cost View'!AQ$1,'RTB for Srvc Trans'!$V$23:$Z$23,0)))</f>
        <v>0</v>
      </c>
      <c r="AR449" s="1019">
        <f t="shared" si="18"/>
        <v>0</v>
      </c>
    </row>
    <row r="450" spans="2:44" ht="14.5">
      <c r="B450" s="2"/>
      <c r="C450"/>
      <c r="D450"/>
      <c r="E450"/>
      <c r="F450"/>
      <c r="G450"/>
      <c r="H450"/>
      <c r="I450"/>
      <c r="J450"/>
      <c r="K450"/>
      <c r="L450"/>
      <c r="M450"/>
      <c r="N450"/>
      <c r="O450"/>
      <c r="P450"/>
      <c r="Q450"/>
    </row>
    <row r="451" spans="2:44" ht="14.5">
      <c r="B451" s="2"/>
      <c r="C451"/>
      <c r="D451"/>
      <c r="E451"/>
      <c r="F451"/>
      <c r="G451"/>
      <c r="H451"/>
      <c r="I451"/>
      <c r="J451"/>
      <c r="K451"/>
      <c r="L451"/>
      <c r="M451"/>
      <c r="N451"/>
      <c r="O451"/>
      <c r="P451"/>
      <c r="Q451"/>
    </row>
    <row r="452" spans="2:44" ht="14.5">
      <c r="B452" s="2"/>
      <c r="C452"/>
      <c r="D452"/>
      <c r="E452"/>
      <c r="F452"/>
      <c r="G452"/>
      <c r="H452"/>
      <c r="I452"/>
      <c r="J452"/>
      <c r="K452"/>
      <c r="L452"/>
      <c r="M452"/>
      <c r="N452"/>
      <c r="O452"/>
      <c r="P452"/>
      <c r="Q452"/>
    </row>
    <row r="453" spans="2:44" ht="14.5">
      <c r="B453" s="2"/>
      <c r="C453"/>
      <c r="D453"/>
      <c r="E453"/>
      <c r="F453"/>
      <c r="G453"/>
      <c r="H453"/>
      <c r="I453"/>
      <c r="J453"/>
      <c r="K453"/>
      <c r="L453"/>
      <c r="M453"/>
      <c r="N453"/>
      <c r="O453"/>
      <c r="P453"/>
      <c r="Q453"/>
    </row>
    <row r="454" spans="2:44" ht="14.5">
      <c r="B454" s="2"/>
      <c r="C454"/>
      <c r="D454"/>
      <c r="E454"/>
      <c r="F454"/>
      <c r="G454"/>
      <c r="H454"/>
      <c r="I454"/>
      <c r="J454"/>
      <c r="K454"/>
      <c r="L454"/>
      <c r="M454"/>
      <c r="N454"/>
      <c r="O454"/>
      <c r="P454"/>
      <c r="Q454"/>
    </row>
    <row r="455" spans="2:44" ht="14.5">
      <c r="B455" s="2"/>
      <c r="C455"/>
      <c r="D455"/>
      <c r="E455"/>
      <c r="F455"/>
      <c r="G455"/>
      <c r="H455"/>
      <c r="I455"/>
      <c r="J455"/>
      <c r="K455"/>
      <c r="L455"/>
      <c r="M455"/>
      <c r="N455"/>
      <c r="O455"/>
      <c r="P455"/>
      <c r="Q455"/>
    </row>
    <row r="456" spans="2:44" ht="14.5">
      <c r="B456" s="2"/>
      <c r="C456"/>
      <c r="D456"/>
      <c r="E456"/>
      <c r="F456"/>
      <c r="G456"/>
      <c r="H456"/>
      <c r="I456"/>
      <c r="J456"/>
      <c r="K456"/>
      <c r="L456"/>
      <c r="M456"/>
      <c r="N456"/>
      <c r="O456"/>
      <c r="P456"/>
      <c r="Q456"/>
    </row>
    <row r="457" spans="2:44" ht="14.5">
      <c r="B457" s="2"/>
      <c r="C457"/>
      <c r="D457"/>
      <c r="E457"/>
      <c r="F457"/>
      <c r="G457"/>
      <c r="H457"/>
      <c r="I457"/>
      <c r="J457"/>
      <c r="K457"/>
      <c r="L457"/>
      <c r="M457"/>
      <c r="N457"/>
      <c r="O457"/>
      <c r="P457"/>
      <c r="Q457"/>
    </row>
    <row r="458" spans="2:44" ht="14.5">
      <c r="B458" s="2"/>
      <c r="C458"/>
      <c r="D458"/>
      <c r="E458"/>
      <c r="F458"/>
      <c r="G458"/>
      <c r="H458"/>
      <c r="I458"/>
      <c r="J458"/>
      <c r="K458"/>
      <c r="L458"/>
      <c r="M458"/>
      <c r="N458"/>
      <c r="O458"/>
      <c r="P458"/>
      <c r="Q458"/>
    </row>
    <row r="459" spans="2:44" ht="14.5">
      <c r="B459" s="2"/>
      <c r="C459"/>
      <c r="D459"/>
      <c r="E459"/>
      <c r="F459"/>
      <c r="G459"/>
      <c r="H459"/>
      <c r="I459"/>
      <c r="J459"/>
      <c r="K459"/>
      <c r="L459"/>
      <c r="M459"/>
      <c r="N459"/>
      <c r="O459"/>
      <c r="P459"/>
      <c r="Q459"/>
    </row>
    <row r="460" spans="2:44" ht="14.5">
      <c r="B460" s="2"/>
      <c r="C460"/>
      <c r="D460"/>
      <c r="E460"/>
      <c r="F460"/>
      <c r="G460"/>
      <c r="H460"/>
      <c r="I460"/>
      <c r="J460"/>
      <c r="K460"/>
      <c r="L460"/>
      <c r="M460"/>
      <c r="N460"/>
      <c r="O460"/>
      <c r="P460"/>
      <c r="Q460"/>
    </row>
    <row r="461" spans="2:44" ht="14.5">
      <c r="B461" s="2"/>
      <c r="C461"/>
      <c r="D461"/>
      <c r="E461"/>
      <c r="F461"/>
      <c r="G461"/>
      <c r="H461"/>
      <c r="I461"/>
      <c r="J461"/>
      <c r="K461"/>
      <c r="L461"/>
      <c r="M461"/>
      <c r="N461"/>
      <c r="O461"/>
      <c r="P461"/>
      <c r="Q461"/>
    </row>
    <row r="462" spans="2:44" ht="14.5">
      <c r="B462" s="2"/>
      <c r="C462"/>
      <c r="D462"/>
      <c r="E462"/>
      <c r="F462"/>
      <c r="G462"/>
      <c r="H462"/>
      <c r="I462"/>
      <c r="J462"/>
      <c r="K462"/>
      <c r="L462"/>
      <c r="M462"/>
      <c r="N462"/>
      <c r="O462"/>
      <c r="P462"/>
      <c r="Q462"/>
    </row>
    <row r="463" spans="2:44" ht="14.5">
      <c r="B463" s="2"/>
      <c r="C463"/>
      <c r="D463"/>
      <c r="E463"/>
      <c r="F463"/>
      <c r="G463"/>
      <c r="H463"/>
      <c r="I463"/>
      <c r="J463"/>
      <c r="K463"/>
      <c r="L463"/>
      <c r="M463"/>
      <c r="N463"/>
      <c r="O463"/>
      <c r="P463"/>
      <c r="Q463"/>
    </row>
    <row r="464" spans="2:44" ht="14.5">
      <c r="B464" s="2"/>
      <c r="C464"/>
      <c r="D464"/>
      <c r="E464"/>
      <c r="F464"/>
      <c r="G464"/>
      <c r="H464"/>
      <c r="I464"/>
      <c r="J464"/>
      <c r="K464"/>
      <c r="L464"/>
      <c r="M464"/>
      <c r="N464"/>
      <c r="O464"/>
      <c r="P464"/>
      <c r="Q464"/>
    </row>
    <row r="465" spans="2:17" ht="14.5">
      <c r="B465" s="2"/>
      <c r="C465"/>
      <c r="D465"/>
      <c r="E465"/>
      <c r="F465"/>
      <c r="G465"/>
      <c r="H465"/>
      <c r="I465"/>
      <c r="J465"/>
      <c r="K465"/>
      <c r="L465"/>
      <c r="M465"/>
      <c r="N465"/>
      <c r="O465"/>
      <c r="P465"/>
      <c r="Q465"/>
    </row>
    <row r="466" spans="2:17" ht="14.5">
      <c r="B466" s="2"/>
      <c r="C466"/>
      <c r="D466"/>
      <c r="E466"/>
      <c r="F466"/>
      <c r="G466"/>
      <c r="H466"/>
      <c r="I466"/>
      <c r="J466"/>
      <c r="K466"/>
      <c r="L466"/>
      <c r="M466"/>
      <c r="N466"/>
      <c r="O466"/>
      <c r="P466"/>
      <c r="Q466"/>
    </row>
    <row r="467" spans="2:17" ht="14.5">
      <c r="B467" s="2"/>
      <c r="C467"/>
      <c r="D467"/>
      <c r="E467"/>
      <c r="F467"/>
      <c r="G467"/>
      <c r="H467"/>
      <c r="I467"/>
      <c r="J467"/>
      <c r="K467"/>
      <c r="L467"/>
      <c r="M467"/>
      <c r="N467"/>
      <c r="O467"/>
      <c r="P467"/>
      <c r="Q467"/>
    </row>
    <row r="468" spans="2:17" ht="14.5">
      <c r="B468" s="2"/>
      <c r="C468"/>
      <c r="D468"/>
      <c r="E468"/>
      <c r="F468"/>
      <c r="G468"/>
      <c r="H468"/>
      <c r="I468"/>
      <c r="J468"/>
      <c r="K468"/>
      <c r="L468"/>
      <c r="M468"/>
      <c r="N468"/>
      <c r="O468"/>
      <c r="P468"/>
      <c r="Q468"/>
    </row>
    <row r="469" spans="2:17" ht="14.5">
      <c r="B469" s="2"/>
      <c r="C469"/>
      <c r="D469"/>
      <c r="E469"/>
      <c r="F469"/>
      <c r="G469"/>
      <c r="H469"/>
      <c r="I469"/>
      <c r="J469"/>
      <c r="K469"/>
      <c r="L469"/>
      <c r="M469"/>
      <c r="N469"/>
      <c r="O469"/>
      <c r="P469"/>
      <c r="Q469"/>
    </row>
    <row r="470" spans="2:17" ht="14.5">
      <c r="B470" s="2"/>
      <c r="C470"/>
      <c r="D470"/>
      <c r="E470"/>
      <c r="F470"/>
      <c r="G470"/>
      <c r="H470"/>
      <c r="I470"/>
      <c r="J470"/>
      <c r="K470"/>
      <c r="L470"/>
      <c r="M470"/>
      <c r="N470"/>
      <c r="O470"/>
      <c r="P470"/>
      <c r="Q470"/>
    </row>
    <row r="471" spans="2:17" ht="14.5">
      <c r="B471" s="2"/>
      <c r="C471"/>
      <c r="D471"/>
      <c r="E471"/>
      <c r="F471"/>
      <c r="G471"/>
      <c r="H471"/>
      <c r="I471"/>
      <c r="J471"/>
      <c r="K471"/>
      <c r="L471"/>
      <c r="M471"/>
      <c r="N471"/>
      <c r="O471"/>
      <c r="P471"/>
      <c r="Q471"/>
    </row>
    <row r="472" spans="2:17" ht="14.5">
      <c r="B472" s="2"/>
      <c r="C472"/>
      <c r="D472"/>
      <c r="E472"/>
      <c r="F472"/>
      <c r="G472"/>
      <c r="H472"/>
      <c r="I472"/>
      <c r="J472"/>
      <c r="K472"/>
      <c r="L472"/>
      <c r="M472"/>
      <c r="N472"/>
      <c r="O472"/>
      <c r="P472"/>
      <c r="Q472"/>
    </row>
    <row r="473" spans="2:17" ht="14.5">
      <c r="B473" s="2"/>
      <c r="C473"/>
      <c r="D473"/>
      <c r="E473"/>
      <c r="F473"/>
      <c r="G473"/>
      <c r="H473"/>
      <c r="I473"/>
      <c r="J473"/>
      <c r="K473"/>
      <c r="L473"/>
      <c r="M473"/>
      <c r="N473"/>
      <c r="O473"/>
      <c r="P473"/>
      <c r="Q473"/>
    </row>
    <row r="474" spans="2:17" ht="14.5">
      <c r="B474" s="2"/>
      <c r="C474"/>
      <c r="D474"/>
      <c r="E474"/>
      <c r="F474"/>
      <c r="G474"/>
      <c r="H474"/>
      <c r="I474"/>
      <c r="J474"/>
      <c r="K474"/>
      <c r="L474"/>
      <c r="M474"/>
      <c r="N474"/>
      <c r="O474"/>
      <c r="P474"/>
      <c r="Q474"/>
    </row>
    <row r="475" spans="2:17" ht="14.5">
      <c r="B475" s="2"/>
      <c r="C475"/>
      <c r="D475"/>
      <c r="E475"/>
      <c r="F475"/>
      <c r="G475"/>
      <c r="H475"/>
      <c r="I475"/>
      <c r="J475"/>
      <c r="K475"/>
      <c r="L475"/>
      <c r="M475"/>
      <c r="N475"/>
      <c r="O475"/>
      <c r="P475"/>
      <c r="Q475"/>
    </row>
    <row r="476" spans="2:17" ht="14.5">
      <c r="B476" s="2"/>
      <c r="C476"/>
      <c r="D476"/>
      <c r="E476"/>
      <c r="F476"/>
      <c r="G476"/>
      <c r="H476"/>
      <c r="I476"/>
      <c r="J476"/>
      <c r="K476"/>
      <c r="L476"/>
      <c r="M476"/>
      <c r="N476"/>
      <c r="O476"/>
      <c r="P476"/>
      <c r="Q476"/>
    </row>
    <row r="477" spans="2:17" ht="14.5">
      <c r="B477" s="2"/>
      <c r="C477"/>
      <c r="D477"/>
      <c r="E477"/>
      <c r="F477"/>
      <c r="G477"/>
      <c r="H477"/>
      <c r="I477"/>
      <c r="J477"/>
      <c r="K477"/>
      <c r="L477"/>
      <c r="M477"/>
      <c r="N477"/>
      <c r="O477"/>
      <c r="P477"/>
      <c r="Q477"/>
    </row>
    <row r="478" spans="2:17" ht="14.5">
      <c r="B478" s="2"/>
      <c r="C478"/>
      <c r="D478"/>
      <c r="E478"/>
      <c r="F478"/>
      <c r="G478"/>
      <c r="H478"/>
      <c r="I478"/>
      <c r="J478"/>
      <c r="K478"/>
      <c r="L478"/>
      <c r="M478"/>
      <c r="N478"/>
      <c r="O478"/>
      <c r="P478"/>
      <c r="Q478"/>
    </row>
    <row r="479" spans="2:17" ht="14.5">
      <c r="B479" s="2"/>
      <c r="C479"/>
      <c r="D479"/>
      <c r="E479"/>
      <c r="F479"/>
      <c r="G479"/>
      <c r="H479"/>
      <c r="I479"/>
      <c r="J479"/>
      <c r="K479"/>
      <c r="L479"/>
      <c r="M479"/>
      <c r="N479"/>
      <c r="O479"/>
      <c r="P479"/>
      <c r="Q479"/>
    </row>
    <row r="480" spans="2:17" ht="14.5">
      <c r="B480" s="2"/>
      <c r="C480"/>
      <c r="D480"/>
      <c r="E480"/>
      <c r="F480"/>
      <c r="G480"/>
      <c r="H480"/>
      <c r="I480"/>
      <c r="J480"/>
      <c r="K480"/>
      <c r="L480"/>
      <c r="M480"/>
      <c r="N480"/>
      <c r="O480"/>
      <c r="P480"/>
      <c r="Q480"/>
    </row>
    <row r="481" spans="2:17" ht="14.5">
      <c r="B481" s="2"/>
      <c r="C481"/>
      <c r="D481"/>
      <c r="E481"/>
      <c r="F481"/>
      <c r="G481"/>
      <c r="H481"/>
      <c r="I481"/>
      <c r="J481"/>
      <c r="K481"/>
      <c r="L481"/>
      <c r="M481"/>
      <c r="N481"/>
      <c r="O481"/>
      <c r="P481"/>
      <c r="Q481"/>
    </row>
    <row r="482" spans="2:17" ht="14.5">
      <c r="B482" s="2"/>
      <c r="C482"/>
      <c r="D482"/>
      <c r="E482"/>
      <c r="F482"/>
      <c r="G482"/>
      <c r="H482"/>
      <c r="I482"/>
      <c r="J482"/>
      <c r="K482"/>
      <c r="L482"/>
      <c r="M482"/>
      <c r="N482"/>
      <c r="O482"/>
      <c r="P482"/>
      <c r="Q482"/>
    </row>
    <row r="483" spans="2:17" ht="14.5">
      <c r="B483" s="2"/>
      <c r="C483"/>
      <c r="D483"/>
      <c r="E483"/>
      <c r="F483"/>
      <c r="G483"/>
      <c r="H483"/>
      <c r="I483"/>
      <c r="J483"/>
      <c r="K483"/>
      <c r="L483"/>
      <c r="M483"/>
      <c r="N483"/>
      <c r="O483"/>
      <c r="P483"/>
      <c r="Q483"/>
    </row>
    <row r="484" spans="2:17" ht="14.5">
      <c r="B484" s="2"/>
      <c r="C484"/>
      <c r="D484"/>
      <c r="E484"/>
      <c r="F484"/>
      <c r="G484"/>
      <c r="H484"/>
      <c r="I484"/>
      <c r="J484"/>
      <c r="K484"/>
      <c r="L484"/>
      <c r="M484"/>
      <c r="N484"/>
      <c r="O484"/>
      <c r="P484"/>
      <c r="Q484"/>
    </row>
    <row r="485" spans="2:17" ht="14.5">
      <c r="B485" s="2"/>
      <c r="C485"/>
      <c r="D485"/>
      <c r="E485"/>
      <c r="F485"/>
      <c r="G485"/>
      <c r="H485"/>
      <c r="I485"/>
      <c r="J485"/>
      <c r="K485"/>
      <c r="L485"/>
      <c r="M485"/>
      <c r="N485"/>
      <c r="O485"/>
      <c r="P485"/>
      <c r="Q485"/>
    </row>
    <row r="486" spans="2:17" ht="14.5">
      <c r="B486" s="2"/>
      <c r="C486"/>
      <c r="D486"/>
      <c r="E486"/>
      <c r="F486"/>
      <c r="G486"/>
      <c r="H486"/>
      <c r="I486"/>
      <c r="J486"/>
      <c r="K486"/>
      <c r="L486"/>
      <c r="M486"/>
      <c r="N486"/>
      <c r="O486"/>
      <c r="P486"/>
      <c r="Q486"/>
    </row>
    <row r="487" spans="2:17" ht="14.5">
      <c r="B487" s="2"/>
      <c r="C487"/>
      <c r="D487"/>
      <c r="E487"/>
      <c r="F487"/>
      <c r="G487"/>
      <c r="H487"/>
      <c r="I487"/>
      <c r="J487"/>
      <c r="K487"/>
      <c r="L487"/>
      <c r="M487"/>
      <c r="N487"/>
      <c r="O487"/>
      <c r="P487"/>
      <c r="Q487"/>
    </row>
    <row r="488" spans="2:17" ht="14.5">
      <c r="B488" s="2"/>
      <c r="C488"/>
      <c r="D488"/>
      <c r="E488"/>
      <c r="F488"/>
      <c r="G488"/>
      <c r="H488"/>
      <c r="I488"/>
      <c r="J488"/>
      <c r="K488"/>
      <c r="L488"/>
      <c r="M488"/>
      <c r="N488"/>
      <c r="O488"/>
      <c r="P488"/>
      <c r="Q488"/>
    </row>
    <row r="489" spans="2:17" ht="14.5">
      <c r="B489" s="2"/>
      <c r="C489"/>
      <c r="D489"/>
      <c r="E489"/>
      <c r="F489"/>
      <c r="G489"/>
      <c r="H489"/>
      <c r="I489"/>
      <c r="J489"/>
      <c r="K489"/>
      <c r="L489"/>
      <c r="M489"/>
      <c r="N489"/>
      <c r="O489"/>
      <c r="P489"/>
      <c r="Q489"/>
    </row>
    <row r="490" spans="2:17" ht="14.5">
      <c r="B490" s="2"/>
      <c r="C490"/>
      <c r="D490"/>
      <c r="E490"/>
      <c r="F490"/>
      <c r="G490"/>
      <c r="H490"/>
      <c r="I490"/>
      <c r="J490"/>
      <c r="K490"/>
      <c r="L490"/>
      <c r="M490"/>
      <c r="N490"/>
      <c r="O490"/>
      <c r="P490"/>
      <c r="Q490"/>
    </row>
    <row r="491" spans="2:17" ht="14.5">
      <c r="B491" s="2"/>
      <c r="C491"/>
      <c r="D491"/>
      <c r="E491"/>
      <c r="F491"/>
      <c r="G491"/>
      <c r="H491"/>
      <c r="I491"/>
      <c r="J491"/>
      <c r="K491"/>
      <c r="L491"/>
      <c r="M491"/>
      <c r="N491"/>
      <c r="O491"/>
      <c r="P491"/>
      <c r="Q491"/>
    </row>
    <row r="492" spans="2:17" ht="14.5">
      <c r="B492" s="2"/>
      <c r="C492"/>
      <c r="D492"/>
      <c r="E492"/>
      <c r="F492"/>
      <c r="G492"/>
      <c r="H492"/>
      <c r="I492"/>
      <c r="J492"/>
      <c r="K492"/>
      <c r="L492"/>
      <c r="M492"/>
      <c r="N492"/>
      <c r="O492"/>
      <c r="P492"/>
      <c r="Q492"/>
    </row>
    <row r="493" spans="2:17" ht="14.5">
      <c r="B493" s="2"/>
      <c r="C493"/>
      <c r="D493"/>
      <c r="E493"/>
      <c r="F493"/>
      <c r="G493"/>
      <c r="H493"/>
      <c r="I493"/>
      <c r="J493"/>
      <c r="K493"/>
      <c r="L493"/>
      <c r="M493"/>
      <c r="N493"/>
      <c r="O493"/>
      <c r="P493"/>
      <c r="Q493"/>
    </row>
    <row r="494" spans="2:17" ht="14.5">
      <c r="B494" s="2"/>
      <c r="C494"/>
      <c r="D494"/>
      <c r="E494"/>
      <c r="F494"/>
      <c r="G494"/>
      <c r="H494"/>
      <c r="I494"/>
      <c r="J494"/>
      <c r="K494"/>
      <c r="L494"/>
      <c r="M494"/>
      <c r="N494"/>
      <c r="O494"/>
      <c r="P494"/>
      <c r="Q494"/>
    </row>
    <row r="495" spans="2:17" ht="14.5">
      <c r="B495" s="2"/>
      <c r="C495"/>
      <c r="D495"/>
      <c r="E495"/>
      <c r="F495"/>
      <c r="G495"/>
      <c r="H495"/>
      <c r="I495"/>
      <c r="J495"/>
      <c r="K495"/>
      <c r="L495"/>
      <c r="M495"/>
      <c r="N495"/>
      <c r="O495"/>
      <c r="P495"/>
      <c r="Q495"/>
    </row>
    <row r="496" spans="2:17" ht="14.5">
      <c r="B496" s="2"/>
      <c r="C496"/>
      <c r="D496"/>
      <c r="E496"/>
      <c r="F496"/>
      <c r="G496"/>
      <c r="H496"/>
      <c r="I496"/>
      <c r="J496"/>
      <c r="K496"/>
      <c r="L496"/>
      <c r="M496"/>
      <c r="N496"/>
      <c r="O496"/>
      <c r="P496"/>
      <c r="Q496"/>
    </row>
    <row r="497" spans="2:17" ht="14.5">
      <c r="B497" s="2"/>
      <c r="C497"/>
      <c r="D497"/>
      <c r="E497"/>
      <c r="F497"/>
      <c r="G497"/>
      <c r="H497"/>
      <c r="I497"/>
      <c r="J497"/>
      <c r="K497"/>
      <c r="L497"/>
      <c r="M497"/>
      <c r="N497"/>
      <c r="O497"/>
      <c r="P497"/>
      <c r="Q497"/>
    </row>
  </sheetData>
  <sheetProtection autoFilter="0" pivotTables="0"/>
  <dataConsolidate topLabels="1">
    <dataRefs count="3">
      <dataRef name="=Oth_Costs_tbl" r:id="rId2"/>
      <dataRef name="=Res_Costs_tbl" r:id="rId3"/>
      <dataRef name="=RTB_Inc_tbl" r:id="rId4"/>
    </dataRefs>
  </dataConsolidate>
  <mergeCells count="6">
    <mergeCell ref="B1:D1"/>
    <mergeCell ref="AA3:AA252"/>
    <mergeCell ref="AA253:AA415"/>
    <mergeCell ref="AA416:AA449"/>
    <mergeCell ref="B13:D13"/>
    <mergeCell ref="D4:J4"/>
  </mergeCells>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AC2DD-C537-4907-B68D-79AE79E3991F}">
  <sheetPr codeName="Sheet12">
    <tabColor theme="3" tint="0.59999389629810485"/>
  </sheetPr>
  <dimension ref="A1:AF12"/>
  <sheetViews>
    <sheetView workbookViewId="0">
      <selection activeCell="A10" sqref="A10"/>
    </sheetView>
  </sheetViews>
  <sheetFormatPr defaultColWidth="9.1796875" defaultRowHeight="14.5"/>
  <cols>
    <col min="1" max="1" width="22.26953125" style="136" customWidth="1"/>
    <col min="2" max="2" width="20.7265625" style="136" customWidth="1"/>
    <col min="3" max="4" width="9.1796875" style="136"/>
    <col min="5" max="5" width="10" style="136" customWidth="1"/>
    <col min="6" max="13" width="9.1796875" style="136"/>
    <col min="14" max="32" width="9.1796875" style="136" customWidth="1"/>
    <col min="33" max="16384" width="9.1796875" style="136"/>
  </cols>
  <sheetData>
    <row r="1" spans="1:32" ht="23.5">
      <c r="A1" s="1693" t="s">
        <v>8702</v>
      </c>
      <c r="B1" s="1693"/>
      <c r="C1" s="1180"/>
      <c r="D1" s="1195" t="s">
        <v>8703</v>
      </c>
      <c r="E1" s="1181"/>
      <c r="F1" s="1181"/>
      <c r="G1" s="1182"/>
      <c r="H1" s="1182"/>
      <c r="I1" s="1182"/>
      <c r="J1" s="1182"/>
      <c r="K1" s="1182"/>
      <c r="L1" s="1182"/>
      <c r="M1" s="1182"/>
      <c r="N1" s="1182"/>
    </row>
    <row r="2" spans="1:32" s="1191" customFormat="1" ht="23.5">
      <c r="A2" s="1190"/>
      <c r="C2" s="862" t="s">
        <v>444</v>
      </c>
      <c r="D2" s="862" t="s">
        <v>449</v>
      </c>
      <c r="E2" s="862" t="s">
        <v>454</v>
      </c>
      <c r="F2" s="862" t="s">
        <v>457</v>
      </c>
      <c r="G2" s="862" t="s">
        <v>461</v>
      </c>
      <c r="H2" s="862" t="s">
        <v>464</v>
      </c>
      <c r="I2" s="862" t="s">
        <v>467</v>
      </c>
      <c r="J2" s="862" t="s">
        <v>468</v>
      </c>
      <c r="K2" s="862" t="s">
        <v>471</v>
      </c>
      <c r="L2" s="862" t="s">
        <v>474</v>
      </c>
      <c r="M2" s="862" t="s">
        <v>476</v>
      </c>
      <c r="N2" s="1192" t="s">
        <v>8704</v>
      </c>
      <c r="O2" s="1192" t="s">
        <v>8705</v>
      </c>
      <c r="P2" s="1192" t="s">
        <v>8706</v>
      </c>
      <c r="Q2" s="1192" t="s">
        <v>8707</v>
      </c>
      <c r="R2" s="1192" t="s">
        <v>8708</v>
      </c>
      <c r="S2" s="1192" t="s">
        <v>8709</v>
      </c>
      <c r="T2" s="1192" t="s">
        <v>8710</v>
      </c>
      <c r="U2" s="1192" t="s">
        <v>8711</v>
      </c>
      <c r="V2" s="1192" t="s">
        <v>8712</v>
      </c>
      <c r="W2" s="1192" t="s">
        <v>8713</v>
      </c>
      <c r="X2" s="1192" t="s">
        <v>8714</v>
      </c>
      <c r="Y2" s="1192" t="s">
        <v>8715</v>
      </c>
      <c r="Z2" s="1192" t="s">
        <v>8716</v>
      </c>
      <c r="AA2" s="1192" t="s">
        <v>8717</v>
      </c>
      <c r="AB2" s="1192" t="s">
        <v>8718</v>
      </c>
      <c r="AC2" s="1192" t="s">
        <v>8719</v>
      </c>
      <c r="AD2" s="1192" t="s">
        <v>8720</v>
      </c>
      <c r="AE2" s="1192" t="s">
        <v>8721</v>
      </c>
      <c r="AF2" s="1192" t="s">
        <v>8722</v>
      </c>
    </row>
    <row r="3" spans="1:32" ht="24">
      <c r="A3" s="1183" t="str">
        <f>CONCATENATE("COST TOTAL (TOTEX) In Millions (",Variables!$C$4,")")</f>
        <v>COST TOTAL (TOTEX) In Millions ($)</v>
      </c>
      <c r="B3" s="1196" t="s">
        <v>8729</v>
      </c>
      <c r="C3" s="1184">
        <f>'Business Case Summary'!F87</f>
        <v>10636.307203288157</v>
      </c>
      <c r="D3" s="1184">
        <f>'Business Case Summary'!G87</f>
        <v>0</v>
      </c>
      <c r="E3" s="1184">
        <f>'Business Case Summary'!H87</f>
        <v>0</v>
      </c>
      <c r="F3" s="1184">
        <f>'Business Case Summary'!I87</f>
        <v>0</v>
      </c>
      <c r="G3" s="1184">
        <f>'Business Case Summary'!J87</f>
        <v>0</v>
      </c>
      <c r="H3" s="1184">
        <f>'Business Case Summary'!K87</f>
        <v>0</v>
      </c>
      <c r="I3" s="1184">
        <f>'Business Case Summary'!L87</f>
        <v>0</v>
      </c>
      <c r="J3" s="1184">
        <f>'Business Case Summary'!M87</f>
        <v>0</v>
      </c>
      <c r="K3" s="1184">
        <f>'Business Case Summary'!N87</f>
        <v>0</v>
      </c>
      <c r="L3" s="1184">
        <f>'Business Case Summary'!O87</f>
        <v>0</v>
      </c>
      <c r="M3" s="1184">
        <f>'Business Case Summary'!P87</f>
        <v>0</v>
      </c>
      <c r="N3" s="1184">
        <v>0</v>
      </c>
      <c r="O3" s="1184">
        <v>0</v>
      </c>
      <c r="P3" s="1184">
        <v>0</v>
      </c>
      <c r="Q3" s="1184">
        <v>0</v>
      </c>
      <c r="R3" s="1184">
        <v>0</v>
      </c>
      <c r="S3" s="1184">
        <v>0</v>
      </c>
      <c r="T3" s="1184">
        <v>0</v>
      </c>
      <c r="U3" s="1184">
        <v>0</v>
      </c>
      <c r="V3" s="1184">
        <v>0</v>
      </c>
      <c r="W3" s="1184">
        <v>0</v>
      </c>
      <c r="X3" s="1184">
        <v>0</v>
      </c>
      <c r="Y3" s="1184">
        <v>0</v>
      </c>
      <c r="Z3" s="1184">
        <v>0</v>
      </c>
      <c r="AA3" s="1184">
        <v>0</v>
      </c>
      <c r="AB3" s="1184">
        <v>0</v>
      </c>
      <c r="AC3" s="1184">
        <v>0</v>
      </c>
      <c r="AD3" s="1184">
        <v>0</v>
      </c>
      <c r="AE3" s="1184">
        <v>0</v>
      </c>
      <c r="AF3" s="1184">
        <v>0</v>
      </c>
    </row>
    <row r="4" spans="1:32" ht="15.5">
      <c r="A4" s="1185"/>
      <c r="B4" s="1186"/>
      <c r="C4" s="1187"/>
      <c r="D4" s="1187"/>
      <c r="E4" s="1187"/>
      <c r="F4" s="1187"/>
      <c r="G4" s="1187"/>
      <c r="H4" s="1187"/>
      <c r="I4" s="1187"/>
      <c r="J4" s="1187"/>
      <c r="K4" s="1187"/>
      <c r="L4" s="1187"/>
      <c r="M4" s="1187"/>
      <c r="N4" s="1187"/>
      <c r="O4" s="1187"/>
      <c r="P4" s="1187"/>
      <c r="Q4" s="1187"/>
      <c r="R4" s="1187"/>
      <c r="S4" s="1187"/>
      <c r="T4" s="1187"/>
      <c r="U4" s="1187"/>
      <c r="V4" s="1187"/>
      <c r="W4" s="1187"/>
      <c r="X4" s="1187"/>
      <c r="Y4" s="1187"/>
      <c r="Z4" s="1187"/>
      <c r="AA4" s="1187"/>
      <c r="AB4" s="1187"/>
      <c r="AC4" s="1187"/>
      <c r="AD4" s="1187"/>
      <c r="AE4" s="1187"/>
      <c r="AF4" s="1187"/>
    </row>
    <row r="5" spans="1:32">
      <c r="A5" s="5"/>
      <c r="B5" s="1188" t="s">
        <v>8723</v>
      </c>
      <c r="C5" s="1694" t="s">
        <v>8724</v>
      </c>
      <c r="D5" s="1694"/>
      <c r="E5" s="1694"/>
      <c r="F5" s="1694"/>
      <c r="G5" s="1694"/>
      <c r="H5" s="1694"/>
      <c r="I5" s="1694"/>
      <c r="J5" s="1694"/>
      <c r="K5" s="1694"/>
      <c r="L5" s="1694"/>
      <c r="M5" s="1694"/>
      <c r="N5" s="1694"/>
      <c r="O5" s="1694"/>
      <c r="P5" s="1694"/>
      <c r="Q5" s="1694"/>
      <c r="R5" s="1694"/>
      <c r="S5" s="1694"/>
      <c r="T5" s="1694"/>
      <c r="U5" s="1694"/>
      <c r="V5" s="1694"/>
      <c r="W5" s="1694"/>
      <c r="X5" s="1694"/>
      <c r="Y5" s="1694"/>
      <c r="Z5" s="1694"/>
      <c r="AA5" s="1694"/>
      <c r="AB5" s="1694"/>
      <c r="AC5" s="1694"/>
      <c r="AD5" s="1694"/>
      <c r="AE5" s="1694"/>
      <c r="AF5" s="1694"/>
    </row>
    <row r="6" spans="1:32" s="1191" customFormat="1">
      <c r="A6" s="787" t="s">
        <v>8725</v>
      </c>
      <c r="B6" s="862" t="s">
        <v>8726</v>
      </c>
      <c r="C6" s="862" t="s">
        <v>444</v>
      </c>
      <c r="D6" s="862" t="s">
        <v>449</v>
      </c>
      <c r="E6" s="862" t="s">
        <v>454</v>
      </c>
      <c r="F6" s="862" t="s">
        <v>457</v>
      </c>
      <c r="G6" s="862" t="s">
        <v>461</v>
      </c>
      <c r="H6" s="862" t="s">
        <v>464</v>
      </c>
      <c r="I6" s="862" t="s">
        <v>467</v>
      </c>
      <c r="J6" s="862" t="s">
        <v>468</v>
      </c>
      <c r="K6" s="862" t="s">
        <v>471</v>
      </c>
      <c r="L6" s="862" t="s">
        <v>474</v>
      </c>
      <c r="M6" s="862" t="s">
        <v>476</v>
      </c>
      <c r="N6" s="1192" t="s">
        <v>8704</v>
      </c>
      <c r="O6" s="1192" t="s">
        <v>8705</v>
      </c>
      <c r="P6" s="1192" t="s">
        <v>8706</v>
      </c>
      <c r="Q6" s="1192" t="s">
        <v>8707</v>
      </c>
      <c r="R6" s="1192" t="s">
        <v>8708</v>
      </c>
      <c r="S6" s="1192" t="s">
        <v>8709</v>
      </c>
      <c r="T6" s="1192" t="s">
        <v>8710</v>
      </c>
      <c r="U6" s="1192" t="s">
        <v>8711</v>
      </c>
      <c r="V6" s="1192" t="s">
        <v>8712</v>
      </c>
      <c r="W6" s="1192" t="s">
        <v>8713</v>
      </c>
      <c r="X6" s="1192" t="s">
        <v>8714</v>
      </c>
      <c r="Y6" s="1192" t="s">
        <v>8715</v>
      </c>
      <c r="Z6" s="1192" t="s">
        <v>8716</v>
      </c>
      <c r="AA6" s="1192" t="s">
        <v>8717</v>
      </c>
      <c r="AB6" s="1192" t="s">
        <v>8718</v>
      </c>
      <c r="AC6" s="1192" t="s">
        <v>8719</v>
      </c>
      <c r="AD6" s="1192" t="s">
        <v>8720</v>
      </c>
      <c r="AE6" s="1192" t="s">
        <v>8721</v>
      </c>
      <c r="AF6" s="1192" t="s">
        <v>8722</v>
      </c>
    </row>
    <row r="7" spans="1:32">
      <c r="A7" s="810" t="s">
        <v>8653</v>
      </c>
      <c r="B7" s="1197"/>
      <c r="C7" s="1193">
        <f t="shared" ref="C7:R11" si="0">$B7*C$3</f>
        <v>0</v>
      </c>
      <c r="D7" s="1193">
        <f t="shared" si="0"/>
        <v>0</v>
      </c>
      <c r="E7" s="1193">
        <f t="shared" si="0"/>
        <v>0</v>
      </c>
      <c r="F7" s="1193">
        <f t="shared" si="0"/>
        <v>0</v>
      </c>
      <c r="G7" s="1193">
        <f t="shared" si="0"/>
        <v>0</v>
      </c>
      <c r="H7" s="1193">
        <f t="shared" si="0"/>
        <v>0</v>
      </c>
      <c r="I7" s="1193">
        <f t="shared" si="0"/>
        <v>0</v>
      </c>
      <c r="J7" s="1193">
        <f t="shared" si="0"/>
        <v>0</v>
      </c>
      <c r="K7" s="1193">
        <f t="shared" si="0"/>
        <v>0</v>
      </c>
      <c r="L7" s="1193">
        <f t="shared" si="0"/>
        <v>0</v>
      </c>
      <c r="M7" s="1193">
        <f t="shared" si="0"/>
        <v>0</v>
      </c>
      <c r="N7" s="1193">
        <f t="shared" si="0"/>
        <v>0</v>
      </c>
      <c r="O7" s="1193">
        <f t="shared" si="0"/>
        <v>0</v>
      </c>
      <c r="P7" s="1193">
        <f t="shared" si="0"/>
        <v>0</v>
      </c>
      <c r="Q7" s="1193">
        <f t="shared" si="0"/>
        <v>0</v>
      </c>
      <c r="R7" s="1193">
        <f t="shared" si="0"/>
        <v>0</v>
      </c>
      <c r="S7" s="1193">
        <f t="shared" ref="D7:AF11" si="1">$B7*S$3</f>
        <v>0</v>
      </c>
      <c r="T7" s="1193">
        <f t="shared" si="1"/>
        <v>0</v>
      </c>
      <c r="U7" s="1193">
        <f t="shared" si="1"/>
        <v>0</v>
      </c>
      <c r="V7" s="1193">
        <f t="shared" si="1"/>
        <v>0</v>
      </c>
      <c r="W7" s="1193">
        <f t="shared" si="1"/>
        <v>0</v>
      </c>
      <c r="X7" s="1193">
        <f t="shared" si="1"/>
        <v>0</v>
      </c>
      <c r="Y7" s="1193">
        <f t="shared" si="1"/>
        <v>0</v>
      </c>
      <c r="Z7" s="1193">
        <f t="shared" si="1"/>
        <v>0</v>
      </c>
      <c r="AA7" s="1193">
        <f t="shared" si="1"/>
        <v>0</v>
      </c>
      <c r="AB7" s="1193">
        <f t="shared" si="1"/>
        <v>0</v>
      </c>
      <c r="AC7" s="1193">
        <f t="shared" si="1"/>
        <v>0</v>
      </c>
      <c r="AD7" s="1193">
        <f t="shared" si="1"/>
        <v>0</v>
      </c>
      <c r="AE7" s="1193">
        <f t="shared" si="1"/>
        <v>0</v>
      </c>
      <c r="AF7" s="1193">
        <f t="shared" si="1"/>
        <v>0</v>
      </c>
    </row>
    <row r="8" spans="1:32">
      <c r="A8" s="810" t="s">
        <v>4021</v>
      </c>
      <c r="B8" s="1198"/>
      <c r="C8" s="1193">
        <f t="shared" si="0"/>
        <v>0</v>
      </c>
      <c r="D8" s="1193">
        <f t="shared" si="1"/>
        <v>0</v>
      </c>
      <c r="E8" s="1193">
        <f t="shared" si="1"/>
        <v>0</v>
      </c>
      <c r="F8" s="1193">
        <f t="shared" si="1"/>
        <v>0</v>
      </c>
      <c r="G8" s="1193">
        <f t="shared" si="1"/>
        <v>0</v>
      </c>
      <c r="H8" s="1193">
        <f t="shared" si="1"/>
        <v>0</v>
      </c>
      <c r="I8" s="1193">
        <f t="shared" si="1"/>
        <v>0</v>
      </c>
      <c r="J8" s="1193">
        <f t="shared" si="1"/>
        <v>0</v>
      </c>
      <c r="K8" s="1193">
        <f t="shared" si="1"/>
        <v>0</v>
      </c>
      <c r="L8" s="1193">
        <f t="shared" si="1"/>
        <v>0</v>
      </c>
      <c r="M8" s="1193">
        <f t="shared" si="1"/>
        <v>0</v>
      </c>
      <c r="N8" s="1193">
        <f t="shared" si="1"/>
        <v>0</v>
      </c>
      <c r="O8" s="1193">
        <f t="shared" si="1"/>
        <v>0</v>
      </c>
      <c r="P8" s="1193">
        <f t="shared" si="1"/>
        <v>0</v>
      </c>
      <c r="Q8" s="1193">
        <f t="shared" si="1"/>
        <v>0</v>
      </c>
      <c r="R8" s="1193">
        <f t="shared" si="1"/>
        <v>0</v>
      </c>
      <c r="S8" s="1193">
        <f t="shared" si="1"/>
        <v>0</v>
      </c>
      <c r="T8" s="1193">
        <f t="shared" si="1"/>
        <v>0</v>
      </c>
      <c r="U8" s="1193">
        <f t="shared" si="1"/>
        <v>0</v>
      </c>
      <c r="V8" s="1193">
        <f t="shared" si="1"/>
        <v>0</v>
      </c>
      <c r="W8" s="1193">
        <f t="shared" si="1"/>
        <v>0</v>
      </c>
      <c r="X8" s="1193">
        <f t="shared" si="1"/>
        <v>0</v>
      </c>
      <c r="Y8" s="1193">
        <f t="shared" si="1"/>
        <v>0</v>
      </c>
      <c r="Z8" s="1193">
        <f t="shared" si="1"/>
        <v>0</v>
      </c>
      <c r="AA8" s="1193">
        <f t="shared" si="1"/>
        <v>0</v>
      </c>
      <c r="AB8" s="1193">
        <f t="shared" si="1"/>
        <v>0</v>
      </c>
      <c r="AC8" s="1193">
        <f t="shared" si="1"/>
        <v>0</v>
      </c>
      <c r="AD8" s="1193">
        <f t="shared" si="1"/>
        <v>0</v>
      </c>
      <c r="AE8" s="1193">
        <f t="shared" si="1"/>
        <v>0</v>
      </c>
      <c r="AF8" s="1193">
        <f t="shared" si="1"/>
        <v>0</v>
      </c>
    </row>
    <row r="9" spans="1:32">
      <c r="A9" s="810" t="s">
        <v>8655</v>
      </c>
      <c r="B9" s="1198"/>
      <c r="C9" s="1193">
        <f t="shared" si="0"/>
        <v>0</v>
      </c>
      <c r="D9" s="1193">
        <f t="shared" si="1"/>
        <v>0</v>
      </c>
      <c r="E9" s="1193">
        <f t="shared" si="1"/>
        <v>0</v>
      </c>
      <c r="F9" s="1193">
        <f t="shared" si="1"/>
        <v>0</v>
      </c>
      <c r="G9" s="1193">
        <f t="shared" si="1"/>
        <v>0</v>
      </c>
      <c r="H9" s="1193">
        <f t="shared" si="1"/>
        <v>0</v>
      </c>
      <c r="I9" s="1193">
        <f t="shared" si="1"/>
        <v>0</v>
      </c>
      <c r="J9" s="1193">
        <f t="shared" si="1"/>
        <v>0</v>
      </c>
      <c r="K9" s="1193">
        <f t="shared" si="1"/>
        <v>0</v>
      </c>
      <c r="L9" s="1193">
        <f t="shared" si="1"/>
        <v>0</v>
      </c>
      <c r="M9" s="1193">
        <f t="shared" si="1"/>
        <v>0</v>
      </c>
      <c r="N9" s="1193">
        <f t="shared" si="1"/>
        <v>0</v>
      </c>
      <c r="O9" s="1193">
        <f t="shared" si="1"/>
        <v>0</v>
      </c>
      <c r="P9" s="1193">
        <f t="shared" si="1"/>
        <v>0</v>
      </c>
      <c r="Q9" s="1193">
        <f t="shared" si="1"/>
        <v>0</v>
      </c>
      <c r="R9" s="1193">
        <f t="shared" si="1"/>
        <v>0</v>
      </c>
      <c r="S9" s="1193">
        <f t="shared" si="1"/>
        <v>0</v>
      </c>
      <c r="T9" s="1193">
        <f t="shared" si="1"/>
        <v>0</v>
      </c>
      <c r="U9" s="1193">
        <f t="shared" si="1"/>
        <v>0</v>
      </c>
      <c r="V9" s="1193">
        <f t="shared" si="1"/>
        <v>0</v>
      </c>
      <c r="W9" s="1193">
        <f t="shared" si="1"/>
        <v>0</v>
      </c>
      <c r="X9" s="1193">
        <f t="shared" si="1"/>
        <v>0</v>
      </c>
      <c r="Y9" s="1193">
        <f t="shared" si="1"/>
        <v>0</v>
      </c>
      <c r="Z9" s="1193">
        <f t="shared" si="1"/>
        <v>0</v>
      </c>
      <c r="AA9" s="1193">
        <f t="shared" si="1"/>
        <v>0</v>
      </c>
      <c r="AB9" s="1193">
        <f t="shared" si="1"/>
        <v>0</v>
      </c>
      <c r="AC9" s="1193">
        <f t="shared" si="1"/>
        <v>0</v>
      </c>
      <c r="AD9" s="1193">
        <f t="shared" si="1"/>
        <v>0</v>
      </c>
      <c r="AE9" s="1193">
        <f t="shared" si="1"/>
        <v>0</v>
      </c>
      <c r="AF9" s="1193">
        <f t="shared" si="1"/>
        <v>0</v>
      </c>
    </row>
    <row r="10" spans="1:32">
      <c r="A10" s="810" t="s">
        <v>8656</v>
      </c>
      <c r="B10" s="1198"/>
      <c r="C10" s="1193">
        <f t="shared" si="0"/>
        <v>0</v>
      </c>
      <c r="D10" s="1193">
        <f t="shared" si="1"/>
        <v>0</v>
      </c>
      <c r="E10" s="1193">
        <f t="shared" si="1"/>
        <v>0</v>
      </c>
      <c r="F10" s="1193">
        <f t="shared" si="1"/>
        <v>0</v>
      </c>
      <c r="G10" s="1193">
        <f t="shared" si="1"/>
        <v>0</v>
      </c>
      <c r="H10" s="1193">
        <f t="shared" si="1"/>
        <v>0</v>
      </c>
      <c r="I10" s="1193">
        <f t="shared" si="1"/>
        <v>0</v>
      </c>
      <c r="J10" s="1193">
        <f t="shared" si="1"/>
        <v>0</v>
      </c>
      <c r="K10" s="1193">
        <f t="shared" si="1"/>
        <v>0</v>
      </c>
      <c r="L10" s="1193">
        <f t="shared" si="1"/>
        <v>0</v>
      </c>
      <c r="M10" s="1193">
        <f t="shared" si="1"/>
        <v>0</v>
      </c>
      <c r="N10" s="1193">
        <f t="shared" si="1"/>
        <v>0</v>
      </c>
      <c r="O10" s="1193">
        <f t="shared" si="1"/>
        <v>0</v>
      </c>
      <c r="P10" s="1193">
        <f t="shared" si="1"/>
        <v>0</v>
      </c>
      <c r="Q10" s="1193">
        <f t="shared" si="1"/>
        <v>0</v>
      </c>
      <c r="R10" s="1193">
        <f t="shared" si="1"/>
        <v>0</v>
      </c>
      <c r="S10" s="1193">
        <f t="shared" si="1"/>
        <v>0</v>
      </c>
      <c r="T10" s="1193">
        <f t="shared" si="1"/>
        <v>0</v>
      </c>
      <c r="U10" s="1193">
        <f t="shared" si="1"/>
        <v>0</v>
      </c>
      <c r="V10" s="1193">
        <f t="shared" si="1"/>
        <v>0</v>
      </c>
      <c r="W10" s="1193">
        <f t="shared" si="1"/>
        <v>0</v>
      </c>
      <c r="X10" s="1193">
        <f t="shared" si="1"/>
        <v>0</v>
      </c>
      <c r="Y10" s="1193">
        <f t="shared" si="1"/>
        <v>0</v>
      </c>
      <c r="Z10" s="1193">
        <f t="shared" si="1"/>
        <v>0</v>
      </c>
      <c r="AA10" s="1193">
        <f t="shared" si="1"/>
        <v>0</v>
      </c>
      <c r="AB10" s="1193">
        <f t="shared" si="1"/>
        <v>0</v>
      </c>
      <c r="AC10" s="1193">
        <f t="shared" si="1"/>
        <v>0</v>
      </c>
      <c r="AD10" s="1193">
        <f t="shared" si="1"/>
        <v>0</v>
      </c>
      <c r="AE10" s="1193">
        <f t="shared" si="1"/>
        <v>0</v>
      </c>
      <c r="AF10" s="1193">
        <f t="shared" si="1"/>
        <v>0</v>
      </c>
    </row>
    <row r="11" spans="1:32">
      <c r="A11" s="810" t="s">
        <v>8727</v>
      </c>
      <c r="B11" s="1198"/>
      <c r="C11" s="1193">
        <f t="shared" si="0"/>
        <v>0</v>
      </c>
      <c r="D11" s="1193">
        <f t="shared" si="1"/>
        <v>0</v>
      </c>
      <c r="E11" s="1193">
        <f t="shared" si="1"/>
        <v>0</v>
      </c>
      <c r="F11" s="1193">
        <f t="shared" si="1"/>
        <v>0</v>
      </c>
      <c r="G11" s="1193">
        <f t="shared" si="1"/>
        <v>0</v>
      </c>
      <c r="H11" s="1193">
        <f t="shared" si="1"/>
        <v>0</v>
      </c>
      <c r="I11" s="1193">
        <f t="shared" si="1"/>
        <v>0</v>
      </c>
      <c r="J11" s="1193">
        <f t="shared" si="1"/>
        <v>0</v>
      </c>
      <c r="K11" s="1193">
        <f t="shared" si="1"/>
        <v>0</v>
      </c>
      <c r="L11" s="1193">
        <f t="shared" si="1"/>
        <v>0</v>
      </c>
      <c r="M11" s="1193">
        <f t="shared" si="1"/>
        <v>0</v>
      </c>
      <c r="N11" s="1193">
        <f t="shared" si="1"/>
        <v>0</v>
      </c>
      <c r="O11" s="1193">
        <f t="shared" si="1"/>
        <v>0</v>
      </c>
      <c r="P11" s="1193">
        <f t="shared" si="1"/>
        <v>0</v>
      </c>
      <c r="Q11" s="1193">
        <f t="shared" si="1"/>
        <v>0</v>
      </c>
      <c r="R11" s="1193">
        <f t="shared" si="1"/>
        <v>0</v>
      </c>
      <c r="S11" s="1193">
        <f t="shared" si="1"/>
        <v>0</v>
      </c>
      <c r="T11" s="1193">
        <f t="shared" si="1"/>
        <v>0</v>
      </c>
      <c r="U11" s="1193">
        <f t="shared" si="1"/>
        <v>0</v>
      </c>
      <c r="V11" s="1193">
        <f t="shared" si="1"/>
        <v>0</v>
      </c>
      <c r="W11" s="1193">
        <f t="shared" si="1"/>
        <v>0</v>
      </c>
      <c r="X11" s="1193">
        <f t="shared" si="1"/>
        <v>0</v>
      </c>
      <c r="Y11" s="1193">
        <f t="shared" si="1"/>
        <v>0</v>
      </c>
      <c r="Z11" s="1193">
        <f t="shared" si="1"/>
        <v>0</v>
      </c>
      <c r="AA11" s="1193">
        <f t="shared" si="1"/>
        <v>0</v>
      </c>
      <c r="AB11" s="1193">
        <f t="shared" si="1"/>
        <v>0</v>
      </c>
      <c r="AC11" s="1193">
        <f t="shared" si="1"/>
        <v>0</v>
      </c>
      <c r="AD11" s="1193">
        <f t="shared" si="1"/>
        <v>0</v>
      </c>
      <c r="AE11" s="1193">
        <f t="shared" si="1"/>
        <v>0</v>
      </c>
      <c r="AF11" s="1193">
        <f t="shared" si="1"/>
        <v>0</v>
      </c>
    </row>
    <row r="12" spans="1:32">
      <c r="A12" s="1189" t="s">
        <v>48</v>
      </c>
      <c r="B12" s="1199">
        <f>SUM(Table23[% Allocation])</f>
        <v>0</v>
      </c>
      <c r="C12" s="1194">
        <f>SUM(Table23[Year 1])</f>
        <v>0</v>
      </c>
      <c r="D12" s="1194">
        <f>SUM(Table23[Year 2])</f>
        <v>0</v>
      </c>
      <c r="E12" s="1194">
        <f>SUM(Table23[Year 3])</f>
        <v>0</v>
      </c>
      <c r="F12" s="1194">
        <f>SUM(Table23[Year 4])</f>
        <v>0</v>
      </c>
      <c r="G12" s="1194">
        <f>SUM(Table23[Year 5])</f>
        <v>0</v>
      </c>
      <c r="H12" s="1194">
        <f>SUM(Table23[Year 6])</f>
        <v>0</v>
      </c>
      <c r="I12" s="1194">
        <f>SUM(Table23[Year 7])</f>
        <v>0</v>
      </c>
      <c r="J12" s="1194">
        <f>SUM(Table23[Year 8])</f>
        <v>0</v>
      </c>
      <c r="K12" s="1194">
        <f>SUM(Table23[Year 9])</f>
        <v>0</v>
      </c>
      <c r="L12" s="1194">
        <f>SUM(Table23[Year 10])</f>
        <v>0</v>
      </c>
      <c r="M12" s="1194">
        <f>SUM(Table23[Year 11])</f>
        <v>0</v>
      </c>
      <c r="N12" s="1194">
        <f>SUM(Table23[Year 12])</f>
        <v>0</v>
      </c>
      <c r="O12" s="1194">
        <f>SUM(Table23[Year 13])</f>
        <v>0</v>
      </c>
      <c r="P12" s="1194">
        <f>SUM(Table23[Year 14])</f>
        <v>0</v>
      </c>
      <c r="Q12" s="1194">
        <f>SUM(Table23[Year 15])</f>
        <v>0</v>
      </c>
      <c r="R12" s="1194">
        <f>SUM(Table23[Year 16])</f>
        <v>0</v>
      </c>
      <c r="S12" s="1194">
        <f>SUM(Table23[Year 17])</f>
        <v>0</v>
      </c>
      <c r="T12" s="1194">
        <f>SUM(Table23[Year 18])</f>
        <v>0</v>
      </c>
      <c r="U12" s="1194">
        <f>SUM(Table23[Year 19])</f>
        <v>0</v>
      </c>
      <c r="V12" s="1194">
        <f>SUM(Table23[Year 20])</f>
        <v>0</v>
      </c>
      <c r="W12" s="1194">
        <f>SUM(Table23[Year 21])</f>
        <v>0</v>
      </c>
      <c r="X12" s="1194">
        <f>SUM(Table23[Year 22])</f>
        <v>0</v>
      </c>
      <c r="Y12" s="1194">
        <f>SUM(Table23[Year 23])</f>
        <v>0</v>
      </c>
      <c r="Z12" s="1194">
        <f>SUM(Table23[Year 24])</f>
        <v>0</v>
      </c>
      <c r="AA12" s="1194">
        <f>SUM(Table23[Year 25])</f>
        <v>0</v>
      </c>
      <c r="AB12" s="1194">
        <f>SUM(Table23[Year 26])</f>
        <v>0</v>
      </c>
      <c r="AC12" s="1194">
        <f>SUM(Table23[Year 27])</f>
        <v>0</v>
      </c>
      <c r="AD12" s="1194">
        <f>SUM(Table23[Year 28])</f>
        <v>0</v>
      </c>
      <c r="AE12" s="1194">
        <f>SUM(Table23[Year 29])</f>
        <v>0</v>
      </c>
      <c r="AF12" s="1194">
        <f>SUM(Table23[Year 30])</f>
        <v>0</v>
      </c>
    </row>
  </sheetData>
  <sheetProtection algorithmName="SHA-512" hashValue="titpCSYIhcEk2SPxyTSHBK3d2notLcKhTBpIg88KoCvTuK1at6cct1FpBCCFTB5WKT3ybT3Hi5LNbyFoX1T0PQ==" saltValue="ZO3o7xbdCMQQFwpfuPNdLQ==" spinCount="100000" sheet="1" objects="1" scenarios="1" autoFilter="0"/>
  <protectedRanges>
    <protectedRange sqref="B7:B11" name="Project Cost Breakdown"/>
  </protectedRanges>
  <mergeCells count="2">
    <mergeCell ref="A1:B1"/>
    <mergeCell ref="C5:AF5"/>
  </mergeCells>
  <conditionalFormatting sqref="B7:B11">
    <cfRule type="cellIs" dxfId="541" priority="3" operator="notEqual">
      <formula>""</formula>
    </cfRule>
  </conditionalFormatting>
  <conditionalFormatting sqref="B12">
    <cfRule type="cellIs" dxfId="540" priority="1" operator="greaterThan">
      <formula>1</formula>
    </cfRule>
    <cfRule type="cellIs" dxfId="539" priority="2" operator="equal">
      <formula>1</formula>
    </cfRule>
  </conditionalFormatting>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B3170-DB0F-409D-808A-1848E2924713}">
  <sheetPr codeName="Sheet13">
    <tabColor theme="1"/>
  </sheetPr>
  <dimension ref="A1:AU117"/>
  <sheetViews>
    <sheetView showGridLines="0" workbookViewId="0"/>
  </sheetViews>
  <sheetFormatPr defaultColWidth="9.1796875" defaultRowHeight="13"/>
  <cols>
    <col min="1" max="16384" width="9.1796875" style="649"/>
  </cols>
  <sheetData>
    <row r="1" spans="1:47">
      <c r="A1" s="648"/>
      <c r="B1" s="648"/>
      <c r="C1" s="648"/>
      <c r="D1" s="648"/>
      <c r="E1" s="648"/>
      <c r="F1" s="648"/>
      <c r="G1" s="648"/>
      <c r="H1" s="648"/>
      <c r="I1" s="648"/>
      <c r="J1" s="648"/>
      <c r="K1" s="648"/>
      <c r="L1" s="648"/>
      <c r="M1" s="648"/>
      <c r="N1" s="648"/>
      <c r="O1" s="648"/>
      <c r="P1" s="648"/>
      <c r="Q1" s="648"/>
      <c r="R1" s="648"/>
      <c r="S1" s="648"/>
      <c r="T1" s="648"/>
      <c r="U1" s="648"/>
      <c r="V1" s="648"/>
      <c r="W1" s="648"/>
      <c r="X1" s="648"/>
      <c r="Y1" s="648"/>
      <c r="Z1" s="648"/>
      <c r="AA1" s="648"/>
      <c r="AB1" s="648"/>
      <c r="AC1" s="648"/>
      <c r="AD1" s="648"/>
      <c r="AE1" s="648"/>
      <c r="AF1" s="648"/>
      <c r="AG1" s="648"/>
      <c r="AH1" s="648"/>
      <c r="AI1" s="648"/>
      <c r="AJ1" s="648"/>
      <c r="AK1" s="648"/>
      <c r="AL1" s="648"/>
      <c r="AM1" s="648"/>
      <c r="AN1" s="648"/>
      <c r="AO1" s="648"/>
      <c r="AP1" s="648"/>
      <c r="AQ1" s="648"/>
      <c r="AR1" s="648"/>
      <c r="AS1" s="648"/>
      <c r="AT1" s="648"/>
      <c r="AU1" s="648"/>
    </row>
    <row r="2" spans="1:47">
      <c r="A2" s="648"/>
      <c r="B2" s="648"/>
      <c r="C2" s="648"/>
      <c r="D2" s="648"/>
      <c r="E2" s="648"/>
      <c r="F2" s="648"/>
      <c r="G2" s="648"/>
      <c r="H2" s="648"/>
      <c r="I2" s="648"/>
      <c r="J2" s="648"/>
      <c r="K2" s="648"/>
      <c r="L2" s="648"/>
      <c r="M2" s="648"/>
      <c r="N2" s="648"/>
      <c r="O2" s="648"/>
      <c r="P2" s="648"/>
      <c r="Q2" s="648"/>
      <c r="R2" s="648"/>
      <c r="S2" s="648"/>
      <c r="T2" s="648"/>
      <c r="U2" s="648"/>
      <c r="V2" s="648"/>
      <c r="W2" s="648"/>
      <c r="X2" s="648"/>
      <c r="Y2" s="648"/>
      <c r="Z2" s="648"/>
      <c r="AA2" s="648"/>
      <c r="AB2" s="648"/>
      <c r="AC2" s="648"/>
      <c r="AD2" s="648"/>
      <c r="AE2" s="648"/>
      <c r="AF2" s="648"/>
      <c r="AG2" s="648"/>
      <c r="AH2" s="648"/>
      <c r="AI2" s="648"/>
      <c r="AJ2" s="648"/>
      <c r="AK2" s="648"/>
      <c r="AL2" s="648"/>
      <c r="AM2" s="648"/>
      <c r="AN2" s="648"/>
      <c r="AO2" s="648"/>
      <c r="AP2" s="648"/>
      <c r="AQ2" s="648"/>
      <c r="AR2" s="648"/>
      <c r="AS2" s="648"/>
      <c r="AT2" s="648"/>
      <c r="AU2" s="648"/>
    </row>
    <row r="3" spans="1:47">
      <c r="A3" s="648"/>
      <c r="B3" s="648"/>
      <c r="C3" s="648"/>
      <c r="D3" s="648"/>
      <c r="E3" s="648"/>
      <c r="F3" s="648"/>
      <c r="G3" s="648"/>
      <c r="H3" s="648"/>
      <c r="I3" s="648"/>
      <c r="J3" s="648"/>
      <c r="K3" s="648"/>
      <c r="L3" s="648"/>
      <c r="M3" s="648"/>
      <c r="N3" s="648"/>
      <c r="O3" s="648"/>
      <c r="P3" s="648"/>
      <c r="Q3" s="648"/>
      <c r="R3" s="648"/>
      <c r="S3" s="648"/>
      <c r="T3" s="648"/>
      <c r="U3" s="648"/>
      <c r="V3" s="648"/>
      <c r="W3" s="648"/>
      <c r="X3" s="648"/>
      <c r="Y3" s="648"/>
      <c r="Z3" s="648"/>
      <c r="AA3" s="648"/>
      <c r="AB3" s="648"/>
      <c r="AC3" s="648"/>
      <c r="AD3" s="648"/>
      <c r="AE3" s="648"/>
      <c r="AF3" s="648"/>
      <c r="AG3" s="648"/>
      <c r="AH3" s="648"/>
      <c r="AI3" s="648"/>
      <c r="AJ3" s="648"/>
      <c r="AK3" s="648"/>
      <c r="AL3" s="648"/>
      <c r="AM3" s="648"/>
      <c r="AN3" s="648"/>
      <c r="AO3" s="648"/>
      <c r="AP3" s="648"/>
      <c r="AQ3" s="648"/>
      <c r="AR3" s="648"/>
      <c r="AS3" s="648"/>
      <c r="AT3" s="648"/>
      <c r="AU3" s="648"/>
    </row>
    <row r="4" spans="1:47">
      <c r="A4" s="648"/>
      <c r="B4" s="648"/>
      <c r="C4" s="648"/>
      <c r="D4" s="648"/>
      <c r="E4" s="648"/>
      <c r="F4" s="648"/>
      <c r="G4" s="648"/>
      <c r="H4" s="648"/>
      <c r="I4" s="648"/>
      <c r="J4" s="648"/>
      <c r="K4" s="648"/>
      <c r="L4" s="648"/>
      <c r="M4" s="648"/>
      <c r="N4" s="648"/>
      <c r="O4" s="648"/>
      <c r="P4" s="648"/>
      <c r="Q4" s="648"/>
      <c r="R4" s="648"/>
      <c r="S4" s="648"/>
      <c r="T4" s="648"/>
      <c r="U4" s="648"/>
      <c r="V4" s="648"/>
      <c r="W4" s="648"/>
      <c r="X4" s="648"/>
      <c r="Y4" s="648"/>
      <c r="Z4" s="648"/>
      <c r="AA4" s="648"/>
      <c r="AB4" s="648"/>
      <c r="AC4" s="648"/>
      <c r="AD4" s="648"/>
      <c r="AE4" s="648"/>
      <c r="AF4" s="648"/>
      <c r="AG4" s="648"/>
      <c r="AH4" s="648"/>
      <c r="AI4" s="648"/>
      <c r="AJ4" s="648"/>
      <c r="AK4" s="648"/>
      <c r="AL4" s="648"/>
      <c r="AM4" s="648"/>
      <c r="AN4" s="648"/>
      <c r="AO4" s="648"/>
      <c r="AP4" s="648"/>
      <c r="AQ4" s="648"/>
      <c r="AR4" s="648"/>
      <c r="AS4" s="648"/>
      <c r="AT4" s="648"/>
      <c r="AU4" s="648"/>
    </row>
    <row r="5" spans="1:47">
      <c r="A5" s="648"/>
      <c r="B5" s="648"/>
      <c r="C5" s="648"/>
      <c r="D5" s="648"/>
      <c r="E5" s="648"/>
      <c r="F5" s="648"/>
      <c r="G5" s="648"/>
      <c r="H5" s="648"/>
      <c r="I5" s="648"/>
      <c r="J5" s="648"/>
      <c r="K5" s="648"/>
      <c r="L5" s="648"/>
      <c r="M5" s="648"/>
      <c r="N5" s="648"/>
      <c r="O5" s="648"/>
      <c r="P5" s="648"/>
      <c r="Q5" s="648"/>
      <c r="R5" s="648"/>
      <c r="S5" s="648"/>
      <c r="T5" s="648"/>
      <c r="U5" s="648"/>
      <c r="V5" s="648"/>
      <c r="W5" s="648"/>
      <c r="X5" s="648"/>
      <c r="Y5" s="648"/>
      <c r="Z5" s="648"/>
      <c r="AA5" s="648"/>
      <c r="AB5" s="648"/>
      <c r="AC5" s="648"/>
      <c r="AD5" s="648"/>
      <c r="AE5" s="648"/>
      <c r="AF5" s="648"/>
      <c r="AG5" s="648"/>
      <c r="AH5" s="648"/>
      <c r="AI5" s="648"/>
      <c r="AJ5" s="648"/>
      <c r="AK5" s="648"/>
      <c r="AL5" s="648"/>
      <c r="AM5" s="648"/>
      <c r="AN5" s="648"/>
      <c r="AO5" s="648"/>
      <c r="AP5" s="648"/>
      <c r="AQ5" s="648"/>
      <c r="AR5" s="648"/>
      <c r="AS5" s="648"/>
      <c r="AT5" s="648"/>
      <c r="AU5" s="648"/>
    </row>
    <row r="6" spans="1:47">
      <c r="A6" s="648"/>
      <c r="B6" s="648"/>
      <c r="C6" s="648"/>
      <c r="D6" s="648"/>
      <c r="E6" s="648"/>
      <c r="F6" s="648"/>
      <c r="G6" s="648"/>
      <c r="H6" s="648"/>
      <c r="I6" s="648"/>
      <c r="J6" s="648"/>
      <c r="K6" s="648"/>
      <c r="L6" s="648"/>
      <c r="M6" s="648"/>
      <c r="N6" s="648"/>
      <c r="O6" s="648"/>
      <c r="P6" s="648"/>
      <c r="Q6" s="648"/>
      <c r="R6" s="648"/>
      <c r="S6" s="648"/>
      <c r="T6" s="648"/>
      <c r="U6" s="648"/>
      <c r="V6" s="648"/>
      <c r="W6" s="648"/>
      <c r="X6" s="648"/>
      <c r="Y6" s="648"/>
      <c r="Z6" s="648"/>
      <c r="AA6" s="648"/>
      <c r="AB6" s="648"/>
      <c r="AC6" s="648"/>
      <c r="AD6" s="648"/>
      <c r="AE6" s="648"/>
      <c r="AF6" s="648"/>
      <c r="AG6" s="648"/>
      <c r="AH6" s="648"/>
      <c r="AI6" s="648"/>
      <c r="AJ6" s="648"/>
      <c r="AK6" s="648"/>
      <c r="AL6" s="648"/>
      <c r="AM6" s="648"/>
      <c r="AN6" s="648"/>
      <c r="AO6" s="648"/>
      <c r="AP6" s="648"/>
      <c r="AQ6" s="648"/>
      <c r="AR6" s="648"/>
      <c r="AS6" s="648"/>
      <c r="AT6" s="648"/>
      <c r="AU6" s="648"/>
    </row>
    <row r="7" spans="1:47">
      <c r="A7" s="648"/>
      <c r="B7" s="648"/>
      <c r="C7" s="648"/>
      <c r="D7" s="648"/>
      <c r="E7" s="648"/>
      <c r="F7" s="648"/>
      <c r="G7" s="648"/>
      <c r="H7" s="648"/>
      <c r="I7" s="648"/>
      <c r="J7" s="648"/>
      <c r="K7" s="648"/>
      <c r="L7" s="648"/>
      <c r="M7" s="648"/>
      <c r="N7" s="648"/>
      <c r="O7" s="648"/>
      <c r="P7" s="648"/>
      <c r="Q7" s="648"/>
      <c r="R7" s="648"/>
      <c r="S7" s="648"/>
      <c r="T7" s="648"/>
      <c r="U7" s="648"/>
      <c r="V7" s="648"/>
      <c r="W7" s="648"/>
      <c r="X7" s="648"/>
      <c r="Y7" s="648"/>
      <c r="Z7" s="648"/>
      <c r="AA7" s="648"/>
      <c r="AB7" s="648"/>
      <c r="AC7" s="648"/>
      <c r="AD7" s="648"/>
      <c r="AE7" s="648"/>
      <c r="AF7" s="648"/>
      <c r="AG7" s="648"/>
      <c r="AH7" s="648"/>
      <c r="AI7" s="648"/>
      <c r="AJ7" s="648"/>
      <c r="AK7" s="648"/>
      <c r="AL7" s="648"/>
      <c r="AM7" s="648"/>
      <c r="AN7" s="648"/>
      <c r="AO7" s="648"/>
      <c r="AP7" s="648"/>
      <c r="AQ7" s="648"/>
      <c r="AR7" s="648"/>
      <c r="AS7" s="648"/>
      <c r="AT7" s="648"/>
      <c r="AU7" s="648"/>
    </row>
    <row r="8" spans="1:47">
      <c r="A8" s="648"/>
      <c r="B8" s="648"/>
      <c r="C8" s="648"/>
      <c r="D8" s="648"/>
      <c r="E8" s="648"/>
      <c r="F8" s="648"/>
      <c r="G8" s="648"/>
      <c r="H8" s="648"/>
      <c r="I8" s="648"/>
      <c r="J8" s="648"/>
      <c r="K8" s="648"/>
      <c r="L8" s="648"/>
      <c r="M8" s="648"/>
      <c r="N8" s="648"/>
      <c r="O8" s="648"/>
      <c r="P8" s="648"/>
      <c r="Q8" s="648"/>
      <c r="R8" s="648"/>
      <c r="S8" s="648"/>
      <c r="T8" s="648"/>
      <c r="U8" s="648"/>
      <c r="V8" s="648"/>
      <c r="W8" s="648"/>
      <c r="X8" s="648"/>
      <c r="Y8" s="648"/>
      <c r="Z8" s="648"/>
      <c r="AA8" s="648"/>
      <c r="AB8" s="648"/>
      <c r="AC8" s="648"/>
      <c r="AD8" s="648"/>
      <c r="AE8" s="648"/>
      <c r="AF8" s="648"/>
      <c r="AG8" s="648"/>
      <c r="AH8" s="648"/>
      <c r="AI8" s="648"/>
      <c r="AJ8" s="648"/>
      <c r="AK8" s="648"/>
      <c r="AL8" s="648"/>
      <c r="AM8" s="648"/>
      <c r="AN8" s="648"/>
      <c r="AO8" s="648"/>
      <c r="AP8" s="648"/>
      <c r="AQ8" s="648"/>
      <c r="AR8" s="648"/>
      <c r="AS8" s="648"/>
      <c r="AT8" s="648"/>
      <c r="AU8" s="648"/>
    </row>
    <row r="9" spans="1:47">
      <c r="A9" s="648"/>
      <c r="B9" s="648"/>
      <c r="C9" s="648"/>
      <c r="D9" s="648"/>
      <c r="E9" s="648"/>
      <c r="F9" s="648"/>
      <c r="G9" s="648"/>
      <c r="H9" s="648"/>
      <c r="I9" s="648"/>
      <c r="J9" s="648"/>
      <c r="K9" s="648"/>
      <c r="L9" s="648"/>
      <c r="M9" s="648"/>
      <c r="N9" s="648"/>
      <c r="O9" s="648"/>
      <c r="P9" s="648"/>
      <c r="Q9" s="648"/>
      <c r="R9" s="648"/>
      <c r="S9" s="648"/>
      <c r="T9" s="648"/>
      <c r="U9" s="648"/>
      <c r="V9" s="648"/>
      <c r="W9" s="648"/>
      <c r="X9" s="648"/>
      <c r="Y9" s="648"/>
      <c r="Z9" s="648"/>
      <c r="AA9" s="648"/>
      <c r="AB9" s="648"/>
      <c r="AC9" s="648"/>
      <c r="AD9" s="648"/>
      <c r="AE9" s="648"/>
      <c r="AF9" s="648"/>
      <c r="AG9" s="648"/>
      <c r="AH9" s="648"/>
      <c r="AI9" s="648"/>
      <c r="AJ9" s="648"/>
      <c r="AK9" s="648"/>
      <c r="AL9" s="648"/>
      <c r="AM9" s="648"/>
      <c r="AN9" s="648"/>
      <c r="AO9" s="648"/>
      <c r="AP9" s="648"/>
      <c r="AQ9" s="648"/>
      <c r="AR9" s="648"/>
      <c r="AS9" s="648"/>
      <c r="AT9" s="648"/>
      <c r="AU9" s="648"/>
    </row>
    <row r="10" spans="1:47">
      <c r="A10" s="648"/>
      <c r="B10" s="648"/>
      <c r="C10" s="648"/>
      <c r="D10" s="648"/>
      <c r="E10" s="648"/>
      <c r="F10" s="648"/>
      <c r="G10" s="648"/>
      <c r="H10" s="648"/>
      <c r="I10" s="648"/>
      <c r="J10" s="648"/>
      <c r="K10" s="648"/>
      <c r="L10" s="648"/>
      <c r="M10" s="648"/>
      <c r="N10" s="648"/>
      <c r="O10" s="648"/>
      <c r="P10" s="648"/>
      <c r="Q10" s="648"/>
      <c r="R10" s="648"/>
      <c r="S10" s="648"/>
      <c r="T10" s="648"/>
      <c r="U10" s="648"/>
      <c r="V10" s="648"/>
      <c r="W10" s="648"/>
      <c r="X10" s="648"/>
      <c r="Y10" s="648"/>
      <c r="Z10" s="648"/>
      <c r="AA10" s="648"/>
      <c r="AB10" s="648"/>
      <c r="AC10" s="648"/>
      <c r="AD10" s="648"/>
      <c r="AE10" s="648"/>
      <c r="AF10" s="648"/>
      <c r="AG10" s="648"/>
      <c r="AH10" s="648"/>
      <c r="AI10" s="648"/>
      <c r="AJ10" s="648"/>
      <c r="AK10" s="648"/>
      <c r="AL10" s="648"/>
      <c r="AM10" s="648"/>
      <c r="AN10" s="648"/>
      <c r="AO10" s="648"/>
      <c r="AP10" s="648"/>
      <c r="AQ10" s="648"/>
      <c r="AR10" s="648"/>
      <c r="AS10" s="648"/>
      <c r="AT10" s="648"/>
      <c r="AU10" s="648"/>
    </row>
    <row r="11" spans="1:47">
      <c r="A11" s="648"/>
      <c r="B11" s="648"/>
      <c r="C11" s="648"/>
      <c r="D11" s="648"/>
      <c r="E11" s="648"/>
      <c r="F11" s="648"/>
      <c r="G11" s="648"/>
      <c r="H11" s="648"/>
      <c r="I11" s="648"/>
      <c r="J11" s="648"/>
      <c r="K11" s="648"/>
      <c r="L11" s="648"/>
      <c r="M11" s="648"/>
      <c r="N11" s="648"/>
      <c r="O11" s="648"/>
      <c r="P11" s="648"/>
      <c r="Q11" s="648"/>
      <c r="R11" s="648"/>
      <c r="S11" s="648"/>
      <c r="T11" s="648"/>
      <c r="U11" s="648"/>
      <c r="V11" s="648"/>
      <c r="W11" s="648"/>
      <c r="X11" s="648"/>
      <c r="Y11" s="648"/>
      <c r="Z11" s="648"/>
      <c r="AA11" s="648"/>
      <c r="AB11" s="648"/>
      <c r="AC11" s="648"/>
      <c r="AD11" s="648"/>
      <c r="AE11" s="648"/>
      <c r="AF11" s="648"/>
      <c r="AG11" s="648"/>
      <c r="AH11" s="648"/>
      <c r="AI11" s="648"/>
      <c r="AJ11" s="648"/>
      <c r="AK11" s="648"/>
      <c r="AL11" s="648"/>
      <c r="AM11" s="648"/>
      <c r="AN11" s="648"/>
      <c r="AO11" s="648"/>
      <c r="AP11" s="648"/>
      <c r="AQ11" s="648"/>
      <c r="AR11" s="648"/>
      <c r="AS11" s="648"/>
      <c r="AT11" s="648"/>
      <c r="AU11" s="648"/>
    </row>
    <row r="12" spans="1:47">
      <c r="A12" s="648"/>
      <c r="B12" s="648"/>
      <c r="C12" s="648"/>
      <c r="D12" s="648"/>
      <c r="E12" s="648"/>
      <c r="F12" s="648"/>
      <c r="G12" s="648"/>
      <c r="H12" s="648"/>
      <c r="I12" s="648"/>
      <c r="J12" s="648"/>
      <c r="K12" s="648"/>
      <c r="L12" s="648"/>
      <c r="M12" s="648"/>
      <c r="N12" s="648"/>
      <c r="O12" s="648"/>
      <c r="P12" s="648"/>
      <c r="Q12" s="648"/>
      <c r="R12" s="648"/>
      <c r="S12" s="648"/>
      <c r="T12" s="648"/>
      <c r="U12" s="648"/>
      <c r="V12" s="648"/>
      <c r="W12" s="648"/>
      <c r="X12" s="648"/>
      <c r="Y12" s="648"/>
      <c r="Z12" s="648"/>
      <c r="AA12" s="648"/>
      <c r="AB12" s="648"/>
      <c r="AC12" s="648"/>
      <c r="AD12" s="648"/>
      <c r="AE12" s="648"/>
      <c r="AF12" s="648"/>
      <c r="AG12" s="648"/>
      <c r="AH12" s="648"/>
      <c r="AI12" s="648"/>
      <c r="AJ12" s="648"/>
      <c r="AK12" s="648"/>
      <c r="AL12" s="648"/>
      <c r="AM12" s="648"/>
      <c r="AN12" s="648"/>
      <c r="AO12" s="648"/>
      <c r="AP12" s="648"/>
      <c r="AQ12" s="648"/>
      <c r="AR12" s="648"/>
      <c r="AS12" s="648"/>
      <c r="AT12" s="648"/>
      <c r="AU12" s="648"/>
    </row>
    <row r="13" spans="1:47">
      <c r="A13" s="648"/>
      <c r="B13" s="648"/>
      <c r="C13" s="648"/>
      <c r="D13" s="648"/>
      <c r="E13" s="648"/>
      <c r="F13" s="648"/>
      <c r="G13" s="648"/>
      <c r="H13" s="648"/>
      <c r="I13" s="648"/>
      <c r="J13" s="648"/>
      <c r="K13" s="648"/>
      <c r="L13" s="648"/>
      <c r="M13" s="648"/>
      <c r="N13" s="648"/>
      <c r="O13" s="648"/>
      <c r="P13" s="648"/>
      <c r="Q13" s="648"/>
      <c r="R13" s="648"/>
      <c r="S13" s="648"/>
      <c r="T13" s="648"/>
      <c r="U13" s="648"/>
      <c r="V13" s="648"/>
      <c r="W13" s="648"/>
      <c r="X13" s="648"/>
      <c r="Y13" s="648"/>
      <c r="Z13" s="648"/>
      <c r="AA13" s="648"/>
      <c r="AB13" s="648"/>
      <c r="AC13" s="648"/>
      <c r="AD13" s="648"/>
      <c r="AE13" s="648"/>
      <c r="AF13" s="648"/>
      <c r="AG13" s="648"/>
      <c r="AH13" s="648"/>
      <c r="AI13" s="648"/>
      <c r="AJ13" s="648"/>
      <c r="AK13" s="648"/>
      <c r="AL13" s="648"/>
      <c r="AM13" s="648"/>
      <c r="AN13" s="648"/>
      <c r="AO13" s="648"/>
      <c r="AP13" s="648"/>
      <c r="AQ13" s="648"/>
      <c r="AR13" s="648"/>
      <c r="AS13" s="648"/>
      <c r="AT13" s="648"/>
      <c r="AU13" s="648"/>
    </row>
    <row r="14" spans="1:47">
      <c r="A14" s="648"/>
      <c r="B14" s="648"/>
      <c r="C14" s="648"/>
      <c r="D14" s="648"/>
      <c r="E14" s="648"/>
      <c r="F14" s="648"/>
      <c r="G14" s="648"/>
      <c r="H14" s="648"/>
      <c r="I14" s="648"/>
      <c r="J14" s="648"/>
      <c r="K14" s="648"/>
      <c r="L14" s="648"/>
      <c r="M14" s="648"/>
      <c r="N14" s="648"/>
      <c r="O14" s="648"/>
      <c r="P14" s="648"/>
      <c r="Q14" s="648"/>
      <c r="R14" s="648"/>
      <c r="S14" s="648"/>
      <c r="T14" s="648"/>
      <c r="U14" s="648"/>
      <c r="V14" s="648"/>
      <c r="W14" s="648"/>
      <c r="X14" s="648"/>
      <c r="Y14" s="648"/>
      <c r="Z14" s="648"/>
      <c r="AA14" s="648"/>
      <c r="AB14" s="648"/>
      <c r="AC14" s="648"/>
      <c r="AD14" s="648"/>
      <c r="AE14" s="648"/>
      <c r="AF14" s="648"/>
      <c r="AG14" s="648"/>
      <c r="AH14" s="648"/>
      <c r="AI14" s="648"/>
      <c r="AJ14" s="648"/>
      <c r="AK14" s="648"/>
      <c r="AL14" s="648"/>
      <c r="AM14" s="648"/>
      <c r="AN14" s="648"/>
      <c r="AO14" s="648"/>
      <c r="AP14" s="648"/>
      <c r="AQ14" s="648"/>
      <c r="AR14" s="648"/>
      <c r="AS14" s="648"/>
      <c r="AT14" s="648"/>
      <c r="AU14" s="648"/>
    </row>
    <row r="15" spans="1:47">
      <c r="A15" s="648"/>
      <c r="B15" s="648"/>
      <c r="C15" s="648"/>
      <c r="D15" s="648"/>
      <c r="E15" s="648"/>
      <c r="F15" s="648"/>
      <c r="G15" s="648"/>
      <c r="H15" s="648"/>
      <c r="I15" s="648"/>
      <c r="J15" s="648"/>
      <c r="K15" s="648"/>
      <c r="L15" s="648"/>
      <c r="M15" s="648"/>
      <c r="N15" s="648"/>
      <c r="O15" s="648"/>
      <c r="P15" s="648"/>
      <c r="Q15" s="648"/>
      <c r="R15" s="648"/>
      <c r="S15" s="648"/>
      <c r="T15" s="648"/>
      <c r="U15" s="648"/>
      <c r="V15" s="648"/>
      <c r="W15" s="648"/>
      <c r="X15" s="648"/>
      <c r="Y15" s="648"/>
      <c r="Z15" s="648"/>
      <c r="AA15" s="648"/>
      <c r="AB15" s="648"/>
      <c r="AC15" s="648"/>
      <c r="AD15" s="648"/>
      <c r="AE15" s="648"/>
      <c r="AF15" s="648"/>
      <c r="AG15" s="648"/>
      <c r="AH15" s="648"/>
      <c r="AI15" s="648"/>
      <c r="AJ15" s="648"/>
      <c r="AK15" s="648"/>
      <c r="AL15" s="648"/>
      <c r="AM15" s="648"/>
      <c r="AN15" s="648"/>
      <c r="AO15" s="648"/>
      <c r="AP15" s="648"/>
      <c r="AQ15" s="648"/>
      <c r="AR15" s="648"/>
      <c r="AS15" s="648"/>
      <c r="AT15" s="648"/>
      <c r="AU15" s="648"/>
    </row>
    <row r="16" spans="1:47">
      <c r="A16" s="648"/>
      <c r="B16" s="648"/>
      <c r="C16" s="648"/>
      <c r="D16" s="648"/>
      <c r="E16" s="648"/>
      <c r="F16" s="648"/>
      <c r="G16" s="648"/>
      <c r="H16" s="648"/>
      <c r="I16" s="648"/>
      <c r="J16" s="648"/>
      <c r="K16" s="648"/>
      <c r="L16" s="648"/>
      <c r="M16" s="648"/>
      <c r="N16" s="648"/>
      <c r="O16" s="648"/>
      <c r="P16" s="648"/>
      <c r="Q16" s="648"/>
      <c r="R16" s="648"/>
      <c r="S16" s="648"/>
      <c r="T16" s="648"/>
      <c r="U16" s="648"/>
      <c r="V16" s="648"/>
      <c r="W16" s="648"/>
      <c r="X16" s="648"/>
      <c r="Y16" s="648"/>
      <c r="Z16" s="648"/>
      <c r="AA16" s="648"/>
      <c r="AB16" s="648"/>
      <c r="AC16" s="648"/>
      <c r="AD16" s="648"/>
      <c r="AE16" s="648"/>
      <c r="AF16" s="648"/>
      <c r="AG16" s="648"/>
      <c r="AH16" s="648"/>
      <c r="AI16" s="648"/>
      <c r="AJ16" s="648"/>
      <c r="AK16" s="648"/>
      <c r="AL16" s="648"/>
      <c r="AM16" s="648"/>
      <c r="AN16" s="648"/>
      <c r="AO16" s="648"/>
      <c r="AP16" s="648"/>
      <c r="AQ16" s="648"/>
      <c r="AR16" s="648"/>
      <c r="AS16" s="648"/>
      <c r="AT16" s="648"/>
      <c r="AU16" s="648"/>
    </row>
    <row r="17" spans="1:47">
      <c r="A17" s="648"/>
      <c r="B17" s="648"/>
      <c r="C17" s="648"/>
      <c r="D17" s="648"/>
      <c r="E17" s="648"/>
      <c r="F17" s="648"/>
      <c r="G17" s="648"/>
      <c r="H17" s="648"/>
      <c r="I17" s="648"/>
      <c r="J17" s="648"/>
      <c r="K17" s="648"/>
      <c r="L17" s="648"/>
      <c r="M17" s="648"/>
      <c r="N17" s="648"/>
      <c r="O17" s="648"/>
      <c r="P17" s="648"/>
      <c r="Q17" s="648"/>
      <c r="R17" s="648"/>
      <c r="S17" s="648"/>
      <c r="T17" s="648"/>
      <c r="U17" s="648"/>
      <c r="V17" s="648"/>
      <c r="W17" s="648"/>
      <c r="X17" s="648"/>
      <c r="Y17" s="648"/>
      <c r="Z17" s="648"/>
      <c r="AA17" s="648"/>
      <c r="AB17" s="648"/>
      <c r="AC17" s="648"/>
      <c r="AD17" s="648"/>
      <c r="AE17" s="648"/>
      <c r="AF17" s="648"/>
      <c r="AG17" s="648"/>
      <c r="AH17" s="648"/>
      <c r="AI17" s="648"/>
      <c r="AJ17" s="648"/>
      <c r="AK17" s="648"/>
      <c r="AL17" s="648"/>
      <c r="AM17" s="648"/>
      <c r="AN17" s="648"/>
      <c r="AO17" s="648"/>
      <c r="AP17" s="648"/>
      <c r="AQ17" s="648"/>
      <c r="AR17" s="648"/>
      <c r="AS17" s="648"/>
      <c r="AT17" s="648"/>
      <c r="AU17" s="648"/>
    </row>
    <row r="18" spans="1:47">
      <c r="A18" s="648"/>
      <c r="B18" s="648"/>
      <c r="C18" s="648"/>
      <c r="D18" s="648"/>
      <c r="E18" s="648"/>
      <c r="F18" s="648"/>
      <c r="G18" s="648"/>
      <c r="H18" s="648"/>
      <c r="I18" s="648"/>
      <c r="J18" s="648"/>
      <c r="K18" s="648"/>
      <c r="L18" s="648"/>
      <c r="M18" s="648"/>
      <c r="N18" s="648"/>
      <c r="O18" s="648"/>
      <c r="P18" s="648"/>
      <c r="Q18" s="648"/>
      <c r="R18" s="648"/>
      <c r="S18" s="648"/>
      <c r="T18" s="648"/>
      <c r="U18" s="648"/>
      <c r="V18" s="648"/>
      <c r="W18" s="648"/>
      <c r="X18" s="648"/>
      <c r="Y18" s="648"/>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row>
    <row r="19" spans="1:47">
      <c r="A19" s="648"/>
      <c r="B19" s="648"/>
      <c r="C19" s="648"/>
      <c r="D19" s="648"/>
      <c r="E19" s="648"/>
      <c r="F19" s="648"/>
      <c r="G19" s="648"/>
      <c r="H19" s="648"/>
      <c r="I19" s="648"/>
      <c r="J19" s="648"/>
      <c r="K19" s="648"/>
      <c r="L19" s="648"/>
      <c r="M19" s="648"/>
      <c r="N19" s="648"/>
      <c r="O19" s="648"/>
      <c r="P19" s="648"/>
      <c r="Q19" s="648"/>
      <c r="R19" s="648"/>
      <c r="S19" s="648"/>
      <c r="T19" s="648"/>
      <c r="U19" s="648"/>
      <c r="V19" s="648"/>
      <c r="W19" s="648"/>
      <c r="X19" s="648"/>
      <c r="Y19" s="648"/>
      <c r="Z19" s="648"/>
      <c r="AA19" s="648"/>
      <c r="AB19" s="648"/>
      <c r="AC19" s="648"/>
      <c r="AD19" s="648"/>
      <c r="AE19" s="648"/>
      <c r="AF19" s="648"/>
      <c r="AG19" s="648"/>
      <c r="AH19" s="648"/>
      <c r="AI19" s="648"/>
      <c r="AJ19" s="648"/>
      <c r="AK19" s="648"/>
      <c r="AL19" s="648"/>
      <c r="AM19" s="648"/>
      <c r="AN19" s="648"/>
      <c r="AO19" s="648"/>
      <c r="AP19" s="648"/>
      <c r="AQ19" s="648"/>
      <c r="AR19" s="648"/>
      <c r="AS19" s="648"/>
      <c r="AT19" s="648"/>
      <c r="AU19" s="648"/>
    </row>
    <row r="20" spans="1:47">
      <c r="A20" s="648"/>
      <c r="B20" s="648"/>
      <c r="C20" s="648"/>
      <c r="D20" s="648"/>
      <c r="E20" s="648"/>
      <c r="F20" s="648"/>
      <c r="G20" s="648"/>
      <c r="H20" s="648"/>
      <c r="I20" s="648"/>
      <c r="J20" s="648"/>
      <c r="K20" s="648"/>
      <c r="L20" s="648"/>
      <c r="M20" s="648"/>
      <c r="N20" s="648"/>
      <c r="O20" s="648"/>
      <c r="P20" s="648"/>
      <c r="Q20" s="648"/>
      <c r="R20" s="648"/>
      <c r="S20" s="648"/>
      <c r="T20" s="648"/>
      <c r="U20" s="648"/>
      <c r="V20" s="648"/>
      <c r="W20" s="648"/>
      <c r="X20" s="648"/>
      <c r="Y20" s="648"/>
      <c r="Z20" s="648"/>
      <c r="AA20" s="648"/>
      <c r="AB20" s="648"/>
      <c r="AC20" s="648"/>
      <c r="AD20" s="648"/>
      <c r="AE20" s="648"/>
      <c r="AF20" s="648"/>
      <c r="AG20" s="648"/>
      <c r="AH20" s="648"/>
      <c r="AI20" s="648"/>
      <c r="AJ20" s="648"/>
      <c r="AK20" s="648"/>
      <c r="AL20" s="648"/>
      <c r="AM20" s="648"/>
      <c r="AN20" s="648"/>
      <c r="AO20" s="648"/>
      <c r="AP20" s="648"/>
      <c r="AQ20" s="648"/>
      <c r="AR20" s="648"/>
      <c r="AS20" s="648"/>
      <c r="AT20" s="648"/>
      <c r="AU20" s="648"/>
    </row>
    <row r="21" spans="1:47">
      <c r="A21" s="648"/>
      <c r="B21" s="648"/>
      <c r="C21" s="648"/>
      <c r="D21" s="648"/>
      <c r="E21" s="648"/>
      <c r="F21" s="648"/>
      <c r="G21" s="648"/>
      <c r="H21" s="648"/>
      <c r="I21" s="648"/>
      <c r="J21" s="648"/>
      <c r="K21" s="648"/>
      <c r="L21" s="648"/>
      <c r="M21" s="648"/>
      <c r="N21" s="648"/>
      <c r="O21" s="648"/>
      <c r="P21" s="648"/>
      <c r="Q21" s="648"/>
      <c r="R21" s="648"/>
      <c r="S21" s="648"/>
      <c r="T21" s="648"/>
      <c r="U21" s="648"/>
      <c r="V21" s="648"/>
      <c r="W21" s="648"/>
      <c r="X21" s="648"/>
      <c r="Y21" s="648"/>
      <c r="Z21" s="648"/>
      <c r="AA21" s="648"/>
      <c r="AB21" s="648"/>
      <c r="AC21" s="648"/>
      <c r="AD21" s="648"/>
      <c r="AE21" s="648"/>
      <c r="AF21" s="648"/>
      <c r="AG21" s="648"/>
      <c r="AH21" s="648"/>
      <c r="AI21" s="648"/>
      <c r="AJ21" s="648"/>
      <c r="AK21" s="648"/>
      <c r="AL21" s="648"/>
      <c r="AM21" s="648"/>
      <c r="AN21" s="648"/>
      <c r="AO21" s="648"/>
      <c r="AP21" s="648"/>
      <c r="AQ21" s="648"/>
      <c r="AR21" s="648"/>
      <c r="AS21" s="648"/>
      <c r="AT21" s="648"/>
      <c r="AU21" s="648"/>
    </row>
    <row r="22" spans="1:47">
      <c r="A22" s="648"/>
      <c r="B22" s="648"/>
      <c r="C22" s="648"/>
      <c r="D22" s="648"/>
      <c r="E22" s="648"/>
      <c r="F22" s="648"/>
      <c r="G22" s="648"/>
      <c r="H22" s="648"/>
      <c r="I22" s="648"/>
      <c r="J22" s="648"/>
      <c r="K22" s="648"/>
      <c r="L22" s="648"/>
      <c r="M22" s="648"/>
      <c r="N22" s="648"/>
      <c r="O22" s="648"/>
      <c r="P22" s="648"/>
      <c r="Q22" s="648"/>
      <c r="R22" s="648"/>
      <c r="S22" s="648"/>
      <c r="T22" s="648"/>
      <c r="U22" s="648"/>
      <c r="V22" s="648"/>
      <c r="W22" s="648"/>
      <c r="X22" s="648"/>
      <c r="Y22" s="648"/>
      <c r="Z22" s="648"/>
      <c r="AA22" s="648"/>
      <c r="AB22" s="648"/>
      <c r="AC22" s="648"/>
      <c r="AD22" s="648"/>
      <c r="AE22" s="648"/>
      <c r="AF22" s="648"/>
      <c r="AG22" s="648"/>
      <c r="AH22" s="648"/>
      <c r="AI22" s="648"/>
      <c r="AJ22" s="648"/>
      <c r="AK22" s="648"/>
      <c r="AL22" s="648"/>
      <c r="AM22" s="648"/>
      <c r="AN22" s="648"/>
      <c r="AO22" s="648"/>
      <c r="AP22" s="648"/>
      <c r="AQ22" s="648"/>
      <c r="AR22" s="648"/>
      <c r="AS22" s="648"/>
      <c r="AT22" s="648"/>
      <c r="AU22" s="648"/>
    </row>
    <row r="23" spans="1:47">
      <c r="A23" s="648"/>
      <c r="B23" s="648"/>
      <c r="C23" s="648"/>
      <c r="D23" s="648"/>
      <c r="E23" s="648"/>
      <c r="F23" s="648"/>
      <c r="G23" s="648"/>
      <c r="H23" s="648"/>
      <c r="I23" s="648"/>
      <c r="J23" s="648"/>
      <c r="K23" s="648"/>
      <c r="L23" s="648"/>
      <c r="M23" s="648"/>
      <c r="N23" s="648"/>
      <c r="O23" s="648"/>
      <c r="P23" s="648"/>
      <c r="Q23" s="648"/>
      <c r="R23" s="648"/>
      <c r="S23" s="648"/>
      <c r="T23" s="648"/>
      <c r="U23" s="648"/>
      <c r="V23" s="648"/>
      <c r="W23" s="648"/>
      <c r="X23" s="648"/>
      <c r="Y23" s="648"/>
      <c r="Z23" s="648"/>
      <c r="AA23" s="648"/>
      <c r="AB23" s="648"/>
      <c r="AC23" s="648"/>
      <c r="AD23" s="648"/>
      <c r="AE23" s="648"/>
      <c r="AF23" s="648"/>
      <c r="AG23" s="648"/>
      <c r="AH23" s="648"/>
      <c r="AI23" s="648"/>
      <c r="AJ23" s="648"/>
      <c r="AK23" s="648"/>
      <c r="AL23" s="648"/>
      <c r="AM23" s="648"/>
      <c r="AN23" s="648"/>
      <c r="AO23" s="648"/>
      <c r="AP23" s="648"/>
      <c r="AQ23" s="648"/>
      <c r="AR23" s="648"/>
      <c r="AS23" s="648"/>
      <c r="AT23" s="648"/>
      <c r="AU23" s="648"/>
    </row>
    <row r="24" spans="1:47">
      <c r="A24" s="648"/>
      <c r="B24" s="648"/>
      <c r="C24" s="648"/>
      <c r="D24" s="648"/>
      <c r="E24" s="648"/>
      <c r="F24" s="648"/>
      <c r="G24" s="648"/>
      <c r="H24" s="648"/>
      <c r="I24" s="648"/>
      <c r="J24" s="648"/>
      <c r="K24" s="648"/>
      <c r="L24" s="648"/>
      <c r="M24" s="648"/>
      <c r="N24" s="648"/>
      <c r="O24" s="648"/>
      <c r="P24" s="648"/>
      <c r="Q24" s="648"/>
      <c r="R24" s="648"/>
      <c r="S24" s="648"/>
      <c r="T24" s="648"/>
      <c r="U24" s="648"/>
      <c r="V24" s="648"/>
      <c r="W24" s="648"/>
      <c r="X24" s="648"/>
      <c r="Y24" s="648"/>
      <c r="Z24" s="648"/>
      <c r="AA24" s="648"/>
      <c r="AB24" s="648"/>
      <c r="AC24" s="648"/>
      <c r="AD24" s="648"/>
      <c r="AE24" s="648"/>
      <c r="AF24" s="648"/>
      <c r="AG24" s="648"/>
      <c r="AH24" s="648"/>
      <c r="AI24" s="648"/>
      <c r="AJ24" s="648"/>
      <c r="AK24" s="648"/>
      <c r="AL24" s="648"/>
      <c r="AM24" s="648"/>
      <c r="AN24" s="648"/>
      <c r="AO24" s="648"/>
      <c r="AP24" s="648"/>
      <c r="AQ24" s="648"/>
      <c r="AR24" s="648"/>
      <c r="AS24" s="648"/>
      <c r="AT24" s="648"/>
      <c r="AU24" s="648"/>
    </row>
    <row r="25" spans="1:47">
      <c r="A25" s="648"/>
      <c r="B25" s="648"/>
      <c r="C25" s="648"/>
      <c r="D25" s="648"/>
      <c r="E25" s="648"/>
      <c r="F25" s="648"/>
      <c r="G25" s="648"/>
      <c r="H25" s="648"/>
      <c r="I25" s="648"/>
      <c r="J25" s="648"/>
      <c r="K25" s="648"/>
      <c r="L25" s="648"/>
      <c r="M25" s="648"/>
      <c r="N25" s="648"/>
      <c r="O25" s="648"/>
      <c r="P25" s="648"/>
      <c r="Q25" s="648"/>
      <c r="R25" s="648"/>
      <c r="S25" s="648"/>
      <c r="T25" s="648"/>
      <c r="U25" s="648"/>
      <c r="V25" s="648"/>
      <c r="W25" s="648"/>
      <c r="X25" s="648"/>
      <c r="Y25" s="648"/>
      <c r="Z25" s="648"/>
      <c r="AA25" s="648"/>
      <c r="AB25" s="648"/>
      <c r="AC25" s="648"/>
      <c r="AD25" s="648"/>
      <c r="AE25" s="648"/>
      <c r="AF25" s="648"/>
      <c r="AG25" s="648"/>
      <c r="AH25" s="648"/>
      <c r="AI25" s="648"/>
      <c r="AJ25" s="648"/>
      <c r="AK25" s="648"/>
      <c r="AL25" s="648"/>
      <c r="AM25" s="648"/>
      <c r="AN25" s="648"/>
      <c r="AO25" s="648"/>
      <c r="AP25" s="648"/>
      <c r="AQ25" s="648"/>
      <c r="AR25" s="648"/>
      <c r="AS25" s="648"/>
      <c r="AT25" s="648"/>
      <c r="AU25" s="648"/>
    </row>
    <row r="26" spans="1:47">
      <c r="A26" s="648"/>
      <c r="B26" s="648"/>
      <c r="C26" s="648"/>
      <c r="D26" s="648"/>
      <c r="E26" s="648"/>
      <c r="F26" s="648"/>
      <c r="G26" s="648"/>
      <c r="H26" s="648"/>
      <c r="I26" s="648"/>
      <c r="J26" s="648"/>
      <c r="K26" s="648"/>
      <c r="L26" s="648"/>
      <c r="M26" s="648"/>
      <c r="N26" s="648"/>
      <c r="O26" s="648"/>
      <c r="P26" s="648"/>
      <c r="Q26" s="648"/>
      <c r="R26" s="648"/>
      <c r="S26" s="648"/>
      <c r="T26" s="648"/>
      <c r="U26" s="648"/>
      <c r="V26" s="648"/>
      <c r="W26" s="648"/>
      <c r="X26" s="648"/>
      <c r="Y26" s="648"/>
      <c r="Z26" s="648"/>
      <c r="AA26" s="648"/>
      <c r="AB26" s="648"/>
      <c r="AC26" s="648"/>
      <c r="AD26" s="648"/>
      <c r="AE26" s="648"/>
      <c r="AF26" s="648"/>
      <c r="AG26" s="648"/>
      <c r="AH26" s="648"/>
      <c r="AI26" s="648"/>
      <c r="AJ26" s="648"/>
      <c r="AK26" s="648"/>
      <c r="AL26" s="648"/>
      <c r="AM26" s="648"/>
      <c r="AN26" s="648"/>
      <c r="AO26" s="648"/>
      <c r="AP26" s="648"/>
      <c r="AQ26" s="648"/>
      <c r="AR26" s="648"/>
      <c r="AS26" s="648"/>
      <c r="AT26" s="648"/>
      <c r="AU26" s="648"/>
    </row>
    <row r="27" spans="1:47">
      <c r="A27" s="648"/>
      <c r="B27" s="648"/>
      <c r="C27" s="648"/>
      <c r="D27" s="648"/>
      <c r="E27" s="648"/>
      <c r="F27" s="648"/>
      <c r="G27" s="648"/>
      <c r="H27" s="648"/>
      <c r="I27" s="648"/>
      <c r="J27" s="648"/>
      <c r="K27" s="648"/>
      <c r="L27" s="648"/>
      <c r="M27" s="648"/>
      <c r="N27" s="648"/>
      <c r="O27" s="648"/>
      <c r="P27" s="648"/>
      <c r="Q27" s="648"/>
      <c r="R27" s="648"/>
      <c r="S27" s="648"/>
      <c r="T27" s="648"/>
      <c r="U27" s="648"/>
      <c r="V27" s="648"/>
      <c r="W27" s="648"/>
      <c r="X27" s="648"/>
      <c r="Y27" s="648"/>
      <c r="Z27" s="648"/>
      <c r="AA27" s="648"/>
      <c r="AB27" s="648"/>
      <c r="AC27" s="648"/>
      <c r="AD27" s="648"/>
      <c r="AE27" s="648"/>
      <c r="AF27" s="648"/>
      <c r="AG27" s="648"/>
      <c r="AH27" s="648"/>
      <c r="AI27" s="648"/>
      <c r="AJ27" s="648"/>
      <c r="AK27" s="648"/>
      <c r="AL27" s="648"/>
      <c r="AM27" s="648"/>
      <c r="AN27" s="648"/>
      <c r="AO27" s="648"/>
      <c r="AP27" s="648"/>
      <c r="AQ27" s="648"/>
      <c r="AR27" s="648"/>
      <c r="AS27" s="648"/>
      <c r="AT27" s="648"/>
      <c r="AU27" s="648"/>
    </row>
    <row r="28" spans="1:47">
      <c r="A28" s="648"/>
      <c r="B28" s="648"/>
      <c r="C28" s="648"/>
      <c r="D28" s="648"/>
      <c r="E28" s="648"/>
      <c r="F28" s="648"/>
      <c r="G28" s="648"/>
      <c r="H28" s="648"/>
      <c r="I28" s="648"/>
      <c r="J28" s="648"/>
      <c r="K28" s="648"/>
      <c r="L28" s="648"/>
      <c r="M28" s="648"/>
      <c r="N28" s="648"/>
      <c r="O28" s="648"/>
      <c r="P28" s="648"/>
      <c r="Q28" s="648"/>
      <c r="R28" s="648"/>
      <c r="S28" s="648"/>
      <c r="T28" s="648"/>
      <c r="U28" s="648"/>
      <c r="V28" s="648"/>
      <c r="W28" s="648"/>
      <c r="X28" s="648"/>
      <c r="Y28" s="648"/>
      <c r="Z28" s="648"/>
      <c r="AA28" s="648"/>
      <c r="AB28" s="648"/>
      <c r="AC28" s="648"/>
      <c r="AD28" s="648"/>
      <c r="AE28" s="648"/>
      <c r="AF28" s="648"/>
      <c r="AG28" s="648"/>
      <c r="AH28" s="648"/>
      <c r="AI28" s="648"/>
      <c r="AJ28" s="648"/>
      <c r="AK28" s="648"/>
      <c r="AL28" s="648"/>
      <c r="AM28" s="648"/>
      <c r="AN28" s="648"/>
      <c r="AO28" s="648"/>
      <c r="AP28" s="648"/>
      <c r="AQ28" s="648"/>
      <c r="AR28" s="648"/>
      <c r="AS28" s="648"/>
      <c r="AT28" s="648"/>
      <c r="AU28" s="648"/>
    </row>
    <row r="29" spans="1:47">
      <c r="A29" s="648"/>
      <c r="B29" s="648"/>
      <c r="C29" s="648"/>
      <c r="D29" s="648"/>
      <c r="E29" s="648"/>
      <c r="F29" s="648"/>
      <c r="G29" s="648"/>
      <c r="H29" s="648"/>
      <c r="I29" s="648"/>
      <c r="J29" s="648"/>
      <c r="K29" s="648"/>
      <c r="L29" s="648"/>
      <c r="M29" s="648"/>
      <c r="N29" s="648"/>
      <c r="O29" s="648"/>
      <c r="P29" s="648"/>
      <c r="Q29" s="648"/>
      <c r="R29" s="648"/>
      <c r="S29" s="648"/>
      <c r="T29" s="648"/>
      <c r="U29" s="648"/>
      <c r="V29" s="648"/>
      <c r="W29" s="648"/>
      <c r="X29" s="648"/>
      <c r="Y29" s="648"/>
      <c r="Z29" s="648"/>
      <c r="AA29" s="648"/>
      <c r="AB29" s="648"/>
      <c r="AC29" s="648"/>
      <c r="AD29" s="648"/>
      <c r="AE29" s="648"/>
      <c r="AF29" s="648"/>
      <c r="AG29" s="648"/>
      <c r="AH29" s="648"/>
      <c r="AI29" s="648"/>
      <c r="AJ29" s="648"/>
      <c r="AK29" s="648"/>
      <c r="AL29" s="648"/>
      <c r="AM29" s="648"/>
      <c r="AN29" s="648"/>
      <c r="AO29" s="648"/>
      <c r="AP29" s="648"/>
      <c r="AQ29" s="648"/>
      <c r="AR29" s="648"/>
      <c r="AS29" s="648"/>
      <c r="AT29" s="648"/>
      <c r="AU29" s="648"/>
    </row>
    <row r="30" spans="1:47">
      <c r="A30" s="648"/>
      <c r="B30" s="648"/>
      <c r="C30" s="648"/>
      <c r="D30" s="648"/>
      <c r="E30" s="648"/>
      <c r="F30" s="648"/>
      <c r="G30" s="648"/>
      <c r="H30" s="648"/>
      <c r="I30" s="648"/>
      <c r="J30" s="648"/>
      <c r="K30" s="648"/>
      <c r="L30" s="648"/>
      <c r="M30" s="648"/>
      <c r="N30" s="648"/>
      <c r="O30" s="648"/>
      <c r="P30" s="648"/>
      <c r="Q30" s="648"/>
      <c r="R30" s="648"/>
      <c r="S30" s="648"/>
      <c r="T30" s="648"/>
      <c r="U30" s="648"/>
      <c r="V30" s="648"/>
      <c r="W30" s="648"/>
      <c r="X30" s="648"/>
      <c r="Y30" s="648"/>
      <c r="Z30" s="648"/>
      <c r="AA30" s="648"/>
      <c r="AB30" s="648"/>
      <c r="AC30" s="648"/>
      <c r="AD30" s="648"/>
      <c r="AE30" s="648"/>
      <c r="AF30" s="648"/>
      <c r="AG30" s="648"/>
      <c r="AH30" s="648"/>
      <c r="AI30" s="648"/>
      <c r="AJ30" s="648"/>
      <c r="AK30" s="648"/>
      <c r="AL30" s="648"/>
      <c r="AM30" s="648"/>
      <c r="AN30" s="648"/>
      <c r="AO30" s="648"/>
      <c r="AP30" s="648"/>
      <c r="AQ30" s="648"/>
      <c r="AR30" s="648"/>
      <c r="AS30" s="648"/>
      <c r="AT30" s="648"/>
      <c r="AU30" s="648"/>
    </row>
    <row r="31" spans="1:47">
      <c r="A31" s="648"/>
      <c r="B31" s="648"/>
      <c r="C31" s="648"/>
      <c r="D31" s="648"/>
      <c r="E31" s="648"/>
      <c r="F31" s="648"/>
      <c r="G31" s="648"/>
      <c r="H31" s="648"/>
      <c r="I31" s="648"/>
      <c r="J31" s="648"/>
      <c r="K31" s="648"/>
      <c r="L31" s="648"/>
      <c r="M31" s="648"/>
      <c r="N31" s="648"/>
      <c r="O31" s="648"/>
      <c r="P31" s="648"/>
      <c r="Q31" s="648"/>
      <c r="R31" s="648"/>
      <c r="S31" s="648"/>
      <c r="T31" s="648"/>
      <c r="U31" s="648"/>
      <c r="V31" s="648"/>
      <c r="W31" s="648"/>
      <c r="X31" s="648"/>
      <c r="Y31" s="648"/>
      <c r="Z31" s="648"/>
      <c r="AA31" s="648"/>
      <c r="AB31" s="648"/>
      <c r="AC31" s="648"/>
      <c r="AD31" s="648"/>
      <c r="AE31" s="648"/>
      <c r="AF31" s="648"/>
      <c r="AG31" s="648"/>
      <c r="AH31" s="648"/>
      <c r="AI31" s="648"/>
      <c r="AJ31" s="648"/>
      <c r="AK31" s="648"/>
      <c r="AL31" s="648"/>
      <c r="AM31" s="648"/>
      <c r="AN31" s="648"/>
      <c r="AO31" s="648"/>
      <c r="AP31" s="648"/>
      <c r="AQ31" s="648"/>
      <c r="AR31" s="648"/>
      <c r="AS31" s="648"/>
      <c r="AT31" s="648"/>
      <c r="AU31" s="648"/>
    </row>
    <row r="32" spans="1:47">
      <c r="A32" s="648"/>
      <c r="B32" s="648"/>
      <c r="C32" s="648"/>
      <c r="D32" s="648"/>
      <c r="E32" s="648"/>
      <c r="F32" s="648"/>
      <c r="G32" s="648"/>
      <c r="H32" s="648"/>
      <c r="I32" s="648"/>
      <c r="J32" s="648"/>
      <c r="K32" s="648"/>
      <c r="L32" s="648"/>
      <c r="M32" s="648"/>
      <c r="N32" s="648"/>
      <c r="O32" s="648"/>
      <c r="P32" s="648"/>
      <c r="Q32" s="648"/>
      <c r="R32" s="648"/>
      <c r="S32" s="648"/>
      <c r="T32" s="648"/>
      <c r="U32" s="648"/>
      <c r="V32" s="648"/>
      <c r="W32" s="648"/>
      <c r="X32" s="648"/>
      <c r="Y32" s="648"/>
      <c r="Z32" s="648"/>
      <c r="AA32" s="648"/>
      <c r="AB32" s="648"/>
      <c r="AC32" s="648"/>
      <c r="AD32" s="648"/>
      <c r="AE32" s="648"/>
      <c r="AF32" s="648"/>
      <c r="AG32" s="648"/>
      <c r="AH32" s="648"/>
      <c r="AI32" s="648"/>
      <c r="AJ32" s="648"/>
      <c r="AK32" s="648"/>
      <c r="AL32" s="648"/>
      <c r="AM32" s="648"/>
      <c r="AN32" s="648"/>
      <c r="AO32" s="648"/>
      <c r="AP32" s="648"/>
      <c r="AQ32" s="648"/>
      <c r="AR32" s="648"/>
      <c r="AS32" s="648"/>
      <c r="AT32" s="648"/>
      <c r="AU32" s="648"/>
    </row>
    <row r="33" spans="1:47">
      <c r="A33" s="648"/>
      <c r="B33" s="648"/>
      <c r="C33" s="648"/>
      <c r="D33" s="648"/>
      <c r="E33" s="648"/>
      <c r="F33" s="648"/>
      <c r="G33" s="648"/>
      <c r="H33" s="648"/>
      <c r="I33" s="648"/>
      <c r="J33" s="648"/>
      <c r="K33" s="648"/>
      <c r="L33" s="648"/>
      <c r="M33" s="648"/>
      <c r="N33" s="648"/>
      <c r="O33" s="648"/>
      <c r="P33" s="648"/>
      <c r="Q33" s="648"/>
      <c r="R33" s="648"/>
      <c r="S33" s="648"/>
      <c r="T33" s="648"/>
      <c r="U33" s="648"/>
      <c r="V33" s="648"/>
      <c r="W33" s="648"/>
      <c r="X33" s="648"/>
      <c r="Y33" s="648"/>
      <c r="Z33" s="648"/>
      <c r="AA33" s="648"/>
      <c r="AB33" s="648"/>
      <c r="AC33" s="648"/>
      <c r="AD33" s="648"/>
      <c r="AE33" s="648"/>
      <c r="AF33" s="648"/>
      <c r="AG33" s="648"/>
      <c r="AH33" s="648"/>
      <c r="AI33" s="648"/>
      <c r="AJ33" s="648"/>
      <c r="AK33" s="648"/>
      <c r="AL33" s="648"/>
      <c r="AM33" s="648"/>
      <c r="AN33" s="648"/>
      <c r="AO33" s="648"/>
      <c r="AP33" s="648"/>
      <c r="AQ33" s="648"/>
      <c r="AR33" s="648"/>
      <c r="AS33" s="648"/>
      <c r="AT33" s="648"/>
      <c r="AU33" s="648"/>
    </row>
    <row r="34" spans="1:47">
      <c r="A34" s="648"/>
      <c r="B34" s="648"/>
      <c r="C34" s="648"/>
      <c r="D34" s="648"/>
      <c r="E34" s="648"/>
      <c r="F34" s="648"/>
      <c r="G34" s="648"/>
      <c r="H34" s="648"/>
      <c r="I34" s="648"/>
      <c r="J34" s="648"/>
      <c r="K34" s="648"/>
      <c r="L34" s="648"/>
      <c r="M34" s="648"/>
      <c r="N34" s="648"/>
      <c r="O34" s="648"/>
      <c r="P34" s="648"/>
      <c r="Q34" s="648"/>
      <c r="R34" s="648"/>
      <c r="S34" s="648"/>
      <c r="T34" s="648"/>
      <c r="U34" s="648"/>
      <c r="V34" s="648"/>
      <c r="W34" s="648"/>
      <c r="X34" s="648"/>
      <c r="Y34" s="648"/>
      <c r="Z34" s="648"/>
      <c r="AA34" s="648"/>
      <c r="AB34" s="648"/>
      <c r="AC34" s="648"/>
      <c r="AD34" s="648"/>
      <c r="AE34" s="648"/>
      <c r="AF34" s="648"/>
      <c r="AG34" s="648"/>
      <c r="AH34" s="648"/>
      <c r="AI34" s="648"/>
      <c r="AJ34" s="648"/>
      <c r="AK34" s="648"/>
      <c r="AL34" s="648"/>
      <c r="AM34" s="648"/>
      <c r="AN34" s="648"/>
      <c r="AO34" s="648"/>
      <c r="AP34" s="648"/>
      <c r="AQ34" s="648"/>
      <c r="AR34" s="648"/>
      <c r="AS34" s="648"/>
      <c r="AT34" s="648"/>
      <c r="AU34" s="648"/>
    </row>
    <row r="35" spans="1:47">
      <c r="A35" s="648"/>
      <c r="B35" s="648"/>
      <c r="C35" s="648"/>
      <c r="D35" s="648"/>
      <c r="E35" s="648"/>
      <c r="F35" s="648"/>
      <c r="G35" s="648"/>
      <c r="H35" s="648"/>
      <c r="I35" s="648"/>
      <c r="J35" s="648"/>
      <c r="K35" s="648"/>
      <c r="L35" s="648"/>
      <c r="M35" s="648"/>
      <c r="N35" s="648"/>
      <c r="O35" s="648"/>
      <c r="P35" s="648"/>
      <c r="Q35" s="648"/>
      <c r="R35" s="648"/>
      <c r="S35" s="648"/>
      <c r="T35" s="648"/>
      <c r="U35" s="648"/>
      <c r="V35" s="648"/>
      <c r="W35" s="648"/>
      <c r="X35" s="648"/>
      <c r="Y35" s="648"/>
      <c r="Z35" s="648"/>
      <c r="AA35" s="648"/>
      <c r="AB35" s="648"/>
      <c r="AC35" s="648"/>
      <c r="AD35" s="648"/>
      <c r="AE35" s="648"/>
      <c r="AF35" s="648"/>
      <c r="AG35" s="648"/>
      <c r="AH35" s="648"/>
      <c r="AI35" s="648"/>
      <c r="AJ35" s="648"/>
      <c r="AK35" s="648"/>
      <c r="AL35" s="648"/>
      <c r="AM35" s="648"/>
      <c r="AN35" s="648"/>
      <c r="AO35" s="648"/>
      <c r="AP35" s="648"/>
      <c r="AQ35" s="648"/>
      <c r="AR35" s="648"/>
      <c r="AS35" s="648"/>
      <c r="AT35" s="648"/>
      <c r="AU35" s="648"/>
    </row>
    <row r="36" spans="1:47">
      <c r="A36" s="648"/>
      <c r="B36" s="648"/>
      <c r="C36" s="648"/>
      <c r="D36" s="648"/>
      <c r="E36" s="648"/>
      <c r="F36" s="648"/>
      <c r="G36" s="648"/>
      <c r="H36" s="648"/>
      <c r="I36" s="648"/>
      <c r="J36" s="648"/>
      <c r="K36" s="648"/>
      <c r="L36" s="648"/>
      <c r="M36" s="648"/>
      <c r="N36" s="648"/>
      <c r="O36" s="648"/>
      <c r="P36" s="648"/>
      <c r="Q36" s="648"/>
      <c r="R36" s="648"/>
      <c r="S36" s="648"/>
      <c r="T36" s="648"/>
      <c r="U36" s="648"/>
      <c r="V36" s="648"/>
      <c r="W36" s="648"/>
      <c r="X36" s="648"/>
      <c r="Y36" s="648"/>
      <c r="Z36" s="648"/>
      <c r="AA36" s="648"/>
      <c r="AB36" s="648"/>
      <c r="AC36" s="648"/>
      <c r="AD36" s="648"/>
      <c r="AE36" s="648"/>
      <c r="AF36" s="648"/>
      <c r="AG36" s="648"/>
      <c r="AH36" s="648"/>
      <c r="AI36" s="648"/>
      <c r="AJ36" s="648"/>
      <c r="AK36" s="648"/>
      <c r="AL36" s="648"/>
      <c r="AM36" s="648"/>
      <c r="AN36" s="648"/>
      <c r="AO36" s="648"/>
      <c r="AP36" s="648"/>
      <c r="AQ36" s="648"/>
      <c r="AR36" s="648"/>
      <c r="AS36" s="648"/>
      <c r="AT36" s="648"/>
      <c r="AU36" s="648"/>
    </row>
    <row r="37" spans="1:47">
      <c r="A37" s="648"/>
      <c r="B37" s="648"/>
      <c r="C37" s="648"/>
      <c r="D37" s="648"/>
      <c r="E37" s="648"/>
      <c r="F37" s="648"/>
      <c r="G37" s="648"/>
      <c r="H37" s="648"/>
      <c r="I37" s="648"/>
      <c r="J37" s="648"/>
      <c r="K37" s="648"/>
      <c r="L37" s="648"/>
      <c r="M37" s="648"/>
      <c r="N37" s="648"/>
      <c r="O37" s="648"/>
      <c r="P37" s="648"/>
      <c r="Q37" s="648"/>
      <c r="R37" s="648"/>
      <c r="S37" s="648"/>
      <c r="T37" s="648"/>
      <c r="U37" s="648"/>
      <c r="V37" s="648"/>
      <c r="W37" s="648"/>
      <c r="X37" s="648"/>
      <c r="Y37" s="648"/>
      <c r="Z37" s="648"/>
      <c r="AA37" s="648"/>
      <c r="AB37" s="648"/>
      <c r="AC37" s="648"/>
      <c r="AD37" s="648"/>
      <c r="AE37" s="648"/>
      <c r="AF37" s="648"/>
      <c r="AG37" s="648"/>
      <c r="AH37" s="648"/>
      <c r="AI37" s="648"/>
      <c r="AJ37" s="648"/>
      <c r="AK37" s="648"/>
      <c r="AL37" s="648"/>
      <c r="AM37" s="648"/>
      <c r="AN37" s="648"/>
      <c r="AO37" s="648"/>
      <c r="AP37" s="648"/>
      <c r="AQ37" s="648"/>
      <c r="AR37" s="648"/>
      <c r="AS37" s="648"/>
      <c r="AT37" s="648"/>
      <c r="AU37" s="648"/>
    </row>
    <row r="38" spans="1:47">
      <c r="A38" s="648"/>
      <c r="B38" s="648"/>
      <c r="C38" s="648"/>
      <c r="D38" s="648"/>
      <c r="E38" s="648"/>
      <c r="F38" s="648"/>
      <c r="G38" s="648"/>
      <c r="H38" s="648"/>
      <c r="I38" s="648"/>
      <c r="J38" s="648"/>
      <c r="K38" s="648"/>
      <c r="L38" s="648"/>
      <c r="M38" s="648"/>
      <c r="N38" s="648"/>
      <c r="O38" s="648"/>
      <c r="P38" s="648"/>
      <c r="Q38" s="648"/>
      <c r="R38" s="648"/>
      <c r="S38" s="648"/>
      <c r="T38" s="648"/>
      <c r="U38" s="648"/>
      <c r="V38" s="648"/>
      <c r="W38" s="648"/>
      <c r="X38" s="648"/>
      <c r="Y38" s="648"/>
      <c r="Z38" s="648"/>
      <c r="AA38" s="648"/>
      <c r="AB38" s="648"/>
      <c r="AC38" s="648"/>
      <c r="AD38" s="648"/>
      <c r="AE38" s="648"/>
      <c r="AF38" s="648"/>
      <c r="AG38" s="648"/>
      <c r="AH38" s="648"/>
      <c r="AI38" s="648"/>
      <c r="AJ38" s="648"/>
      <c r="AK38" s="648"/>
      <c r="AL38" s="648"/>
      <c r="AM38" s="648"/>
      <c r="AN38" s="648"/>
      <c r="AO38" s="648"/>
      <c r="AP38" s="648"/>
      <c r="AQ38" s="648"/>
      <c r="AR38" s="648"/>
      <c r="AS38" s="648"/>
      <c r="AT38" s="648"/>
      <c r="AU38" s="648"/>
    </row>
    <row r="39" spans="1:47">
      <c r="A39" s="648"/>
      <c r="B39" s="648"/>
      <c r="C39" s="648"/>
      <c r="D39" s="648"/>
      <c r="E39" s="648"/>
      <c r="F39" s="648"/>
      <c r="G39" s="648"/>
      <c r="H39" s="648"/>
      <c r="I39" s="648"/>
      <c r="J39" s="648"/>
      <c r="K39" s="648"/>
      <c r="L39" s="648"/>
      <c r="M39" s="648"/>
      <c r="N39" s="648"/>
      <c r="O39" s="648"/>
      <c r="P39" s="648"/>
      <c r="Q39" s="648"/>
      <c r="R39" s="648"/>
      <c r="S39" s="648"/>
      <c r="T39" s="648"/>
      <c r="U39" s="648"/>
      <c r="V39" s="648"/>
      <c r="W39" s="648"/>
      <c r="X39" s="648"/>
      <c r="Y39" s="648"/>
      <c r="Z39" s="648"/>
      <c r="AA39" s="648"/>
      <c r="AB39" s="648"/>
      <c r="AC39" s="648"/>
      <c r="AD39" s="648"/>
      <c r="AE39" s="648"/>
      <c r="AF39" s="648"/>
      <c r="AG39" s="648"/>
      <c r="AH39" s="648"/>
      <c r="AI39" s="648"/>
      <c r="AJ39" s="648"/>
      <c r="AK39" s="648"/>
      <c r="AL39" s="648"/>
      <c r="AM39" s="648"/>
      <c r="AN39" s="648"/>
      <c r="AO39" s="648"/>
      <c r="AP39" s="648"/>
      <c r="AQ39" s="648"/>
      <c r="AR39" s="648"/>
      <c r="AS39" s="648"/>
      <c r="AT39" s="648"/>
      <c r="AU39" s="648"/>
    </row>
    <row r="40" spans="1:47">
      <c r="A40" s="648"/>
      <c r="B40" s="648"/>
      <c r="C40" s="648"/>
      <c r="D40" s="648"/>
      <c r="E40" s="648"/>
      <c r="F40" s="648"/>
      <c r="G40" s="648"/>
      <c r="H40" s="648"/>
      <c r="I40" s="648"/>
      <c r="J40" s="648"/>
      <c r="K40" s="648"/>
      <c r="L40" s="648"/>
      <c r="M40" s="648"/>
      <c r="N40" s="648"/>
      <c r="O40" s="648"/>
      <c r="P40" s="648"/>
      <c r="Q40" s="648"/>
      <c r="R40" s="648"/>
      <c r="S40" s="648"/>
      <c r="T40" s="648"/>
      <c r="U40" s="648"/>
      <c r="V40" s="648"/>
      <c r="W40" s="648"/>
      <c r="X40" s="648"/>
      <c r="Y40" s="648"/>
      <c r="Z40" s="648"/>
      <c r="AA40" s="648"/>
      <c r="AB40" s="648"/>
      <c r="AC40" s="648"/>
      <c r="AD40" s="648"/>
      <c r="AE40" s="648"/>
      <c r="AF40" s="648"/>
      <c r="AG40" s="648"/>
      <c r="AH40" s="648"/>
      <c r="AI40" s="648"/>
      <c r="AJ40" s="648"/>
      <c r="AK40" s="648"/>
      <c r="AL40" s="648"/>
      <c r="AM40" s="648"/>
      <c r="AN40" s="648"/>
      <c r="AO40" s="648"/>
      <c r="AP40" s="648"/>
      <c r="AQ40" s="648"/>
      <c r="AR40" s="648"/>
      <c r="AS40" s="648"/>
      <c r="AT40" s="648"/>
      <c r="AU40" s="648"/>
    </row>
    <row r="41" spans="1:47">
      <c r="A41" s="648"/>
      <c r="B41" s="648"/>
      <c r="C41" s="648"/>
      <c r="D41" s="648"/>
      <c r="E41" s="648"/>
      <c r="F41" s="648"/>
      <c r="G41" s="648"/>
      <c r="H41" s="648"/>
      <c r="I41" s="648"/>
      <c r="J41" s="648"/>
      <c r="K41" s="648"/>
      <c r="L41" s="648"/>
      <c r="M41" s="648"/>
      <c r="N41" s="648"/>
      <c r="O41" s="648"/>
      <c r="P41" s="648"/>
      <c r="Q41" s="648"/>
      <c r="R41" s="648"/>
      <c r="S41" s="648"/>
      <c r="T41" s="648"/>
      <c r="U41" s="648"/>
      <c r="V41" s="648"/>
      <c r="W41" s="648"/>
      <c r="X41" s="648"/>
      <c r="Y41" s="648"/>
      <c r="Z41" s="648"/>
      <c r="AA41" s="648"/>
      <c r="AB41" s="648"/>
      <c r="AC41" s="648"/>
      <c r="AD41" s="648"/>
      <c r="AE41" s="648"/>
      <c r="AF41" s="648"/>
      <c r="AG41" s="648"/>
      <c r="AH41" s="648"/>
      <c r="AI41" s="648"/>
      <c r="AJ41" s="648"/>
      <c r="AK41" s="648"/>
      <c r="AL41" s="648"/>
      <c r="AM41" s="648"/>
      <c r="AN41" s="648"/>
      <c r="AO41" s="648"/>
      <c r="AP41" s="648"/>
      <c r="AQ41" s="648"/>
      <c r="AR41" s="648"/>
      <c r="AS41" s="648"/>
      <c r="AT41" s="648"/>
      <c r="AU41" s="648"/>
    </row>
    <row r="42" spans="1:47">
      <c r="A42" s="648"/>
      <c r="B42" s="648"/>
      <c r="C42" s="648"/>
      <c r="D42" s="648"/>
      <c r="E42" s="648"/>
      <c r="F42" s="648"/>
      <c r="G42" s="648"/>
      <c r="H42" s="648"/>
      <c r="I42" s="648"/>
      <c r="J42" s="648"/>
      <c r="K42" s="648"/>
      <c r="L42" s="648"/>
      <c r="M42" s="648"/>
      <c r="N42" s="648"/>
      <c r="O42" s="648"/>
      <c r="P42" s="648"/>
      <c r="Q42" s="648"/>
      <c r="R42" s="648"/>
      <c r="S42" s="648"/>
      <c r="T42" s="648"/>
      <c r="U42" s="648"/>
      <c r="V42" s="648"/>
      <c r="W42" s="648"/>
      <c r="X42" s="648"/>
      <c r="Y42" s="648"/>
      <c r="Z42" s="648"/>
      <c r="AA42" s="648"/>
      <c r="AB42" s="648"/>
      <c r="AC42" s="648"/>
      <c r="AD42" s="648"/>
      <c r="AE42" s="648"/>
      <c r="AF42" s="648"/>
      <c r="AG42" s="648"/>
      <c r="AH42" s="648"/>
      <c r="AI42" s="648"/>
      <c r="AJ42" s="648"/>
      <c r="AK42" s="648"/>
      <c r="AL42" s="648"/>
      <c r="AM42" s="648"/>
      <c r="AN42" s="648"/>
      <c r="AO42" s="648"/>
      <c r="AP42" s="648"/>
      <c r="AQ42" s="648"/>
      <c r="AR42" s="648"/>
      <c r="AS42" s="648"/>
      <c r="AT42" s="648"/>
      <c r="AU42" s="648"/>
    </row>
    <row r="43" spans="1:47">
      <c r="A43" s="648"/>
      <c r="B43" s="648"/>
      <c r="C43" s="648"/>
      <c r="D43" s="648"/>
      <c r="E43" s="648"/>
      <c r="F43" s="648"/>
      <c r="G43" s="648"/>
      <c r="H43" s="648"/>
      <c r="I43" s="648"/>
      <c r="J43" s="648"/>
      <c r="K43" s="648"/>
      <c r="L43" s="648"/>
      <c r="M43" s="648"/>
      <c r="N43" s="648"/>
      <c r="O43" s="648"/>
      <c r="P43" s="648"/>
      <c r="Q43" s="648"/>
      <c r="R43" s="648"/>
      <c r="S43" s="648"/>
      <c r="T43" s="648"/>
      <c r="U43" s="648"/>
      <c r="V43" s="648"/>
      <c r="W43" s="648"/>
      <c r="X43" s="648"/>
      <c r="Y43" s="648"/>
      <c r="Z43" s="648"/>
      <c r="AA43" s="648"/>
      <c r="AB43" s="648"/>
      <c r="AC43" s="648"/>
      <c r="AD43" s="648"/>
      <c r="AE43" s="648"/>
      <c r="AF43" s="648"/>
      <c r="AG43" s="648"/>
      <c r="AH43" s="648"/>
      <c r="AI43" s="648"/>
      <c r="AJ43" s="648"/>
      <c r="AK43" s="648"/>
      <c r="AL43" s="648"/>
      <c r="AM43" s="648"/>
      <c r="AN43" s="648"/>
      <c r="AO43" s="648"/>
      <c r="AP43" s="648"/>
      <c r="AQ43" s="648"/>
      <c r="AR43" s="648"/>
      <c r="AS43" s="648"/>
      <c r="AT43" s="648"/>
      <c r="AU43" s="648"/>
    </row>
    <row r="44" spans="1:47">
      <c r="A44" s="648"/>
      <c r="B44" s="648"/>
      <c r="C44" s="648"/>
      <c r="D44" s="648"/>
      <c r="E44" s="648"/>
      <c r="F44" s="648"/>
      <c r="G44" s="648"/>
      <c r="H44" s="648"/>
      <c r="I44" s="648"/>
      <c r="J44" s="648"/>
      <c r="K44" s="648"/>
      <c r="L44" s="648"/>
      <c r="M44" s="648"/>
      <c r="N44" s="648"/>
      <c r="O44" s="648"/>
      <c r="P44" s="648"/>
      <c r="Q44" s="648"/>
      <c r="R44" s="648"/>
      <c r="S44" s="648"/>
      <c r="T44" s="648"/>
      <c r="U44" s="648"/>
      <c r="V44" s="648"/>
      <c r="W44" s="648"/>
      <c r="X44" s="648"/>
      <c r="Y44" s="648"/>
      <c r="Z44" s="648"/>
      <c r="AA44" s="648"/>
      <c r="AB44" s="648"/>
      <c r="AC44" s="648"/>
      <c r="AD44" s="648"/>
      <c r="AE44" s="648"/>
      <c r="AF44" s="648"/>
      <c r="AG44" s="648"/>
      <c r="AH44" s="648"/>
      <c r="AI44" s="648"/>
      <c r="AJ44" s="648"/>
      <c r="AK44" s="648"/>
      <c r="AL44" s="648"/>
      <c r="AM44" s="648"/>
      <c r="AN44" s="648"/>
      <c r="AO44" s="648"/>
      <c r="AP44" s="648"/>
      <c r="AQ44" s="648"/>
      <c r="AR44" s="648"/>
      <c r="AS44" s="648"/>
      <c r="AT44" s="648"/>
      <c r="AU44" s="648"/>
    </row>
    <row r="45" spans="1:47">
      <c r="A45" s="648"/>
      <c r="B45" s="648"/>
      <c r="C45" s="648"/>
      <c r="D45" s="648"/>
      <c r="E45" s="648"/>
      <c r="F45" s="648"/>
      <c r="G45" s="648"/>
      <c r="H45" s="648"/>
      <c r="I45" s="648"/>
      <c r="J45" s="648"/>
      <c r="K45" s="648"/>
      <c r="L45" s="648"/>
      <c r="M45" s="648"/>
      <c r="N45" s="648"/>
      <c r="O45" s="648"/>
      <c r="P45" s="648"/>
      <c r="Q45" s="648"/>
      <c r="R45" s="648"/>
      <c r="S45" s="648"/>
      <c r="T45" s="648"/>
      <c r="U45" s="648"/>
      <c r="V45" s="648"/>
      <c r="W45" s="648"/>
      <c r="X45" s="648"/>
      <c r="Y45" s="648"/>
      <c r="Z45" s="648"/>
      <c r="AA45" s="648"/>
      <c r="AB45" s="648"/>
      <c r="AC45" s="648"/>
      <c r="AD45" s="648"/>
      <c r="AE45" s="648"/>
      <c r="AF45" s="648"/>
      <c r="AG45" s="648"/>
      <c r="AH45" s="648"/>
      <c r="AI45" s="648"/>
      <c r="AJ45" s="648"/>
      <c r="AK45" s="648"/>
      <c r="AL45" s="648"/>
      <c r="AM45" s="648"/>
      <c r="AN45" s="648"/>
      <c r="AO45" s="648"/>
      <c r="AP45" s="648"/>
      <c r="AQ45" s="648"/>
      <c r="AR45" s="648"/>
      <c r="AS45" s="648"/>
      <c r="AT45" s="648"/>
      <c r="AU45" s="648"/>
    </row>
    <row r="46" spans="1:47">
      <c r="A46" s="648"/>
      <c r="B46" s="648"/>
      <c r="C46" s="648"/>
      <c r="D46" s="648"/>
      <c r="E46" s="648"/>
      <c r="F46" s="648"/>
      <c r="G46" s="648"/>
      <c r="H46" s="648"/>
      <c r="I46" s="648"/>
      <c r="J46" s="648"/>
      <c r="K46" s="648"/>
      <c r="L46" s="648"/>
      <c r="M46" s="648"/>
      <c r="N46" s="648"/>
      <c r="O46" s="648"/>
      <c r="P46" s="648"/>
      <c r="Q46" s="648"/>
      <c r="R46" s="648"/>
      <c r="S46" s="648"/>
      <c r="T46" s="648"/>
      <c r="U46" s="648"/>
      <c r="V46" s="648"/>
      <c r="W46" s="648"/>
      <c r="X46" s="648"/>
      <c r="Y46" s="648"/>
      <c r="Z46" s="648"/>
      <c r="AA46" s="648"/>
      <c r="AB46" s="648"/>
      <c r="AC46" s="648"/>
      <c r="AD46" s="648"/>
      <c r="AE46" s="648"/>
      <c r="AF46" s="648"/>
      <c r="AG46" s="648"/>
      <c r="AH46" s="648"/>
      <c r="AI46" s="648"/>
      <c r="AJ46" s="648"/>
      <c r="AK46" s="648"/>
      <c r="AL46" s="648"/>
      <c r="AM46" s="648"/>
      <c r="AN46" s="648"/>
      <c r="AO46" s="648"/>
      <c r="AP46" s="648"/>
      <c r="AQ46" s="648"/>
      <c r="AR46" s="648"/>
      <c r="AS46" s="648"/>
      <c r="AT46" s="648"/>
      <c r="AU46" s="648"/>
    </row>
    <row r="47" spans="1:47">
      <c r="A47" s="648"/>
      <c r="B47" s="648"/>
      <c r="C47" s="648"/>
      <c r="D47" s="648"/>
      <c r="E47" s="648"/>
      <c r="F47" s="648"/>
      <c r="G47" s="648"/>
      <c r="H47" s="648"/>
      <c r="I47" s="648"/>
      <c r="J47" s="648"/>
      <c r="K47" s="648"/>
      <c r="L47" s="648"/>
      <c r="M47" s="648"/>
      <c r="N47" s="648"/>
      <c r="O47" s="648"/>
      <c r="P47" s="648"/>
      <c r="Q47" s="648"/>
      <c r="R47" s="648"/>
      <c r="S47" s="648"/>
      <c r="T47" s="648"/>
      <c r="U47" s="648"/>
      <c r="V47" s="648"/>
      <c r="W47" s="648"/>
      <c r="X47" s="648"/>
      <c r="Y47" s="648"/>
      <c r="Z47" s="648"/>
      <c r="AA47" s="648"/>
      <c r="AB47" s="648"/>
      <c r="AC47" s="648"/>
      <c r="AD47" s="648"/>
      <c r="AE47" s="648"/>
      <c r="AF47" s="648"/>
      <c r="AG47" s="648"/>
      <c r="AH47" s="648"/>
      <c r="AI47" s="648"/>
      <c r="AJ47" s="648"/>
      <c r="AK47" s="648"/>
      <c r="AL47" s="648"/>
      <c r="AM47" s="648"/>
      <c r="AN47" s="648"/>
      <c r="AO47" s="648"/>
      <c r="AP47" s="648"/>
      <c r="AQ47" s="648"/>
      <c r="AR47" s="648"/>
      <c r="AS47" s="648"/>
      <c r="AT47" s="648"/>
      <c r="AU47" s="648"/>
    </row>
    <row r="48" spans="1:47">
      <c r="A48" s="648"/>
      <c r="B48" s="648"/>
      <c r="C48" s="648"/>
      <c r="D48" s="648"/>
      <c r="E48" s="648"/>
      <c r="F48" s="648"/>
      <c r="G48" s="648"/>
      <c r="H48" s="648"/>
      <c r="I48" s="648"/>
      <c r="J48" s="648"/>
      <c r="K48" s="648"/>
      <c r="L48" s="648"/>
      <c r="M48" s="648"/>
      <c r="N48" s="648"/>
      <c r="O48" s="648"/>
      <c r="P48" s="648"/>
      <c r="Q48" s="648"/>
      <c r="R48" s="648"/>
      <c r="S48" s="648"/>
      <c r="T48" s="648"/>
      <c r="U48" s="648"/>
      <c r="V48" s="648"/>
      <c r="W48" s="648"/>
      <c r="X48" s="648"/>
      <c r="Y48" s="648"/>
      <c r="Z48" s="648"/>
      <c r="AA48" s="648"/>
      <c r="AB48" s="648"/>
      <c r="AC48" s="648"/>
      <c r="AD48" s="648"/>
      <c r="AE48" s="648"/>
      <c r="AF48" s="648"/>
      <c r="AG48" s="648"/>
      <c r="AH48" s="648"/>
      <c r="AI48" s="648"/>
      <c r="AJ48" s="648"/>
      <c r="AK48" s="648"/>
      <c r="AL48" s="648"/>
      <c r="AM48" s="648"/>
      <c r="AN48" s="648"/>
      <c r="AO48" s="648"/>
      <c r="AP48" s="648"/>
      <c r="AQ48" s="648"/>
      <c r="AR48" s="648"/>
      <c r="AS48" s="648"/>
      <c r="AT48" s="648"/>
      <c r="AU48" s="648"/>
    </row>
    <row r="49" spans="1:47">
      <c r="A49" s="648"/>
      <c r="B49" s="648"/>
      <c r="C49" s="648"/>
      <c r="D49" s="648"/>
      <c r="E49" s="648"/>
      <c r="F49" s="648"/>
      <c r="G49" s="648"/>
      <c r="H49" s="648"/>
      <c r="I49" s="648"/>
      <c r="J49" s="648"/>
      <c r="K49" s="648"/>
      <c r="L49" s="648"/>
      <c r="M49" s="648"/>
      <c r="N49" s="648"/>
      <c r="O49" s="648"/>
      <c r="P49" s="648"/>
      <c r="Q49" s="648"/>
      <c r="R49" s="648"/>
      <c r="S49" s="648"/>
      <c r="T49" s="648"/>
      <c r="U49" s="648"/>
      <c r="V49" s="648"/>
      <c r="W49" s="648"/>
      <c r="X49" s="648"/>
      <c r="Y49" s="648"/>
      <c r="Z49" s="648"/>
      <c r="AA49" s="648"/>
      <c r="AB49" s="648"/>
      <c r="AC49" s="648"/>
      <c r="AD49" s="648"/>
      <c r="AE49" s="648"/>
      <c r="AF49" s="648"/>
      <c r="AG49" s="648"/>
      <c r="AH49" s="648"/>
      <c r="AI49" s="648"/>
      <c r="AJ49" s="648"/>
      <c r="AK49" s="648"/>
      <c r="AL49" s="648"/>
      <c r="AM49" s="648"/>
      <c r="AN49" s="648"/>
      <c r="AO49" s="648"/>
      <c r="AP49" s="648"/>
      <c r="AQ49" s="648"/>
      <c r="AR49" s="648"/>
      <c r="AS49" s="648"/>
      <c r="AT49" s="648"/>
      <c r="AU49" s="648"/>
    </row>
    <row r="50" spans="1:47">
      <c r="A50" s="648"/>
      <c r="B50" s="648"/>
      <c r="C50" s="648"/>
      <c r="D50" s="648"/>
      <c r="E50" s="648"/>
      <c r="F50" s="648"/>
      <c r="G50" s="648"/>
      <c r="H50" s="648"/>
      <c r="I50" s="648"/>
      <c r="J50" s="648"/>
      <c r="K50" s="648"/>
      <c r="L50" s="648"/>
      <c r="M50" s="648"/>
      <c r="N50" s="648"/>
      <c r="O50" s="648"/>
      <c r="P50" s="648"/>
      <c r="Q50" s="648"/>
      <c r="R50" s="648"/>
      <c r="S50" s="648"/>
      <c r="T50" s="648"/>
      <c r="U50" s="648"/>
      <c r="V50" s="648"/>
      <c r="W50" s="648"/>
      <c r="X50" s="648"/>
      <c r="Y50" s="648"/>
      <c r="Z50" s="648"/>
      <c r="AA50" s="648"/>
      <c r="AB50" s="648"/>
      <c r="AC50" s="648"/>
      <c r="AD50" s="648"/>
      <c r="AE50" s="648"/>
      <c r="AF50" s="648"/>
      <c r="AG50" s="648"/>
      <c r="AH50" s="648"/>
      <c r="AI50" s="648"/>
      <c r="AJ50" s="648"/>
      <c r="AK50" s="648"/>
      <c r="AL50" s="648"/>
      <c r="AM50" s="648"/>
      <c r="AN50" s="648"/>
      <c r="AO50" s="648"/>
      <c r="AP50" s="648"/>
      <c r="AQ50" s="648"/>
      <c r="AR50" s="648"/>
      <c r="AS50" s="648"/>
      <c r="AT50" s="648"/>
      <c r="AU50" s="648"/>
    </row>
    <row r="51" spans="1:47">
      <c r="A51" s="648"/>
      <c r="B51" s="648"/>
      <c r="C51" s="648"/>
      <c r="D51" s="648"/>
      <c r="E51" s="648"/>
      <c r="F51" s="648"/>
      <c r="G51" s="648"/>
      <c r="H51" s="648"/>
      <c r="I51" s="648"/>
      <c r="J51" s="648"/>
      <c r="K51" s="648"/>
      <c r="L51" s="648"/>
      <c r="M51" s="648"/>
      <c r="N51" s="648"/>
      <c r="O51" s="648"/>
      <c r="P51" s="648"/>
      <c r="Q51" s="648"/>
      <c r="R51" s="648"/>
      <c r="S51" s="648"/>
      <c r="T51" s="648"/>
      <c r="U51" s="648"/>
      <c r="V51" s="648"/>
      <c r="W51" s="648"/>
      <c r="X51" s="648"/>
      <c r="Y51" s="648"/>
      <c r="Z51" s="648"/>
      <c r="AA51" s="648"/>
      <c r="AB51" s="648"/>
      <c r="AC51" s="648"/>
      <c r="AD51" s="648"/>
      <c r="AE51" s="648"/>
      <c r="AF51" s="648"/>
      <c r="AG51" s="648"/>
      <c r="AH51" s="648"/>
      <c r="AI51" s="648"/>
      <c r="AJ51" s="648"/>
      <c r="AK51" s="648"/>
      <c r="AL51" s="648"/>
      <c r="AM51" s="648"/>
      <c r="AN51" s="648"/>
      <c r="AO51" s="648"/>
      <c r="AP51" s="648"/>
      <c r="AQ51" s="648"/>
      <c r="AR51" s="648"/>
      <c r="AS51" s="648"/>
      <c r="AT51" s="648"/>
      <c r="AU51" s="648"/>
    </row>
    <row r="52" spans="1:47">
      <c r="A52" s="648"/>
      <c r="B52" s="648"/>
      <c r="C52" s="648"/>
      <c r="D52" s="648"/>
      <c r="E52" s="648"/>
      <c r="F52" s="648"/>
      <c r="G52" s="648"/>
      <c r="H52" s="648"/>
      <c r="I52" s="648"/>
      <c r="J52" s="648"/>
      <c r="K52" s="648"/>
      <c r="L52" s="648"/>
      <c r="M52" s="648"/>
      <c r="N52" s="648"/>
      <c r="O52" s="648"/>
      <c r="P52" s="648"/>
      <c r="Q52" s="648"/>
      <c r="R52" s="648"/>
      <c r="S52" s="648"/>
      <c r="T52" s="648"/>
      <c r="U52" s="648"/>
      <c r="V52" s="648"/>
      <c r="W52" s="648"/>
      <c r="X52" s="648"/>
      <c r="Y52" s="648"/>
      <c r="Z52" s="648"/>
      <c r="AA52" s="648"/>
      <c r="AB52" s="648"/>
      <c r="AC52" s="648"/>
      <c r="AD52" s="648"/>
      <c r="AE52" s="648"/>
      <c r="AF52" s="648"/>
      <c r="AG52" s="648"/>
      <c r="AH52" s="648"/>
      <c r="AI52" s="648"/>
      <c r="AJ52" s="648"/>
      <c r="AK52" s="648"/>
      <c r="AL52" s="648"/>
      <c r="AM52" s="648"/>
      <c r="AN52" s="648"/>
      <c r="AO52" s="648"/>
      <c r="AP52" s="648"/>
      <c r="AQ52" s="648"/>
      <c r="AR52" s="648"/>
      <c r="AS52" s="648"/>
      <c r="AT52" s="648"/>
      <c r="AU52" s="648"/>
    </row>
    <row r="53" spans="1:47">
      <c r="A53" s="648"/>
      <c r="B53" s="648"/>
      <c r="C53" s="648"/>
      <c r="D53" s="648"/>
      <c r="E53" s="648"/>
      <c r="F53" s="648"/>
      <c r="G53" s="648"/>
      <c r="H53" s="648"/>
      <c r="I53" s="648"/>
      <c r="J53" s="648"/>
      <c r="K53" s="648"/>
      <c r="L53" s="648"/>
      <c r="M53" s="648"/>
      <c r="N53" s="648"/>
      <c r="O53" s="648"/>
      <c r="P53" s="648"/>
      <c r="Q53" s="648"/>
      <c r="R53" s="648"/>
      <c r="S53" s="648"/>
      <c r="T53" s="648"/>
      <c r="U53" s="648"/>
      <c r="V53" s="648"/>
      <c r="W53" s="648"/>
      <c r="X53" s="648"/>
      <c r="Y53" s="648"/>
      <c r="Z53" s="648"/>
      <c r="AA53" s="648"/>
      <c r="AB53" s="648"/>
      <c r="AC53" s="648"/>
      <c r="AD53" s="648"/>
      <c r="AE53" s="648"/>
      <c r="AF53" s="648"/>
      <c r="AG53" s="648"/>
      <c r="AH53" s="648"/>
      <c r="AI53" s="648"/>
      <c r="AJ53" s="648"/>
      <c r="AK53" s="648"/>
      <c r="AL53" s="648"/>
      <c r="AM53" s="648"/>
      <c r="AN53" s="648"/>
      <c r="AO53" s="648"/>
      <c r="AP53" s="648"/>
      <c r="AQ53" s="648"/>
      <c r="AR53" s="648"/>
      <c r="AS53" s="648"/>
      <c r="AT53" s="648"/>
      <c r="AU53" s="648"/>
    </row>
    <row r="54" spans="1:47">
      <c r="A54" s="648"/>
      <c r="B54" s="648"/>
      <c r="C54" s="648"/>
      <c r="D54" s="648"/>
      <c r="E54" s="648"/>
      <c r="F54" s="648"/>
      <c r="G54" s="648"/>
      <c r="H54" s="648"/>
      <c r="I54" s="648"/>
      <c r="J54" s="648"/>
      <c r="K54" s="648"/>
      <c r="L54" s="648"/>
      <c r="M54" s="648"/>
      <c r="N54" s="648"/>
      <c r="O54" s="648"/>
      <c r="P54" s="648"/>
      <c r="Q54" s="648"/>
      <c r="R54" s="648"/>
      <c r="S54" s="648"/>
      <c r="T54" s="648"/>
      <c r="U54" s="648"/>
      <c r="V54" s="648"/>
      <c r="W54" s="648"/>
      <c r="X54" s="648"/>
      <c r="Y54" s="648"/>
      <c r="Z54" s="648"/>
      <c r="AA54" s="648"/>
      <c r="AB54" s="648"/>
      <c r="AC54" s="648"/>
      <c r="AD54" s="648"/>
      <c r="AE54" s="648"/>
      <c r="AF54" s="648"/>
      <c r="AG54" s="648"/>
      <c r="AH54" s="648"/>
      <c r="AI54" s="648"/>
      <c r="AJ54" s="648"/>
      <c r="AK54" s="648"/>
      <c r="AL54" s="648"/>
      <c r="AM54" s="648"/>
      <c r="AN54" s="648"/>
      <c r="AO54" s="648"/>
      <c r="AP54" s="648"/>
      <c r="AQ54" s="648"/>
      <c r="AR54" s="648"/>
      <c r="AS54" s="648"/>
      <c r="AT54" s="648"/>
      <c r="AU54" s="648"/>
    </row>
    <row r="55" spans="1:47">
      <c r="A55" s="648"/>
      <c r="B55" s="648"/>
      <c r="C55" s="648"/>
      <c r="D55" s="648"/>
      <c r="E55" s="648"/>
      <c r="F55" s="648"/>
      <c r="G55" s="648"/>
      <c r="H55" s="648"/>
      <c r="I55" s="648"/>
      <c r="J55" s="648"/>
      <c r="K55" s="648"/>
      <c r="L55" s="648"/>
      <c r="M55" s="648"/>
      <c r="N55" s="648"/>
      <c r="O55" s="648"/>
      <c r="P55" s="648"/>
      <c r="Q55" s="648"/>
      <c r="R55" s="648"/>
      <c r="S55" s="648"/>
      <c r="T55" s="648"/>
      <c r="U55" s="648"/>
      <c r="V55" s="648"/>
      <c r="W55" s="648"/>
      <c r="X55" s="648"/>
      <c r="Y55" s="648"/>
      <c r="Z55" s="648"/>
      <c r="AA55" s="648"/>
      <c r="AB55" s="648"/>
      <c r="AC55" s="648"/>
      <c r="AD55" s="648"/>
      <c r="AE55" s="648"/>
      <c r="AF55" s="648"/>
      <c r="AG55" s="648"/>
      <c r="AH55" s="648"/>
      <c r="AI55" s="648"/>
      <c r="AJ55" s="648"/>
      <c r="AK55" s="648"/>
      <c r="AL55" s="648"/>
      <c r="AM55" s="648"/>
      <c r="AN55" s="648"/>
      <c r="AO55" s="648"/>
      <c r="AP55" s="648"/>
      <c r="AQ55" s="648"/>
      <c r="AR55" s="648"/>
      <c r="AS55" s="648"/>
      <c r="AT55" s="648"/>
      <c r="AU55" s="648"/>
    </row>
    <row r="56" spans="1:47">
      <c r="A56" s="648"/>
      <c r="B56" s="648"/>
      <c r="C56" s="648"/>
      <c r="D56" s="648"/>
      <c r="E56" s="648"/>
      <c r="F56" s="648"/>
      <c r="G56" s="648"/>
      <c r="H56" s="648"/>
      <c r="I56" s="648"/>
      <c r="J56" s="648"/>
      <c r="K56" s="648"/>
      <c r="L56" s="648"/>
      <c r="M56" s="648"/>
      <c r="N56" s="648"/>
      <c r="O56" s="648"/>
      <c r="P56" s="648"/>
      <c r="Q56" s="648"/>
      <c r="R56" s="648"/>
      <c r="S56" s="648"/>
      <c r="T56" s="648"/>
      <c r="U56" s="648"/>
      <c r="V56" s="648"/>
      <c r="W56" s="648"/>
      <c r="X56" s="648"/>
      <c r="Y56" s="648"/>
      <c r="Z56" s="648"/>
      <c r="AA56" s="648"/>
      <c r="AB56" s="648"/>
      <c r="AC56" s="648"/>
      <c r="AD56" s="648"/>
      <c r="AE56" s="648"/>
      <c r="AF56" s="648"/>
      <c r="AG56" s="648"/>
      <c r="AH56" s="648"/>
      <c r="AI56" s="648"/>
      <c r="AJ56" s="648"/>
      <c r="AK56" s="648"/>
      <c r="AL56" s="648"/>
      <c r="AM56" s="648"/>
      <c r="AN56" s="648"/>
      <c r="AO56" s="648"/>
      <c r="AP56" s="648"/>
      <c r="AQ56" s="648"/>
      <c r="AR56" s="648"/>
      <c r="AS56" s="648"/>
      <c r="AT56" s="648"/>
      <c r="AU56" s="648"/>
    </row>
    <row r="57" spans="1:47">
      <c r="A57" s="648"/>
      <c r="B57" s="648"/>
      <c r="C57" s="648"/>
      <c r="D57" s="648"/>
      <c r="E57" s="648"/>
      <c r="F57" s="648"/>
      <c r="G57" s="648"/>
      <c r="H57" s="648"/>
      <c r="I57" s="648"/>
      <c r="J57" s="648"/>
      <c r="K57" s="648"/>
      <c r="L57" s="648"/>
      <c r="M57" s="648"/>
      <c r="N57" s="648"/>
      <c r="O57" s="648"/>
      <c r="P57" s="648"/>
      <c r="Q57" s="648"/>
      <c r="R57" s="648"/>
      <c r="S57" s="648"/>
      <c r="T57" s="648"/>
      <c r="U57" s="648"/>
      <c r="V57" s="648"/>
      <c r="W57" s="648"/>
      <c r="X57" s="648"/>
      <c r="Y57" s="648"/>
      <c r="Z57" s="648"/>
      <c r="AA57" s="648"/>
      <c r="AB57" s="648"/>
      <c r="AC57" s="648"/>
      <c r="AD57" s="648"/>
      <c r="AE57" s="648"/>
      <c r="AF57" s="648"/>
      <c r="AG57" s="648"/>
      <c r="AH57" s="648"/>
      <c r="AI57" s="648"/>
      <c r="AJ57" s="648"/>
      <c r="AK57" s="648"/>
      <c r="AL57" s="648"/>
      <c r="AM57" s="648"/>
      <c r="AN57" s="648"/>
      <c r="AO57" s="648"/>
      <c r="AP57" s="648"/>
      <c r="AQ57" s="648"/>
      <c r="AR57" s="648"/>
      <c r="AS57" s="648"/>
      <c r="AT57" s="648"/>
      <c r="AU57" s="648"/>
    </row>
    <row r="58" spans="1:47">
      <c r="A58" s="648"/>
      <c r="B58" s="648"/>
      <c r="C58" s="648"/>
      <c r="D58" s="648"/>
      <c r="E58" s="648"/>
      <c r="F58" s="648"/>
      <c r="G58" s="648"/>
      <c r="H58" s="648"/>
      <c r="I58" s="648"/>
      <c r="J58" s="648"/>
      <c r="K58" s="648"/>
      <c r="L58" s="648"/>
      <c r="M58" s="648"/>
      <c r="N58" s="648"/>
      <c r="O58" s="648"/>
      <c r="P58" s="648"/>
      <c r="Q58" s="648"/>
      <c r="R58" s="648"/>
      <c r="S58" s="648"/>
      <c r="T58" s="648"/>
      <c r="U58" s="648"/>
      <c r="V58" s="648"/>
      <c r="W58" s="648"/>
      <c r="X58" s="648"/>
      <c r="Y58" s="648"/>
      <c r="Z58" s="648"/>
      <c r="AA58" s="648"/>
      <c r="AB58" s="648"/>
      <c r="AC58" s="648"/>
      <c r="AD58" s="648"/>
      <c r="AE58" s="648"/>
      <c r="AF58" s="648"/>
      <c r="AG58" s="648"/>
      <c r="AH58" s="648"/>
      <c r="AI58" s="648"/>
      <c r="AJ58" s="648"/>
      <c r="AK58" s="648"/>
      <c r="AL58" s="648"/>
      <c r="AM58" s="648"/>
      <c r="AN58" s="648"/>
      <c r="AO58" s="648"/>
      <c r="AP58" s="648"/>
      <c r="AQ58" s="648"/>
      <c r="AR58" s="648"/>
      <c r="AS58" s="648"/>
      <c r="AT58" s="648"/>
      <c r="AU58" s="648"/>
    </row>
    <row r="59" spans="1:47">
      <c r="A59" s="648"/>
      <c r="B59" s="648"/>
      <c r="C59" s="648"/>
      <c r="D59" s="648"/>
      <c r="E59" s="648"/>
      <c r="F59" s="648"/>
      <c r="G59" s="648"/>
      <c r="H59" s="648"/>
      <c r="I59" s="648"/>
      <c r="J59" s="648"/>
      <c r="K59" s="648"/>
      <c r="L59" s="648"/>
      <c r="M59" s="648"/>
      <c r="N59" s="648"/>
      <c r="O59" s="648"/>
      <c r="P59" s="648"/>
      <c r="Q59" s="648"/>
      <c r="R59" s="648"/>
      <c r="S59" s="648"/>
      <c r="T59" s="648"/>
      <c r="U59" s="648"/>
      <c r="V59" s="648"/>
      <c r="W59" s="648"/>
      <c r="X59" s="648"/>
      <c r="Y59" s="648"/>
      <c r="Z59" s="648"/>
      <c r="AA59" s="648"/>
      <c r="AB59" s="648"/>
      <c r="AC59" s="648"/>
      <c r="AD59" s="648"/>
      <c r="AE59" s="648"/>
      <c r="AF59" s="648"/>
      <c r="AG59" s="648"/>
      <c r="AH59" s="648"/>
      <c r="AI59" s="648"/>
      <c r="AJ59" s="648"/>
      <c r="AK59" s="648"/>
      <c r="AL59" s="648"/>
      <c r="AM59" s="648"/>
      <c r="AN59" s="648"/>
      <c r="AO59" s="648"/>
      <c r="AP59" s="648"/>
      <c r="AQ59" s="648"/>
      <c r="AR59" s="648"/>
      <c r="AS59" s="648"/>
      <c r="AT59" s="648"/>
      <c r="AU59" s="648"/>
    </row>
    <row r="60" spans="1:47">
      <c r="A60" s="648"/>
      <c r="B60" s="648"/>
      <c r="C60" s="648"/>
      <c r="D60" s="648"/>
      <c r="E60" s="648"/>
      <c r="F60" s="648"/>
      <c r="G60" s="648"/>
      <c r="H60" s="648"/>
      <c r="I60" s="648"/>
      <c r="J60" s="648"/>
      <c r="K60" s="648"/>
      <c r="L60" s="648"/>
      <c r="M60" s="648"/>
      <c r="N60" s="648"/>
      <c r="O60" s="648"/>
      <c r="P60" s="648"/>
      <c r="Q60" s="648"/>
      <c r="R60" s="648"/>
      <c r="S60" s="648"/>
      <c r="T60" s="648"/>
      <c r="U60" s="648"/>
      <c r="V60" s="648"/>
      <c r="W60" s="648"/>
      <c r="X60" s="648"/>
      <c r="Y60" s="648"/>
      <c r="Z60" s="648"/>
      <c r="AA60" s="648"/>
      <c r="AB60" s="648"/>
      <c r="AC60" s="648"/>
      <c r="AD60" s="648"/>
      <c r="AE60" s="648"/>
      <c r="AF60" s="648"/>
      <c r="AG60" s="648"/>
      <c r="AH60" s="648"/>
      <c r="AI60" s="648"/>
      <c r="AJ60" s="648"/>
      <c r="AK60" s="648"/>
      <c r="AL60" s="648"/>
      <c r="AM60" s="648"/>
      <c r="AN60" s="648"/>
      <c r="AO60" s="648"/>
      <c r="AP60" s="648"/>
      <c r="AQ60" s="648"/>
      <c r="AR60" s="648"/>
      <c r="AS60" s="648"/>
      <c r="AT60" s="648"/>
      <c r="AU60" s="648"/>
    </row>
    <row r="61" spans="1:47">
      <c r="A61" s="648"/>
      <c r="B61" s="648"/>
      <c r="C61" s="648"/>
      <c r="D61" s="648"/>
      <c r="E61" s="648"/>
      <c r="F61" s="648"/>
      <c r="G61" s="648"/>
      <c r="H61" s="648"/>
      <c r="I61" s="648"/>
      <c r="J61" s="648"/>
      <c r="K61" s="648"/>
      <c r="L61" s="648"/>
      <c r="M61" s="648"/>
      <c r="N61" s="648"/>
      <c r="O61" s="648"/>
      <c r="P61" s="648"/>
      <c r="Q61" s="648"/>
      <c r="R61" s="648"/>
      <c r="S61" s="648"/>
      <c r="T61" s="648"/>
      <c r="U61" s="648"/>
      <c r="V61" s="648"/>
      <c r="W61" s="648"/>
      <c r="X61" s="648"/>
      <c r="Y61" s="648"/>
      <c r="Z61" s="648"/>
      <c r="AA61" s="648"/>
      <c r="AB61" s="648"/>
      <c r="AC61" s="648"/>
      <c r="AD61" s="648"/>
      <c r="AE61" s="648"/>
      <c r="AF61" s="648"/>
      <c r="AG61" s="648"/>
      <c r="AH61" s="648"/>
      <c r="AI61" s="648"/>
      <c r="AJ61" s="648"/>
      <c r="AK61" s="648"/>
      <c r="AL61" s="648"/>
      <c r="AM61" s="648"/>
      <c r="AN61" s="648"/>
      <c r="AO61" s="648"/>
      <c r="AP61" s="648"/>
      <c r="AQ61" s="648"/>
      <c r="AR61" s="648"/>
      <c r="AS61" s="648"/>
      <c r="AT61" s="648"/>
      <c r="AU61" s="648"/>
    </row>
    <row r="62" spans="1:47">
      <c r="A62" s="648"/>
      <c r="B62" s="648"/>
      <c r="C62" s="648"/>
      <c r="D62" s="648"/>
      <c r="E62" s="648"/>
      <c r="F62" s="648"/>
      <c r="G62" s="648"/>
      <c r="H62" s="648"/>
      <c r="I62" s="648"/>
      <c r="J62" s="648"/>
      <c r="K62" s="648"/>
      <c r="L62" s="648"/>
      <c r="M62" s="648"/>
      <c r="N62" s="648"/>
      <c r="O62" s="648"/>
      <c r="P62" s="648"/>
      <c r="Q62" s="648"/>
      <c r="R62" s="648"/>
      <c r="S62" s="648"/>
      <c r="T62" s="648"/>
      <c r="U62" s="648"/>
      <c r="V62" s="648"/>
      <c r="W62" s="648"/>
      <c r="X62" s="648"/>
      <c r="Y62" s="648"/>
      <c r="Z62" s="648"/>
      <c r="AA62" s="648"/>
      <c r="AB62" s="648"/>
      <c r="AC62" s="648"/>
      <c r="AD62" s="648"/>
      <c r="AE62" s="648"/>
      <c r="AF62" s="648"/>
      <c r="AG62" s="648"/>
      <c r="AH62" s="648"/>
      <c r="AI62" s="648"/>
      <c r="AJ62" s="648"/>
      <c r="AK62" s="648"/>
      <c r="AL62" s="648"/>
      <c r="AM62" s="648"/>
      <c r="AN62" s="648"/>
      <c r="AO62" s="648"/>
      <c r="AP62" s="648"/>
      <c r="AQ62" s="648"/>
      <c r="AR62" s="648"/>
      <c r="AS62" s="648"/>
      <c r="AT62" s="648"/>
      <c r="AU62" s="648"/>
    </row>
    <row r="63" spans="1:47">
      <c r="A63" s="648"/>
      <c r="B63" s="648"/>
      <c r="C63" s="648"/>
      <c r="D63" s="648"/>
      <c r="E63" s="648"/>
      <c r="F63" s="648"/>
      <c r="G63" s="648"/>
      <c r="H63" s="648"/>
      <c r="I63" s="648"/>
      <c r="J63" s="648"/>
      <c r="K63" s="648"/>
      <c r="L63" s="648"/>
      <c r="M63" s="648"/>
      <c r="N63" s="648"/>
      <c r="O63" s="648"/>
      <c r="P63" s="648"/>
      <c r="Q63" s="648"/>
      <c r="R63" s="648"/>
      <c r="S63" s="648"/>
      <c r="T63" s="648"/>
      <c r="U63" s="648"/>
      <c r="V63" s="648"/>
      <c r="W63" s="648"/>
      <c r="X63" s="648"/>
      <c r="Y63" s="648"/>
      <c r="Z63" s="648"/>
      <c r="AA63" s="648"/>
      <c r="AB63" s="648"/>
      <c r="AC63" s="648"/>
      <c r="AD63" s="648"/>
      <c r="AE63" s="648"/>
      <c r="AF63" s="648"/>
      <c r="AG63" s="648"/>
      <c r="AH63" s="648"/>
      <c r="AI63" s="648"/>
      <c r="AJ63" s="648"/>
      <c r="AK63" s="648"/>
      <c r="AL63" s="648"/>
      <c r="AM63" s="648"/>
      <c r="AN63" s="648"/>
      <c r="AO63" s="648"/>
      <c r="AP63" s="648"/>
      <c r="AQ63" s="648"/>
      <c r="AR63" s="648"/>
      <c r="AS63" s="648"/>
      <c r="AT63" s="648"/>
      <c r="AU63" s="648"/>
    </row>
    <row r="64" spans="1:47">
      <c r="A64" s="648"/>
      <c r="B64" s="648"/>
      <c r="C64" s="648"/>
      <c r="D64" s="648"/>
      <c r="E64" s="648"/>
      <c r="F64" s="648"/>
      <c r="G64" s="648"/>
      <c r="H64" s="648"/>
      <c r="I64" s="648"/>
      <c r="J64" s="648"/>
      <c r="K64" s="648"/>
      <c r="L64" s="648"/>
      <c r="M64" s="648"/>
      <c r="N64" s="648"/>
      <c r="O64" s="648"/>
      <c r="P64" s="648"/>
      <c r="Q64" s="648"/>
      <c r="R64" s="648"/>
      <c r="S64" s="648"/>
      <c r="T64" s="648"/>
      <c r="U64" s="648"/>
      <c r="V64" s="648"/>
      <c r="W64" s="648"/>
      <c r="X64" s="648"/>
      <c r="Y64" s="648"/>
      <c r="Z64" s="648"/>
      <c r="AA64" s="648"/>
      <c r="AB64" s="648"/>
      <c r="AC64" s="648"/>
      <c r="AD64" s="648"/>
      <c r="AE64" s="648"/>
      <c r="AF64" s="648"/>
      <c r="AG64" s="648"/>
      <c r="AH64" s="648"/>
      <c r="AI64" s="648"/>
      <c r="AJ64" s="648"/>
      <c r="AK64" s="648"/>
      <c r="AL64" s="648"/>
      <c r="AM64" s="648"/>
      <c r="AN64" s="648"/>
      <c r="AO64" s="648"/>
      <c r="AP64" s="648"/>
      <c r="AQ64" s="648"/>
      <c r="AR64" s="648"/>
      <c r="AS64" s="648"/>
      <c r="AT64" s="648"/>
      <c r="AU64" s="648"/>
    </row>
    <row r="65" spans="1:47">
      <c r="A65" s="648"/>
      <c r="B65" s="648"/>
      <c r="C65" s="648"/>
      <c r="D65" s="648"/>
      <c r="E65" s="648"/>
      <c r="F65" s="648"/>
      <c r="G65" s="648"/>
      <c r="H65" s="648"/>
      <c r="I65" s="648"/>
      <c r="J65" s="648"/>
      <c r="K65" s="648"/>
      <c r="L65" s="648"/>
      <c r="M65" s="648"/>
      <c r="N65" s="648"/>
      <c r="O65" s="648"/>
      <c r="P65" s="648"/>
      <c r="Q65" s="648"/>
      <c r="R65" s="648"/>
      <c r="S65" s="648"/>
      <c r="T65" s="648"/>
      <c r="U65" s="648"/>
      <c r="V65" s="648"/>
      <c r="W65" s="648"/>
      <c r="X65" s="648"/>
      <c r="Y65" s="648"/>
      <c r="Z65" s="648"/>
      <c r="AA65" s="648"/>
      <c r="AB65" s="648"/>
      <c r="AC65" s="648"/>
      <c r="AD65" s="648"/>
      <c r="AE65" s="648"/>
      <c r="AF65" s="648"/>
      <c r="AG65" s="648"/>
      <c r="AH65" s="648"/>
      <c r="AI65" s="648"/>
      <c r="AJ65" s="648"/>
      <c r="AK65" s="648"/>
      <c r="AL65" s="648"/>
      <c r="AM65" s="648"/>
      <c r="AN65" s="648"/>
      <c r="AO65" s="648"/>
      <c r="AP65" s="648"/>
      <c r="AQ65" s="648"/>
      <c r="AR65" s="648"/>
      <c r="AS65" s="648"/>
      <c r="AT65" s="648"/>
      <c r="AU65" s="648"/>
    </row>
    <row r="66" spans="1:47">
      <c r="A66" s="648"/>
      <c r="B66" s="648"/>
      <c r="C66" s="648"/>
      <c r="D66" s="648"/>
      <c r="E66" s="648"/>
      <c r="F66" s="648"/>
      <c r="G66" s="648"/>
      <c r="H66" s="648"/>
      <c r="I66" s="648"/>
      <c r="J66" s="648"/>
      <c r="K66" s="648"/>
      <c r="L66" s="648"/>
      <c r="M66" s="648"/>
      <c r="N66" s="648"/>
      <c r="O66" s="648"/>
      <c r="P66" s="648"/>
      <c r="Q66" s="648"/>
      <c r="R66" s="648"/>
      <c r="S66" s="648"/>
      <c r="T66" s="648"/>
      <c r="U66" s="648"/>
      <c r="V66" s="648"/>
      <c r="W66" s="648"/>
      <c r="X66" s="648"/>
      <c r="Y66" s="648"/>
      <c r="Z66" s="648"/>
      <c r="AA66" s="648"/>
      <c r="AB66" s="648"/>
      <c r="AC66" s="648"/>
      <c r="AD66" s="648"/>
      <c r="AE66" s="648"/>
      <c r="AF66" s="648"/>
      <c r="AG66" s="648"/>
      <c r="AH66" s="648"/>
      <c r="AI66" s="648"/>
      <c r="AJ66" s="648"/>
      <c r="AK66" s="648"/>
      <c r="AL66" s="648"/>
      <c r="AM66" s="648"/>
      <c r="AN66" s="648"/>
      <c r="AO66" s="648"/>
      <c r="AP66" s="648"/>
      <c r="AQ66" s="648"/>
      <c r="AR66" s="648"/>
      <c r="AS66" s="648"/>
      <c r="AT66" s="648"/>
      <c r="AU66" s="648"/>
    </row>
    <row r="67" spans="1:47">
      <c r="A67" s="648"/>
      <c r="B67" s="648"/>
      <c r="C67" s="648"/>
      <c r="D67" s="648"/>
      <c r="E67" s="648"/>
      <c r="F67" s="648"/>
      <c r="G67" s="648"/>
      <c r="H67" s="648"/>
      <c r="I67" s="648"/>
      <c r="J67" s="648"/>
      <c r="K67" s="648"/>
      <c r="L67" s="648"/>
      <c r="M67" s="648"/>
      <c r="N67" s="648"/>
      <c r="O67" s="648"/>
      <c r="P67" s="648"/>
      <c r="Q67" s="648"/>
      <c r="R67" s="648"/>
      <c r="S67" s="648"/>
      <c r="T67" s="648"/>
      <c r="U67" s="648"/>
      <c r="V67" s="648"/>
      <c r="W67" s="648"/>
      <c r="X67" s="648"/>
      <c r="Y67" s="648"/>
      <c r="Z67" s="648"/>
      <c r="AA67" s="648"/>
      <c r="AB67" s="648"/>
      <c r="AC67" s="648"/>
      <c r="AD67" s="648"/>
      <c r="AE67" s="648"/>
      <c r="AF67" s="648"/>
      <c r="AG67" s="648"/>
      <c r="AH67" s="648"/>
      <c r="AI67" s="648"/>
      <c r="AJ67" s="648"/>
      <c r="AK67" s="648"/>
      <c r="AL67" s="648"/>
      <c r="AM67" s="648"/>
      <c r="AN67" s="648"/>
      <c r="AO67" s="648"/>
      <c r="AP67" s="648"/>
      <c r="AQ67" s="648"/>
      <c r="AR67" s="648"/>
      <c r="AS67" s="648"/>
      <c r="AT67" s="648"/>
      <c r="AU67" s="648"/>
    </row>
    <row r="68" spans="1:47">
      <c r="A68" s="648"/>
      <c r="B68" s="648"/>
      <c r="C68" s="648"/>
      <c r="D68" s="648"/>
      <c r="E68" s="648"/>
      <c r="F68" s="648"/>
      <c r="G68" s="648"/>
      <c r="H68" s="648"/>
      <c r="I68" s="648"/>
      <c r="J68" s="648"/>
      <c r="K68" s="648"/>
      <c r="L68" s="648"/>
      <c r="M68" s="648"/>
      <c r="N68" s="648"/>
      <c r="O68" s="648"/>
      <c r="P68" s="648"/>
      <c r="Q68" s="648"/>
      <c r="R68" s="648"/>
      <c r="S68" s="648"/>
      <c r="T68" s="648"/>
      <c r="U68" s="648"/>
      <c r="V68" s="648"/>
      <c r="W68" s="648"/>
      <c r="X68" s="648"/>
      <c r="Y68" s="648"/>
      <c r="Z68" s="648"/>
      <c r="AA68" s="648"/>
      <c r="AB68" s="648"/>
      <c r="AC68" s="648"/>
      <c r="AD68" s="648"/>
      <c r="AE68" s="648"/>
      <c r="AF68" s="648"/>
      <c r="AG68" s="648"/>
      <c r="AH68" s="648"/>
      <c r="AI68" s="648"/>
      <c r="AJ68" s="648"/>
      <c r="AK68" s="648"/>
      <c r="AL68" s="648"/>
      <c r="AM68" s="648"/>
      <c r="AN68" s="648"/>
      <c r="AO68" s="648"/>
      <c r="AP68" s="648"/>
      <c r="AQ68" s="648"/>
      <c r="AR68" s="648"/>
      <c r="AS68" s="648"/>
      <c r="AT68" s="648"/>
      <c r="AU68" s="648"/>
    </row>
    <row r="69" spans="1:47">
      <c r="A69" s="648"/>
      <c r="B69" s="648"/>
      <c r="C69" s="648"/>
      <c r="D69" s="648"/>
      <c r="E69" s="648"/>
      <c r="F69" s="648"/>
      <c r="G69" s="648"/>
      <c r="H69" s="648"/>
      <c r="I69" s="648"/>
      <c r="J69" s="648"/>
      <c r="K69" s="648"/>
      <c r="L69" s="648"/>
      <c r="M69" s="648"/>
      <c r="N69" s="648"/>
      <c r="O69" s="648"/>
      <c r="P69" s="648"/>
      <c r="Q69" s="648"/>
      <c r="R69" s="648"/>
      <c r="S69" s="648"/>
      <c r="T69" s="648"/>
      <c r="U69" s="648"/>
      <c r="V69" s="648"/>
      <c r="W69" s="648"/>
      <c r="X69" s="648"/>
      <c r="Y69" s="648"/>
      <c r="Z69" s="648"/>
      <c r="AA69" s="648"/>
      <c r="AB69" s="648"/>
      <c r="AC69" s="648"/>
      <c r="AD69" s="648"/>
      <c r="AE69" s="648"/>
      <c r="AF69" s="648"/>
      <c r="AG69" s="648"/>
      <c r="AH69" s="648"/>
      <c r="AI69" s="648"/>
      <c r="AJ69" s="648"/>
      <c r="AK69" s="648"/>
      <c r="AL69" s="648"/>
      <c r="AM69" s="648"/>
      <c r="AN69" s="648"/>
      <c r="AO69" s="648"/>
      <c r="AP69" s="648"/>
      <c r="AQ69" s="648"/>
      <c r="AR69" s="648"/>
      <c r="AS69" s="648"/>
      <c r="AT69" s="648"/>
      <c r="AU69" s="648"/>
    </row>
    <row r="70" spans="1:47">
      <c r="A70" s="648"/>
      <c r="B70" s="648"/>
      <c r="C70" s="648"/>
      <c r="D70" s="648"/>
      <c r="E70" s="648"/>
      <c r="F70" s="648"/>
      <c r="G70" s="648"/>
      <c r="H70" s="648"/>
      <c r="I70" s="648"/>
      <c r="J70" s="648"/>
      <c r="K70" s="648"/>
      <c r="L70" s="648"/>
      <c r="M70" s="648"/>
      <c r="N70" s="648"/>
      <c r="O70" s="648"/>
      <c r="P70" s="648"/>
      <c r="Q70" s="648"/>
      <c r="R70" s="648"/>
      <c r="S70" s="648"/>
      <c r="T70" s="648"/>
      <c r="U70" s="648"/>
      <c r="V70" s="648"/>
      <c r="W70" s="648"/>
      <c r="X70" s="648"/>
      <c r="Y70" s="648"/>
      <c r="Z70" s="648"/>
      <c r="AA70" s="648"/>
      <c r="AB70" s="648"/>
      <c r="AC70" s="648"/>
      <c r="AD70" s="648"/>
      <c r="AE70" s="648"/>
      <c r="AF70" s="648"/>
      <c r="AG70" s="648"/>
      <c r="AH70" s="648"/>
      <c r="AI70" s="648"/>
      <c r="AJ70" s="648"/>
      <c r="AK70" s="648"/>
      <c r="AL70" s="648"/>
      <c r="AM70" s="648"/>
      <c r="AN70" s="648"/>
      <c r="AO70" s="648"/>
      <c r="AP70" s="648"/>
      <c r="AQ70" s="648"/>
      <c r="AR70" s="648"/>
      <c r="AS70" s="648"/>
      <c r="AT70" s="648"/>
      <c r="AU70" s="648"/>
    </row>
    <row r="71" spans="1:47">
      <c r="A71" s="648"/>
      <c r="B71" s="648"/>
      <c r="C71" s="648"/>
      <c r="D71" s="648"/>
      <c r="E71" s="648"/>
      <c r="F71" s="648"/>
      <c r="G71" s="648"/>
      <c r="H71" s="648"/>
      <c r="I71" s="648"/>
      <c r="J71" s="648"/>
      <c r="K71" s="648"/>
      <c r="L71" s="648"/>
      <c r="M71" s="648"/>
      <c r="N71" s="648"/>
      <c r="O71" s="648"/>
      <c r="P71" s="648"/>
      <c r="Q71" s="648"/>
      <c r="R71" s="648"/>
      <c r="S71" s="648"/>
      <c r="T71" s="648"/>
      <c r="U71" s="648"/>
      <c r="V71" s="648"/>
      <c r="W71" s="648"/>
      <c r="X71" s="648"/>
      <c r="Y71" s="648"/>
      <c r="Z71" s="648"/>
      <c r="AA71" s="648"/>
      <c r="AB71" s="648"/>
      <c r="AC71" s="648"/>
      <c r="AD71" s="648"/>
      <c r="AE71" s="648"/>
      <c r="AF71" s="648"/>
      <c r="AG71" s="648"/>
      <c r="AH71" s="648"/>
      <c r="AI71" s="648"/>
      <c r="AJ71" s="648"/>
      <c r="AK71" s="648"/>
      <c r="AL71" s="648"/>
      <c r="AM71" s="648"/>
      <c r="AN71" s="648"/>
      <c r="AO71" s="648"/>
      <c r="AP71" s="648"/>
      <c r="AQ71" s="648"/>
      <c r="AR71" s="648"/>
      <c r="AS71" s="648"/>
      <c r="AT71" s="648"/>
      <c r="AU71" s="648"/>
    </row>
    <row r="72" spans="1:47">
      <c r="A72" s="648"/>
      <c r="B72" s="648"/>
      <c r="C72" s="648"/>
      <c r="D72" s="648"/>
      <c r="E72" s="648"/>
      <c r="F72" s="648"/>
      <c r="G72" s="648"/>
      <c r="H72" s="648"/>
      <c r="I72" s="648"/>
      <c r="J72" s="648"/>
      <c r="K72" s="648"/>
      <c r="L72" s="648"/>
      <c r="M72" s="648"/>
      <c r="N72" s="648"/>
      <c r="O72" s="648"/>
      <c r="P72" s="648"/>
      <c r="Q72" s="648"/>
      <c r="R72" s="648"/>
      <c r="S72" s="648"/>
      <c r="T72" s="648"/>
      <c r="U72" s="648"/>
      <c r="V72" s="648"/>
      <c r="W72" s="648"/>
      <c r="X72" s="648"/>
      <c r="Y72" s="648"/>
      <c r="Z72" s="648"/>
      <c r="AA72" s="648"/>
      <c r="AB72" s="648"/>
      <c r="AC72" s="648"/>
      <c r="AD72" s="648"/>
      <c r="AE72" s="648"/>
      <c r="AF72" s="648"/>
      <c r="AG72" s="648"/>
      <c r="AH72" s="648"/>
      <c r="AI72" s="648"/>
      <c r="AJ72" s="648"/>
      <c r="AK72" s="648"/>
      <c r="AL72" s="648"/>
      <c r="AM72" s="648"/>
      <c r="AN72" s="648"/>
      <c r="AO72" s="648"/>
      <c r="AP72" s="648"/>
      <c r="AQ72" s="648"/>
      <c r="AR72" s="648"/>
      <c r="AS72" s="648"/>
      <c r="AT72" s="648"/>
      <c r="AU72" s="648"/>
    </row>
    <row r="73" spans="1:47">
      <c r="A73" s="648"/>
      <c r="B73" s="648"/>
      <c r="C73" s="648"/>
      <c r="D73" s="648"/>
      <c r="E73" s="648"/>
      <c r="F73" s="648"/>
      <c r="G73" s="648"/>
      <c r="H73" s="648"/>
      <c r="I73" s="648"/>
      <c r="J73" s="648"/>
      <c r="K73" s="648"/>
      <c r="L73" s="648"/>
      <c r="M73" s="648"/>
      <c r="N73" s="648"/>
      <c r="O73" s="648"/>
      <c r="P73" s="648"/>
      <c r="Q73" s="648"/>
      <c r="R73" s="648"/>
      <c r="S73" s="648"/>
      <c r="T73" s="648"/>
      <c r="U73" s="648"/>
      <c r="V73" s="648"/>
      <c r="W73" s="648"/>
      <c r="X73" s="648"/>
      <c r="Y73" s="648"/>
      <c r="Z73" s="648"/>
      <c r="AA73" s="648"/>
      <c r="AB73" s="648"/>
      <c r="AC73" s="648"/>
      <c r="AD73" s="648"/>
      <c r="AE73" s="648"/>
      <c r="AF73" s="648"/>
      <c r="AG73" s="648"/>
      <c r="AH73" s="648"/>
      <c r="AI73" s="648"/>
      <c r="AJ73" s="648"/>
      <c r="AK73" s="648"/>
      <c r="AL73" s="648"/>
      <c r="AM73" s="648"/>
      <c r="AN73" s="648"/>
      <c r="AO73" s="648"/>
      <c r="AP73" s="648"/>
      <c r="AQ73" s="648"/>
      <c r="AR73" s="648"/>
      <c r="AS73" s="648"/>
      <c r="AT73" s="648"/>
      <c r="AU73" s="648"/>
    </row>
    <row r="74" spans="1:47">
      <c r="A74" s="648"/>
      <c r="B74" s="648"/>
      <c r="C74" s="648"/>
      <c r="D74" s="648"/>
      <c r="E74" s="648"/>
      <c r="F74" s="648"/>
      <c r="G74" s="648"/>
      <c r="H74" s="648"/>
      <c r="I74" s="648"/>
      <c r="J74" s="648"/>
      <c r="K74" s="648"/>
      <c r="L74" s="648"/>
      <c r="M74" s="648"/>
      <c r="N74" s="648"/>
      <c r="O74" s="648"/>
      <c r="P74" s="648"/>
      <c r="Q74" s="648"/>
      <c r="R74" s="648"/>
      <c r="S74" s="648"/>
      <c r="T74" s="648"/>
      <c r="U74" s="648"/>
      <c r="V74" s="648"/>
      <c r="W74" s="648"/>
      <c r="X74" s="648"/>
      <c r="Y74" s="648"/>
      <c r="Z74" s="648"/>
      <c r="AA74" s="648"/>
      <c r="AB74" s="648"/>
      <c r="AC74" s="648"/>
      <c r="AD74" s="648"/>
      <c r="AE74" s="648"/>
      <c r="AF74" s="648"/>
      <c r="AG74" s="648"/>
      <c r="AH74" s="648"/>
      <c r="AI74" s="648"/>
      <c r="AJ74" s="648"/>
      <c r="AK74" s="648"/>
      <c r="AL74" s="648"/>
      <c r="AM74" s="648"/>
      <c r="AN74" s="648"/>
      <c r="AO74" s="648"/>
      <c r="AP74" s="648"/>
      <c r="AQ74" s="648"/>
      <c r="AR74" s="648"/>
      <c r="AS74" s="648"/>
      <c r="AT74" s="648"/>
      <c r="AU74" s="648"/>
    </row>
    <row r="75" spans="1:47">
      <c r="A75" s="648"/>
      <c r="B75" s="648"/>
      <c r="C75" s="648"/>
      <c r="D75" s="648"/>
      <c r="E75" s="648"/>
      <c r="F75" s="648"/>
      <c r="G75" s="648"/>
      <c r="H75" s="648"/>
      <c r="I75" s="648"/>
      <c r="J75" s="648"/>
      <c r="K75" s="648"/>
      <c r="L75" s="648"/>
      <c r="M75" s="648"/>
      <c r="N75" s="648"/>
      <c r="O75" s="648"/>
      <c r="P75" s="648"/>
      <c r="Q75" s="648"/>
      <c r="R75" s="648"/>
      <c r="S75" s="648"/>
      <c r="T75" s="648"/>
      <c r="U75" s="648"/>
      <c r="V75" s="648"/>
      <c r="W75" s="648"/>
      <c r="X75" s="648"/>
      <c r="Y75" s="648"/>
      <c r="Z75" s="648"/>
      <c r="AA75" s="648"/>
      <c r="AB75" s="648"/>
      <c r="AC75" s="648"/>
      <c r="AD75" s="648"/>
      <c r="AE75" s="648"/>
      <c r="AF75" s="648"/>
      <c r="AG75" s="648"/>
      <c r="AH75" s="648"/>
      <c r="AI75" s="648"/>
      <c r="AJ75" s="648"/>
      <c r="AK75" s="648"/>
      <c r="AL75" s="648"/>
      <c r="AM75" s="648"/>
      <c r="AN75" s="648"/>
      <c r="AO75" s="648"/>
      <c r="AP75" s="648"/>
      <c r="AQ75" s="648"/>
      <c r="AR75" s="648"/>
      <c r="AS75" s="648"/>
      <c r="AT75" s="648"/>
      <c r="AU75" s="648"/>
    </row>
    <row r="76" spans="1:47">
      <c r="A76" s="648"/>
      <c r="B76" s="648"/>
      <c r="C76" s="648"/>
      <c r="D76" s="648"/>
      <c r="E76" s="648"/>
      <c r="F76" s="648"/>
      <c r="G76" s="648"/>
      <c r="H76" s="648"/>
      <c r="I76" s="648"/>
      <c r="J76" s="648"/>
      <c r="K76" s="648"/>
      <c r="L76" s="648"/>
      <c r="M76" s="648"/>
      <c r="N76" s="648"/>
      <c r="O76" s="648"/>
      <c r="P76" s="648"/>
      <c r="Q76" s="648"/>
      <c r="R76" s="648"/>
      <c r="S76" s="648"/>
      <c r="T76" s="648"/>
      <c r="U76" s="648"/>
      <c r="V76" s="648"/>
      <c r="W76" s="648"/>
      <c r="X76" s="648"/>
      <c r="Y76" s="648"/>
      <c r="Z76" s="648"/>
      <c r="AA76" s="648"/>
      <c r="AB76" s="648"/>
      <c r="AC76" s="648"/>
      <c r="AD76" s="648"/>
      <c r="AE76" s="648"/>
      <c r="AF76" s="648"/>
      <c r="AG76" s="648"/>
      <c r="AH76" s="648"/>
      <c r="AI76" s="648"/>
      <c r="AJ76" s="648"/>
      <c r="AK76" s="648"/>
      <c r="AL76" s="648"/>
      <c r="AM76" s="648"/>
      <c r="AN76" s="648"/>
      <c r="AO76" s="648"/>
      <c r="AP76" s="648"/>
      <c r="AQ76" s="648"/>
      <c r="AR76" s="648"/>
      <c r="AS76" s="648"/>
      <c r="AT76" s="648"/>
      <c r="AU76" s="648"/>
    </row>
    <row r="77" spans="1:47">
      <c r="A77" s="648"/>
      <c r="B77" s="648"/>
      <c r="C77" s="648"/>
      <c r="D77" s="648"/>
      <c r="E77" s="648"/>
      <c r="F77" s="648"/>
      <c r="G77" s="648"/>
      <c r="H77" s="648"/>
      <c r="I77" s="648"/>
      <c r="J77" s="648"/>
      <c r="K77" s="648"/>
      <c r="L77" s="648"/>
      <c r="M77" s="648"/>
      <c r="N77" s="648"/>
      <c r="O77" s="648"/>
      <c r="P77" s="648"/>
      <c r="Q77" s="648"/>
      <c r="R77" s="648"/>
      <c r="S77" s="648"/>
      <c r="T77" s="648"/>
      <c r="U77" s="648"/>
      <c r="V77" s="648"/>
      <c r="W77" s="648"/>
      <c r="X77" s="648"/>
      <c r="Y77" s="648"/>
      <c r="Z77" s="648"/>
      <c r="AA77" s="648"/>
      <c r="AB77" s="648"/>
      <c r="AC77" s="648"/>
      <c r="AD77" s="648"/>
      <c r="AE77" s="648"/>
      <c r="AF77" s="648"/>
      <c r="AG77" s="648"/>
      <c r="AH77" s="648"/>
      <c r="AI77" s="648"/>
      <c r="AJ77" s="648"/>
      <c r="AK77" s="648"/>
      <c r="AL77" s="648"/>
      <c r="AM77" s="648"/>
      <c r="AN77" s="648"/>
      <c r="AO77" s="648"/>
      <c r="AP77" s="648"/>
      <c r="AQ77" s="648"/>
      <c r="AR77" s="648"/>
      <c r="AS77" s="648"/>
      <c r="AT77" s="648"/>
      <c r="AU77" s="648"/>
    </row>
    <row r="78" spans="1:47">
      <c r="A78" s="648"/>
      <c r="B78" s="648"/>
      <c r="C78" s="648"/>
      <c r="D78" s="648"/>
      <c r="E78" s="648"/>
      <c r="F78" s="648"/>
      <c r="G78" s="648"/>
      <c r="H78" s="648"/>
      <c r="I78" s="648"/>
      <c r="J78" s="648"/>
      <c r="K78" s="648"/>
      <c r="L78" s="648"/>
      <c r="M78" s="648"/>
      <c r="N78" s="648"/>
      <c r="O78" s="648"/>
      <c r="P78" s="648"/>
      <c r="Q78" s="648"/>
      <c r="R78" s="648"/>
      <c r="S78" s="648"/>
      <c r="T78" s="648"/>
      <c r="U78" s="648"/>
      <c r="V78" s="648"/>
      <c r="W78" s="648"/>
      <c r="X78" s="648"/>
      <c r="Y78" s="648"/>
      <c r="Z78" s="648"/>
      <c r="AA78" s="648"/>
      <c r="AB78" s="648"/>
      <c r="AC78" s="648"/>
      <c r="AD78" s="648"/>
      <c r="AE78" s="648"/>
      <c r="AF78" s="648"/>
      <c r="AG78" s="648"/>
      <c r="AH78" s="648"/>
      <c r="AI78" s="648"/>
      <c r="AJ78" s="648"/>
      <c r="AK78" s="648"/>
      <c r="AL78" s="648"/>
      <c r="AM78" s="648"/>
      <c r="AN78" s="648"/>
      <c r="AO78" s="648"/>
      <c r="AP78" s="648"/>
      <c r="AQ78" s="648"/>
      <c r="AR78" s="648"/>
      <c r="AS78" s="648"/>
      <c r="AT78" s="648"/>
      <c r="AU78" s="648"/>
    </row>
    <row r="79" spans="1:47">
      <c r="A79" s="648"/>
      <c r="B79" s="648"/>
      <c r="C79" s="648"/>
      <c r="D79" s="648"/>
      <c r="E79" s="648"/>
      <c r="F79" s="648"/>
      <c r="G79" s="648"/>
      <c r="H79" s="648"/>
      <c r="I79" s="648"/>
      <c r="J79" s="648"/>
      <c r="K79" s="648"/>
      <c r="L79" s="648"/>
      <c r="M79" s="648"/>
      <c r="N79" s="648"/>
      <c r="O79" s="648"/>
      <c r="P79" s="648"/>
      <c r="Q79" s="648"/>
      <c r="R79" s="648"/>
      <c r="S79" s="648"/>
      <c r="T79" s="648"/>
      <c r="U79" s="648"/>
      <c r="V79" s="648"/>
      <c r="W79" s="648"/>
      <c r="X79" s="648"/>
      <c r="Y79" s="648"/>
      <c r="Z79" s="648"/>
      <c r="AA79" s="648"/>
      <c r="AB79" s="648"/>
      <c r="AC79" s="648"/>
      <c r="AD79" s="648"/>
      <c r="AE79" s="648"/>
      <c r="AF79" s="648"/>
      <c r="AG79" s="648"/>
      <c r="AH79" s="648"/>
      <c r="AI79" s="648"/>
      <c r="AJ79" s="648"/>
      <c r="AK79" s="648"/>
      <c r="AL79" s="648"/>
      <c r="AM79" s="648"/>
      <c r="AN79" s="648"/>
      <c r="AO79" s="648"/>
      <c r="AP79" s="648"/>
      <c r="AQ79" s="648"/>
      <c r="AR79" s="648"/>
      <c r="AS79" s="648"/>
      <c r="AT79" s="648"/>
      <c r="AU79" s="648"/>
    </row>
    <row r="80" spans="1:47">
      <c r="A80" s="648"/>
      <c r="B80" s="648"/>
      <c r="C80" s="648"/>
      <c r="D80" s="648"/>
      <c r="E80" s="648"/>
      <c r="F80" s="648"/>
      <c r="G80" s="648"/>
      <c r="H80" s="648"/>
      <c r="I80" s="648"/>
      <c r="J80" s="648"/>
      <c r="K80" s="648"/>
      <c r="L80" s="648"/>
      <c r="M80" s="648"/>
      <c r="N80" s="648"/>
      <c r="O80" s="648"/>
      <c r="P80" s="648"/>
      <c r="Q80" s="648"/>
      <c r="R80" s="648"/>
      <c r="S80" s="648"/>
      <c r="T80" s="648"/>
      <c r="U80" s="648"/>
      <c r="V80" s="648"/>
      <c r="W80" s="648"/>
      <c r="X80" s="648"/>
      <c r="Y80" s="648"/>
      <c r="Z80" s="648"/>
      <c r="AA80" s="648"/>
      <c r="AB80" s="648"/>
      <c r="AC80" s="648"/>
      <c r="AD80" s="648"/>
      <c r="AE80" s="648"/>
      <c r="AF80" s="648"/>
      <c r="AG80" s="648"/>
      <c r="AH80" s="648"/>
      <c r="AI80" s="648"/>
      <c r="AJ80" s="648"/>
      <c r="AK80" s="648"/>
      <c r="AL80" s="648"/>
      <c r="AM80" s="648"/>
      <c r="AN80" s="648"/>
      <c r="AO80" s="648"/>
      <c r="AP80" s="648"/>
      <c r="AQ80" s="648"/>
      <c r="AR80" s="648"/>
      <c r="AS80" s="648"/>
      <c r="AT80" s="648"/>
      <c r="AU80" s="648"/>
    </row>
    <row r="81" spans="1:47">
      <c r="A81" s="648"/>
      <c r="B81" s="648"/>
      <c r="C81" s="648"/>
      <c r="D81" s="648"/>
      <c r="E81" s="648"/>
      <c r="F81" s="648"/>
      <c r="G81" s="648"/>
      <c r="H81" s="648"/>
      <c r="I81" s="648"/>
      <c r="J81" s="648"/>
      <c r="K81" s="648"/>
      <c r="L81" s="648"/>
      <c r="M81" s="648"/>
      <c r="N81" s="648"/>
      <c r="O81" s="648"/>
      <c r="P81" s="648"/>
      <c r="Q81" s="648"/>
      <c r="R81" s="648"/>
      <c r="S81" s="648"/>
      <c r="T81" s="648"/>
      <c r="U81" s="648"/>
      <c r="V81" s="648"/>
      <c r="W81" s="648"/>
      <c r="X81" s="648"/>
      <c r="Y81" s="648"/>
      <c r="Z81" s="648"/>
      <c r="AA81" s="648"/>
      <c r="AB81" s="648"/>
      <c r="AC81" s="648"/>
      <c r="AD81" s="648"/>
      <c r="AE81" s="648"/>
      <c r="AF81" s="648"/>
      <c r="AG81" s="648"/>
      <c r="AH81" s="648"/>
      <c r="AI81" s="648"/>
      <c r="AJ81" s="648"/>
      <c r="AK81" s="648"/>
      <c r="AL81" s="648"/>
      <c r="AM81" s="648"/>
      <c r="AN81" s="648"/>
      <c r="AO81" s="648"/>
      <c r="AP81" s="648"/>
      <c r="AQ81" s="648"/>
      <c r="AR81" s="648"/>
      <c r="AS81" s="648"/>
      <c r="AT81" s="648"/>
      <c r="AU81" s="648"/>
    </row>
    <row r="82" spans="1:47">
      <c r="A82" s="648"/>
      <c r="B82" s="648"/>
      <c r="C82" s="648"/>
      <c r="D82" s="648"/>
      <c r="E82" s="648"/>
      <c r="F82" s="648"/>
      <c r="G82" s="648"/>
      <c r="H82" s="648"/>
      <c r="I82" s="648"/>
      <c r="J82" s="648"/>
      <c r="K82" s="648"/>
      <c r="L82" s="648"/>
      <c r="M82" s="648"/>
      <c r="N82" s="648"/>
      <c r="O82" s="648"/>
      <c r="P82" s="648"/>
      <c r="Q82" s="648"/>
      <c r="R82" s="648"/>
      <c r="S82" s="648"/>
      <c r="T82" s="648"/>
      <c r="U82" s="648"/>
      <c r="V82" s="648"/>
      <c r="W82" s="648"/>
      <c r="X82" s="648"/>
      <c r="Y82" s="648"/>
      <c r="Z82" s="648"/>
      <c r="AA82" s="648"/>
      <c r="AB82" s="648"/>
      <c r="AC82" s="648"/>
      <c r="AD82" s="648"/>
      <c r="AE82" s="648"/>
      <c r="AF82" s="648"/>
      <c r="AG82" s="648"/>
      <c r="AH82" s="648"/>
      <c r="AI82" s="648"/>
      <c r="AJ82" s="648"/>
      <c r="AK82" s="648"/>
      <c r="AL82" s="648"/>
      <c r="AM82" s="648"/>
      <c r="AN82" s="648"/>
      <c r="AO82" s="648"/>
      <c r="AP82" s="648"/>
      <c r="AQ82" s="648"/>
      <c r="AR82" s="648"/>
      <c r="AS82" s="648"/>
      <c r="AT82" s="648"/>
      <c r="AU82" s="648"/>
    </row>
    <row r="83" spans="1:47">
      <c r="A83" s="648"/>
      <c r="B83" s="648"/>
      <c r="C83" s="648"/>
      <c r="D83" s="648"/>
      <c r="E83" s="648"/>
      <c r="F83" s="648"/>
      <c r="G83" s="648"/>
      <c r="H83" s="648"/>
      <c r="I83" s="648"/>
      <c r="J83" s="648"/>
      <c r="K83" s="648"/>
      <c r="L83" s="648"/>
      <c r="M83" s="648"/>
      <c r="N83" s="648"/>
      <c r="O83" s="648"/>
      <c r="P83" s="648"/>
      <c r="Q83" s="648"/>
      <c r="R83" s="648"/>
      <c r="S83" s="648"/>
      <c r="T83" s="648"/>
      <c r="U83" s="648"/>
      <c r="V83" s="648"/>
      <c r="W83" s="648"/>
      <c r="X83" s="648"/>
      <c r="Y83" s="648"/>
      <c r="Z83" s="648"/>
      <c r="AA83" s="648"/>
      <c r="AB83" s="648"/>
      <c r="AC83" s="648"/>
      <c r="AD83" s="648"/>
      <c r="AE83" s="648"/>
      <c r="AF83" s="648"/>
      <c r="AG83" s="648"/>
      <c r="AH83" s="648"/>
      <c r="AI83" s="648"/>
      <c r="AJ83" s="648"/>
      <c r="AK83" s="648"/>
      <c r="AL83" s="648"/>
      <c r="AM83" s="648"/>
      <c r="AN83" s="648"/>
      <c r="AO83" s="648"/>
      <c r="AP83" s="648"/>
      <c r="AQ83" s="648"/>
      <c r="AR83" s="648"/>
      <c r="AS83" s="648"/>
      <c r="AT83" s="648"/>
      <c r="AU83" s="648"/>
    </row>
    <row r="84" spans="1:47">
      <c r="A84" s="648"/>
      <c r="B84" s="648"/>
      <c r="C84" s="648"/>
      <c r="D84" s="648"/>
      <c r="E84" s="648"/>
      <c r="F84" s="648"/>
      <c r="G84" s="648"/>
      <c r="H84" s="648"/>
      <c r="I84" s="648"/>
      <c r="J84" s="648"/>
      <c r="K84" s="648"/>
      <c r="L84" s="648"/>
      <c r="M84" s="648"/>
      <c r="N84" s="648"/>
      <c r="O84" s="648"/>
      <c r="P84" s="648"/>
      <c r="Q84" s="648"/>
      <c r="R84" s="648"/>
      <c r="S84" s="648"/>
      <c r="T84" s="648"/>
      <c r="U84" s="648"/>
      <c r="V84" s="648"/>
      <c r="W84" s="648"/>
      <c r="X84" s="648"/>
      <c r="Y84" s="648"/>
      <c r="Z84" s="648"/>
      <c r="AA84" s="648"/>
      <c r="AB84" s="648"/>
      <c r="AC84" s="648"/>
      <c r="AD84" s="648"/>
      <c r="AE84" s="648"/>
      <c r="AF84" s="648"/>
      <c r="AG84" s="648"/>
      <c r="AH84" s="648"/>
      <c r="AI84" s="648"/>
      <c r="AJ84" s="648"/>
      <c r="AK84" s="648"/>
      <c r="AL84" s="648"/>
      <c r="AM84" s="648"/>
      <c r="AN84" s="648"/>
      <c r="AO84" s="648"/>
      <c r="AP84" s="648"/>
      <c r="AQ84" s="648"/>
      <c r="AR84" s="648"/>
      <c r="AS84" s="648"/>
      <c r="AT84" s="648"/>
      <c r="AU84" s="648"/>
    </row>
    <row r="85" spans="1:47">
      <c r="A85" s="648"/>
      <c r="B85" s="648"/>
      <c r="C85" s="648"/>
      <c r="D85" s="648"/>
      <c r="E85" s="648"/>
      <c r="F85" s="648"/>
      <c r="G85" s="648"/>
      <c r="H85" s="648"/>
      <c r="I85" s="648"/>
      <c r="J85" s="648"/>
      <c r="K85" s="648"/>
      <c r="L85" s="648"/>
      <c r="M85" s="648"/>
      <c r="N85" s="648"/>
      <c r="O85" s="648"/>
      <c r="P85" s="648"/>
      <c r="Q85" s="648"/>
      <c r="R85" s="648"/>
      <c r="S85" s="648"/>
      <c r="T85" s="648"/>
      <c r="U85" s="648"/>
      <c r="V85" s="648"/>
      <c r="W85" s="648"/>
      <c r="X85" s="648"/>
      <c r="Y85" s="648"/>
      <c r="Z85" s="648"/>
      <c r="AA85" s="648"/>
      <c r="AB85" s="648"/>
      <c r="AC85" s="648"/>
      <c r="AD85" s="648"/>
      <c r="AE85" s="648"/>
      <c r="AF85" s="648"/>
      <c r="AG85" s="648"/>
      <c r="AH85" s="648"/>
      <c r="AI85" s="648"/>
      <c r="AJ85" s="648"/>
      <c r="AK85" s="648"/>
      <c r="AL85" s="648"/>
      <c r="AM85" s="648"/>
      <c r="AN85" s="648"/>
      <c r="AO85" s="648"/>
      <c r="AP85" s="648"/>
      <c r="AQ85" s="648"/>
      <c r="AR85" s="648"/>
      <c r="AS85" s="648"/>
      <c r="AT85" s="648"/>
      <c r="AU85" s="648"/>
    </row>
    <row r="86" spans="1:47">
      <c r="A86" s="648"/>
      <c r="B86" s="648"/>
      <c r="C86" s="648"/>
      <c r="D86" s="648"/>
      <c r="E86" s="648"/>
      <c r="F86" s="648"/>
      <c r="G86" s="648"/>
      <c r="H86" s="648"/>
      <c r="I86" s="648"/>
      <c r="J86" s="648"/>
      <c r="K86" s="648"/>
      <c r="L86" s="648"/>
      <c r="M86" s="648"/>
      <c r="N86" s="648"/>
      <c r="O86" s="648"/>
      <c r="P86" s="648"/>
      <c r="Q86" s="648"/>
      <c r="R86" s="648"/>
      <c r="S86" s="648"/>
      <c r="T86" s="648"/>
      <c r="U86" s="648"/>
      <c r="V86" s="648"/>
      <c r="W86" s="648"/>
      <c r="X86" s="648"/>
      <c r="Y86" s="648"/>
      <c r="Z86" s="648"/>
      <c r="AA86" s="648"/>
      <c r="AB86" s="648"/>
      <c r="AC86" s="648"/>
      <c r="AD86" s="648"/>
      <c r="AE86" s="648"/>
      <c r="AF86" s="648"/>
      <c r="AG86" s="648"/>
      <c r="AH86" s="648"/>
      <c r="AI86" s="648"/>
      <c r="AJ86" s="648"/>
      <c r="AK86" s="648"/>
      <c r="AL86" s="648"/>
      <c r="AM86" s="648"/>
      <c r="AN86" s="648"/>
      <c r="AO86" s="648"/>
      <c r="AP86" s="648"/>
      <c r="AQ86" s="648"/>
      <c r="AR86" s="648"/>
      <c r="AS86" s="648"/>
      <c r="AT86" s="648"/>
      <c r="AU86" s="648"/>
    </row>
    <row r="87" spans="1:47">
      <c r="A87" s="648"/>
      <c r="B87" s="648"/>
      <c r="C87" s="648"/>
      <c r="D87" s="648"/>
      <c r="E87" s="648"/>
      <c r="F87" s="648"/>
      <c r="G87" s="648"/>
      <c r="H87" s="648"/>
      <c r="I87" s="648"/>
      <c r="J87" s="648"/>
      <c r="K87" s="648"/>
      <c r="L87" s="648"/>
      <c r="M87" s="648"/>
      <c r="N87" s="648"/>
      <c r="O87" s="648"/>
      <c r="P87" s="648"/>
      <c r="Q87" s="648"/>
      <c r="R87" s="648"/>
      <c r="S87" s="648"/>
      <c r="T87" s="648"/>
      <c r="U87" s="648"/>
      <c r="V87" s="648"/>
      <c r="W87" s="648"/>
      <c r="X87" s="648"/>
      <c r="Y87" s="648"/>
      <c r="Z87" s="648"/>
      <c r="AA87" s="648"/>
      <c r="AB87" s="648"/>
      <c r="AC87" s="648"/>
      <c r="AD87" s="648"/>
      <c r="AE87" s="648"/>
      <c r="AF87" s="648"/>
      <c r="AG87" s="648"/>
      <c r="AH87" s="648"/>
      <c r="AI87" s="648"/>
      <c r="AJ87" s="648"/>
      <c r="AK87" s="648"/>
      <c r="AL87" s="648"/>
      <c r="AM87" s="648"/>
      <c r="AN87" s="648"/>
      <c r="AO87" s="648"/>
      <c r="AP87" s="648"/>
      <c r="AQ87" s="648"/>
      <c r="AR87" s="648"/>
      <c r="AS87" s="648"/>
      <c r="AT87" s="648"/>
      <c r="AU87" s="648"/>
    </row>
    <row r="88" spans="1:47">
      <c r="A88" s="648"/>
      <c r="B88" s="648"/>
      <c r="C88" s="648"/>
      <c r="D88" s="648"/>
      <c r="E88" s="648"/>
      <c r="F88" s="648"/>
      <c r="G88" s="648"/>
      <c r="H88" s="648"/>
      <c r="I88" s="648"/>
      <c r="J88" s="648"/>
      <c r="K88" s="648"/>
      <c r="L88" s="648"/>
      <c r="M88" s="648"/>
      <c r="N88" s="648"/>
      <c r="O88" s="648"/>
      <c r="P88" s="648"/>
      <c r="Q88" s="648"/>
      <c r="R88" s="648"/>
      <c r="S88" s="648"/>
      <c r="T88" s="648"/>
      <c r="U88" s="648"/>
      <c r="V88" s="648"/>
      <c r="W88" s="648"/>
      <c r="X88" s="648"/>
      <c r="Y88" s="648"/>
      <c r="Z88" s="648"/>
      <c r="AA88" s="648"/>
      <c r="AB88" s="648"/>
      <c r="AC88" s="648"/>
      <c r="AD88" s="648"/>
      <c r="AE88" s="648"/>
      <c r="AF88" s="648"/>
      <c r="AG88" s="648"/>
      <c r="AH88" s="648"/>
      <c r="AI88" s="648"/>
      <c r="AJ88" s="648"/>
      <c r="AK88" s="648"/>
      <c r="AL88" s="648"/>
      <c r="AM88" s="648"/>
      <c r="AN88" s="648"/>
      <c r="AO88" s="648"/>
      <c r="AP88" s="648"/>
      <c r="AQ88" s="648"/>
      <c r="AR88" s="648"/>
      <c r="AS88" s="648"/>
      <c r="AT88" s="648"/>
      <c r="AU88" s="648"/>
    </row>
    <row r="89" spans="1:47">
      <c r="A89" s="648"/>
      <c r="B89" s="648"/>
      <c r="C89" s="648"/>
      <c r="D89" s="648"/>
      <c r="E89" s="648"/>
      <c r="F89" s="648"/>
      <c r="G89" s="648"/>
      <c r="H89" s="648"/>
      <c r="I89" s="648"/>
      <c r="J89" s="648"/>
      <c r="K89" s="648"/>
      <c r="L89" s="648"/>
      <c r="M89" s="648"/>
      <c r="N89" s="648"/>
      <c r="O89" s="648"/>
      <c r="P89" s="648"/>
      <c r="Q89" s="648"/>
      <c r="R89" s="648"/>
      <c r="S89" s="648"/>
      <c r="T89" s="648"/>
      <c r="U89" s="648"/>
      <c r="V89" s="648"/>
      <c r="W89" s="648"/>
      <c r="X89" s="648"/>
      <c r="Y89" s="648"/>
      <c r="Z89" s="648"/>
      <c r="AA89" s="648"/>
      <c r="AB89" s="648"/>
      <c r="AC89" s="648"/>
      <c r="AD89" s="648"/>
      <c r="AE89" s="648"/>
      <c r="AF89" s="648"/>
      <c r="AG89" s="648"/>
      <c r="AH89" s="648"/>
      <c r="AI89" s="648"/>
      <c r="AJ89" s="648"/>
      <c r="AK89" s="648"/>
      <c r="AL89" s="648"/>
      <c r="AM89" s="648"/>
      <c r="AN89" s="648"/>
      <c r="AO89" s="648"/>
      <c r="AP89" s="648"/>
      <c r="AQ89" s="648"/>
      <c r="AR89" s="648"/>
      <c r="AS89" s="648"/>
      <c r="AT89" s="648"/>
      <c r="AU89" s="648"/>
    </row>
    <row r="90" spans="1:47">
      <c r="A90" s="648"/>
      <c r="B90" s="648"/>
      <c r="C90" s="648"/>
      <c r="D90" s="648"/>
      <c r="E90" s="648"/>
      <c r="F90" s="648"/>
      <c r="G90" s="648"/>
      <c r="H90" s="648"/>
      <c r="I90" s="648"/>
      <c r="J90" s="648"/>
      <c r="K90" s="648"/>
      <c r="L90" s="648"/>
      <c r="M90" s="648"/>
      <c r="N90" s="648"/>
      <c r="O90" s="648"/>
      <c r="P90" s="648"/>
      <c r="Q90" s="648"/>
      <c r="R90" s="648"/>
      <c r="S90" s="648"/>
      <c r="T90" s="648"/>
      <c r="U90" s="648"/>
      <c r="V90" s="648"/>
      <c r="W90" s="648"/>
      <c r="X90" s="648"/>
      <c r="Y90" s="648"/>
      <c r="Z90" s="648"/>
      <c r="AA90" s="648"/>
      <c r="AB90" s="648"/>
      <c r="AC90" s="648"/>
      <c r="AD90" s="648"/>
      <c r="AE90" s="648"/>
      <c r="AF90" s="648"/>
      <c r="AG90" s="648"/>
      <c r="AH90" s="648"/>
      <c r="AI90" s="648"/>
      <c r="AJ90" s="648"/>
      <c r="AK90" s="648"/>
      <c r="AL90" s="648"/>
      <c r="AM90" s="648"/>
      <c r="AN90" s="648"/>
      <c r="AO90" s="648"/>
      <c r="AP90" s="648"/>
      <c r="AQ90" s="648"/>
      <c r="AR90" s="648"/>
      <c r="AS90" s="648"/>
      <c r="AT90" s="648"/>
      <c r="AU90" s="648"/>
    </row>
    <row r="91" spans="1:47">
      <c r="A91" s="648"/>
      <c r="B91" s="648"/>
      <c r="C91" s="648"/>
      <c r="D91" s="648"/>
      <c r="E91" s="648"/>
      <c r="F91" s="648"/>
      <c r="G91" s="648"/>
      <c r="H91" s="648"/>
      <c r="I91" s="648"/>
      <c r="J91" s="648"/>
      <c r="K91" s="648"/>
      <c r="L91" s="648"/>
      <c r="M91" s="648"/>
      <c r="N91" s="648"/>
      <c r="O91" s="648"/>
      <c r="P91" s="648"/>
      <c r="Q91" s="648"/>
      <c r="R91" s="648"/>
      <c r="S91" s="648"/>
      <c r="T91" s="648"/>
      <c r="U91" s="648"/>
      <c r="V91" s="648"/>
      <c r="W91" s="648"/>
      <c r="X91" s="648"/>
      <c r="Y91" s="648"/>
      <c r="Z91" s="648"/>
      <c r="AA91" s="648"/>
      <c r="AB91" s="648"/>
      <c r="AC91" s="648"/>
      <c r="AD91" s="648"/>
      <c r="AE91" s="648"/>
      <c r="AF91" s="648"/>
      <c r="AG91" s="648"/>
      <c r="AH91" s="648"/>
      <c r="AI91" s="648"/>
      <c r="AJ91" s="648"/>
      <c r="AK91" s="648"/>
      <c r="AL91" s="648"/>
      <c r="AM91" s="648"/>
      <c r="AN91" s="648"/>
      <c r="AO91" s="648"/>
      <c r="AP91" s="648"/>
      <c r="AQ91" s="648"/>
      <c r="AR91" s="648"/>
      <c r="AS91" s="648"/>
      <c r="AT91" s="648"/>
      <c r="AU91" s="648"/>
    </row>
    <row r="92" spans="1:47">
      <c r="A92" s="648"/>
      <c r="B92" s="648"/>
      <c r="C92" s="648"/>
      <c r="D92" s="648"/>
      <c r="E92" s="648"/>
      <c r="F92" s="648"/>
      <c r="G92" s="648"/>
      <c r="H92" s="648"/>
      <c r="I92" s="648"/>
      <c r="J92" s="648"/>
      <c r="K92" s="648"/>
      <c r="L92" s="648"/>
      <c r="M92" s="648"/>
      <c r="N92" s="648"/>
      <c r="O92" s="648"/>
      <c r="P92" s="648"/>
      <c r="Q92" s="648"/>
      <c r="R92" s="648"/>
      <c r="S92" s="648"/>
      <c r="T92" s="648"/>
      <c r="U92" s="648"/>
      <c r="V92" s="648"/>
      <c r="W92" s="648"/>
      <c r="X92" s="648"/>
      <c r="Y92" s="648"/>
      <c r="Z92" s="648"/>
      <c r="AA92" s="648"/>
      <c r="AB92" s="648"/>
      <c r="AC92" s="648"/>
      <c r="AD92" s="648"/>
      <c r="AE92" s="648"/>
      <c r="AF92" s="648"/>
      <c r="AG92" s="648"/>
      <c r="AH92" s="648"/>
      <c r="AI92" s="648"/>
      <c r="AJ92" s="648"/>
      <c r="AK92" s="648"/>
      <c r="AL92" s="648"/>
      <c r="AM92" s="648"/>
      <c r="AN92" s="648"/>
      <c r="AO92" s="648"/>
      <c r="AP92" s="648"/>
      <c r="AQ92" s="648"/>
      <c r="AR92" s="648"/>
      <c r="AS92" s="648"/>
      <c r="AT92" s="648"/>
      <c r="AU92" s="648"/>
    </row>
    <row r="93" spans="1:47">
      <c r="A93" s="648"/>
      <c r="B93" s="648"/>
      <c r="C93" s="648"/>
      <c r="D93" s="648"/>
      <c r="E93" s="648"/>
      <c r="F93" s="648"/>
      <c r="G93" s="648"/>
      <c r="H93" s="648"/>
      <c r="I93" s="648"/>
      <c r="J93" s="648"/>
      <c r="K93" s="648"/>
      <c r="L93" s="648"/>
      <c r="M93" s="648"/>
      <c r="N93" s="648"/>
      <c r="O93" s="648"/>
      <c r="P93" s="648"/>
      <c r="Q93" s="648"/>
      <c r="R93" s="648"/>
      <c r="S93" s="648"/>
      <c r="T93" s="648"/>
      <c r="U93" s="648"/>
      <c r="V93" s="648"/>
      <c r="W93" s="648"/>
      <c r="X93" s="648"/>
      <c r="Y93" s="648"/>
      <c r="Z93" s="648"/>
      <c r="AA93" s="648"/>
      <c r="AB93" s="648"/>
      <c r="AC93" s="648"/>
      <c r="AD93" s="648"/>
      <c r="AE93" s="648"/>
      <c r="AF93" s="648"/>
      <c r="AG93" s="648"/>
      <c r="AH93" s="648"/>
      <c r="AI93" s="648"/>
      <c r="AJ93" s="648"/>
      <c r="AK93" s="648"/>
      <c r="AL93" s="648"/>
      <c r="AM93" s="648"/>
      <c r="AN93" s="648"/>
      <c r="AO93" s="648"/>
      <c r="AP93" s="648"/>
      <c r="AQ93" s="648"/>
      <c r="AR93" s="648"/>
      <c r="AS93" s="648"/>
      <c r="AT93" s="648"/>
      <c r="AU93" s="648"/>
    </row>
    <row r="94" spans="1:47">
      <c r="A94" s="648"/>
      <c r="B94" s="648"/>
      <c r="C94" s="648"/>
      <c r="D94" s="648"/>
      <c r="E94" s="648"/>
      <c r="F94" s="648"/>
      <c r="G94" s="648"/>
      <c r="H94" s="648"/>
      <c r="I94" s="648"/>
      <c r="J94" s="648"/>
      <c r="K94" s="648"/>
      <c r="L94" s="648"/>
      <c r="M94" s="648"/>
      <c r="N94" s="648"/>
      <c r="O94" s="648"/>
      <c r="P94" s="648"/>
      <c r="Q94" s="648"/>
      <c r="R94" s="648"/>
      <c r="S94" s="648"/>
      <c r="T94" s="648"/>
      <c r="U94" s="648"/>
      <c r="V94" s="648"/>
      <c r="W94" s="648"/>
      <c r="X94" s="648"/>
      <c r="Y94" s="648"/>
      <c r="Z94" s="648"/>
      <c r="AA94" s="648"/>
      <c r="AB94" s="648"/>
      <c r="AC94" s="648"/>
      <c r="AD94" s="648"/>
      <c r="AE94" s="648"/>
      <c r="AF94" s="648"/>
      <c r="AG94" s="648"/>
      <c r="AH94" s="648"/>
      <c r="AI94" s="648"/>
      <c r="AJ94" s="648"/>
      <c r="AK94" s="648"/>
      <c r="AL94" s="648"/>
      <c r="AM94" s="648"/>
      <c r="AN94" s="648"/>
      <c r="AO94" s="648"/>
      <c r="AP94" s="648"/>
      <c r="AQ94" s="648"/>
      <c r="AR94" s="648"/>
      <c r="AS94" s="648"/>
      <c r="AT94" s="648"/>
      <c r="AU94" s="648"/>
    </row>
    <row r="95" spans="1:47">
      <c r="A95" s="648"/>
      <c r="B95" s="648"/>
      <c r="C95" s="648"/>
      <c r="D95" s="648"/>
      <c r="E95" s="648"/>
      <c r="F95" s="648"/>
      <c r="G95" s="648"/>
      <c r="H95" s="648"/>
      <c r="I95" s="648"/>
      <c r="J95" s="648"/>
      <c r="K95" s="648"/>
      <c r="L95" s="648"/>
      <c r="M95" s="648"/>
      <c r="N95" s="648"/>
      <c r="O95" s="648"/>
      <c r="P95" s="648"/>
      <c r="Q95" s="648"/>
      <c r="R95" s="648"/>
      <c r="S95" s="648"/>
      <c r="T95" s="648"/>
      <c r="U95" s="648"/>
      <c r="V95" s="648"/>
      <c r="W95" s="648"/>
      <c r="X95" s="648"/>
      <c r="Y95" s="648"/>
      <c r="Z95" s="648"/>
      <c r="AA95" s="648"/>
      <c r="AB95" s="648"/>
      <c r="AC95" s="648"/>
      <c r="AD95" s="648"/>
      <c r="AE95" s="648"/>
      <c r="AF95" s="648"/>
      <c r="AG95" s="648"/>
      <c r="AH95" s="648"/>
      <c r="AI95" s="648"/>
      <c r="AJ95" s="648"/>
      <c r="AK95" s="648"/>
      <c r="AL95" s="648"/>
      <c r="AM95" s="648"/>
      <c r="AN95" s="648"/>
      <c r="AO95" s="648"/>
      <c r="AP95" s="648"/>
      <c r="AQ95" s="648"/>
      <c r="AR95" s="648"/>
      <c r="AS95" s="648"/>
      <c r="AT95" s="648"/>
      <c r="AU95" s="648"/>
    </row>
    <row r="96" spans="1:47">
      <c r="A96" s="648"/>
      <c r="B96" s="648"/>
      <c r="C96" s="648"/>
      <c r="D96" s="648"/>
      <c r="E96" s="648"/>
      <c r="F96" s="648"/>
      <c r="G96" s="648"/>
      <c r="H96" s="648"/>
      <c r="I96" s="648"/>
      <c r="J96" s="648"/>
      <c r="K96" s="648"/>
      <c r="L96" s="648"/>
      <c r="M96" s="648"/>
      <c r="N96" s="648"/>
      <c r="O96" s="648"/>
      <c r="P96" s="648"/>
      <c r="Q96" s="648"/>
      <c r="R96" s="648"/>
      <c r="S96" s="648"/>
      <c r="T96" s="648"/>
      <c r="U96" s="648"/>
      <c r="V96" s="648"/>
      <c r="W96" s="648"/>
      <c r="X96" s="648"/>
      <c r="Y96" s="648"/>
      <c r="Z96" s="648"/>
      <c r="AA96" s="648"/>
      <c r="AB96" s="648"/>
      <c r="AC96" s="648"/>
      <c r="AD96" s="648"/>
      <c r="AE96" s="648"/>
      <c r="AF96" s="648"/>
      <c r="AG96" s="648"/>
      <c r="AH96" s="648"/>
      <c r="AI96" s="648"/>
      <c r="AJ96" s="648"/>
      <c r="AK96" s="648"/>
      <c r="AL96" s="648"/>
      <c r="AM96" s="648"/>
      <c r="AN96" s="648"/>
      <c r="AO96" s="648"/>
      <c r="AP96" s="648"/>
      <c r="AQ96" s="648"/>
      <c r="AR96" s="648"/>
      <c r="AS96" s="648"/>
      <c r="AT96" s="648"/>
      <c r="AU96" s="648"/>
    </row>
    <row r="97" spans="1:47">
      <c r="A97" s="648"/>
      <c r="B97" s="648"/>
      <c r="C97" s="648"/>
      <c r="D97" s="648"/>
      <c r="E97" s="648"/>
      <c r="F97" s="648"/>
      <c r="G97" s="648"/>
      <c r="H97" s="648"/>
      <c r="I97" s="648"/>
      <c r="J97" s="648"/>
      <c r="K97" s="648"/>
      <c r="L97" s="648"/>
      <c r="M97" s="648"/>
      <c r="N97" s="648"/>
      <c r="O97" s="648"/>
      <c r="P97" s="648"/>
      <c r="Q97" s="648"/>
      <c r="R97" s="648"/>
      <c r="S97" s="648"/>
      <c r="T97" s="648"/>
      <c r="U97" s="648"/>
      <c r="V97" s="648"/>
      <c r="W97" s="648"/>
      <c r="X97" s="648"/>
      <c r="Y97" s="648"/>
      <c r="Z97" s="648"/>
      <c r="AA97" s="648"/>
      <c r="AB97" s="648"/>
      <c r="AC97" s="648"/>
      <c r="AD97" s="648"/>
      <c r="AE97" s="648"/>
      <c r="AF97" s="648"/>
      <c r="AG97" s="648"/>
      <c r="AH97" s="648"/>
      <c r="AI97" s="648"/>
      <c r="AJ97" s="648"/>
      <c r="AK97" s="648"/>
      <c r="AL97" s="648"/>
      <c r="AM97" s="648"/>
      <c r="AN97" s="648"/>
      <c r="AO97" s="648"/>
      <c r="AP97" s="648"/>
      <c r="AQ97" s="648"/>
      <c r="AR97" s="648"/>
      <c r="AS97" s="648"/>
      <c r="AT97" s="648"/>
      <c r="AU97" s="648"/>
    </row>
    <row r="98" spans="1:47">
      <c r="A98" s="648"/>
      <c r="B98" s="648"/>
      <c r="C98" s="648"/>
      <c r="D98" s="648"/>
      <c r="E98" s="648"/>
      <c r="F98" s="648"/>
      <c r="G98" s="648"/>
      <c r="H98" s="648"/>
      <c r="I98" s="648"/>
      <c r="J98" s="648"/>
      <c r="K98" s="648"/>
      <c r="L98" s="648"/>
      <c r="M98" s="648"/>
      <c r="N98" s="648"/>
      <c r="O98" s="648"/>
      <c r="P98" s="648"/>
      <c r="Q98" s="648"/>
      <c r="R98" s="648"/>
      <c r="S98" s="648"/>
      <c r="T98" s="648"/>
      <c r="U98" s="648"/>
      <c r="V98" s="648"/>
      <c r="W98" s="648"/>
      <c r="X98" s="648"/>
      <c r="Y98" s="648"/>
      <c r="Z98" s="648"/>
      <c r="AA98" s="648"/>
      <c r="AB98" s="648"/>
      <c r="AC98" s="648"/>
      <c r="AD98" s="648"/>
      <c r="AE98" s="648"/>
      <c r="AF98" s="648"/>
      <c r="AG98" s="648"/>
      <c r="AH98" s="648"/>
      <c r="AI98" s="648"/>
      <c r="AJ98" s="648"/>
      <c r="AK98" s="648"/>
      <c r="AL98" s="648"/>
      <c r="AM98" s="648"/>
      <c r="AN98" s="648"/>
      <c r="AO98" s="648"/>
      <c r="AP98" s="648"/>
      <c r="AQ98" s="648"/>
      <c r="AR98" s="648"/>
      <c r="AS98" s="648"/>
      <c r="AT98" s="648"/>
      <c r="AU98" s="648"/>
    </row>
    <row r="99" spans="1:47">
      <c r="A99" s="648"/>
      <c r="B99" s="648"/>
      <c r="C99" s="648"/>
      <c r="D99" s="648"/>
      <c r="E99" s="648"/>
      <c r="F99" s="648"/>
      <c r="G99" s="648"/>
      <c r="H99" s="648"/>
      <c r="I99" s="648"/>
      <c r="J99" s="648"/>
      <c r="K99" s="648"/>
      <c r="L99" s="648"/>
      <c r="M99" s="648"/>
      <c r="N99" s="648"/>
      <c r="O99" s="648"/>
      <c r="P99" s="648"/>
      <c r="Q99" s="648"/>
      <c r="R99" s="648"/>
      <c r="S99" s="648"/>
      <c r="T99" s="648"/>
      <c r="U99" s="648"/>
      <c r="V99" s="648"/>
      <c r="W99" s="648"/>
      <c r="X99" s="648"/>
      <c r="Y99" s="648"/>
      <c r="Z99" s="648"/>
      <c r="AA99" s="648"/>
      <c r="AB99" s="648"/>
      <c r="AC99" s="648"/>
      <c r="AD99" s="648"/>
      <c r="AE99" s="648"/>
      <c r="AF99" s="648"/>
      <c r="AG99" s="648"/>
      <c r="AH99" s="648"/>
      <c r="AI99" s="648"/>
      <c r="AJ99" s="648"/>
      <c r="AK99" s="648"/>
      <c r="AL99" s="648"/>
      <c r="AM99" s="648"/>
      <c r="AN99" s="648"/>
      <c r="AO99" s="648"/>
      <c r="AP99" s="648"/>
      <c r="AQ99" s="648"/>
      <c r="AR99" s="648"/>
      <c r="AS99" s="648"/>
      <c r="AT99" s="648"/>
      <c r="AU99" s="648"/>
    </row>
    <row r="100" spans="1:47">
      <c r="A100" s="648"/>
      <c r="B100" s="648"/>
      <c r="C100" s="648"/>
      <c r="D100" s="648"/>
      <c r="E100" s="648"/>
      <c r="F100" s="648"/>
      <c r="G100" s="648"/>
      <c r="H100" s="648"/>
      <c r="I100" s="648"/>
      <c r="J100" s="648"/>
      <c r="K100" s="648"/>
      <c r="L100" s="648"/>
      <c r="M100" s="648"/>
      <c r="N100" s="648"/>
      <c r="O100" s="648"/>
      <c r="P100" s="648"/>
      <c r="Q100" s="648"/>
      <c r="R100" s="648"/>
      <c r="S100" s="648"/>
      <c r="T100" s="648"/>
      <c r="U100" s="648"/>
      <c r="V100" s="648"/>
      <c r="W100" s="648"/>
      <c r="X100" s="648"/>
      <c r="Y100" s="648"/>
      <c r="Z100" s="648"/>
      <c r="AA100" s="648"/>
      <c r="AB100" s="648"/>
      <c r="AC100" s="648"/>
      <c r="AD100" s="648"/>
      <c r="AE100" s="648"/>
      <c r="AF100" s="648"/>
      <c r="AG100" s="648"/>
      <c r="AH100" s="648"/>
      <c r="AI100" s="648"/>
      <c r="AJ100" s="648"/>
      <c r="AK100" s="648"/>
      <c r="AL100" s="648"/>
      <c r="AM100" s="648"/>
      <c r="AN100" s="648"/>
      <c r="AO100" s="648"/>
      <c r="AP100" s="648"/>
      <c r="AQ100" s="648"/>
      <c r="AR100" s="648"/>
      <c r="AS100" s="648"/>
      <c r="AT100" s="648"/>
      <c r="AU100" s="648"/>
    </row>
    <row r="101" spans="1:47">
      <c r="A101" s="648"/>
      <c r="B101" s="648"/>
      <c r="C101" s="648"/>
      <c r="D101" s="648"/>
      <c r="E101" s="648"/>
      <c r="F101" s="648"/>
      <c r="G101" s="648"/>
      <c r="H101" s="648"/>
      <c r="I101" s="648"/>
      <c r="J101" s="648"/>
      <c r="K101" s="648"/>
      <c r="L101" s="648"/>
      <c r="M101" s="648"/>
      <c r="N101" s="648"/>
      <c r="O101" s="648"/>
      <c r="P101" s="648"/>
      <c r="Q101" s="648"/>
      <c r="R101" s="648"/>
      <c r="S101" s="648"/>
      <c r="T101" s="648"/>
      <c r="U101" s="648"/>
      <c r="V101" s="648"/>
      <c r="W101" s="648"/>
      <c r="X101" s="648"/>
      <c r="Y101" s="648"/>
      <c r="Z101" s="648"/>
      <c r="AA101" s="648"/>
      <c r="AB101" s="648"/>
      <c r="AC101" s="648"/>
      <c r="AD101" s="648"/>
      <c r="AE101" s="648"/>
      <c r="AF101" s="648"/>
      <c r="AG101" s="648"/>
      <c r="AH101" s="648"/>
      <c r="AI101" s="648"/>
      <c r="AJ101" s="648"/>
      <c r="AK101" s="648"/>
      <c r="AL101" s="648"/>
      <c r="AM101" s="648"/>
      <c r="AN101" s="648"/>
      <c r="AO101" s="648"/>
      <c r="AP101" s="648"/>
      <c r="AQ101" s="648"/>
      <c r="AR101" s="648"/>
      <c r="AS101" s="648"/>
      <c r="AT101" s="648"/>
      <c r="AU101" s="648"/>
    </row>
    <row r="102" spans="1:47">
      <c r="A102" s="648"/>
      <c r="B102" s="648"/>
      <c r="C102" s="648"/>
      <c r="D102" s="648"/>
      <c r="E102" s="648"/>
      <c r="F102" s="648"/>
      <c r="G102" s="648"/>
      <c r="H102" s="648"/>
      <c r="I102" s="648"/>
      <c r="J102" s="648"/>
      <c r="K102" s="648"/>
      <c r="L102" s="648"/>
      <c r="M102" s="648"/>
      <c r="N102" s="648"/>
      <c r="O102" s="648"/>
      <c r="P102" s="648"/>
      <c r="Q102" s="648"/>
      <c r="R102" s="648"/>
      <c r="S102" s="648"/>
      <c r="T102" s="648"/>
      <c r="U102" s="648"/>
      <c r="V102" s="648"/>
      <c r="W102" s="648"/>
      <c r="X102" s="648"/>
      <c r="Y102" s="648"/>
      <c r="Z102" s="648"/>
      <c r="AA102" s="648"/>
      <c r="AB102" s="648"/>
      <c r="AC102" s="648"/>
      <c r="AD102" s="648"/>
      <c r="AE102" s="648"/>
      <c r="AF102" s="648"/>
      <c r="AG102" s="648"/>
      <c r="AH102" s="648"/>
      <c r="AI102" s="648"/>
      <c r="AJ102" s="648"/>
      <c r="AK102" s="648"/>
      <c r="AL102" s="648"/>
      <c r="AM102" s="648"/>
      <c r="AN102" s="648"/>
      <c r="AO102" s="648"/>
      <c r="AP102" s="648"/>
      <c r="AQ102" s="648"/>
      <c r="AR102" s="648"/>
      <c r="AS102" s="648"/>
      <c r="AT102" s="648"/>
      <c r="AU102" s="648"/>
    </row>
    <row r="103" spans="1:47">
      <c r="A103" s="648"/>
      <c r="B103" s="648"/>
      <c r="C103" s="648"/>
      <c r="D103" s="648"/>
      <c r="E103" s="648"/>
      <c r="F103" s="648"/>
      <c r="G103" s="648"/>
      <c r="H103" s="648"/>
      <c r="I103" s="648"/>
      <c r="J103" s="648"/>
      <c r="K103" s="648"/>
      <c r="L103" s="648"/>
      <c r="M103" s="648"/>
      <c r="N103" s="648"/>
      <c r="O103" s="648"/>
      <c r="P103" s="648"/>
      <c r="Q103" s="648"/>
      <c r="R103" s="648"/>
      <c r="S103" s="648"/>
      <c r="T103" s="648"/>
      <c r="U103" s="648"/>
      <c r="V103" s="648"/>
      <c r="W103" s="648"/>
      <c r="X103" s="648"/>
      <c r="Y103" s="648"/>
      <c r="Z103" s="648"/>
      <c r="AA103" s="648"/>
      <c r="AB103" s="648"/>
      <c r="AC103" s="648"/>
      <c r="AD103" s="648"/>
      <c r="AE103" s="648"/>
      <c r="AF103" s="648"/>
      <c r="AG103" s="648"/>
      <c r="AH103" s="648"/>
      <c r="AI103" s="648"/>
      <c r="AJ103" s="648"/>
      <c r="AK103" s="648"/>
      <c r="AL103" s="648"/>
      <c r="AM103" s="648"/>
      <c r="AN103" s="648"/>
      <c r="AO103" s="648"/>
      <c r="AP103" s="648"/>
      <c r="AQ103" s="648"/>
      <c r="AR103" s="648"/>
      <c r="AS103" s="648"/>
      <c r="AT103" s="648"/>
      <c r="AU103" s="648"/>
    </row>
    <row r="104" spans="1:47">
      <c r="A104" s="648"/>
      <c r="B104" s="648"/>
      <c r="C104" s="648"/>
      <c r="D104" s="648"/>
      <c r="E104" s="648"/>
      <c r="F104" s="648"/>
      <c r="G104" s="648"/>
      <c r="H104" s="648"/>
      <c r="I104" s="648"/>
      <c r="J104" s="648"/>
      <c r="K104" s="648"/>
      <c r="L104" s="648"/>
      <c r="M104" s="648"/>
      <c r="N104" s="648"/>
      <c r="O104" s="648"/>
      <c r="P104" s="648"/>
      <c r="Q104" s="648"/>
      <c r="R104" s="648"/>
      <c r="S104" s="648"/>
      <c r="T104" s="648"/>
      <c r="U104" s="648"/>
      <c r="V104" s="648"/>
      <c r="W104" s="648"/>
      <c r="X104" s="648"/>
      <c r="Y104" s="648"/>
      <c r="Z104" s="648"/>
      <c r="AA104" s="648"/>
      <c r="AB104" s="648"/>
      <c r="AC104" s="648"/>
      <c r="AD104" s="648"/>
      <c r="AE104" s="648"/>
      <c r="AF104" s="648"/>
      <c r="AG104" s="648"/>
      <c r="AH104" s="648"/>
      <c r="AI104" s="648"/>
      <c r="AJ104" s="648"/>
      <c r="AK104" s="648"/>
      <c r="AL104" s="648"/>
      <c r="AM104" s="648"/>
      <c r="AN104" s="648"/>
      <c r="AO104" s="648"/>
      <c r="AP104" s="648"/>
      <c r="AQ104" s="648"/>
      <c r="AR104" s="648"/>
      <c r="AS104" s="648"/>
      <c r="AT104" s="648"/>
      <c r="AU104" s="648"/>
    </row>
    <row r="105" spans="1:47">
      <c r="A105" s="648"/>
      <c r="B105" s="648"/>
      <c r="C105" s="648"/>
      <c r="D105" s="648"/>
      <c r="E105" s="648"/>
      <c r="F105" s="648"/>
      <c r="G105" s="648"/>
      <c r="H105" s="648"/>
      <c r="I105" s="648"/>
      <c r="J105" s="648"/>
      <c r="K105" s="648"/>
      <c r="L105" s="648"/>
      <c r="M105" s="648"/>
      <c r="N105" s="648"/>
      <c r="O105" s="648"/>
      <c r="P105" s="648"/>
      <c r="Q105" s="648"/>
      <c r="R105" s="648"/>
      <c r="S105" s="648"/>
      <c r="T105" s="648"/>
      <c r="U105" s="648"/>
      <c r="V105" s="648"/>
      <c r="W105" s="648"/>
      <c r="X105" s="648"/>
      <c r="Y105" s="648"/>
      <c r="Z105" s="648"/>
      <c r="AA105" s="648"/>
      <c r="AB105" s="648"/>
      <c r="AC105" s="648"/>
      <c r="AD105" s="648"/>
      <c r="AE105" s="648"/>
      <c r="AF105" s="648"/>
      <c r="AG105" s="648"/>
      <c r="AH105" s="648"/>
      <c r="AI105" s="648"/>
      <c r="AJ105" s="648"/>
      <c r="AK105" s="648"/>
      <c r="AL105" s="648"/>
      <c r="AM105" s="648"/>
      <c r="AN105" s="648"/>
      <c r="AO105" s="648"/>
      <c r="AP105" s="648"/>
      <c r="AQ105" s="648"/>
      <c r="AR105" s="648"/>
      <c r="AS105" s="648"/>
      <c r="AT105" s="648"/>
      <c r="AU105" s="648"/>
    </row>
    <row r="106" spans="1:47">
      <c r="A106" s="648"/>
      <c r="B106" s="648"/>
      <c r="C106" s="648"/>
      <c r="D106" s="648"/>
      <c r="E106" s="648"/>
      <c r="F106" s="648"/>
      <c r="G106" s="648"/>
      <c r="H106" s="648"/>
      <c r="I106" s="648"/>
      <c r="J106" s="648"/>
      <c r="K106" s="648"/>
      <c r="L106" s="648"/>
      <c r="M106" s="648"/>
      <c r="N106" s="648"/>
      <c r="O106" s="648"/>
      <c r="P106" s="648"/>
      <c r="Q106" s="648"/>
      <c r="R106" s="648"/>
      <c r="S106" s="648"/>
      <c r="T106" s="648"/>
      <c r="U106" s="648"/>
      <c r="V106" s="648"/>
      <c r="W106" s="648"/>
      <c r="X106" s="648"/>
      <c r="Y106" s="648"/>
      <c r="Z106" s="648"/>
      <c r="AA106" s="648"/>
      <c r="AB106" s="648"/>
      <c r="AC106" s="648"/>
      <c r="AD106" s="648"/>
      <c r="AE106" s="648"/>
      <c r="AF106" s="648"/>
      <c r="AG106" s="648"/>
      <c r="AH106" s="648"/>
      <c r="AI106" s="648"/>
      <c r="AJ106" s="648"/>
      <c r="AK106" s="648"/>
      <c r="AL106" s="648"/>
      <c r="AM106" s="648"/>
      <c r="AN106" s="648"/>
      <c r="AO106" s="648"/>
      <c r="AP106" s="648"/>
      <c r="AQ106" s="648"/>
      <c r="AR106" s="648"/>
      <c r="AS106" s="648"/>
      <c r="AT106" s="648"/>
      <c r="AU106" s="648"/>
    </row>
    <row r="107" spans="1:47">
      <c r="A107" s="648"/>
      <c r="B107" s="648"/>
      <c r="C107" s="648"/>
      <c r="D107" s="648"/>
      <c r="E107" s="648"/>
      <c r="F107" s="648"/>
      <c r="G107" s="648"/>
      <c r="H107" s="648"/>
      <c r="I107" s="648"/>
      <c r="J107" s="648"/>
      <c r="K107" s="648"/>
      <c r="L107" s="648"/>
      <c r="M107" s="648"/>
      <c r="N107" s="648"/>
      <c r="O107" s="648"/>
      <c r="P107" s="648"/>
      <c r="Q107" s="648"/>
      <c r="R107" s="648"/>
      <c r="S107" s="648"/>
      <c r="T107" s="648"/>
      <c r="U107" s="648"/>
      <c r="V107" s="648"/>
      <c r="W107" s="648"/>
      <c r="X107" s="648"/>
      <c r="Y107" s="648"/>
      <c r="Z107" s="648"/>
      <c r="AA107" s="648"/>
      <c r="AB107" s="648"/>
      <c r="AC107" s="648"/>
      <c r="AD107" s="648"/>
      <c r="AE107" s="648"/>
      <c r="AF107" s="648"/>
      <c r="AG107" s="648"/>
      <c r="AH107" s="648"/>
      <c r="AI107" s="648"/>
      <c r="AJ107" s="648"/>
      <c r="AK107" s="648"/>
      <c r="AL107" s="648"/>
      <c r="AM107" s="648"/>
      <c r="AN107" s="648"/>
      <c r="AO107" s="648"/>
      <c r="AP107" s="648"/>
      <c r="AQ107" s="648"/>
      <c r="AR107" s="648"/>
      <c r="AS107" s="648"/>
      <c r="AT107" s="648"/>
      <c r="AU107" s="648"/>
    </row>
    <row r="108" spans="1:47">
      <c r="A108" s="648"/>
      <c r="B108" s="648"/>
      <c r="C108" s="648"/>
      <c r="D108" s="648"/>
      <c r="E108" s="648"/>
      <c r="F108" s="648"/>
      <c r="G108" s="648"/>
      <c r="H108" s="648"/>
      <c r="I108" s="648"/>
      <c r="J108" s="648"/>
      <c r="K108" s="648"/>
      <c r="L108" s="648"/>
      <c r="M108" s="648"/>
      <c r="N108" s="648"/>
      <c r="O108" s="648"/>
      <c r="P108" s="648"/>
      <c r="Q108" s="648"/>
      <c r="R108" s="648"/>
      <c r="S108" s="648"/>
      <c r="T108" s="648"/>
      <c r="U108" s="648"/>
      <c r="V108" s="648"/>
      <c r="W108" s="648"/>
      <c r="X108" s="648"/>
      <c r="Y108" s="648"/>
      <c r="Z108" s="648"/>
      <c r="AA108" s="648"/>
      <c r="AB108" s="648"/>
      <c r="AC108" s="648"/>
      <c r="AD108" s="648"/>
      <c r="AE108" s="648"/>
      <c r="AF108" s="648"/>
      <c r="AG108" s="648"/>
      <c r="AH108" s="648"/>
      <c r="AI108" s="648"/>
      <c r="AJ108" s="648"/>
      <c r="AK108" s="648"/>
      <c r="AL108" s="648"/>
      <c r="AM108" s="648"/>
      <c r="AN108" s="648"/>
      <c r="AO108" s="648"/>
      <c r="AP108" s="648"/>
      <c r="AQ108" s="648"/>
      <c r="AR108" s="648"/>
      <c r="AS108" s="648"/>
      <c r="AT108" s="648"/>
      <c r="AU108" s="648"/>
    </row>
    <row r="109" spans="1:47">
      <c r="A109" s="648"/>
      <c r="B109" s="648"/>
      <c r="C109" s="648"/>
      <c r="D109" s="648"/>
      <c r="E109" s="648"/>
      <c r="F109" s="648"/>
      <c r="G109" s="648"/>
      <c r="H109" s="648"/>
      <c r="I109" s="648"/>
      <c r="J109" s="648"/>
      <c r="K109" s="648"/>
      <c r="L109" s="648"/>
      <c r="M109" s="648"/>
      <c r="N109" s="648"/>
      <c r="O109" s="648"/>
      <c r="P109" s="648"/>
      <c r="Q109" s="648"/>
      <c r="R109" s="648"/>
      <c r="S109" s="648"/>
      <c r="T109" s="648"/>
      <c r="U109" s="648"/>
      <c r="V109" s="648"/>
      <c r="W109" s="648"/>
      <c r="X109" s="648"/>
      <c r="Y109" s="648"/>
      <c r="Z109" s="648"/>
      <c r="AA109" s="648"/>
      <c r="AB109" s="648"/>
      <c r="AC109" s="648"/>
      <c r="AD109" s="648"/>
      <c r="AE109" s="648"/>
      <c r="AF109" s="648"/>
      <c r="AG109" s="648"/>
      <c r="AH109" s="648"/>
      <c r="AI109" s="648"/>
      <c r="AJ109" s="648"/>
      <c r="AK109" s="648"/>
      <c r="AL109" s="648"/>
      <c r="AM109" s="648"/>
      <c r="AN109" s="648"/>
      <c r="AO109" s="648"/>
      <c r="AP109" s="648"/>
      <c r="AQ109" s="648"/>
      <c r="AR109" s="648"/>
      <c r="AS109" s="648"/>
      <c r="AT109" s="648"/>
      <c r="AU109" s="648"/>
    </row>
    <row r="110" spans="1:47">
      <c r="A110" s="648"/>
      <c r="B110" s="648"/>
      <c r="C110" s="648"/>
      <c r="D110" s="648"/>
      <c r="E110" s="648"/>
      <c r="F110" s="648"/>
      <c r="G110" s="648"/>
      <c r="H110" s="648"/>
      <c r="I110" s="648"/>
      <c r="J110" s="648"/>
      <c r="K110" s="648"/>
      <c r="L110" s="648"/>
      <c r="M110" s="648"/>
      <c r="N110" s="648"/>
      <c r="O110" s="648"/>
      <c r="P110" s="648"/>
      <c r="Q110" s="648"/>
      <c r="R110" s="648"/>
      <c r="S110" s="648"/>
      <c r="T110" s="648"/>
      <c r="U110" s="648"/>
      <c r="V110" s="648"/>
      <c r="W110" s="648"/>
      <c r="X110" s="648"/>
      <c r="Y110" s="648"/>
      <c r="Z110" s="648"/>
      <c r="AA110" s="648"/>
      <c r="AB110" s="648"/>
      <c r="AC110" s="648"/>
      <c r="AD110" s="648"/>
      <c r="AE110" s="648"/>
      <c r="AF110" s="648"/>
      <c r="AG110" s="648"/>
      <c r="AH110" s="648"/>
      <c r="AI110" s="648"/>
      <c r="AJ110" s="648"/>
      <c r="AK110" s="648"/>
      <c r="AL110" s="648"/>
      <c r="AM110" s="648"/>
      <c r="AN110" s="648"/>
      <c r="AO110" s="648"/>
      <c r="AP110" s="648"/>
      <c r="AQ110" s="648"/>
      <c r="AR110" s="648"/>
      <c r="AS110" s="648"/>
      <c r="AT110" s="648"/>
      <c r="AU110" s="648"/>
    </row>
    <row r="111" spans="1:47">
      <c r="A111" s="648"/>
      <c r="B111" s="648"/>
      <c r="C111" s="648"/>
      <c r="D111" s="648"/>
      <c r="E111" s="648"/>
      <c r="F111" s="648"/>
      <c r="G111" s="648"/>
      <c r="H111" s="648"/>
      <c r="I111" s="648"/>
      <c r="J111" s="648"/>
      <c r="K111" s="648"/>
      <c r="L111" s="648"/>
      <c r="M111" s="648"/>
      <c r="N111" s="648"/>
      <c r="O111" s="648"/>
      <c r="P111" s="648"/>
      <c r="Q111" s="648"/>
      <c r="R111" s="648"/>
      <c r="S111" s="648"/>
      <c r="T111" s="648"/>
      <c r="U111" s="648"/>
      <c r="V111" s="648"/>
      <c r="W111" s="648"/>
      <c r="X111" s="648"/>
      <c r="Y111" s="648"/>
      <c r="Z111" s="648"/>
      <c r="AA111" s="648"/>
      <c r="AB111" s="648"/>
      <c r="AC111" s="648"/>
      <c r="AD111" s="648"/>
      <c r="AE111" s="648"/>
      <c r="AF111" s="648"/>
      <c r="AG111" s="648"/>
      <c r="AH111" s="648"/>
      <c r="AI111" s="648"/>
      <c r="AJ111" s="648"/>
      <c r="AK111" s="648"/>
      <c r="AL111" s="648"/>
      <c r="AM111" s="648"/>
      <c r="AN111" s="648"/>
      <c r="AO111" s="648"/>
      <c r="AP111" s="648"/>
      <c r="AQ111" s="648"/>
      <c r="AR111" s="648"/>
      <c r="AS111" s="648"/>
      <c r="AT111" s="648"/>
      <c r="AU111" s="648"/>
    </row>
    <row r="112" spans="1:47">
      <c r="A112" s="648"/>
      <c r="B112" s="648"/>
      <c r="C112" s="648"/>
      <c r="D112" s="648"/>
      <c r="E112" s="648"/>
      <c r="F112" s="648"/>
      <c r="G112" s="648"/>
      <c r="H112" s="648"/>
      <c r="I112" s="648"/>
      <c r="J112" s="648"/>
      <c r="K112" s="648"/>
      <c r="L112" s="648"/>
      <c r="M112" s="648"/>
      <c r="N112" s="648"/>
      <c r="O112" s="648"/>
      <c r="P112" s="648"/>
      <c r="Q112" s="648"/>
      <c r="R112" s="648"/>
      <c r="S112" s="648"/>
      <c r="T112" s="648"/>
      <c r="U112" s="648"/>
      <c r="V112" s="648"/>
      <c r="W112" s="648"/>
      <c r="X112" s="648"/>
      <c r="Y112" s="648"/>
      <c r="Z112" s="648"/>
      <c r="AA112" s="648"/>
      <c r="AB112" s="648"/>
      <c r="AC112" s="648"/>
      <c r="AD112" s="648"/>
      <c r="AE112" s="648"/>
      <c r="AF112" s="648"/>
      <c r="AG112" s="648"/>
      <c r="AH112" s="648"/>
      <c r="AI112" s="648"/>
      <c r="AJ112" s="648"/>
      <c r="AK112" s="648"/>
      <c r="AL112" s="648"/>
      <c r="AM112" s="648"/>
      <c r="AN112" s="648"/>
      <c r="AO112" s="648"/>
      <c r="AP112" s="648"/>
      <c r="AQ112" s="648"/>
      <c r="AR112" s="648"/>
      <c r="AS112" s="648"/>
      <c r="AT112" s="648"/>
      <c r="AU112" s="648"/>
    </row>
    <row r="113" spans="1:47">
      <c r="A113" s="648"/>
      <c r="B113" s="648"/>
      <c r="C113" s="648"/>
      <c r="D113" s="648"/>
      <c r="E113" s="648"/>
      <c r="F113" s="648"/>
      <c r="G113" s="648"/>
      <c r="H113" s="648"/>
      <c r="I113" s="648"/>
      <c r="J113" s="648"/>
      <c r="K113" s="648"/>
      <c r="L113" s="648"/>
      <c r="M113" s="648"/>
      <c r="N113" s="648"/>
      <c r="O113" s="648"/>
      <c r="P113" s="648"/>
      <c r="Q113" s="648"/>
      <c r="R113" s="648"/>
      <c r="S113" s="648"/>
      <c r="T113" s="648"/>
      <c r="U113" s="648"/>
      <c r="V113" s="648"/>
      <c r="W113" s="648"/>
      <c r="X113" s="648"/>
      <c r="Y113" s="648"/>
      <c r="Z113" s="648"/>
      <c r="AA113" s="648"/>
      <c r="AB113" s="648"/>
      <c r="AC113" s="648"/>
      <c r="AD113" s="648"/>
      <c r="AE113" s="648"/>
      <c r="AF113" s="648"/>
      <c r="AG113" s="648"/>
      <c r="AH113" s="648"/>
      <c r="AI113" s="648"/>
      <c r="AJ113" s="648"/>
      <c r="AK113" s="648"/>
      <c r="AL113" s="648"/>
      <c r="AM113" s="648"/>
      <c r="AN113" s="648"/>
      <c r="AO113" s="648"/>
      <c r="AP113" s="648"/>
      <c r="AQ113" s="648"/>
      <c r="AR113" s="648"/>
      <c r="AS113" s="648"/>
      <c r="AT113" s="648"/>
      <c r="AU113" s="648"/>
    </row>
    <row r="114" spans="1:47">
      <c r="A114" s="648"/>
      <c r="B114" s="648"/>
      <c r="C114" s="648"/>
      <c r="D114" s="648"/>
      <c r="E114" s="648"/>
      <c r="F114" s="648"/>
      <c r="G114" s="648"/>
      <c r="H114" s="648"/>
      <c r="I114" s="648"/>
      <c r="J114" s="648"/>
      <c r="K114" s="648"/>
      <c r="L114" s="648"/>
      <c r="M114" s="648"/>
      <c r="N114" s="648"/>
      <c r="O114" s="648"/>
      <c r="P114" s="648"/>
      <c r="Q114" s="648"/>
      <c r="R114" s="648"/>
      <c r="S114" s="648"/>
      <c r="T114" s="648"/>
      <c r="U114" s="648"/>
      <c r="V114" s="648"/>
      <c r="W114" s="648"/>
      <c r="X114" s="648"/>
      <c r="Y114" s="648"/>
      <c r="Z114" s="648"/>
      <c r="AA114" s="648"/>
      <c r="AB114" s="648"/>
      <c r="AC114" s="648"/>
      <c r="AD114" s="648"/>
      <c r="AE114" s="648"/>
      <c r="AF114" s="648"/>
      <c r="AG114" s="648"/>
      <c r="AH114" s="648"/>
      <c r="AI114" s="648"/>
      <c r="AJ114" s="648"/>
      <c r="AK114" s="648"/>
      <c r="AL114" s="648"/>
      <c r="AM114" s="648"/>
      <c r="AN114" s="648"/>
      <c r="AO114" s="648"/>
      <c r="AP114" s="648"/>
      <c r="AQ114" s="648"/>
      <c r="AR114" s="648"/>
      <c r="AS114" s="648"/>
      <c r="AT114" s="648"/>
      <c r="AU114" s="648"/>
    </row>
    <row r="115" spans="1:47">
      <c r="A115" s="648"/>
      <c r="B115" s="648"/>
      <c r="C115" s="648"/>
      <c r="D115" s="648"/>
      <c r="E115" s="648"/>
      <c r="F115" s="648"/>
      <c r="G115" s="648"/>
      <c r="H115" s="648"/>
      <c r="I115" s="648"/>
      <c r="J115" s="648"/>
      <c r="K115" s="648"/>
      <c r="L115" s="648"/>
      <c r="M115" s="648"/>
      <c r="N115" s="648"/>
      <c r="O115" s="648"/>
      <c r="P115" s="648"/>
      <c r="Q115" s="648"/>
      <c r="R115" s="648"/>
      <c r="S115" s="648"/>
      <c r="T115" s="648"/>
      <c r="U115" s="648"/>
      <c r="V115" s="648"/>
      <c r="W115" s="648"/>
      <c r="X115" s="648"/>
      <c r="Y115" s="648"/>
      <c r="Z115" s="648"/>
      <c r="AA115" s="648"/>
      <c r="AB115" s="648"/>
      <c r="AC115" s="648"/>
      <c r="AD115" s="648"/>
      <c r="AE115" s="648"/>
      <c r="AF115" s="648"/>
      <c r="AG115" s="648"/>
      <c r="AH115" s="648"/>
      <c r="AI115" s="648"/>
      <c r="AJ115" s="648"/>
      <c r="AK115" s="648"/>
      <c r="AL115" s="648"/>
      <c r="AM115" s="648"/>
      <c r="AN115" s="648"/>
      <c r="AO115" s="648"/>
      <c r="AP115" s="648"/>
      <c r="AQ115" s="648"/>
      <c r="AR115" s="648"/>
      <c r="AS115" s="648"/>
      <c r="AT115" s="648"/>
      <c r="AU115" s="648"/>
    </row>
    <row r="116" spans="1:47">
      <c r="A116" s="648"/>
      <c r="B116" s="648"/>
      <c r="C116" s="648"/>
      <c r="D116" s="648"/>
      <c r="E116" s="648"/>
      <c r="F116" s="648"/>
      <c r="G116" s="648"/>
      <c r="H116" s="648"/>
      <c r="I116" s="648"/>
      <c r="J116" s="648"/>
      <c r="K116" s="648"/>
      <c r="L116" s="648"/>
      <c r="M116" s="648"/>
      <c r="N116" s="648"/>
      <c r="O116" s="648"/>
      <c r="P116" s="648"/>
      <c r="Q116" s="648"/>
      <c r="R116" s="648"/>
      <c r="S116" s="648"/>
      <c r="T116" s="648"/>
      <c r="U116" s="648"/>
      <c r="V116" s="648"/>
      <c r="W116" s="648"/>
      <c r="X116" s="648"/>
      <c r="Y116" s="648"/>
      <c r="Z116" s="648"/>
      <c r="AA116" s="648"/>
      <c r="AB116" s="648"/>
      <c r="AC116" s="648"/>
      <c r="AD116" s="648"/>
      <c r="AE116" s="648"/>
      <c r="AF116" s="648"/>
      <c r="AG116" s="648"/>
      <c r="AH116" s="648"/>
      <c r="AI116" s="648"/>
      <c r="AJ116" s="648"/>
      <c r="AK116" s="648"/>
      <c r="AL116" s="648"/>
      <c r="AM116" s="648"/>
      <c r="AN116" s="648"/>
      <c r="AO116" s="648"/>
      <c r="AP116" s="648"/>
      <c r="AQ116" s="648"/>
      <c r="AR116" s="648"/>
      <c r="AS116" s="648"/>
      <c r="AT116" s="648"/>
      <c r="AU116" s="648"/>
    </row>
    <row r="117" spans="1:47">
      <c r="A117" s="648"/>
      <c r="B117" s="648"/>
      <c r="C117" s="648"/>
      <c r="D117" s="648"/>
      <c r="E117" s="648"/>
      <c r="F117" s="648"/>
      <c r="G117" s="648"/>
      <c r="H117" s="648"/>
      <c r="I117" s="648"/>
      <c r="J117" s="648"/>
      <c r="K117" s="648"/>
      <c r="L117" s="648"/>
      <c r="M117" s="648"/>
      <c r="N117" s="648"/>
      <c r="O117" s="648"/>
      <c r="P117" s="648"/>
      <c r="Q117" s="648"/>
      <c r="R117" s="648"/>
      <c r="S117" s="648"/>
      <c r="T117" s="648"/>
      <c r="U117" s="648"/>
      <c r="V117" s="648"/>
      <c r="W117" s="648"/>
      <c r="X117" s="648"/>
      <c r="Y117" s="648"/>
      <c r="Z117" s="648"/>
      <c r="AA117" s="648"/>
      <c r="AB117" s="648"/>
      <c r="AC117" s="648"/>
      <c r="AD117" s="648"/>
      <c r="AE117" s="648"/>
      <c r="AF117" s="648"/>
      <c r="AG117" s="648"/>
      <c r="AH117" s="648"/>
      <c r="AI117" s="648"/>
      <c r="AJ117" s="648"/>
      <c r="AK117" s="648"/>
      <c r="AL117" s="648"/>
      <c r="AM117" s="648"/>
      <c r="AN117" s="648"/>
      <c r="AO117" s="648"/>
      <c r="AP117" s="648"/>
      <c r="AQ117" s="648"/>
      <c r="AR117" s="648"/>
      <c r="AS117" s="648"/>
      <c r="AT117" s="648"/>
      <c r="AU117" s="648"/>
    </row>
  </sheetData>
  <sheetProtection selectLockedCells="1" selectUnlockedCells="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4">
    <tabColor rgb="FFFFC000"/>
  </sheetPr>
  <dimension ref="A1:AA69"/>
  <sheetViews>
    <sheetView showGridLines="0" zoomScaleNormal="100" workbookViewId="0">
      <selection activeCell="AB33" sqref="AB33"/>
    </sheetView>
  </sheetViews>
  <sheetFormatPr defaultColWidth="9.1796875" defaultRowHeight="15" customHeight="1"/>
  <cols>
    <col min="1" max="2" width="1.7265625" style="136" customWidth="1"/>
    <col min="3" max="3" width="13.81640625" style="136" customWidth="1"/>
    <col min="4" max="4" width="7.453125" style="136" customWidth="1"/>
    <col min="5" max="5" width="9.453125" style="136" customWidth="1"/>
    <col min="6" max="6" width="12.453125" style="136" customWidth="1"/>
    <col min="7" max="8" width="9.54296875" style="136" customWidth="1"/>
    <col min="9" max="9" width="10.54296875" style="136" customWidth="1"/>
    <col min="10" max="10" width="10" style="136" customWidth="1"/>
    <col min="11" max="11" width="1.7265625" style="136" customWidth="1"/>
    <col min="12" max="13" width="10" style="136" customWidth="1"/>
    <col min="14" max="15" width="13.54296875" style="136" customWidth="1"/>
    <col min="16" max="16" width="7.1796875" style="136" customWidth="1"/>
    <col min="17" max="17" width="12.81640625" style="136" customWidth="1"/>
    <col min="18" max="18" width="12.1796875" style="136" customWidth="1"/>
    <col min="19" max="19" width="17.26953125" style="136" bestFit="1" customWidth="1"/>
    <col min="20" max="20" width="15.54296875" style="136" customWidth="1"/>
    <col min="21" max="21" width="2.1796875" style="136" customWidth="1"/>
    <col min="22" max="23" width="7.1796875" style="136" customWidth="1"/>
    <col min="24" max="24" width="7.453125" style="136" customWidth="1"/>
    <col min="25" max="25" width="0.81640625" style="136" customWidth="1"/>
    <col min="26" max="26" width="10" style="136" customWidth="1"/>
    <col min="27" max="27" width="7.7265625" style="136" customWidth="1"/>
    <col min="28" max="16384" width="9.1796875" style="136"/>
  </cols>
  <sheetData>
    <row r="1" spans="1:27" ht="30.75" customHeight="1">
      <c r="B1" s="132" t="s">
        <v>195</v>
      </c>
    </row>
    <row r="2" spans="1:27" ht="50.5" customHeight="1">
      <c r="C2" s="1726" t="s">
        <v>8908</v>
      </c>
      <c r="D2" s="1727"/>
      <c r="E2" s="1727"/>
      <c r="F2" s="1727"/>
      <c r="G2" s="1727"/>
      <c r="H2" s="1727"/>
      <c r="I2" s="1727"/>
      <c r="J2" s="1727"/>
      <c r="K2" s="1727"/>
      <c r="L2" s="1727"/>
      <c r="M2" s="1727"/>
      <c r="N2" s="1727"/>
      <c r="O2" s="1727"/>
      <c r="P2" s="1727"/>
      <c r="Q2" s="235"/>
      <c r="R2" s="235"/>
    </row>
    <row r="3" spans="1:27" ht="47.25" customHeight="1">
      <c r="C3" s="1726" t="s">
        <v>8904</v>
      </c>
      <c r="D3" s="1727"/>
      <c r="E3" s="1727"/>
      <c r="F3" s="1727"/>
      <c r="G3" s="1727"/>
      <c r="H3" s="1727"/>
      <c r="I3" s="1727"/>
      <c r="J3" s="1727"/>
      <c r="K3" s="1727"/>
      <c r="L3" s="1727"/>
      <c r="M3" s="1727"/>
      <c r="N3" s="1727"/>
      <c r="O3" s="1727"/>
      <c r="P3" s="1727"/>
      <c r="Q3" s="235"/>
      <c r="R3" s="235"/>
    </row>
    <row r="4" spans="1:27" ht="36" customHeight="1" thickBot="1">
      <c r="C4" s="1728" t="s">
        <v>8903</v>
      </c>
      <c r="D4" s="1729"/>
      <c r="E4" s="1729"/>
      <c r="F4" s="1729"/>
      <c r="G4" s="1729"/>
      <c r="H4" s="1729"/>
      <c r="I4" s="1729"/>
      <c r="J4" s="1729"/>
      <c r="L4" s="123"/>
      <c r="N4" s="1728" t="s">
        <v>194</v>
      </c>
      <c r="O4" s="1728"/>
      <c r="P4" s="1728"/>
      <c r="Q4" s="1728"/>
      <c r="R4" s="1728"/>
      <c r="S4" s="1728"/>
      <c r="T4" s="1728"/>
      <c r="U4" s="1728"/>
      <c r="V4" s="1728"/>
      <c r="W4" s="1728"/>
      <c r="X4" s="1728"/>
      <c r="Z4" s="123"/>
    </row>
    <row r="5" spans="1:27" ht="15" customHeight="1">
      <c r="C5" s="1731" t="s">
        <v>8905</v>
      </c>
      <c r="D5" s="1732"/>
      <c r="E5" s="1732"/>
      <c r="F5" s="1732"/>
      <c r="G5" s="1732"/>
      <c r="H5" s="1732"/>
      <c r="I5" s="1732"/>
      <c r="J5" s="1733"/>
      <c r="L5" s="123"/>
      <c r="N5" s="126"/>
      <c r="O5" s="126"/>
      <c r="P5" s="126"/>
      <c r="Q5" s="126"/>
      <c r="R5" s="126"/>
      <c r="S5" s="126"/>
      <c r="T5" s="126"/>
      <c r="U5" s="126"/>
      <c r="V5" s="126"/>
      <c r="W5" s="126"/>
      <c r="X5" s="126"/>
      <c r="Z5" s="123"/>
    </row>
    <row r="6" spans="1:27" ht="66.75" customHeight="1">
      <c r="C6" s="1734"/>
      <c r="D6" s="1735"/>
      <c r="E6" s="1735"/>
      <c r="F6" s="1735"/>
      <c r="G6" s="1735"/>
      <c r="H6" s="1735"/>
      <c r="I6" s="1735"/>
      <c r="J6" s="1736"/>
      <c r="L6" s="123"/>
      <c r="N6" s="1726" t="s">
        <v>8946</v>
      </c>
      <c r="O6" s="1726"/>
      <c r="P6" s="1726"/>
      <c r="Q6" s="1726"/>
      <c r="R6" s="1726"/>
      <c r="S6" s="1726"/>
      <c r="T6" s="1726"/>
      <c r="U6" s="1726"/>
      <c r="V6" s="1726"/>
      <c r="W6" s="1726"/>
      <c r="X6" s="1726"/>
      <c r="Z6" s="123"/>
    </row>
    <row r="7" spans="1:27" ht="35.25" customHeight="1" thickBot="1">
      <c r="C7" s="1737"/>
      <c r="D7" s="1738"/>
      <c r="E7" s="1738"/>
      <c r="F7" s="1738"/>
      <c r="G7" s="1738"/>
      <c r="H7" s="1738"/>
      <c r="I7" s="1738"/>
      <c r="J7" s="1739"/>
      <c r="L7" s="123"/>
      <c r="N7" s="1726" t="s">
        <v>181</v>
      </c>
      <c r="O7" s="1726"/>
      <c r="P7" s="1726"/>
      <c r="Q7" s="1726"/>
      <c r="R7" s="1726"/>
      <c r="S7" s="1726"/>
      <c r="T7" s="1726"/>
      <c r="U7" s="1726"/>
      <c r="V7" s="1726"/>
      <c r="W7" s="1726"/>
      <c r="X7" s="1726"/>
      <c r="Z7" s="123"/>
    </row>
    <row r="8" spans="1:27" ht="50.25" customHeight="1">
      <c r="C8" s="1382"/>
      <c r="D8" s="1382"/>
      <c r="E8" s="1382"/>
      <c r="F8" s="1382"/>
      <c r="G8" s="1382"/>
      <c r="H8" s="1382"/>
      <c r="I8" s="1382"/>
      <c r="J8" s="1382"/>
      <c r="L8" s="123"/>
      <c r="N8" s="1730" t="s">
        <v>8948</v>
      </c>
      <c r="O8" s="1726"/>
      <c r="P8" s="1726"/>
      <c r="Q8" s="1726"/>
      <c r="R8" s="1726"/>
      <c r="S8" s="1726"/>
      <c r="T8" s="1726"/>
      <c r="U8" s="1726"/>
      <c r="V8" s="1726"/>
      <c r="W8" s="1726"/>
      <c r="X8" s="1726"/>
      <c r="Z8" s="123"/>
    </row>
    <row r="9" spans="1:27" ht="15" customHeight="1" thickBot="1">
      <c r="C9" s="169"/>
      <c r="D9" s="169"/>
      <c r="E9" s="169"/>
      <c r="F9" s="169"/>
      <c r="G9" s="169"/>
      <c r="H9" s="169"/>
      <c r="I9" s="169"/>
      <c r="J9" s="169"/>
      <c r="L9" s="123"/>
      <c r="N9" s="125"/>
      <c r="O9" s="125"/>
      <c r="P9" s="125"/>
      <c r="Q9" s="125"/>
      <c r="R9" s="125"/>
      <c r="S9" s="125"/>
      <c r="T9" s="125"/>
      <c r="U9" s="153"/>
      <c r="V9" s="153"/>
      <c r="W9" s="153"/>
      <c r="X9" s="153"/>
      <c r="Z9" s="123"/>
    </row>
    <row r="10" spans="1:27" ht="15" customHeight="1" thickBot="1">
      <c r="B10" s="128"/>
      <c r="C10" s="1385"/>
      <c r="D10" s="1386"/>
      <c r="E10" s="1386"/>
      <c r="F10" s="1386"/>
      <c r="G10" s="1386"/>
      <c r="H10" s="1386"/>
      <c r="I10" s="1386"/>
      <c r="J10" s="1386"/>
      <c r="K10" s="128"/>
      <c r="L10" s="123"/>
      <c r="N10" s="1698" t="s">
        <v>225</v>
      </c>
      <c r="O10" s="1699"/>
      <c r="P10" s="1699"/>
      <c r="Q10" s="1699"/>
      <c r="R10" s="1700"/>
      <c r="S10" s="1699"/>
      <c r="T10" s="1701"/>
      <c r="Z10" s="123"/>
    </row>
    <row r="11" spans="1:27" ht="44" thickBot="1">
      <c r="A11" s="1"/>
      <c r="B11" s="131"/>
      <c r="C11" s="1751" t="s">
        <v>8907</v>
      </c>
      <c r="D11" s="1751"/>
      <c r="E11" s="1751"/>
      <c r="F11" s="1751"/>
      <c r="G11" s="1751"/>
      <c r="H11" s="1751"/>
      <c r="I11" s="1751"/>
      <c r="J11" s="1751"/>
      <c r="K11" s="1383"/>
      <c r="L11" s="123"/>
      <c r="N11" s="350" t="s">
        <v>180</v>
      </c>
      <c r="O11" s="1702" t="s">
        <v>179</v>
      </c>
      <c r="P11" s="1703"/>
      <c r="Q11" s="233" t="s">
        <v>287</v>
      </c>
      <c r="R11" s="329" t="s">
        <v>288</v>
      </c>
      <c r="S11" s="177" t="s">
        <v>289</v>
      </c>
      <c r="T11" s="178" t="s">
        <v>178</v>
      </c>
      <c r="Z11" s="123"/>
    </row>
    <row r="12" spans="1:27" ht="15" customHeight="1" thickBot="1">
      <c r="A12" s="1"/>
      <c r="B12" s="131"/>
      <c r="C12" s="176"/>
      <c r="D12" s="1748" t="s">
        <v>192</v>
      </c>
      <c r="E12" s="321" t="s">
        <v>191</v>
      </c>
      <c r="F12" s="321" t="s">
        <v>190</v>
      </c>
      <c r="G12" s="321" t="s">
        <v>189</v>
      </c>
      <c r="H12" s="321" t="s">
        <v>188</v>
      </c>
      <c r="I12" s="321" t="s">
        <v>187</v>
      </c>
      <c r="J12" s="321" t="s">
        <v>186</v>
      </c>
      <c r="K12" s="130"/>
      <c r="L12" s="123"/>
      <c r="N12" s="1704" t="s">
        <v>177</v>
      </c>
      <c r="O12" s="1707" t="s">
        <v>176</v>
      </c>
      <c r="P12" s="1708"/>
      <c r="Q12" s="1319"/>
      <c r="R12" s="179">
        <f>('Monthly Summary'!BW8+'Monthly Summary'!BW14+'Monthly Summary'!BW41+'Monthly Summary'!BW47)/1000000</f>
        <v>9.7600000000000006E-2</v>
      </c>
      <c r="S12" s="180">
        <f t="shared" ref="S12:S29" si="0">SUM(Q12:R12)</f>
        <v>9.7600000000000006E-2</v>
      </c>
      <c r="T12" s="181"/>
      <c r="V12" s="1695" t="s">
        <v>299</v>
      </c>
      <c r="W12" s="1695"/>
      <c r="X12" s="1695"/>
      <c r="Y12" s="152"/>
      <c r="Z12" s="123"/>
      <c r="AA12" s="154"/>
    </row>
    <row r="13" spans="1:27" ht="15" customHeight="1">
      <c r="A13" s="1"/>
      <c r="B13" s="131"/>
      <c r="C13" s="322" t="s">
        <v>193</v>
      </c>
      <c r="D13" s="1749"/>
      <c r="E13" s="321" t="str">
        <f>Variables!B21</f>
        <v>FY 22</v>
      </c>
      <c r="F13" s="321" t="str">
        <f>Variables!N21</f>
        <v>FY 23</v>
      </c>
      <c r="G13" s="321" t="str">
        <f>Variables!Z21</f>
        <v>FY 24</v>
      </c>
      <c r="H13" s="321" t="str">
        <f>Variables!AL21</f>
        <v>FY 25</v>
      </c>
      <c r="I13" s="321" t="str">
        <f>Variables!AX21</f>
        <v>FY 26</v>
      </c>
      <c r="J13" s="321" t="str">
        <f>Variables!BJ21</f>
        <v>FY 27</v>
      </c>
      <c r="K13" s="130"/>
      <c r="L13" s="123"/>
      <c r="N13" s="1705"/>
      <c r="O13" s="1709" t="s">
        <v>175</v>
      </c>
      <c r="P13" s="1710"/>
      <c r="Q13" s="1320"/>
      <c r="R13" s="221">
        <f>('Monthly Summary'!BW9 + 'Monthly Summary'!BW16 + 'Monthly Summary'!BW42 + 'Monthly Summary'!BW49)/1000000</f>
        <v>0</v>
      </c>
      <c r="S13" s="183">
        <f t="shared" si="0"/>
        <v>0</v>
      </c>
      <c r="T13" s="185" t="str">
        <f>Variables!A39</f>
        <v>IBM</v>
      </c>
      <c r="V13" s="1695"/>
      <c r="W13" s="1695"/>
      <c r="X13" s="1695"/>
      <c r="Y13" s="152"/>
      <c r="Z13" s="123"/>
      <c r="AA13" s="155"/>
    </row>
    <row r="14" spans="1:27" ht="15" customHeight="1">
      <c r="A14" s="1"/>
      <c r="B14" s="131"/>
      <c r="C14" s="319" t="s">
        <v>184</v>
      </c>
      <c r="D14" s="318"/>
      <c r="E14" s="320">
        <f>'Financial Summary'!L14/1000000</f>
        <v>0.10823630720328817</v>
      </c>
      <c r="F14" s="320">
        <f>'Financial Summary'!Q14/1000000</f>
        <v>0</v>
      </c>
      <c r="G14" s="320">
        <f>'Financial Summary'!V14/1000000</f>
        <v>0</v>
      </c>
      <c r="H14" s="320">
        <f>'Financial Summary'!AA14/1000000</f>
        <v>0</v>
      </c>
      <c r="I14" s="320">
        <f>'Financial Summary'!AF14/1000000</f>
        <v>0</v>
      </c>
      <c r="J14" s="320">
        <f>'Financial Summary'!AK14/1000000</f>
        <v>0</v>
      </c>
      <c r="K14" s="130"/>
      <c r="L14" s="123"/>
      <c r="N14" s="1705"/>
      <c r="O14" s="1711"/>
      <c r="P14" s="1712"/>
      <c r="Q14" s="1321"/>
      <c r="R14" s="328">
        <f>('Monthly Summary'!BW10 + 'Monthly Summary'!BW17 + 'Monthly Summary'!BW43 + 'Monthly Summary'!BW50)/1000000</f>
        <v>0</v>
      </c>
      <c r="S14" s="326">
        <f t="shared" si="0"/>
        <v>0</v>
      </c>
      <c r="T14" s="325" t="str">
        <f>Variables!A40</f>
        <v>WiPro</v>
      </c>
      <c r="V14" s="1695"/>
      <c r="W14" s="1695"/>
      <c r="X14" s="1695"/>
      <c r="Y14" s="152"/>
      <c r="Z14" s="123"/>
      <c r="AA14" s="155"/>
    </row>
    <row r="15" spans="1:27" ht="15" customHeight="1">
      <c r="A15" s="1"/>
      <c r="B15" s="175"/>
      <c r="C15" s="319" t="s">
        <v>183</v>
      </c>
      <c r="D15" s="318"/>
      <c r="E15" s="320">
        <f>'Financial Summary'!K14/1000000</f>
        <v>0</v>
      </c>
      <c r="F15" s="320">
        <f>'Financial Summary'!P14/1000000</f>
        <v>0</v>
      </c>
      <c r="G15" s="320">
        <f>'Financial Summary'!U14/1000000</f>
        <v>0</v>
      </c>
      <c r="H15" s="320">
        <f>'Financial Summary'!Z14/1000000</f>
        <v>0</v>
      </c>
      <c r="I15" s="320">
        <f>'Financial Summary'!AE14/1000000</f>
        <v>0</v>
      </c>
      <c r="J15" s="320">
        <f>'Financial Summary'!AJ14/1000000</f>
        <v>0</v>
      </c>
      <c r="K15" s="130"/>
      <c r="L15" s="123"/>
      <c r="N15" s="1705"/>
      <c r="O15" s="1711"/>
      <c r="P15" s="1712"/>
      <c r="Q15" s="1321"/>
      <c r="R15" s="328">
        <f>('Monthly Summary'!BW11 + 'Monthly Summary'!BW18 + 'Monthly Summary'!BW44 + 'Monthly Summary'!BW51)/1000000</f>
        <v>0</v>
      </c>
      <c r="S15" s="326">
        <f t="shared" si="0"/>
        <v>0</v>
      </c>
      <c r="T15" s="325" t="str">
        <f>Variables!A41</f>
        <v>ATOS</v>
      </c>
      <c r="V15" s="1695"/>
      <c r="W15" s="1695"/>
      <c r="X15" s="1695"/>
      <c r="Y15" s="152"/>
      <c r="Z15" s="123"/>
      <c r="AA15" s="155"/>
    </row>
    <row r="16" spans="1:27" ht="15" customHeight="1" thickBot="1">
      <c r="A16" s="1"/>
      <c r="B16" s="131"/>
      <c r="C16" s="319" t="s">
        <v>182</v>
      </c>
      <c r="D16" s="318"/>
      <c r="E16" s="317">
        <v>0</v>
      </c>
      <c r="F16" s="317">
        <v>0</v>
      </c>
      <c r="G16" s="317">
        <v>0</v>
      </c>
      <c r="H16" s="317">
        <v>0</v>
      </c>
      <c r="I16" s="317">
        <v>0</v>
      </c>
      <c r="J16" s="317">
        <v>0</v>
      </c>
      <c r="K16" s="130"/>
      <c r="L16" s="123"/>
      <c r="N16" s="1705"/>
      <c r="O16" s="1713"/>
      <c r="P16" s="1714"/>
      <c r="Q16" s="1322"/>
      <c r="R16" s="222">
        <f>('Monthly Summary'!BW12 + 'Monthly Summary'!BW19 + 'Monthly Summary'!BW45 + 'Monthly Summary'!BW52)/1000000</f>
        <v>0</v>
      </c>
      <c r="S16" s="323">
        <f t="shared" si="0"/>
        <v>0</v>
      </c>
      <c r="T16" s="186" t="str">
        <f>Variables!A42</f>
        <v>Verizon</v>
      </c>
      <c r="V16" s="1695"/>
      <c r="W16" s="1695"/>
      <c r="X16" s="1695"/>
      <c r="Y16" s="152"/>
      <c r="Z16" s="123"/>
      <c r="AA16" s="155"/>
    </row>
    <row r="17" spans="1:27" ht="15" customHeight="1">
      <c r="B17" s="129"/>
      <c r="C17" s="128"/>
      <c r="D17" s="128"/>
      <c r="E17" s="128"/>
      <c r="F17" s="128"/>
      <c r="G17" s="128"/>
      <c r="H17" s="128"/>
      <c r="I17" s="128"/>
      <c r="J17" s="128"/>
      <c r="K17" s="127"/>
      <c r="L17" s="123"/>
      <c r="N17" s="1705"/>
      <c r="O17" s="1709" t="s">
        <v>174</v>
      </c>
      <c r="P17" s="1710"/>
      <c r="Q17" s="1320"/>
      <c r="R17" s="182">
        <f>('Monthly Summary'!BW22+'Monthly Summary'!BW55)/1000000</f>
        <v>0</v>
      </c>
      <c r="S17" s="183">
        <f t="shared" si="0"/>
        <v>0</v>
      </c>
      <c r="T17" s="185" t="str">
        <f>Variables!A39</f>
        <v>IBM</v>
      </c>
      <c r="V17" s="1695"/>
      <c r="W17" s="1695"/>
      <c r="X17" s="1695"/>
      <c r="Y17" s="152"/>
      <c r="Z17" s="123"/>
      <c r="AA17" s="158"/>
    </row>
    <row r="18" spans="1:27" ht="23.25" customHeight="1">
      <c r="A18" s="1"/>
      <c r="B18" s="170"/>
      <c r="C18" s="1"/>
      <c r="D18" s="1"/>
      <c r="E18" s="1"/>
      <c r="F18" s="1"/>
      <c r="G18" s="1"/>
      <c r="H18" s="1"/>
      <c r="I18" s="1"/>
      <c r="J18" s="1"/>
      <c r="K18" s="128"/>
      <c r="L18" s="123"/>
      <c r="N18" s="1705"/>
      <c r="O18" s="1711"/>
      <c r="P18" s="1712"/>
      <c r="Q18" s="1321"/>
      <c r="R18" s="327">
        <f>('Monthly Summary'!BW23+'Monthly Summary'!BW56)/1000000</f>
        <v>0</v>
      </c>
      <c r="S18" s="326">
        <f t="shared" si="0"/>
        <v>0</v>
      </c>
      <c r="T18" s="325" t="str">
        <f>Variables!A40</f>
        <v>WiPro</v>
      </c>
      <c r="U18" s="152"/>
      <c r="V18" s="1695"/>
      <c r="W18" s="1695"/>
      <c r="X18" s="1695"/>
      <c r="Y18" s="152"/>
      <c r="Z18" s="123"/>
      <c r="AA18" s="158"/>
    </row>
    <row r="19" spans="1:27" ht="15" customHeight="1">
      <c r="A19" s="1"/>
      <c r="B19" s="324"/>
      <c r="C19" s="1750" t="s">
        <v>8906</v>
      </c>
      <c r="D19" s="1750"/>
      <c r="E19" s="1750"/>
      <c r="F19" s="1750"/>
      <c r="G19" s="1750"/>
      <c r="H19" s="1750"/>
      <c r="I19" s="1750"/>
      <c r="J19" s="1750"/>
      <c r="K19" s="130"/>
      <c r="L19" s="123"/>
      <c r="N19" s="1705"/>
      <c r="O19" s="1711"/>
      <c r="P19" s="1712"/>
      <c r="Q19" s="1321"/>
      <c r="R19" s="327">
        <f>('Monthly Summary'!BW24+'Monthly Summary'!BW57)/1000000</f>
        <v>0</v>
      </c>
      <c r="S19" s="326">
        <f t="shared" si="0"/>
        <v>0</v>
      </c>
      <c r="T19" s="325" t="str">
        <f>Variables!A41</f>
        <v>ATOS</v>
      </c>
      <c r="U19" s="152"/>
      <c r="V19" s="1695"/>
      <c r="W19" s="1695"/>
      <c r="X19" s="1695"/>
      <c r="Y19" s="152"/>
      <c r="Z19" s="123"/>
      <c r="AA19" s="158"/>
    </row>
    <row r="20" spans="1:27" ht="15" customHeight="1" thickBot="1">
      <c r="A20" s="1"/>
      <c r="B20" s="131"/>
      <c r="C20" s="1735"/>
      <c r="D20" s="1735"/>
      <c r="E20" s="1735"/>
      <c r="F20" s="1735"/>
      <c r="G20" s="1735"/>
      <c r="H20" s="1735"/>
      <c r="I20" s="1735"/>
      <c r="J20" s="1735"/>
      <c r="K20" s="130"/>
      <c r="L20" s="123"/>
      <c r="N20" s="1705"/>
      <c r="O20" s="1713"/>
      <c r="P20" s="1714"/>
      <c r="Q20" s="1322"/>
      <c r="R20" s="184">
        <f>('Monthly Summary'!BW25+'Monthly Summary'!BW58)/1000000</f>
        <v>0</v>
      </c>
      <c r="S20" s="323">
        <f t="shared" si="0"/>
        <v>0</v>
      </c>
      <c r="T20" s="186" t="str">
        <f>Variables!A42</f>
        <v>Verizon</v>
      </c>
      <c r="U20" s="152"/>
      <c r="V20" s="158"/>
      <c r="W20" s="152"/>
      <c r="X20" s="152"/>
      <c r="Y20" s="152"/>
      <c r="Z20" s="123"/>
      <c r="AA20" s="158"/>
    </row>
    <row r="21" spans="1:27" ht="15" customHeight="1" thickBot="1">
      <c r="A21" s="1"/>
      <c r="B21" s="131"/>
      <c r="C21" s="1735"/>
      <c r="D21" s="1735"/>
      <c r="E21" s="1735"/>
      <c r="F21" s="1735"/>
      <c r="G21" s="1735"/>
      <c r="H21" s="1735"/>
      <c r="I21" s="1735"/>
      <c r="J21" s="1735"/>
      <c r="K21" s="1383"/>
      <c r="L21" s="123"/>
      <c r="N21" s="1705"/>
      <c r="O21" s="1707" t="s">
        <v>173</v>
      </c>
      <c r="P21" s="1708"/>
      <c r="Q21" s="1319"/>
      <c r="R21" s="220">
        <f>SUM('Monthly Summary'!BW13,'Monthly Summary'!BW26,'Monthly Summary'!BW20,'Monthly Summary'!BW46,'Monthly Summary'!BW59,'Monthly Summary'!BW53)/1000000</f>
        <v>0</v>
      </c>
      <c r="S21" s="180">
        <f t="shared" si="0"/>
        <v>0</v>
      </c>
      <c r="T21" s="1323"/>
      <c r="V21" s="1754" t="s">
        <v>8947</v>
      </c>
      <c r="W21" s="1754"/>
      <c r="X21" s="1754"/>
      <c r="Y21" s="152"/>
      <c r="Z21" s="123"/>
      <c r="AA21" s="158"/>
    </row>
    <row r="22" spans="1:27" ht="15" customHeight="1" thickBot="1">
      <c r="A22" s="1"/>
      <c r="B22" s="131"/>
      <c r="C22" s="176"/>
      <c r="D22" s="1748" t="s">
        <v>192</v>
      </c>
      <c r="E22" s="321" t="s">
        <v>191</v>
      </c>
      <c r="F22" s="321" t="s">
        <v>190</v>
      </c>
      <c r="G22" s="321" t="s">
        <v>189</v>
      </c>
      <c r="H22" s="321" t="s">
        <v>188</v>
      </c>
      <c r="I22" s="321" t="s">
        <v>187</v>
      </c>
      <c r="J22" s="321" t="s">
        <v>186</v>
      </c>
      <c r="K22" s="130"/>
      <c r="L22" s="123"/>
      <c r="N22" s="1706"/>
      <c r="O22" s="1715" t="s">
        <v>172</v>
      </c>
      <c r="P22" s="1716"/>
      <c r="Q22" s="225">
        <f>SUM(Q12:Q21)</f>
        <v>0</v>
      </c>
      <c r="R22" s="225">
        <f>SUM(R12:R21)</f>
        <v>9.7600000000000006E-2</v>
      </c>
      <c r="S22" s="226">
        <f t="shared" si="0"/>
        <v>9.7600000000000006E-2</v>
      </c>
      <c r="T22" s="216"/>
      <c r="V22" s="1754"/>
      <c r="W22" s="1754"/>
      <c r="X22" s="1754"/>
      <c r="Z22" s="123"/>
      <c r="AA22" s="1"/>
    </row>
    <row r="23" spans="1:27" ht="15" customHeight="1" thickBot="1">
      <c r="A23" s="1"/>
      <c r="B23" s="131"/>
      <c r="C23" s="322" t="s">
        <v>185</v>
      </c>
      <c r="D23" s="1749"/>
      <c r="E23" s="321" t="str">
        <f t="shared" ref="E23:J23" si="1">E13</f>
        <v>FY 22</v>
      </c>
      <c r="F23" s="321" t="str">
        <f t="shared" si="1"/>
        <v>FY 23</v>
      </c>
      <c r="G23" s="321" t="str">
        <f t="shared" si="1"/>
        <v>FY 24</v>
      </c>
      <c r="H23" s="321" t="str">
        <f t="shared" si="1"/>
        <v>FY 25</v>
      </c>
      <c r="I23" s="321" t="str">
        <f t="shared" si="1"/>
        <v>FY 26</v>
      </c>
      <c r="J23" s="321" t="str">
        <f t="shared" si="1"/>
        <v>FY 27</v>
      </c>
      <c r="K23" s="130"/>
      <c r="L23" s="123"/>
      <c r="N23" s="1717" t="s">
        <v>171</v>
      </c>
      <c r="O23" s="1724" t="s">
        <v>170</v>
      </c>
      <c r="P23" s="1725"/>
      <c r="Q23" s="1320"/>
      <c r="R23" s="182">
        <f>('Monthly Summary'!BW28 + 'Monthly Summary'!BW61)/1000000</f>
        <v>0</v>
      </c>
      <c r="S23" s="183">
        <f t="shared" si="0"/>
        <v>0</v>
      </c>
      <c r="T23" s="1324"/>
      <c r="V23" s="1754"/>
      <c r="W23" s="1754"/>
      <c r="X23" s="1754"/>
      <c r="Z23" s="123"/>
      <c r="AA23" s="156"/>
    </row>
    <row r="24" spans="1:27" ht="17.25" customHeight="1" thickBot="1">
      <c r="A24" s="1"/>
      <c r="B24" s="131"/>
      <c r="C24" s="319" t="s">
        <v>184</v>
      </c>
      <c r="D24" s="318"/>
      <c r="E24" s="320">
        <f>('Financial Summary'!L8)/1000000</f>
        <v>0</v>
      </c>
      <c r="F24" s="320">
        <f>('Financial Summary'!Q8)/1000000</f>
        <v>0</v>
      </c>
      <c r="G24" s="320">
        <f>('Financial Summary'!V8)/1000000</f>
        <v>0</v>
      </c>
      <c r="H24" s="320">
        <f>('Financial Summary'!AA8)/1000000</f>
        <v>0</v>
      </c>
      <c r="I24" s="320">
        <f>('Financial Summary'!AF8)/1000000</f>
        <v>0</v>
      </c>
      <c r="J24" s="320">
        <f>('Financial Summary'!AK8)/1000000</f>
        <v>0</v>
      </c>
      <c r="K24" s="130"/>
      <c r="L24" s="123"/>
      <c r="N24" s="1718"/>
      <c r="O24" s="1719" t="s">
        <v>169</v>
      </c>
      <c r="P24" s="1720"/>
      <c r="Q24" s="1322"/>
      <c r="R24" s="182">
        <f>('Monthly Summary'!BW29 + 'Monthly Summary'!BW62)/1000000</f>
        <v>0</v>
      </c>
      <c r="S24" s="323">
        <f t="shared" si="0"/>
        <v>0</v>
      </c>
      <c r="T24" s="1325"/>
      <c r="V24" s="1754"/>
      <c r="W24" s="1754"/>
      <c r="X24" s="1754"/>
      <c r="Z24" s="123"/>
      <c r="AA24" s="156"/>
    </row>
    <row r="25" spans="1:27" ht="18.75" customHeight="1" thickBot="1">
      <c r="A25" s="1"/>
      <c r="B25" s="131"/>
      <c r="C25" s="319" t="s">
        <v>183</v>
      </c>
      <c r="D25" s="318"/>
      <c r="E25" s="320">
        <f>('Financial Summary'!K8)/1000000</f>
        <v>0</v>
      </c>
      <c r="F25" s="320">
        <f>('Financial Summary'!P8)/1000000</f>
        <v>0</v>
      </c>
      <c r="G25" s="320">
        <f>('Financial Summary'!U8)/1000000</f>
        <v>0</v>
      </c>
      <c r="H25" s="320">
        <f>('Financial Summary'!Z8)/1000000</f>
        <v>0</v>
      </c>
      <c r="I25" s="320">
        <f>('Financial Summary'!AE8)/1000000</f>
        <v>0</v>
      </c>
      <c r="J25" s="320">
        <f>('Financial Summary'!AJ8)/1000000</f>
        <v>0</v>
      </c>
      <c r="K25" s="130"/>
      <c r="L25" s="123"/>
      <c r="M25" s="133"/>
      <c r="N25" s="189" t="s">
        <v>168</v>
      </c>
      <c r="O25" s="1721"/>
      <c r="P25" s="1708"/>
      <c r="Q25" s="1319"/>
      <c r="R25" s="179">
        <f>('Monthly Summary'!BW30 + 'Monthly Summary'!BW63)/1000000</f>
        <v>0</v>
      </c>
      <c r="S25" s="180">
        <f t="shared" si="0"/>
        <v>0</v>
      </c>
      <c r="T25" s="1323"/>
      <c r="V25" s="1754"/>
      <c r="W25" s="1754"/>
      <c r="X25" s="1754"/>
      <c r="Z25" s="123"/>
      <c r="AA25" s="156"/>
    </row>
    <row r="26" spans="1:27" ht="15" customHeight="1" thickBot="1">
      <c r="A26" s="1"/>
      <c r="B26" s="175"/>
      <c r="C26" s="319" t="s">
        <v>182</v>
      </c>
      <c r="D26" s="318"/>
      <c r="E26" s="317">
        <v>0</v>
      </c>
      <c r="F26" s="317">
        <v>0</v>
      </c>
      <c r="G26" s="317">
        <v>0</v>
      </c>
      <c r="H26" s="317">
        <v>0</v>
      </c>
      <c r="I26" s="317">
        <v>0</v>
      </c>
      <c r="J26" s="317">
        <v>0</v>
      </c>
      <c r="K26" s="130"/>
      <c r="L26" s="123"/>
      <c r="M26" s="133"/>
      <c r="N26" s="190" t="s">
        <v>167</v>
      </c>
      <c r="O26" s="1722"/>
      <c r="P26" s="1723"/>
      <c r="Q26" s="351"/>
      <c r="R26" s="182">
        <f>SUM('Monthly Summary'!BW36 + 'Monthly Summary'!BW68)/1000000</f>
        <v>9.7599999999999996E-3</v>
      </c>
      <c r="S26" s="183">
        <f t="shared" si="0"/>
        <v>9.7599999999999996E-3</v>
      </c>
      <c r="T26" s="217"/>
      <c r="V26" s="1754"/>
      <c r="W26" s="1754"/>
      <c r="X26" s="1754"/>
      <c r="Z26" s="123"/>
      <c r="AA26" s="155"/>
    </row>
    <row r="27" spans="1:27" ht="15" customHeight="1" thickBot="1">
      <c r="A27" s="1"/>
      <c r="B27" s="131"/>
      <c r="C27" s="128"/>
      <c r="D27" s="128"/>
      <c r="E27" s="128"/>
      <c r="F27" s="128"/>
      <c r="G27" s="128"/>
      <c r="H27" s="128"/>
      <c r="I27" s="128"/>
      <c r="J27" s="128"/>
      <c r="K27" s="130"/>
      <c r="L27" s="123"/>
      <c r="M27" s="133"/>
      <c r="N27" s="191" t="s">
        <v>107</v>
      </c>
      <c r="O27" s="1767"/>
      <c r="P27" s="1768"/>
      <c r="Q27" s="1319"/>
      <c r="R27" s="184">
        <f>'Monthly Summary'!BW69/1000000</f>
        <v>8.7630720328815779E-4</v>
      </c>
      <c r="S27" s="323">
        <f t="shared" si="0"/>
        <v>8.7630720328815779E-4</v>
      </c>
      <c r="T27" s="218"/>
      <c r="V27" s="1754"/>
      <c r="W27" s="1754"/>
      <c r="X27" s="1754"/>
      <c r="Z27" s="123"/>
      <c r="AA27" s="155"/>
    </row>
    <row r="28" spans="1:27" ht="24" customHeight="1" thickBot="1">
      <c r="B28" s="1384"/>
      <c r="C28" s="170"/>
      <c r="D28" s="170"/>
      <c r="E28" s="170"/>
      <c r="F28" s="170"/>
      <c r="G28" s="170"/>
      <c r="H28" s="170"/>
      <c r="I28" s="170"/>
      <c r="J28" s="170"/>
      <c r="K28" s="1384"/>
      <c r="L28" s="123"/>
      <c r="M28" s="133"/>
      <c r="N28" s="189" t="s">
        <v>13</v>
      </c>
      <c r="O28" s="1721"/>
      <c r="P28" s="1708"/>
      <c r="Q28" s="1319"/>
      <c r="R28" s="179">
        <f>SUM('Monthly Summary'!BW31:BW35,'Monthly Summary'!BW64:BW67)/1000000</f>
        <v>0</v>
      </c>
      <c r="S28" s="180">
        <f t="shared" si="0"/>
        <v>0</v>
      </c>
      <c r="T28" s="1323"/>
      <c r="V28" s="1754"/>
      <c r="W28" s="1754"/>
      <c r="X28" s="1754"/>
      <c r="Z28" s="123"/>
    </row>
    <row r="29" spans="1:27" ht="25.5" customHeight="1" thickBot="1">
      <c r="A29" s="1"/>
      <c r="B29" s="170"/>
      <c r="K29" s="170"/>
      <c r="L29" s="123"/>
      <c r="M29" s="133"/>
      <c r="N29" s="124"/>
      <c r="O29" s="1742" t="s">
        <v>166</v>
      </c>
      <c r="P29" s="1716">
        <v>0</v>
      </c>
      <c r="Q29" s="162">
        <f>SUM(Q22:Q28)</f>
        <v>0</v>
      </c>
      <c r="R29" s="187">
        <f>SUM(R22:R28)</f>
        <v>0.10823630720328817</v>
      </c>
      <c r="S29" s="188">
        <f t="shared" si="0"/>
        <v>0.10823630720328817</v>
      </c>
      <c r="T29" s="352"/>
      <c r="V29" s="1752" t="s">
        <v>319</v>
      </c>
      <c r="W29" s="1753"/>
      <c r="X29" s="1753"/>
      <c r="Z29" s="123"/>
    </row>
    <row r="30" spans="1:27" ht="15" customHeight="1">
      <c r="A30" s="1"/>
      <c r="B30" s="170"/>
      <c r="K30" s="170"/>
      <c r="L30" s="123"/>
      <c r="M30" s="133"/>
      <c r="Z30" s="123"/>
    </row>
    <row r="31" spans="1:27" ht="15" customHeight="1">
      <c r="A31" s="1"/>
      <c r="B31" s="170"/>
      <c r="L31" s="123"/>
      <c r="Z31" s="123"/>
    </row>
    <row r="32" spans="1:27" ht="15" customHeight="1">
      <c r="A32" s="1"/>
      <c r="B32" s="170"/>
      <c r="L32" s="123"/>
      <c r="Z32" s="123"/>
    </row>
    <row r="33" spans="1:26" ht="45.75" customHeight="1">
      <c r="A33" s="1"/>
      <c r="B33" s="170"/>
      <c r="L33" s="123"/>
      <c r="U33" s="234"/>
      <c r="V33" s="234"/>
      <c r="W33" s="234"/>
      <c r="X33" s="234"/>
      <c r="Z33" s="123"/>
    </row>
    <row r="34" spans="1:26" ht="49.5" customHeight="1">
      <c r="A34" s="1"/>
      <c r="B34" s="170"/>
      <c r="L34" s="123"/>
      <c r="N34" s="1726" t="s">
        <v>165</v>
      </c>
      <c r="O34" s="1726"/>
      <c r="P34" s="1726"/>
      <c r="Q34" s="1726"/>
      <c r="R34" s="1726"/>
      <c r="S34" s="1726"/>
      <c r="T34" s="234"/>
      <c r="Z34" s="123"/>
    </row>
    <row r="35" spans="1:26" ht="27.75" customHeight="1" thickBot="1">
      <c r="A35" s="1"/>
      <c r="B35" s="170"/>
      <c r="L35" s="123"/>
      <c r="N35" s="1726"/>
      <c r="O35" s="1726"/>
      <c r="P35" s="1726"/>
      <c r="Q35" s="1726"/>
      <c r="R35" s="1726"/>
      <c r="S35" s="1726"/>
      <c r="Z35" s="123"/>
    </row>
    <row r="36" spans="1:26" ht="15" customHeight="1" thickBot="1">
      <c r="A36" s="1"/>
      <c r="L36" s="123"/>
      <c r="Q36" s="1743" t="s">
        <v>164</v>
      </c>
      <c r="R36" s="1744"/>
      <c r="S36" s="1745"/>
      <c r="Z36" s="123"/>
    </row>
    <row r="37" spans="1:26" ht="18" customHeight="1" thickBot="1">
      <c r="A37" s="1"/>
      <c r="L37" s="123"/>
      <c r="M37" s="133"/>
      <c r="O37" s="1696" t="s">
        <v>16</v>
      </c>
      <c r="P37" s="1697"/>
      <c r="Q37" s="177" t="s">
        <v>19</v>
      </c>
      <c r="R37" s="206" t="s">
        <v>212</v>
      </c>
      <c r="S37" s="207" t="s">
        <v>216</v>
      </c>
      <c r="Z37" s="123"/>
    </row>
    <row r="38" spans="1:26" ht="15.75" customHeight="1">
      <c r="A38" s="1"/>
      <c r="L38" s="123"/>
      <c r="M38" s="133"/>
      <c r="O38" s="1746" t="str">
        <f>Variables!A39</f>
        <v>IBM</v>
      </c>
      <c r="P38" s="1747"/>
      <c r="Q38" s="223">
        <f>Q13+Q17+(Q23*'Other Costs'!CN205)+(Q24*'Other Costs'!CR205)+(Q25*'Other Costs'!CV205)+($Q$28-$Q$52)*'Other Costs'!CZ205</f>
        <v>0</v>
      </c>
      <c r="R38" s="208">
        <f>(SUM('Resource Costs'!EZ259:EZ260)+SUM('Other Costs'!DA205:DA206))/1000000</f>
        <v>0</v>
      </c>
      <c r="S38" s="209">
        <f t="shared" ref="S38:S47" si="2">SUM(Q38:R38)</f>
        <v>0</v>
      </c>
      <c r="Z38" s="123"/>
    </row>
    <row r="39" spans="1:26" ht="15.75" customHeight="1">
      <c r="L39" s="123"/>
      <c r="M39" s="133"/>
      <c r="O39" s="1740" t="str">
        <f>Variables!A40</f>
        <v>WiPro</v>
      </c>
      <c r="P39" s="1741"/>
      <c r="Q39" s="316">
        <f>Q14+Q18+(Q23*'Other Costs'!CN208)+(Q24*'Other Costs'!CR208)+(Q25*'Other Costs'!CV208)+($Q$28-$Q$52)*'Other Costs'!CZ208</f>
        <v>0</v>
      </c>
      <c r="R39" s="315">
        <f>(SUM('Resource Costs'!EZ262:EZ263)+SUM('Other Costs'!DA208:DA209))/1000000</f>
        <v>0</v>
      </c>
      <c r="S39" s="314">
        <f t="shared" si="2"/>
        <v>0</v>
      </c>
      <c r="Z39" s="123"/>
    </row>
    <row r="40" spans="1:26" ht="15.75" customHeight="1">
      <c r="L40" s="123"/>
      <c r="M40" s="133"/>
      <c r="O40" s="1740" t="str">
        <f>Variables!A41</f>
        <v>ATOS</v>
      </c>
      <c r="P40" s="1741"/>
      <c r="Q40" s="316">
        <f>Q15+Q19+(Q23*'Other Costs'!CN211)+(Q24*'Other Costs'!CR211)+(Q25*'Other Costs'!CV211)+($Q$28-$Q$52)*'Other Costs'!CZ211</f>
        <v>0</v>
      </c>
      <c r="R40" s="315">
        <f>(SUM('Resource Costs'!EZ265:EZ266)+SUM('Other Costs'!DA211:DA212))/1000000</f>
        <v>0</v>
      </c>
      <c r="S40" s="314">
        <f t="shared" si="2"/>
        <v>0</v>
      </c>
      <c r="Z40" s="123"/>
    </row>
    <row r="41" spans="1:26" ht="15.75" customHeight="1">
      <c r="L41" s="123"/>
      <c r="M41" s="133"/>
      <c r="O41" s="1740" t="str">
        <f>Variables!A42</f>
        <v>Verizon</v>
      </c>
      <c r="P41" s="1741"/>
      <c r="Q41" s="316">
        <f>Q16+Q20+(Q23*'Other Costs'!CN214)+(Q24*'Other Costs'!CR214)+(Q25*'Other Costs'!CV214)+($Q$28-$Q$52)*'Other Costs'!CZ214</f>
        <v>0</v>
      </c>
      <c r="R41" s="315">
        <f>(SUM('Resource Costs'!EZ268:EZ269)+SUM('Other Costs'!DA214:DA215))/1000000</f>
        <v>0</v>
      </c>
      <c r="S41" s="314">
        <f t="shared" si="2"/>
        <v>0</v>
      </c>
      <c r="Z41" s="123"/>
    </row>
    <row r="42" spans="1:26" ht="15.75" customHeight="1">
      <c r="L42" s="123"/>
      <c r="M42" s="133"/>
      <c r="O42" s="1740" t="str">
        <f>Variables!A44</f>
        <v xml:space="preserve">Other </v>
      </c>
      <c r="P42" s="1741"/>
      <c r="Q42" s="316">
        <f>(Q$21*'Resource Costs'!EY274*'Resource Costs'!EY$292)+(Q$21*'Other Costs'!CF220*'Other Costs'!CF$238)+(Q$21*'Other Costs'!CJ220*'Other Costs'!CJ$238)+(Q23*'Other Costs'!CN220)+(Q24*'Other Costs'!CR220)+(Q25*'Other Costs'!CV220)+($Q$28-$Q$52)*'Other Costs'!CZ220</f>
        <v>0</v>
      </c>
      <c r="R42" s="315">
        <f>(SUM('Resource Costs'!EZ274:EZ275)+SUM('Other Costs'!DA220:DA221))/1000000</f>
        <v>0</v>
      </c>
      <c r="S42" s="314">
        <f t="shared" si="2"/>
        <v>0</v>
      </c>
      <c r="Z42" s="123"/>
    </row>
    <row r="43" spans="1:26" ht="15.75" customHeight="1">
      <c r="L43" s="123"/>
      <c r="O43" s="1740" t="str">
        <f>Variables!A45</f>
        <v>Capgemini</v>
      </c>
      <c r="P43" s="1741"/>
      <c r="Q43" s="316">
        <f>(Q$21*'Resource Costs'!EY277*'Resource Costs'!EY$292)+(Q$21*'Other Costs'!CF223*'Other Costs'!CF$238)+(Q$21*'Other Costs'!CJ223*'Other Costs'!CJ$238)+(Q23*'Other Costs'!CN223)+(Q24*'Other Costs'!CR223)+(Q25*'Other Costs'!CV223)+($Q$28-$Q$52)*'Other Costs'!CZ223</f>
        <v>0</v>
      </c>
      <c r="R43" s="315">
        <f>(SUM('Resource Costs'!EZ277:EZ278)+SUM('Other Costs'!DA223:DA224))/1000000</f>
        <v>0</v>
      </c>
      <c r="S43" s="314">
        <f t="shared" si="2"/>
        <v>0</v>
      </c>
      <c r="Z43" s="123"/>
    </row>
    <row r="44" spans="1:26" ht="15.75" customHeight="1">
      <c r="L44" s="123"/>
      <c r="O44" s="1740" t="str">
        <f>Variables!A46</f>
        <v>User Defined #2</v>
      </c>
      <c r="P44" s="1741"/>
      <c r="Q44" s="316">
        <f>(Q$21*'Resource Costs'!EY280*'Resource Costs'!EY$292)+(Q$21*'Other Costs'!CF226*'Other Costs'!CF$238)+(Q$21*'Other Costs'!CJ226*'Other Costs'!CJ$238)+(Q23*'Other Costs'!CN226)+(Q24*'Other Costs'!CR226)+(Q25*'Other Costs'!CV226)+($Q$28-$Q$52)*'Other Costs'!CZ226</f>
        <v>0</v>
      </c>
      <c r="R44" s="315">
        <f>(SUM('Resource Costs'!EZ280:EZ281)+SUM('Other Costs'!DA226:DA227))/1000000</f>
        <v>0</v>
      </c>
      <c r="S44" s="314">
        <f t="shared" si="2"/>
        <v>0</v>
      </c>
      <c r="Z44" s="123"/>
    </row>
    <row r="45" spans="1:26" ht="15.75" customHeight="1">
      <c r="L45" s="123"/>
      <c r="O45" s="1740" t="str">
        <f>Variables!A47</f>
        <v>User Defined #3</v>
      </c>
      <c r="P45" s="1741"/>
      <c r="Q45" s="316">
        <f>(Q$21*'Resource Costs'!EY283*'Resource Costs'!EY$292)+(Q$21*'Other Costs'!CF229*'Other Costs'!CF$238)+(Q$21*'Other Costs'!CJ229*'Other Costs'!CJ$238)+(Q23*'Other Costs'!CN229)+(Q24*'Other Costs'!CR229)+(Q25*'Other Costs'!CV229)+($Q$28-$Q$52)*'Other Costs'!CZ229</f>
        <v>0</v>
      </c>
      <c r="R45" s="315">
        <f>(SUM('Resource Costs'!EZ283:EZ284)+SUM('Other Costs'!DA229:DA230))/1000000</f>
        <v>0</v>
      </c>
      <c r="S45" s="314">
        <f t="shared" si="2"/>
        <v>0</v>
      </c>
      <c r="Z45" s="123"/>
    </row>
    <row r="46" spans="1:26" ht="15.75" customHeight="1">
      <c r="L46" s="123"/>
      <c r="O46" s="1740" t="str">
        <f>Variables!A48</f>
        <v>User Defined #4</v>
      </c>
      <c r="P46" s="1741"/>
      <c r="Q46" s="316">
        <f>(Q$21*'Resource Costs'!EY286*'Resource Costs'!EY$292)+(Q$21*'Other Costs'!CF232*'Other Costs'!CF$238)+(Q$21*'Other Costs'!CJ232*'Other Costs'!CJ$238)+(Q23*'Other Costs'!CN232)+(Q24*'Other Costs'!CR232)+(Q25*'Other Costs'!CV232)+($Q$28-$Q$52)*'Other Costs'!CZ232</f>
        <v>0</v>
      </c>
      <c r="R46" s="315">
        <f>(SUM('Resource Costs'!EZ286:EZ287)+SUM('Other Costs'!DA232:DA233))/1000000</f>
        <v>0</v>
      </c>
      <c r="S46" s="314">
        <f t="shared" si="2"/>
        <v>0</v>
      </c>
      <c r="Z46" s="123"/>
    </row>
    <row r="47" spans="1:26" ht="15.75" customHeight="1" thickBot="1">
      <c r="L47" s="123"/>
      <c r="O47" s="1755" t="str">
        <f>Variables!A49</f>
        <v>User Defined #5</v>
      </c>
      <c r="P47" s="1756"/>
      <c r="Q47" s="224">
        <f>(Q$21*'Resource Costs'!EY289*'Resource Costs'!EY$292)+(Q$21*'Other Costs'!CF235*'Other Costs'!CF$238)+(Q$21*'Other Costs'!CJ235*'Other Costs'!CJ$238)+(Q23*'Other Costs'!CN235)+(Q24*'Other Costs'!CR235)+(Q25*'Other Costs'!CV235)+($Q$28-$Q$52)*'Other Costs'!CZ235</f>
        <v>0</v>
      </c>
      <c r="R47" s="210">
        <f>(SUM('Resource Costs'!EZ289:EZ290)+SUM('Other Costs'!DA235:DA236))/1000000</f>
        <v>0</v>
      </c>
      <c r="S47" s="211">
        <f t="shared" si="2"/>
        <v>0</v>
      </c>
      <c r="Z47" s="123"/>
    </row>
    <row r="48" spans="1:26" ht="14.5" customHeight="1" thickBot="1">
      <c r="L48" s="123"/>
      <c r="Z48" s="123"/>
    </row>
    <row r="49" spans="12:26" ht="17.25" customHeight="1">
      <c r="L49" s="123"/>
      <c r="O49" s="1759" t="s">
        <v>176</v>
      </c>
      <c r="P49" s="1760"/>
      <c r="Q49" s="212">
        <f>Q12+($Q$28-$Q$52)*'Other Costs'!CZ202+($Q$28-$Q$52)*'Other Costs'!CZ217</f>
        <v>0</v>
      </c>
      <c r="R49" s="212">
        <f>(SUM('Resource Costs'!EZ256:EZ257,'Resource Costs'!EZ271:EZ272)+SUM('Other Costs'!DA202:DA203,'Other Costs'!DA217:DA218))/1000000</f>
        <v>9.7600000000000006E-2</v>
      </c>
      <c r="S49" s="212">
        <f>SUM(Q49:R49)</f>
        <v>9.7600000000000006E-2</v>
      </c>
      <c r="Z49" s="123"/>
    </row>
    <row r="50" spans="12:26" ht="15" customHeight="1">
      <c r="L50" s="123"/>
      <c r="O50" s="1761" t="s">
        <v>230</v>
      </c>
      <c r="P50" s="1762"/>
      <c r="Q50" s="312">
        <f>Q27</f>
        <v>0</v>
      </c>
      <c r="R50" s="312">
        <f>R27</f>
        <v>8.7630720328815779E-4</v>
      </c>
      <c r="S50" s="312">
        <f>SUM(Q50:R50)</f>
        <v>8.7630720328815779E-4</v>
      </c>
      <c r="Z50" s="123"/>
    </row>
    <row r="51" spans="12:26" ht="15" customHeight="1">
      <c r="L51" s="123"/>
      <c r="O51" s="1761" t="s">
        <v>231</v>
      </c>
      <c r="P51" s="1762"/>
      <c r="Q51" s="313"/>
      <c r="R51" s="312">
        <f>R26</f>
        <v>9.7599999999999996E-3</v>
      </c>
      <c r="S51" s="312">
        <f>SUM(Q51:R51)</f>
        <v>9.7599999999999996E-3</v>
      </c>
      <c r="Z51" s="123"/>
    </row>
    <row r="52" spans="12:26" ht="15" hidden="1" customHeight="1" thickBot="1">
      <c r="L52" s="123"/>
      <c r="O52" s="1763" t="s">
        <v>204</v>
      </c>
      <c r="P52" s="1764"/>
      <c r="Q52" s="1326"/>
      <c r="R52" s="213">
        <f>('Monthly Summary'!BW35+'Monthly Summary'!BW67)/1000000</f>
        <v>0</v>
      </c>
      <c r="S52" s="213">
        <f>SUM(Q52:R52)</f>
        <v>0</v>
      </c>
      <c r="T52" s="1387" t="s">
        <v>248</v>
      </c>
      <c r="Z52" s="123"/>
    </row>
    <row r="53" spans="12:26" ht="19.75" customHeight="1">
      <c r="L53" s="123"/>
      <c r="O53" s="1765" t="s">
        <v>232</v>
      </c>
      <c r="P53" s="1766"/>
      <c r="Q53" s="214">
        <f>SUM(Q49:Q52,Q38:Q47)</f>
        <v>0</v>
      </c>
      <c r="R53" s="214">
        <f>SUM(R49:R52,R38:R47)</f>
        <v>0.10823630720328817</v>
      </c>
      <c r="S53" s="214">
        <f>SUM(S49:S52,S38:S47)</f>
        <v>0.10823630720328817</v>
      </c>
      <c r="T53" s="1388"/>
      <c r="Z53" s="123"/>
    </row>
    <row r="54" spans="12:26" ht="28.5" customHeight="1" thickBot="1">
      <c r="L54" s="123"/>
      <c r="O54" s="1757" t="s">
        <v>239</v>
      </c>
      <c r="P54" s="1758"/>
      <c r="Q54" s="215">
        <f>Q53-Q29</f>
        <v>0</v>
      </c>
      <c r="R54" s="215">
        <f>R53-R29</f>
        <v>0</v>
      </c>
      <c r="S54" s="215">
        <f>S53-S29</f>
        <v>0</v>
      </c>
      <c r="T54" s="1388"/>
      <c r="Y54" s="235"/>
      <c r="Z54" s="123"/>
    </row>
    <row r="55" spans="12:26" ht="16.5" customHeight="1">
      <c r="L55" s="123"/>
      <c r="Z55" s="123"/>
    </row>
    <row r="56" spans="12:26" ht="15" customHeight="1">
      <c r="L56" s="123"/>
      <c r="Z56" s="123"/>
    </row>
    <row r="57" spans="12:26" ht="15" customHeight="1">
      <c r="L57" s="123"/>
      <c r="Z57" s="123"/>
    </row>
    <row r="58" spans="12:26" ht="15" customHeight="1">
      <c r="L58" s="123"/>
      <c r="Z58" s="123"/>
    </row>
    <row r="59" spans="12:26" ht="15" customHeight="1">
      <c r="L59" s="123"/>
      <c r="Z59" s="123"/>
    </row>
    <row r="60" spans="12:26" ht="15" customHeight="1">
      <c r="L60" s="123"/>
      <c r="Z60" s="123"/>
    </row>
    <row r="61" spans="12:26" ht="15" customHeight="1">
      <c r="L61" s="123"/>
      <c r="Z61" s="123"/>
    </row>
    <row r="62" spans="12:26" ht="15" customHeight="1">
      <c r="L62" s="123"/>
      <c r="Z62" s="123"/>
    </row>
    <row r="63" spans="12:26" ht="15" customHeight="1">
      <c r="L63" s="123"/>
      <c r="Z63" s="123"/>
    </row>
    <row r="64" spans="12:26" ht="15" customHeight="1">
      <c r="L64" s="123"/>
      <c r="Z64" s="123"/>
    </row>
    <row r="65" spans="12:26" ht="15" customHeight="1">
      <c r="L65" s="123"/>
      <c r="Z65" s="123"/>
    </row>
    <row r="66" spans="12:26" ht="15" customHeight="1">
      <c r="L66" s="123"/>
      <c r="Z66" s="123"/>
    </row>
    <row r="67" spans="12:26" ht="15" customHeight="1">
      <c r="L67" s="123"/>
      <c r="Z67" s="123"/>
    </row>
    <row r="68" spans="12:26" ht="15" customHeight="1">
      <c r="L68" s="123"/>
    </row>
    <row r="69" spans="12:26" ht="15" customHeight="1">
      <c r="L69" s="123"/>
    </row>
  </sheetData>
  <sheetProtection algorithmName="SHA-512" hashValue="UhgsEO9Fo/yxPYGyVN026yxlSR4ILaagj0Xmr9FO50B/r7VNXQUJJhPnbXgyC7MZLKVL8DEGEgT5oUXydXU0wg==" saltValue="MG+sys5bxR1iuhfZr3wEDQ==" spinCount="100000" sheet="1" objects="1" scenarios="1"/>
  <protectedRanges>
    <protectedRange sqref="T21 T23:T25 T28 Q12:Q21 Q23:Q25 Q27:Q28" name="Project Cost Breakdown"/>
    <protectedRange sqref="Q52" name="Vendor Supplier"/>
  </protectedRanges>
  <mergeCells count="50">
    <mergeCell ref="V29:X29"/>
    <mergeCell ref="V21:X28"/>
    <mergeCell ref="O47:P47"/>
    <mergeCell ref="O54:P54"/>
    <mergeCell ref="O49:P49"/>
    <mergeCell ref="O50:P50"/>
    <mergeCell ref="O51:P51"/>
    <mergeCell ref="O52:P52"/>
    <mergeCell ref="O53:P53"/>
    <mergeCell ref="N34:S35"/>
    <mergeCell ref="O27:P27"/>
    <mergeCell ref="O45:P45"/>
    <mergeCell ref="O46:P46"/>
    <mergeCell ref="O40:P40"/>
    <mergeCell ref="O41:P41"/>
    <mergeCell ref="O43:P43"/>
    <mergeCell ref="D22:D23"/>
    <mergeCell ref="D12:D13"/>
    <mergeCell ref="C19:J21"/>
    <mergeCell ref="C11:J11"/>
    <mergeCell ref="O42:P42"/>
    <mergeCell ref="O44:P44"/>
    <mergeCell ref="O29:P29"/>
    <mergeCell ref="Q36:S36"/>
    <mergeCell ref="O39:P39"/>
    <mergeCell ref="O38:P38"/>
    <mergeCell ref="C3:P3"/>
    <mergeCell ref="C2:P2"/>
    <mergeCell ref="C4:J4"/>
    <mergeCell ref="N4:X4"/>
    <mergeCell ref="N8:X8"/>
    <mergeCell ref="N7:X7"/>
    <mergeCell ref="N6:X6"/>
    <mergeCell ref="C5:J7"/>
    <mergeCell ref="V12:X19"/>
    <mergeCell ref="O37:P37"/>
    <mergeCell ref="N10:T10"/>
    <mergeCell ref="O11:P11"/>
    <mergeCell ref="N12:N22"/>
    <mergeCell ref="O12:P12"/>
    <mergeCell ref="O13:P16"/>
    <mergeCell ref="O17:P20"/>
    <mergeCell ref="O21:P21"/>
    <mergeCell ref="O22:P22"/>
    <mergeCell ref="N23:N24"/>
    <mergeCell ref="O24:P24"/>
    <mergeCell ref="O25:P25"/>
    <mergeCell ref="O26:P26"/>
    <mergeCell ref="O23:P23"/>
    <mergeCell ref="O28:P28"/>
  </mergeCells>
  <conditionalFormatting sqref="Q12:Q21">
    <cfRule type="cellIs" dxfId="472" priority="11" operator="notEqual">
      <formula>""</formula>
    </cfRule>
  </conditionalFormatting>
  <conditionalFormatting sqref="T21">
    <cfRule type="cellIs" dxfId="471" priority="7" operator="notEqual">
      <formula>""</formula>
    </cfRule>
  </conditionalFormatting>
  <conditionalFormatting sqref="T28 T23:T25">
    <cfRule type="cellIs" dxfId="470" priority="6" operator="notEqual">
      <formula>""</formula>
    </cfRule>
  </conditionalFormatting>
  <conditionalFormatting sqref="Q23:Q25">
    <cfRule type="cellIs" dxfId="469" priority="4" operator="notEqual">
      <formula>""</formula>
    </cfRule>
  </conditionalFormatting>
  <conditionalFormatting sqref="Q27:Q28">
    <cfRule type="cellIs" dxfId="468" priority="2" operator="notEqual">
      <formula>""</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12" id="{008D760E-864D-4994-84B9-932200C85C0D}">
            <xm:f>ROUND($S$29,3)&lt;&gt;ROUND('Financial Summary'!#REF!/1000000,3)</xm:f>
            <x14:dxf>
              <font>
                <b/>
                <i val="0"/>
                <color rgb="FFC00000"/>
              </font>
              <fill>
                <patternFill>
                  <bgColor theme="5" tint="0.59996337778862885"/>
                </patternFill>
              </fill>
            </x14:dxf>
          </x14:cfRule>
          <xm:sqref>S29</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5">
    <tabColor rgb="FFFFC000"/>
  </sheetPr>
  <dimension ref="A1:V52"/>
  <sheetViews>
    <sheetView showGridLines="0" zoomScaleNormal="100" workbookViewId="0">
      <selection activeCell="J1" sqref="J1"/>
    </sheetView>
  </sheetViews>
  <sheetFormatPr defaultColWidth="9.1796875" defaultRowHeight="14.5"/>
  <cols>
    <col min="1" max="1" width="22.26953125" style="474" customWidth="1"/>
    <col min="2" max="2" width="9.1796875" style="474" customWidth="1"/>
    <col min="3" max="3" width="11.26953125" style="474" customWidth="1"/>
    <col min="4" max="4" width="11.7265625" style="474" customWidth="1"/>
    <col min="5" max="7" width="11.26953125" style="474" customWidth="1"/>
    <col min="8" max="8" width="11.54296875" style="474" customWidth="1"/>
    <col min="9" max="9" width="12.26953125" style="524" customWidth="1"/>
    <col min="10" max="10" width="5" style="475" customWidth="1"/>
    <col min="11" max="11" width="17.26953125" style="589" customWidth="1"/>
    <col min="12" max="18" width="9.26953125" style="589" customWidth="1"/>
    <col min="19" max="19" width="9.26953125" style="630" customWidth="1"/>
    <col min="20" max="20" width="5" style="475" customWidth="1"/>
    <col min="21" max="21" width="79.7265625" style="525" customWidth="1"/>
    <col min="22" max="22" width="67.7265625" style="525" customWidth="1"/>
    <col min="23" max="16384" width="9.1796875" style="136"/>
  </cols>
  <sheetData>
    <row r="1" spans="1:22" ht="15" thickBot="1">
      <c r="A1" s="1781" t="s">
        <v>413</v>
      </c>
      <c r="B1" s="1782"/>
      <c r="C1" s="1782"/>
      <c r="D1" s="1782"/>
      <c r="E1" s="1782"/>
      <c r="F1" s="1782"/>
      <c r="G1" s="1782"/>
      <c r="H1" s="1782"/>
      <c r="I1" s="1783"/>
      <c r="J1" s="471"/>
      <c r="K1" s="1818" t="s">
        <v>324</v>
      </c>
      <c r="L1" s="1819"/>
      <c r="M1" s="1819"/>
      <c r="N1" s="1819"/>
      <c r="O1" s="1819"/>
      <c r="P1" s="1819"/>
      <c r="Q1" s="1819"/>
      <c r="R1" s="1819"/>
      <c r="S1" s="1820"/>
      <c r="T1" s="471"/>
      <c r="U1" s="1821" t="s">
        <v>325</v>
      </c>
      <c r="V1" s="1821"/>
    </row>
    <row r="2" spans="1:22">
      <c r="A2" s="472"/>
      <c r="B2" s="472"/>
      <c r="C2" s="472"/>
      <c r="D2" s="472"/>
      <c r="E2" s="472"/>
      <c r="F2" s="472"/>
      <c r="G2" s="472"/>
      <c r="H2" s="472"/>
      <c r="I2" s="472"/>
      <c r="J2" s="471"/>
      <c r="K2" s="17"/>
      <c r="L2" s="17"/>
      <c r="M2" s="17"/>
      <c r="N2" s="17"/>
      <c r="O2" s="17"/>
      <c r="P2" s="17"/>
      <c r="Q2" s="17"/>
      <c r="R2" s="17"/>
      <c r="S2" s="17"/>
      <c r="T2" s="471"/>
      <c r="U2" s="526"/>
      <c r="V2" s="473"/>
    </row>
    <row r="3" spans="1:22">
      <c r="A3" s="1784"/>
      <c r="B3" s="1785"/>
      <c r="C3" s="1785"/>
      <c r="D3" s="1785"/>
      <c r="E3" s="1785"/>
      <c r="F3" s="1785"/>
      <c r="G3" s="1785"/>
      <c r="H3" s="1785"/>
      <c r="I3" s="1786"/>
      <c r="J3" s="471"/>
      <c r="K3" s="1822" t="s">
        <v>326</v>
      </c>
      <c r="L3" s="1823"/>
      <c r="M3" s="1823"/>
      <c r="N3" s="1823"/>
      <c r="O3" s="1823"/>
      <c r="P3" s="1823"/>
      <c r="Q3" s="1823"/>
      <c r="R3" s="1823"/>
      <c r="S3" s="1824"/>
      <c r="T3" s="471"/>
      <c r="U3" s="526"/>
      <c r="V3" s="473"/>
    </row>
    <row r="4" spans="1:22" ht="15" thickBot="1">
      <c r="I4" s="474"/>
      <c r="M4" s="590" t="str">
        <f>Variables!B21</f>
        <v>FY 22</v>
      </c>
      <c r="N4" s="590" t="str">
        <f>Variables!N21</f>
        <v>FY 23</v>
      </c>
      <c r="O4" s="590" t="str">
        <f>Variables!Z21</f>
        <v>FY 24</v>
      </c>
      <c r="P4" s="590" t="str">
        <f>Variables!AL21</f>
        <v>FY 25</v>
      </c>
      <c r="Q4" s="590" t="str">
        <f>Variables!AX21</f>
        <v>FY 26</v>
      </c>
      <c r="R4" s="590" t="str">
        <f>Variables!BJ21</f>
        <v>FY 27</v>
      </c>
      <c r="S4" s="589"/>
      <c r="U4" s="476"/>
      <c r="V4" s="476"/>
    </row>
    <row r="5" spans="1:22" ht="15.5" thickTop="1" thickBot="1">
      <c r="A5" s="1787" t="str">
        <f>CONCATENATE("Project Costs [",Variables!$C$4,"M]")</f>
        <v>Project Costs [$M]</v>
      </c>
      <c r="B5" s="573" t="s">
        <v>327</v>
      </c>
      <c r="C5" s="573" t="s">
        <v>328</v>
      </c>
      <c r="D5" s="573" t="s">
        <v>329</v>
      </c>
      <c r="E5" s="573" t="s">
        <v>330</v>
      </c>
      <c r="F5" s="573" t="s">
        <v>331</v>
      </c>
      <c r="G5" s="573" t="s">
        <v>332</v>
      </c>
      <c r="H5" s="573" t="s">
        <v>333</v>
      </c>
      <c r="I5" s="1789" t="s">
        <v>18</v>
      </c>
      <c r="J5" s="478"/>
      <c r="K5" s="1825" t="str">
        <f>CONCATENATE("Project Costs [",Variables!$C$4,"M]")</f>
        <v>Project Costs [$M]</v>
      </c>
      <c r="L5" s="477" t="s">
        <v>327</v>
      </c>
      <c r="M5" s="477" t="s">
        <v>328</v>
      </c>
      <c r="N5" s="477" t="s">
        <v>329</v>
      </c>
      <c r="O5" s="477" t="s">
        <v>330</v>
      </c>
      <c r="P5" s="477" t="s">
        <v>331</v>
      </c>
      <c r="Q5" s="477" t="s">
        <v>332</v>
      </c>
      <c r="R5" s="477" t="s">
        <v>333</v>
      </c>
      <c r="S5" s="1827" t="s">
        <v>18</v>
      </c>
      <c r="T5" s="478"/>
      <c r="U5" s="479" t="s">
        <v>334</v>
      </c>
      <c r="V5" s="480" t="s">
        <v>335</v>
      </c>
    </row>
    <row r="6" spans="1:22" ht="15" thickBot="1">
      <c r="A6" s="1788"/>
      <c r="B6" s="574" t="s">
        <v>336</v>
      </c>
      <c r="C6" s="574" t="str">
        <f>IFERROR(RIGHT(Variables!B21,LEN(Variables!B21)-3),0)</f>
        <v>22</v>
      </c>
      <c r="D6" s="574" t="str">
        <f>RIGHT(Variables!N21,LEN(Variables!N21)-3)</f>
        <v>23</v>
      </c>
      <c r="E6" s="574" t="str">
        <f>RIGHT(Variables!Z21,LEN(Variables!Z21)-3)</f>
        <v>24</v>
      </c>
      <c r="F6" s="574" t="str">
        <f>RIGHT(Variables!AL21,LEN(Variables!AL21)-3)</f>
        <v>25</v>
      </c>
      <c r="G6" s="574" t="str">
        <f>RIGHT(Variables!AX21,LEN(Variables!AX21)-3)</f>
        <v>26</v>
      </c>
      <c r="H6" s="574" t="str">
        <f>RIGHT(Variables!BJ21,LEN(Variables!BJ21)-3)</f>
        <v>27</v>
      </c>
      <c r="I6" s="1790"/>
      <c r="J6" s="478"/>
      <c r="K6" s="1826"/>
      <c r="L6" s="481" t="s">
        <v>336</v>
      </c>
      <c r="M6" s="481" t="str">
        <f>C6</f>
        <v>22</v>
      </c>
      <c r="N6" s="481" t="str">
        <f t="shared" ref="N6:R6" si="0">D6</f>
        <v>23</v>
      </c>
      <c r="O6" s="481" t="str">
        <f t="shared" si="0"/>
        <v>24</v>
      </c>
      <c r="P6" s="481" t="str">
        <f t="shared" si="0"/>
        <v>25</v>
      </c>
      <c r="Q6" s="481" t="str">
        <f t="shared" si="0"/>
        <v>26</v>
      </c>
      <c r="R6" s="481" t="str">
        <f t="shared" si="0"/>
        <v>27</v>
      </c>
      <c r="S6" s="1828"/>
      <c r="T6" s="478"/>
      <c r="U6" s="1829" t="s">
        <v>337</v>
      </c>
      <c r="V6" s="1830"/>
    </row>
    <row r="7" spans="1:22" ht="15.75" customHeight="1" thickBot="1">
      <c r="A7" s="575" t="s">
        <v>338</v>
      </c>
      <c r="B7" s="1328"/>
      <c r="C7" s="558">
        <f>SUMIF('Monthly Summary'!C2:N2,"Start",'Monthly Summary'!C75:N75)/1000000</f>
        <v>0</v>
      </c>
      <c r="D7" s="558">
        <f>SUMIF('Monthly Summary'!O2:Z2,"Start",'Monthly Summary'!O75:Z75)/1000000</f>
        <v>0</v>
      </c>
      <c r="E7" s="558">
        <f>SUMIF('Monthly Summary'!AA2:AL2,"Start",'Monthly Summary'!AA75:AL75)/1000000</f>
        <v>0</v>
      </c>
      <c r="F7" s="558">
        <f>SUMIF('Monthly Summary'!AM2:AX2,"Start",'Monthly Summary'!AM75:AX75)/1000000</f>
        <v>0</v>
      </c>
      <c r="G7" s="558">
        <f>SUMIF('Monthly Summary'!AY2:BJ2,"Start",'Monthly Summary'!AY75:BJ75)/1000000</f>
        <v>0</v>
      </c>
      <c r="H7" s="558">
        <f>SUMIF('Monthly Summary'!BK2:BV2,"Start",'Monthly Summary'!BK75:BV75)/1000000</f>
        <v>0</v>
      </c>
      <c r="I7" s="544">
        <f>SUM(C7:H7)</f>
        <v>0</v>
      </c>
      <c r="J7" s="483" t="s">
        <v>389</v>
      </c>
      <c r="K7" s="591" t="s">
        <v>338</v>
      </c>
      <c r="L7" s="592">
        <f>B7</f>
        <v>0</v>
      </c>
      <c r="M7" s="593">
        <f>C7+SUMIF('Monthly Summary'!C2:N2,"Start",'Monthly Summary'!C78:N78)/1000000-M9</f>
        <v>0</v>
      </c>
      <c r="N7" s="592">
        <f>D7+SUMIF('Monthly Summary'!O2:Z2,"Start",'Monthly Summary'!O78:Z78)/1000000-N9</f>
        <v>0</v>
      </c>
      <c r="O7" s="592">
        <f>E7+SUMIF('Monthly Summary'!AA2:AL2,"Start",'Monthly Summary'!AA78:AL78)/1000000-O9</f>
        <v>0</v>
      </c>
      <c r="P7" s="592">
        <f>F7+SUMIF('Monthly Summary'!AM2:AX2,"Start",'Monthly Summary'!AM78:AX78)/1000000-P9</f>
        <v>0</v>
      </c>
      <c r="Q7" s="592">
        <f>G7+SUMIF('Monthly Summary'!AY2:BJ2,"Start",'Monthly Summary'!AY78:BJ78)/1000000-Q9</f>
        <v>0</v>
      </c>
      <c r="R7" s="592">
        <f>H7+SUMIF('Monthly Summary'!BK2:BV2,"Start",'Monthly Summary'!BK78:BV78)/1000000-R9</f>
        <v>0</v>
      </c>
      <c r="S7" s="594">
        <f>SUM(L7:R7)</f>
        <v>0</v>
      </c>
      <c r="T7" s="483" t="s">
        <v>339</v>
      </c>
      <c r="U7" s="484" t="s">
        <v>340</v>
      </c>
      <c r="V7" s="485" t="s">
        <v>341</v>
      </c>
    </row>
    <row r="8" spans="1:22" ht="15" thickBot="1">
      <c r="A8" s="575" t="s">
        <v>342</v>
      </c>
      <c r="B8" s="1328"/>
      <c r="C8" s="558">
        <f>SUMIF('Monthly Summary'!C2:N2,"Start",'Monthly Summary'!C74:N74)/1000000</f>
        <v>0</v>
      </c>
      <c r="D8" s="558">
        <f>SUMIF('Monthly Summary'!O2:Z2,"Start",'Monthly Summary'!O74:Z74)/1000000</f>
        <v>0</v>
      </c>
      <c r="E8" s="558">
        <f>SUMIF('Monthly Summary'!AA2:AL2,"Start",'Monthly Summary'!AA74:AL74)/1000000</f>
        <v>0</v>
      </c>
      <c r="F8" s="558">
        <f>SUMIF('Monthly Summary'!AM2:AX2,"Start",'Monthly Summary'!AM74:AX74)/1000000</f>
        <v>0</v>
      </c>
      <c r="G8" s="558">
        <f>SUMIF('Monthly Summary'!AY2:BJ2,"Start",'Monthly Summary'!AY74:BJ74)/1000000</f>
        <v>0</v>
      </c>
      <c r="H8" s="558">
        <f>SUMIF('Monthly Summary'!BK2:BV2,"Start",'Monthly Summary'!BK74:BV74)/1000000</f>
        <v>0</v>
      </c>
      <c r="I8" s="544">
        <f t="shared" ref="I8" si="1">SUM(C8:H8)</f>
        <v>0</v>
      </c>
      <c r="J8" s="483" t="s">
        <v>389</v>
      </c>
      <c r="K8" s="591" t="s">
        <v>342</v>
      </c>
      <c r="L8" s="592">
        <f t="shared" ref="L8:L10" si="2">B8</f>
        <v>0</v>
      </c>
      <c r="M8" s="593">
        <f>C8+SUMIF('Monthly Summary'!C2:N2,"Start",'Monthly Summary'!C77:N77)/1000000-M10</f>
        <v>0</v>
      </c>
      <c r="N8" s="592">
        <f>D8+SUMIF('Monthly Summary'!O2:Z2,"Start",'Monthly Summary'!O77:Z77)/1000000-N10</f>
        <v>0</v>
      </c>
      <c r="O8" s="592">
        <f>E8+SUMIF('Monthly Summary'!AA2:AL2,"Start",'Monthly Summary'!AA77:AL77)/1000000-O10</f>
        <v>0</v>
      </c>
      <c r="P8" s="592">
        <f>F8+SUMIF('Monthly Summary'!AM2:AX2,"Start",'Monthly Summary'!AM77:AX77)/1000000-P10</f>
        <v>0</v>
      </c>
      <c r="Q8" s="592">
        <f>G8+SUMIF('Monthly Summary'!AY2:BJ2,"Start",'Monthly Summary'!AY77:BJ77)/1000000-Q10</f>
        <v>0</v>
      </c>
      <c r="R8" s="592">
        <f>H8+SUMIF('Monthly Summary'!BK2:BV2,"Start",'Monthly Summary'!BK77:BV77)/1000000-R10</f>
        <v>0</v>
      </c>
      <c r="S8" s="594">
        <f>SUM(L8:R8)</f>
        <v>0</v>
      </c>
      <c r="T8" s="483" t="s">
        <v>339</v>
      </c>
      <c r="U8" s="486" t="s">
        <v>343</v>
      </c>
      <c r="V8" s="487" t="s">
        <v>344</v>
      </c>
    </row>
    <row r="9" spans="1:22" ht="15" thickBot="1">
      <c r="A9" s="576" t="s">
        <v>345</v>
      </c>
      <c r="B9" s="549"/>
      <c r="C9" s="550"/>
      <c r="D9" s="550"/>
      <c r="E9" s="550"/>
      <c r="F9" s="550"/>
      <c r="G9" s="550"/>
      <c r="H9" s="550"/>
      <c r="I9" s="551"/>
      <c r="J9" s="483" t="s">
        <v>389</v>
      </c>
      <c r="K9" s="595" t="s">
        <v>345</v>
      </c>
      <c r="L9" s="592">
        <f t="shared" si="2"/>
        <v>0</v>
      </c>
      <c r="M9" s="592">
        <f>SUMIF('Monthly Summary'!C$2:N$2,"Start",'Monthly Summary'!C85:N85)/1000000</f>
        <v>0</v>
      </c>
      <c r="N9" s="592">
        <f>SUMIF('Monthly Summary'!O$2:Z$2,"Start",'Monthly Summary'!O85:Z85)/1000000</f>
        <v>0</v>
      </c>
      <c r="O9" s="592">
        <f>SUMIF('Monthly Summary'!AA$2:AL$2,"Start",'Monthly Summary'!AA85:AL85)/1000000</f>
        <v>0</v>
      </c>
      <c r="P9" s="592">
        <f>SUMIF('Monthly Summary'!AM$2:AX$2,"Start",'Monthly Summary'!AM85:AX85)/1000000</f>
        <v>0</v>
      </c>
      <c r="Q9" s="592">
        <f>SUMIF('Monthly Summary'!AY$2:BJ$2,"Start",'Monthly Summary'!AY85:BJ85)/1000000</f>
        <v>0</v>
      </c>
      <c r="R9" s="592">
        <f>SUMIF('Monthly Summary'!BK$2:BV$2,"Start",'Monthly Summary'!BK85:BV85)/1000000</f>
        <v>0</v>
      </c>
      <c r="S9" s="594">
        <f>SUM(L9:R9)</f>
        <v>0</v>
      </c>
      <c r="T9" s="483" t="s">
        <v>339</v>
      </c>
      <c r="U9" s="486" t="s">
        <v>346</v>
      </c>
      <c r="V9" s="487" t="s">
        <v>347</v>
      </c>
    </row>
    <row r="10" spans="1:22" ht="23.5" thickBot="1">
      <c r="A10" s="577" t="s">
        <v>348</v>
      </c>
      <c r="B10" s="549"/>
      <c r="C10" s="552"/>
      <c r="D10" s="552"/>
      <c r="E10" s="552"/>
      <c r="F10" s="552"/>
      <c r="G10" s="552"/>
      <c r="H10" s="552"/>
      <c r="I10" s="551"/>
      <c r="J10" s="483" t="s">
        <v>389</v>
      </c>
      <c r="K10" s="596" t="s">
        <v>348</v>
      </c>
      <c r="L10" s="597">
        <f t="shared" si="2"/>
        <v>0</v>
      </c>
      <c r="M10" s="597">
        <f>SUMIF('Monthly Summary'!C$2:N$2,"Start",'Monthly Summary'!C86:N86)/1000000</f>
        <v>0</v>
      </c>
      <c r="N10" s="597">
        <f>SUMIF('Monthly Summary'!O$2:Z$2,"Start",'Monthly Summary'!O86:Z86)/1000000</f>
        <v>0</v>
      </c>
      <c r="O10" s="597">
        <f>SUMIF('Monthly Summary'!AA$2:AL$2,"Start",'Monthly Summary'!AA86:AL86)/1000000</f>
        <v>0</v>
      </c>
      <c r="P10" s="597">
        <f>SUMIF('Monthly Summary'!AM$2:AX$2,"Start",'Monthly Summary'!AM86:AX86)/1000000</f>
        <v>0</v>
      </c>
      <c r="Q10" s="597">
        <f>SUMIF('Monthly Summary'!AY$2:BJ$2,"Start",'Monthly Summary'!AY86:BJ86)/1000000</f>
        <v>0</v>
      </c>
      <c r="R10" s="597">
        <f>SUMIF('Monthly Summary'!BK$2:BV$2,"Start",'Monthly Summary'!BK86:BV86)/1000000</f>
        <v>0</v>
      </c>
      <c r="S10" s="598">
        <f>SUM(L10:R10)</f>
        <v>0</v>
      </c>
      <c r="T10" s="483" t="s">
        <v>339</v>
      </c>
      <c r="U10" s="488" t="s">
        <v>349</v>
      </c>
      <c r="V10" s="489" t="s">
        <v>347</v>
      </c>
    </row>
    <row r="11" spans="1:22" ht="15.5" thickTop="1" thickBot="1">
      <c r="A11" s="578" t="s">
        <v>350</v>
      </c>
      <c r="B11" s="543">
        <f>SUM(B7:B10)</f>
        <v>0</v>
      </c>
      <c r="C11" s="545">
        <f>SUM(C7:C10)</f>
        <v>0</v>
      </c>
      <c r="D11" s="545">
        <f t="shared" ref="D11:I11" si="3">SUM(D7:D10)</f>
        <v>0</v>
      </c>
      <c r="E11" s="545">
        <f t="shared" si="3"/>
        <v>0</v>
      </c>
      <c r="F11" s="545">
        <f t="shared" si="3"/>
        <v>0</v>
      </c>
      <c r="G11" s="545">
        <f t="shared" si="3"/>
        <v>0</v>
      </c>
      <c r="H11" s="545">
        <f t="shared" si="3"/>
        <v>0</v>
      </c>
      <c r="I11" s="545">
        <f t="shared" si="3"/>
        <v>0</v>
      </c>
      <c r="J11" s="492"/>
      <c r="K11" s="599" t="s">
        <v>350</v>
      </c>
      <c r="L11" s="600">
        <f>SUM(L7:L10)</f>
        <v>0</v>
      </c>
      <c r="M11" s="601">
        <f t="shared" ref="M11:S11" si="4">SUM(M7:M10)</f>
        <v>0</v>
      </c>
      <c r="N11" s="601">
        <f t="shared" si="4"/>
        <v>0</v>
      </c>
      <c r="O11" s="601">
        <f>SUM(O7:O10)</f>
        <v>0</v>
      </c>
      <c r="P11" s="601">
        <f t="shared" si="4"/>
        <v>0</v>
      </c>
      <c r="Q11" s="601">
        <f t="shared" si="4"/>
        <v>0</v>
      </c>
      <c r="R11" s="602">
        <f t="shared" si="4"/>
        <v>0</v>
      </c>
      <c r="S11" s="603">
        <f t="shared" si="4"/>
        <v>0</v>
      </c>
      <c r="T11" s="492"/>
      <c r="U11" s="510"/>
      <c r="V11" s="493"/>
    </row>
    <row r="12" spans="1:22" ht="15.5" thickTop="1" thickBot="1">
      <c r="A12" s="494"/>
      <c r="B12" s="495"/>
      <c r="C12" s="541"/>
      <c r="D12" s="541"/>
      <c r="E12" s="541"/>
      <c r="F12" s="541"/>
      <c r="G12" s="541"/>
      <c r="H12" s="541"/>
      <c r="I12" s="542"/>
      <c r="J12" s="497"/>
      <c r="K12" s="604"/>
      <c r="L12" s="605"/>
      <c r="M12" s="605"/>
      <c r="N12" s="605"/>
      <c r="O12" s="605"/>
      <c r="P12" s="605"/>
      <c r="Q12" s="605"/>
      <c r="R12" s="605"/>
      <c r="S12" s="606"/>
      <c r="T12" s="497"/>
      <c r="U12" s="498"/>
      <c r="V12" s="498"/>
    </row>
    <row r="13" spans="1:22" ht="15" thickBot="1">
      <c r="A13" s="576" t="s">
        <v>351</v>
      </c>
      <c r="B13" s="1329"/>
      <c r="C13" s="559">
        <f>SUM(SUMIF('Monthly Summary'!C2:N2,{"Req","Des"},'Monthly Summary'!C75:N75))/1000000</f>
        <v>0</v>
      </c>
      <c r="D13" s="560">
        <f>SUM(SUMIF('Monthly Summary'!O2:Z2,{"req","des"},'Monthly Summary'!O75:Z75))/1000000</f>
        <v>0</v>
      </c>
      <c r="E13" s="559">
        <f>SUM(SUMIF('Monthly Summary'!AA2:AL2,{"req","des"},'Monthly Summary'!AA75:AL75))/1000000</f>
        <v>0</v>
      </c>
      <c r="F13" s="559">
        <f>SUM(SUMIF('Monthly Summary'!AM2:AX2,{"req","des"},'Monthly Summary'!AM75:AX75))/1000000</f>
        <v>0</v>
      </c>
      <c r="G13" s="559">
        <f>SUM(SUMIF('Monthly Summary'!AY2:BJ2,{"req","des"},'Monthly Summary'!AY75:BJ75))/1000000</f>
        <v>0</v>
      </c>
      <c r="H13" s="560">
        <f>SUM(SUMIF('Monthly Summary'!BK2:BV2,{"req","des"},'Monthly Summary'!BK75:BV75))/1000000</f>
        <v>0</v>
      </c>
      <c r="I13" s="546">
        <f>SUM(C13:H13)</f>
        <v>0</v>
      </c>
      <c r="J13" s="483" t="s">
        <v>389</v>
      </c>
      <c r="K13" s="595" t="s">
        <v>351</v>
      </c>
      <c r="L13" s="607">
        <f>B13</f>
        <v>0</v>
      </c>
      <c r="M13" s="607">
        <f>C13+SUM(SUMIF('Monthly Summary'!C2:N2,{"Req","Des"},'Monthly Summary'!C78:N78))/1000000-M15</f>
        <v>0</v>
      </c>
      <c r="N13" s="607">
        <f>D13+SUM(SUMIF('Monthly Summary'!O2:Z2,{"Req","Des"},'Monthly Summary'!O78:Z78))/1000000-N15</f>
        <v>0</v>
      </c>
      <c r="O13" s="607">
        <f>E13+SUM(SUMIF('Monthly Summary'!AA2:AL2,{"Req","Des"},'Monthly Summary'!AA78:AL78))/1000000-O15</f>
        <v>0</v>
      </c>
      <c r="P13" s="607">
        <f>F13+SUM(SUMIF('Monthly Summary'!AM2:AX2,{"Req","Des"},'Monthly Summary'!AM78:AX78))/1000000-P15</f>
        <v>0</v>
      </c>
      <c r="Q13" s="607">
        <f>G13+SUM(SUMIF('Monthly Summary'!AY2:BJ2,{"Req","Des"},'Monthly Summary'!AY78:BJ78))/1000000-Q15</f>
        <v>0</v>
      </c>
      <c r="R13" s="607">
        <f>H13+SUM(SUMIF('Monthly Summary'!BK2:BV2,{"Req","Des"},'Monthly Summary'!BK78:BV78))/1000000-R15</f>
        <v>0</v>
      </c>
      <c r="S13" s="608">
        <f>SUM(L13:R13)</f>
        <v>0</v>
      </c>
      <c r="T13" s="483" t="s">
        <v>339</v>
      </c>
      <c r="U13" s="484" t="s">
        <v>352</v>
      </c>
      <c r="V13" s="485" t="s">
        <v>353</v>
      </c>
    </row>
    <row r="14" spans="1:22" ht="15.75" customHeight="1" thickBot="1">
      <c r="A14" s="575" t="s">
        <v>354</v>
      </c>
      <c r="B14" s="1330"/>
      <c r="C14" s="559">
        <f>SUM(SUMIF('Monthly Summary'!C2:N2,{"Req","Des"},'Monthly Summary'!C74:N74))/1000000</f>
        <v>0</v>
      </c>
      <c r="D14" s="559">
        <f>SUM(SUMIF('Monthly Summary'!O2:Z2,{"req","des"},'Monthly Summary'!O74:Z74))/1000000</f>
        <v>0</v>
      </c>
      <c r="E14" s="561">
        <f>SUM(SUMIF('Monthly Summary'!AA2:AL2,{"req","des"},'Monthly Summary'!AA74:AL74))/1000000</f>
        <v>0</v>
      </c>
      <c r="F14" s="559">
        <f>SUM(SUMIF('Monthly Summary'!AM2:AX2,{"req","des"},'Monthly Summary'!AM74:AX74))/1000000</f>
        <v>0</v>
      </c>
      <c r="G14" s="561">
        <f>SUM(SUMIF('Monthly Summary'!AY2:BJ2,{"req","des"},'Monthly Summary'!AY74:BJ74))/1000000</f>
        <v>0</v>
      </c>
      <c r="H14" s="559">
        <f>SUM(SUMIF('Monthly Summary'!BK2:BV2,{"req","des"},'Monthly Summary'!BK74:BV74))/1000000</f>
        <v>0</v>
      </c>
      <c r="I14" s="546">
        <f t="shared" ref="I14:I16" si="5">SUM(C14:H14)</f>
        <v>0</v>
      </c>
      <c r="J14" s="483" t="s">
        <v>389</v>
      </c>
      <c r="K14" s="591" t="s">
        <v>354</v>
      </c>
      <c r="L14" s="607">
        <f t="shared" ref="L14:L16" si="6">B14</f>
        <v>0</v>
      </c>
      <c r="M14" s="607">
        <f>C14+SUM(SUMIF('Monthly Summary'!C2:N2,{"Req","Des"},'Monthly Summary'!C77:N77))/1000000-M16</f>
        <v>7.36922825874326E-2</v>
      </c>
      <c r="N14" s="607">
        <f>D14+SUM(SUMIF('Monthly Summary'!O2:Z2,{"Req","Des"},'Monthly Summary'!O77:Z77))/1000000-N16</f>
        <v>0</v>
      </c>
      <c r="O14" s="607">
        <f>E14+SUM(SUMIF('Monthly Summary'!AA2:AL2,{"Req","Des"},'Monthly Summary'!AA77:AL77))/1000000-O16</f>
        <v>0</v>
      </c>
      <c r="P14" s="607">
        <f>F14+SUM(SUMIF('Monthly Summary'!AM2:AX2,{"Req","Des"},'Monthly Summary'!AM77:AX77))/1000000-P16</f>
        <v>0</v>
      </c>
      <c r="Q14" s="607">
        <f>G14+SUM(SUMIF('Monthly Summary'!AY2:BJ2,{"Req","Des"},'Monthly Summary'!AY77:BJ77))/1000000-Q16</f>
        <v>0</v>
      </c>
      <c r="R14" s="607">
        <f>H14+SUM(SUMIF('Monthly Summary'!BK2:BV2,{"Req","Des"},'Monthly Summary'!BK77:BV77))/1000000-R16</f>
        <v>0</v>
      </c>
      <c r="S14" s="594">
        <f>SUM(L14:R14)</f>
        <v>7.36922825874326E-2</v>
      </c>
      <c r="T14" s="483" t="s">
        <v>339</v>
      </c>
      <c r="U14" s="486" t="s">
        <v>355</v>
      </c>
      <c r="V14" s="487" t="s">
        <v>356</v>
      </c>
    </row>
    <row r="15" spans="1:22" ht="15" thickBot="1">
      <c r="A15" s="576" t="s">
        <v>357</v>
      </c>
      <c r="B15" s="553"/>
      <c r="C15" s="554"/>
      <c r="D15" s="555"/>
      <c r="E15" s="554"/>
      <c r="F15" s="555"/>
      <c r="G15" s="554"/>
      <c r="H15" s="556"/>
      <c r="I15" s="557">
        <f t="shared" si="5"/>
        <v>0</v>
      </c>
      <c r="J15" s="483" t="s">
        <v>389</v>
      </c>
      <c r="K15" s="595" t="s">
        <v>357</v>
      </c>
      <c r="L15" s="607">
        <f t="shared" si="6"/>
        <v>0</v>
      </c>
      <c r="M15" s="607">
        <f>SUM((SUMIF('Monthly Summary'!C2:N2,{"Req","Des"},'Monthly Summary'!C85:N85)))/1000000</f>
        <v>0</v>
      </c>
      <c r="N15" s="607">
        <f>SUM((SUMIF('Monthly Summary'!O2:Z2,{"Req","Des"},'Monthly Summary'!O85:Z85)))/1000000</f>
        <v>0</v>
      </c>
      <c r="O15" s="607">
        <f>SUM((SUMIF('Monthly Summary'!AA2:AL2,{"Req","Des"},'Monthly Summary'!AA85:AL85)))/1000000</f>
        <v>0</v>
      </c>
      <c r="P15" s="607">
        <f>SUM((SUMIF('Monthly Summary'!AM2:AX2,{"Req","Des"},'Monthly Summary'!AM85:AX85)))/1000000</f>
        <v>0</v>
      </c>
      <c r="Q15" s="607">
        <f>SUM((SUMIF('Monthly Summary'!AY2:BJ2,{"Req","Des"},'Monthly Summary'!AY85:BJ85)))/1000000</f>
        <v>0</v>
      </c>
      <c r="R15" s="607">
        <f>SUM((SUMIF('Monthly Summary'!BK2:BV2,{"Req","Des"},'Monthly Summary'!BK85:BV85)))/1000000</f>
        <v>0</v>
      </c>
      <c r="S15" s="594">
        <f>SUM(L15:R15)</f>
        <v>0</v>
      </c>
      <c r="T15" s="483" t="s">
        <v>339</v>
      </c>
      <c r="U15" s="486" t="s">
        <v>358</v>
      </c>
      <c r="V15" s="487" t="s">
        <v>347</v>
      </c>
    </row>
    <row r="16" spans="1:22" ht="15" thickBot="1">
      <c r="A16" s="577" t="s">
        <v>359</v>
      </c>
      <c r="B16" s="553"/>
      <c r="C16" s="554">
        <f>SUM((SUMIF('Monthly Summary'!C2:N2,{"Req","Des"},'Monthly Summary'!C86:N86)))/1000000</f>
        <v>7.3200000000000001E-3</v>
      </c>
      <c r="D16" s="554">
        <f>SUM((SUMIF('Monthly Summary'!O2:Z2,{"Req","Des"},'Monthly Summary'!O86:Z86)))/1000000</f>
        <v>0</v>
      </c>
      <c r="E16" s="554">
        <f>SUM((SUMIF('Monthly Summary'!AA2:AL2,{"Req","Des"},'Monthly Summary'!AA86:AL86)))/1000000</f>
        <v>0</v>
      </c>
      <c r="F16" s="554">
        <f>SUM((SUMIF('Monthly Summary'!AM2:AX2,{"Req","Des"},'Monthly Summary'!AM86:AX86)))/1000000</f>
        <v>0</v>
      </c>
      <c r="G16" s="554">
        <f>SUM((SUMIF('Monthly Summary'!AY2:BJ2,{"Req","Des"},'Monthly Summary'!AY86:BJ86)))/1000000</f>
        <v>0</v>
      </c>
      <c r="H16" s="554">
        <f>SUM((SUMIF('Monthly Summary'!BK2:BV2,{"Req","Des"},'Monthly Summary'!BK86:BV86)))/1000000</f>
        <v>0</v>
      </c>
      <c r="I16" s="557">
        <f t="shared" si="5"/>
        <v>7.3200000000000001E-3</v>
      </c>
      <c r="J16" s="483" t="s">
        <v>389</v>
      </c>
      <c r="K16" s="596" t="s">
        <v>359</v>
      </c>
      <c r="L16" s="609">
        <f t="shared" si="6"/>
        <v>0</v>
      </c>
      <c r="M16" s="610">
        <f>SUM((SUMIF('Monthly Summary'!C2:N2,{"Req","Des"},'Monthly Summary'!C86:N86)))/1000000</f>
        <v>7.3200000000000001E-3</v>
      </c>
      <c r="N16" s="610">
        <f>SUM((SUMIF('Monthly Summary'!O2:Z2,{"Req","Des"},'Monthly Summary'!O86:Z86)))/1000000</f>
        <v>0</v>
      </c>
      <c r="O16" s="610">
        <f>SUM((SUMIF('Monthly Summary'!AA2:AL2,{"Req","Des"},'Monthly Summary'!AA86:AL86)))/1000000</f>
        <v>0</v>
      </c>
      <c r="P16" s="610">
        <f>SUM((SUMIF('Monthly Summary'!AM2:AX2,{"Req","Des"},'Monthly Summary'!AM86:AX86)))/1000000</f>
        <v>0</v>
      </c>
      <c r="Q16" s="610">
        <f>SUM((SUMIF('Monthly Summary'!AY2:BJ2,{"Req","Des"},'Monthly Summary'!AY86:BJ86)))/1000000</f>
        <v>0</v>
      </c>
      <c r="R16" s="610">
        <f>SUM((SUMIF('Monthly Summary'!BK2:BV2,{"Req","Des"},'Monthly Summary'!BK86:BV86)))/1000000</f>
        <v>0</v>
      </c>
      <c r="S16" s="598">
        <f>SUM(L16:R16)</f>
        <v>7.3200000000000001E-3</v>
      </c>
      <c r="T16" s="483" t="s">
        <v>339</v>
      </c>
      <c r="U16" s="488" t="s">
        <v>360</v>
      </c>
      <c r="V16" s="489" t="s">
        <v>347</v>
      </c>
    </row>
    <row r="17" spans="1:22" ht="15.5" thickTop="1" thickBot="1">
      <c r="A17" s="578" t="s">
        <v>361</v>
      </c>
      <c r="B17" s="491">
        <f>SUM(B13:B16)</f>
        <v>0</v>
      </c>
      <c r="C17" s="548">
        <f>SUM(C13:C16)</f>
        <v>7.3200000000000001E-3</v>
      </c>
      <c r="D17" s="548">
        <f t="shared" ref="D17:H17" si="7">SUM(D13:D16)</f>
        <v>0</v>
      </c>
      <c r="E17" s="548">
        <f t="shared" si="7"/>
        <v>0</v>
      </c>
      <c r="F17" s="548">
        <f t="shared" si="7"/>
        <v>0</v>
      </c>
      <c r="G17" s="548">
        <f t="shared" si="7"/>
        <v>0</v>
      </c>
      <c r="H17" s="548">
        <f t="shared" si="7"/>
        <v>0</v>
      </c>
      <c r="I17" s="547">
        <f>SUM(I13:I16)</f>
        <v>7.3200000000000001E-3</v>
      </c>
      <c r="J17" s="492"/>
      <c r="K17" s="599" t="s">
        <v>361</v>
      </c>
      <c r="L17" s="611">
        <f>SUM(L13:L16)</f>
        <v>0</v>
      </c>
      <c r="M17" s="611">
        <f t="shared" ref="M17:S17" si="8">SUM(M13:M16)</f>
        <v>8.1012282587432594E-2</v>
      </c>
      <c r="N17" s="611">
        <f t="shared" si="8"/>
        <v>0</v>
      </c>
      <c r="O17" s="611">
        <f t="shared" si="8"/>
        <v>0</v>
      </c>
      <c r="P17" s="611">
        <f t="shared" si="8"/>
        <v>0</v>
      </c>
      <c r="Q17" s="611">
        <f t="shared" si="8"/>
        <v>0</v>
      </c>
      <c r="R17" s="611">
        <f t="shared" si="8"/>
        <v>0</v>
      </c>
      <c r="S17" s="603">
        <f t="shared" si="8"/>
        <v>8.1012282587432594E-2</v>
      </c>
      <c r="T17" s="492"/>
      <c r="U17" s="493"/>
      <c r="V17" s="493"/>
    </row>
    <row r="18" spans="1:22" ht="15.5" thickTop="1" thickBot="1">
      <c r="A18" s="1784" t="s">
        <v>417</v>
      </c>
      <c r="B18" s="1785"/>
      <c r="C18" s="1785"/>
      <c r="D18" s="1785"/>
      <c r="E18" s="1785"/>
      <c r="F18" s="1785"/>
      <c r="G18" s="1785"/>
      <c r="H18" s="1785"/>
      <c r="I18" s="1786"/>
      <c r="J18" s="502"/>
      <c r="K18" s="604"/>
      <c r="L18" s="3"/>
      <c r="M18" s="3"/>
      <c r="N18" s="3"/>
      <c r="O18" s="3"/>
      <c r="P18" s="3"/>
      <c r="Q18" s="3"/>
      <c r="R18" s="3"/>
      <c r="S18" s="612"/>
      <c r="T18" s="502"/>
      <c r="U18" s="503"/>
      <c r="V18" s="503"/>
    </row>
    <row r="19" spans="1:22" ht="15" thickBot="1">
      <c r="A19" s="1775" t="s">
        <v>362</v>
      </c>
      <c r="B19" s="1776"/>
      <c r="C19" s="1776"/>
      <c r="D19" s="1776"/>
      <c r="E19" s="1776"/>
      <c r="F19" s="1776"/>
      <c r="G19" s="1776"/>
      <c r="H19" s="1776"/>
      <c r="I19" s="1777"/>
      <c r="J19" s="504"/>
      <c r="K19" s="1808" t="s">
        <v>362</v>
      </c>
      <c r="L19" s="1809"/>
      <c r="M19" s="1809"/>
      <c r="N19" s="1809"/>
      <c r="O19" s="1809"/>
      <c r="P19" s="1809"/>
      <c r="Q19" s="1809"/>
      <c r="R19" s="1809"/>
      <c r="S19" s="1810"/>
      <c r="T19" s="504"/>
      <c r="U19" s="1811"/>
      <c r="V19" s="1811"/>
    </row>
    <row r="20" spans="1:22" ht="15" thickBot="1">
      <c r="A20" s="567" t="s">
        <v>363</v>
      </c>
      <c r="B20" s="1328"/>
      <c r="C20" s="1328"/>
      <c r="D20" s="1328"/>
      <c r="E20" s="1328"/>
      <c r="F20" s="1328"/>
      <c r="G20" s="1328"/>
      <c r="H20" s="1328"/>
      <c r="I20" s="499">
        <f t="shared" ref="I20:I24" si="9">SUM(B20:H20)</f>
        <v>0</v>
      </c>
      <c r="J20" s="483" t="s">
        <v>389</v>
      </c>
      <c r="K20" s="505" t="s">
        <v>363</v>
      </c>
      <c r="L20" s="592">
        <f>B20</f>
        <v>0</v>
      </c>
      <c r="M20" s="592">
        <f>C20+SUM('Monthly Summary'!BX8:BX26,'Monthly Summary'!BX31:BX32)/1000000</f>
        <v>0</v>
      </c>
      <c r="N20" s="592">
        <f>D20+SUM('Monthly Summary'!BY8:BY26,'Monthly Summary'!BY31:BY32)/1000000</f>
        <v>0</v>
      </c>
      <c r="O20" s="592">
        <f>E20+SUM('Monthly Summary'!BZ8:BZ26,'Monthly Summary'!BZ31:BZ32)/1000000</f>
        <v>0</v>
      </c>
      <c r="P20" s="592">
        <f>F20+SUM('Monthly Summary'!CA8:CA26,'Monthly Summary'!CA31:CA32)/1000000</f>
        <v>0</v>
      </c>
      <c r="Q20" s="592">
        <f>G20+SUM('Monthly Summary'!CB8:CB26,'Monthly Summary'!CB31:CB32)/1000000</f>
        <v>0</v>
      </c>
      <c r="R20" s="592">
        <f>H20+SUM('Monthly Summary'!CC8:CC26,'Monthly Summary'!CC31:CC32)/1000000</f>
        <v>0</v>
      </c>
      <c r="S20" s="608">
        <f t="shared" ref="S20:S24" si="10">SUM(L20:R20)</f>
        <v>0</v>
      </c>
      <c r="T20" s="483" t="s">
        <v>339</v>
      </c>
      <c r="U20" s="1812" t="s">
        <v>364</v>
      </c>
      <c r="V20" s="1813"/>
    </row>
    <row r="21" spans="1:22" ht="15" thickBot="1">
      <c r="A21" s="566" t="s">
        <v>168</v>
      </c>
      <c r="B21" s="1328"/>
      <c r="C21" s="1328"/>
      <c r="D21" s="1328"/>
      <c r="E21" s="1328"/>
      <c r="F21" s="1328"/>
      <c r="G21" s="1328"/>
      <c r="H21" s="1328"/>
      <c r="I21" s="499">
        <f t="shared" si="9"/>
        <v>0</v>
      </c>
      <c r="J21" s="483" t="s">
        <v>389</v>
      </c>
      <c r="K21" s="505" t="s">
        <v>168</v>
      </c>
      <c r="L21" s="592">
        <f t="shared" ref="L21:L24" si="11">B21</f>
        <v>0</v>
      </c>
      <c r="M21" s="592">
        <f>SUM(C21)+('Monthly Summary'!BX30)/1000000</f>
        <v>0</v>
      </c>
      <c r="N21" s="592">
        <f>SUM(D21)+('Monthly Summary'!BY30)/1000000</f>
        <v>0</v>
      </c>
      <c r="O21" s="592">
        <f>SUM(E21)+('Monthly Summary'!BZ30)/1000000</f>
        <v>0</v>
      </c>
      <c r="P21" s="592">
        <f>SUM(F21)+('Monthly Summary'!CA30)/1000000</f>
        <v>0</v>
      </c>
      <c r="Q21" s="592">
        <f>SUM(G21)+('Monthly Summary'!CB30)/1000000</f>
        <v>0</v>
      </c>
      <c r="R21" s="592">
        <f>SUM(H21)+('Monthly Summary'!CC30)/1000000</f>
        <v>0</v>
      </c>
      <c r="S21" s="608">
        <f t="shared" si="10"/>
        <v>0</v>
      </c>
      <c r="T21" s="483" t="s">
        <v>339</v>
      </c>
      <c r="U21" s="1814" t="s">
        <v>365</v>
      </c>
      <c r="V21" s="1815"/>
    </row>
    <row r="22" spans="1:22" ht="15" thickBot="1">
      <c r="A22" s="569" t="s">
        <v>171</v>
      </c>
      <c r="B22" s="1328"/>
      <c r="C22" s="1328"/>
      <c r="D22" s="1328"/>
      <c r="E22" s="1328"/>
      <c r="F22" s="1328"/>
      <c r="G22" s="1328"/>
      <c r="H22" s="1328"/>
      <c r="I22" s="499">
        <f t="shared" si="9"/>
        <v>0</v>
      </c>
      <c r="J22" s="483" t="s">
        <v>389</v>
      </c>
      <c r="K22" s="505" t="s">
        <v>171</v>
      </c>
      <c r="L22" s="592">
        <f t="shared" si="11"/>
        <v>0</v>
      </c>
      <c r="M22" s="592">
        <f>C22+SUM('Monthly Summary'!BX28:BX29)/1000000</f>
        <v>0</v>
      </c>
      <c r="N22" s="592">
        <f>D22+SUM('Monthly Summary'!BY28:BY29)/1000000</f>
        <v>0</v>
      </c>
      <c r="O22" s="592">
        <f>E22+SUM('Monthly Summary'!BZ28:BZ29)/1000000</f>
        <v>0</v>
      </c>
      <c r="P22" s="592">
        <f>F22+SUM('Monthly Summary'!CA28:CA29)/1000000</f>
        <v>0</v>
      </c>
      <c r="Q22" s="592">
        <f>G22+SUM('Monthly Summary'!CB28:CB29)/1000000</f>
        <v>0</v>
      </c>
      <c r="R22" s="592">
        <f>H22+SUM('Monthly Summary'!CC28:CC29)/1000000</f>
        <v>0</v>
      </c>
      <c r="S22" s="608">
        <f t="shared" si="10"/>
        <v>0</v>
      </c>
      <c r="T22" s="483" t="s">
        <v>339</v>
      </c>
      <c r="U22" s="1806" t="s">
        <v>366</v>
      </c>
      <c r="V22" s="1807"/>
    </row>
    <row r="23" spans="1:22" ht="15" thickBot="1">
      <c r="A23" s="568" t="s">
        <v>13</v>
      </c>
      <c r="B23" s="1328"/>
      <c r="C23" s="1328"/>
      <c r="D23" s="1328"/>
      <c r="E23" s="1328"/>
      <c r="F23" s="1328"/>
      <c r="G23" s="1328"/>
      <c r="H23" s="1328"/>
      <c r="I23" s="499">
        <f t="shared" si="9"/>
        <v>0</v>
      </c>
      <c r="J23" s="483" t="s">
        <v>389</v>
      </c>
      <c r="K23" s="505" t="s">
        <v>13</v>
      </c>
      <c r="L23" s="592">
        <f t="shared" si="11"/>
        <v>0</v>
      </c>
      <c r="M23" s="593">
        <f>C23+SUM('Monthly Summary'!BX33:BX35)/1000000</f>
        <v>0</v>
      </c>
      <c r="N23" s="593">
        <f>D23+SUM('Monthly Summary'!BY33:BY35)/1000000</f>
        <v>0</v>
      </c>
      <c r="O23" s="593">
        <f>E23+SUM('Monthly Summary'!BZ33:BZ35)/1000000</f>
        <v>0</v>
      </c>
      <c r="P23" s="593">
        <f>F23+SUM('Monthly Summary'!CA33:CA35)/1000000</f>
        <v>0</v>
      </c>
      <c r="Q23" s="593">
        <f>G23+SUM('Monthly Summary'!CB33:CB35)/1000000</f>
        <v>0</v>
      </c>
      <c r="R23" s="593">
        <f>H23+SUM('Monthly Summary'!CC33:CC35)/1000000</f>
        <v>0</v>
      </c>
      <c r="S23" s="608">
        <f t="shared" si="10"/>
        <v>0</v>
      </c>
      <c r="T23" s="483" t="s">
        <v>339</v>
      </c>
      <c r="U23" s="1816" t="s">
        <v>12692</v>
      </c>
      <c r="V23" s="1817"/>
    </row>
    <row r="24" spans="1:22" ht="15" thickBot="1">
      <c r="A24" s="570" t="s">
        <v>167</v>
      </c>
      <c r="B24" s="1328"/>
      <c r="C24" s="1328"/>
      <c r="D24" s="1328"/>
      <c r="E24" s="1328"/>
      <c r="F24" s="1328"/>
      <c r="G24" s="1328"/>
      <c r="H24" s="1328"/>
      <c r="I24" s="499">
        <f t="shared" si="9"/>
        <v>0</v>
      </c>
      <c r="J24" s="483" t="s">
        <v>389</v>
      </c>
      <c r="K24" s="505" t="s">
        <v>167</v>
      </c>
      <c r="L24" s="592">
        <f t="shared" si="11"/>
        <v>0</v>
      </c>
      <c r="M24" s="592">
        <f>SUM(C24)+('Monthly Summary'!BX36)/1000000</f>
        <v>0</v>
      </c>
      <c r="N24" s="592">
        <f>SUM(D24)+('Monthly Summary'!BY36)/1000000</f>
        <v>0</v>
      </c>
      <c r="O24" s="592">
        <f>SUM(E24)+('Monthly Summary'!BZ36)/1000000</f>
        <v>0</v>
      </c>
      <c r="P24" s="592">
        <f>SUM(F24)+('Monthly Summary'!CA36)/1000000</f>
        <v>0</v>
      </c>
      <c r="Q24" s="592">
        <f>SUM(G24)+('Monthly Summary'!CB36)/1000000</f>
        <v>0</v>
      </c>
      <c r="R24" s="592">
        <f>SUM(H24)+('Monthly Summary'!CC36)/1000000</f>
        <v>0</v>
      </c>
      <c r="S24" s="608">
        <f t="shared" si="10"/>
        <v>0</v>
      </c>
      <c r="T24" s="483" t="s">
        <v>339</v>
      </c>
      <c r="U24" s="1795" t="s">
        <v>367</v>
      </c>
      <c r="V24" s="1796"/>
    </row>
    <row r="25" spans="1:22" ht="15" thickBot="1">
      <c r="A25" s="1775" t="s">
        <v>368</v>
      </c>
      <c r="B25" s="1776"/>
      <c r="C25" s="1776"/>
      <c r="D25" s="1776"/>
      <c r="E25" s="1776"/>
      <c r="F25" s="1776"/>
      <c r="G25" s="1776"/>
      <c r="H25" s="1776"/>
      <c r="I25" s="1777"/>
      <c r="J25" s="504"/>
      <c r="K25" s="1808" t="s">
        <v>368</v>
      </c>
      <c r="L25" s="1809"/>
      <c r="M25" s="1809"/>
      <c r="N25" s="1809"/>
      <c r="O25" s="1809"/>
      <c r="P25" s="1809"/>
      <c r="Q25" s="1809"/>
      <c r="R25" s="1809"/>
      <c r="S25" s="1810"/>
      <c r="T25" s="504"/>
      <c r="U25" s="1811"/>
      <c r="V25" s="1811"/>
    </row>
    <row r="26" spans="1:22" ht="15" thickBot="1">
      <c r="A26" s="567" t="s">
        <v>363</v>
      </c>
      <c r="B26" s="1328"/>
      <c r="C26" s="1328"/>
      <c r="D26" s="1328"/>
      <c r="E26" s="1328"/>
      <c r="F26" s="1328"/>
      <c r="G26" s="1328"/>
      <c r="H26" s="1328"/>
      <c r="I26" s="482">
        <f t="shared" ref="I26:I28" si="12">SUM(B26:H26)</f>
        <v>0</v>
      </c>
      <c r="J26" s="483" t="s">
        <v>389</v>
      </c>
      <c r="K26" s="505" t="s">
        <v>363</v>
      </c>
      <c r="L26" s="592">
        <f>B26</f>
        <v>0</v>
      </c>
      <c r="M26" s="592">
        <f>C26+SUM('Monthly Summary'!BX41:BX59,'Monthly Summary'!BX64)/1000000</f>
        <v>2.4400000000000002E-2</v>
      </c>
      <c r="N26" s="592">
        <f>D26+SUM('Monthly Summary'!BY41:BY59,'Monthly Summary'!BY64)/1000000</f>
        <v>0</v>
      </c>
      <c r="O26" s="592">
        <f>E26+SUM('Monthly Summary'!BZ41:BZ59,'Monthly Summary'!BZ64)/1000000</f>
        <v>0</v>
      </c>
      <c r="P26" s="592">
        <f>F26+SUM('Monthly Summary'!CA41:CA59,'Monthly Summary'!CA64)/1000000</f>
        <v>0</v>
      </c>
      <c r="Q26" s="592">
        <f>G26+SUM('Monthly Summary'!CB41:CB59,'Monthly Summary'!CB64)/1000000</f>
        <v>0</v>
      </c>
      <c r="R26" s="592">
        <f>H26+SUM('Monthly Summary'!CC41:CC59,'Monthly Summary'!CC64)/1000000</f>
        <v>0</v>
      </c>
      <c r="S26" s="594">
        <f t="shared" ref="S26:S32" si="13">SUM(L26:R26)</f>
        <v>2.4400000000000002E-2</v>
      </c>
      <c r="T26" s="483" t="s">
        <v>339</v>
      </c>
      <c r="U26" s="1812" t="s">
        <v>369</v>
      </c>
      <c r="V26" s="1813"/>
    </row>
    <row r="27" spans="1:22" ht="15" thickBot="1">
      <c r="A27" s="566" t="s">
        <v>168</v>
      </c>
      <c r="B27" s="1328"/>
      <c r="C27" s="1328"/>
      <c r="D27" s="1328"/>
      <c r="E27" s="1328"/>
      <c r="F27" s="1328"/>
      <c r="G27" s="1328"/>
      <c r="H27" s="1328"/>
      <c r="I27" s="482">
        <f t="shared" si="12"/>
        <v>0</v>
      </c>
      <c r="J27" s="483" t="s">
        <v>389</v>
      </c>
      <c r="K27" s="505" t="s">
        <v>168</v>
      </c>
      <c r="L27" s="592">
        <f t="shared" ref="L27:L31" si="14">B27</f>
        <v>0</v>
      </c>
      <c r="M27" s="592">
        <f>SUM(C27)+('Monthly Summary'!BX63)/1000000</f>
        <v>0</v>
      </c>
      <c r="N27" s="592">
        <f>SUM(D27)+('Monthly Summary'!BY63)/1000000</f>
        <v>0</v>
      </c>
      <c r="O27" s="592">
        <f>SUM(E27)+('Monthly Summary'!BZ63)/1000000</f>
        <v>0</v>
      </c>
      <c r="P27" s="592">
        <f>SUM(F27)+('Monthly Summary'!CA63)/1000000</f>
        <v>0</v>
      </c>
      <c r="Q27" s="592">
        <f>SUM(G27)+('Monthly Summary'!CB63)/1000000</f>
        <v>0</v>
      </c>
      <c r="R27" s="592">
        <f>SUM(H27)+('Monthly Summary'!CC63)/1000000</f>
        <v>0</v>
      </c>
      <c r="S27" s="594">
        <f t="shared" si="13"/>
        <v>0</v>
      </c>
      <c r="T27" s="483" t="s">
        <v>339</v>
      </c>
      <c r="U27" s="1814" t="s">
        <v>370</v>
      </c>
      <c r="V27" s="1815"/>
    </row>
    <row r="28" spans="1:22" ht="15" thickBot="1">
      <c r="A28" s="569" t="s">
        <v>171</v>
      </c>
      <c r="B28" s="1328"/>
      <c r="C28" s="1328"/>
      <c r="D28" s="1328"/>
      <c r="E28" s="1328"/>
      <c r="F28" s="1328"/>
      <c r="G28" s="1328"/>
      <c r="H28" s="1328"/>
      <c r="I28" s="482">
        <f t="shared" si="12"/>
        <v>0</v>
      </c>
      <c r="J28" s="483" t="s">
        <v>389</v>
      </c>
      <c r="K28" s="505" t="s">
        <v>171</v>
      </c>
      <c r="L28" s="592">
        <f t="shared" si="14"/>
        <v>0</v>
      </c>
      <c r="M28" s="592">
        <f>C28+SUM('Monthly Summary'!BX61:BX62)/1000000</f>
        <v>0</v>
      </c>
      <c r="N28" s="592">
        <f>D28+SUM('Monthly Summary'!BY61:BY62)/1000000</f>
        <v>0</v>
      </c>
      <c r="O28" s="592">
        <f>E28+SUM('Monthly Summary'!BZ61:BZ62)/1000000</f>
        <v>0</v>
      </c>
      <c r="P28" s="592">
        <f>F28+SUM('Monthly Summary'!CA61:CA62)/1000000</f>
        <v>0</v>
      </c>
      <c r="Q28" s="592">
        <f>G28+SUM('Monthly Summary'!CB61:CB62)/1000000</f>
        <v>0</v>
      </c>
      <c r="R28" s="592">
        <f>H28+SUM('Monthly Summary'!CC61:CC62)/1000000</f>
        <v>0</v>
      </c>
      <c r="S28" s="594">
        <f t="shared" si="13"/>
        <v>0</v>
      </c>
      <c r="T28" s="483" t="s">
        <v>339</v>
      </c>
      <c r="U28" s="1806" t="s">
        <v>12851</v>
      </c>
      <c r="V28" s="1807"/>
    </row>
    <row r="29" spans="1:22" ht="15" thickBot="1">
      <c r="A29" s="571" t="s">
        <v>107</v>
      </c>
      <c r="B29" s="1328"/>
      <c r="C29" s="1328"/>
      <c r="D29" s="1328"/>
      <c r="E29" s="1328"/>
      <c r="F29" s="1328"/>
      <c r="G29" s="1328"/>
      <c r="H29" s="1328"/>
      <c r="I29" s="482">
        <f>SUM(B29:H29)</f>
        <v>0</v>
      </c>
      <c r="J29" s="483" t="s">
        <v>389</v>
      </c>
      <c r="K29" s="505" t="s">
        <v>107</v>
      </c>
      <c r="L29" s="592">
        <f t="shared" si="14"/>
        <v>0</v>
      </c>
      <c r="M29" s="592">
        <f>C29+('Monthly Summary'!BX69)/1000000</f>
        <v>3.8402461585555921E-4</v>
      </c>
      <c r="N29" s="592">
        <f>SUM(D29)+('Monthly Summary'!BY69)/1000000</f>
        <v>0</v>
      </c>
      <c r="O29" s="592">
        <f>SUM(E29)+('Monthly Summary'!BZ69)/1000000</f>
        <v>0</v>
      </c>
      <c r="P29" s="592">
        <f>SUM(F29)+('Monthly Summary'!CA69)/1000000</f>
        <v>0</v>
      </c>
      <c r="Q29" s="592">
        <f>SUM(G29)+('Monthly Summary'!CB69)/1000000</f>
        <v>0</v>
      </c>
      <c r="R29" s="592">
        <f>SUM(H29)+('Monthly Summary'!CC69)/1000000</f>
        <v>0</v>
      </c>
      <c r="S29" s="594">
        <f>SUM(L29:R29)</f>
        <v>3.8402461585555921E-4</v>
      </c>
      <c r="T29" s="483" t="s">
        <v>339</v>
      </c>
      <c r="U29" s="1791" t="s">
        <v>371</v>
      </c>
      <c r="V29" s="1792"/>
    </row>
    <row r="30" spans="1:22" ht="15" thickBot="1">
      <c r="A30" s="568" t="s">
        <v>13</v>
      </c>
      <c r="B30" s="1328"/>
      <c r="C30" s="1328"/>
      <c r="D30" s="1328"/>
      <c r="E30" s="1328"/>
      <c r="F30" s="1328"/>
      <c r="G30" s="1328"/>
      <c r="H30" s="1328"/>
      <c r="I30" s="482">
        <f t="shared" ref="I30:I32" si="15">SUM(B30:H30)</f>
        <v>0</v>
      </c>
      <c r="J30" s="483" t="s">
        <v>389</v>
      </c>
      <c r="K30" s="505" t="s">
        <v>13</v>
      </c>
      <c r="L30" s="592">
        <f t="shared" si="14"/>
        <v>0</v>
      </c>
      <c r="M30" s="592">
        <f>C30+SUM('Monthly Summary'!BX65:BX67)/1000000</f>
        <v>0</v>
      </c>
      <c r="N30" s="593">
        <f>D30+SUM('Monthly Summary'!BY65:BY67)/1000000</f>
        <v>0</v>
      </c>
      <c r="O30" s="593">
        <f>E30+SUM('Monthly Summary'!BZ65:BZ67)/1000000</f>
        <v>0</v>
      </c>
      <c r="P30" s="593">
        <f>F30+SUM('Monthly Summary'!CA65:CA67)/1000000</f>
        <v>0</v>
      </c>
      <c r="Q30" s="593">
        <f>G30+SUM('Monthly Summary'!CB65:CB67)/1000000</f>
        <v>0</v>
      </c>
      <c r="R30" s="593">
        <f>H30+SUM('Monthly Summary'!CC65:CC67)/1000000</f>
        <v>0</v>
      </c>
      <c r="S30" s="594">
        <f t="shared" si="13"/>
        <v>0</v>
      </c>
      <c r="T30" s="483" t="s">
        <v>339</v>
      </c>
      <c r="U30" s="1793" t="s">
        <v>12693</v>
      </c>
      <c r="V30" s="1794"/>
    </row>
    <row r="31" spans="1:22" ht="15" thickBot="1">
      <c r="A31" s="570" t="s">
        <v>167</v>
      </c>
      <c r="B31" s="1328"/>
      <c r="C31" s="1328"/>
      <c r="D31" s="1328"/>
      <c r="E31" s="1328"/>
      <c r="F31" s="1328"/>
      <c r="G31" s="1328"/>
      <c r="H31" s="1328"/>
      <c r="I31" s="482">
        <f t="shared" si="15"/>
        <v>0</v>
      </c>
      <c r="J31" s="483" t="s">
        <v>389</v>
      </c>
      <c r="K31" s="505" t="s">
        <v>167</v>
      </c>
      <c r="L31" s="592">
        <f t="shared" si="14"/>
        <v>0</v>
      </c>
      <c r="M31" s="592">
        <f>SUM(C31)+('Monthly Summary'!BX68)/1000000</f>
        <v>2.4399999999999999E-3</v>
      </c>
      <c r="N31" s="592">
        <f>SUM(D31)+('Monthly Summary'!BY68)/1000000</f>
        <v>0</v>
      </c>
      <c r="O31" s="592">
        <f>SUM(E31)+('Monthly Summary'!BZ68)/1000000</f>
        <v>0</v>
      </c>
      <c r="P31" s="592">
        <f>SUM(F31)+('Monthly Summary'!CA68)/1000000</f>
        <v>0</v>
      </c>
      <c r="Q31" s="592">
        <f>SUM(G31)+('Monthly Summary'!CB68)/1000000</f>
        <v>0</v>
      </c>
      <c r="R31" s="592">
        <f>SUM(H31)+('Monthly Summary'!CC68)/1000000</f>
        <v>0</v>
      </c>
      <c r="S31" s="594">
        <f t="shared" si="13"/>
        <v>2.4399999999999999E-3</v>
      </c>
      <c r="T31" s="483" t="s">
        <v>339</v>
      </c>
      <c r="U31" s="1795" t="s">
        <v>372</v>
      </c>
      <c r="V31" s="1796"/>
    </row>
    <row r="32" spans="1:22" ht="15" thickBot="1">
      <c r="A32" s="506" t="s">
        <v>373</v>
      </c>
      <c r="B32" s="507">
        <f>SUM(B26:B31,B20:B24)</f>
        <v>0</v>
      </c>
      <c r="C32" s="507">
        <f>SUM(C26:C31,C20:C24)</f>
        <v>0</v>
      </c>
      <c r="D32" s="507">
        <f>SUM(D26:D31,D20:D24)</f>
        <v>0</v>
      </c>
      <c r="E32" s="507">
        <f t="shared" ref="E32:G32" si="16">SUM(E26:E31,E20:E24)</f>
        <v>0</v>
      </c>
      <c r="F32" s="507">
        <f t="shared" si="16"/>
        <v>0</v>
      </c>
      <c r="G32" s="507">
        <f t="shared" si="16"/>
        <v>0</v>
      </c>
      <c r="H32" s="507">
        <f>SUM(H26:H31,H20:H24)</f>
        <v>0</v>
      </c>
      <c r="I32" s="491">
        <f t="shared" si="15"/>
        <v>0</v>
      </c>
      <c r="J32" s="492"/>
      <c r="K32" s="613" t="s">
        <v>373</v>
      </c>
      <c r="L32" s="614">
        <f t="shared" ref="L32:R32" si="17">SUM(L26:L31,L20:L24)</f>
        <v>0</v>
      </c>
      <c r="M32" s="614">
        <f t="shared" si="17"/>
        <v>2.722402461585556E-2</v>
      </c>
      <c r="N32" s="614">
        <f>SUM(N26:N31,N20:N24)</f>
        <v>0</v>
      </c>
      <c r="O32" s="614">
        <f t="shared" si="17"/>
        <v>0</v>
      </c>
      <c r="P32" s="614">
        <f t="shared" si="17"/>
        <v>0</v>
      </c>
      <c r="Q32" s="614">
        <f t="shared" si="17"/>
        <v>0</v>
      </c>
      <c r="R32" s="614">
        <f t="shared" si="17"/>
        <v>0</v>
      </c>
      <c r="S32" s="611">
        <f t="shared" si="13"/>
        <v>2.722402461585556E-2</v>
      </c>
      <c r="T32" s="492"/>
      <c r="U32" s="503"/>
      <c r="V32" s="503"/>
    </row>
    <row r="33" spans="1:22" ht="15.5" thickTop="1" thickBot="1">
      <c r="A33" s="508" t="s">
        <v>409</v>
      </c>
      <c r="B33" s="509">
        <f>'Monthly Summary'!B75/1000000</f>
        <v>0</v>
      </c>
      <c r="C33" s="509">
        <f>SUM(C20:C24)</f>
        <v>0</v>
      </c>
      <c r="D33" s="509">
        <f>SUM(D20:D24)</f>
        <v>0</v>
      </c>
      <c r="E33" s="509">
        <f t="shared" ref="E33:H33" si="18">SUM(E20:E24)</f>
        <v>0</v>
      </c>
      <c r="F33" s="509">
        <f t="shared" si="18"/>
        <v>0</v>
      </c>
      <c r="G33" s="509">
        <f t="shared" si="18"/>
        <v>0</v>
      </c>
      <c r="H33" s="509">
        <f t="shared" si="18"/>
        <v>0</v>
      </c>
      <c r="I33" s="587">
        <f>SUM(B33:H33)</f>
        <v>0</v>
      </c>
      <c r="J33" s="492"/>
      <c r="K33" s="615" t="s">
        <v>374</v>
      </c>
      <c r="L33" s="616">
        <f>SUM(L20:L24,L15,L13,L9,L7)</f>
        <v>0</v>
      </c>
      <c r="M33" s="616">
        <f>SUM(M20:M24,M7,M9,M13,M15)</f>
        <v>0</v>
      </c>
      <c r="N33" s="616">
        <f>SUM(N20:N24,N7,N9,N13,N15)</f>
        <v>0</v>
      </c>
      <c r="O33" s="616">
        <f t="shared" ref="O33:R33" si="19">SUM(O20:O24,O7,O9,O13,O15)</f>
        <v>0</v>
      </c>
      <c r="P33" s="616">
        <f t="shared" si="19"/>
        <v>0</v>
      </c>
      <c r="Q33" s="616">
        <f t="shared" si="19"/>
        <v>0</v>
      </c>
      <c r="R33" s="616">
        <f t="shared" si="19"/>
        <v>0</v>
      </c>
      <c r="S33" s="617">
        <f>SUM(L33:R33)</f>
        <v>0</v>
      </c>
      <c r="T33" s="492"/>
      <c r="U33" s="563"/>
      <c r="V33" s="510"/>
    </row>
    <row r="34" spans="1:22" ht="15.5" thickTop="1" thickBot="1">
      <c r="A34" s="508" t="s">
        <v>410</v>
      </c>
      <c r="B34" s="586">
        <f>'Monthly Summary'!B74/1000000</f>
        <v>0</v>
      </c>
      <c r="C34" s="586">
        <f>SUM(C26:C31)</f>
        <v>0</v>
      </c>
      <c r="D34" s="586">
        <f>SUM(D26:D31)</f>
        <v>0</v>
      </c>
      <c r="E34" s="586">
        <f t="shared" ref="E34:H34" si="20">SUM(E26:E31)</f>
        <v>0</v>
      </c>
      <c r="F34" s="586">
        <f t="shared" si="20"/>
        <v>0</v>
      </c>
      <c r="G34" s="586">
        <f t="shared" si="20"/>
        <v>0</v>
      </c>
      <c r="H34" s="586">
        <f t="shared" si="20"/>
        <v>0</v>
      </c>
      <c r="I34" s="585">
        <f>SUM(B34:H34)</f>
        <v>0</v>
      </c>
      <c r="J34" s="492"/>
      <c r="K34" s="613" t="s">
        <v>375</v>
      </c>
      <c r="L34" s="618">
        <f>SUM(L26:L31,L16,L14,L10,L8)</f>
        <v>0</v>
      </c>
      <c r="M34" s="618">
        <f>SUM(M26:M31,M16,M14,M10,M8)</f>
        <v>0.10823630720328817</v>
      </c>
      <c r="N34" s="616">
        <f t="shared" ref="N34:R34" si="21">SUM(N26:N31,N8,N10,N14,N16)</f>
        <v>0</v>
      </c>
      <c r="O34" s="616">
        <f t="shared" si="21"/>
        <v>0</v>
      </c>
      <c r="P34" s="616">
        <f t="shared" si="21"/>
        <v>0</v>
      </c>
      <c r="Q34" s="616">
        <f t="shared" si="21"/>
        <v>0</v>
      </c>
      <c r="R34" s="616">
        <f t="shared" si="21"/>
        <v>0</v>
      </c>
      <c r="S34" s="619">
        <f>SUM(L34:R34)</f>
        <v>0.10823630720328817</v>
      </c>
      <c r="T34" s="492"/>
      <c r="U34" s="564"/>
      <c r="V34" s="510"/>
    </row>
    <row r="35" spans="1:22" ht="15.5" thickTop="1" thickBot="1">
      <c r="A35" s="490" t="s">
        <v>376</v>
      </c>
      <c r="B35" s="491">
        <f>SUM(B33:B34)</f>
        <v>0</v>
      </c>
      <c r="C35" s="491">
        <f>SUM(C33:C34,C11,C17)</f>
        <v>7.3200000000000001E-3</v>
      </c>
      <c r="D35" s="491">
        <f t="shared" ref="D35:H35" si="22">SUM(D33:D34,D11,D17)</f>
        <v>0</v>
      </c>
      <c r="E35" s="491">
        <f t="shared" si="22"/>
        <v>0</v>
      </c>
      <c r="F35" s="491">
        <f>SUM(F33:F34,F11,F17)</f>
        <v>0</v>
      </c>
      <c r="G35" s="491">
        <f t="shared" si="22"/>
        <v>0</v>
      </c>
      <c r="H35" s="491">
        <f t="shared" si="22"/>
        <v>0</v>
      </c>
      <c r="I35" s="588">
        <f>SUM(I33:I34)</f>
        <v>0</v>
      </c>
      <c r="J35" s="492"/>
      <c r="K35" s="599" t="s">
        <v>376</v>
      </c>
      <c r="L35" s="611">
        <f>SUM(L33:L34)</f>
        <v>0</v>
      </c>
      <c r="M35" s="611">
        <f>SUM(M33:M34)</f>
        <v>0.10823630720328817</v>
      </c>
      <c r="N35" s="611">
        <f t="shared" ref="N35:R35" si="23">SUM(N33:N34)</f>
        <v>0</v>
      </c>
      <c r="O35" s="611">
        <f t="shared" si="23"/>
        <v>0</v>
      </c>
      <c r="P35" s="611">
        <f t="shared" si="23"/>
        <v>0</v>
      </c>
      <c r="Q35" s="611">
        <f t="shared" si="23"/>
        <v>0</v>
      </c>
      <c r="R35" s="611">
        <f t="shared" si="23"/>
        <v>0</v>
      </c>
      <c r="S35" s="603">
        <f>SUM(S33:S34)</f>
        <v>0.10823630720328817</v>
      </c>
      <c r="T35" s="492"/>
      <c r="U35" s="565"/>
      <c r="V35" s="513"/>
    </row>
    <row r="36" spans="1:22" ht="15.5" thickTop="1" thickBot="1">
      <c r="A36" s="494"/>
      <c r="B36" s="495"/>
      <c r="C36" s="495"/>
      <c r="D36" s="495"/>
      <c r="E36" s="495"/>
      <c r="F36" s="495"/>
      <c r="G36" s="495"/>
      <c r="H36" s="495"/>
      <c r="I36" s="496"/>
      <c r="J36" s="497"/>
      <c r="K36" s="604"/>
      <c r="L36" s="605"/>
      <c r="M36" s="605"/>
      <c r="N36" s="605"/>
      <c r="O36" s="605"/>
      <c r="P36" s="605"/>
      <c r="Q36" s="605"/>
      <c r="R36" s="605"/>
      <c r="S36" s="606"/>
      <c r="T36" s="497"/>
      <c r="U36" s="503"/>
      <c r="V36" s="503"/>
    </row>
    <row r="37" spans="1:22" ht="26.5" thickBot="1">
      <c r="A37" s="511" t="s">
        <v>377</v>
      </c>
      <c r="B37" s="562"/>
      <c r="C37" s="562"/>
      <c r="D37" s="562"/>
      <c r="E37" s="562"/>
      <c r="F37" s="562"/>
      <c r="G37" s="562"/>
      <c r="H37" s="562"/>
      <c r="I37" s="514">
        <f>SUM(B37:H37)</f>
        <v>0</v>
      </c>
      <c r="J37" s="492"/>
      <c r="K37" s="620" t="s">
        <v>377</v>
      </c>
      <c r="L37" s="610">
        <f>B37</f>
        <v>0</v>
      </c>
      <c r="M37" s="610">
        <f t="shared" ref="M37:R37" si="24">C37</f>
        <v>0</v>
      </c>
      <c r="N37" s="610">
        <f t="shared" si="24"/>
        <v>0</v>
      </c>
      <c r="O37" s="610">
        <f t="shared" si="24"/>
        <v>0</v>
      </c>
      <c r="P37" s="610">
        <f t="shared" si="24"/>
        <v>0</v>
      </c>
      <c r="Q37" s="610">
        <f t="shared" si="24"/>
        <v>0</v>
      </c>
      <c r="R37" s="610">
        <f t="shared" si="24"/>
        <v>0</v>
      </c>
      <c r="S37" s="621">
        <f>SUM(L37:R37)</f>
        <v>0</v>
      </c>
      <c r="T37" s="492"/>
      <c r="U37" s="515" t="s">
        <v>378</v>
      </c>
      <c r="V37" s="515"/>
    </row>
    <row r="38" spans="1:22" ht="27" thickTop="1" thickBot="1">
      <c r="A38" s="490" t="s">
        <v>379</v>
      </c>
      <c r="B38" s="491">
        <f>B37</f>
        <v>0</v>
      </c>
      <c r="C38" s="491">
        <f t="shared" ref="C38:I38" si="25">C37</f>
        <v>0</v>
      </c>
      <c r="D38" s="491">
        <f t="shared" si="25"/>
        <v>0</v>
      </c>
      <c r="E38" s="491">
        <f t="shared" si="25"/>
        <v>0</v>
      </c>
      <c r="F38" s="491">
        <f t="shared" si="25"/>
        <v>0</v>
      </c>
      <c r="G38" s="491">
        <f t="shared" si="25"/>
        <v>0</v>
      </c>
      <c r="H38" s="491">
        <f t="shared" si="25"/>
        <v>0</v>
      </c>
      <c r="I38" s="491">
        <f t="shared" si="25"/>
        <v>0</v>
      </c>
      <c r="J38" s="492"/>
      <c r="K38" s="599" t="s">
        <v>379</v>
      </c>
      <c r="L38" s="611">
        <f>L37</f>
        <v>0</v>
      </c>
      <c r="M38" s="611">
        <f t="shared" ref="M38:S38" si="26">M37</f>
        <v>0</v>
      </c>
      <c r="N38" s="611">
        <f t="shared" si="26"/>
        <v>0</v>
      </c>
      <c r="O38" s="611">
        <f t="shared" si="26"/>
        <v>0</v>
      </c>
      <c r="P38" s="611">
        <f t="shared" si="26"/>
        <v>0</v>
      </c>
      <c r="Q38" s="611">
        <f t="shared" si="26"/>
        <v>0</v>
      </c>
      <c r="R38" s="611">
        <f>R37</f>
        <v>0</v>
      </c>
      <c r="S38" s="611">
        <f t="shared" si="26"/>
        <v>0</v>
      </c>
      <c r="T38" s="492"/>
      <c r="U38" s="538"/>
      <c r="V38" s="503"/>
    </row>
    <row r="39" spans="1:22" ht="15.5" thickTop="1" thickBot="1">
      <c r="A39" s="494"/>
      <c r="B39" s="500"/>
      <c r="C39" s="500"/>
      <c r="D39" s="500"/>
      <c r="E39" s="500"/>
      <c r="F39" s="500"/>
      <c r="G39" s="500"/>
      <c r="H39" s="500"/>
      <c r="I39" s="501"/>
      <c r="J39" s="502"/>
      <c r="K39" s="604"/>
      <c r="L39" s="3"/>
      <c r="M39" s="3"/>
      <c r="N39" s="3"/>
      <c r="O39" s="3"/>
      <c r="P39" s="3"/>
      <c r="Q39" s="3"/>
      <c r="R39" s="3"/>
      <c r="S39" s="612"/>
      <c r="T39" s="502"/>
      <c r="U39" s="503"/>
      <c r="V39" s="503"/>
    </row>
    <row r="40" spans="1:22" ht="15.5" thickTop="1" thickBot="1">
      <c r="A40" s="1778"/>
      <c r="B40" s="1779"/>
      <c r="C40" s="1779"/>
      <c r="D40" s="1779"/>
      <c r="E40" s="1779"/>
      <c r="F40" s="1779"/>
      <c r="G40" s="1779"/>
      <c r="H40" s="1779"/>
      <c r="I40" s="1780"/>
      <c r="J40" s="516"/>
      <c r="K40" s="1797" t="str">
        <f>"IS Investment Plan "&amp;Variables!B21&amp;" Thru "&amp;Variables!BJ21</f>
        <v>IS Investment Plan FY 22 Thru FY 27</v>
      </c>
      <c r="L40" s="1798"/>
      <c r="M40" s="1798"/>
      <c r="N40" s="1798"/>
      <c r="O40" s="1798"/>
      <c r="P40" s="1798"/>
      <c r="Q40" s="1798"/>
      <c r="R40" s="1798"/>
      <c r="S40" s="1799"/>
      <c r="T40" s="516"/>
      <c r="U40" s="1803" t="s">
        <v>435</v>
      </c>
      <c r="V40" s="517"/>
    </row>
    <row r="41" spans="1:22" ht="15" thickBot="1">
      <c r="A41" s="535"/>
      <c r="B41" s="536"/>
      <c r="C41" s="536"/>
      <c r="D41" s="536"/>
      <c r="E41" s="536"/>
      <c r="F41" s="536"/>
      <c r="G41" s="536"/>
      <c r="H41" s="536"/>
      <c r="I41" s="537"/>
      <c r="J41" s="483"/>
      <c r="K41" s="622" t="s">
        <v>380</v>
      </c>
      <c r="L41" s="623">
        <f>'Long Form Output'!D25</f>
        <v>0</v>
      </c>
      <c r="M41" s="623">
        <f>'Long Form Output'!E25</f>
        <v>0</v>
      </c>
      <c r="N41" s="623">
        <f>'Long Form Output'!F25</f>
        <v>0</v>
      </c>
      <c r="O41" s="623">
        <f>'Long Form Output'!G25</f>
        <v>0</v>
      </c>
      <c r="P41" s="623">
        <f>'Long Form Output'!H25</f>
        <v>0</v>
      </c>
      <c r="Q41" s="623">
        <f>'Long Form Output'!I25</f>
        <v>0</v>
      </c>
      <c r="R41" s="623">
        <f>'Long Form Output'!J25</f>
        <v>0</v>
      </c>
      <c r="S41" s="594">
        <f>SUM(L41:R41)</f>
        <v>0</v>
      </c>
      <c r="T41" s="483" t="s">
        <v>339</v>
      </c>
      <c r="U41" s="1804"/>
      <c r="V41" s="493"/>
    </row>
    <row r="42" spans="1:22" ht="15" thickBot="1">
      <c r="A42" s="1769" t="s">
        <v>419</v>
      </c>
      <c r="B42" s="1770"/>
      <c r="C42" s="1770"/>
      <c r="D42" s="1770"/>
      <c r="E42" s="1770"/>
      <c r="F42" s="1770"/>
      <c r="G42" s="1770"/>
      <c r="H42" s="1770"/>
      <c r="I42" s="1771"/>
      <c r="J42" s="483"/>
      <c r="K42" s="613" t="s">
        <v>381</v>
      </c>
      <c r="L42" s="614">
        <f>'Long Form Output'!D24</f>
        <v>0</v>
      </c>
      <c r="M42" s="614">
        <f>'Long Form Output'!E24</f>
        <v>0</v>
      </c>
      <c r="N42" s="614">
        <f>'Long Form Output'!F24</f>
        <v>0</v>
      </c>
      <c r="O42" s="614">
        <f>'Long Form Output'!G24</f>
        <v>0</v>
      </c>
      <c r="P42" s="614">
        <f>'Long Form Output'!H24</f>
        <v>0</v>
      </c>
      <c r="Q42" s="614">
        <f>'Long Form Output'!I24</f>
        <v>0</v>
      </c>
      <c r="R42" s="614">
        <f>'Long Form Output'!J24</f>
        <v>0</v>
      </c>
      <c r="S42" s="611">
        <f>SUM(L42:R42)</f>
        <v>0</v>
      </c>
      <c r="T42" s="483" t="s">
        <v>339</v>
      </c>
      <c r="U42" s="1805"/>
      <c r="V42" s="493"/>
    </row>
    <row r="43" spans="1:22" ht="21" customHeight="1" thickTop="1" thickBot="1">
      <c r="A43" s="1772"/>
      <c r="B43" s="1773"/>
      <c r="C43" s="1773"/>
      <c r="D43" s="1773"/>
      <c r="E43" s="1773"/>
      <c r="F43" s="1773"/>
      <c r="G43" s="1773"/>
      <c r="H43" s="1773"/>
      <c r="I43" s="1774"/>
      <c r="J43" s="492"/>
      <c r="K43" s="615" t="s">
        <v>382</v>
      </c>
      <c r="L43" s="624">
        <f>SUM(L41:L42)</f>
        <v>0</v>
      </c>
      <c r="M43" s="624">
        <f t="shared" ref="M43:R43" si="27">SUM(M41:M42)</f>
        <v>0</v>
      </c>
      <c r="N43" s="624">
        <f t="shared" si="27"/>
        <v>0</v>
      </c>
      <c r="O43" s="624">
        <f t="shared" si="27"/>
        <v>0</v>
      </c>
      <c r="P43" s="624">
        <f t="shared" si="27"/>
        <v>0</v>
      </c>
      <c r="Q43" s="624">
        <f t="shared" si="27"/>
        <v>0</v>
      </c>
      <c r="R43" s="624">
        <f t="shared" si="27"/>
        <v>0</v>
      </c>
      <c r="S43" s="625">
        <f>SUM(S41:S42)</f>
        <v>0</v>
      </c>
      <c r="T43" s="492"/>
      <c r="U43" s="539"/>
      <c r="V43" s="493"/>
    </row>
    <row r="44" spans="1:22" ht="15" thickBot="1">
      <c r="A44" s="520" t="s">
        <v>411</v>
      </c>
      <c r="B44" s="581">
        <f>'Monthly Summary'!B75/1000000</f>
        <v>0</v>
      </c>
      <c r="C44" s="581">
        <f>SUM('Monthly Summary'!C$75:N$75)/1000000</f>
        <v>0</v>
      </c>
      <c r="D44" s="582">
        <f>SUM('Monthly Summary'!O$75:Z$75)/1000000</f>
        <v>0</v>
      </c>
      <c r="E44" s="582">
        <f>SUM('Monthly Summary'!AA$75:AL$75)/1000000</f>
        <v>0</v>
      </c>
      <c r="F44" s="582">
        <f>SUM('Monthly Summary'!AM$75:AX$75)/1000000</f>
        <v>0</v>
      </c>
      <c r="G44" s="582">
        <f>SUM('Monthly Summary'!AY$75:BJ$75)/1000000</f>
        <v>0</v>
      </c>
      <c r="H44" s="582">
        <f>SUM('Monthly Summary'!BK$75:BV$75)/1000000</f>
        <v>0</v>
      </c>
      <c r="I44" s="583">
        <f t="shared" ref="I44:I45" si="28">SUM(B44:H44)</f>
        <v>0</v>
      </c>
      <c r="J44" s="502"/>
      <c r="K44" s="604"/>
      <c r="L44" s="3"/>
      <c r="M44" s="3"/>
      <c r="N44" s="3"/>
      <c r="O44" s="3"/>
      <c r="P44" s="3"/>
      <c r="Q44" s="3"/>
      <c r="R44" s="3"/>
      <c r="S44" s="612"/>
      <c r="T44" s="502"/>
      <c r="U44" s="513"/>
      <c r="V44" s="513"/>
    </row>
    <row r="45" spans="1:22" ht="16.5" customHeight="1" thickTop="1" thickBot="1">
      <c r="A45" s="518" t="s">
        <v>412</v>
      </c>
      <c r="B45" s="579">
        <f>'Monthly Summary'!B74/1000000</f>
        <v>0</v>
      </c>
      <c r="C45" s="579">
        <f>SUM('Monthly Summary'!C$74:N$74)/1000000</f>
        <v>0</v>
      </c>
      <c r="D45" s="580">
        <f>SUM('Monthly Summary'!O$74:Z$74)/1000000</f>
        <v>0</v>
      </c>
      <c r="E45" s="580">
        <f>SUM('Monthly Summary'!AA$74:AL$74)/1000000</f>
        <v>0</v>
      </c>
      <c r="F45" s="580">
        <f>SUM('Monthly Summary'!AM$74:AX$74)/1000000</f>
        <v>0</v>
      </c>
      <c r="G45" s="580">
        <f>SUM('Monthly Summary'!AY$74:BJ$74)/1000000</f>
        <v>0</v>
      </c>
      <c r="H45" s="580">
        <f>SUM('Monthly Summary'!BK$74:BV$74)/1000000</f>
        <v>0</v>
      </c>
      <c r="I45" s="482">
        <f t="shared" si="28"/>
        <v>0</v>
      </c>
      <c r="J45" s="519"/>
      <c r="K45" s="1800" t="s">
        <v>383</v>
      </c>
      <c r="L45" s="1801"/>
      <c r="M45" s="1801"/>
      <c r="N45" s="1801"/>
      <c r="O45" s="1801"/>
      <c r="P45" s="1801"/>
      <c r="Q45" s="1801"/>
      <c r="R45" s="1801"/>
      <c r="S45" s="1802"/>
      <c r="T45" s="519"/>
      <c r="U45" s="513"/>
      <c r="V45" s="513"/>
    </row>
    <row r="46" spans="1:22" ht="23.5" thickBot="1">
      <c r="A46" s="520" t="s">
        <v>384</v>
      </c>
      <c r="B46" s="521">
        <f>SUM(B20:B24,B15,B13,B9,B7) - B44</f>
        <v>0</v>
      </c>
      <c r="C46" s="521">
        <f>SUM(C20:C24,C15,C13,C9,C7) - C44</f>
        <v>0</v>
      </c>
      <c r="D46" s="521">
        <f>SUM(D20:D24,D15,D13,D9,D7) - D44</f>
        <v>0</v>
      </c>
      <c r="E46" s="521">
        <f t="shared" ref="E46:H46" si="29">SUM(E20:E24,E15,E13,E9,E7) - E44</f>
        <v>0</v>
      </c>
      <c r="F46" s="521">
        <f t="shared" si="29"/>
        <v>0</v>
      </c>
      <c r="G46" s="521">
        <f t="shared" si="29"/>
        <v>0</v>
      </c>
      <c r="H46" s="521">
        <f t="shared" si="29"/>
        <v>0</v>
      </c>
      <c r="I46" s="482">
        <f>SUM(B46:H46)</f>
        <v>0</v>
      </c>
      <c r="J46" s="492"/>
      <c r="K46" s="626" t="s">
        <v>384</v>
      </c>
      <c r="L46" s="627">
        <f>L41-L33</f>
        <v>0</v>
      </c>
      <c r="M46" s="627">
        <f t="shared" ref="M46:R47" si="30">M41-M33</f>
        <v>0</v>
      </c>
      <c r="N46" s="627">
        <f t="shared" si="30"/>
        <v>0</v>
      </c>
      <c r="O46" s="627">
        <f t="shared" si="30"/>
        <v>0</v>
      </c>
      <c r="P46" s="627">
        <f t="shared" si="30"/>
        <v>0</v>
      </c>
      <c r="Q46" s="627">
        <f t="shared" si="30"/>
        <v>0</v>
      </c>
      <c r="R46" s="627">
        <f t="shared" si="30"/>
        <v>0</v>
      </c>
      <c r="S46" s="594">
        <f>SUM(L46:R46)</f>
        <v>0</v>
      </c>
      <c r="T46" s="492"/>
      <c r="U46" s="513"/>
      <c r="V46" s="513"/>
    </row>
    <row r="47" spans="1:22" ht="23.5" thickBot="1">
      <c r="A47" s="520" t="s">
        <v>385</v>
      </c>
      <c r="B47" s="521">
        <f>SUM(B26:B31,B16,B14,B10,B8) - B45</f>
        <v>0</v>
      </c>
      <c r="C47" s="521">
        <f>SUM(C26:C31,C16,C14,C10,C8) - C45</f>
        <v>7.3200000000000001E-3</v>
      </c>
      <c r="D47" s="521">
        <f t="shared" ref="D47:H47" si="31">SUM(D26:D31,D16,D14,D10,D8) - D45</f>
        <v>0</v>
      </c>
      <c r="E47" s="521">
        <f t="shared" si="31"/>
        <v>0</v>
      </c>
      <c r="F47" s="521">
        <f t="shared" si="31"/>
        <v>0</v>
      </c>
      <c r="G47" s="521">
        <f t="shared" si="31"/>
        <v>0</v>
      </c>
      <c r="H47" s="521">
        <f t="shared" si="31"/>
        <v>0</v>
      </c>
      <c r="I47" s="583">
        <f>SUM(B47:H47)</f>
        <v>7.3200000000000001E-3</v>
      </c>
      <c r="J47" s="492"/>
      <c r="K47" s="628" t="s">
        <v>385</v>
      </c>
      <c r="L47" s="629">
        <f>L42-L34</f>
        <v>0</v>
      </c>
      <c r="M47" s="629">
        <f t="shared" si="30"/>
        <v>-0.10823630720328817</v>
      </c>
      <c r="N47" s="629">
        <f t="shared" si="30"/>
        <v>0</v>
      </c>
      <c r="O47" s="629">
        <f t="shared" si="30"/>
        <v>0</v>
      </c>
      <c r="P47" s="629">
        <f t="shared" si="30"/>
        <v>0</v>
      </c>
      <c r="Q47" s="629">
        <f t="shared" si="30"/>
        <v>0</v>
      </c>
      <c r="R47" s="629">
        <f t="shared" si="30"/>
        <v>0</v>
      </c>
      <c r="S47" s="611">
        <f>SUM(L47:R47)</f>
        <v>-0.10823630720328817</v>
      </c>
      <c r="T47" s="492"/>
      <c r="U47" s="513"/>
      <c r="V47" s="513"/>
    </row>
    <row r="48" spans="1:22" ht="15.5" thickTop="1" thickBot="1">
      <c r="A48" s="506" t="s">
        <v>386</v>
      </c>
      <c r="B48" s="512">
        <f>SUM(B46:B47)</f>
        <v>0</v>
      </c>
      <c r="C48" s="584">
        <f t="shared" ref="C48:H48" si="32">SUM(C46:C47)</f>
        <v>7.3200000000000001E-3</v>
      </c>
      <c r="D48" s="584">
        <f t="shared" si="32"/>
        <v>0</v>
      </c>
      <c r="E48" s="584">
        <f t="shared" si="32"/>
        <v>0</v>
      </c>
      <c r="F48" s="584">
        <f t="shared" si="32"/>
        <v>0</v>
      </c>
      <c r="G48" s="584">
        <f t="shared" si="32"/>
        <v>0</v>
      </c>
      <c r="H48" s="584">
        <f t="shared" si="32"/>
        <v>0</v>
      </c>
      <c r="I48" s="491">
        <f>SUM(I46:I47)</f>
        <v>7.3200000000000001E-3</v>
      </c>
      <c r="J48" s="492"/>
      <c r="K48" s="615" t="s">
        <v>386</v>
      </c>
      <c r="L48" s="624">
        <f>SUM(L46:L47)</f>
        <v>0</v>
      </c>
      <c r="M48" s="624">
        <f t="shared" ref="M48:R48" si="33">SUM(M46:M47)</f>
        <v>-0.10823630720328817</v>
      </c>
      <c r="N48" s="624">
        <f t="shared" si="33"/>
        <v>0</v>
      </c>
      <c r="O48" s="624">
        <f t="shared" si="33"/>
        <v>0</v>
      </c>
      <c r="P48" s="624">
        <f t="shared" si="33"/>
        <v>0</v>
      </c>
      <c r="Q48" s="624">
        <f t="shared" si="33"/>
        <v>0</v>
      </c>
      <c r="R48" s="624">
        <f t="shared" si="33"/>
        <v>0</v>
      </c>
      <c r="S48" s="625">
        <f>SUM(S46:S47)</f>
        <v>-0.10823630720328817</v>
      </c>
      <c r="T48" s="492"/>
      <c r="U48" s="513"/>
      <c r="V48" s="513"/>
    </row>
    <row r="49" spans="10:22" ht="15.5" thickTop="1" thickBot="1">
      <c r="J49" s="502"/>
      <c r="K49" s="604"/>
      <c r="L49" s="3"/>
      <c r="M49" s="3"/>
      <c r="N49" s="3"/>
      <c r="O49" s="3"/>
      <c r="P49" s="3"/>
      <c r="Q49" s="3"/>
      <c r="R49" s="3"/>
      <c r="S49" s="612"/>
      <c r="T49" s="502"/>
      <c r="U49" s="503"/>
      <c r="V49" s="503"/>
    </row>
    <row r="50" spans="10:22" ht="27" thickTop="1" thickBot="1">
      <c r="J50" s="483"/>
      <c r="K50" s="615" t="s">
        <v>387</v>
      </c>
      <c r="L50" s="624"/>
      <c r="M50" s="624">
        <f>IFERROR(HLOOKUP(M4,'RTB for Srvc Trans'!$D$6:$H$15,10,0),0)/1000000</f>
        <v>0</v>
      </c>
      <c r="N50" s="624">
        <f>IFERROR(HLOOKUP(N4,'RTB for Srvc Trans'!$D$6:$H$15,10,0),0)/1000000</f>
        <v>0</v>
      </c>
      <c r="O50" s="624">
        <f>IFERROR(HLOOKUP(O4,'RTB for Srvc Trans'!$D$6:$H$15,10,0),0)/1000000</f>
        <v>0</v>
      </c>
      <c r="P50" s="624">
        <f>IFERROR(HLOOKUP(P4,'RTB for Srvc Trans'!$D$6:$H$15,10,0),0)/1000000</f>
        <v>0</v>
      </c>
      <c r="Q50" s="624">
        <f>IFERROR(HLOOKUP(Q4,'RTB for Srvc Trans'!$D$6:$H$15,10,0),0)/1000000</f>
        <v>0</v>
      </c>
      <c r="R50" s="624">
        <f>IFERROR(HLOOKUP(R4,'RTB for Srvc Trans'!$D$6:$H$15,10,0),0)/1000000</f>
        <v>0</v>
      </c>
      <c r="S50" s="625">
        <f>SUM(L50:R50)</f>
        <v>0</v>
      </c>
      <c r="T50" s="483" t="s">
        <v>339</v>
      </c>
      <c r="U50" s="522" t="s">
        <v>418</v>
      </c>
      <c r="V50" s="523" t="s">
        <v>388</v>
      </c>
    </row>
    <row r="51" spans="10:22" ht="15" thickTop="1"/>
    <row r="52" spans="10:22">
      <c r="K52" s="631"/>
      <c r="L52" s="631"/>
      <c r="M52" s="631"/>
      <c r="N52" s="631"/>
      <c r="O52" s="631"/>
      <c r="P52" s="631"/>
      <c r="Q52" s="631"/>
      <c r="R52" s="631"/>
    </row>
  </sheetData>
  <sheetProtection algorithmName="SHA-512" hashValue="RWyGaHAkuckvVkUIMNErGo2JlSLjMfNShU+uA6E5JbmUbLTQ8g5SF7CQG0SDxHvBaMtUK1ciyfTrBBP1upPCbA==" saltValue="7UNXk42/h+3wOUEkSOZ7wg==" spinCount="100000" sheet="1" objects="1" scenarios="1"/>
  <protectedRanges>
    <protectedRange sqref="B37:H37" name="Uplift"/>
    <protectedRange sqref="B7:B10 B13:B16 B20:B24 B26:B31" name="Prior Yrs"/>
    <protectedRange sqref="C20:H24" name="D and I OpEx FYs"/>
    <protectedRange sqref="C26:H31" name="D and I CapEx FYs"/>
  </protectedRanges>
  <mergeCells count="33">
    <mergeCell ref="K1:S1"/>
    <mergeCell ref="U1:V1"/>
    <mergeCell ref="K3:S3"/>
    <mergeCell ref="K5:K6"/>
    <mergeCell ref="S5:S6"/>
    <mergeCell ref="U6:V6"/>
    <mergeCell ref="U28:V28"/>
    <mergeCell ref="K19:S19"/>
    <mergeCell ref="U19:V19"/>
    <mergeCell ref="U20:V20"/>
    <mergeCell ref="U21:V21"/>
    <mergeCell ref="U22:V22"/>
    <mergeCell ref="U23:V23"/>
    <mergeCell ref="U24:V24"/>
    <mergeCell ref="K25:S25"/>
    <mergeCell ref="U25:V25"/>
    <mergeCell ref="U26:V26"/>
    <mergeCell ref="U27:V27"/>
    <mergeCell ref="U29:V29"/>
    <mergeCell ref="U30:V30"/>
    <mergeCell ref="U31:V31"/>
    <mergeCell ref="K40:S40"/>
    <mergeCell ref="K45:S45"/>
    <mergeCell ref="U40:U42"/>
    <mergeCell ref="A42:I43"/>
    <mergeCell ref="A25:I25"/>
    <mergeCell ref="A40:I40"/>
    <mergeCell ref="A1:I1"/>
    <mergeCell ref="A3:I3"/>
    <mergeCell ref="A5:A6"/>
    <mergeCell ref="I5:I6"/>
    <mergeCell ref="A19:I19"/>
    <mergeCell ref="A18:I18"/>
  </mergeCells>
  <conditionalFormatting sqref="B7:B8">
    <cfRule type="cellIs" dxfId="466" priority="113" operator="equal">
      <formula>""</formula>
    </cfRule>
  </conditionalFormatting>
  <conditionalFormatting sqref="B13:B14">
    <cfRule type="cellIs" dxfId="465" priority="112" operator="equal">
      <formula>""</formula>
    </cfRule>
  </conditionalFormatting>
  <conditionalFormatting sqref="D20:D24">
    <cfRule type="expression" dxfId="464" priority="95">
      <formula>AND(D$46&lt;&gt;0,ISBLANK($D20))</formula>
    </cfRule>
  </conditionalFormatting>
  <conditionalFormatting sqref="B20:B24">
    <cfRule type="cellIs" dxfId="463" priority="25" operator="equal">
      <formula>""</formula>
    </cfRule>
  </conditionalFormatting>
  <conditionalFormatting sqref="B21:B24">
    <cfRule type="expression" dxfId="462" priority="40">
      <formula>AND($B33&lt;&gt;0,ISBLANK($B21))</formula>
    </cfRule>
  </conditionalFormatting>
  <conditionalFormatting sqref="B26:B31">
    <cfRule type="cellIs" dxfId="461" priority="24" operator="equal">
      <formula>""</formula>
    </cfRule>
  </conditionalFormatting>
  <conditionalFormatting sqref="C46">
    <cfRule type="cellIs" dxfId="460" priority="22" operator="equal">
      <formula>0</formula>
    </cfRule>
    <cfRule type="cellIs" dxfId="459" priority="23" operator="lessThan">
      <formula>0</formula>
    </cfRule>
  </conditionalFormatting>
  <conditionalFormatting sqref="B48:H48 C47">
    <cfRule type="cellIs" dxfId="458" priority="20" operator="equal">
      <formula>0</formula>
    </cfRule>
    <cfRule type="cellIs" dxfId="457" priority="21" operator="lessThan">
      <formula>0</formula>
    </cfRule>
  </conditionalFormatting>
  <conditionalFormatting sqref="B46">
    <cfRule type="cellIs" dxfId="456" priority="18" operator="equal">
      <formula>0</formula>
    </cfRule>
    <cfRule type="cellIs" dxfId="455" priority="19" operator="lessThan">
      <formula>0</formula>
    </cfRule>
  </conditionalFormatting>
  <conditionalFormatting sqref="B47">
    <cfRule type="cellIs" dxfId="454" priority="16" operator="equal">
      <formula>0</formula>
    </cfRule>
    <cfRule type="cellIs" dxfId="453" priority="17" operator="lessThan">
      <formula>0</formula>
    </cfRule>
  </conditionalFormatting>
  <conditionalFormatting sqref="D46:H46">
    <cfRule type="cellIs" dxfId="452" priority="14" operator="equal">
      <formula>0</formula>
    </cfRule>
    <cfRule type="cellIs" dxfId="451" priority="15" operator="lessThan">
      <formula>0</formula>
    </cfRule>
  </conditionalFormatting>
  <conditionalFormatting sqref="D47:H47">
    <cfRule type="cellIs" dxfId="450" priority="12" operator="equal">
      <formula>0</formula>
    </cfRule>
    <cfRule type="cellIs" dxfId="449" priority="13" operator="lessThan">
      <formula>0</formula>
    </cfRule>
  </conditionalFormatting>
  <conditionalFormatting sqref="D26:D31">
    <cfRule type="expression" dxfId="448" priority="11">
      <formula>AND(D$47&lt;&gt;0,ISBLANK($D26))</formula>
    </cfRule>
  </conditionalFormatting>
  <conditionalFormatting sqref="C26:C31">
    <cfRule type="expression" dxfId="447" priority="4">
      <formula>AND(C$47&lt;&gt;0,ISBLANK($D26))</formula>
    </cfRule>
  </conditionalFormatting>
  <conditionalFormatting sqref="E26:H31">
    <cfRule type="expression" dxfId="446" priority="3">
      <formula>AND(E$47&lt;&gt;0,ISBLANK($D26))</formula>
    </cfRule>
  </conditionalFormatting>
  <conditionalFormatting sqref="C20:C24">
    <cfRule type="expression" dxfId="445" priority="2">
      <formula>AND(C$46&lt;&gt;0,ISBLANK($D20))</formula>
    </cfRule>
  </conditionalFormatting>
  <conditionalFormatting sqref="E20:H24">
    <cfRule type="expression" dxfId="444" priority="1">
      <formula>AND(E$46&lt;&gt;0,ISBLANK($D20))</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tabColor rgb="FFC00000"/>
  </sheetPr>
  <dimension ref="A1:AM43"/>
  <sheetViews>
    <sheetView showGridLines="0" workbookViewId="0">
      <selection activeCell="H2" sqref="H2"/>
    </sheetView>
  </sheetViews>
  <sheetFormatPr defaultColWidth="9.1796875" defaultRowHeight="14.5"/>
  <cols>
    <col min="1" max="1" width="12.7265625" style="53" customWidth="1"/>
    <col min="2" max="2" width="13.26953125" style="53" customWidth="1"/>
    <col min="3" max="3" width="9.7265625" style="136" customWidth="1"/>
    <col min="4" max="4" width="38.26953125" style="136" customWidth="1"/>
    <col min="5" max="5" width="13.1796875" style="136" customWidth="1"/>
    <col min="6" max="9" width="11.7265625" style="136" customWidth="1"/>
    <col min="10" max="10" width="22.54296875" style="136" bestFit="1" customWidth="1"/>
    <col min="11" max="14" width="11.7265625" style="136" customWidth="1"/>
    <col min="15" max="15" width="22.54296875" style="136" bestFit="1" customWidth="1"/>
    <col min="16" max="19" width="11.7265625" style="136" customWidth="1"/>
    <col min="20" max="20" width="22.54296875" style="136" bestFit="1" customWidth="1"/>
    <col min="21" max="21" width="11.7265625" style="136" customWidth="1"/>
    <col min="22" max="22" width="14.1796875" style="136" customWidth="1"/>
    <col min="23" max="23" width="13.54296875" style="136" customWidth="1"/>
    <col min="24" max="24" width="9.1796875" style="136"/>
    <col min="25" max="25" width="22.54296875" style="136" bestFit="1" customWidth="1"/>
    <col min="26" max="28" width="11.7265625" style="136" customWidth="1"/>
    <col min="29" max="29" width="9.1796875" style="136"/>
    <col min="30" max="30" width="22.54296875" style="136" bestFit="1" customWidth="1"/>
    <col min="31" max="33" width="11.7265625" style="136" customWidth="1"/>
    <col min="34" max="34" width="9.1796875" style="136"/>
    <col min="35" max="35" width="22.54296875" style="136" bestFit="1" customWidth="1"/>
    <col min="36" max="38" width="11.7265625" style="136" customWidth="1"/>
    <col min="39" max="16384" width="9.1796875" style="136"/>
  </cols>
  <sheetData>
    <row r="1" spans="1:38" ht="15" customHeight="1">
      <c r="A1" s="1838" t="s">
        <v>112</v>
      </c>
      <c r="B1" s="1839"/>
      <c r="D1" s="1835" t="s">
        <v>126</v>
      </c>
      <c r="E1" s="1835"/>
      <c r="F1" s="1835"/>
      <c r="G1" s="1835"/>
      <c r="J1" s="1836" t="s">
        <v>126</v>
      </c>
      <c r="K1" s="1836"/>
      <c r="L1" s="1836"/>
      <c r="M1" s="1836"/>
      <c r="O1" s="1836" t="s">
        <v>126</v>
      </c>
      <c r="P1" s="1836"/>
      <c r="Q1" s="1836"/>
      <c r="R1" s="1836"/>
      <c r="T1" s="1836" t="s">
        <v>126</v>
      </c>
      <c r="U1" s="1836"/>
      <c r="V1" s="1836"/>
      <c r="W1" s="1836"/>
      <c r="Y1" s="1836" t="s">
        <v>126</v>
      </c>
      <c r="Z1" s="1836"/>
      <c r="AA1" s="1836"/>
      <c r="AB1" s="1836"/>
      <c r="AD1" s="1836" t="s">
        <v>126</v>
      </c>
      <c r="AE1" s="1836"/>
      <c r="AF1" s="1836"/>
      <c r="AG1" s="1836"/>
      <c r="AI1" s="1836" t="s">
        <v>126</v>
      </c>
      <c r="AJ1" s="1836"/>
      <c r="AK1" s="1836"/>
      <c r="AL1" s="1836"/>
    </row>
    <row r="2" spans="1:38">
      <c r="A2" s="1843" t="s">
        <v>111</v>
      </c>
      <c r="B2" s="1844"/>
      <c r="D2" s="1836"/>
      <c r="E2" s="1836"/>
      <c r="F2" s="1836"/>
      <c r="G2" s="1836"/>
      <c r="J2" s="1836"/>
      <c r="K2" s="1836"/>
      <c r="L2" s="1836"/>
      <c r="M2" s="1836"/>
      <c r="O2" s="1836"/>
      <c r="P2" s="1836"/>
      <c r="Q2" s="1836"/>
      <c r="R2" s="1836"/>
      <c r="T2" s="1836"/>
      <c r="U2" s="1836"/>
      <c r="V2" s="1836"/>
      <c r="W2" s="1836"/>
      <c r="Y2" s="1836"/>
      <c r="Z2" s="1836"/>
      <c r="AA2" s="1836"/>
      <c r="AB2" s="1836"/>
      <c r="AD2" s="1836"/>
      <c r="AE2" s="1836"/>
      <c r="AF2" s="1836"/>
      <c r="AG2" s="1836"/>
      <c r="AI2" s="1836"/>
      <c r="AJ2" s="1836"/>
      <c r="AK2" s="1836"/>
      <c r="AL2" s="1836"/>
    </row>
    <row r="3" spans="1:38" ht="15" thickBot="1">
      <c r="A3" s="1840" t="s">
        <v>110</v>
      </c>
      <c r="B3" s="1841"/>
      <c r="D3" s="1"/>
      <c r="E3" s="1"/>
      <c r="F3" s="1"/>
      <c r="G3" s="1"/>
    </row>
    <row r="4" spans="1:38" ht="15" thickBot="1">
      <c r="A4" s="1842" t="s">
        <v>119</v>
      </c>
      <c r="B4" s="1842"/>
      <c r="D4" s="445" t="s">
        <v>256</v>
      </c>
      <c r="E4" s="50"/>
      <c r="F4" s="121" t="s">
        <v>47</v>
      </c>
      <c r="G4" s="122"/>
      <c r="H4" s="421"/>
      <c r="I4" s="422"/>
      <c r="J4" s="22"/>
      <c r="K4" s="50"/>
      <c r="L4" s="63" t="str">
        <f>Variables!B21</f>
        <v>FY 22</v>
      </c>
      <c r="M4" s="51"/>
      <c r="N4" s="403"/>
      <c r="O4" s="22"/>
      <c r="P4" s="50"/>
      <c r="Q4" s="63" t="str">
        <f>Variables!N21</f>
        <v>FY 23</v>
      </c>
      <c r="R4" s="51"/>
      <c r="S4" s="403"/>
      <c r="T4" s="22"/>
      <c r="U4" s="50"/>
      <c r="V4" s="63" t="str">
        <f>Variables!Z21</f>
        <v>FY 24</v>
      </c>
      <c r="W4" s="51"/>
      <c r="X4" s="403"/>
      <c r="Y4" s="22"/>
      <c r="Z4" s="50"/>
      <c r="AA4" s="63" t="str">
        <f>Variables!AL21</f>
        <v>FY 25</v>
      </c>
      <c r="AB4" s="51"/>
      <c r="AC4" s="403"/>
      <c r="AD4" s="22"/>
      <c r="AE4" s="50"/>
      <c r="AF4" s="63" t="str">
        <f>Variables!AX21</f>
        <v>FY 26</v>
      </c>
      <c r="AG4" s="51"/>
      <c r="AH4" s="403"/>
      <c r="AI4" s="22"/>
      <c r="AJ4" s="50"/>
      <c r="AK4" s="63" t="str">
        <f>Variables!BJ21</f>
        <v>FY 27</v>
      </c>
      <c r="AL4" s="51"/>
    </row>
    <row r="5" spans="1:38">
      <c r="D5" s="448"/>
      <c r="E5" s="307" t="s">
        <v>37</v>
      </c>
      <c r="F5" s="307" t="s">
        <v>38</v>
      </c>
      <c r="G5" s="307" t="s">
        <v>48</v>
      </c>
      <c r="H5" s="423"/>
      <c r="I5" s="424"/>
      <c r="J5" s="18"/>
      <c r="K5" s="307" t="s">
        <v>37</v>
      </c>
      <c r="L5" s="307" t="s">
        <v>38</v>
      </c>
      <c r="M5" s="279" t="s">
        <v>48</v>
      </c>
      <c r="N5" s="414"/>
      <c r="O5" s="18"/>
      <c r="P5" s="307" t="s">
        <v>37</v>
      </c>
      <c r="Q5" s="307" t="s">
        <v>38</v>
      </c>
      <c r="R5" s="279" t="s">
        <v>48</v>
      </c>
      <c r="S5" s="414"/>
      <c r="T5" s="18"/>
      <c r="U5" s="307" t="s">
        <v>37</v>
      </c>
      <c r="V5" s="307" t="s">
        <v>38</v>
      </c>
      <c r="W5" s="279" t="s">
        <v>48</v>
      </c>
      <c r="X5" s="414"/>
      <c r="Y5" s="18"/>
      <c r="Z5" s="307" t="s">
        <v>37</v>
      </c>
      <c r="AA5" s="307" t="s">
        <v>38</v>
      </c>
      <c r="AB5" s="279" t="s">
        <v>48</v>
      </c>
      <c r="AC5" s="414"/>
      <c r="AD5" s="18"/>
      <c r="AE5" s="307" t="s">
        <v>37</v>
      </c>
      <c r="AF5" s="307" t="s">
        <v>38</v>
      </c>
      <c r="AG5" s="279" t="s">
        <v>48</v>
      </c>
      <c r="AH5" s="414"/>
      <c r="AI5" s="18"/>
      <c r="AJ5" s="307" t="s">
        <v>37</v>
      </c>
      <c r="AK5" s="307" t="s">
        <v>38</v>
      </c>
      <c r="AL5" s="279" t="s">
        <v>48</v>
      </c>
    </row>
    <row r="6" spans="1:38">
      <c r="A6" s="1837" t="s">
        <v>113</v>
      </c>
      <c r="B6" s="1837"/>
      <c r="D6" s="306" t="s">
        <v>57</v>
      </c>
      <c r="E6" s="238"/>
      <c r="F6" s="239"/>
      <c r="G6" s="240"/>
      <c r="H6" s="425"/>
      <c r="I6" s="426"/>
      <c r="J6" s="404" t="s">
        <v>255</v>
      </c>
      <c r="K6" s="238"/>
      <c r="L6" s="239"/>
      <c r="M6" s="251"/>
      <c r="N6" s="412"/>
      <c r="O6" s="404" t="s">
        <v>255</v>
      </c>
      <c r="P6" s="238"/>
      <c r="Q6" s="239"/>
      <c r="R6" s="251"/>
      <c r="S6" s="412"/>
      <c r="T6" s="404" t="s">
        <v>255</v>
      </c>
      <c r="U6" s="238"/>
      <c r="V6" s="239"/>
      <c r="W6" s="251"/>
      <c r="X6" s="412"/>
      <c r="Y6" s="404" t="s">
        <v>255</v>
      </c>
      <c r="Z6" s="238"/>
      <c r="AA6" s="239"/>
      <c r="AB6" s="251"/>
      <c r="AC6" s="412"/>
      <c r="AD6" s="404" t="s">
        <v>255</v>
      </c>
      <c r="AE6" s="238"/>
      <c r="AF6" s="239"/>
      <c r="AG6" s="251"/>
      <c r="AH6" s="412"/>
      <c r="AI6" s="404" t="s">
        <v>255</v>
      </c>
      <c r="AJ6" s="238"/>
      <c r="AK6" s="239"/>
      <c r="AL6" s="251"/>
    </row>
    <row r="7" spans="1:38">
      <c r="A7" s="1831" t="s">
        <v>114</v>
      </c>
      <c r="B7" s="1831"/>
      <c r="D7" s="24" t="s">
        <v>49</v>
      </c>
      <c r="E7" s="242"/>
      <c r="F7" s="243"/>
      <c r="G7" s="244"/>
      <c r="H7" s="425"/>
      <c r="I7" s="426"/>
      <c r="J7" s="405" t="s">
        <v>50</v>
      </c>
      <c r="K7" s="245"/>
      <c r="L7" s="246"/>
      <c r="M7" s="252"/>
      <c r="N7" s="412"/>
      <c r="O7" s="405" t="s">
        <v>50</v>
      </c>
      <c r="P7" s="245"/>
      <c r="Q7" s="246"/>
      <c r="R7" s="252"/>
      <c r="S7" s="412"/>
      <c r="T7" s="405" t="s">
        <v>50</v>
      </c>
      <c r="U7" s="245"/>
      <c r="V7" s="246"/>
      <c r="W7" s="252"/>
      <c r="X7" s="412"/>
      <c r="Y7" s="405" t="s">
        <v>50</v>
      </c>
      <c r="Z7" s="245"/>
      <c r="AA7" s="246"/>
      <c r="AB7" s="252"/>
      <c r="AC7" s="412"/>
      <c r="AD7" s="405" t="s">
        <v>50</v>
      </c>
      <c r="AE7" s="245"/>
      <c r="AF7" s="246"/>
      <c r="AG7" s="252"/>
      <c r="AH7" s="412"/>
      <c r="AI7" s="405" t="s">
        <v>50</v>
      </c>
      <c r="AJ7" s="245"/>
      <c r="AK7" s="246"/>
      <c r="AL7" s="252"/>
    </row>
    <row r="8" spans="1:38">
      <c r="A8" s="282" t="s">
        <v>20</v>
      </c>
      <c r="B8" s="282" t="s">
        <v>21</v>
      </c>
      <c r="D8" s="25" t="s">
        <v>51</v>
      </c>
      <c r="E8" s="243"/>
      <c r="F8" s="243"/>
      <c r="G8" s="244">
        <f>E8+F8</f>
        <v>0</v>
      </c>
      <c r="H8" s="425"/>
      <c r="I8" s="426"/>
      <c r="J8" s="406" t="s">
        <v>52</v>
      </c>
      <c r="K8" s="242"/>
      <c r="L8" s="243"/>
      <c r="M8" s="253">
        <f>K8+L8</f>
        <v>0</v>
      </c>
      <c r="N8" s="412"/>
      <c r="O8" s="406" t="s">
        <v>52</v>
      </c>
      <c r="P8" s="242"/>
      <c r="Q8" s="243"/>
      <c r="R8" s="253">
        <f>P8+Q8</f>
        <v>0</v>
      </c>
      <c r="S8" s="412"/>
      <c r="T8" s="406" t="s">
        <v>52</v>
      </c>
      <c r="U8" s="242"/>
      <c r="V8" s="243"/>
      <c r="W8" s="253">
        <f>U8+V8</f>
        <v>0</v>
      </c>
      <c r="X8" s="412"/>
      <c r="Y8" s="406" t="s">
        <v>52</v>
      </c>
      <c r="Z8" s="242"/>
      <c r="AA8" s="243"/>
      <c r="AB8" s="253">
        <f>Z8+AA8</f>
        <v>0</v>
      </c>
      <c r="AC8" s="412"/>
      <c r="AD8" s="406" t="s">
        <v>52</v>
      </c>
      <c r="AE8" s="242"/>
      <c r="AF8" s="243"/>
      <c r="AG8" s="253">
        <f>AE8+AF8</f>
        <v>0</v>
      </c>
      <c r="AH8" s="412"/>
      <c r="AI8" s="406" t="s">
        <v>52</v>
      </c>
      <c r="AJ8" s="242"/>
      <c r="AK8" s="243"/>
      <c r="AL8" s="253">
        <f>AJ8+AK8</f>
        <v>0</v>
      </c>
    </row>
    <row r="9" spans="1:38">
      <c r="A9" s="281">
        <f>(E12+E19)-SUM('Monthly Summary'!B75:BV75)</f>
        <v>0</v>
      </c>
      <c r="B9" s="281">
        <f>(F12+F19)-SUM('Monthly Summary'!B74:BU74)</f>
        <v>0</v>
      </c>
      <c r="D9" s="25"/>
      <c r="E9" s="243"/>
      <c r="F9" s="243"/>
      <c r="G9" s="244"/>
      <c r="H9" s="425"/>
      <c r="I9" s="426"/>
      <c r="J9" s="406" t="s">
        <v>53</v>
      </c>
      <c r="K9" s="242"/>
      <c r="L9" s="243"/>
      <c r="M9" s="253">
        <f>K9+L9</f>
        <v>0</v>
      </c>
      <c r="N9" s="412"/>
      <c r="O9" s="406" t="s">
        <v>53</v>
      </c>
      <c r="P9" s="242"/>
      <c r="Q9" s="243"/>
      <c r="R9" s="253">
        <f>P9+Q9</f>
        <v>0</v>
      </c>
      <c r="S9" s="412"/>
      <c r="T9" s="406" t="s">
        <v>53</v>
      </c>
      <c r="U9" s="242"/>
      <c r="V9" s="243"/>
      <c r="W9" s="253">
        <f>U9+V9</f>
        <v>0</v>
      </c>
      <c r="X9" s="412"/>
      <c r="Y9" s="406" t="s">
        <v>53</v>
      </c>
      <c r="Z9" s="242"/>
      <c r="AA9" s="243"/>
      <c r="AB9" s="253">
        <f>Z9+AA9</f>
        <v>0</v>
      </c>
      <c r="AC9" s="412"/>
      <c r="AD9" s="406" t="s">
        <v>53</v>
      </c>
      <c r="AE9" s="242"/>
      <c r="AF9" s="243"/>
      <c r="AG9" s="253">
        <f>AE9+AF9</f>
        <v>0</v>
      </c>
      <c r="AH9" s="412"/>
      <c r="AI9" s="406" t="s">
        <v>53</v>
      </c>
      <c r="AJ9" s="242"/>
      <c r="AK9" s="243"/>
      <c r="AL9" s="253">
        <f>AJ9+AK9</f>
        <v>0</v>
      </c>
    </row>
    <row r="10" spans="1:38">
      <c r="D10" s="301" t="s">
        <v>54</v>
      </c>
      <c r="E10" s="304">
        <f>E8</f>
        <v>0</v>
      </c>
      <c r="F10" s="303">
        <f>F8</f>
        <v>0</v>
      </c>
      <c r="G10" s="305">
        <f>G8</f>
        <v>0</v>
      </c>
      <c r="H10" s="427"/>
      <c r="I10" s="428"/>
      <c r="J10" s="407" t="s">
        <v>55</v>
      </c>
      <c r="K10" s="304">
        <f>K8+K9</f>
        <v>0</v>
      </c>
      <c r="L10" s="303">
        <f>L8+L9</f>
        <v>0</v>
      </c>
      <c r="M10" s="302">
        <f>M8+M9</f>
        <v>0</v>
      </c>
      <c r="N10" s="413"/>
      <c r="O10" s="407" t="s">
        <v>55</v>
      </c>
      <c r="P10" s="304">
        <f>P8+P9</f>
        <v>0</v>
      </c>
      <c r="Q10" s="303">
        <f>Q8+Q9</f>
        <v>0</v>
      </c>
      <c r="R10" s="302">
        <f>R8+R9</f>
        <v>0</v>
      </c>
      <c r="S10" s="413"/>
      <c r="T10" s="407" t="s">
        <v>55</v>
      </c>
      <c r="U10" s="304">
        <f>U8+U9</f>
        <v>0</v>
      </c>
      <c r="V10" s="303">
        <f>V8+V9</f>
        <v>0</v>
      </c>
      <c r="W10" s="302">
        <f>W8+W9</f>
        <v>0</v>
      </c>
      <c r="X10" s="413"/>
      <c r="Y10" s="407" t="s">
        <v>55</v>
      </c>
      <c r="Z10" s="304">
        <f>Z8+Z9</f>
        <v>0</v>
      </c>
      <c r="AA10" s="303">
        <f>AA8+AA9</f>
        <v>0</v>
      </c>
      <c r="AB10" s="302">
        <f>AB8+AB9</f>
        <v>0</v>
      </c>
      <c r="AC10" s="413"/>
      <c r="AD10" s="407" t="s">
        <v>55</v>
      </c>
      <c r="AE10" s="304">
        <f>AE8+AE9</f>
        <v>0</v>
      </c>
      <c r="AF10" s="303">
        <f>AF8+AF9</f>
        <v>0</v>
      </c>
      <c r="AG10" s="302">
        <f>AG8+AG9</f>
        <v>0</v>
      </c>
      <c r="AH10" s="413"/>
      <c r="AI10" s="407" t="s">
        <v>55</v>
      </c>
      <c r="AJ10" s="304">
        <f>AJ8+AJ9</f>
        <v>0</v>
      </c>
      <c r="AK10" s="303">
        <f>AK8+AK9</f>
        <v>0</v>
      </c>
      <c r="AL10" s="302">
        <f>AL8+AL9</f>
        <v>0</v>
      </c>
    </row>
    <row r="11" spans="1:38">
      <c r="A11" s="1832" t="s">
        <v>115</v>
      </c>
      <c r="B11" s="1832"/>
      <c r="D11" s="26" t="s">
        <v>56</v>
      </c>
      <c r="E11" s="242"/>
      <c r="F11" s="243"/>
      <c r="G11" s="244"/>
      <c r="H11" s="425"/>
      <c r="I11" s="426"/>
      <c r="J11" s="410" t="s">
        <v>56</v>
      </c>
      <c r="K11" s="242"/>
      <c r="L11" s="243"/>
      <c r="M11" s="253"/>
      <c r="N11" s="412"/>
      <c r="O11" s="410" t="s">
        <v>56</v>
      </c>
      <c r="P11" s="242"/>
      <c r="Q11" s="243"/>
      <c r="R11" s="253"/>
      <c r="S11" s="412"/>
      <c r="T11" s="410" t="s">
        <v>56</v>
      </c>
      <c r="U11" s="242"/>
      <c r="V11" s="243"/>
      <c r="W11" s="253"/>
      <c r="X11" s="412"/>
      <c r="Y11" s="410" t="s">
        <v>56</v>
      </c>
      <c r="Z11" s="242"/>
      <c r="AA11" s="243"/>
      <c r="AB11" s="253"/>
      <c r="AC11" s="412"/>
      <c r="AD11" s="410" t="s">
        <v>56</v>
      </c>
      <c r="AE11" s="242"/>
      <c r="AF11" s="243"/>
      <c r="AG11" s="253"/>
      <c r="AH11" s="412"/>
      <c r="AI11" s="410" t="s">
        <v>56</v>
      </c>
      <c r="AJ11" s="242"/>
      <c r="AK11" s="243"/>
      <c r="AL11" s="253"/>
    </row>
    <row r="12" spans="1:38">
      <c r="A12" s="1831" t="s">
        <v>116</v>
      </c>
      <c r="B12" s="1831"/>
      <c r="D12" s="27" t="s">
        <v>19</v>
      </c>
      <c r="E12" s="242">
        <f>SUMIF('Monthly Summary'!$B$3:$BV$3,"&lt;="&amp;Variables!$B$18,'Monthly Summary'!$B$75:$BV$75)</f>
        <v>0</v>
      </c>
      <c r="F12" s="243">
        <f>SUMIF('Monthly Summary'!$B$3:$BV$3,"&lt;="&amp;Variables!$B$18,'Monthly Summary'!$B$74:$BV$74)</f>
        <v>0</v>
      </c>
      <c r="G12" s="244">
        <f>E12+F12</f>
        <v>0</v>
      </c>
      <c r="H12" s="425"/>
      <c r="I12" s="426"/>
      <c r="J12" s="408" t="s">
        <v>19</v>
      </c>
      <c r="K12" s="242">
        <f>SUM('Monthly Summary'!$C$75:$N$75)</f>
        <v>0</v>
      </c>
      <c r="L12" s="243">
        <f>SUM('Monthly Summary'!$C$74:$N$74)</f>
        <v>0</v>
      </c>
      <c r="M12" s="253">
        <f>K12+L12</f>
        <v>0</v>
      </c>
      <c r="N12" s="412"/>
      <c r="O12" s="408" t="s">
        <v>19</v>
      </c>
      <c r="P12" s="242">
        <f>SUM('Monthly Summary'!$O$75:$Z$75)</f>
        <v>0</v>
      </c>
      <c r="Q12" s="243">
        <f>SUM('Monthly Summary'!$O$74:$Z$74)</f>
        <v>0</v>
      </c>
      <c r="R12" s="253">
        <f>P12+Q12</f>
        <v>0</v>
      </c>
      <c r="S12" s="412"/>
      <c r="T12" s="408" t="s">
        <v>19</v>
      </c>
      <c r="U12" s="242">
        <f>SUM('Monthly Summary'!$AA$75:$AL$75)</f>
        <v>0</v>
      </c>
      <c r="V12" s="243">
        <f>SUM('Monthly Summary'!$AA$74:$AL$74)</f>
        <v>0</v>
      </c>
      <c r="W12" s="253">
        <f>U12+V12</f>
        <v>0</v>
      </c>
      <c r="X12" s="412"/>
      <c r="Y12" s="408" t="s">
        <v>19</v>
      </c>
      <c r="Z12" s="242">
        <f>SUM('Monthly Summary'!$AM$75:$AX$75)</f>
        <v>0</v>
      </c>
      <c r="AA12" s="243">
        <f>SUM('Monthly Summary'!$AM$74:$AX$74)</f>
        <v>0</v>
      </c>
      <c r="AB12" s="253">
        <f>Z12+AA12</f>
        <v>0</v>
      </c>
      <c r="AC12" s="412"/>
      <c r="AD12" s="408" t="s">
        <v>19</v>
      </c>
      <c r="AE12" s="242">
        <f>SUM('Monthly Summary'!$AY$75:$BJ$75)</f>
        <v>0</v>
      </c>
      <c r="AF12" s="243">
        <f>SUM('Monthly Summary'!$AY$74:$BJ$74)</f>
        <v>0</v>
      </c>
      <c r="AG12" s="253">
        <f>AE12+AF12</f>
        <v>0</v>
      </c>
      <c r="AH12" s="412"/>
      <c r="AI12" s="408" t="s">
        <v>19</v>
      </c>
      <c r="AJ12" s="242">
        <f>SUM('Monthly Summary'!$BK$75:$BV$75)</f>
        <v>0</v>
      </c>
      <c r="AK12" s="243">
        <f>SUM('Monthly Summary'!$BK$74:$BV$74)</f>
        <v>0</v>
      </c>
      <c r="AL12" s="253">
        <f>AJ12+AK12</f>
        <v>0</v>
      </c>
    </row>
    <row r="13" spans="1:38">
      <c r="A13" s="282" t="s">
        <v>20</v>
      </c>
      <c r="B13" s="282" t="s">
        <v>21</v>
      </c>
      <c r="D13" s="27" t="s">
        <v>307</v>
      </c>
      <c r="E13" s="247">
        <f>SUMIF('Monthly Summary'!$B$3:$BV$3,"&lt;="&amp;Variables!$B$18,'Monthly Summary'!$B$78:$BV$78)</f>
        <v>0</v>
      </c>
      <c r="F13" s="248">
        <f>SUMIF('Monthly Summary'!$B$3:$BV$3,"&lt;="&amp;Variables!$B$18,'Monthly Summary'!$B$77:$BV$77)</f>
        <v>108236.30720328816</v>
      </c>
      <c r="G13" s="244">
        <f>E13+F13</f>
        <v>108236.30720328816</v>
      </c>
      <c r="H13" s="425"/>
      <c r="I13" s="426"/>
      <c r="J13" s="408" t="s">
        <v>212</v>
      </c>
      <c r="K13" s="242">
        <f>SUM('Monthly Summary'!$C$78:$N$78)</f>
        <v>0</v>
      </c>
      <c r="L13" s="243">
        <f>SUM('Monthly Summary'!$C$77:$N$77)</f>
        <v>108236.30720328816</v>
      </c>
      <c r="M13" s="253">
        <f>K13+L13</f>
        <v>108236.30720328816</v>
      </c>
      <c r="N13" s="412"/>
      <c r="O13" s="408" t="s">
        <v>212</v>
      </c>
      <c r="P13" s="242">
        <f>SUM('Monthly Summary'!$O$78:$Z$78)</f>
        <v>0</v>
      </c>
      <c r="Q13" s="243">
        <f>SUM('Monthly Summary'!$O$77:$Z$77)</f>
        <v>0</v>
      </c>
      <c r="R13" s="253">
        <f>P13+Q13</f>
        <v>0</v>
      </c>
      <c r="S13" s="412"/>
      <c r="T13" s="408" t="s">
        <v>212</v>
      </c>
      <c r="U13" s="242">
        <f>SUM('Monthly Summary'!$AA$78:$AL$78)</f>
        <v>0</v>
      </c>
      <c r="V13" s="243">
        <f>SUM('Monthly Summary'!$AA$77:$AL$77)</f>
        <v>0</v>
      </c>
      <c r="W13" s="253">
        <f>U13+V13</f>
        <v>0</v>
      </c>
      <c r="X13" s="412"/>
      <c r="Y13" s="408" t="s">
        <v>212</v>
      </c>
      <c r="Z13" s="242">
        <f>SUM('Monthly Summary'!$AM$78:$AX$78)</f>
        <v>0</v>
      </c>
      <c r="AA13" s="243">
        <f>SUM('Monthly Summary'!$AM$77:$AX$77)</f>
        <v>0</v>
      </c>
      <c r="AB13" s="253">
        <f>Z13+AA13</f>
        <v>0</v>
      </c>
      <c r="AC13" s="412"/>
      <c r="AD13" s="408" t="s">
        <v>212</v>
      </c>
      <c r="AE13" s="242">
        <f>SUM('Monthly Summary'!$AY$78:$BJ$78)</f>
        <v>0</v>
      </c>
      <c r="AF13" s="243">
        <f>SUM('Monthly Summary'!$AY$77:$BJ$77)</f>
        <v>0</v>
      </c>
      <c r="AG13" s="253">
        <f>AE13+AF13</f>
        <v>0</v>
      </c>
      <c r="AH13" s="412"/>
      <c r="AI13" s="408" t="s">
        <v>212</v>
      </c>
      <c r="AJ13" s="242">
        <f>SUM('Monthly Summary'!$BK$78:$BV$78)</f>
        <v>0</v>
      </c>
      <c r="AK13" s="243">
        <f>SUM('Monthly Summary'!$BK$77:$BV$77)</f>
        <v>0</v>
      </c>
      <c r="AL13" s="253">
        <f>AJ13+AK13</f>
        <v>0</v>
      </c>
    </row>
    <row r="14" spans="1:38">
      <c r="A14" s="281">
        <f>(E13+E20)-SUM('Monthly Summary'!C78:BV78)</f>
        <v>0</v>
      </c>
      <c r="B14" s="281">
        <f>(F13+F20)-SUM('Monthly Summary'!C77:BV77)</f>
        <v>0</v>
      </c>
      <c r="D14" s="301" t="s">
        <v>314</v>
      </c>
      <c r="E14" s="299">
        <f>E12+E13</f>
        <v>0</v>
      </c>
      <c r="F14" s="298">
        <f>F12+F13</f>
        <v>108236.30720328816</v>
      </c>
      <c r="G14" s="300">
        <f>G12+G13</f>
        <v>108236.30720328816</v>
      </c>
      <c r="H14" s="425"/>
      <c r="I14" s="426"/>
      <c r="J14" s="409" t="s">
        <v>313</v>
      </c>
      <c r="K14" s="299">
        <f>K12+K13</f>
        <v>0</v>
      </c>
      <c r="L14" s="298">
        <f>L12+L13</f>
        <v>108236.30720328816</v>
      </c>
      <c r="M14" s="297">
        <f>M12+M13</f>
        <v>108236.30720328816</v>
      </c>
      <c r="N14" s="412"/>
      <c r="O14" s="409" t="s">
        <v>313</v>
      </c>
      <c r="P14" s="299">
        <f>P12+P13</f>
        <v>0</v>
      </c>
      <c r="Q14" s="298">
        <f>Q12+Q13</f>
        <v>0</v>
      </c>
      <c r="R14" s="297">
        <f>R12+R13</f>
        <v>0</v>
      </c>
      <c r="S14" s="412"/>
      <c r="T14" s="409" t="s">
        <v>313</v>
      </c>
      <c r="U14" s="299">
        <f>U12+U13</f>
        <v>0</v>
      </c>
      <c r="V14" s="298">
        <f>V12+V13</f>
        <v>0</v>
      </c>
      <c r="W14" s="297">
        <f>W12+W13</f>
        <v>0</v>
      </c>
      <c r="X14" s="412"/>
      <c r="Y14" s="409" t="s">
        <v>313</v>
      </c>
      <c r="Z14" s="299">
        <f>Z12+Z13</f>
        <v>0</v>
      </c>
      <c r="AA14" s="298">
        <f>AA12+AA13</f>
        <v>0</v>
      </c>
      <c r="AB14" s="297">
        <f>AB12+AB13</f>
        <v>0</v>
      </c>
      <c r="AC14" s="412"/>
      <c r="AD14" s="409" t="s">
        <v>313</v>
      </c>
      <c r="AE14" s="299">
        <f>AE12+AE13</f>
        <v>0</v>
      </c>
      <c r="AF14" s="298">
        <f>AF12+AF13</f>
        <v>0</v>
      </c>
      <c r="AG14" s="297">
        <f>AG12+AG13</f>
        <v>0</v>
      </c>
      <c r="AH14" s="412"/>
      <c r="AI14" s="409" t="s">
        <v>313</v>
      </c>
      <c r="AJ14" s="299">
        <f>AJ12+AJ13</f>
        <v>0</v>
      </c>
      <c r="AK14" s="298">
        <f>AK12+AK13</f>
        <v>0</v>
      </c>
      <c r="AL14" s="297">
        <f>AL12+AL13</f>
        <v>0</v>
      </c>
    </row>
    <row r="15" spans="1:38">
      <c r="D15" s="23" t="s">
        <v>254</v>
      </c>
      <c r="E15" s="247">
        <f>E10-E14</f>
        <v>0</v>
      </c>
      <c r="F15" s="273">
        <f>F10-F14</f>
        <v>-108236.30720328816</v>
      </c>
      <c r="G15" s="272">
        <f>G10-G14</f>
        <v>-108236.30720328816</v>
      </c>
      <c r="H15" s="425"/>
      <c r="I15" s="426"/>
      <c r="J15" s="411" t="s">
        <v>253</v>
      </c>
      <c r="K15" s="274">
        <f>K10-K14</f>
        <v>0</v>
      </c>
      <c r="L15" s="273">
        <f>L10-L14</f>
        <v>-108236.30720328816</v>
      </c>
      <c r="M15" s="296">
        <f>M10-M14</f>
        <v>-108236.30720328816</v>
      </c>
      <c r="N15" s="412"/>
      <c r="O15" s="411" t="s">
        <v>253</v>
      </c>
      <c r="P15" s="274">
        <f>P10-P14</f>
        <v>0</v>
      </c>
      <c r="Q15" s="273">
        <f>Q10-Q14</f>
        <v>0</v>
      </c>
      <c r="R15" s="296">
        <f>R10-R14</f>
        <v>0</v>
      </c>
      <c r="S15" s="412"/>
      <c r="T15" s="411" t="s">
        <v>253</v>
      </c>
      <c r="U15" s="274">
        <f>U10-U14</f>
        <v>0</v>
      </c>
      <c r="V15" s="273">
        <f>V10-V14</f>
        <v>0</v>
      </c>
      <c r="W15" s="296">
        <f>W10-W14</f>
        <v>0</v>
      </c>
      <c r="X15" s="412"/>
      <c r="Y15" s="411" t="s">
        <v>253</v>
      </c>
      <c r="Z15" s="274">
        <f>Z10-Z14</f>
        <v>0</v>
      </c>
      <c r="AA15" s="273">
        <f>AA10-AA14</f>
        <v>0</v>
      </c>
      <c r="AB15" s="296">
        <f>AB10-AB14</f>
        <v>0</v>
      </c>
      <c r="AC15" s="412"/>
      <c r="AD15" s="411" t="s">
        <v>253</v>
      </c>
      <c r="AE15" s="274">
        <f>AE10-AE14</f>
        <v>0</v>
      </c>
      <c r="AF15" s="273">
        <f>AF10-AF14</f>
        <v>0</v>
      </c>
      <c r="AG15" s="296">
        <f>AG10-AG14</f>
        <v>0</v>
      </c>
      <c r="AH15" s="412"/>
      <c r="AI15" s="411" t="s">
        <v>253</v>
      </c>
      <c r="AJ15" s="274">
        <f>AJ10-AJ14</f>
        <v>0</v>
      </c>
      <c r="AK15" s="273">
        <f>AK10-AK14</f>
        <v>0</v>
      </c>
      <c r="AL15" s="296">
        <f>AL10-AL14</f>
        <v>0</v>
      </c>
    </row>
    <row r="16" spans="1:38">
      <c r="A16" s="1832" t="s">
        <v>117</v>
      </c>
      <c r="B16" s="1832"/>
      <c r="D16" s="28"/>
      <c r="E16" s="295"/>
      <c r="F16" s="294"/>
      <c r="G16" s="293"/>
      <c r="H16" s="429"/>
      <c r="I16" s="430"/>
      <c r="J16" s="283"/>
      <c r="K16" s="283"/>
      <c r="L16" s="283"/>
      <c r="M16" s="292"/>
      <c r="N16" s="415"/>
      <c r="O16" s="283"/>
      <c r="P16" s="283"/>
      <c r="Q16" s="283"/>
      <c r="R16" s="292"/>
      <c r="S16" s="415"/>
      <c r="T16" s="283"/>
      <c r="U16" s="283"/>
      <c r="V16" s="283"/>
      <c r="W16" s="292"/>
      <c r="X16" s="415"/>
      <c r="Y16" s="283"/>
      <c r="Z16" s="283"/>
      <c r="AA16" s="283"/>
      <c r="AB16" s="292"/>
      <c r="AC16" s="415"/>
      <c r="AD16" s="283"/>
      <c r="AE16" s="283"/>
      <c r="AF16" s="283"/>
      <c r="AG16" s="292"/>
      <c r="AH16" s="415"/>
      <c r="AI16" s="283"/>
      <c r="AJ16" s="283"/>
      <c r="AK16" s="283"/>
      <c r="AL16" s="292"/>
    </row>
    <row r="17" spans="1:39">
      <c r="A17" s="1831" t="s">
        <v>114</v>
      </c>
      <c r="B17" s="1831"/>
      <c r="D17" s="291" t="s">
        <v>308</v>
      </c>
      <c r="E17" s="290"/>
      <c r="F17" s="289"/>
      <c r="G17" s="288"/>
      <c r="H17" s="425"/>
      <c r="I17" s="284"/>
      <c r="J17" s="398"/>
      <c r="K17" s="416" t="s">
        <v>58</v>
      </c>
      <c r="L17" s="417"/>
      <c r="M17" s="467"/>
      <c r="N17" s="397"/>
      <c r="O17" s="398"/>
      <c r="P17" s="416" t="s">
        <v>58</v>
      </c>
      <c r="Q17" s="417"/>
      <c r="R17" s="467"/>
      <c r="S17" s="397"/>
      <c r="T17" s="398"/>
      <c r="U17" s="416" t="s">
        <v>58</v>
      </c>
      <c r="V17" s="417"/>
      <c r="W17" s="467"/>
      <c r="X17" s="397"/>
      <c r="Y17" s="398"/>
      <c r="Z17" s="416" t="s">
        <v>58</v>
      </c>
      <c r="AA17" s="417"/>
      <c r="AB17" s="467"/>
      <c r="AC17" s="397"/>
      <c r="AD17" s="398"/>
      <c r="AE17" s="416" t="s">
        <v>58</v>
      </c>
      <c r="AF17" s="417"/>
      <c r="AG17" s="467"/>
      <c r="AH17" s="397"/>
      <c r="AI17" s="398"/>
      <c r="AJ17" s="416" t="s">
        <v>58</v>
      </c>
      <c r="AK17" s="417"/>
      <c r="AL17" s="467"/>
    </row>
    <row r="18" spans="1:39" ht="15" thickBot="1">
      <c r="A18" s="282" t="s">
        <v>20</v>
      </c>
      <c r="B18" s="282" t="s">
        <v>21</v>
      </c>
      <c r="D18" s="462" t="s">
        <v>309</v>
      </c>
      <c r="E18" s="366"/>
      <c r="F18" s="367"/>
      <c r="G18" s="257">
        <f>SUM(E18:F18)</f>
        <v>0</v>
      </c>
      <c r="H18" s="425"/>
      <c r="I18" s="284"/>
      <c r="J18" s="398"/>
      <c r="K18" s="418" t="s">
        <v>59</v>
      </c>
      <c r="L18" s="419"/>
      <c r="M18" s="468"/>
      <c r="N18" s="397"/>
      <c r="O18" s="398"/>
      <c r="P18" s="418" t="s">
        <v>59</v>
      </c>
      <c r="Q18" s="419"/>
      <c r="R18" s="468"/>
      <c r="S18" s="397"/>
      <c r="T18" s="398"/>
      <c r="U18" s="418" t="s">
        <v>59</v>
      </c>
      <c r="V18" s="419"/>
      <c r="W18" s="468"/>
      <c r="X18" s="397"/>
      <c r="Y18" s="398"/>
      <c r="Z18" s="418" t="s">
        <v>59</v>
      </c>
      <c r="AA18" s="419"/>
      <c r="AB18" s="468"/>
      <c r="AC18" s="397"/>
      <c r="AD18" s="398"/>
      <c r="AE18" s="418" t="s">
        <v>59</v>
      </c>
      <c r="AF18" s="419"/>
      <c r="AG18" s="468"/>
      <c r="AH18" s="397"/>
      <c r="AI18" s="398"/>
      <c r="AJ18" s="418" t="s">
        <v>59</v>
      </c>
      <c r="AK18" s="419"/>
      <c r="AL18" s="468"/>
    </row>
    <row r="19" spans="1:39">
      <c r="A19" s="281">
        <f>(K12+P12+U12+Z12+AE12+AJ12)-SUM('Monthly Summary'!C75:BV75)</f>
        <v>0</v>
      </c>
      <c r="B19" s="281">
        <f>(L12+Q12+V12+AA12+AF12+AK12)-SUM('Monthly Summary'!C74:BV74)</f>
        <v>0</v>
      </c>
      <c r="D19" s="463" t="s">
        <v>252</v>
      </c>
      <c r="E19" s="287">
        <f>SUMIF('Monthly Summary'!$B$3:$BV$3,"&gt;"&amp;Variables!$B$18,'Monthly Summary'!$B$75:$BV$75)</f>
        <v>0</v>
      </c>
      <c r="F19" s="286">
        <f>SUMIF('Monthly Summary'!$B$3:$BV$3,"&gt;"&amp;Variables!$B$18,'Monthly Summary'!$B$74:$BV$74)</f>
        <v>0</v>
      </c>
      <c r="G19" s="285">
        <f>SUM(E19:F19)</f>
        <v>0</v>
      </c>
      <c r="H19" s="425"/>
      <c r="I19" s="284"/>
      <c r="J19" s="398"/>
      <c r="K19" s="416" t="s">
        <v>60</v>
      </c>
      <c r="L19" s="417"/>
      <c r="M19" s="469"/>
      <c r="N19" s="397"/>
      <c r="O19" s="398"/>
      <c r="P19" s="416" t="s">
        <v>60</v>
      </c>
      <c r="Q19" s="417"/>
      <c r="R19" s="469"/>
      <c r="S19" s="397"/>
      <c r="T19" s="398"/>
      <c r="U19" s="416" t="s">
        <v>60</v>
      </c>
      <c r="V19" s="417"/>
      <c r="W19" s="469"/>
      <c r="X19" s="397"/>
      <c r="Y19" s="398"/>
      <c r="Z19" s="416" t="s">
        <v>60</v>
      </c>
      <c r="AA19" s="417"/>
      <c r="AB19" s="469"/>
      <c r="AC19" s="397"/>
      <c r="AD19" s="398"/>
      <c r="AE19" s="416" t="s">
        <v>60</v>
      </c>
      <c r="AF19" s="417"/>
      <c r="AG19" s="469"/>
      <c r="AH19" s="397"/>
      <c r="AI19" s="398"/>
      <c r="AJ19" s="416" t="s">
        <v>60</v>
      </c>
      <c r="AK19" s="417"/>
      <c r="AL19" s="469"/>
    </row>
    <row r="20" spans="1:39" ht="15" thickBot="1">
      <c r="D20" s="464" t="s">
        <v>310</v>
      </c>
      <c r="E20" s="258">
        <f>SUMIF('Monthly Summary'!$B$3:$BV$3,"&gt;"&amp;Variables!$B$18,'Monthly Summary'!$B$78:$BV$78)</f>
        <v>0</v>
      </c>
      <c r="F20" s="258">
        <f>SUMIF('Monthly Summary'!$B$3:$BV$3,"&gt;"&amp;Variables!$B$18,'Monthly Summary'!$B$77:$BV$77)</f>
        <v>0</v>
      </c>
      <c r="G20" s="259">
        <f>SUM(E20:F20)</f>
        <v>0</v>
      </c>
      <c r="H20" s="425"/>
      <c r="I20" s="431"/>
      <c r="J20" s="398"/>
      <c r="K20" s="418" t="s">
        <v>61</v>
      </c>
      <c r="L20" s="419"/>
      <c r="M20" s="470"/>
      <c r="N20" s="399"/>
      <c r="O20" s="398"/>
      <c r="P20" s="418" t="s">
        <v>61</v>
      </c>
      <c r="Q20" s="419"/>
      <c r="R20" s="470"/>
      <c r="S20" s="399"/>
      <c r="T20" s="398"/>
      <c r="U20" s="418" t="s">
        <v>61</v>
      </c>
      <c r="V20" s="419"/>
      <c r="W20" s="470"/>
      <c r="X20" s="399"/>
      <c r="Y20" s="398"/>
      <c r="Z20" s="418" t="s">
        <v>61</v>
      </c>
      <c r="AA20" s="419"/>
      <c r="AB20" s="470"/>
      <c r="AC20" s="399"/>
      <c r="AD20" s="398"/>
      <c r="AE20" s="418" t="s">
        <v>61</v>
      </c>
      <c r="AF20" s="419"/>
      <c r="AG20" s="470"/>
      <c r="AH20" s="399"/>
      <c r="AI20" s="398"/>
      <c r="AJ20" s="418" t="s">
        <v>61</v>
      </c>
      <c r="AK20" s="419"/>
      <c r="AL20" s="470"/>
    </row>
    <row r="21" spans="1:39" ht="15" thickBot="1">
      <c r="A21" s="1833" t="s">
        <v>118</v>
      </c>
      <c r="B21" s="1834"/>
      <c r="D21" s="301" t="s">
        <v>315</v>
      </c>
      <c r="E21" s="299">
        <f>SUM(E19:E20)</f>
        <v>0</v>
      </c>
      <c r="F21" s="298">
        <f>SUM(F19:F20)</f>
        <v>0</v>
      </c>
      <c r="G21" s="300">
        <f>SUM(G19:G20)</f>
        <v>0</v>
      </c>
      <c r="H21" s="425"/>
      <c r="I21" s="461"/>
      <c r="J21" s="436"/>
      <c r="K21" s="437"/>
      <c r="L21" s="438"/>
      <c r="M21" s="439"/>
      <c r="N21" s="435"/>
      <c r="O21" s="436"/>
      <c r="P21" s="437"/>
      <c r="Q21" s="438"/>
      <c r="R21" s="439"/>
      <c r="S21" s="435"/>
      <c r="T21" s="436"/>
      <c r="U21" s="437"/>
      <c r="V21" s="438"/>
      <c r="W21" s="439"/>
      <c r="X21" s="435"/>
      <c r="Y21" s="436"/>
      <c r="Z21" s="437"/>
      <c r="AA21" s="438"/>
      <c r="AB21" s="439"/>
      <c r="AC21" s="435"/>
      <c r="AD21" s="436"/>
      <c r="AE21" s="437"/>
      <c r="AF21" s="438"/>
      <c r="AG21" s="439"/>
      <c r="AH21" s="435"/>
      <c r="AI21" s="436"/>
      <c r="AJ21" s="437"/>
      <c r="AK21" s="438"/>
      <c r="AL21" s="439"/>
      <c r="AM21" s="435"/>
    </row>
    <row r="22" spans="1:39">
      <c r="A22" s="1831" t="s">
        <v>116</v>
      </c>
      <c r="B22" s="1831"/>
      <c r="D22" s="460" t="s">
        <v>311</v>
      </c>
      <c r="E22" s="247">
        <f>E18-E21</f>
        <v>0</v>
      </c>
      <c r="F22" s="273">
        <f>F18-F21</f>
        <v>0</v>
      </c>
      <c r="G22" s="272">
        <f>G18-G21</f>
        <v>0</v>
      </c>
      <c r="H22" s="425"/>
      <c r="I22" s="432"/>
      <c r="J22" s="436"/>
      <c r="K22" s="437"/>
      <c r="L22" s="437"/>
      <c r="M22" s="253"/>
      <c r="N22" s="466"/>
      <c r="O22" s="437"/>
      <c r="P22" s="437"/>
      <c r="Q22" s="437"/>
      <c r="R22" s="253"/>
      <c r="S22" s="466"/>
      <c r="T22" s="437"/>
      <c r="U22" s="437"/>
      <c r="V22" s="437"/>
      <c r="W22" s="253"/>
      <c r="X22" s="466"/>
      <c r="Y22" s="437"/>
      <c r="Z22" s="437"/>
      <c r="AA22" s="437"/>
      <c r="AB22" s="253"/>
      <c r="AC22" s="466"/>
      <c r="AD22" s="437"/>
      <c r="AE22" s="437"/>
      <c r="AF22" s="437"/>
      <c r="AG22" s="253"/>
      <c r="AH22" s="466"/>
      <c r="AI22" s="437"/>
      <c r="AJ22" s="437"/>
      <c r="AK22" s="437"/>
      <c r="AL22" s="253"/>
      <c r="AM22" s="441"/>
    </row>
    <row r="23" spans="1:39" ht="15" thickBot="1">
      <c r="A23" s="282" t="s">
        <v>20</v>
      </c>
      <c r="B23" s="282" t="s">
        <v>21</v>
      </c>
      <c r="D23" s="30"/>
      <c r="E23" s="249"/>
      <c r="F23" s="249"/>
      <c r="G23" s="249"/>
      <c r="H23" s="250"/>
      <c r="I23" s="402"/>
      <c r="J23" s="465"/>
      <c r="K23" s="52"/>
      <c r="L23" s="52"/>
      <c r="M23" s="440"/>
      <c r="N23" s="441"/>
      <c r="R23" s="440"/>
      <c r="S23" s="441"/>
      <c r="W23" s="440"/>
      <c r="X23" s="441"/>
      <c r="AB23" s="440"/>
      <c r="AC23" s="441"/>
      <c r="AG23" s="440"/>
      <c r="AH23" s="441"/>
      <c r="AL23" s="440"/>
      <c r="AM23" s="441"/>
    </row>
    <row r="24" spans="1:39" ht="15" thickBot="1">
      <c r="A24" s="281">
        <f>(K13+P13+U13+Z13+AE13+AJ13)-SUM('Monthly Summary'!C78:BV78)</f>
        <v>0</v>
      </c>
      <c r="B24" s="281">
        <f>(L13+Q13+V13+AA13+AF13+AK13)-SUM('Monthly Summary'!C77:BV77)</f>
        <v>0</v>
      </c>
      <c r="D24" s="31"/>
      <c r="E24" s="50"/>
      <c r="F24" s="121" t="s">
        <v>47</v>
      </c>
      <c r="G24" s="122"/>
      <c r="H24" s="241"/>
      <c r="I24" s="400"/>
      <c r="J24" s="401"/>
      <c r="M24" s="442"/>
      <c r="N24" s="441"/>
      <c r="R24" s="442"/>
      <c r="S24" s="441"/>
      <c r="W24" s="442"/>
      <c r="X24" s="441"/>
      <c r="AB24" s="442"/>
      <c r="AC24" s="441"/>
      <c r="AG24" s="442"/>
      <c r="AH24" s="441"/>
      <c r="AL24" s="442"/>
      <c r="AM24" s="441"/>
    </row>
    <row r="25" spans="1:39" ht="15" thickBot="1">
      <c r="D25" s="280"/>
      <c r="E25" s="270" t="s">
        <v>37</v>
      </c>
      <c r="F25" s="270" t="s">
        <v>38</v>
      </c>
      <c r="G25" s="270" t="s">
        <v>48</v>
      </c>
      <c r="H25" s="241"/>
      <c r="I25" s="255"/>
      <c r="M25" s="442"/>
      <c r="N25" s="441"/>
      <c r="R25" s="442"/>
      <c r="S25" s="441"/>
      <c r="W25" s="442"/>
      <c r="X25" s="441"/>
      <c r="AB25" s="442"/>
      <c r="AC25" s="441"/>
      <c r="AG25" s="442"/>
      <c r="AH25" s="441"/>
      <c r="AL25" s="442"/>
      <c r="AM25" s="441"/>
    </row>
    <row r="26" spans="1:39" ht="15.75" customHeight="1" thickBot="1">
      <c r="D26" s="278" t="s">
        <v>312</v>
      </c>
      <c r="E26" s="276">
        <f>+E10+E18</f>
        <v>0</v>
      </c>
      <c r="F26" s="275">
        <f>+F10+F18</f>
        <v>0</v>
      </c>
      <c r="G26" s="277">
        <f>+G10+G18</f>
        <v>0</v>
      </c>
      <c r="H26" s="241"/>
      <c r="I26" s="255"/>
      <c r="M26" s="442"/>
      <c r="N26" s="441"/>
      <c r="R26" s="442"/>
      <c r="S26" s="441"/>
      <c r="W26" s="442"/>
      <c r="X26" s="441"/>
      <c r="AB26" s="442"/>
      <c r="AC26" s="441"/>
      <c r="AG26" s="442"/>
      <c r="AH26" s="441"/>
      <c r="AL26" s="442"/>
      <c r="AM26" s="441"/>
    </row>
    <row r="27" spans="1:39" ht="15" thickBot="1">
      <c r="D27" s="28" t="s">
        <v>313</v>
      </c>
      <c r="E27" s="19">
        <f>E14+E21</f>
        <v>0</v>
      </c>
      <c r="F27" s="20">
        <f>F14+F21</f>
        <v>108236.30720328816</v>
      </c>
      <c r="G27" s="21">
        <f>G14+G21</f>
        <v>108236.30720328816</v>
      </c>
      <c r="H27" s="241"/>
      <c r="I27" s="255"/>
      <c r="M27" s="442"/>
      <c r="N27" s="441"/>
      <c r="R27" s="442"/>
      <c r="S27" s="441"/>
      <c r="W27" s="442"/>
      <c r="X27" s="441"/>
      <c r="AB27" s="442"/>
      <c r="AC27" s="441"/>
      <c r="AG27" s="442"/>
      <c r="AH27" s="441"/>
      <c r="AL27" s="442"/>
      <c r="AM27" s="441"/>
    </row>
    <row r="28" spans="1:39">
      <c r="D28" s="29" t="s">
        <v>251</v>
      </c>
      <c r="E28" s="274">
        <f>E26-E27</f>
        <v>0</v>
      </c>
      <c r="F28" s="273">
        <f>F26-F27</f>
        <v>-108236.30720328816</v>
      </c>
      <c r="G28" s="272">
        <f>G26-G27</f>
        <v>-108236.30720328816</v>
      </c>
      <c r="H28" s="241"/>
      <c r="I28" s="256"/>
      <c r="M28" s="442"/>
      <c r="N28" s="441"/>
      <c r="R28" s="442"/>
      <c r="S28" s="441"/>
      <c r="W28" s="442"/>
      <c r="X28" s="441"/>
      <c r="AB28" s="442"/>
      <c r="AC28" s="441"/>
      <c r="AG28" s="442"/>
      <c r="AH28" s="441"/>
      <c r="AL28" s="442"/>
      <c r="AM28" s="441"/>
    </row>
    <row r="29" spans="1:39">
      <c r="D29" s="30"/>
      <c r="E29" s="249"/>
      <c r="F29" s="249"/>
      <c r="G29" s="249"/>
      <c r="H29" s="254"/>
      <c r="I29" s="250"/>
      <c r="M29" s="442"/>
      <c r="N29" s="441"/>
      <c r="R29" s="442"/>
      <c r="S29" s="441"/>
      <c r="W29" s="442"/>
      <c r="X29" s="441"/>
      <c r="AB29" s="442"/>
      <c r="AC29" s="441"/>
      <c r="AG29" s="442"/>
      <c r="AH29" s="441"/>
      <c r="AL29" s="442"/>
      <c r="AM29" s="441"/>
    </row>
    <row r="30" spans="1:39">
      <c r="D30" s="271" t="s">
        <v>156</v>
      </c>
      <c r="E30" s="270" t="str">
        <f>Variables!B34</f>
        <v>FY 22</v>
      </c>
      <c r="F30" s="270" t="str">
        <f>Variables!C34</f>
        <v>FY 23</v>
      </c>
      <c r="G30" s="270" t="str">
        <f>Variables!D34</f>
        <v>FY 24</v>
      </c>
      <c r="H30" s="270" t="str">
        <f>Variables!E34</f>
        <v>FY 25</v>
      </c>
      <c r="I30" s="270" t="str">
        <f>Variables!F34</f>
        <v>FY 26</v>
      </c>
      <c r="M30" s="442"/>
      <c r="N30" s="441"/>
      <c r="R30" s="442"/>
      <c r="S30" s="441"/>
      <c r="W30" s="442"/>
      <c r="X30" s="441"/>
      <c r="AB30" s="442"/>
      <c r="AC30" s="441"/>
      <c r="AG30" s="442"/>
      <c r="AH30" s="441"/>
      <c r="AL30" s="442"/>
      <c r="AM30" s="441"/>
    </row>
    <row r="31" spans="1:39">
      <c r="D31" s="265" t="s">
        <v>159</v>
      </c>
      <c r="E31" s="264">
        <f>'RTB for Srvc Trans'!D8</f>
        <v>0</v>
      </c>
      <c r="F31" s="264">
        <f>'RTB for Srvc Trans'!E8</f>
        <v>0</v>
      </c>
      <c r="G31" s="264">
        <f>'RTB for Srvc Trans'!F8</f>
        <v>0</v>
      </c>
      <c r="H31" s="264">
        <f>'RTB for Srvc Trans'!G8</f>
        <v>0</v>
      </c>
      <c r="I31" s="264">
        <f>'RTB for Srvc Trans'!H8</f>
        <v>0</v>
      </c>
      <c r="M31" s="442"/>
      <c r="N31" s="441"/>
      <c r="R31" s="442"/>
      <c r="S31" s="441"/>
      <c r="W31" s="442"/>
      <c r="X31" s="441"/>
      <c r="AB31" s="442"/>
      <c r="AC31" s="441"/>
      <c r="AG31" s="442"/>
      <c r="AH31" s="441"/>
      <c r="AL31" s="442"/>
      <c r="AM31" s="441"/>
    </row>
    <row r="32" spans="1:39">
      <c r="D32" s="267" t="s">
        <v>158</v>
      </c>
      <c r="E32" s="266">
        <f>'RTB for Srvc Trans'!D15</f>
        <v>0</v>
      </c>
      <c r="F32" s="266">
        <f>'RTB for Srvc Trans'!E15</f>
        <v>0</v>
      </c>
      <c r="G32" s="266">
        <f>'RTB for Srvc Trans'!F15</f>
        <v>0</v>
      </c>
      <c r="H32" s="266">
        <f>'RTB for Srvc Trans'!G15</f>
        <v>0</v>
      </c>
      <c r="I32" s="266">
        <f>'RTB for Srvc Trans'!H15</f>
        <v>0</v>
      </c>
      <c r="M32" s="442"/>
      <c r="N32" s="441"/>
      <c r="R32" s="442"/>
      <c r="S32" s="441"/>
      <c r="W32" s="442"/>
      <c r="X32" s="441"/>
      <c r="AB32" s="442"/>
      <c r="AC32" s="441"/>
      <c r="AG32" s="442"/>
      <c r="AH32" s="441"/>
      <c r="AL32" s="442"/>
      <c r="AM32" s="441"/>
    </row>
    <row r="33" spans="1:39">
      <c r="A33" s="136"/>
      <c r="B33" s="136"/>
      <c r="D33" s="265" t="s">
        <v>160</v>
      </c>
      <c r="E33" s="264">
        <f>E31-E32</f>
        <v>0</v>
      </c>
      <c r="F33" s="264">
        <f>F31-F32</f>
        <v>0</v>
      </c>
      <c r="G33" s="264">
        <f>G31-G32</f>
        <v>0</v>
      </c>
      <c r="H33" s="264">
        <f>H31-H32</f>
        <v>0</v>
      </c>
      <c r="I33" s="264">
        <f>I31-I32</f>
        <v>0</v>
      </c>
      <c r="M33" s="442"/>
      <c r="N33" s="441"/>
      <c r="R33" s="442"/>
      <c r="S33" s="441"/>
      <c r="W33" s="442"/>
      <c r="X33" s="441"/>
      <c r="AB33" s="442"/>
      <c r="AC33" s="441"/>
      <c r="AG33" s="442"/>
      <c r="AH33" s="441"/>
      <c r="AL33" s="442"/>
      <c r="AM33" s="441"/>
    </row>
    <row r="34" spans="1:39">
      <c r="A34" s="136"/>
      <c r="B34" s="136"/>
      <c r="D34" s="269" t="s">
        <v>157</v>
      </c>
      <c r="E34" s="268" t="str">
        <f>E30</f>
        <v>FY 22</v>
      </c>
      <c r="F34" s="268" t="str">
        <f>F30</f>
        <v>FY 23</v>
      </c>
      <c r="G34" s="268" t="str">
        <f>G30</f>
        <v>FY 24</v>
      </c>
      <c r="H34" s="268" t="str">
        <f>H30</f>
        <v>FY 25</v>
      </c>
      <c r="I34" s="268" t="str">
        <f>I30</f>
        <v>FY 26</v>
      </c>
      <c r="M34" s="442"/>
      <c r="N34" s="441"/>
      <c r="R34" s="442"/>
      <c r="S34" s="441"/>
      <c r="W34" s="442"/>
      <c r="X34" s="441"/>
      <c r="AB34" s="442"/>
      <c r="AC34" s="441"/>
      <c r="AG34" s="442"/>
      <c r="AH34" s="441"/>
      <c r="AL34" s="442"/>
      <c r="AM34" s="441"/>
    </row>
    <row r="35" spans="1:39">
      <c r="A35" s="136"/>
      <c r="B35" s="136"/>
      <c r="D35" s="265" t="s">
        <v>161</v>
      </c>
      <c r="E35" s="264">
        <f>'RTB for Srvc Trans'!D9</f>
        <v>0</v>
      </c>
      <c r="F35" s="264">
        <f>'RTB for Srvc Trans'!E9</f>
        <v>0</v>
      </c>
      <c r="G35" s="264">
        <f>'RTB for Srvc Trans'!F9</f>
        <v>0</v>
      </c>
      <c r="H35" s="264">
        <f>'RTB for Srvc Trans'!G9</f>
        <v>0</v>
      </c>
      <c r="I35" s="264">
        <f>'RTB for Srvc Trans'!H9</f>
        <v>0</v>
      </c>
      <c r="M35" s="442"/>
      <c r="N35" s="441"/>
      <c r="R35" s="442"/>
      <c r="S35" s="441"/>
      <c r="W35" s="442"/>
      <c r="X35" s="441"/>
      <c r="AB35" s="442"/>
      <c r="AC35" s="441"/>
      <c r="AG35" s="442"/>
      <c r="AH35" s="441"/>
      <c r="AL35" s="442"/>
      <c r="AM35" s="441"/>
    </row>
    <row r="36" spans="1:39">
      <c r="A36" s="136"/>
      <c r="B36" s="136"/>
      <c r="D36" s="267" t="s">
        <v>162</v>
      </c>
      <c r="E36" s="266">
        <f>'RTB for Srvc Trans'!D16</f>
        <v>0</v>
      </c>
      <c r="F36" s="266">
        <f>'RTB for Srvc Trans'!E16</f>
        <v>0</v>
      </c>
      <c r="G36" s="266">
        <f>'RTB for Srvc Trans'!F16</f>
        <v>0</v>
      </c>
      <c r="H36" s="266">
        <f>'RTB for Srvc Trans'!G16</f>
        <v>0</v>
      </c>
      <c r="I36" s="266">
        <f>'RTB for Srvc Trans'!H16</f>
        <v>0</v>
      </c>
      <c r="M36" s="442"/>
      <c r="N36" s="441"/>
      <c r="R36" s="442"/>
      <c r="S36" s="441"/>
      <c r="W36" s="442"/>
      <c r="X36" s="441"/>
      <c r="AB36" s="442"/>
      <c r="AC36" s="441"/>
      <c r="AG36" s="442"/>
      <c r="AH36" s="441"/>
      <c r="AL36" s="442"/>
      <c r="AM36" s="441"/>
    </row>
    <row r="37" spans="1:39">
      <c r="A37" s="136"/>
      <c r="B37" s="136"/>
      <c r="D37" s="265" t="s">
        <v>163</v>
      </c>
      <c r="E37" s="264">
        <f>E35-E36</f>
        <v>0</v>
      </c>
      <c r="F37" s="264">
        <f>F35-F36</f>
        <v>0</v>
      </c>
      <c r="G37" s="264">
        <f>G35-G36</f>
        <v>0</v>
      </c>
      <c r="H37" s="264">
        <f>H35-H36</f>
        <v>0</v>
      </c>
      <c r="I37" s="264">
        <f>I35-I36</f>
        <v>0</v>
      </c>
      <c r="M37" s="442"/>
      <c r="N37" s="441"/>
      <c r="R37" s="442"/>
      <c r="S37" s="441"/>
      <c r="W37" s="442"/>
      <c r="X37" s="441"/>
      <c r="AB37" s="442"/>
      <c r="AC37" s="441"/>
      <c r="AG37" s="442"/>
      <c r="AH37" s="441"/>
      <c r="AL37" s="442"/>
      <c r="AM37" s="441"/>
    </row>
    <row r="38" spans="1:39" ht="15" thickBot="1">
      <c r="A38" s="136"/>
      <c r="B38" s="136"/>
      <c r="D38" s="433"/>
      <c r="E38" s="420"/>
      <c r="F38" s="420"/>
      <c r="G38" s="420"/>
      <c r="H38" s="420"/>
      <c r="I38" s="420"/>
      <c r="J38" s="434"/>
      <c r="K38" s="434"/>
      <c r="L38" s="434"/>
      <c r="M38" s="443"/>
      <c r="N38" s="444"/>
      <c r="O38" s="434"/>
      <c r="P38" s="434"/>
      <c r="Q38" s="434"/>
      <c r="R38" s="443"/>
      <c r="S38" s="444"/>
      <c r="T38" s="434"/>
      <c r="U38" s="434"/>
      <c r="V38" s="434"/>
      <c r="W38" s="443"/>
      <c r="X38" s="444"/>
      <c r="Y38" s="434"/>
      <c r="Z38" s="434"/>
      <c r="AA38" s="434"/>
      <c r="AB38" s="443"/>
      <c r="AC38" s="444"/>
      <c r="AD38" s="434"/>
      <c r="AE38" s="434"/>
      <c r="AF38" s="434"/>
      <c r="AG38" s="443"/>
      <c r="AH38" s="444"/>
      <c r="AI38" s="434"/>
      <c r="AJ38" s="434"/>
      <c r="AK38" s="434"/>
      <c r="AL38" s="443"/>
    </row>
    <row r="39" spans="1:39">
      <c r="A39" s="136"/>
      <c r="B39" s="136"/>
    </row>
    <row r="40" spans="1:39">
      <c r="A40" s="136"/>
      <c r="B40" s="136"/>
    </row>
    <row r="41" spans="1:39">
      <c r="A41" s="136"/>
      <c r="B41" s="136"/>
    </row>
    <row r="42" spans="1:39">
      <c r="A42" s="136"/>
      <c r="B42" s="136"/>
    </row>
    <row r="43" spans="1:39">
      <c r="A43" s="136"/>
      <c r="B43" s="136"/>
    </row>
  </sheetData>
  <sheetProtection algorithmName="SHA-512" hashValue="/hS9Ck615hGxFv7U1iPCp0kfSoFyvkMsLhxcWRGPDxI4ueDvoYWXb8Z36UJ1Tlh4HKajS5KQZt5xHTPrmOqvtA==" saltValue="qR13UnoT0B+qSbb3WP5XpQ==" spinCount="100000" sheet="1" formatCells="0" formatColumns="0" formatRows="0"/>
  <protectedRanges>
    <protectedRange sqref="E8:F8 K8:L9 P8:Q9 U8:V9 Z8:AA9 AE8:AF9 AJ8:AK9" name="RnD Sanct and Fund"/>
    <protectedRange sqref="D4" name="As Of"/>
    <protectedRange sqref="E18:F18" name="Indicative"/>
  </protectedRanges>
  <mergeCells count="19">
    <mergeCell ref="AD1:AG2"/>
    <mergeCell ref="AI1:AL2"/>
    <mergeCell ref="J1:M2"/>
    <mergeCell ref="O1:R2"/>
    <mergeCell ref="T1:W2"/>
    <mergeCell ref="Y1:AB2"/>
    <mergeCell ref="A22:B22"/>
    <mergeCell ref="A16:B16"/>
    <mergeCell ref="A21:B21"/>
    <mergeCell ref="D1:G2"/>
    <mergeCell ref="A11:B11"/>
    <mergeCell ref="A7:B7"/>
    <mergeCell ref="A12:B12"/>
    <mergeCell ref="A17:B17"/>
    <mergeCell ref="A6:B6"/>
    <mergeCell ref="A1:B1"/>
    <mergeCell ref="A3:B3"/>
    <mergeCell ref="A4:B4"/>
    <mergeCell ref="A2:B2"/>
  </mergeCells>
  <conditionalFormatting sqref="E8:F8">
    <cfRule type="containsBlanks" dxfId="443" priority="83">
      <formula>LEN(TRIM(E8))=0</formula>
    </cfRule>
  </conditionalFormatting>
  <conditionalFormatting sqref="E12:F13">
    <cfRule type="containsBlanks" dxfId="442" priority="80">
      <formula>LEN(TRIM(E12))=0</formula>
    </cfRule>
  </conditionalFormatting>
  <conditionalFormatting sqref="E20:F20">
    <cfRule type="containsBlanks" dxfId="441" priority="81">
      <formula>LEN(TRIM(E20))=0</formula>
    </cfRule>
  </conditionalFormatting>
  <conditionalFormatting sqref="K8:L9">
    <cfRule type="containsBlanks" dxfId="440" priority="77">
      <formula>LEN(TRIM(K8))=0</formula>
    </cfRule>
  </conditionalFormatting>
  <conditionalFormatting sqref="E31:H32">
    <cfRule type="containsBlanks" dxfId="439" priority="79">
      <formula>LEN(TRIM(E31))=0</formula>
    </cfRule>
  </conditionalFormatting>
  <conditionalFormatting sqref="K12:L13">
    <cfRule type="containsBlanks" dxfId="438" priority="82">
      <formula>LEN(TRIM(K12))=0</formula>
    </cfRule>
  </conditionalFormatting>
  <conditionalFormatting sqref="A9:B9">
    <cfRule type="cellIs" dxfId="437" priority="74" operator="notEqual">
      <formula>0</formula>
    </cfRule>
  </conditionalFormatting>
  <conditionalFormatting sqref="A14:B14">
    <cfRule type="cellIs" dxfId="436" priority="73" operator="notEqual">
      <formula>0</formula>
    </cfRule>
    <cfRule type="containsErrors" dxfId="435" priority="85">
      <formula>ISERROR(A14)</formula>
    </cfRule>
  </conditionalFormatting>
  <conditionalFormatting sqref="A19:B19">
    <cfRule type="cellIs" dxfId="434" priority="72" operator="notEqual">
      <formula>0</formula>
    </cfRule>
  </conditionalFormatting>
  <conditionalFormatting sqref="A24:B24">
    <cfRule type="cellIs" dxfId="433" priority="71" operator="notEqual">
      <formula>0</formula>
    </cfRule>
    <cfRule type="containsErrors" dxfId="432" priority="84">
      <formula>ISERROR(A24)</formula>
    </cfRule>
  </conditionalFormatting>
  <conditionalFormatting sqref="E15">
    <cfRule type="cellIs" dxfId="431" priority="68" stopIfTrue="1" operator="between">
      <formula>-0.01</formula>
      <formula>$E$10*-0.01</formula>
    </cfRule>
    <cfRule type="cellIs" dxfId="430" priority="70" stopIfTrue="1" operator="lessThan">
      <formula>$E$10*-0.1</formula>
    </cfRule>
  </conditionalFormatting>
  <conditionalFormatting sqref="F15">
    <cfRule type="cellIs" dxfId="429" priority="67" stopIfTrue="1" operator="lessThan">
      <formula>$F$10*-0.1</formula>
    </cfRule>
    <cfRule type="cellIs" dxfId="428" priority="69" stopIfTrue="1" operator="between">
      <formula>-0.01</formula>
      <formula>$F$10*-0.01</formula>
    </cfRule>
  </conditionalFormatting>
  <conditionalFormatting sqref="K15:M15">
    <cfRule type="cellIs" dxfId="427" priority="65" operator="lessThan">
      <formula>0</formula>
    </cfRule>
  </conditionalFormatting>
  <conditionalFormatting sqref="E33:I33">
    <cfRule type="cellIs" dxfId="426" priority="61" operator="lessThan">
      <formula>0</formula>
    </cfRule>
  </conditionalFormatting>
  <conditionalFormatting sqref="E35:I36">
    <cfRule type="containsBlanks" dxfId="425" priority="50">
      <formula>LEN(TRIM(E35))=0</formula>
    </cfRule>
  </conditionalFormatting>
  <conditionalFormatting sqref="E37:I37">
    <cfRule type="cellIs" dxfId="424" priority="49" operator="lessThan">
      <formula>0</formula>
    </cfRule>
  </conditionalFormatting>
  <conditionalFormatting sqref="E28">
    <cfRule type="cellIs" dxfId="423" priority="48" operator="between">
      <formula>-0.01</formula>
      <formula>$E$26*-0.01</formula>
    </cfRule>
    <cfRule type="cellIs" dxfId="422" priority="66" operator="lessThan">
      <formula>$E$26*-0.01</formula>
    </cfRule>
  </conditionalFormatting>
  <conditionalFormatting sqref="G15">
    <cfRule type="cellIs" dxfId="421" priority="46" stopIfTrue="1" operator="lessThan">
      <formula>$G$10*-0.01</formula>
    </cfRule>
    <cfRule type="cellIs" dxfId="420" priority="47" stopIfTrue="1" operator="between">
      <formula>-0.01</formula>
      <formula>$G$10*-0.01</formula>
    </cfRule>
  </conditionalFormatting>
  <conditionalFormatting sqref="F28">
    <cfRule type="cellIs" dxfId="419" priority="44" operator="between">
      <formula>-0.01</formula>
      <formula>$F$26*-0.01</formula>
    </cfRule>
    <cfRule type="cellIs" dxfId="418" priority="45" operator="lessThan">
      <formula>$F$26*-0.01</formula>
    </cfRule>
  </conditionalFormatting>
  <conditionalFormatting sqref="G28">
    <cfRule type="cellIs" dxfId="417" priority="42" operator="between">
      <formula>-0.01</formula>
      <formula>$G$26*-0.01</formula>
    </cfRule>
    <cfRule type="cellIs" dxfId="416" priority="43" operator="lessThan">
      <formula>$G$26*-0.01</formula>
    </cfRule>
  </conditionalFormatting>
  <conditionalFormatting sqref="E19:G19">
    <cfRule type="cellIs" dxfId="415" priority="31" operator="notEqual">
      <formula>0</formula>
    </cfRule>
  </conditionalFormatting>
  <conditionalFormatting sqref="E18:F18">
    <cfRule type="containsBlanks" dxfId="414" priority="12">
      <formula>LEN(TRIM(E18))=0</formula>
    </cfRule>
  </conditionalFormatting>
  <conditionalFormatting sqref="G22">
    <cfRule type="cellIs" dxfId="413" priority="10" stopIfTrue="1" operator="lessThan">
      <formula>$G$10*-0.01</formula>
    </cfRule>
    <cfRule type="cellIs" dxfId="412" priority="11" stopIfTrue="1" operator="between">
      <formula>-0.01</formula>
      <formula>$G$10*-0.01</formula>
    </cfRule>
  </conditionalFormatting>
  <conditionalFormatting sqref="E22">
    <cfRule type="cellIs" dxfId="411" priority="8" stopIfTrue="1" operator="between">
      <formula>-0.01</formula>
      <formula>$E$10*-0.01</formula>
    </cfRule>
    <cfRule type="cellIs" dxfId="410" priority="9" stopIfTrue="1" operator="lessThan">
      <formula>$E$10*-0.1</formula>
    </cfRule>
  </conditionalFormatting>
  <conditionalFormatting sqref="F22">
    <cfRule type="cellIs" dxfId="409" priority="6" stopIfTrue="1" operator="lessThan">
      <formula>$F$10*-0.1</formula>
    </cfRule>
    <cfRule type="cellIs" dxfId="408" priority="7" stopIfTrue="1" operator="between">
      <formula>-0.01</formula>
      <formula>$F$10*-0.01</formula>
    </cfRule>
  </conditionalFormatting>
  <conditionalFormatting sqref="P8:Q9 U8:V9 Z8:AA9 AE8:AF9 AJ8:AK9">
    <cfRule type="containsBlanks" dxfId="407" priority="4">
      <formula>LEN(TRIM(P8))=0</formula>
    </cfRule>
  </conditionalFormatting>
  <conditionalFormatting sqref="P12:Q13 U12:V13 Z12:AA13 AE12:AF13 AJ12:AK13">
    <cfRule type="containsBlanks" dxfId="406" priority="5">
      <formula>LEN(TRIM(P12))=0</formula>
    </cfRule>
  </conditionalFormatting>
  <conditionalFormatting sqref="P15:R15 U15:W15 Z15:AB15 AE15:AG15 AJ15:AL15">
    <cfRule type="cellIs" dxfId="405" priority="3" operator="lessThan">
      <formula>0</formula>
    </cfRule>
  </conditionalFormatting>
  <pageMargins left="0.25" right="0.25" top="0.75" bottom="0.75" header="0.3" footer="0.3"/>
  <pageSetup paperSize="5" orientation="portrait" r:id="rId1"/>
  <headerFooter>
    <oddHeader>&amp;C&amp;"Tahoma,Bold"&amp;14&amp;F - &amp;A</oddHeader>
    <oddFooter>&amp;L&amp;"Tahoma,Regular"&amp;P of &amp;N&amp;R&amp;"Tahoma,Regular"&amp;D</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rgb="FF0000FF"/>
    <pageSetUpPr fitToPage="1"/>
  </sheetPr>
  <dimension ref="A1:CK89"/>
  <sheetViews>
    <sheetView workbookViewId="0">
      <pane xSplit="2" ySplit="4" topLeftCell="C5" activePane="bottomRight" state="frozen"/>
      <selection activeCell="E13" sqref="E13"/>
      <selection pane="topRight" activeCell="E13" sqref="E13"/>
      <selection pane="bottomLeft" activeCell="E13" sqref="E13"/>
      <selection pane="bottomRight" activeCell="C6" sqref="C6:N6"/>
    </sheetView>
  </sheetViews>
  <sheetFormatPr defaultColWidth="9.1796875" defaultRowHeight="14.5"/>
  <cols>
    <col min="1" max="1" width="33.453125" style="2" customWidth="1"/>
    <col min="2" max="2" width="9.7265625" style="2" customWidth="1"/>
    <col min="3" max="74" width="12.7265625" style="2" customWidth="1"/>
    <col min="75" max="75" width="11.453125" style="2" customWidth="1"/>
    <col min="76" max="76" width="15.26953125" style="2" bestFit="1" customWidth="1"/>
    <col min="77" max="81" width="9.453125" style="2" bestFit="1" customWidth="1"/>
    <col min="82" max="16384" width="9.1796875" style="2"/>
  </cols>
  <sheetData>
    <row r="1" spans="1:89" s="17" customFormat="1" ht="12" thickBot="1">
      <c r="A1" s="1845" t="s">
        <v>8565</v>
      </c>
      <c r="B1" s="395" t="s">
        <v>292</v>
      </c>
      <c r="C1" s="1868" t="str">
        <f>Variables!B21</f>
        <v>FY 22</v>
      </c>
      <c r="D1" s="1869"/>
      <c r="E1" s="1869"/>
      <c r="F1" s="1869"/>
      <c r="G1" s="1869"/>
      <c r="H1" s="1869"/>
      <c r="I1" s="1869"/>
      <c r="J1" s="1869"/>
      <c r="K1" s="1869"/>
      <c r="L1" s="1869"/>
      <c r="M1" s="1869"/>
      <c r="N1" s="1870"/>
      <c r="O1" s="1865" t="str">
        <f>Variables!N21</f>
        <v>FY 23</v>
      </c>
      <c r="P1" s="1866"/>
      <c r="Q1" s="1866"/>
      <c r="R1" s="1866"/>
      <c r="S1" s="1866"/>
      <c r="T1" s="1866"/>
      <c r="U1" s="1866"/>
      <c r="V1" s="1866"/>
      <c r="W1" s="1866"/>
      <c r="X1" s="1866"/>
      <c r="Y1" s="1866"/>
      <c r="Z1" s="1867"/>
      <c r="AA1" s="1860" t="str">
        <f>Variables!Z21</f>
        <v>FY 24</v>
      </c>
      <c r="AB1" s="1861"/>
      <c r="AC1" s="1861"/>
      <c r="AD1" s="1861"/>
      <c r="AE1" s="1861"/>
      <c r="AF1" s="1861"/>
      <c r="AG1" s="1861"/>
      <c r="AH1" s="1861"/>
      <c r="AI1" s="1861"/>
      <c r="AJ1" s="1861"/>
      <c r="AK1" s="1861"/>
      <c r="AL1" s="1862"/>
      <c r="AM1" s="1857" t="str">
        <f>Variables!AL21</f>
        <v>FY 25</v>
      </c>
      <c r="AN1" s="1858"/>
      <c r="AO1" s="1858"/>
      <c r="AP1" s="1858"/>
      <c r="AQ1" s="1858"/>
      <c r="AR1" s="1858"/>
      <c r="AS1" s="1858"/>
      <c r="AT1" s="1858"/>
      <c r="AU1" s="1858"/>
      <c r="AV1" s="1858"/>
      <c r="AW1" s="1858"/>
      <c r="AX1" s="1859"/>
      <c r="AY1" s="1872" t="str">
        <f>Variables!AX21</f>
        <v>FY 26</v>
      </c>
      <c r="AZ1" s="1873"/>
      <c r="BA1" s="1873"/>
      <c r="BB1" s="1873"/>
      <c r="BC1" s="1873"/>
      <c r="BD1" s="1873"/>
      <c r="BE1" s="1873"/>
      <c r="BF1" s="1873"/>
      <c r="BG1" s="1873"/>
      <c r="BH1" s="1873"/>
      <c r="BI1" s="1873"/>
      <c r="BJ1" s="1874"/>
      <c r="BK1" s="1849" t="str">
        <f>Variables!BJ21</f>
        <v>FY 27</v>
      </c>
      <c r="BL1" s="1850"/>
      <c r="BM1" s="1850"/>
      <c r="BN1" s="1850"/>
      <c r="BO1" s="1850"/>
      <c r="BP1" s="1850"/>
      <c r="BQ1" s="1850"/>
      <c r="BR1" s="1850"/>
      <c r="BS1" s="1850"/>
      <c r="BT1" s="1850"/>
      <c r="BU1" s="1850"/>
      <c r="BV1" s="1851"/>
      <c r="BW1" s="157" t="s">
        <v>212</v>
      </c>
      <c r="BX1" s="527" t="s">
        <v>390</v>
      </c>
      <c r="BY1" s="527" t="s">
        <v>391</v>
      </c>
      <c r="BZ1" s="527" t="s">
        <v>392</v>
      </c>
      <c r="CA1" s="527" t="s">
        <v>393</v>
      </c>
      <c r="CB1" s="527" t="s">
        <v>394</v>
      </c>
      <c r="CC1" s="527" t="s">
        <v>395</v>
      </c>
    </row>
    <row r="2" spans="1:89" s="3" customFormat="1" ht="12" thickBot="1">
      <c r="A2" s="1845"/>
      <c r="B2" s="396"/>
      <c r="C2" s="106">
        <f>Variables!B23</f>
        <v>0</v>
      </c>
      <c r="D2" s="106">
        <f>Variables!C23</f>
        <v>0</v>
      </c>
      <c r="E2" s="106" t="str">
        <f>Variables!D23</f>
        <v>Start</v>
      </c>
      <c r="F2" s="106" t="str">
        <f>Variables!E23</f>
        <v>Req</v>
      </c>
      <c r="G2" s="106" t="str">
        <f>Variables!F23</f>
        <v>Des</v>
      </c>
      <c r="H2" s="106" t="str">
        <f>Variables!G23</f>
        <v>Des</v>
      </c>
      <c r="I2" s="106" t="str">
        <f>Variables!H23</f>
        <v>Dev</v>
      </c>
      <c r="J2" s="106" t="str">
        <f>Variables!I23</f>
        <v>Dev</v>
      </c>
      <c r="K2" s="106" t="str">
        <f>Variables!J23</f>
        <v>Dev</v>
      </c>
      <c r="L2" s="106" t="str">
        <f>Variables!K23</f>
        <v>Impl</v>
      </c>
      <c r="M2" s="106" t="str">
        <f>Variables!L23</f>
        <v>PIS</v>
      </c>
      <c r="N2" s="106" t="str">
        <f>Variables!M23</f>
        <v>Close</v>
      </c>
      <c r="O2" s="106" t="str">
        <f>Variables!N23</f>
        <v>Close</v>
      </c>
      <c r="P2" s="106" t="str">
        <f>Variables!O23</f>
        <v>Close</v>
      </c>
      <c r="Q2" s="106">
        <f>Variables!P23</f>
        <v>0</v>
      </c>
      <c r="R2" s="106">
        <f>Variables!Q23</f>
        <v>0</v>
      </c>
      <c r="S2" s="106">
        <f>Variables!R23</f>
        <v>0</v>
      </c>
      <c r="T2" s="106">
        <f>Variables!S23</f>
        <v>0</v>
      </c>
      <c r="U2" s="106">
        <f>Variables!T23</f>
        <v>0</v>
      </c>
      <c r="V2" s="106">
        <f>Variables!U23</f>
        <v>0</v>
      </c>
      <c r="W2" s="106">
        <f>Variables!V23</f>
        <v>0</v>
      </c>
      <c r="X2" s="106">
        <f>Variables!W23</f>
        <v>0</v>
      </c>
      <c r="Y2" s="106">
        <f>Variables!X23</f>
        <v>0</v>
      </c>
      <c r="Z2" s="106">
        <f>Variables!Y23</f>
        <v>0</v>
      </c>
      <c r="AA2" s="106">
        <f>Variables!Z23</f>
        <v>0</v>
      </c>
      <c r="AB2" s="106">
        <f>Variables!AA23</f>
        <v>0</v>
      </c>
      <c r="AC2" s="106">
        <f>Variables!AB23</f>
        <v>0</v>
      </c>
      <c r="AD2" s="106">
        <f>Variables!AC23</f>
        <v>0</v>
      </c>
      <c r="AE2" s="106">
        <f>Variables!AD23</f>
        <v>0</v>
      </c>
      <c r="AF2" s="106">
        <f>Variables!AE23</f>
        <v>0</v>
      </c>
      <c r="AG2" s="106">
        <f>Variables!AF23</f>
        <v>0</v>
      </c>
      <c r="AH2" s="106">
        <f>Variables!AG23</f>
        <v>0</v>
      </c>
      <c r="AI2" s="106">
        <f>Variables!AH23</f>
        <v>0</v>
      </c>
      <c r="AJ2" s="106">
        <f>Variables!AI23</f>
        <v>0</v>
      </c>
      <c r="AK2" s="106">
        <f>Variables!AJ23</f>
        <v>0</v>
      </c>
      <c r="AL2" s="106">
        <f>Variables!AK23</f>
        <v>0</v>
      </c>
      <c r="AM2" s="106">
        <f>Variables!AL23</f>
        <v>0</v>
      </c>
      <c r="AN2" s="106">
        <f>Variables!AM23</f>
        <v>0</v>
      </c>
      <c r="AO2" s="106">
        <f>Variables!AN23</f>
        <v>0</v>
      </c>
      <c r="AP2" s="106">
        <f>Variables!AO23</f>
        <v>0</v>
      </c>
      <c r="AQ2" s="106">
        <f>Variables!AP23</f>
        <v>0</v>
      </c>
      <c r="AR2" s="106">
        <f>Variables!AQ23</f>
        <v>0</v>
      </c>
      <c r="AS2" s="106">
        <f>Variables!AR23</f>
        <v>0</v>
      </c>
      <c r="AT2" s="106">
        <f>Variables!AS23</f>
        <v>0</v>
      </c>
      <c r="AU2" s="106">
        <f>Variables!AT23</f>
        <v>0</v>
      </c>
      <c r="AV2" s="106">
        <f>Variables!AU23</f>
        <v>0</v>
      </c>
      <c r="AW2" s="106">
        <f>Variables!AV23</f>
        <v>0</v>
      </c>
      <c r="AX2" s="106">
        <f>Variables!AW23</f>
        <v>0</v>
      </c>
      <c r="AY2" s="106">
        <f>Variables!AX23</f>
        <v>0</v>
      </c>
      <c r="AZ2" s="106">
        <f>Variables!AY23</f>
        <v>0</v>
      </c>
      <c r="BA2" s="106">
        <f>Variables!AZ23</f>
        <v>0</v>
      </c>
      <c r="BB2" s="106">
        <f>Variables!BA23</f>
        <v>0</v>
      </c>
      <c r="BC2" s="106">
        <f>Variables!BB23</f>
        <v>0</v>
      </c>
      <c r="BD2" s="106">
        <f>Variables!BC23</f>
        <v>0</v>
      </c>
      <c r="BE2" s="106">
        <f>Variables!BD23</f>
        <v>0</v>
      </c>
      <c r="BF2" s="106">
        <f>Variables!BE23</f>
        <v>0</v>
      </c>
      <c r="BG2" s="106">
        <f>Variables!BF23</f>
        <v>0</v>
      </c>
      <c r="BH2" s="106">
        <f>Variables!BG23</f>
        <v>0</v>
      </c>
      <c r="BI2" s="106">
        <f>Variables!BH23</f>
        <v>0</v>
      </c>
      <c r="BJ2" s="106">
        <f>Variables!BI23</f>
        <v>0</v>
      </c>
      <c r="BK2" s="106">
        <f>Variables!BJ23</f>
        <v>0</v>
      </c>
      <c r="BL2" s="106">
        <f>Variables!BK23</f>
        <v>0</v>
      </c>
      <c r="BM2" s="106">
        <f>Variables!BL23</f>
        <v>0</v>
      </c>
      <c r="BN2" s="106">
        <f>Variables!BM23</f>
        <v>0</v>
      </c>
      <c r="BO2" s="106">
        <f>Variables!BN23</f>
        <v>0</v>
      </c>
      <c r="BP2" s="106">
        <f>Variables!BO23</f>
        <v>0</v>
      </c>
      <c r="BQ2" s="106">
        <f>Variables!BP23</f>
        <v>0</v>
      </c>
      <c r="BR2" s="106">
        <f>Variables!BQ23</f>
        <v>0</v>
      </c>
      <c r="BS2" s="106">
        <f>Variables!BR23</f>
        <v>0</v>
      </c>
      <c r="BT2" s="106">
        <f>Variables!BS23</f>
        <v>0</v>
      </c>
      <c r="BU2" s="106">
        <f>Variables!BT23</f>
        <v>0</v>
      </c>
      <c r="BV2" s="106">
        <f>Variables!BU23</f>
        <v>0</v>
      </c>
    </row>
    <row r="3" spans="1:89" s="3" customFormat="1" ht="16" thickBot="1">
      <c r="A3" s="1003" t="str">
        <f>CONCATENATE("Values in (",Variables!$C$4,")")</f>
        <v>Values in ($)</v>
      </c>
      <c r="B3" s="1002">
        <v>0</v>
      </c>
      <c r="C3" s="106" t="str">
        <f>Variables!B25</f>
        <v/>
      </c>
      <c r="D3" s="60" t="str">
        <f>Variables!C25</f>
        <v/>
      </c>
      <c r="E3" s="60">
        <f>Variables!D25</f>
        <v>1</v>
      </c>
      <c r="F3" s="60">
        <f>Variables!E25</f>
        <v>1</v>
      </c>
      <c r="G3" s="60">
        <f>Variables!F25</f>
        <v>1</v>
      </c>
      <c r="H3" s="60">
        <f>Variables!G25</f>
        <v>1</v>
      </c>
      <c r="I3" s="60">
        <f>Variables!H25</f>
        <v>1</v>
      </c>
      <c r="J3" s="60">
        <f>Variables!I25</f>
        <v>1</v>
      </c>
      <c r="K3" s="60">
        <f>Variables!J25</f>
        <v>1</v>
      </c>
      <c r="L3" s="60">
        <f>Variables!K25</f>
        <v>2</v>
      </c>
      <c r="M3" s="60">
        <f>Variables!L25</f>
        <v>2</v>
      </c>
      <c r="N3" s="60">
        <f>Variables!M25</f>
        <v>2</v>
      </c>
      <c r="O3" s="60">
        <f>Variables!N25</f>
        <v>2</v>
      </c>
      <c r="P3" s="60">
        <f>Variables!O25</f>
        <v>2</v>
      </c>
      <c r="Q3" s="60" t="str">
        <f>Variables!P25</f>
        <v/>
      </c>
      <c r="R3" s="60" t="str">
        <f>Variables!Q25</f>
        <v/>
      </c>
      <c r="S3" s="60" t="str">
        <f>Variables!R25</f>
        <v/>
      </c>
      <c r="T3" s="60" t="str">
        <f>Variables!S25</f>
        <v/>
      </c>
      <c r="U3" s="60" t="str">
        <f>Variables!T25</f>
        <v/>
      </c>
      <c r="V3" s="60" t="str">
        <f>Variables!U25</f>
        <v/>
      </c>
      <c r="W3" s="60" t="str">
        <f>Variables!V25</f>
        <v/>
      </c>
      <c r="X3" s="60" t="str">
        <f>Variables!W25</f>
        <v/>
      </c>
      <c r="Y3" s="60" t="str">
        <f>Variables!X25</f>
        <v/>
      </c>
      <c r="Z3" s="60" t="str">
        <f>Variables!Y25</f>
        <v/>
      </c>
      <c r="AA3" s="60" t="str">
        <f>Variables!Z25</f>
        <v/>
      </c>
      <c r="AB3" s="60" t="str">
        <f>Variables!AA25</f>
        <v/>
      </c>
      <c r="AC3" s="60" t="str">
        <f>Variables!AB25</f>
        <v/>
      </c>
      <c r="AD3" s="60" t="str">
        <f>Variables!AC25</f>
        <v/>
      </c>
      <c r="AE3" s="60" t="str">
        <f>Variables!AD25</f>
        <v/>
      </c>
      <c r="AF3" s="60" t="str">
        <f>Variables!AE25</f>
        <v/>
      </c>
      <c r="AG3" s="60" t="str">
        <f>Variables!AF25</f>
        <v/>
      </c>
      <c r="AH3" s="60" t="str">
        <f>Variables!AG25</f>
        <v/>
      </c>
      <c r="AI3" s="60" t="str">
        <f>Variables!AH25</f>
        <v/>
      </c>
      <c r="AJ3" s="60" t="str">
        <f>Variables!AI25</f>
        <v/>
      </c>
      <c r="AK3" s="60" t="str">
        <f>Variables!AJ25</f>
        <v/>
      </c>
      <c r="AL3" s="60" t="str">
        <f>Variables!AK25</f>
        <v/>
      </c>
      <c r="AM3" s="60" t="str">
        <f>Variables!AL25</f>
        <v/>
      </c>
      <c r="AN3" s="60" t="str">
        <f>Variables!AM25</f>
        <v/>
      </c>
      <c r="AO3" s="60" t="str">
        <f>Variables!AN25</f>
        <v/>
      </c>
      <c r="AP3" s="60" t="str">
        <f>Variables!AO25</f>
        <v/>
      </c>
      <c r="AQ3" s="60" t="str">
        <f>Variables!AP25</f>
        <v/>
      </c>
      <c r="AR3" s="60" t="str">
        <f>Variables!AQ25</f>
        <v/>
      </c>
      <c r="AS3" s="60" t="str">
        <f>Variables!AR25</f>
        <v/>
      </c>
      <c r="AT3" s="60" t="str">
        <f>Variables!AS25</f>
        <v/>
      </c>
      <c r="AU3" s="60" t="str">
        <f>Variables!AT25</f>
        <v/>
      </c>
      <c r="AV3" s="60" t="str">
        <f>Variables!AU25</f>
        <v/>
      </c>
      <c r="AW3" s="60" t="str">
        <f>Variables!AV25</f>
        <v/>
      </c>
      <c r="AX3" s="60" t="str">
        <f>Variables!AW25</f>
        <v/>
      </c>
      <c r="AY3" s="60" t="str">
        <f>Variables!AX25</f>
        <v/>
      </c>
      <c r="AZ3" s="60" t="str">
        <f>Variables!AY25</f>
        <v/>
      </c>
      <c r="BA3" s="60" t="str">
        <f>Variables!AZ25</f>
        <v/>
      </c>
      <c r="BB3" s="60" t="str">
        <f>Variables!BA25</f>
        <v/>
      </c>
      <c r="BC3" s="60" t="str">
        <f>Variables!BB25</f>
        <v/>
      </c>
      <c r="BD3" s="60" t="str">
        <f>Variables!BC25</f>
        <v/>
      </c>
      <c r="BE3" s="60" t="str">
        <f>Variables!BD25</f>
        <v/>
      </c>
      <c r="BF3" s="60" t="str">
        <f>Variables!BE25</f>
        <v/>
      </c>
      <c r="BG3" s="60" t="str">
        <f>Variables!BF25</f>
        <v/>
      </c>
      <c r="BH3" s="60" t="str">
        <f>Variables!BG25</f>
        <v/>
      </c>
      <c r="BI3" s="60" t="str">
        <f>Variables!BH25</f>
        <v/>
      </c>
      <c r="BJ3" s="60" t="str">
        <f>Variables!BI25</f>
        <v/>
      </c>
      <c r="BK3" s="60" t="str">
        <f>Variables!BJ25</f>
        <v/>
      </c>
      <c r="BL3" s="60" t="str">
        <f>Variables!BK25</f>
        <v/>
      </c>
      <c r="BM3" s="60" t="str">
        <f>Variables!BL25</f>
        <v/>
      </c>
      <c r="BN3" s="60" t="str">
        <f>Variables!BM25</f>
        <v/>
      </c>
      <c r="BO3" s="60" t="str">
        <f>Variables!BN25</f>
        <v/>
      </c>
      <c r="BP3" s="60" t="str">
        <f>Variables!BO25</f>
        <v/>
      </c>
      <c r="BQ3" s="60" t="str">
        <f>Variables!BP25</f>
        <v/>
      </c>
      <c r="BR3" s="60" t="str">
        <f>Variables!BQ25</f>
        <v/>
      </c>
      <c r="BS3" s="60" t="str">
        <f>Variables!BR25</f>
        <v/>
      </c>
      <c r="BT3" s="60" t="str">
        <f>Variables!BS25</f>
        <v/>
      </c>
      <c r="BU3" s="60" t="str">
        <f>Variables!BT25</f>
        <v/>
      </c>
      <c r="BV3" s="60" t="str">
        <f>Variables!BU25</f>
        <v/>
      </c>
    </row>
    <row r="4" spans="1:89" s="3" customFormat="1" ht="12" thickBot="1">
      <c r="B4" s="16"/>
      <c r="C4" s="58" t="s">
        <v>0</v>
      </c>
      <c r="D4" s="58" t="s">
        <v>1</v>
      </c>
      <c r="E4" s="58" t="s">
        <v>2</v>
      </c>
      <c r="F4" s="58" t="s">
        <v>3</v>
      </c>
      <c r="G4" s="58" t="s">
        <v>4</v>
      </c>
      <c r="H4" s="58" t="s">
        <v>5</v>
      </c>
      <c r="I4" s="58" t="s">
        <v>6</v>
      </c>
      <c r="J4" s="58" t="s">
        <v>7</v>
      </c>
      <c r="K4" s="58" t="s">
        <v>8</v>
      </c>
      <c r="L4" s="58" t="s">
        <v>9</v>
      </c>
      <c r="M4" s="58" t="s">
        <v>10</v>
      </c>
      <c r="N4" s="58" t="s">
        <v>11</v>
      </c>
      <c r="O4" s="58" t="s">
        <v>0</v>
      </c>
      <c r="P4" s="58" t="s">
        <v>1</v>
      </c>
      <c r="Q4" s="58" t="s">
        <v>2</v>
      </c>
      <c r="R4" s="58" t="s">
        <v>3</v>
      </c>
      <c r="S4" s="58" t="s">
        <v>4</v>
      </c>
      <c r="T4" s="58" t="s">
        <v>5</v>
      </c>
      <c r="U4" s="58" t="s">
        <v>6</v>
      </c>
      <c r="V4" s="58" t="s">
        <v>7</v>
      </c>
      <c r="W4" s="58" t="s">
        <v>8</v>
      </c>
      <c r="X4" s="58" t="s">
        <v>9</v>
      </c>
      <c r="Y4" s="58" t="s">
        <v>10</v>
      </c>
      <c r="Z4" s="58" t="s">
        <v>11</v>
      </c>
      <c r="AA4" s="58" t="s">
        <v>0</v>
      </c>
      <c r="AB4" s="58" t="s">
        <v>1</v>
      </c>
      <c r="AC4" s="58" t="s">
        <v>2</v>
      </c>
      <c r="AD4" s="58" t="s">
        <v>3</v>
      </c>
      <c r="AE4" s="58" t="s">
        <v>4</v>
      </c>
      <c r="AF4" s="58" t="s">
        <v>5</v>
      </c>
      <c r="AG4" s="58" t="s">
        <v>6</v>
      </c>
      <c r="AH4" s="58" t="s">
        <v>7</v>
      </c>
      <c r="AI4" s="58" t="s">
        <v>8</v>
      </c>
      <c r="AJ4" s="58" t="s">
        <v>9</v>
      </c>
      <c r="AK4" s="58" t="s">
        <v>10</v>
      </c>
      <c r="AL4" s="58" t="s">
        <v>11</v>
      </c>
      <c r="AM4" s="58" t="s">
        <v>0</v>
      </c>
      <c r="AN4" s="58" t="s">
        <v>1</v>
      </c>
      <c r="AO4" s="58" t="s">
        <v>2</v>
      </c>
      <c r="AP4" s="58" t="s">
        <v>3</v>
      </c>
      <c r="AQ4" s="58" t="s">
        <v>4</v>
      </c>
      <c r="AR4" s="58" t="s">
        <v>5</v>
      </c>
      <c r="AS4" s="58" t="s">
        <v>6</v>
      </c>
      <c r="AT4" s="58" t="s">
        <v>7</v>
      </c>
      <c r="AU4" s="58" t="s">
        <v>8</v>
      </c>
      <c r="AV4" s="58" t="s">
        <v>9</v>
      </c>
      <c r="AW4" s="58" t="s">
        <v>10</v>
      </c>
      <c r="AX4" s="58" t="s">
        <v>11</v>
      </c>
      <c r="AY4" s="58" t="s">
        <v>0</v>
      </c>
      <c r="AZ4" s="58" t="s">
        <v>1</v>
      </c>
      <c r="BA4" s="58" t="s">
        <v>2</v>
      </c>
      <c r="BB4" s="58" t="s">
        <v>3</v>
      </c>
      <c r="BC4" s="58" t="s">
        <v>4</v>
      </c>
      <c r="BD4" s="58" t="s">
        <v>5</v>
      </c>
      <c r="BE4" s="58" t="s">
        <v>6</v>
      </c>
      <c r="BF4" s="58" t="s">
        <v>7</v>
      </c>
      <c r="BG4" s="58" t="s">
        <v>8</v>
      </c>
      <c r="BH4" s="58" t="s">
        <v>9</v>
      </c>
      <c r="BI4" s="58" t="s">
        <v>10</v>
      </c>
      <c r="BJ4" s="58" t="s">
        <v>11</v>
      </c>
      <c r="BK4" s="58" t="s">
        <v>0</v>
      </c>
      <c r="BL4" s="58" t="s">
        <v>1</v>
      </c>
      <c r="BM4" s="58" t="s">
        <v>2</v>
      </c>
      <c r="BN4" s="58" t="s">
        <v>3</v>
      </c>
      <c r="BO4" s="58" t="s">
        <v>4</v>
      </c>
      <c r="BP4" s="58" t="s">
        <v>5</v>
      </c>
      <c r="BQ4" s="58" t="s">
        <v>6</v>
      </c>
      <c r="BR4" s="58" t="s">
        <v>7</v>
      </c>
      <c r="BS4" s="58" t="s">
        <v>8</v>
      </c>
      <c r="BT4" s="58" t="s">
        <v>9</v>
      </c>
      <c r="BU4" s="58" t="s">
        <v>10</v>
      </c>
      <c r="BV4" s="58" t="s">
        <v>11</v>
      </c>
    </row>
    <row r="5" spans="1:89" s="1" customFormat="1" ht="19" thickBot="1">
      <c r="A5" s="64" t="s">
        <v>67</v>
      </c>
      <c r="B5" s="117"/>
      <c r="C5" s="1856"/>
      <c r="D5" s="1852"/>
      <c r="E5" s="1852"/>
      <c r="F5" s="1852"/>
      <c r="G5" s="1852"/>
      <c r="H5" s="1852"/>
      <c r="I5" s="1852"/>
      <c r="J5" s="1852"/>
      <c r="K5" s="1852"/>
      <c r="L5" s="1852"/>
      <c r="M5" s="1852"/>
      <c r="N5" s="1852"/>
      <c r="O5" s="1852"/>
      <c r="P5" s="1852"/>
      <c r="Q5" s="1852"/>
      <c r="R5" s="1852"/>
      <c r="S5" s="1852"/>
      <c r="T5" s="1852"/>
      <c r="U5" s="1852"/>
      <c r="V5" s="1852"/>
      <c r="W5" s="1852"/>
      <c r="X5" s="1852"/>
      <c r="Y5" s="1852"/>
      <c r="Z5" s="1852"/>
      <c r="AA5" s="1852"/>
      <c r="AB5" s="1852"/>
      <c r="AC5" s="1852"/>
      <c r="AD5" s="1852"/>
      <c r="AE5" s="1852"/>
      <c r="AF5" s="1852"/>
      <c r="AG5" s="1852"/>
      <c r="AH5" s="1852"/>
      <c r="AI5" s="1852"/>
      <c r="AJ5" s="1852"/>
      <c r="AK5" s="1852"/>
      <c r="AL5" s="1853"/>
      <c r="AM5" s="1852"/>
      <c r="AN5" s="1852"/>
      <c r="AO5" s="1852"/>
      <c r="AP5" s="1852"/>
      <c r="AQ5" s="1852"/>
      <c r="AR5" s="1852"/>
      <c r="AS5" s="1852"/>
      <c r="AT5" s="1852"/>
      <c r="AU5" s="1852"/>
      <c r="AV5" s="1852"/>
      <c r="AW5" s="1852"/>
      <c r="AX5" s="1853"/>
      <c r="AY5" s="1852"/>
      <c r="AZ5" s="1852"/>
      <c r="BA5" s="1852"/>
      <c r="BB5" s="1852"/>
      <c r="BC5" s="1852"/>
      <c r="BD5" s="1852"/>
      <c r="BE5" s="1852"/>
      <c r="BF5" s="1852"/>
      <c r="BG5" s="1852"/>
      <c r="BH5" s="1852"/>
      <c r="BI5" s="1852"/>
      <c r="BJ5" s="1853"/>
      <c r="BK5" s="1852"/>
      <c r="BL5" s="1852"/>
      <c r="BM5" s="1852"/>
      <c r="BN5" s="1852"/>
      <c r="BO5" s="1852"/>
      <c r="BP5" s="1852"/>
      <c r="BQ5" s="1852"/>
      <c r="BR5" s="1852"/>
      <c r="BS5" s="1852"/>
      <c r="BT5" s="1852"/>
      <c r="BU5" s="1852"/>
      <c r="BV5" s="1853"/>
    </row>
    <row r="6" spans="1:89" s="1" customFormat="1" ht="15" thickBot="1">
      <c r="A6" s="7" t="s">
        <v>37</v>
      </c>
      <c r="B6" s="118"/>
      <c r="C6" s="1871"/>
      <c r="D6" s="1854"/>
      <c r="E6" s="1854"/>
      <c r="F6" s="1854"/>
      <c r="G6" s="1854"/>
      <c r="H6" s="1854"/>
      <c r="I6" s="1854"/>
      <c r="J6" s="1854"/>
      <c r="K6" s="1854"/>
      <c r="L6" s="1854"/>
      <c r="M6" s="1854"/>
      <c r="N6" s="1854"/>
      <c r="O6" s="1854"/>
      <c r="P6" s="1854"/>
      <c r="Q6" s="1854"/>
      <c r="R6" s="1854"/>
      <c r="S6" s="1854"/>
      <c r="T6" s="1854"/>
      <c r="U6" s="1854"/>
      <c r="V6" s="1854"/>
      <c r="W6" s="1854"/>
      <c r="X6" s="1854"/>
      <c r="Y6" s="1854"/>
      <c r="Z6" s="1854"/>
      <c r="AA6" s="1854"/>
      <c r="AB6" s="1854"/>
      <c r="AC6" s="1854"/>
      <c r="AD6" s="1854"/>
      <c r="AE6" s="1854"/>
      <c r="AF6" s="1854"/>
      <c r="AG6" s="1854"/>
      <c r="AH6" s="1854"/>
      <c r="AI6" s="1854"/>
      <c r="AJ6" s="1854"/>
      <c r="AK6" s="1854"/>
      <c r="AL6" s="1855"/>
      <c r="AM6" s="1854"/>
      <c r="AN6" s="1854"/>
      <c r="AO6" s="1854"/>
      <c r="AP6" s="1854"/>
      <c r="AQ6" s="1854"/>
      <c r="AR6" s="1854"/>
      <c r="AS6" s="1854"/>
      <c r="AT6" s="1854"/>
      <c r="AU6" s="1854"/>
      <c r="AV6" s="1854"/>
      <c r="AW6" s="1854"/>
      <c r="AX6" s="1855"/>
      <c r="AY6" s="1854"/>
      <c r="AZ6" s="1854"/>
      <c r="BA6" s="1854"/>
      <c r="BB6" s="1854"/>
      <c r="BC6" s="1854"/>
      <c r="BD6" s="1854"/>
      <c r="BE6" s="1854"/>
      <c r="BF6" s="1854"/>
      <c r="BG6" s="1854"/>
      <c r="BH6" s="1854"/>
      <c r="BI6" s="1854"/>
      <c r="BJ6" s="1855"/>
      <c r="BK6" s="1854"/>
      <c r="BL6" s="1854"/>
      <c r="BM6" s="1854"/>
      <c r="BN6" s="1854"/>
      <c r="BO6" s="1854"/>
      <c r="BP6" s="1854"/>
      <c r="BQ6" s="1854"/>
      <c r="BR6" s="1854"/>
      <c r="BS6" s="1854"/>
      <c r="BT6" s="1854"/>
      <c r="BU6" s="1854"/>
      <c r="BV6" s="1855"/>
    </row>
    <row r="7" spans="1:89" s="4" customFormat="1" ht="15.5">
      <c r="A7" s="32" t="s">
        <v>222</v>
      </c>
      <c r="B7" s="107"/>
      <c r="C7" s="884"/>
      <c r="D7" s="884"/>
      <c r="E7" s="884"/>
      <c r="F7" s="884"/>
      <c r="G7" s="884"/>
      <c r="H7" s="884"/>
      <c r="I7" s="884"/>
      <c r="J7" s="884"/>
      <c r="K7" s="884"/>
      <c r="L7" s="884"/>
      <c r="M7" s="884"/>
      <c r="N7" s="885"/>
      <c r="O7" s="886"/>
      <c r="P7" s="884"/>
      <c r="Q7" s="884"/>
      <c r="R7" s="884"/>
      <c r="S7" s="884"/>
      <c r="T7" s="884"/>
      <c r="U7" s="884"/>
      <c r="V7" s="884"/>
      <c r="W7" s="884"/>
      <c r="X7" s="884"/>
      <c r="Y7" s="884"/>
      <c r="Z7" s="885"/>
      <c r="AA7" s="886"/>
      <c r="AB7" s="884"/>
      <c r="AC7" s="884"/>
      <c r="AD7" s="884"/>
      <c r="AE7" s="884"/>
      <c r="AF7" s="884"/>
      <c r="AG7" s="884"/>
      <c r="AH7" s="884"/>
      <c r="AI7" s="884"/>
      <c r="AJ7" s="884"/>
      <c r="AK7" s="884"/>
      <c r="AL7" s="885"/>
      <c r="AM7" s="886"/>
      <c r="AN7" s="884"/>
      <c r="AO7" s="884"/>
      <c r="AP7" s="884"/>
      <c r="AQ7" s="884"/>
      <c r="AR7" s="884"/>
      <c r="AS7" s="884"/>
      <c r="AT7" s="884"/>
      <c r="AU7" s="884"/>
      <c r="AV7" s="884"/>
      <c r="AW7" s="884"/>
      <c r="AX7" s="885"/>
      <c r="AY7" s="886"/>
      <c r="AZ7" s="884"/>
      <c r="BA7" s="884"/>
      <c r="BB7" s="884"/>
      <c r="BC7" s="884"/>
      <c r="BD7" s="884"/>
      <c r="BE7" s="884"/>
      <c r="BF7" s="884"/>
      <c r="BG7" s="884"/>
      <c r="BH7" s="884"/>
      <c r="BI7" s="884"/>
      <c r="BJ7" s="885"/>
      <c r="BK7" s="886"/>
      <c r="BL7" s="884"/>
      <c r="BM7" s="884"/>
      <c r="BN7" s="884"/>
      <c r="BO7" s="884"/>
      <c r="BP7" s="884"/>
      <c r="BQ7" s="884"/>
      <c r="BR7" s="884"/>
      <c r="BS7" s="884"/>
      <c r="BT7" s="884"/>
      <c r="BU7" s="884"/>
      <c r="BV7" s="885"/>
      <c r="BW7" s="886"/>
      <c r="BX7" s="1863" t="s">
        <v>402</v>
      </c>
      <c r="BY7" s="1864"/>
      <c r="BZ7" s="1864"/>
      <c r="CA7" s="1864"/>
      <c r="CB7" s="1864"/>
      <c r="CC7" s="1864"/>
    </row>
    <row r="8" spans="1:89" s="4" customFormat="1">
      <c r="A8" s="6" t="s">
        <v>8508</v>
      </c>
      <c r="B8" s="108"/>
      <c r="C8" s="887">
        <f>'Resource Costs'!CC256</f>
        <v>0</v>
      </c>
      <c r="D8" s="888">
        <f>'Resource Costs'!CD256</f>
        <v>0</v>
      </c>
      <c r="E8" s="888">
        <f>'Resource Costs'!CE256</f>
        <v>0</v>
      </c>
      <c r="F8" s="888">
        <f>'Resource Costs'!CF256</f>
        <v>0</v>
      </c>
      <c r="G8" s="888">
        <f>'Resource Costs'!CG256</f>
        <v>0</v>
      </c>
      <c r="H8" s="888">
        <f>'Resource Costs'!CH256</f>
        <v>0</v>
      </c>
      <c r="I8" s="888">
        <f>'Resource Costs'!CI256</f>
        <v>0</v>
      </c>
      <c r="J8" s="888">
        <f>'Resource Costs'!CJ256</f>
        <v>0</v>
      </c>
      <c r="K8" s="888">
        <f>'Resource Costs'!CK256</f>
        <v>0</v>
      </c>
      <c r="L8" s="888">
        <f>'Resource Costs'!CL256</f>
        <v>0</v>
      </c>
      <c r="M8" s="888">
        <f>'Resource Costs'!CM256</f>
        <v>0</v>
      </c>
      <c r="N8" s="889">
        <f>'Resource Costs'!CN256</f>
        <v>0</v>
      </c>
      <c r="O8" s="890">
        <f>'Resource Costs'!CO256</f>
        <v>0</v>
      </c>
      <c r="P8" s="891">
        <f>'Resource Costs'!CP256</f>
        <v>0</v>
      </c>
      <c r="Q8" s="891">
        <f>'Resource Costs'!CQ256</f>
        <v>0</v>
      </c>
      <c r="R8" s="891">
        <f>'Resource Costs'!CR256</f>
        <v>0</v>
      </c>
      <c r="S8" s="891">
        <f>'Resource Costs'!CS256</f>
        <v>0</v>
      </c>
      <c r="T8" s="891">
        <f>'Resource Costs'!CT256</f>
        <v>0</v>
      </c>
      <c r="U8" s="891">
        <f>'Resource Costs'!CU256</f>
        <v>0</v>
      </c>
      <c r="V8" s="891">
        <f>'Resource Costs'!CV256</f>
        <v>0</v>
      </c>
      <c r="W8" s="891">
        <f>'Resource Costs'!CW256</f>
        <v>0</v>
      </c>
      <c r="X8" s="891">
        <f>'Resource Costs'!CX256</f>
        <v>0</v>
      </c>
      <c r="Y8" s="891">
        <f>'Resource Costs'!CY256</f>
        <v>0</v>
      </c>
      <c r="Z8" s="892">
        <f>'Resource Costs'!CZ256</f>
        <v>0</v>
      </c>
      <c r="AA8" s="890">
        <f>'Resource Costs'!DA256</f>
        <v>0</v>
      </c>
      <c r="AB8" s="891">
        <f>'Resource Costs'!DB256</f>
        <v>0</v>
      </c>
      <c r="AC8" s="891">
        <f>'Resource Costs'!DC256</f>
        <v>0</v>
      </c>
      <c r="AD8" s="891">
        <f>'Resource Costs'!DD256</f>
        <v>0</v>
      </c>
      <c r="AE8" s="891">
        <f>'Resource Costs'!DE256</f>
        <v>0</v>
      </c>
      <c r="AF8" s="891">
        <f>'Resource Costs'!DF256</f>
        <v>0</v>
      </c>
      <c r="AG8" s="891">
        <f>'Resource Costs'!DG256</f>
        <v>0</v>
      </c>
      <c r="AH8" s="891">
        <f>'Resource Costs'!DH256</f>
        <v>0</v>
      </c>
      <c r="AI8" s="891">
        <f>'Resource Costs'!DI256</f>
        <v>0</v>
      </c>
      <c r="AJ8" s="891">
        <f>'Resource Costs'!DJ256</f>
        <v>0</v>
      </c>
      <c r="AK8" s="891">
        <f>'Resource Costs'!DK256</f>
        <v>0</v>
      </c>
      <c r="AL8" s="892">
        <f>'Resource Costs'!DL256</f>
        <v>0</v>
      </c>
      <c r="AM8" s="890">
        <f>'Resource Costs'!DM256</f>
        <v>0</v>
      </c>
      <c r="AN8" s="891">
        <f>'Resource Costs'!DN256</f>
        <v>0</v>
      </c>
      <c r="AO8" s="891">
        <f>'Resource Costs'!DO256</f>
        <v>0</v>
      </c>
      <c r="AP8" s="891">
        <f>'Resource Costs'!DP256</f>
        <v>0</v>
      </c>
      <c r="AQ8" s="891">
        <f>'Resource Costs'!DQ256</f>
        <v>0</v>
      </c>
      <c r="AR8" s="891">
        <f>'Resource Costs'!DR256</f>
        <v>0</v>
      </c>
      <c r="AS8" s="891">
        <f>'Resource Costs'!DS256</f>
        <v>0</v>
      </c>
      <c r="AT8" s="891">
        <f>'Resource Costs'!DT256</f>
        <v>0</v>
      </c>
      <c r="AU8" s="891">
        <f>'Resource Costs'!DU256</f>
        <v>0</v>
      </c>
      <c r="AV8" s="891">
        <f>'Resource Costs'!DV256</f>
        <v>0</v>
      </c>
      <c r="AW8" s="891">
        <f>'Resource Costs'!DW256</f>
        <v>0</v>
      </c>
      <c r="AX8" s="892">
        <f>'Resource Costs'!DX256</f>
        <v>0</v>
      </c>
      <c r="AY8" s="890">
        <f>'Resource Costs'!DY256</f>
        <v>0</v>
      </c>
      <c r="AZ8" s="891">
        <f>'Resource Costs'!DZ256</f>
        <v>0</v>
      </c>
      <c r="BA8" s="891">
        <f>'Resource Costs'!EA256</f>
        <v>0</v>
      </c>
      <c r="BB8" s="891">
        <f>'Resource Costs'!EB256</f>
        <v>0</v>
      </c>
      <c r="BC8" s="891">
        <f>'Resource Costs'!EC256</f>
        <v>0</v>
      </c>
      <c r="BD8" s="891">
        <f>'Resource Costs'!ED256</f>
        <v>0</v>
      </c>
      <c r="BE8" s="891">
        <f>'Resource Costs'!EE256</f>
        <v>0</v>
      </c>
      <c r="BF8" s="891">
        <f>'Resource Costs'!EF256</f>
        <v>0</v>
      </c>
      <c r="BG8" s="891">
        <f>'Resource Costs'!EG256</f>
        <v>0</v>
      </c>
      <c r="BH8" s="891">
        <f>'Resource Costs'!EH256</f>
        <v>0</v>
      </c>
      <c r="BI8" s="891">
        <f>'Resource Costs'!EI256</f>
        <v>0</v>
      </c>
      <c r="BJ8" s="892">
        <f>'Resource Costs'!EJ256</f>
        <v>0</v>
      </c>
      <c r="BK8" s="890">
        <f>'Resource Costs'!EK256</f>
        <v>0</v>
      </c>
      <c r="BL8" s="891">
        <f>'Resource Costs'!EL256</f>
        <v>0</v>
      </c>
      <c r="BM8" s="891">
        <f>'Resource Costs'!EM256</f>
        <v>0</v>
      </c>
      <c r="BN8" s="891">
        <f>'Resource Costs'!EN256</f>
        <v>0</v>
      </c>
      <c r="BO8" s="891">
        <f>'Resource Costs'!EO256</f>
        <v>0</v>
      </c>
      <c r="BP8" s="891">
        <f>'Resource Costs'!EP256</f>
        <v>0</v>
      </c>
      <c r="BQ8" s="891">
        <f>'Resource Costs'!EQ256</f>
        <v>0</v>
      </c>
      <c r="BR8" s="891">
        <f>'Resource Costs'!ER256</f>
        <v>0</v>
      </c>
      <c r="BS8" s="891">
        <f>'Resource Costs'!ES256</f>
        <v>0</v>
      </c>
      <c r="BT8" s="891">
        <f>'Resource Costs'!ET256</f>
        <v>0</v>
      </c>
      <c r="BU8" s="891">
        <f>'Resource Costs'!EU256</f>
        <v>0</v>
      </c>
      <c r="BV8" s="892">
        <f>'Resource Costs'!EV256</f>
        <v>0</v>
      </c>
      <c r="BW8" s="893">
        <f t="shared" ref="BW8:BW14" si="0">SUMIFS(C8:BV8,$C$75:$BV$75,"")</f>
        <v>0</v>
      </c>
      <c r="BX8" s="894">
        <f>SUM(SUMIFS(C8:N8,$C$2:$N$2,{"Dev","Impl","PIS","Close"},$C$75:$N$75,""))</f>
        <v>0</v>
      </c>
      <c r="BY8" s="894">
        <f>SUM(SUMIFS(O8:Z8,$O$2:$Z$2,{"Dev","Impl","PIS","Close"},$O$75:$Z$75,""))</f>
        <v>0</v>
      </c>
      <c r="BZ8" s="894">
        <f>SUM(SUMIFS(AA8:AL8,$AA$2:$AL$2,{"Dev","Impl","PIS","Close"},$AA$75:$AL$75,""))</f>
        <v>0</v>
      </c>
      <c r="CA8" s="894">
        <f>SUM(SUMIFS(AM8:AX8,$AM$2:$AX$2,{"Dev","Impl","PIS","Close"},$AM$75:$AX$75,""))</f>
        <v>0</v>
      </c>
      <c r="CB8" s="894">
        <f>SUM(SUMIFS(AY8:BJ8,$AY$2:$BJ$2,{"Dev","Impl","PIS","Close"},$AY$75:$BJ$75,""))</f>
        <v>0</v>
      </c>
      <c r="CC8" s="894">
        <f>SUM(SUMIFS(BK8:BV8,$BK$2:$BV$2,{"Dev","Impl","PIS","Close"},$BK$75:$BV$75,""))</f>
        <v>0</v>
      </c>
      <c r="CE8" s="528" t="s">
        <v>397</v>
      </c>
      <c r="CF8" s="528"/>
      <c r="CG8" s="528"/>
      <c r="CH8" s="528"/>
      <c r="CI8" s="528" t="s">
        <v>396</v>
      </c>
      <c r="CJ8" s="528"/>
      <c r="CK8" s="528"/>
    </row>
    <row r="9" spans="1:89" s="4" customFormat="1">
      <c r="A9" s="6" t="s">
        <v>217</v>
      </c>
      <c r="B9" s="108"/>
      <c r="C9" s="887">
        <f>'Resource Costs'!CC259</f>
        <v>0</v>
      </c>
      <c r="D9" s="888">
        <f>'Resource Costs'!CD259</f>
        <v>0</v>
      </c>
      <c r="E9" s="888">
        <f>'Resource Costs'!CE259</f>
        <v>0</v>
      </c>
      <c r="F9" s="888">
        <f>'Resource Costs'!CF259</f>
        <v>0</v>
      </c>
      <c r="G9" s="888">
        <f>'Resource Costs'!CG259</f>
        <v>0</v>
      </c>
      <c r="H9" s="888">
        <f>'Resource Costs'!CH259</f>
        <v>0</v>
      </c>
      <c r="I9" s="888">
        <f>'Resource Costs'!CI259</f>
        <v>0</v>
      </c>
      <c r="J9" s="888">
        <f>'Resource Costs'!CJ259</f>
        <v>0</v>
      </c>
      <c r="K9" s="888">
        <f>'Resource Costs'!CK259</f>
        <v>0</v>
      </c>
      <c r="L9" s="888">
        <f>'Resource Costs'!CL259</f>
        <v>0</v>
      </c>
      <c r="M9" s="888">
        <f>'Resource Costs'!CM259</f>
        <v>0</v>
      </c>
      <c r="N9" s="889">
        <f>'Resource Costs'!CN259</f>
        <v>0</v>
      </c>
      <c r="O9" s="890">
        <f>'Resource Costs'!CO259</f>
        <v>0</v>
      </c>
      <c r="P9" s="891">
        <f>'Resource Costs'!CP259</f>
        <v>0</v>
      </c>
      <c r="Q9" s="891">
        <f>'Resource Costs'!CQ259</f>
        <v>0</v>
      </c>
      <c r="R9" s="891">
        <f>'Resource Costs'!CR259</f>
        <v>0</v>
      </c>
      <c r="S9" s="891">
        <f>'Resource Costs'!CS259</f>
        <v>0</v>
      </c>
      <c r="T9" s="891">
        <f>'Resource Costs'!CT259</f>
        <v>0</v>
      </c>
      <c r="U9" s="891">
        <f>'Resource Costs'!CU259</f>
        <v>0</v>
      </c>
      <c r="V9" s="891">
        <f>'Resource Costs'!CV259</f>
        <v>0</v>
      </c>
      <c r="W9" s="891">
        <f>'Resource Costs'!CW259</f>
        <v>0</v>
      </c>
      <c r="X9" s="891">
        <f>'Resource Costs'!CX259</f>
        <v>0</v>
      </c>
      <c r="Y9" s="891">
        <f>'Resource Costs'!CY259</f>
        <v>0</v>
      </c>
      <c r="Z9" s="892">
        <f>'Resource Costs'!CZ259</f>
        <v>0</v>
      </c>
      <c r="AA9" s="890">
        <f>'Resource Costs'!DA259</f>
        <v>0</v>
      </c>
      <c r="AB9" s="891">
        <f>'Resource Costs'!DB259</f>
        <v>0</v>
      </c>
      <c r="AC9" s="891">
        <f>'Resource Costs'!DC259</f>
        <v>0</v>
      </c>
      <c r="AD9" s="891">
        <f>'Resource Costs'!DD259</f>
        <v>0</v>
      </c>
      <c r="AE9" s="891">
        <f>'Resource Costs'!DE259</f>
        <v>0</v>
      </c>
      <c r="AF9" s="891">
        <f>'Resource Costs'!DF259</f>
        <v>0</v>
      </c>
      <c r="AG9" s="891">
        <f>'Resource Costs'!DG259</f>
        <v>0</v>
      </c>
      <c r="AH9" s="891">
        <f>'Resource Costs'!DH259</f>
        <v>0</v>
      </c>
      <c r="AI9" s="891">
        <f>'Resource Costs'!DI259</f>
        <v>0</v>
      </c>
      <c r="AJ9" s="891">
        <f>'Resource Costs'!DJ259</f>
        <v>0</v>
      </c>
      <c r="AK9" s="891">
        <f>'Resource Costs'!DK259</f>
        <v>0</v>
      </c>
      <c r="AL9" s="892">
        <f>'Resource Costs'!DL259</f>
        <v>0</v>
      </c>
      <c r="AM9" s="890">
        <f>'Resource Costs'!DM259</f>
        <v>0</v>
      </c>
      <c r="AN9" s="891">
        <f>'Resource Costs'!DN259</f>
        <v>0</v>
      </c>
      <c r="AO9" s="891">
        <f>'Resource Costs'!DO259</f>
        <v>0</v>
      </c>
      <c r="AP9" s="891">
        <f>'Resource Costs'!DP259</f>
        <v>0</v>
      </c>
      <c r="AQ9" s="891">
        <f>'Resource Costs'!DQ259</f>
        <v>0</v>
      </c>
      <c r="AR9" s="891">
        <f>'Resource Costs'!DR259</f>
        <v>0</v>
      </c>
      <c r="AS9" s="891">
        <f>'Resource Costs'!DS259</f>
        <v>0</v>
      </c>
      <c r="AT9" s="891">
        <f>'Resource Costs'!DT259</f>
        <v>0</v>
      </c>
      <c r="AU9" s="891">
        <f>'Resource Costs'!DU259</f>
        <v>0</v>
      </c>
      <c r="AV9" s="891">
        <f>'Resource Costs'!DV259</f>
        <v>0</v>
      </c>
      <c r="AW9" s="891">
        <f>'Resource Costs'!DW259</f>
        <v>0</v>
      </c>
      <c r="AX9" s="892">
        <f>'Resource Costs'!DX259</f>
        <v>0</v>
      </c>
      <c r="AY9" s="890">
        <f>'Resource Costs'!DY259</f>
        <v>0</v>
      </c>
      <c r="AZ9" s="891">
        <f>'Resource Costs'!DZ259</f>
        <v>0</v>
      </c>
      <c r="BA9" s="891">
        <f>'Resource Costs'!EA259</f>
        <v>0</v>
      </c>
      <c r="BB9" s="891">
        <f>'Resource Costs'!EB259</f>
        <v>0</v>
      </c>
      <c r="BC9" s="891">
        <f>'Resource Costs'!EC259</f>
        <v>0</v>
      </c>
      <c r="BD9" s="891">
        <f>'Resource Costs'!ED259</f>
        <v>0</v>
      </c>
      <c r="BE9" s="891">
        <f>'Resource Costs'!EE259</f>
        <v>0</v>
      </c>
      <c r="BF9" s="891">
        <f>'Resource Costs'!EF259</f>
        <v>0</v>
      </c>
      <c r="BG9" s="891">
        <f>'Resource Costs'!EG259</f>
        <v>0</v>
      </c>
      <c r="BH9" s="891">
        <f>'Resource Costs'!EH259</f>
        <v>0</v>
      </c>
      <c r="BI9" s="891">
        <f>'Resource Costs'!EI259</f>
        <v>0</v>
      </c>
      <c r="BJ9" s="892">
        <f>'Resource Costs'!EJ259</f>
        <v>0</v>
      </c>
      <c r="BK9" s="890">
        <f>'Resource Costs'!EK259</f>
        <v>0</v>
      </c>
      <c r="BL9" s="891">
        <f>'Resource Costs'!EL259</f>
        <v>0</v>
      </c>
      <c r="BM9" s="891">
        <f>'Resource Costs'!EM259</f>
        <v>0</v>
      </c>
      <c r="BN9" s="891">
        <f>'Resource Costs'!EN259</f>
        <v>0</v>
      </c>
      <c r="BO9" s="891">
        <f>'Resource Costs'!EO259</f>
        <v>0</v>
      </c>
      <c r="BP9" s="891">
        <f>'Resource Costs'!EP259</f>
        <v>0</v>
      </c>
      <c r="BQ9" s="891">
        <f>'Resource Costs'!EQ259</f>
        <v>0</v>
      </c>
      <c r="BR9" s="891">
        <f>'Resource Costs'!ER259</f>
        <v>0</v>
      </c>
      <c r="BS9" s="891">
        <f>'Resource Costs'!ES259</f>
        <v>0</v>
      </c>
      <c r="BT9" s="891">
        <f>'Resource Costs'!ET259</f>
        <v>0</v>
      </c>
      <c r="BU9" s="891">
        <f>'Resource Costs'!EU259</f>
        <v>0</v>
      </c>
      <c r="BV9" s="892">
        <f>'Resource Costs'!EV259</f>
        <v>0</v>
      </c>
      <c r="BW9" s="893">
        <f t="shared" si="0"/>
        <v>0</v>
      </c>
      <c r="BX9" s="894">
        <f>SUM(SUMIFS(C9:N9,$C$2:$N$2,{"Dev","Impl","PIS","Close"},$C$75:$N$75,""))</f>
        <v>0</v>
      </c>
      <c r="BY9" s="894">
        <f>SUM(SUMIFS(O9:Z9,$O$2:$Z$2,{"Dev","Impl","PIS","Close"},$O$75:$Z$75,""))</f>
        <v>0</v>
      </c>
      <c r="BZ9" s="894">
        <f>SUM(SUMIFS(AA9:AL9,$AA$2:$AL$2,{"Dev","Impl","PIS","Close"},$AA$75:$AL$75,""))</f>
        <v>0</v>
      </c>
      <c r="CA9" s="894">
        <f>SUM(SUMIFS(AM9:AX9,$AM$2:$AX$2,{"Dev","Impl","PIS","Close"},$AM$75:$AX$75,""))</f>
        <v>0</v>
      </c>
      <c r="CB9" s="894">
        <f>SUM(SUMIFS(AY9:BJ9,$AY$2:$BJ$2,{"Dev","Impl","PIS","Close"},$AY$75:$BJ$75,""))</f>
        <v>0</v>
      </c>
      <c r="CC9" s="894">
        <f>SUM(SUMIFS(BK9:BV9,$BK$2:$BV$2,{"Dev","Impl","PIS","Close"},$BK$75:$BV$75,""))</f>
        <v>0</v>
      </c>
      <c r="CE9" s="528" t="s">
        <v>399</v>
      </c>
      <c r="CF9" s="528"/>
      <c r="CG9" s="528"/>
      <c r="CH9" s="528"/>
      <c r="CI9" s="528"/>
      <c r="CJ9" s="528"/>
      <c r="CK9" s="528"/>
    </row>
    <row r="10" spans="1:89" s="4" customFormat="1">
      <c r="A10" s="6" t="s">
        <v>218</v>
      </c>
      <c r="B10" s="108"/>
      <c r="C10" s="887">
        <f>'Resource Costs'!CC262</f>
        <v>0</v>
      </c>
      <c r="D10" s="888">
        <f>'Resource Costs'!CD262</f>
        <v>0</v>
      </c>
      <c r="E10" s="888">
        <f>'Resource Costs'!CE262</f>
        <v>0</v>
      </c>
      <c r="F10" s="888">
        <f>'Resource Costs'!CF262</f>
        <v>0</v>
      </c>
      <c r="G10" s="888">
        <f>'Resource Costs'!CG262</f>
        <v>0</v>
      </c>
      <c r="H10" s="888">
        <f>'Resource Costs'!CH262</f>
        <v>0</v>
      </c>
      <c r="I10" s="888">
        <f>'Resource Costs'!CI262</f>
        <v>0</v>
      </c>
      <c r="J10" s="888">
        <f>'Resource Costs'!CJ262</f>
        <v>0</v>
      </c>
      <c r="K10" s="888">
        <f>'Resource Costs'!CK262</f>
        <v>0</v>
      </c>
      <c r="L10" s="888">
        <f>'Resource Costs'!CL262</f>
        <v>0</v>
      </c>
      <c r="M10" s="888">
        <f>'Resource Costs'!CM262</f>
        <v>0</v>
      </c>
      <c r="N10" s="889">
        <f>'Resource Costs'!CN262</f>
        <v>0</v>
      </c>
      <c r="O10" s="890">
        <f>'Resource Costs'!CO262</f>
        <v>0</v>
      </c>
      <c r="P10" s="891">
        <f>'Resource Costs'!CP262</f>
        <v>0</v>
      </c>
      <c r="Q10" s="891">
        <f>'Resource Costs'!CQ262</f>
        <v>0</v>
      </c>
      <c r="R10" s="891">
        <f>'Resource Costs'!CR262</f>
        <v>0</v>
      </c>
      <c r="S10" s="891">
        <f>'Resource Costs'!CS262</f>
        <v>0</v>
      </c>
      <c r="T10" s="891">
        <f>'Resource Costs'!CT262</f>
        <v>0</v>
      </c>
      <c r="U10" s="891">
        <f>'Resource Costs'!CU262</f>
        <v>0</v>
      </c>
      <c r="V10" s="891">
        <f>'Resource Costs'!CV262</f>
        <v>0</v>
      </c>
      <c r="W10" s="891">
        <f>'Resource Costs'!CW262</f>
        <v>0</v>
      </c>
      <c r="X10" s="891">
        <f>'Resource Costs'!CX262</f>
        <v>0</v>
      </c>
      <c r="Y10" s="891">
        <f>'Resource Costs'!CY262</f>
        <v>0</v>
      </c>
      <c r="Z10" s="892">
        <f>'Resource Costs'!CZ262</f>
        <v>0</v>
      </c>
      <c r="AA10" s="890">
        <f>'Resource Costs'!DA262</f>
        <v>0</v>
      </c>
      <c r="AB10" s="891">
        <f>'Resource Costs'!DB262</f>
        <v>0</v>
      </c>
      <c r="AC10" s="891">
        <f>'Resource Costs'!DC262</f>
        <v>0</v>
      </c>
      <c r="AD10" s="891">
        <f>'Resource Costs'!DD262</f>
        <v>0</v>
      </c>
      <c r="AE10" s="891">
        <f>'Resource Costs'!DE262</f>
        <v>0</v>
      </c>
      <c r="AF10" s="891">
        <f>'Resource Costs'!DF262</f>
        <v>0</v>
      </c>
      <c r="AG10" s="891">
        <f>'Resource Costs'!DG262</f>
        <v>0</v>
      </c>
      <c r="AH10" s="891">
        <f>'Resource Costs'!DH262</f>
        <v>0</v>
      </c>
      <c r="AI10" s="891">
        <f>'Resource Costs'!DI262</f>
        <v>0</v>
      </c>
      <c r="AJ10" s="891">
        <f>'Resource Costs'!DJ262</f>
        <v>0</v>
      </c>
      <c r="AK10" s="891">
        <f>'Resource Costs'!DK262</f>
        <v>0</v>
      </c>
      <c r="AL10" s="892">
        <f>'Resource Costs'!DL262</f>
        <v>0</v>
      </c>
      <c r="AM10" s="890">
        <f>'Resource Costs'!DM262</f>
        <v>0</v>
      </c>
      <c r="AN10" s="891">
        <f>'Resource Costs'!DN262</f>
        <v>0</v>
      </c>
      <c r="AO10" s="891">
        <f>'Resource Costs'!DO262</f>
        <v>0</v>
      </c>
      <c r="AP10" s="891">
        <f>'Resource Costs'!DP262</f>
        <v>0</v>
      </c>
      <c r="AQ10" s="891">
        <f>'Resource Costs'!DQ262</f>
        <v>0</v>
      </c>
      <c r="AR10" s="891">
        <f>'Resource Costs'!DR262</f>
        <v>0</v>
      </c>
      <c r="AS10" s="891">
        <f>'Resource Costs'!DS262</f>
        <v>0</v>
      </c>
      <c r="AT10" s="891">
        <f>'Resource Costs'!DT262</f>
        <v>0</v>
      </c>
      <c r="AU10" s="891">
        <f>'Resource Costs'!DU262</f>
        <v>0</v>
      </c>
      <c r="AV10" s="891">
        <f>'Resource Costs'!DV262</f>
        <v>0</v>
      </c>
      <c r="AW10" s="891">
        <f>'Resource Costs'!DW262</f>
        <v>0</v>
      </c>
      <c r="AX10" s="892">
        <f>'Resource Costs'!DX262</f>
        <v>0</v>
      </c>
      <c r="AY10" s="890">
        <f>'Resource Costs'!DY262</f>
        <v>0</v>
      </c>
      <c r="AZ10" s="891">
        <f>'Resource Costs'!DZ262</f>
        <v>0</v>
      </c>
      <c r="BA10" s="891">
        <f>'Resource Costs'!EA262</f>
        <v>0</v>
      </c>
      <c r="BB10" s="891">
        <f>'Resource Costs'!EB262</f>
        <v>0</v>
      </c>
      <c r="BC10" s="891">
        <f>'Resource Costs'!EC262</f>
        <v>0</v>
      </c>
      <c r="BD10" s="891">
        <f>'Resource Costs'!ED262</f>
        <v>0</v>
      </c>
      <c r="BE10" s="891">
        <f>'Resource Costs'!EE262</f>
        <v>0</v>
      </c>
      <c r="BF10" s="891">
        <f>'Resource Costs'!EF262</f>
        <v>0</v>
      </c>
      <c r="BG10" s="891">
        <f>'Resource Costs'!EG262</f>
        <v>0</v>
      </c>
      <c r="BH10" s="891">
        <f>'Resource Costs'!EH262</f>
        <v>0</v>
      </c>
      <c r="BI10" s="891">
        <f>'Resource Costs'!EI262</f>
        <v>0</v>
      </c>
      <c r="BJ10" s="892">
        <f>'Resource Costs'!EJ262</f>
        <v>0</v>
      </c>
      <c r="BK10" s="890">
        <f>'Resource Costs'!EK262</f>
        <v>0</v>
      </c>
      <c r="BL10" s="891">
        <f>'Resource Costs'!EL262</f>
        <v>0</v>
      </c>
      <c r="BM10" s="891">
        <f>'Resource Costs'!EM262</f>
        <v>0</v>
      </c>
      <c r="BN10" s="891">
        <f>'Resource Costs'!EN262</f>
        <v>0</v>
      </c>
      <c r="BO10" s="891">
        <f>'Resource Costs'!EO262</f>
        <v>0</v>
      </c>
      <c r="BP10" s="891">
        <f>'Resource Costs'!EP262</f>
        <v>0</v>
      </c>
      <c r="BQ10" s="891">
        <f>'Resource Costs'!EQ262</f>
        <v>0</v>
      </c>
      <c r="BR10" s="891">
        <f>'Resource Costs'!ER262</f>
        <v>0</v>
      </c>
      <c r="BS10" s="891">
        <f>'Resource Costs'!ES262</f>
        <v>0</v>
      </c>
      <c r="BT10" s="891">
        <f>'Resource Costs'!ET262</f>
        <v>0</v>
      </c>
      <c r="BU10" s="891">
        <f>'Resource Costs'!EU262</f>
        <v>0</v>
      </c>
      <c r="BV10" s="892">
        <f>'Resource Costs'!EV262</f>
        <v>0</v>
      </c>
      <c r="BW10" s="893">
        <f t="shared" si="0"/>
        <v>0</v>
      </c>
      <c r="BX10" s="894">
        <f>SUM(SUMIFS(C10:N10,$C$2:$N$2,{"Dev","Impl","PIS","Close"},$C$75:$N$75,""))</f>
        <v>0</v>
      </c>
      <c r="BY10" s="894">
        <f>SUM(SUMIFS(O10:Z10,$O$2:$Z$2,{"Dev","Impl","PIS","Close"},$O$75:$Z$75,""))</f>
        <v>0</v>
      </c>
      <c r="BZ10" s="894">
        <f>SUM(SUMIFS(AA10:AL10,$AA$2:$AL$2,{"Dev","Impl","PIS","Close"},$AA$75:$AL$75,""))</f>
        <v>0</v>
      </c>
      <c r="CA10" s="894">
        <f>SUM(SUMIFS(AM10:AX10,$AM$2:$AX$2,{"Dev","Impl","PIS","Close"},$AM$75:$AX$75,""))</f>
        <v>0</v>
      </c>
      <c r="CB10" s="894">
        <f>SUM(SUMIFS(AY10:BJ10,$AY$2:$BJ$2,{"Dev","Impl","PIS","Close"},$AY$75:$BJ$75,""))</f>
        <v>0</v>
      </c>
      <c r="CC10" s="894">
        <f>SUM(SUMIFS(BK10:BV10,$BK$2:$BV$2,{"Dev","Impl","PIS","Close"},$BK$75:$BV$75,""))</f>
        <v>0</v>
      </c>
      <c r="CE10" s="528"/>
      <c r="CF10" s="528"/>
      <c r="CG10" s="528"/>
      <c r="CH10" s="528"/>
      <c r="CI10" s="528"/>
      <c r="CJ10" s="528"/>
      <c r="CK10" s="528"/>
    </row>
    <row r="11" spans="1:89" s="4" customFormat="1">
      <c r="A11" s="6" t="s">
        <v>15333</v>
      </c>
      <c r="B11" s="108"/>
      <c r="C11" s="887">
        <f>'Resource Costs'!CC265</f>
        <v>0</v>
      </c>
      <c r="D11" s="888">
        <f>'Resource Costs'!CD265</f>
        <v>0</v>
      </c>
      <c r="E11" s="888">
        <f>'Resource Costs'!CE265</f>
        <v>0</v>
      </c>
      <c r="F11" s="888">
        <f>'Resource Costs'!CF265</f>
        <v>0</v>
      </c>
      <c r="G11" s="888">
        <f>'Resource Costs'!CG265</f>
        <v>0</v>
      </c>
      <c r="H11" s="888">
        <f>'Resource Costs'!CH265</f>
        <v>0</v>
      </c>
      <c r="I11" s="888">
        <f>'Resource Costs'!CI265</f>
        <v>0</v>
      </c>
      <c r="J11" s="888">
        <f>'Resource Costs'!CJ265</f>
        <v>0</v>
      </c>
      <c r="K11" s="888">
        <f>'Resource Costs'!CK265</f>
        <v>0</v>
      </c>
      <c r="L11" s="888">
        <f>'Resource Costs'!CL265</f>
        <v>0</v>
      </c>
      <c r="M11" s="888">
        <f>'Resource Costs'!CM265</f>
        <v>0</v>
      </c>
      <c r="N11" s="889">
        <f>'Resource Costs'!CN265</f>
        <v>0</v>
      </c>
      <c r="O11" s="890">
        <f>'Resource Costs'!CO265</f>
        <v>0</v>
      </c>
      <c r="P11" s="891">
        <f>'Resource Costs'!CP265</f>
        <v>0</v>
      </c>
      <c r="Q11" s="891">
        <f>'Resource Costs'!CQ265</f>
        <v>0</v>
      </c>
      <c r="R11" s="891">
        <f>'Resource Costs'!CR265</f>
        <v>0</v>
      </c>
      <c r="S11" s="891">
        <f>'Resource Costs'!CS265</f>
        <v>0</v>
      </c>
      <c r="T11" s="891">
        <f>'Resource Costs'!CT265</f>
        <v>0</v>
      </c>
      <c r="U11" s="891">
        <f>'Resource Costs'!CU265</f>
        <v>0</v>
      </c>
      <c r="V11" s="891">
        <f>'Resource Costs'!CV265</f>
        <v>0</v>
      </c>
      <c r="W11" s="891">
        <f>'Resource Costs'!CW265</f>
        <v>0</v>
      </c>
      <c r="X11" s="891">
        <f>'Resource Costs'!CX265</f>
        <v>0</v>
      </c>
      <c r="Y11" s="891">
        <f>'Resource Costs'!CY265</f>
        <v>0</v>
      </c>
      <c r="Z11" s="892">
        <f>'Resource Costs'!CZ265</f>
        <v>0</v>
      </c>
      <c r="AA11" s="890">
        <f>'Resource Costs'!DA265</f>
        <v>0</v>
      </c>
      <c r="AB11" s="891">
        <f>'Resource Costs'!DB265</f>
        <v>0</v>
      </c>
      <c r="AC11" s="891">
        <f>'Resource Costs'!DC265</f>
        <v>0</v>
      </c>
      <c r="AD11" s="891">
        <f>'Resource Costs'!DD265</f>
        <v>0</v>
      </c>
      <c r="AE11" s="891">
        <f>'Resource Costs'!DE265</f>
        <v>0</v>
      </c>
      <c r="AF11" s="891">
        <f>'Resource Costs'!DF265</f>
        <v>0</v>
      </c>
      <c r="AG11" s="891">
        <f>'Resource Costs'!DG265</f>
        <v>0</v>
      </c>
      <c r="AH11" s="891">
        <f>'Resource Costs'!DH265</f>
        <v>0</v>
      </c>
      <c r="AI11" s="891">
        <f>'Resource Costs'!DI265</f>
        <v>0</v>
      </c>
      <c r="AJ11" s="891">
        <f>'Resource Costs'!DJ265</f>
        <v>0</v>
      </c>
      <c r="AK11" s="891">
        <f>'Resource Costs'!DK265</f>
        <v>0</v>
      </c>
      <c r="AL11" s="892">
        <f>'Resource Costs'!DL265</f>
        <v>0</v>
      </c>
      <c r="AM11" s="890">
        <f>'Resource Costs'!DM265</f>
        <v>0</v>
      </c>
      <c r="AN11" s="891">
        <f>'Resource Costs'!DN265</f>
        <v>0</v>
      </c>
      <c r="AO11" s="891">
        <f>'Resource Costs'!DO265</f>
        <v>0</v>
      </c>
      <c r="AP11" s="891">
        <f>'Resource Costs'!DP265</f>
        <v>0</v>
      </c>
      <c r="AQ11" s="891">
        <f>'Resource Costs'!DQ265</f>
        <v>0</v>
      </c>
      <c r="AR11" s="891">
        <f>'Resource Costs'!DR265</f>
        <v>0</v>
      </c>
      <c r="AS11" s="891">
        <f>'Resource Costs'!DS265</f>
        <v>0</v>
      </c>
      <c r="AT11" s="891">
        <f>'Resource Costs'!DT265</f>
        <v>0</v>
      </c>
      <c r="AU11" s="891">
        <f>'Resource Costs'!DU265</f>
        <v>0</v>
      </c>
      <c r="AV11" s="891">
        <f>'Resource Costs'!DV265</f>
        <v>0</v>
      </c>
      <c r="AW11" s="891">
        <f>'Resource Costs'!DW265</f>
        <v>0</v>
      </c>
      <c r="AX11" s="892">
        <f>'Resource Costs'!DX265</f>
        <v>0</v>
      </c>
      <c r="AY11" s="890">
        <f>'Resource Costs'!DY265</f>
        <v>0</v>
      </c>
      <c r="AZ11" s="891">
        <f>'Resource Costs'!DZ265</f>
        <v>0</v>
      </c>
      <c r="BA11" s="891">
        <f>'Resource Costs'!EA265</f>
        <v>0</v>
      </c>
      <c r="BB11" s="891">
        <f>'Resource Costs'!EB265</f>
        <v>0</v>
      </c>
      <c r="BC11" s="891">
        <f>'Resource Costs'!EC265</f>
        <v>0</v>
      </c>
      <c r="BD11" s="891">
        <f>'Resource Costs'!ED265</f>
        <v>0</v>
      </c>
      <c r="BE11" s="891">
        <f>'Resource Costs'!EE265</f>
        <v>0</v>
      </c>
      <c r="BF11" s="891">
        <f>'Resource Costs'!EF265</f>
        <v>0</v>
      </c>
      <c r="BG11" s="891">
        <f>'Resource Costs'!EG265</f>
        <v>0</v>
      </c>
      <c r="BH11" s="891">
        <f>'Resource Costs'!EH265</f>
        <v>0</v>
      </c>
      <c r="BI11" s="891">
        <f>'Resource Costs'!EI265</f>
        <v>0</v>
      </c>
      <c r="BJ11" s="892">
        <f>'Resource Costs'!EJ265</f>
        <v>0</v>
      </c>
      <c r="BK11" s="890">
        <f>'Resource Costs'!EK265</f>
        <v>0</v>
      </c>
      <c r="BL11" s="891">
        <f>'Resource Costs'!EL265</f>
        <v>0</v>
      </c>
      <c r="BM11" s="891">
        <f>'Resource Costs'!EM265</f>
        <v>0</v>
      </c>
      <c r="BN11" s="891">
        <f>'Resource Costs'!EN265</f>
        <v>0</v>
      </c>
      <c r="BO11" s="891">
        <f>'Resource Costs'!EO265</f>
        <v>0</v>
      </c>
      <c r="BP11" s="891">
        <f>'Resource Costs'!EP265</f>
        <v>0</v>
      </c>
      <c r="BQ11" s="891">
        <f>'Resource Costs'!EQ265</f>
        <v>0</v>
      </c>
      <c r="BR11" s="891">
        <f>'Resource Costs'!ER265</f>
        <v>0</v>
      </c>
      <c r="BS11" s="891">
        <f>'Resource Costs'!ES265</f>
        <v>0</v>
      </c>
      <c r="BT11" s="891">
        <f>'Resource Costs'!ET265</f>
        <v>0</v>
      </c>
      <c r="BU11" s="891">
        <f>'Resource Costs'!EU265</f>
        <v>0</v>
      </c>
      <c r="BV11" s="892">
        <f>'Resource Costs'!EV265</f>
        <v>0</v>
      </c>
      <c r="BW11" s="893">
        <f t="shared" si="0"/>
        <v>0</v>
      </c>
      <c r="BX11" s="894">
        <f>SUM(SUMIFS(C11:N11,$C$2:$N$2,{"Dev","Impl","PIS","Close"},$C$75:$N$75,""))</f>
        <v>0</v>
      </c>
      <c r="BY11" s="894">
        <f>SUM(SUMIFS(O11:Z11,$O$2:$Z$2,{"Dev","Impl","PIS","Close"},$O$75:$Z$75,""))</f>
        <v>0</v>
      </c>
      <c r="BZ11" s="894">
        <f>SUM(SUMIFS(AA11:AL11,$AA$2:$AL$2,{"Dev","Impl","PIS","Close"},$AA$75:$AL$75,""))</f>
        <v>0</v>
      </c>
      <c r="CA11" s="894">
        <f>SUM(SUMIFS(AM11:AX11,$AM$2:$AX$2,{"Dev","Impl","PIS","Close"},$AM$75:$AX$75,""))</f>
        <v>0</v>
      </c>
      <c r="CB11" s="894">
        <f>SUM(SUMIFS(AY11:BJ11,$AY$2:$BJ$2,{"Dev","Impl","PIS","Close"},$AY$75:$BJ$75,""))</f>
        <v>0</v>
      </c>
      <c r="CC11" s="894">
        <f>SUM(SUMIFS(BK11:BV11,$BK$2:$BV$2,{"Dev","Impl","PIS","Close"},$BK$75:$BV$75,""))</f>
        <v>0</v>
      </c>
    </row>
    <row r="12" spans="1:89" s="4" customFormat="1">
      <c r="A12" s="6" t="s">
        <v>219</v>
      </c>
      <c r="B12" s="108"/>
      <c r="C12" s="887">
        <f>'Resource Costs'!CC268</f>
        <v>0</v>
      </c>
      <c r="D12" s="888">
        <f>'Resource Costs'!CD268</f>
        <v>0</v>
      </c>
      <c r="E12" s="888">
        <f>'Resource Costs'!CE268</f>
        <v>0</v>
      </c>
      <c r="F12" s="888">
        <f>'Resource Costs'!CF268</f>
        <v>0</v>
      </c>
      <c r="G12" s="888">
        <f>'Resource Costs'!CG268</f>
        <v>0</v>
      </c>
      <c r="H12" s="888">
        <f>'Resource Costs'!CH268</f>
        <v>0</v>
      </c>
      <c r="I12" s="888">
        <f>'Resource Costs'!CI268</f>
        <v>0</v>
      </c>
      <c r="J12" s="888">
        <f>'Resource Costs'!CJ268</f>
        <v>0</v>
      </c>
      <c r="K12" s="888">
        <f>'Resource Costs'!CK268</f>
        <v>0</v>
      </c>
      <c r="L12" s="888">
        <f>'Resource Costs'!CL268</f>
        <v>0</v>
      </c>
      <c r="M12" s="888">
        <f>'Resource Costs'!CM268</f>
        <v>0</v>
      </c>
      <c r="N12" s="889">
        <f>'Resource Costs'!CN268</f>
        <v>0</v>
      </c>
      <c r="O12" s="890">
        <f>'Resource Costs'!CO268</f>
        <v>0</v>
      </c>
      <c r="P12" s="891">
        <f>'Resource Costs'!CP268</f>
        <v>0</v>
      </c>
      <c r="Q12" s="891">
        <f>'Resource Costs'!CQ268</f>
        <v>0</v>
      </c>
      <c r="R12" s="891">
        <f>'Resource Costs'!CR268</f>
        <v>0</v>
      </c>
      <c r="S12" s="891">
        <f>'Resource Costs'!CS268</f>
        <v>0</v>
      </c>
      <c r="T12" s="891">
        <f>'Resource Costs'!CT268</f>
        <v>0</v>
      </c>
      <c r="U12" s="891">
        <f>'Resource Costs'!CU268</f>
        <v>0</v>
      </c>
      <c r="V12" s="891">
        <f>'Resource Costs'!CV268</f>
        <v>0</v>
      </c>
      <c r="W12" s="891">
        <f>'Resource Costs'!CW268</f>
        <v>0</v>
      </c>
      <c r="X12" s="891">
        <f>'Resource Costs'!CX268</f>
        <v>0</v>
      </c>
      <c r="Y12" s="891">
        <f>'Resource Costs'!CY268</f>
        <v>0</v>
      </c>
      <c r="Z12" s="892">
        <f>'Resource Costs'!CZ268</f>
        <v>0</v>
      </c>
      <c r="AA12" s="890">
        <f>'Resource Costs'!DA268</f>
        <v>0</v>
      </c>
      <c r="AB12" s="891">
        <f>'Resource Costs'!DB268</f>
        <v>0</v>
      </c>
      <c r="AC12" s="891">
        <f>'Resource Costs'!DC268</f>
        <v>0</v>
      </c>
      <c r="AD12" s="891">
        <f>'Resource Costs'!DD268</f>
        <v>0</v>
      </c>
      <c r="AE12" s="891">
        <f>'Resource Costs'!DE268</f>
        <v>0</v>
      </c>
      <c r="AF12" s="891">
        <f>'Resource Costs'!DF268</f>
        <v>0</v>
      </c>
      <c r="AG12" s="891">
        <f>'Resource Costs'!DG268</f>
        <v>0</v>
      </c>
      <c r="AH12" s="891">
        <f>'Resource Costs'!DH268</f>
        <v>0</v>
      </c>
      <c r="AI12" s="891">
        <f>'Resource Costs'!DI268</f>
        <v>0</v>
      </c>
      <c r="AJ12" s="891">
        <f>'Resource Costs'!DJ268</f>
        <v>0</v>
      </c>
      <c r="AK12" s="891">
        <f>'Resource Costs'!DK268</f>
        <v>0</v>
      </c>
      <c r="AL12" s="892">
        <f>'Resource Costs'!DL268</f>
        <v>0</v>
      </c>
      <c r="AM12" s="890">
        <f>'Resource Costs'!DM268</f>
        <v>0</v>
      </c>
      <c r="AN12" s="891">
        <f>'Resource Costs'!DN268</f>
        <v>0</v>
      </c>
      <c r="AO12" s="891">
        <f>'Resource Costs'!DO268</f>
        <v>0</v>
      </c>
      <c r="AP12" s="891">
        <f>'Resource Costs'!DP268</f>
        <v>0</v>
      </c>
      <c r="AQ12" s="891">
        <f>'Resource Costs'!DQ268</f>
        <v>0</v>
      </c>
      <c r="AR12" s="891">
        <f>'Resource Costs'!DR268</f>
        <v>0</v>
      </c>
      <c r="AS12" s="891">
        <f>'Resource Costs'!DS268</f>
        <v>0</v>
      </c>
      <c r="AT12" s="891">
        <f>'Resource Costs'!DT268</f>
        <v>0</v>
      </c>
      <c r="AU12" s="891">
        <f>'Resource Costs'!DU268</f>
        <v>0</v>
      </c>
      <c r="AV12" s="891">
        <f>'Resource Costs'!DV268</f>
        <v>0</v>
      </c>
      <c r="AW12" s="891">
        <f>'Resource Costs'!DW268</f>
        <v>0</v>
      </c>
      <c r="AX12" s="892">
        <f>'Resource Costs'!DX268</f>
        <v>0</v>
      </c>
      <c r="AY12" s="890">
        <f>'Resource Costs'!DY268</f>
        <v>0</v>
      </c>
      <c r="AZ12" s="891">
        <f>'Resource Costs'!DZ268</f>
        <v>0</v>
      </c>
      <c r="BA12" s="891">
        <f>'Resource Costs'!EA268</f>
        <v>0</v>
      </c>
      <c r="BB12" s="891">
        <f>'Resource Costs'!EB268</f>
        <v>0</v>
      </c>
      <c r="BC12" s="891">
        <f>'Resource Costs'!EC268</f>
        <v>0</v>
      </c>
      <c r="BD12" s="891">
        <f>'Resource Costs'!ED268</f>
        <v>0</v>
      </c>
      <c r="BE12" s="891">
        <f>'Resource Costs'!EE268</f>
        <v>0</v>
      </c>
      <c r="BF12" s="891">
        <f>'Resource Costs'!EF268</f>
        <v>0</v>
      </c>
      <c r="BG12" s="891">
        <f>'Resource Costs'!EG268</f>
        <v>0</v>
      </c>
      <c r="BH12" s="891">
        <f>'Resource Costs'!EH268</f>
        <v>0</v>
      </c>
      <c r="BI12" s="891">
        <f>'Resource Costs'!EI268</f>
        <v>0</v>
      </c>
      <c r="BJ12" s="892">
        <f>'Resource Costs'!EJ268</f>
        <v>0</v>
      </c>
      <c r="BK12" s="890">
        <f>'Resource Costs'!EK268</f>
        <v>0</v>
      </c>
      <c r="BL12" s="891">
        <f>'Resource Costs'!EL268</f>
        <v>0</v>
      </c>
      <c r="BM12" s="891">
        <f>'Resource Costs'!EM268</f>
        <v>0</v>
      </c>
      <c r="BN12" s="891">
        <f>'Resource Costs'!EN268</f>
        <v>0</v>
      </c>
      <c r="BO12" s="891">
        <f>'Resource Costs'!EO268</f>
        <v>0</v>
      </c>
      <c r="BP12" s="891">
        <f>'Resource Costs'!EP268</f>
        <v>0</v>
      </c>
      <c r="BQ12" s="891">
        <f>'Resource Costs'!EQ268</f>
        <v>0</v>
      </c>
      <c r="BR12" s="891">
        <f>'Resource Costs'!ER268</f>
        <v>0</v>
      </c>
      <c r="BS12" s="891">
        <f>'Resource Costs'!ES268</f>
        <v>0</v>
      </c>
      <c r="BT12" s="891">
        <f>'Resource Costs'!ET268</f>
        <v>0</v>
      </c>
      <c r="BU12" s="891">
        <f>'Resource Costs'!EU268</f>
        <v>0</v>
      </c>
      <c r="BV12" s="892">
        <f>'Resource Costs'!EV268</f>
        <v>0</v>
      </c>
      <c r="BW12" s="893">
        <f t="shared" si="0"/>
        <v>0</v>
      </c>
      <c r="BX12" s="894">
        <f>SUM(SUMIFS(C12:N12,$C$2:$N$2,{"Dev","Impl","PIS","Close"},$C$75:$N$75,""))</f>
        <v>0</v>
      </c>
      <c r="BY12" s="894">
        <f>SUM(SUMIFS(O12:Z12,$O$2:$Z$2,{"Dev","Impl","PIS","Close"},$O$75:$Z$75,""))</f>
        <v>0</v>
      </c>
      <c r="BZ12" s="894">
        <f>SUM(SUMIFS(AA12:AL12,$AA$2:$AL$2,{"Dev","Impl","PIS","Close"},$AA$75:$AL$75,""))</f>
        <v>0</v>
      </c>
      <c r="CA12" s="894">
        <f>SUM(SUMIFS(AM12:AX12,$AM$2:$AX$2,{"Dev","Impl","PIS","Close"},$AM$75:$AX$75,""))</f>
        <v>0</v>
      </c>
      <c r="CB12" s="894">
        <f>SUM(SUMIFS(AY12:BJ12,$AY$2:$BJ$2,{"Dev","Impl","PIS","Close"},$AY$75:$BJ$75,""))</f>
        <v>0</v>
      </c>
      <c r="CC12" s="894">
        <f>SUM(SUMIFS(BK12:BV12,$BK$2:$BV$2,{"Dev","Impl","PIS","Close"},$BK$75:$BV$75,""))</f>
        <v>0</v>
      </c>
    </row>
    <row r="13" spans="1:89" s="4" customFormat="1">
      <c r="A13" s="6" t="s">
        <v>220</v>
      </c>
      <c r="B13" s="108"/>
      <c r="C13" s="887">
        <f>SUM('Resource Costs'!CC274+'Resource Costs'!CC277+'Resource Costs'!CC280+'Resource Costs'!CC283+'Resource Costs'!CC286+'Resource Costs'!CC289)</f>
        <v>0</v>
      </c>
      <c r="D13" s="887">
        <f>SUM('Resource Costs'!CD274+'Resource Costs'!CD277+'Resource Costs'!CD280+'Resource Costs'!CD283+'Resource Costs'!CD286+'Resource Costs'!CD289)</f>
        <v>0</v>
      </c>
      <c r="E13" s="887">
        <f>SUM('Resource Costs'!CE274+'Resource Costs'!CE277+'Resource Costs'!CE280+'Resource Costs'!CE283+'Resource Costs'!CE286+'Resource Costs'!CE289)</f>
        <v>0</v>
      </c>
      <c r="F13" s="887">
        <f>SUM('Resource Costs'!CF274+'Resource Costs'!CF277+'Resource Costs'!CF280+'Resource Costs'!CF283+'Resource Costs'!CF286+'Resource Costs'!CF289)</f>
        <v>0</v>
      </c>
      <c r="G13" s="887">
        <f>SUM('Resource Costs'!CG274+'Resource Costs'!CG277+'Resource Costs'!CG280+'Resource Costs'!CG283+'Resource Costs'!CG286+'Resource Costs'!CG289)</f>
        <v>0</v>
      </c>
      <c r="H13" s="887">
        <f>SUM('Resource Costs'!CH274+'Resource Costs'!CH277+'Resource Costs'!CH280+'Resource Costs'!CH283+'Resource Costs'!CH286+'Resource Costs'!CH289)</f>
        <v>0</v>
      </c>
      <c r="I13" s="887">
        <f>SUM('Resource Costs'!CI274+'Resource Costs'!CI277+'Resource Costs'!CI280+'Resource Costs'!CI283+'Resource Costs'!CI286+'Resource Costs'!CI289)</f>
        <v>0</v>
      </c>
      <c r="J13" s="887">
        <f>SUM('Resource Costs'!CJ274+'Resource Costs'!CJ277+'Resource Costs'!CJ280+'Resource Costs'!CJ283+'Resource Costs'!CJ286+'Resource Costs'!CJ289)</f>
        <v>0</v>
      </c>
      <c r="K13" s="887">
        <f>SUM('Resource Costs'!CK274+'Resource Costs'!CK277+'Resource Costs'!CK280+'Resource Costs'!CK283+'Resource Costs'!CK286+'Resource Costs'!CK289)</f>
        <v>0</v>
      </c>
      <c r="L13" s="887">
        <f>SUM('Resource Costs'!CL274+'Resource Costs'!CL277+'Resource Costs'!CL280+'Resource Costs'!CL283+'Resource Costs'!CL286+'Resource Costs'!CL289)</f>
        <v>0</v>
      </c>
      <c r="M13" s="887">
        <f>SUM('Resource Costs'!CM274+'Resource Costs'!CM277+'Resource Costs'!CM280+'Resource Costs'!CM283+'Resource Costs'!CM286+'Resource Costs'!CM289)</f>
        <v>0</v>
      </c>
      <c r="N13" s="889">
        <f>SUM('Resource Costs'!CN274+'Resource Costs'!CN277+'Resource Costs'!CN280+'Resource Costs'!CN283+'Resource Costs'!CN286+'Resource Costs'!CN289)</f>
        <v>0</v>
      </c>
      <c r="O13" s="890">
        <f>SUM('Resource Costs'!CO274+'Resource Costs'!CO277+'Resource Costs'!CO280+'Resource Costs'!CO283+'Resource Costs'!CO286+'Resource Costs'!CO289)</f>
        <v>0</v>
      </c>
      <c r="P13" s="891">
        <f>SUM('Resource Costs'!CP274+'Resource Costs'!CP277+'Resource Costs'!CP280+'Resource Costs'!CP283+'Resource Costs'!CP286+'Resource Costs'!CP289)</f>
        <v>0</v>
      </c>
      <c r="Q13" s="891">
        <f>SUM('Resource Costs'!CQ274+'Resource Costs'!CQ277+'Resource Costs'!CQ280+'Resource Costs'!CQ283+'Resource Costs'!CQ286+'Resource Costs'!CQ289)</f>
        <v>0</v>
      </c>
      <c r="R13" s="891">
        <f>SUM('Resource Costs'!CR274+'Resource Costs'!CR277+'Resource Costs'!CR280+'Resource Costs'!CR283+'Resource Costs'!CR286+'Resource Costs'!CR289)</f>
        <v>0</v>
      </c>
      <c r="S13" s="891">
        <f>SUM('Resource Costs'!CS274+'Resource Costs'!CS277+'Resource Costs'!CS280+'Resource Costs'!CS283+'Resource Costs'!CS286+'Resource Costs'!CS289)</f>
        <v>0</v>
      </c>
      <c r="T13" s="891">
        <f>SUM('Resource Costs'!CT274+'Resource Costs'!CT277+'Resource Costs'!CT280+'Resource Costs'!CT283+'Resource Costs'!CT286+'Resource Costs'!CT289)</f>
        <v>0</v>
      </c>
      <c r="U13" s="891">
        <f>SUM('Resource Costs'!CU274+'Resource Costs'!CU277+'Resource Costs'!CU280+'Resource Costs'!CU283+'Resource Costs'!CU286+'Resource Costs'!CU289)</f>
        <v>0</v>
      </c>
      <c r="V13" s="891">
        <f>SUM('Resource Costs'!CV274+'Resource Costs'!CV277+'Resource Costs'!CV280+'Resource Costs'!CV283+'Resource Costs'!CV286+'Resource Costs'!CV289)</f>
        <v>0</v>
      </c>
      <c r="W13" s="891">
        <f>SUM('Resource Costs'!CW274+'Resource Costs'!CW277+'Resource Costs'!CW280+'Resource Costs'!CW283+'Resource Costs'!CW286+'Resource Costs'!CW289)</f>
        <v>0</v>
      </c>
      <c r="X13" s="891">
        <f>SUM('Resource Costs'!CX274+'Resource Costs'!CX277+'Resource Costs'!CX280+'Resource Costs'!CX283+'Resource Costs'!CX286+'Resource Costs'!CX289)</f>
        <v>0</v>
      </c>
      <c r="Y13" s="891">
        <f>SUM('Resource Costs'!CY274+'Resource Costs'!CY277+'Resource Costs'!CY280+'Resource Costs'!CY283+'Resource Costs'!CY286+'Resource Costs'!CY289)</f>
        <v>0</v>
      </c>
      <c r="Z13" s="892">
        <f>SUM('Resource Costs'!CZ274+'Resource Costs'!CZ277+'Resource Costs'!CZ280+'Resource Costs'!CZ283+'Resource Costs'!CZ286+'Resource Costs'!CZ289)</f>
        <v>0</v>
      </c>
      <c r="AA13" s="890">
        <f>SUM('Resource Costs'!DA274+'Resource Costs'!DA277+'Resource Costs'!DA280+'Resource Costs'!DA283+'Resource Costs'!DA286+'Resource Costs'!DA289)</f>
        <v>0</v>
      </c>
      <c r="AB13" s="891">
        <f>SUM('Resource Costs'!DB274+'Resource Costs'!DB277+'Resource Costs'!DB280+'Resource Costs'!DB283+'Resource Costs'!DB286+'Resource Costs'!DB289)</f>
        <v>0</v>
      </c>
      <c r="AC13" s="891">
        <f>SUM('Resource Costs'!DC274+'Resource Costs'!DC277+'Resource Costs'!DC280+'Resource Costs'!DC283+'Resource Costs'!DC286+'Resource Costs'!DC289)</f>
        <v>0</v>
      </c>
      <c r="AD13" s="891">
        <f>SUM('Resource Costs'!DD274+'Resource Costs'!DD277+'Resource Costs'!DD280+'Resource Costs'!DD283+'Resource Costs'!DD286+'Resource Costs'!DD289)</f>
        <v>0</v>
      </c>
      <c r="AE13" s="891">
        <f>SUM('Resource Costs'!DE274+'Resource Costs'!DE277+'Resource Costs'!DE280+'Resource Costs'!DE283+'Resource Costs'!DE286+'Resource Costs'!DE289)</f>
        <v>0</v>
      </c>
      <c r="AF13" s="891">
        <f>SUM('Resource Costs'!DF274+'Resource Costs'!DF277+'Resource Costs'!DF280+'Resource Costs'!DF283+'Resource Costs'!DF286+'Resource Costs'!DF289)</f>
        <v>0</v>
      </c>
      <c r="AG13" s="891">
        <f>SUM('Resource Costs'!DG274+'Resource Costs'!DG277+'Resource Costs'!DG280+'Resource Costs'!DG283+'Resource Costs'!DG286+'Resource Costs'!DG289)</f>
        <v>0</v>
      </c>
      <c r="AH13" s="891">
        <f>SUM('Resource Costs'!DH274+'Resource Costs'!DH277+'Resource Costs'!DH280+'Resource Costs'!DH283+'Resource Costs'!DH286+'Resource Costs'!DH289)</f>
        <v>0</v>
      </c>
      <c r="AI13" s="891">
        <f>SUM('Resource Costs'!DI274+'Resource Costs'!DI277+'Resource Costs'!DI280+'Resource Costs'!DI283+'Resource Costs'!DI286+'Resource Costs'!DI289)</f>
        <v>0</v>
      </c>
      <c r="AJ13" s="891">
        <f>SUM('Resource Costs'!DJ274+'Resource Costs'!DJ277+'Resource Costs'!DJ280+'Resource Costs'!DJ283+'Resource Costs'!DJ286+'Resource Costs'!DJ289)</f>
        <v>0</v>
      </c>
      <c r="AK13" s="891">
        <f>SUM('Resource Costs'!DK274+'Resource Costs'!DK277+'Resource Costs'!DK280+'Resource Costs'!DK283+'Resource Costs'!DK286+'Resource Costs'!DK289)</f>
        <v>0</v>
      </c>
      <c r="AL13" s="892">
        <f>SUM('Resource Costs'!DL274+'Resource Costs'!DL277+'Resource Costs'!DL280+'Resource Costs'!DL283+'Resource Costs'!DL286+'Resource Costs'!DL289)</f>
        <v>0</v>
      </c>
      <c r="AM13" s="890">
        <f>SUM('Resource Costs'!DM274+'Resource Costs'!DM277+'Resource Costs'!DM280+'Resource Costs'!DM283+'Resource Costs'!DM286+'Resource Costs'!DM289)</f>
        <v>0</v>
      </c>
      <c r="AN13" s="891">
        <f>SUM('Resource Costs'!DN274+'Resource Costs'!DN277+'Resource Costs'!DN280+'Resource Costs'!DN283+'Resource Costs'!DN286+'Resource Costs'!DN289)</f>
        <v>0</v>
      </c>
      <c r="AO13" s="891">
        <f>SUM('Resource Costs'!DO274+'Resource Costs'!DO277+'Resource Costs'!DO280+'Resource Costs'!DO283+'Resource Costs'!DO286+'Resource Costs'!DO289)</f>
        <v>0</v>
      </c>
      <c r="AP13" s="891">
        <f>SUM('Resource Costs'!DP274+'Resource Costs'!DP277+'Resource Costs'!DP280+'Resource Costs'!DP283+'Resource Costs'!DP286+'Resource Costs'!DP289)</f>
        <v>0</v>
      </c>
      <c r="AQ13" s="891">
        <f>SUM('Resource Costs'!DQ274+'Resource Costs'!DQ277+'Resource Costs'!DQ280+'Resource Costs'!DQ283+'Resource Costs'!DQ286+'Resource Costs'!DQ289)</f>
        <v>0</v>
      </c>
      <c r="AR13" s="891">
        <f>SUM('Resource Costs'!DR274+'Resource Costs'!DR277+'Resource Costs'!DR280+'Resource Costs'!DR283+'Resource Costs'!DR286+'Resource Costs'!DR289)</f>
        <v>0</v>
      </c>
      <c r="AS13" s="891">
        <f>SUM('Resource Costs'!DS274+'Resource Costs'!DS277+'Resource Costs'!DS280+'Resource Costs'!DS283+'Resource Costs'!DS286+'Resource Costs'!DS289)</f>
        <v>0</v>
      </c>
      <c r="AT13" s="891">
        <f>SUM('Resource Costs'!DT274+'Resource Costs'!DT277+'Resource Costs'!DT280+'Resource Costs'!DT283+'Resource Costs'!DT286+'Resource Costs'!DT289)</f>
        <v>0</v>
      </c>
      <c r="AU13" s="891">
        <f>SUM('Resource Costs'!DU274+'Resource Costs'!DU277+'Resource Costs'!DU280+'Resource Costs'!DU283+'Resource Costs'!DU286+'Resource Costs'!DU289)</f>
        <v>0</v>
      </c>
      <c r="AV13" s="891">
        <f>SUM('Resource Costs'!DV274+'Resource Costs'!DV277+'Resource Costs'!DV280+'Resource Costs'!DV283+'Resource Costs'!DV286+'Resource Costs'!DV289)</f>
        <v>0</v>
      </c>
      <c r="AW13" s="891">
        <f>SUM('Resource Costs'!DW274+'Resource Costs'!DW277+'Resource Costs'!DW280+'Resource Costs'!DW283+'Resource Costs'!DW286+'Resource Costs'!DW289)</f>
        <v>0</v>
      </c>
      <c r="AX13" s="892">
        <f>SUM('Resource Costs'!DX274+'Resource Costs'!DX277+'Resource Costs'!DX280+'Resource Costs'!DX283+'Resource Costs'!DX286+'Resource Costs'!DX289)</f>
        <v>0</v>
      </c>
      <c r="AY13" s="890">
        <f>SUM('Resource Costs'!DY274+'Resource Costs'!DY277+'Resource Costs'!DY280+'Resource Costs'!DY283+'Resource Costs'!DY286+'Resource Costs'!DY289)</f>
        <v>0</v>
      </c>
      <c r="AZ13" s="891">
        <f>SUM('Resource Costs'!DZ274+'Resource Costs'!DZ277+'Resource Costs'!DZ280+'Resource Costs'!DZ283+'Resource Costs'!DZ286+'Resource Costs'!DZ289)</f>
        <v>0</v>
      </c>
      <c r="BA13" s="891">
        <f>SUM('Resource Costs'!EA274+'Resource Costs'!EA277+'Resource Costs'!EA280+'Resource Costs'!EA283+'Resource Costs'!EA286+'Resource Costs'!EA289)</f>
        <v>0</v>
      </c>
      <c r="BB13" s="891">
        <f>SUM('Resource Costs'!EB274+'Resource Costs'!EB277+'Resource Costs'!EB280+'Resource Costs'!EB283+'Resource Costs'!EB286+'Resource Costs'!EB289)</f>
        <v>0</v>
      </c>
      <c r="BC13" s="891">
        <f>SUM('Resource Costs'!EC274+'Resource Costs'!EC277+'Resource Costs'!EC280+'Resource Costs'!EC283+'Resource Costs'!EC286+'Resource Costs'!EC289)</f>
        <v>0</v>
      </c>
      <c r="BD13" s="891">
        <f>SUM('Resource Costs'!ED274+'Resource Costs'!ED277+'Resource Costs'!ED280+'Resource Costs'!ED283+'Resource Costs'!ED286+'Resource Costs'!ED289)</f>
        <v>0</v>
      </c>
      <c r="BE13" s="891">
        <f>SUM('Resource Costs'!EE274+'Resource Costs'!EE277+'Resource Costs'!EE280+'Resource Costs'!EE283+'Resource Costs'!EE286+'Resource Costs'!EE289)</f>
        <v>0</v>
      </c>
      <c r="BF13" s="891">
        <f>SUM('Resource Costs'!EF274+'Resource Costs'!EF277+'Resource Costs'!EF280+'Resource Costs'!EF283+'Resource Costs'!EF286+'Resource Costs'!EF289)</f>
        <v>0</v>
      </c>
      <c r="BG13" s="891">
        <f>SUM('Resource Costs'!EG274+'Resource Costs'!EG277+'Resource Costs'!EG280+'Resource Costs'!EG283+'Resource Costs'!EG286+'Resource Costs'!EG289)</f>
        <v>0</v>
      </c>
      <c r="BH13" s="891">
        <f>SUM('Resource Costs'!EH274+'Resource Costs'!EH277+'Resource Costs'!EH280+'Resource Costs'!EH283+'Resource Costs'!EH286+'Resource Costs'!EH289)</f>
        <v>0</v>
      </c>
      <c r="BI13" s="891">
        <f>SUM('Resource Costs'!EI274+'Resource Costs'!EI277+'Resource Costs'!EI280+'Resource Costs'!EI283+'Resource Costs'!EI286+'Resource Costs'!EI289)</f>
        <v>0</v>
      </c>
      <c r="BJ13" s="892">
        <f>SUM('Resource Costs'!EJ274+'Resource Costs'!EJ277+'Resource Costs'!EJ280+'Resource Costs'!EJ283+'Resource Costs'!EJ286+'Resource Costs'!EJ289)</f>
        <v>0</v>
      </c>
      <c r="BK13" s="890">
        <f>SUM('Resource Costs'!EK274+'Resource Costs'!EK277+'Resource Costs'!EK280+'Resource Costs'!EK283+'Resource Costs'!EK286+'Resource Costs'!EK289)</f>
        <v>0</v>
      </c>
      <c r="BL13" s="891">
        <f>SUM('Resource Costs'!EL274+'Resource Costs'!EL277+'Resource Costs'!EL280+'Resource Costs'!EL283+'Resource Costs'!EL286+'Resource Costs'!EL289)</f>
        <v>0</v>
      </c>
      <c r="BM13" s="891">
        <f>SUM('Resource Costs'!EM274+'Resource Costs'!EM277+'Resource Costs'!EM280+'Resource Costs'!EM283+'Resource Costs'!EM286+'Resource Costs'!EM289)</f>
        <v>0</v>
      </c>
      <c r="BN13" s="891">
        <f>SUM('Resource Costs'!EN274+'Resource Costs'!EN277+'Resource Costs'!EN280+'Resource Costs'!EN283+'Resource Costs'!EN286+'Resource Costs'!EN289)</f>
        <v>0</v>
      </c>
      <c r="BO13" s="891">
        <f>SUM('Resource Costs'!EO274+'Resource Costs'!EO277+'Resource Costs'!EO280+'Resource Costs'!EO283+'Resource Costs'!EO286+'Resource Costs'!EO289)</f>
        <v>0</v>
      </c>
      <c r="BP13" s="891">
        <f>SUM('Resource Costs'!EP274+'Resource Costs'!EP277+'Resource Costs'!EP280+'Resource Costs'!EP283+'Resource Costs'!EP286+'Resource Costs'!EP289)</f>
        <v>0</v>
      </c>
      <c r="BQ13" s="891">
        <f>SUM('Resource Costs'!EQ274+'Resource Costs'!EQ277+'Resource Costs'!EQ280+'Resource Costs'!EQ283+'Resource Costs'!EQ286+'Resource Costs'!EQ289)</f>
        <v>0</v>
      </c>
      <c r="BR13" s="891">
        <f>SUM('Resource Costs'!ER274+'Resource Costs'!ER277+'Resource Costs'!ER280+'Resource Costs'!ER283+'Resource Costs'!ER286+'Resource Costs'!ER289)</f>
        <v>0</v>
      </c>
      <c r="BS13" s="891">
        <f>SUM('Resource Costs'!ES274+'Resource Costs'!ES277+'Resource Costs'!ES280+'Resource Costs'!ES283+'Resource Costs'!ES286+'Resource Costs'!ES289)</f>
        <v>0</v>
      </c>
      <c r="BT13" s="891">
        <f>SUM('Resource Costs'!ET274+'Resource Costs'!ET277+'Resource Costs'!ET280+'Resource Costs'!ET283+'Resource Costs'!ET286+'Resource Costs'!ET289)</f>
        <v>0</v>
      </c>
      <c r="BU13" s="891">
        <f>SUM('Resource Costs'!EU274+'Resource Costs'!EU277+'Resource Costs'!EU280+'Resource Costs'!EU283+'Resource Costs'!EU286+'Resource Costs'!EU289)</f>
        <v>0</v>
      </c>
      <c r="BV13" s="892">
        <f>SUM('Resource Costs'!EV274+'Resource Costs'!EV277+'Resource Costs'!EV280+'Resource Costs'!EV283+'Resource Costs'!EV286+'Resource Costs'!EV289)</f>
        <v>0</v>
      </c>
      <c r="BW13" s="893">
        <f t="shared" si="0"/>
        <v>0</v>
      </c>
      <c r="BX13" s="894">
        <f>SUM(SUMIFS(C13:N13,$C$2:$N$2,{"Dev","Impl","PIS","Close"},$C$75:$N$75,""))</f>
        <v>0</v>
      </c>
      <c r="BY13" s="894">
        <f>SUM(SUMIFS(O13:Z13,$O$2:$Z$2,{"Dev","Impl","PIS","Close"},$O$75:$Z$75,""))</f>
        <v>0</v>
      </c>
      <c r="BZ13" s="894">
        <f>SUM(SUMIFS(AA13:AL13,$AA$2:$AL$2,{"Dev","Impl","PIS","Close"},$AA$75:$AL$75,""))</f>
        <v>0</v>
      </c>
      <c r="CA13" s="894">
        <f>SUM(SUMIFS(AM13:AX13,$AM$2:$AX$2,{"Dev","Impl","PIS","Close"},$AM$75:$AX$75,""))</f>
        <v>0</v>
      </c>
      <c r="CB13" s="894">
        <f>SUM(SUMIFS(AY13:BJ13,$AY$2:$BJ$2,{"Dev","Impl","PIS","Close"},$AY$75:$BJ$75,""))</f>
        <v>0</v>
      </c>
      <c r="CC13" s="894">
        <f>SUM(SUMIFS(BK13:BV13,$BK$2:$BV$2,{"Dev","Impl","PIS","Close"},$BK$75:$BV$75,""))</f>
        <v>0</v>
      </c>
    </row>
    <row r="14" spans="1:89" s="4" customFormat="1">
      <c r="A14" s="6" t="s">
        <v>221</v>
      </c>
      <c r="B14" s="108"/>
      <c r="C14" s="887">
        <f>'Resource Costs'!CC271</f>
        <v>0</v>
      </c>
      <c r="D14" s="887">
        <f>'Resource Costs'!CD271</f>
        <v>0</v>
      </c>
      <c r="E14" s="887">
        <f>'Resource Costs'!CE271</f>
        <v>0</v>
      </c>
      <c r="F14" s="887">
        <f>'Resource Costs'!CF271</f>
        <v>0</v>
      </c>
      <c r="G14" s="887">
        <f>'Resource Costs'!CG271</f>
        <v>0</v>
      </c>
      <c r="H14" s="887">
        <f>'Resource Costs'!CH271</f>
        <v>0</v>
      </c>
      <c r="I14" s="887">
        <f>'Resource Costs'!CI271</f>
        <v>0</v>
      </c>
      <c r="J14" s="887">
        <f>'Resource Costs'!CJ271</f>
        <v>0</v>
      </c>
      <c r="K14" s="887">
        <f>'Resource Costs'!CK271</f>
        <v>0</v>
      </c>
      <c r="L14" s="887">
        <f>'Resource Costs'!CL271</f>
        <v>0</v>
      </c>
      <c r="M14" s="887">
        <f>'Resource Costs'!CM271</f>
        <v>0</v>
      </c>
      <c r="N14" s="889">
        <f>'Resource Costs'!CN271</f>
        <v>0</v>
      </c>
      <c r="O14" s="890">
        <f>'Resource Costs'!CO271</f>
        <v>0</v>
      </c>
      <c r="P14" s="891">
        <f>'Resource Costs'!CP271</f>
        <v>0</v>
      </c>
      <c r="Q14" s="891">
        <f>'Resource Costs'!CQ271</f>
        <v>0</v>
      </c>
      <c r="R14" s="891">
        <f>'Resource Costs'!CR271</f>
        <v>0</v>
      </c>
      <c r="S14" s="891">
        <f>'Resource Costs'!CS271</f>
        <v>0</v>
      </c>
      <c r="T14" s="891">
        <f>'Resource Costs'!CT271</f>
        <v>0</v>
      </c>
      <c r="U14" s="891">
        <f>'Resource Costs'!CU271</f>
        <v>0</v>
      </c>
      <c r="V14" s="891">
        <f>'Resource Costs'!CV271</f>
        <v>0</v>
      </c>
      <c r="W14" s="891">
        <f>'Resource Costs'!CW271</f>
        <v>0</v>
      </c>
      <c r="X14" s="891">
        <f>'Resource Costs'!CX271</f>
        <v>0</v>
      </c>
      <c r="Y14" s="891">
        <f>'Resource Costs'!CY271</f>
        <v>0</v>
      </c>
      <c r="Z14" s="892">
        <f>'Resource Costs'!CZ271</f>
        <v>0</v>
      </c>
      <c r="AA14" s="890">
        <f>'Resource Costs'!DA271</f>
        <v>0</v>
      </c>
      <c r="AB14" s="891">
        <f>'Resource Costs'!DB271</f>
        <v>0</v>
      </c>
      <c r="AC14" s="891">
        <f>'Resource Costs'!DC271</f>
        <v>0</v>
      </c>
      <c r="AD14" s="891">
        <f>'Resource Costs'!DD271</f>
        <v>0</v>
      </c>
      <c r="AE14" s="891">
        <f>'Resource Costs'!DE271</f>
        <v>0</v>
      </c>
      <c r="AF14" s="891">
        <f>'Resource Costs'!DF271</f>
        <v>0</v>
      </c>
      <c r="AG14" s="891">
        <f>'Resource Costs'!DG271</f>
        <v>0</v>
      </c>
      <c r="AH14" s="891">
        <f>'Resource Costs'!DH271</f>
        <v>0</v>
      </c>
      <c r="AI14" s="891">
        <f>'Resource Costs'!DI271</f>
        <v>0</v>
      </c>
      <c r="AJ14" s="891">
        <f>'Resource Costs'!DJ271</f>
        <v>0</v>
      </c>
      <c r="AK14" s="891">
        <f>'Resource Costs'!DK271</f>
        <v>0</v>
      </c>
      <c r="AL14" s="892">
        <f>'Resource Costs'!DL271</f>
        <v>0</v>
      </c>
      <c r="AM14" s="890">
        <f>'Resource Costs'!DM271</f>
        <v>0</v>
      </c>
      <c r="AN14" s="891">
        <f>'Resource Costs'!DN271</f>
        <v>0</v>
      </c>
      <c r="AO14" s="891">
        <f>'Resource Costs'!DO271</f>
        <v>0</v>
      </c>
      <c r="AP14" s="891">
        <f>'Resource Costs'!DP271</f>
        <v>0</v>
      </c>
      <c r="AQ14" s="891">
        <f>'Resource Costs'!DQ271</f>
        <v>0</v>
      </c>
      <c r="AR14" s="891">
        <f>'Resource Costs'!DR271</f>
        <v>0</v>
      </c>
      <c r="AS14" s="891">
        <f>'Resource Costs'!DS271</f>
        <v>0</v>
      </c>
      <c r="AT14" s="891">
        <f>'Resource Costs'!DT271</f>
        <v>0</v>
      </c>
      <c r="AU14" s="891">
        <f>'Resource Costs'!DU271</f>
        <v>0</v>
      </c>
      <c r="AV14" s="891">
        <f>'Resource Costs'!DV271</f>
        <v>0</v>
      </c>
      <c r="AW14" s="891">
        <f>'Resource Costs'!DW271</f>
        <v>0</v>
      </c>
      <c r="AX14" s="892">
        <f>'Resource Costs'!DX271</f>
        <v>0</v>
      </c>
      <c r="AY14" s="890">
        <f>'Resource Costs'!DY271</f>
        <v>0</v>
      </c>
      <c r="AZ14" s="891">
        <f>'Resource Costs'!DZ271</f>
        <v>0</v>
      </c>
      <c r="BA14" s="891">
        <f>'Resource Costs'!EA271</f>
        <v>0</v>
      </c>
      <c r="BB14" s="891">
        <f>'Resource Costs'!EB271</f>
        <v>0</v>
      </c>
      <c r="BC14" s="891">
        <f>'Resource Costs'!EC271</f>
        <v>0</v>
      </c>
      <c r="BD14" s="891">
        <f>'Resource Costs'!ED271</f>
        <v>0</v>
      </c>
      <c r="BE14" s="891">
        <f>'Resource Costs'!EE271</f>
        <v>0</v>
      </c>
      <c r="BF14" s="891">
        <f>'Resource Costs'!EF271</f>
        <v>0</v>
      </c>
      <c r="BG14" s="891">
        <f>'Resource Costs'!EG271</f>
        <v>0</v>
      </c>
      <c r="BH14" s="891">
        <f>'Resource Costs'!EH271</f>
        <v>0</v>
      </c>
      <c r="BI14" s="891">
        <f>'Resource Costs'!EI271</f>
        <v>0</v>
      </c>
      <c r="BJ14" s="892">
        <f>'Resource Costs'!EJ271</f>
        <v>0</v>
      </c>
      <c r="BK14" s="890">
        <f>'Resource Costs'!EK271</f>
        <v>0</v>
      </c>
      <c r="BL14" s="891">
        <f>'Resource Costs'!EL271</f>
        <v>0</v>
      </c>
      <c r="BM14" s="891">
        <f>'Resource Costs'!EM271</f>
        <v>0</v>
      </c>
      <c r="BN14" s="891">
        <f>'Resource Costs'!EN271</f>
        <v>0</v>
      </c>
      <c r="BO14" s="891">
        <f>'Resource Costs'!EO271</f>
        <v>0</v>
      </c>
      <c r="BP14" s="891">
        <f>'Resource Costs'!EP271</f>
        <v>0</v>
      </c>
      <c r="BQ14" s="891">
        <f>'Resource Costs'!EQ271</f>
        <v>0</v>
      </c>
      <c r="BR14" s="891">
        <f>'Resource Costs'!ER271</f>
        <v>0</v>
      </c>
      <c r="BS14" s="891">
        <f>'Resource Costs'!ES271</f>
        <v>0</v>
      </c>
      <c r="BT14" s="891">
        <f>'Resource Costs'!ET271</f>
        <v>0</v>
      </c>
      <c r="BU14" s="891">
        <f>'Resource Costs'!EU271</f>
        <v>0</v>
      </c>
      <c r="BV14" s="892">
        <f>'Resource Costs'!EV271</f>
        <v>0</v>
      </c>
      <c r="BW14" s="893">
        <f t="shared" si="0"/>
        <v>0</v>
      </c>
      <c r="BX14" s="894">
        <f>SUM(SUMIFS(C14:N14,$C$2:$N$2,{"Dev","Impl","PIS","Close"},$C$75:$N$75,""))</f>
        <v>0</v>
      </c>
      <c r="BY14" s="894">
        <f>SUM(SUMIFS(O14:Z14,$O$2:$Z$2,{"Dev","Impl","PIS","Close"},$O$75:$Z$75,""))</f>
        <v>0</v>
      </c>
      <c r="BZ14" s="894">
        <f>SUM(SUMIFS(AA14:AL14,$AA$2:$AL$2,{"Dev","Impl","PIS","Close"},$AA$75:$AL$75,""))</f>
        <v>0</v>
      </c>
      <c r="CA14" s="894">
        <f>SUM(SUMIFS(AM14:AX14,$AM$2:$AX$2,{"Dev","Impl","PIS","Close"},$AM$75:$AX$75,""))</f>
        <v>0</v>
      </c>
      <c r="CB14" s="894">
        <f>SUM(SUMIFS(AY14:BJ14,$AY$2:$BJ$2,{"Dev","Impl","PIS","Close"},$AY$75:$BJ$75,""))</f>
        <v>0</v>
      </c>
      <c r="CC14" s="894">
        <f>SUM(SUMIFS(BK14:BV14,$BK$2:$BV$2,{"Dev","Impl","PIS","Close"},$BK$75:$BV$75,""))</f>
        <v>0</v>
      </c>
    </row>
    <row r="15" spans="1:89" s="4" customFormat="1" ht="15.5">
      <c r="A15" s="219" t="s">
        <v>8505</v>
      </c>
      <c r="B15" s="109"/>
      <c r="C15" s="884"/>
      <c r="D15" s="884"/>
      <c r="E15" s="884"/>
      <c r="F15" s="884"/>
      <c r="G15" s="884"/>
      <c r="H15" s="884"/>
      <c r="I15" s="884"/>
      <c r="J15" s="884"/>
      <c r="K15" s="884"/>
      <c r="L15" s="884"/>
      <c r="M15" s="884"/>
      <c r="N15" s="895"/>
      <c r="O15" s="886"/>
      <c r="P15" s="884"/>
      <c r="Q15" s="884"/>
      <c r="R15" s="884"/>
      <c r="S15" s="884"/>
      <c r="T15" s="884"/>
      <c r="U15" s="884"/>
      <c r="V15" s="884"/>
      <c r="W15" s="884"/>
      <c r="X15" s="884"/>
      <c r="Y15" s="884"/>
      <c r="Z15" s="885"/>
      <c r="AA15" s="886"/>
      <c r="AB15" s="884"/>
      <c r="AC15" s="884"/>
      <c r="AD15" s="884"/>
      <c r="AE15" s="884"/>
      <c r="AF15" s="884"/>
      <c r="AG15" s="884"/>
      <c r="AH15" s="884"/>
      <c r="AI15" s="884"/>
      <c r="AJ15" s="884"/>
      <c r="AK15" s="884"/>
      <c r="AL15" s="885"/>
      <c r="AM15" s="886"/>
      <c r="AN15" s="884"/>
      <c r="AO15" s="884"/>
      <c r="AP15" s="884"/>
      <c r="AQ15" s="884"/>
      <c r="AR15" s="884"/>
      <c r="AS15" s="884"/>
      <c r="AT15" s="884"/>
      <c r="AU15" s="884"/>
      <c r="AV15" s="884"/>
      <c r="AW15" s="884"/>
      <c r="AX15" s="885"/>
      <c r="AY15" s="886"/>
      <c r="AZ15" s="884"/>
      <c r="BA15" s="884"/>
      <c r="BB15" s="884"/>
      <c r="BC15" s="884"/>
      <c r="BD15" s="884"/>
      <c r="BE15" s="884"/>
      <c r="BF15" s="884"/>
      <c r="BG15" s="884"/>
      <c r="BH15" s="884"/>
      <c r="BI15" s="884"/>
      <c r="BJ15" s="885"/>
      <c r="BK15" s="886"/>
      <c r="BL15" s="884"/>
      <c r="BM15" s="884"/>
      <c r="BN15" s="884"/>
      <c r="BO15" s="884"/>
      <c r="BP15" s="884"/>
      <c r="BQ15" s="884"/>
      <c r="BR15" s="884"/>
      <c r="BS15" s="884"/>
      <c r="BT15" s="884"/>
      <c r="BU15" s="884"/>
      <c r="BV15" s="885"/>
      <c r="BW15" s="893"/>
      <c r="BX15" s="896"/>
      <c r="BY15" s="896"/>
      <c r="BZ15" s="896"/>
      <c r="CA15" s="896"/>
      <c r="CB15" s="896"/>
      <c r="CC15" s="896"/>
    </row>
    <row r="16" spans="1:89" s="4" customFormat="1">
      <c r="A16" s="6" t="s">
        <v>217</v>
      </c>
      <c r="B16" s="108"/>
      <c r="C16" s="897">
        <f>SUMIFS('Other Costs'!H$5:H$167,'Other Costs'!$D$5:$D$167,Variables!$A39,'Other Costs'!$F$5:$F$167,Miscellaneous!$N$9,'Other Costs'!$G$5:$G$167,"Opex")</f>
        <v>0</v>
      </c>
      <c r="D16" s="897">
        <f>SUMIFS('Other Costs'!I$5:I$167,'Other Costs'!$D$5:$D$167,Variables!$A39,'Other Costs'!$F$5:$F$167,Miscellaneous!$N$9,'Other Costs'!$G$5:$G$167,"Opex")</f>
        <v>0</v>
      </c>
      <c r="E16" s="897">
        <f>SUMIFS('Other Costs'!J$5:J$167,'Other Costs'!$D$5:$D$167,Variables!$A39,'Other Costs'!$F$5:$F$167,Miscellaneous!$N$9,'Other Costs'!$G$5:$G$167,"Opex")</f>
        <v>0</v>
      </c>
      <c r="F16" s="897">
        <f>SUMIFS('Other Costs'!K$5:K$167,'Other Costs'!$D$5:$D$167,Variables!$A39,'Other Costs'!$F$5:$F$167,Miscellaneous!$N$9,'Other Costs'!$G$5:$G$167,"Opex")</f>
        <v>0</v>
      </c>
      <c r="G16" s="897">
        <f>SUMIFS('Other Costs'!L$5:L$167,'Other Costs'!$D$5:$D$167,Variables!$A39,'Other Costs'!$F$5:$F$167,Miscellaneous!$N$9,'Other Costs'!$G$5:$G$167,"Opex")</f>
        <v>0</v>
      </c>
      <c r="H16" s="897">
        <f>SUMIFS('Other Costs'!M$5:M$167,'Other Costs'!$D$5:$D$167,Variables!$A39,'Other Costs'!$F$5:$F$167,Miscellaneous!$N$9,'Other Costs'!$G$5:$G$167,"Opex")</f>
        <v>0</v>
      </c>
      <c r="I16" s="897">
        <f>SUMIFS('Other Costs'!N$5:N$167,'Other Costs'!$D$5:$D$167,Variables!$A39,'Other Costs'!$F$5:$F$167,Miscellaneous!$N$9,'Other Costs'!$G$5:$G$167,"Opex")</f>
        <v>0</v>
      </c>
      <c r="J16" s="897">
        <f>SUMIFS('Other Costs'!O$5:O$167,'Other Costs'!$D$5:$D$167,Variables!$A39,'Other Costs'!$F$5:$F$167,Miscellaneous!$N$9,'Other Costs'!$G$5:$G$167,"Opex")</f>
        <v>0</v>
      </c>
      <c r="K16" s="897">
        <f>SUMIFS('Other Costs'!P$5:P$167,'Other Costs'!$D$5:$D$167,Variables!$A39,'Other Costs'!$F$5:$F$167,Miscellaneous!$N$9,'Other Costs'!$G$5:$G$167,"Opex")</f>
        <v>0</v>
      </c>
      <c r="L16" s="897">
        <f>SUMIFS('Other Costs'!Q$5:Q$167,'Other Costs'!$D$5:$D$167,Variables!$A39,'Other Costs'!$F$5:$F$167,Miscellaneous!$N$9,'Other Costs'!$G$5:$G$167,"Opex")</f>
        <v>0</v>
      </c>
      <c r="M16" s="891">
        <f>SUMIFS('Other Costs'!R$5:R$167,'Other Costs'!$D$5:$D$167,Variables!$A39,'Other Costs'!$F$5:$F$167,Miscellaneous!$N$9,'Other Costs'!$G$5:$G$167,"Opex")</f>
        <v>0</v>
      </c>
      <c r="N16" s="892">
        <f>SUMIFS('Other Costs'!S$5:S$167,'Other Costs'!$D$5:$D$167,Variables!$A39,'Other Costs'!$F$5:$F$167,Miscellaneous!$N$9,'Other Costs'!$G$5:$G$167,"Opex")</f>
        <v>0</v>
      </c>
      <c r="O16" s="897">
        <f>SUMIFS('Other Costs'!T$5:T$167,'Other Costs'!$D$5:$D$167,Variables!$A39,'Other Costs'!$F$5:$F$167,Miscellaneous!$N$9,'Other Costs'!$G$5:$G$167,"Opex")</f>
        <v>0</v>
      </c>
      <c r="P16" s="897">
        <f>SUMIFS('Other Costs'!U$5:U$167,'Other Costs'!$D$5:$D$167,Variables!$A39,'Other Costs'!$F$5:$F$167,Miscellaneous!$N$9,'Other Costs'!$G$5:$G$167,"Opex")</f>
        <v>0</v>
      </c>
      <c r="Q16" s="897">
        <f>SUMIFS('Other Costs'!V$5:V$167,'Other Costs'!$D$5:$D$167,Variables!$A39,'Other Costs'!$F$5:$F$167,Miscellaneous!$N$9,'Other Costs'!$G$5:$G$167,"Opex")</f>
        <v>0</v>
      </c>
      <c r="R16" s="897">
        <f>SUMIFS('Other Costs'!W$5:W$167,'Other Costs'!$D$5:$D$167,Variables!$A39,'Other Costs'!$F$5:$F$167,Miscellaneous!$N$9,'Other Costs'!$G$5:$G$167,"Opex")</f>
        <v>0</v>
      </c>
      <c r="S16" s="897">
        <f>SUMIFS('Other Costs'!X$5:X$167,'Other Costs'!$D$5:$D$167,Variables!$A39,'Other Costs'!$F$5:$F$167,Miscellaneous!$N$9,'Other Costs'!$G$5:$G$167,"Opex")</f>
        <v>0</v>
      </c>
      <c r="T16" s="897">
        <f>SUMIFS('Other Costs'!Y$5:Y$167,'Other Costs'!$D$5:$D$167,Variables!$A39,'Other Costs'!$F$5:$F$167,Miscellaneous!$N$9,'Other Costs'!$G$5:$G$167,"Opex")</f>
        <v>0</v>
      </c>
      <c r="U16" s="897">
        <f>SUMIFS('Other Costs'!Z$5:Z$167,'Other Costs'!$D$5:$D$167,Variables!$A39,'Other Costs'!$F$5:$F$167,Miscellaneous!$N$9,'Other Costs'!$G$5:$G$167,"Opex")</f>
        <v>0</v>
      </c>
      <c r="V16" s="897">
        <f>SUMIFS('Other Costs'!AA$5:AA$167,'Other Costs'!$D$5:$D$167,Variables!$A39,'Other Costs'!$F$5:$F$167,Miscellaneous!$N$9,'Other Costs'!$G$5:$G$167,"Opex")</f>
        <v>0</v>
      </c>
      <c r="W16" s="897">
        <f>SUMIFS('Other Costs'!AB$5:AB$167,'Other Costs'!$D$5:$D$167,Variables!$A39,'Other Costs'!$F$5:$F$167,Miscellaneous!$N$9,'Other Costs'!$G$5:$G$167,"Opex")</f>
        <v>0</v>
      </c>
      <c r="X16" s="897">
        <f>SUMIFS('Other Costs'!AC$5:AC$167,'Other Costs'!$D$5:$D$167,Variables!$A39,'Other Costs'!$F$5:$F$167,Miscellaneous!$N$9,'Other Costs'!$G$5:$G$167,"Opex")</f>
        <v>0</v>
      </c>
      <c r="Y16" s="891">
        <f>SUMIFS('Other Costs'!AD$5:AD$167,'Other Costs'!$D$5:$D$167,Variables!$A39,'Other Costs'!$F$5:$F$167,Miscellaneous!$N$9,'Other Costs'!$G$5:$G$167,"Opex")</f>
        <v>0</v>
      </c>
      <c r="Z16" s="898">
        <f>SUMIFS('Other Costs'!AE$5:AE$167,'Other Costs'!$D$5:$D$167,Variables!$A39,'Other Costs'!$F$5:$F$167,Miscellaneous!$N$9,'Other Costs'!$G$5:$G$167,"Opex")</f>
        <v>0</v>
      </c>
      <c r="AA16" s="897">
        <f>SUMIFS('Other Costs'!AF$5:AF$167,'Other Costs'!$D$5:$D$167,Variables!$A39,'Other Costs'!$F$5:$F$167,Miscellaneous!$N$9,'Other Costs'!$G$5:$G$167,"Opex")</f>
        <v>0</v>
      </c>
      <c r="AB16" s="897">
        <f>SUMIFS('Other Costs'!AG$5:AG$167,'Other Costs'!$D$5:$D$167,Variables!$A39,'Other Costs'!$F$5:$F$167,Miscellaneous!$N$9,'Other Costs'!$G$5:$G$167,"Opex")</f>
        <v>0</v>
      </c>
      <c r="AC16" s="897">
        <f>SUMIFS('Other Costs'!AH$5:AH$167,'Other Costs'!$D$5:$D$167,Variables!$A39,'Other Costs'!$F$5:$F$167,Miscellaneous!$N$9,'Other Costs'!$G$5:$G$167,"Opex")</f>
        <v>0</v>
      </c>
      <c r="AD16" s="897">
        <f>SUMIFS('Other Costs'!AI$5:AI$167,'Other Costs'!$D$5:$D$167,Variables!$A39,'Other Costs'!$F$5:$F$167,Miscellaneous!$N$9,'Other Costs'!$G$5:$G$167,"Opex")</f>
        <v>0</v>
      </c>
      <c r="AE16" s="897">
        <f>SUMIFS('Other Costs'!AJ$5:AJ$167,'Other Costs'!$D$5:$D$167,Variables!$A39,'Other Costs'!$F$5:$F$167,Miscellaneous!$N$9,'Other Costs'!$G$5:$G$167,"Opex")</f>
        <v>0</v>
      </c>
      <c r="AF16" s="897">
        <f>SUMIFS('Other Costs'!AK$5:AK$167,'Other Costs'!$D$5:$D$167,Variables!$A39,'Other Costs'!$F$5:$F$167,Miscellaneous!$N$9,'Other Costs'!$G$5:$G$167,"Opex")</f>
        <v>0</v>
      </c>
      <c r="AG16" s="897">
        <f>SUMIFS('Other Costs'!AL$5:AL$167,'Other Costs'!$D$5:$D$167,Variables!$A39,'Other Costs'!$F$5:$F$167,Miscellaneous!$N$9,'Other Costs'!$G$5:$G$167,"Opex")</f>
        <v>0</v>
      </c>
      <c r="AH16" s="897">
        <f>SUMIFS('Other Costs'!AM$5:AM$167,'Other Costs'!$D$5:$D$167,Variables!$A39,'Other Costs'!$F$5:$F$167,Miscellaneous!$N$9,'Other Costs'!$G$5:$G$167,"Opex")</f>
        <v>0</v>
      </c>
      <c r="AI16" s="897">
        <f>SUMIFS('Other Costs'!AN$5:AN$167,'Other Costs'!$D$5:$D$167,Variables!$A39,'Other Costs'!$F$5:$F$167,Miscellaneous!$N$9,'Other Costs'!$G$5:$G$167,"Opex")</f>
        <v>0</v>
      </c>
      <c r="AJ16" s="897">
        <f>SUMIFS('Other Costs'!AO$5:AO$167,'Other Costs'!$D$5:$D$167,Variables!$A39,'Other Costs'!$F$5:$F$167,Miscellaneous!$N$9,'Other Costs'!$G$5:$G$167,"Opex")</f>
        <v>0</v>
      </c>
      <c r="AK16" s="891">
        <f>SUMIFS('Other Costs'!AP$5:AP$167,'Other Costs'!$D$5:$D$167,Variables!$A39,'Other Costs'!$F$5:$F$167,Miscellaneous!$N$9,'Other Costs'!$G$5:$G$167,"Opex")</f>
        <v>0</v>
      </c>
      <c r="AL16" s="898">
        <f>SUMIFS('Other Costs'!AQ$5:AQ$167,'Other Costs'!$D$5:$D$167,Variables!$A39,'Other Costs'!$F$5:$F$167,Miscellaneous!$N$9,'Other Costs'!$G$5:$G$167,"Opex")</f>
        <v>0</v>
      </c>
      <c r="AM16" s="897">
        <f>SUMIFS('Other Costs'!AR$5:AR$167,'Other Costs'!$D$5:$D$167,Variables!$A39,'Other Costs'!$F$5:$F$167,Miscellaneous!$N$9,'Other Costs'!$G$5:$G$167,"Opex")</f>
        <v>0</v>
      </c>
      <c r="AN16" s="897">
        <f>SUMIFS('Other Costs'!AS$5:AS$167,'Other Costs'!$D$5:$D$167,Variables!$A39,'Other Costs'!$F$5:$F$167,Miscellaneous!$N$9,'Other Costs'!$G$5:$G$167,"Opex")</f>
        <v>0</v>
      </c>
      <c r="AO16" s="897">
        <f>SUMIFS('Other Costs'!AT$5:AT$167,'Other Costs'!$D$5:$D$167,Variables!$A39,'Other Costs'!$F$5:$F$167,Miscellaneous!$N$9,'Other Costs'!$G$5:$G$167,"Opex")</f>
        <v>0</v>
      </c>
      <c r="AP16" s="897">
        <f>SUMIFS('Other Costs'!AU$5:AU$167,'Other Costs'!$D$5:$D$167,Variables!$A39,'Other Costs'!$F$5:$F$167,Miscellaneous!$N$9,'Other Costs'!$G$5:$G$167,"Opex")</f>
        <v>0</v>
      </c>
      <c r="AQ16" s="897">
        <f>SUMIFS('Other Costs'!AV$5:AV$167,'Other Costs'!$D$5:$D$167,Variables!$A39,'Other Costs'!$F$5:$F$167,Miscellaneous!$N$9,'Other Costs'!$G$5:$G$167,"Opex")</f>
        <v>0</v>
      </c>
      <c r="AR16" s="897">
        <f>SUMIFS('Other Costs'!AW$5:AW$167,'Other Costs'!$D$5:$D$167,Variables!$A39,'Other Costs'!$F$5:$F$167,Miscellaneous!$N$9,'Other Costs'!$G$5:$G$167,"Opex")</f>
        <v>0</v>
      </c>
      <c r="AS16" s="897">
        <f>SUMIFS('Other Costs'!AX$5:AX$167,'Other Costs'!$D$5:$D$167,Variables!$A39,'Other Costs'!$F$5:$F$167,Miscellaneous!$N$9,'Other Costs'!$G$5:$G$167,"Opex")</f>
        <v>0</v>
      </c>
      <c r="AT16" s="897">
        <f>SUMIFS('Other Costs'!AY$5:AY$167,'Other Costs'!$D$5:$D$167,Variables!$A39,'Other Costs'!$F$5:$F$167,Miscellaneous!$N$9,'Other Costs'!$G$5:$G$167,"Opex")</f>
        <v>0</v>
      </c>
      <c r="AU16" s="897">
        <f>SUMIFS('Other Costs'!AZ$5:AZ$167,'Other Costs'!$D$5:$D$167,Variables!$A39,'Other Costs'!$F$5:$F$167,Miscellaneous!$N$9,'Other Costs'!$G$5:$G$167,"Opex")</f>
        <v>0</v>
      </c>
      <c r="AV16" s="897">
        <f>SUMIFS('Other Costs'!BA$5:BA$167,'Other Costs'!$D$5:$D$167,Variables!$A39,'Other Costs'!$F$5:$F$167,Miscellaneous!$N$9,'Other Costs'!$G$5:$G$167,"Opex")</f>
        <v>0</v>
      </c>
      <c r="AW16" s="891">
        <f>SUMIFS('Other Costs'!BB$5:BB$167,'Other Costs'!$D$5:$D$167,Variables!$A39,'Other Costs'!$F$5:$F$167,Miscellaneous!$N$9,'Other Costs'!$G$5:$G$167,"Opex")</f>
        <v>0</v>
      </c>
      <c r="AX16" s="898">
        <f>SUMIFS('Other Costs'!BC$5:BC$167,'Other Costs'!$D$5:$D$167,Variables!$A39,'Other Costs'!$F$5:$F$167,Miscellaneous!$N$9,'Other Costs'!$G$5:$G$167,"Opex")</f>
        <v>0</v>
      </c>
      <c r="AY16" s="897">
        <f>SUMIFS('Other Costs'!BD$5:BD$167,'Other Costs'!$D$5:$D$167,Variables!$A39,'Other Costs'!$F$5:$F$167,Miscellaneous!$N$9,'Other Costs'!$G$5:$G$167,"Opex")</f>
        <v>0</v>
      </c>
      <c r="AZ16" s="897">
        <f>SUMIFS('Other Costs'!BE$5:BE$167,'Other Costs'!$D$5:$D$167,Variables!$A39,'Other Costs'!$F$5:$F$167,Miscellaneous!$N$9,'Other Costs'!$G$5:$G$167,"Opex")</f>
        <v>0</v>
      </c>
      <c r="BA16" s="897">
        <f>SUMIFS('Other Costs'!BF$5:BF$167,'Other Costs'!$D$5:$D$167,Variables!$A39,'Other Costs'!$F$5:$F$167,Miscellaneous!$N$9,'Other Costs'!$G$5:$G$167,"Opex")</f>
        <v>0</v>
      </c>
      <c r="BB16" s="897">
        <f>SUMIFS('Other Costs'!BG$5:BG$167,'Other Costs'!$D$5:$D$167,Variables!$A39,'Other Costs'!$F$5:$F$167,Miscellaneous!$N$9,'Other Costs'!$G$5:$G$167,"Opex")</f>
        <v>0</v>
      </c>
      <c r="BC16" s="897">
        <f>SUMIFS('Other Costs'!BH$5:BH$167,'Other Costs'!$D$5:$D$167,Variables!$A39,'Other Costs'!$F$5:$F$167,Miscellaneous!$N$9,'Other Costs'!$G$5:$G$167,"Opex")</f>
        <v>0</v>
      </c>
      <c r="BD16" s="897">
        <f>SUMIFS('Other Costs'!BI$5:BI$167,'Other Costs'!$D$5:$D$167,Variables!$A39,'Other Costs'!$F$5:$F$167,Miscellaneous!$N$9,'Other Costs'!$G$5:$G$167,"Opex")</f>
        <v>0</v>
      </c>
      <c r="BE16" s="897">
        <f>SUMIFS('Other Costs'!BJ$5:BJ$167,'Other Costs'!$D$5:$D$167,Variables!$A39,'Other Costs'!$F$5:$F$167,Miscellaneous!$N$9,'Other Costs'!$G$5:$G$167,"Opex")</f>
        <v>0</v>
      </c>
      <c r="BF16" s="897">
        <f>SUMIFS('Other Costs'!BK$5:BK$167,'Other Costs'!$D$5:$D$167,Variables!$A39,'Other Costs'!$F$5:$F$167,Miscellaneous!$N$9,'Other Costs'!$G$5:$G$167,"Opex")</f>
        <v>0</v>
      </c>
      <c r="BG16" s="897">
        <f>SUMIFS('Other Costs'!BL$5:BL$167,'Other Costs'!$D$5:$D$167,Variables!$A39,'Other Costs'!$F$5:$F$167,Miscellaneous!$N$9,'Other Costs'!$G$5:$G$167,"Opex")</f>
        <v>0</v>
      </c>
      <c r="BH16" s="897">
        <f>SUMIFS('Other Costs'!BM$5:BM$167,'Other Costs'!$D$5:$D$167,Variables!$A39,'Other Costs'!$F$5:$F$167,Miscellaneous!$N$9,'Other Costs'!$G$5:$G$167,"Opex")</f>
        <v>0</v>
      </c>
      <c r="BI16" s="891">
        <f>SUMIFS('Other Costs'!BN$5:BN$167,'Other Costs'!$D$5:$D$167,Variables!$A39,'Other Costs'!$F$5:$F$167,Miscellaneous!$N$9,'Other Costs'!$G$5:$G$167,"Opex")</f>
        <v>0</v>
      </c>
      <c r="BJ16" s="898">
        <f>SUMIFS('Other Costs'!BO$5:BO$167,'Other Costs'!$D$5:$D$167,Variables!$A39,'Other Costs'!$F$5:$F$167,Miscellaneous!$N$9,'Other Costs'!$G$5:$G$167,"Opex")</f>
        <v>0</v>
      </c>
      <c r="BK16" s="897">
        <f>SUMIFS('Other Costs'!BP$5:BP$167,'Other Costs'!$D$5:$D$167,Variables!$A39,'Other Costs'!$F$5:$F$167,Miscellaneous!$N$9,'Other Costs'!$G$5:$G$167,"Opex")</f>
        <v>0</v>
      </c>
      <c r="BL16" s="897">
        <f>SUMIFS('Other Costs'!BQ$5:BQ$167,'Other Costs'!$D$5:$D$167,Variables!$A39,'Other Costs'!$F$5:$F$167,Miscellaneous!$N$9,'Other Costs'!$G$5:$G$167,"Opex")</f>
        <v>0</v>
      </c>
      <c r="BM16" s="897">
        <f>SUMIFS('Other Costs'!BR$5:BR$167,'Other Costs'!$D$5:$D$167,Variables!$A39,'Other Costs'!$F$5:$F$167,Miscellaneous!$N$9,'Other Costs'!$G$5:$G$167,"Opex")</f>
        <v>0</v>
      </c>
      <c r="BN16" s="897">
        <f>SUMIFS('Other Costs'!BS$5:BS$167,'Other Costs'!$D$5:$D$167,Variables!$A39,'Other Costs'!$F$5:$F$167,Miscellaneous!$N$9,'Other Costs'!$G$5:$G$167,"Opex")</f>
        <v>0</v>
      </c>
      <c r="BO16" s="897">
        <f>SUMIFS('Other Costs'!BT$5:BT$167,'Other Costs'!$D$5:$D$167,Variables!$A39,'Other Costs'!$F$5:$F$167,Miscellaneous!$N$9,'Other Costs'!$G$5:$G$167,"Opex")</f>
        <v>0</v>
      </c>
      <c r="BP16" s="897">
        <f>SUMIFS('Other Costs'!BU$5:BU$167,'Other Costs'!$D$5:$D$167,Variables!$A39,'Other Costs'!$F$5:$F$167,Miscellaneous!$N$9,'Other Costs'!$G$5:$G$167,"Opex")</f>
        <v>0</v>
      </c>
      <c r="BQ16" s="897">
        <f>SUMIFS('Other Costs'!BV$5:BV$167,'Other Costs'!$D$5:$D$167,Variables!$A39,'Other Costs'!$F$5:$F$167,Miscellaneous!$N$9,'Other Costs'!$G$5:$G$167,"Opex")</f>
        <v>0</v>
      </c>
      <c r="BR16" s="897">
        <f>SUMIFS('Other Costs'!BW$5:BW$167,'Other Costs'!$D$5:$D$167,Variables!$A39,'Other Costs'!$F$5:$F$167,Miscellaneous!$N$9,'Other Costs'!$G$5:$G$167,"Opex")</f>
        <v>0</v>
      </c>
      <c r="BS16" s="897">
        <f>SUMIFS('Other Costs'!BX$5:BX$167,'Other Costs'!$D$5:$D$167,Variables!$A39,'Other Costs'!$F$5:$F$167,Miscellaneous!$N$9,'Other Costs'!$G$5:$G$167,"Opex")</f>
        <v>0</v>
      </c>
      <c r="BT16" s="897">
        <f>SUMIFS('Other Costs'!BY$5:BY$167,'Other Costs'!$D$5:$D$167,Variables!$A39,'Other Costs'!$F$5:$F$167,Miscellaneous!$N$9,'Other Costs'!$G$5:$G$167,"Opex")</f>
        <v>0</v>
      </c>
      <c r="BU16" s="891">
        <f>SUMIFS('Other Costs'!BZ$5:BZ$167,'Other Costs'!$D$5:$D$167,Variables!$A39,'Other Costs'!$F$5:$F$167,Miscellaneous!$N$9,'Other Costs'!$G$5:$G$167,"Opex")</f>
        <v>0</v>
      </c>
      <c r="BV16" s="898">
        <f>SUMIFS('Other Costs'!CA$5:CA$167,'Other Costs'!$D$5:$D$167,Variables!$A39,'Other Costs'!$F$5:$F$167,Miscellaneous!$N$9,'Other Costs'!$G$5:$G$167,"Opex")</f>
        <v>0</v>
      </c>
      <c r="BW16" s="893">
        <f>SUMIFS(C16:BV16,$C$75:$BV$75,"")</f>
        <v>0</v>
      </c>
      <c r="BX16" s="894">
        <f>SUM(SUMIFS(C16:N16,$C$2:$N$2,{"Dev","Impl","PIS","Close"},$C$75:$N$75,""))</f>
        <v>0</v>
      </c>
      <c r="BY16" s="894">
        <f>SUM(SUMIFS(O16:Z16,$O$2:$Z$2,{"Dev","Impl","PIS","Close"},$O$75:$Z$75,""))</f>
        <v>0</v>
      </c>
      <c r="BZ16" s="894">
        <f>SUM(SUMIFS(AA16:AL16,$AA$2:$AL$2,{"Dev","Impl","PIS","Close"},$AA$75:$AL$75,""))</f>
        <v>0</v>
      </c>
      <c r="CA16" s="894">
        <f>SUM(SUMIFS(AM16:AX16,$AM$2:$AX$2,{"Dev","Impl","PIS","Close"},$AM$75:$AX$75,""))</f>
        <v>0</v>
      </c>
      <c r="CB16" s="894">
        <f>SUM(SUMIFS(AY16:BJ16,$AY$2:$BJ$2,{"Dev","Impl","PIS","Close"},$AY$75:$BJ$75,""))</f>
        <v>0</v>
      </c>
      <c r="CC16" s="894">
        <f>SUM(SUMIFS(BK16:BV16,$BK$2:$BV$2,{"Dev","Impl","PIS","Close"},$BK$75:$BV$75,""))</f>
        <v>0</v>
      </c>
    </row>
    <row r="17" spans="1:89" s="4" customFormat="1">
      <c r="A17" s="6" t="s">
        <v>218</v>
      </c>
      <c r="B17" s="108"/>
      <c r="C17" s="897">
        <f>SUMIFS('Other Costs'!H$5:H$167,'Other Costs'!$D$5:$D$167,Variables!$A40,'Other Costs'!$F$5:$F$167,Miscellaneous!$N$9,'Other Costs'!$G$5:$G$167,"Opex")</f>
        <v>0</v>
      </c>
      <c r="D17" s="897">
        <f>SUMIFS('Other Costs'!I$5:I$167,'Other Costs'!$D$5:$D$167,Variables!$A40,'Other Costs'!$F$5:$F$167,Miscellaneous!$N$9,'Other Costs'!$G$5:$G$167,"Opex")</f>
        <v>0</v>
      </c>
      <c r="E17" s="897">
        <f>SUMIFS('Other Costs'!J$5:J$167,'Other Costs'!$D$5:$D$167,Variables!$A40,'Other Costs'!$F$5:$F$167,Miscellaneous!$N$9,'Other Costs'!$G$5:$G$167,"Opex")</f>
        <v>0</v>
      </c>
      <c r="F17" s="897">
        <f>SUMIFS('Other Costs'!K$5:K$167,'Other Costs'!$D$5:$D$167,Variables!$A40,'Other Costs'!$F$5:$F$167,Miscellaneous!$N$9,'Other Costs'!$G$5:$G$167,"Opex")</f>
        <v>0</v>
      </c>
      <c r="G17" s="897">
        <f>SUMIFS('Other Costs'!L$5:L$167,'Other Costs'!$D$5:$D$167,Variables!$A40,'Other Costs'!$F$5:$F$167,Miscellaneous!$N$9,'Other Costs'!$G$5:$G$167,"Opex")</f>
        <v>0</v>
      </c>
      <c r="H17" s="897">
        <f>SUMIFS('Other Costs'!M$5:M$167,'Other Costs'!$D$5:$D$167,Variables!$A40,'Other Costs'!$F$5:$F$167,Miscellaneous!$N$9,'Other Costs'!$G$5:$G$167,"Opex")</f>
        <v>0</v>
      </c>
      <c r="I17" s="897">
        <f>SUMIFS('Other Costs'!N$5:N$167,'Other Costs'!$D$5:$D$167,Variables!$A40,'Other Costs'!$F$5:$F$167,Miscellaneous!$N$9,'Other Costs'!$G$5:$G$167,"Opex")</f>
        <v>0</v>
      </c>
      <c r="J17" s="897">
        <f>SUMIFS('Other Costs'!O$5:O$167,'Other Costs'!$D$5:$D$167,Variables!$A40,'Other Costs'!$F$5:$F$167,Miscellaneous!$N$9,'Other Costs'!$G$5:$G$167,"Opex")</f>
        <v>0</v>
      </c>
      <c r="K17" s="897">
        <f>SUMIFS('Other Costs'!P$5:P$167,'Other Costs'!$D$5:$D$167,Variables!$A40,'Other Costs'!$F$5:$F$167,Miscellaneous!$N$9,'Other Costs'!$G$5:$G$167,"Opex")</f>
        <v>0</v>
      </c>
      <c r="L17" s="897">
        <f>SUMIFS('Other Costs'!Q$5:Q$167,'Other Costs'!$D$5:$D$167,Variables!$A40,'Other Costs'!$F$5:$F$167,Miscellaneous!$N$9,'Other Costs'!$G$5:$G$167,"Opex")</f>
        <v>0</v>
      </c>
      <c r="M17" s="891">
        <f>SUMIFS('Other Costs'!R$5:R$167,'Other Costs'!$D$5:$D$167,Variables!$A40,'Other Costs'!$F$5:$F$167,Miscellaneous!$N$9,'Other Costs'!$G$5:$G$167,"Opex")</f>
        <v>0</v>
      </c>
      <c r="N17" s="892">
        <f>SUMIFS('Other Costs'!S$5:S$167,'Other Costs'!$D$5:$D$167,Variables!$A40,'Other Costs'!$F$5:$F$167,Miscellaneous!$N$9,'Other Costs'!$G$5:$G$167,"Opex")</f>
        <v>0</v>
      </c>
      <c r="O17" s="897">
        <f>SUMIFS('Other Costs'!T$5:T$167,'Other Costs'!$D$5:$D$167,Variables!$A40,'Other Costs'!$F$5:$F$167,Miscellaneous!$N$9,'Other Costs'!$G$5:$G$167,"Opex")</f>
        <v>0</v>
      </c>
      <c r="P17" s="897">
        <f>SUMIFS('Other Costs'!U$5:U$167,'Other Costs'!$D$5:$D$167,Variables!$A40,'Other Costs'!$F$5:$F$167,Miscellaneous!$N$9,'Other Costs'!$G$5:$G$167,"Opex")</f>
        <v>0</v>
      </c>
      <c r="Q17" s="897">
        <f>SUMIFS('Other Costs'!V$5:V$167,'Other Costs'!$D$5:$D$167,Variables!$A40,'Other Costs'!$F$5:$F$167,Miscellaneous!$N$9,'Other Costs'!$G$5:$G$167,"Opex")</f>
        <v>0</v>
      </c>
      <c r="R17" s="897">
        <f>SUMIFS('Other Costs'!W$5:W$167,'Other Costs'!$D$5:$D$167,Variables!$A40,'Other Costs'!$F$5:$F$167,Miscellaneous!$N$9,'Other Costs'!$G$5:$G$167,"Opex")</f>
        <v>0</v>
      </c>
      <c r="S17" s="897">
        <f>SUMIFS('Other Costs'!X$5:X$167,'Other Costs'!$D$5:$D$167,Variables!$A40,'Other Costs'!$F$5:$F$167,Miscellaneous!$N$9,'Other Costs'!$G$5:$G$167,"Opex")</f>
        <v>0</v>
      </c>
      <c r="T17" s="897">
        <f>SUMIFS('Other Costs'!Y$5:Y$167,'Other Costs'!$D$5:$D$167,Variables!$A40,'Other Costs'!$F$5:$F$167,Miscellaneous!$N$9,'Other Costs'!$G$5:$G$167,"Opex")</f>
        <v>0</v>
      </c>
      <c r="U17" s="897">
        <f>SUMIFS('Other Costs'!Z$5:Z$167,'Other Costs'!$D$5:$D$167,Variables!$A40,'Other Costs'!$F$5:$F$167,Miscellaneous!$N$9,'Other Costs'!$G$5:$G$167,"Opex")</f>
        <v>0</v>
      </c>
      <c r="V17" s="897">
        <f>SUMIFS('Other Costs'!AA$5:AA$167,'Other Costs'!$D$5:$D$167,Variables!$A40,'Other Costs'!$F$5:$F$167,Miscellaneous!$N$9,'Other Costs'!$G$5:$G$167,"Opex")</f>
        <v>0</v>
      </c>
      <c r="W17" s="897">
        <f>SUMIFS('Other Costs'!AB$5:AB$167,'Other Costs'!$D$5:$D$167,Variables!$A40,'Other Costs'!$F$5:$F$167,Miscellaneous!$N$9,'Other Costs'!$G$5:$G$167,"Opex")</f>
        <v>0</v>
      </c>
      <c r="X17" s="897">
        <f>SUMIFS('Other Costs'!AC$5:AC$167,'Other Costs'!$D$5:$D$167,Variables!$A40,'Other Costs'!$F$5:$F$167,Miscellaneous!$N$9,'Other Costs'!$G$5:$G$167,"Opex")</f>
        <v>0</v>
      </c>
      <c r="Y17" s="891">
        <f>SUMIFS('Other Costs'!AD$5:AD$167,'Other Costs'!$D$5:$D$167,Variables!$A40,'Other Costs'!$F$5:$F$167,Miscellaneous!$N$9,'Other Costs'!$G$5:$G$167,"Opex")</f>
        <v>0</v>
      </c>
      <c r="Z17" s="892">
        <f>SUMIFS('Other Costs'!AE$5:AE$167,'Other Costs'!$D$5:$D$167,Variables!$A40,'Other Costs'!$F$5:$F$167,Miscellaneous!$N$9,'Other Costs'!$G$5:$G$167,"Opex")</f>
        <v>0</v>
      </c>
      <c r="AA17" s="897">
        <f>SUMIFS('Other Costs'!AF$5:AF$167,'Other Costs'!$D$5:$D$167,Variables!$A40,'Other Costs'!$F$5:$F$167,Miscellaneous!$N$9,'Other Costs'!$G$5:$G$167,"Opex")</f>
        <v>0</v>
      </c>
      <c r="AB17" s="897">
        <f>SUMIFS('Other Costs'!AG$5:AG$167,'Other Costs'!$D$5:$D$167,Variables!$A40,'Other Costs'!$F$5:$F$167,Miscellaneous!$N$9,'Other Costs'!$G$5:$G$167,"Opex")</f>
        <v>0</v>
      </c>
      <c r="AC17" s="897">
        <f>SUMIFS('Other Costs'!AH$5:AH$167,'Other Costs'!$D$5:$D$167,Variables!$A40,'Other Costs'!$F$5:$F$167,Miscellaneous!$N$9,'Other Costs'!$G$5:$G$167,"Opex")</f>
        <v>0</v>
      </c>
      <c r="AD17" s="897">
        <f>SUMIFS('Other Costs'!AI$5:AI$167,'Other Costs'!$D$5:$D$167,Variables!$A40,'Other Costs'!$F$5:$F$167,Miscellaneous!$N$9,'Other Costs'!$G$5:$G$167,"Opex")</f>
        <v>0</v>
      </c>
      <c r="AE17" s="897">
        <f>SUMIFS('Other Costs'!AJ$5:AJ$167,'Other Costs'!$D$5:$D$167,Variables!$A40,'Other Costs'!$F$5:$F$167,Miscellaneous!$N$9,'Other Costs'!$G$5:$G$167,"Opex")</f>
        <v>0</v>
      </c>
      <c r="AF17" s="897">
        <f>SUMIFS('Other Costs'!AK$5:AK$167,'Other Costs'!$D$5:$D$167,Variables!$A40,'Other Costs'!$F$5:$F$167,Miscellaneous!$N$9,'Other Costs'!$G$5:$G$167,"Opex")</f>
        <v>0</v>
      </c>
      <c r="AG17" s="897">
        <f>SUMIFS('Other Costs'!AL$5:AL$167,'Other Costs'!$D$5:$D$167,Variables!$A40,'Other Costs'!$F$5:$F$167,Miscellaneous!$N$9,'Other Costs'!$G$5:$G$167,"Opex")</f>
        <v>0</v>
      </c>
      <c r="AH17" s="897">
        <f>SUMIFS('Other Costs'!AM$5:AM$167,'Other Costs'!$D$5:$D$167,Variables!$A40,'Other Costs'!$F$5:$F$167,Miscellaneous!$N$9,'Other Costs'!$G$5:$G$167,"Opex")</f>
        <v>0</v>
      </c>
      <c r="AI17" s="897">
        <f>SUMIFS('Other Costs'!AN$5:AN$167,'Other Costs'!$D$5:$D$167,Variables!$A40,'Other Costs'!$F$5:$F$167,Miscellaneous!$N$9,'Other Costs'!$G$5:$G$167,"Opex")</f>
        <v>0</v>
      </c>
      <c r="AJ17" s="897">
        <f>SUMIFS('Other Costs'!AO$5:AO$167,'Other Costs'!$D$5:$D$167,Variables!$A40,'Other Costs'!$F$5:$F$167,Miscellaneous!$N$9,'Other Costs'!$G$5:$G$167,"Opex")</f>
        <v>0</v>
      </c>
      <c r="AK17" s="891">
        <f>SUMIFS('Other Costs'!AP$5:AP$167,'Other Costs'!$D$5:$D$167,Variables!$A40,'Other Costs'!$F$5:$F$167,Miscellaneous!$N$9,'Other Costs'!$G$5:$G$167,"Opex")</f>
        <v>0</v>
      </c>
      <c r="AL17" s="892">
        <f>SUMIFS('Other Costs'!AQ$5:AQ$167,'Other Costs'!$D$5:$D$167,Variables!$A40,'Other Costs'!$F$5:$F$167,Miscellaneous!$N$9,'Other Costs'!$G$5:$G$167,"Opex")</f>
        <v>0</v>
      </c>
      <c r="AM17" s="897">
        <f>SUMIFS('Other Costs'!AR$5:AR$167,'Other Costs'!$D$5:$D$167,Variables!$A40,'Other Costs'!$F$5:$F$167,Miscellaneous!$N$9,'Other Costs'!$G$5:$G$167,"Opex")</f>
        <v>0</v>
      </c>
      <c r="AN17" s="897">
        <f>SUMIFS('Other Costs'!AS$5:AS$167,'Other Costs'!$D$5:$D$167,Variables!$A40,'Other Costs'!$F$5:$F$167,Miscellaneous!$N$9,'Other Costs'!$G$5:$G$167,"Opex")</f>
        <v>0</v>
      </c>
      <c r="AO17" s="897">
        <f>SUMIFS('Other Costs'!AT$5:AT$167,'Other Costs'!$D$5:$D$167,Variables!$A40,'Other Costs'!$F$5:$F$167,Miscellaneous!$N$9,'Other Costs'!$G$5:$G$167,"Opex")</f>
        <v>0</v>
      </c>
      <c r="AP17" s="897">
        <f>SUMIFS('Other Costs'!AU$5:AU$167,'Other Costs'!$D$5:$D$167,Variables!$A40,'Other Costs'!$F$5:$F$167,Miscellaneous!$N$9,'Other Costs'!$G$5:$G$167,"Opex")</f>
        <v>0</v>
      </c>
      <c r="AQ17" s="897">
        <f>SUMIFS('Other Costs'!AV$5:AV$167,'Other Costs'!$D$5:$D$167,Variables!$A40,'Other Costs'!$F$5:$F$167,Miscellaneous!$N$9,'Other Costs'!$G$5:$G$167,"Opex")</f>
        <v>0</v>
      </c>
      <c r="AR17" s="897">
        <f>SUMIFS('Other Costs'!AW$5:AW$167,'Other Costs'!$D$5:$D$167,Variables!$A40,'Other Costs'!$F$5:$F$167,Miscellaneous!$N$9,'Other Costs'!$G$5:$G$167,"Opex")</f>
        <v>0</v>
      </c>
      <c r="AS17" s="897">
        <f>SUMIFS('Other Costs'!AX$5:AX$167,'Other Costs'!$D$5:$D$167,Variables!$A40,'Other Costs'!$F$5:$F$167,Miscellaneous!$N$9,'Other Costs'!$G$5:$G$167,"Opex")</f>
        <v>0</v>
      </c>
      <c r="AT17" s="897">
        <f>SUMIFS('Other Costs'!AY$5:AY$167,'Other Costs'!$D$5:$D$167,Variables!$A40,'Other Costs'!$F$5:$F$167,Miscellaneous!$N$9,'Other Costs'!$G$5:$G$167,"Opex")</f>
        <v>0</v>
      </c>
      <c r="AU17" s="897">
        <f>SUMIFS('Other Costs'!AZ$5:AZ$167,'Other Costs'!$D$5:$D$167,Variables!$A40,'Other Costs'!$F$5:$F$167,Miscellaneous!$N$9,'Other Costs'!$G$5:$G$167,"Opex")</f>
        <v>0</v>
      </c>
      <c r="AV17" s="897">
        <f>SUMIFS('Other Costs'!BA$5:BA$167,'Other Costs'!$D$5:$D$167,Variables!$A40,'Other Costs'!$F$5:$F$167,Miscellaneous!$N$9,'Other Costs'!$G$5:$G$167,"Opex")</f>
        <v>0</v>
      </c>
      <c r="AW17" s="891">
        <f>SUMIFS('Other Costs'!BB$5:BB$167,'Other Costs'!$D$5:$D$167,Variables!$A40,'Other Costs'!$F$5:$F$167,Miscellaneous!$N$9,'Other Costs'!$G$5:$G$167,"Opex")</f>
        <v>0</v>
      </c>
      <c r="AX17" s="892">
        <f>SUMIFS('Other Costs'!BC$5:BC$167,'Other Costs'!$D$5:$D$167,Variables!$A40,'Other Costs'!$F$5:$F$167,Miscellaneous!$N$9,'Other Costs'!$G$5:$G$167,"Opex")</f>
        <v>0</v>
      </c>
      <c r="AY17" s="897">
        <f>SUMIFS('Other Costs'!BD$5:BD$167,'Other Costs'!$D$5:$D$167,Variables!$A40,'Other Costs'!$F$5:$F$167,Miscellaneous!$N$9,'Other Costs'!$G$5:$G$167,"Opex")</f>
        <v>0</v>
      </c>
      <c r="AZ17" s="897">
        <f>SUMIFS('Other Costs'!BE$5:BE$167,'Other Costs'!$D$5:$D$167,Variables!$A40,'Other Costs'!$F$5:$F$167,Miscellaneous!$N$9,'Other Costs'!$G$5:$G$167,"Opex")</f>
        <v>0</v>
      </c>
      <c r="BA17" s="897">
        <f>SUMIFS('Other Costs'!BF$5:BF$167,'Other Costs'!$D$5:$D$167,Variables!$A40,'Other Costs'!$F$5:$F$167,Miscellaneous!$N$9,'Other Costs'!$G$5:$G$167,"Opex")</f>
        <v>0</v>
      </c>
      <c r="BB17" s="897">
        <f>SUMIFS('Other Costs'!BG$5:BG$167,'Other Costs'!$D$5:$D$167,Variables!$A40,'Other Costs'!$F$5:$F$167,Miscellaneous!$N$9,'Other Costs'!$G$5:$G$167,"Opex")</f>
        <v>0</v>
      </c>
      <c r="BC17" s="897">
        <f>SUMIFS('Other Costs'!BH$5:BH$167,'Other Costs'!$D$5:$D$167,Variables!$A40,'Other Costs'!$F$5:$F$167,Miscellaneous!$N$9,'Other Costs'!$G$5:$G$167,"Opex")</f>
        <v>0</v>
      </c>
      <c r="BD17" s="897">
        <f>SUMIFS('Other Costs'!BI$5:BI$167,'Other Costs'!$D$5:$D$167,Variables!$A40,'Other Costs'!$F$5:$F$167,Miscellaneous!$N$9,'Other Costs'!$G$5:$G$167,"Opex")</f>
        <v>0</v>
      </c>
      <c r="BE17" s="897">
        <f>SUMIFS('Other Costs'!BJ$5:BJ$167,'Other Costs'!$D$5:$D$167,Variables!$A40,'Other Costs'!$F$5:$F$167,Miscellaneous!$N$9,'Other Costs'!$G$5:$G$167,"Opex")</f>
        <v>0</v>
      </c>
      <c r="BF17" s="897">
        <f>SUMIFS('Other Costs'!BK$5:BK$167,'Other Costs'!$D$5:$D$167,Variables!$A40,'Other Costs'!$F$5:$F$167,Miscellaneous!$N$9,'Other Costs'!$G$5:$G$167,"Opex")</f>
        <v>0</v>
      </c>
      <c r="BG17" s="897">
        <f>SUMIFS('Other Costs'!BL$5:BL$167,'Other Costs'!$D$5:$D$167,Variables!$A40,'Other Costs'!$F$5:$F$167,Miscellaneous!$N$9,'Other Costs'!$G$5:$G$167,"Opex")</f>
        <v>0</v>
      </c>
      <c r="BH17" s="897">
        <f>SUMIFS('Other Costs'!BM$5:BM$167,'Other Costs'!$D$5:$D$167,Variables!$A40,'Other Costs'!$F$5:$F$167,Miscellaneous!$N$9,'Other Costs'!$G$5:$G$167,"Opex")</f>
        <v>0</v>
      </c>
      <c r="BI17" s="891">
        <f>SUMIFS('Other Costs'!BN$5:BN$167,'Other Costs'!$D$5:$D$167,Variables!$A40,'Other Costs'!$F$5:$F$167,Miscellaneous!$N$9,'Other Costs'!$G$5:$G$167,"Opex")</f>
        <v>0</v>
      </c>
      <c r="BJ17" s="892">
        <f>SUMIFS('Other Costs'!BO$5:BO$167,'Other Costs'!$D$5:$D$167,Variables!$A40,'Other Costs'!$F$5:$F$167,Miscellaneous!$N$9,'Other Costs'!$G$5:$G$167,"Opex")</f>
        <v>0</v>
      </c>
      <c r="BK17" s="897">
        <f>SUMIFS('Other Costs'!BP$5:BP$167,'Other Costs'!$D$5:$D$167,Variables!$A40,'Other Costs'!$F$5:$F$167,Miscellaneous!$N$9,'Other Costs'!$G$5:$G$167,"Opex")</f>
        <v>0</v>
      </c>
      <c r="BL17" s="897">
        <f>SUMIFS('Other Costs'!BQ$5:BQ$167,'Other Costs'!$D$5:$D$167,Variables!$A40,'Other Costs'!$F$5:$F$167,Miscellaneous!$N$9,'Other Costs'!$G$5:$G$167,"Opex")</f>
        <v>0</v>
      </c>
      <c r="BM17" s="897">
        <f>SUMIFS('Other Costs'!BR$5:BR$167,'Other Costs'!$D$5:$D$167,Variables!$A40,'Other Costs'!$F$5:$F$167,Miscellaneous!$N$9,'Other Costs'!$G$5:$G$167,"Opex")</f>
        <v>0</v>
      </c>
      <c r="BN17" s="897">
        <f>SUMIFS('Other Costs'!BS$5:BS$167,'Other Costs'!$D$5:$D$167,Variables!$A40,'Other Costs'!$F$5:$F$167,Miscellaneous!$N$9,'Other Costs'!$G$5:$G$167,"Opex")</f>
        <v>0</v>
      </c>
      <c r="BO17" s="897">
        <f>SUMIFS('Other Costs'!BT$5:BT$167,'Other Costs'!$D$5:$D$167,Variables!$A40,'Other Costs'!$F$5:$F$167,Miscellaneous!$N$9,'Other Costs'!$G$5:$G$167,"Opex")</f>
        <v>0</v>
      </c>
      <c r="BP17" s="897">
        <f>SUMIFS('Other Costs'!BU$5:BU$167,'Other Costs'!$D$5:$D$167,Variables!$A40,'Other Costs'!$F$5:$F$167,Miscellaneous!$N$9,'Other Costs'!$G$5:$G$167,"Opex")</f>
        <v>0</v>
      </c>
      <c r="BQ17" s="897">
        <f>SUMIFS('Other Costs'!BV$5:BV$167,'Other Costs'!$D$5:$D$167,Variables!$A40,'Other Costs'!$F$5:$F$167,Miscellaneous!$N$9,'Other Costs'!$G$5:$G$167,"Opex")</f>
        <v>0</v>
      </c>
      <c r="BR17" s="897">
        <f>SUMIFS('Other Costs'!BW$5:BW$167,'Other Costs'!$D$5:$D$167,Variables!$A40,'Other Costs'!$F$5:$F$167,Miscellaneous!$N$9,'Other Costs'!$G$5:$G$167,"Opex")</f>
        <v>0</v>
      </c>
      <c r="BS17" s="897">
        <f>SUMIFS('Other Costs'!BX$5:BX$167,'Other Costs'!$D$5:$D$167,Variables!$A40,'Other Costs'!$F$5:$F$167,Miscellaneous!$N$9,'Other Costs'!$G$5:$G$167,"Opex")</f>
        <v>0</v>
      </c>
      <c r="BT17" s="897">
        <f>SUMIFS('Other Costs'!BY$5:BY$167,'Other Costs'!$D$5:$D$167,Variables!$A40,'Other Costs'!$F$5:$F$167,Miscellaneous!$N$9,'Other Costs'!$G$5:$G$167,"Opex")</f>
        <v>0</v>
      </c>
      <c r="BU17" s="891">
        <f>SUMIFS('Other Costs'!BZ$5:BZ$167,'Other Costs'!$D$5:$D$167,Variables!$A40,'Other Costs'!$F$5:$F$167,Miscellaneous!$N$9,'Other Costs'!$G$5:$G$167,"Opex")</f>
        <v>0</v>
      </c>
      <c r="BV17" s="892">
        <f>SUMIFS('Other Costs'!CA$5:CA$167,'Other Costs'!$D$5:$D$167,Variables!$A40,'Other Costs'!$F$5:$F$167,Miscellaneous!$N$9,'Other Costs'!$G$5:$G$167,"Opex")</f>
        <v>0</v>
      </c>
      <c r="BW17" s="893">
        <f>SUMIFS(C17:BV17,$C$75:$BV$75,"")</f>
        <v>0</v>
      </c>
      <c r="BX17" s="894">
        <f>SUM(SUMIFS(C17:N17,$C$2:$N$2,{"Dev","Impl","PIS","Close"},$C$75:$N$75,""))</f>
        <v>0</v>
      </c>
      <c r="BY17" s="894">
        <f>SUM(SUMIFS(O17:Z17,$O$2:$Z$2,{"Dev","Impl","PIS","Close"},$O$75:$Z$75,""))</f>
        <v>0</v>
      </c>
      <c r="BZ17" s="894">
        <f>SUM(SUMIFS(AA17:AL17,$AA$2:$AL$2,{"Dev","Impl","PIS","Close"},$AA$75:$AL$75,""))</f>
        <v>0</v>
      </c>
      <c r="CA17" s="894">
        <f>SUM(SUMIFS(AM17:AX17,$AM$2:$AX$2,{"Dev","Impl","PIS","Close"},$AM$75:$AX$75,""))</f>
        <v>0</v>
      </c>
      <c r="CB17" s="894">
        <f>SUM(SUMIFS(AY17:BJ17,$AY$2:$BJ$2,{"Dev","Impl","PIS","Close"},$AY$75:$BJ$75,""))</f>
        <v>0</v>
      </c>
      <c r="CC17" s="894">
        <f>SUM(SUMIFS(BK17:BV17,$BK$2:$BV$2,{"Dev","Impl","PIS","Close"},$BK$75:$BV$75,""))</f>
        <v>0</v>
      </c>
    </row>
    <row r="18" spans="1:89" s="4" customFormat="1">
      <c r="A18" s="6" t="s">
        <v>15333</v>
      </c>
      <c r="B18" s="108"/>
      <c r="C18" s="897">
        <f>SUMIFS('Other Costs'!H$5:H$167,'Other Costs'!$D$5:$D$167,Variables!$A41,'Other Costs'!$F$5:$F$167,Miscellaneous!$N$9,'Other Costs'!$G$5:$G$167,"Opex")</f>
        <v>0</v>
      </c>
      <c r="D18" s="897">
        <f>SUMIFS('Other Costs'!I$5:I$167,'Other Costs'!$D$5:$D$167,Variables!$A41,'Other Costs'!$F$5:$F$167,Miscellaneous!$N$9,'Other Costs'!$G$5:$G$167,"Opex")</f>
        <v>0</v>
      </c>
      <c r="E18" s="897">
        <f>SUMIFS('Other Costs'!J$5:J$167,'Other Costs'!$D$5:$D$167,Variables!$A41,'Other Costs'!$F$5:$F$167,Miscellaneous!$N$9,'Other Costs'!$G$5:$G$167,"Opex")</f>
        <v>0</v>
      </c>
      <c r="F18" s="897">
        <f>SUMIFS('Other Costs'!K$5:K$167,'Other Costs'!$D$5:$D$167,Variables!$A41,'Other Costs'!$F$5:$F$167,Miscellaneous!$N$9,'Other Costs'!$G$5:$G$167,"Opex")</f>
        <v>0</v>
      </c>
      <c r="G18" s="897">
        <f>SUMIFS('Other Costs'!L$5:L$167,'Other Costs'!$D$5:$D$167,Variables!$A41,'Other Costs'!$F$5:$F$167,Miscellaneous!$N$9,'Other Costs'!$G$5:$G$167,"Opex")</f>
        <v>0</v>
      </c>
      <c r="H18" s="897">
        <f>SUMIFS('Other Costs'!M$5:M$167,'Other Costs'!$D$5:$D$167,Variables!$A41,'Other Costs'!$F$5:$F$167,Miscellaneous!$N$9,'Other Costs'!$G$5:$G$167,"Opex")</f>
        <v>0</v>
      </c>
      <c r="I18" s="897">
        <f>SUMIFS('Other Costs'!N$5:N$167,'Other Costs'!$D$5:$D$167,Variables!$A41,'Other Costs'!$F$5:$F$167,Miscellaneous!$N$9,'Other Costs'!$G$5:$G$167,"Opex")</f>
        <v>0</v>
      </c>
      <c r="J18" s="897">
        <f>SUMIFS('Other Costs'!O$5:O$167,'Other Costs'!$D$5:$D$167,Variables!$A41,'Other Costs'!$F$5:$F$167,Miscellaneous!$N$9,'Other Costs'!$G$5:$G$167,"Opex")</f>
        <v>0</v>
      </c>
      <c r="K18" s="897">
        <f>SUMIFS('Other Costs'!P$5:P$167,'Other Costs'!$D$5:$D$167,Variables!$A41,'Other Costs'!$F$5:$F$167,Miscellaneous!$N$9,'Other Costs'!$G$5:$G$167,"Opex")</f>
        <v>0</v>
      </c>
      <c r="L18" s="897">
        <f>SUMIFS('Other Costs'!Q$5:Q$167,'Other Costs'!$D$5:$D$167,Variables!$A41,'Other Costs'!$F$5:$F$167,Miscellaneous!$N$9,'Other Costs'!$G$5:$G$167,"Opex")</f>
        <v>0</v>
      </c>
      <c r="M18" s="891">
        <f>SUMIFS('Other Costs'!R$5:R$167,'Other Costs'!$D$5:$D$167,Variables!$A41,'Other Costs'!$F$5:$F$167,Miscellaneous!$N$9,'Other Costs'!$G$5:$G$167,"Opex")</f>
        <v>0</v>
      </c>
      <c r="N18" s="892">
        <f>SUMIFS('Other Costs'!S$5:S$167,'Other Costs'!$D$5:$D$167,Variables!$A41,'Other Costs'!$F$5:$F$167,Miscellaneous!$N$9,'Other Costs'!$G$5:$G$167,"Opex")</f>
        <v>0</v>
      </c>
      <c r="O18" s="897">
        <f>SUMIFS('Other Costs'!T$5:T$167,'Other Costs'!$D$5:$D$167,Variables!$A41,'Other Costs'!$F$5:$F$167,Miscellaneous!$N$9,'Other Costs'!$G$5:$G$167,"Opex")</f>
        <v>0</v>
      </c>
      <c r="P18" s="897">
        <f>SUMIFS('Other Costs'!U$5:U$167,'Other Costs'!$D$5:$D$167,Variables!$A41,'Other Costs'!$F$5:$F$167,Miscellaneous!$N$9,'Other Costs'!$G$5:$G$167,"Opex")</f>
        <v>0</v>
      </c>
      <c r="Q18" s="897">
        <f>SUMIFS('Other Costs'!V$5:V$167,'Other Costs'!$D$5:$D$167,Variables!$A41,'Other Costs'!$F$5:$F$167,Miscellaneous!$N$9,'Other Costs'!$G$5:$G$167,"Opex")</f>
        <v>0</v>
      </c>
      <c r="R18" s="897">
        <f>SUMIFS('Other Costs'!W$5:W$167,'Other Costs'!$D$5:$D$167,Variables!$A41,'Other Costs'!$F$5:$F$167,Miscellaneous!$N$9,'Other Costs'!$G$5:$G$167,"Opex")</f>
        <v>0</v>
      </c>
      <c r="S18" s="897">
        <f>SUMIFS('Other Costs'!X$5:X$167,'Other Costs'!$D$5:$D$167,Variables!$A41,'Other Costs'!$F$5:$F$167,Miscellaneous!$N$9,'Other Costs'!$G$5:$G$167,"Opex")</f>
        <v>0</v>
      </c>
      <c r="T18" s="897">
        <f>SUMIFS('Other Costs'!Y$5:Y$167,'Other Costs'!$D$5:$D$167,Variables!$A41,'Other Costs'!$F$5:$F$167,Miscellaneous!$N$9,'Other Costs'!$G$5:$G$167,"Opex")</f>
        <v>0</v>
      </c>
      <c r="U18" s="897">
        <f>SUMIFS('Other Costs'!Z$5:Z$167,'Other Costs'!$D$5:$D$167,Variables!$A41,'Other Costs'!$F$5:$F$167,Miscellaneous!$N$9,'Other Costs'!$G$5:$G$167,"Opex")</f>
        <v>0</v>
      </c>
      <c r="V18" s="897">
        <f>SUMIFS('Other Costs'!AA$5:AA$167,'Other Costs'!$D$5:$D$167,Variables!$A41,'Other Costs'!$F$5:$F$167,Miscellaneous!$N$9,'Other Costs'!$G$5:$G$167,"Opex")</f>
        <v>0</v>
      </c>
      <c r="W18" s="897">
        <f>SUMIFS('Other Costs'!AB$5:AB$167,'Other Costs'!$D$5:$D$167,Variables!$A41,'Other Costs'!$F$5:$F$167,Miscellaneous!$N$9,'Other Costs'!$G$5:$G$167,"Opex")</f>
        <v>0</v>
      </c>
      <c r="X18" s="897">
        <f>SUMIFS('Other Costs'!AC$5:AC$167,'Other Costs'!$D$5:$D$167,Variables!$A41,'Other Costs'!$F$5:$F$167,Miscellaneous!$N$9,'Other Costs'!$G$5:$G$167,"Opex")</f>
        <v>0</v>
      </c>
      <c r="Y18" s="891">
        <f>SUMIFS('Other Costs'!AD$5:AD$167,'Other Costs'!$D$5:$D$167,Variables!$A41,'Other Costs'!$F$5:$F$167,Miscellaneous!$N$9,'Other Costs'!$G$5:$G$167,"Opex")</f>
        <v>0</v>
      </c>
      <c r="Z18" s="892">
        <f>SUMIFS('Other Costs'!AE$5:AE$167,'Other Costs'!$D$5:$D$167,Variables!$A41,'Other Costs'!$F$5:$F$167,Miscellaneous!$N$9,'Other Costs'!$G$5:$G$167,"Opex")</f>
        <v>0</v>
      </c>
      <c r="AA18" s="897">
        <f>SUMIFS('Other Costs'!AF$5:AF$167,'Other Costs'!$D$5:$D$167,Variables!$A41,'Other Costs'!$F$5:$F$167,Miscellaneous!$N$9,'Other Costs'!$G$5:$G$167,"Opex")</f>
        <v>0</v>
      </c>
      <c r="AB18" s="897">
        <f>SUMIFS('Other Costs'!AG$5:AG$167,'Other Costs'!$D$5:$D$167,Variables!$A41,'Other Costs'!$F$5:$F$167,Miscellaneous!$N$9,'Other Costs'!$G$5:$G$167,"Opex")</f>
        <v>0</v>
      </c>
      <c r="AC18" s="897">
        <f>SUMIFS('Other Costs'!AH$5:AH$167,'Other Costs'!$D$5:$D$167,Variables!$A41,'Other Costs'!$F$5:$F$167,Miscellaneous!$N$9,'Other Costs'!$G$5:$G$167,"Opex")</f>
        <v>0</v>
      </c>
      <c r="AD18" s="897">
        <f>SUMIFS('Other Costs'!AI$5:AI$167,'Other Costs'!$D$5:$D$167,Variables!$A41,'Other Costs'!$F$5:$F$167,Miscellaneous!$N$9,'Other Costs'!$G$5:$G$167,"Opex")</f>
        <v>0</v>
      </c>
      <c r="AE18" s="897">
        <f>SUMIFS('Other Costs'!AJ$5:AJ$167,'Other Costs'!$D$5:$D$167,Variables!$A41,'Other Costs'!$F$5:$F$167,Miscellaneous!$N$9,'Other Costs'!$G$5:$G$167,"Opex")</f>
        <v>0</v>
      </c>
      <c r="AF18" s="897">
        <f>SUMIFS('Other Costs'!AK$5:AK$167,'Other Costs'!$D$5:$D$167,Variables!$A41,'Other Costs'!$F$5:$F$167,Miscellaneous!$N$9,'Other Costs'!$G$5:$G$167,"Opex")</f>
        <v>0</v>
      </c>
      <c r="AG18" s="897">
        <f>SUMIFS('Other Costs'!AL$5:AL$167,'Other Costs'!$D$5:$D$167,Variables!$A41,'Other Costs'!$F$5:$F$167,Miscellaneous!$N$9,'Other Costs'!$G$5:$G$167,"Opex")</f>
        <v>0</v>
      </c>
      <c r="AH18" s="897">
        <f>SUMIFS('Other Costs'!AM$5:AM$167,'Other Costs'!$D$5:$D$167,Variables!$A41,'Other Costs'!$F$5:$F$167,Miscellaneous!$N$9,'Other Costs'!$G$5:$G$167,"Opex")</f>
        <v>0</v>
      </c>
      <c r="AI18" s="897">
        <f>SUMIFS('Other Costs'!AN$5:AN$167,'Other Costs'!$D$5:$D$167,Variables!$A41,'Other Costs'!$F$5:$F$167,Miscellaneous!$N$9,'Other Costs'!$G$5:$G$167,"Opex")</f>
        <v>0</v>
      </c>
      <c r="AJ18" s="897">
        <f>SUMIFS('Other Costs'!AO$5:AO$167,'Other Costs'!$D$5:$D$167,Variables!$A41,'Other Costs'!$F$5:$F$167,Miscellaneous!$N$9,'Other Costs'!$G$5:$G$167,"Opex")</f>
        <v>0</v>
      </c>
      <c r="AK18" s="891">
        <f>SUMIFS('Other Costs'!AP$5:AP$167,'Other Costs'!$D$5:$D$167,Variables!$A41,'Other Costs'!$F$5:$F$167,Miscellaneous!$N$9,'Other Costs'!$G$5:$G$167,"Opex")</f>
        <v>0</v>
      </c>
      <c r="AL18" s="892">
        <f>SUMIFS('Other Costs'!AQ$5:AQ$167,'Other Costs'!$D$5:$D$167,Variables!$A41,'Other Costs'!$F$5:$F$167,Miscellaneous!$N$9,'Other Costs'!$G$5:$G$167,"Opex")</f>
        <v>0</v>
      </c>
      <c r="AM18" s="897">
        <f>SUMIFS('Other Costs'!AR$5:AR$167,'Other Costs'!$D$5:$D$167,Variables!$A41,'Other Costs'!$F$5:$F$167,Miscellaneous!$N$9,'Other Costs'!$G$5:$G$167,"Opex")</f>
        <v>0</v>
      </c>
      <c r="AN18" s="897">
        <f>SUMIFS('Other Costs'!AS$5:AS$167,'Other Costs'!$D$5:$D$167,Variables!$A41,'Other Costs'!$F$5:$F$167,Miscellaneous!$N$9,'Other Costs'!$G$5:$G$167,"Opex")</f>
        <v>0</v>
      </c>
      <c r="AO18" s="897">
        <f>SUMIFS('Other Costs'!AT$5:AT$167,'Other Costs'!$D$5:$D$167,Variables!$A41,'Other Costs'!$F$5:$F$167,Miscellaneous!$N$9,'Other Costs'!$G$5:$G$167,"Opex")</f>
        <v>0</v>
      </c>
      <c r="AP18" s="897">
        <f>SUMIFS('Other Costs'!AU$5:AU$167,'Other Costs'!$D$5:$D$167,Variables!$A41,'Other Costs'!$F$5:$F$167,Miscellaneous!$N$9,'Other Costs'!$G$5:$G$167,"Opex")</f>
        <v>0</v>
      </c>
      <c r="AQ18" s="897">
        <f>SUMIFS('Other Costs'!AV$5:AV$167,'Other Costs'!$D$5:$D$167,Variables!$A41,'Other Costs'!$F$5:$F$167,Miscellaneous!$N$9,'Other Costs'!$G$5:$G$167,"Opex")</f>
        <v>0</v>
      </c>
      <c r="AR18" s="897">
        <f>SUMIFS('Other Costs'!AW$5:AW$167,'Other Costs'!$D$5:$D$167,Variables!$A41,'Other Costs'!$F$5:$F$167,Miscellaneous!$N$9,'Other Costs'!$G$5:$G$167,"Opex")</f>
        <v>0</v>
      </c>
      <c r="AS18" s="897">
        <f>SUMIFS('Other Costs'!AX$5:AX$167,'Other Costs'!$D$5:$D$167,Variables!$A41,'Other Costs'!$F$5:$F$167,Miscellaneous!$N$9,'Other Costs'!$G$5:$G$167,"Opex")</f>
        <v>0</v>
      </c>
      <c r="AT18" s="897">
        <f>SUMIFS('Other Costs'!AY$5:AY$167,'Other Costs'!$D$5:$D$167,Variables!$A41,'Other Costs'!$F$5:$F$167,Miscellaneous!$N$9,'Other Costs'!$G$5:$G$167,"Opex")</f>
        <v>0</v>
      </c>
      <c r="AU18" s="897">
        <f>SUMIFS('Other Costs'!AZ$5:AZ$167,'Other Costs'!$D$5:$D$167,Variables!$A41,'Other Costs'!$F$5:$F$167,Miscellaneous!$N$9,'Other Costs'!$G$5:$G$167,"Opex")</f>
        <v>0</v>
      </c>
      <c r="AV18" s="897">
        <f>SUMIFS('Other Costs'!BA$5:BA$167,'Other Costs'!$D$5:$D$167,Variables!$A41,'Other Costs'!$F$5:$F$167,Miscellaneous!$N$9,'Other Costs'!$G$5:$G$167,"Opex")</f>
        <v>0</v>
      </c>
      <c r="AW18" s="891">
        <f>SUMIFS('Other Costs'!BB$5:BB$167,'Other Costs'!$D$5:$D$167,Variables!$A41,'Other Costs'!$F$5:$F$167,Miscellaneous!$N$9,'Other Costs'!$G$5:$G$167,"Opex")</f>
        <v>0</v>
      </c>
      <c r="AX18" s="892">
        <f>SUMIFS('Other Costs'!BC$5:BC$167,'Other Costs'!$D$5:$D$167,Variables!$A41,'Other Costs'!$F$5:$F$167,Miscellaneous!$N$9,'Other Costs'!$G$5:$G$167,"Opex")</f>
        <v>0</v>
      </c>
      <c r="AY18" s="897">
        <f>SUMIFS('Other Costs'!BD$5:BD$167,'Other Costs'!$D$5:$D$167,Variables!$A41,'Other Costs'!$F$5:$F$167,Miscellaneous!$N$9,'Other Costs'!$G$5:$G$167,"Opex")</f>
        <v>0</v>
      </c>
      <c r="AZ18" s="897">
        <f>SUMIFS('Other Costs'!BE$5:BE$167,'Other Costs'!$D$5:$D$167,Variables!$A41,'Other Costs'!$F$5:$F$167,Miscellaneous!$N$9,'Other Costs'!$G$5:$G$167,"Opex")</f>
        <v>0</v>
      </c>
      <c r="BA18" s="897">
        <f>SUMIFS('Other Costs'!BF$5:BF$167,'Other Costs'!$D$5:$D$167,Variables!$A41,'Other Costs'!$F$5:$F$167,Miscellaneous!$N$9,'Other Costs'!$G$5:$G$167,"Opex")</f>
        <v>0</v>
      </c>
      <c r="BB18" s="897">
        <f>SUMIFS('Other Costs'!BG$5:BG$167,'Other Costs'!$D$5:$D$167,Variables!$A41,'Other Costs'!$F$5:$F$167,Miscellaneous!$N$9,'Other Costs'!$G$5:$G$167,"Opex")</f>
        <v>0</v>
      </c>
      <c r="BC18" s="897">
        <f>SUMIFS('Other Costs'!BH$5:BH$167,'Other Costs'!$D$5:$D$167,Variables!$A41,'Other Costs'!$F$5:$F$167,Miscellaneous!$N$9,'Other Costs'!$G$5:$G$167,"Opex")</f>
        <v>0</v>
      </c>
      <c r="BD18" s="897">
        <f>SUMIFS('Other Costs'!BI$5:BI$167,'Other Costs'!$D$5:$D$167,Variables!$A41,'Other Costs'!$F$5:$F$167,Miscellaneous!$N$9,'Other Costs'!$G$5:$G$167,"Opex")</f>
        <v>0</v>
      </c>
      <c r="BE18" s="897">
        <f>SUMIFS('Other Costs'!BJ$5:BJ$167,'Other Costs'!$D$5:$D$167,Variables!$A41,'Other Costs'!$F$5:$F$167,Miscellaneous!$N$9,'Other Costs'!$G$5:$G$167,"Opex")</f>
        <v>0</v>
      </c>
      <c r="BF18" s="897">
        <f>SUMIFS('Other Costs'!BK$5:BK$167,'Other Costs'!$D$5:$D$167,Variables!$A41,'Other Costs'!$F$5:$F$167,Miscellaneous!$N$9,'Other Costs'!$G$5:$G$167,"Opex")</f>
        <v>0</v>
      </c>
      <c r="BG18" s="897">
        <f>SUMIFS('Other Costs'!BL$5:BL$167,'Other Costs'!$D$5:$D$167,Variables!$A41,'Other Costs'!$F$5:$F$167,Miscellaneous!$N$9,'Other Costs'!$G$5:$G$167,"Opex")</f>
        <v>0</v>
      </c>
      <c r="BH18" s="897">
        <f>SUMIFS('Other Costs'!BM$5:BM$167,'Other Costs'!$D$5:$D$167,Variables!$A41,'Other Costs'!$F$5:$F$167,Miscellaneous!$N$9,'Other Costs'!$G$5:$G$167,"Opex")</f>
        <v>0</v>
      </c>
      <c r="BI18" s="891">
        <f>SUMIFS('Other Costs'!BN$5:BN$167,'Other Costs'!$D$5:$D$167,Variables!$A41,'Other Costs'!$F$5:$F$167,Miscellaneous!$N$9,'Other Costs'!$G$5:$G$167,"Opex")</f>
        <v>0</v>
      </c>
      <c r="BJ18" s="892">
        <f>SUMIFS('Other Costs'!BO$5:BO$167,'Other Costs'!$D$5:$D$167,Variables!$A41,'Other Costs'!$F$5:$F$167,Miscellaneous!$N$9,'Other Costs'!$G$5:$G$167,"Opex")</f>
        <v>0</v>
      </c>
      <c r="BK18" s="897">
        <f>SUMIFS('Other Costs'!BP$5:BP$167,'Other Costs'!$D$5:$D$167,Variables!$A41,'Other Costs'!$F$5:$F$167,Miscellaneous!$N$9,'Other Costs'!$G$5:$G$167,"Opex")</f>
        <v>0</v>
      </c>
      <c r="BL18" s="897">
        <f>SUMIFS('Other Costs'!BQ$5:BQ$167,'Other Costs'!$D$5:$D$167,Variables!$A41,'Other Costs'!$F$5:$F$167,Miscellaneous!$N$9,'Other Costs'!$G$5:$G$167,"Opex")</f>
        <v>0</v>
      </c>
      <c r="BM18" s="897">
        <f>SUMIFS('Other Costs'!BR$5:BR$167,'Other Costs'!$D$5:$D$167,Variables!$A41,'Other Costs'!$F$5:$F$167,Miscellaneous!$N$9,'Other Costs'!$G$5:$G$167,"Opex")</f>
        <v>0</v>
      </c>
      <c r="BN18" s="897">
        <f>SUMIFS('Other Costs'!BS$5:BS$167,'Other Costs'!$D$5:$D$167,Variables!$A41,'Other Costs'!$F$5:$F$167,Miscellaneous!$N$9,'Other Costs'!$G$5:$G$167,"Opex")</f>
        <v>0</v>
      </c>
      <c r="BO18" s="897">
        <f>SUMIFS('Other Costs'!BT$5:BT$167,'Other Costs'!$D$5:$D$167,Variables!$A41,'Other Costs'!$F$5:$F$167,Miscellaneous!$N$9,'Other Costs'!$G$5:$G$167,"Opex")</f>
        <v>0</v>
      </c>
      <c r="BP18" s="897">
        <f>SUMIFS('Other Costs'!BU$5:BU$167,'Other Costs'!$D$5:$D$167,Variables!$A41,'Other Costs'!$F$5:$F$167,Miscellaneous!$N$9,'Other Costs'!$G$5:$G$167,"Opex")</f>
        <v>0</v>
      </c>
      <c r="BQ18" s="897">
        <f>SUMIFS('Other Costs'!BV$5:BV$167,'Other Costs'!$D$5:$D$167,Variables!$A41,'Other Costs'!$F$5:$F$167,Miscellaneous!$N$9,'Other Costs'!$G$5:$G$167,"Opex")</f>
        <v>0</v>
      </c>
      <c r="BR18" s="897">
        <f>SUMIFS('Other Costs'!BW$5:BW$167,'Other Costs'!$D$5:$D$167,Variables!$A41,'Other Costs'!$F$5:$F$167,Miscellaneous!$N$9,'Other Costs'!$G$5:$G$167,"Opex")</f>
        <v>0</v>
      </c>
      <c r="BS18" s="897">
        <f>SUMIFS('Other Costs'!BX$5:BX$167,'Other Costs'!$D$5:$D$167,Variables!$A41,'Other Costs'!$F$5:$F$167,Miscellaneous!$N$9,'Other Costs'!$G$5:$G$167,"Opex")</f>
        <v>0</v>
      </c>
      <c r="BT18" s="897">
        <f>SUMIFS('Other Costs'!BY$5:BY$167,'Other Costs'!$D$5:$D$167,Variables!$A41,'Other Costs'!$F$5:$F$167,Miscellaneous!$N$9,'Other Costs'!$G$5:$G$167,"Opex")</f>
        <v>0</v>
      </c>
      <c r="BU18" s="891">
        <f>SUMIFS('Other Costs'!BZ$5:BZ$167,'Other Costs'!$D$5:$D$167,Variables!$A41,'Other Costs'!$F$5:$F$167,Miscellaneous!$N$9,'Other Costs'!$G$5:$G$167,"Opex")</f>
        <v>0</v>
      </c>
      <c r="BV18" s="892">
        <f>SUMIFS('Other Costs'!CA$5:CA$167,'Other Costs'!$D$5:$D$167,Variables!$A41,'Other Costs'!$F$5:$F$167,Miscellaneous!$N$9,'Other Costs'!$G$5:$G$167,"Opex")</f>
        <v>0</v>
      </c>
      <c r="BW18" s="893">
        <f>SUMIFS(C18:BV18,$C$75:$BV$75,"")</f>
        <v>0</v>
      </c>
      <c r="BX18" s="894">
        <f>SUM(SUMIFS(C18:N18,$C$2:$N$2,{"Dev","Impl","PIS","Close"},$C$75:$N$75,""))</f>
        <v>0</v>
      </c>
      <c r="BY18" s="894">
        <f>SUM(SUMIFS(O18:Z18,$O$2:$Z$2,{"Dev","Impl","PIS","Close"},$O$75:$Z$75,""))</f>
        <v>0</v>
      </c>
      <c r="BZ18" s="894">
        <f>SUM(SUMIFS(AA18:AL18,$AA$2:$AL$2,{"Dev","Impl","PIS","Close"},$AA$75:$AL$75,""))</f>
        <v>0</v>
      </c>
      <c r="CA18" s="894">
        <f>SUM(SUMIFS(AM18:AX18,$AM$2:$AX$2,{"Dev","Impl","PIS","Close"},$AM$75:$AX$75,""))</f>
        <v>0</v>
      </c>
      <c r="CB18" s="894">
        <f>SUM(SUMIFS(AY18:BJ18,$AY$2:$BJ$2,{"Dev","Impl","PIS","Close"},$AY$75:$BJ$75,""))</f>
        <v>0</v>
      </c>
      <c r="CC18" s="894">
        <f>SUM(SUMIFS(BK18:BV18,$BK$2:$BV$2,{"Dev","Impl","PIS","Close"},$BK$75:$BV$75,""))</f>
        <v>0</v>
      </c>
    </row>
    <row r="19" spans="1:89" s="4" customFormat="1">
      <c r="A19" s="6" t="s">
        <v>219</v>
      </c>
      <c r="B19" s="108"/>
      <c r="C19" s="897">
        <f>SUMIFS('Other Costs'!H$5:H$167,'Other Costs'!$D$5:$D$167,Variables!$A42,'Other Costs'!$F$5:$F$167,Miscellaneous!$N$9,'Other Costs'!$G$5:$G$167,"Opex")</f>
        <v>0</v>
      </c>
      <c r="D19" s="897">
        <f>SUMIFS('Other Costs'!I$5:I$167,'Other Costs'!$D$5:$D$167,Variables!$A42,'Other Costs'!$F$5:$F$167,Miscellaneous!$N$9,'Other Costs'!$G$5:$G$167,"Opex")</f>
        <v>0</v>
      </c>
      <c r="E19" s="897">
        <f>SUMIFS('Other Costs'!J$5:J$167,'Other Costs'!$D$5:$D$167,Variables!$A42,'Other Costs'!$F$5:$F$167,Miscellaneous!$N$9,'Other Costs'!$G$5:$G$167,"Opex")</f>
        <v>0</v>
      </c>
      <c r="F19" s="897">
        <f>SUMIFS('Other Costs'!K$5:K$167,'Other Costs'!$D$5:$D$167,Variables!$A42,'Other Costs'!$F$5:$F$167,Miscellaneous!$N$9,'Other Costs'!$G$5:$G$167,"Opex")</f>
        <v>0</v>
      </c>
      <c r="G19" s="897">
        <f>SUMIFS('Other Costs'!L$5:L$167,'Other Costs'!$D$5:$D$167,Variables!$A42,'Other Costs'!$F$5:$F$167,Miscellaneous!$N$9,'Other Costs'!$G$5:$G$167,"Opex")</f>
        <v>0</v>
      </c>
      <c r="H19" s="897">
        <f>SUMIFS('Other Costs'!M$5:M$167,'Other Costs'!$D$5:$D$167,Variables!$A42,'Other Costs'!$F$5:$F$167,Miscellaneous!$N$9,'Other Costs'!$G$5:$G$167,"Opex")</f>
        <v>0</v>
      </c>
      <c r="I19" s="897">
        <f>SUMIFS('Other Costs'!N$5:N$167,'Other Costs'!$D$5:$D$167,Variables!$A42,'Other Costs'!$F$5:$F$167,Miscellaneous!$N$9,'Other Costs'!$G$5:$G$167,"Opex")</f>
        <v>0</v>
      </c>
      <c r="J19" s="897">
        <f>SUMIFS('Other Costs'!O$5:O$167,'Other Costs'!$D$5:$D$167,Variables!$A42,'Other Costs'!$F$5:$F$167,Miscellaneous!$N$9,'Other Costs'!$G$5:$G$167,"Opex")</f>
        <v>0</v>
      </c>
      <c r="K19" s="897">
        <f>SUMIFS('Other Costs'!P$5:P$167,'Other Costs'!$D$5:$D$167,Variables!$A42,'Other Costs'!$F$5:$F$167,Miscellaneous!$N$9,'Other Costs'!$G$5:$G$167,"Opex")</f>
        <v>0</v>
      </c>
      <c r="L19" s="897">
        <f>SUMIFS('Other Costs'!Q$5:Q$167,'Other Costs'!$D$5:$D$167,Variables!$A42,'Other Costs'!$F$5:$F$167,Miscellaneous!$N$9,'Other Costs'!$G$5:$G$167,"Opex")</f>
        <v>0</v>
      </c>
      <c r="M19" s="891">
        <f>SUMIFS('Other Costs'!R$5:R$167,'Other Costs'!$D$5:$D$167,Variables!$A42,'Other Costs'!$F$5:$F$167,Miscellaneous!$N$9,'Other Costs'!$G$5:$G$167,"Opex")</f>
        <v>0</v>
      </c>
      <c r="N19" s="892">
        <f>SUMIFS('Other Costs'!S$5:S$167,'Other Costs'!$D$5:$D$167,Variables!$A42,'Other Costs'!$F$5:$F$167,Miscellaneous!$N$9,'Other Costs'!$G$5:$G$167,"Opex")</f>
        <v>0</v>
      </c>
      <c r="O19" s="897">
        <f>SUMIFS('Other Costs'!T$5:T$167,'Other Costs'!$D$5:$D$167,Variables!$A42,'Other Costs'!$F$5:$F$167,Miscellaneous!$N$9,'Other Costs'!$G$5:$G$167,"Opex")</f>
        <v>0</v>
      </c>
      <c r="P19" s="897">
        <f>SUMIFS('Other Costs'!U$5:U$167,'Other Costs'!$D$5:$D$167,Variables!$A42,'Other Costs'!$F$5:$F$167,Miscellaneous!$N$9,'Other Costs'!$G$5:$G$167,"Opex")</f>
        <v>0</v>
      </c>
      <c r="Q19" s="897">
        <f>SUMIFS('Other Costs'!V$5:V$167,'Other Costs'!$D$5:$D$167,Variables!$A42,'Other Costs'!$F$5:$F$167,Miscellaneous!$N$9,'Other Costs'!$G$5:$G$167,"Opex")</f>
        <v>0</v>
      </c>
      <c r="R19" s="897">
        <f>SUMIFS('Other Costs'!W$5:W$167,'Other Costs'!$D$5:$D$167,Variables!$A42,'Other Costs'!$F$5:$F$167,Miscellaneous!$N$9,'Other Costs'!$G$5:$G$167,"Opex")</f>
        <v>0</v>
      </c>
      <c r="S19" s="897">
        <f>SUMIFS('Other Costs'!X$5:X$167,'Other Costs'!$D$5:$D$167,Variables!$A42,'Other Costs'!$F$5:$F$167,Miscellaneous!$N$9,'Other Costs'!$G$5:$G$167,"Opex")</f>
        <v>0</v>
      </c>
      <c r="T19" s="897">
        <f>SUMIFS('Other Costs'!Y$5:Y$167,'Other Costs'!$D$5:$D$167,Variables!$A42,'Other Costs'!$F$5:$F$167,Miscellaneous!$N$9,'Other Costs'!$G$5:$G$167,"Opex")</f>
        <v>0</v>
      </c>
      <c r="U19" s="897">
        <f>SUMIFS('Other Costs'!Z$5:Z$167,'Other Costs'!$D$5:$D$167,Variables!$A42,'Other Costs'!$F$5:$F$167,Miscellaneous!$N$9,'Other Costs'!$G$5:$G$167,"Opex")</f>
        <v>0</v>
      </c>
      <c r="V19" s="897">
        <f>SUMIFS('Other Costs'!AA$5:AA$167,'Other Costs'!$D$5:$D$167,Variables!$A42,'Other Costs'!$F$5:$F$167,Miscellaneous!$N$9,'Other Costs'!$G$5:$G$167,"Opex")</f>
        <v>0</v>
      </c>
      <c r="W19" s="897">
        <f>SUMIFS('Other Costs'!AB$5:AB$167,'Other Costs'!$D$5:$D$167,Variables!$A42,'Other Costs'!$F$5:$F$167,Miscellaneous!$N$9,'Other Costs'!$G$5:$G$167,"Opex")</f>
        <v>0</v>
      </c>
      <c r="X19" s="897">
        <f>SUMIFS('Other Costs'!AC$5:AC$167,'Other Costs'!$D$5:$D$167,Variables!$A42,'Other Costs'!$F$5:$F$167,Miscellaneous!$N$9,'Other Costs'!$G$5:$G$167,"Opex")</f>
        <v>0</v>
      </c>
      <c r="Y19" s="891">
        <f>SUMIFS('Other Costs'!AD$5:AD$167,'Other Costs'!$D$5:$D$167,Variables!$A42,'Other Costs'!$F$5:$F$167,Miscellaneous!$N$9,'Other Costs'!$G$5:$G$167,"Opex")</f>
        <v>0</v>
      </c>
      <c r="Z19" s="892">
        <f>SUMIFS('Other Costs'!AE$5:AE$167,'Other Costs'!$D$5:$D$167,Variables!$A42,'Other Costs'!$F$5:$F$167,Miscellaneous!$N$9,'Other Costs'!$G$5:$G$167,"Opex")</f>
        <v>0</v>
      </c>
      <c r="AA19" s="897">
        <f>SUMIFS('Other Costs'!AF$5:AF$167,'Other Costs'!$D$5:$D$167,Variables!$A42,'Other Costs'!$F$5:$F$167,Miscellaneous!$N$9,'Other Costs'!$G$5:$G$167,"Opex")</f>
        <v>0</v>
      </c>
      <c r="AB19" s="897">
        <f>SUMIFS('Other Costs'!AG$5:AG$167,'Other Costs'!$D$5:$D$167,Variables!$A42,'Other Costs'!$F$5:$F$167,Miscellaneous!$N$9,'Other Costs'!$G$5:$G$167,"Opex")</f>
        <v>0</v>
      </c>
      <c r="AC19" s="897">
        <f>SUMIFS('Other Costs'!AH$5:AH$167,'Other Costs'!$D$5:$D$167,Variables!$A42,'Other Costs'!$F$5:$F$167,Miscellaneous!$N$9,'Other Costs'!$G$5:$G$167,"Opex")</f>
        <v>0</v>
      </c>
      <c r="AD19" s="897">
        <f>SUMIFS('Other Costs'!AI$5:AI$167,'Other Costs'!$D$5:$D$167,Variables!$A42,'Other Costs'!$F$5:$F$167,Miscellaneous!$N$9,'Other Costs'!$G$5:$G$167,"Opex")</f>
        <v>0</v>
      </c>
      <c r="AE19" s="897">
        <f>SUMIFS('Other Costs'!AJ$5:AJ$167,'Other Costs'!$D$5:$D$167,Variables!$A42,'Other Costs'!$F$5:$F$167,Miscellaneous!$N$9,'Other Costs'!$G$5:$G$167,"Opex")</f>
        <v>0</v>
      </c>
      <c r="AF19" s="897">
        <f>SUMIFS('Other Costs'!AK$5:AK$167,'Other Costs'!$D$5:$D$167,Variables!$A42,'Other Costs'!$F$5:$F$167,Miscellaneous!$N$9,'Other Costs'!$G$5:$G$167,"Opex")</f>
        <v>0</v>
      </c>
      <c r="AG19" s="897">
        <f>SUMIFS('Other Costs'!AL$5:AL$167,'Other Costs'!$D$5:$D$167,Variables!$A42,'Other Costs'!$F$5:$F$167,Miscellaneous!$N$9,'Other Costs'!$G$5:$G$167,"Opex")</f>
        <v>0</v>
      </c>
      <c r="AH19" s="897">
        <f>SUMIFS('Other Costs'!AM$5:AM$167,'Other Costs'!$D$5:$D$167,Variables!$A42,'Other Costs'!$F$5:$F$167,Miscellaneous!$N$9,'Other Costs'!$G$5:$G$167,"Opex")</f>
        <v>0</v>
      </c>
      <c r="AI19" s="897">
        <f>SUMIFS('Other Costs'!AN$5:AN$167,'Other Costs'!$D$5:$D$167,Variables!$A42,'Other Costs'!$F$5:$F$167,Miscellaneous!$N$9,'Other Costs'!$G$5:$G$167,"Opex")</f>
        <v>0</v>
      </c>
      <c r="AJ19" s="897">
        <f>SUMIFS('Other Costs'!AO$5:AO$167,'Other Costs'!$D$5:$D$167,Variables!$A42,'Other Costs'!$F$5:$F$167,Miscellaneous!$N$9,'Other Costs'!$G$5:$G$167,"Opex")</f>
        <v>0</v>
      </c>
      <c r="AK19" s="891">
        <f>SUMIFS('Other Costs'!AP$5:AP$167,'Other Costs'!$D$5:$D$167,Variables!$A42,'Other Costs'!$F$5:$F$167,Miscellaneous!$N$9,'Other Costs'!$G$5:$G$167,"Opex")</f>
        <v>0</v>
      </c>
      <c r="AL19" s="892">
        <f>SUMIFS('Other Costs'!AQ$5:AQ$167,'Other Costs'!$D$5:$D$167,Variables!$A42,'Other Costs'!$F$5:$F$167,Miscellaneous!$N$9,'Other Costs'!$G$5:$G$167,"Opex")</f>
        <v>0</v>
      </c>
      <c r="AM19" s="897">
        <f>SUMIFS('Other Costs'!AR$5:AR$167,'Other Costs'!$D$5:$D$167,Variables!$A42,'Other Costs'!$F$5:$F$167,Miscellaneous!$N$9,'Other Costs'!$G$5:$G$167,"Opex")</f>
        <v>0</v>
      </c>
      <c r="AN19" s="897">
        <f>SUMIFS('Other Costs'!AS$5:AS$167,'Other Costs'!$D$5:$D$167,Variables!$A42,'Other Costs'!$F$5:$F$167,Miscellaneous!$N$9,'Other Costs'!$G$5:$G$167,"Opex")</f>
        <v>0</v>
      </c>
      <c r="AO19" s="897">
        <f>SUMIFS('Other Costs'!AT$5:AT$167,'Other Costs'!$D$5:$D$167,Variables!$A42,'Other Costs'!$F$5:$F$167,Miscellaneous!$N$9,'Other Costs'!$G$5:$G$167,"Opex")</f>
        <v>0</v>
      </c>
      <c r="AP19" s="897">
        <f>SUMIFS('Other Costs'!AU$5:AU$167,'Other Costs'!$D$5:$D$167,Variables!$A42,'Other Costs'!$F$5:$F$167,Miscellaneous!$N$9,'Other Costs'!$G$5:$G$167,"Opex")</f>
        <v>0</v>
      </c>
      <c r="AQ19" s="897">
        <f>SUMIFS('Other Costs'!AV$5:AV$167,'Other Costs'!$D$5:$D$167,Variables!$A42,'Other Costs'!$F$5:$F$167,Miscellaneous!$N$9,'Other Costs'!$G$5:$G$167,"Opex")</f>
        <v>0</v>
      </c>
      <c r="AR19" s="897">
        <f>SUMIFS('Other Costs'!AW$5:AW$167,'Other Costs'!$D$5:$D$167,Variables!$A42,'Other Costs'!$F$5:$F$167,Miscellaneous!$N$9,'Other Costs'!$G$5:$G$167,"Opex")</f>
        <v>0</v>
      </c>
      <c r="AS19" s="897">
        <f>SUMIFS('Other Costs'!AX$5:AX$167,'Other Costs'!$D$5:$D$167,Variables!$A42,'Other Costs'!$F$5:$F$167,Miscellaneous!$N$9,'Other Costs'!$G$5:$G$167,"Opex")</f>
        <v>0</v>
      </c>
      <c r="AT19" s="897">
        <f>SUMIFS('Other Costs'!AY$5:AY$167,'Other Costs'!$D$5:$D$167,Variables!$A42,'Other Costs'!$F$5:$F$167,Miscellaneous!$N$9,'Other Costs'!$G$5:$G$167,"Opex")</f>
        <v>0</v>
      </c>
      <c r="AU19" s="897">
        <f>SUMIFS('Other Costs'!AZ$5:AZ$167,'Other Costs'!$D$5:$D$167,Variables!$A42,'Other Costs'!$F$5:$F$167,Miscellaneous!$N$9,'Other Costs'!$G$5:$G$167,"Opex")</f>
        <v>0</v>
      </c>
      <c r="AV19" s="897">
        <f>SUMIFS('Other Costs'!BA$5:BA$167,'Other Costs'!$D$5:$D$167,Variables!$A42,'Other Costs'!$F$5:$F$167,Miscellaneous!$N$9,'Other Costs'!$G$5:$G$167,"Opex")</f>
        <v>0</v>
      </c>
      <c r="AW19" s="891">
        <f>SUMIFS('Other Costs'!BB$5:BB$167,'Other Costs'!$D$5:$D$167,Variables!$A42,'Other Costs'!$F$5:$F$167,Miscellaneous!$N$9,'Other Costs'!$G$5:$G$167,"Opex")</f>
        <v>0</v>
      </c>
      <c r="AX19" s="892">
        <f>SUMIFS('Other Costs'!BC$5:BC$167,'Other Costs'!$D$5:$D$167,Variables!$A42,'Other Costs'!$F$5:$F$167,Miscellaneous!$N$9,'Other Costs'!$G$5:$G$167,"Opex")</f>
        <v>0</v>
      </c>
      <c r="AY19" s="897">
        <f>SUMIFS('Other Costs'!BD$5:BD$167,'Other Costs'!$D$5:$D$167,Variables!$A42,'Other Costs'!$F$5:$F$167,Miscellaneous!$N$9,'Other Costs'!$G$5:$G$167,"Opex")</f>
        <v>0</v>
      </c>
      <c r="AZ19" s="897">
        <f>SUMIFS('Other Costs'!BE$5:BE$167,'Other Costs'!$D$5:$D$167,Variables!$A42,'Other Costs'!$F$5:$F$167,Miscellaneous!$N$9,'Other Costs'!$G$5:$G$167,"Opex")</f>
        <v>0</v>
      </c>
      <c r="BA19" s="897">
        <f>SUMIFS('Other Costs'!BF$5:BF$167,'Other Costs'!$D$5:$D$167,Variables!$A42,'Other Costs'!$F$5:$F$167,Miscellaneous!$N$9,'Other Costs'!$G$5:$G$167,"Opex")</f>
        <v>0</v>
      </c>
      <c r="BB19" s="897">
        <f>SUMIFS('Other Costs'!BG$5:BG$167,'Other Costs'!$D$5:$D$167,Variables!$A42,'Other Costs'!$F$5:$F$167,Miscellaneous!$N$9,'Other Costs'!$G$5:$G$167,"Opex")</f>
        <v>0</v>
      </c>
      <c r="BC19" s="897">
        <f>SUMIFS('Other Costs'!BH$5:BH$167,'Other Costs'!$D$5:$D$167,Variables!$A42,'Other Costs'!$F$5:$F$167,Miscellaneous!$N$9,'Other Costs'!$G$5:$G$167,"Opex")</f>
        <v>0</v>
      </c>
      <c r="BD19" s="897">
        <f>SUMIFS('Other Costs'!BI$5:BI$167,'Other Costs'!$D$5:$D$167,Variables!$A42,'Other Costs'!$F$5:$F$167,Miscellaneous!$N$9,'Other Costs'!$G$5:$G$167,"Opex")</f>
        <v>0</v>
      </c>
      <c r="BE19" s="897">
        <f>SUMIFS('Other Costs'!BJ$5:BJ$167,'Other Costs'!$D$5:$D$167,Variables!$A42,'Other Costs'!$F$5:$F$167,Miscellaneous!$N$9,'Other Costs'!$G$5:$G$167,"Opex")</f>
        <v>0</v>
      </c>
      <c r="BF19" s="897">
        <f>SUMIFS('Other Costs'!BK$5:BK$167,'Other Costs'!$D$5:$D$167,Variables!$A42,'Other Costs'!$F$5:$F$167,Miscellaneous!$N$9,'Other Costs'!$G$5:$G$167,"Opex")</f>
        <v>0</v>
      </c>
      <c r="BG19" s="897">
        <f>SUMIFS('Other Costs'!BL$5:BL$167,'Other Costs'!$D$5:$D$167,Variables!$A42,'Other Costs'!$F$5:$F$167,Miscellaneous!$N$9,'Other Costs'!$G$5:$G$167,"Opex")</f>
        <v>0</v>
      </c>
      <c r="BH19" s="897">
        <f>SUMIFS('Other Costs'!BM$5:BM$167,'Other Costs'!$D$5:$D$167,Variables!$A42,'Other Costs'!$F$5:$F$167,Miscellaneous!$N$9,'Other Costs'!$G$5:$G$167,"Opex")</f>
        <v>0</v>
      </c>
      <c r="BI19" s="891">
        <f>SUMIFS('Other Costs'!BN$5:BN$167,'Other Costs'!$D$5:$D$167,Variables!$A42,'Other Costs'!$F$5:$F$167,Miscellaneous!$N$9,'Other Costs'!$G$5:$G$167,"Opex")</f>
        <v>0</v>
      </c>
      <c r="BJ19" s="892">
        <f>SUMIFS('Other Costs'!BO$5:BO$167,'Other Costs'!$D$5:$D$167,Variables!$A42,'Other Costs'!$F$5:$F$167,Miscellaneous!$N$9,'Other Costs'!$G$5:$G$167,"Opex")</f>
        <v>0</v>
      </c>
      <c r="BK19" s="897">
        <f>SUMIFS('Other Costs'!BP$5:BP$167,'Other Costs'!$D$5:$D$167,Variables!$A42,'Other Costs'!$F$5:$F$167,Miscellaneous!$N$9,'Other Costs'!$G$5:$G$167,"Opex")</f>
        <v>0</v>
      </c>
      <c r="BL19" s="897">
        <f>SUMIFS('Other Costs'!BQ$5:BQ$167,'Other Costs'!$D$5:$D$167,Variables!$A42,'Other Costs'!$F$5:$F$167,Miscellaneous!$N$9,'Other Costs'!$G$5:$G$167,"Opex")</f>
        <v>0</v>
      </c>
      <c r="BM19" s="897">
        <f>SUMIFS('Other Costs'!BR$5:BR$167,'Other Costs'!$D$5:$D$167,Variables!$A42,'Other Costs'!$F$5:$F$167,Miscellaneous!$N$9,'Other Costs'!$G$5:$G$167,"Opex")</f>
        <v>0</v>
      </c>
      <c r="BN19" s="897">
        <f>SUMIFS('Other Costs'!BS$5:BS$167,'Other Costs'!$D$5:$D$167,Variables!$A42,'Other Costs'!$F$5:$F$167,Miscellaneous!$N$9,'Other Costs'!$G$5:$G$167,"Opex")</f>
        <v>0</v>
      </c>
      <c r="BO19" s="897">
        <f>SUMIFS('Other Costs'!BT$5:BT$167,'Other Costs'!$D$5:$D$167,Variables!$A42,'Other Costs'!$F$5:$F$167,Miscellaneous!$N$9,'Other Costs'!$G$5:$G$167,"Opex")</f>
        <v>0</v>
      </c>
      <c r="BP19" s="897">
        <f>SUMIFS('Other Costs'!BU$5:BU$167,'Other Costs'!$D$5:$D$167,Variables!$A42,'Other Costs'!$F$5:$F$167,Miscellaneous!$N$9,'Other Costs'!$G$5:$G$167,"Opex")</f>
        <v>0</v>
      </c>
      <c r="BQ19" s="897">
        <f>SUMIFS('Other Costs'!BV$5:BV$167,'Other Costs'!$D$5:$D$167,Variables!$A42,'Other Costs'!$F$5:$F$167,Miscellaneous!$N$9,'Other Costs'!$G$5:$G$167,"Opex")</f>
        <v>0</v>
      </c>
      <c r="BR19" s="897">
        <f>SUMIFS('Other Costs'!BW$5:BW$167,'Other Costs'!$D$5:$D$167,Variables!$A42,'Other Costs'!$F$5:$F$167,Miscellaneous!$N$9,'Other Costs'!$G$5:$G$167,"Opex")</f>
        <v>0</v>
      </c>
      <c r="BS19" s="897">
        <f>SUMIFS('Other Costs'!BX$5:BX$167,'Other Costs'!$D$5:$D$167,Variables!$A42,'Other Costs'!$F$5:$F$167,Miscellaneous!$N$9,'Other Costs'!$G$5:$G$167,"Opex")</f>
        <v>0</v>
      </c>
      <c r="BT19" s="897">
        <f>SUMIFS('Other Costs'!BY$5:BY$167,'Other Costs'!$D$5:$D$167,Variables!$A42,'Other Costs'!$F$5:$F$167,Miscellaneous!$N$9,'Other Costs'!$G$5:$G$167,"Opex")</f>
        <v>0</v>
      </c>
      <c r="BU19" s="891">
        <f>SUMIFS('Other Costs'!BZ$5:BZ$167,'Other Costs'!$D$5:$D$167,Variables!$A42,'Other Costs'!$F$5:$F$167,Miscellaneous!$N$9,'Other Costs'!$G$5:$G$167,"Opex")</f>
        <v>0</v>
      </c>
      <c r="BV19" s="892">
        <f>SUMIFS('Other Costs'!CA$5:CA$167,'Other Costs'!$D$5:$D$167,Variables!$A42,'Other Costs'!$F$5:$F$167,Miscellaneous!$N$9,'Other Costs'!$G$5:$G$167,"Opex")</f>
        <v>0</v>
      </c>
      <c r="BW19" s="893">
        <f>SUMIFS(C19:BV19,$C$75:$BV$75,"")</f>
        <v>0</v>
      </c>
      <c r="BX19" s="894">
        <f>SUM(SUMIFS(C19:N19,$C$2:$N$2,{"Dev","Impl","PIS","Close"},$C$75:$N$75,""))</f>
        <v>0</v>
      </c>
      <c r="BY19" s="894">
        <f>SUM(SUMIFS(O19:Z19,$O$2:$Z$2,{"Dev","Impl","PIS","Close"},$O$75:$Z$75,""))</f>
        <v>0</v>
      </c>
      <c r="BZ19" s="894">
        <f>SUM(SUMIFS(AA19:AL19,$AA$2:$AL$2,{"Dev","Impl","PIS","Close"},$AA$75:$AL$75,""))</f>
        <v>0</v>
      </c>
      <c r="CA19" s="894">
        <f>SUM(SUMIFS(AM19:AX19,$AM$2:$AX$2,{"Dev","Impl","PIS","Close"},$AM$75:$AX$75,""))</f>
        <v>0</v>
      </c>
      <c r="CB19" s="894">
        <f>SUM(SUMIFS(AY19:BJ19,$AY$2:$BJ$2,{"Dev","Impl","PIS","Close"},$AY$75:$BJ$75,""))</f>
        <v>0</v>
      </c>
      <c r="CC19" s="894">
        <f>SUM(SUMIFS(BK19:BV19,$BK$2:$BV$2,{"Dev","Impl","PIS","Close"},$BK$75:$BV$75,""))</f>
        <v>0</v>
      </c>
    </row>
    <row r="20" spans="1:89" s="4" customFormat="1">
      <c r="A20" s="6" t="s">
        <v>220</v>
      </c>
      <c r="B20" s="108"/>
      <c r="C20" s="897">
        <f>SUMIFS('Other Costs'!H$5:H$167,'Other Costs'!$F$5:$F$167,Miscellaneous!$N$9,'Other Costs'!$G$5:$G$167,"Opex")-SUM(C16:C19)</f>
        <v>0</v>
      </c>
      <c r="D20" s="897">
        <f>SUMIFS('Other Costs'!I$5:I$167,'Other Costs'!$F$5:$F$167,Miscellaneous!$N$9,'Other Costs'!$G$5:$G$167,"Opex")-SUM(D16:D19)</f>
        <v>0</v>
      </c>
      <c r="E20" s="897">
        <f>SUMIFS('Other Costs'!J$5:J$167,'Other Costs'!$F$5:$F$167,Miscellaneous!$N$9,'Other Costs'!$G$5:$G$167,"Opex")-SUM(E16:E19)</f>
        <v>0</v>
      </c>
      <c r="F20" s="897">
        <f>SUMIFS('Other Costs'!K$5:K$167,'Other Costs'!$F$5:$F$167,Miscellaneous!$N$9,'Other Costs'!$G$5:$G$167,"Opex")-SUM(F16:F19)</f>
        <v>0</v>
      </c>
      <c r="G20" s="897">
        <f>SUMIFS('Other Costs'!L$5:L$167,'Other Costs'!$F$5:$F$167,Miscellaneous!$N$9,'Other Costs'!$G$5:$G$167,"Opex")-SUM(G16:G19)</f>
        <v>0</v>
      </c>
      <c r="H20" s="897">
        <f>SUMIFS('Other Costs'!M$5:M$167,'Other Costs'!$F$5:$F$167,Miscellaneous!$N$9,'Other Costs'!$G$5:$G$167,"Opex")-SUM(H16:H19)</f>
        <v>0</v>
      </c>
      <c r="I20" s="897">
        <f>SUMIFS('Other Costs'!N$5:N$167,'Other Costs'!$F$5:$F$167,Miscellaneous!$N$9,'Other Costs'!$G$5:$G$167,"Opex")-SUM(I16:I19)</f>
        <v>0</v>
      </c>
      <c r="J20" s="897">
        <f>SUMIFS('Other Costs'!O$5:O$167,'Other Costs'!$F$5:$F$167,Miscellaneous!$N$9,'Other Costs'!$G$5:$G$167,"Opex")-SUM(J16:J19)</f>
        <v>0</v>
      </c>
      <c r="K20" s="897">
        <f>SUMIFS('Other Costs'!P$5:P$167,'Other Costs'!$F$5:$F$167,Miscellaneous!$N$9,'Other Costs'!$G$5:$G$167,"Opex")-SUM(K16:K19)</f>
        <v>0</v>
      </c>
      <c r="L20" s="897">
        <f>SUMIFS('Other Costs'!Q$5:Q$167,'Other Costs'!$F$5:$F$167,Miscellaneous!$N$9,'Other Costs'!$G$5:$G$167,"Opex")-SUM(L16:L19)</f>
        <v>0</v>
      </c>
      <c r="M20" s="897">
        <f>SUMIFS('Other Costs'!R$5:R$167,'Other Costs'!$F$5:$F$167,Miscellaneous!$N$9,'Other Costs'!$G$5:$G$167,"Opex")-SUM(M16:M19)</f>
        <v>0</v>
      </c>
      <c r="N20" s="899">
        <f>SUMIFS('Other Costs'!S$5:S$167,'Other Costs'!$F$5:$F$167,Miscellaneous!$N$9,'Other Costs'!$G$5:$G$167,"Opex")-SUM(N16:N19)</f>
        <v>0</v>
      </c>
      <c r="O20" s="897">
        <f>SUMIFS('Other Costs'!T$5:T$167,'Other Costs'!$F$5:$F$167,Miscellaneous!$N$9,'Other Costs'!$G$5:$G$167,"Opex")-SUM(O16:O19)</f>
        <v>0</v>
      </c>
      <c r="P20" s="897">
        <f>SUMIFS('Other Costs'!U$5:U$167,'Other Costs'!$F$5:$F$167,Miscellaneous!$N$9,'Other Costs'!$G$5:$G$167,"Opex")-SUM(P16:P19)</f>
        <v>0</v>
      </c>
      <c r="Q20" s="897">
        <f>SUMIFS('Other Costs'!V$5:V$167,'Other Costs'!$F$5:$F$167,Miscellaneous!$N$9,'Other Costs'!$G$5:$G$167,"Opex")-SUM(Q16:Q19)</f>
        <v>0</v>
      </c>
      <c r="R20" s="897">
        <f>SUMIFS('Other Costs'!W$5:W$167,'Other Costs'!$F$5:$F$167,Miscellaneous!$N$9,'Other Costs'!$G$5:$G$167,"Opex")-SUM(R16:R19)</f>
        <v>0</v>
      </c>
      <c r="S20" s="897">
        <f>SUMIFS('Other Costs'!X$5:X$167,'Other Costs'!$F$5:$F$167,Miscellaneous!$N$9,'Other Costs'!$G$5:$G$167,"Opex")-SUM(S16:S19)</f>
        <v>0</v>
      </c>
      <c r="T20" s="897">
        <f>SUMIFS('Other Costs'!Y$5:Y$167,'Other Costs'!$F$5:$F$167,Miscellaneous!$N$9,'Other Costs'!$G$5:$G$167,"Opex")-SUM(T16:T19)</f>
        <v>0</v>
      </c>
      <c r="U20" s="897">
        <f>SUMIFS('Other Costs'!Z$5:Z$167,'Other Costs'!$F$5:$F$167,Miscellaneous!$N$9,'Other Costs'!$G$5:$G$167,"Opex")-SUM(U16:U19)</f>
        <v>0</v>
      </c>
      <c r="V20" s="897">
        <f>SUMIFS('Other Costs'!AA$5:AA$167,'Other Costs'!$F$5:$F$167,Miscellaneous!$N$9,'Other Costs'!$G$5:$G$167,"Opex")-SUM(V16:V19)</f>
        <v>0</v>
      </c>
      <c r="W20" s="897">
        <f>SUMIFS('Other Costs'!AB$5:AB$167,'Other Costs'!$F$5:$F$167,Miscellaneous!$N$9,'Other Costs'!$G$5:$G$167,"Opex")-SUM(W16:W19)</f>
        <v>0</v>
      </c>
      <c r="X20" s="897">
        <f>SUMIFS('Other Costs'!AC$5:AC$167,'Other Costs'!$F$5:$F$167,Miscellaneous!$N$9,'Other Costs'!$G$5:$G$167,"Opex")-SUM(X16:X19)</f>
        <v>0</v>
      </c>
      <c r="Y20" s="897">
        <f>SUMIFS('Other Costs'!AD$5:AD$167,'Other Costs'!$F$5:$F$167,Miscellaneous!$N$9,'Other Costs'!$G$5:$G$167,"Opex")-SUM(Y16:Y19)</f>
        <v>0</v>
      </c>
      <c r="Z20" s="899">
        <f>SUMIFS('Other Costs'!AE$5:AE$167,'Other Costs'!$F$5:$F$167,Miscellaneous!$N$9,'Other Costs'!$G$5:$G$167,"Opex")-SUM(Z16:Z19)</f>
        <v>0</v>
      </c>
      <c r="AA20" s="897">
        <f>SUMIFS('Other Costs'!AF$5:AF$167,'Other Costs'!$F$5:$F$167,Miscellaneous!$N$9,'Other Costs'!$G$5:$G$167,"Opex")-SUM(AA16:AA19)</f>
        <v>0</v>
      </c>
      <c r="AB20" s="897">
        <f>SUMIFS('Other Costs'!AG$5:AG$167,'Other Costs'!$F$5:$F$167,Miscellaneous!$N$9,'Other Costs'!$G$5:$G$167,"Opex")-SUM(AB16:AB19)</f>
        <v>0</v>
      </c>
      <c r="AC20" s="897">
        <f>SUMIFS('Other Costs'!AH$5:AH$167,'Other Costs'!$F$5:$F$167,Miscellaneous!$N$9,'Other Costs'!$G$5:$G$167,"Opex")-SUM(AC16:AC19)</f>
        <v>0</v>
      </c>
      <c r="AD20" s="897">
        <f>SUMIFS('Other Costs'!AI$5:AI$167,'Other Costs'!$F$5:$F$167,Miscellaneous!$N$9,'Other Costs'!$G$5:$G$167,"Opex")-SUM(AD16:AD19)</f>
        <v>0</v>
      </c>
      <c r="AE20" s="897">
        <f>SUMIFS('Other Costs'!AJ$5:AJ$167,'Other Costs'!$F$5:$F$167,Miscellaneous!$N$9,'Other Costs'!$G$5:$G$167,"Opex")-SUM(AE16:AE19)</f>
        <v>0</v>
      </c>
      <c r="AF20" s="897">
        <f>SUMIFS('Other Costs'!AK$5:AK$167,'Other Costs'!$F$5:$F$167,Miscellaneous!$N$9,'Other Costs'!$G$5:$G$167,"Opex")-SUM(AF16:AF19)</f>
        <v>0</v>
      </c>
      <c r="AG20" s="897">
        <f>SUMIFS('Other Costs'!AL$5:AL$167,'Other Costs'!$F$5:$F$167,Miscellaneous!$N$9,'Other Costs'!$G$5:$G$167,"Opex")-SUM(AG16:AG19)</f>
        <v>0</v>
      </c>
      <c r="AH20" s="897">
        <f>SUMIFS('Other Costs'!AM$5:AM$167,'Other Costs'!$F$5:$F$167,Miscellaneous!$N$9,'Other Costs'!$G$5:$G$167,"Opex")-SUM(AH16:AH19)</f>
        <v>0</v>
      </c>
      <c r="AI20" s="897">
        <f>SUMIFS('Other Costs'!AN$5:AN$167,'Other Costs'!$F$5:$F$167,Miscellaneous!$N$9,'Other Costs'!$G$5:$G$167,"Opex")-SUM(AI16:AI19)</f>
        <v>0</v>
      </c>
      <c r="AJ20" s="897">
        <f>SUMIFS('Other Costs'!AO$5:AO$167,'Other Costs'!$F$5:$F$167,Miscellaneous!$N$9,'Other Costs'!$G$5:$G$167,"Opex")-SUM(AJ16:AJ19)</f>
        <v>0</v>
      </c>
      <c r="AK20" s="897">
        <f>SUMIFS('Other Costs'!AP$5:AP$167,'Other Costs'!$F$5:$F$167,Miscellaneous!$N$9,'Other Costs'!$G$5:$G$167,"Opex")-SUM(AK16:AK19)</f>
        <v>0</v>
      </c>
      <c r="AL20" s="899">
        <f>SUMIFS('Other Costs'!AQ$5:AQ$167,'Other Costs'!$F$5:$F$167,Miscellaneous!$N$9,'Other Costs'!$G$5:$G$167,"Opex")-SUM(AL16:AL19)</f>
        <v>0</v>
      </c>
      <c r="AM20" s="897">
        <f>SUMIFS('Other Costs'!AR$5:AR$167,'Other Costs'!$F$5:$F$167,Miscellaneous!$N$9,'Other Costs'!$G$5:$G$167,"Opex")-SUM(AM16:AM19)</f>
        <v>0</v>
      </c>
      <c r="AN20" s="897">
        <f>SUMIFS('Other Costs'!AS$5:AS$167,'Other Costs'!$F$5:$F$167,Miscellaneous!$N$9,'Other Costs'!$G$5:$G$167,"Opex")-SUM(AN16:AN19)</f>
        <v>0</v>
      </c>
      <c r="AO20" s="897">
        <f>SUMIFS('Other Costs'!AT$5:AT$167,'Other Costs'!$F$5:$F$167,Miscellaneous!$N$9,'Other Costs'!$G$5:$G$167,"Opex")-SUM(AO16:AO19)</f>
        <v>0</v>
      </c>
      <c r="AP20" s="897">
        <f>SUMIFS('Other Costs'!AU$5:AU$167,'Other Costs'!$F$5:$F$167,Miscellaneous!$N$9,'Other Costs'!$G$5:$G$167,"Opex")-SUM(AP16:AP19)</f>
        <v>0</v>
      </c>
      <c r="AQ20" s="897">
        <f>SUMIFS('Other Costs'!AV$5:AV$167,'Other Costs'!$F$5:$F$167,Miscellaneous!$N$9,'Other Costs'!$G$5:$G$167,"Opex")-SUM(AQ16:AQ19)</f>
        <v>0</v>
      </c>
      <c r="AR20" s="897">
        <f>SUMIFS('Other Costs'!AW$5:AW$167,'Other Costs'!$F$5:$F$167,Miscellaneous!$N$9,'Other Costs'!$G$5:$G$167,"Opex")-SUM(AR16:AR19)</f>
        <v>0</v>
      </c>
      <c r="AS20" s="897">
        <f>SUMIFS('Other Costs'!AX$5:AX$167,'Other Costs'!$F$5:$F$167,Miscellaneous!$N$9,'Other Costs'!$G$5:$G$167,"Opex")-SUM(AS16:AS19)</f>
        <v>0</v>
      </c>
      <c r="AT20" s="897">
        <f>SUMIFS('Other Costs'!AY$5:AY$167,'Other Costs'!$F$5:$F$167,Miscellaneous!$N$9,'Other Costs'!$G$5:$G$167,"Opex")-SUM(AT16:AT19)</f>
        <v>0</v>
      </c>
      <c r="AU20" s="897">
        <f>SUMIFS('Other Costs'!AZ$5:AZ$167,'Other Costs'!$F$5:$F$167,Miscellaneous!$N$9,'Other Costs'!$G$5:$G$167,"Opex")-SUM(AU16:AU19)</f>
        <v>0</v>
      </c>
      <c r="AV20" s="897">
        <f>SUMIFS('Other Costs'!BA$5:BA$167,'Other Costs'!$F$5:$F$167,Miscellaneous!$N$9,'Other Costs'!$G$5:$G$167,"Opex")-SUM(AV16:AV19)</f>
        <v>0</v>
      </c>
      <c r="AW20" s="897">
        <f>SUMIFS('Other Costs'!BB$5:BB$167,'Other Costs'!$F$5:$F$167,Miscellaneous!$N$9,'Other Costs'!$G$5:$G$167,"Opex")-SUM(AW16:AW19)</f>
        <v>0</v>
      </c>
      <c r="AX20" s="899">
        <f>SUMIFS('Other Costs'!BC$5:BC$167,'Other Costs'!$F$5:$F$167,Miscellaneous!$N$9,'Other Costs'!$G$5:$G$167,"Opex")-SUM(AX16:AX19)</f>
        <v>0</v>
      </c>
      <c r="AY20" s="897">
        <f>SUMIFS('Other Costs'!BD$5:BD$167,'Other Costs'!$F$5:$F$167,Miscellaneous!$N$9,'Other Costs'!$G$5:$G$167,"Opex")-SUM(AY16:AY19)</f>
        <v>0</v>
      </c>
      <c r="AZ20" s="897">
        <f>SUMIFS('Other Costs'!BE$5:BE$167,'Other Costs'!$F$5:$F$167,Miscellaneous!$N$9,'Other Costs'!$G$5:$G$167,"Opex")-SUM(AZ16:AZ19)</f>
        <v>0</v>
      </c>
      <c r="BA20" s="897">
        <f>SUMIFS('Other Costs'!BF$5:BF$167,'Other Costs'!$F$5:$F$167,Miscellaneous!$N$9,'Other Costs'!$G$5:$G$167,"Opex")-SUM(BA16:BA19)</f>
        <v>0</v>
      </c>
      <c r="BB20" s="897">
        <f>SUMIFS('Other Costs'!BG$5:BG$167,'Other Costs'!$F$5:$F$167,Miscellaneous!$N$9,'Other Costs'!$G$5:$G$167,"Opex")-SUM(BB16:BB19)</f>
        <v>0</v>
      </c>
      <c r="BC20" s="897">
        <f>SUMIFS('Other Costs'!BH$5:BH$167,'Other Costs'!$F$5:$F$167,Miscellaneous!$N$9,'Other Costs'!$G$5:$G$167,"Opex")-SUM(BC16:BC19)</f>
        <v>0</v>
      </c>
      <c r="BD20" s="897">
        <f>SUMIFS('Other Costs'!BI$5:BI$167,'Other Costs'!$F$5:$F$167,Miscellaneous!$N$9,'Other Costs'!$G$5:$G$167,"Opex")-SUM(BD16:BD19)</f>
        <v>0</v>
      </c>
      <c r="BE20" s="897">
        <f>SUMIFS('Other Costs'!BJ$5:BJ$167,'Other Costs'!$F$5:$F$167,Miscellaneous!$N$9,'Other Costs'!$G$5:$G$167,"Opex")-SUM(BE16:BE19)</f>
        <v>0</v>
      </c>
      <c r="BF20" s="897">
        <f>SUMIFS('Other Costs'!BK$5:BK$167,'Other Costs'!$F$5:$F$167,Miscellaneous!$N$9,'Other Costs'!$G$5:$G$167,"Opex")-SUM(BF16:BF19)</f>
        <v>0</v>
      </c>
      <c r="BG20" s="897">
        <f>SUMIFS('Other Costs'!BL$5:BL$167,'Other Costs'!$F$5:$F$167,Miscellaneous!$N$9,'Other Costs'!$G$5:$G$167,"Opex")-SUM(BG16:BG19)</f>
        <v>0</v>
      </c>
      <c r="BH20" s="897">
        <f>SUMIFS('Other Costs'!BM$5:BM$167,'Other Costs'!$F$5:$F$167,Miscellaneous!$N$9,'Other Costs'!$G$5:$G$167,"Opex")-SUM(BH16:BH19)</f>
        <v>0</v>
      </c>
      <c r="BI20" s="897">
        <f>SUMIFS('Other Costs'!BN$5:BN$167,'Other Costs'!$F$5:$F$167,Miscellaneous!$N$9,'Other Costs'!$G$5:$G$167,"Opex")-SUM(BI16:BI19)</f>
        <v>0</v>
      </c>
      <c r="BJ20" s="899">
        <f>SUMIFS('Other Costs'!BO$5:BO$167,'Other Costs'!$F$5:$F$167,Miscellaneous!$N$9,'Other Costs'!$G$5:$G$167,"Opex")-SUM(BJ16:BJ19)</f>
        <v>0</v>
      </c>
      <c r="BK20" s="897">
        <f>SUMIFS('Other Costs'!BP$5:BP$167,'Other Costs'!$F$5:$F$167,Miscellaneous!$N$9,'Other Costs'!$G$5:$G$167,"Opex")-SUM(BK16:BK19)</f>
        <v>0</v>
      </c>
      <c r="BL20" s="897">
        <f>SUMIFS('Other Costs'!BQ$5:BQ$167,'Other Costs'!$F$5:$F$167,Miscellaneous!$N$9,'Other Costs'!$G$5:$G$167,"Opex")-SUM(BL16:BL19)</f>
        <v>0</v>
      </c>
      <c r="BM20" s="897">
        <f>SUMIFS('Other Costs'!BR$5:BR$167,'Other Costs'!$F$5:$F$167,Miscellaneous!$N$9,'Other Costs'!$G$5:$G$167,"Opex")-SUM(BM16:BM19)</f>
        <v>0</v>
      </c>
      <c r="BN20" s="897">
        <f>SUMIFS('Other Costs'!BS$5:BS$167,'Other Costs'!$F$5:$F$167,Miscellaneous!$N$9,'Other Costs'!$G$5:$G$167,"Opex")-SUM(BN16:BN19)</f>
        <v>0</v>
      </c>
      <c r="BO20" s="897">
        <f>SUMIFS('Other Costs'!BT$5:BT$167,'Other Costs'!$F$5:$F$167,Miscellaneous!$N$9,'Other Costs'!$G$5:$G$167,"Opex")-SUM(BO16:BO19)</f>
        <v>0</v>
      </c>
      <c r="BP20" s="897">
        <f>SUMIFS('Other Costs'!BU$5:BU$167,'Other Costs'!$F$5:$F$167,Miscellaneous!$N$9,'Other Costs'!$G$5:$G$167,"Opex")-SUM(BP16:BP19)</f>
        <v>0</v>
      </c>
      <c r="BQ20" s="897">
        <f>SUMIFS('Other Costs'!BV$5:BV$167,'Other Costs'!$F$5:$F$167,Miscellaneous!$N$9,'Other Costs'!$G$5:$G$167,"Opex")-SUM(BQ16:BQ19)</f>
        <v>0</v>
      </c>
      <c r="BR20" s="897">
        <f>SUMIFS('Other Costs'!BW$5:BW$167,'Other Costs'!$F$5:$F$167,Miscellaneous!$N$9,'Other Costs'!$G$5:$G$167,"Opex")-SUM(BR16:BR19)</f>
        <v>0</v>
      </c>
      <c r="BS20" s="897">
        <f>SUMIFS('Other Costs'!BX$5:BX$167,'Other Costs'!$F$5:$F$167,Miscellaneous!$N$9,'Other Costs'!$G$5:$G$167,"Opex")-SUM(BS16:BS19)</f>
        <v>0</v>
      </c>
      <c r="BT20" s="897">
        <f>SUMIFS('Other Costs'!BY$5:BY$167,'Other Costs'!$F$5:$F$167,Miscellaneous!$N$9,'Other Costs'!$G$5:$G$167,"Opex")-SUM(BT16:BT19)</f>
        <v>0</v>
      </c>
      <c r="BU20" s="897">
        <f>SUMIFS('Other Costs'!BZ$5:BZ$167,'Other Costs'!$F$5:$F$167,Miscellaneous!$N$9,'Other Costs'!$G$5:$G$167,"Opex")-SUM(BU16:BU19)</f>
        <v>0</v>
      </c>
      <c r="BV20" s="899">
        <f>SUMIFS('Other Costs'!CA$5:CA$167,'Other Costs'!$F$5:$F$167,Miscellaneous!$N$9,'Other Costs'!$G$5:$G$167,"Opex")-SUM(BV16:BV19)</f>
        <v>0</v>
      </c>
      <c r="BW20" s="893">
        <f>SUMIFS(C20:BV20,$C$75:$BV$75,"")</f>
        <v>0</v>
      </c>
      <c r="BX20" s="894">
        <f>SUM(SUMIFS(C20:N20,$C$2:$N$2,{"Dev","Impl","PIS","Close"},$C$75:$N$75,""))</f>
        <v>0</v>
      </c>
      <c r="BY20" s="894">
        <f>SUM(SUMIFS(O20:Z20,$O$2:$Z$2,{"Dev","Impl","PIS","Close"},$O$75:$Z$75,""))</f>
        <v>0</v>
      </c>
      <c r="BZ20" s="894">
        <f>SUM(SUMIFS(AA20:AL20,$AA$2:$AL$2,{"Dev","Impl","PIS","Close"},$AA$75:$AL$75,""))</f>
        <v>0</v>
      </c>
      <c r="CA20" s="894">
        <f>SUM(SUMIFS(AM20:AX20,$AM$2:$AX$2,{"Dev","Impl","PIS","Close"},$AM$75:$AX$75,""))</f>
        <v>0</v>
      </c>
      <c r="CB20" s="894">
        <f>SUM(SUMIFS(AY20:BJ20,$AY$2:$BJ$2,{"Dev","Impl","PIS","Close"},$AY$75:$BJ$75,""))</f>
        <v>0</v>
      </c>
      <c r="CC20" s="894">
        <f>SUM(SUMIFS(BK20:BV20,$BK$2:$BV$2,{"Dev","Impl","PIS","Close"},$BK$75:$BV$75,""))</f>
        <v>0</v>
      </c>
    </row>
    <row r="21" spans="1:89" s="4" customFormat="1" ht="15.5">
      <c r="A21" s="32" t="s">
        <v>223</v>
      </c>
      <c r="B21" s="107"/>
      <c r="C21" s="884"/>
      <c r="D21" s="884"/>
      <c r="E21" s="884"/>
      <c r="F21" s="884"/>
      <c r="G21" s="884"/>
      <c r="H21" s="884"/>
      <c r="I21" s="884"/>
      <c r="J21" s="884"/>
      <c r="K21" s="884"/>
      <c r="L21" s="884"/>
      <c r="M21" s="884"/>
      <c r="N21" s="885"/>
      <c r="O21" s="886"/>
      <c r="P21" s="884"/>
      <c r="Q21" s="884"/>
      <c r="R21" s="884"/>
      <c r="S21" s="884"/>
      <c r="T21" s="884"/>
      <c r="U21" s="884"/>
      <c r="V21" s="884"/>
      <c r="W21" s="884"/>
      <c r="X21" s="884"/>
      <c r="Y21" s="884"/>
      <c r="Z21" s="885"/>
      <c r="AA21" s="886"/>
      <c r="AB21" s="884"/>
      <c r="AC21" s="884"/>
      <c r="AD21" s="884"/>
      <c r="AE21" s="884"/>
      <c r="AF21" s="884"/>
      <c r="AG21" s="884"/>
      <c r="AH21" s="884"/>
      <c r="AI21" s="884"/>
      <c r="AJ21" s="884"/>
      <c r="AK21" s="884"/>
      <c r="AL21" s="885"/>
      <c r="AM21" s="886"/>
      <c r="AN21" s="884"/>
      <c r="AO21" s="884"/>
      <c r="AP21" s="884"/>
      <c r="AQ21" s="884"/>
      <c r="AR21" s="884"/>
      <c r="AS21" s="884"/>
      <c r="AT21" s="884"/>
      <c r="AU21" s="884"/>
      <c r="AV21" s="884"/>
      <c r="AW21" s="884"/>
      <c r="AX21" s="885"/>
      <c r="AY21" s="886"/>
      <c r="AZ21" s="884"/>
      <c r="BA21" s="884"/>
      <c r="BB21" s="884"/>
      <c r="BC21" s="884"/>
      <c r="BD21" s="884"/>
      <c r="BE21" s="884"/>
      <c r="BF21" s="884"/>
      <c r="BG21" s="884"/>
      <c r="BH21" s="884"/>
      <c r="BI21" s="884"/>
      <c r="BJ21" s="885"/>
      <c r="BK21" s="886"/>
      <c r="BL21" s="884"/>
      <c r="BM21" s="884"/>
      <c r="BN21" s="884"/>
      <c r="BO21" s="884"/>
      <c r="BP21" s="884"/>
      <c r="BQ21" s="884"/>
      <c r="BR21" s="884"/>
      <c r="BS21" s="884"/>
      <c r="BT21" s="884"/>
      <c r="BU21" s="884"/>
      <c r="BV21" s="885"/>
      <c r="BW21" s="893"/>
      <c r="BX21" s="896"/>
      <c r="BY21" s="896"/>
      <c r="BZ21" s="896"/>
      <c r="CA21" s="896"/>
      <c r="CB21" s="896"/>
      <c r="CC21" s="896"/>
    </row>
    <row r="22" spans="1:89" s="4" customFormat="1">
      <c r="A22" s="6" t="s">
        <v>217</v>
      </c>
      <c r="B22" s="108"/>
      <c r="C22" s="897">
        <f>SUMIFS('Other Costs'!H$5:H$167,'Other Costs'!$D$5:$D$167,Variables!$A39,'Other Costs'!$F$5:$F$167,Miscellaneous!$N$8,'Other Costs'!$G$5:$G$167,"Opex")</f>
        <v>0</v>
      </c>
      <c r="D22" s="897">
        <f>SUMIFS('Other Costs'!I$5:I$167,'Other Costs'!$D$5:$D$167,Variables!$A39,'Other Costs'!$F$5:$F$167,Miscellaneous!$N$8,'Other Costs'!$G$5:$G$167,"Opex")</f>
        <v>0</v>
      </c>
      <c r="E22" s="897">
        <f>SUMIFS('Other Costs'!J$5:J$167,'Other Costs'!$D$5:$D$167,Variables!$A39,'Other Costs'!$F$5:$F$167,Miscellaneous!$N$8,'Other Costs'!$G$5:$G$167,"Opex")</f>
        <v>0</v>
      </c>
      <c r="F22" s="897">
        <f>SUMIFS('Other Costs'!K$5:K$167,'Other Costs'!$D$5:$D$167,Variables!$A39,'Other Costs'!$F$5:$F$167,Miscellaneous!$N$8,'Other Costs'!$G$5:$G$167,"Opex")</f>
        <v>0</v>
      </c>
      <c r="G22" s="897">
        <f>SUMIFS('Other Costs'!L$5:L$167,'Other Costs'!$D$5:$D$167,Variables!$A39,'Other Costs'!$F$5:$F$167,Miscellaneous!$N$8,'Other Costs'!$G$5:$G$167,"Opex")</f>
        <v>0</v>
      </c>
      <c r="H22" s="897">
        <f>SUMIFS('Other Costs'!M$5:M$167,'Other Costs'!$D$5:$D$167,Variables!$A39,'Other Costs'!$F$5:$F$167,Miscellaneous!$N$8,'Other Costs'!$G$5:$G$167,"Opex")</f>
        <v>0</v>
      </c>
      <c r="I22" s="897">
        <f>SUMIFS('Other Costs'!N$5:N$167,'Other Costs'!$D$5:$D$167,Variables!$A39,'Other Costs'!$F$5:$F$167,Miscellaneous!$N$8,'Other Costs'!$G$5:$G$167,"Opex")</f>
        <v>0</v>
      </c>
      <c r="J22" s="897">
        <f>SUMIFS('Other Costs'!O$5:O$167,'Other Costs'!$D$5:$D$167,Variables!$A39,'Other Costs'!$F$5:$F$167,Miscellaneous!$N$8,'Other Costs'!$G$5:$G$167,"Opex")</f>
        <v>0</v>
      </c>
      <c r="K22" s="897">
        <f>SUMIFS('Other Costs'!P$5:P$167,'Other Costs'!$D$5:$D$167,Variables!$A39,'Other Costs'!$F$5:$F$167,Miscellaneous!$N$8,'Other Costs'!$G$5:$G$167,"Opex")</f>
        <v>0</v>
      </c>
      <c r="L22" s="897">
        <f>SUMIFS('Other Costs'!Q$5:Q$167,'Other Costs'!$D$5:$D$167,Variables!$A39,'Other Costs'!$F$5:$F$167,Miscellaneous!$N$8,'Other Costs'!$G$5:$G$167,"Opex")</f>
        <v>0</v>
      </c>
      <c r="M22" s="897">
        <f>SUMIFS('Other Costs'!R$5:R$167,'Other Costs'!$D$5:$D$167,Variables!$A39,'Other Costs'!$F$5:$F$167,Miscellaneous!$N$8,'Other Costs'!$G$5:$G$167,"Opex")</f>
        <v>0</v>
      </c>
      <c r="N22" s="889">
        <f>SUMIFS('Other Costs'!S$5:S$167,'Other Costs'!$D$5:$D$167,Variables!$A39,'Other Costs'!$F$5:$F$167,Miscellaneous!$N$8,'Other Costs'!$G$5:$G$167,"Opex")</f>
        <v>0</v>
      </c>
      <c r="O22" s="897">
        <f>SUMIFS('Other Costs'!T$5:T$167,'Other Costs'!$D$5:$D$167,Variables!$A39,'Other Costs'!$F$5:$F$167,Miscellaneous!$N$8,'Other Costs'!$G$5:$G$167,"Opex")</f>
        <v>0</v>
      </c>
      <c r="P22" s="897">
        <f>SUMIFS('Other Costs'!U$5:U$167,'Other Costs'!$D$5:$D$167,Variables!$A39,'Other Costs'!$F$5:$F$167,Miscellaneous!$N$8,'Other Costs'!$G$5:$G$167,"Opex")</f>
        <v>0</v>
      </c>
      <c r="Q22" s="897">
        <f>SUMIFS('Other Costs'!V$5:V$167,'Other Costs'!$D$5:$D$167,Variables!$A39,'Other Costs'!$F$5:$F$167,Miscellaneous!$N$8,'Other Costs'!$G$5:$G$167,"Opex")</f>
        <v>0</v>
      </c>
      <c r="R22" s="897">
        <f>SUMIFS('Other Costs'!W$5:W$167,'Other Costs'!$D$5:$D$167,Variables!$A39,'Other Costs'!$F$5:$F$167,Miscellaneous!$N$8,'Other Costs'!$G$5:$G$167,"Opex")</f>
        <v>0</v>
      </c>
      <c r="S22" s="897">
        <f>SUMIFS('Other Costs'!X$5:X$167,'Other Costs'!$D$5:$D$167,Variables!$A39,'Other Costs'!$F$5:$F$167,Miscellaneous!$N$8,'Other Costs'!$G$5:$G$167,"Opex")</f>
        <v>0</v>
      </c>
      <c r="T22" s="897">
        <f>SUMIFS('Other Costs'!Y$5:Y$167,'Other Costs'!$D$5:$D$167,Variables!$A39,'Other Costs'!$F$5:$F$167,Miscellaneous!$N$8,'Other Costs'!$G$5:$G$167,"Opex")</f>
        <v>0</v>
      </c>
      <c r="U22" s="897">
        <f>SUMIFS('Other Costs'!Z$5:Z$167,'Other Costs'!$D$5:$D$167,Variables!$A39,'Other Costs'!$F$5:$F$167,Miscellaneous!$N$8,'Other Costs'!$G$5:$G$167,"Opex")</f>
        <v>0</v>
      </c>
      <c r="V22" s="897">
        <f>SUMIFS('Other Costs'!AA$5:AA$167,'Other Costs'!$D$5:$D$167,Variables!$A39,'Other Costs'!$F$5:$F$167,Miscellaneous!$N$8,'Other Costs'!$G$5:$G$167,"Opex")</f>
        <v>0</v>
      </c>
      <c r="W22" s="897">
        <f>SUMIFS('Other Costs'!AB$5:AB$167,'Other Costs'!$D$5:$D$167,Variables!$A39,'Other Costs'!$F$5:$F$167,Miscellaneous!$N$8,'Other Costs'!$G$5:$G$167,"Opex")</f>
        <v>0</v>
      </c>
      <c r="X22" s="897">
        <f>SUMIFS('Other Costs'!AC$5:AC$167,'Other Costs'!$D$5:$D$167,Variables!$A39,'Other Costs'!$F$5:$F$167,Miscellaneous!$N$8,'Other Costs'!$G$5:$G$167,"Opex")</f>
        <v>0</v>
      </c>
      <c r="Y22" s="897">
        <f>SUMIFS('Other Costs'!AD$5:AD$167,'Other Costs'!$D$5:$D$167,Variables!$A39,'Other Costs'!$F$5:$F$167,Miscellaneous!$N$8,'Other Costs'!$G$5:$G$167,"Opex")</f>
        <v>0</v>
      </c>
      <c r="Z22" s="889">
        <f>SUMIFS('Other Costs'!AE$5:AE$167,'Other Costs'!$D$5:$D$167,Variables!$A39,'Other Costs'!$F$5:$F$167,Miscellaneous!$N$8,'Other Costs'!$G$5:$G$167,"Opex")</f>
        <v>0</v>
      </c>
      <c r="AA22" s="897">
        <f>SUMIFS('Other Costs'!AF$5:AF$167,'Other Costs'!$D$5:$D$167,Variables!$A39,'Other Costs'!$F$5:$F$167,Miscellaneous!$N$8,'Other Costs'!$G$5:$G$167,"Opex")</f>
        <v>0</v>
      </c>
      <c r="AB22" s="897">
        <f>SUMIFS('Other Costs'!AG$5:AG$167,'Other Costs'!$D$5:$D$167,Variables!$A39,'Other Costs'!$F$5:$F$167,Miscellaneous!$N$8,'Other Costs'!$G$5:$G$167,"Opex")</f>
        <v>0</v>
      </c>
      <c r="AC22" s="897">
        <f>SUMIFS('Other Costs'!AH$5:AH$167,'Other Costs'!$D$5:$D$167,Variables!$A39,'Other Costs'!$F$5:$F$167,Miscellaneous!$N$8,'Other Costs'!$G$5:$G$167,"Opex")</f>
        <v>0</v>
      </c>
      <c r="AD22" s="897">
        <f>SUMIFS('Other Costs'!AI$5:AI$167,'Other Costs'!$D$5:$D$167,Variables!$A39,'Other Costs'!$F$5:$F$167,Miscellaneous!$N$8,'Other Costs'!$G$5:$G$167,"Opex")</f>
        <v>0</v>
      </c>
      <c r="AE22" s="897">
        <f>SUMIFS('Other Costs'!AJ$5:AJ$167,'Other Costs'!$D$5:$D$167,Variables!$A39,'Other Costs'!$F$5:$F$167,Miscellaneous!$N$8,'Other Costs'!$G$5:$G$167,"Opex")</f>
        <v>0</v>
      </c>
      <c r="AF22" s="897">
        <f>SUMIFS('Other Costs'!AK$5:AK$167,'Other Costs'!$D$5:$D$167,Variables!$A39,'Other Costs'!$F$5:$F$167,Miscellaneous!$N$8,'Other Costs'!$G$5:$G$167,"Opex")</f>
        <v>0</v>
      </c>
      <c r="AG22" s="897">
        <f>SUMIFS('Other Costs'!AL$5:AL$167,'Other Costs'!$D$5:$D$167,Variables!$A39,'Other Costs'!$F$5:$F$167,Miscellaneous!$N$8,'Other Costs'!$G$5:$G$167,"Opex")</f>
        <v>0</v>
      </c>
      <c r="AH22" s="897">
        <f>SUMIFS('Other Costs'!AM$5:AM$167,'Other Costs'!$D$5:$D$167,Variables!$A39,'Other Costs'!$F$5:$F$167,Miscellaneous!$N$8,'Other Costs'!$G$5:$G$167,"Opex")</f>
        <v>0</v>
      </c>
      <c r="AI22" s="897">
        <f>SUMIFS('Other Costs'!AN$5:AN$167,'Other Costs'!$D$5:$D$167,Variables!$A39,'Other Costs'!$F$5:$F$167,Miscellaneous!$N$8,'Other Costs'!$G$5:$G$167,"Opex")</f>
        <v>0</v>
      </c>
      <c r="AJ22" s="897">
        <f>SUMIFS('Other Costs'!AO$5:AO$167,'Other Costs'!$D$5:$D$167,Variables!$A39,'Other Costs'!$F$5:$F$167,Miscellaneous!$N$8,'Other Costs'!$G$5:$G$167,"Opex")</f>
        <v>0</v>
      </c>
      <c r="AK22" s="897">
        <f>SUMIFS('Other Costs'!AP$5:AP$167,'Other Costs'!$D$5:$D$167,Variables!$A39,'Other Costs'!$F$5:$F$167,Miscellaneous!$N$8,'Other Costs'!$G$5:$G$167,"Opex")</f>
        <v>0</v>
      </c>
      <c r="AL22" s="889">
        <f>SUMIFS('Other Costs'!AQ$5:AQ$167,'Other Costs'!$D$5:$D$167,Variables!$A39,'Other Costs'!$F$5:$F$167,Miscellaneous!$N$8,'Other Costs'!$G$5:$G$167,"Opex")</f>
        <v>0</v>
      </c>
      <c r="AM22" s="897">
        <f>SUMIFS('Other Costs'!AR$5:AR$167,'Other Costs'!$D$5:$D$167,Variables!$A39,'Other Costs'!$F$5:$F$167,Miscellaneous!$N$8,'Other Costs'!$G$5:$G$167,"Opex")</f>
        <v>0</v>
      </c>
      <c r="AN22" s="897">
        <f>SUMIFS('Other Costs'!AS$5:AS$167,'Other Costs'!$D$5:$D$167,Variables!$A39,'Other Costs'!$F$5:$F$167,Miscellaneous!$N$8,'Other Costs'!$G$5:$G$167,"Opex")</f>
        <v>0</v>
      </c>
      <c r="AO22" s="897">
        <f>SUMIFS('Other Costs'!AT$5:AT$167,'Other Costs'!$D$5:$D$167,Variables!$A39,'Other Costs'!$F$5:$F$167,Miscellaneous!$N$8,'Other Costs'!$G$5:$G$167,"Opex")</f>
        <v>0</v>
      </c>
      <c r="AP22" s="897">
        <f>SUMIFS('Other Costs'!AU$5:AU$167,'Other Costs'!$D$5:$D$167,Variables!$A39,'Other Costs'!$F$5:$F$167,Miscellaneous!$N$8,'Other Costs'!$G$5:$G$167,"Opex")</f>
        <v>0</v>
      </c>
      <c r="AQ22" s="897">
        <f>SUMIFS('Other Costs'!AV$5:AV$167,'Other Costs'!$D$5:$D$167,Variables!$A39,'Other Costs'!$F$5:$F$167,Miscellaneous!$N$8,'Other Costs'!$G$5:$G$167,"Opex")</f>
        <v>0</v>
      </c>
      <c r="AR22" s="897">
        <f>SUMIFS('Other Costs'!AW$5:AW$167,'Other Costs'!$D$5:$D$167,Variables!$A39,'Other Costs'!$F$5:$F$167,Miscellaneous!$N$8,'Other Costs'!$G$5:$G$167,"Opex")</f>
        <v>0</v>
      </c>
      <c r="AS22" s="897">
        <f>SUMIFS('Other Costs'!AX$5:AX$167,'Other Costs'!$D$5:$D$167,Variables!$A39,'Other Costs'!$F$5:$F$167,Miscellaneous!$N$8,'Other Costs'!$G$5:$G$167,"Opex")</f>
        <v>0</v>
      </c>
      <c r="AT22" s="897">
        <f>SUMIFS('Other Costs'!AY$5:AY$167,'Other Costs'!$D$5:$D$167,Variables!$A39,'Other Costs'!$F$5:$F$167,Miscellaneous!$N$8,'Other Costs'!$G$5:$G$167,"Opex")</f>
        <v>0</v>
      </c>
      <c r="AU22" s="897">
        <f>SUMIFS('Other Costs'!AZ$5:AZ$167,'Other Costs'!$D$5:$D$167,Variables!$A39,'Other Costs'!$F$5:$F$167,Miscellaneous!$N$8,'Other Costs'!$G$5:$G$167,"Opex")</f>
        <v>0</v>
      </c>
      <c r="AV22" s="897">
        <f>SUMIFS('Other Costs'!BA$5:BA$167,'Other Costs'!$D$5:$D$167,Variables!$A39,'Other Costs'!$F$5:$F$167,Miscellaneous!$N$8,'Other Costs'!$G$5:$G$167,"Opex")</f>
        <v>0</v>
      </c>
      <c r="AW22" s="897">
        <f>SUMIFS('Other Costs'!BB$5:BB$167,'Other Costs'!$D$5:$D$167,Variables!$A39,'Other Costs'!$F$5:$F$167,Miscellaneous!$N$8,'Other Costs'!$G$5:$G$167,"Opex")</f>
        <v>0</v>
      </c>
      <c r="AX22" s="889">
        <f>SUMIFS('Other Costs'!BC$5:BC$167,'Other Costs'!$D$5:$D$167,Variables!$A39,'Other Costs'!$F$5:$F$167,Miscellaneous!$N$8,'Other Costs'!$G$5:$G$167,"Opex")</f>
        <v>0</v>
      </c>
      <c r="AY22" s="897">
        <f>SUMIFS('Other Costs'!BD$5:BD$167,'Other Costs'!$D$5:$D$167,Variables!$A39,'Other Costs'!$F$5:$F$167,Miscellaneous!$N$8,'Other Costs'!$G$5:$G$167,"Opex")</f>
        <v>0</v>
      </c>
      <c r="AZ22" s="897">
        <f>SUMIFS('Other Costs'!BE$5:BE$167,'Other Costs'!$D$5:$D$167,Variables!$A39,'Other Costs'!$F$5:$F$167,Miscellaneous!$N$8,'Other Costs'!$G$5:$G$167,"Opex")</f>
        <v>0</v>
      </c>
      <c r="BA22" s="897">
        <f>SUMIFS('Other Costs'!BF$5:BF$167,'Other Costs'!$D$5:$D$167,Variables!$A39,'Other Costs'!$F$5:$F$167,Miscellaneous!$N$8,'Other Costs'!$G$5:$G$167,"Opex")</f>
        <v>0</v>
      </c>
      <c r="BB22" s="897">
        <f>SUMIFS('Other Costs'!BG$5:BG$167,'Other Costs'!$D$5:$D$167,Variables!$A39,'Other Costs'!$F$5:$F$167,Miscellaneous!$N$8,'Other Costs'!$G$5:$G$167,"Opex")</f>
        <v>0</v>
      </c>
      <c r="BC22" s="897">
        <f>SUMIFS('Other Costs'!BH$5:BH$167,'Other Costs'!$D$5:$D$167,Variables!$A39,'Other Costs'!$F$5:$F$167,Miscellaneous!$N$8,'Other Costs'!$G$5:$G$167,"Opex")</f>
        <v>0</v>
      </c>
      <c r="BD22" s="897">
        <f>SUMIFS('Other Costs'!BI$5:BI$167,'Other Costs'!$D$5:$D$167,Variables!$A39,'Other Costs'!$F$5:$F$167,Miscellaneous!$N$8,'Other Costs'!$G$5:$G$167,"Opex")</f>
        <v>0</v>
      </c>
      <c r="BE22" s="897">
        <f>SUMIFS('Other Costs'!BJ$5:BJ$167,'Other Costs'!$D$5:$D$167,Variables!$A39,'Other Costs'!$F$5:$F$167,Miscellaneous!$N$8,'Other Costs'!$G$5:$G$167,"Opex")</f>
        <v>0</v>
      </c>
      <c r="BF22" s="897">
        <f>SUMIFS('Other Costs'!BK$5:BK$167,'Other Costs'!$D$5:$D$167,Variables!$A39,'Other Costs'!$F$5:$F$167,Miscellaneous!$N$8,'Other Costs'!$G$5:$G$167,"Opex")</f>
        <v>0</v>
      </c>
      <c r="BG22" s="897">
        <f>SUMIFS('Other Costs'!BL$5:BL$167,'Other Costs'!$D$5:$D$167,Variables!$A39,'Other Costs'!$F$5:$F$167,Miscellaneous!$N$8,'Other Costs'!$G$5:$G$167,"Opex")</f>
        <v>0</v>
      </c>
      <c r="BH22" s="897">
        <f>SUMIFS('Other Costs'!BM$5:BM$167,'Other Costs'!$D$5:$D$167,Variables!$A39,'Other Costs'!$F$5:$F$167,Miscellaneous!$N$8,'Other Costs'!$G$5:$G$167,"Opex")</f>
        <v>0</v>
      </c>
      <c r="BI22" s="897">
        <f>SUMIFS('Other Costs'!BN$5:BN$167,'Other Costs'!$D$5:$D$167,Variables!$A39,'Other Costs'!$F$5:$F$167,Miscellaneous!$N$8,'Other Costs'!$G$5:$G$167,"Opex")</f>
        <v>0</v>
      </c>
      <c r="BJ22" s="889">
        <f>SUMIFS('Other Costs'!BO$5:BO$167,'Other Costs'!$D$5:$D$167,Variables!$A39,'Other Costs'!$F$5:$F$167,Miscellaneous!$N$8,'Other Costs'!$G$5:$G$167,"Opex")</f>
        <v>0</v>
      </c>
      <c r="BK22" s="897">
        <f>SUMIFS('Other Costs'!BP$5:BP$167,'Other Costs'!$D$5:$D$167,Variables!$A39,'Other Costs'!$F$5:$F$167,Miscellaneous!$N$8,'Other Costs'!$G$5:$G$167,"Opex")</f>
        <v>0</v>
      </c>
      <c r="BL22" s="897">
        <f>SUMIFS('Other Costs'!BQ$5:BQ$167,'Other Costs'!$D$5:$D$167,Variables!$A39,'Other Costs'!$F$5:$F$167,Miscellaneous!$N$8,'Other Costs'!$G$5:$G$167,"Opex")</f>
        <v>0</v>
      </c>
      <c r="BM22" s="897">
        <f>SUMIFS('Other Costs'!BR$5:BR$167,'Other Costs'!$D$5:$D$167,Variables!$A39,'Other Costs'!$F$5:$F$167,Miscellaneous!$N$8,'Other Costs'!$G$5:$G$167,"Opex")</f>
        <v>0</v>
      </c>
      <c r="BN22" s="897">
        <f>SUMIFS('Other Costs'!BS$5:BS$167,'Other Costs'!$D$5:$D$167,Variables!$A39,'Other Costs'!$F$5:$F$167,Miscellaneous!$N$8,'Other Costs'!$G$5:$G$167,"Opex")</f>
        <v>0</v>
      </c>
      <c r="BO22" s="897">
        <f>SUMIFS('Other Costs'!BT$5:BT$167,'Other Costs'!$D$5:$D$167,Variables!$A39,'Other Costs'!$F$5:$F$167,Miscellaneous!$N$8,'Other Costs'!$G$5:$G$167,"Opex")</f>
        <v>0</v>
      </c>
      <c r="BP22" s="897">
        <f>SUMIFS('Other Costs'!BU$5:BU$167,'Other Costs'!$D$5:$D$167,Variables!$A39,'Other Costs'!$F$5:$F$167,Miscellaneous!$N$8,'Other Costs'!$G$5:$G$167,"Opex")</f>
        <v>0</v>
      </c>
      <c r="BQ22" s="897">
        <f>SUMIFS('Other Costs'!BV$5:BV$167,'Other Costs'!$D$5:$D$167,Variables!$A39,'Other Costs'!$F$5:$F$167,Miscellaneous!$N$8,'Other Costs'!$G$5:$G$167,"Opex")</f>
        <v>0</v>
      </c>
      <c r="BR22" s="897">
        <f>SUMIFS('Other Costs'!BW$5:BW$167,'Other Costs'!$D$5:$D$167,Variables!$A39,'Other Costs'!$F$5:$F$167,Miscellaneous!$N$8,'Other Costs'!$G$5:$G$167,"Opex")</f>
        <v>0</v>
      </c>
      <c r="BS22" s="897">
        <f>SUMIFS('Other Costs'!BX$5:BX$167,'Other Costs'!$D$5:$D$167,Variables!$A39,'Other Costs'!$F$5:$F$167,Miscellaneous!$N$8,'Other Costs'!$G$5:$G$167,"Opex")</f>
        <v>0</v>
      </c>
      <c r="BT22" s="897">
        <f>SUMIFS('Other Costs'!BY$5:BY$167,'Other Costs'!$D$5:$D$167,Variables!$A39,'Other Costs'!$F$5:$F$167,Miscellaneous!$N$8,'Other Costs'!$G$5:$G$167,"Opex")</f>
        <v>0</v>
      </c>
      <c r="BU22" s="897">
        <f>SUMIFS('Other Costs'!BZ$5:BZ$167,'Other Costs'!$D$5:$D$167,Variables!$A39,'Other Costs'!$F$5:$F$167,Miscellaneous!$N$8,'Other Costs'!$G$5:$G$167,"Opex")</f>
        <v>0</v>
      </c>
      <c r="BV22" s="889">
        <f>SUMIFS('Other Costs'!CA$5:CA$167,'Other Costs'!$D$5:$D$167,Variables!$A39,'Other Costs'!$F$5:$F$167,Miscellaneous!$N$8,'Other Costs'!$G$5:$G$167,"Opex")</f>
        <v>0</v>
      </c>
      <c r="BW22" s="893">
        <f>SUMIFS(C22:BV22,$C$75:$BV$75,"")</f>
        <v>0</v>
      </c>
      <c r="BX22" s="894">
        <f>SUM(SUMIFS(C22:N22,$C$2:$N$2,{"Dev","Impl","PIS","Close"},$C$75:$N$75,""))</f>
        <v>0</v>
      </c>
      <c r="BY22" s="894">
        <f>SUM(SUMIFS(O22:Z22,$O$2:$Z$2,{"Dev","Impl","PIS","Close"},$O$75:$Z$75,""))</f>
        <v>0</v>
      </c>
      <c r="BZ22" s="894">
        <f>SUM(SUMIFS(AA22:AL22,$AA$2:$AL$2,{"Dev","Impl","PIS","Close"},$AA$75:$AL$75,""))</f>
        <v>0</v>
      </c>
      <c r="CA22" s="894">
        <f>SUM(SUMIFS(AM22:AX22,$AM$2:$AX$2,{"Dev","Impl","PIS","Close"},$AM$75:$AX$75,""))</f>
        <v>0</v>
      </c>
      <c r="CB22" s="894">
        <f>SUM(SUMIFS(AY22:BJ22,$AY$2:$BJ$2,{"Dev","Impl","PIS","Close"},$AY$75:$BJ$75,""))</f>
        <v>0</v>
      </c>
      <c r="CC22" s="894">
        <f>SUM(SUMIFS(BK22:BV22,$BK$2:$BV$2,{"Dev","Impl","PIS","Close"},$BK$75:$BV$75,""))</f>
        <v>0</v>
      </c>
    </row>
    <row r="23" spans="1:89" s="4" customFormat="1">
      <c r="A23" s="6" t="s">
        <v>218</v>
      </c>
      <c r="B23" s="108"/>
      <c r="C23" s="897">
        <f>SUMIFS('Other Costs'!H$5:H$167,'Other Costs'!$D$5:$D$167,Variables!$A40,'Other Costs'!$F$5:$F$167,Miscellaneous!$N$8,'Other Costs'!$G$5:$G$167,"Opex")</f>
        <v>0</v>
      </c>
      <c r="D23" s="897">
        <f>SUMIFS('Other Costs'!I$5:I$167,'Other Costs'!$D$5:$D$167,Variables!$A40,'Other Costs'!$F$5:$F$167,Miscellaneous!$N$8,'Other Costs'!$G$5:$G$167,"Opex")</f>
        <v>0</v>
      </c>
      <c r="E23" s="897">
        <f>SUMIFS('Other Costs'!J$5:J$167,'Other Costs'!$D$5:$D$167,Variables!$A40,'Other Costs'!$F$5:$F$167,Miscellaneous!$N$8,'Other Costs'!$G$5:$G$167,"Opex")</f>
        <v>0</v>
      </c>
      <c r="F23" s="897">
        <f>SUMIFS('Other Costs'!K$5:K$167,'Other Costs'!$D$5:$D$167,Variables!$A40,'Other Costs'!$F$5:$F$167,Miscellaneous!$N$8,'Other Costs'!$G$5:$G$167,"Opex")</f>
        <v>0</v>
      </c>
      <c r="G23" s="897">
        <f>SUMIFS('Other Costs'!L$5:L$167,'Other Costs'!$D$5:$D$167,Variables!$A40,'Other Costs'!$F$5:$F$167,Miscellaneous!$N$8,'Other Costs'!$G$5:$G$167,"Opex")</f>
        <v>0</v>
      </c>
      <c r="H23" s="897">
        <f>SUMIFS('Other Costs'!M$5:M$167,'Other Costs'!$D$5:$D$167,Variables!$A40,'Other Costs'!$F$5:$F$167,Miscellaneous!$N$8,'Other Costs'!$G$5:$G$167,"Opex")</f>
        <v>0</v>
      </c>
      <c r="I23" s="897">
        <f>SUMIFS('Other Costs'!N$5:N$167,'Other Costs'!$D$5:$D$167,Variables!$A40,'Other Costs'!$F$5:$F$167,Miscellaneous!$N$8,'Other Costs'!$G$5:$G$167,"Opex")</f>
        <v>0</v>
      </c>
      <c r="J23" s="897">
        <f>SUMIFS('Other Costs'!O$5:O$167,'Other Costs'!$D$5:$D$167,Variables!$A40,'Other Costs'!$F$5:$F$167,Miscellaneous!$N$8,'Other Costs'!$G$5:$G$167,"Opex")</f>
        <v>0</v>
      </c>
      <c r="K23" s="897">
        <f>SUMIFS('Other Costs'!P$5:P$167,'Other Costs'!$D$5:$D$167,Variables!$A40,'Other Costs'!$F$5:$F$167,Miscellaneous!$N$8,'Other Costs'!$G$5:$G$167,"Opex")</f>
        <v>0</v>
      </c>
      <c r="L23" s="897">
        <f>SUMIFS('Other Costs'!Q$5:Q$167,'Other Costs'!$D$5:$D$167,Variables!$A40,'Other Costs'!$F$5:$F$167,Miscellaneous!$N$8,'Other Costs'!$G$5:$G$167,"Opex")</f>
        <v>0</v>
      </c>
      <c r="M23" s="897">
        <f>SUMIFS('Other Costs'!R$5:R$167,'Other Costs'!$D$5:$D$167,Variables!$A40,'Other Costs'!$F$5:$F$167,Miscellaneous!$N$8,'Other Costs'!$G$5:$G$167,"Opex")</f>
        <v>0</v>
      </c>
      <c r="N23" s="889">
        <f>SUMIFS('Other Costs'!S$5:S$167,'Other Costs'!$D$5:$D$167,Variables!$A40,'Other Costs'!$F$5:$F$167,Miscellaneous!$N$8,'Other Costs'!$G$5:$G$167,"Opex")</f>
        <v>0</v>
      </c>
      <c r="O23" s="897">
        <f>SUMIFS('Other Costs'!T$5:T$167,'Other Costs'!$D$5:$D$167,Variables!$A40,'Other Costs'!$F$5:$F$167,Miscellaneous!$N$8,'Other Costs'!$G$5:$G$167,"Opex")</f>
        <v>0</v>
      </c>
      <c r="P23" s="897">
        <f>SUMIFS('Other Costs'!U$5:U$167,'Other Costs'!$D$5:$D$167,Variables!$A40,'Other Costs'!$F$5:$F$167,Miscellaneous!$N$8,'Other Costs'!$G$5:$G$167,"Opex")</f>
        <v>0</v>
      </c>
      <c r="Q23" s="897">
        <f>SUMIFS('Other Costs'!V$5:V$167,'Other Costs'!$D$5:$D$167,Variables!$A40,'Other Costs'!$F$5:$F$167,Miscellaneous!$N$8,'Other Costs'!$G$5:$G$167,"Opex")</f>
        <v>0</v>
      </c>
      <c r="R23" s="897">
        <f>SUMIFS('Other Costs'!W$5:W$167,'Other Costs'!$D$5:$D$167,Variables!$A40,'Other Costs'!$F$5:$F$167,Miscellaneous!$N$8,'Other Costs'!$G$5:$G$167,"Opex")</f>
        <v>0</v>
      </c>
      <c r="S23" s="897">
        <f>SUMIFS('Other Costs'!X$5:X$167,'Other Costs'!$D$5:$D$167,Variables!$A40,'Other Costs'!$F$5:$F$167,Miscellaneous!$N$8,'Other Costs'!$G$5:$G$167,"Opex")</f>
        <v>0</v>
      </c>
      <c r="T23" s="897">
        <f>SUMIFS('Other Costs'!Y$5:Y$167,'Other Costs'!$D$5:$D$167,Variables!$A40,'Other Costs'!$F$5:$F$167,Miscellaneous!$N$8,'Other Costs'!$G$5:$G$167,"Opex")</f>
        <v>0</v>
      </c>
      <c r="U23" s="897">
        <f>SUMIFS('Other Costs'!Z$5:Z$167,'Other Costs'!$D$5:$D$167,Variables!$A40,'Other Costs'!$F$5:$F$167,Miscellaneous!$N$8,'Other Costs'!$G$5:$G$167,"Opex")</f>
        <v>0</v>
      </c>
      <c r="V23" s="897">
        <f>SUMIFS('Other Costs'!AA$5:AA$167,'Other Costs'!$D$5:$D$167,Variables!$A40,'Other Costs'!$F$5:$F$167,Miscellaneous!$N$8,'Other Costs'!$G$5:$G$167,"Opex")</f>
        <v>0</v>
      </c>
      <c r="W23" s="897">
        <f>SUMIFS('Other Costs'!AB$5:AB$167,'Other Costs'!$D$5:$D$167,Variables!$A40,'Other Costs'!$F$5:$F$167,Miscellaneous!$N$8,'Other Costs'!$G$5:$G$167,"Opex")</f>
        <v>0</v>
      </c>
      <c r="X23" s="897">
        <f>SUMIFS('Other Costs'!AC$5:AC$167,'Other Costs'!$D$5:$D$167,Variables!$A40,'Other Costs'!$F$5:$F$167,Miscellaneous!$N$8,'Other Costs'!$G$5:$G$167,"Opex")</f>
        <v>0</v>
      </c>
      <c r="Y23" s="897">
        <f>SUMIFS('Other Costs'!AD$5:AD$167,'Other Costs'!$D$5:$D$167,Variables!$A40,'Other Costs'!$F$5:$F$167,Miscellaneous!$N$8,'Other Costs'!$G$5:$G$167,"Opex")</f>
        <v>0</v>
      </c>
      <c r="Z23" s="889">
        <f>SUMIFS('Other Costs'!AE$5:AE$167,'Other Costs'!$D$5:$D$167,Variables!$A40,'Other Costs'!$F$5:$F$167,Miscellaneous!$N$8,'Other Costs'!$G$5:$G$167,"Opex")</f>
        <v>0</v>
      </c>
      <c r="AA23" s="897">
        <f>SUMIFS('Other Costs'!AF$5:AF$167,'Other Costs'!$D$5:$D$167,Variables!$A40,'Other Costs'!$F$5:$F$167,Miscellaneous!$N$8,'Other Costs'!$G$5:$G$167,"Opex")</f>
        <v>0</v>
      </c>
      <c r="AB23" s="897">
        <f>SUMIFS('Other Costs'!AG$5:AG$167,'Other Costs'!$D$5:$D$167,Variables!$A40,'Other Costs'!$F$5:$F$167,Miscellaneous!$N$8,'Other Costs'!$G$5:$G$167,"Opex")</f>
        <v>0</v>
      </c>
      <c r="AC23" s="897">
        <f>SUMIFS('Other Costs'!AH$5:AH$167,'Other Costs'!$D$5:$D$167,Variables!$A40,'Other Costs'!$F$5:$F$167,Miscellaneous!$N$8,'Other Costs'!$G$5:$G$167,"Opex")</f>
        <v>0</v>
      </c>
      <c r="AD23" s="897">
        <f>SUMIFS('Other Costs'!AI$5:AI$167,'Other Costs'!$D$5:$D$167,Variables!$A40,'Other Costs'!$F$5:$F$167,Miscellaneous!$N$8,'Other Costs'!$G$5:$G$167,"Opex")</f>
        <v>0</v>
      </c>
      <c r="AE23" s="897">
        <f>SUMIFS('Other Costs'!AJ$5:AJ$167,'Other Costs'!$D$5:$D$167,Variables!$A40,'Other Costs'!$F$5:$F$167,Miscellaneous!$N$8,'Other Costs'!$G$5:$G$167,"Opex")</f>
        <v>0</v>
      </c>
      <c r="AF23" s="897">
        <f>SUMIFS('Other Costs'!AK$5:AK$167,'Other Costs'!$D$5:$D$167,Variables!$A40,'Other Costs'!$F$5:$F$167,Miscellaneous!$N$8,'Other Costs'!$G$5:$G$167,"Opex")</f>
        <v>0</v>
      </c>
      <c r="AG23" s="897">
        <f>SUMIFS('Other Costs'!AL$5:AL$167,'Other Costs'!$D$5:$D$167,Variables!$A40,'Other Costs'!$F$5:$F$167,Miscellaneous!$N$8,'Other Costs'!$G$5:$G$167,"Opex")</f>
        <v>0</v>
      </c>
      <c r="AH23" s="897">
        <f>SUMIFS('Other Costs'!AM$5:AM$167,'Other Costs'!$D$5:$D$167,Variables!$A40,'Other Costs'!$F$5:$F$167,Miscellaneous!$N$8,'Other Costs'!$G$5:$G$167,"Opex")</f>
        <v>0</v>
      </c>
      <c r="AI23" s="897">
        <f>SUMIFS('Other Costs'!AN$5:AN$167,'Other Costs'!$D$5:$D$167,Variables!$A40,'Other Costs'!$F$5:$F$167,Miscellaneous!$N$8,'Other Costs'!$G$5:$G$167,"Opex")</f>
        <v>0</v>
      </c>
      <c r="AJ23" s="897">
        <f>SUMIFS('Other Costs'!AO$5:AO$167,'Other Costs'!$D$5:$D$167,Variables!$A40,'Other Costs'!$F$5:$F$167,Miscellaneous!$N$8,'Other Costs'!$G$5:$G$167,"Opex")</f>
        <v>0</v>
      </c>
      <c r="AK23" s="897">
        <f>SUMIFS('Other Costs'!AP$5:AP$167,'Other Costs'!$D$5:$D$167,Variables!$A40,'Other Costs'!$F$5:$F$167,Miscellaneous!$N$8,'Other Costs'!$G$5:$G$167,"Opex")</f>
        <v>0</v>
      </c>
      <c r="AL23" s="889">
        <f>SUMIFS('Other Costs'!AQ$5:AQ$167,'Other Costs'!$D$5:$D$167,Variables!$A40,'Other Costs'!$F$5:$F$167,Miscellaneous!$N$8,'Other Costs'!$G$5:$G$167,"Opex")</f>
        <v>0</v>
      </c>
      <c r="AM23" s="897">
        <f>SUMIFS('Other Costs'!AR$5:AR$167,'Other Costs'!$D$5:$D$167,Variables!$A40,'Other Costs'!$F$5:$F$167,Miscellaneous!$N$8,'Other Costs'!$G$5:$G$167,"Opex")</f>
        <v>0</v>
      </c>
      <c r="AN23" s="897">
        <f>SUMIFS('Other Costs'!AS$5:AS$167,'Other Costs'!$D$5:$D$167,Variables!$A40,'Other Costs'!$F$5:$F$167,Miscellaneous!$N$8,'Other Costs'!$G$5:$G$167,"Opex")</f>
        <v>0</v>
      </c>
      <c r="AO23" s="897">
        <f>SUMIFS('Other Costs'!AT$5:AT$167,'Other Costs'!$D$5:$D$167,Variables!$A40,'Other Costs'!$F$5:$F$167,Miscellaneous!$N$8,'Other Costs'!$G$5:$G$167,"Opex")</f>
        <v>0</v>
      </c>
      <c r="AP23" s="897">
        <f>SUMIFS('Other Costs'!AU$5:AU$167,'Other Costs'!$D$5:$D$167,Variables!$A40,'Other Costs'!$F$5:$F$167,Miscellaneous!$N$8,'Other Costs'!$G$5:$G$167,"Opex")</f>
        <v>0</v>
      </c>
      <c r="AQ23" s="897">
        <f>SUMIFS('Other Costs'!AV$5:AV$167,'Other Costs'!$D$5:$D$167,Variables!$A40,'Other Costs'!$F$5:$F$167,Miscellaneous!$N$8,'Other Costs'!$G$5:$G$167,"Opex")</f>
        <v>0</v>
      </c>
      <c r="AR23" s="897">
        <f>SUMIFS('Other Costs'!AW$5:AW$167,'Other Costs'!$D$5:$D$167,Variables!$A40,'Other Costs'!$F$5:$F$167,Miscellaneous!$N$8,'Other Costs'!$G$5:$G$167,"Opex")</f>
        <v>0</v>
      </c>
      <c r="AS23" s="897">
        <f>SUMIFS('Other Costs'!AX$5:AX$167,'Other Costs'!$D$5:$D$167,Variables!$A40,'Other Costs'!$F$5:$F$167,Miscellaneous!$N$8,'Other Costs'!$G$5:$G$167,"Opex")</f>
        <v>0</v>
      </c>
      <c r="AT23" s="897">
        <f>SUMIFS('Other Costs'!AY$5:AY$167,'Other Costs'!$D$5:$D$167,Variables!$A40,'Other Costs'!$F$5:$F$167,Miscellaneous!$N$8,'Other Costs'!$G$5:$G$167,"Opex")</f>
        <v>0</v>
      </c>
      <c r="AU23" s="897">
        <f>SUMIFS('Other Costs'!AZ$5:AZ$167,'Other Costs'!$D$5:$D$167,Variables!$A40,'Other Costs'!$F$5:$F$167,Miscellaneous!$N$8,'Other Costs'!$G$5:$G$167,"Opex")</f>
        <v>0</v>
      </c>
      <c r="AV23" s="897">
        <f>SUMIFS('Other Costs'!BA$5:BA$167,'Other Costs'!$D$5:$D$167,Variables!$A40,'Other Costs'!$F$5:$F$167,Miscellaneous!$N$8,'Other Costs'!$G$5:$G$167,"Opex")</f>
        <v>0</v>
      </c>
      <c r="AW23" s="897">
        <f>SUMIFS('Other Costs'!BB$5:BB$167,'Other Costs'!$D$5:$D$167,Variables!$A40,'Other Costs'!$F$5:$F$167,Miscellaneous!$N$8,'Other Costs'!$G$5:$G$167,"Opex")</f>
        <v>0</v>
      </c>
      <c r="AX23" s="889">
        <f>SUMIFS('Other Costs'!BC$5:BC$167,'Other Costs'!$D$5:$D$167,Variables!$A40,'Other Costs'!$F$5:$F$167,Miscellaneous!$N$8,'Other Costs'!$G$5:$G$167,"Opex")</f>
        <v>0</v>
      </c>
      <c r="AY23" s="897">
        <f>SUMIFS('Other Costs'!BD$5:BD$167,'Other Costs'!$D$5:$D$167,Variables!$A40,'Other Costs'!$F$5:$F$167,Miscellaneous!$N$8,'Other Costs'!$G$5:$G$167,"Opex")</f>
        <v>0</v>
      </c>
      <c r="AZ23" s="897">
        <f>SUMIFS('Other Costs'!BE$5:BE$167,'Other Costs'!$D$5:$D$167,Variables!$A40,'Other Costs'!$F$5:$F$167,Miscellaneous!$N$8,'Other Costs'!$G$5:$G$167,"Opex")</f>
        <v>0</v>
      </c>
      <c r="BA23" s="897">
        <f>SUMIFS('Other Costs'!BF$5:BF$167,'Other Costs'!$D$5:$D$167,Variables!$A40,'Other Costs'!$F$5:$F$167,Miscellaneous!$N$8,'Other Costs'!$G$5:$G$167,"Opex")</f>
        <v>0</v>
      </c>
      <c r="BB23" s="897">
        <f>SUMIFS('Other Costs'!BG$5:BG$167,'Other Costs'!$D$5:$D$167,Variables!$A40,'Other Costs'!$F$5:$F$167,Miscellaneous!$N$8,'Other Costs'!$G$5:$G$167,"Opex")</f>
        <v>0</v>
      </c>
      <c r="BC23" s="897">
        <f>SUMIFS('Other Costs'!BH$5:BH$167,'Other Costs'!$D$5:$D$167,Variables!$A40,'Other Costs'!$F$5:$F$167,Miscellaneous!$N$8,'Other Costs'!$G$5:$G$167,"Opex")</f>
        <v>0</v>
      </c>
      <c r="BD23" s="897">
        <f>SUMIFS('Other Costs'!BI$5:BI$167,'Other Costs'!$D$5:$D$167,Variables!$A40,'Other Costs'!$F$5:$F$167,Miscellaneous!$N$8,'Other Costs'!$G$5:$G$167,"Opex")</f>
        <v>0</v>
      </c>
      <c r="BE23" s="897">
        <f>SUMIFS('Other Costs'!BJ$5:BJ$167,'Other Costs'!$D$5:$D$167,Variables!$A40,'Other Costs'!$F$5:$F$167,Miscellaneous!$N$8,'Other Costs'!$G$5:$G$167,"Opex")</f>
        <v>0</v>
      </c>
      <c r="BF23" s="897">
        <f>SUMIFS('Other Costs'!BK$5:BK$167,'Other Costs'!$D$5:$D$167,Variables!$A40,'Other Costs'!$F$5:$F$167,Miscellaneous!$N$8,'Other Costs'!$G$5:$G$167,"Opex")</f>
        <v>0</v>
      </c>
      <c r="BG23" s="897">
        <f>SUMIFS('Other Costs'!BL$5:BL$167,'Other Costs'!$D$5:$D$167,Variables!$A40,'Other Costs'!$F$5:$F$167,Miscellaneous!$N$8,'Other Costs'!$G$5:$G$167,"Opex")</f>
        <v>0</v>
      </c>
      <c r="BH23" s="897">
        <f>SUMIFS('Other Costs'!BM$5:BM$167,'Other Costs'!$D$5:$D$167,Variables!$A40,'Other Costs'!$F$5:$F$167,Miscellaneous!$N$8,'Other Costs'!$G$5:$G$167,"Opex")</f>
        <v>0</v>
      </c>
      <c r="BI23" s="897">
        <f>SUMIFS('Other Costs'!BN$5:BN$167,'Other Costs'!$D$5:$D$167,Variables!$A40,'Other Costs'!$F$5:$F$167,Miscellaneous!$N$8,'Other Costs'!$G$5:$G$167,"Opex")</f>
        <v>0</v>
      </c>
      <c r="BJ23" s="889">
        <f>SUMIFS('Other Costs'!BO$5:BO$167,'Other Costs'!$D$5:$D$167,Variables!$A40,'Other Costs'!$F$5:$F$167,Miscellaneous!$N$8,'Other Costs'!$G$5:$G$167,"Opex")</f>
        <v>0</v>
      </c>
      <c r="BK23" s="897">
        <f>SUMIFS('Other Costs'!BP$5:BP$167,'Other Costs'!$D$5:$D$167,Variables!$A40,'Other Costs'!$F$5:$F$167,Miscellaneous!$N$8,'Other Costs'!$G$5:$G$167,"Opex")</f>
        <v>0</v>
      </c>
      <c r="BL23" s="897">
        <f>SUMIFS('Other Costs'!BQ$5:BQ$167,'Other Costs'!$D$5:$D$167,Variables!$A40,'Other Costs'!$F$5:$F$167,Miscellaneous!$N$8,'Other Costs'!$G$5:$G$167,"Opex")</f>
        <v>0</v>
      </c>
      <c r="BM23" s="897">
        <f>SUMIFS('Other Costs'!BR$5:BR$167,'Other Costs'!$D$5:$D$167,Variables!$A40,'Other Costs'!$F$5:$F$167,Miscellaneous!$N$8,'Other Costs'!$G$5:$G$167,"Opex")</f>
        <v>0</v>
      </c>
      <c r="BN23" s="897">
        <f>SUMIFS('Other Costs'!BS$5:BS$167,'Other Costs'!$D$5:$D$167,Variables!$A40,'Other Costs'!$F$5:$F$167,Miscellaneous!$N$8,'Other Costs'!$G$5:$G$167,"Opex")</f>
        <v>0</v>
      </c>
      <c r="BO23" s="897">
        <f>SUMIFS('Other Costs'!BT$5:BT$167,'Other Costs'!$D$5:$D$167,Variables!$A40,'Other Costs'!$F$5:$F$167,Miscellaneous!$N$8,'Other Costs'!$G$5:$G$167,"Opex")</f>
        <v>0</v>
      </c>
      <c r="BP23" s="897">
        <f>SUMIFS('Other Costs'!BU$5:BU$167,'Other Costs'!$D$5:$D$167,Variables!$A40,'Other Costs'!$F$5:$F$167,Miscellaneous!$N$8,'Other Costs'!$G$5:$G$167,"Opex")</f>
        <v>0</v>
      </c>
      <c r="BQ23" s="897">
        <f>SUMIFS('Other Costs'!BV$5:BV$167,'Other Costs'!$D$5:$D$167,Variables!$A40,'Other Costs'!$F$5:$F$167,Miscellaneous!$N$8,'Other Costs'!$G$5:$G$167,"Opex")</f>
        <v>0</v>
      </c>
      <c r="BR23" s="897">
        <f>SUMIFS('Other Costs'!BW$5:BW$167,'Other Costs'!$D$5:$D$167,Variables!$A40,'Other Costs'!$F$5:$F$167,Miscellaneous!$N$8,'Other Costs'!$G$5:$G$167,"Opex")</f>
        <v>0</v>
      </c>
      <c r="BS23" s="897">
        <f>SUMIFS('Other Costs'!BX$5:BX$167,'Other Costs'!$D$5:$D$167,Variables!$A40,'Other Costs'!$F$5:$F$167,Miscellaneous!$N$8,'Other Costs'!$G$5:$G$167,"Opex")</f>
        <v>0</v>
      </c>
      <c r="BT23" s="897">
        <f>SUMIFS('Other Costs'!BY$5:BY$167,'Other Costs'!$D$5:$D$167,Variables!$A40,'Other Costs'!$F$5:$F$167,Miscellaneous!$N$8,'Other Costs'!$G$5:$G$167,"Opex")</f>
        <v>0</v>
      </c>
      <c r="BU23" s="897">
        <f>SUMIFS('Other Costs'!BZ$5:BZ$167,'Other Costs'!$D$5:$D$167,Variables!$A40,'Other Costs'!$F$5:$F$167,Miscellaneous!$N$8,'Other Costs'!$G$5:$G$167,"Opex")</f>
        <v>0</v>
      </c>
      <c r="BV23" s="889">
        <f>SUMIFS('Other Costs'!CA$5:CA$167,'Other Costs'!$D$5:$D$167,Variables!$A40,'Other Costs'!$F$5:$F$167,Miscellaneous!$N$8,'Other Costs'!$G$5:$G$167,"Opex")</f>
        <v>0</v>
      </c>
      <c r="BW23" s="893">
        <f>SUMIFS(C23:BV23,$C$75:$BV$75,"")</f>
        <v>0</v>
      </c>
      <c r="BX23" s="894">
        <f>SUM(SUMIFS(C23:N23,$C$2:$N$2,{"Dev","Impl","PIS","Close"},$C$75:$N$75,""))</f>
        <v>0</v>
      </c>
      <c r="BY23" s="894">
        <f>SUM(SUMIFS(O23:Z23,$O$2:$Z$2,{"Dev","Impl","PIS","Close"},$O$75:$Z$75,""))</f>
        <v>0</v>
      </c>
      <c r="BZ23" s="894">
        <f>SUM(SUMIFS(AA23:AL23,$AA$2:$AL$2,{"Dev","Impl","PIS","Close"},$AA$75:$AL$75,""))</f>
        <v>0</v>
      </c>
      <c r="CA23" s="894">
        <f>SUM(SUMIFS(AM23:AX23,$AM$2:$AX$2,{"Dev","Impl","PIS","Close"},$AM$75:$AX$75,""))</f>
        <v>0</v>
      </c>
      <c r="CB23" s="894">
        <f>SUM(SUMIFS(AY23:BJ23,$AY$2:$BJ$2,{"Dev","Impl","PIS","Close"},$AY$75:$BJ$75,""))</f>
        <v>0</v>
      </c>
      <c r="CC23" s="894">
        <f>SUM(SUMIFS(BK23:BV23,$BK$2:$BV$2,{"Dev","Impl","PIS","Close"},$BK$75:$BV$75,""))</f>
        <v>0</v>
      </c>
    </row>
    <row r="24" spans="1:89" s="4" customFormat="1">
      <c r="A24" s="6" t="s">
        <v>15333</v>
      </c>
      <c r="B24" s="108"/>
      <c r="C24" s="897">
        <f>SUMIFS('Other Costs'!H$5:H$167,'Other Costs'!$D$5:$D$167,Variables!$A41,'Other Costs'!$F$5:$F$167,Miscellaneous!$N$8,'Other Costs'!$G$5:$G$167,"Opex")</f>
        <v>0</v>
      </c>
      <c r="D24" s="897">
        <f>SUMIFS('Other Costs'!I$5:I$167,'Other Costs'!$D$5:$D$167,Variables!$A41,'Other Costs'!$F$5:$F$167,Miscellaneous!$N$8,'Other Costs'!$G$5:$G$167,"Opex")</f>
        <v>0</v>
      </c>
      <c r="E24" s="897">
        <f>SUMIFS('Other Costs'!J$5:J$167,'Other Costs'!$D$5:$D$167,Variables!$A41,'Other Costs'!$F$5:$F$167,Miscellaneous!$N$8,'Other Costs'!$G$5:$G$167,"Opex")</f>
        <v>0</v>
      </c>
      <c r="F24" s="897">
        <f>SUMIFS('Other Costs'!K$5:K$167,'Other Costs'!$D$5:$D$167,Variables!$A41,'Other Costs'!$F$5:$F$167,Miscellaneous!$N$8,'Other Costs'!$G$5:$G$167,"Opex")</f>
        <v>0</v>
      </c>
      <c r="G24" s="897">
        <f>SUMIFS('Other Costs'!L$5:L$167,'Other Costs'!$D$5:$D$167,Variables!$A41,'Other Costs'!$F$5:$F$167,Miscellaneous!$N$8,'Other Costs'!$G$5:$G$167,"Opex")</f>
        <v>0</v>
      </c>
      <c r="H24" s="897">
        <f>SUMIFS('Other Costs'!M$5:M$167,'Other Costs'!$D$5:$D$167,Variables!$A41,'Other Costs'!$F$5:$F$167,Miscellaneous!$N$8,'Other Costs'!$G$5:$G$167,"Opex")</f>
        <v>0</v>
      </c>
      <c r="I24" s="897">
        <f>SUMIFS('Other Costs'!N$5:N$167,'Other Costs'!$D$5:$D$167,Variables!$A41,'Other Costs'!$F$5:$F$167,Miscellaneous!$N$8,'Other Costs'!$G$5:$G$167,"Opex")</f>
        <v>0</v>
      </c>
      <c r="J24" s="897">
        <f>SUMIFS('Other Costs'!O$5:O$167,'Other Costs'!$D$5:$D$167,Variables!$A41,'Other Costs'!$F$5:$F$167,Miscellaneous!$N$8,'Other Costs'!$G$5:$G$167,"Opex")</f>
        <v>0</v>
      </c>
      <c r="K24" s="897">
        <f>SUMIFS('Other Costs'!P$5:P$167,'Other Costs'!$D$5:$D$167,Variables!$A41,'Other Costs'!$F$5:$F$167,Miscellaneous!$N$8,'Other Costs'!$G$5:$G$167,"Opex")</f>
        <v>0</v>
      </c>
      <c r="L24" s="897">
        <f>SUMIFS('Other Costs'!Q$5:Q$167,'Other Costs'!$D$5:$D$167,Variables!$A41,'Other Costs'!$F$5:$F$167,Miscellaneous!$N$8,'Other Costs'!$G$5:$G$167,"Opex")</f>
        <v>0</v>
      </c>
      <c r="M24" s="897">
        <f>SUMIFS('Other Costs'!R$5:R$167,'Other Costs'!$D$5:$D$167,Variables!$A41,'Other Costs'!$F$5:$F$167,Miscellaneous!$N$8,'Other Costs'!$G$5:$G$167,"Opex")</f>
        <v>0</v>
      </c>
      <c r="N24" s="889">
        <f>SUMIFS('Other Costs'!S$5:S$167,'Other Costs'!$D$5:$D$167,Variables!$A41,'Other Costs'!$F$5:$F$167,Miscellaneous!$N$8,'Other Costs'!$G$5:$G$167,"Opex")</f>
        <v>0</v>
      </c>
      <c r="O24" s="897">
        <f>SUMIFS('Other Costs'!T$5:T$167,'Other Costs'!$D$5:$D$167,Variables!$A41,'Other Costs'!$F$5:$F$167,Miscellaneous!$N$8,'Other Costs'!$G$5:$G$167,"Opex")</f>
        <v>0</v>
      </c>
      <c r="P24" s="897">
        <f>SUMIFS('Other Costs'!U$5:U$167,'Other Costs'!$D$5:$D$167,Variables!$A41,'Other Costs'!$F$5:$F$167,Miscellaneous!$N$8,'Other Costs'!$G$5:$G$167,"Opex")</f>
        <v>0</v>
      </c>
      <c r="Q24" s="897">
        <f>SUMIFS('Other Costs'!V$5:V$167,'Other Costs'!$D$5:$D$167,Variables!$A41,'Other Costs'!$F$5:$F$167,Miscellaneous!$N$8,'Other Costs'!$G$5:$G$167,"Opex")</f>
        <v>0</v>
      </c>
      <c r="R24" s="897">
        <f>SUMIFS('Other Costs'!W$5:W$167,'Other Costs'!$D$5:$D$167,Variables!$A41,'Other Costs'!$F$5:$F$167,Miscellaneous!$N$8,'Other Costs'!$G$5:$G$167,"Opex")</f>
        <v>0</v>
      </c>
      <c r="S24" s="897">
        <f>SUMIFS('Other Costs'!X$5:X$167,'Other Costs'!$D$5:$D$167,Variables!$A41,'Other Costs'!$F$5:$F$167,Miscellaneous!$N$8,'Other Costs'!$G$5:$G$167,"Opex")</f>
        <v>0</v>
      </c>
      <c r="T24" s="897">
        <f>SUMIFS('Other Costs'!Y$5:Y$167,'Other Costs'!$D$5:$D$167,Variables!$A41,'Other Costs'!$F$5:$F$167,Miscellaneous!$N$8,'Other Costs'!$G$5:$G$167,"Opex")</f>
        <v>0</v>
      </c>
      <c r="U24" s="897">
        <f>SUMIFS('Other Costs'!Z$5:Z$167,'Other Costs'!$D$5:$D$167,Variables!$A41,'Other Costs'!$F$5:$F$167,Miscellaneous!$N$8,'Other Costs'!$G$5:$G$167,"Opex")</f>
        <v>0</v>
      </c>
      <c r="V24" s="897">
        <f>SUMIFS('Other Costs'!AA$5:AA$167,'Other Costs'!$D$5:$D$167,Variables!$A41,'Other Costs'!$F$5:$F$167,Miscellaneous!$N$8,'Other Costs'!$G$5:$G$167,"Opex")</f>
        <v>0</v>
      </c>
      <c r="W24" s="897">
        <f>SUMIFS('Other Costs'!AB$5:AB$167,'Other Costs'!$D$5:$D$167,Variables!$A41,'Other Costs'!$F$5:$F$167,Miscellaneous!$N$8,'Other Costs'!$G$5:$G$167,"Opex")</f>
        <v>0</v>
      </c>
      <c r="X24" s="897">
        <f>SUMIFS('Other Costs'!AC$5:AC$167,'Other Costs'!$D$5:$D$167,Variables!$A41,'Other Costs'!$F$5:$F$167,Miscellaneous!$N$8,'Other Costs'!$G$5:$G$167,"Opex")</f>
        <v>0</v>
      </c>
      <c r="Y24" s="897">
        <f>SUMIFS('Other Costs'!AD$5:AD$167,'Other Costs'!$D$5:$D$167,Variables!$A41,'Other Costs'!$F$5:$F$167,Miscellaneous!$N$8,'Other Costs'!$G$5:$G$167,"Opex")</f>
        <v>0</v>
      </c>
      <c r="Z24" s="889">
        <f>SUMIFS('Other Costs'!AE$5:AE$167,'Other Costs'!$D$5:$D$167,Variables!$A41,'Other Costs'!$F$5:$F$167,Miscellaneous!$N$8,'Other Costs'!$G$5:$G$167,"Opex")</f>
        <v>0</v>
      </c>
      <c r="AA24" s="897">
        <f>SUMIFS('Other Costs'!AF$5:AF$167,'Other Costs'!$D$5:$D$167,Variables!$A41,'Other Costs'!$F$5:$F$167,Miscellaneous!$N$8,'Other Costs'!$G$5:$G$167,"Opex")</f>
        <v>0</v>
      </c>
      <c r="AB24" s="897">
        <f>SUMIFS('Other Costs'!AG$5:AG$167,'Other Costs'!$D$5:$D$167,Variables!$A41,'Other Costs'!$F$5:$F$167,Miscellaneous!$N$8,'Other Costs'!$G$5:$G$167,"Opex")</f>
        <v>0</v>
      </c>
      <c r="AC24" s="897">
        <f>SUMIFS('Other Costs'!AH$5:AH$167,'Other Costs'!$D$5:$D$167,Variables!$A41,'Other Costs'!$F$5:$F$167,Miscellaneous!$N$8,'Other Costs'!$G$5:$G$167,"Opex")</f>
        <v>0</v>
      </c>
      <c r="AD24" s="897">
        <f>SUMIFS('Other Costs'!AI$5:AI$167,'Other Costs'!$D$5:$D$167,Variables!$A41,'Other Costs'!$F$5:$F$167,Miscellaneous!$N$8,'Other Costs'!$G$5:$G$167,"Opex")</f>
        <v>0</v>
      </c>
      <c r="AE24" s="897">
        <f>SUMIFS('Other Costs'!AJ$5:AJ$167,'Other Costs'!$D$5:$D$167,Variables!$A41,'Other Costs'!$F$5:$F$167,Miscellaneous!$N$8,'Other Costs'!$G$5:$G$167,"Opex")</f>
        <v>0</v>
      </c>
      <c r="AF24" s="897">
        <f>SUMIFS('Other Costs'!AK$5:AK$167,'Other Costs'!$D$5:$D$167,Variables!$A41,'Other Costs'!$F$5:$F$167,Miscellaneous!$N$8,'Other Costs'!$G$5:$G$167,"Opex")</f>
        <v>0</v>
      </c>
      <c r="AG24" s="897">
        <f>SUMIFS('Other Costs'!AL$5:AL$167,'Other Costs'!$D$5:$D$167,Variables!$A41,'Other Costs'!$F$5:$F$167,Miscellaneous!$N$8,'Other Costs'!$G$5:$G$167,"Opex")</f>
        <v>0</v>
      </c>
      <c r="AH24" s="897">
        <f>SUMIFS('Other Costs'!AM$5:AM$167,'Other Costs'!$D$5:$D$167,Variables!$A41,'Other Costs'!$F$5:$F$167,Miscellaneous!$N$8,'Other Costs'!$G$5:$G$167,"Opex")</f>
        <v>0</v>
      </c>
      <c r="AI24" s="897">
        <f>SUMIFS('Other Costs'!AN$5:AN$167,'Other Costs'!$D$5:$D$167,Variables!$A41,'Other Costs'!$F$5:$F$167,Miscellaneous!$N$8,'Other Costs'!$G$5:$G$167,"Opex")</f>
        <v>0</v>
      </c>
      <c r="AJ24" s="897">
        <f>SUMIFS('Other Costs'!AO$5:AO$167,'Other Costs'!$D$5:$D$167,Variables!$A41,'Other Costs'!$F$5:$F$167,Miscellaneous!$N$8,'Other Costs'!$G$5:$G$167,"Opex")</f>
        <v>0</v>
      </c>
      <c r="AK24" s="897">
        <f>SUMIFS('Other Costs'!AP$5:AP$167,'Other Costs'!$D$5:$D$167,Variables!$A41,'Other Costs'!$F$5:$F$167,Miscellaneous!$N$8,'Other Costs'!$G$5:$G$167,"Opex")</f>
        <v>0</v>
      </c>
      <c r="AL24" s="889">
        <f>SUMIFS('Other Costs'!AQ$5:AQ$167,'Other Costs'!$D$5:$D$167,Variables!$A41,'Other Costs'!$F$5:$F$167,Miscellaneous!$N$8,'Other Costs'!$G$5:$G$167,"Opex")</f>
        <v>0</v>
      </c>
      <c r="AM24" s="897">
        <f>SUMIFS('Other Costs'!AR$5:AR$167,'Other Costs'!$D$5:$D$167,Variables!$A41,'Other Costs'!$F$5:$F$167,Miscellaneous!$N$8,'Other Costs'!$G$5:$G$167,"Opex")</f>
        <v>0</v>
      </c>
      <c r="AN24" s="897">
        <f>SUMIFS('Other Costs'!AS$5:AS$167,'Other Costs'!$D$5:$D$167,Variables!$A41,'Other Costs'!$F$5:$F$167,Miscellaneous!$N$8,'Other Costs'!$G$5:$G$167,"Opex")</f>
        <v>0</v>
      </c>
      <c r="AO24" s="897">
        <f>SUMIFS('Other Costs'!AT$5:AT$167,'Other Costs'!$D$5:$D$167,Variables!$A41,'Other Costs'!$F$5:$F$167,Miscellaneous!$N$8,'Other Costs'!$G$5:$G$167,"Opex")</f>
        <v>0</v>
      </c>
      <c r="AP24" s="897">
        <f>SUMIFS('Other Costs'!AU$5:AU$167,'Other Costs'!$D$5:$D$167,Variables!$A41,'Other Costs'!$F$5:$F$167,Miscellaneous!$N$8,'Other Costs'!$G$5:$G$167,"Opex")</f>
        <v>0</v>
      </c>
      <c r="AQ24" s="897">
        <f>SUMIFS('Other Costs'!AV$5:AV$167,'Other Costs'!$D$5:$D$167,Variables!$A41,'Other Costs'!$F$5:$F$167,Miscellaneous!$N$8,'Other Costs'!$G$5:$G$167,"Opex")</f>
        <v>0</v>
      </c>
      <c r="AR24" s="897">
        <f>SUMIFS('Other Costs'!AW$5:AW$167,'Other Costs'!$D$5:$D$167,Variables!$A41,'Other Costs'!$F$5:$F$167,Miscellaneous!$N$8,'Other Costs'!$G$5:$G$167,"Opex")</f>
        <v>0</v>
      </c>
      <c r="AS24" s="897">
        <f>SUMIFS('Other Costs'!AX$5:AX$167,'Other Costs'!$D$5:$D$167,Variables!$A41,'Other Costs'!$F$5:$F$167,Miscellaneous!$N$8,'Other Costs'!$G$5:$G$167,"Opex")</f>
        <v>0</v>
      </c>
      <c r="AT24" s="897">
        <f>SUMIFS('Other Costs'!AY$5:AY$167,'Other Costs'!$D$5:$D$167,Variables!$A41,'Other Costs'!$F$5:$F$167,Miscellaneous!$N$8,'Other Costs'!$G$5:$G$167,"Opex")</f>
        <v>0</v>
      </c>
      <c r="AU24" s="897">
        <f>SUMIFS('Other Costs'!AZ$5:AZ$167,'Other Costs'!$D$5:$D$167,Variables!$A41,'Other Costs'!$F$5:$F$167,Miscellaneous!$N$8,'Other Costs'!$G$5:$G$167,"Opex")</f>
        <v>0</v>
      </c>
      <c r="AV24" s="897">
        <f>SUMIFS('Other Costs'!BA$5:BA$167,'Other Costs'!$D$5:$D$167,Variables!$A41,'Other Costs'!$F$5:$F$167,Miscellaneous!$N$8,'Other Costs'!$G$5:$G$167,"Opex")</f>
        <v>0</v>
      </c>
      <c r="AW24" s="897">
        <f>SUMIFS('Other Costs'!BB$5:BB$167,'Other Costs'!$D$5:$D$167,Variables!$A41,'Other Costs'!$F$5:$F$167,Miscellaneous!$N$8,'Other Costs'!$G$5:$G$167,"Opex")</f>
        <v>0</v>
      </c>
      <c r="AX24" s="889">
        <f>SUMIFS('Other Costs'!BC$5:BC$167,'Other Costs'!$D$5:$D$167,Variables!$A41,'Other Costs'!$F$5:$F$167,Miscellaneous!$N$8,'Other Costs'!$G$5:$G$167,"Opex")</f>
        <v>0</v>
      </c>
      <c r="AY24" s="897">
        <f>SUMIFS('Other Costs'!BD$5:BD$167,'Other Costs'!$D$5:$D$167,Variables!$A41,'Other Costs'!$F$5:$F$167,Miscellaneous!$N$8,'Other Costs'!$G$5:$G$167,"Opex")</f>
        <v>0</v>
      </c>
      <c r="AZ24" s="897">
        <f>SUMIFS('Other Costs'!BE$5:BE$167,'Other Costs'!$D$5:$D$167,Variables!$A41,'Other Costs'!$F$5:$F$167,Miscellaneous!$N$8,'Other Costs'!$G$5:$G$167,"Opex")</f>
        <v>0</v>
      </c>
      <c r="BA24" s="897">
        <f>SUMIFS('Other Costs'!BF$5:BF$167,'Other Costs'!$D$5:$D$167,Variables!$A41,'Other Costs'!$F$5:$F$167,Miscellaneous!$N$8,'Other Costs'!$G$5:$G$167,"Opex")</f>
        <v>0</v>
      </c>
      <c r="BB24" s="897">
        <f>SUMIFS('Other Costs'!BG$5:BG$167,'Other Costs'!$D$5:$D$167,Variables!$A41,'Other Costs'!$F$5:$F$167,Miscellaneous!$N$8,'Other Costs'!$G$5:$G$167,"Opex")</f>
        <v>0</v>
      </c>
      <c r="BC24" s="897">
        <f>SUMIFS('Other Costs'!BH$5:BH$167,'Other Costs'!$D$5:$D$167,Variables!$A41,'Other Costs'!$F$5:$F$167,Miscellaneous!$N$8,'Other Costs'!$G$5:$G$167,"Opex")</f>
        <v>0</v>
      </c>
      <c r="BD24" s="897">
        <f>SUMIFS('Other Costs'!BI$5:BI$167,'Other Costs'!$D$5:$D$167,Variables!$A41,'Other Costs'!$F$5:$F$167,Miscellaneous!$N$8,'Other Costs'!$G$5:$G$167,"Opex")</f>
        <v>0</v>
      </c>
      <c r="BE24" s="897">
        <f>SUMIFS('Other Costs'!BJ$5:BJ$167,'Other Costs'!$D$5:$D$167,Variables!$A41,'Other Costs'!$F$5:$F$167,Miscellaneous!$N$8,'Other Costs'!$G$5:$G$167,"Opex")</f>
        <v>0</v>
      </c>
      <c r="BF24" s="897">
        <f>SUMIFS('Other Costs'!BK$5:BK$167,'Other Costs'!$D$5:$D$167,Variables!$A41,'Other Costs'!$F$5:$F$167,Miscellaneous!$N$8,'Other Costs'!$G$5:$G$167,"Opex")</f>
        <v>0</v>
      </c>
      <c r="BG24" s="897">
        <f>SUMIFS('Other Costs'!BL$5:BL$167,'Other Costs'!$D$5:$D$167,Variables!$A41,'Other Costs'!$F$5:$F$167,Miscellaneous!$N$8,'Other Costs'!$G$5:$G$167,"Opex")</f>
        <v>0</v>
      </c>
      <c r="BH24" s="897">
        <f>SUMIFS('Other Costs'!BM$5:BM$167,'Other Costs'!$D$5:$D$167,Variables!$A41,'Other Costs'!$F$5:$F$167,Miscellaneous!$N$8,'Other Costs'!$G$5:$G$167,"Opex")</f>
        <v>0</v>
      </c>
      <c r="BI24" s="897">
        <f>SUMIFS('Other Costs'!BN$5:BN$167,'Other Costs'!$D$5:$D$167,Variables!$A41,'Other Costs'!$F$5:$F$167,Miscellaneous!$N$8,'Other Costs'!$G$5:$G$167,"Opex")</f>
        <v>0</v>
      </c>
      <c r="BJ24" s="889">
        <f>SUMIFS('Other Costs'!BO$5:BO$167,'Other Costs'!$D$5:$D$167,Variables!$A41,'Other Costs'!$F$5:$F$167,Miscellaneous!$N$8,'Other Costs'!$G$5:$G$167,"Opex")</f>
        <v>0</v>
      </c>
      <c r="BK24" s="897">
        <f>SUMIFS('Other Costs'!BP$5:BP$167,'Other Costs'!$D$5:$D$167,Variables!$A41,'Other Costs'!$F$5:$F$167,Miscellaneous!$N$8,'Other Costs'!$G$5:$G$167,"Opex")</f>
        <v>0</v>
      </c>
      <c r="BL24" s="897">
        <f>SUMIFS('Other Costs'!BQ$5:BQ$167,'Other Costs'!$D$5:$D$167,Variables!$A41,'Other Costs'!$F$5:$F$167,Miscellaneous!$N$8,'Other Costs'!$G$5:$G$167,"Opex")</f>
        <v>0</v>
      </c>
      <c r="BM24" s="897">
        <f>SUMIFS('Other Costs'!BR$5:BR$167,'Other Costs'!$D$5:$D$167,Variables!$A41,'Other Costs'!$F$5:$F$167,Miscellaneous!$N$8,'Other Costs'!$G$5:$G$167,"Opex")</f>
        <v>0</v>
      </c>
      <c r="BN24" s="897">
        <f>SUMIFS('Other Costs'!BS$5:BS$167,'Other Costs'!$D$5:$D$167,Variables!$A41,'Other Costs'!$F$5:$F$167,Miscellaneous!$N$8,'Other Costs'!$G$5:$G$167,"Opex")</f>
        <v>0</v>
      </c>
      <c r="BO24" s="897">
        <f>SUMIFS('Other Costs'!BT$5:BT$167,'Other Costs'!$D$5:$D$167,Variables!$A41,'Other Costs'!$F$5:$F$167,Miscellaneous!$N$8,'Other Costs'!$G$5:$G$167,"Opex")</f>
        <v>0</v>
      </c>
      <c r="BP24" s="897">
        <f>SUMIFS('Other Costs'!BU$5:BU$167,'Other Costs'!$D$5:$D$167,Variables!$A41,'Other Costs'!$F$5:$F$167,Miscellaneous!$N$8,'Other Costs'!$G$5:$G$167,"Opex")</f>
        <v>0</v>
      </c>
      <c r="BQ24" s="897">
        <f>SUMIFS('Other Costs'!BV$5:BV$167,'Other Costs'!$D$5:$D$167,Variables!$A41,'Other Costs'!$F$5:$F$167,Miscellaneous!$N$8,'Other Costs'!$G$5:$G$167,"Opex")</f>
        <v>0</v>
      </c>
      <c r="BR24" s="897">
        <f>SUMIFS('Other Costs'!BW$5:BW$167,'Other Costs'!$D$5:$D$167,Variables!$A41,'Other Costs'!$F$5:$F$167,Miscellaneous!$N$8,'Other Costs'!$G$5:$G$167,"Opex")</f>
        <v>0</v>
      </c>
      <c r="BS24" s="897">
        <f>SUMIFS('Other Costs'!BX$5:BX$167,'Other Costs'!$D$5:$D$167,Variables!$A41,'Other Costs'!$F$5:$F$167,Miscellaneous!$N$8,'Other Costs'!$G$5:$G$167,"Opex")</f>
        <v>0</v>
      </c>
      <c r="BT24" s="897">
        <f>SUMIFS('Other Costs'!BY$5:BY$167,'Other Costs'!$D$5:$D$167,Variables!$A41,'Other Costs'!$F$5:$F$167,Miscellaneous!$N$8,'Other Costs'!$G$5:$G$167,"Opex")</f>
        <v>0</v>
      </c>
      <c r="BU24" s="897">
        <f>SUMIFS('Other Costs'!BZ$5:BZ$167,'Other Costs'!$D$5:$D$167,Variables!$A41,'Other Costs'!$F$5:$F$167,Miscellaneous!$N$8,'Other Costs'!$G$5:$G$167,"Opex")</f>
        <v>0</v>
      </c>
      <c r="BV24" s="889">
        <f>SUMIFS('Other Costs'!CA$5:CA$167,'Other Costs'!$D$5:$D$167,Variables!$A41,'Other Costs'!$F$5:$F$167,Miscellaneous!$N$8,'Other Costs'!$G$5:$G$167,"Opex")</f>
        <v>0</v>
      </c>
      <c r="BW24" s="893">
        <f>SUMIFS(C24:BV24,$C$75:$BV$75,"")</f>
        <v>0</v>
      </c>
      <c r="BX24" s="894">
        <f>SUM(SUMIFS(C24:N24,$C$2:$N$2,{"Dev","Impl","PIS","Close"},$C$75:$N$75,""))</f>
        <v>0</v>
      </c>
      <c r="BY24" s="894">
        <f>SUM(SUMIFS(O24:Z24,$O$2:$Z$2,{"Dev","Impl","PIS","Close"},$O$75:$Z$75,""))</f>
        <v>0</v>
      </c>
      <c r="BZ24" s="894">
        <f>SUM(SUMIFS(AA24:AL24,$AA$2:$AL$2,{"Dev","Impl","PIS","Close"},$AA$75:$AL$75,""))</f>
        <v>0</v>
      </c>
      <c r="CA24" s="894">
        <f>SUM(SUMIFS(AM24:AX24,$AM$2:$AX$2,{"Dev","Impl","PIS","Close"},$AM$75:$AX$75,""))</f>
        <v>0</v>
      </c>
      <c r="CB24" s="894">
        <f>SUM(SUMIFS(AY24:BJ24,$AY$2:$BJ$2,{"Dev","Impl","PIS","Close"},$AY$75:$BJ$75,""))</f>
        <v>0</v>
      </c>
      <c r="CC24" s="894">
        <f>SUM(SUMIFS(BK24:BV24,$BK$2:$BV$2,{"Dev","Impl","PIS","Close"},$BK$75:$BV$75,""))</f>
        <v>0</v>
      </c>
    </row>
    <row r="25" spans="1:89" s="4" customFormat="1">
      <c r="A25" s="6" t="s">
        <v>219</v>
      </c>
      <c r="B25" s="108"/>
      <c r="C25" s="897">
        <f>SUMIFS('Other Costs'!H$5:H$167,'Other Costs'!$D$5:$D$167,Variables!$A42,'Other Costs'!$F$5:$F$167,Miscellaneous!$N$8,'Other Costs'!$G$5:$G$167,"Opex")</f>
        <v>0</v>
      </c>
      <c r="D25" s="897">
        <f>SUMIFS('Other Costs'!I$5:I$167,'Other Costs'!$D$5:$D$167,Variables!$A42,'Other Costs'!$F$5:$F$167,Miscellaneous!$N$8,'Other Costs'!$G$5:$G$167,"Opex")</f>
        <v>0</v>
      </c>
      <c r="E25" s="897">
        <f>SUMIFS('Other Costs'!J$5:J$167,'Other Costs'!$D$5:$D$167,Variables!$A42,'Other Costs'!$F$5:$F$167,Miscellaneous!$N$8,'Other Costs'!$G$5:$G$167,"Opex")</f>
        <v>0</v>
      </c>
      <c r="F25" s="897">
        <f>SUMIFS('Other Costs'!K$5:K$167,'Other Costs'!$D$5:$D$167,Variables!$A42,'Other Costs'!$F$5:$F$167,Miscellaneous!$N$8,'Other Costs'!$G$5:$G$167,"Opex")</f>
        <v>0</v>
      </c>
      <c r="G25" s="897">
        <f>SUMIFS('Other Costs'!L$5:L$167,'Other Costs'!$D$5:$D$167,Variables!$A42,'Other Costs'!$F$5:$F$167,Miscellaneous!$N$8,'Other Costs'!$G$5:$G$167,"Opex")</f>
        <v>0</v>
      </c>
      <c r="H25" s="897">
        <f>SUMIFS('Other Costs'!M$5:M$167,'Other Costs'!$D$5:$D$167,Variables!$A42,'Other Costs'!$F$5:$F$167,Miscellaneous!$N$8,'Other Costs'!$G$5:$G$167,"Opex")</f>
        <v>0</v>
      </c>
      <c r="I25" s="897">
        <f>SUMIFS('Other Costs'!N$5:N$167,'Other Costs'!$D$5:$D$167,Variables!$A42,'Other Costs'!$F$5:$F$167,Miscellaneous!$N$8,'Other Costs'!$G$5:$G$167,"Opex")</f>
        <v>0</v>
      </c>
      <c r="J25" s="897">
        <f>SUMIFS('Other Costs'!O$5:O$167,'Other Costs'!$D$5:$D$167,Variables!$A42,'Other Costs'!$F$5:$F$167,Miscellaneous!$N$8,'Other Costs'!$G$5:$G$167,"Opex")</f>
        <v>0</v>
      </c>
      <c r="K25" s="897">
        <f>SUMIFS('Other Costs'!P$5:P$167,'Other Costs'!$D$5:$D$167,Variables!$A42,'Other Costs'!$F$5:$F$167,Miscellaneous!$N$8,'Other Costs'!$G$5:$G$167,"Opex")</f>
        <v>0</v>
      </c>
      <c r="L25" s="897">
        <f>SUMIFS('Other Costs'!Q$5:Q$167,'Other Costs'!$D$5:$D$167,Variables!$A42,'Other Costs'!$F$5:$F$167,Miscellaneous!$N$8,'Other Costs'!$G$5:$G$167,"Opex")</f>
        <v>0</v>
      </c>
      <c r="M25" s="897">
        <f>SUMIFS('Other Costs'!R$5:R$167,'Other Costs'!$D$5:$D$167,Variables!$A42,'Other Costs'!$F$5:$F$167,Miscellaneous!$N$8,'Other Costs'!$G$5:$G$167,"Opex")</f>
        <v>0</v>
      </c>
      <c r="N25" s="889">
        <f>SUMIFS('Other Costs'!S$5:S$167,'Other Costs'!$D$5:$D$167,Variables!$A42,'Other Costs'!$F$5:$F$167,Miscellaneous!$N$8,'Other Costs'!$G$5:$G$167,"Opex")</f>
        <v>0</v>
      </c>
      <c r="O25" s="897">
        <f>SUMIFS('Other Costs'!T$5:T$167,'Other Costs'!$D$5:$D$167,Variables!$A42,'Other Costs'!$F$5:$F$167,Miscellaneous!$N$8,'Other Costs'!$G$5:$G$167,"Opex")</f>
        <v>0</v>
      </c>
      <c r="P25" s="897">
        <f>SUMIFS('Other Costs'!U$5:U$167,'Other Costs'!$D$5:$D$167,Variables!$A42,'Other Costs'!$F$5:$F$167,Miscellaneous!$N$8,'Other Costs'!$G$5:$G$167,"Opex")</f>
        <v>0</v>
      </c>
      <c r="Q25" s="897">
        <f>SUMIFS('Other Costs'!V$5:V$167,'Other Costs'!$D$5:$D$167,Variables!$A42,'Other Costs'!$F$5:$F$167,Miscellaneous!$N$8,'Other Costs'!$G$5:$G$167,"Opex")</f>
        <v>0</v>
      </c>
      <c r="R25" s="897">
        <f>SUMIFS('Other Costs'!W$5:W$167,'Other Costs'!$D$5:$D$167,Variables!$A42,'Other Costs'!$F$5:$F$167,Miscellaneous!$N$8,'Other Costs'!$G$5:$G$167,"Opex")</f>
        <v>0</v>
      </c>
      <c r="S25" s="897">
        <f>SUMIFS('Other Costs'!X$5:X$167,'Other Costs'!$D$5:$D$167,Variables!$A42,'Other Costs'!$F$5:$F$167,Miscellaneous!$N$8,'Other Costs'!$G$5:$G$167,"Opex")</f>
        <v>0</v>
      </c>
      <c r="T25" s="897">
        <f>SUMIFS('Other Costs'!Y$5:Y$167,'Other Costs'!$D$5:$D$167,Variables!$A42,'Other Costs'!$F$5:$F$167,Miscellaneous!$N$8,'Other Costs'!$G$5:$G$167,"Opex")</f>
        <v>0</v>
      </c>
      <c r="U25" s="897">
        <f>SUMIFS('Other Costs'!Z$5:Z$167,'Other Costs'!$D$5:$D$167,Variables!$A42,'Other Costs'!$F$5:$F$167,Miscellaneous!$N$8,'Other Costs'!$G$5:$G$167,"Opex")</f>
        <v>0</v>
      </c>
      <c r="V25" s="897">
        <f>SUMIFS('Other Costs'!AA$5:AA$167,'Other Costs'!$D$5:$D$167,Variables!$A42,'Other Costs'!$F$5:$F$167,Miscellaneous!$N$8,'Other Costs'!$G$5:$G$167,"Opex")</f>
        <v>0</v>
      </c>
      <c r="W25" s="897">
        <f>SUMIFS('Other Costs'!AB$5:AB$167,'Other Costs'!$D$5:$D$167,Variables!$A42,'Other Costs'!$F$5:$F$167,Miscellaneous!$N$8,'Other Costs'!$G$5:$G$167,"Opex")</f>
        <v>0</v>
      </c>
      <c r="X25" s="897">
        <f>SUMIFS('Other Costs'!AC$5:AC$167,'Other Costs'!$D$5:$D$167,Variables!$A42,'Other Costs'!$F$5:$F$167,Miscellaneous!$N$8,'Other Costs'!$G$5:$G$167,"Opex")</f>
        <v>0</v>
      </c>
      <c r="Y25" s="897">
        <f>SUMIFS('Other Costs'!AD$5:AD$167,'Other Costs'!$D$5:$D$167,Variables!$A42,'Other Costs'!$F$5:$F$167,Miscellaneous!$N$8,'Other Costs'!$G$5:$G$167,"Opex")</f>
        <v>0</v>
      </c>
      <c r="Z25" s="889">
        <f>SUMIFS('Other Costs'!AE$5:AE$167,'Other Costs'!$D$5:$D$167,Variables!$A42,'Other Costs'!$F$5:$F$167,Miscellaneous!$N$8,'Other Costs'!$G$5:$G$167,"Opex")</f>
        <v>0</v>
      </c>
      <c r="AA25" s="897">
        <f>SUMIFS('Other Costs'!AF$5:AF$167,'Other Costs'!$D$5:$D$167,Variables!$A42,'Other Costs'!$F$5:$F$167,Miscellaneous!$N$8,'Other Costs'!$G$5:$G$167,"Opex")</f>
        <v>0</v>
      </c>
      <c r="AB25" s="897">
        <f>SUMIFS('Other Costs'!AG$5:AG$167,'Other Costs'!$D$5:$D$167,Variables!$A42,'Other Costs'!$F$5:$F$167,Miscellaneous!$N$8,'Other Costs'!$G$5:$G$167,"Opex")</f>
        <v>0</v>
      </c>
      <c r="AC25" s="897">
        <f>SUMIFS('Other Costs'!AH$5:AH$167,'Other Costs'!$D$5:$D$167,Variables!$A42,'Other Costs'!$F$5:$F$167,Miscellaneous!$N$8,'Other Costs'!$G$5:$G$167,"Opex")</f>
        <v>0</v>
      </c>
      <c r="AD25" s="897">
        <f>SUMIFS('Other Costs'!AI$5:AI$167,'Other Costs'!$D$5:$D$167,Variables!$A42,'Other Costs'!$F$5:$F$167,Miscellaneous!$N$8,'Other Costs'!$G$5:$G$167,"Opex")</f>
        <v>0</v>
      </c>
      <c r="AE25" s="897">
        <f>SUMIFS('Other Costs'!AJ$5:AJ$167,'Other Costs'!$D$5:$D$167,Variables!$A42,'Other Costs'!$F$5:$F$167,Miscellaneous!$N$8,'Other Costs'!$G$5:$G$167,"Opex")</f>
        <v>0</v>
      </c>
      <c r="AF25" s="897">
        <f>SUMIFS('Other Costs'!AK$5:AK$167,'Other Costs'!$D$5:$D$167,Variables!$A42,'Other Costs'!$F$5:$F$167,Miscellaneous!$N$8,'Other Costs'!$G$5:$G$167,"Opex")</f>
        <v>0</v>
      </c>
      <c r="AG25" s="897">
        <f>SUMIFS('Other Costs'!AL$5:AL$167,'Other Costs'!$D$5:$D$167,Variables!$A42,'Other Costs'!$F$5:$F$167,Miscellaneous!$N$8,'Other Costs'!$G$5:$G$167,"Opex")</f>
        <v>0</v>
      </c>
      <c r="AH25" s="897">
        <f>SUMIFS('Other Costs'!AM$5:AM$167,'Other Costs'!$D$5:$D$167,Variables!$A42,'Other Costs'!$F$5:$F$167,Miscellaneous!$N$8,'Other Costs'!$G$5:$G$167,"Opex")</f>
        <v>0</v>
      </c>
      <c r="AI25" s="897">
        <f>SUMIFS('Other Costs'!AN$5:AN$167,'Other Costs'!$D$5:$D$167,Variables!$A42,'Other Costs'!$F$5:$F$167,Miscellaneous!$N$8,'Other Costs'!$G$5:$G$167,"Opex")</f>
        <v>0</v>
      </c>
      <c r="AJ25" s="897">
        <f>SUMIFS('Other Costs'!AO$5:AO$167,'Other Costs'!$D$5:$D$167,Variables!$A42,'Other Costs'!$F$5:$F$167,Miscellaneous!$N$8,'Other Costs'!$G$5:$G$167,"Opex")</f>
        <v>0</v>
      </c>
      <c r="AK25" s="897">
        <f>SUMIFS('Other Costs'!AP$5:AP$167,'Other Costs'!$D$5:$D$167,Variables!$A42,'Other Costs'!$F$5:$F$167,Miscellaneous!$N$8,'Other Costs'!$G$5:$G$167,"Opex")</f>
        <v>0</v>
      </c>
      <c r="AL25" s="889">
        <f>SUMIFS('Other Costs'!AQ$5:AQ$167,'Other Costs'!$D$5:$D$167,Variables!$A42,'Other Costs'!$F$5:$F$167,Miscellaneous!$N$8,'Other Costs'!$G$5:$G$167,"Opex")</f>
        <v>0</v>
      </c>
      <c r="AM25" s="897">
        <f>SUMIFS('Other Costs'!AR$5:AR$167,'Other Costs'!$D$5:$D$167,Variables!$A42,'Other Costs'!$F$5:$F$167,Miscellaneous!$N$8,'Other Costs'!$G$5:$G$167,"Opex")</f>
        <v>0</v>
      </c>
      <c r="AN25" s="897">
        <f>SUMIFS('Other Costs'!AS$5:AS$167,'Other Costs'!$D$5:$D$167,Variables!$A42,'Other Costs'!$F$5:$F$167,Miscellaneous!$N$8,'Other Costs'!$G$5:$G$167,"Opex")</f>
        <v>0</v>
      </c>
      <c r="AO25" s="897">
        <f>SUMIFS('Other Costs'!AT$5:AT$167,'Other Costs'!$D$5:$D$167,Variables!$A42,'Other Costs'!$F$5:$F$167,Miscellaneous!$N$8,'Other Costs'!$G$5:$G$167,"Opex")</f>
        <v>0</v>
      </c>
      <c r="AP25" s="897">
        <f>SUMIFS('Other Costs'!AU$5:AU$167,'Other Costs'!$D$5:$D$167,Variables!$A42,'Other Costs'!$F$5:$F$167,Miscellaneous!$N$8,'Other Costs'!$G$5:$G$167,"Opex")</f>
        <v>0</v>
      </c>
      <c r="AQ25" s="897">
        <f>SUMIFS('Other Costs'!AV$5:AV$167,'Other Costs'!$D$5:$D$167,Variables!$A42,'Other Costs'!$F$5:$F$167,Miscellaneous!$N$8,'Other Costs'!$G$5:$G$167,"Opex")</f>
        <v>0</v>
      </c>
      <c r="AR25" s="897">
        <f>SUMIFS('Other Costs'!AW$5:AW$167,'Other Costs'!$D$5:$D$167,Variables!$A42,'Other Costs'!$F$5:$F$167,Miscellaneous!$N$8,'Other Costs'!$G$5:$G$167,"Opex")</f>
        <v>0</v>
      </c>
      <c r="AS25" s="897">
        <f>SUMIFS('Other Costs'!AX$5:AX$167,'Other Costs'!$D$5:$D$167,Variables!$A42,'Other Costs'!$F$5:$F$167,Miscellaneous!$N$8,'Other Costs'!$G$5:$G$167,"Opex")</f>
        <v>0</v>
      </c>
      <c r="AT25" s="897">
        <f>SUMIFS('Other Costs'!AY$5:AY$167,'Other Costs'!$D$5:$D$167,Variables!$A42,'Other Costs'!$F$5:$F$167,Miscellaneous!$N$8,'Other Costs'!$G$5:$G$167,"Opex")</f>
        <v>0</v>
      </c>
      <c r="AU25" s="897">
        <f>SUMIFS('Other Costs'!AZ$5:AZ$167,'Other Costs'!$D$5:$D$167,Variables!$A42,'Other Costs'!$F$5:$F$167,Miscellaneous!$N$8,'Other Costs'!$G$5:$G$167,"Opex")</f>
        <v>0</v>
      </c>
      <c r="AV25" s="897">
        <f>SUMIFS('Other Costs'!BA$5:BA$167,'Other Costs'!$D$5:$D$167,Variables!$A42,'Other Costs'!$F$5:$F$167,Miscellaneous!$N$8,'Other Costs'!$G$5:$G$167,"Opex")</f>
        <v>0</v>
      </c>
      <c r="AW25" s="897">
        <f>SUMIFS('Other Costs'!BB$5:BB$167,'Other Costs'!$D$5:$D$167,Variables!$A42,'Other Costs'!$F$5:$F$167,Miscellaneous!$N$8,'Other Costs'!$G$5:$G$167,"Opex")</f>
        <v>0</v>
      </c>
      <c r="AX25" s="889">
        <f>SUMIFS('Other Costs'!BC$5:BC$167,'Other Costs'!$D$5:$D$167,Variables!$A42,'Other Costs'!$F$5:$F$167,Miscellaneous!$N$8,'Other Costs'!$G$5:$G$167,"Opex")</f>
        <v>0</v>
      </c>
      <c r="AY25" s="897">
        <f>SUMIFS('Other Costs'!BD$5:BD$167,'Other Costs'!$D$5:$D$167,Variables!$A42,'Other Costs'!$F$5:$F$167,Miscellaneous!$N$8,'Other Costs'!$G$5:$G$167,"Opex")</f>
        <v>0</v>
      </c>
      <c r="AZ25" s="897">
        <f>SUMIFS('Other Costs'!BE$5:BE$167,'Other Costs'!$D$5:$D$167,Variables!$A42,'Other Costs'!$F$5:$F$167,Miscellaneous!$N$8,'Other Costs'!$G$5:$G$167,"Opex")</f>
        <v>0</v>
      </c>
      <c r="BA25" s="897">
        <f>SUMIFS('Other Costs'!BF$5:BF$167,'Other Costs'!$D$5:$D$167,Variables!$A42,'Other Costs'!$F$5:$F$167,Miscellaneous!$N$8,'Other Costs'!$G$5:$G$167,"Opex")</f>
        <v>0</v>
      </c>
      <c r="BB25" s="897">
        <f>SUMIFS('Other Costs'!BG$5:BG$167,'Other Costs'!$D$5:$D$167,Variables!$A42,'Other Costs'!$F$5:$F$167,Miscellaneous!$N$8,'Other Costs'!$G$5:$G$167,"Opex")</f>
        <v>0</v>
      </c>
      <c r="BC25" s="897">
        <f>SUMIFS('Other Costs'!BH$5:BH$167,'Other Costs'!$D$5:$D$167,Variables!$A42,'Other Costs'!$F$5:$F$167,Miscellaneous!$N$8,'Other Costs'!$G$5:$G$167,"Opex")</f>
        <v>0</v>
      </c>
      <c r="BD25" s="897">
        <f>SUMIFS('Other Costs'!BI$5:BI$167,'Other Costs'!$D$5:$D$167,Variables!$A42,'Other Costs'!$F$5:$F$167,Miscellaneous!$N$8,'Other Costs'!$G$5:$G$167,"Opex")</f>
        <v>0</v>
      </c>
      <c r="BE25" s="897">
        <f>SUMIFS('Other Costs'!BJ$5:BJ$167,'Other Costs'!$D$5:$D$167,Variables!$A42,'Other Costs'!$F$5:$F$167,Miscellaneous!$N$8,'Other Costs'!$G$5:$G$167,"Opex")</f>
        <v>0</v>
      </c>
      <c r="BF25" s="897">
        <f>SUMIFS('Other Costs'!BK$5:BK$167,'Other Costs'!$D$5:$D$167,Variables!$A42,'Other Costs'!$F$5:$F$167,Miscellaneous!$N$8,'Other Costs'!$G$5:$G$167,"Opex")</f>
        <v>0</v>
      </c>
      <c r="BG25" s="897">
        <f>SUMIFS('Other Costs'!BL$5:BL$167,'Other Costs'!$D$5:$D$167,Variables!$A42,'Other Costs'!$F$5:$F$167,Miscellaneous!$N$8,'Other Costs'!$G$5:$G$167,"Opex")</f>
        <v>0</v>
      </c>
      <c r="BH25" s="897">
        <f>SUMIFS('Other Costs'!BM$5:BM$167,'Other Costs'!$D$5:$D$167,Variables!$A42,'Other Costs'!$F$5:$F$167,Miscellaneous!$N$8,'Other Costs'!$G$5:$G$167,"Opex")</f>
        <v>0</v>
      </c>
      <c r="BI25" s="897">
        <f>SUMIFS('Other Costs'!BN$5:BN$167,'Other Costs'!$D$5:$D$167,Variables!$A42,'Other Costs'!$F$5:$F$167,Miscellaneous!$N$8,'Other Costs'!$G$5:$G$167,"Opex")</f>
        <v>0</v>
      </c>
      <c r="BJ25" s="889">
        <f>SUMIFS('Other Costs'!BO$5:BO$167,'Other Costs'!$D$5:$D$167,Variables!$A42,'Other Costs'!$F$5:$F$167,Miscellaneous!$N$8,'Other Costs'!$G$5:$G$167,"Opex")</f>
        <v>0</v>
      </c>
      <c r="BK25" s="897">
        <f>SUMIFS('Other Costs'!BP$5:BP$167,'Other Costs'!$D$5:$D$167,Variables!$A42,'Other Costs'!$F$5:$F$167,Miscellaneous!$N$8,'Other Costs'!$G$5:$G$167,"Opex")</f>
        <v>0</v>
      </c>
      <c r="BL25" s="897">
        <f>SUMIFS('Other Costs'!BQ$5:BQ$167,'Other Costs'!$D$5:$D$167,Variables!$A42,'Other Costs'!$F$5:$F$167,Miscellaneous!$N$8,'Other Costs'!$G$5:$G$167,"Opex")</f>
        <v>0</v>
      </c>
      <c r="BM25" s="897">
        <f>SUMIFS('Other Costs'!BR$5:BR$167,'Other Costs'!$D$5:$D$167,Variables!$A42,'Other Costs'!$F$5:$F$167,Miscellaneous!$N$8,'Other Costs'!$G$5:$G$167,"Opex")</f>
        <v>0</v>
      </c>
      <c r="BN25" s="897">
        <f>SUMIFS('Other Costs'!BS$5:BS$167,'Other Costs'!$D$5:$D$167,Variables!$A42,'Other Costs'!$F$5:$F$167,Miscellaneous!$N$8,'Other Costs'!$G$5:$G$167,"Opex")</f>
        <v>0</v>
      </c>
      <c r="BO25" s="897">
        <f>SUMIFS('Other Costs'!BT$5:BT$167,'Other Costs'!$D$5:$D$167,Variables!$A42,'Other Costs'!$F$5:$F$167,Miscellaneous!$N$8,'Other Costs'!$G$5:$G$167,"Opex")</f>
        <v>0</v>
      </c>
      <c r="BP25" s="897">
        <f>SUMIFS('Other Costs'!BU$5:BU$167,'Other Costs'!$D$5:$D$167,Variables!$A42,'Other Costs'!$F$5:$F$167,Miscellaneous!$N$8,'Other Costs'!$G$5:$G$167,"Opex")</f>
        <v>0</v>
      </c>
      <c r="BQ25" s="897">
        <f>SUMIFS('Other Costs'!BV$5:BV$167,'Other Costs'!$D$5:$D$167,Variables!$A42,'Other Costs'!$F$5:$F$167,Miscellaneous!$N$8,'Other Costs'!$G$5:$G$167,"Opex")</f>
        <v>0</v>
      </c>
      <c r="BR25" s="897">
        <f>SUMIFS('Other Costs'!BW$5:BW$167,'Other Costs'!$D$5:$D$167,Variables!$A42,'Other Costs'!$F$5:$F$167,Miscellaneous!$N$8,'Other Costs'!$G$5:$G$167,"Opex")</f>
        <v>0</v>
      </c>
      <c r="BS25" s="897">
        <f>SUMIFS('Other Costs'!BX$5:BX$167,'Other Costs'!$D$5:$D$167,Variables!$A42,'Other Costs'!$F$5:$F$167,Miscellaneous!$N$8,'Other Costs'!$G$5:$G$167,"Opex")</f>
        <v>0</v>
      </c>
      <c r="BT25" s="897">
        <f>SUMIFS('Other Costs'!BY$5:BY$167,'Other Costs'!$D$5:$D$167,Variables!$A42,'Other Costs'!$F$5:$F$167,Miscellaneous!$N$8,'Other Costs'!$G$5:$G$167,"Opex")</f>
        <v>0</v>
      </c>
      <c r="BU25" s="897">
        <f>SUMIFS('Other Costs'!BZ$5:BZ$167,'Other Costs'!$D$5:$D$167,Variables!$A42,'Other Costs'!$F$5:$F$167,Miscellaneous!$N$8,'Other Costs'!$G$5:$G$167,"Opex")</f>
        <v>0</v>
      </c>
      <c r="BV25" s="889">
        <f>SUMIFS('Other Costs'!CA$5:CA$167,'Other Costs'!$D$5:$D$167,Variables!$A42,'Other Costs'!$F$5:$F$167,Miscellaneous!$N$8,'Other Costs'!$G$5:$G$167,"Opex")</f>
        <v>0</v>
      </c>
      <c r="BW25" s="893">
        <f>SUMIFS(C25:BV25,$C$75:$BV$75,"")</f>
        <v>0</v>
      </c>
      <c r="BX25" s="894">
        <f>SUM(SUMIFS(C25:N25,$C$2:$N$2,{"Dev","Impl","PIS","Close"},$C$75:$N$75,""))</f>
        <v>0</v>
      </c>
      <c r="BY25" s="894">
        <f>SUM(SUMIFS(O25:Z25,$O$2:$Z$2,{"Dev","Impl","PIS","Close"},$O$75:$Z$75,""))</f>
        <v>0</v>
      </c>
      <c r="BZ25" s="894">
        <f>SUM(SUMIFS(AA25:AL25,$AA$2:$AL$2,{"Dev","Impl","PIS","Close"},$AA$75:$AL$75,""))</f>
        <v>0</v>
      </c>
      <c r="CA25" s="894">
        <f>SUM(SUMIFS(AM25:AX25,$AM$2:$AX$2,{"Dev","Impl","PIS","Close"},$AM$75:$AX$75,""))</f>
        <v>0</v>
      </c>
      <c r="CB25" s="894">
        <f>SUM(SUMIFS(AY25:BJ25,$AY$2:$BJ$2,{"Dev","Impl","PIS","Close"},$AY$75:$BJ$75,""))</f>
        <v>0</v>
      </c>
      <c r="CC25" s="894">
        <f>SUM(SUMIFS(BK25:BV25,$BK$2:$BV$2,{"Dev","Impl","PIS","Close"},$BK$75:$BV$75,""))</f>
        <v>0</v>
      </c>
    </row>
    <row r="26" spans="1:89" s="4" customFormat="1">
      <c r="A26" s="6" t="s">
        <v>220</v>
      </c>
      <c r="B26" s="108"/>
      <c r="C26" s="897">
        <f>SUMIFS('Other Costs'!H$5:H$167,'Other Costs'!$F$5:$F$167,Miscellaneous!$N$8,'Other Costs'!$G$5:$G$167,"Opex")-SUM(C22:C25)</f>
        <v>0</v>
      </c>
      <c r="D26" s="897">
        <f>SUMIFS('Other Costs'!I$5:I$167,'Other Costs'!$F$5:$F$167,Miscellaneous!$N$8,'Other Costs'!$G$5:$G$167,"Opex")-SUM(D22:D25)</f>
        <v>0</v>
      </c>
      <c r="E26" s="897">
        <f>SUMIFS('Other Costs'!J$5:J$167,'Other Costs'!$F$5:$F$167,Miscellaneous!$N$8,'Other Costs'!$G$5:$G$167,"Opex")-SUM(E22:E25)</f>
        <v>0</v>
      </c>
      <c r="F26" s="897">
        <f>SUMIFS('Other Costs'!K$5:K$167,'Other Costs'!$F$5:$F$167,Miscellaneous!$N$8,'Other Costs'!$G$5:$G$167,"Opex")-SUM(F22:F25)</f>
        <v>0</v>
      </c>
      <c r="G26" s="897">
        <f>SUMIFS('Other Costs'!L$5:L$167,'Other Costs'!$F$5:$F$167,Miscellaneous!$N$8,'Other Costs'!$G$5:$G$167,"Opex")-SUM(G22:G25)</f>
        <v>0</v>
      </c>
      <c r="H26" s="897">
        <f>SUMIFS('Other Costs'!M$5:M$167,'Other Costs'!$F$5:$F$167,Miscellaneous!$N$8,'Other Costs'!$G$5:$G$167,"Opex")-SUM(H22:H25)</f>
        <v>0</v>
      </c>
      <c r="I26" s="897">
        <f>SUMIFS('Other Costs'!N$5:N$167,'Other Costs'!$F$5:$F$167,Miscellaneous!$N$8,'Other Costs'!$G$5:$G$167,"Opex")-SUM(I22:I25)</f>
        <v>0</v>
      </c>
      <c r="J26" s="897">
        <f>SUMIFS('Other Costs'!O$5:O$167,'Other Costs'!$F$5:$F$167,Miscellaneous!$N$8,'Other Costs'!$G$5:$G$167,"Opex")-SUM(J22:J25)</f>
        <v>0</v>
      </c>
      <c r="K26" s="897">
        <f>SUMIFS('Other Costs'!P$5:P$167,'Other Costs'!$F$5:$F$167,Miscellaneous!$N$8,'Other Costs'!$G$5:$G$167,"Opex")-SUM(K22:K25)</f>
        <v>0</v>
      </c>
      <c r="L26" s="897">
        <f>SUMIFS('Other Costs'!Q$5:Q$167,'Other Costs'!$F$5:$F$167,Miscellaneous!$N$8,'Other Costs'!$G$5:$G$167,"Opex")-SUM(L22:L25)</f>
        <v>0</v>
      </c>
      <c r="M26" s="897">
        <f>SUMIFS('Other Costs'!R$5:R$167,'Other Costs'!$F$5:$F$167,Miscellaneous!$N$8,'Other Costs'!$G$5:$G$167,"Opex")-SUM(M22:M25)</f>
        <v>0</v>
      </c>
      <c r="N26" s="889">
        <f>SUMIFS('Other Costs'!S$5:S$167,'Other Costs'!$F$5:$F$167,Miscellaneous!$N$8,'Other Costs'!$G$5:$G$167,"Opex")-SUM(N22:N25)</f>
        <v>0</v>
      </c>
      <c r="O26" s="897">
        <f>SUMIFS('Other Costs'!T$5:T$167,'Other Costs'!$F$5:$F$167,Miscellaneous!$N$8,'Other Costs'!$G$5:$G$167,"Opex")-SUM(O22:O25)</f>
        <v>0</v>
      </c>
      <c r="P26" s="897">
        <f>SUMIFS('Other Costs'!U$5:U$167,'Other Costs'!$F$5:$F$167,Miscellaneous!$N$8,'Other Costs'!$G$5:$G$167,"Opex")-SUM(P22:P25)</f>
        <v>0</v>
      </c>
      <c r="Q26" s="897">
        <f>SUMIFS('Other Costs'!V$5:V$167,'Other Costs'!$F$5:$F$167,Miscellaneous!$N$8,'Other Costs'!$G$5:$G$167,"Opex")-SUM(Q22:Q25)</f>
        <v>0</v>
      </c>
      <c r="R26" s="897">
        <f>SUMIFS('Other Costs'!W$5:W$167,'Other Costs'!$F$5:$F$167,Miscellaneous!$N$8,'Other Costs'!$G$5:$G$167,"Opex")-SUM(R22:R25)</f>
        <v>0</v>
      </c>
      <c r="S26" s="897">
        <f>SUMIFS('Other Costs'!X$5:X$167,'Other Costs'!$F$5:$F$167,Miscellaneous!$N$8,'Other Costs'!$G$5:$G$167,"Opex")-SUM(S22:S25)</f>
        <v>0</v>
      </c>
      <c r="T26" s="897">
        <f>SUMIFS('Other Costs'!Y$5:Y$167,'Other Costs'!$F$5:$F$167,Miscellaneous!$N$8,'Other Costs'!$G$5:$G$167,"Opex")-SUM(T22:T25)</f>
        <v>0</v>
      </c>
      <c r="U26" s="897">
        <f>SUMIFS('Other Costs'!Z$5:Z$167,'Other Costs'!$F$5:$F$167,Miscellaneous!$N$8,'Other Costs'!$G$5:$G$167,"Opex")-SUM(U22:U25)</f>
        <v>0</v>
      </c>
      <c r="V26" s="897">
        <f>SUMIFS('Other Costs'!AA$5:AA$167,'Other Costs'!$F$5:$F$167,Miscellaneous!$N$8,'Other Costs'!$G$5:$G$167,"Opex")-SUM(V22:V25)</f>
        <v>0</v>
      </c>
      <c r="W26" s="897">
        <f>SUMIFS('Other Costs'!AB$5:AB$167,'Other Costs'!$F$5:$F$167,Miscellaneous!$N$8,'Other Costs'!$G$5:$G$167,"Opex")-SUM(W22:W25)</f>
        <v>0</v>
      </c>
      <c r="X26" s="897">
        <f>SUMIFS('Other Costs'!AC$5:AC$167,'Other Costs'!$F$5:$F$167,Miscellaneous!$N$8,'Other Costs'!$G$5:$G$167,"Opex")-SUM(X22:X25)</f>
        <v>0</v>
      </c>
      <c r="Y26" s="897">
        <f>SUMIFS('Other Costs'!AD$5:AD$167,'Other Costs'!$F$5:$F$167,Miscellaneous!$N$8,'Other Costs'!$G$5:$G$167,"Opex")-SUM(Y22:Y25)</f>
        <v>0</v>
      </c>
      <c r="Z26" s="889">
        <f>SUMIFS('Other Costs'!AE$5:AE$167,'Other Costs'!$F$5:$F$167,Miscellaneous!$N$8,'Other Costs'!$G$5:$G$167,"Opex")-SUM(Z22:Z25)</f>
        <v>0</v>
      </c>
      <c r="AA26" s="897">
        <f>SUMIFS('Other Costs'!AF$5:AF$167,'Other Costs'!$F$5:$F$167,Miscellaneous!$N$8,'Other Costs'!$G$5:$G$167,"Opex")-SUM(AA22:AA25)</f>
        <v>0</v>
      </c>
      <c r="AB26" s="897">
        <f>SUMIFS('Other Costs'!AG$5:AG$167,'Other Costs'!$F$5:$F$167,Miscellaneous!$N$8,'Other Costs'!$G$5:$G$167,"Opex")-SUM(AB22:AB25)</f>
        <v>0</v>
      </c>
      <c r="AC26" s="897">
        <f>SUMIFS('Other Costs'!AH$5:AH$167,'Other Costs'!$F$5:$F$167,Miscellaneous!$N$8,'Other Costs'!$G$5:$G$167,"Opex")-SUM(AC22:AC25)</f>
        <v>0</v>
      </c>
      <c r="AD26" s="897">
        <f>SUMIFS('Other Costs'!AI$5:AI$167,'Other Costs'!$F$5:$F$167,Miscellaneous!$N$8,'Other Costs'!$G$5:$G$167,"Opex")-SUM(AD22:AD25)</f>
        <v>0</v>
      </c>
      <c r="AE26" s="897">
        <f>SUMIFS('Other Costs'!AJ$5:AJ$167,'Other Costs'!$F$5:$F$167,Miscellaneous!$N$8,'Other Costs'!$G$5:$G$167,"Opex")-SUM(AE22:AE25)</f>
        <v>0</v>
      </c>
      <c r="AF26" s="897">
        <f>SUMIFS('Other Costs'!AK$5:AK$167,'Other Costs'!$F$5:$F$167,Miscellaneous!$N$8,'Other Costs'!$G$5:$G$167,"Opex")-SUM(AF22:AF25)</f>
        <v>0</v>
      </c>
      <c r="AG26" s="897">
        <f>SUMIFS('Other Costs'!AL$5:AL$167,'Other Costs'!$F$5:$F$167,Miscellaneous!$N$8,'Other Costs'!$G$5:$G$167,"Opex")-SUM(AG22:AG25)</f>
        <v>0</v>
      </c>
      <c r="AH26" s="897">
        <f>SUMIFS('Other Costs'!AM$5:AM$167,'Other Costs'!$F$5:$F$167,Miscellaneous!$N$8,'Other Costs'!$G$5:$G$167,"Opex")-SUM(AH22:AH25)</f>
        <v>0</v>
      </c>
      <c r="AI26" s="897">
        <f>SUMIFS('Other Costs'!AN$5:AN$167,'Other Costs'!$F$5:$F$167,Miscellaneous!$N$8,'Other Costs'!$G$5:$G$167,"Opex")-SUM(AI22:AI25)</f>
        <v>0</v>
      </c>
      <c r="AJ26" s="897">
        <f>SUMIFS('Other Costs'!AO$5:AO$167,'Other Costs'!$F$5:$F$167,Miscellaneous!$N$8,'Other Costs'!$G$5:$G$167,"Opex")-SUM(AJ22:AJ25)</f>
        <v>0</v>
      </c>
      <c r="AK26" s="897">
        <f>SUMIFS('Other Costs'!AP$5:AP$167,'Other Costs'!$F$5:$F$167,Miscellaneous!$N$8,'Other Costs'!$G$5:$G$167,"Opex")-SUM(AK22:AK25)</f>
        <v>0</v>
      </c>
      <c r="AL26" s="889">
        <f>SUMIFS('Other Costs'!AQ$5:AQ$167,'Other Costs'!$F$5:$F$167,Miscellaneous!$N$8,'Other Costs'!$G$5:$G$167,"Opex")-SUM(AL22:AL25)</f>
        <v>0</v>
      </c>
      <c r="AM26" s="897">
        <f>SUMIFS('Other Costs'!AR$5:AR$167,'Other Costs'!$F$5:$F$167,Miscellaneous!$N$8,'Other Costs'!$G$5:$G$167,"Opex")-SUM(AM22:AM25)</f>
        <v>0</v>
      </c>
      <c r="AN26" s="897">
        <f>SUMIFS('Other Costs'!AS$5:AS$167,'Other Costs'!$F$5:$F$167,Miscellaneous!$N$8,'Other Costs'!$G$5:$G$167,"Opex")-SUM(AN22:AN25)</f>
        <v>0</v>
      </c>
      <c r="AO26" s="897">
        <f>SUMIFS('Other Costs'!AT$5:AT$167,'Other Costs'!$F$5:$F$167,Miscellaneous!$N$8,'Other Costs'!$G$5:$G$167,"Opex")-SUM(AO22:AO25)</f>
        <v>0</v>
      </c>
      <c r="AP26" s="897">
        <f>SUMIFS('Other Costs'!AU$5:AU$167,'Other Costs'!$F$5:$F$167,Miscellaneous!$N$8,'Other Costs'!$G$5:$G$167,"Opex")-SUM(AP22:AP25)</f>
        <v>0</v>
      </c>
      <c r="AQ26" s="897">
        <f>SUMIFS('Other Costs'!AV$5:AV$167,'Other Costs'!$F$5:$F$167,Miscellaneous!$N$8,'Other Costs'!$G$5:$G$167,"Opex")-SUM(AQ22:AQ25)</f>
        <v>0</v>
      </c>
      <c r="AR26" s="897">
        <f>SUMIFS('Other Costs'!AW$5:AW$167,'Other Costs'!$F$5:$F$167,Miscellaneous!$N$8,'Other Costs'!$G$5:$G$167,"Opex")-SUM(AR22:AR25)</f>
        <v>0</v>
      </c>
      <c r="AS26" s="897">
        <f>SUMIFS('Other Costs'!AX$5:AX$167,'Other Costs'!$F$5:$F$167,Miscellaneous!$N$8,'Other Costs'!$G$5:$G$167,"Opex")-SUM(AS22:AS25)</f>
        <v>0</v>
      </c>
      <c r="AT26" s="897">
        <f>SUMIFS('Other Costs'!AY$5:AY$167,'Other Costs'!$F$5:$F$167,Miscellaneous!$N$8,'Other Costs'!$G$5:$G$167,"Opex")-SUM(AT22:AT25)</f>
        <v>0</v>
      </c>
      <c r="AU26" s="897">
        <f>SUMIFS('Other Costs'!AZ$5:AZ$167,'Other Costs'!$F$5:$F$167,Miscellaneous!$N$8,'Other Costs'!$G$5:$G$167,"Opex")-SUM(AU22:AU25)</f>
        <v>0</v>
      </c>
      <c r="AV26" s="897">
        <f>SUMIFS('Other Costs'!BA$5:BA$167,'Other Costs'!$F$5:$F$167,Miscellaneous!$N$8,'Other Costs'!$G$5:$G$167,"Opex")-SUM(AV22:AV25)</f>
        <v>0</v>
      </c>
      <c r="AW26" s="897">
        <f>SUMIFS('Other Costs'!BB$5:BB$167,'Other Costs'!$F$5:$F$167,Miscellaneous!$N$8,'Other Costs'!$G$5:$G$167,"Opex")-SUM(AW22:AW25)</f>
        <v>0</v>
      </c>
      <c r="AX26" s="889">
        <f>SUMIFS('Other Costs'!BC$5:BC$167,'Other Costs'!$F$5:$F$167,Miscellaneous!$N$8,'Other Costs'!$G$5:$G$167,"Opex")-SUM(AX22:AX25)</f>
        <v>0</v>
      </c>
      <c r="AY26" s="897">
        <f>SUMIFS('Other Costs'!BD$5:BD$167,'Other Costs'!$F$5:$F$167,Miscellaneous!$N$8,'Other Costs'!$G$5:$G$167,"Opex")-SUM(AY22:AY25)</f>
        <v>0</v>
      </c>
      <c r="AZ26" s="897">
        <f>SUMIFS('Other Costs'!BE$5:BE$167,'Other Costs'!$F$5:$F$167,Miscellaneous!$N$8,'Other Costs'!$G$5:$G$167,"Opex")-SUM(AZ22:AZ25)</f>
        <v>0</v>
      </c>
      <c r="BA26" s="897">
        <f>SUMIFS('Other Costs'!BF$5:BF$167,'Other Costs'!$F$5:$F$167,Miscellaneous!$N$8,'Other Costs'!$G$5:$G$167,"Opex")-SUM(BA22:BA25)</f>
        <v>0</v>
      </c>
      <c r="BB26" s="897">
        <f>SUMIFS('Other Costs'!BG$5:BG$167,'Other Costs'!$F$5:$F$167,Miscellaneous!$N$8,'Other Costs'!$G$5:$G$167,"Opex")-SUM(BB22:BB25)</f>
        <v>0</v>
      </c>
      <c r="BC26" s="897">
        <f>SUMIFS('Other Costs'!BH$5:BH$167,'Other Costs'!$F$5:$F$167,Miscellaneous!$N$8,'Other Costs'!$G$5:$G$167,"Opex")-SUM(BC22:BC25)</f>
        <v>0</v>
      </c>
      <c r="BD26" s="897">
        <f>SUMIFS('Other Costs'!BI$5:BI$167,'Other Costs'!$F$5:$F$167,Miscellaneous!$N$8,'Other Costs'!$G$5:$G$167,"Opex")-SUM(BD22:BD25)</f>
        <v>0</v>
      </c>
      <c r="BE26" s="897">
        <f>SUMIFS('Other Costs'!BJ$5:BJ$167,'Other Costs'!$F$5:$F$167,Miscellaneous!$N$8,'Other Costs'!$G$5:$G$167,"Opex")-SUM(BE22:BE25)</f>
        <v>0</v>
      </c>
      <c r="BF26" s="897">
        <f>SUMIFS('Other Costs'!BK$5:BK$167,'Other Costs'!$F$5:$F$167,Miscellaneous!$N$8,'Other Costs'!$G$5:$G$167,"Opex")-SUM(BF22:BF25)</f>
        <v>0</v>
      </c>
      <c r="BG26" s="897">
        <f>SUMIFS('Other Costs'!BL$5:BL$167,'Other Costs'!$F$5:$F$167,Miscellaneous!$N$8,'Other Costs'!$G$5:$G$167,"Opex")-SUM(BG22:BG25)</f>
        <v>0</v>
      </c>
      <c r="BH26" s="897">
        <f>SUMIFS('Other Costs'!BM$5:BM$167,'Other Costs'!$F$5:$F$167,Miscellaneous!$N$8,'Other Costs'!$G$5:$G$167,"Opex")-SUM(BH22:BH25)</f>
        <v>0</v>
      </c>
      <c r="BI26" s="897">
        <f>SUMIFS('Other Costs'!BN$5:BN$167,'Other Costs'!$F$5:$F$167,Miscellaneous!$N$8,'Other Costs'!$G$5:$G$167,"Opex")-SUM(BI22:BI25)</f>
        <v>0</v>
      </c>
      <c r="BJ26" s="889">
        <f>SUMIFS('Other Costs'!BO$5:BO$167,'Other Costs'!$F$5:$F$167,Miscellaneous!$N$8,'Other Costs'!$G$5:$G$167,"Opex")-SUM(BJ22:BJ25)</f>
        <v>0</v>
      </c>
      <c r="BK26" s="897">
        <f>SUMIFS('Other Costs'!BP$5:BP$167,'Other Costs'!$F$5:$F$167,Miscellaneous!$N$8,'Other Costs'!$G$5:$G$167,"Opex")-SUM(BK22:BK25)</f>
        <v>0</v>
      </c>
      <c r="BL26" s="897">
        <f>SUMIFS('Other Costs'!BQ$5:BQ$167,'Other Costs'!$F$5:$F$167,Miscellaneous!$N$8,'Other Costs'!$G$5:$G$167,"Opex")-SUM(BL22:BL25)</f>
        <v>0</v>
      </c>
      <c r="BM26" s="897">
        <f>SUMIFS('Other Costs'!BR$5:BR$167,'Other Costs'!$F$5:$F$167,Miscellaneous!$N$8,'Other Costs'!$G$5:$G$167,"Opex")-SUM(BM22:BM25)</f>
        <v>0</v>
      </c>
      <c r="BN26" s="897">
        <f>SUMIFS('Other Costs'!BS$5:BS$167,'Other Costs'!$F$5:$F$167,Miscellaneous!$N$8,'Other Costs'!$G$5:$G$167,"Opex")-SUM(BN22:BN25)</f>
        <v>0</v>
      </c>
      <c r="BO26" s="897">
        <f>SUMIFS('Other Costs'!BT$5:BT$167,'Other Costs'!$F$5:$F$167,Miscellaneous!$N$8,'Other Costs'!$G$5:$G$167,"Opex")-SUM(BO22:BO25)</f>
        <v>0</v>
      </c>
      <c r="BP26" s="897">
        <f>SUMIFS('Other Costs'!BU$5:BU$167,'Other Costs'!$F$5:$F$167,Miscellaneous!$N$8,'Other Costs'!$G$5:$G$167,"Opex")-SUM(BP22:BP25)</f>
        <v>0</v>
      </c>
      <c r="BQ26" s="897">
        <f>SUMIFS('Other Costs'!BV$5:BV$167,'Other Costs'!$F$5:$F$167,Miscellaneous!$N$8,'Other Costs'!$G$5:$G$167,"Opex")-SUM(BQ22:BQ25)</f>
        <v>0</v>
      </c>
      <c r="BR26" s="897">
        <f>SUMIFS('Other Costs'!BW$5:BW$167,'Other Costs'!$F$5:$F$167,Miscellaneous!$N$8,'Other Costs'!$G$5:$G$167,"Opex")-SUM(BR22:BR25)</f>
        <v>0</v>
      </c>
      <c r="BS26" s="897">
        <f>SUMIFS('Other Costs'!BX$5:BX$167,'Other Costs'!$F$5:$F$167,Miscellaneous!$N$8,'Other Costs'!$G$5:$G$167,"Opex")-SUM(BS22:BS25)</f>
        <v>0</v>
      </c>
      <c r="BT26" s="897">
        <f>SUMIFS('Other Costs'!BY$5:BY$167,'Other Costs'!$F$5:$F$167,Miscellaneous!$N$8,'Other Costs'!$G$5:$G$167,"Opex")-SUM(BT22:BT25)</f>
        <v>0</v>
      </c>
      <c r="BU26" s="897">
        <f>SUMIFS('Other Costs'!BZ$5:BZ$167,'Other Costs'!$F$5:$F$167,Miscellaneous!$N$8,'Other Costs'!$G$5:$G$167,"Opex")-SUM(BU22:BU25)</f>
        <v>0</v>
      </c>
      <c r="BV26" s="889">
        <f>SUMIFS('Other Costs'!CA$5:CA$167,'Other Costs'!$F$5:$F$167,Miscellaneous!$N$8,'Other Costs'!$G$5:$G$167,"Opex")-SUM(BV22:BV25)</f>
        <v>0</v>
      </c>
      <c r="BW26" s="893">
        <f>SUMIFS(C26:BV26,$C$75:$BV$75,"")</f>
        <v>0</v>
      </c>
      <c r="BX26" s="894">
        <f>SUM(SUMIFS(C26:N26,$C$2:$N$2,{"Dev","Impl","PIS","Close"},$C$75:$N$75,""))</f>
        <v>0</v>
      </c>
      <c r="BY26" s="894">
        <f>SUM(SUMIFS(O26:Z26,$O$2:$Z$2,{"Dev","Impl","PIS","Close"},$O$75:$Z$75,""))</f>
        <v>0</v>
      </c>
      <c r="BZ26" s="894">
        <f>SUM(SUMIFS(AA26:AL26,$AA$2:$AL$2,{"Dev","Impl","PIS","Close"},$AA$75:$AL$75,""))</f>
        <v>0</v>
      </c>
      <c r="CA26" s="894">
        <f>SUM(SUMIFS(AM26:AX26,$AM$2:$AX$2,{"Dev","Impl","PIS","Close"},$AM$75:$AX$75,""))</f>
        <v>0</v>
      </c>
      <c r="CB26" s="894">
        <f>SUM(SUMIFS(AY26:BJ26,$AY$2:$BJ$2,{"Dev","Impl","PIS","Close"},$AY$75:$BJ$75,""))</f>
        <v>0</v>
      </c>
      <c r="CC26" s="894">
        <f>SUM(SUMIFS(BK26:BV26,$BK$2:$BV$2,{"Dev","Impl","PIS","Close"},$BK$75:$BV$75,""))</f>
        <v>0</v>
      </c>
    </row>
    <row r="27" spans="1:89" s="4" customFormat="1" ht="15.5">
      <c r="A27" s="33" t="s">
        <v>68</v>
      </c>
      <c r="B27" s="109"/>
      <c r="C27" s="884"/>
      <c r="D27" s="884"/>
      <c r="E27" s="884"/>
      <c r="F27" s="884"/>
      <c r="G27" s="884"/>
      <c r="H27" s="884"/>
      <c r="I27" s="884"/>
      <c r="J27" s="884"/>
      <c r="K27" s="884"/>
      <c r="L27" s="884"/>
      <c r="M27" s="884"/>
      <c r="N27" s="885"/>
      <c r="O27" s="886"/>
      <c r="P27" s="884"/>
      <c r="Q27" s="884"/>
      <c r="R27" s="884"/>
      <c r="S27" s="884"/>
      <c r="T27" s="884"/>
      <c r="U27" s="884"/>
      <c r="V27" s="884"/>
      <c r="W27" s="884"/>
      <c r="X27" s="884"/>
      <c r="Y27" s="884"/>
      <c r="Z27" s="885"/>
      <c r="AA27" s="886"/>
      <c r="AB27" s="884"/>
      <c r="AC27" s="884"/>
      <c r="AD27" s="884"/>
      <c r="AE27" s="884"/>
      <c r="AF27" s="884"/>
      <c r="AG27" s="884"/>
      <c r="AH27" s="884"/>
      <c r="AI27" s="884"/>
      <c r="AJ27" s="884"/>
      <c r="AK27" s="884"/>
      <c r="AL27" s="885"/>
      <c r="AM27" s="886"/>
      <c r="AN27" s="884"/>
      <c r="AO27" s="884"/>
      <c r="AP27" s="884"/>
      <c r="AQ27" s="884"/>
      <c r="AR27" s="884"/>
      <c r="AS27" s="884"/>
      <c r="AT27" s="884"/>
      <c r="AU27" s="884"/>
      <c r="AV27" s="884"/>
      <c r="AW27" s="884"/>
      <c r="AX27" s="885"/>
      <c r="AY27" s="886"/>
      <c r="AZ27" s="884"/>
      <c r="BA27" s="884"/>
      <c r="BB27" s="884"/>
      <c r="BC27" s="884"/>
      <c r="BD27" s="884"/>
      <c r="BE27" s="884"/>
      <c r="BF27" s="884"/>
      <c r="BG27" s="884"/>
      <c r="BH27" s="884"/>
      <c r="BI27" s="884"/>
      <c r="BJ27" s="885"/>
      <c r="BK27" s="886"/>
      <c r="BL27" s="884"/>
      <c r="BM27" s="884"/>
      <c r="BN27" s="884"/>
      <c r="BO27" s="884"/>
      <c r="BP27" s="884"/>
      <c r="BQ27" s="884"/>
      <c r="BR27" s="884"/>
      <c r="BS27" s="884"/>
      <c r="BT27" s="884"/>
      <c r="BU27" s="884"/>
      <c r="BV27" s="885"/>
      <c r="BW27" s="893"/>
      <c r="BX27" s="896"/>
      <c r="BY27" s="896"/>
      <c r="BZ27" s="896"/>
      <c r="CA27" s="896"/>
      <c r="CB27" s="896"/>
      <c r="CC27" s="896"/>
    </row>
    <row r="28" spans="1:89" s="4" customFormat="1">
      <c r="A28" s="6" t="s">
        <v>196</v>
      </c>
      <c r="B28" s="108"/>
      <c r="C28" s="900">
        <f>'Other Costs'!H172</f>
        <v>0</v>
      </c>
      <c r="D28" s="900">
        <f>'Other Costs'!I172</f>
        <v>0</v>
      </c>
      <c r="E28" s="900">
        <f>'Other Costs'!J172</f>
        <v>0</v>
      </c>
      <c r="F28" s="900">
        <f>'Other Costs'!K172</f>
        <v>0</v>
      </c>
      <c r="G28" s="900">
        <f>'Other Costs'!L172</f>
        <v>0</v>
      </c>
      <c r="H28" s="900">
        <f>'Other Costs'!M172</f>
        <v>0</v>
      </c>
      <c r="I28" s="900">
        <f>'Other Costs'!N172</f>
        <v>0</v>
      </c>
      <c r="J28" s="900">
        <f>'Other Costs'!O172</f>
        <v>0</v>
      </c>
      <c r="K28" s="900">
        <f>'Other Costs'!P172</f>
        <v>0</v>
      </c>
      <c r="L28" s="900">
        <f>'Other Costs'!Q172</f>
        <v>0</v>
      </c>
      <c r="M28" s="900">
        <f>'Other Costs'!R172</f>
        <v>0</v>
      </c>
      <c r="N28" s="889">
        <f>'Other Costs'!S172</f>
        <v>0</v>
      </c>
      <c r="O28" s="897">
        <f>'Other Costs'!T172</f>
        <v>0</v>
      </c>
      <c r="P28" s="900">
        <f>'Other Costs'!U172</f>
        <v>0</v>
      </c>
      <c r="Q28" s="900">
        <f>'Other Costs'!V172</f>
        <v>0</v>
      </c>
      <c r="R28" s="900">
        <f>'Other Costs'!W172</f>
        <v>0</v>
      </c>
      <c r="S28" s="900">
        <f>'Other Costs'!X172</f>
        <v>0</v>
      </c>
      <c r="T28" s="900">
        <f>'Other Costs'!Y172</f>
        <v>0</v>
      </c>
      <c r="U28" s="900">
        <f>'Other Costs'!Z172</f>
        <v>0</v>
      </c>
      <c r="V28" s="900">
        <f>'Other Costs'!AA172</f>
        <v>0</v>
      </c>
      <c r="W28" s="900">
        <f>'Other Costs'!AB172</f>
        <v>0</v>
      </c>
      <c r="X28" s="900">
        <f>'Other Costs'!AC172</f>
        <v>0</v>
      </c>
      <c r="Y28" s="900">
        <f>'Other Costs'!AD172</f>
        <v>0</v>
      </c>
      <c r="Z28" s="889">
        <f>'Other Costs'!AE172</f>
        <v>0</v>
      </c>
      <c r="AA28" s="897">
        <f>'Other Costs'!AF172</f>
        <v>0</v>
      </c>
      <c r="AB28" s="900">
        <f>'Other Costs'!AG172</f>
        <v>0</v>
      </c>
      <c r="AC28" s="900">
        <f>'Other Costs'!AH172</f>
        <v>0</v>
      </c>
      <c r="AD28" s="900">
        <f>'Other Costs'!AI172</f>
        <v>0</v>
      </c>
      <c r="AE28" s="900">
        <f>'Other Costs'!AJ172</f>
        <v>0</v>
      </c>
      <c r="AF28" s="900">
        <f>'Other Costs'!AK172</f>
        <v>0</v>
      </c>
      <c r="AG28" s="900">
        <f>'Other Costs'!AL172</f>
        <v>0</v>
      </c>
      <c r="AH28" s="900">
        <f>'Other Costs'!AM172</f>
        <v>0</v>
      </c>
      <c r="AI28" s="900">
        <f>'Other Costs'!AN172</f>
        <v>0</v>
      </c>
      <c r="AJ28" s="900">
        <f>'Other Costs'!AO172</f>
        <v>0</v>
      </c>
      <c r="AK28" s="900">
        <f>'Other Costs'!AP172</f>
        <v>0</v>
      </c>
      <c r="AL28" s="889">
        <f>'Other Costs'!AQ172</f>
        <v>0</v>
      </c>
      <c r="AM28" s="897">
        <f>'Other Costs'!AR172</f>
        <v>0</v>
      </c>
      <c r="AN28" s="900">
        <f>'Other Costs'!AS172</f>
        <v>0</v>
      </c>
      <c r="AO28" s="900">
        <f>'Other Costs'!AT172</f>
        <v>0</v>
      </c>
      <c r="AP28" s="900">
        <f>'Other Costs'!AU172</f>
        <v>0</v>
      </c>
      <c r="AQ28" s="900">
        <f>'Other Costs'!AV172</f>
        <v>0</v>
      </c>
      <c r="AR28" s="900">
        <f>'Other Costs'!AW172</f>
        <v>0</v>
      </c>
      <c r="AS28" s="900">
        <f>'Other Costs'!AX172</f>
        <v>0</v>
      </c>
      <c r="AT28" s="900">
        <f>'Other Costs'!AY172</f>
        <v>0</v>
      </c>
      <c r="AU28" s="900">
        <f>'Other Costs'!AZ172</f>
        <v>0</v>
      </c>
      <c r="AV28" s="900">
        <f>'Other Costs'!BA172</f>
        <v>0</v>
      </c>
      <c r="AW28" s="900">
        <f>'Other Costs'!BB172</f>
        <v>0</v>
      </c>
      <c r="AX28" s="889">
        <f>'Other Costs'!BC172</f>
        <v>0</v>
      </c>
      <c r="AY28" s="897">
        <f>'Other Costs'!BD172</f>
        <v>0</v>
      </c>
      <c r="AZ28" s="900">
        <f>'Other Costs'!BE172</f>
        <v>0</v>
      </c>
      <c r="BA28" s="900">
        <f>'Other Costs'!BF172</f>
        <v>0</v>
      </c>
      <c r="BB28" s="900">
        <f>'Other Costs'!BG172</f>
        <v>0</v>
      </c>
      <c r="BC28" s="900">
        <f>'Other Costs'!BH172</f>
        <v>0</v>
      </c>
      <c r="BD28" s="900">
        <f>'Other Costs'!BI172</f>
        <v>0</v>
      </c>
      <c r="BE28" s="900">
        <f>'Other Costs'!BJ172</f>
        <v>0</v>
      </c>
      <c r="BF28" s="900">
        <f>'Other Costs'!BK172</f>
        <v>0</v>
      </c>
      <c r="BG28" s="900">
        <f>'Other Costs'!BL172</f>
        <v>0</v>
      </c>
      <c r="BH28" s="900">
        <f>'Other Costs'!BM172</f>
        <v>0</v>
      </c>
      <c r="BI28" s="900">
        <f>'Other Costs'!BN172</f>
        <v>0</v>
      </c>
      <c r="BJ28" s="889">
        <f>'Other Costs'!BO172</f>
        <v>0</v>
      </c>
      <c r="BK28" s="897">
        <f>'Other Costs'!BP172</f>
        <v>0</v>
      </c>
      <c r="BL28" s="900">
        <f>'Other Costs'!BQ172</f>
        <v>0</v>
      </c>
      <c r="BM28" s="900">
        <f>'Other Costs'!BR172</f>
        <v>0</v>
      </c>
      <c r="BN28" s="900">
        <f>'Other Costs'!BS172</f>
        <v>0</v>
      </c>
      <c r="BO28" s="900">
        <f>'Other Costs'!BT172</f>
        <v>0</v>
      </c>
      <c r="BP28" s="900">
        <f>'Other Costs'!BU172</f>
        <v>0</v>
      </c>
      <c r="BQ28" s="900">
        <f>'Other Costs'!BV172</f>
        <v>0</v>
      </c>
      <c r="BR28" s="900">
        <f>'Other Costs'!BW172</f>
        <v>0</v>
      </c>
      <c r="BS28" s="900">
        <f>'Other Costs'!BX172</f>
        <v>0</v>
      </c>
      <c r="BT28" s="900">
        <f>'Other Costs'!BY172</f>
        <v>0</v>
      </c>
      <c r="BU28" s="900">
        <f>'Other Costs'!BZ172</f>
        <v>0</v>
      </c>
      <c r="BV28" s="889">
        <f>'Other Costs'!CA172</f>
        <v>0</v>
      </c>
      <c r="BW28" s="893">
        <f t="shared" ref="BW28:BW36" si="1">SUMIFS(C28:BV28,$C$75:$BV$75,"")</f>
        <v>0</v>
      </c>
      <c r="BX28" s="901">
        <f>SUM(SUMIFS(C28:N28,$C$2:$N$2,{"Dev","Impl","PIS","Close"},$C$75:$N$75,""))</f>
        <v>0</v>
      </c>
      <c r="BY28" s="901">
        <f>SUM(SUMIFS(O28:Z28,$O$2:$Z$2,{"Dev","Impl","PIS","Close"},$O$75:$Z$75,""))</f>
        <v>0</v>
      </c>
      <c r="BZ28" s="901">
        <f>SUM(SUMIFS(AA28:AL28,$AA$2:$AL$2,{"Dev","Impl","PIS","Close"},$AA$75:$AL$75,""))</f>
        <v>0</v>
      </c>
      <c r="CA28" s="901">
        <f>SUM(SUMIFS(AM28:AX28,$AM$2:$AX$2,{"Dev","Impl","PIS","Close"},$AM$75:$AX$75,""))</f>
        <v>0</v>
      </c>
      <c r="CB28" s="901">
        <f>SUM(SUMIFS(AY28:BJ28,$AY$2:$BJ$2,{"Dev","Impl","PIS","Close"},$AY$75:$BJ$75,""))</f>
        <v>0</v>
      </c>
      <c r="CC28" s="901">
        <f>SUM(SUMIFS(BK28:BV28,$BK$2:$BV$2,{"Dev","Impl","PIS","Close"},$BK$75:$BV$75,""))</f>
        <v>0</v>
      </c>
      <c r="CE28" s="530" t="s">
        <v>405</v>
      </c>
      <c r="CF28" s="530"/>
      <c r="CG28" s="530"/>
      <c r="CH28" s="530"/>
      <c r="CI28" s="530"/>
      <c r="CJ28" s="530"/>
      <c r="CK28" s="530"/>
    </row>
    <row r="29" spans="1:89" s="4" customFormat="1">
      <c r="A29" s="6" t="s">
        <v>197</v>
      </c>
      <c r="B29" s="108"/>
      <c r="C29" s="900">
        <f>'Other Costs'!H175</f>
        <v>0</v>
      </c>
      <c r="D29" s="900">
        <f>'Other Costs'!I175</f>
        <v>0</v>
      </c>
      <c r="E29" s="900">
        <f>'Other Costs'!J175</f>
        <v>0</v>
      </c>
      <c r="F29" s="900">
        <f>'Other Costs'!K175</f>
        <v>0</v>
      </c>
      <c r="G29" s="900">
        <f>'Other Costs'!L175</f>
        <v>0</v>
      </c>
      <c r="H29" s="900">
        <f>'Other Costs'!M175</f>
        <v>0</v>
      </c>
      <c r="I29" s="900">
        <f>'Other Costs'!N175</f>
        <v>0</v>
      </c>
      <c r="J29" s="900">
        <f>'Other Costs'!O175</f>
        <v>0</v>
      </c>
      <c r="K29" s="900">
        <f>'Other Costs'!P175</f>
        <v>0</v>
      </c>
      <c r="L29" s="900">
        <f>'Other Costs'!Q175</f>
        <v>0</v>
      </c>
      <c r="M29" s="900">
        <f>'Other Costs'!R175</f>
        <v>0</v>
      </c>
      <c r="N29" s="889">
        <f>'Other Costs'!S175</f>
        <v>0</v>
      </c>
      <c r="O29" s="897">
        <f>'Other Costs'!T175</f>
        <v>0</v>
      </c>
      <c r="P29" s="900">
        <f>'Other Costs'!U175</f>
        <v>0</v>
      </c>
      <c r="Q29" s="900">
        <f>'Other Costs'!V175</f>
        <v>0</v>
      </c>
      <c r="R29" s="900">
        <f>'Other Costs'!W175</f>
        <v>0</v>
      </c>
      <c r="S29" s="900">
        <f>'Other Costs'!X175</f>
        <v>0</v>
      </c>
      <c r="T29" s="900">
        <f>'Other Costs'!Y175</f>
        <v>0</v>
      </c>
      <c r="U29" s="900">
        <f>'Other Costs'!Z175</f>
        <v>0</v>
      </c>
      <c r="V29" s="900">
        <f>'Other Costs'!AA175</f>
        <v>0</v>
      </c>
      <c r="W29" s="900">
        <f>'Other Costs'!AB175</f>
        <v>0</v>
      </c>
      <c r="X29" s="900">
        <f>'Other Costs'!AC175</f>
        <v>0</v>
      </c>
      <c r="Y29" s="900">
        <f>'Other Costs'!AD175</f>
        <v>0</v>
      </c>
      <c r="Z29" s="889">
        <f>'Other Costs'!AE175</f>
        <v>0</v>
      </c>
      <c r="AA29" s="897">
        <f>'Other Costs'!AF175</f>
        <v>0</v>
      </c>
      <c r="AB29" s="900">
        <f>'Other Costs'!AG175</f>
        <v>0</v>
      </c>
      <c r="AC29" s="900">
        <f>'Other Costs'!AH175</f>
        <v>0</v>
      </c>
      <c r="AD29" s="900">
        <f>'Other Costs'!AI175</f>
        <v>0</v>
      </c>
      <c r="AE29" s="900">
        <f>'Other Costs'!AJ175</f>
        <v>0</v>
      </c>
      <c r="AF29" s="900">
        <f>'Other Costs'!AK175</f>
        <v>0</v>
      </c>
      <c r="AG29" s="900">
        <f>'Other Costs'!AL175</f>
        <v>0</v>
      </c>
      <c r="AH29" s="900">
        <f>'Other Costs'!AM175</f>
        <v>0</v>
      </c>
      <c r="AI29" s="900">
        <f>'Other Costs'!AN175</f>
        <v>0</v>
      </c>
      <c r="AJ29" s="900">
        <f>'Other Costs'!AO175</f>
        <v>0</v>
      </c>
      <c r="AK29" s="900">
        <f>'Other Costs'!AP175</f>
        <v>0</v>
      </c>
      <c r="AL29" s="889">
        <f>'Other Costs'!AQ175</f>
        <v>0</v>
      </c>
      <c r="AM29" s="897">
        <f>'Other Costs'!AR175</f>
        <v>0</v>
      </c>
      <c r="AN29" s="900">
        <f>'Other Costs'!AS175</f>
        <v>0</v>
      </c>
      <c r="AO29" s="900">
        <f>'Other Costs'!AT175</f>
        <v>0</v>
      </c>
      <c r="AP29" s="900">
        <f>'Other Costs'!AU175</f>
        <v>0</v>
      </c>
      <c r="AQ29" s="900">
        <f>'Other Costs'!AV175</f>
        <v>0</v>
      </c>
      <c r="AR29" s="900">
        <f>'Other Costs'!AW175</f>
        <v>0</v>
      </c>
      <c r="AS29" s="900">
        <f>'Other Costs'!AX175</f>
        <v>0</v>
      </c>
      <c r="AT29" s="900">
        <f>'Other Costs'!AY175</f>
        <v>0</v>
      </c>
      <c r="AU29" s="900">
        <f>'Other Costs'!AZ175</f>
        <v>0</v>
      </c>
      <c r="AV29" s="900">
        <f>'Other Costs'!BA175</f>
        <v>0</v>
      </c>
      <c r="AW29" s="900">
        <f>'Other Costs'!BB175</f>
        <v>0</v>
      </c>
      <c r="AX29" s="889">
        <f>'Other Costs'!BC175</f>
        <v>0</v>
      </c>
      <c r="AY29" s="897">
        <f>'Other Costs'!BD175</f>
        <v>0</v>
      </c>
      <c r="AZ29" s="900">
        <f>'Other Costs'!BE175</f>
        <v>0</v>
      </c>
      <c r="BA29" s="900">
        <f>'Other Costs'!BF175</f>
        <v>0</v>
      </c>
      <c r="BB29" s="900">
        <f>'Other Costs'!BG175</f>
        <v>0</v>
      </c>
      <c r="BC29" s="900">
        <f>'Other Costs'!BH175</f>
        <v>0</v>
      </c>
      <c r="BD29" s="900">
        <f>'Other Costs'!BI175</f>
        <v>0</v>
      </c>
      <c r="BE29" s="900">
        <f>'Other Costs'!BJ175</f>
        <v>0</v>
      </c>
      <c r="BF29" s="900">
        <f>'Other Costs'!BK175</f>
        <v>0</v>
      </c>
      <c r="BG29" s="900">
        <f>'Other Costs'!BL175</f>
        <v>0</v>
      </c>
      <c r="BH29" s="900">
        <f>'Other Costs'!BM175</f>
        <v>0</v>
      </c>
      <c r="BI29" s="900">
        <f>'Other Costs'!BN175</f>
        <v>0</v>
      </c>
      <c r="BJ29" s="889">
        <f>'Other Costs'!BO175</f>
        <v>0</v>
      </c>
      <c r="BK29" s="897">
        <f>'Other Costs'!BP175</f>
        <v>0</v>
      </c>
      <c r="BL29" s="900">
        <f>'Other Costs'!BQ175</f>
        <v>0</v>
      </c>
      <c r="BM29" s="900">
        <f>'Other Costs'!BR175</f>
        <v>0</v>
      </c>
      <c r="BN29" s="900">
        <f>'Other Costs'!BS175</f>
        <v>0</v>
      </c>
      <c r="BO29" s="900">
        <f>'Other Costs'!BT175</f>
        <v>0</v>
      </c>
      <c r="BP29" s="900">
        <f>'Other Costs'!BU175</f>
        <v>0</v>
      </c>
      <c r="BQ29" s="900">
        <f>'Other Costs'!BV175</f>
        <v>0</v>
      </c>
      <c r="BR29" s="900">
        <f>'Other Costs'!BW175</f>
        <v>0</v>
      </c>
      <c r="BS29" s="900">
        <f>'Other Costs'!BX175</f>
        <v>0</v>
      </c>
      <c r="BT29" s="900">
        <f>'Other Costs'!BY175</f>
        <v>0</v>
      </c>
      <c r="BU29" s="900">
        <f>'Other Costs'!BZ175</f>
        <v>0</v>
      </c>
      <c r="BV29" s="889">
        <f>'Other Costs'!CA175</f>
        <v>0</v>
      </c>
      <c r="BW29" s="902">
        <f t="shared" si="1"/>
        <v>0</v>
      </c>
      <c r="BX29" s="901">
        <f>SUM(SUMIFS(C29:N29,$C$2:$N$2,{"Dev","Impl","PIS","Close"},$C$75:$N$75,""))</f>
        <v>0</v>
      </c>
      <c r="BY29" s="901">
        <f>SUM(SUMIFS(O29:Z29,$O$2:$Z$2,{"Dev","Impl","PIS","Close"},$O$75:$Z$75,""))</f>
        <v>0</v>
      </c>
      <c r="BZ29" s="901">
        <f>SUM(SUMIFS(AA29:AL29,$AA$2:$AL$2,{"Dev","Impl","PIS","Close"},$AA$75:$AL$75,""))</f>
        <v>0</v>
      </c>
      <c r="CA29" s="901">
        <f>SUM(SUMIFS(AM29:AX29,$AM$2:$AX$2,{"Dev","Impl","PIS","Close"},$AM$75:$AX$75,""))</f>
        <v>0</v>
      </c>
      <c r="CB29" s="901">
        <f>SUM(SUMIFS(AY29:BJ29,$AY$2:$BJ$2,{"Dev","Impl","PIS","Close"},$AY$75:$BJ$75,""))</f>
        <v>0</v>
      </c>
      <c r="CC29" s="901">
        <f>SUM(SUMIFS(BK29:BV29,$BK$2:$BV$2,{"Dev","Impl","PIS","Close"},$BK$75:$BV$75,""))</f>
        <v>0</v>
      </c>
    </row>
    <row r="30" spans="1:89" s="4" customFormat="1">
      <c r="A30" s="6" t="s">
        <v>168</v>
      </c>
      <c r="B30" s="108"/>
      <c r="C30" s="900">
        <f>'Other Costs'!H181</f>
        <v>0</v>
      </c>
      <c r="D30" s="900">
        <f>'Other Costs'!I181</f>
        <v>0</v>
      </c>
      <c r="E30" s="900">
        <f>'Other Costs'!J181</f>
        <v>0</v>
      </c>
      <c r="F30" s="900">
        <f>'Other Costs'!K181</f>
        <v>0</v>
      </c>
      <c r="G30" s="900">
        <f>'Other Costs'!L181</f>
        <v>0</v>
      </c>
      <c r="H30" s="900">
        <f>'Other Costs'!M181</f>
        <v>0</v>
      </c>
      <c r="I30" s="900">
        <f>'Other Costs'!N181</f>
        <v>0</v>
      </c>
      <c r="J30" s="900">
        <f>'Other Costs'!O181</f>
        <v>0</v>
      </c>
      <c r="K30" s="900">
        <f>'Other Costs'!P181</f>
        <v>0</v>
      </c>
      <c r="L30" s="900">
        <f>'Other Costs'!Q181</f>
        <v>0</v>
      </c>
      <c r="M30" s="900">
        <f>'Other Costs'!R181</f>
        <v>0</v>
      </c>
      <c r="N30" s="889">
        <f>'Other Costs'!S181</f>
        <v>0</v>
      </c>
      <c r="O30" s="897">
        <f>'Other Costs'!T181</f>
        <v>0</v>
      </c>
      <c r="P30" s="900">
        <f>'Other Costs'!U181</f>
        <v>0</v>
      </c>
      <c r="Q30" s="900">
        <f>'Other Costs'!V181</f>
        <v>0</v>
      </c>
      <c r="R30" s="900">
        <f>'Other Costs'!W181</f>
        <v>0</v>
      </c>
      <c r="S30" s="900">
        <f>'Other Costs'!X181</f>
        <v>0</v>
      </c>
      <c r="T30" s="900">
        <f>'Other Costs'!Y181</f>
        <v>0</v>
      </c>
      <c r="U30" s="900">
        <f>'Other Costs'!Z181</f>
        <v>0</v>
      </c>
      <c r="V30" s="900">
        <f>'Other Costs'!AA181</f>
        <v>0</v>
      </c>
      <c r="W30" s="900">
        <f>'Other Costs'!AB181</f>
        <v>0</v>
      </c>
      <c r="X30" s="900">
        <f>'Other Costs'!AC181</f>
        <v>0</v>
      </c>
      <c r="Y30" s="900">
        <f>'Other Costs'!AD181</f>
        <v>0</v>
      </c>
      <c r="Z30" s="889">
        <f>'Other Costs'!AE181</f>
        <v>0</v>
      </c>
      <c r="AA30" s="897">
        <f>'Other Costs'!AF181</f>
        <v>0</v>
      </c>
      <c r="AB30" s="900">
        <f>'Other Costs'!AG181</f>
        <v>0</v>
      </c>
      <c r="AC30" s="900">
        <f>'Other Costs'!AH181</f>
        <v>0</v>
      </c>
      <c r="AD30" s="900">
        <f>'Other Costs'!AI181</f>
        <v>0</v>
      </c>
      <c r="AE30" s="900">
        <f>'Other Costs'!AJ181</f>
        <v>0</v>
      </c>
      <c r="AF30" s="900">
        <f>'Other Costs'!AK181</f>
        <v>0</v>
      </c>
      <c r="AG30" s="900">
        <f>'Other Costs'!AL181</f>
        <v>0</v>
      </c>
      <c r="AH30" s="900">
        <f>'Other Costs'!AM181</f>
        <v>0</v>
      </c>
      <c r="AI30" s="900">
        <f>'Other Costs'!AN181</f>
        <v>0</v>
      </c>
      <c r="AJ30" s="900">
        <f>'Other Costs'!AO181</f>
        <v>0</v>
      </c>
      <c r="AK30" s="900">
        <f>'Other Costs'!AP181</f>
        <v>0</v>
      </c>
      <c r="AL30" s="889">
        <f>'Other Costs'!AQ181</f>
        <v>0</v>
      </c>
      <c r="AM30" s="897">
        <f>'Other Costs'!AR181</f>
        <v>0</v>
      </c>
      <c r="AN30" s="900">
        <f>'Other Costs'!AS181</f>
        <v>0</v>
      </c>
      <c r="AO30" s="900">
        <f>'Other Costs'!AT181</f>
        <v>0</v>
      </c>
      <c r="AP30" s="900">
        <f>'Other Costs'!AU181</f>
        <v>0</v>
      </c>
      <c r="AQ30" s="900">
        <f>'Other Costs'!AV181</f>
        <v>0</v>
      </c>
      <c r="AR30" s="900">
        <f>'Other Costs'!AW181</f>
        <v>0</v>
      </c>
      <c r="AS30" s="900">
        <f>'Other Costs'!AX181</f>
        <v>0</v>
      </c>
      <c r="AT30" s="900">
        <f>'Other Costs'!AY181</f>
        <v>0</v>
      </c>
      <c r="AU30" s="900">
        <f>'Other Costs'!AZ181</f>
        <v>0</v>
      </c>
      <c r="AV30" s="900">
        <f>'Other Costs'!BA181</f>
        <v>0</v>
      </c>
      <c r="AW30" s="900">
        <f>'Other Costs'!BB181</f>
        <v>0</v>
      </c>
      <c r="AX30" s="889">
        <f>'Other Costs'!BC181</f>
        <v>0</v>
      </c>
      <c r="AY30" s="897">
        <f>'Other Costs'!BD181</f>
        <v>0</v>
      </c>
      <c r="AZ30" s="900">
        <f>'Other Costs'!BE181</f>
        <v>0</v>
      </c>
      <c r="BA30" s="900">
        <f>'Other Costs'!BF181</f>
        <v>0</v>
      </c>
      <c r="BB30" s="900">
        <f>'Other Costs'!BG181</f>
        <v>0</v>
      </c>
      <c r="BC30" s="900">
        <f>'Other Costs'!BH181</f>
        <v>0</v>
      </c>
      <c r="BD30" s="900">
        <f>'Other Costs'!BI181</f>
        <v>0</v>
      </c>
      <c r="BE30" s="900">
        <f>'Other Costs'!BJ181</f>
        <v>0</v>
      </c>
      <c r="BF30" s="900">
        <f>'Other Costs'!BK181</f>
        <v>0</v>
      </c>
      <c r="BG30" s="900">
        <f>'Other Costs'!BL181</f>
        <v>0</v>
      </c>
      <c r="BH30" s="900">
        <f>'Other Costs'!BM181</f>
        <v>0</v>
      </c>
      <c r="BI30" s="900">
        <f>'Other Costs'!BN181</f>
        <v>0</v>
      </c>
      <c r="BJ30" s="889">
        <f>'Other Costs'!BO181</f>
        <v>0</v>
      </c>
      <c r="BK30" s="897">
        <f>'Other Costs'!BP181</f>
        <v>0</v>
      </c>
      <c r="BL30" s="900">
        <f>'Other Costs'!BQ181</f>
        <v>0</v>
      </c>
      <c r="BM30" s="900">
        <f>'Other Costs'!BR181</f>
        <v>0</v>
      </c>
      <c r="BN30" s="900">
        <f>'Other Costs'!BS181</f>
        <v>0</v>
      </c>
      <c r="BO30" s="900">
        <f>'Other Costs'!BT181</f>
        <v>0</v>
      </c>
      <c r="BP30" s="900">
        <f>'Other Costs'!BU181</f>
        <v>0</v>
      </c>
      <c r="BQ30" s="900">
        <f>'Other Costs'!BV181</f>
        <v>0</v>
      </c>
      <c r="BR30" s="900">
        <f>'Other Costs'!BW181</f>
        <v>0</v>
      </c>
      <c r="BS30" s="900">
        <f>'Other Costs'!BX181</f>
        <v>0</v>
      </c>
      <c r="BT30" s="900">
        <f>'Other Costs'!BY181</f>
        <v>0</v>
      </c>
      <c r="BU30" s="900">
        <f>'Other Costs'!BZ181</f>
        <v>0</v>
      </c>
      <c r="BV30" s="889">
        <f>'Other Costs'!CA181</f>
        <v>0</v>
      </c>
      <c r="BW30" s="903">
        <f t="shared" si="1"/>
        <v>0</v>
      </c>
      <c r="BX30" s="904">
        <f>SUM(SUMIFS(C30:N30,$C$2:$N$2,{"Dev","Impl","PIS","Close"},$C$75:$N$75,""))</f>
        <v>0</v>
      </c>
      <c r="BY30" s="904">
        <f>SUM(SUMIFS(O30:Z30,$O$2:$Z$2,{"Dev","Impl","PIS","Close"},$O$75:$Z$75,""))</f>
        <v>0</v>
      </c>
      <c r="BZ30" s="904">
        <f>SUM(SUMIFS(AA30:AL30,$AA$2:$AL$2,{"Dev","Impl","PIS","Close"},$AA$75:$AL$75,""))</f>
        <v>0</v>
      </c>
      <c r="CA30" s="904">
        <f>SUM(SUMIFS(AM30:AX30,$AM$2:$AX$2,{"Dev","Impl","PIS","Close"},$AM$75:$AX$75,""))</f>
        <v>0</v>
      </c>
      <c r="CB30" s="904">
        <f>SUM(SUMIFS(AY30:BJ30,$AY$2:$BJ$2,{"Dev","Impl","PIS","Close"},$AY$75:$BJ$75,""))</f>
        <v>0</v>
      </c>
      <c r="CC30" s="904">
        <f>SUM(SUMIFS(BK30:BV30,$BK$2:$BV$2,{"Dev","Impl","PIS","Close"},$BK$75:$BV$75,""))</f>
        <v>0</v>
      </c>
      <c r="CE30" s="529" t="s">
        <v>406</v>
      </c>
      <c r="CF30" s="529"/>
      <c r="CG30" s="529"/>
      <c r="CH30" s="529"/>
      <c r="CI30" s="529"/>
      <c r="CJ30" s="529"/>
      <c r="CK30" s="529"/>
    </row>
    <row r="31" spans="1:89" s="4" customFormat="1">
      <c r="A31" s="6" t="s">
        <v>201</v>
      </c>
      <c r="B31" s="108"/>
      <c r="C31" s="900">
        <f>'Other Costs'!H184</f>
        <v>0</v>
      </c>
      <c r="D31" s="900">
        <f>'Other Costs'!I184</f>
        <v>0</v>
      </c>
      <c r="E31" s="900">
        <f>'Other Costs'!J184</f>
        <v>0</v>
      </c>
      <c r="F31" s="900">
        <f>'Other Costs'!K184</f>
        <v>0</v>
      </c>
      <c r="G31" s="900">
        <f>'Other Costs'!L184</f>
        <v>0</v>
      </c>
      <c r="H31" s="900">
        <f>'Other Costs'!M184</f>
        <v>0</v>
      </c>
      <c r="I31" s="900">
        <f>'Other Costs'!N184</f>
        <v>0</v>
      </c>
      <c r="J31" s="900">
        <f>'Other Costs'!O184</f>
        <v>0</v>
      </c>
      <c r="K31" s="900">
        <f>'Other Costs'!P184</f>
        <v>0</v>
      </c>
      <c r="L31" s="900">
        <f>'Other Costs'!Q184</f>
        <v>0</v>
      </c>
      <c r="M31" s="900">
        <f>'Other Costs'!R184</f>
        <v>0</v>
      </c>
      <c r="N31" s="889">
        <f>'Other Costs'!S184</f>
        <v>0</v>
      </c>
      <c r="O31" s="897">
        <f>'Other Costs'!T184</f>
        <v>0</v>
      </c>
      <c r="P31" s="900">
        <f>'Other Costs'!U184</f>
        <v>0</v>
      </c>
      <c r="Q31" s="900">
        <f>'Other Costs'!V184</f>
        <v>0</v>
      </c>
      <c r="R31" s="900">
        <f>'Other Costs'!W184</f>
        <v>0</v>
      </c>
      <c r="S31" s="900">
        <f>'Other Costs'!X184</f>
        <v>0</v>
      </c>
      <c r="T31" s="900">
        <f>'Other Costs'!Y184</f>
        <v>0</v>
      </c>
      <c r="U31" s="900">
        <f>'Other Costs'!Z184</f>
        <v>0</v>
      </c>
      <c r="V31" s="900">
        <f>'Other Costs'!AA184</f>
        <v>0</v>
      </c>
      <c r="W31" s="900">
        <f>'Other Costs'!AB184</f>
        <v>0</v>
      </c>
      <c r="X31" s="900">
        <f>'Other Costs'!AC184</f>
        <v>0</v>
      </c>
      <c r="Y31" s="900">
        <f>'Other Costs'!AD184</f>
        <v>0</v>
      </c>
      <c r="Z31" s="889">
        <f>'Other Costs'!AE184</f>
        <v>0</v>
      </c>
      <c r="AA31" s="897">
        <f>'Other Costs'!AF184</f>
        <v>0</v>
      </c>
      <c r="AB31" s="900">
        <f>'Other Costs'!AG184</f>
        <v>0</v>
      </c>
      <c r="AC31" s="900">
        <f>'Other Costs'!AH184</f>
        <v>0</v>
      </c>
      <c r="AD31" s="900">
        <f>'Other Costs'!AI184</f>
        <v>0</v>
      </c>
      <c r="AE31" s="900">
        <f>'Other Costs'!AJ184</f>
        <v>0</v>
      </c>
      <c r="AF31" s="900">
        <f>'Other Costs'!AK184</f>
        <v>0</v>
      </c>
      <c r="AG31" s="900">
        <f>'Other Costs'!AL184</f>
        <v>0</v>
      </c>
      <c r="AH31" s="900">
        <f>'Other Costs'!AM184</f>
        <v>0</v>
      </c>
      <c r="AI31" s="900">
        <f>'Other Costs'!AN184</f>
        <v>0</v>
      </c>
      <c r="AJ31" s="900">
        <f>'Other Costs'!AO184</f>
        <v>0</v>
      </c>
      <c r="AK31" s="900">
        <f>'Other Costs'!AP184</f>
        <v>0</v>
      </c>
      <c r="AL31" s="889">
        <f>'Other Costs'!AQ184</f>
        <v>0</v>
      </c>
      <c r="AM31" s="897">
        <f>'Other Costs'!AR184</f>
        <v>0</v>
      </c>
      <c r="AN31" s="900">
        <f>'Other Costs'!AS184</f>
        <v>0</v>
      </c>
      <c r="AO31" s="900">
        <f>'Other Costs'!AT184</f>
        <v>0</v>
      </c>
      <c r="AP31" s="900">
        <f>'Other Costs'!AU184</f>
        <v>0</v>
      </c>
      <c r="AQ31" s="900">
        <f>'Other Costs'!AV184</f>
        <v>0</v>
      </c>
      <c r="AR31" s="900">
        <f>'Other Costs'!AW184</f>
        <v>0</v>
      </c>
      <c r="AS31" s="900">
        <f>'Other Costs'!AX184</f>
        <v>0</v>
      </c>
      <c r="AT31" s="900">
        <f>'Other Costs'!AY184</f>
        <v>0</v>
      </c>
      <c r="AU31" s="900">
        <f>'Other Costs'!AZ184</f>
        <v>0</v>
      </c>
      <c r="AV31" s="900">
        <f>'Other Costs'!BA184</f>
        <v>0</v>
      </c>
      <c r="AW31" s="900">
        <f>'Other Costs'!BB184</f>
        <v>0</v>
      </c>
      <c r="AX31" s="889">
        <f>'Other Costs'!BC184</f>
        <v>0</v>
      </c>
      <c r="AY31" s="897">
        <f>'Other Costs'!BD184</f>
        <v>0</v>
      </c>
      <c r="AZ31" s="900">
        <f>'Other Costs'!BE184</f>
        <v>0</v>
      </c>
      <c r="BA31" s="900">
        <f>'Other Costs'!BF184</f>
        <v>0</v>
      </c>
      <c r="BB31" s="900">
        <f>'Other Costs'!BG184</f>
        <v>0</v>
      </c>
      <c r="BC31" s="900">
        <f>'Other Costs'!BH184</f>
        <v>0</v>
      </c>
      <c r="BD31" s="900">
        <f>'Other Costs'!BI184</f>
        <v>0</v>
      </c>
      <c r="BE31" s="900">
        <f>'Other Costs'!BJ184</f>
        <v>0</v>
      </c>
      <c r="BF31" s="900">
        <f>'Other Costs'!BK184</f>
        <v>0</v>
      </c>
      <c r="BG31" s="900">
        <f>'Other Costs'!BL184</f>
        <v>0</v>
      </c>
      <c r="BH31" s="900">
        <f>'Other Costs'!BM184</f>
        <v>0</v>
      </c>
      <c r="BI31" s="900">
        <f>'Other Costs'!BN184</f>
        <v>0</v>
      </c>
      <c r="BJ31" s="889">
        <f>'Other Costs'!BO184</f>
        <v>0</v>
      </c>
      <c r="BK31" s="897">
        <f>'Other Costs'!BP184</f>
        <v>0</v>
      </c>
      <c r="BL31" s="900">
        <f>'Other Costs'!BQ184</f>
        <v>0</v>
      </c>
      <c r="BM31" s="900">
        <f>'Other Costs'!BR184</f>
        <v>0</v>
      </c>
      <c r="BN31" s="900">
        <f>'Other Costs'!BS184</f>
        <v>0</v>
      </c>
      <c r="BO31" s="900">
        <f>'Other Costs'!BT184</f>
        <v>0</v>
      </c>
      <c r="BP31" s="900">
        <f>'Other Costs'!BU184</f>
        <v>0</v>
      </c>
      <c r="BQ31" s="900">
        <f>'Other Costs'!BV184</f>
        <v>0</v>
      </c>
      <c r="BR31" s="900">
        <f>'Other Costs'!BW184</f>
        <v>0</v>
      </c>
      <c r="BS31" s="900">
        <f>'Other Costs'!BX184</f>
        <v>0</v>
      </c>
      <c r="BT31" s="900">
        <f>'Other Costs'!BY184</f>
        <v>0</v>
      </c>
      <c r="BU31" s="900">
        <f>'Other Costs'!BZ184</f>
        <v>0</v>
      </c>
      <c r="BV31" s="889">
        <f>'Other Costs'!CA184</f>
        <v>0</v>
      </c>
      <c r="BW31" s="893">
        <f t="shared" si="1"/>
        <v>0</v>
      </c>
      <c r="BX31" s="894">
        <f>SUM(SUMIFS(C31:N31,$C$2:$N$2,{"Dev","Impl","PIS","Close"},$C$75:$N$75,""))</f>
        <v>0</v>
      </c>
      <c r="BY31" s="894">
        <f>SUM(SUMIFS(O31:Z31,$O$2:$Z$2,{"Dev","Impl","PIS","Close"},$O$75:$Z$75,""))</f>
        <v>0</v>
      </c>
      <c r="BZ31" s="894">
        <f>SUM(SUMIFS(AA31:AL31,$AA$2:$AL$2,{"Dev","Impl","PIS","Close"},$AA$75:$AL$75,""))</f>
        <v>0</v>
      </c>
      <c r="CA31" s="894">
        <f>SUM(SUMIFS(AM31:AX31,$AM$2:$AX$2,{"Dev","Impl","PIS","Close"},$AM$75:$AX$75,""))</f>
        <v>0</v>
      </c>
      <c r="CB31" s="894">
        <f>SUM(SUMIFS(AY31:BJ31,$AY$2:$BJ$2,{"Dev","Impl","PIS","Close"},$AY$75:$BJ$75,""))</f>
        <v>0</v>
      </c>
      <c r="CC31" s="894">
        <f>SUM(SUMIFS(BK31:BV31,$BK$2:$BV$2,{"Dev","Impl","PIS","Close"},$BK$75:$BV$75,""))</f>
        <v>0</v>
      </c>
    </row>
    <row r="32" spans="1:89" s="4" customFormat="1">
      <c r="A32" s="6" t="s">
        <v>224</v>
      </c>
      <c r="B32" s="108"/>
      <c r="C32" s="900">
        <f>'Other Costs'!H187</f>
        <v>0</v>
      </c>
      <c r="D32" s="900">
        <f>'Other Costs'!I187</f>
        <v>0</v>
      </c>
      <c r="E32" s="900">
        <f>'Other Costs'!J187</f>
        <v>0</v>
      </c>
      <c r="F32" s="900">
        <f>'Other Costs'!K187</f>
        <v>0</v>
      </c>
      <c r="G32" s="900">
        <f>'Other Costs'!L187</f>
        <v>0</v>
      </c>
      <c r="H32" s="900">
        <f>'Other Costs'!M187</f>
        <v>0</v>
      </c>
      <c r="I32" s="900">
        <f>'Other Costs'!N187</f>
        <v>0</v>
      </c>
      <c r="J32" s="900">
        <f>'Other Costs'!O187</f>
        <v>0</v>
      </c>
      <c r="K32" s="900">
        <f>'Other Costs'!P187</f>
        <v>0</v>
      </c>
      <c r="L32" s="900">
        <f>'Other Costs'!Q187</f>
        <v>0</v>
      </c>
      <c r="M32" s="900">
        <f>'Other Costs'!R187</f>
        <v>0</v>
      </c>
      <c r="N32" s="889">
        <f>'Other Costs'!S187</f>
        <v>0</v>
      </c>
      <c r="O32" s="897">
        <f>'Other Costs'!T187</f>
        <v>0</v>
      </c>
      <c r="P32" s="900">
        <f>'Other Costs'!U187</f>
        <v>0</v>
      </c>
      <c r="Q32" s="900">
        <f>'Other Costs'!V187</f>
        <v>0</v>
      </c>
      <c r="R32" s="900">
        <f>'Other Costs'!W187</f>
        <v>0</v>
      </c>
      <c r="S32" s="900">
        <f>'Other Costs'!X187</f>
        <v>0</v>
      </c>
      <c r="T32" s="900">
        <f>'Other Costs'!Y187</f>
        <v>0</v>
      </c>
      <c r="U32" s="900">
        <f>'Other Costs'!Z187</f>
        <v>0</v>
      </c>
      <c r="V32" s="900">
        <f>'Other Costs'!AA187</f>
        <v>0</v>
      </c>
      <c r="W32" s="900">
        <f>'Other Costs'!AB187</f>
        <v>0</v>
      </c>
      <c r="X32" s="900">
        <f>'Other Costs'!AC187</f>
        <v>0</v>
      </c>
      <c r="Y32" s="900">
        <f>'Other Costs'!AD187</f>
        <v>0</v>
      </c>
      <c r="Z32" s="889">
        <f>'Other Costs'!AE187</f>
        <v>0</v>
      </c>
      <c r="AA32" s="897">
        <f>'Other Costs'!AF187</f>
        <v>0</v>
      </c>
      <c r="AB32" s="900">
        <f>'Other Costs'!AG187</f>
        <v>0</v>
      </c>
      <c r="AC32" s="900">
        <f>'Other Costs'!AH187</f>
        <v>0</v>
      </c>
      <c r="AD32" s="900">
        <f>'Other Costs'!AI187</f>
        <v>0</v>
      </c>
      <c r="AE32" s="900">
        <f>'Other Costs'!AJ187</f>
        <v>0</v>
      </c>
      <c r="AF32" s="900">
        <f>'Other Costs'!AK187</f>
        <v>0</v>
      </c>
      <c r="AG32" s="900">
        <f>'Other Costs'!AL187</f>
        <v>0</v>
      </c>
      <c r="AH32" s="900">
        <f>'Other Costs'!AM187</f>
        <v>0</v>
      </c>
      <c r="AI32" s="900">
        <f>'Other Costs'!AN187</f>
        <v>0</v>
      </c>
      <c r="AJ32" s="900">
        <f>'Other Costs'!AO187</f>
        <v>0</v>
      </c>
      <c r="AK32" s="900">
        <f>'Other Costs'!AP187</f>
        <v>0</v>
      </c>
      <c r="AL32" s="889">
        <f>'Other Costs'!AQ187</f>
        <v>0</v>
      </c>
      <c r="AM32" s="897">
        <f>'Other Costs'!AR187</f>
        <v>0</v>
      </c>
      <c r="AN32" s="900">
        <f>'Other Costs'!AS187</f>
        <v>0</v>
      </c>
      <c r="AO32" s="900">
        <f>'Other Costs'!AT187</f>
        <v>0</v>
      </c>
      <c r="AP32" s="900">
        <f>'Other Costs'!AU187</f>
        <v>0</v>
      </c>
      <c r="AQ32" s="900">
        <f>'Other Costs'!AV187</f>
        <v>0</v>
      </c>
      <c r="AR32" s="900">
        <f>'Other Costs'!AW187</f>
        <v>0</v>
      </c>
      <c r="AS32" s="900">
        <f>'Other Costs'!AX187</f>
        <v>0</v>
      </c>
      <c r="AT32" s="900">
        <f>'Other Costs'!AY187</f>
        <v>0</v>
      </c>
      <c r="AU32" s="900">
        <f>'Other Costs'!AZ187</f>
        <v>0</v>
      </c>
      <c r="AV32" s="900">
        <f>'Other Costs'!BA187</f>
        <v>0</v>
      </c>
      <c r="AW32" s="900">
        <f>'Other Costs'!BB187</f>
        <v>0</v>
      </c>
      <c r="AX32" s="889">
        <f>'Other Costs'!BC187</f>
        <v>0</v>
      </c>
      <c r="AY32" s="897">
        <f>'Other Costs'!BD187</f>
        <v>0</v>
      </c>
      <c r="AZ32" s="900">
        <f>'Other Costs'!BE187</f>
        <v>0</v>
      </c>
      <c r="BA32" s="900">
        <f>'Other Costs'!BF187</f>
        <v>0</v>
      </c>
      <c r="BB32" s="900">
        <f>'Other Costs'!BG187</f>
        <v>0</v>
      </c>
      <c r="BC32" s="900">
        <f>'Other Costs'!BH187</f>
        <v>0</v>
      </c>
      <c r="BD32" s="900">
        <f>'Other Costs'!BI187</f>
        <v>0</v>
      </c>
      <c r="BE32" s="900">
        <f>'Other Costs'!BJ187</f>
        <v>0</v>
      </c>
      <c r="BF32" s="900">
        <f>'Other Costs'!BK187</f>
        <v>0</v>
      </c>
      <c r="BG32" s="900">
        <f>'Other Costs'!BL187</f>
        <v>0</v>
      </c>
      <c r="BH32" s="900">
        <f>'Other Costs'!BM187</f>
        <v>0</v>
      </c>
      <c r="BI32" s="900">
        <f>'Other Costs'!BN187</f>
        <v>0</v>
      </c>
      <c r="BJ32" s="889">
        <f>'Other Costs'!BO187</f>
        <v>0</v>
      </c>
      <c r="BK32" s="897">
        <f>'Other Costs'!BP187</f>
        <v>0</v>
      </c>
      <c r="BL32" s="900">
        <f>'Other Costs'!BQ187</f>
        <v>0</v>
      </c>
      <c r="BM32" s="900">
        <f>'Other Costs'!BR187</f>
        <v>0</v>
      </c>
      <c r="BN32" s="900">
        <f>'Other Costs'!BS187</f>
        <v>0</v>
      </c>
      <c r="BO32" s="900">
        <f>'Other Costs'!BT187</f>
        <v>0</v>
      </c>
      <c r="BP32" s="900">
        <f>'Other Costs'!BU187</f>
        <v>0</v>
      </c>
      <c r="BQ32" s="900">
        <f>'Other Costs'!BV187</f>
        <v>0</v>
      </c>
      <c r="BR32" s="900">
        <f>'Other Costs'!BW187</f>
        <v>0</v>
      </c>
      <c r="BS32" s="900">
        <f>'Other Costs'!BX187</f>
        <v>0</v>
      </c>
      <c r="BT32" s="900">
        <f>'Other Costs'!BY187</f>
        <v>0</v>
      </c>
      <c r="BU32" s="900">
        <f>'Other Costs'!BZ187</f>
        <v>0</v>
      </c>
      <c r="BV32" s="889">
        <f>'Other Costs'!CA187</f>
        <v>0</v>
      </c>
      <c r="BW32" s="893">
        <f t="shared" si="1"/>
        <v>0</v>
      </c>
      <c r="BX32" s="894">
        <f>SUM(SUMIFS(C32:N32,$C$2:$N$2,{"Dev","Impl","PIS","Close"},$C$75:$N$75,""))</f>
        <v>0</v>
      </c>
      <c r="BY32" s="894">
        <f>SUM(SUMIFS(O32:Z32,$O$2:$Z$2,{"Dev","Impl","PIS","Close"},$O$75:$Z$75,""))</f>
        <v>0</v>
      </c>
      <c r="BZ32" s="894">
        <f>SUM(SUMIFS(AA32:AL32,$AA$2:$AL$2,{"Dev","Impl","PIS","Close"},$AA$75:$AL$75,""))</f>
        <v>0</v>
      </c>
      <c r="CA32" s="894">
        <f>SUM(SUMIFS(AM32:AX32,$AM$2:$AX$2,{"Dev","Impl","PIS","Close"},$AM$75:$AX$75,""))</f>
        <v>0</v>
      </c>
      <c r="CB32" s="894">
        <f>SUM(SUMIFS(AY32:BJ32,$AY$2:$BJ$2,{"Dev","Impl","PIS","Close"},$AY$75:$BJ$75,""))</f>
        <v>0</v>
      </c>
      <c r="CC32" s="894">
        <f>SUM(SUMIFS(BK32:BV32,$BK$2:$BV$2,{"Dev","Impl","PIS","Close"},$BK$75:$BV$75,""))</f>
        <v>0</v>
      </c>
    </row>
    <row r="33" spans="1:89" s="4" customFormat="1">
      <c r="A33" s="6" t="s">
        <v>8403</v>
      </c>
      <c r="B33" s="108"/>
      <c r="C33" s="900">
        <f>'Other Costs'!H$190</f>
        <v>0</v>
      </c>
      <c r="D33" s="1092">
        <f>'Other Costs'!I$190</f>
        <v>0</v>
      </c>
      <c r="E33" s="1092">
        <f>'Other Costs'!J$190</f>
        <v>0</v>
      </c>
      <c r="F33" s="1092">
        <f>'Other Costs'!K$190</f>
        <v>0</v>
      </c>
      <c r="G33" s="1092">
        <f>'Other Costs'!L$190</f>
        <v>0</v>
      </c>
      <c r="H33" s="1092">
        <f>'Other Costs'!M$190</f>
        <v>0</v>
      </c>
      <c r="I33" s="1092">
        <f>'Other Costs'!N$190</f>
        <v>0</v>
      </c>
      <c r="J33" s="1092">
        <f>'Other Costs'!O$190</f>
        <v>0</v>
      </c>
      <c r="K33" s="1092">
        <f>'Other Costs'!P$190</f>
        <v>0</v>
      </c>
      <c r="L33" s="1092">
        <f>'Other Costs'!Q$190</f>
        <v>0</v>
      </c>
      <c r="M33" s="1092">
        <f>'Other Costs'!R$190</f>
        <v>0</v>
      </c>
      <c r="N33" s="926">
        <f>'Other Costs'!S$190</f>
        <v>0</v>
      </c>
      <c r="O33" s="1092">
        <f>'Other Costs'!T$190</f>
        <v>0</v>
      </c>
      <c r="P33" s="1092">
        <f>'Other Costs'!U$190</f>
        <v>0</v>
      </c>
      <c r="Q33" s="1092">
        <f>'Other Costs'!V$190</f>
        <v>0</v>
      </c>
      <c r="R33" s="1092">
        <f>'Other Costs'!W$190</f>
        <v>0</v>
      </c>
      <c r="S33" s="1092">
        <f>'Other Costs'!X$190</f>
        <v>0</v>
      </c>
      <c r="T33" s="1092">
        <f>'Other Costs'!Y$190</f>
        <v>0</v>
      </c>
      <c r="U33" s="1092">
        <f>'Other Costs'!Z$190</f>
        <v>0</v>
      </c>
      <c r="V33" s="1092">
        <f>'Other Costs'!AA$190</f>
        <v>0</v>
      </c>
      <c r="W33" s="1092">
        <f>'Other Costs'!AB$190</f>
        <v>0</v>
      </c>
      <c r="X33" s="1092">
        <f>'Other Costs'!AC$190</f>
        <v>0</v>
      </c>
      <c r="Y33" s="1092">
        <f>'Other Costs'!AD$190</f>
        <v>0</v>
      </c>
      <c r="Z33" s="926">
        <f>'Other Costs'!AE$190</f>
        <v>0</v>
      </c>
      <c r="AA33" s="1092">
        <f>'Other Costs'!AF$190</f>
        <v>0</v>
      </c>
      <c r="AB33" s="1092">
        <f>'Other Costs'!AG$190</f>
        <v>0</v>
      </c>
      <c r="AC33" s="1092">
        <f>'Other Costs'!AH$190</f>
        <v>0</v>
      </c>
      <c r="AD33" s="1092">
        <f>'Other Costs'!AI$190</f>
        <v>0</v>
      </c>
      <c r="AE33" s="1092">
        <f>'Other Costs'!AJ$190</f>
        <v>0</v>
      </c>
      <c r="AF33" s="1092">
        <f>'Other Costs'!AK$190</f>
        <v>0</v>
      </c>
      <c r="AG33" s="1092">
        <f>'Other Costs'!AL$190</f>
        <v>0</v>
      </c>
      <c r="AH33" s="1092">
        <f>'Other Costs'!AM$190</f>
        <v>0</v>
      </c>
      <c r="AI33" s="1092">
        <f>'Other Costs'!AN$190</f>
        <v>0</v>
      </c>
      <c r="AJ33" s="1092">
        <f>'Other Costs'!AO$190</f>
        <v>0</v>
      </c>
      <c r="AK33" s="1092">
        <f>'Other Costs'!AP$190</f>
        <v>0</v>
      </c>
      <c r="AL33" s="926">
        <f>'Other Costs'!AQ$190</f>
        <v>0</v>
      </c>
      <c r="AM33" s="1092">
        <f>'Other Costs'!AR$190</f>
        <v>0</v>
      </c>
      <c r="AN33" s="1092">
        <f>'Other Costs'!AS$190</f>
        <v>0</v>
      </c>
      <c r="AO33" s="1092">
        <f>'Other Costs'!AT$190</f>
        <v>0</v>
      </c>
      <c r="AP33" s="1092">
        <f>'Other Costs'!AU$190</f>
        <v>0</v>
      </c>
      <c r="AQ33" s="1092">
        <f>'Other Costs'!AV$190</f>
        <v>0</v>
      </c>
      <c r="AR33" s="1092">
        <f>'Other Costs'!AW$190</f>
        <v>0</v>
      </c>
      <c r="AS33" s="1092">
        <f>'Other Costs'!AX$190</f>
        <v>0</v>
      </c>
      <c r="AT33" s="1092">
        <f>'Other Costs'!AY$190</f>
        <v>0</v>
      </c>
      <c r="AU33" s="1092">
        <f>'Other Costs'!AZ$190</f>
        <v>0</v>
      </c>
      <c r="AV33" s="1092">
        <f>'Other Costs'!BA$190</f>
        <v>0</v>
      </c>
      <c r="AW33" s="1092">
        <f>'Other Costs'!BB$190</f>
        <v>0</v>
      </c>
      <c r="AX33" s="926">
        <f>'Other Costs'!BC$190</f>
        <v>0</v>
      </c>
      <c r="AY33" s="1092">
        <f>'Other Costs'!BD$190</f>
        <v>0</v>
      </c>
      <c r="AZ33" s="1092">
        <f>'Other Costs'!BE$190</f>
        <v>0</v>
      </c>
      <c r="BA33" s="1092">
        <f>'Other Costs'!BF$190</f>
        <v>0</v>
      </c>
      <c r="BB33" s="1092">
        <f>'Other Costs'!BG$190</f>
        <v>0</v>
      </c>
      <c r="BC33" s="1092">
        <f>'Other Costs'!BH$190</f>
        <v>0</v>
      </c>
      <c r="BD33" s="1092">
        <f>'Other Costs'!BI$190</f>
        <v>0</v>
      </c>
      <c r="BE33" s="1092">
        <f>'Other Costs'!BJ$190</f>
        <v>0</v>
      </c>
      <c r="BF33" s="1092">
        <f>'Other Costs'!BK$190</f>
        <v>0</v>
      </c>
      <c r="BG33" s="1092">
        <f>'Other Costs'!BL$190</f>
        <v>0</v>
      </c>
      <c r="BH33" s="1092">
        <f>'Other Costs'!BM$190</f>
        <v>0</v>
      </c>
      <c r="BI33" s="1092">
        <f>'Other Costs'!BN$190</f>
        <v>0</v>
      </c>
      <c r="BJ33" s="926">
        <f>'Other Costs'!BO$190</f>
        <v>0</v>
      </c>
      <c r="BK33" s="1092">
        <f>'Other Costs'!BP$190</f>
        <v>0</v>
      </c>
      <c r="BL33" s="1092">
        <f>'Other Costs'!BQ$190</f>
        <v>0</v>
      </c>
      <c r="BM33" s="1092">
        <f>'Other Costs'!BR$190</f>
        <v>0</v>
      </c>
      <c r="BN33" s="1092">
        <f>'Other Costs'!BS$190</f>
        <v>0</v>
      </c>
      <c r="BO33" s="1092">
        <f>'Other Costs'!BT$190</f>
        <v>0</v>
      </c>
      <c r="BP33" s="1092">
        <f>'Other Costs'!BU$190</f>
        <v>0</v>
      </c>
      <c r="BQ33" s="1092">
        <f>'Other Costs'!BV$190</f>
        <v>0</v>
      </c>
      <c r="BR33" s="1092">
        <f>'Other Costs'!BW$190</f>
        <v>0</v>
      </c>
      <c r="BS33" s="1092">
        <f>'Other Costs'!BX$190</f>
        <v>0</v>
      </c>
      <c r="BT33" s="1092">
        <f>'Other Costs'!BY$190</f>
        <v>0</v>
      </c>
      <c r="BU33" s="1092">
        <f>'Other Costs'!BZ$190</f>
        <v>0</v>
      </c>
      <c r="BV33" s="926">
        <f>'Other Costs'!CA$190</f>
        <v>0</v>
      </c>
      <c r="BW33" s="893">
        <f t="shared" si="1"/>
        <v>0</v>
      </c>
      <c r="BX33" s="905">
        <f>SUM(SUMIFS(C33:N33,$C$2:$N$2,{"Dev","Impl","PIS","Close"},$C$75:$N$75,""))</f>
        <v>0</v>
      </c>
      <c r="BY33" s="905">
        <f>SUM(SUMIFS(O33:Z33,$O$2:$Z$2,{"Dev","Impl","PIS","Close"},$O$75:$Z$75,""))</f>
        <v>0</v>
      </c>
      <c r="BZ33" s="905">
        <f>SUM(SUMIFS(AA33:AL33,$AA$2:$AL$2,{"Dev","Impl","PIS","Close"},$AA$75:$AL$75,""))</f>
        <v>0</v>
      </c>
      <c r="CA33" s="905">
        <f>SUM(SUMIFS(AM33:AX33,$AM$2:$AX$2,{"Dev","Impl","PIS","Close"},$AM$75:$AX$75,""))</f>
        <v>0</v>
      </c>
      <c r="CB33" s="905">
        <f>SUM(SUMIFS(AY33:BJ33,$AY$2:$BJ$2,{"Dev","Impl","PIS","Close"},$AY$75:$BJ$75,""))</f>
        <v>0</v>
      </c>
      <c r="CC33" s="905">
        <f>SUM(SUMIFS(BK33:BV33,$BK$2:$BV$2,{"Dev","Impl","PIS","Close"},$BK$75:$BV$75,""))</f>
        <v>0</v>
      </c>
    </row>
    <row r="34" spans="1:89" s="4" customFormat="1">
      <c r="A34" s="991" t="s">
        <v>13</v>
      </c>
      <c r="B34" s="108"/>
      <c r="C34" s="900">
        <f>'Other Costs'!H$193</f>
        <v>0</v>
      </c>
      <c r="D34" s="900">
        <f>'Other Costs'!I$193</f>
        <v>0</v>
      </c>
      <c r="E34" s="900">
        <f>'Other Costs'!J$193</f>
        <v>0</v>
      </c>
      <c r="F34" s="900">
        <f>'Other Costs'!K$193</f>
        <v>0</v>
      </c>
      <c r="G34" s="900">
        <f>'Other Costs'!L$193</f>
        <v>0</v>
      </c>
      <c r="H34" s="900">
        <f>'Other Costs'!M$193</f>
        <v>0</v>
      </c>
      <c r="I34" s="900">
        <f>'Other Costs'!N$193</f>
        <v>0</v>
      </c>
      <c r="J34" s="900">
        <f>'Other Costs'!O$193</f>
        <v>0</v>
      </c>
      <c r="K34" s="900">
        <f>'Other Costs'!P$193</f>
        <v>0</v>
      </c>
      <c r="L34" s="900">
        <f>'Other Costs'!Q$193</f>
        <v>0</v>
      </c>
      <c r="M34" s="900">
        <f>'Other Costs'!R$193</f>
        <v>0</v>
      </c>
      <c r="N34" s="889">
        <f>'Other Costs'!S$193</f>
        <v>0</v>
      </c>
      <c r="O34" s="897">
        <f>'Other Costs'!T$193</f>
        <v>0</v>
      </c>
      <c r="P34" s="900">
        <f>'Other Costs'!U$193</f>
        <v>0</v>
      </c>
      <c r="Q34" s="900">
        <f>'Other Costs'!V$193</f>
        <v>0</v>
      </c>
      <c r="R34" s="900">
        <f>'Other Costs'!W$193</f>
        <v>0</v>
      </c>
      <c r="S34" s="900">
        <f>'Other Costs'!X$193</f>
        <v>0</v>
      </c>
      <c r="T34" s="900">
        <f>'Other Costs'!Y$193</f>
        <v>0</v>
      </c>
      <c r="U34" s="900">
        <f>'Other Costs'!Z$193</f>
        <v>0</v>
      </c>
      <c r="V34" s="900">
        <f>'Other Costs'!AA$193</f>
        <v>0</v>
      </c>
      <c r="W34" s="900">
        <f>'Other Costs'!AB$193</f>
        <v>0</v>
      </c>
      <c r="X34" s="900">
        <f>'Other Costs'!AC$193</f>
        <v>0</v>
      </c>
      <c r="Y34" s="900">
        <f>'Other Costs'!AD$193</f>
        <v>0</v>
      </c>
      <c r="Z34" s="889">
        <f>'Other Costs'!AE$193</f>
        <v>0</v>
      </c>
      <c r="AA34" s="897">
        <f>'Other Costs'!AF$193</f>
        <v>0</v>
      </c>
      <c r="AB34" s="900">
        <f>'Other Costs'!AG$193</f>
        <v>0</v>
      </c>
      <c r="AC34" s="900">
        <f>'Other Costs'!AH$193</f>
        <v>0</v>
      </c>
      <c r="AD34" s="900">
        <f>'Other Costs'!AI$193</f>
        <v>0</v>
      </c>
      <c r="AE34" s="900">
        <f>'Other Costs'!AJ$193</f>
        <v>0</v>
      </c>
      <c r="AF34" s="900">
        <f>'Other Costs'!AK$193</f>
        <v>0</v>
      </c>
      <c r="AG34" s="900">
        <f>'Other Costs'!AL$193</f>
        <v>0</v>
      </c>
      <c r="AH34" s="900">
        <f>'Other Costs'!AM$193</f>
        <v>0</v>
      </c>
      <c r="AI34" s="900">
        <f>'Other Costs'!AN$193</f>
        <v>0</v>
      </c>
      <c r="AJ34" s="900">
        <f>'Other Costs'!AO$193</f>
        <v>0</v>
      </c>
      <c r="AK34" s="900">
        <f>'Other Costs'!AP$193</f>
        <v>0</v>
      </c>
      <c r="AL34" s="889">
        <f>'Other Costs'!AQ$193</f>
        <v>0</v>
      </c>
      <c r="AM34" s="897">
        <f>'Other Costs'!AR$193</f>
        <v>0</v>
      </c>
      <c r="AN34" s="900">
        <f>'Other Costs'!AS$193</f>
        <v>0</v>
      </c>
      <c r="AO34" s="900">
        <f>'Other Costs'!AT$193</f>
        <v>0</v>
      </c>
      <c r="AP34" s="900">
        <f>'Other Costs'!AU$193</f>
        <v>0</v>
      </c>
      <c r="AQ34" s="900">
        <f>'Other Costs'!AV$193</f>
        <v>0</v>
      </c>
      <c r="AR34" s="900">
        <f>'Other Costs'!AW$193</f>
        <v>0</v>
      </c>
      <c r="AS34" s="900">
        <f>'Other Costs'!AX$193</f>
        <v>0</v>
      </c>
      <c r="AT34" s="900">
        <f>'Other Costs'!AY$193</f>
        <v>0</v>
      </c>
      <c r="AU34" s="900">
        <f>'Other Costs'!AZ$193</f>
        <v>0</v>
      </c>
      <c r="AV34" s="900">
        <f>'Other Costs'!BA$193</f>
        <v>0</v>
      </c>
      <c r="AW34" s="900">
        <f>'Other Costs'!BB$193</f>
        <v>0</v>
      </c>
      <c r="AX34" s="889">
        <f>'Other Costs'!BC$193</f>
        <v>0</v>
      </c>
      <c r="AY34" s="897">
        <f>'Other Costs'!BD$193</f>
        <v>0</v>
      </c>
      <c r="AZ34" s="900">
        <f>'Other Costs'!BE$193</f>
        <v>0</v>
      </c>
      <c r="BA34" s="900">
        <f>'Other Costs'!BF$193</f>
        <v>0</v>
      </c>
      <c r="BB34" s="900">
        <f>'Other Costs'!BG$193</f>
        <v>0</v>
      </c>
      <c r="BC34" s="900">
        <f>'Other Costs'!BH$193</f>
        <v>0</v>
      </c>
      <c r="BD34" s="900">
        <f>'Other Costs'!BI$193</f>
        <v>0</v>
      </c>
      <c r="BE34" s="900">
        <f>'Other Costs'!BJ$193</f>
        <v>0</v>
      </c>
      <c r="BF34" s="900">
        <f>'Other Costs'!BK$193</f>
        <v>0</v>
      </c>
      <c r="BG34" s="900">
        <f>'Other Costs'!BL$193</f>
        <v>0</v>
      </c>
      <c r="BH34" s="900">
        <f>'Other Costs'!BM$193</f>
        <v>0</v>
      </c>
      <c r="BI34" s="900">
        <f>'Other Costs'!BN$193</f>
        <v>0</v>
      </c>
      <c r="BJ34" s="889">
        <f>'Other Costs'!BO$193</f>
        <v>0</v>
      </c>
      <c r="BK34" s="897">
        <f>'Other Costs'!BP$193</f>
        <v>0</v>
      </c>
      <c r="BL34" s="900">
        <f>'Other Costs'!BQ$193</f>
        <v>0</v>
      </c>
      <c r="BM34" s="900">
        <f>'Other Costs'!BR$193</f>
        <v>0</v>
      </c>
      <c r="BN34" s="900">
        <f>'Other Costs'!BS$193</f>
        <v>0</v>
      </c>
      <c r="BO34" s="900">
        <f>'Other Costs'!BT$193</f>
        <v>0</v>
      </c>
      <c r="BP34" s="900">
        <f>'Other Costs'!BU$193</f>
        <v>0</v>
      </c>
      <c r="BQ34" s="900">
        <f>'Other Costs'!BV$193</f>
        <v>0</v>
      </c>
      <c r="BR34" s="900">
        <f>'Other Costs'!BW$193</f>
        <v>0</v>
      </c>
      <c r="BS34" s="900">
        <f>'Other Costs'!BX$193</f>
        <v>0</v>
      </c>
      <c r="BT34" s="900">
        <f>'Other Costs'!BY$193</f>
        <v>0</v>
      </c>
      <c r="BU34" s="900">
        <f>'Other Costs'!BZ$193</f>
        <v>0</v>
      </c>
      <c r="BV34" s="889">
        <f>'Other Costs'!CA$193</f>
        <v>0</v>
      </c>
      <c r="BW34" s="893">
        <f t="shared" si="1"/>
        <v>0</v>
      </c>
      <c r="BX34" s="905">
        <f>SUM(SUMIFS(C34:N34,$C$2:$N$2,{"Dev","Impl","PIS","Close"},$C$75:$N$75,""))</f>
        <v>0</v>
      </c>
      <c r="BY34" s="905">
        <f>SUM(SUMIFS(O34:Z34,$O$2:$Z$2,{"Dev","Impl","PIS","Close"},$O$75:$Z$75,""))</f>
        <v>0</v>
      </c>
      <c r="BZ34" s="905">
        <f>SUM(SUMIFS(AA34:AL34,$AA$2:$AL$2,{"Dev","Impl","PIS","Close"},$AA$75:$AL$75,""))</f>
        <v>0</v>
      </c>
      <c r="CA34" s="905">
        <f>SUM(SUMIFS(AM34:AX34,$AM$2:$AX$2,{"Dev","Impl","PIS","Close"},$AM$75:$AX$75,""))</f>
        <v>0</v>
      </c>
      <c r="CB34" s="905">
        <f>SUM(SUMIFS(AY34:BJ34,$AY$2:$BJ$2,{"Dev","Impl","PIS","Close"},$AY$75:$BJ$75,""))</f>
        <v>0</v>
      </c>
      <c r="CC34" s="905">
        <f>SUM(SUMIFS(BK34:BV34,$BK$2:$BV$2,{"Dev","Impl","PIS","Close"},$BK$75:$BV$75,""))</f>
        <v>0</v>
      </c>
      <c r="CE34" s="531" t="s">
        <v>403</v>
      </c>
      <c r="CF34" s="531"/>
      <c r="CG34" s="531"/>
      <c r="CH34" s="531"/>
      <c r="CI34" s="531"/>
      <c r="CJ34" s="531"/>
      <c r="CK34" s="531"/>
    </row>
    <row r="35" spans="1:89" s="4" customFormat="1" hidden="1">
      <c r="A35" s="6" t="s">
        <v>204</v>
      </c>
      <c r="B35" s="108"/>
      <c r="C35" s="906"/>
      <c r="D35" s="906"/>
      <c r="E35" s="907">
        <f>IF(OR(Variables!D23="Close",Variables!D23="PIS"),0,IF(Variables!D23="","",(IF(C75="",SUM(C8:C34),C75)+IF(D75="",SUM(D8:D34),D75)+SUM(E8:E34))*Variables!$B$55))</f>
        <v>0</v>
      </c>
      <c r="F35" s="906"/>
      <c r="G35" s="906"/>
      <c r="H35" s="907">
        <f>IF(OR(Variables!G23="Close",Variables!G23="PIS"),0,IF(Variables!G23="","",(IF(F75="",SUM(F8:F34),F75)+IF(G75="",SUM(G8:G34),G75)+SUM(H8:H34))*Variables!$B$55))</f>
        <v>0</v>
      </c>
      <c r="I35" s="906"/>
      <c r="J35" s="906"/>
      <c r="K35" s="907">
        <f>IF(OR(Variables!J23="Close",Variables!J23="PIS"),0,IF(Variables!J23="","",(IF(I75="",SUM(I8:I34),I75)+IF(J75="",SUM(J8:J34),J75)+SUM(K8:K34))*Variables!$B$55))</f>
        <v>0</v>
      </c>
      <c r="L35" s="906"/>
      <c r="M35" s="906"/>
      <c r="N35" s="907">
        <f>IF(OR(Variables!M23="Close",Variables!M23="PIS"),0,IF(Variables!M23="","",(IF(L75="",SUM(L8:L34),L75)+IF(M75="",SUM(M8:M34),M75)+SUM(N8:N34))*Variables!$B$55))</f>
        <v>0</v>
      </c>
      <c r="O35" s="906"/>
      <c r="P35" s="906"/>
      <c r="Q35" s="907" t="str">
        <f>IF(OR(Variables!P23="Close",Variables!P23="PIS"),0,IF(Variables!P23="","",(IF(O75="",SUM(O8:O34),O75)+IF(P75="",SUM(P8:P34),P75)+SUM(Q8:Q34))*Variables!$B$55))</f>
        <v/>
      </c>
      <c r="R35" s="906"/>
      <c r="S35" s="906"/>
      <c r="T35" s="907" t="str">
        <f>IF(OR(Variables!S23="Close",Variables!S23="PIS"),0,IF(Variables!S23="","",(IF(R75="",SUM(R8:R34),R75)+IF(S75="",SUM(S8:S34),S75)+SUM(T8:T34))*Variables!$B$55))</f>
        <v/>
      </c>
      <c r="U35" s="906"/>
      <c r="V35" s="906"/>
      <c r="W35" s="907" t="str">
        <f>IF(OR(Variables!V23="Close",Variables!V23="PIS"),0,IF(Variables!V23="","",(IF(U75="",SUM(U8:U34),U75)+IF(V75="",SUM(V8:V34),V75)+SUM(W8:W34))*Variables!$B$55))</f>
        <v/>
      </c>
      <c r="X35" s="906"/>
      <c r="Y35" s="906"/>
      <c r="Z35" s="907" t="str">
        <f>IF(OR(Variables!Y23="Close",Variables!Y23="PIS"),0,IF(Variables!Y23="","",(IF(X75="",SUM(X8:X34),X75)+IF(Y75="",SUM(Y8:Y34),Y75)+SUM(Z8:Z34))*Variables!$B$55))</f>
        <v/>
      </c>
      <c r="AA35" s="906"/>
      <c r="AB35" s="906"/>
      <c r="AC35" s="907" t="str">
        <f>IF(OR(Variables!AB23="Close",Variables!AB23="PIS"),0,IF(Variables!AB23="","",(IF(AA75="",SUM(AA8:AA34),AA75)+IF(AB75="",SUM(AB8:AB34),AB75)+SUM(AC8:AC34))*Variables!$B$55))</f>
        <v/>
      </c>
      <c r="AD35" s="906"/>
      <c r="AE35" s="906"/>
      <c r="AF35" s="907" t="str">
        <f>IF(OR(Variables!AE23="Close",Variables!AE23="PIS"),0,IF(Variables!AE23="","",(IF(AD75="",SUM(AD8:AD34),AD75)+IF(AE75="",SUM(AE8:AE34),AE75)+SUM(AF8:AF34))*Variables!$B$55))</f>
        <v/>
      </c>
      <c r="AG35" s="906"/>
      <c r="AH35" s="906"/>
      <c r="AI35" s="907" t="str">
        <f>IF(OR(Variables!AH23="Close",Variables!AH23="PIS"),0,IF(Variables!AH23="","",(IF(AG75="",SUM(AG8:AG34),AG75)+IF(AH75="",SUM(AH8:AH34),AH75)+SUM(AI8:AI34))*Variables!$B$55))</f>
        <v/>
      </c>
      <c r="AJ35" s="906"/>
      <c r="AK35" s="906"/>
      <c r="AL35" s="907" t="str">
        <f>IF(OR(Variables!AK23="Close",Variables!AK23="PIS"),0,IF(Variables!AK23="","",(IF(AJ75="",SUM(AJ8:AJ34),AJ75)+IF(AK75="",SUM(AK8:AK34),AK75)+SUM(AL8:AL34))*Variables!$B$55))</f>
        <v/>
      </c>
      <c r="AM35" s="906"/>
      <c r="AN35" s="906"/>
      <c r="AO35" s="907" t="str">
        <f>IF(OR(Variables!AN23="Close",Variables!AN23="PIS"),0,IF(Variables!AN23="","",(IF(AM75="",SUM(AM8:AM34),AM75)+IF(AN75="",SUM(AN8:AN34),AN75)+SUM(AO8:AO34))*Variables!$B$55))</f>
        <v/>
      </c>
      <c r="AP35" s="906"/>
      <c r="AQ35" s="906"/>
      <c r="AR35" s="907" t="str">
        <f>IF(OR(Variables!AQ23="Close",Variables!AQ23="PIS"),0,IF(Variables!AQ23="","",(IF(AP75="",SUM(AP8:AP34),AP75)+IF(AQ75="",SUM(AQ8:AQ34),AQ75)+SUM(AR8:AR34))*Variables!$B$55))</f>
        <v/>
      </c>
      <c r="AS35" s="906"/>
      <c r="AT35" s="906"/>
      <c r="AU35" s="907" t="str">
        <f>IF(OR(Variables!AT23="Close",Variables!AT23="PIS"),0,IF(Variables!AT23="","",(IF(AS75="",SUM(AS8:AS34),AS75)+IF(AT75="",SUM(AT8:AT34),AT75)+SUM(AU8:AU34))*Variables!$B$55))</f>
        <v/>
      </c>
      <c r="AV35" s="906"/>
      <c r="AW35" s="906"/>
      <c r="AX35" s="907" t="str">
        <f>IF(OR(Variables!AW23="Close",Variables!AW23="PIS"),0,IF(Variables!AW23="","",(IF(AV75="",SUM(AV8:AV34),AV75)+IF(AW75="",SUM(AW8:AW34),AW75)+SUM(AX8:AX34))*Variables!$B$55))</f>
        <v/>
      </c>
      <c r="AY35" s="906"/>
      <c r="AZ35" s="906"/>
      <c r="BA35" s="907" t="str">
        <f>IF(OR(Variables!AZ23="Close",Variables!AZ23="PIS"),0,IF(Variables!AZ23="","",(IF(AY75="",SUM(AY8:AY34),AY75)+IF(AZ75="",SUM(AZ8:AZ34),AZ75)+SUM(BA8:BA34))*Variables!$B$55))</f>
        <v/>
      </c>
      <c r="BB35" s="906"/>
      <c r="BC35" s="906"/>
      <c r="BD35" s="907" t="str">
        <f>IF(OR(Variables!BC23="Close",Variables!BC23="PIS"),0,IF(Variables!BC23="","",(IF(BB75="",SUM(BB8:BB34),BB75)+IF(BC75="",SUM(BC8:BC34),BC75)+SUM(BD8:BD34))*Variables!$B$55))</f>
        <v/>
      </c>
      <c r="BE35" s="906"/>
      <c r="BF35" s="906"/>
      <c r="BG35" s="907" t="str">
        <f>IF(OR(Variables!BF23="Close",Variables!BF23="PIS"),0,IF(Variables!BF23="","",(IF(BE75="",SUM(BE8:BE34),BE75)+IF(BF75="",SUM(BF8:BF34),BF75)+SUM(BG8:BG34))*Variables!$B$55))</f>
        <v/>
      </c>
      <c r="BH35" s="906"/>
      <c r="BI35" s="906"/>
      <c r="BJ35" s="907" t="str">
        <f>IF(OR(Variables!BI23="Close",Variables!BI23="PIS"),0,IF(Variables!BI23="","",(IF(BH75="",SUM(BH8:BH34),BH75)+IF(BI75="",SUM(BI8:BI34),BI75)+SUM(BJ8:BJ34))*Variables!$B$55))</f>
        <v/>
      </c>
      <c r="BK35" s="906"/>
      <c r="BL35" s="906"/>
      <c r="BM35" s="907" t="str">
        <f>IF(OR(Variables!BL23="Close",Variables!BL23="PIS"),0,IF(Variables!BL23="","",(IF(BK75="",SUM(BK8:BK34),BK75)+IF(BL75="",SUM(BL8:BL34),BL75)+SUM(BM8:BM34))*Variables!$B$55))</f>
        <v/>
      </c>
      <c r="BN35" s="906"/>
      <c r="BO35" s="906"/>
      <c r="BP35" s="907" t="str">
        <f>IF(OR(Variables!BO23="Close",Variables!BO23="PIS"),0,IF(Variables!BO23="","",(IF(BN75="",SUM(BN8:BN34),BN75)+IF(BO75="",SUM(BO8:BO34),BO75)+SUM(BP8:BP34))*Variables!$B$55))</f>
        <v/>
      </c>
      <c r="BQ35" s="906"/>
      <c r="BR35" s="906"/>
      <c r="BS35" s="907" t="str">
        <f>IF(OR(Variables!BR23="Close",Variables!BR23="PIS"),0,IF(Variables!BR23="","",(IF(BQ75="",SUM(BQ8:BQ34),BQ75)+IF(BR75="",SUM(BR8:BR34),BR75)+SUM(BS8:BS34))*Variables!$B$55))</f>
        <v/>
      </c>
      <c r="BT35" s="906"/>
      <c r="BU35" s="906"/>
      <c r="BV35" s="907" t="str">
        <f>IF(OR(Variables!BU23="Close",Variables!BU23="PIS"),0,IF(Variables!BU23="","",(IF(BT75="",SUM(BT8:BT34),BT75)+IF(BU75="",SUM(BU8:BU34),BU75)+SUM(BV8:BV34))*Variables!$B$55))</f>
        <v/>
      </c>
      <c r="BW35" s="893">
        <f t="shared" si="1"/>
        <v>0</v>
      </c>
      <c r="BX35" s="905">
        <f>SUM(SUMIFS(C35:N35,$C$2:$N$2,{"Dev","Impl"},$C$75:$N$75,""))</f>
        <v>0</v>
      </c>
      <c r="BY35" s="905">
        <f>SUM(SUMIFS(O35:Z35,$O$2:$Z$2,{"Dev","Impl"},$O$75:$Z$75,""))</f>
        <v>0</v>
      </c>
      <c r="BZ35" s="905">
        <f>SUM(SUMIFS(AA35:AL35,$AA$2:$AL$2,{"Dev","Impl"},$AA$75:$AL$75,""))</f>
        <v>0</v>
      </c>
      <c r="CA35" s="905">
        <f>SUM(SUMIFS(AM35:AX35,$AM$2:$AX$2,{"Dev","Impl"},$AM$75:$AX$75,""))</f>
        <v>0</v>
      </c>
      <c r="CB35" s="905">
        <f>SUM(SUMIFS(AY35:BJ35,$AY$2:$BJ$2,{"Dev","Impl"},$AY$75:$BJ$75,""))</f>
        <v>0</v>
      </c>
      <c r="CC35" s="905">
        <f>SUM(SUMIFS(BK35:BV35,$BK$2:$BV$2,{"Dev","Impl"},$BK$75:$BV$75,""))</f>
        <v>0</v>
      </c>
    </row>
    <row r="36" spans="1:89" s="4" customFormat="1">
      <c r="A36" s="6" t="s">
        <v>167</v>
      </c>
      <c r="B36" s="108"/>
      <c r="C36" s="908" t="str">
        <f>IFERROR(SUM(C8:C34)*VLOOKUP(C3,Variables!$A$64:$B$74,2,0),"")</f>
        <v/>
      </c>
      <c r="D36" s="908" t="str">
        <f>IFERROR(SUM(D8:D34)*VLOOKUP(D3,Variables!$A$64:$B$74,2,0),"")</f>
        <v/>
      </c>
      <c r="E36" s="908">
        <f>IFERROR(SUM(E8:E34)*VLOOKUP(E3,Variables!$A$64:$B$74,2,0),"")</f>
        <v>0</v>
      </c>
      <c r="F36" s="908">
        <f>IFERROR(SUM(F8:F34)*VLOOKUP(F3,Variables!$A$64:$B$74,2,0),"")</f>
        <v>0</v>
      </c>
      <c r="G36" s="908">
        <f>IFERROR(SUM(G8:G34)*VLOOKUP(G3,Variables!$A$64:$B$74,2,0),"")</f>
        <v>0</v>
      </c>
      <c r="H36" s="908">
        <f>IFERROR(SUM(H8:H34)*VLOOKUP(H3,Variables!$A$64:$B$74,2,0),"")</f>
        <v>0</v>
      </c>
      <c r="I36" s="908">
        <f>IFERROR(SUM(I8:I34)*VLOOKUP(I3,Variables!$A$64:$B$74,2,0),"")</f>
        <v>0</v>
      </c>
      <c r="J36" s="908">
        <f>IFERROR(SUM(J8:J34)*VLOOKUP(J3,Variables!$A$64:$B$74,2,0),"")</f>
        <v>0</v>
      </c>
      <c r="K36" s="908">
        <f>IFERROR(SUM(K8:K34)*VLOOKUP(K3,Variables!$A$64:$B$74,2,0),"")</f>
        <v>0</v>
      </c>
      <c r="L36" s="908">
        <f>IFERROR(SUM(L8:L34)*VLOOKUP(L3,Variables!$A$64:$B$74,2,0),"")</f>
        <v>0</v>
      </c>
      <c r="M36" s="908">
        <f>IFERROR(SUM(M8:M34)*VLOOKUP(M3,Variables!$A$64:$B$74,2,0),"")</f>
        <v>0</v>
      </c>
      <c r="N36" s="908">
        <f>IFERROR(SUM(N8:N34)*VLOOKUP(N3,Variables!$A$64:$B$74,2,0),"")</f>
        <v>0</v>
      </c>
      <c r="O36" s="909">
        <f>IFERROR(SUM(O8:O34)*VLOOKUP(O3,Variables!$A$64:$B$74,2,0),"")</f>
        <v>0</v>
      </c>
      <c r="P36" s="908">
        <f>IFERROR(SUM(P8:P34)*VLOOKUP(P3,Variables!$A$64:$B$74,2,0),"")</f>
        <v>0</v>
      </c>
      <c r="Q36" s="908" t="str">
        <f>IFERROR(SUM(Q8:Q34)*VLOOKUP(Q3,Variables!$A$64:$B$74,2,0),"")</f>
        <v/>
      </c>
      <c r="R36" s="908" t="str">
        <f>IFERROR(SUM(R8:R34)*VLOOKUP(R3,Variables!$A$64:$B$74,2,0),"")</f>
        <v/>
      </c>
      <c r="S36" s="908" t="str">
        <f>IFERROR(SUM(S8:S34)*VLOOKUP(S3,Variables!$A$64:$B$74,2,0),"")</f>
        <v/>
      </c>
      <c r="T36" s="908" t="str">
        <f>IFERROR(SUM(T8:T34)*VLOOKUP(T3,Variables!$A$64:$B$74,2,0),"")</f>
        <v/>
      </c>
      <c r="U36" s="908" t="str">
        <f>IFERROR(SUM(U8:U34)*VLOOKUP(U3,Variables!$A$64:$B$74,2,0),"")</f>
        <v/>
      </c>
      <c r="V36" s="908" t="str">
        <f>IFERROR(SUM(V8:V34)*VLOOKUP(V3,Variables!$A$64:$B$74,2,0),"")</f>
        <v/>
      </c>
      <c r="W36" s="908" t="str">
        <f>IFERROR(SUM(W8:W34)*VLOOKUP(W3,Variables!$A$64:$B$74,2,0),"")</f>
        <v/>
      </c>
      <c r="X36" s="908" t="str">
        <f>IFERROR(SUM(X8:X34)*VLOOKUP(X3,Variables!$A$64:$B$74,2,0),"")</f>
        <v/>
      </c>
      <c r="Y36" s="908" t="str">
        <f>IFERROR(SUM(Y8:Y34)*VLOOKUP(Y3,Variables!$A$64:$B$74,2,0),"")</f>
        <v/>
      </c>
      <c r="Z36" s="910" t="str">
        <f>IFERROR(SUM(Z8:Z34)*VLOOKUP(Z3,Variables!$A$64:$B$74,2,0),"")</f>
        <v/>
      </c>
      <c r="AA36" s="909" t="str">
        <f>IFERROR(SUM(AA8:AA34)*VLOOKUP(AA3,Variables!$A$64:$B$74,2,0),"")</f>
        <v/>
      </c>
      <c r="AB36" s="908" t="str">
        <f>IFERROR(SUM(AB8:AB34)*VLOOKUP(AB3,Variables!$A$64:$B$74,2,0),"")</f>
        <v/>
      </c>
      <c r="AC36" s="908" t="str">
        <f>IFERROR(SUM(AC8:AC34)*VLOOKUP(AC3,Variables!$A$64:$B$74,2,0),"")</f>
        <v/>
      </c>
      <c r="AD36" s="908" t="str">
        <f>IFERROR(SUM(AD8:AD34)*VLOOKUP(AD3,Variables!$A$64:$B$74,2,0),"")</f>
        <v/>
      </c>
      <c r="AE36" s="908" t="str">
        <f>IFERROR(SUM(AE8:AE34)*VLOOKUP(AE3,Variables!$A$64:$B$74,2,0),"")</f>
        <v/>
      </c>
      <c r="AF36" s="908" t="str">
        <f>IFERROR(SUM(AF8:AF34)*VLOOKUP(AF3,Variables!$A$64:$B$74,2,0),"")</f>
        <v/>
      </c>
      <c r="AG36" s="908" t="str">
        <f>IFERROR(SUM(AG8:AG34)*VLOOKUP(AG3,Variables!$A$64:$B$74,2,0),"")</f>
        <v/>
      </c>
      <c r="AH36" s="908" t="str">
        <f>IFERROR(SUM(AH8:AH34)*VLOOKUP(AH3,Variables!$A$64:$B$74,2,0),"")</f>
        <v/>
      </c>
      <c r="AI36" s="908" t="str">
        <f>IFERROR(SUM(AI8:AI34)*VLOOKUP(AI3,Variables!$A$64:$B$74,2,0),"")</f>
        <v/>
      </c>
      <c r="AJ36" s="908" t="str">
        <f>IFERROR(SUM(AJ8:AJ34)*VLOOKUP(AJ3,Variables!$A$64:$B$74,2,0),"")</f>
        <v/>
      </c>
      <c r="AK36" s="908" t="str">
        <f>IFERROR(SUM(AK8:AK34)*VLOOKUP(AK3,Variables!$A$64:$B$74,2,0),"")</f>
        <v/>
      </c>
      <c r="AL36" s="910" t="str">
        <f>IFERROR(SUM(AL8:AL34)*VLOOKUP(AL3,Variables!$A$64:$B$74,2,0),"")</f>
        <v/>
      </c>
      <c r="AM36" s="909" t="str">
        <f>IFERROR(SUM(AM8:AM34)*VLOOKUP(AM3,Variables!$A$64:$B$74,2,0),"")</f>
        <v/>
      </c>
      <c r="AN36" s="908" t="str">
        <f>IFERROR(SUM(AN8:AN34)*VLOOKUP(AN3,Variables!$A$64:$B$74,2,0),"")</f>
        <v/>
      </c>
      <c r="AO36" s="908" t="str">
        <f>IFERROR(SUM(AO8:AO34)*VLOOKUP(AO3,Variables!$A$64:$B$74,2,0),"")</f>
        <v/>
      </c>
      <c r="AP36" s="908" t="str">
        <f>IFERROR(SUM(AP8:AP34)*VLOOKUP(AP3,Variables!$A$64:$B$74,2,0),"")</f>
        <v/>
      </c>
      <c r="AQ36" s="908" t="str">
        <f>IFERROR(SUM(AQ8:AQ34)*VLOOKUP(AQ3,Variables!$A$64:$B$74,2,0),"")</f>
        <v/>
      </c>
      <c r="AR36" s="908" t="str">
        <f>IFERROR(SUM(AR8:AR34)*VLOOKUP(AR3,Variables!$A$64:$B$74,2,0),"")</f>
        <v/>
      </c>
      <c r="AS36" s="908" t="str">
        <f>IFERROR(SUM(AS8:AS34)*VLOOKUP(AS3,Variables!$A$64:$B$74,2,0),"")</f>
        <v/>
      </c>
      <c r="AT36" s="908" t="str">
        <f>IFERROR(SUM(AT8:AT34)*VLOOKUP(AT3,Variables!$A$64:$B$74,2,0),"")</f>
        <v/>
      </c>
      <c r="AU36" s="908" t="str">
        <f>IFERROR(SUM(AU8:AU34)*VLOOKUP(AU3,Variables!$A$64:$B$74,2,0),"")</f>
        <v/>
      </c>
      <c r="AV36" s="908" t="str">
        <f>IFERROR(SUM(AV8:AV34)*VLOOKUP(AV3,Variables!$A$64:$B$74,2,0),"")</f>
        <v/>
      </c>
      <c r="AW36" s="908" t="str">
        <f>IFERROR(SUM(AW8:AW34)*VLOOKUP(AW3,Variables!$A$64:$B$74,2,0),"")</f>
        <v/>
      </c>
      <c r="AX36" s="911" t="str">
        <f>IFERROR(SUM(AX8:AX34)*VLOOKUP(AX3,Variables!$A$64:$B$74,2,0),"")</f>
        <v/>
      </c>
      <c r="AY36" s="912" t="str">
        <f>IFERROR(SUM(AY8:AY34)*VLOOKUP(AY3,Variables!$A$64:$B$74,2,0),"")</f>
        <v/>
      </c>
      <c r="AZ36" s="908" t="str">
        <f>IFERROR(SUM(AZ8:AZ34)*VLOOKUP(AZ3,Variables!$A$64:$B$74,2,0),"")</f>
        <v/>
      </c>
      <c r="BA36" s="908" t="str">
        <f>IFERROR(SUM(BA8:BA34)*VLOOKUP(BA3,Variables!$A$64:$B$74,2,0),"")</f>
        <v/>
      </c>
      <c r="BB36" s="908" t="str">
        <f>IFERROR(SUM(BB8:BB34)*VLOOKUP(BB3,Variables!$A$64:$B$74,2,0),"")</f>
        <v/>
      </c>
      <c r="BC36" s="908" t="str">
        <f>IFERROR(SUM(BC8:BC34)*VLOOKUP(BC3,Variables!$A$64:$B$74,2,0),"")</f>
        <v/>
      </c>
      <c r="BD36" s="908" t="str">
        <f>IFERROR(SUM(BD8:BD34)*VLOOKUP(BD3,Variables!$A$64:$B$74,2,0),"")</f>
        <v/>
      </c>
      <c r="BE36" s="908" t="str">
        <f>IFERROR(SUM(BE8:BE34)*VLOOKUP(BE3,Variables!$A$64:$B$74,2,0),"")</f>
        <v/>
      </c>
      <c r="BF36" s="908" t="str">
        <f>IFERROR(SUM(BF8:BF34)*VLOOKUP(BF3,Variables!$A$64:$B$74,2,0),"")</f>
        <v/>
      </c>
      <c r="BG36" s="908" t="str">
        <f>IFERROR(SUM(BG8:BG34)*VLOOKUP(BG3,Variables!$A$64:$B$74,2,0),"")</f>
        <v/>
      </c>
      <c r="BH36" s="908" t="str">
        <f>IFERROR(SUM(BH8:BH34)*VLOOKUP(BH3,Variables!$A$64:$B$74,2,0),"")</f>
        <v/>
      </c>
      <c r="BI36" s="908" t="str">
        <f>IFERROR(SUM(BI8:BI34)*VLOOKUP(BI3,Variables!$A$64:$B$74,2,0),"")</f>
        <v/>
      </c>
      <c r="BJ36" s="910" t="str">
        <f>IFERROR(SUM(BJ8:BJ34)*VLOOKUP(BJ3,Variables!$A$64:$B$74,2,0),"")</f>
        <v/>
      </c>
      <c r="BK36" s="909" t="str">
        <f>IFERROR(SUM(BK8:BK34)*VLOOKUP(BK3,Variables!$A$64:$B$74,2,0),"")</f>
        <v/>
      </c>
      <c r="BL36" s="908" t="str">
        <f>IFERROR(SUM(BL8:BL34)*VLOOKUP(BL3,Variables!$A$64:$B$74,2,0),"")</f>
        <v/>
      </c>
      <c r="BM36" s="908" t="str">
        <f>IFERROR(SUM(BM8:BM34)*VLOOKUP(BM3,Variables!$A$64:$B$74,2,0),"")</f>
        <v/>
      </c>
      <c r="BN36" s="908" t="str">
        <f>IFERROR(SUM(BN8:BN34)*VLOOKUP(BN3,Variables!$A$64:$B$74,2,0),"")</f>
        <v/>
      </c>
      <c r="BO36" s="908" t="str">
        <f>IFERROR(SUM(BO8:BO34)*VLOOKUP(BO3,Variables!$A$64:$B$74,2,0),"")</f>
        <v/>
      </c>
      <c r="BP36" s="908" t="str">
        <f>IFERROR(SUM(BP8:BP34)*VLOOKUP(BP3,Variables!$A$64:$B$74,2,0),"")</f>
        <v/>
      </c>
      <c r="BQ36" s="908" t="str">
        <f>IFERROR(SUM(BQ8:BQ34)*VLOOKUP(BQ3,Variables!$A$64:$B$74,2,0),"")</f>
        <v/>
      </c>
      <c r="BR36" s="908" t="str">
        <f>IFERROR(SUM(BR8:BR34)*VLOOKUP(BR3,Variables!$A$64:$B$74,2,0),"")</f>
        <v/>
      </c>
      <c r="BS36" s="908" t="str">
        <f>IFERROR(SUM(BS8:BS34)*VLOOKUP(BS3,Variables!$A$64:$B$74,2,0),"")</f>
        <v/>
      </c>
      <c r="BT36" s="908" t="str">
        <f>IFERROR(SUM(BT8:BT34)*VLOOKUP(BT3,Variables!$A$64:$B$74,2,0),"")</f>
        <v/>
      </c>
      <c r="BU36" s="908" t="str">
        <f>IFERROR(SUM(BU8:BU34)*VLOOKUP(BU3,Variables!$A$64:$B$74,2,0),"")</f>
        <v/>
      </c>
      <c r="BV36" s="913" t="str">
        <f>IFERROR(SUM(BV8:BV34)*VLOOKUP(BV3,Variables!$A$64:$B$74,2,0),"")</f>
        <v/>
      </c>
      <c r="BW36" s="893">
        <f t="shared" si="1"/>
        <v>0</v>
      </c>
      <c r="BX36" s="914">
        <f>SUM(SUMIFS(C36:N36,$C$2:$N$2,{"Dev","Impl","PIS","Close"},$C$75:$N$75,""))</f>
        <v>0</v>
      </c>
      <c r="BY36" s="914">
        <f>SUM(SUMIFS(O36:Z36,$O$2:$Z$2,{"Dev","Impl","PIS","Close"},$O$75:$Z$75,""))</f>
        <v>0</v>
      </c>
      <c r="BZ36" s="914">
        <f>SUM(SUMIFS(AA36:AL36,$AA$2:$AL$2,{"Dev","Impl","PIS","Close"},$AA$75:$AL$75,""))</f>
        <v>0</v>
      </c>
      <c r="CA36" s="914">
        <f>SUM(SUMIFS(AM36:AX36,$AM$2:$AX$2,{"Dev","Impl","PIS","Close"},$AM$75:$AX$75,""))</f>
        <v>0</v>
      </c>
      <c r="CB36" s="914">
        <f>SUM(SUMIFS(AY36:BJ36,$AY$2:$BJ$2,{"Dev","Impl","PIS","Close"},$AY$75:$BJ$75,""))</f>
        <v>0</v>
      </c>
      <c r="CC36" s="914">
        <f>SUM(SUMIFS(BK36:BV36,$BK$2:$BV$2,{"Dev","Impl","PIS","Close"},$BK$75:$BV$75,""))</f>
        <v>0</v>
      </c>
      <c r="CE36" s="532" t="s">
        <v>398</v>
      </c>
      <c r="CF36" s="532"/>
      <c r="CG36" s="532"/>
      <c r="CH36" s="532"/>
      <c r="CI36" s="532"/>
      <c r="CJ36" s="532"/>
      <c r="CK36" s="532"/>
    </row>
    <row r="37" spans="1:89" s="1" customFormat="1">
      <c r="A37" s="8" t="s">
        <v>39</v>
      </c>
      <c r="B37" s="110"/>
      <c r="C37" s="915">
        <f t="shared" ref="C37:AH37" si="2">SUM(C8:C36)</f>
        <v>0</v>
      </c>
      <c r="D37" s="915">
        <f t="shared" si="2"/>
        <v>0</v>
      </c>
      <c r="E37" s="915">
        <f t="shared" si="2"/>
        <v>0</v>
      </c>
      <c r="F37" s="915">
        <f t="shared" si="2"/>
        <v>0</v>
      </c>
      <c r="G37" s="915">
        <f t="shared" si="2"/>
        <v>0</v>
      </c>
      <c r="H37" s="915">
        <f t="shared" si="2"/>
        <v>0</v>
      </c>
      <c r="I37" s="915">
        <f t="shared" si="2"/>
        <v>0</v>
      </c>
      <c r="J37" s="915">
        <f t="shared" si="2"/>
        <v>0</v>
      </c>
      <c r="K37" s="915">
        <f t="shared" si="2"/>
        <v>0</v>
      </c>
      <c r="L37" s="915">
        <f t="shared" si="2"/>
        <v>0</v>
      </c>
      <c r="M37" s="915">
        <f t="shared" si="2"/>
        <v>0</v>
      </c>
      <c r="N37" s="916">
        <f t="shared" si="2"/>
        <v>0</v>
      </c>
      <c r="O37" s="917">
        <f t="shared" si="2"/>
        <v>0</v>
      </c>
      <c r="P37" s="915">
        <f t="shared" si="2"/>
        <v>0</v>
      </c>
      <c r="Q37" s="915">
        <f t="shared" si="2"/>
        <v>0</v>
      </c>
      <c r="R37" s="915">
        <f t="shared" si="2"/>
        <v>0</v>
      </c>
      <c r="S37" s="915">
        <f t="shared" si="2"/>
        <v>0</v>
      </c>
      <c r="T37" s="915">
        <f t="shared" si="2"/>
        <v>0</v>
      </c>
      <c r="U37" s="915">
        <f t="shared" si="2"/>
        <v>0</v>
      </c>
      <c r="V37" s="915">
        <f t="shared" si="2"/>
        <v>0</v>
      </c>
      <c r="W37" s="915">
        <f t="shared" si="2"/>
        <v>0</v>
      </c>
      <c r="X37" s="915">
        <f t="shared" si="2"/>
        <v>0</v>
      </c>
      <c r="Y37" s="915">
        <f t="shared" si="2"/>
        <v>0</v>
      </c>
      <c r="Z37" s="916">
        <f t="shared" si="2"/>
        <v>0</v>
      </c>
      <c r="AA37" s="917">
        <f t="shared" si="2"/>
        <v>0</v>
      </c>
      <c r="AB37" s="915">
        <f t="shared" si="2"/>
        <v>0</v>
      </c>
      <c r="AC37" s="915">
        <f t="shared" si="2"/>
        <v>0</v>
      </c>
      <c r="AD37" s="915">
        <f t="shared" si="2"/>
        <v>0</v>
      </c>
      <c r="AE37" s="915">
        <f t="shared" si="2"/>
        <v>0</v>
      </c>
      <c r="AF37" s="915">
        <f t="shared" si="2"/>
        <v>0</v>
      </c>
      <c r="AG37" s="915">
        <f t="shared" si="2"/>
        <v>0</v>
      </c>
      <c r="AH37" s="915">
        <f t="shared" si="2"/>
        <v>0</v>
      </c>
      <c r="AI37" s="915">
        <f t="shared" ref="AI37:BN37" si="3">SUM(AI8:AI36)</f>
        <v>0</v>
      </c>
      <c r="AJ37" s="915">
        <f t="shared" si="3"/>
        <v>0</v>
      </c>
      <c r="AK37" s="915">
        <f t="shared" si="3"/>
        <v>0</v>
      </c>
      <c r="AL37" s="916">
        <f t="shared" si="3"/>
        <v>0</v>
      </c>
      <c r="AM37" s="917">
        <f t="shared" si="3"/>
        <v>0</v>
      </c>
      <c r="AN37" s="915">
        <f t="shared" si="3"/>
        <v>0</v>
      </c>
      <c r="AO37" s="915">
        <f t="shared" si="3"/>
        <v>0</v>
      </c>
      <c r="AP37" s="915">
        <f t="shared" si="3"/>
        <v>0</v>
      </c>
      <c r="AQ37" s="915">
        <f t="shared" si="3"/>
        <v>0</v>
      </c>
      <c r="AR37" s="915">
        <f t="shared" si="3"/>
        <v>0</v>
      </c>
      <c r="AS37" s="915">
        <f t="shared" si="3"/>
        <v>0</v>
      </c>
      <c r="AT37" s="915">
        <f t="shared" si="3"/>
        <v>0</v>
      </c>
      <c r="AU37" s="915">
        <f t="shared" si="3"/>
        <v>0</v>
      </c>
      <c r="AV37" s="915">
        <f t="shared" si="3"/>
        <v>0</v>
      </c>
      <c r="AW37" s="915">
        <f t="shared" si="3"/>
        <v>0</v>
      </c>
      <c r="AX37" s="916">
        <f t="shared" si="3"/>
        <v>0</v>
      </c>
      <c r="AY37" s="917">
        <f t="shared" si="3"/>
        <v>0</v>
      </c>
      <c r="AZ37" s="915">
        <f t="shared" si="3"/>
        <v>0</v>
      </c>
      <c r="BA37" s="915">
        <f t="shared" si="3"/>
        <v>0</v>
      </c>
      <c r="BB37" s="915">
        <f t="shared" si="3"/>
        <v>0</v>
      </c>
      <c r="BC37" s="915">
        <f t="shared" si="3"/>
        <v>0</v>
      </c>
      <c r="BD37" s="915">
        <f t="shared" si="3"/>
        <v>0</v>
      </c>
      <c r="BE37" s="915">
        <f t="shared" si="3"/>
        <v>0</v>
      </c>
      <c r="BF37" s="915">
        <f t="shared" si="3"/>
        <v>0</v>
      </c>
      <c r="BG37" s="915">
        <f t="shared" si="3"/>
        <v>0</v>
      </c>
      <c r="BH37" s="915">
        <f t="shared" si="3"/>
        <v>0</v>
      </c>
      <c r="BI37" s="915">
        <f t="shared" si="3"/>
        <v>0</v>
      </c>
      <c r="BJ37" s="916">
        <f t="shared" si="3"/>
        <v>0</v>
      </c>
      <c r="BK37" s="917">
        <f t="shared" si="3"/>
        <v>0</v>
      </c>
      <c r="BL37" s="915">
        <f t="shared" si="3"/>
        <v>0</v>
      </c>
      <c r="BM37" s="915">
        <f t="shared" si="3"/>
        <v>0</v>
      </c>
      <c r="BN37" s="915">
        <f t="shared" si="3"/>
        <v>0</v>
      </c>
      <c r="BO37" s="915">
        <f t="shared" ref="BO37:BV37" si="4">SUM(BO8:BO36)</f>
        <v>0</v>
      </c>
      <c r="BP37" s="915">
        <f t="shared" si="4"/>
        <v>0</v>
      </c>
      <c r="BQ37" s="915">
        <f t="shared" si="4"/>
        <v>0</v>
      </c>
      <c r="BR37" s="915">
        <f t="shared" si="4"/>
        <v>0</v>
      </c>
      <c r="BS37" s="915">
        <f t="shared" si="4"/>
        <v>0</v>
      </c>
      <c r="BT37" s="915">
        <f t="shared" si="4"/>
        <v>0</v>
      </c>
      <c r="BU37" s="915">
        <f t="shared" si="4"/>
        <v>0</v>
      </c>
      <c r="BV37" s="916">
        <f t="shared" si="4"/>
        <v>0</v>
      </c>
      <c r="BW37" s="893"/>
      <c r="BX37" s="896"/>
      <c r="BY37" s="896"/>
      <c r="BZ37" s="896"/>
      <c r="CA37" s="896"/>
      <c r="CB37" s="896"/>
      <c r="CC37" s="896"/>
    </row>
    <row r="38" spans="1:89">
      <c r="A38" s="14"/>
      <c r="B38" s="111"/>
      <c r="C38" s="918"/>
      <c r="D38" s="919"/>
      <c r="E38" s="919"/>
      <c r="F38" s="919"/>
      <c r="G38" s="919"/>
      <c r="H38" s="919"/>
      <c r="I38" s="919"/>
      <c r="J38" s="919"/>
      <c r="K38" s="919"/>
      <c r="L38" s="919"/>
      <c r="M38" s="919"/>
      <c r="N38" s="919"/>
      <c r="O38" s="919"/>
      <c r="P38" s="919"/>
      <c r="Q38" s="919"/>
      <c r="R38" s="919"/>
      <c r="S38" s="919"/>
      <c r="T38" s="919"/>
      <c r="U38" s="919"/>
      <c r="V38" s="919"/>
      <c r="W38" s="919"/>
      <c r="X38" s="919"/>
      <c r="Y38" s="919"/>
      <c r="Z38" s="919"/>
      <c r="AA38" s="919"/>
      <c r="AB38" s="919"/>
      <c r="AC38" s="919"/>
      <c r="AD38" s="919"/>
      <c r="AE38" s="919"/>
      <c r="AF38" s="919"/>
      <c r="AG38" s="919"/>
      <c r="AH38" s="919"/>
      <c r="AI38" s="919"/>
      <c r="AJ38" s="919"/>
      <c r="AK38" s="919"/>
      <c r="AL38" s="919"/>
      <c r="AM38" s="919"/>
      <c r="AN38" s="919"/>
      <c r="AO38" s="919"/>
      <c r="AP38" s="919"/>
      <c r="AQ38" s="919"/>
      <c r="AR38" s="919"/>
      <c r="AS38" s="919"/>
      <c r="AT38" s="919"/>
      <c r="AU38" s="919"/>
      <c r="AV38" s="919"/>
      <c r="AW38" s="919"/>
      <c r="AX38" s="919"/>
      <c r="AY38" s="919"/>
      <c r="AZ38" s="919"/>
      <c r="BA38" s="919"/>
      <c r="BB38" s="919"/>
      <c r="BC38" s="919"/>
      <c r="BD38" s="919"/>
      <c r="BE38" s="919"/>
      <c r="BF38" s="919"/>
      <c r="BG38" s="919"/>
      <c r="BH38" s="919"/>
      <c r="BI38" s="919"/>
      <c r="BJ38" s="919"/>
      <c r="BK38" s="919"/>
      <c r="BL38" s="919"/>
      <c r="BM38" s="919"/>
      <c r="BN38" s="919"/>
      <c r="BO38" s="919"/>
      <c r="BP38" s="919"/>
      <c r="BQ38" s="919"/>
      <c r="BR38" s="919"/>
      <c r="BS38" s="919"/>
      <c r="BT38" s="919"/>
      <c r="BU38" s="919"/>
      <c r="BV38" s="919"/>
      <c r="BW38" s="893"/>
      <c r="BX38" s="896"/>
      <c r="BY38" s="896"/>
      <c r="BZ38" s="896"/>
      <c r="CA38" s="896"/>
      <c r="CB38" s="896"/>
      <c r="CC38" s="896"/>
    </row>
    <row r="39" spans="1:89" s="1" customFormat="1">
      <c r="A39" s="9" t="s">
        <v>38</v>
      </c>
      <c r="B39" s="112"/>
      <c r="C39" s="1847"/>
      <c r="D39" s="1847"/>
      <c r="E39" s="1847"/>
      <c r="F39" s="1847"/>
      <c r="G39" s="1847"/>
      <c r="H39" s="1847"/>
      <c r="I39" s="1847"/>
      <c r="J39" s="1847"/>
      <c r="K39" s="1847"/>
      <c r="L39" s="1847"/>
      <c r="M39" s="1847"/>
      <c r="N39" s="1848"/>
      <c r="O39" s="1846"/>
      <c r="P39" s="1847"/>
      <c r="Q39" s="1847"/>
      <c r="R39" s="1847"/>
      <c r="S39" s="1847"/>
      <c r="T39" s="1847"/>
      <c r="U39" s="1847"/>
      <c r="V39" s="1847"/>
      <c r="W39" s="1847"/>
      <c r="X39" s="1847"/>
      <c r="Y39" s="1847"/>
      <c r="Z39" s="1848"/>
      <c r="AA39" s="1846"/>
      <c r="AB39" s="1847"/>
      <c r="AC39" s="1847"/>
      <c r="AD39" s="1847"/>
      <c r="AE39" s="1847"/>
      <c r="AF39" s="1847"/>
      <c r="AG39" s="1847"/>
      <c r="AH39" s="1847"/>
      <c r="AI39" s="1847"/>
      <c r="AJ39" s="1847"/>
      <c r="AK39" s="1847"/>
      <c r="AL39" s="1848"/>
      <c r="AM39" s="1846"/>
      <c r="AN39" s="1847"/>
      <c r="AO39" s="1847"/>
      <c r="AP39" s="1847"/>
      <c r="AQ39" s="1847"/>
      <c r="AR39" s="1847"/>
      <c r="AS39" s="1847"/>
      <c r="AT39" s="1847"/>
      <c r="AU39" s="1847"/>
      <c r="AV39" s="1847"/>
      <c r="AW39" s="1847"/>
      <c r="AX39" s="1848"/>
      <c r="AY39" s="1846"/>
      <c r="AZ39" s="1847"/>
      <c r="BA39" s="1847"/>
      <c r="BB39" s="1847"/>
      <c r="BC39" s="1847"/>
      <c r="BD39" s="1847"/>
      <c r="BE39" s="1847"/>
      <c r="BF39" s="1847"/>
      <c r="BG39" s="1847"/>
      <c r="BH39" s="1847"/>
      <c r="BI39" s="1847"/>
      <c r="BJ39" s="1848"/>
      <c r="BK39" s="1846"/>
      <c r="BL39" s="1847"/>
      <c r="BM39" s="1847"/>
      <c r="BN39" s="1847"/>
      <c r="BO39" s="1847"/>
      <c r="BP39" s="1847"/>
      <c r="BQ39" s="1847"/>
      <c r="BR39" s="1847"/>
      <c r="BS39" s="1847"/>
      <c r="BT39" s="1847"/>
      <c r="BU39" s="1847"/>
      <c r="BV39" s="1848"/>
      <c r="BW39" s="893"/>
      <c r="BX39" s="896"/>
      <c r="BY39" s="896"/>
      <c r="BZ39" s="896"/>
      <c r="CA39" s="896"/>
      <c r="CB39" s="896"/>
      <c r="CC39" s="896"/>
    </row>
    <row r="40" spans="1:89" s="4" customFormat="1" ht="15.5">
      <c r="A40" s="32" t="s">
        <v>222</v>
      </c>
      <c r="B40" s="107"/>
      <c r="C40" s="886"/>
      <c r="D40" s="886"/>
      <c r="E40" s="886"/>
      <c r="F40" s="886"/>
      <c r="G40" s="886"/>
      <c r="H40" s="886"/>
      <c r="I40" s="886"/>
      <c r="J40" s="886"/>
      <c r="K40" s="886"/>
      <c r="L40" s="886"/>
      <c r="M40" s="886"/>
      <c r="N40" s="885"/>
      <c r="O40" s="920"/>
      <c r="P40" s="886"/>
      <c r="Q40" s="886"/>
      <c r="R40" s="886"/>
      <c r="S40" s="886"/>
      <c r="T40" s="886"/>
      <c r="U40" s="886"/>
      <c r="V40" s="886"/>
      <c r="W40" s="886"/>
      <c r="X40" s="886"/>
      <c r="Y40" s="886"/>
      <c r="Z40" s="885"/>
      <c r="AA40" s="920"/>
      <c r="AB40" s="886"/>
      <c r="AC40" s="886"/>
      <c r="AD40" s="886"/>
      <c r="AE40" s="886"/>
      <c r="AF40" s="886"/>
      <c r="AG40" s="886"/>
      <c r="AH40" s="886"/>
      <c r="AI40" s="886"/>
      <c r="AJ40" s="886"/>
      <c r="AK40" s="886"/>
      <c r="AL40" s="885"/>
      <c r="AM40" s="920"/>
      <c r="AN40" s="886"/>
      <c r="AO40" s="886"/>
      <c r="AP40" s="886"/>
      <c r="AQ40" s="886"/>
      <c r="AR40" s="886"/>
      <c r="AS40" s="886"/>
      <c r="AT40" s="886"/>
      <c r="AU40" s="886"/>
      <c r="AV40" s="886"/>
      <c r="AW40" s="886"/>
      <c r="AX40" s="921"/>
      <c r="AY40" s="920"/>
      <c r="AZ40" s="886"/>
      <c r="BA40" s="886"/>
      <c r="BB40" s="886"/>
      <c r="BC40" s="886"/>
      <c r="BD40" s="886"/>
      <c r="BE40" s="886"/>
      <c r="BF40" s="886"/>
      <c r="BG40" s="886"/>
      <c r="BH40" s="886"/>
      <c r="BI40" s="886"/>
      <c r="BJ40" s="921"/>
      <c r="BK40" s="920"/>
      <c r="BL40" s="886"/>
      <c r="BM40" s="886"/>
      <c r="BN40" s="886"/>
      <c r="BO40" s="886"/>
      <c r="BP40" s="886"/>
      <c r="BQ40" s="886"/>
      <c r="BR40" s="886"/>
      <c r="BS40" s="886"/>
      <c r="BT40" s="886"/>
      <c r="BU40" s="886"/>
      <c r="BV40" s="921"/>
      <c r="BW40" s="893"/>
      <c r="BX40" s="896"/>
      <c r="BY40" s="896"/>
      <c r="BZ40" s="896"/>
      <c r="CA40" s="896"/>
      <c r="CB40" s="896"/>
      <c r="CC40" s="896"/>
    </row>
    <row r="41" spans="1:89" s="4" customFormat="1">
      <c r="A41" s="6" t="s">
        <v>8508</v>
      </c>
      <c r="B41" s="108"/>
      <c r="C41" s="897">
        <f>'Resource Costs'!CC257</f>
        <v>0</v>
      </c>
      <c r="D41" s="891">
        <f>'Resource Costs'!CD257</f>
        <v>0</v>
      </c>
      <c r="E41" s="891">
        <f>'Resource Costs'!CE257</f>
        <v>0</v>
      </c>
      <c r="F41" s="891">
        <f>'Resource Costs'!CF257</f>
        <v>24400</v>
      </c>
      <c r="G41" s="891">
        <f>'Resource Costs'!CG257</f>
        <v>24400</v>
      </c>
      <c r="H41" s="891">
        <f>'Resource Costs'!CH257</f>
        <v>24400</v>
      </c>
      <c r="I41" s="891">
        <f>'Resource Costs'!CI257</f>
        <v>24400</v>
      </c>
      <c r="J41" s="891">
        <f>'Resource Costs'!CJ257</f>
        <v>0</v>
      </c>
      <c r="K41" s="891">
        <f>'Resource Costs'!CK257</f>
        <v>0</v>
      </c>
      <c r="L41" s="891">
        <f>'Resource Costs'!CL257</f>
        <v>0</v>
      </c>
      <c r="M41" s="891">
        <f>'Resource Costs'!CM257</f>
        <v>0</v>
      </c>
      <c r="N41" s="889">
        <f>'Resource Costs'!CN257</f>
        <v>0</v>
      </c>
      <c r="O41" s="890">
        <f>'Resource Costs'!CO257</f>
        <v>0</v>
      </c>
      <c r="P41" s="891">
        <f>'Resource Costs'!CP257</f>
        <v>0</v>
      </c>
      <c r="Q41" s="891">
        <f>'Resource Costs'!CQ257</f>
        <v>0</v>
      </c>
      <c r="R41" s="891">
        <f>'Resource Costs'!CR257</f>
        <v>0</v>
      </c>
      <c r="S41" s="891">
        <f>'Resource Costs'!CS257</f>
        <v>0</v>
      </c>
      <c r="T41" s="891">
        <f>'Resource Costs'!CT257</f>
        <v>0</v>
      </c>
      <c r="U41" s="891">
        <f>'Resource Costs'!CU257</f>
        <v>0</v>
      </c>
      <c r="V41" s="891">
        <f>'Resource Costs'!CV257</f>
        <v>0</v>
      </c>
      <c r="W41" s="891">
        <f>'Resource Costs'!CW257</f>
        <v>0</v>
      </c>
      <c r="X41" s="891">
        <f>'Resource Costs'!CX257</f>
        <v>0</v>
      </c>
      <c r="Y41" s="891">
        <f>'Resource Costs'!CY257</f>
        <v>0</v>
      </c>
      <c r="Z41" s="892">
        <f>'Resource Costs'!CZ257</f>
        <v>0</v>
      </c>
      <c r="AA41" s="890">
        <f>'Resource Costs'!DA257</f>
        <v>0</v>
      </c>
      <c r="AB41" s="891">
        <f>'Resource Costs'!DB257</f>
        <v>0</v>
      </c>
      <c r="AC41" s="891">
        <f>'Resource Costs'!DC257</f>
        <v>0</v>
      </c>
      <c r="AD41" s="891">
        <f>'Resource Costs'!DD257</f>
        <v>0</v>
      </c>
      <c r="AE41" s="891">
        <f>'Resource Costs'!DE257</f>
        <v>0</v>
      </c>
      <c r="AF41" s="891">
        <f>'Resource Costs'!DF257</f>
        <v>0</v>
      </c>
      <c r="AG41" s="891">
        <f>'Resource Costs'!DG257</f>
        <v>0</v>
      </c>
      <c r="AH41" s="891">
        <f>'Resource Costs'!DH257</f>
        <v>0</v>
      </c>
      <c r="AI41" s="891">
        <f>'Resource Costs'!DI257</f>
        <v>0</v>
      </c>
      <c r="AJ41" s="891">
        <f>'Resource Costs'!DJ257</f>
        <v>0</v>
      </c>
      <c r="AK41" s="891">
        <f>'Resource Costs'!DK257</f>
        <v>0</v>
      </c>
      <c r="AL41" s="892">
        <f>'Resource Costs'!DL257</f>
        <v>0</v>
      </c>
      <c r="AM41" s="890">
        <f>'Resource Costs'!DM257</f>
        <v>0</v>
      </c>
      <c r="AN41" s="891">
        <f>'Resource Costs'!DN257</f>
        <v>0</v>
      </c>
      <c r="AO41" s="891">
        <f>'Resource Costs'!DO257</f>
        <v>0</v>
      </c>
      <c r="AP41" s="891">
        <f>'Resource Costs'!DP257</f>
        <v>0</v>
      </c>
      <c r="AQ41" s="891">
        <f>'Resource Costs'!DQ257</f>
        <v>0</v>
      </c>
      <c r="AR41" s="891">
        <f>'Resource Costs'!DR257</f>
        <v>0</v>
      </c>
      <c r="AS41" s="891">
        <f>'Resource Costs'!DS257</f>
        <v>0</v>
      </c>
      <c r="AT41" s="891">
        <f>'Resource Costs'!DT257</f>
        <v>0</v>
      </c>
      <c r="AU41" s="891">
        <f>'Resource Costs'!DU257</f>
        <v>0</v>
      </c>
      <c r="AV41" s="891">
        <f>'Resource Costs'!DV257</f>
        <v>0</v>
      </c>
      <c r="AW41" s="891">
        <f>'Resource Costs'!DW257</f>
        <v>0</v>
      </c>
      <c r="AX41" s="892">
        <f>'Resource Costs'!DX257</f>
        <v>0</v>
      </c>
      <c r="AY41" s="890">
        <f>'Resource Costs'!DY257</f>
        <v>0</v>
      </c>
      <c r="AZ41" s="891">
        <f>'Resource Costs'!DZ257</f>
        <v>0</v>
      </c>
      <c r="BA41" s="891">
        <f>'Resource Costs'!EA257</f>
        <v>0</v>
      </c>
      <c r="BB41" s="891">
        <f>'Resource Costs'!EB257</f>
        <v>0</v>
      </c>
      <c r="BC41" s="891">
        <f>'Resource Costs'!EC257</f>
        <v>0</v>
      </c>
      <c r="BD41" s="891">
        <f>'Resource Costs'!ED257</f>
        <v>0</v>
      </c>
      <c r="BE41" s="891">
        <f>'Resource Costs'!EE257</f>
        <v>0</v>
      </c>
      <c r="BF41" s="891">
        <f>'Resource Costs'!EF257</f>
        <v>0</v>
      </c>
      <c r="BG41" s="891">
        <f>'Resource Costs'!EG257</f>
        <v>0</v>
      </c>
      <c r="BH41" s="891">
        <f>'Resource Costs'!EH257</f>
        <v>0</v>
      </c>
      <c r="BI41" s="891">
        <f>'Resource Costs'!EI257</f>
        <v>0</v>
      </c>
      <c r="BJ41" s="892">
        <f>'Resource Costs'!EJ257</f>
        <v>0</v>
      </c>
      <c r="BK41" s="890">
        <f>'Resource Costs'!EK257</f>
        <v>0</v>
      </c>
      <c r="BL41" s="891">
        <f>'Resource Costs'!EL257</f>
        <v>0</v>
      </c>
      <c r="BM41" s="891">
        <f>'Resource Costs'!EM257</f>
        <v>0</v>
      </c>
      <c r="BN41" s="891">
        <f>'Resource Costs'!EN257</f>
        <v>0</v>
      </c>
      <c r="BO41" s="891">
        <f>'Resource Costs'!EO257</f>
        <v>0</v>
      </c>
      <c r="BP41" s="891">
        <f>'Resource Costs'!EP257</f>
        <v>0</v>
      </c>
      <c r="BQ41" s="891">
        <f>'Resource Costs'!EQ257</f>
        <v>0</v>
      </c>
      <c r="BR41" s="891">
        <f>'Resource Costs'!ER257</f>
        <v>0</v>
      </c>
      <c r="BS41" s="891">
        <f>'Resource Costs'!ES257</f>
        <v>0</v>
      </c>
      <c r="BT41" s="891">
        <f>'Resource Costs'!ET257</f>
        <v>0</v>
      </c>
      <c r="BU41" s="891">
        <f>'Resource Costs'!EU257</f>
        <v>0</v>
      </c>
      <c r="BV41" s="892">
        <f>'Resource Costs'!EV257</f>
        <v>0</v>
      </c>
      <c r="BW41" s="893">
        <f t="shared" ref="BW41:BW47" si="5">SUMIFS(C41:BV41,$C$74:$BV$74,"")</f>
        <v>97600</v>
      </c>
      <c r="BX41" s="894">
        <f>SUM(SUMIFS(C41:N41,$C$2:$N$2,{"Dev","Impl","PIS","Close"},$C$74:$N$74,""))</f>
        <v>24400</v>
      </c>
      <c r="BY41" s="894">
        <f>SUM(SUMIFS(O41:Z41,$O$2:$Z$2,{"Dev","Impl","PIS","Close"},$O$74:$Z$74,""))</f>
        <v>0</v>
      </c>
      <c r="BZ41" s="894">
        <f>SUM(SUMIFS(AA41:AL41,$AA$2:$AL$2,{"Dev","Impl","PIS","Close"},$AA$74:$AL$74,""))</f>
        <v>0</v>
      </c>
      <c r="CA41" s="894">
        <f>SUM(SUMIFS(AM41:AX41,$AM$2:$AX$2,{"Dev","Impl","PIS","Close"},$AM$74:$AX$74,""))</f>
        <v>0</v>
      </c>
      <c r="CB41" s="894">
        <f>SUM(SUMIFS(AY41:BJ41,$AY$2:$BJ$2,{"Dev","Impl","PIS","Close"},$AY$74:$BJ$74,""))</f>
        <v>0</v>
      </c>
      <c r="CC41" s="894">
        <f>SUM(SUMIFS(BK41:BV41,$BK$2:$BV$2,{"Dev","Impl","PIS","Close"},$BK$74:$BV$74,""))</f>
        <v>0</v>
      </c>
      <c r="CE41" s="528" t="s">
        <v>400</v>
      </c>
      <c r="CF41" s="528"/>
      <c r="CG41" s="528"/>
      <c r="CH41" s="528"/>
      <c r="CI41" s="528" t="s">
        <v>401</v>
      </c>
      <c r="CJ41" s="528"/>
      <c r="CK41" s="528"/>
    </row>
    <row r="42" spans="1:89" s="4" customFormat="1">
      <c r="A42" s="6" t="s">
        <v>217</v>
      </c>
      <c r="B42" s="108"/>
      <c r="C42" s="897">
        <f>'Resource Costs'!CC260</f>
        <v>0</v>
      </c>
      <c r="D42" s="891">
        <f>'Resource Costs'!CD260</f>
        <v>0</v>
      </c>
      <c r="E42" s="891">
        <f>'Resource Costs'!CE260</f>
        <v>0</v>
      </c>
      <c r="F42" s="891">
        <f>'Resource Costs'!CF260</f>
        <v>0</v>
      </c>
      <c r="G42" s="891">
        <f>'Resource Costs'!CG260</f>
        <v>0</v>
      </c>
      <c r="H42" s="891">
        <f>'Resource Costs'!CH260</f>
        <v>0</v>
      </c>
      <c r="I42" s="891">
        <f>'Resource Costs'!CI260</f>
        <v>0</v>
      </c>
      <c r="J42" s="891">
        <f>'Resource Costs'!CJ260</f>
        <v>0</v>
      </c>
      <c r="K42" s="891">
        <f>'Resource Costs'!CK260</f>
        <v>0</v>
      </c>
      <c r="L42" s="891">
        <f>'Resource Costs'!CL260</f>
        <v>0</v>
      </c>
      <c r="M42" s="891">
        <f>'Resource Costs'!CM260</f>
        <v>0</v>
      </c>
      <c r="N42" s="889">
        <f>'Resource Costs'!CN260</f>
        <v>0</v>
      </c>
      <c r="O42" s="890">
        <f>'Resource Costs'!CO260</f>
        <v>0</v>
      </c>
      <c r="P42" s="891">
        <f>'Resource Costs'!CP260</f>
        <v>0</v>
      </c>
      <c r="Q42" s="891">
        <f>'Resource Costs'!CQ260</f>
        <v>0</v>
      </c>
      <c r="R42" s="891">
        <f>'Resource Costs'!CR260</f>
        <v>0</v>
      </c>
      <c r="S42" s="891">
        <f>'Resource Costs'!CS260</f>
        <v>0</v>
      </c>
      <c r="T42" s="891">
        <f>'Resource Costs'!CT260</f>
        <v>0</v>
      </c>
      <c r="U42" s="891">
        <f>'Resource Costs'!CU260</f>
        <v>0</v>
      </c>
      <c r="V42" s="891">
        <f>'Resource Costs'!CV260</f>
        <v>0</v>
      </c>
      <c r="W42" s="891">
        <f>'Resource Costs'!CW260</f>
        <v>0</v>
      </c>
      <c r="X42" s="891">
        <f>'Resource Costs'!CX260</f>
        <v>0</v>
      </c>
      <c r="Y42" s="891">
        <f>'Resource Costs'!CY260</f>
        <v>0</v>
      </c>
      <c r="Z42" s="892">
        <f>'Resource Costs'!CZ260</f>
        <v>0</v>
      </c>
      <c r="AA42" s="890">
        <f>'Resource Costs'!DA260</f>
        <v>0</v>
      </c>
      <c r="AB42" s="891">
        <f>'Resource Costs'!DB260</f>
        <v>0</v>
      </c>
      <c r="AC42" s="891">
        <f>'Resource Costs'!DC260</f>
        <v>0</v>
      </c>
      <c r="AD42" s="891">
        <f>'Resource Costs'!DD260</f>
        <v>0</v>
      </c>
      <c r="AE42" s="891">
        <f>'Resource Costs'!DE260</f>
        <v>0</v>
      </c>
      <c r="AF42" s="891">
        <f>'Resource Costs'!DF260</f>
        <v>0</v>
      </c>
      <c r="AG42" s="891">
        <f>'Resource Costs'!DG260</f>
        <v>0</v>
      </c>
      <c r="AH42" s="891">
        <f>'Resource Costs'!DH260</f>
        <v>0</v>
      </c>
      <c r="AI42" s="891">
        <f>'Resource Costs'!DI260</f>
        <v>0</v>
      </c>
      <c r="AJ42" s="891">
        <f>'Resource Costs'!DJ260</f>
        <v>0</v>
      </c>
      <c r="AK42" s="891">
        <f>'Resource Costs'!DK260</f>
        <v>0</v>
      </c>
      <c r="AL42" s="892">
        <f>'Resource Costs'!DL260</f>
        <v>0</v>
      </c>
      <c r="AM42" s="890">
        <f>'Resource Costs'!DM260</f>
        <v>0</v>
      </c>
      <c r="AN42" s="891">
        <f>'Resource Costs'!DN260</f>
        <v>0</v>
      </c>
      <c r="AO42" s="891">
        <f>'Resource Costs'!DO260</f>
        <v>0</v>
      </c>
      <c r="AP42" s="891">
        <f>'Resource Costs'!DP260</f>
        <v>0</v>
      </c>
      <c r="AQ42" s="891">
        <f>'Resource Costs'!DQ260</f>
        <v>0</v>
      </c>
      <c r="AR42" s="891">
        <f>'Resource Costs'!DR260</f>
        <v>0</v>
      </c>
      <c r="AS42" s="891">
        <f>'Resource Costs'!DS260</f>
        <v>0</v>
      </c>
      <c r="AT42" s="891">
        <f>'Resource Costs'!DT260</f>
        <v>0</v>
      </c>
      <c r="AU42" s="891">
        <f>'Resource Costs'!DU260</f>
        <v>0</v>
      </c>
      <c r="AV42" s="891">
        <f>'Resource Costs'!DV260</f>
        <v>0</v>
      </c>
      <c r="AW42" s="891">
        <f>'Resource Costs'!DW260</f>
        <v>0</v>
      </c>
      <c r="AX42" s="892">
        <f>'Resource Costs'!DX260</f>
        <v>0</v>
      </c>
      <c r="AY42" s="890">
        <f>'Resource Costs'!DY260</f>
        <v>0</v>
      </c>
      <c r="AZ42" s="891">
        <f>'Resource Costs'!DZ260</f>
        <v>0</v>
      </c>
      <c r="BA42" s="891">
        <f>'Resource Costs'!EA260</f>
        <v>0</v>
      </c>
      <c r="BB42" s="891">
        <f>'Resource Costs'!EB260</f>
        <v>0</v>
      </c>
      <c r="BC42" s="891">
        <f>'Resource Costs'!EC260</f>
        <v>0</v>
      </c>
      <c r="BD42" s="891">
        <f>'Resource Costs'!ED260</f>
        <v>0</v>
      </c>
      <c r="BE42" s="891">
        <f>'Resource Costs'!EE260</f>
        <v>0</v>
      </c>
      <c r="BF42" s="891">
        <f>'Resource Costs'!EF260</f>
        <v>0</v>
      </c>
      <c r="BG42" s="891">
        <f>'Resource Costs'!EG260</f>
        <v>0</v>
      </c>
      <c r="BH42" s="891">
        <f>'Resource Costs'!EH260</f>
        <v>0</v>
      </c>
      <c r="BI42" s="891">
        <f>'Resource Costs'!EI260</f>
        <v>0</v>
      </c>
      <c r="BJ42" s="892">
        <f>'Resource Costs'!EJ260</f>
        <v>0</v>
      </c>
      <c r="BK42" s="890">
        <f>'Resource Costs'!EK260</f>
        <v>0</v>
      </c>
      <c r="BL42" s="891">
        <f>'Resource Costs'!EL260</f>
        <v>0</v>
      </c>
      <c r="BM42" s="891">
        <f>'Resource Costs'!EM260</f>
        <v>0</v>
      </c>
      <c r="BN42" s="891">
        <f>'Resource Costs'!EN260</f>
        <v>0</v>
      </c>
      <c r="BO42" s="891">
        <f>'Resource Costs'!EO260</f>
        <v>0</v>
      </c>
      <c r="BP42" s="891">
        <f>'Resource Costs'!EP260</f>
        <v>0</v>
      </c>
      <c r="BQ42" s="891">
        <f>'Resource Costs'!EQ260</f>
        <v>0</v>
      </c>
      <c r="BR42" s="891">
        <f>'Resource Costs'!ER260</f>
        <v>0</v>
      </c>
      <c r="BS42" s="891">
        <f>'Resource Costs'!ES260</f>
        <v>0</v>
      </c>
      <c r="BT42" s="891">
        <f>'Resource Costs'!ET260</f>
        <v>0</v>
      </c>
      <c r="BU42" s="891">
        <f>'Resource Costs'!EU260</f>
        <v>0</v>
      </c>
      <c r="BV42" s="892">
        <f>'Resource Costs'!EV260</f>
        <v>0</v>
      </c>
      <c r="BW42" s="893">
        <f t="shared" si="5"/>
        <v>0</v>
      </c>
      <c r="BX42" s="894">
        <f>SUM(SUMIFS(C42:N42,$C$2:$N$2,{"Dev","Impl","PIS","Close"},$C$74:$N$74,""))</f>
        <v>0</v>
      </c>
      <c r="BY42" s="894">
        <f>SUM(SUMIFS(O42:Z42,$O$2:$Z$2,{"Dev","Impl","PIS","Close"},$O$74:$Z$74,""))</f>
        <v>0</v>
      </c>
      <c r="BZ42" s="894">
        <f>SUM(SUMIFS(AA42:AL42,$AA$2:$AL$2,{"Dev","Impl","PIS","Close"},$AA$74:$AL$74,""))</f>
        <v>0</v>
      </c>
      <c r="CA42" s="894">
        <f>SUM(SUMIFS(AM42:AX42,$AM$2:$AX$2,{"Dev","Impl","PIS","Close"},$AM$74:$AX$74,""))</f>
        <v>0</v>
      </c>
      <c r="CB42" s="894">
        <f>SUM(SUMIFS(AY42:BJ42,$AY$2:$BJ$2,{"Dev","Impl","PIS","Close"},$AY$74:$BJ$74,""))</f>
        <v>0</v>
      </c>
      <c r="CC42" s="894">
        <f>SUM(SUMIFS(BK42:BV42,$BK$2:$BV$2,{"Dev","Impl","PIS","Close"},$BK$74:$BV$74,""))</f>
        <v>0</v>
      </c>
      <c r="CE42" s="528" t="s">
        <v>399</v>
      </c>
      <c r="CF42" s="528"/>
      <c r="CG42" s="528"/>
      <c r="CH42" s="528"/>
      <c r="CI42" s="528"/>
      <c r="CJ42" s="528"/>
      <c r="CK42" s="528"/>
    </row>
    <row r="43" spans="1:89" s="4" customFormat="1">
      <c r="A43" s="6" t="s">
        <v>218</v>
      </c>
      <c r="B43" s="108"/>
      <c r="C43" s="897">
        <f>'Resource Costs'!CC263</f>
        <v>0</v>
      </c>
      <c r="D43" s="891">
        <f>'Resource Costs'!CD263</f>
        <v>0</v>
      </c>
      <c r="E43" s="891">
        <f>'Resource Costs'!CE263</f>
        <v>0</v>
      </c>
      <c r="F43" s="891">
        <f>'Resource Costs'!CF263</f>
        <v>0</v>
      </c>
      <c r="G43" s="891">
        <f>'Resource Costs'!CG263</f>
        <v>0</v>
      </c>
      <c r="H43" s="891">
        <f>'Resource Costs'!CH263</f>
        <v>0</v>
      </c>
      <c r="I43" s="891">
        <f>'Resource Costs'!CI263</f>
        <v>0</v>
      </c>
      <c r="J43" s="891">
        <f>'Resource Costs'!CJ263</f>
        <v>0</v>
      </c>
      <c r="K43" s="891">
        <f>'Resource Costs'!CK263</f>
        <v>0</v>
      </c>
      <c r="L43" s="891">
        <f>'Resource Costs'!CL263</f>
        <v>0</v>
      </c>
      <c r="M43" s="891">
        <f>'Resource Costs'!CM263</f>
        <v>0</v>
      </c>
      <c r="N43" s="889">
        <f>'Resource Costs'!CN263</f>
        <v>0</v>
      </c>
      <c r="O43" s="890">
        <f>'Resource Costs'!CO263</f>
        <v>0</v>
      </c>
      <c r="P43" s="891">
        <f>'Resource Costs'!CP263</f>
        <v>0</v>
      </c>
      <c r="Q43" s="891">
        <f>'Resource Costs'!CQ263</f>
        <v>0</v>
      </c>
      <c r="R43" s="891">
        <f>'Resource Costs'!CR263</f>
        <v>0</v>
      </c>
      <c r="S43" s="891">
        <f>'Resource Costs'!CS263</f>
        <v>0</v>
      </c>
      <c r="T43" s="891">
        <f>'Resource Costs'!CT263</f>
        <v>0</v>
      </c>
      <c r="U43" s="891">
        <f>'Resource Costs'!CU263</f>
        <v>0</v>
      </c>
      <c r="V43" s="891">
        <f>'Resource Costs'!CV263</f>
        <v>0</v>
      </c>
      <c r="W43" s="891">
        <f>'Resource Costs'!CW263</f>
        <v>0</v>
      </c>
      <c r="X43" s="891">
        <f>'Resource Costs'!CX263</f>
        <v>0</v>
      </c>
      <c r="Y43" s="891">
        <f>'Resource Costs'!CY263</f>
        <v>0</v>
      </c>
      <c r="Z43" s="892">
        <f>'Resource Costs'!CZ263</f>
        <v>0</v>
      </c>
      <c r="AA43" s="890">
        <f>'Resource Costs'!DA263</f>
        <v>0</v>
      </c>
      <c r="AB43" s="891">
        <f>'Resource Costs'!DB263</f>
        <v>0</v>
      </c>
      <c r="AC43" s="891">
        <f>'Resource Costs'!DC263</f>
        <v>0</v>
      </c>
      <c r="AD43" s="891">
        <f>'Resource Costs'!DD263</f>
        <v>0</v>
      </c>
      <c r="AE43" s="891">
        <f>'Resource Costs'!DE263</f>
        <v>0</v>
      </c>
      <c r="AF43" s="891">
        <f>'Resource Costs'!DF263</f>
        <v>0</v>
      </c>
      <c r="AG43" s="891">
        <f>'Resource Costs'!DG263</f>
        <v>0</v>
      </c>
      <c r="AH43" s="891">
        <f>'Resource Costs'!DH263</f>
        <v>0</v>
      </c>
      <c r="AI43" s="891">
        <f>'Resource Costs'!DI263</f>
        <v>0</v>
      </c>
      <c r="AJ43" s="891">
        <f>'Resource Costs'!DJ263</f>
        <v>0</v>
      </c>
      <c r="AK43" s="891">
        <f>'Resource Costs'!DK263</f>
        <v>0</v>
      </c>
      <c r="AL43" s="892">
        <f>'Resource Costs'!DL263</f>
        <v>0</v>
      </c>
      <c r="AM43" s="890">
        <f>'Resource Costs'!DM263</f>
        <v>0</v>
      </c>
      <c r="AN43" s="891">
        <f>'Resource Costs'!DN263</f>
        <v>0</v>
      </c>
      <c r="AO43" s="891">
        <f>'Resource Costs'!DO263</f>
        <v>0</v>
      </c>
      <c r="AP43" s="891">
        <f>'Resource Costs'!DP263</f>
        <v>0</v>
      </c>
      <c r="AQ43" s="891">
        <f>'Resource Costs'!DQ263</f>
        <v>0</v>
      </c>
      <c r="AR43" s="891">
        <f>'Resource Costs'!DR263</f>
        <v>0</v>
      </c>
      <c r="AS43" s="891">
        <f>'Resource Costs'!DS263</f>
        <v>0</v>
      </c>
      <c r="AT43" s="891">
        <f>'Resource Costs'!DT263</f>
        <v>0</v>
      </c>
      <c r="AU43" s="891">
        <f>'Resource Costs'!DU263</f>
        <v>0</v>
      </c>
      <c r="AV43" s="891">
        <f>'Resource Costs'!DV263</f>
        <v>0</v>
      </c>
      <c r="AW43" s="891">
        <f>'Resource Costs'!DW263</f>
        <v>0</v>
      </c>
      <c r="AX43" s="892">
        <f>'Resource Costs'!DX263</f>
        <v>0</v>
      </c>
      <c r="AY43" s="890">
        <f>'Resource Costs'!DY263</f>
        <v>0</v>
      </c>
      <c r="AZ43" s="891">
        <f>'Resource Costs'!DZ263</f>
        <v>0</v>
      </c>
      <c r="BA43" s="891">
        <f>'Resource Costs'!EA263</f>
        <v>0</v>
      </c>
      <c r="BB43" s="891">
        <f>'Resource Costs'!EB263</f>
        <v>0</v>
      </c>
      <c r="BC43" s="891">
        <f>'Resource Costs'!EC263</f>
        <v>0</v>
      </c>
      <c r="BD43" s="891">
        <f>'Resource Costs'!ED263</f>
        <v>0</v>
      </c>
      <c r="BE43" s="891">
        <f>'Resource Costs'!EE263</f>
        <v>0</v>
      </c>
      <c r="BF43" s="891">
        <f>'Resource Costs'!EF263</f>
        <v>0</v>
      </c>
      <c r="BG43" s="891">
        <f>'Resource Costs'!EG263</f>
        <v>0</v>
      </c>
      <c r="BH43" s="891">
        <f>'Resource Costs'!EH263</f>
        <v>0</v>
      </c>
      <c r="BI43" s="891">
        <f>'Resource Costs'!EI263</f>
        <v>0</v>
      </c>
      <c r="BJ43" s="892">
        <f>'Resource Costs'!EJ263</f>
        <v>0</v>
      </c>
      <c r="BK43" s="890">
        <f>'Resource Costs'!EK263</f>
        <v>0</v>
      </c>
      <c r="BL43" s="891">
        <f>'Resource Costs'!EL263</f>
        <v>0</v>
      </c>
      <c r="BM43" s="891">
        <f>'Resource Costs'!EM263</f>
        <v>0</v>
      </c>
      <c r="BN43" s="891">
        <f>'Resource Costs'!EN263</f>
        <v>0</v>
      </c>
      <c r="BO43" s="891">
        <f>'Resource Costs'!EO263</f>
        <v>0</v>
      </c>
      <c r="BP43" s="891">
        <f>'Resource Costs'!EP263</f>
        <v>0</v>
      </c>
      <c r="BQ43" s="891">
        <f>'Resource Costs'!EQ263</f>
        <v>0</v>
      </c>
      <c r="BR43" s="891">
        <f>'Resource Costs'!ER263</f>
        <v>0</v>
      </c>
      <c r="BS43" s="891">
        <f>'Resource Costs'!ES263</f>
        <v>0</v>
      </c>
      <c r="BT43" s="891">
        <f>'Resource Costs'!ET263</f>
        <v>0</v>
      </c>
      <c r="BU43" s="891">
        <f>'Resource Costs'!EU263</f>
        <v>0</v>
      </c>
      <c r="BV43" s="892">
        <f>'Resource Costs'!EV263</f>
        <v>0</v>
      </c>
      <c r="BW43" s="893">
        <f t="shared" si="5"/>
        <v>0</v>
      </c>
      <c r="BX43" s="894">
        <f>SUM(SUMIFS(C43:N43,$C$2:$N$2,{"Dev","Impl","PIS","Close"},$C$74:$N$74,""))</f>
        <v>0</v>
      </c>
      <c r="BY43" s="894">
        <f>SUM(SUMIFS(O43:Z43,$O$2:$Z$2,{"Dev","Impl","PIS","Close"},$O$74:$Z$74,""))</f>
        <v>0</v>
      </c>
      <c r="BZ43" s="894">
        <f>SUM(SUMIFS(AA43:AL43,$AA$2:$AL$2,{"Dev","Impl","PIS","Close"},$AA$74:$AL$74,""))</f>
        <v>0</v>
      </c>
      <c r="CA43" s="894">
        <f>SUM(SUMIFS(AM43:AX43,$AM$2:$AX$2,{"Dev","Impl","PIS","Close"},$AM$74:$AX$74,""))</f>
        <v>0</v>
      </c>
      <c r="CB43" s="894">
        <f>SUM(SUMIFS(AY43:BJ43,$AY$2:$BJ$2,{"Dev","Impl","PIS","Close"},$AY$74:$BJ$74,""))</f>
        <v>0</v>
      </c>
      <c r="CC43" s="894">
        <f>SUM(SUMIFS(BK43:BV43,$BK$2:$BV$2,{"Dev","Impl","PIS","Close"},$BK$74:$BV$74,""))</f>
        <v>0</v>
      </c>
    </row>
    <row r="44" spans="1:89" s="4" customFormat="1">
      <c r="A44" s="6" t="s">
        <v>15333</v>
      </c>
      <c r="B44" s="108"/>
      <c r="C44" s="897">
        <f>'Resource Costs'!CC266</f>
        <v>0</v>
      </c>
      <c r="D44" s="891">
        <f>'Resource Costs'!CD266</f>
        <v>0</v>
      </c>
      <c r="E44" s="891">
        <f>'Resource Costs'!CE266</f>
        <v>0</v>
      </c>
      <c r="F44" s="891">
        <f>'Resource Costs'!CF266</f>
        <v>0</v>
      </c>
      <c r="G44" s="891">
        <f>'Resource Costs'!CG266</f>
        <v>0</v>
      </c>
      <c r="H44" s="891">
        <f>'Resource Costs'!CH266</f>
        <v>0</v>
      </c>
      <c r="I44" s="891">
        <f>'Resource Costs'!CI266</f>
        <v>0</v>
      </c>
      <c r="J44" s="891">
        <f>'Resource Costs'!CJ266</f>
        <v>0</v>
      </c>
      <c r="K44" s="891">
        <f>'Resource Costs'!CK266</f>
        <v>0</v>
      </c>
      <c r="L44" s="891">
        <f>'Resource Costs'!CL266</f>
        <v>0</v>
      </c>
      <c r="M44" s="891">
        <f>'Resource Costs'!CM266</f>
        <v>0</v>
      </c>
      <c r="N44" s="889">
        <f>'Resource Costs'!CN266</f>
        <v>0</v>
      </c>
      <c r="O44" s="890">
        <f>'Resource Costs'!CO266</f>
        <v>0</v>
      </c>
      <c r="P44" s="891">
        <f>'Resource Costs'!CP266</f>
        <v>0</v>
      </c>
      <c r="Q44" s="891">
        <f>'Resource Costs'!CQ266</f>
        <v>0</v>
      </c>
      <c r="R44" s="891">
        <f>'Resource Costs'!CR266</f>
        <v>0</v>
      </c>
      <c r="S44" s="891">
        <f>'Resource Costs'!CS266</f>
        <v>0</v>
      </c>
      <c r="T44" s="891">
        <f>'Resource Costs'!CT266</f>
        <v>0</v>
      </c>
      <c r="U44" s="891">
        <f>'Resource Costs'!CU266</f>
        <v>0</v>
      </c>
      <c r="V44" s="891">
        <f>'Resource Costs'!CV266</f>
        <v>0</v>
      </c>
      <c r="W44" s="891">
        <f>'Resource Costs'!CW266</f>
        <v>0</v>
      </c>
      <c r="X44" s="891">
        <f>'Resource Costs'!CX266</f>
        <v>0</v>
      </c>
      <c r="Y44" s="891">
        <f>'Resource Costs'!CY266</f>
        <v>0</v>
      </c>
      <c r="Z44" s="892">
        <f>'Resource Costs'!CZ266</f>
        <v>0</v>
      </c>
      <c r="AA44" s="890">
        <f>'Resource Costs'!DA266</f>
        <v>0</v>
      </c>
      <c r="AB44" s="891">
        <f>'Resource Costs'!DB266</f>
        <v>0</v>
      </c>
      <c r="AC44" s="891">
        <f>'Resource Costs'!DC266</f>
        <v>0</v>
      </c>
      <c r="AD44" s="891">
        <f>'Resource Costs'!DD266</f>
        <v>0</v>
      </c>
      <c r="AE44" s="891">
        <f>'Resource Costs'!DE266</f>
        <v>0</v>
      </c>
      <c r="AF44" s="891">
        <f>'Resource Costs'!DF266</f>
        <v>0</v>
      </c>
      <c r="AG44" s="891">
        <f>'Resource Costs'!DG266</f>
        <v>0</v>
      </c>
      <c r="AH44" s="891">
        <f>'Resource Costs'!DH266</f>
        <v>0</v>
      </c>
      <c r="AI44" s="891">
        <f>'Resource Costs'!DI266</f>
        <v>0</v>
      </c>
      <c r="AJ44" s="891">
        <f>'Resource Costs'!DJ266</f>
        <v>0</v>
      </c>
      <c r="AK44" s="891">
        <f>'Resource Costs'!DK266</f>
        <v>0</v>
      </c>
      <c r="AL44" s="892">
        <f>'Resource Costs'!DL266</f>
        <v>0</v>
      </c>
      <c r="AM44" s="890">
        <f>'Resource Costs'!DM266</f>
        <v>0</v>
      </c>
      <c r="AN44" s="891">
        <f>'Resource Costs'!DN266</f>
        <v>0</v>
      </c>
      <c r="AO44" s="891">
        <f>'Resource Costs'!DO266</f>
        <v>0</v>
      </c>
      <c r="AP44" s="891">
        <f>'Resource Costs'!DP266</f>
        <v>0</v>
      </c>
      <c r="AQ44" s="891">
        <f>'Resource Costs'!DQ266</f>
        <v>0</v>
      </c>
      <c r="AR44" s="891">
        <f>'Resource Costs'!DR266</f>
        <v>0</v>
      </c>
      <c r="AS44" s="891">
        <f>'Resource Costs'!DS266</f>
        <v>0</v>
      </c>
      <c r="AT44" s="891">
        <f>'Resource Costs'!DT266</f>
        <v>0</v>
      </c>
      <c r="AU44" s="891">
        <f>'Resource Costs'!DU266</f>
        <v>0</v>
      </c>
      <c r="AV44" s="891">
        <f>'Resource Costs'!DV266</f>
        <v>0</v>
      </c>
      <c r="AW44" s="891">
        <f>'Resource Costs'!DW266</f>
        <v>0</v>
      </c>
      <c r="AX44" s="892">
        <f>'Resource Costs'!DX266</f>
        <v>0</v>
      </c>
      <c r="AY44" s="890">
        <f>'Resource Costs'!DY266</f>
        <v>0</v>
      </c>
      <c r="AZ44" s="891">
        <f>'Resource Costs'!DZ266</f>
        <v>0</v>
      </c>
      <c r="BA44" s="891">
        <f>'Resource Costs'!EA266</f>
        <v>0</v>
      </c>
      <c r="BB44" s="891">
        <f>'Resource Costs'!EB266</f>
        <v>0</v>
      </c>
      <c r="BC44" s="891">
        <f>'Resource Costs'!EC266</f>
        <v>0</v>
      </c>
      <c r="BD44" s="891">
        <f>'Resource Costs'!ED266</f>
        <v>0</v>
      </c>
      <c r="BE44" s="891">
        <f>'Resource Costs'!EE266</f>
        <v>0</v>
      </c>
      <c r="BF44" s="891">
        <f>'Resource Costs'!EF266</f>
        <v>0</v>
      </c>
      <c r="BG44" s="891">
        <f>'Resource Costs'!EG266</f>
        <v>0</v>
      </c>
      <c r="BH44" s="891">
        <f>'Resource Costs'!EH266</f>
        <v>0</v>
      </c>
      <c r="BI44" s="891">
        <f>'Resource Costs'!EI266</f>
        <v>0</v>
      </c>
      <c r="BJ44" s="892">
        <f>'Resource Costs'!EJ266</f>
        <v>0</v>
      </c>
      <c r="BK44" s="890">
        <f>'Resource Costs'!EK266</f>
        <v>0</v>
      </c>
      <c r="BL44" s="891">
        <f>'Resource Costs'!EL266</f>
        <v>0</v>
      </c>
      <c r="BM44" s="891">
        <f>'Resource Costs'!EM266</f>
        <v>0</v>
      </c>
      <c r="BN44" s="891">
        <f>'Resource Costs'!EN266</f>
        <v>0</v>
      </c>
      <c r="BO44" s="891">
        <f>'Resource Costs'!EO266</f>
        <v>0</v>
      </c>
      <c r="BP44" s="891">
        <f>'Resource Costs'!EP266</f>
        <v>0</v>
      </c>
      <c r="BQ44" s="891">
        <f>'Resource Costs'!EQ266</f>
        <v>0</v>
      </c>
      <c r="BR44" s="891">
        <f>'Resource Costs'!ER266</f>
        <v>0</v>
      </c>
      <c r="BS44" s="891">
        <f>'Resource Costs'!ES266</f>
        <v>0</v>
      </c>
      <c r="BT44" s="891">
        <f>'Resource Costs'!ET266</f>
        <v>0</v>
      </c>
      <c r="BU44" s="891">
        <f>'Resource Costs'!EU266</f>
        <v>0</v>
      </c>
      <c r="BV44" s="892">
        <f>'Resource Costs'!EV266</f>
        <v>0</v>
      </c>
      <c r="BW44" s="893">
        <f t="shared" si="5"/>
        <v>0</v>
      </c>
      <c r="BX44" s="894">
        <f>SUM(SUMIFS(C44:N44,$C$2:$N$2,{"Dev","Impl","PIS","Close"},$C$74:$N$74,""))</f>
        <v>0</v>
      </c>
      <c r="BY44" s="894">
        <f>SUM(SUMIFS(O44:Z44,$O$2:$Z$2,{"Dev","Impl","PIS","Close"},$O$74:$Z$74,""))</f>
        <v>0</v>
      </c>
      <c r="BZ44" s="894">
        <f>SUM(SUMIFS(AA44:AL44,$AA$2:$AL$2,{"Dev","Impl","PIS","Close"},$AA$74:$AL$74,""))</f>
        <v>0</v>
      </c>
      <c r="CA44" s="894">
        <f>SUM(SUMIFS(AM44:AX44,$AM$2:$AX$2,{"Dev","Impl","PIS","Close"},$AM$74:$AX$74,""))</f>
        <v>0</v>
      </c>
      <c r="CB44" s="894">
        <f>SUM(SUMIFS(AY44:BJ44,$AY$2:$BJ$2,{"Dev","Impl","PIS","Close"},$AY$74:$BJ$74,""))</f>
        <v>0</v>
      </c>
      <c r="CC44" s="894">
        <f>SUM(SUMIFS(BK44:BV44,$BK$2:$BV$2,{"Dev","Impl","PIS","Close"},$BK$74:$BV$74,""))</f>
        <v>0</v>
      </c>
    </row>
    <row r="45" spans="1:89" s="4" customFormat="1">
      <c r="A45" s="6" t="s">
        <v>219</v>
      </c>
      <c r="B45" s="108"/>
      <c r="C45" s="897">
        <f>'Resource Costs'!CC269</f>
        <v>0</v>
      </c>
      <c r="D45" s="891">
        <f>'Resource Costs'!CD269</f>
        <v>0</v>
      </c>
      <c r="E45" s="891">
        <f>'Resource Costs'!CE269</f>
        <v>0</v>
      </c>
      <c r="F45" s="891">
        <f>'Resource Costs'!CF269</f>
        <v>0</v>
      </c>
      <c r="G45" s="891">
        <f>'Resource Costs'!CG269</f>
        <v>0</v>
      </c>
      <c r="H45" s="891">
        <f>'Resource Costs'!CH269</f>
        <v>0</v>
      </c>
      <c r="I45" s="891">
        <f>'Resource Costs'!CI269</f>
        <v>0</v>
      </c>
      <c r="J45" s="891">
        <f>'Resource Costs'!CJ269</f>
        <v>0</v>
      </c>
      <c r="K45" s="891">
        <f>'Resource Costs'!CK269</f>
        <v>0</v>
      </c>
      <c r="L45" s="891">
        <f>'Resource Costs'!CL269</f>
        <v>0</v>
      </c>
      <c r="M45" s="891">
        <f>'Resource Costs'!CM269</f>
        <v>0</v>
      </c>
      <c r="N45" s="889">
        <f>'Resource Costs'!CN269</f>
        <v>0</v>
      </c>
      <c r="O45" s="890">
        <f>'Resource Costs'!CO269</f>
        <v>0</v>
      </c>
      <c r="P45" s="891">
        <f>'Resource Costs'!CP269</f>
        <v>0</v>
      </c>
      <c r="Q45" s="891">
        <f>'Resource Costs'!CQ269</f>
        <v>0</v>
      </c>
      <c r="R45" s="891">
        <f>'Resource Costs'!CR269</f>
        <v>0</v>
      </c>
      <c r="S45" s="891">
        <f>'Resource Costs'!CS269</f>
        <v>0</v>
      </c>
      <c r="T45" s="891">
        <f>'Resource Costs'!CT269</f>
        <v>0</v>
      </c>
      <c r="U45" s="891">
        <f>'Resource Costs'!CU269</f>
        <v>0</v>
      </c>
      <c r="V45" s="891">
        <f>'Resource Costs'!CV269</f>
        <v>0</v>
      </c>
      <c r="W45" s="891">
        <f>'Resource Costs'!CW269</f>
        <v>0</v>
      </c>
      <c r="X45" s="891">
        <f>'Resource Costs'!CX269</f>
        <v>0</v>
      </c>
      <c r="Y45" s="891">
        <f>'Resource Costs'!CY269</f>
        <v>0</v>
      </c>
      <c r="Z45" s="892">
        <f>'Resource Costs'!CZ269</f>
        <v>0</v>
      </c>
      <c r="AA45" s="890">
        <f>'Resource Costs'!DA269</f>
        <v>0</v>
      </c>
      <c r="AB45" s="891">
        <f>'Resource Costs'!DB269</f>
        <v>0</v>
      </c>
      <c r="AC45" s="891">
        <f>'Resource Costs'!DC269</f>
        <v>0</v>
      </c>
      <c r="AD45" s="891">
        <f>'Resource Costs'!DD269</f>
        <v>0</v>
      </c>
      <c r="AE45" s="891">
        <f>'Resource Costs'!DE269</f>
        <v>0</v>
      </c>
      <c r="AF45" s="891">
        <f>'Resource Costs'!DF269</f>
        <v>0</v>
      </c>
      <c r="AG45" s="891">
        <f>'Resource Costs'!DG269</f>
        <v>0</v>
      </c>
      <c r="AH45" s="891">
        <f>'Resource Costs'!DH269</f>
        <v>0</v>
      </c>
      <c r="AI45" s="891">
        <f>'Resource Costs'!DI269</f>
        <v>0</v>
      </c>
      <c r="AJ45" s="891">
        <f>'Resource Costs'!DJ269</f>
        <v>0</v>
      </c>
      <c r="AK45" s="891">
        <f>'Resource Costs'!DK269</f>
        <v>0</v>
      </c>
      <c r="AL45" s="892">
        <f>'Resource Costs'!DL269</f>
        <v>0</v>
      </c>
      <c r="AM45" s="890">
        <f>'Resource Costs'!DM269</f>
        <v>0</v>
      </c>
      <c r="AN45" s="891">
        <f>'Resource Costs'!DN269</f>
        <v>0</v>
      </c>
      <c r="AO45" s="891">
        <f>'Resource Costs'!DO269</f>
        <v>0</v>
      </c>
      <c r="AP45" s="891">
        <f>'Resource Costs'!DP269</f>
        <v>0</v>
      </c>
      <c r="AQ45" s="891">
        <f>'Resource Costs'!DQ269</f>
        <v>0</v>
      </c>
      <c r="AR45" s="891">
        <f>'Resource Costs'!DR269</f>
        <v>0</v>
      </c>
      <c r="AS45" s="891">
        <f>'Resource Costs'!DS269</f>
        <v>0</v>
      </c>
      <c r="AT45" s="891">
        <f>'Resource Costs'!DT269</f>
        <v>0</v>
      </c>
      <c r="AU45" s="891">
        <f>'Resource Costs'!DU269</f>
        <v>0</v>
      </c>
      <c r="AV45" s="891">
        <f>'Resource Costs'!DV269</f>
        <v>0</v>
      </c>
      <c r="AW45" s="891">
        <f>'Resource Costs'!DW269</f>
        <v>0</v>
      </c>
      <c r="AX45" s="892">
        <f>'Resource Costs'!DX269</f>
        <v>0</v>
      </c>
      <c r="AY45" s="890">
        <f>'Resource Costs'!DY269</f>
        <v>0</v>
      </c>
      <c r="AZ45" s="891">
        <f>'Resource Costs'!DZ269</f>
        <v>0</v>
      </c>
      <c r="BA45" s="891">
        <f>'Resource Costs'!EA269</f>
        <v>0</v>
      </c>
      <c r="BB45" s="891">
        <f>'Resource Costs'!EB269</f>
        <v>0</v>
      </c>
      <c r="BC45" s="891">
        <f>'Resource Costs'!EC269</f>
        <v>0</v>
      </c>
      <c r="BD45" s="891">
        <f>'Resource Costs'!ED269</f>
        <v>0</v>
      </c>
      <c r="BE45" s="891">
        <f>'Resource Costs'!EE269</f>
        <v>0</v>
      </c>
      <c r="BF45" s="891">
        <f>'Resource Costs'!EF269</f>
        <v>0</v>
      </c>
      <c r="BG45" s="891">
        <f>'Resource Costs'!EG269</f>
        <v>0</v>
      </c>
      <c r="BH45" s="891">
        <f>'Resource Costs'!EH269</f>
        <v>0</v>
      </c>
      <c r="BI45" s="891">
        <f>'Resource Costs'!EI269</f>
        <v>0</v>
      </c>
      <c r="BJ45" s="892">
        <f>'Resource Costs'!EJ269</f>
        <v>0</v>
      </c>
      <c r="BK45" s="890">
        <f>'Resource Costs'!EK269</f>
        <v>0</v>
      </c>
      <c r="BL45" s="891">
        <f>'Resource Costs'!EL269</f>
        <v>0</v>
      </c>
      <c r="BM45" s="891">
        <f>'Resource Costs'!EM269</f>
        <v>0</v>
      </c>
      <c r="BN45" s="891">
        <f>'Resource Costs'!EN269</f>
        <v>0</v>
      </c>
      <c r="BO45" s="891">
        <f>'Resource Costs'!EO269</f>
        <v>0</v>
      </c>
      <c r="BP45" s="891">
        <f>'Resource Costs'!EP269</f>
        <v>0</v>
      </c>
      <c r="BQ45" s="891">
        <f>'Resource Costs'!EQ269</f>
        <v>0</v>
      </c>
      <c r="BR45" s="891">
        <f>'Resource Costs'!ER269</f>
        <v>0</v>
      </c>
      <c r="BS45" s="891">
        <f>'Resource Costs'!ES269</f>
        <v>0</v>
      </c>
      <c r="BT45" s="891">
        <f>'Resource Costs'!ET269</f>
        <v>0</v>
      </c>
      <c r="BU45" s="891">
        <f>'Resource Costs'!EU269</f>
        <v>0</v>
      </c>
      <c r="BV45" s="892">
        <f>'Resource Costs'!EV269</f>
        <v>0</v>
      </c>
      <c r="BW45" s="893">
        <f t="shared" si="5"/>
        <v>0</v>
      </c>
      <c r="BX45" s="894">
        <f>SUM(SUMIFS(C45:N45,$C$2:$N$2,{"Dev","Impl","PIS","Close"},$C$74:$N$74,""))</f>
        <v>0</v>
      </c>
      <c r="BY45" s="894">
        <f>SUM(SUMIFS(O45:Z45,$O$2:$Z$2,{"Dev","Impl","PIS","Close"},$O$74:$Z$74,""))</f>
        <v>0</v>
      </c>
      <c r="BZ45" s="894">
        <f>SUM(SUMIFS(AA45:AL45,$AA$2:$AL$2,{"Dev","Impl","PIS","Close"},$AA$74:$AL$74,""))</f>
        <v>0</v>
      </c>
      <c r="CA45" s="894">
        <f>SUM(SUMIFS(AM45:AX45,$AM$2:$AX$2,{"Dev","Impl","PIS","Close"},$AM$74:$AX$74,""))</f>
        <v>0</v>
      </c>
      <c r="CB45" s="894">
        <f>SUM(SUMIFS(AY45:BJ45,$AY$2:$BJ$2,{"Dev","Impl","PIS","Close"},$AY$74:$BJ$74,""))</f>
        <v>0</v>
      </c>
      <c r="CC45" s="894">
        <f>SUM(SUMIFS(BK45:BV45,$BK$2:$BV$2,{"Dev","Impl","PIS","Close"},$BK$74:$BV$74,""))</f>
        <v>0</v>
      </c>
    </row>
    <row r="46" spans="1:89" s="4" customFormat="1">
      <c r="A46" s="6" t="s">
        <v>220</v>
      </c>
      <c r="B46" s="108"/>
      <c r="C46" s="897">
        <f>SUM('Resource Costs'!CC275,'Resource Costs'!CC278,'Resource Costs'!CC281,'Resource Costs'!CC284,'Resource Costs'!CC287,'Resource Costs'!CC290)</f>
        <v>0</v>
      </c>
      <c r="D46" s="897">
        <f>SUM('Resource Costs'!CD275,'Resource Costs'!CD278,'Resource Costs'!CD281,'Resource Costs'!CD284,'Resource Costs'!CD287,'Resource Costs'!CD290)</f>
        <v>0</v>
      </c>
      <c r="E46" s="897">
        <f>SUM('Resource Costs'!CE275,'Resource Costs'!CE278,'Resource Costs'!CE281,'Resource Costs'!CE284,'Resource Costs'!CE287,'Resource Costs'!CE290)</f>
        <v>0</v>
      </c>
      <c r="F46" s="897">
        <f>SUM('Resource Costs'!CF275,'Resource Costs'!CF278,'Resource Costs'!CF281,'Resource Costs'!CF284,'Resource Costs'!CF287,'Resource Costs'!CF290)</f>
        <v>0</v>
      </c>
      <c r="G46" s="897">
        <f>SUM('Resource Costs'!CG275,'Resource Costs'!CG278,'Resource Costs'!CG281,'Resource Costs'!CG284,'Resource Costs'!CG287,'Resource Costs'!CG290)</f>
        <v>0</v>
      </c>
      <c r="H46" s="897">
        <f>SUM('Resource Costs'!CH275,'Resource Costs'!CH278,'Resource Costs'!CH281,'Resource Costs'!CH284,'Resource Costs'!CH287,'Resource Costs'!CH290)</f>
        <v>0</v>
      </c>
      <c r="I46" s="897">
        <f>SUM('Resource Costs'!CI275,'Resource Costs'!CI278,'Resource Costs'!CI281,'Resource Costs'!CI284,'Resource Costs'!CI287,'Resource Costs'!CI290)</f>
        <v>0</v>
      </c>
      <c r="J46" s="897">
        <f>SUM('Resource Costs'!CJ275,'Resource Costs'!CJ278,'Resource Costs'!CJ281,'Resource Costs'!CJ284,'Resource Costs'!CJ287,'Resource Costs'!CJ290)</f>
        <v>0</v>
      </c>
      <c r="K46" s="897">
        <f>SUM('Resource Costs'!CK275,'Resource Costs'!CK278,'Resource Costs'!CK281,'Resource Costs'!CK284,'Resource Costs'!CK287,'Resource Costs'!CK290)</f>
        <v>0</v>
      </c>
      <c r="L46" s="897">
        <f>SUM('Resource Costs'!CL275,'Resource Costs'!CL278,'Resource Costs'!CL281,'Resource Costs'!CL284,'Resource Costs'!CL287,'Resource Costs'!CL290)</f>
        <v>0</v>
      </c>
      <c r="M46" s="897">
        <f>SUM('Resource Costs'!CM275,'Resource Costs'!CM278,'Resource Costs'!CM281,'Resource Costs'!CM284,'Resource Costs'!CM287,'Resource Costs'!CM290)</f>
        <v>0</v>
      </c>
      <c r="N46" s="892">
        <f>SUM('Resource Costs'!CN275,'Resource Costs'!CN278,'Resource Costs'!CN281,'Resource Costs'!CN284,'Resource Costs'!CN287,'Resource Costs'!CN290)</f>
        <v>0</v>
      </c>
      <c r="O46" s="922">
        <f>SUM('Resource Costs'!CO275,'Resource Costs'!CO278,'Resource Costs'!CO281,'Resource Costs'!CO284,'Resource Costs'!CO287,'Resource Costs'!CO290)</f>
        <v>0</v>
      </c>
      <c r="P46" s="891">
        <f>SUM('Resource Costs'!CP275,'Resource Costs'!CP278,'Resource Costs'!CP281,'Resource Costs'!CP284,'Resource Costs'!CP287,'Resource Costs'!CP290)</f>
        <v>0</v>
      </c>
      <c r="Q46" s="891">
        <f>SUM('Resource Costs'!CQ275,'Resource Costs'!CQ278,'Resource Costs'!CQ281,'Resource Costs'!CQ284,'Resource Costs'!CQ287,'Resource Costs'!CQ290)</f>
        <v>0</v>
      </c>
      <c r="R46" s="891">
        <f>SUM('Resource Costs'!CR275,'Resource Costs'!CR278,'Resource Costs'!CR281,'Resource Costs'!CR284,'Resource Costs'!CR287,'Resource Costs'!CR290)</f>
        <v>0</v>
      </c>
      <c r="S46" s="891">
        <f>SUM('Resource Costs'!CS275,'Resource Costs'!CS278,'Resource Costs'!CS281,'Resource Costs'!CS284,'Resource Costs'!CS287,'Resource Costs'!CS290)</f>
        <v>0</v>
      </c>
      <c r="T46" s="891">
        <f>SUM('Resource Costs'!CT275,'Resource Costs'!CT278,'Resource Costs'!CT281,'Resource Costs'!CT284,'Resource Costs'!CT287,'Resource Costs'!CT290)</f>
        <v>0</v>
      </c>
      <c r="U46" s="891">
        <f>SUM('Resource Costs'!CU275,'Resource Costs'!CU278,'Resource Costs'!CU281,'Resource Costs'!CU284,'Resource Costs'!CU287,'Resource Costs'!CU290)</f>
        <v>0</v>
      </c>
      <c r="V46" s="891">
        <f>SUM('Resource Costs'!CV275,'Resource Costs'!CV278,'Resource Costs'!CV281,'Resource Costs'!CV284,'Resource Costs'!CV287,'Resource Costs'!CV290)</f>
        <v>0</v>
      </c>
      <c r="W46" s="891">
        <f>SUM('Resource Costs'!CW275,'Resource Costs'!CW278,'Resource Costs'!CW281,'Resource Costs'!CW284,'Resource Costs'!CW287,'Resource Costs'!CW290)</f>
        <v>0</v>
      </c>
      <c r="X46" s="891">
        <f>SUM('Resource Costs'!CX275,'Resource Costs'!CX278,'Resource Costs'!CX281,'Resource Costs'!CX284,'Resource Costs'!CX287,'Resource Costs'!CX290)</f>
        <v>0</v>
      </c>
      <c r="Y46" s="891">
        <f>SUM('Resource Costs'!CY275,'Resource Costs'!CY278,'Resource Costs'!CY281,'Resource Costs'!CY284,'Resource Costs'!CY287,'Resource Costs'!CY290)</f>
        <v>0</v>
      </c>
      <c r="Z46" s="892">
        <f>SUM('Resource Costs'!CZ275,'Resource Costs'!CZ278,'Resource Costs'!CZ281,'Resource Costs'!CZ284,'Resource Costs'!CZ287,'Resource Costs'!CZ290)</f>
        <v>0</v>
      </c>
      <c r="AA46" s="922">
        <f>SUM('Resource Costs'!DA275,'Resource Costs'!DA278,'Resource Costs'!DA281,'Resource Costs'!DA284,'Resource Costs'!DA287,'Resource Costs'!DA290)</f>
        <v>0</v>
      </c>
      <c r="AB46" s="891">
        <f>SUM('Resource Costs'!DB275,'Resource Costs'!DB278,'Resource Costs'!DB281,'Resource Costs'!DB284,'Resource Costs'!DB287,'Resource Costs'!DB290)</f>
        <v>0</v>
      </c>
      <c r="AC46" s="891">
        <f>SUM('Resource Costs'!DC275,'Resource Costs'!DC278,'Resource Costs'!DC281,'Resource Costs'!DC284,'Resource Costs'!DC287,'Resource Costs'!DC290)</f>
        <v>0</v>
      </c>
      <c r="AD46" s="891">
        <f>SUM('Resource Costs'!DD275,'Resource Costs'!DD278,'Resource Costs'!DD281,'Resource Costs'!DD284,'Resource Costs'!DD287,'Resource Costs'!DD290)</f>
        <v>0</v>
      </c>
      <c r="AE46" s="891">
        <f>SUM('Resource Costs'!DE275,'Resource Costs'!DE278,'Resource Costs'!DE281,'Resource Costs'!DE284,'Resource Costs'!DE287,'Resource Costs'!DE290)</f>
        <v>0</v>
      </c>
      <c r="AF46" s="891">
        <f>SUM('Resource Costs'!DF275,'Resource Costs'!DF278,'Resource Costs'!DF281,'Resource Costs'!DF284,'Resource Costs'!DF287,'Resource Costs'!DF290)</f>
        <v>0</v>
      </c>
      <c r="AG46" s="891">
        <f>SUM('Resource Costs'!DG275,'Resource Costs'!DG278,'Resource Costs'!DG281,'Resource Costs'!DG284,'Resource Costs'!DG287,'Resource Costs'!DG290)</f>
        <v>0</v>
      </c>
      <c r="AH46" s="891">
        <f>SUM('Resource Costs'!DH275,'Resource Costs'!DH278,'Resource Costs'!DH281,'Resource Costs'!DH284,'Resource Costs'!DH287,'Resource Costs'!DH290)</f>
        <v>0</v>
      </c>
      <c r="AI46" s="891">
        <f>SUM('Resource Costs'!DI275,'Resource Costs'!DI278,'Resource Costs'!DI281,'Resource Costs'!DI284,'Resource Costs'!DI287,'Resource Costs'!DI290)</f>
        <v>0</v>
      </c>
      <c r="AJ46" s="891">
        <f>SUM('Resource Costs'!DJ275,'Resource Costs'!DJ278,'Resource Costs'!DJ281,'Resource Costs'!DJ284,'Resource Costs'!DJ287,'Resource Costs'!DJ290)</f>
        <v>0</v>
      </c>
      <c r="AK46" s="891">
        <f>SUM('Resource Costs'!DK275,'Resource Costs'!DK278,'Resource Costs'!DK281,'Resource Costs'!DK284,'Resource Costs'!DK287,'Resource Costs'!DK290)</f>
        <v>0</v>
      </c>
      <c r="AL46" s="892">
        <f>SUM('Resource Costs'!DL275,'Resource Costs'!DL278,'Resource Costs'!DL281,'Resource Costs'!DL284,'Resource Costs'!DL287,'Resource Costs'!DL290)</f>
        <v>0</v>
      </c>
      <c r="AM46" s="922">
        <f>SUM('Resource Costs'!DM275,'Resource Costs'!DM278,'Resource Costs'!DM281,'Resource Costs'!DM284,'Resource Costs'!DM287,'Resource Costs'!DM290)</f>
        <v>0</v>
      </c>
      <c r="AN46" s="891">
        <f>SUM('Resource Costs'!DN275,'Resource Costs'!DN278,'Resource Costs'!DN281,'Resource Costs'!DN284,'Resource Costs'!DN287,'Resource Costs'!DN290)</f>
        <v>0</v>
      </c>
      <c r="AO46" s="891">
        <f>SUM('Resource Costs'!DO275,'Resource Costs'!DO278,'Resource Costs'!DO281,'Resource Costs'!DO284,'Resource Costs'!DO287,'Resource Costs'!DO290)</f>
        <v>0</v>
      </c>
      <c r="AP46" s="891">
        <f>SUM('Resource Costs'!DP275,'Resource Costs'!DP278,'Resource Costs'!DP281,'Resource Costs'!DP284,'Resource Costs'!DP287,'Resource Costs'!DP290)</f>
        <v>0</v>
      </c>
      <c r="AQ46" s="891">
        <f>SUM('Resource Costs'!DQ275,'Resource Costs'!DQ278,'Resource Costs'!DQ281,'Resource Costs'!DQ284,'Resource Costs'!DQ287,'Resource Costs'!DQ290)</f>
        <v>0</v>
      </c>
      <c r="AR46" s="891">
        <f>SUM('Resource Costs'!DR275,'Resource Costs'!DR278,'Resource Costs'!DR281,'Resource Costs'!DR284,'Resource Costs'!DR287,'Resource Costs'!DR290)</f>
        <v>0</v>
      </c>
      <c r="AS46" s="891">
        <f>SUM('Resource Costs'!DS275,'Resource Costs'!DS278,'Resource Costs'!DS281,'Resource Costs'!DS284,'Resource Costs'!DS287,'Resource Costs'!DS290)</f>
        <v>0</v>
      </c>
      <c r="AT46" s="891">
        <f>SUM('Resource Costs'!DT275,'Resource Costs'!DT278,'Resource Costs'!DT281,'Resource Costs'!DT284,'Resource Costs'!DT287,'Resource Costs'!DT290)</f>
        <v>0</v>
      </c>
      <c r="AU46" s="891">
        <f>SUM('Resource Costs'!DU275,'Resource Costs'!DU278,'Resource Costs'!DU281,'Resource Costs'!DU284,'Resource Costs'!DU287,'Resource Costs'!DU290)</f>
        <v>0</v>
      </c>
      <c r="AV46" s="891">
        <f>SUM('Resource Costs'!DV275,'Resource Costs'!DV278,'Resource Costs'!DV281,'Resource Costs'!DV284,'Resource Costs'!DV287,'Resource Costs'!DV290)</f>
        <v>0</v>
      </c>
      <c r="AW46" s="891">
        <f>SUM('Resource Costs'!DW275,'Resource Costs'!DW278,'Resource Costs'!DW281,'Resource Costs'!DW284,'Resource Costs'!DW287,'Resource Costs'!DW290)</f>
        <v>0</v>
      </c>
      <c r="AX46" s="892">
        <f>SUM('Resource Costs'!DX275,'Resource Costs'!DX278,'Resource Costs'!DX281,'Resource Costs'!DX284,'Resource Costs'!DX287,'Resource Costs'!DX290)</f>
        <v>0</v>
      </c>
      <c r="AY46" s="922">
        <f>SUM('Resource Costs'!DY275,'Resource Costs'!DY278,'Resource Costs'!DY281,'Resource Costs'!DY284,'Resource Costs'!DY287,'Resource Costs'!DY290)</f>
        <v>0</v>
      </c>
      <c r="AZ46" s="891">
        <f>SUM('Resource Costs'!DZ275,'Resource Costs'!DZ278,'Resource Costs'!DZ281,'Resource Costs'!DZ284,'Resource Costs'!DZ287,'Resource Costs'!DZ290)</f>
        <v>0</v>
      </c>
      <c r="BA46" s="891">
        <f>SUM('Resource Costs'!EA275,'Resource Costs'!EA278,'Resource Costs'!EA281,'Resource Costs'!EA284,'Resource Costs'!EA287,'Resource Costs'!EA290)</f>
        <v>0</v>
      </c>
      <c r="BB46" s="891">
        <f>SUM('Resource Costs'!EB275,'Resource Costs'!EB278,'Resource Costs'!EB281,'Resource Costs'!EB284,'Resource Costs'!EB287,'Resource Costs'!EB290)</f>
        <v>0</v>
      </c>
      <c r="BC46" s="891">
        <f>SUM('Resource Costs'!EC275,'Resource Costs'!EC278,'Resource Costs'!EC281,'Resource Costs'!EC284,'Resource Costs'!EC287,'Resource Costs'!EC290)</f>
        <v>0</v>
      </c>
      <c r="BD46" s="891">
        <f>SUM('Resource Costs'!ED275,'Resource Costs'!ED278,'Resource Costs'!ED281,'Resource Costs'!ED284,'Resource Costs'!ED287,'Resource Costs'!ED290)</f>
        <v>0</v>
      </c>
      <c r="BE46" s="891">
        <f>SUM('Resource Costs'!EE275,'Resource Costs'!EE278,'Resource Costs'!EE281,'Resource Costs'!EE284,'Resource Costs'!EE287,'Resource Costs'!EE290)</f>
        <v>0</v>
      </c>
      <c r="BF46" s="891">
        <f>SUM('Resource Costs'!EF275,'Resource Costs'!EF278,'Resource Costs'!EF281,'Resource Costs'!EF284,'Resource Costs'!EF287,'Resource Costs'!EF290)</f>
        <v>0</v>
      </c>
      <c r="BG46" s="891">
        <f>SUM('Resource Costs'!EG275,'Resource Costs'!EG278,'Resource Costs'!EG281,'Resource Costs'!EG284,'Resource Costs'!EG287,'Resource Costs'!EG290)</f>
        <v>0</v>
      </c>
      <c r="BH46" s="891">
        <f>SUM('Resource Costs'!EH275,'Resource Costs'!EH278,'Resource Costs'!EH281,'Resource Costs'!EH284,'Resource Costs'!EH287,'Resource Costs'!EH290)</f>
        <v>0</v>
      </c>
      <c r="BI46" s="891">
        <f>SUM('Resource Costs'!EI275,'Resource Costs'!EI278,'Resource Costs'!EI281,'Resource Costs'!EI284,'Resource Costs'!EI287,'Resource Costs'!EI290)</f>
        <v>0</v>
      </c>
      <c r="BJ46" s="892">
        <f>SUM('Resource Costs'!EJ275,'Resource Costs'!EJ278,'Resource Costs'!EJ281,'Resource Costs'!EJ284,'Resource Costs'!EJ287,'Resource Costs'!EJ290)</f>
        <v>0</v>
      </c>
      <c r="BK46" s="922">
        <f>SUM('Resource Costs'!EK275,'Resource Costs'!EK278,'Resource Costs'!EK281,'Resource Costs'!EK284,'Resource Costs'!EK287,'Resource Costs'!EK290)</f>
        <v>0</v>
      </c>
      <c r="BL46" s="891">
        <f>SUM('Resource Costs'!EL275,'Resource Costs'!EL278,'Resource Costs'!EL281,'Resource Costs'!EL284,'Resource Costs'!EL287,'Resource Costs'!EL290)</f>
        <v>0</v>
      </c>
      <c r="BM46" s="891">
        <f>SUM('Resource Costs'!EM275,'Resource Costs'!EM278,'Resource Costs'!EM281,'Resource Costs'!EM284,'Resource Costs'!EM287,'Resource Costs'!EM290)</f>
        <v>0</v>
      </c>
      <c r="BN46" s="891">
        <f>SUM('Resource Costs'!EN275,'Resource Costs'!EN278,'Resource Costs'!EN281,'Resource Costs'!EN284,'Resource Costs'!EN287,'Resource Costs'!EN290)</f>
        <v>0</v>
      </c>
      <c r="BO46" s="891">
        <f>SUM('Resource Costs'!EO275,'Resource Costs'!EO278,'Resource Costs'!EO281,'Resource Costs'!EO284,'Resource Costs'!EO287,'Resource Costs'!EO290)</f>
        <v>0</v>
      </c>
      <c r="BP46" s="891">
        <f>SUM('Resource Costs'!EP275,'Resource Costs'!EP278,'Resource Costs'!EP281,'Resource Costs'!EP284,'Resource Costs'!EP287,'Resource Costs'!EP290)</f>
        <v>0</v>
      </c>
      <c r="BQ46" s="891">
        <f>SUM('Resource Costs'!EQ275,'Resource Costs'!EQ278,'Resource Costs'!EQ281,'Resource Costs'!EQ284,'Resource Costs'!EQ287,'Resource Costs'!EQ290)</f>
        <v>0</v>
      </c>
      <c r="BR46" s="891">
        <f>SUM('Resource Costs'!ER275,'Resource Costs'!ER278,'Resource Costs'!ER281,'Resource Costs'!ER284,'Resource Costs'!ER287,'Resource Costs'!ER290)</f>
        <v>0</v>
      </c>
      <c r="BS46" s="891">
        <f>SUM('Resource Costs'!ES275,'Resource Costs'!ES278,'Resource Costs'!ES281,'Resource Costs'!ES284,'Resource Costs'!ES287,'Resource Costs'!ES290)</f>
        <v>0</v>
      </c>
      <c r="BT46" s="891">
        <f>SUM('Resource Costs'!ET275,'Resource Costs'!ET278,'Resource Costs'!ET281,'Resource Costs'!ET284,'Resource Costs'!ET287,'Resource Costs'!ET290)</f>
        <v>0</v>
      </c>
      <c r="BU46" s="891">
        <f>SUM('Resource Costs'!EU275,'Resource Costs'!EU278,'Resource Costs'!EU281,'Resource Costs'!EU284,'Resource Costs'!EU287,'Resource Costs'!EU290)</f>
        <v>0</v>
      </c>
      <c r="BV46" s="892">
        <f>SUM('Resource Costs'!EV275,'Resource Costs'!EV278,'Resource Costs'!EV281,'Resource Costs'!EV284,'Resource Costs'!EV287,'Resource Costs'!EV290)</f>
        <v>0</v>
      </c>
      <c r="BW46" s="893">
        <f t="shared" si="5"/>
        <v>0</v>
      </c>
      <c r="BX46" s="894">
        <f>SUM(SUMIFS(C46:N46,$C$2:$N$2,{"Dev","Impl","PIS","Close"},$C$74:$N$74,""))</f>
        <v>0</v>
      </c>
      <c r="BY46" s="894">
        <f>SUM(SUMIFS(O46:Z46,$O$2:$Z$2,{"Dev","Impl","PIS","Close"},$O$74:$Z$74,""))</f>
        <v>0</v>
      </c>
      <c r="BZ46" s="894">
        <f>SUM(SUMIFS(AA46:AL46,$AA$2:$AL$2,{"Dev","Impl","PIS","Close"},$AA$74:$AL$74,""))</f>
        <v>0</v>
      </c>
      <c r="CA46" s="894">
        <f>SUM(SUMIFS(AM46:AX46,$AM$2:$AX$2,{"Dev","Impl","PIS","Close"},$AM$74:$AX$74,""))</f>
        <v>0</v>
      </c>
      <c r="CB46" s="894">
        <f>SUM(SUMIFS(AY46:BJ46,$AY$2:$BJ$2,{"Dev","Impl","PIS","Close"},$AY$74:$BJ$74,""))</f>
        <v>0</v>
      </c>
      <c r="CC46" s="894">
        <f>SUM(SUMIFS(BK46:BV46,$BK$2:$BV$2,{"Dev","Impl","PIS","Close"},$BK$74:$BV$74,""))</f>
        <v>0</v>
      </c>
    </row>
    <row r="47" spans="1:89" s="4" customFormat="1">
      <c r="A47" s="6" t="s">
        <v>221</v>
      </c>
      <c r="B47" s="108"/>
      <c r="C47" s="897">
        <f>'Resource Costs'!CC272</f>
        <v>0</v>
      </c>
      <c r="D47" s="897">
        <f>'Resource Costs'!CD272</f>
        <v>0</v>
      </c>
      <c r="E47" s="897">
        <f>'Resource Costs'!CE272</f>
        <v>0</v>
      </c>
      <c r="F47" s="897">
        <f>'Resource Costs'!CF272</f>
        <v>0</v>
      </c>
      <c r="G47" s="897">
        <f>'Resource Costs'!CG272</f>
        <v>0</v>
      </c>
      <c r="H47" s="897">
        <f>'Resource Costs'!CH272</f>
        <v>0</v>
      </c>
      <c r="I47" s="897">
        <f>'Resource Costs'!CI272</f>
        <v>0</v>
      </c>
      <c r="J47" s="897">
        <f>'Resource Costs'!CJ272</f>
        <v>0</v>
      </c>
      <c r="K47" s="897">
        <f>'Resource Costs'!CK272</f>
        <v>0</v>
      </c>
      <c r="L47" s="897">
        <f>'Resource Costs'!CL272</f>
        <v>0</v>
      </c>
      <c r="M47" s="897">
        <f>'Resource Costs'!CM272</f>
        <v>0</v>
      </c>
      <c r="N47" s="889">
        <f>'Resource Costs'!CN272</f>
        <v>0</v>
      </c>
      <c r="O47" s="890">
        <f>'Resource Costs'!CO272</f>
        <v>0</v>
      </c>
      <c r="P47" s="891">
        <f>'Resource Costs'!CP272</f>
        <v>0</v>
      </c>
      <c r="Q47" s="891">
        <f>'Resource Costs'!CQ272</f>
        <v>0</v>
      </c>
      <c r="R47" s="891">
        <f>'Resource Costs'!CR272</f>
        <v>0</v>
      </c>
      <c r="S47" s="891">
        <f>'Resource Costs'!CS272</f>
        <v>0</v>
      </c>
      <c r="T47" s="891">
        <f>'Resource Costs'!CT272</f>
        <v>0</v>
      </c>
      <c r="U47" s="891">
        <f>'Resource Costs'!CU272</f>
        <v>0</v>
      </c>
      <c r="V47" s="891">
        <f>'Resource Costs'!CV272</f>
        <v>0</v>
      </c>
      <c r="W47" s="891">
        <f>'Resource Costs'!CW272</f>
        <v>0</v>
      </c>
      <c r="X47" s="891">
        <f>'Resource Costs'!CX272</f>
        <v>0</v>
      </c>
      <c r="Y47" s="891">
        <f>'Resource Costs'!CY272</f>
        <v>0</v>
      </c>
      <c r="Z47" s="892">
        <f>'Resource Costs'!CZ272</f>
        <v>0</v>
      </c>
      <c r="AA47" s="890">
        <f>'Resource Costs'!DA272</f>
        <v>0</v>
      </c>
      <c r="AB47" s="891">
        <f>'Resource Costs'!DB272</f>
        <v>0</v>
      </c>
      <c r="AC47" s="891">
        <f>'Resource Costs'!DC272</f>
        <v>0</v>
      </c>
      <c r="AD47" s="891">
        <f>'Resource Costs'!DD272</f>
        <v>0</v>
      </c>
      <c r="AE47" s="891">
        <f>'Resource Costs'!DE272</f>
        <v>0</v>
      </c>
      <c r="AF47" s="891">
        <f>'Resource Costs'!DF272</f>
        <v>0</v>
      </c>
      <c r="AG47" s="891">
        <f>'Resource Costs'!DG272</f>
        <v>0</v>
      </c>
      <c r="AH47" s="891">
        <f>'Resource Costs'!DH272</f>
        <v>0</v>
      </c>
      <c r="AI47" s="891">
        <f>'Resource Costs'!DI272</f>
        <v>0</v>
      </c>
      <c r="AJ47" s="891">
        <f>'Resource Costs'!DJ272</f>
        <v>0</v>
      </c>
      <c r="AK47" s="891">
        <f>'Resource Costs'!DK272</f>
        <v>0</v>
      </c>
      <c r="AL47" s="892">
        <f>'Resource Costs'!DL272</f>
        <v>0</v>
      </c>
      <c r="AM47" s="890">
        <f>'Resource Costs'!DM272</f>
        <v>0</v>
      </c>
      <c r="AN47" s="891">
        <f>'Resource Costs'!DN272</f>
        <v>0</v>
      </c>
      <c r="AO47" s="891">
        <f>'Resource Costs'!DO272</f>
        <v>0</v>
      </c>
      <c r="AP47" s="891">
        <f>'Resource Costs'!DP272</f>
        <v>0</v>
      </c>
      <c r="AQ47" s="891">
        <f>'Resource Costs'!DQ272</f>
        <v>0</v>
      </c>
      <c r="AR47" s="891">
        <f>'Resource Costs'!DR272</f>
        <v>0</v>
      </c>
      <c r="AS47" s="891">
        <f>'Resource Costs'!DS272</f>
        <v>0</v>
      </c>
      <c r="AT47" s="891">
        <f>'Resource Costs'!DT272</f>
        <v>0</v>
      </c>
      <c r="AU47" s="891">
        <f>'Resource Costs'!DU272</f>
        <v>0</v>
      </c>
      <c r="AV47" s="891">
        <f>'Resource Costs'!DV272</f>
        <v>0</v>
      </c>
      <c r="AW47" s="891">
        <f>'Resource Costs'!DW272</f>
        <v>0</v>
      </c>
      <c r="AX47" s="892">
        <f>'Resource Costs'!DX272</f>
        <v>0</v>
      </c>
      <c r="AY47" s="890">
        <f>'Resource Costs'!DY272</f>
        <v>0</v>
      </c>
      <c r="AZ47" s="891">
        <f>'Resource Costs'!DZ272</f>
        <v>0</v>
      </c>
      <c r="BA47" s="891">
        <f>'Resource Costs'!EA272</f>
        <v>0</v>
      </c>
      <c r="BB47" s="891">
        <f>'Resource Costs'!EB272</f>
        <v>0</v>
      </c>
      <c r="BC47" s="891">
        <f>'Resource Costs'!EC272</f>
        <v>0</v>
      </c>
      <c r="BD47" s="891">
        <f>'Resource Costs'!ED272</f>
        <v>0</v>
      </c>
      <c r="BE47" s="891">
        <f>'Resource Costs'!EE272</f>
        <v>0</v>
      </c>
      <c r="BF47" s="891">
        <f>'Resource Costs'!EF272</f>
        <v>0</v>
      </c>
      <c r="BG47" s="891">
        <f>'Resource Costs'!EG272</f>
        <v>0</v>
      </c>
      <c r="BH47" s="891">
        <f>'Resource Costs'!EH272</f>
        <v>0</v>
      </c>
      <c r="BI47" s="891">
        <f>'Resource Costs'!EI272</f>
        <v>0</v>
      </c>
      <c r="BJ47" s="892">
        <f>'Resource Costs'!EJ272</f>
        <v>0</v>
      </c>
      <c r="BK47" s="890">
        <f>'Resource Costs'!EK272</f>
        <v>0</v>
      </c>
      <c r="BL47" s="891">
        <f>'Resource Costs'!EL272</f>
        <v>0</v>
      </c>
      <c r="BM47" s="891">
        <f>'Resource Costs'!EM272</f>
        <v>0</v>
      </c>
      <c r="BN47" s="891">
        <f>'Resource Costs'!EN272</f>
        <v>0</v>
      </c>
      <c r="BO47" s="891">
        <f>'Resource Costs'!EO272</f>
        <v>0</v>
      </c>
      <c r="BP47" s="891">
        <f>'Resource Costs'!EP272</f>
        <v>0</v>
      </c>
      <c r="BQ47" s="891">
        <f>'Resource Costs'!EQ272</f>
        <v>0</v>
      </c>
      <c r="BR47" s="891">
        <f>'Resource Costs'!ER272</f>
        <v>0</v>
      </c>
      <c r="BS47" s="891">
        <f>'Resource Costs'!ES272</f>
        <v>0</v>
      </c>
      <c r="BT47" s="891">
        <f>'Resource Costs'!ET272</f>
        <v>0</v>
      </c>
      <c r="BU47" s="891">
        <f>'Resource Costs'!EU272</f>
        <v>0</v>
      </c>
      <c r="BV47" s="892">
        <f>'Resource Costs'!EV272</f>
        <v>0</v>
      </c>
      <c r="BW47" s="893">
        <f t="shared" si="5"/>
        <v>0</v>
      </c>
      <c r="BX47" s="894">
        <f>SUM(SUMIFS(C47:N47,$C$2:$N$2,{"Dev","Impl","PIS","Close"},$C$74:$N$74,""))</f>
        <v>0</v>
      </c>
      <c r="BY47" s="894">
        <f>SUM(SUMIFS(O47:Z47,$O$2:$Z$2,{"Dev","Impl","PIS","Close"},$O$74:$Z$74,""))</f>
        <v>0</v>
      </c>
      <c r="BZ47" s="894">
        <f>SUM(SUMIFS(AA47:AL47,$AA$2:$AL$2,{"Dev","Impl","PIS","Close"},$AA$74:$AL$74,""))</f>
        <v>0</v>
      </c>
      <c r="CA47" s="894">
        <f>SUM(SUMIFS(AM47:AX47,$AM$2:$AX$2,{"Dev","Impl","PIS","Close"},$AM$74:$AX$74,""))</f>
        <v>0</v>
      </c>
      <c r="CB47" s="894">
        <f>SUM(SUMIFS(AY47:BJ47,$AY$2:$BJ$2,{"Dev","Impl","PIS","Close"},$AY$74:$BJ$74,""))</f>
        <v>0</v>
      </c>
      <c r="CC47" s="894">
        <f>SUM(SUMIFS(BK47:BV47,$BK$2:$BV$2,{"Dev","Impl","PIS","Close"},$BK$74:$BV$74,""))</f>
        <v>0</v>
      </c>
    </row>
    <row r="48" spans="1:89" s="4" customFormat="1" ht="15.5">
      <c r="A48" s="219" t="s">
        <v>8505</v>
      </c>
      <c r="B48" s="109"/>
      <c r="C48" s="886"/>
      <c r="D48" s="886"/>
      <c r="E48" s="886"/>
      <c r="F48" s="886"/>
      <c r="G48" s="886"/>
      <c r="H48" s="886"/>
      <c r="I48" s="886"/>
      <c r="J48" s="886"/>
      <c r="K48" s="886"/>
      <c r="L48" s="886"/>
      <c r="M48" s="886"/>
      <c r="N48" s="885"/>
      <c r="O48" s="920"/>
      <c r="P48" s="886"/>
      <c r="Q48" s="886"/>
      <c r="R48" s="886"/>
      <c r="S48" s="886"/>
      <c r="T48" s="886"/>
      <c r="U48" s="886"/>
      <c r="V48" s="886"/>
      <c r="W48" s="886"/>
      <c r="X48" s="886"/>
      <c r="Y48" s="886"/>
      <c r="Z48" s="885"/>
      <c r="AA48" s="920"/>
      <c r="AB48" s="886"/>
      <c r="AC48" s="886"/>
      <c r="AD48" s="886"/>
      <c r="AE48" s="886"/>
      <c r="AF48" s="886"/>
      <c r="AG48" s="886"/>
      <c r="AH48" s="886"/>
      <c r="AI48" s="886"/>
      <c r="AJ48" s="886"/>
      <c r="AK48" s="886"/>
      <c r="AL48" s="895"/>
      <c r="AM48" s="920"/>
      <c r="AN48" s="886"/>
      <c r="AO48" s="886"/>
      <c r="AP48" s="886"/>
      <c r="AQ48" s="886"/>
      <c r="AR48" s="886"/>
      <c r="AS48" s="886"/>
      <c r="AT48" s="886"/>
      <c r="AU48" s="886"/>
      <c r="AV48" s="886"/>
      <c r="AW48" s="886"/>
      <c r="AX48" s="923"/>
      <c r="AY48" s="920"/>
      <c r="AZ48" s="886"/>
      <c r="BA48" s="886"/>
      <c r="BB48" s="886"/>
      <c r="BC48" s="886"/>
      <c r="BD48" s="886"/>
      <c r="BE48" s="886"/>
      <c r="BF48" s="886"/>
      <c r="BG48" s="886"/>
      <c r="BH48" s="886"/>
      <c r="BI48" s="886"/>
      <c r="BJ48" s="885"/>
      <c r="BK48" s="920"/>
      <c r="BL48" s="886"/>
      <c r="BM48" s="886"/>
      <c r="BN48" s="886"/>
      <c r="BO48" s="886"/>
      <c r="BP48" s="886"/>
      <c r="BQ48" s="886"/>
      <c r="BR48" s="886"/>
      <c r="BS48" s="886"/>
      <c r="BT48" s="886"/>
      <c r="BU48" s="886"/>
      <c r="BV48" s="923"/>
      <c r="BW48" s="893"/>
      <c r="BX48" s="896"/>
      <c r="BY48" s="896"/>
      <c r="BZ48" s="896"/>
      <c r="CA48" s="896"/>
      <c r="CB48" s="896"/>
      <c r="CC48" s="896"/>
    </row>
    <row r="49" spans="1:88" s="4" customFormat="1">
      <c r="A49" s="6" t="s">
        <v>217</v>
      </c>
      <c r="B49" s="108"/>
      <c r="C49" s="897">
        <f>SUMIFS('Other Costs'!H$5:H$167,'Other Costs'!$D$5:$D$167,Variables!$A39,'Other Costs'!$F$5:$F$167,Miscellaneous!$N$9,'Other Costs'!$G$5:$G$167,"Capex")</f>
        <v>0</v>
      </c>
      <c r="D49" s="897">
        <f>SUMIFS('Other Costs'!I$5:I$167,'Other Costs'!$D$5:$D$167,Variables!$A39,'Other Costs'!$F$5:$F$167,Miscellaneous!$N$9,'Other Costs'!$G$5:$G$167,"Capex")</f>
        <v>0</v>
      </c>
      <c r="E49" s="897">
        <f>SUMIFS('Other Costs'!J$5:J$167,'Other Costs'!$D$5:$D$167,Variables!$A39,'Other Costs'!$F$5:$F$167,Miscellaneous!$N$9,'Other Costs'!$G$5:$G$167,"Capex")</f>
        <v>0</v>
      </c>
      <c r="F49" s="897">
        <f>SUMIFS('Other Costs'!K$5:K$167,'Other Costs'!$D$5:$D$167,Variables!$A39,'Other Costs'!$F$5:$F$167,Miscellaneous!$N$9,'Other Costs'!$G$5:$G$167,"Capex")</f>
        <v>0</v>
      </c>
      <c r="G49" s="897">
        <f>SUMIFS('Other Costs'!L$5:L$167,'Other Costs'!$D$5:$D$167,Variables!$A39,'Other Costs'!$F$5:$F$167,Miscellaneous!$N$9,'Other Costs'!$G$5:$G$167,"Capex")</f>
        <v>0</v>
      </c>
      <c r="H49" s="897">
        <f>SUMIFS('Other Costs'!M$5:M$167,'Other Costs'!$D$5:$D$167,Variables!$A39,'Other Costs'!$F$5:$F$167,Miscellaneous!$N$9,'Other Costs'!$G$5:$G$167,"Capex")</f>
        <v>0</v>
      </c>
      <c r="I49" s="897">
        <f>SUMIFS('Other Costs'!N$5:N$167,'Other Costs'!$D$5:$D$167,Variables!$A39,'Other Costs'!$F$5:$F$167,Miscellaneous!$N$9,'Other Costs'!$G$5:$G$167,"Capex")</f>
        <v>0</v>
      </c>
      <c r="J49" s="897">
        <f>SUMIFS('Other Costs'!O$5:O$167,'Other Costs'!$D$5:$D$167,Variables!$A39,'Other Costs'!$F$5:$F$167,Miscellaneous!$N$9,'Other Costs'!$G$5:$G$167,"Capex")</f>
        <v>0</v>
      </c>
      <c r="K49" s="897">
        <f>SUMIFS('Other Costs'!P$5:P$167,'Other Costs'!$D$5:$D$167,Variables!$A39,'Other Costs'!$F$5:$F$167,Miscellaneous!$N$9,'Other Costs'!$G$5:$G$167,"Capex")</f>
        <v>0</v>
      </c>
      <c r="L49" s="897">
        <f>SUMIFS('Other Costs'!Q$5:Q$167,'Other Costs'!$D$5:$D$167,Variables!$A39,'Other Costs'!$F$5:$F$167,Miscellaneous!$N$9,'Other Costs'!$G$5:$G$167,"Capex")</f>
        <v>0</v>
      </c>
      <c r="M49" s="891">
        <f>SUMIFS('Other Costs'!R$5:R$167,'Other Costs'!$D$5:$D$167,Variables!$A39,'Other Costs'!$F$5:$F$167,Miscellaneous!$N$9,'Other Costs'!$G$5:$G$167,"Capex")</f>
        <v>0</v>
      </c>
      <c r="N49" s="898">
        <f>SUMIFS('Other Costs'!S$5:S$167,'Other Costs'!$D$5:$D$167,Variables!$A39,'Other Costs'!$F$5:$F$167,Miscellaneous!$N$9,'Other Costs'!$G$5:$G$167,"Capex")</f>
        <v>0</v>
      </c>
      <c r="O49" s="897">
        <f>SUMIFS('Other Costs'!T$5:T$167,'Other Costs'!$D$5:$D$167,Variables!$A39,'Other Costs'!$F$5:$F$167,Miscellaneous!$N$9,'Other Costs'!$G$5:$G$167,"Capex")</f>
        <v>0</v>
      </c>
      <c r="P49" s="897">
        <f>SUMIFS('Other Costs'!U$5:U$167,'Other Costs'!$D$5:$D$167,Variables!$A39,'Other Costs'!$F$5:$F$167,Miscellaneous!$N$9,'Other Costs'!$G$5:$G$167,"Capex")</f>
        <v>0</v>
      </c>
      <c r="Q49" s="897">
        <f>SUMIFS('Other Costs'!V$5:V$167,'Other Costs'!$D$5:$D$167,Variables!$A39,'Other Costs'!$F$5:$F$167,Miscellaneous!$N$9,'Other Costs'!$G$5:$G$167,"Capex")</f>
        <v>0</v>
      </c>
      <c r="R49" s="897">
        <f>SUMIFS('Other Costs'!W$5:W$167,'Other Costs'!$D$5:$D$167,Variables!$A39,'Other Costs'!$F$5:$F$167,Miscellaneous!$N$9,'Other Costs'!$G$5:$G$167,"Capex")</f>
        <v>0</v>
      </c>
      <c r="S49" s="897">
        <f>SUMIFS('Other Costs'!X$5:X$167,'Other Costs'!$D$5:$D$167,Variables!$A39,'Other Costs'!$F$5:$F$167,Miscellaneous!$N$9,'Other Costs'!$G$5:$G$167,"Capex")</f>
        <v>0</v>
      </c>
      <c r="T49" s="897">
        <f>SUMIFS('Other Costs'!Y$5:Y$167,'Other Costs'!$D$5:$D$167,Variables!$A39,'Other Costs'!$F$5:$F$167,Miscellaneous!$N$9,'Other Costs'!$G$5:$G$167,"Capex")</f>
        <v>0</v>
      </c>
      <c r="U49" s="897">
        <f>SUMIFS('Other Costs'!Z$5:Z$167,'Other Costs'!$D$5:$D$167,Variables!$A39,'Other Costs'!$F$5:$F$167,Miscellaneous!$N$9,'Other Costs'!$G$5:$G$167,"Capex")</f>
        <v>0</v>
      </c>
      <c r="V49" s="897">
        <f>SUMIFS('Other Costs'!AA$5:AA$167,'Other Costs'!$D$5:$D$167,Variables!$A39,'Other Costs'!$F$5:$F$167,Miscellaneous!$N$9,'Other Costs'!$G$5:$G$167,"Capex")</f>
        <v>0</v>
      </c>
      <c r="W49" s="897">
        <f>SUMIFS('Other Costs'!AB$5:AB$167,'Other Costs'!$D$5:$D$167,Variables!$A39,'Other Costs'!$F$5:$F$167,Miscellaneous!$N$9,'Other Costs'!$G$5:$G$167,"Capex")</f>
        <v>0</v>
      </c>
      <c r="X49" s="897">
        <f>SUMIFS('Other Costs'!AC$5:AC$167,'Other Costs'!$D$5:$D$167,Variables!$A39,'Other Costs'!$F$5:$F$167,Miscellaneous!$N$9,'Other Costs'!$G$5:$G$167,"Capex")</f>
        <v>0</v>
      </c>
      <c r="Y49" s="891">
        <f>SUMIFS('Other Costs'!AD$5:AD$167,'Other Costs'!$D$5:$D$167,Variables!$A39,'Other Costs'!$F$5:$F$167,Miscellaneous!$N$9,'Other Costs'!$G$5:$G$167,"Capex")</f>
        <v>0</v>
      </c>
      <c r="Z49" s="898">
        <f>SUMIFS('Other Costs'!AE$5:AE$167,'Other Costs'!$D$5:$D$167,Variables!$A39,'Other Costs'!$F$5:$F$167,Miscellaneous!$N$9,'Other Costs'!$G$5:$G$167,"Capex")</f>
        <v>0</v>
      </c>
      <c r="AA49" s="897">
        <f>SUMIFS('Other Costs'!AF$5:AF$167,'Other Costs'!$D$5:$D$167,Variables!$A39,'Other Costs'!$F$5:$F$167,Miscellaneous!$N$9,'Other Costs'!$G$5:$G$167,"Capex")</f>
        <v>0</v>
      </c>
      <c r="AB49" s="897">
        <f>SUMIFS('Other Costs'!AG$5:AG$167,'Other Costs'!$D$5:$D$167,Variables!$A39,'Other Costs'!$F$5:$F$167,Miscellaneous!$N$9,'Other Costs'!$G$5:$G$167,"Capex")</f>
        <v>0</v>
      </c>
      <c r="AC49" s="897">
        <f>SUMIFS('Other Costs'!AH$5:AH$167,'Other Costs'!$D$5:$D$167,Variables!$A39,'Other Costs'!$F$5:$F$167,Miscellaneous!$N$9,'Other Costs'!$G$5:$G$167,"Capex")</f>
        <v>0</v>
      </c>
      <c r="AD49" s="897">
        <f>SUMIFS('Other Costs'!AI$5:AI$167,'Other Costs'!$D$5:$D$167,Variables!$A39,'Other Costs'!$F$5:$F$167,Miscellaneous!$N$9,'Other Costs'!$G$5:$G$167,"Capex")</f>
        <v>0</v>
      </c>
      <c r="AE49" s="897">
        <f>SUMIFS('Other Costs'!AJ$5:AJ$167,'Other Costs'!$D$5:$D$167,Variables!$A39,'Other Costs'!$F$5:$F$167,Miscellaneous!$N$9,'Other Costs'!$G$5:$G$167,"Capex")</f>
        <v>0</v>
      </c>
      <c r="AF49" s="897">
        <f>SUMIFS('Other Costs'!AK$5:AK$167,'Other Costs'!$D$5:$D$167,Variables!$A39,'Other Costs'!$F$5:$F$167,Miscellaneous!$N$9,'Other Costs'!$G$5:$G$167,"Capex")</f>
        <v>0</v>
      </c>
      <c r="AG49" s="897">
        <f>SUMIFS('Other Costs'!AL$5:AL$167,'Other Costs'!$D$5:$D$167,Variables!$A39,'Other Costs'!$F$5:$F$167,Miscellaneous!$N$9,'Other Costs'!$G$5:$G$167,"Capex")</f>
        <v>0</v>
      </c>
      <c r="AH49" s="897">
        <f>SUMIFS('Other Costs'!AM$5:AM$167,'Other Costs'!$D$5:$D$167,Variables!$A39,'Other Costs'!$F$5:$F$167,Miscellaneous!$N$9,'Other Costs'!$G$5:$G$167,"Capex")</f>
        <v>0</v>
      </c>
      <c r="AI49" s="897">
        <f>SUMIFS('Other Costs'!AN$5:AN$167,'Other Costs'!$D$5:$D$167,Variables!$A39,'Other Costs'!$F$5:$F$167,Miscellaneous!$N$9,'Other Costs'!$G$5:$G$167,"Capex")</f>
        <v>0</v>
      </c>
      <c r="AJ49" s="897">
        <f>SUMIFS('Other Costs'!AO$5:AO$167,'Other Costs'!$D$5:$D$167,Variables!$A39,'Other Costs'!$F$5:$F$167,Miscellaneous!$N$9,'Other Costs'!$G$5:$G$167,"Capex")</f>
        <v>0</v>
      </c>
      <c r="AK49" s="891">
        <f>SUMIFS('Other Costs'!AP$5:AP$167,'Other Costs'!$D$5:$D$167,Variables!$A39,'Other Costs'!$F$5:$F$167,Miscellaneous!$N$9,'Other Costs'!$G$5:$G$167,"Capex")</f>
        <v>0</v>
      </c>
      <c r="AL49" s="892">
        <f>SUMIFS('Other Costs'!AQ$5:AQ$167,'Other Costs'!$D$5:$D$167,Variables!$A39,'Other Costs'!$F$5:$F$167,Miscellaneous!$N$9,'Other Costs'!$G$5:$G$167,"Capex")</f>
        <v>0</v>
      </c>
      <c r="AM49" s="897">
        <f>SUMIFS('Other Costs'!AR$5:AR$167,'Other Costs'!$D$5:$D$167,Variables!$A39,'Other Costs'!$F$5:$F$167,Miscellaneous!$N$9,'Other Costs'!$G$5:$G$167,"Capex")</f>
        <v>0</v>
      </c>
      <c r="AN49" s="897">
        <f>SUMIFS('Other Costs'!AS$5:AS$167,'Other Costs'!$D$5:$D$167,Variables!$A39,'Other Costs'!$F$5:$F$167,Miscellaneous!$N$9,'Other Costs'!$G$5:$G$167,"Capex")</f>
        <v>0</v>
      </c>
      <c r="AO49" s="897">
        <f>SUMIFS('Other Costs'!AT$5:AT$167,'Other Costs'!$D$5:$D$167,Variables!$A39,'Other Costs'!$F$5:$F$167,Miscellaneous!$N$9,'Other Costs'!$G$5:$G$167,"Capex")</f>
        <v>0</v>
      </c>
      <c r="AP49" s="897">
        <f>SUMIFS('Other Costs'!AU$5:AU$167,'Other Costs'!$D$5:$D$167,Variables!$A39,'Other Costs'!$F$5:$F$167,Miscellaneous!$N$9,'Other Costs'!$G$5:$G$167,"Capex")</f>
        <v>0</v>
      </c>
      <c r="AQ49" s="897">
        <f>SUMIFS('Other Costs'!AV$5:AV$167,'Other Costs'!$D$5:$D$167,Variables!$A39,'Other Costs'!$F$5:$F$167,Miscellaneous!$N$9,'Other Costs'!$G$5:$G$167,"Capex")</f>
        <v>0</v>
      </c>
      <c r="AR49" s="897">
        <f>SUMIFS('Other Costs'!AW$5:AW$167,'Other Costs'!$D$5:$D$167,Variables!$A39,'Other Costs'!$F$5:$F$167,Miscellaneous!$N$9,'Other Costs'!$G$5:$G$167,"Capex")</f>
        <v>0</v>
      </c>
      <c r="AS49" s="897">
        <f>SUMIFS('Other Costs'!AX$5:AX$167,'Other Costs'!$D$5:$D$167,Variables!$A39,'Other Costs'!$F$5:$F$167,Miscellaneous!$N$9,'Other Costs'!$G$5:$G$167,"Capex")</f>
        <v>0</v>
      </c>
      <c r="AT49" s="897">
        <f>SUMIFS('Other Costs'!AY$5:AY$167,'Other Costs'!$D$5:$D$167,Variables!$A39,'Other Costs'!$F$5:$F$167,Miscellaneous!$N$9,'Other Costs'!$G$5:$G$167,"Capex")</f>
        <v>0</v>
      </c>
      <c r="AU49" s="897">
        <f>SUMIFS('Other Costs'!AZ$5:AZ$167,'Other Costs'!$D$5:$D$167,Variables!$A39,'Other Costs'!$F$5:$F$167,Miscellaneous!$N$9,'Other Costs'!$G$5:$G$167,"Capex")</f>
        <v>0</v>
      </c>
      <c r="AV49" s="897">
        <f>SUMIFS('Other Costs'!BA$5:BA$167,'Other Costs'!$D$5:$D$167,Variables!$A39,'Other Costs'!$F$5:$F$167,Miscellaneous!$N$9,'Other Costs'!$G$5:$G$167,"Capex")</f>
        <v>0</v>
      </c>
      <c r="AW49" s="891">
        <f>SUMIFS('Other Costs'!BB$5:BB$167,'Other Costs'!$D$5:$D$167,Variables!$A39,'Other Costs'!$F$5:$F$167,Miscellaneous!$N$9,'Other Costs'!$G$5:$G$167,"Capex")</f>
        <v>0</v>
      </c>
      <c r="AX49" s="892">
        <f>SUMIFS('Other Costs'!BC$5:BC$167,'Other Costs'!$D$5:$D$167,Variables!$A39,'Other Costs'!$F$5:$F$167,Miscellaneous!$N$9,'Other Costs'!$G$5:$G$167,"Capex")</f>
        <v>0</v>
      </c>
      <c r="AY49" s="897">
        <f>SUMIFS('Other Costs'!BD$5:BD$167,'Other Costs'!$D$5:$D$167,Variables!$A39,'Other Costs'!$F$5:$F$167,Miscellaneous!$N$9,'Other Costs'!$G$5:$G$167,"Capex")</f>
        <v>0</v>
      </c>
      <c r="AZ49" s="897">
        <f>SUMIFS('Other Costs'!BE$5:BE$167,'Other Costs'!$D$5:$D$167,Variables!$A39,'Other Costs'!$F$5:$F$167,Miscellaneous!$N$9,'Other Costs'!$G$5:$G$167,"Capex")</f>
        <v>0</v>
      </c>
      <c r="BA49" s="897">
        <f>SUMIFS('Other Costs'!BF$5:BF$167,'Other Costs'!$D$5:$D$167,Variables!$A39,'Other Costs'!$F$5:$F$167,Miscellaneous!$N$9,'Other Costs'!$G$5:$G$167,"Capex")</f>
        <v>0</v>
      </c>
      <c r="BB49" s="897">
        <f>SUMIFS('Other Costs'!BG$5:BG$167,'Other Costs'!$D$5:$D$167,Variables!$A39,'Other Costs'!$F$5:$F$167,Miscellaneous!$N$9,'Other Costs'!$G$5:$G$167,"Capex")</f>
        <v>0</v>
      </c>
      <c r="BC49" s="897">
        <f>SUMIFS('Other Costs'!BH$5:BH$167,'Other Costs'!$D$5:$D$167,Variables!$A39,'Other Costs'!$F$5:$F$167,Miscellaneous!$N$9,'Other Costs'!$G$5:$G$167,"Capex")</f>
        <v>0</v>
      </c>
      <c r="BD49" s="897">
        <f>SUMIFS('Other Costs'!BI$5:BI$167,'Other Costs'!$D$5:$D$167,Variables!$A39,'Other Costs'!$F$5:$F$167,Miscellaneous!$N$9,'Other Costs'!$G$5:$G$167,"Capex")</f>
        <v>0</v>
      </c>
      <c r="BE49" s="897">
        <f>SUMIFS('Other Costs'!BJ$5:BJ$167,'Other Costs'!$D$5:$D$167,Variables!$A39,'Other Costs'!$F$5:$F$167,Miscellaneous!$N$9,'Other Costs'!$G$5:$G$167,"Capex")</f>
        <v>0</v>
      </c>
      <c r="BF49" s="897">
        <f>SUMIFS('Other Costs'!BK$5:BK$167,'Other Costs'!$D$5:$D$167,Variables!$A39,'Other Costs'!$F$5:$F$167,Miscellaneous!$N$9,'Other Costs'!$G$5:$G$167,"Capex")</f>
        <v>0</v>
      </c>
      <c r="BG49" s="897">
        <f>SUMIFS('Other Costs'!BL$5:BL$167,'Other Costs'!$D$5:$D$167,Variables!$A39,'Other Costs'!$F$5:$F$167,Miscellaneous!$N$9,'Other Costs'!$G$5:$G$167,"Capex")</f>
        <v>0</v>
      </c>
      <c r="BH49" s="897">
        <f>SUMIFS('Other Costs'!BM$5:BM$167,'Other Costs'!$D$5:$D$167,Variables!$A39,'Other Costs'!$F$5:$F$167,Miscellaneous!$N$9,'Other Costs'!$G$5:$G$167,"Capex")</f>
        <v>0</v>
      </c>
      <c r="BI49" s="891">
        <f>SUMIFS('Other Costs'!BN$5:BN$167,'Other Costs'!$D$5:$D$167,Variables!$A39,'Other Costs'!$F$5:$F$167,Miscellaneous!$N$9,'Other Costs'!$G$5:$G$167,"Capex")</f>
        <v>0</v>
      </c>
      <c r="BJ49" s="898">
        <f>SUMIFS('Other Costs'!BO$5:BO$167,'Other Costs'!$D$5:$D$167,Variables!$A39,'Other Costs'!$F$5:$F$167,Miscellaneous!$N$9,'Other Costs'!$G$5:$G$167,"Capex")</f>
        <v>0</v>
      </c>
      <c r="BK49" s="897">
        <f>SUMIFS('Other Costs'!BP$5:BP$167,'Other Costs'!$D$5:$D$167,Variables!$A39,'Other Costs'!$F$5:$F$167,Miscellaneous!$N$9,'Other Costs'!$G$5:$G$167,"Capex")</f>
        <v>0</v>
      </c>
      <c r="BL49" s="897">
        <f>SUMIFS('Other Costs'!BQ$5:BQ$167,'Other Costs'!$D$5:$D$167,Variables!$A39,'Other Costs'!$F$5:$F$167,Miscellaneous!$N$9,'Other Costs'!$G$5:$G$167,"Capex")</f>
        <v>0</v>
      </c>
      <c r="BM49" s="897">
        <f>SUMIFS('Other Costs'!BR$5:BR$167,'Other Costs'!$D$5:$D$167,Variables!$A39,'Other Costs'!$F$5:$F$167,Miscellaneous!$N$9,'Other Costs'!$G$5:$G$167,"Capex")</f>
        <v>0</v>
      </c>
      <c r="BN49" s="897">
        <f>SUMIFS('Other Costs'!BS$5:BS$167,'Other Costs'!$D$5:$D$167,Variables!$A39,'Other Costs'!$F$5:$F$167,Miscellaneous!$N$9,'Other Costs'!$G$5:$G$167,"Capex")</f>
        <v>0</v>
      </c>
      <c r="BO49" s="897">
        <f>SUMIFS('Other Costs'!BT$5:BT$167,'Other Costs'!$D$5:$D$167,Variables!$A39,'Other Costs'!$F$5:$F$167,Miscellaneous!$N$9,'Other Costs'!$G$5:$G$167,"Capex")</f>
        <v>0</v>
      </c>
      <c r="BP49" s="897">
        <f>SUMIFS('Other Costs'!BU$5:BU$167,'Other Costs'!$D$5:$D$167,Variables!$A39,'Other Costs'!$F$5:$F$167,Miscellaneous!$N$9,'Other Costs'!$G$5:$G$167,"Capex")</f>
        <v>0</v>
      </c>
      <c r="BQ49" s="897">
        <f>SUMIFS('Other Costs'!BV$5:BV$167,'Other Costs'!$D$5:$D$167,Variables!$A39,'Other Costs'!$F$5:$F$167,Miscellaneous!$N$9,'Other Costs'!$G$5:$G$167,"Capex")</f>
        <v>0</v>
      </c>
      <c r="BR49" s="897">
        <f>SUMIFS('Other Costs'!BW$5:BW$167,'Other Costs'!$D$5:$D$167,Variables!$A39,'Other Costs'!$F$5:$F$167,Miscellaneous!$N$9,'Other Costs'!$G$5:$G$167,"Capex")</f>
        <v>0</v>
      </c>
      <c r="BS49" s="897">
        <f>SUMIFS('Other Costs'!BX$5:BX$167,'Other Costs'!$D$5:$D$167,Variables!$A39,'Other Costs'!$F$5:$F$167,Miscellaneous!$N$9,'Other Costs'!$G$5:$G$167,"Capex")</f>
        <v>0</v>
      </c>
      <c r="BT49" s="897">
        <f>SUMIFS('Other Costs'!BY$5:BY$167,'Other Costs'!$D$5:$D$167,Variables!$A39,'Other Costs'!$F$5:$F$167,Miscellaneous!$N$9,'Other Costs'!$G$5:$G$167,"Capex")</f>
        <v>0</v>
      </c>
      <c r="BU49" s="891">
        <f>SUMIFS('Other Costs'!BZ$5:BZ$167,'Other Costs'!$D$5:$D$167,Variables!$A39,'Other Costs'!$F$5:$F$167,Miscellaneous!$N$9,'Other Costs'!$G$5:$G$167,"Capex")</f>
        <v>0</v>
      </c>
      <c r="BV49" s="889">
        <f>SUMIFS('Other Costs'!CA$5:CA$167,'Other Costs'!$D$5:$D$167,Variables!$A39,'Other Costs'!$F$5:$F$167,Miscellaneous!$N$9,'Other Costs'!$G$5:$G$167,"Capex")</f>
        <v>0</v>
      </c>
      <c r="BW49" s="893">
        <f>SUMIFS(C49:BV49,$C$74:$BV$74,"")</f>
        <v>0</v>
      </c>
      <c r="BX49" s="894">
        <f>SUM(SUMIFS(C49:N49,$C$2:$N$2,{"Dev","Impl","PIS","Close"},$C$74:$N$74,""))</f>
        <v>0</v>
      </c>
      <c r="BY49" s="894">
        <f>SUM(SUMIFS(O49:Z49,$O$2:$Z$2,{"Dev","Impl","PIS","Close"},$O$74:$Z$74,""))</f>
        <v>0</v>
      </c>
      <c r="BZ49" s="894">
        <f>SUM(SUMIFS(AA49:AL49,$AA$2:$AL$2,{"Dev","Impl","PIS","Close"},$AA$74:$AL$74,""))</f>
        <v>0</v>
      </c>
      <c r="CA49" s="894">
        <f>SUM(SUMIFS(AM49:AX49,$AM$2:$AX$2,{"Dev","Impl","PIS","Close"},$AM$74:$AX$74,""))</f>
        <v>0</v>
      </c>
      <c r="CB49" s="894">
        <f>SUM(SUMIFS(AY49:BJ49,$AY$2:$BJ$2,{"Dev","Impl","PIS","Close"},$AY$74:$BJ$74,""))</f>
        <v>0</v>
      </c>
      <c r="CC49" s="894">
        <f>SUM(SUMIFS(BK49:BV49,$BK$2:$BV$2,{"Dev","Impl","PIS","Close"},$BK$74:$BV$74,""))</f>
        <v>0</v>
      </c>
    </row>
    <row r="50" spans="1:88" s="4" customFormat="1">
      <c r="A50" s="6" t="s">
        <v>218</v>
      </c>
      <c r="B50" s="108"/>
      <c r="C50" s="897">
        <f>SUMIFS('Other Costs'!H$5:H$167,'Other Costs'!$D$5:$D$167,Variables!$A40,'Other Costs'!$F$5:$F$167,Miscellaneous!$N$9,'Other Costs'!$G$5:$G$167,"Capex")</f>
        <v>0</v>
      </c>
      <c r="D50" s="897">
        <f>SUMIFS('Other Costs'!I$5:I$167,'Other Costs'!$D$5:$D$167,Variables!$A40,'Other Costs'!$F$5:$F$167,Miscellaneous!$N$9,'Other Costs'!$G$5:$G$167,"Capex")</f>
        <v>0</v>
      </c>
      <c r="E50" s="897">
        <f>SUMIFS('Other Costs'!J$5:J$167,'Other Costs'!$D$5:$D$167,Variables!$A40,'Other Costs'!$F$5:$F$167,Miscellaneous!$N$9,'Other Costs'!$G$5:$G$167,"Capex")</f>
        <v>0</v>
      </c>
      <c r="F50" s="897">
        <f>SUMIFS('Other Costs'!K$5:K$167,'Other Costs'!$D$5:$D$167,Variables!$A40,'Other Costs'!$F$5:$F$167,Miscellaneous!$N$9,'Other Costs'!$G$5:$G$167,"Capex")</f>
        <v>0</v>
      </c>
      <c r="G50" s="897">
        <f>SUMIFS('Other Costs'!L$5:L$167,'Other Costs'!$D$5:$D$167,Variables!$A40,'Other Costs'!$F$5:$F$167,Miscellaneous!$N$9,'Other Costs'!$G$5:$G$167,"Capex")</f>
        <v>0</v>
      </c>
      <c r="H50" s="897">
        <f>SUMIFS('Other Costs'!M$5:M$167,'Other Costs'!$D$5:$D$167,Variables!$A40,'Other Costs'!$F$5:$F$167,Miscellaneous!$N$9,'Other Costs'!$G$5:$G$167,"Capex")</f>
        <v>0</v>
      </c>
      <c r="I50" s="897">
        <f>SUMIFS('Other Costs'!N$5:N$167,'Other Costs'!$D$5:$D$167,Variables!$A40,'Other Costs'!$F$5:$F$167,Miscellaneous!$N$9,'Other Costs'!$G$5:$G$167,"Capex")</f>
        <v>0</v>
      </c>
      <c r="J50" s="897">
        <f>SUMIFS('Other Costs'!O$5:O$167,'Other Costs'!$D$5:$D$167,Variables!$A40,'Other Costs'!$F$5:$F$167,Miscellaneous!$N$9,'Other Costs'!$G$5:$G$167,"Capex")</f>
        <v>0</v>
      </c>
      <c r="K50" s="897">
        <f>SUMIFS('Other Costs'!P$5:P$167,'Other Costs'!$D$5:$D$167,Variables!$A40,'Other Costs'!$F$5:$F$167,Miscellaneous!$N$9,'Other Costs'!$G$5:$G$167,"Capex")</f>
        <v>0</v>
      </c>
      <c r="L50" s="897">
        <f>SUMIFS('Other Costs'!Q$5:Q$167,'Other Costs'!$D$5:$D$167,Variables!$A40,'Other Costs'!$F$5:$F$167,Miscellaneous!$N$9,'Other Costs'!$G$5:$G$167,"Capex")</f>
        <v>0</v>
      </c>
      <c r="M50" s="891">
        <f>SUMIFS('Other Costs'!R$5:R$167,'Other Costs'!$D$5:$D$167,Variables!$A40,'Other Costs'!$F$5:$F$167,Miscellaneous!$N$9,'Other Costs'!$G$5:$G$167,"Capex")</f>
        <v>0</v>
      </c>
      <c r="N50" s="892">
        <f>SUMIFS('Other Costs'!S$5:S$167,'Other Costs'!$D$5:$D$167,Variables!$A40,'Other Costs'!$F$5:$F$167,Miscellaneous!$N$9,'Other Costs'!$G$5:$G$167,"Capex")</f>
        <v>0</v>
      </c>
      <c r="O50" s="897">
        <f>SUMIFS('Other Costs'!T$5:T$167,'Other Costs'!$D$5:$D$167,Variables!$A40,'Other Costs'!$F$5:$F$167,Miscellaneous!$N$9,'Other Costs'!$G$5:$G$167,"Capex")</f>
        <v>0</v>
      </c>
      <c r="P50" s="897">
        <f>SUMIFS('Other Costs'!U$5:U$167,'Other Costs'!$D$5:$D$167,Variables!$A40,'Other Costs'!$F$5:$F$167,Miscellaneous!$N$9,'Other Costs'!$G$5:$G$167,"Capex")</f>
        <v>0</v>
      </c>
      <c r="Q50" s="897">
        <f>SUMIFS('Other Costs'!V$5:V$167,'Other Costs'!$D$5:$D$167,Variables!$A40,'Other Costs'!$F$5:$F$167,Miscellaneous!$N$9,'Other Costs'!$G$5:$G$167,"Capex")</f>
        <v>0</v>
      </c>
      <c r="R50" s="897">
        <f>SUMIFS('Other Costs'!W$5:W$167,'Other Costs'!$D$5:$D$167,Variables!$A40,'Other Costs'!$F$5:$F$167,Miscellaneous!$N$9,'Other Costs'!$G$5:$G$167,"Capex")</f>
        <v>0</v>
      </c>
      <c r="S50" s="897">
        <f>SUMIFS('Other Costs'!X$5:X$167,'Other Costs'!$D$5:$D$167,Variables!$A40,'Other Costs'!$F$5:$F$167,Miscellaneous!$N$9,'Other Costs'!$G$5:$G$167,"Capex")</f>
        <v>0</v>
      </c>
      <c r="T50" s="897">
        <f>SUMIFS('Other Costs'!Y$5:Y$167,'Other Costs'!$D$5:$D$167,Variables!$A40,'Other Costs'!$F$5:$F$167,Miscellaneous!$N$9,'Other Costs'!$G$5:$G$167,"Capex")</f>
        <v>0</v>
      </c>
      <c r="U50" s="897">
        <f>SUMIFS('Other Costs'!Z$5:Z$167,'Other Costs'!$D$5:$D$167,Variables!$A40,'Other Costs'!$F$5:$F$167,Miscellaneous!$N$9,'Other Costs'!$G$5:$G$167,"Capex")</f>
        <v>0</v>
      </c>
      <c r="V50" s="897">
        <f>SUMIFS('Other Costs'!AA$5:AA$167,'Other Costs'!$D$5:$D$167,Variables!$A40,'Other Costs'!$F$5:$F$167,Miscellaneous!$N$9,'Other Costs'!$G$5:$G$167,"Capex")</f>
        <v>0</v>
      </c>
      <c r="W50" s="897">
        <f>SUMIFS('Other Costs'!AB$5:AB$167,'Other Costs'!$D$5:$D$167,Variables!$A40,'Other Costs'!$F$5:$F$167,Miscellaneous!$N$9,'Other Costs'!$G$5:$G$167,"Capex")</f>
        <v>0</v>
      </c>
      <c r="X50" s="897">
        <f>SUMIFS('Other Costs'!AC$5:AC$167,'Other Costs'!$D$5:$D$167,Variables!$A40,'Other Costs'!$F$5:$F$167,Miscellaneous!$N$9,'Other Costs'!$G$5:$G$167,"Capex")</f>
        <v>0</v>
      </c>
      <c r="Y50" s="891">
        <f>SUMIFS('Other Costs'!AD$5:AD$167,'Other Costs'!$D$5:$D$167,Variables!$A40,'Other Costs'!$F$5:$F$167,Miscellaneous!$N$9,'Other Costs'!$G$5:$G$167,"Capex")</f>
        <v>0</v>
      </c>
      <c r="Z50" s="892">
        <f>SUMIFS('Other Costs'!AE$5:AE$167,'Other Costs'!$D$5:$D$167,Variables!$A40,'Other Costs'!$F$5:$F$167,Miscellaneous!$N$9,'Other Costs'!$G$5:$G$167,"Capex")</f>
        <v>0</v>
      </c>
      <c r="AA50" s="897">
        <f>SUMIFS('Other Costs'!AF$5:AF$167,'Other Costs'!$D$5:$D$167,Variables!$A40,'Other Costs'!$F$5:$F$167,Miscellaneous!$N$9,'Other Costs'!$G$5:$G$167,"Capex")</f>
        <v>0</v>
      </c>
      <c r="AB50" s="897">
        <f>SUMIFS('Other Costs'!AG$5:AG$167,'Other Costs'!$D$5:$D$167,Variables!$A40,'Other Costs'!$F$5:$F$167,Miscellaneous!$N$9,'Other Costs'!$G$5:$G$167,"Capex")</f>
        <v>0</v>
      </c>
      <c r="AC50" s="897">
        <f>SUMIFS('Other Costs'!AH$5:AH$167,'Other Costs'!$D$5:$D$167,Variables!$A40,'Other Costs'!$F$5:$F$167,Miscellaneous!$N$9,'Other Costs'!$G$5:$G$167,"Capex")</f>
        <v>0</v>
      </c>
      <c r="AD50" s="897">
        <f>SUMIFS('Other Costs'!AI$5:AI$167,'Other Costs'!$D$5:$D$167,Variables!$A40,'Other Costs'!$F$5:$F$167,Miscellaneous!$N$9,'Other Costs'!$G$5:$G$167,"Capex")</f>
        <v>0</v>
      </c>
      <c r="AE50" s="897">
        <f>SUMIFS('Other Costs'!AJ$5:AJ$167,'Other Costs'!$D$5:$D$167,Variables!$A40,'Other Costs'!$F$5:$F$167,Miscellaneous!$N$9,'Other Costs'!$G$5:$G$167,"Capex")</f>
        <v>0</v>
      </c>
      <c r="AF50" s="897">
        <f>SUMIFS('Other Costs'!AK$5:AK$167,'Other Costs'!$D$5:$D$167,Variables!$A40,'Other Costs'!$F$5:$F$167,Miscellaneous!$N$9,'Other Costs'!$G$5:$G$167,"Capex")</f>
        <v>0</v>
      </c>
      <c r="AG50" s="897">
        <f>SUMIFS('Other Costs'!AL$5:AL$167,'Other Costs'!$D$5:$D$167,Variables!$A40,'Other Costs'!$F$5:$F$167,Miscellaneous!$N$9,'Other Costs'!$G$5:$G$167,"Capex")</f>
        <v>0</v>
      </c>
      <c r="AH50" s="897">
        <f>SUMIFS('Other Costs'!AM$5:AM$167,'Other Costs'!$D$5:$D$167,Variables!$A40,'Other Costs'!$F$5:$F$167,Miscellaneous!$N$9,'Other Costs'!$G$5:$G$167,"Capex")</f>
        <v>0</v>
      </c>
      <c r="AI50" s="897">
        <f>SUMIFS('Other Costs'!AN$5:AN$167,'Other Costs'!$D$5:$D$167,Variables!$A40,'Other Costs'!$F$5:$F$167,Miscellaneous!$N$9,'Other Costs'!$G$5:$G$167,"Capex")</f>
        <v>0</v>
      </c>
      <c r="AJ50" s="897">
        <f>SUMIFS('Other Costs'!AO$5:AO$167,'Other Costs'!$D$5:$D$167,Variables!$A40,'Other Costs'!$F$5:$F$167,Miscellaneous!$N$9,'Other Costs'!$G$5:$G$167,"Capex")</f>
        <v>0</v>
      </c>
      <c r="AK50" s="891">
        <f>SUMIFS('Other Costs'!AP$5:AP$167,'Other Costs'!$D$5:$D$167,Variables!$A40,'Other Costs'!$F$5:$F$167,Miscellaneous!$N$9,'Other Costs'!$G$5:$G$167,"Capex")</f>
        <v>0</v>
      </c>
      <c r="AL50" s="892">
        <f>SUMIFS('Other Costs'!AQ$5:AQ$167,'Other Costs'!$D$5:$D$167,Variables!$A40,'Other Costs'!$F$5:$F$167,Miscellaneous!$N$9,'Other Costs'!$G$5:$G$167,"Capex")</f>
        <v>0</v>
      </c>
      <c r="AM50" s="897">
        <f>SUMIFS('Other Costs'!AR$5:AR$167,'Other Costs'!$D$5:$D$167,Variables!$A40,'Other Costs'!$F$5:$F$167,Miscellaneous!$N$9,'Other Costs'!$G$5:$G$167,"Capex")</f>
        <v>0</v>
      </c>
      <c r="AN50" s="897">
        <f>SUMIFS('Other Costs'!AS$5:AS$167,'Other Costs'!$D$5:$D$167,Variables!$A40,'Other Costs'!$F$5:$F$167,Miscellaneous!$N$9,'Other Costs'!$G$5:$G$167,"Capex")</f>
        <v>0</v>
      </c>
      <c r="AO50" s="897">
        <f>SUMIFS('Other Costs'!AT$5:AT$167,'Other Costs'!$D$5:$D$167,Variables!$A40,'Other Costs'!$F$5:$F$167,Miscellaneous!$N$9,'Other Costs'!$G$5:$G$167,"Capex")</f>
        <v>0</v>
      </c>
      <c r="AP50" s="897">
        <f>SUMIFS('Other Costs'!AU$5:AU$167,'Other Costs'!$D$5:$D$167,Variables!$A40,'Other Costs'!$F$5:$F$167,Miscellaneous!$N$9,'Other Costs'!$G$5:$G$167,"Capex")</f>
        <v>0</v>
      </c>
      <c r="AQ50" s="897">
        <f>SUMIFS('Other Costs'!AV$5:AV$167,'Other Costs'!$D$5:$D$167,Variables!$A40,'Other Costs'!$F$5:$F$167,Miscellaneous!$N$9,'Other Costs'!$G$5:$G$167,"Capex")</f>
        <v>0</v>
      </c>
      <c r="AR50" s="897">
        <f>SUMIFS('Other Costs'!AW$5:AW$167,'Other Costs'!$D$5:$D$167,Variables!$A40,'Other Costs'!$F$5:$F$167,Miscellaneous!$N$9,'Other Costs'!$G$5:$G$167,"Capex")</f>
        <v>0</v>
      </c>
      <c r="AS50" s="897">
        <f>SUMIFS('Other Costs'!AX$5:AX$167,'Other Costs'!$D$5:$D$167,Variables!$A40,'Other Costs'!$F$5:$F$167,Miscellaneous!$N$9,'Other Costs'!$G$5:$G$167,"Capex")</f>
        <v>0</v>
      </c>
      <c r="AT50" s="897">
        <f>SUMIFS('Other Costs'!AY$5:AY$167,'Other Costs'!$D$5:$D$167,Variables!$A40,'Other Costs'!$F$5:$F$167,Miscellaneous!$N$9,'Other Costs'!$G$5:$G$167,"Capex")</f>
        <v>0</v>
      </c>
      <c r="AU50" s="897">
        <f>SUMIFS('Other Costs'!AZ$5:AZ$167,'Other Costs'!$D$5:$D$167,Variables!$A40,'Other Costs'!$F$5:$F$167,Miscellaneous!$N$9,'Other Costs'!$G$5:$G$167,"Capex")</f>
        <v>0</v>
      </c>
      <c r="AV50" s="897">
        <f>SUMIFS('Other Costs'!BA$5:BA$167,'Other Costs'!$D$5:$D$167,Variables!$A40,'Other Costs'!$F$5:$F$167,Miscellaneous!$N$9,'Other Costs'!$G$5:$G$167,"Capex")</f>
        <v>0</v>
      </c>
      <c r="AW50" s="891">
        <f>SUMIFS('Other Costs'!BB$5:BB$167,'Other Costs'!$D$5:$D$167,Variables!$A40,'Other Costs'!$F$5:$F$167,Miscellaneous!$N$9,'Other Costs'!$G$5:$G$167,"Capex")</f>
        <v>0</v>
      </c>
      <c r="AX50" s="892">
        <f>SUMIFS('Other Costs'!BC$5:BC$167,'Other Costs'!$D$5:$D$167,Variables!$A40,'Other Costs'!$F$5:$F$167,Miscellaneous!$N$9,'Other Costs'!$G$5:$G$167,"Capex")</f>
        <v>0</v>
      </c>
      <c r="AY50" s="897">
        <f>SUMIFS('Other Costs'!BD$5:BD$167,'Other Costs'!$D$5:$D$167,Variables!$A40,'Other Costs'!$F$5:$F$167,Miscellaneous!$N$9,'Other Costs'!$G$5:$G$167,"Capex")</f>
        <v>0</v>
      </c>
      <c r="AZ50" s="897">
        <f>SUMIFS('Other Costs'!BE$5:BE$167,'Other Costs'!$D$5:$D$167,Variables!$A40,'Other Costs'!$F$5:$F$167,Miscellaneous!$N$9,'Other Costs'!$G$5:$G$167,"Capex")</f>
        <v>0</v>
      </c>
      <c r="BA50" s="897">
        <f>SUMIFS('Other Costs'!BF$5:BF$167,'Other Costs'!$D$5:$D$167,Variables!$A40,'Other Costs'!$F$5:$F$167,Miscellaneous!$N$9,'Other Costs'!$G$5:$G$167,"Capex")</f>
        <v>0</v>
      </c>
      <c r="BB50" s="897">
        <f>SUMIFS('Other Costs'!BG$5:BG$167,'Other Costs'!$D$5:$D$167,Variables!$A40,'Other Costs'!$F$5:$F$167,Miscellaneous!$N$9,'Other Costs'!$G$5:$G$167,"Capex")</f>
        <v>0</v>
      </c>
      <c r="BC50" s="897">
        <f>SUMIFS('Other Costs'!BH$5:BH$167,'Other Costs'!$D$5:$D$167,Variables!$A40,'Other Costs'!$F$5:$F$167,Miscellaneous!$N$9,'Other Costs'!$G$5:$G$167,"Capex")</f>
        <v>0</v>
      </c>
      <c r="BD50" s="897">
        <f>SUMIFS('Other Costs'!BI$5:BI$167,'Other Costs'!$D$5:$D$167,Variables!$A40,'Other Costs'!$F$5:$F$167,Miscellaneous!$N$9,'Other Costs'!$G$5:$G$167,"Capex")</f>
        <v>0</v>
      </c>
      <c r="BE50" s="897">
        <f>SUMIFS('Other Costs'!BJ$5:BJ$167,'Other Costs'!$D$5:$D$167,Variables!$A40,'Other Costs'!$F$5:$F$167,Miscellaneous!$N$9,'Other Costs'!$G$5:$G$167,"Capex")</f>
        <v>0</v>
      </c>
      <c r="BF50" s="897">
        <f>SUMIFS('Other Costs'!BK$5:BK$167,'Other Costs'!$D$5:$D$167,Variables!$A40,'Other Costs'!$F$5:$F$167,Miscellaneous!$N$9,'Other Costs'!$G$5:$G$167,"Capex")</f>
        <v>0</v>
      </c>
      <c r="BG50" s="897">
        <f>SUMIFS('Other Costs'!BL$5:BL$167,'Other Costs'!$D$5:$D$167,Variables!$A40,'Other Costs'!$F$5:$F$167,Miscellaneous!$N$9,'Other Costs'!$G$5:$G$167,"Capex")</f>
        <v>0</v>
      </c>
      <c r="BH50" s="897">
        <f>SUMIFS('Other Costs'!BM$5:BM$167,'Other Costs'!$D$5:$D$167,Variables!$A40,'Other Costs'!$F$5:$F$167,Miscellaneous!$N$9,'Other Costs'!$G$5:$G$167,"Capex")</f>
        <v>0</v>
      </c>
      <c r="BI50" s="891">
        <f>SUMIFS('Other Costs'!BN$5:BN$167,'Other Costs'!$D$5:$D$167,Variables!$A40,'Other Costs'!$F$5:$F$167,Miscellaneous!$N$9,'Other Costs'!$G$5:$G$167,"Capex")</f>
        <v>0</v>
      </c>
      <c r="BJ50" s="892">
        <f>SUMIFS('Other Costs'!BO$5:BO$167,'Other Costs'!$D$5:$D$167,Variables!$A40,'Other Costs'!$F$5:$F$167,Miscellaneous!$N$9,'Other Costs'!$G$5:$G$167,"Capex")</f>
        <v>0</v>
      </c>
      <c r="BK50" s="897">
        <f>SUMIFS('Other Costs'!BP$5:BP$167,'Other Costs'!$D$5:$D$167,Variables!$A40,'Other Costs'!$F$5:$F$167,Miscellaneous!$N$9,'Other Costs'!$G$5:$G$167,"Capex")</f>
        <v>0</v>
      </c>
      <c r="BL50" s="897">
        <f>SUMIFS('Other Costs'!BQ$5:BQ$167,'Other Costs'!$D$5:$D$167,Variables!$A40,'Other Costs'!$F$5:$F$167,Miscellaneous!$N$9,'Other Costs'!$G$5:$G$167,"Capex")</f>
        <v>0</v>
      </c>
      <c r="BM50" s="897">
        <f>SUMIFS('Other Costs'!BR$5:BR$167,'Other Costs'!$D$5:$D$167,Variables!$A40,'Other Costs'!$F$5:$F$167,Miscellaneous!$N$9,'Other Costs'!$G$5:$G$167,"Capex")</f>
        <v>0</v>
      </c>
      <c r="BN50" s="897">
        <f>SUMIFS('Other Costs'!BS$5:BS$167,'Other Costs'!$D$5:$D$167,Variables!$A40,'Other Costs'!$F$5:$F$167,Miscellaneous!$N$9,'Other Costs'!$G$5:$G$167,"Capex")</f>
        <v>0</v>
      </c>
      <c r="BO50" s="897">
        <f>SUMIFS('Other Costs'!BT$5:BT$167,'Other Costs'!$D$5:$D$167,Variables!$A40,'Other Costs'!$F$5:$F$167,Miscellaneous!$N$9,'Other Costs'!$G$5:$G$167,"Capex")</f>
        <v>0</v>
      </c>
      <c r="BP50" s="897">
        <f>SUMIFS('Other Costs'!BU$5:BU$167,'Other Costs'!$D$5:$D$167,Variables!$A40,'Other Costs'!$F$5:$F$167,Miscellaneous!$N$9,'Other Costs'!$G$5:$G$167,"Capex")</f>
        <v>0</v>
      </c>
      <c r="BQ50" s="897">
        <f>SUMIFS('Other Costs'!BV$5:BV$167,'Other Costs'!$D$5:$D$167,Variables!$A40,'Other Costs'!$F$5:$F$167,Miscellaneous!$N$9,'Other Costs'!$G$5:$G$167,"Capex")</f>
        <v>0</v>
      </c>
      <c r="BR50" s="897">
        <f>SUMIFS('Other Costs'!BW$5:BW$167,'Other Costs'!$D$5:$D$167,Variables!$A40,'Other Costs'!$F$5:$F$167,Miscellaneous!$N$9,'Other Costs'!$G$5:$G$167,"Capex")</f>
        <v>0</v>
      </c>
      <c r="BS50" s="897">
        <f>SUMIFS('Other Costs'!BX$5:BX$167,'Other Costs'!$D$5:$D$167,Variables!$A40,'Other Costs'!$F$5:$F$167,Miscellaneous!$N$9,'Other Costs'!$G$5:$G$167,"Capex")</f>
        <v>0</v>
      </c>
      <c r="BT50" s="897">
        <f>SUMIFS('Other Costs'!BY$5:BY$167,'Other Costs'!$D$5:$D$167,Variables!$A40,'Other Costs'!$F$5:$F$167,Miscellaneous!$N$9,'Other Costs'!$G$5:$G$167,"Capex")</f>
        <v>0</v>
      </c>
      <c r="BU50" s="891">
        <f>SUMIFS('Other Costs'!BZ$5:BZ$167,'Other Costs'!$D$5:$D$167,Variables!$A40,'Other Costs'!$F$5:$F$167,Miscellaneous!$N$9,'Other Costs'!$G$5:$G$167,"Capex")</f>
        <v>0</v>
      </c>
      <c r="BV50" s="892">
        <f>SUMIFS('Other Costs'!CA$5:CA$167,'Other Costs'!$D$5:$D$167,Variables!$A40,'Other Costs'!$F$5:$F$167,Miscellaneous!$N$9,'Other Costs'!$G$5:$G$167,"Capex")</f>
        <v>0</v>
      </c>
      <c r="BW50" s="893">
        <f>SUMIFS(C50:BV50,$C$74:$BV$74,"")</f>
        <v>0</v>
      </c>
      <c r="BX50" s="894">
        <f>SUM(SUMIFS(C50:N50,$C$2:$N$2,{"Dev","Impl","PIS","Close"},$C$74:$N$74,""))</f>
        <v>0</v>
      </c>
      <c r="BY50" s="894">
        <f>SUM(SUMIFS(O50:Z50,$O$2:$Z$2,{"Dev","Impl","PIS","Close"},$O$74:$Z$74,""))</f>
        <v>0</v>
      </c>
      <c r="BZ50" s="894">
        <f>SUM(SUMIFS(AA50:AL50,$AA$2:$AL$2,{"Dev","Impl","PIS","Close"},$AA$74:$AL$74,""))</f>
        <v>0</v>
      </c>
      <c r="CA50" s="894">
        <f>SUM(SUMIFS(AM50:AX50,$AM$2:$AX$2,{"Dev","Impl","PIS","Close"},$AM$74:$AX$74,""))</f>
        <v>0</v>
      </c>
      <c r="CB50" s="894">
        <f>SUM(SUMIFS(AY50:BJ50,$AY$2:$BJ$2,{"Dev","Impl","PIS","Close"},$AY$74:$BJ$74,""))</f>
        <v>0</v>
      </c>
      <c r="CC50" s="894">
        <f>SUM(SUMIFS(BK50:BV50,$BK$2:$BV$2,{"Dev","Impl","PIS","Close"},$BK$74:$BV$74,""))</f>
        <v>0</v>
      </c>
    </row>
    <row r="51" spans="1:88" s="4" customFormat="1">
      <c r="A51" s="6" t="s">
        <v>15333</v>
      </c>
      <c r="B51" s="108"/>
      <c r="C51" s="897">
        <f>SUMIFS('Other Costs'!H$5:H$167,'Other Costs'!$D$5:$D$167,Variables!$A41,'Other Costs'!$F$5:$F$167,Miscellaneous!$N$9,'Other Costs'!$G$5:$G$167,"Capex")</f>
        <v>0</v>
      </c>
      <c r="D51" s="897">
        <f>SUMIFS('Other Costs'!I$5:I$167,'Other Costs'!$D$5:$D$167,Variables!$A41,'Other Costs'!$F$5:$F$167,Miscellaneous!$N$9,'Other Costs'!$G$5:$G$167,"Capex")</f>
        <v>0</v>
      </c>
      <c r="E51" s="897">
        <f>SUMIFS('Other Costs'!J$5:J$167,'Other Costs'!$D$5:$D$167,Variables!$A41,'Other Costs'!$F$5:$F$167,Miscellaneous!$N$9,'Other Costs'!$G$5:$G$167,"Capex")</f>
        <v>0</v>
      </c>
      <c r="F51" s="897">
        <f>SUMIFS('Other Costs'!K$5:K$167,'Other Costs'!$D$5:$D$167,Variables!$A41,'Other Costs'!$F$5:$F$167,Miscellaneous!$N$9,'Other Costs'!$G$5:$G$167,"Capex")</f>
        <v>0</v>
      </c>
      <c r="G51" s="897">
        <f>SUMIFS('Other Costs'!L$5:L$167,'Other Costs'!$D$5:$D$167,Variables!$A41,'Other Costs'!$F$5:$F$167,Miscellaneous!$N$9,'Other Costs'!$G$5:$G$167,"Capex")</f>
        <v>0</v>
      </c>
      <c r="H51" s="897">
        <f>SUMIFS('Other Costs'!M$5:M$167,'Other Costs'!$D$5:$D$167,Variables!$A41,'Other Costs'!$F$5:$F$167,Miscellaneous!$N$9,'Other Costs'!$G$5:$G$167,"Capex")</f>
        <v>0</v>
      </c>
      <c r="I51" s="897">
        <f>SUMIFS('Other Costs'!N$5:N$167,'Other Costs'!$D$5:$D$167,Variables!$A41,'Other Costs'!$F$5:$F$167,Miscellaneous!$N$9,'Other Costs'!$G$5:$G$167,"Capex")</f>
        <v>0</v>
      </c>
      <c r="J51" s="897">
        <f>SUMIFS('Other Costs'!O$5:O$167,'Other Costs'!$D$5:$D$167,Variables!$A41,'Other Costs'!$F$5:$F$167,Miscellaneous!$N$9,'Other Costs'!$G$5:$G$167,"Capex")</f>
        <v>0</v>
      </c>
      <c r="K51" s="897">
        <f>SUMIFS('Other Costs'!P$5:P$167,'Other Costs'!$D$5:$D$167,Variables!$A41,'Other Costs'!$F$5:$F$167,Miscellaneous!$N$9,'Other Costs'!$G$5:$G$167,"Capex")</f>
        <v>0</v>
      </c>
      <c r="L51" s="897">
        <f>SUMIFS('Other Costs'!Q$5:Q$167,'Other Costs'!$D$5:$D$167,Variables!$A41,'Other Costs'!$F$5:$F$167,Miscellaneous!$N$9,'Other Costs'!$G$5:$G$167,"Capex")</f>
        <v>0</v>
      </c>
      <c r="M51" s="891">
        <f>SUMIFS('Other Costs'!R$5:R$167,'Other Costs'!$D$5:$D$167,Variables!$A41,'Other Costs'!$F$5:$F$167,Miscellaneous!$N$9,'Other Costs'!$G$5:$G$167,"Capex")</f>
        <v>0</v>
      </c>
      <c r="N51" s="892">
        <f>SUMIFS('Other Costs'!S$5:S$167,'Other Costs'!$D$5:$D$167,Variables!$A41,'Other Costs'!$F$5:$F$167,Miscellaneous!$N$9,'Other Costs'!$G$5:$G$167,"Capex")</f>
        <v>0</v>
      </c>
      <c r="O51" s="897">
        <f>SUMIFS('Other Costs'!T$5:T$167,'Other Costs'!$D$5:$D$167,Variables!$A41,'Other Costs'!$F$5:$F$167,Miscellaneous!$N$9,'Other Costs'!$G$5:$G$167,"Capex")</f>
        <v>0</v>
      </c>
      <c r="P51" s="897">
        <f>SUMIFS('Other Costs'!U$5:U$167,'Other Costs'!$D$5:$D$167,Variables!$A41,'Other Costs'!$F$5:$F$167,Miscellaneous!$N$9,'Other Costs'!$G$5:$G$167,"Capex")</f>
        <v>0</v>
      </c>
      <c r="Q51" s="897">
        <f>SUMIFS('Other Costs'!V$5:V$167,'Other Costs'!$D$5:$D$167,Variables!$A41,'Other Costs'!$F$5:$F$167,Miscellaneous!$N$9,'Other Costs'!$G$5:$G$167,"Capex")</f>
        <v>0</v>
      </c>
      <c r="R51" s="897">
        <f>SUMIFS('Other Costs'!W$5:W$167,'Other Costs'!$D$5:$D$167,Variables!$A41,'Other Costs'!$F$5:$F$167,Miscellaneous!$N$9,'Other Costs'!$G$5:$G$167,"Capex")</f>
        <v>0</v>
      </c>
      <c r="S51" s="897">
        <f>SUMIFS('Other Costs'!X$5:X$167,'Other Costs'!$D$5:$D$167,Variables!$A41,'Other Costs'!$F$5:$F$167,Miscellaneous!$N$9,'Other Costs'!$G$5:$G$167,"Capex")</f>
        <v>0</v>
      </c>
      <c r="T51" s="897">
        <f>SUMIFS('Other Costs'!Y$5:Y$167,'Other Costs'!$D$5:$D$167,Variables!$A41,'Other Costs'!$F$5:$F$167,Miscellaneous!$N$9,'Other Costs'!$G$5:$G$167,"Capex")</f>
        <v>0</v>
      </c>
      <c r="U51" s="897">
        <f>SUMIFS('Other Costs'!Z$5:Z$167,'Other Costs'!$D$5:$D$167,Variables!$A41,'Other Costs'!$F$5:$F$167,Miscellaneous!$N$9,'Other Costs'!$G$5:$G$167,"Capex")</f>
        <v>0</v>
      </c>
      <c r="V51" s="897">
        <f>SUMIFS('Other Costs'!AA$5:AA$167,'Other Costs'!$D$5:$D$167,Variables!$A41,'Other Costs'!$F$5:$F$167,Miscellaneous!$N$9,'Other Costs'!$G$5:$G$167,"Capex")</f>
        <v>0</v>
      </c>
      <c r="W51" s="897">
        <f>SUMIFS('Other Costs'!AB$5:AB$167,'Other Costs'!$D$5:$D$167,Variables!$A41,'Other Costs'!$F$5:$F$167,Miscellaneous!$N$9,'Other Costs'!$G$5:$G$167,"Capex")</f>
        <v>0</v>
      </c>
      <c r="X51" s="897">
        <f>SUMIFS('Other Costs'!AC$5:AC$167,'Other Costs'!$D$5:$D$167,Variables!$A41,'Other Costs'!$F$5:$F$167,Miscellaneous!$N$9,'Other Costs'!$G$5:$G$167,"Capex")</f>
        <v>0</v>
      </c>
      <c r="Y51" s="891">
        <f>SUMIFS('Other Costs'!AD$5:AD$167,'Other Costs'!$D$5:$D$167,Variables!$A41,'Other Costs'!$F$5:$F$167,Miscellaneous!$N$9,'Other Costs'!$G$5:$G$167,"Capex")</f>
        <v>0</v>
      </c>
      <c r="Z51" s="892">
        <f>SUMIFS('Other Costs'!AE$5:AE$167,'Other Costs'!$D$5:$D$167,Variables!$A41,'Other Costs'!$F$5:$F$167,Miscellaneous!$N$9,'Other Costs'!$G$5:$G$167,"Capex")</f>
        <v>0</v>
      </c>
      <c r="AA51" s="897">
        <f>SUMIFS('Other Costs'!AF$5:AF$167,'Other Costs'!$D$5:$D$167,Variables!$A41,'Other Costs'!$F$5:$F$167,Miscellaneous!$N$9,'Other Costs'!$G$5:$G$167,"Capex")</f>
        <v>0</v>
      </c>
      <c r="AB51" s="897">
        <f>SUMIFS('Other Costs'!AG$5:AG$167,'Other Costs'!$D$5:$D$167,Variables!$A41,'Other Costs'!$F$5:$F$167,Miscellaneous!$N$9,'Other Costs'!$G$5:$G$167,"Capex")</f>
        <v>0</v>
      </c>
      <c r="AC51" s="897">
        <f>SUMIFS('Other Costs'!AH$5:AH$167,'Other Costs'!$D$5:$D$167,Variables!$A41,'Other Costs'!$F$5:$F$167,Miscellaneous!$N$9,'Other Costs'!$G$5:$G$167,"Capex")</f>
        <v>0</v>
      </c>
      <c r="AD51" s="897">
        <f>SUMIFS('Other Costs'!AI$5:AI$167,'Other Costs'!$D$5:$D$167,Variables!$A41,'Other Costs'!$F$5:$F$167,Miscellaneous!$N$9,'Other Costs'!$G$5:$G$167,"Capex")</f>
        <v>0</v>
      </c>
      <c r="AE51" s="897">
        <f>SUMIFS('Other Costs'!AJ$5:AJ$167,'Other Costs'!$D$5:$D$167,Variables!$A41,'Other Costs'!$F$5:$F$167,Miscellaneous!$N$9,'Other Costs'!$G$5:$G$167,"Capex")</f>
        <v>0</v>
      </c>
      <c r="AF51" s="897">
        <f>SUMIFS('Other Costs'!AK$5:AK$167,'Other Costs'!$D$5:$D$167,Variables!$A41,'Other Costs'!$F$5:$F$167,Miscellaneous!$N$9,'Other Costs'!$G$5:$G$167,"Capex")</f>
        <v>0</v>
      </c>
      <c r="AG51" s="897">
        <f>SUMIFS('Other Costs'!AL$5:AL$167,'Other Costs'!$D$5:$D$167,Variables!$A41,'Other Costs'!$F$5:$F$167,Miscellaneous!$N$9,'Other Costs'!$G$5:$G$167,"Capex")</f>
        <v>0</v>
      </c>
      <c r="AH51" s="897">
        <f>SUMIFS('Other Costs'!AM$5:AM$167,'Other Costs'!$D$5:$D$167,Variables!$A41,'Other Costs'!$F$5:$F$167,Miscellaneous!$N$9,'Other Costs'!$G$5:$G$167,"Capex")</f>
        <v>0</v>
      </c>
      <c r="AI51" s="897">
        <f>SUMIFS('Other Costs'!AN$5:AN$167,'Other Costs'!$D$5:$D$167,Variables!$A41,'Other Costs'!$F$5:$F$167,Miscellaneous!$N$9,'Other Costs'!$G$5:$G$167,"Capex")</f>
        <v>0</v>
      </c>
      <c r="AJ51" s="897">
        <f>SUMIFS('Other Costs'!AO$5:AO$167,'Other Costs'!$D$5:$D$167,Variables!$A41,'Other Costs'!$F$5:$F$167,Miscellaneous!$N$9,'Other Costs'!$G$5:$G$167,"Capex")</f>
        <v>0</v>
      </c>
      <c r="AK51" s="891">
        <f>SUMIFS('Other Costs'!AP$5:AP$167,'Other Costs'!$D$5:$D$167,Variables!$A41,'Other Costs'!$F$5:$F$167,Miscellaneous!$N$9,'Other Costs'!$G$5:$G$167,"Capex")</f>
        <v>0</v>
      </c>
      <c r="AL51" s="892">
        <f>SUMIFS('Other Costs'!AQ$5:AQ$167,'Other Costs'!$D$5:$D$167,Variables!$A41,'Other Costs'!$F$5:$F$167,Miscellaneous!$N$9,'Other Costs'!$G$5:$G$167,"Capex")</f>
        <v>0</v>
      </c>
      <c r="AM51" s="897">
        <f>SUMIFS('Other Costs'!AR$5:AR$167,'Other Costs'!$D$5:$D$167,Variables!$A41,'Other Costs'!$F$5:$F$167,Miscellaneous!$N$9,'Other Costs'!$G$5:$G$167,"Capex")</f>
        <v>0</v>
      </c>
      <c r="AN51" s="897">
        <f>SUMIFS('Other Costs'!AS$5:AS$167,'Other Costs'!$D$5:$D$167,Variables!$A41,'Other Costs'!$F$5:$F$167,Miscellaneous!$N$9,'Other Costs'!$G$5:$G$167,"Capex")</f>
        <v>0</v>
      </c>
      <c r="AO51" s="897">
        <f>SUMIFS('Other Costs'!AT$5:AT$167,'Other Costs'!$D$5:$D$167,Variables!$A41,'Other Costs'!$F$5:$F$167,Miscellaneous!$N$9,'Other Costs'!$G$5:$G$167,"Capex")</f>
        <v>0</v>
      </c>
      <c r="AP51" s="897">
        <f>SUMIFS('Other Costs'!AU$5:AU$167,'Other Costs'!$D$5:$D$167,Variables!$A41,'Other Costs'!$F$5:$F$167,Miscellaneous!$N$9,'Other Costs'!$G$5:$G$167,"Capex")</f>
        <v>0</v>
      </c>
      <c r="AQ51" s="897">
        <f>SUMIFS('Other Costs'!AV$5:AV$167,'Other Costs'!$D$5:$D$167,Variables!$A41,'Other Costs'!$F$5:$F$167,Miscellaneous!$N$9,'Other Costs'!$G$5:$G$167,"Capex")</f>
        <v>0</v>
      </c>
      <c r="AR51" s="897">
        <f>SUMIFS('Other Costs'!AW$5:AW$167,'Other Costs'!$D$5:$D$167,Variables!$A41,'Other Costs'!$F$5:$F$167,Miscellaneous!$N$9,'Other Costs'!$G$5:$G$167,"Capex")</f>
        <v>0</v>
      </c>
      <c r="AS51" s="897">
        <f>SUMIFS('Other Costs'!AX$5:AX$167,'Other Costs'!$D$5:$D$167,Variables!$A41,'Other Costs'!$F$5:$F$167,Miscellaneous!$N$9,'Other Costs'!$G$5:$G$167,"Capex")</f>
        <v>0</v>
      </c>
      <c r="AT51" s="897">
        <f>SUMIFS('Other Costs'!AY$5:AY$167,'Other Costs'!$D$5:$D$167,Variables!$A41,'Other Costs'!$F$5:$F$167,Miscellaneous!$N$9,'Other Costs'!$G$5:$G$167,"Capex")</f>
        <v>0</v>
      </c>
      <c r="AU51" s="897">
        <f>SUMIFS('Other Costs'!AZ$5:AZ$167,'Other Costs'!$D$5:$D$167,Variables!$A41,'Other Costs'!$F$5:$F$167,Miscellaneous!$N$9,'Other Costs'!$G$5:$G$167,"Capex")</f>
        <v>0</v>
      </c>
      <c r="AV51" s="897">
        <f>SUMIFS('Other Costs'!BA$5:BA$167,'Other Costs'!$D$5:$D$167,Variables!$A41,'Other Costs'!$F$5:$F$167,Miscellaneous!$N$9,'Other Costs'!$G$5:$G$167,"Capex")</f>
        <v>0</v>
      </c>
      <c r="AW51" s="891">
        <f>SUMIFS('Other Costs'!BB$5:BB$167,'Other Costs'!$D$5:$D$167,Variables!$A41,'Other Costs'!$F$5:$F$167,Miscellaneous!$N$9,'Other Costs'!$G$5:$G$167,"Capex")</f>
        <v>0</v>
      </c>
      <c r="AX51" s="892">
        <f>SUMIFS('Other Costs'!BC$5:BC$167,'Other Costs'!$D$5:$D$167,Variables!$A41,'Other Costs'!$F$5:$F$167,Miscellaneous!$N$9,'Other Costs'!$G$5:$G$167,"Capex")</f>
        <v>0</v>
      </c>
      <c r="AY51" s="897">
        <f>SUMIFS('Other Costs'!BD$5:BD$167,'Other Costs'!$D$5:$D$167,Variables!$A41,'Other Costs'!$F$5:$F$167,Miscellaneous!$N$9,'Other Costs'!$G$5:$G$167,"Capex")</f>
        <v>0</v>
      </c>
      <c r="AZ51" s="897">
        <f>SUMIFS('Other Costs'!BE$5:BE$167,'Other Costs'!$D$5:$D$167,Variables!$A41,'Other Costs'!$F$5:$F$167,Miscellaneous!$N$9,'Other Costs'!$G$5:$G$167,"Capex")</f>
        <v>0</v>
      </c>
      <c r="BA51" s="897">
        <f>SUMIFS('Other Costs'!BF$5:BF$167,'Other Costs'!$D$5:$D$167,Variables!$A41,'Other Costs'!$F$5:$F$167,Miscellaneous!$N$9,'Other Costs'!$G$5:$G$167,"Capex")</f>
        <v>0</v>
      </c>
      <c r="BB51" s="897">
        <f>SUMIFS('Other Costs'!BG$5:BG$167,'Other Costs'!$D$5:$D$167,Variables!$A41,'Other Costs'!$F$5:$F$167,Miscellaneous!$N$9,'Other Costs'!$G$5:$G$167,"Capex")</f>
        <v>0</v>
      </c>
      <c r="BC51" s="897">
        <f>SUMIFS('Other Costs'!BH$5:BH$167,'Other Costs'!$D$5:$D$167,Variables!$A41,'Other Costs'!$F$5:$F$167,Miscellaneous!$N$9,'Other Costs'!$G$5:$G$167,"Capex")</f>
        <v>0</v>
      </c>
      <c r="BD51" s="897">
        <f>SUMIFS('Other Costs'!BI$5:BI$167,'Other Costs'!$D$5:$D$167,Variables!$A41,'Other Costs'!$F$5:$F$167,Miscellaneous!$N$9,'Other Costs'!$G$5:$G$167,"Capex")</f>
        <v>0</v>
      </c>
      <c r="BE51" s="897">
        <f>SUMIFS('Other Costs'!BJ$5:BJ$167,'Other Costs'!$D$5:$D$167,Variables!$A41,'Other Costs'!$F$5:$F$167,Miscellaneous!$N$9,'Other Costs'!$G$5:$G$167,"Capex")</f>
        <v>0</v>
      </c>
      <c r="BF51" s="897">
        <f>SUMIFS('Other Costs'!BK$5:BK$167,'Other Costs'!$D$5:$D$167,Variables!$A41,'Other Costs'!$F$5:$F$167,Miscellaneous!$N$9,'Other Costs'!$G$5:$G$167,"Capex")</f>
        <v>0</v>
      </c>
      <c r="BG51" s="897">
        <f>SUMIFS('Other Costs'!BL$5:BL$167,'Other Costs'!$D$5:$D$167,Variables!$A41,'Other Costs'!$F$5:$F$167,Miscellaneous!$N$9,'Other Costs'!$G$5:$G$167,"Capex")</f>
        <v>0</v>
      </c>
      <c r="BH51" s="897">
        <f>SUMIFS('Other Costs'!BM$5:BM$167,'Other Costs'!$D$5:$D$167,Variables!$A41,'Other Costs'!$F$5:$F$167,Miscellaneous!$N$9,'Other Costs'!$G$5:$G$167,"Capex")</f>
        <v>0</v>
      </c>
      <c r="BI51" s="891">
        <f>SUMIFS('Other Costs'!BN$5:BN$167,'Other Costs'!$D$5:$D$167,Variables!$A41,'Other Costs'!$F$5:$F$167,Miscellaneous!$N$9,'Other Costs'!$G$5:$G$167,"Capex")</f>
        <v>0</v>
      </c>
      <c r="BJ51" s="892">
        <f>SUMIFS('Other Costs'!BO$5:BO$167,'Other Costs'!$D$5:$D$167,Variables!$A41,'Other Costs'!$F$5:$F$167,Miscellaneous!$N$9,'Other Costs'!$G$5:$G$167,"Capex")</f>
        <v>0</v>
      </c>
      <c r="BK51" s="897">
        <f>SUMIFS('Other Costs'!BP$5:BP$167,'Other Costs'!$D$5:$D$167,Variables!$A41,'Other Costs'!$F$5:$F$167,Miscellaneous!$N$9,'Other Costs'!$G$5:$G$167,"Capex")</f>
        <v>0</v>
      </c>
      <c r="BL51" s="897">
        <f>SUMIFS('Other Costs'!BQ$5:BQ$167,'Other Costs'!$D$5:$D$167,Variables!$A41,'Other Costs'!$F$5:$F$167,Miscellaneous!$N$9,'Other Costs'!$G$5:$G$167,"Capex")</f>
        <v>0</v>
      </c>
      <c r="BM51" s="897">
        <f>SUMIFS('Other Costs'!BR$5:BR$167,'Other Costs'!$D$5:$D$167,Variables!$A41,'Other Costs'!$F$5:$F$167,Miscellaneous!$N$9,'Other Costs'!$G$5:$G$167,"Capex")</f>
        <v>0</v>
      </c>
      <c r="BN51" s="897">
        <f>SUMIFS('Other Costs'!BS$5:BS$167,'Other Costs'!$D$5:$D$167,Variables!$A41,'Other Costs'!$F$5:$F$167,Miscellaneous!$N$9,'Other Costs'!$G$5:$G$167,"Capex")</f>
        <v>0</v>
      </c>
      <c r="BO51" s="897">
        <f>SUMIFS('Other Costs'!BT$5:BT$167,'Other Costs'!$D$5:$D$167,Variables!$A41,'Other Costs'!$F$5:$F$167,Miscellaneous!$N$9,'Other Costs'!$G$5:$G$167,"Capex")</f>
        <v>0</v>
      </c>
      <c r="BP51" s="897">
        <f>SUMIFS('Other Costs'!BU$5:BU$167,'Other Costs'!$D$5:$D$167,Variables!$A41,'Other Costs'!$F$5:$F$167,Miscellaneous!$N$9,'Other Costs'!$G$5:$G$167,"Capex")</f>
        <v>0</v>
      </c>
      <c r="BQ51" s="897">
        <f>SUMIFS('Other Costs'!BV$5:BV$167,'Other Costs'!$D$5:$D$167,Variables!$A41,'Other Costs'!$F$5:$F$167,Miscellaneous!$N$9,'Other Costs'!$G$5:$G$167,"Capex")</f>
        <v>0</v>
      </c>
      <c r="BR51" s="897">
        <f>SUMIFS('Other Costs'!BW$5:BW$167,'Other Costs'!$D$5:$D$167,Variables!$A41,'Other Costs'!$F$5:$F$167,Miscellaneous!$N$9,'Other Costs'!$G$5:$G$167,"Capex")</f>
        <v>0</v>
      </c>
      <c r="BS51" s="897">
        <f>SUMIFS('Other Costs'!BX$5:BX$167,'Other Costs'!$D$5:$D$167,Variables!$A41,'Other Costs'!$F$5:$F$167,Miscellaneous!$N$9,'Other Costs'!$G$5:$G$167,"Capex")</f>
        <v>0</v>
      </c>
      <c r="BT51" s="897">
        <f>SUMIFS('Other Costs'!BY$5:BY$167,'Other Costs'!$D$5:$D$167,Variables!$A41,'Other Costs'!$F$5:$F$167,Miscellaneous!$N$9,'Other Costs'!$G$5:$G$167,"Capex")</f>
        <v>0</v>
      </c>
      <c r="BU51" s="891">
        <f>SUMIFS('Other Costs'!BZ$5:BZ$167,'Other Costs'!$D$5:$D$167,Variables!$A41,'Other Costs'!$F$5:$F$167,Miscellaneous!$N$9,'Other Costs'!$G$5:$G$167,"Capex")</f>
        <v>0</v>
      </c>
      <c r="BV51" s="892">
        <f>SUMIFS('Other Costs'!CA$5:CA$167,'Other Costs'!$D$5:$D$167,Variables!$A41,'Other Costs'!$F$5:$F$167,Miscellaneous!$N$9,'Other Costs'!$G$5:$G$167,"Capex")</f>
        <v>0</v>
      </c>
      <c r="BW51" s="893">
        <f>SUMIFS(C51:BV51,$C$74:$BV$74,"")</f>
        <v>0</v>
      </c>
      <c r="BX51" s="894">
        <f>SUM(SUMIFS(C51:N51,$C$2:$N$2,{"Dev","Impl","PIS","Close"},$C$74:$N$74,""))</f>
        <v>0</v>
      </c>
      <c r="BY51" s="894">
        <f>SUM(SUMIFS(O51:Z51,$O$2:$Z$2,{"Dev","Impl","PIS","Close"},$O$74:$Z$74,""))</f>
        <v>0</v>
      </c>
      <c r="BZ51" s="894">
        <f>SUM(SUMIFS(AA51:AL51,$AA$2:$AL$2,{"Dev","Impl","PIS","Close"},$AA$74:$AL$74,""))</f>
        <v>0</v>
      </c>
      <c r="CA51" s="894">
        <f>SUM(SUMIFS(AM51:AX51,$AM$2:$AX$2,{"Dev","Impl","PIS","Close"},$AM$74:$AX$74,""))</f>
        <v>0</v>
      </c>
      <c r="CB51" s="894">
        <f>SUM(SUMIFS(AY51:BJ51,$AY$2:$BJ$2,{"Dev","Impl","PIS","Close"},$AY$74:$BJ$74,""))</f>
        <v>0</v>
      </c>
      <c r="CC51" s="894">
        <f>SUM(SUMIFS(BK51:BV51,$BK$2:$BV$2,{"Dev","Impl","PIS","Close"},$BK$74:$BV$74,""))</f>
        <v>0</v>
      </c>
    </row>
    <row r="52" spans="1:88" s="4" customFormat="1">
      <c r="A52" s="6" t="s">
        <v>219</v>
      </c>
      <c r="B52" s="108"/>
      <c r="C52" s="897">
        <f>SUMIFS('Other Costs'!H$5:H$167,'Other Costs'!$D$5:$D$167,Variables!$A42,'Other Costs'!$F$5:$F$167,Miscellaneous!$N$9,'Other Costs'!$G$5:$G$167,"Capex")</f>
        <v>0</v>
      </c>
      <c r="D52" s="897">
        <f>SUMIFS('Other Costs'!I$5:I$167,'Other Costs'!$D$5:$D$167,Variables!$A42,'Other Costs'!$F$5:$F$167,Miscellaneous!$N$9,'Other Costs'!$G$5:$G$167,"Capex")</f>
        <v>0</v>
      </c>
      <c r="E52" s="897">
        <f>SUMIFS('Other Costs'!J$5:J$167,'Other Costs'!$D$5:$D$167,Variables!$A42,'Other Costs'!$F$5:$F$167,Miscellaneous!$N$9,'Other Costs'!$G$5:$G$167,"Capex")</f>
        <v>0</v>
      </c>
      <c r="F52" s="897">
        <f>SUMIFS('Other Costs'!K$5:K$167,'Other Costs'!$D$5:$D$167,Variables!$A42,'Other Costs'!$F$5:$F$167,Miscellaneous!$N$9,'Other Costs'!$G$5:$G$167,"Capex")</f>
        <v>0</v>
      </c>
      <c r="G52" s="897">
        <f>SUMIFS('Other Costs'!L$5:L$167,'Other Costs'!$D$5:$D$167,Variables!$A42,'Other Costs'!$F$5:$F$167,Miscellaneous!$N$9,'Other Costs'!$G$5:$G$167,"Capex")</f>
        <v>0</v>
      </c>
      <c r="H52" s="897">
        <f>SUMIFS('Other Costs'!M$5:M$167,'Other Costs'!$D$5:$D$167,Variables!$A42,'Other Costs'!$F$5:$F$167,Miscellaneous!$N$9,'Other Costs'!$G$5:$G$167,"Capex")</f>
        <v>0</v>
      </c>
      <c r="I52" s="897">
        <f>SUMIFS('Other Costs'!N$5:N$167,'Other Costs'!$D$5:$D$167,Variables!$A42,'Other Costs'!$F$5:$F$167,Miscellaneous!$N$9,'Other Costs'!$G$5:$G$167,"Capex")</f>
        <v>0</v>
      </c>
      <c r="J52" s="897">
        <f>SUMIFS('Other Costs'!O$5:O$167,'Other Costs'!$D$5:$D$167,Variables!$A42,'Other Costs'!$F$5:$F$167,Miscellaneous!$N$9,'Other Costs'!$G$5:$G$167,"Capex")</f>
        <v>0</v>
      </c>
      <c r="K52" s="897">
        <f>SUMIFS('Other Costs'!P$5:P$167,'Other Costs'!$D$5:$D$167,Variables!$A42,'Other Costs'!$F$5:$F$167,Miscellaneous!$N$9,'Other Costs'!$G$5:$G$167,"Capex")</f>
        <v>0</v>
      </c>
      <c r="L52" s="897">
        <f>SUMIFS('Other Costs'!Q$5:Q$167,'Other Costs'!$D$5:$D$167,Variables!$A42,'Other Costs'!$F$5:$F$167,Miscellaneous!$N$9,'Other Costs'!$G$5:$G$167,"Capex")</f>
        <v>0</v>
      </c>
      <c r="M52" s="891">
        <f>SUMIFS('Other Costs'!R$5:R$167,'Other Costs'!$D$5:$D$167,Variables!$A42,'Other Costs'!$F$5:$F$167,Miscellaneous!$N$9,'Other Costs'!$G$5:$G$167,"Capex")</f>
        <v>0</v>
      </c>
      <c r="N52" s="892">
        <f>SUMIFS('Other Costs'!S$5:S$167,'Other Costs'!$D$5:$D$167,Variables!$A42,'Other Costs'!$F$5:$F$167,Miscellaneous!$N$9,'Other Costs'!$G$5:$G$167,"Capex")</f>
        <v>0</v>
      </c>
      <c r="O52" s="897">
        <f>SUMIFS('Other Costs'!T$5:T$167,'Other Costs'!$D$5:$D$167,Variables!$A42,'Other Costs'!$F$5:$F$167,Miscellaneous!$N$9,'Other Costs'!$G$5:$G$167,"Capex")</f>
        <v>0</v>
      </c>
      <c r="P52" s="897">
        <f>SUMIFS('Other Costs'!U$5:U$167,'Other Costs'!$D$5:$D$167,Variables!$A42,'Other Costs'!$F$5:$F$167,Miscellaneous!$N$9,'Other Costs'!$G$5:$G$167,"Capex")</f>
        <v>0</v>
      </c>
      <c r="Q52" s="897">
        <f>SUMIFS('Other Costs'!V$5:V$167,'Other Costs'!$D$5:$D$167,Variables!$A42,'Other Costs'!$F$5:$F$167,Miscellaneous!$N$9,'Other Costs'!$G$5:$G$167,"Capex")</f>
        <v>0</v>
      </c>
      <c r="R52" s="897">
        <f>SUMIFS('Other Costs'!W$5:W$167,'Other Costs'!$D$5:$D$167,Variables!$A42,'Other Costs'!$F$5:$F$167,Miscellaneous!$N$9,'Other Costs'!$G$5:$G$167,"Capex")</f>
        <v>0</v>
      </c>
      <c r="S52" s="897">
        <f>SUMIFS('Other Costs'!X$5:X$167,'Other Costs'!$D$5:$D$167,Variables!$A42,'Other Costs'!$F$5:$F$167,Miscellaneous!$N$9,'Other Costs'!$G$5:$G$167,"Capex")</f>
        <v>0</v>
      </c>
      <c r="T52" s="897">
        <f>SUMIFS('Other Costs'!Y$5:Y$167,'Other Costs'!$D$5:$D$167,Variables!$A42,'Other Costs'!$F$5:$F$167,Miscellaneous!$N$9,'Other Costs'!$G$5:$G$167,"Capex")</f>
        <v>0</v>
      </c>
      <c r="U52" s="897">
        <f>SUMIFS('Other Costs'!Z$5:Z$167,'Other Costs'!$D$5:$D$167,Variables!$A42,'Other Costs'!$F$5:$F$167,Miscellaneous!$N$9,'Other Costs'!$G$5:$G$167,"Capex")</f>
        <v>0</v>
      </c>
      <c r="V52" s="897">
        <f>SUMIFS('Other Costs'!AA$5:AA$167,'Other Costs'!$D$5:$D$167,Variables!$A42,'Other Costs'!$F$5:$F$167,Miscellaneous!$N$9,'Other Costs'!$G$5:$G$167,"Capex")</f>
        <v>0</v>
      </c>
      <c r="W52" s="897">
        <f>SUMIFS('Other Costs'!AB$5:AB$167,'Other Costs'!$D$5:$D$167,Variables!$A42,'Other Costs'!$F$5:$F$167,Miscellaneous!$N$9,'Other Costs'!$G$5:$G$167,"Capex")</f>
        <v>0</v>
      </c>
      <c r="X52" s="897">
        <f>SUMIFS('Other Costs'!AC$5:AC$167,'Other Costs'!$D$5:$D$167,Variables!$A42,'Other Costs'!$F$5:$F$167,Miscellaneous!$N$9,'Other Costs'!$G$5:$G$167,"Capex")</f>
        <v>0</v>
      </c>
      <c r="Y52" s="891">
        <f>SUMIFS('Other Costs'!AD$5:AD$167,'Other Costs'!$D$5:$D$167,Variables!$A42,'Other Costs'!$F$5:$F$167,Miscellaneous!$N$9,'Other Costs'!$G$5:$G$167,"Capex")</f>
        <v>0</v>
      </c>
      <c r="Z52" s="892">
        <f>SUMIFS('Other Costs'!AE$5:AE$167,'Other Costs'!$D$5:$D$167,Variables!$A42,'Other Costs'!$F$5:$F$167,Miscellaneous!$N$9,'Other Costs'!$G$5:$G$167,"Capex")</f>
        <v>0</v>
      </c>
      <c r="AA52" s="897">
        <f>SUMIFS('Other Costs'!AF$5:AF$167,'Other Costs'!$D$5:$D$167,Variables!$A42,'Other Costs'!$F$5:$F$167,Miscellaneous!$N$9,'Other Costs'!$G$5:$G$167,"Capex")</f>
        <v>0</v>
      </c>
      <c r="AB52" s="897">
        <f>SUMIFS('Other Costs'!AG$5:AG$167,'Other Costs'!$D$5:$D$167,Variables!$A42,'Other Costs'!$F$5:$F$167,Miscellaneous!$N$9,'Other Costs'!$G$5:$G$167,"Capex")</f>
        <v>0</v>
      </c>
      <c r="AC52" s="897">
        <f>SUMIFS('Other Costs'!AH$5:AH$167,'Other Costs'!$D$5:$D$167,Variables!$A42,'Other Costs'!$F$5:$F$167,Miscellaneous!$N$9,'Other Costs'!$G$5:$G$167,"Capex")</f>
        <v>0</v>
      </c>
      <c r="AD52" s="897">
        <f>SUMIFS('Other Costs'!AI$5:AI$167,'Other Costs'!$D$5:$D$167,Variables!$A42,'Other Costs'!$F$5:$F$167,Miscellaneous!$N$9,'Other Costs'!$G$5:$G$167,"Capex")</f>
        <v>0</v>
      </c>
      <c r="AE52" s="897">
        <f>SUMIFS('Other Costs'!AJ$5:AJ$167,'Other Costs'!$D$5:$D$167,Variables!$A42,'Other Costs'!$F$5:$F$167,Miscellaneous!$N$9,'Other Costs'!$G$5:$G$167,"Capex")</f>
        <v>0</v>
      </c>
      <c r="AF52" s="897">
        <f>SUMIFS('Other Costs'!AK$5:AK$167,'Other Costs'!$D$5:$D$167,Variables!$A42,'Other Costs'!$F$5:$F$167,Miscellaneous!$N$9,'Other Costs'!$G$5:$G$167,"Capex")</f>
        <v>0</v>
      </c>
      <c r="AG52" s="897">
        <f>SUMIFS('Other Costs'!AL$5:AL$167,'Other Costs'!$D$5:$D$167,Variables!$A42,'Other Costs'!$F$5:$F$167,Miscellaneous!$N$9,'Other Costs'!$G$5:$G$167,"Capex")</f>
        <v>0</v>
      </c>
      <c r="AH52" s="897">
        <f>SUMIFS('Other Costs'!AM$5:AM$167,'Other Costs'!$D$5:$D$167,Variables!$A42,'Other Costs'!$F$5:$F$167,Miscellaneous!$N$9,'Other Costs'!$G$5:$G$167,"Capex")</f>
        <v>0</v>
      </c>
      <c r="AI52" s="897">
        <f>SUMIFS('Other Costs'!AN$5:AN$167,'Other Costs'!$D$5:$D$167,Variables!$A42,'Other Costs'!$F$5:$F$167,Miscellaneous!$N$9,'Other Costs'!$G$5:$G$167,"Capex")</f>
        <v>0</v>
      </c>
      <c r="AJ52" s="897">
        <f>SUMIFS('Other Costs'!AO$5:AO$167,'Other Costs'!$D$5:$D$167,Variables!$A42,'Other Costs'!$F$5:$F$167,Miscellaneous!$N$9,'Other Costs'!$G$5:$G$167,"Capex")</f>
        <v>0</v>
      </c>
      <c r="AK52" s="891">
        <f>SUMIFS('Other Costs'!AP$5:AP$167,'Other Costs'!$D$5:$D$167,Variables!$A42,'Other Costs'!$F$5:$F$167,Miscellaneous!$N$9,'Other Costs'!$G$5:$G$167,"Capex")</f>
        <v>0</v>
      </c>
      <c r="AL52" s="892">
        <f>SUMIFS('Other Costs'!AQ$5:AQ$167,'Other Costs'!$D$5:$D$167,Variables!$A42,'Other Costs'!$F$5:$F$167,Miscellaneous!$N$9,'Other Costs'!$G$5:$G$167,"Capex")</f>
        <v>0</v>
      </c>
      <c r="AM52" s="897">
        <f>SUMIFS('Other Costs'!AR$5:AR$167,'Other Costs'!$D$5:$D$167,Variables!$A42,'Other Costs'!$F$5:$F$167,Miscellaneous!$N$9,'Other Costs'!$G$5:$G$167,"Capex")</f>
        <v>0</v>
      </c>
      <c r="AN52" s="897">
        <f>SUMIFS('Other Costs'!AS$5:AS$167,'Other Costs'!$D$5:$D$167,Variables!$A42,'Other Costs'!$F$5:$F$167,Miscellaneous!$N$9,'Other Costs'!$G$5:$G$167,"Capex")</f>
        <v>0</v>
      </c>
      <c r="AO52" s="897">
        <f>SUMIFS('Other Costs'!AT$5:AT$167,'Other Costs'!$D$5:$D$167,Variables!$A42,'Other Costs'!$F$5:$F$167,Miscellaneous!$N$9,'Other Costs'!$G$5:$G$167,"Capex")</f>
        <v>0</v>
      </c>
      <c r="AP52" s="897">
        <f>SUMIFS('Other Costs'!AU$5:AU$167,'Other Costs'!$D$5:$D$167,Variables!$A42,'Other Costs'!$F$5:$F$167,Miscellaneous!$N$9,'Other Costs'!$G$5:$G$167,"Capex")</f>
        <v>0</v>
      </c>
      <c r="AQ52" s="897">
        <f>SUMIFS('Other Costs'!AV$5:AV$167,'Other Costs'!$D$5:$D$167,Variables!$A42,'Other Costs'!$F$5:$F$167,Miscellaneous!$N$9,'Other Costs'!$G$5:$G$167,"Capex")</f>
        <v>0</v>
      </c>
      <c r="AR52" s="897">
        <f>SUMIFS('Other Costs'!AW$5:AW$167,'Other Costs'!$D$5:$D$167,Variables!$A42,'Other Costs'!$F$5:$F$167,Miscellaneous!$N$9,'Other Costs'!$G$5:$G$167,"Capex")</f>
        <v>0</v>
      </c>
      <c r="AS52" s="897">
        <f>SUMIFS('Other Costs'!AX$5:AX$167,'Other Costs'!$D$5:$D$167,Variables!$A42,'Other Costs'!$F$5:$F$167,Miscellaneous!$N$9,'Other Costs'!$G$5:$G$167,"Capex")</f>
        <v>0</v>
      </c>
      <c r="AT52" s="897">
        <f>SUMIFS('Other Costs'!AY$5:AY$167,'Other Costs'!$D$5:$D$167,Variables!$A42,'Other Costs'!$F$5:$F$167,Miscellaneous!$N$9,'Other Costs'!$G$5:$G$167,"Capex")</f>
        <v>0</v>
      </c>
      <c r="AU52" s="897">
        <f>SUMIFS('Other Costs'!AZ$5:AZ$167,'Other Costs'!$D$5:$D$167,Variables!$A42,'Other Costs'!$F$5:$F$167,Miscellaneous!$N$9,'Other Costs'!$G$5:$G$167,"Capex")</f>
        <v>0</v>
      </c>
      <c r="AV52" s="897">
        <f>SUMIFS('Other Costs'!BA$5:BA$167,'Other Costs'!$D$5:$D$167,Variables!$A42,'Other Costs'!$F$5:$F$167,Miscellaneous!$N$9,'Other Costs'!$G$5:$G$167,"Capex")</f>
        <v>0</v>
      </c>
      <c r="AW52" s="891">
        <f>SUMIFS('Other Costs'!BB$5:BB$167,'Other Costs'!$D$5:$D$167,Variables!$A42,'Other Costs'!$F$5:$F$167,Miscellaneous!$N$9,'Other Costs'!$G$5:$G$167,"Capex")</f>
        <v>0</v>
      </c>
      <c r="AX52" s="892">
        <f>SUMIFS('Other Costs'!BC$5:BC$167,'Other Costs'!$D$5:$D$167,Variables!$A42,'Other Costs'!$F$5:$F$167,Miscellaneous!$N$9,'Other Costs'!$G$5:$G$167,"Capex")</f>
        <v>0</v>
      </c>
      <c r="AY52" s="897">
        <f>SUMIFS('Other Costs'!BD$5:BD$167,'Other Costs'!$D$5:$D$167,Variables!$A42,'Other Costs'!$F$5:$F$167,Miscellaneous!$N$9,'Other Costs'!$G$5:$G$167,"Capex")</f>
        <v>0</v>
      </c>
      <c r="AZ52" s="897">
        <f>SUMIFS('Other Costs'!BE$5:BE$167,'Other Costs'!$D$5:$D$167,Variables!$A42,'Other Costs'!$F$5:$F$167,Miscellaneous!$N$9,'Other Costs'!$G$5:$G$167,"Capex")</f>
        <v>0</v>
      </c>
      <c r="BA52" s="897">
        <f>SUMIFS('Other Costs'!BF$5:BF$167,'Other Costs'!$D$5:$D$167,Variables!$A42,'Other Costs'!$F$5:$F$167,Miscellaneous!$N$9,'Other Costs'!$G$5:$G$167,"Capex")</f>
        <v>0</v>
      </c>
      <c r="BB52" s="897">
        <f>SUMIFS('Other Costs'!BG$5:BG$167,'Other Costs'!$D$5:$D$167,Variables!$A42,'Other Costs'!$F$5:$F$167,Miscellaneous!$N$9,'Other Costs'!$G$5:$G$167,"Capex")</f>
        <v>0</v>
      </c>
      <c r="BC52" s="897">
        <f>SUMIFS('Other Costs'!BH$5:BH$167,'Other Costs'!$D$5:$D$167,Variables!$A42,'Other Costs'!$F$5:$F$167,Miscellaneous!$N$9,'Other Costs'!$G$5:$G$167,"Capex")</f>
        <v>0</v>
      </c>
      <c r="BD52" s="897">
        <f>SUMIFS('Other Costs'!BI$5:BI$167,'Other Costs'!$D$5:$D$167,Variables!$A42,'Other Costs'!$F$5:$F$167,Miscellaneous!$N$9,'Other Costs'!$G$5:$G$167,"Capex")</f>
        <v>0</v>
      </c>
      <c r="BE52" s="897">
        <f>SUMIFS('Other Costs'!BJ$5:BJ$167,'Other Costs'!$D$5:$D$167,Variables!$A42,'Other Costs'!$F$5:$F$167,Miscellaneous!$N$9,'Other Costs'!$G$5:$G$167,"Capex")</f>
        <v>0</v>
      </c>
      <c r="BF52" s="897">
        <f>SUMIFS('Other Costs'!BK$5:BK$167,'Other Costs'!$D$5:$D$167,Variables!$A42,'Other Costs'!$F$5:$F$167,Miscellaneous!$N$9,'Other Costs'!$G$5:$G$167,"Capex")</f>
        <v>0</v>
      </c>
      <c r="BG52" s="897">
        <f>SUMIFS('Other Costs'!BL$5:BL$167,'Other Costs'!$D$5:$D$167,Variables!$A42,'Other Costs'!$F$5:$F$167,Miscellaneous!$N$9,'Other Costs'!$G$5:$G$167,"Capex")</f>
        <v>0</v>
      </c>
      <c r="BH52" s="897">
        <f>SUMIFS('Other Costs'!BM$5:BM$167,'Other Costs'!$D$5:$D$167,Variables!$A42,'Other Costs'!$F$5:$F$167,Miscellaneous!$N$9,'Other Costs'!$G$5:$G$167,"Capex")</f>
        <v>0</v>
      </c>
      <c r="BI52" s="891">
        <f>SUMIFS('Other Costs'!BN$5:BN$167,'Other Costs'!$D$5:$D$167,Variables!$A42,'Other Costs'!$F$5:$F$167,Miscellaneous!$N$9,'Other Costs'!$G$5:$G$167,"Capex")</f>
        <v>0</v>
      </c>
      <c r="BJ52" s="892">
        <f>SUMIFS('Other Costs'!BO$5:BO$167,'Other Costs'!$D$5:$D$167,Variables!$A42,'Other Costs'!$F$5:$F$167,Miscellaneous!$N$9,'Other Costs'!$G$5:$G$167,"Capex")</f>
        <v>0</v>
      </c>
      <c r="BK52" s="897">
        <f>SUMIFS('Other Costs'!BP$5:BP$167,'Other Costs'!$D$5:$D$167,Variables!$A42,'Other Costs'!$F$5:$F$167,Miscellaneous!$N$9,'Other Costs'!$G$5:$G$167,"Capex")</f>
        <v>0</v>
      </c>
      <c r="BL52" s="897">
        <f>SUMIFS('Other Costs'!BQ$5:BQ$167,'Other Costs'!$D$5:$D$167,Variables!$A42,'Other Costs'!$F$5:$F$167,Miscellaneous!$N$9,'Other Costs'!$G$5:$G$167,"Capex")</f>
        <v>0</v>
      </c>
      <c r="BM52" s="897">
        <f>SUMIFS('Other Costs'!BR$5:BR$167,'Other Costs'!$D$5:$D$167,Variables!$A42,'Other Costs'!$F$5:$F$167,Miscellaneous!$N$9,'Other Costs'!$G$5:$G$167,"Capex")</f>
        <v>0</v>
      </c>
      <c r="BN52" s="897">
        <f>SUMIFS('Other Costs'!BS$5:BS$167,'Other Costs'!$D$5:$D$167,Variables!$A42,'Other Costs'!$F$5:$F$167,Miscellaneous!$N$9,'Other Costs'!$G$5:$G$167,"Capex")</f>
        <v>0</v>
      </c>
      <c r="BO52" s="897">
        <f>SUMIFS('Other Costs'!BT$5:BT$167,'Other Costs'!$D$5:$D$167,Variables!$A42,'Other Costs'!$F$5:$F$167,Miscellaneous!$N$9,'Other Costs'!$G$5:$G$167,"Capex")</f>
        <v>0</v>
      </c>
      <c r="BP52" s="897">
        <f>SUMIFS('Other Costs'!BU$5:BU$167,'Other Costs'!$D$5:$D$167,Variables!$A42,'Other Costs'!$F$5:$F$167,Miscellaneous!$N$9,'Other Costs'!$G$5:$G$167,"Capex")</f>
        <v>0</v>
      </c>
      <c r="BQ52" s="897">
        <f>SUMIFS('Other Costs'!BV$5:BV$167,'Other Costs'!$D$5:$D$167,Variables!$A42,'Other Costs'!$F$5:$F$167,Miscellaneous!$N$9,'Other Costs'!$G$5:$G$167,"Capex")</f>
        <v>0</v>
      </c>
      <c r="BR52" s="897">
        <f>SUMIFS('Other Costs'!BW$5:BW$167,'Other Costs'!$D$5:$D$167,Variables!$A42,'Other Costs'!$F$5:$F$167,Miscellaneous!$N$9,'Other Costs'!$G$5:$G$167,"Capex")</f>
        <v>0</v>
      </c>
      <c r="BS52" s="897">
        <f>SUMIFS('Other Costs'!BX$5:BX$167,'Other Costs'!$D$5:$D$167,Variables!$A42,'Other Costs'!$F$5:$F$167,Miscellaneous!$N$9,'Other Costs'!$G$5:$G$167,"Capex")</f>
        <v>0</v>
      </c>
      <c r="BT52" s="897">
        <f>SUMIFS('Other Costs'!BY$5:BY$167,'Other Costs'!$D$5:$D$167,Variables!$A42,'Other Costs'!$F$5:$F$167,Miscellaneous!$N$9,'Other Costs'!$G$5:$G$167,"Capex")</f>
        <v>0</v>
      </c>
      <c r="BU52" s="891">
        <f>SUMIFS('Other Costs'!BZ$5:BZ$167,'Other Costs'!$D$5:$D$167,Variables!$A42,'Other Costs'!$F$5:$F$167,Miscellaneous!$N$9,'Other Costs'!$G$5:$G$167,"Capex")</f>
        <v>0</v>
      </c>
      <c r="BV52" s="889">
        <f>SUMIFS('Other Costs'!CA$5:CA$167,'Other Costs'!$D$5:$D$167,Variables!$A42,'Other Costs'!$F$5:$F$167,Miscellaneous!$N$9,'Other Costs'!$G$5:$G$167,"Capex")</f>
        <v>0</v>
      </c>
      <c r="BW52" s="893">
        <f>SUMIFS(C52:BV52,$C$74:$BV$74,"")</f>
        <v>0</v>
      </c>
      <c r="BX52" s="894">
        <f>SUM(SUMIFS(C52:N52,$C$2:$N$2,{"Dev","Impl","PIS","Close"},$C$74:$N$74,""))</f>
        <v>0</v>
      </c>
      <c r="BY52" s="894">
        <f>SUM(SUMIFS(O52:Z52,$O$2:$Z$2,{"Dev","Impl","PIS","Close"},$O$74:$Z$74,""))</f>
        <v>0</v>
      </c>
      <c r="BZ52" s="894">
        <f>SUM(SUMIFS(AA52:AL52,$AA$2:$AL$2,{"Dev","Impl","PIS","Close"},$AA$74:$AL$74,""))</f>
        <v>0</v>
      </c>
      <c r="CA52" s="894">
        <f>SUM(SUMIFS(AM52:AX52,$AM$2:$AX$2,{"Dev","Impl","PIS","Close"},$AM$74:$AX$74,""))</f>
        <v>0</v>
      </c>
      <c r="CB52" s="894">
        <f>SUM(SUMIFS(AY52:BJ52,$AY$2:$BJ$2,{"Dev","Impl","PIS","Close"},$AY$74:$BJ$74,""))</f>
        <v>0</v>
      </c>
      <c r="CC52" s="894">
        <f>SUM(SUMIFS(BK52:BV52,$BK$2:$BV$2,{"Dev","Impl","PIS","Close"},$BK$74:$BV$74,""))</f>
        <v>0</v>
      </c>
    </row>
    <row r="53" spans="1:88" s="4" customFormat="1">
      <c r="A53" s="6" t="s">
        <v>220</v>
      </c>
      <c r="B53" s="108"/>
      <c r="C53" s="897">
        <f>SUMIFS('Other Costs'!H$5:H$167,'Other Costs'!$F$5:$F$167,Miscellaneous!$N$9,'Other Costs'!$G$5:$G$167,"Capex")-SUM(C49:C52)</f>
        <v>0</v>
      </c>
      <c r="D53" s="897">
        <f>SUMIFS('Other Costs'!I$5:I$167,'Other Costs'!$F$5:$F$167,Miscellaneous!$N$9,'Other Costs'!$G$5:$G$167,"Capex")-SUM(D49:D52)</f>
        <v>0</v>
      </c>
      <c r="E53" s="897">
        <f>SUMIFS('Other Costs'!J$5:J$167,'Other Costs'!$F$5:$F$167,Miscellaneous!$N$9,'Other Costs'!$G$5:$G$167,"Capex")-SUM(E49:E52)</f>
        <v>0</v>
      </c>
      <c r="F53" s="897">
        <f>SUMIFS('Other Costs'!K$5:K$167,'Other Costs'!$F$5:$F$167,Miscellaneous!$N$9,'Other Costs'!$G$5:$G$167,"Capex")-SUM(F49:F52)</f>
        <v>0</v>
      </c>
      <c r="G53" s="897">
        <f>SUMIFS('Other Costs'!L$5:L$167,'Other Costs'!$F$5:$F$167,Miscellaneous!$N$9,'Other Costs'!$G$5:$G$167,"Capex")-SUM(G49:G52)</f>
        <v>0</v>
      </c>
      <c r="H53" s="897">
        <f>SUMIFS('Other Costs'!M$5:M$167,'Other Costs'!$F$5:$F$167,Miscellaneous!$N$9,'Other Costs'!$G$5:$G$167,"Capex")-SUM(H49:H52)</f>
        <v>0</v>
      </c>
      <c r="I53" s="897">
        <f>SUMIFS('Other Costs'!N$5:N$167,'Other Costs'!$F$5:$F$167,Miscellaneous!$N$9,'Other Costs'!$G$5:$G$167,"Capex")-SUM(I49:I52)</f>
        <v>0</v>
      </c>
      <c r="J53" s="897">
        <f>SUMIFS('Other Costs'!O$5:O$167,'Other Costs'!$F$5:$F$167,Miscellaneous!$N$9,'Other Costs'!$G$5:$G$167,"Capex")-SUM(J49:J52)</f>
        <v>0</v>
      </c>
      <c r="K53" s="897">
        <f>SUMIFS('Other Costs'!P$5:P$167,'Other Costs'!$F$5:$F$167,Miscellaneous!$N$9,'Other Costs'!$G$5:$G$167,"Capex")-SUM(K49:K52)</f>
        <v>0</v>
      </c>
      <c r="L53" s="897">
        <f>SUMIFS('Other Costs'!Q$5:Q$167,'Other Costs'!$F$5:$F$167,Miscellaneous!$N$9,'Other Costs'!$G$5:$G$167,"Capex")-SUM(L49:L52)</f>
        <v>0</v>
      </c>
      <c r="M53" s="897">
        <f>SUMIFS('Other Costs'!R$5:R$167,'Other Costs'!$F$5:$F$167,Miscellaneous!$N$9,'Other Costs'!$G$5:$G$167,"Capex")-SUM(M49:M52)</f>
        <v>0</v>
      </c>
      <c r="N53" s="899">
        <f>SUMIFS('Other Costs'!S$5:S$167,'Other Costs'!$F$5:$F$167,Miscellaneous!$N$9,'Other Costs'!$G$5:$G$167,"Capex")-SUM(N49:N52)</f>
        <v>0</v>
      </c>
      <c r="O53" s="924">
        <f>SUMIFS('Other Costs'!T$5:T$167,'Other Costs'!$F$5:$F$167,Miscellaneous!$N$9,'Other Costs'!$G$5:$G$167,"Capex")-SUM(O49:O52)</f>
        <v>0</v>
      </c>
      <c r="P53" s="897">
        <f>SUMIFS('Other Costs'!U$5:U$167,'Other Costs'!$F$5:$F$167,Miscellaneous!$N$9,'Other Costs'!$G$5:$G$167,"Capex")-SUM(P49:P52)</f>
        <v>0</v>
      </c>
      <c r="Q53" s="897">
        <f>SUMIFS('Other Costs'!V$5:V$167,'Other Costs'!$F$5:$F$167,Miscellaneous!$N$9,'Other Costs'!$G$5:$G$167,"Capex")-SUM(Q49:Q52)</f>
        <v>0</v>
      </c>
      <c r="R53" s="897">
        <f>SUMIFS('Other Costs'!W$5:W$167,'Other Costs'!$F$5:$F$167,Miscellaneous!$N$9,'Other Costs'!$G$5:$G$167,"Capex")-SUM(R49:R52)</f>
        <v>0</v>
      </c>
      <c r="S53" s="897">
        <f>SUMIFS('Other Costs'!X$5:X$167,'Other Costs'!$F$5:$F$167,Miscellaneous!$N$9,'Other Costs'!$G$5:$G$167,"Capex")-SUM(S49:S52)</f>
        <v>0</v>
      </c>
      <c r="T53" s="897">
        <f>SUMIFS('Other Costs'!Y$5:Y$167,'Other Costs'!$F$5:$F$167,Miscellaneous!$N$9,'Other Costs'!$G$5:$G$167,"Capex")-SUM(T49:T52)</f>
        <v>0</v>
      </c>
      <c r="U53" s="897">
        <f>SUMIFS('Other Costs'!Z$5:Z$167,'Other Costs'!$F$5:$F$167,Miscellaneous!$N$9,'Other Costs'!$G$5:$G$167,"Capex")-SUM(U49:U52)</f>
        <v>0</v>
      </c>
      <c r="V53" s="897">
        <f>SUMIFS('Other Costs'!AA$5:AA$167,'Other Costs'!$F$5:$F$167,Miscellaneous!$N$9,'Other Costs'!$G$5:$G$167,"Capex")-SUM(V49:V52)</f>
        <v>0</v>
      </c>
      <c r="W53" s="897">
        <f>SUMIFS('Other Costs'!AB$5:AB$167,'Other Costs'!$F$5:$F$167,Miscellaneous!$N$9,'Other Costs'!$G$5:$G$167,"Capex")-SUM(W49:W52)</f>
        <v>0</v>
      </c>
      <c r="X53" s="897">
        <f>SUMIFS('Other Costs'!AC$5:AC$167,'Other Costs'!$F$5:$F$167,Miscellaneous!$N$9,'Other Costs'!$G$5:$G$167,"Capex")-SUM(X49:X52)</f>
        <v>0</v>
      </c>
      <c r="Y53" s="897">
        <f>SUMIFS('Other Costs'!AD$5:AD$167,'Other Costs'!$F$5:$F$167,Miscellaneous!$N$9,'Other Costs'!$G$5:$G$167,"Capex")-SUM(Y49:Y52)</f>
        <v>0</v>
      </c>
      <c r="Z53" s="899">
        <f>SUMIFS('Other Costs'!AE$5:AE$167,'Other Costs'!$F$5:$F$167,Miscellaneous!$N$9,'Other Costs'!$G$5:$G$167,"Capex")-SUM(Z49:Z52)</f>
        <v>0</v>
      </c>
      <c r="AA53" s="924">
        <f>SUMIFS('Other Costs'!AF$5:AF$167,'Other Costs'!$F$5:$F$167,Miscellaneous!$N$9,'Other Costs'!$G$5:$G$167,"Capex")-SUM(AA49:AA52)</f>
        <v>0</v>
      </c>
      <c r="AB53" s="897">
        <f>SUMIFS('Other Costs'!AG$5:AG$167,'Other Costs'!$F$5:$F$167,Miscellaneous!$N$9,'Other Costs'!$G$5:$G$167,"Capex")-SUM(AB49:AB52)</f>
        <v>0</v>
      </c>
      <c r="AC53" s="897">
        <f>SUMIFS('Other Costs'!AH$5:AH$167,'Other Costs'!$F$5:$F$167,Miscellaneous!$N$9,'Other Costs'!$G$5:$G$167,"Capex")-SUM(AC49:AC52)</f>
        <v>0</v>
      </c>
      <c r="AD53" s="897">
        <f>SUMIFS('Other Costs'!AI$5:AI$167,'Other Costs'!$F$5:$F$167,Miscellaneous!$N$9,'Other Costs'!$G$5:$G$167,"Capex")-SUM(AD49:AD52)</f>
        <v>0</v>
      </c>
      <c r="AE53" s="897">
        <f>SUMIFS('Other Costs'!AJ$5:AJ$167,'Other Costs'!$F$5:$F$167,Miscellaneous!$N$9,'Other Costs'!$G$5:$G$167,"Capex")-SUM(AE49:AE52)</f>
        <v>0</v>
      </c>
      <c r="AF53" s="897">
        <f>SUMIFS('Other Costs'!AK$5:AK$167,'Other Costs'!$F$5:$F$167,Miscellaneous!$N$9,'Other Costs'!$G$5:$G$167,"Capex")-SUM(AF49:AF52)</f>
        <v>0</v>
      </c>
      <c r="AG53" s="897">
        <f>SUMIFS('Other Costs'!AL$5:AL$167,'Other Costs'!$F$5:$F$167,Miscellaneous!$N$9,'Other Costs'!$G$5:$G$167,"Capex")-SUM(AG49:AG52)</f>
        <v>0</v>
      </c>
      <c r="AH53" s="897">
        <f>SUMIFS('Other Costs'!AM$5:AM$167,'Other Costs'!$F$5:$F$167,Miscellaneous!$N$9,'Other Costs'!$G$5:$G$167,"Capex")-SUM(AH49:AH52)</f>
        <v>0</v>
      </c>
      <c r="AI53" s="897">
        <f>SUMIFS('Other Costs'!AN$5:AN$167,'Other Costs'!$F$5:$F$167,Miscellaneous!$N$9,'Other Costs'!$G$5:$G$167,"Capex")-SUM(AI49:AI52)</f>
        <v>0</v>
      </c>
      <c r="AJ53" s="897">
        <f>SUMIFS('Other Costs'!AO$5:AO$167,'Other Costs'!$F$5:$F$167,Miscellaneous!$N$9,'Other Costs'!$G$5:$G$167,"Capex")-SUM(AJ49:AJ52)</f>
        <v>0</v>
      </c>
      <c r="AK53" s="897">
        <f>SUMIFS('Other Costs'!AP$5:AP$167,'Other Costs'!$F$5:$F$167,Miscellaneous!$N$9,'Other Costs'!$G$5:$G$167,"Capex")-SUM(AK49:AK52)</f>
        <v>0</v>
      </c>
      <c r="AL53" s="899">
        <f>SUMIFS('Other Costs'!AQ$5:AQ$167,'Other Costs'!$F$5:$F$167,Miscellaneous!$N$9,'Other Costs'!$G$5:$G$167,"Capex")-SUM(AL49:AL52)</f>
        <v>0</v>
      </c>
      <c r="AM53" s="924">
        <f>SUMIFS('Other Costs'!AR$5:AR$167,'Other Costs'!$F$5:$F$167,Miscellaneous!$N$9,'Other Costs'!$G$5:$G$167,"Capex")-SUM(AM49:AM52)</f>
        <v>0</v>
      </c>
      <c r="AN53" s="897">
        <f>SUMIFS('Other Costs'!AS$5:AS$167,'Other Costs'!$F$5:$F$167,Miscellaneous!$N$9,'Other Costs'!$G$5:$G$167,"Capex")-SUM(AN49:AN52)</f>
        <v>0</v>
      </c>
      <c r="AO53" s="897">
        <f>SUMIFS('Other Costs'!AT$5:AT$167,'Other Costs'!$F$5:$F$167,Miscellaneous!$N$9,'Other Costs'!$G$5:$G$167,"Capex")-SUM(AO49:AO52)</f>
        <v>0</v>
      </c>
      <c r="AP53" s="897">
        <f>SUMIFS('Other Costs'!AU$5:AU$167,'Other Costs'!$F$5:$F$167,Miscellaneous!$N$9,'Other Costs'!$G$5:$G$167,"Capex")-SUM(AP49:AP52)</f>
        <v>0</v>
      </c>
      <c r="AQ53" s="897">
        <f>SUMIFS('Other Costs'!AV$5:AV$167,'Other Costs'!$F$5:$F$167,Miscellaneous!$N$9,'Other Costs'!$G$5:$G$167,"Capex")-SUM(AQ49:AQ52)</f>
        <v>0</v>
      </c>
      <c r="AR53" s="897">
        <f>SUMIFS('Other Costs'!AW$5:AW$167,'Other Costs'!$F$5:$F$167,Miscellaneous!$N$9,'Other Costs'!$G$5:$G$167,"Capex")-SUM(AR49:AR52)</f>
        <v>0</v>
      </c>
      <c r="AS53" s="897">
        <f>SUMIFS('Other Costs'!AX$5:AX$167,'Other Costs'!$F$5:$F$167,Miscellaneous!$N$9,'Other Costs'!$G$5:$G$167,"Capex")-SUM(AS49:AS52)</f>
        <v>0</v>
      </c>
      <c r="AT53" s="897">
        <f>SUMIFS('Other Costs'!AY$5:AY$167,'Other Costs'!$F$5:$F$167,Miscellaneous!$N$9,'Other Costs'!$G$5:$G$167,"Capex")-SUM(AT49:AT52)</f>
        <v>0</v>
      </c>
      <c r="AU53" s="897">
        <f>SUMIFS('Other Costs'!AZ$5:AZ$167,'Other Costs'!$F$5:$F$167,Miscellaneous!$N$9,'Other Costs'!$G$5:$G$167,"Capex")-SUM(AU49:AU52)</f>
        <v>0</v>
      </c>
      <c r="AV53" s="897">
        <f>SUMIFS('Other Costs'!BA$5:BA$167,'Other Costs'!$F$5:$F$167,Miscellaneous!$N$9,'Other Costs'!$G$5:$G$167,"Capex")-SUM(AV49:AV52)</f>
        <v>0</v>
      </c>
      <c r="AW53" s="897">
        <f>SUMIFS('Other Costs'!BB$5:BB$167,'Other Costs'!$F$5:$F$167,Miscellaneous!$N$9,'Other Costs'!$G$5:$G$167,"Capex")-SUM(AW49:AW52)</f>
        <v>0</v>
      </c>
      <c r="AX53" s="898">
        <f>SUMIFS('Other Costs'!BC$5:BC$167,'Other Costs'!$F$5:$F$167,Miscellaneous!$N$9,'Other Costs'!$G$5:$G$167,"Capex")-SUM(AX49:AX52)</f>
        <v>0</v>
      </c>
      <c r="AY53" s="924">
        <f>SUMIFS('Other Costs'!BD$5:BD$167,'Other Costs'!$F$5:$F$167,Miscellaneous!$N$9,'Other Costs'!$G$5:$G$167,"Capex")-SUM(AY49:AY52)</f>
        <v>0</v>
      </c>
      <c r="AZ53" s="897">
        <f>SUMIFS('Other Costs'!BE$5:BE$167,'Other Costs'!$F$5:$F$167,Miscellaneous!$N$9,'Other Costs'!$G$5:$G$167,"Capex")-SUM(AZ49:AZ52)</f>
        <v>0</v>
      </c>
      <c r="BA53" s="897">
        <f>SUMIFS('Other Costs'!BF$5:BF$167,'Other Costs'!$F$5:$F$167,Miscellaneous!$N$9,'Other Costs'!$G$5:$G$167,"Capex")-SUM(BA49:BA52)</f>
        <v>0</v>
      </c>
      <c r="BB53" s="897">
        <f>SUMIFS('Other Costs'!BG$5:BG$167,'Other Costs'!$F$5:$F$167,Miscellaneous!$N$9,'Other Costs'!$G$5:$G$167,"Capex")-SUM(BB49:BB52)</f>
        <v>0</v>
      </c>
      <c r="BC53" s="897">
        <f>SUMIFS('Other Costs'!BH$5:BH$167,'Other Costs'!$F$5:$F$167,Miscellaneous!$N$9,'Other Costs'!$G$5:$G$167,"Capex")-SUM(BC49:BC52)</f>
        <v>0</v>
      </c>
      <c r="BD53" s="897">
        <f>SUMIFS('Other Costs'!BI$5:BI$167,'Other Costs'!$F$5:$F$167,Miscellaneous!$N$9,'Other Costs'!$G$5:$G$167,"Capex")-SUM(BD49:BD52)</f>
        <v>0</v>
      </c>
      <c r="BE53" s="897">
        <f>SUMIFS('Other Costs'!BJ$5:BJ$167,'Other Costs'!$F$5:$F$167,Miscellaneous!$N$9,'Other Costs'!$G$5:$G$167,"Capex")-SUM(BE49:BE52)</f>
        <v>0</v>
      </c>
      <c r="BF53" s="897">
        <f>SUMIFS('Other Costs'!BK$5:BK$167,'Other Costs'!$F$5:$F$167,Miscellaneous!$N$9,'Other Costs'!$G$5:$G$167,"Capex")-SUM(BF49:BF52)</f>
        <v>0</v>
      </c>
      <c r="BG53" s="897">
        <f>SUMIFS('Other Costs'!BL$5:BL$167,'Other Costs'!$F$5:$F$167,Miscellaneous!$N$9,'Other Costs'!$G$5:$G$167,"Capex")-SUM(BG49:BG52)</f>
        <v>0</v>
      </c>
      <c r="BH53" s="897">
        <f>SUMIFS('Other Costs'!BM$5:BM$167,'Other Costs'!$F$5:$F$167,Miscellaneous!$N$9,'Other Costs'!$G$5:$G$167,"Capex")-SUM(BH49:BH52)</f>
        <v>0</v>
      </c>
      <c r="BI53" s="897">
        <f>SUMIFS('Other Costs'!BN$5:BN$167,'Other Costs'!$F$5:$F$167,Miscellaneous!$N$9,'Other Costs'!$G$5:$G$167,"Capex")-SUM(BI49:BI52)</f>
        <v>0</v>
      </c>
      <c r="BJ53" s="898">
        <f>SUMIFS('Other Costs'!BO$5:BO$167,'Other Costs'!$F$5:$F$167,Miscellaneous!$N$9,'Other Costs'!$G$5:$G$167,"Capex")-SUM(BJ49:BJ52)</f>
        <v>0</v>
      </c>
      <c r="BK53" s="924">
        <f>SUMIFS('Other Costs'!BP$5:BP$167,'Other Costs'!$F$5:$F$167,Miscellaneous!$N$9,'Other Costs'!$G$5:$G$167,"Capex")-SUM(BK49:BK52)</f>
        <v>0</v>
      </c>
      <c r="BL53" s="897">
        <f>SUMIFS('Other Costs'!BQ$5:BQ$167,'Other Costs'!$F$5:$F$167,Miscellaneous!$N$9,'Other Costs'!$G$5:$G$167,"Capex")-SUM(BL49:BL52)</f>
        <v>0</v>
      </c>
      <c r="BM53" s="897">
        <f>SUMIFS('Other Costs'!BR$5:BR$167,'Other Costs'!$F$5:$F$167,Miscellaneous!$N$9,'Other Costs'!$G$5:$G$167,"Capex")-SUM(BM49:BM52)</f>
        <v>0</v>
      </c>
      <c r="BN53" s="897">
        <f>SUMIFS('Other Costs'!BS$5:BS$167,'Other Costs'!$F$5:$F$167,Miscellaneous!$N$9,'Other Costs'!$G$5:$G$167,"Capex")-SUM(BN49:BN52)</f>
        <v>0</v>
      </c>
      <c r="BO53" s="897">
        <f>SUMIFS('Other Costs'!BT$5:BT$167,'Other Costs'!$F$5:$F$167,Miscellaneous!$N$9,'Other Costs'!$G$5:$G$167,"Capex")-SUM(BO49:BO52)</f>
        <v>0</v>
      </c>
      <c r="BP53" s="897">
        <f>SUMIFS('Other Costs'!BU$5:BU$167,'Other Costs'!$F$5:$F$167,Miscellaneous!$N$9,'Other Costs'!$G$5:$G$167,"Capex")-SUM(BP49:BP52)</f>
        <v>0</v>
      </c>
      <c r="BQ53" s="897">
        <f>SUMIFS('Other Costs'!BV$5:BV$167,'Other Costs'!$F$5:$F$167,Miscellaneous!$N$9,'Other Costs'!$G$5:$G$167,"Capex")-SUM(BQ49:BQ52)</f>
        <v>0</v>
      </c>
      <c r="BR53" s="897">
        <f>SUMIFS('Other Costs'!BW$5:BW$167,'Other Costs'!$F$5:$F$167,Miscellaneous!$N$9,'Other Costs'!$G$5:$G$167,"Capex")-SUM(BR49:BR52)</f>
        <v>0</v>
      </c>
      <c r="BS53" s="897">
        <f>SUMIFS('Other Costs'!BX$5:BX$167,'Other Costs'!$F$5:$F$167,Miscellaneous!$N$9,'Other Costs'!$G$5:$G$167,"Capex")-SUM(BS49:BS52)</f>
        <v>0</v>
      </c>
      <c r="BT53" s="897">
        <f>SUMIFS('Other Costs'!BY$5:BY$167,'Other Costs'!$F$5:$F$167,Miscellaneous!$N$9,'Other Costs'!$G$5:$G$167,"Capex")-SUM(BT49:BT52)</f>
        <v>0</v>
      </c>
      <c r="BU53" s="897">
        <f>SUMIFS('Other Costs'!BZ$5:BZ$167,'Other Costs'!$F$5:$F$167,Miscellaneous!$N$9,'Other Costs'!$G$5:$G$167,"Capex")-SUM(BU49:BU52)</f>
        <v>0</v>
      </c>
      <c r="BV53" s="898">
        <f>SUMIFS('Other Costs'!CA$5:CA$167,'Other Costs'!$F$5:$F$167,Miscellaneous!$N$9,'Other Costs'!$G$5:$G$167,"Capex")-SUM(BV49:BV52)</f>
        <v>0</v>
      </c>
      <c r="BW53" s="893">
        <f>SUMIFS(C53:BV53,$C$74:$BV$74,"")</f>
        <v>0</v>
      </c>
      <c r="BX53" s="894">
        <f>SUM(SUMIFS(C53:N53,$C$2:$N$2,{"Dev","Impl","PIS","Close"},$C$74:$N$74,""))</f>
        <v>0</v>
      </c>
      <c r="BY53" s="894">
        <f>SUM(SUMIFS(O53:Z53,$O$2:$Z$2,{"Dev","Impl","PIS","Close"},$O$74:$Z$74,""))</f>
        <v>0</v>
      </c>
      <c r="BZ53" s="894">
        <f>SUM(SUMIFS(AA53:AL53,$AA$2:$AL$2,{"Dev","Impl","PIS","Close"},$AA$74:$AL$74,""))</f>
        <v>0</v>
      </c>
      <c r="CA53" s="894">
        <f>SUM(SUMIFS(AM53:AX53,$AM$2:$AX$2,{"Dev","Impl","PIS","Close"},$AM$74:$AX$74,""))</f>
        <v>0</v>
      </c>
      <c r="CB53" s="894">
        <f>SUM(SUMIFS(AY53:BJ53,$AY$2:$BJ$2,{"Dev","Impl","PIS","Close"},$AY$74:$BJ$74,""))</f>
        <v>0</v>
      </c>
      <c r="CC53" s="894">
        <f>SUM(SUMIFS(BK53:BV53,$BK$2:$BV$2,{"Dev","Impl","PIS","Close"},$BK$74:$BV$74,""))</f>
        <v>0</v>
      </c>
    </row>
    <row r="54" spans="1:88" s="4" customFormat="1" ht="15.5">
      <c r="A54" s="32" t="s">
        <v>223</v>
      </c>
      <c r="B54" s="107"/>
      <c r="C54" s="886"/>
      <c r="D54" s="886"/>
      <c r="E54" s="886"/>
      <c r="F54" s="886"/>
      <c r="G54" s="886"/>
      <c r="H54" s="886"/>
      <c r="I54" s="886"/>
      <c r="J54" s="886"/>
      <c r="K54" s="886"/>
      <c r="L54" s="886"/>
      <c r="M54" s="886"/>
      <c r="N54" s="885"/>
      <c r="O54" s="920"/>
      <c r="P54" s="886"/>
      <c r="Q54" s="886"/>
      <c r="R54" s="886"/>
      <c r="S54" s="886"/>
      <c r="T54" s="886"/>
      <c r="U54" s="886"/>
      <c r="V54" s="886"/>
      <c r="W54" s="886"/>
      <c r="X54" s="886"/>
      <c r="Y54" s="886"/>
      <c r="Z54" s="885"/>
      <c r="AA54" s="920"/>
      <c r="AB54" s="886"/>
      <c r="AC54" s="886"/>
      <c r="AD54" s="886"/>
      <c r="AE54" s="886"/>
      <c r="AF54" s="886"/>
      <c r="AG54" s="886"/>
      <c r="AH54" s="886"/>
      <c r="AI54" s="886"/>
      <c r="AJ54" s="886"/>
      <c r="AK54" s="886"/>
      <c r="AL54" s="885"/>
      <c r="AM54" s="920"/>
      <c r="AN54" s="886"/>
      <c r="AO54" s="886"/>
      <c r="AP54" s="886"/>
      <c r="AQ54" s="886"/>
      <c r="AR54" s="886"/>
      <c r="AS54" s="886"/>
      <c r="AT54" s="886"/>
      <c r="AU54" s="886"/>
      <c r="AV54" s="886"/>
      <c r="AW54" s="886"/>
      <c r="AX54" s="921"/>
      <c r="AY54" s="920"/>
      <c r="AZ54" s="886"/>
      <c r="BA54" s="886"/>
      <c r="BB54" s="886"/>
      <c r="BC54" s="886"/>
      <c r="BD54" s="886"/>
      <c r="BE54" s="886"/>
      <c r="BF54" s="886"/>
      <c r="BG54" s="886"/>
      <c r="BH54" s="886"/>
      <c r="BI54" s="886"/>
      <c r="BJ54" s="921"/>
      <c r="BK54" s="920"/>
      <c r="BL54" s="886"/>
      <c r="BM54" s="886"/>
      <c r="BN54" s="886"/>
      <c r="BO54" s="886"/>
      <c r="BP54" s="886"/>
      <c r="BQ54" s="886"/>
      <c r="BR54" s="886"/>
      <c r="BS54" s="886"/>
      <c r="BT54" s="886"/>
      <c r="BU54" s="886"/>
      <c r="BV54" s="921"/>
      <c r="BW54" s="893"/>
      <c r="BX54" s="896"/>
      <c r="BY54" s="896"/>
      <c r="BZ54" s="896"/>
      <c r="CA54" s="896"/>
      <c r="CB54" s="896"/>
      <c r="CC54" s="896"/>
    </row>
    <row r="55" spans="1:88" s="4" customFormat="1">
      <c r="A55" s="6" t="s">
        <v>217</v>
      </c>
      <c r="B55" s="108"/>
      <c r="C55" s="897">
        <f>SUMIFS('Other Costs'!H$5:H$167,'Other Costs'!$D$5:$D$167,Variables!$A39,'Other Costs'!$F$5:$F$167,Miscellaneous!$N$8,'Other Costs'!$G$5:$G$167,"Capex")</f>
        <v>0</v>
      </c>
      <c r="D55" s="897">
        <f>SUMIFS('Other Costs'!I$5:I$167,'Other Costs'!$D$5:$D$167,Variables!$A39,'Other Costs'!$F$5:$F$167,Miscellaneous!$N$8,'Other Costs'!$G$5:$G$167,"Capex")</f>
        <v>0</v>
      </c>
      <c r="E55" s="897">
        <f>SUMIFS('Other Costs'!J$5:J$167,'Other Costs'!$D$5:$D$167,Variables!$A39,'Other Costs'!$F$5:$F$167,Miscellaneous!$N$8,'Other Costs'!$G$5:$G$167,"Capex")</f>
        <v>0</v>
      </c>
      <c r="F55" s="897">
        <f>SUMIFS('Other Costs'!K$5:K$167,'Other Costs'!$D$5:$D$167,Variables!$A39,'Other Costs'!$F$5:$F$167,Miscellaneous!$N$8,'Other Costs'!$G$5:$G$167,"Capex")</f>
        <v>0</v>
      </c>
      <c r="G55" s="897">
        <f>SUMIFS('Other Costs'!L$5:L$167,'Other Costs'!$D$5:$D$167,Variables!$A39,'Other Costs'!$F$5:$F$167,Miscellaneous!$N$8,'Other Costs'!$G$5:$G$167,"Capex")</f>
        <v>0</v>
      </c>
      <c r="H55" s="897">
        <f>SUMIFS('Other Costs'!M$5:M$167,'Other Costs'!$D$5:$D$167,Variables!$A39,'Other Costs'!$F$5:$F$167,Miscellaneous!$N$8,'Other Costs'!$G$5:$G$167,"Capex")</f>
        <v>0</v>
      </c>
      <c r="I55" s="897">
        <f>SUMIFS('Other Costs'!N$5:N$167,'Other Costs'!$D$5:$D$167,Variables!$A39,'Other Costs'!$F$5:$F$167,Miscellaneous!$N$8,'Other Costs'!$G$5:$G$167,"Capex")</f>
        <v>0</v>
      </c>
      <c r="J55" s="897">
        <f>SUMIFS('Other Costs'!O$5:O$167,'Other Costs'!$D$5:$D$167,Variables!$A39,'Other Costs'!$F$5:$F$167,Miscellaneous!$N$8,'Other Costs'!$G$5:$G$167,"Capex")</f>
        <v>0</v>
      </c>
      <c r="K55" s="897">
        <f>SUMIFS('Other Costs'!P$5:P$167,'Other Costs'!$D$5:$D$167,Variables!$A39,'Other Costs'!$F$5:$F$167,Miscellaneous!$N$8,'Other Costs'!$G$5:$G$167,"Capex")</f>
        <v>0</v>
      </c>
      <c r="L55" s="897">
        <f>SUMIFS('Other Costs'!Q$5:Q$167,'Other Costs'!$D$5:$D$167,Variables!$A39,'Other Costs'!$F$5:$F$167,Miscellaneous!$N$8,'Other Costs'!$G$5:$G$167,"Capex")</f>
        <v>0</v>
      </c>
      <c r="M55" s="897">
        <f>SUMIFS('Other Costs'!R$5:R$167,'Other Costs'!$D$5:$D$167,Variables!$A39,'Other Costs'!$F$5:$F$167,Miscellaneous!$N$8,'Other Costs'!$G$5:$G$167,"Capex")</f>
        <v>0</v>
      </c>
      <c r="N55" s="889">
        <f>SUMIFS('Other Costs'!S$5:S$167,'Other Costs'!$D$5:$D$167,Variables!$A39,'Other Costs'!$F$5:$F$167,Miscellaneous!$N$8,'Other Costs'!$G$5:$G$167,"Capex")</f>
        <v>0</v>
      </c>
      <c r="O55" s="924">
        <f>SUMIFS('Other Costs'!T$5:T$167,'Other Costs'!$D$5:$D$167,Variables!$A39,'Other Costs'!$F$5:$F$167,Miscellaneous!$N$8,'Other Costs'!$G$5:$G$167,"Capex")</f>
        <v>0</v>
      </c>
      <c r="P55" s="897">
        <f>SUMIFS('Other Costs'!U$5:U$167,'Other Costs'!$D$5:$D$167,Variables!$A39,'Other Costs'!$F$5:$F$167,Miscellaneous!$N$8,'Other Costs'!$G$5:$G$167,"Capex")</f>
        <v>0</v>
      </c>
      <c r="Q55" s="897">
        <f>SUMIFS('Other Costs'!V$5:V$167,'Other Costs'!$D$5:$D$167,Variables!$A39,'Other Costs'!$F$5:$F$167,Miscellaneous!$N$8,'Other Costs'!$G$5:$G$167,"Capex")</f>
        <v>0</v>
      </c>
      <c r="R55" s="897">
        <f>SUMIFS('Other Costs'!W$5:W$167,'Other Costs'!$D$5:$D$167,Variables!$A39,'Other Costs'!$F$5:$F$167,Miscellaneous!$N$8,'Other Costs'!$G$5:$G$167,"Capex")</f>
        <v>0</v>
      </c>
      <c r="S55" s="897">
        <f>SUMIFS('Other Costs'!X$5:X$167,'Other Costs'!$D$5:$D$167,Variables!$A39,'Other Costs'!$F$5:$F$167,Miscellaneous!$N$8,'Other Costs'!$G$5:$G$167,"Capex")</f>
        <v>0</v>
      </c>
      <c r="T55" s="897">
        <f>SUMIFS('Other Costs'!Y$5:Y$167,'Other Costs'!$D$5:$D$167,Variables!$A39,'Other Costs'!$F$5:$F$167,Miscellaneous!$N$8,'Other Costs'!$G$5:$G$167,"Capex")</f>
        <v>0</v>
      </c>
      <c r="U55" s="897">
        <f>SUMIFS('Other Costs'!Z$5:Z$167,'Other Costs'!$D$5:$D$167,Variables!$A39,'Other Costs'!$F$5:$F$167,Miscellaneous!$N$8,'Other Costs'!$G$5:$G$167,"Capex")</f>
        <v>0</v>
      </c>
      <c r="V55" s="897">
        <f>SUMIFS('Other Costs'!AA$5:AA$167,'Other Costs'!$D$5:$D$167,Variables!$A39,'Other Costs'!$F$5:$F$167,Miscellaneous!$N$8,'Other Costs'!$G$5:$G$167,"Capex")</f>
        <v>0</v>
      </c>
      <c r="W55" s="897">
        <f>SUMIFS('Other Costs'!AB$5:AB$167,'Other Costs'!$D$5:$D$167,Variables!$A39,'Other Costs'!$F$5:$F$167,Miscellaneous!$N$8,'Other Costs'!$G$5:$G$167,"Capex")</f>
        <v>0</v>
      </c>
      <c r="X55" s="897">
        <f>SUMIFS('Other Costs'!AC$5:AC$167,'Other Costs'!$D$5:$D$167,Variables!$A39,'Other Costs'!$F$5:$F$167,Miscellaneous!$N$8,'Other Costs'!$G$5:$G$167,"Capex")</f>
        <v>0</v>
      </c>
      <c r="Y55" s="897">
        <f>SUMIFS('Other Costs'!AD$5:AD$167,'Other Costs'!$D$5:$D$167,Variables!$A39,'Other Costs'!$F$5:$F$167,Miscellaneous!$N$8,'Other Costs'!$G$5:$G$167,"Capex")</f>
        <v>0</v>
      </c>
      <c r="Z55" s="889">
        <f>SUMIFS('Other Costs'!AE$5:AE$167,'Other Costs'!$D$5:$D$167,Variables!$A39,'Other Costs'!$F$5:$F$167,Miscellaneous!$N$8,'Other Costs'!$G$5:$G$167,"Capex")</f>
        <v>0</v>
      </c>
      <c r="AA55" s="924">
        <f>SUMIFS('Other Costs'!AF$5:AF$167,'Other Costs'!$D$5:$D$167,Variables!$A39,'Other Costs'!$F$5:$F$167,Miscellaneous!$N$8,'Other Costs'!$G$5:$G$167,"Capex")</f>
        <v>0</v>
      </c>
      <c r="AB55" s="897">
        <f>SUMIFS('Other Costs'!AG$5:AG$167,'Other Costs'!$D$5:$D$167,Variables!$A39,'Other Costs'!$F$5:$F$167,Miscellaneous!$N$8,'Other Costs'!$G$5:$G$167,"Capex")</f>
        <v>0</v>
      </c>
      <c r="AC55" s="897">
        <f>SUMIFS('Other Costs'!AH$5:AH$167,'Other Costs'!$D$5:$D$167,Variables!$A39,'Other Costs'!$F$5:$F$167,Miscellaneous!$N$8,'Other Costs'!$G$5:$G$167,"Capex")</f>
        <v>0</v>
      </c>
      <c r="AD55" s="897">
        <f>SUMIFS('Other Costs'!AI$5:AI$167,'Other Costs'!$D$5:$D$167,Variables!$A39,'Other Costs'!$F$5:$F$167,Miscellaneous!$N$8,'Other Costs'!$G$5:$G$167,"Capex")</f>
        <v>0</v>
      </c>
      <c r="AE55" s="897">
        <f>SUMIFS('Other Costs'!AJ$5:AJ$167,'Other Costs'!$D$5:$D$167,Variables!$A39,'Other Costs'!$F$5:$F$167,Miscellaneous!$N$8,'Other Costs'!$G$5:$G$167,"Capex")</f>
        <v>0</v>
      </c>
      <c r="AF55" s="897">
        <f>SUMIFS('Other Costs'!AK$5:AK$167,'Other Costs'!$D$5:$D$167,Variables!$A39,'Other Costs'!$F$5:$F$167,Miscellaneous!$N$8,'Other Costs'!$G$5:$G$167,"Capex")</f>
        <v>0</v>
      </c>
      <c r="AG55" s="897">
        <f>SUMIFS('Other Costs'!AL$5:AL$167,'Other Costs'!$D$5:$D$167,Variables!$A39,'Other Costs'!$F$5:$F$167,Miscellaneous!$N$8,'Other Costs'!$G$5:$G$167,"Capex")</f>
        <v>0</v>
      </c>
      <c r="AH55" s="897">
        <f>SUMIFS('Other Costs'!AM$5:AM$167,'Other Costs'!$D$5:$D$167,Variables!$A39,'Other Costs'!$F$5:$F$167,Miscellaneous!$N$8,'Other Costs'!$G$5:$G$167,"Capex")</f>
        <v>0</v>
      </c>
      <c r="AI55" s="897">
        <f>SUMIFS('Other Costs'!AN$5:AN$167,'Other Costs'!$D$5:$D$167,Variables!$A39,'Other Costs'!$F$5:$F$167,Miscellaneous!$N$8,'Other Costs'!$G$5:$G$167,"Capex")</f>
        <v>0</v>
      </c>
      <c r="AJ55" s="897">
        <f>SUMIFS('Other Costs'!AO$5:AO$167,'Other Costs'!$D$5:$D$167,Variables!$A39,'Other Costs'!$F$5:$F$167,Miscellaneous!$N$8,'Other Costs'!$G$5:$G$167,"Capex")</f>
        <v>0</v>
      </c>
      <c r="AK55" s="897">
        <f>SUMIFS('Other Costs'!AP$5:AP$167,'Other Costs'!$D$5:$D$167,Variables!$A39,'Other Costs'!$F$5:$F$167,Miscellaneous!$N$8,'Other Costs'!$G$5:$G$167,"Capex")</f>
        <v>0</v>
      </c>
      <c r="AL55" s="889">
        <f>SUMIFS('Other Costs'!AQ$5:AQ$167,'Other Costs'!$D$5:$D$167,Variables!$A39,'Other Costs'!$F$5:$F$167,Miscellaneous!$N$8,'Other Costs'!$G$5:$G$167,"Capex")</f>
        <v>0</v>
      </c>
      <c r="AM55" s="924">
        <f>SUMIFS('Other Costs'!AR$5:AR$167,'Other Costs'!$D$5:$D$167,Variables!$A39,'Other Costs'!$F$5:$F$167,Miscellaneous!$N$8,'Other Costs'!$G$5:$G$167,"Capex")</f>
        <v>0</v>
      </c>
      <c r="AN55" s="897">
        <f>SUMIFS('Other Costs'!AS$5:AS$167,'Other Costs'!$D$5:$D$167,Variables!$A39,'Other Costs'!$F$5:$F$167,Miscellaneous!$N$8,'Other Costs'!$G$5:$G$167,"Capex")</f>
        <v>0</v>
      </c>
      <c r="AO55" s="897">
        <f>SUMIFS('Other Costs'!AT$5:AT$167,'Other Costs'!$D$5:$D$167,Variables!$A39,'Other Costs'!$F$5:$F$167,Miscellaneous!$N$8,'Other Costs'!$G$5:$G$167,"Capex")</f>
        <v>0</v>
      </c>
      <c r="AP55" s="897">
        <f>SUMIFS('Other Costs'!AU$5:AU$167,'Other Costs'!$D$5:$D$167,Variables!$A39,'Other Costs'!$F$5:$F$167,Miscellaneous!$N$8,'Other Costs'!$G$5:$G$167,"Capex")</f>
        <v>0</v>
      </c>
      <c r="AQ55" s="897">
        <f>SUMIFS('Other Costs'!AV$5:AV$167,'Other Costs'!$D$5:$D$167,Variables!$A39,'Other Costs'!$F$5:$F$167,Miscellaneous!$N$8,'Other Costs'!$G$5:$G$167,"Capex")</f>
        <v>0</v>
      </c>
      <c r="AR55" s="897">
        <f>SUMIFS('Other Costs'!AW$5:AW$167,'Other Costs'!$D$5:$D$167,Variables!$A39,'Other Costs'!$F$5:$F$167,Miscellaneous!$N$8,'Other Costs'!$G$5:$G$167,"Capex")</f>
        <v>0</v>
      </c>
      <c r="AS55" s="897">
        <f>SUMIFS('Other Costs'!AX$5:AX$167,'Other Costs'!$D$5:$D$167,Variables!$A39,'Other Costs'!$F$5:$F$167,Miscellaneous!$N$8,'Other Costs'!$G$5:$G$167,"Capex")</f>
        <v>0</v>
      </c>
      <c r="AT55" s="897">
        <f>SUMIFS('Other Costs'!AY$5:AY$167,'Other Costs'!$D$5:$D$167,Variables!$A39,'Other Costs'!$F$5:$F$167,Miscellaneous!$N$8,'Other Costs'!$G$5:$G$167,"Capex")</f>
        <v>0</v>
      </c>
      <c r="AU55" s="897">
        <f>SUMIFS('Other Costs'!AZ$5:AZ$167,'Other Costs'!$D$5:$D$167,Variables!$A39,'Other Costs'!$F$5:$F$167,Miscellaneous!$N$8,'Other Costs'!$G$5:$G$167,"Capex")</f>
        <v>0</v>
      </c>
      <c r="AV55" s="897">
        <f>SUMIFS('Other Costs'!BA$5:BA$167,'Other Costs'!$D$5:$D$167,Variables!$A39,'Other Costs'!$F$5:$F$167,Miscellaneous!$N$8,'Other Costs'!$G$5:$G$167,"Capex")</f>
        <v>0</v>
      </c>
      <c r="AW55" s="897">
        <f>SUMIFS('Other Costs'!BB$5:BB$167,'Other Costs'!$D$5:$D$167,Variables!$A39,'Other Costs'!$F$5:$F$167,Miscellaneous!$N$8,'Other Costs'!$G$5:$G$167,"Capex")</f>
        <v>0</v>
      </c>
      <c r="AX55" s="892">
        <f>SUMIFS('Other Costs'!BC$5:BC$167,'Other Costs'!$D$5:$D$167,Variables!$A39,'Other Costs'!$F$5:$F$167,Miscellaneous!$N$8,'Other Costs'!$G$5:$G$167,"Capex")</f>
        <v>0</v>
      </c>
      <c r="AY55" s="924">
        <f>SUMIFS('Other Costs'!BD$5:BD$167,'Other Costs'!$D$5:$D$167,Variables!$A39,'Other Costs'!$F$5:$F$167,Miscellaneous!$N$8,'Other Costs'!$G$5:$G$167,"Capex")</f>
        <v>0</v>
      </c>
      <c r="AZ55" s="897">
        <f>SUMIFS('Other Costs'!BE$5:BE$167,'Other Costs'!$D$5:$D$167,Variables!$A39,'Other Costs'!$F$5:$F$167,Miscellaneous!$N$8,'Other Costs'!$G$5:$G$167,"Capex")</f>
        <v>0</v>
      </c>
      <c r="BA55" s="897">
        <f>SUMIFS('Other Costs'!BF$5:BF$167,'Other Costs'!$D$5:$D$167,Variables!$A39,'Other Costs'!$F$5:$F$167,Miscellaneous!$N$8,'Other Costs'!$G$5:$G$167,"Capex")</f>
        <v>0</v>
      </c>
      <c r="BB55" s="897">
        <f>SUMIFS('Other Costs'!BG$5:BG$167,'Other Costs'!$D$5:$D$167,Variables!$A39,'Other Costs'!$F$5:$F$167,Miscellaneous!$N$8,'Other Costs'!$G$5:$G$167,"Capex")</f>
        <v>0</v>
      </c>
      <c r="BC55" s="897">
        <f>SUMIFS('Other Costs'!BH$5:BH$167,'Other Costs'!$D$5:$D$167,Variables!$A39,'Other Costs'!$F$5:$F$167,Miscellaneous!$N$8,'Other Costs'!$G$5:$G$167,"Capex")</f>
        <v>0</v>
      </c>
      <c r="BD55" s="897">
        <f>SUMIFS('Other Costs'!BI$5:BI$167,'Other Costs'!$D$5:$D$167,Variables!$A39,'Other Costs'!$F$5:$F$167,Miscellaneous!$N$8,'Other Costs'!$G$5:$G$167,"Capex")</f>
        <v>0</v>
      </c>
      <c r="BE55" s="897">
        <f>SUMIFS('Other Costs'!BJ$5:BJ$167,'Other Costs'!$D$5:$D$167,Variables!$A39,'Other Costs'!$F$5:$F$167,Miscellaneous!$N$8,'Other Costs'!$G$5:$G$167,"Capex")</f>
        <v>0</v>
      </c>
      <c r="BF55" s="897">
        <f>SUMIFS('Other Costs'!BK$5:BK$167,'Other Costs'!$D$5:$D$167,Variables!$A39,'Other Costs'!$F$5:$F$167,Miscellaneous!$N$8,'Other Costs'!$G$5:$G$167,"Capex")</f>
        <v>0</v>
      </c>
      <c r="BG55" s="897">
        <f>SUMIFS('Other Costs'!BL$5:BL$167,'Other Costs'!$D$5:$D$167,Variables!$A39,'Other Costs'!$F$5:$F$167,Miscellaneous!$N$8,'Other Costs'!$G$5:$G$167,"Capex")</f>
        <v>0</v>
      </c>
      <c r="BH55" s="897">
        <f>SUMIFS('Other Costs'!BM$5:BM$167,'Other Costs'!$D$5:$D$167,Variables!$A39,'Other Costs'!$F$5:$F$167,Miscellaneous!$N$8,'Other Costs'!$G$5:$G$167,"Capex")</f>
        <v>0</v>
      </c>
      <c r="BI55" s="897">
        <f>SUMIFS('Other Costs'!BN$5:BN$167,'Other Costs'!$D$5:$D$167,Variables!$A39,'Other Costs'!$F$5:$F$167,Miscellaneous!$N$8,'Other Costs'!$G$5:$G$167,"Capex")</f>
        <v>0</v>
      </c>
      <c r="BJ55" s="892">
        <f>SUMIFS('Other Costs'!BO$5:BO$167,'Other Costs'!$D$5:$D$167,Variables!$A39,'Other Costs'!$F$5:$F$167,Miscellaneous!$N$8,'Other Costs'!$G$5:$G$167,"Capex")</f>
        <v>0</v>
      </c>
      <c r="BK55" s="924">
        <f>SUMIFS('Other Costs'!BP$5:BP$167,'Other Costs'!$D$5:$D$167,Variables!$A39,'Other Costs'!$F$5:$F$167,Miscellaneous!$N$8,'Other Costs'!$G$5:$G$167,"Capex")</f>
        <v>0</v>
      </c>
      <c r="BL55" s="897">
        <f>SUMIFS('Other Costs'!BQ$5:BQ$167,'Other Costs'!$D$5:$D$167,Variables!$A39,'Other Costs'!$F$5:$F$167,Miscellaneous!$N$8,'Other Costs'!$G$5:$G$167,"Capex")</f>
        <v>0</v>
      </c>
      <c r="BM55" s="897">
        <f>SUMIFS('Other Costs'!BR$5:BR$167,'Other Costs'!$D$5:$D$167,Variables!$A39,'Other Costs'!$F$5:$F$167,Miscellaneous!$N$8,'Other Costs'!$G$5:$G$167,"Capex")</f>
        <v>0</v>
      </c>
      <c r="BN55" s="897">
        <f>SUMIFS('Other Costs'!BS$5:BS$167,'Other Costs'!$D$5:$D$167,Variables!$A39,'Other Costs'!$F$5:$F$167,Miscellaneous!$N$8,'Other Costs'!$G$5:$G$167,"Capex")</f>
        <v>0</v>
      </c>
      <c r="BO55" s="897">
        <f>SUMIFS('Other Costs'!BT$5:BT$167,'Other Costs'!$D$5:$D$167,Variables!$A39,'Other Costs'!$F$5:$F$167,Miscellaneous!$N$8,'Other Costs'!$G$5:$G$167,"Capex")</f>
        <v>0</v>
      </c>
      <c r="BP55" s="897">
        <f>SUMIFS('Other Costs'!BU$5:BU$167,'Other Costs'!$D$5:$D$167,Variables!$A39,'Other Costs'!$F$5:$F$167,Miscellaneous!$N$8,'Other Costs'!$G$5:$G$167,"Capex")</f>
        <v>0</v>
      </c>
      <c r="BQ55" s="897">
        <f>SUMIFS('Other Costs'!BV$5:BV$167,'Other Costs'!$D$5:$D$167,Variables!$A39,'Other Costs'!$F$5:$F$167,Miscellaneous!$N$8,'Other Costs'!$G$5:$G$167,"Capex")</f>
        <v>0</v>
      </c>
      <c r="BR55" s="897">
        <f>SUMIFS('Other Costs'!BW$5:BW$167,'Other Costs'!$D$5:$D$167,Variables!$A39,'Other Costs'!$F$5:$F$167,Miscellaneous!$N$8,'Other Costs'!$G$5:$G$167,"Capex")</f>
        <v>0</v>
      </c>
      <c r="BS55" s="897">
        <f>SUMIFS('Other Costs'!BX$5:BX$167,'Other Costs'!$D$5:$D$167,Variables!$A39,'Other Costs'!$F$5:$F$167,Miscellaneous!$N$8,'Other Costs'!$G$5:$G$167,"Capex")</f>
        <v>0</v>
      </c>
      <c r="BT55" s="897">
        <f>SUMIFS('Other Costs'!BY$5:BY$167,'Other Costs'!$D$5:$D$167,Variables!$A39,'Other Costs'!$F$5:$F$167,Miscellaneous!$N$8,'Other Costs'!$G$5:$G$167,"Capex")</f>
        <v>0</v>
      </c>
      <c r="BU55" s="897">
        <f>SUMIFS('Other Costs'!BZ$5:BZ$167,'Other Costs'!$D$5:$D$167,Variables!$A39,'Other Costs'!$F$5:$F$167,Miscellaneous!$N$8,'Other Costs'!$G$5:$G$167,"Capex")</f>
        <v>0</v>
      </c>
      <c r="BV55" s="892">
        <f>SUMIFS('Other Costs'!CA$5:CA$167,'Other Costs'!$D$5:$D$167,Variables!$A39,'Other Costs'!$F$5:$F$167,Miscellaneous!$N$8,'Other Costs'!$G$5:$G$167,"Capex")</f>
        <v>0</v>
      </c>
      <c r="BW55" s="893">
        <f>SUMIFS(C55:BV55,$C$74:$BV$74,"")</f>
        <v>0</v>
      </c>
      <c r="BX55" s="894">
        <f>SUM(SUMIFS(C55:N55,$C$2:$N$2,{"Dev","Impl","PIS","Close"},$C$74:$N$74,""))</f>
        <v>0</v>
      </c>
      <c r="BY55" s="894">
        <f>SUM(SUMIFS(O55:Z55,$O$2:$Z$2,{"Dev","Impl","PIS","Close"},$O$74:$Z$74,""))</f>
        <v>0</v>
      </c>
      <c r="BZ55" s="894">
        <f>SUM(SUMIFS(AA55:AL55,$AA$2:$AL$2,{"Dev","Impl","PIS","Close"},$AA$74:$AL$74,""))</f>
        <v>0</v>
      </c>
      <c r="CA55" s="894">
        <f>SUM(SUMIFS(AM55:AX55,$AM$2:$AX$2,{"Dev","Impl","PIS","Close"},$AM$74:$AX$74,""))</f>
        <v>0</v>
      </c>
      <c r="CB55" s="894">
        <f>SUM(SUMIFS(AY55:BJ55,$AY$2:$BJ$2,{"Dev","Impl","PIS","Close"},$AY$74:$BJ$74,""))</f>
        <v>0</v>
      </c>
      <c r="CC55" s="894">
        <f>SUM(SUMIFS(BK55:BV55,$BK$2:$BV$2,{"Dev","Impl","PIS","Close"},$BK$74:$BV$74,""))</f>
        <v>0</v>
      </c>
    </row>
    <row r="56" spans="1:88" s="4" customFormat="1">
      <c r="A56" s="6" t="s">
        <v>218</v>
      </c>
      <c r="B56" s="108"/>
      <c r="C56" s="897">
        <f>SUMIFS('Other Costs'!H$5:H$167,'Other Costs'!$D$5:$D$167,Variables!$A40,'Other Costs'!$F$5:$F$167,Miscellaneous!$N$8,'Other Costs'!$G$5:$G$167,"Capex")</f>
        <v>0</v>
      </c>
      <c r="D56" s="897">
        <f>SUMIFS('Other Costs'!I$5:I$167,'Other Costs'!$D$5:$D$167,Variables!$A40,'Other Costs'!$F$5:$F$167,Miscellaneous!$N$8,'Other Costs'!$G$5:$G$167,"Capex")</f>
        <v>0</v>
      </c>
      <c r="E56" s="897">
        <f>SUMIFS('Other Costs'!J$5:J$167,'Other Costs'!$D$5:$D$167,Variables!$A40,'Other Costs'!$F$5:$F$167,Miscellaneous!$N$8,'Other Costs'!$G$5:$G$167,"Capex")</f>
        <v>0</v>
      </c>
      <c r="F56" s="897">
        <f>SUMIFS('Other Costs'!K$5:K$167,'Other Costs'!$D$5:$D$167,Variables!$A40,'Other Costs'!$F$5:$F$167,Miscellaneous!$N$8,'Other Costs'!$G$5:$G$167,"Capex")</f>
        <v>0</v>
      </c>
      <c r="G56" s="897">
        <f>SUMIFS('Other Costs'!L$5:L$167,'Other Costs'!$D$5:$D$167,Variables!$A40,'Other Costs'!$F$5:$F$167,Miscellaneous!$N$8,'Other Costs'!$G$5:$G$167,"Capex")</f>
        <v>0</v>
      </c>
      <c r="H56" s="897">
        <f>SUMIFS('Other Costs'!M$5:M$167,'Other Costs'!$D$5:$D$167,Variables!$A40,'Other Costs'!$F$5:$F$167,Miscellaneous!$N$8,'Other Costs'!$G$5:$G$167,"Capex")</f>
        <v>0</v>
      </c>
      <c r="I56" s="897">
        <f>SUMIFS('Other Costs'!N$5:N$167,'Other Costs'!$D$5:$D$167,Variables!$A40,'Other Costs'!$F$5:$F$167,Miscellaneous!$N$8,'Other Costs'!$G$5:$G$167,"Capex")</f>
        <v>0</v>
      </c>
      <c r="J56" s="897">
        <f>SUMIFS('Other Costs'!O$5:O$167,'Other Costs'!$D$5:$D$167,Variables!$A40,'Other Costs'!$F$5:$F$167,Miscellaneous!$N$8,'Other Costs'!$G$5:$G$167,"Capex")</f>
        <v>0</v>
      </c>
      <c r="K56" s="897">
        <f>SUMIFS('Other Costs'!P$5:P$167,'Other Costs'!$D$5:$D$167,Variables!$A40,'Other Costs'!$F$5:$F$167,Miscellaneous!$N$8,'Other Costs'!$G$5:$G$167,"Capex")</f>
        <v>0</v>
      </c>
      <c r="L56" s="897">
        <f>SUMIFS('Other Costs'!Q$5:Q$167,'Other Costs'!$D$5:$D$167,Variables!$A40,'Other Costs'!$F$5:$F$167,Miscellaneous!$N$8,'Other Costs'!$G$5:$G$167,"Capex")</f>
        <v>0</v>
      </c>
      <c r="M56" s="897">
        <f>SUMIFS('Other Costs'!R$5:R$167,'Other Costs'!$D$5:$D$167,Variables!$A40,'Other Costs'!$F$5:$F$167,Miscellaneous!$N$8,'Other Costs'!$G$5:$G$167,"Capex")</f>
        <v>0</v>
      </c>
      <c r="N56" s="889">
        <f>SUMIFS('Other Costs'!S$5:S$167,'Other Costs'!$D$5:$D$167,Variables!$A40,'Other Costs'!$F$5:$F$167,Miscellaneous!$N$8,'Other Costs'!$G$5:$G$167,"Capex")</f>
        <v>0</v>
      </c>
      <c r="O56" s="924">
        <f>SUMIFS('Other Costs'!T$5:T$167,'Other Costs'!$D$5:$D$167,Variables!$A40,'Other Costs'!$F$5:$F$167,Miscellaneous!$N$8,'Other Costs'!$G$5:$G$167,"Capex")</f>
        <v>0</v>
      </c>
      <c r="P56" s="897">
        <f>SUMIFS('Other Costs'!U$5:U$167,'Other Costs'!$D$5:$D$167,Variables!$A40,'Other Costs'!$F$5:$F$167,Miscellaneous!$N$8,'Other Costs'!$G$5:$G$167,"Capex")</f>
        <v>0</v>
      </c>
      <c r="Q56" s="897">
        <f>SUMIFS('Other Costs'!V$5:V$167,'Other Costs'!$D$5:$D$167,Variables!$A40,'Other Costs'!$F$5:$F$167,Miscellaneous!$N$8,'Other Costs'!$G$5:$G$167,"Capex")</f>
        <v>0</v>
      </c>
      <c r="R56" s="897">
        <f>SUMIFS('Other Costs'!W$5:W$167,'Other Costs'!$D$5:$D$167,Variables!$A40,'Other Costs'!$F$5:$F$167,Miscellaneous!$N$8,'Other Costs'!$G$5:$G$167,"Capex")</f>
        <v>0</v>
      </c>
      <c r="S56" s="897">
        <f>SUMIFS('Other Costs'!X$5:X$167,'Other Costs'!$D$5:$D$167,Variables!$A40,'Other Costs'!$F$5:$F$167,Miscellaneous!$N$8,'Other Costs'!$G$5:$G$167,"Capex")</f>
        <v>0</v>
      </c>
      <c r="T56" s="897">
        <f>SUMIFS('Other Costs'!Y$5:Y$167,'Other Costs'!$D$5:$D$167,Variables!$A40,'Other Costs'!$F$5:$F$167,Miscellaneous!$N$8,'Other Costs'!$G$5:$G$167,"Capex")</f>
        <v>0</v>
      </c>
      <c r="U56" s="897">
        <f>SUMIFS('Other Costs'!Z$5:Z$167,'Other Costs'!$D$5:$D$167,Variables!$A40,'Other Costs'!$F$5:$F$167,Miscellaneous!$N$8,'Other Costs'!$G$5:$G$167,"Capex")</f>
        <v>0</v>
      </c>
      <c r="V56" s="897">
        <f>SUMIFS('Other Costs'!AA$5:AA$167,'Other Costs'!$D$5:$D$167,Variables!$A40,'Other Costs'!$F$5:$F$167,Miscellaneous!$N$8,'Other Costs'!$G$5:$G$167,"Capex")</f>
        <v>0</v>
      </c>
      <c r="W56" s="897">
        <f>SUMIFS('Other Costs'!AB$5:AB$167,'Other Costs'!$D$5:$D$167,Variables!$A40,'Other Costs'!$F$5:$F$167,Miscellaneous!$N$8,'Other Costs'!$G$5:$G$167,"Capex")</f>
        <v>0</v>
      </c>
      <c r="X56" s="897">
        <f>SUMIFS('Other Costs'!AC$5:AC$167,'Other Costs'!$D$5:$D$167,Variables!$A40,'Other Costs'!$F$5:$F$167,Miscellaneous!$N$8,'Other Costs'!$G$5:$G$167,"Capex")</f>
        <v>0</v>
      </c>
      <c r="Y56" s="897">
        <f>SUMIFS('Other Costs'!AD$5:AD$167,'Other Costs'!$D$5:$D$167,Variables!$A40,'Other Costs'!$F$5:$F$167,Miscellaneous!$N$8,'Other Costs'!$G$5:$G$167,"Capex")</f>
        <v>0</v>
      </c>
      <c r="Z56" s="889">
        <f>SUMIFS('Other Costs'!AE$5:AE$167,'Other Costs'!$D$5:$D$167,Variables!$A40,'Other Costs'!$F$5:$F$167,Miscellaneous!$N$8,'Other Costs'!$G$5:$G$167,"Capex")</f>
        <v>0</v>
      </c>
      <c r="AA56" s="924">
        <f>SUMIFS('Other Costs'!AF$5:AF$167,'Other Costs'!$D$5:$D$167,Variables!$A40,'Other Costs'!$F$5:$F$167,Miscellaneous!$N$8,'Other Costs'!$G$5:$G$167,"Capex")</f>
        <v>0</v>
      </c>
      <c r="AB56" s="897">
        <f>SUMIFS('Other Costs'!AG$5:AG$167,'Other Costs'!$D$5:$D$167,Variables!$A40,'Other Costs'!$F$5:$F$167,Miscellaneous!$N$8,'Other Costs'!$G$5:$G$167,"Capex")</f>
        <v>0</v>
      </c>
      <c r="AC56" s="897">
        <f>SUMIFS('Other Costs'!AH$5:AH$167,'Other Costs'!$D$5:$D$167,Variables!$A40,'Other Costs'!$F$5:$F$167,Miscellaneous!$N$8,'Other Costs'!$G$5:$G$167,"Capex")</f>
        <v>0</v>
      </c>
      <c r="AD56" s="897">
        <f>SUMIFS('Other Costs'!AI$5:AI$167,'Other Costs'!$D$5:$D$167,Variables!$A40,'Other Costs'!$F$5:$F$167,Miscellaneous!$N$8,'Other Costs'!$G$5:$G$167,"Capex")</f>
        <v>0</v>
      </c>
      <c r="AE56" s="897">
        <f>SUMIFS('Other Costs'!AJ$5:AJ$167,'Other Costs'!$D$5:$D$167,Variables!$A40,'Other Costs'!$F$5:$F$167,Miscellaneous!$N$8,'Other Costs'!$G$5:$G$167,"Capex")</f>
        <v>0</v>
      </c>
      <c r="AF56" s="897">
        <f>SUMIFS('Other Costs'!AK$5:AK$167,'Other Costs'!$D$5:$D$167,Variables!$A40,'Other Costs'!$F$5:$F$167,Miscellaneous!$N$8,'Other Costs'!$G$5:$G$167,"Capex")</f>
        <v>0</v>
      </c>
      <c r="AG56" s="897">
        <f>SUMIFS('Other Costs'!AL$5:AL$167,'Other Costs'!$D$5:$D$167,Variables!$A40,'Other Costs'!$F$5:$F$167,Miscellaneous!$N$8,'Other Costs'!$G$5:$G$167,"Capex")</f>
        <v>0</v>
      </c>
      <c r="AH56" s="897">
        <f>SUMIFS('Other Costs'!AM$5:AM$167,'Other Costs'!$D$5:$D$167,Variables!$A40,'Other Costs'!$F$5:$F$167,Miscellaneous!$N$8,'Other Costs'!$G$5:$G$167,"Capex")</f>
        <v>0</v>
      </c>
      <c r="AI56" s="897">
        <f>SUMIFS('Other Costs'!AN$5:AN$167,'Other Costs'!$D$5:$D$167,Variables!$A40,'Other Costs'!$F$5:$F$167,Miscellaneous!$N$8,'Other Costs'!$G$5:$G$167,"Capex")</f>
        <v>0</v>
      </c>
      <c r="AJ56" s="897">
        <f>SUMIFS('Other Costs'!AO$5:AO$167,'Other Costs'!$D$5:$D$167,Variables!$A40,'Other Costs'!$F$5:$F$167,Miscellaneous!$N$8,'Other Costs'!$G$5:$G$167,"Capex")</f>
        <v>0</v>
      </c>
      <c r="AK56" s="897">
        <f>SUMIFS('Other Costs'!AP$5:AP$167,'Other Costs'!$D$5:$D$167,Variables!$A40,'Other Costs'!$F$5:$F$167,Miscellaneous!$N$8,'Other Costs'!$G$5:$G$167,"Capex")</f>
        <v>0</v>
      </c>
      <c r="AL56" s="889">
        <f>SUMIFS('Other Costs'!AQ$5:AQ$167,'Other Costs'!$D$5:$D$167,Variables!$A40,'Other Costs'!$F$5:$F$167,Miscellaneous!$N$8,'Other Costs'!$G$5:$G$167,"Capex")</f>
        <v>0</v>
      </c>
      <c r="AM56" s="924">
        <f>SUMIFS('Other Costs'!AR$5:AR$167,'Other Costs'!$D$5:$D$167,Variables!$A40,'Other Costs'!$F$5:$F$167,Miscellaneous!$N$8,'Other Costs'!$G$5:$G$167,"Capex")</f>
        <v>0</v>
      </c>
      <c r="AN56" s="897">
        <f>SUMIFS('Other Costs'!AS$5:AS$167,'Other Costs'!$D$5:$D$167,Variables!$A40,'Other Costs'!$F$5:$F$167,Miscellaneous!$N$8,'Other Costs'!$G$5:$G$167,"Capex")</f>
        <v>0</v>
      </c>
      <c r="AO56" s="897">
        <f>SUMIFS('Other Costs'!AT$5:AT$167,'Other Costs'!$D$5:$D$167,Variables!$A40,'Other Costs'!$F$5:$F$167,Miscellaneous!$N$8,'Other Costs'!$G$5:$G$167,"Capex")</f>
        <v>0</v>
      </c>
      <c r="AP56" s="897">
        <f>SUMIFS('Other Costs'!AU$5:AU$167,'Other Costs'!$D$5:$D$167,Variables!$A40,'Other Costs'!$F$5:$F$167,Miscellaneous!$N$8,'Other Costs'!$G$5:$G$167,"Capex")</f>
        <v>0</v>
      </c>
      <c r="AQ56" s="897">
        <f>SUMIFS('Other Costs'!AV$5:AV$167,'Other Costs'!$D$5:$D$167,Variables!$A40,'Other Costs'!$F$5:$F$167,Miscellaneous!$N$8,'Other Costs'!$G$5:$G$167,"Capex")</f>
        <v>0</v>
      </c>
      <c r="AR56" s="897">
        <f>SUMIFS('Other Costs'!AW$5:AW$167,'Other Costs'!$D$5:$D$167,Variables!$A40,'Other Costs'!$F$5:$F$167,Miscellaneous!$N$8,'Other Costs'!$G$5:$G$167,"Capex")</f>
        <v>0</v>
      </c>
      <c r="AS56" s="897">
        <f>SUMIFS('Other Costs'!AX$5:AX$167,'Other Costs'!$D$5:$D$167,Variables!$A40,'Other Costs'!$F$5:$F$167,Miscellaneous!$N$8,'Other Costs'!$G$5:$G$167,"Capex")</f>
        <v>0</v>
      </c>
      <c r="AT56" s="897">
        <f>SUMIFS('Other Costs'!AY$5:AY$167,'Other Costs'!$D$5:$D$167,Variables!$A40,'Other Costs'!$F$5:$F$167,Miscellaneous!$N$8,'Other Costs'!$G$5:$G$167,"Capex")</f>
        <v>0</v>
      </c>
      <c r="AU56" s="897">
        <f>SUMIFS('Other Costs'!AZ$5:AZ$167,'Other Costs'!$D$5:$D$167,Variables!$A40,'Other Costs'!$F$5:$F$167,Miscellaneous!$N$8,'Other Costs'!$G$5:$G$167,"Capex")</f>
        <v>0</v>
      </c>
      <c r="AV56" s="897">
        <f>SUMIFS('Other Costs'!BA$5:BA$167,'Other Costs'!$D$5:$D$167,Variables!$A40,'Other Costs'!$F$5:$F$167,Miscellaneous!$N$8,'Other Costs'!$G$5:$G$167,"Capex")</f>
        <v>0</v>
      </c>
      <c r="AW56" s="897">
        <f>SUMIFS('Other Costs'!BB$5:BB$167,'Other Costs'!$D$5:$D$167,Variables!$A40,'Other Costs'!$F$5:$F$167,Miscellaneous!$N$8,'Other Costs'!$G$5:$G$167,"Capex")</f>
        <v>0</v>
      </c>
      <c r="AX56" s="892">
        <f>SUMIFS('Other Costs'!BC$5:BC$167,'Other Costs'!$D$5:$D$167,Variables!$A40,'Other Costs'!$F$5:$F$167,Miscellaneous!$N$8,'Other Costs'!$G$5:$G$167,"Capex")</f>
        <v>0</v>
      </c>
      <c r="AY56" s="924">
        <f>SUMIFS('Other Costs'!BD$5:BD$167,'Other Costs'!$D$5:$D$167,Variables!$A40,'Other Costs'!$F$5:$F$167,Miscellaneous!$N$8,'Other Costs'!$G$5:$G$167,"Capex")</f>
        <v>0</v>
      </c>
      <c r="AZ56" s="897">
        <f>SUMIFS('Other Costs'!BE$5:BE$167,'Other Costs'!$D$5:$D$167,Variables!$A40,'Other Costs'!$F$5:$F$167,Miscellaneous!$N$8,'Other Costs'!$G$5:$G$167,"Capex")</f>
        <v>0</v>
      </c>
      <c r="BA56" s="897">
        <f>SUMIFS('Other Costs'!BF$5:BF$167,'Other Costs'!$D$5:$D$167,Variables!$A40,'Other Costs'!$F$5:$F$167,Miscellaneous!$N$8,'Other Costs'!$G$5:$G$167,"Capex")</f>
        <v>0</v>
      </c>
      <c r="BB56" s="897">
        <f>SUMIFS('Other Costs'!BG$5:BG$167,'Other Costs'!$D$5:$D$167,Variables!$A40,'Other Costs'!$F$5:$F$167,Miscellaneous!$N$8,'Other Costs'!$G$5:$G$167,"Capex")</f>
        <v>0</v>
      </c>
      <c r="BC56" s="897">
        <f>SUMIFS('Other Costs'!BH$5:BH$167,'Other Costs'!$D$5:$D$167,Variables!$A40,'Other Costs'!$F$5:$F$167,Miscellaneous!$N$8,'Other Costs'!$G$5:$G$167,"Capex")</f>
        <v>0</v>
      </c>
      <c r="BD56" s="897">
        <f>SUMIFS('Other Costs'!BI$5:BI$167,'Other Costs'!$D$5:$D$167,Variables!$A40,'Other Costs'!$F$5:$F$167,Miscellaneous!$N$8,'Other Costs'!$G$5:$G$167,"Capex")</f>
        <v>0</v>
      </c>
      <c r="BE56" s="897">
        <f>SUMIFS('Other Costs'!BJ$5:BJ$167,'Other Costs'!$D$5:$D$167,Variables!$A40,'Other Costs'!$F$5:$F$167,Miscellaneous!$N$8,'Other Costs'!$G$5:$G$167,"Capex")</f>
        <v>0</v>
      </c>
      <c r="BF56" s="897">
        <f>SUMIFS('Other Costs'!BK$5:BK$167,'Other Costs'!$D$5:$D$167,Variables!$A40,'Other Costs'!$F$5:$F$167,Miscellaneous!$N$8,'Other Costs'!$G$5:$G$167,"Capex")</f>
        <v>0</v>
      </c>
      <c r="BG56" s="897">
        <f>SUMIFS('Other Costs'!BL$5:BL$167,'Other Costs'!$D$5:$D$167,Variables!$A40,'Other Costs'!$F$5:$F$167,Miscellaneous!$N$8,'Other Costs'!$G$5:$G$167,"Capex")</f>
        <v>0</v>
      </c>
      <c r="BH56" s="897">
        <f>SUMIFS('Other Costs'!BM$5:BM$167,'Other Costs'!$D$5:$D$167,Variables!$A40,'Other Costs'!$F$5:$F$167,Miscellaneous!$N$8,'Other Costs'!$G$5:$G$167,"Capex")</f>
        <v>0</v>
      </c>
      <c r="BI56" s="897">
        <f>SUMIFS('Other Costs'!BN$5:BN$167,'Other Costs'!$D$5:$D$167,Variables!$A40,'Other Costs'!$F$5:$F$167,Miscellaneous!$N$8,'Other Costs'!$G$5:$G$167,"Capex")</f>
        <v>0</v>
      </c>
      <c r="BJ56" s="892">
        <f>SUMIFS('Other Costs'!BO$5:BO$167,'Other Costs'!$D$5:$D$167,Variables!$A40,'Other Costs'!$F$5:$F$167,Miscellaneous!$N$8,'Other Costs'!$G$5:$G$167,"Capex")</f>
        <v>0</v>
      </c>
      <c r="BK56" s="924">
        <f>SUMIFS('Other Costs'!BP$5:BP$167,'Other Costs'!$D$5:$D$167,Variables!$A40,'Other Costs'!$F$5:$F$167,Miscellaneous!$N$8,'Other Costs'!$G$5:$G$167,"Capex")</f>
        <v>0</v>
      </c>
      <c r="BL56" s="897">
        <f>SUMIFS('Other Costs'!BQ$5:BQ$167,'Other Costs'!$D$5:$D$167,Variables!$A40,'Other Costs'!$F$5:$F$167,Miscellaneous!$N$8,'Other Costs'!$G$5:$G$167,"Capex")</f>
        <v>0</v>
      </c>
      <c r="BM56" s="897">
        <f>SUMIFS('Other Costs'!BR$5:BR$167,'Other Costs'!$D$5:$D$167,Variables!$A40,'Other Costs'!$F$5:$F$167,Miscellaneous!$N$8,'Other Costs'!$G$5:$G$167,"Capex")</f>
        <v>0</v>
      </c>
      <c r="BN56" s="897">
        <f>SUMIFS('Other Costs'!BS$5:BS$167,'Other Costs'!$D$5:$D$167,Variables!$A40,'Other Costs'!$F$5:$F$167,Miscellaneous!$N$8,'Other Costs'!$G$5:$G$167,"Capex")</f>
        <v>0</v>
      </c>
      <c r="BO56" s="897">
        <f>SUMIFS('Other Costs'!BT$5:BT$167,'Other Costs'!$D$5:$D$167,Variables!$A40,'Other Costs'!$F$5:$F$167,Miscellaneous!$N$8,'Other Costs'!$G$5:$G$167,"Capex")</f>
        <v>0</v>
      </c>
      <c r="BP56" s="897">
        <f>SUMIFS('Other Costs'!BU$5:BU$167,'Other Costs'!$D$5:$D$167,Variables!$A40,'Other Costs'!$F$5:$F$167,Miscellaneous!$N$8,'Other Costs'!$G$5:$G$167,"Capex")</f>
        <v>0</v>
      </c>
      <c r="BQ56" s="897">
        <f>SUMIFS('Other Costs'!BV$5:BV$167,'Other Costs'!$D$5:$D$167,Variables!$A40,'Other Costs'!$F$5:$F$167,Miscellaneous!$N$8,'Other Costs'!$G$5:$G$167,"Capex")</f>
        <v>0</v>
      </c>
      <c r="BR56" s="897">
        <f>SUMIFS('Other Costs'!BW$5:BW$167,'Other Costs'!$D$5:$D$167,Variables!$A40,'Other Costs'!$F$5:$F$167,Miscellaneous!$N$8,'Other Costs'!$G$5:$G$167,"Capex")</f>
        <v>0</v>
      </c>
      <c r="BS56" s="897">
        <f>SUMIFS('Other Costs'!BX$5:BX$167,'Other Costs'!$D$5:$D$167,Variables!$A40,'Other Costs'!$F$5:$F$167,Miscellaneous!$N$8,'Other Costs'!$G$5:$G$167,"Capex")</f>
        <v>0</v>
      </c>
      <c r="BT56" s="897">
        <f>SUMIFS('Other Costs'!BY$5:BY$167,'Other Costs'!$D$5:$D$167,Variables!$A40,'Other Costs'!$F$5:$F$167,Miscellaneous!$N$8,'Other Costs'!$G$5:$G$167,"Capex")</f>
        <v>0</v>
      </c>
      <c r="BU56" s="897">
        <f>SUMIFS('Other Costs'!BZ$5:BZ$167,'Other Costs'!$D$5:$D$167,Variables!$A40,'Other Costs'!$F$5:$F$167,Miscellaneous!$N$8,'Other Costs'!$G$5:$G$167,"Capex")</f>
        <v>0</v>
      </c>
      <c r="BV56" s="892">
        <f>SUMIFS('Other Costs'!CA$5:CA$167,'Other Costs'!$D$5:$D$167,Variables!$A40,'Other Costs'!$F$5:$F$167,Miscellaneous!$N$8,'Other Costs'!$G$5:$G$167,"Capex")</f>
        <v>0</v>
      </c>
      <c r="BW56" s="893">
        <f>SUMIFS(C56:BV56,$C$74:$BV$74,"")</f>
        <v>0</v>
      </c>
      <c r="BX56" s="894">
        <f>SUM(SUMIFS(C56:N56,$C$2:$N$2,{"Dev","Impl","PIS","Close"},$C$74:$N$74,""))</f>
        <v>0</v>
      </c>
      <c r="BY56" s="894">
        <f>SUM(SUMIFS(O56:Z56,$O$2:$Z$2,{"Dev","Impl","PIS","Close"},$O$74:$Z$74,""))</f>
        <v>0</v>
      </c>
      <c r="BZ56" s="894">
        <f>SUM(SUMIFS(AA56:AL56,$AA$2:$AL$2,{"Dev","Impl","PIS","Close"},$AA$74:$AL$74,""))</f>
        <v>0</v>
      </c>
      <c r="CA56" s="894">
        <f>SUM(SUMIFS(AM56:AX56,$AM$2:$AX$2,{"Dev","Impl","PIS","Close"},$AM$74:$AX$74,""))</f>
        <v>0</v>
      </c>
      <c r="CB56" s="894">
        <f>SUM(SUMIFS(AY56:BJ56,$AY$2:$BJ$2,{"Dev","Impl","PIS","Close"},$AY$74:$BJ$74,""))</f>
        <v>0</v>
      </c>
      <c r="CC56" s="894">
        <f>SUM(SUMIFS(BK56:BV56,$BK$2:$BV$2,{"Dev","Impl","PIS","Close"},$BK$74:$BV$74,""))</f>
        <v>0</v>
      </c>
    </row>
    <row r="57" spans="1:88" s="4" customFormat="1">
      <c r="A57" s="6" t="s">
        <v>15333</v>
      </c>
      <c r="B57" s="108"/>
      <c r="C57" s="897">
        <f>SUMIFS('Other Costs'!H$5:H$167,'Other Costs'!$D$5:$D$167,Variables!$A41,'Other Costs'!$F$5:$F$167,Miscellaneous!$N$8,'Other Costs'!$G$5:$G$167,"Capex")</f>
        <v>0</v>
      </c>
      <c r="D57" s="897">
        <f>SUMIFS('Other Costs'!I$5:I$167,'Other Costs'!$D$5:$D$167,Variables!$A41,'Other Costs'!$F$5:$F$167,Miscellaneous!$N$8,'Other Costs'!$G$5:$G$167,"Capex")</f>
        <v>0</v>
      </c>
      <c r="E57" s="897">
        <f>SUMIFS('Other Costs'!J$5:J$167,'Other Costs'!$D$5:$D$167,Variables!$A41,'Other Costs'!$F$5:$F$167,Miscellaneous!$N$8,'Other Costs'!$G$5:$G$167,"Capex")</f>
        <v>0</v>
      </c>
      <c r="F57" s="897">
        <f>SUMIFS('Other Costs'!K$5:K$167,'Other Costs'!$D$5:$D$167,Variables!$A41,'Other Costs'!$F$5:$F$167,Miscellaneous!$N$8,'Other Costs'!$G$5:$G$167,"Capex")</f>
        <v>0</v>
      </c>
      <c r="G57" s="897">
        <f>SUMIFS('Other Costs'!L$5:L$167,'Other Costs'!$D$5:$D$167,Variables!$A41,'Other Costs'!$F$5:$F$167,Miscellaneous!$N$8,'Other Costs'!$G$5:$G$167,"Capex")</f>
        <v>0</v>
      </c>
      <c r="H57" s="897">
        <f>SUMIFS('Other Costs'!M$5:M$167,'Other Costs'!$D$5:$D$167,Variables!$A41,'Other Costs'!$F$5:$F$167,Miscellaneous!$N$8,'Other Costs'!$G$5:$G$167,"Capex")</f>
        <v>0</v>
      </c>
      <c r="I57" s="897">
        <f>SUMIFS('Other Costs'!N$5:N$167,'Other Costs'!$D$5:$D$167,Variables!$A41,'Other Costs'!$F$5:$F$167,Miscellaneous!$N$8,'Other Costs'!$G$5:$G$167,"Capex")</f>
        <v>0</v>
      </c>
      <c r="J57" s="897">
        <f>SUMIFS('Other Costs'!O$5:O$167,'Other Costs'!$D$5:$D$167,Variables!$A41,'Other Costs'!$F$5:$F$167,Miscellaneous!$N$8,'Other Costs'!$G$5:$G$167,"Capex")</f>
        <v>0</v>
      </c>
      <c r="K57" s="897">
        <f>SUMIFS('Other Costs'!P$5:P$167,'Other Costs'!$D$5:$D$167,Variables!$A41,'Other Costs'!$F$5:$F$167,Miscellaneous!$N$8,'Other Costs'!$G$5:$G$167,"Capex")</f>
        <v>0</v>
      </c>
      <c r="L57" s="897">
        <f>SUMIFS('Other Costs'!Q$5:Q$167,'Other Costs'!$D$5:$D$167,Variables!$A41,'Other Costs'!$F$5:$F$167,Miscellaneous!$N$8,'Other Costs'!$G$5:$G$167,"Capex")</f>
        <v>0</v>
      </c>
      <c r="M57" s="897">
        <f>SUMIFS('Other Costs'!R$5:R$167,'Other Costs'!$D$5:$D$167,Variables!$A41,'Other Costs'!$F$5:$F$167,Miscellaneous!$N$8,'Other Costs'!$G$5:$G$167,"Capex")</f>
        <v>0</v>
      </c>
      <c r="N57" s="889">
        <f>SUMIFS('Other Costs'!S$5:S$167,'Other Costs'!$D$5:$D$167,Variables!$A41,'Other Costs'!$F$5:$F$167,Miscellaneous!$N$8,'Other Costs'!$G$5:$G$167,"Capex")</f>
        <v>0</v>
      </c>
      <c r="O57" s="924">
        <f>SUMIFS('Other Costs'!T$5:T$167,'Other Costs'!$D$5:$D$167,Variables!$A41,'Other Costs'!$F$5:$F$167,Miscellaneous!$N$8,'Other Costs'!$G$5:$G$167,"Capex")</f>
        <v>0</v>
      </c>
      <c r="P57" s="897">
        <f>SUMIFS('Other Costs'!U$5:U$167,'Other Costs'!$D$5:$D$167,Variables!$A41,'Other Costs'!$F$5:$F$167,Miscellaneous!$N$8,'Other Costs'!$G$5:$G$167,"Capex")</f>
        <v>0</v>
      </c>
      <c r="Q57" s="897">
        <f>SUMIFS('Other Costs'!V$5:V$167,'Other Costs'!$D$5:$D$167,Variables!$A41,'Other Costs'!$F$5:$F$167,Miscellaneous!$N$8,'Other Costs'!$G$5:$G$167,"Capex")</f>
        <v>0</v>
      </c>
      <c r="R57" s="897">
        <f>SUMIFS('Other Costs'!W$5:W$167,'Other Costs'!$D$5:$D$167,Variables!$A41,'Other Costs'!$F$5:$F$167,Miscellaneous!$N$8,'Other Costs'!$G$5:$G$167,"Capex")</f>
        <v>0</v>
      </c>
      <c r="S57" s="897">
        <f>SUMIFS('Other Costs'!X$5:X$167,'Other Costs'!$D$5:$D$167,Variables!$A41,'Other Costs'!$F$5:$F$167,Miscellaneous!$N$8,'Other Costs'!$G$5:$G$167,"Capex")</f>
        <v>0</v>
      </c>
      <c r="T57" s="897">
        <f>SUMIFS('Other Costs'!Y$5:Y$167,'Other Costs'!$D$5:$D$167,Variables!$A41,'Other Costs'!$F$5:$F$167,Miscellaneous!$N$8,'Other Costs'!$G$5:$G$167,"Capex")</f>
        <v>0</v>
      </c>
      <c r="U57" s="897">
        <f>SUMIFS('Other Costs'!Z$5:Z$167,'Other Costs'!$D$5:$D$167,Variables!$A41,'Other Costs'!$F$5:$F$167,Miscellaneous!$N$8,'Other Costs'!$G$5:$G$167,"Capex")</f>
        <v>0</v>
      </c>
      <c r="V57" s="897">
        <f>SUMIFS('Other Costs'!AA$5:AA$167,'Other Costs'!$D$5:$D$167,Variables!$A41,'Other Costs'!$F$5:$F$167,Miscellaneous!$N$8,'Other Costs'!$G$5:$G$167,"Capex")</f>
        <v>0</v>
      </c>
      <c r="W57" s="897">
        <f>SUMIFS('Other Costs'!AB$5:AB$167,'Other Costs'!$D$5:$D$167,Variables!$A41,'Other Costs'!$F$5:$F$167,Miscellaneous!$N$8,'Other Costs'!$G$5:$G$167,"Capex")</f>
        <v>0</v>
      </c>
      <c r="X57" s="897">
        <f>SUMIFS('Other Costs'!AC$5:AC$167,'Other Costs'!$D$5:$D$167,Variables!$A41,'Other Costs'!$F$5:$F$167,Miscellaneous!$N$8,'Other Costs'!$G$5:$G$167,"Capex")</f>
        <v>0</v>
      </c>
      <c r="Y57" s="897">
        <f>SUMIFS('Other Costs'!AD$5:AD$167,'Other Costs'!$D$5:$D$167,Variables!$A41,'Other Costs'!$F$5:$F$167,Miscellaneous!$N$8,'Other Costs'!$G$5:$G$167,"Capex")</f>
        <v>0</v>
      </c>
      <c r="Z57" s="889">
        <f>SUMIFS('Other Costs'!AE$5:AE$167,'Other Costs'!$D$5:$D$167,Variables!$A41,'Other Costs'!$F$5:$F$167,Miscellaneous!$N$8,'Other Costs'!$G$5:$G$167,"Capex")</f>
        <v>0</v>
      </c>
      <c r="AA57" s="924">
        <f>SUMIFS('Other Costs'!AF$5:AF$167,'Other Costs'!$D$5:$D$167,Variables!$A41,'Other Costs'!$F$5:$F$167,Miscellaneous!$N$8,'Other Costs'!$G$5:$G$167,"Capex")</f>
        <v>0</v>
      </c>
      <c r="AB57" s="897">
        <f>SUMIFS('Other Costs'!AG$5:AG$167,'Other Costs'!$D$5:$D$167,Variables!$A41,'Other Costs'!$F$5:$F$167,Miscellaneous!$N$8,'Other Costs'!$G$5:$G$167,"Capex")</f>
        <v>0</v>
      </c>
      <c r="AC57" s="897">
        <f>SUMIFS('Other Costs'!AH$5:AH$167,'Other Costs'!$D$5:$D$167,Variables!$A41,'Other Costs'!$F$5:$F$167,Miscellaneous!$N$8,'Other Costs'!$G$5:$G$167,"Capex")</f>
        <v>0</v>
      </c>
      <c r="AD57" s="897">
        <f>SUMIFS('Other Costs'!AI$5:AI$167,'Other Costs'!$D$5:$D$167,Variables!$A41,'Other Costs'!$F$5:$F$167,Miscellaneous!$N$8,'Other Costs'!$G$5:$G$167,"Capex")</f>
        <v>0</v>
      </c>
      <c r="AE57" s="897">
        <f>SUMIFS('Other Costs'!AJ$5:AJ$167,'Other Costs'!$D$5:$D$167,Variables!$A41,'Other Costs'!$F$5:$F$167,Miscellaneous!$N$8,'Other Costs'!$G$5:$G$167,"Capex")</f>
        <v>0</v>
      </c>
      <c r="AF57" s="897">
        <f>SUMIFS('Other Costs'!AK$5:AK$167,'Other Costs'!$D$5:$D$167,Variables!$A41,'Other Costs'!$F$5:$F$167,Miscellaneous!$N$8,'Other Costs'!$G$5:$G$167,"Capex")</f>
        <v>0</v>
      </c>
      <c r="AG57" s="897">
        <f>SUMIFS('Other Costs'!AL$5:AL$167,'Other Costs'!$D$5:$D$167,Variables!$A41,'Other Costs'!$F$5:$F$167,Miscellaneous!$N$8,'Other Costs'!$G$5:$G$167,"Capex")</f>
        <v>0</v>
      </c>
      <c r="AH57" s="897">
        <f>SUMIFS('Other Costs'!AM$5:AM$167,'Other Costs'!$D$5:$D$167,Variables!$A41,'Other Costs'!$F$5:$F$167,Miscellaneous!$N$8,'Other Costs'!$G$5:$G$167,"Capex")</f>
        <v>0</v>
      </c>
      <c r="AI57" s="897">
        <f>SUMIFS('Other Costs'!AN$5:AN$167,'Other Costs'!$D$5:$D$167,Variables!$A41,'Other Costs'!$F$5:$F$167,Miscellaneous!$N$8,'Other Costs'!$G$5:$G$167,"Capex")</f>
        <v>0</v>
      </c>
      <c r="AJ57" s="897">
        <f>SUMIFS('Other Costs'!AO$5:AO$167,'Other Costs'!$D$5:$D$167,Variables!$A41,'Other Costs'!$F$5:$F$167,Miscellaneous!$N$8,'Other Costs'!$G$5:$G$167,"Capex")</f>
        <v>0</v>
      </c>
      <c r="AK57" s="897">
        <f>SUMIFS('Other Costs'!AP$5:AP$167,'Other Costs'!$D$5:$D$167,Variables!$A41,'Other Costs'!$F$5:$F$167,Miscellaneous!$N$8,'Other Costs'!$G$5:$G$167,"Capex")</f>
        <v>0</v>
      </c>
      <c r="AL57" s="889">
        <f>SUMIFS('Other Costs'!AQ$5:AQ$167,'Other Costs'!$D$5:$D$167,Variables!$A41,'Other Costs'!$F$5:$F$167,Miscellaneous!$N$8,'Other Costs'!$G$5:$G$167,"Capex")</f>
        <v>0</v>
      </c>
      <c r="AM57" s="924">
        <f>SUMIFS('Other Costs'!AR$5:AR$167,'Other Costs'!$D$5:$D$167,Variables!$A41,'Other Costs'!$F$5:$F$167,Miscellaneous!$N$8,'Other Costs'!$G$5:$G$167,"Capex")</f>
        <v>0</v>
      </c>
      <c r="AN57" s="897">
        <f>SUMIFS('Other Costs'!AS$5:AS$167,'Other Costs'!$D$5:$D$167,Variables!$A41,'Other Costs'!$F$5:$F$167,Miscellaneous!$N$8,'Other Costs'!$G$5:$G$167,"Capex")</f>
        <v>0</v>
      </c>
      <c r="AO57" s="897">
        <f>SUMIFS('Other Costs'!AT$5:AT$167,'Other Costs'!$D$5:$D$167,Variables!$A41,'Other Costs'!$F$5:$F$167,Miscellaneous!$N$8,'Other Costs'!$G$5:$G$167,"Capex")</f>
        <v>0</v>
      </c>
      <c r="AP57" s="897">
        <f>SUMIFS('Other Costs'!AU$5:AU$167,'Other Costs'!$D$5:$D$167,Variables!$A41,'Other Costs'!$F$5:$F$167,Miscellaneous!$N$8,'Other Costs'!$G$5:$G$167,"Capex")</f>
        <v>0</v>
      </c>
      <c r="AQ57" s="897">
        <f>SUMIFS('Other Costs'!AV$5:AV$167,'Other Costs'!$D$5:$D$167,Variables!$A41,'Other Costs'!$F$5:$F$167,Miscellaneous!$N$8,'Other Costs'!$G$5:$G$167,"Capex")</f>
        <v>0</v>
      </c>
      <c r="AR57" s="897">
        <f>SUMIFS('Other Costs'!AW$5:AW$167,'Other Costs'!$D$5:$D$167,Variables!$A41,'Other Costs'!$F$5:$F$167,Miscellaneous!$N$8,'Other Costs'!$G$5:$G$167,"Capex")</f>
        <v>0</v>
      </c>
      <c r="AS57" s="897">
        <f>SUMIFS('Other Costs'!AX$5:AX$167,'Other Costs'!$D$5:$D$167,Variables!$A41,'Other Costs'!$F$5:$F$167,Miscellaneous!$N$8,'Other Costs'!$G$5:$G$167,"Capex")</f>
        <v>0</v>
      </c>
      <c r="AT57" s="897">
        <f>SUMIFS('Other Costs'!AY$5:AY$167,'Other Costs'!$D$5:$D$167,Variables!$A41,'Other Costs'!$F$5:$F$167,Miscellaneous!$N$8,'Other Costs'!$G$5:$G$167,"Capex")</f>
        <v>0</v>
      </c>
      <c r="AU57" s="897">
        <f>SUMIFS('Other Costs'!AZ$5:AZ$167,'Other Costs'!$D$5:$D$167,Variables!$A41,'Other Costs'!$F$5:$F$167,Miscellaneous!$N$8,'Other Costs'!$G$5:$G$167,"Capex")</f>
        <v>0</v>
      </c>
      <c r="AV57" s="897">
        <f>SUMIFS('Other Costs'!BA$5:BA$167,'Other Costs'!$D$5:$D$167,Variables!$A41,'Other Costs'!$F$5:$F$167,Miscellaneous!$N$8,'Other Costs'!$G$5:$G$167,"Capex")</f>
        <v>0</v>
      </c>
      <c r="AW57" s="897">
        <f>SUMIFS('Other Costs'!BB$5:BB$167,'Other Costs'!$D$5:$D$167,Variables!$A41,'Other Costs'!$F$5:$F$167,Miscellaneous!$N$8,'Other Costs'!$G$5:$G$167,"Capex")</f>
        <v>0</v>
      </c>
      <c r="AX57" s="892">
        <f>SUMIFS('Other Costs'!BC$5:BC$167,'Other Costs'!$D$5:$D$167,Variables!$A41,'Other Costs'!$F$5:$F$167,Miscellaneous!$N$8,'Other Costs'!$G$5:$G$167,"Capex")</f>
        <v>0</v>
      </c>
      <c r="AY57" s="924">
        <f>SUMIFS('Other Costs'!BD$5:BD$167,'Other Costs'!$D$5:$D$167,Variables!$A41,'Other Costs'!$F$5:$F$167,Miscellaneous!$N$8,'Other Costs'!$G$5:$G$167,"Capex")</f>
        <v>0</v>
      </c>
      <c r="AZ57" s="897">
        <f>SUMIFS('Other Costs'!BE$5:BE$167,'Other Costs'!$D$5:$D$167,Variables!$A41,'Other Costs'!$F$5:$F$167,Miscellaneous!$N$8,'Other Costs'!$G$5:$G$167,"Capex")</f>
        <v>0</v>
      </c>
      <c r="BA57" s="897">
        <f>SUMIFS('Other Costs'!BF$5:BF$167,'Other Costs'!$D$5:$D$167,Variables!$A41,'Other Costs'!$F$5:$F$167,Miscellaneous!$N$8,'Other Costs'!$G$5:$G$167,"Capex")</f>
        <v>0</v>
      </c>
      <c r="BB57" s="897">
        <f>SUMIFS('Other Costs'!BG$5:BG$167,'Other Costs'!$D$5:$D$167,Variables!$A41,'Other Costs'!$F$5:$F$167,Miscellaneous!$N$8,'Other Costs'!$G$5:$G$167,"Capex")</f>
        <v>0</v>
      </c>
      <c r="BC57" s="897">
        <f>SUMIFS('Other Costs'!BH$5:BH$167,'Other Costs'!$D$5:$D$167,Variables!$A41,'Other Costs'!$F$5:$F$167,Miscellaneous!$N$8,'Other Costs'!$G$5:$G$167,"Capex")</f>
        <v>0</v>
      </c>
      <c r="BD57" s="897">
        <f>SUMIFS('Other Costs'!BI$5:BI$167,'Other Costs'!$D$5:$D$167,Variables!$A41,'Other Costs'!$F$5:$F$167,Miscellaneous!$N$8,'Other Costs'!$G$5:$G$167,"Capex")</f>
        <v>0</v>
      </c>
      <c r="BE57" s="897">
        <f>SUMIFS('Other Costs'!BJ$5:BJ$167,'Other Costs'!$D$5:$D$167,Variables!$A41,'Other Costs'!$F$5:$F$167,Miscellaneous!$N$8,'Other Costs'!$G$5:$G$167,"Capex")</f>
        <v>0</v>
      </c>
      <c r="BF57" s="897">
        <f>SUMIFS('Other Costs'!BK$5:BK$167,'Other Costs'!$D$5:$D$167,Variables!$A41,'Other Costs'!$F$5:$F$167,Miscellaneous!$N$8,'Other Costs'!$G$5:$G$167,"Capex")</f>
        <v>0</v>
      </c>
      <c r="BG57" s="897">
        <f>SUMIFS('Other Costs'!BL$5:BL$167,'Other Costs'!$D$5:$D$167,Variables!$A41,'Other Costs'!$F$5:$F$167,Miscellaneous!$N$8,'Other Costs'!$G$5:$G$167,"Capex")</f>
        <v>0</v>
      </c>
      <c r="BH57" s="897">
        <f>SUMIFS('Other Costs'!BM$5:BM$167,'Other Costs'!$D$5:$D$167,Variables!$A41,'Other Costs'!$F$5:$F$167,Miscellaneous!$N$8,'Other Costs'!$G$5:$G$167,"Capex")</f>
        <v>0</v>
      </c>
      <c r="BI57" s="897">
        <f>SUMIFS('Other Costs'!BN$5:BN$167,'Other Costs'!$D$5:$D$167,Variables!$A41,'Other Costs'!$F$5:$F$167,Miscellaneous!$N$8,'Other Costs'!$G$5:$G$167,"Capex")</f>
        <v>0</v>
      </c>
      <c r="BJ57" s="892">
        <f>SUMIFS('Other Costs'!BO$5:BO$167,'Other Costs'!$D$5:$D$167,Variables!$A41,'Other Costs'!$F$5:$F$167,Miscellaneous!$N$8,'Other Costs'!$G$5:$G$167,"Capex")</f>
        <v>0</v>
      </c>
      <c r="BK57" s="924">
        <f>SUMIFS('Other Costs'!BP$5:BP$167,'Other Costs'!$D$5:$D$167,Variables!$A41,'Other Costs'!$F$5:$F$167,Miscellaneous!$N$8,'Other Costs'!$G$5:$G$167,"Capex")</f>
        <v>0</v>
      </c>
      <c r="BL57" s="897">
        <f>SUMIFS('Other Costs'!BQ$5:BQ$167,'Other Costs'!$D$5:$D$167,Variables!$A41,'Other Costs'!$F$5:$F$167,Miscellaneous!$N$8,'Other Costs'!$G$5:$G$167,"Capex")</f>
        <v>0</v>
      </c>
      <c r="BM57" s="897">
        <f>SUMIFS('Other Costs'!BR$5:BR$167,'Other Costs'!$D$5:$D$167,Variables!$A41,'Other Costs'!$F$5:$F$167,Miscellaneous!$N$8,'Other Costs'!$G$5:$G$167,"Capex")</f>
        <v>0</v>
      </c>
      <c r="BN57" s="897">
        <f>SUMIFS('Other Costs'!BS$5:BS$167,'Other Costs'!$D$5:$D$167,Variables!$A41,'Other Costs'!$F$5:$F$167,Miscellaneous!$N$8,'Other Costs'!$G$5:$G$167,"Capex")</f>
        <v>0</v>
      </c>
      <c r="BO57" s="897">
        <f>SUMIFS('Other Costs'!BT$5:BT$167,'Other Costs'!$D$5:$D$167,Variables!$A41,'Other Costs'!$F$5:$F$167,Miscellaneous!$N$8,'Other Costs'!$G$5:$G$167,"Capex")</f>
        <v>0</v>
      </c>
      <c r="BP57" s="897">
        <f>SUMIFS('Other Costs'!BU$5:BU$167,'Other Costs'!$D$5:$D$167,Variables!$A41,'Other Costs'!$F$5:$F$167,Miscellaneous!$N$8,'Other Costs'!$G$5:$G$167,"Capex")</f>
        <v>0</v>
      </c>
      <c r="BQ57" s="897">
        <f>SUMIFS('Other Costs'!BV$5:BV$167,'Other Costs'!$D$5:$D$167,Variables!$A41,'Other Costs'!$F$5:$F$167,Miscellaneous!$N$8,'Other Costs'!$G$5:$G$167,"Capex")</f>
        <v>0</v>
      </c>
      <c r="BR57" s="897">
        <f>SUMIFS('Other Costs'!BW$5:BW$167,'Other Costs'!$D$5:$D$167,Variables!$A41,'Other Costs'!$F$5:$F$167,Miscellaneous!$N$8,'Other Costs'!$G$5:$G$167,"Capex")</f>
        <v>0</v>
      </c>
      <c r="BS57" s="897">
        <f>SUMIFS('Other Costs'!BX$5:BX$167,'Other Costs'!$D$5:$D$167,Variables!$A41,'Other Costs'!$F$5:$F$167,Miscellaneous!$N$8,'Other Costs'!$G$5:$G$167,"Capex")</f>
        <v>0</v>
      </c>
      <c r="BT57" s="897">
        <f>SUMIFS('Other Costs'!BY$5:BY$167,'Other Costs'!$D$5:$D$167,Variables!$A41,'Other Costs'!$F$5:$F$167,Miscellaneous!$N$8,'Other Costs'!$G$5:$G$167,"Capex")</f>
        <v>0</v>
      </c>
      <c r="BU57" s="897">
        <f>SUMIFS('Other Costs'!BZ$5:BZ$167,'Other Costs'!$D$5:$D$167,Variables!$A41,'Other Costs'!$F$5:$F$167,Miscellaneous!$N$8,'Other Costs'!$G$5:$G$167,"Capex")</f>
        <v>0</v>
      </c>
      <c r="BV57" s="892">
        <f>SUMIFS('Other Costs'!CA$5:CA$167,'Other Costs'!$D$5:$D$167,Variables!$A41,'Other Costs'!$F$5:$F$167,Miscellaneous!$N$8,'Other Costs'!$G$5:$G$167,"Capex")</f>
        <v>0</v>
      </c>
      <c r="BW57" s="893">
        <f>SUMIFS(C57:BV57,$C$74:$BV$74,"")</f>
        <v>0</v>
      </c>
      <c r="BX57" s="894">
        <f>SUM(SUMIFS(C57:N57,$C$2:$N$2,{"Dev","Impl","PIS","Close"},$C$74:$N$74,""))</f>
        <v>0</v>
      </c>
      <c r="BY57" s="894">
        <f>SUM(SUMIFS(O57:Z57,$O$2:$Z$2,{"Dev","Impl","PIS","Close"},$O$74:$Z$74,""))</f>
        <v>0</v>
      </c>
      <c r="BZ57" s="894">
        <f>SUM(SUMIFS(AA57:AL57,$AA$2:$AL$2,{"Dev","Impl","PIS","Close"},$AA$74:$AL$74,""))</f>
        <v>0</v>
      </c>
      <c r="CA57" s="894">
        <f>SUM(SUMIFS(AM57:AX57,$AM$2:$AX$2,{"Dev","Impl","PIS","Close"},$AM$74:$AX$74,""))</f>
        <v>0</v>
      </c>
      <c r="CB57" s="894">
        <f>SUM(SUMIFS(AY57:BJ57,$AY$2:$BJ$2,{"Dev","Impl","PIS","Close"},$AY$74:$BJ$74,""))</f>
        <v>0</v>
      </c>
      <c r="CC57" s="894">
        <f>SUM(SUMIFS(BK57:BV57,$BK$2:$BV$2,{"Dev","Impl","PIS","Close"},$BK$74:$BV$74,""))</f>
        <v>0</v>
      </c>
    </row>
    <row r="58" spans="1:88" s="4" customFormat="1">
      <c r="A58" s="6" t="s">
        <v>219</v>
      </c>
      <c r="B58" s="108"/>
      <c r="C58" s="897">
        <f>SUMIFS('Other Costs'!H$5:H$167,'Other Costs'!$D$5:$D$167,Variables!$A42,'Other Costs'!$F$5:$F$167,Miscellaneous!$N$8,'Other Costs'!$G$5:$G$167,"Capex")</f>
        <v>0</v>
      </c>
      <c r="D58" s="897">
        <f>SUMIFS('Other Costs'!I$5:I$167,'Other Costs'!$D$5:$D$167,Variables!$A42,'Other Costs'!$F$5:$F$167,Miscellaneous!$N$8,'Other Costs'!$G$5:$G$167,"Capex")</f>
        <v>0</v>
      </c>
      <c r="E58" s="897">
        <f>SUMIFS('Other Costs'!J$5:J$167,'Other Costs'!$D$5:$D$167,Variables!$A42,'Other Costs'!$F$5:$F$167,Miscellaneous!$N$8,'Other Costs'!$G$5:$G$167,"Capex")</f>
        <v>0</v>
      </c>
      <c r="F58" s="897">
        <f>SUMIFS('Other Costs'!K$5:K$167,'Other Costs'!$D$5:$D$167,Variables!$A42,'Other Costs'!$F$5:$F$167,Miscellaneous!$N$8,'Other Costs'!$G$5:$G$167,"Capex")</f>
        <v>0</v>
      </c>
      <c r="G58" s="897">
        <f>SUMIFS('Other Costs'!L$5:L$167,'Other Costs'!$D$5:$D$167,Variables!$A42,'Other Costs'!$F$5:$F$167,Miscellaneous!$N$8,'Other Costs'!$G$5:$G$167,"Capex")</f>
        <v>0</v>
      </c>
      <c r="H58" s="897">
        <f>SUMIFS('Other Costs'!M$5:M$167,'Other Costs'!$D$5:$D$167,Variables!$A42,'Other Costs'!$F$5:$F$167,Miscellaneous!$N$8,'Other Costs'!$G$5:$G$167,"Capex")</f>
        <v>0</v>
      </c>
      <c r="I58" s="897">
        <f>SUMIFS('Other Costs'!N$5:N$167,'Other Costs'!$D$5:$D$167,Variables!$A42,'Other Costs'!$F$5:$F$167,Miscellaneous!$N$8,'Other Costs'!$G$5:$G$167,"Capex")</f>
        <v>0</v>
      </c>
      <c r="J58" s="897">
        <f>SUMIFS('Other Costs'!O$5:O$167,'Other Costs'!$D$5:$D$167,Variables!$A42,'Other Costs'!$F$5:$F$167,Miscellaneous!$N$8,'Other Costs'!$G$5:$G$167,"Capex")</f>
        <v>0</v>
      </c>
      <c r="K58" s="897">
        <f>SUMIFS('Other Costs'!P$5:P$167,'Other Costs'!$D$5:$D$167,Variables!$A42,'Other Costs'!$F$5:$F$167,Miscellaneous!$N$8,'Other Costs'!$G$5:$G$167,"Capex")</f>
        <v>0</v>
      </c>
      <c r="L58" s="897">
        <f>SUMIFS('Other Costs'!Q$5:Q$167,'Other Costs'!$D$5:$D$167,Variables!$A42,'Other Costs'!$F$5:$F$167,Miscellaneous!$N$8,'Other Costs'!$G$5:$G$167,"Capex")</f>
        <v>0</v>
      </c>
      <c r="M58" s="897">
        <f>SUMIFS('Other Costs'!R$5:R$167,'Other Costs'!$D$5:$D$167,Variables!$A42,'Other Costs'!$F$5:$F$167,Miscellaneous!$N$8,'Other Costs'!$G$5:$G$167,"Capex")</f>
        <v>0</v>
      </c>
      <c r="N58" s="889">
        <f>SUMIFS('Other Costs'!S$5:S$167,'Other Costs'!$D$5:$D$167,Variables!$A42,'Other Costs'!$F$5:$F$167,Miscellaneous!$N$8,'Other Costs'!$G$5:$G$167,"Capex")</f>
        <v>0</v>
      </c>
      <c r="O58" s="924">
        <f>SUMIFS('Other Costs'!T$5:T$167,'Other Costs'!$D$5:$D$167,Variables!$A42,'Other Costs'!$F$5:$F$167,Miscellaneous!$N$8,'Other Costs'!$G$5:$G$167,"Capex")</f>
        <v>0</v>
      </c>
      <c r="P58" s="897">
        <f>SUMIFS('Other Costs'!U$5:U$167,'Other Costs'!$D$5:$D$167,Variables!$A42,'Other Costs'!$F$5:$F$167,Miscellaneous!$N$8,'Other Costs'!$G$5:$G$167,"Capex")</f>
        <v>0</v>
      </c>
      <c r="Q58" s="897">
        <f>SUMIFS('Other Costs'!V$5:V$167,'Other Costs'!$D$5:$D$167,Variables!$A42,'Other Costs'!$F$5:$F$167,Miscellaneous!$N$8,'Other Costs'!$G$5:$G$167,"Capex")</f>
        <v>0</v>
      </c>
      <c r="R58" s="897">
        <f>SUMIFS('Other Costs'!W$5:W$167,'Other Costs'!$D$5:$D$167,Variables!$A42,'Other Costs'!$F$5:$F$167,Miscellaneous!$N$8,'Other Costs'!$G$5:$G$167,"Capex")</f>
        <v>0</v>
      </c>
      <c r="S58" s="897">
        <f>SUMIFS('Other Costs'!X$5:X$167,'Other Costs'!$D$5:$D$167,Variables!$A42,'Other Costs'!$F$5:$F$167,Miscellaneous!$N$8,'Other Costs'!$G$5:$G$167,"Capex")</f>
        <v>0</v>
      </c>
      <c r="T58" s="897">
        <f>SUMIFS('Other Costs'!Y$5:Y$167,'Other Costs'!$D$5:$D$167,Variables!$A42,'Other Costs'!$F$5:$F$167,Miscellaneous!$N$8,'Other Costs'!$G$5:$G$167,"Capex")</f>
        <v>0</v>
      </c>
      <c r="U58" s="897">
        <f>SUMIFS('Other Costs'!Z$5:Z$167,'Other Costs'!$D$5:$D$167,Variables!$A42,'Other Costs'!$F$5:$F$167,Miscellaneous!$N$8,'Other Costs'!$G$5:$G$167,"Capex")</f>
        <v>0</v>
      </c>
      <c r="V58" s="897">
        <f>SUMIFS('Other Costs'!AA$5:AA$167,'Other Costs'!$D$5:$D$167,Variables!$A42,'Other Costs'!$F$5:$F$167,Miscellaneous!$N$8,'Other Costs'!$G$5:$G$167,"Capex")</f>
        <v>0</v>
      </c>
      <c r="W58" s="897">
        <f>SUMIFS('Other Costs'!AB$5:AB$167,'Other Costs'!$D$5:$D$167,Variables!$A42,'Other Costs'!$F$5:$F$167,Miscellaneous!$N$8,'Other Costs'!$G$5:$G$167,"Capex")</f>
        <v>0</v>
      </c>
      <c r="X58" s="897">
        <f>SUMIFS('Other Costs'!AC$5:AC$167,'Other Costs'!$D$5:$D$167,Variables!$A42,'Other Costs'!$F$5:$F$167,Miscellaneous!$N$8,'Other Costs'!$G$5:$G$167,"Capex")</f>
        <v>0</v>
      </c>
      <c r="Y58" s="897">
        <f>SUMIFS('Other Costs'!AD$5:AD$167,'Other Costs'!$D$5:$D$167,Variables!$A42,'Other Costs'!$F$5:$F$167,Miscellaneous!$N$8,'Other Costs'!$G$5:$G$167,"Capex")</f>
        <v>0</v>
      </c>
      <c r="Z58" s="889">
        <f>SUMIFS('Other Costs'!AE$5:AE$167,'Other Costs'!$D$5:$D$167,Variables!$A42,'Other Costs'!$F$5:$F$167,Miscellaneous!$N$8,'Other Costs'!$G$5:$G$167,"Capex")</f>
        <v>0</v>
      </c>
      <c r="AA58" s="924">
        <f>SUMIFS('Other Costs'!AF$5:AF$167,'Other Costs'!$D$5:$D$167,Variables!$A42,'Other Costs'!$F$5:$F$167,Miscellaneous!$N$8,'Other Costs'!$G$5:$G$167,"Capex")</f>
        <v>0</v>
      </c>
      <c r="AB58" s="897">
        <f>SUMIFS('Other Costs'!AG$5:AG$167,'Other Costs'!$D$5:$D$167,Variables!$A42,'Other Costs'!$F$5:$F$167,Miscellaneous!$N$8,'Other Costs'!$G$5:$G$167,"Capex")</f>
        <v>0</v>
      </c>
      <c r="AC58" s="897">
        <f>SUMIFS('Other Costs'!AH$5:AH$167,'Other Costs'!$D$5:$D$167,Variables!$A42,'Other Costs'!$F$5:$F$167,Miscellaneous!$N$8,'Other Costs'!$G$5:$G$167,"Capex")</f>
        <v>0</v>
      </c>
      <c r="AD58" s="897">
        <f>SUMIFS('Other Costs'!AI$5:AI$167,'Other Costs'!$D$5:$D$167,Variables!$A42,'Other Costs'!$F$5:$F$167,Miscellaneous!$N$8,'Other Costs'!$G$5:$G$167,"Capex")</f>
        <v>0</v>
      </c>
      <c r="AE58" s="897">
        <f>SUMIFS('Other Costs'!AJ$5:AJ$167,'Other Costs'!$D$5:$D$167,Variables!$A42,'Other Costs'!$F$5:$F$167,Miscellaneous!$N$8,'Other Costs'!$G$5:$G$167,"Capex")</f>
        <v>0</v>
      </c>
      <c r="AF58" s="897">
        <f>SUMIFS('Other Costs'!AK$5:AK$167,'Other Costs'!$D$5:$D$167,Variables!$A42,'Other Costs'!$F$5:$F$167,Miscellaneous!$N$8,'Other Costs'!$G$5:$G$167,"Capex")</f>
        <v>0</v>
      </c>
      <c r="AG58" s="897">
        <f>SUMIFS('Other Costs'!AL$5:AL$167,'Other Costs'!$D$5:$D$167,Variables!$A42,'Other Costs'!$F$5:$F$167,Miscellaneous!$N$8,'Other Costs'!$G$5:$G$167,"Capex")</f>
        <v>0</v>
      </c>
      <c r="AH58" s="897">
        <f>SUMIFS('Other Costs'!AM$5:AM$167,'Other Costs'!$D$5:$D$167,Variables!$A42,'Other Costs'!$F$5:$F$167,Miscellaneous!$N$8,'Other Costs'!$G$5:$G$167,"Capex")</f>
        <v>0</v>
      </c>
      <c r="AI58" s="897">
        <f>SUMIFS('Other Costs'!AN$5:AN$167,'Other Costs'!$D$5:$D$167,Variables!$A42,'Other Costs'!$F$5:$F$167,Miscellaneous!$N$8,'Other Costs'!$G$5:$G$167,"Capex")</f>
        <v>0</v>
      </c>
      <c r="AJ58" s="897">
        <f>SUMIFS('Other Costs'!AO$5:AO$167,'Other Costs'!$D$5:$D$167,Variables!$A42,'Other Costs'!$F$5:$F$167,Miscellaneous!$N$8,'Other Costs'!$G$5:$G$167,"Capex")</f>
        <v>0</v>
      </c>
      <c r="AK58" s="897">
        <f>SUMIFS('Other Costs'!AP$5:AP$167,'Other Costs'!$D$5:$D$167,Variables!$A42,'Other Costs'!$F$5:$F$167,Miscellaneous!$N$8,'Other Costs'!$G$5:$G$167,"Capex")</f>
        <v>0</v>
      </c>
      <c r="AL58" s="889">
        <f>SUMIFS('Other Costs'!AQ$5:AQ$167,'Other Costs'!$D$5:$D$167,Variables!$A42,'Other Costs'!$F$5:$F$167,Miscellaneous!$N$8,'Other Costs'!$G$5:$G$167,"Capex")</f>
        <v>0</v>
      </c>
      <c r="AM58" s="924">
        <f>SUMIFS('Other Costs'!AR$5:AR$167,'Other Costs'!$D$5:$D$167,Variables!$A42,'Other Costs'!$F$5:$F$167,Miscellaneous!$N$8,'Other Costs'!$G$5:$G$167,"Capex")</f>
        <v>0</v>
      </c>
      <c r="AN58" s="897">
        <f>SUMIFS('Other Costs'!AS$5:AS$167,'Other Costs'!$D$5:$D$167,Variables!$A42,'Other Costs'!$F$5:$F$167,Miscellaneous!$N$8,'Other Costs'!$G$5:$G$167,"Capex")</f>
        <v>0</v>
      </c>
      <c r="AO58" s="897">
        <f>SUMIFS('Other Costs'!AT$5:AT$167,'Other Costs'!$D$5:$D$167,Variables!$A42,'Other Costs'!$F$5:$F$167,Miscellaneous!$N$8,'Other Costs'!$G$5:$G$167,"Capex")</f>
        <v>0</v>
      </c>
      <c r="AP58" s="897">
        <f>SUMIFS('Other Costs'!AU$5:AU$167,'Other Costs'!$D$5:$D$167,Variables!$A42,'Other Costs'!$F$5:$F$167,Miscellaneous!$N$8,'Other Costs'!$G$5:$G$167,"Capex")</f>
        <v>0</v>
      </c>
      <c r="AQ58" s="897">
        <f>SUMIFS('Other Costs'!AV$5:AV$167,'Other Costs'!$D$5:$D$167,Variables!$A42,'Other Costs'!$F$5:$F$167,Miscellaneous!$N$8,'Other Costs'!$G$5:$G$167,"Capex")</f>
        <v>0</v>
      </c>
      <c r="AR58" s="897">
        <f>SUMIFS('Other Costs'!AW$5:AW$167,'Other Costs'!$D$5:$D$167,Variables!$A42,'Other Costs'!$F$5:$F$167,Miscellaneous!$N$8,'Other Costs'!$G$5:$G$167,"Capex")</f>
        <v>0</v>
      </c>
      <c r="AS58" s="897">
        <f>SUMIFS('Other Costs'!AX$5:AX$167,'Other Costs'!$D$5:$D$167,Variables!$A42,'Other Costs'!$F$5:$F$167,Miscellaneous!$N$8,'Other Costs'!$G$5:$G$167,"Capex")</f>
        <v>0</v>
      </c>
      <c r="AT58" s="897">
        <f>SUMIFS('Other Costs'!AY$5:AY$167,'Other Costs'!$D$5:$D$167,Variables!$A42,'Other Costs'!$F$5:$F$167,Miscellaneous!$N$8,'Other Costs'!$G$5:$G$167,"Capex")</f>
        <v>0</v>
      </c>
      <c r="AU58" s="897">
        <f>SUMIFS('Other Costs'!AZ$5:AZ$167,'Other Costs'!$D$5:$D$167,Variables!$A42,'Other Costs'!$F$5:$F$167,Miscellaneous!$N$8,'Other Costs'!$G$5:$G$167,"Capex")</f>
        <v>0</v>
      </c>
      <c r="AV58" s="897">
        <f>SUMIFS('Other Costs'!BA$5:BA$167,'Other Costs'!$D$5:$D$167,Variables!$A42,'Other Costs'!$F$5:$F$167,Miscellaneous!$N$8,'Other Costs'!$G$5:$G$167,"Capex")</f>
        <v>0</v>
      </c>
      <c r="AW58" s="897">
        <f>SUMIFS('Other Costs'!BB$5:BB$167,'Other Costs'!$D$5:$D$167,Variables!$A42,'Other Costs'!$F$5:$F$167,Miscellaneous!$N$8,'Other Costs'!$G$5:$G$167,"Capex")</f>
        <v>0</v>
      </c>
      <c r="AX58" s="892">
        <f>SUMIFS('Other Costs'!BC$5:BC$167,'Other Costs'!$D$5:$D$167,Variables!$A42,'Other Costs'!$F$5:$F$167,Miscellaneous!$N$8,'Other Costs'!$G$5:$G$167,"Capex")</f>
        <v>0</v>
      </c>
      <c r="AY58" s="924">
        <f>SUMIFS('Other Costs'!BD$5:BD$167,'Other Costs'!$D$5:$D$167,Variables!$A42,'Other Costs'!$F$5:$F$167,Miscellaneous!$N$8,'Other Costs'!$G$5:$G$167,"Capex")</f>
        <v>0</v>
      </c>
      <c r="AZ58" s="897">
        <f>SUMIFS('Other Costs'!BE$5:BE$167,'Other Costs'!$D$5:$D$167,Variables!$A42,'Other Costs'!$F$5:$F$167,Miscellaneous!$N$8,'Other Costs'!$G$5:$G$167,"Capex")</f>
        <v>0</v>
      </c>
      <c r="BA58" s="897">
        <f>SUMIFS('Other Costs'!BF$5:BF$167,'Other Costs'!$D$5:$D$167,Variables!$A42,'Other Costs'!$F$5:$F$167,Miscellaneous!$N$8,'Other Costs'!$G$5:$G$167,"Capex")</f>
        <v>0</v>
      </c>
      <c r="BB58" s="897">
        <f>SUMIFS('Other Costs'!BG$5:BG$167,'Other Costs'!$D$5:$D$167,Variables!$A42,'Other Costs'!$F$5:$F$167,Miscellaneous!$N$8,'Other Costs'!$G$5:$G$167,"Capex")</f>
        <v>0</v>
      </c>
      <c r="BC58" s="897">
        <f>SUMIFS('Other Costs'!BH$5:BH$167,'Other Costs'!$D$5:$D$167,Variables!$A42,'Other Costs'!$F$5:$F$167,Miscellaneous!$N$8,'Other Costs'!$G$5:$G$167,"Capex")</f>
        <v>0</v>
      </c>
      <c r="BD58" s="897">
        <f>SUMIFS('Other Costs'!BI$5:BI$167,'Other Costs'!$D$5:$D$167,Variables!$A42,'Other Costs'!$F$5:$F$167,Miscellaneous!$N$8,'Other Costs'!$G$5:$G$167,"Capex")</f>
        <v>0</v>
      </c>
      <c r="BE58" s="897">
        <f>SUMIFS('Other Costs'!BJ$5:BJ$167,'Other Costs'!$D$5:$D$167,Variables!$A42,'Other Costs'!$F$5:$F$167,Miscellaneous!$N$8,'Other Costs'!$G$5:$G$167,"Capex")</f>
        <v>0</v>
      </c>
      <c r="BF58" s="897">
        <f>SUMIFS('Other Costs'!BK$5:BK$167,'Other Costs'!$D$5:$D$167,Variables!$A42,'Other Costs'!$F$5:$F$167,Miscellaneous!$N$8,'Other Costs'!$G$5:$G$167,"Capex")</f>
        <v>0</v>
      </c>
      <c r="BG58" s="897">
        <f>SUMIFS('Other Costs'!BL$5:BL$167,'Other Costs'!$D$5:$D$167,Variables!$A42,'Other Costs'!$F$5:$F$167,Miscellaneous!$N$8,'Other Costs'!$G$5:$G$167,"Capex")</f>
        <v>0</v>
      </c>
      <c r="BH58" s="897">
        <f>SUMIFS('Other Costs'!BM$5:BM$167,'Other Costs'!$D$5:$D$167,Variables!$A42,'Other Costs'!$F$5:$F$167,Miscellaneous!$N$8,'Other Costs'!$G$5:$G$167,"Capex")</f>
        <v>0</v>
      </c>
      <c r="BI58" s="897">
        <f>SUMIFS('Other Costs'!BN$5:BN$167,'Other Costs'!$D$5:$D$167,Variables!$A42,'Other Costs'!$F$5:$F$167,Miscellaneous!$N$8,'Other Costs'!$G$5:$G$167,"Capex")</f>
        <v>0</v>
      </c>
      <c r="BJ58" s="892">
        <f>SUMIFS('Other Costs'!BO$5:BO$167,'Other Costs'!$D$5:$D$167,Variables!$A42,'Other Costs'!$F$5:$F$167,Miscellaneous!$N$8,'Other Costs'!$G$5:$G$167,"Capex")</f>
        <v>0</v>
      </c>
      <c r="BK58" s="924">
        <f>SUMIFS('Other Costs'!BP$5:BP$167,'Other Costs'!$D$5:$D$167,Variables!$A42,'Other Costs'!$F$5:$F$167,Miscellaneous!$N$8,'Other Costs'!$G$5:$G$167,"Capex")</f>
        <v>0</v>
      </c>
      <c r="BL58" s="897">
        <f>SUMIFS('Other Costs'!BQ$5:BQ$167,'Other Costs'!$D$5:$D$167,Variables!$A42,'Other Costs'!$F$5:$F$167,Miscellaneous!$N$8,'Other Costs'!$G$5:$G$167,"Capex")</f>
        <v>0</v>
      </c>
      <c r="BM58" s="897">
        <f>SUMIFS('Other Costs'!BR$5:BR$167,'Other Costs'!$D$5:$D$167,Variables!$A42,'Other Costs'!$F$5:$F$167,Miscellaneous!$N$8,'Other Costs'!$G$5:$G$167,"Capex")</f>
        <v>0</v>
      </c>
      <c r="BN58" s="897">
        <f>SUMIFS('Other Costs'!BS$5:BS$167,'Other Costs'!$D$5:$D$167,Variables!$A42,'Other Costs'!$F$5:$F$167,Miscellaneous!$N$8,'Other Costs'!$G$5:$G$167,"Capex")</f>
        <v>0</v>
      </c>
      <c r="BO58" s="897">
        <f>SUMIFS('Other Costs'!BT$5:BT$167,'Other Costs'!$D$5:$D$167,Variables!$A42,'Other Costs'!$F$5:$F$167,Miscellaneous!$N$8,'Other Costs'!$G$5:$G$167,"Capex")</f>
        <v>0</v>
      </c>
      <c r="BP58" s="897">
        <f>SUMIFS('Other Costs'!BU$5:BU$167,'Other Costs'!$D$5:$D$167,Variables!$A42,'Other Costs'!$F$5:$F$167,Miscellaneous!$N$8,'Other Costs'!$G$5:$G$167,"Capex")</f>
        <v>0</v>
      </c>
      <c r="BQ58" s="897">
        <f>SUMIFS('Other Costs'!BV$5:BV$167,'Other Costs'!$D$5:$D$167,Variables!$A42,'Other Costs'!$F$5:$F$167,Miscellaneous!$N$8,'Other Costs'!$G$5:$G$167,"Capex")</f>
        <v>0</v>
      </c>
      <c r="BR58" s="897">
        <f>SUMIFS('Other Costs'!BW$5:BW$167,'Other Costs'!$D$5:$D$167,Variables!$A42,'Other Costs'!$F$5:$F$167,Miscellaneous!$N$8,'Other Costs'!$G$5:$G$167,"Capex")</f>
        <v>0</v>
      </c>
      <c r="BS58" s="897">
        <f>SUMIFS('Other Costs'!BX$5:BX$167,'Other Costs'!$D$5:$D$167,Variables!$A42,'Other Costs'!$F$5:$F$167,Miscellaneous!$N$8,'Other Costs'!$G$5:$G$167,"Capex")</f>
        <v>0</v>
      </c>
      <c r="BT58" s="897">
        <f>SUMIFS('Other Costs'!BY$5:BY$167,'Other Costs'!$D$5:$D$167,Variables!$A42,'Other Costs'!$F$5:$F$167,Miscellaneous!$N$8,'Other Costs'!$G$5:$G$167,"Capex")</f>
        <v>0</v>
      </c>
      <c r="BU58" s="897">
        <f>SUMIFS('Other Costs'!BZ$5:BZ$167,'Other Costs'!$D$5:$D$167,Variables!$A42,'Other Costs'!$F$5:$F$167,Miscellaneous!$N$8,'Other Costs'!$G$5:$G$167,"Capex")</f>
        <v>0</v>
      </c>
      <c r="BV58" s="892">
        <f>SUMIFS('Other Costs'!CA$5:CA$167,'Other Costs'!$D$5:$D$167,Variables!$A42,'Other Costs'!$F$5:$F$167,Miscellaneous!$N$8,'Other Costs'!$G$5:$G$167,"Capex")</f>
        <v>0</v>
      </c>
      <c r="BW58" s="893">
        <f>SUMIFS(C58:BV58,$C$74:$BV$74,"")</f>
        <v>0</v>
      </c>
      <c r="BX58" s="894">
        <f>SUM(SUMIFS(C58:N58,$C$2:$N$2,{"Dev","Impl","PIS","Close"},$C$74:$N$74,""))</f>
        <v>0</v>
      </c>
      <c r="BY58" s="894">
        <f>SUM(SUMIFS(O58:Z58,$O$2:$Z$2,{"Dev","Impl","PIS","Close"},$O$74:$Z$74,""))</f>
        <v>0</v>
      </c>
      <c r="BZ58" s="894">
        <f>SUM(SUMIFS(AA58:AL58,$AA$2:$AL$2,{"Dev","Impl","PIS","Close"},$AA$74:$AL$74,""))</f>
        <v>0</v>
      </c>
      <c r="CA58" s="894">
        <f>SUM(SUMIFS(AM58:AX58,$AM$2:$AX$2,{"Dev","Impl","PIS","Close"},$AM$74:$AX$74,""))</f>
        <v>0</v>
      </c>
      <c r="CB58" s="894">
        <f>SUM(SUMIFS(AY58:BJ58,$AY$2:$BJ$2,{"Dev","Impl","PIS","Close"},$AY$74:$BJ$74,""))</f>
        <v>0</v>
      </c>
      <c r="CC58" s="894">
        <f>SUM(SUMIFS(BK58:BV58,$BK$2:$BV$2,{"Dev","Impl","PIS","Close"},$BK$74:$BV$74,""))</f>
        <v>0</v>
      </c>
    </row>
    <row r="59" spans="1:88" s="4" customFormat="1">
      <c r="A59" s="6" t="s">
        <v>220</v>
      </c>
      <c r="B59" s="108"/>
      <c r="C59" s="897">
        <f>SUMIFS('Other Costs'!H$5:H$167,'Other Costs'!$F$5:$F$167,Miscellaneous!$N$8,'Other Costs'!$G$5:$G$167,"Capex")-SUM(C55:C58)</f>
        <v>0</v>
      </c>
      <c r="D59" s="897">
        <f>SUMIFS('Other Costs'!I$5:I$167,'Other Costs'!$F$5:$F$167,Miscellaneous!$N$8,'Other Costs'!$G$5:$G$167,"Capex")-SUM(D55:D58)</f>
        <v>0</v>
      </c>
      <c r="E59" s="897">
        <f>SUMIFS('Other Costs'!J$5:J$167,'Other Costs'!$F$5:$F$167,Miscellaneous!$N$8,'Other Costs'!$G$5:$G$167,"Capex")-SUM(E55:E58)</f>
        <v>0</v>
      </c>
      <c r="F59" s="897">
        <f>SUMIFS('Other Costs'!K$5:K$167,'Other Costs'!$F$5:$F$167,Miscellaneous!$N$8,'Other Costs'!$G$5:$G$167,"Capex")-SUM(F55:F58)</f>
        <v>0</v>
      </c>
      <c r="G59" s="897">
        <f>SUMIFS('Other Costs'!L$5:L$167,'Other Costs'!$F$5:$F$167,Miscellaneous!$N$8,'Other Costs'!$G$5:$G$167,"Capex")-SUM(G55:G58)</f>
        <v>0</v>
      </c>
      <c r="H59" s="897">
        <f>SUMIFS('Other Costs'!M$5:M$167,'Other Costs'!$F$5:$F$167,Miscellaneous!$N$8,'Other Costs'!$G$5:$G$167,"Capex")-SUM(H55:H58)</f>
        <v>0</v>
      </c>
      <c r="I59" s="897">
        <f>SUMIFS('Other Costs'!N$5:N$167,'Other Costs'!$F$5:$F$167,Miscellaneous!$N$8,'Other Costs'!$G$5:$G$167,"Capex")-SUM(I55:I58)</f>
        <v>0</v>
      </c>
      <c r="J59" s="897">
        <f>SUMIFS('Other Costs'!O$5:O$167,'Other Costs'!$F$5:$F$167,Miscellaneous!$N$8,'Other Costs'!$G$5:$G$167,"Capex")-SUM(J55:J58)</f>
        <v>0</v>
      </c>
      <c r="K59" s="897">
        <f>SUMIFS('Other Costs'!P$5:P$167,'Other Costs'!$F$5:$F$167,Miscellaneous!$N$8,'Other Costs'!$G$5:$G$167,"Capex")-SUM(K55:K58)</f>
        <v>0</v>
      </c>
      <c r="L59" s="897">
        <f>SUMIFS('Other Costs'!Q$5:Q$167,'Other Costs'!$F$5:$F$167,Miscellaneous!$N$8,'Other Costs'!$G$5:$G$167,"Capex")-SUM(L55:L58)</f>
        <v>0</v>
      </c>
      <c r="M59" s="897">
        <f>SUMIFS('Other Costs'!R$5:R$167,'Other Costs'!$F$5:$F$167,Miscellaneous!$N$8,'Other Costs'!$G$5:$G$167,"Capex")-SUM(M55:M58)</f>
        <v>0</v>
      </c>
      <c r="N59" s="889">
        <f>SUMIFS('Other Costs'!S$5:S$167,'Other Costs'!$F$5:$F$167,Miscellaneous!$N$8,'Other Costs'!$G$5:$G$167,"Capex")-SUM(N55:N58)</f>
        <v>0</v>
      </c>
      <c r="O59" s="924">
        <f>SUMIFS('Other Costs'!T$5:T$167,'Other Costs'!$F$5:$F$167,Miscellaneous!$N$8,'Other Costs'!$G$5:$G$167,"Capex")-SUM(O55:O58)</f>
        <v>0</v>
      </c>
      <c r="P59" s="897">
        <f>SUMIFS('Other Costs'!U$5:U$167,'Other Costs'!$F$5:$F$167,Miscellaneous!$N$8,'Other Costs'!$G$5:$G$167,"Capex")-SUM(P55:P58)</f>
        <v>0</v>
      </c>
      <c r="Q59" s="897">
        <f>SUMIFS('Other Costs'!V$5:V$167,'Other Costs'!$F$5:$F$167,Miscellaneous!$N$8,'Other Costs'!$G$5:$G$167,"Capex")-SUM(Q55:Q58)</f>
        <v>0</v>
      </c>
      <c r="R59" s="897">
        <f>SUMIFS('Other Costs'!W$5:W$167,'Other Costs'!$F$5:$F$167,Miscellaneous!$N$8,'Other Costs'!$G$5:$G$167,"Capex")-SUM(R55:R58)</f>
        <v>0</v>
      </c>
      <c r="S59" s="897">
        <f>SUMIFS('Other Costs'!X$5:X$167,'Other Costs'!$F$5:$F$167,Miscellaneous!$N$8,'Other Costs'!$G$5:$G$167,"Capex")-SUM(S55:S58)</f>
        <v>0</v>
      </c>
      <c r="T59" s="897">
        <f>SUMIFS('Other Costs'!Y$5:Y$167,'Other Costs'!$F$5:$F$167,Miscellaneous!$N$8,'Other Costs'!$G$5:$G$167,"Capex")-SUM(T55:T58)</f>
        <v>0</v>
      </c>
      <c r="U59" s="897">
        <f>SUMIFS('Other Costs'!Z$5:Z$167,'Other Costs'!$F$5:$F$167,Miscellaneous!$N$8,'Other Costs'!$G$5:$G$167,"Capex")-SUM(U55:U58)</f>
        <v>0</v>
      </c>
      <c r="V59" s="897">
        <f>SUMIFS('Other Costs'!AA$5:AA$167,'Other Costs'!$F$5:$F$167,Miscellaneous!$N$8,'Other Costs'!$G$5:$G$167,"Capex")-SUM(V55:V58)</f>
        <v>0</v>
      </c>
      <c r="W59" s="897">
        <f>SUMIFS('Other Costs'!AB$5:AB$167,'Other Costs'!$F$5:$F$167,Miscellaneous!$N$8,'Other Costs'!$G$5:$G$167,"Capex")-SUM(W55:W58)</f>
        <v>0</v>
      </c>
      <c r="X59" s="897">
        <f>SUMIFS('Other Costs'!AC$5:AC$167,'Other Costs'!$F$5:$F$167,Miscellaneous!$N$8,'Other Costs'!$G$5:$G$167,"Capex")-SUM(X55:X58)</f>
        <v>0</v>
      </c>
      <c r="Y59" s="897">
        <f>SUMIFS('Other Costs'!AD$5:AD$167,'Other Costs'!$F$5:$F$167,Miscellaneous!$N$8,'Other Costs'!$G$5:$G$167,"Capex")-SUM(Y55:Y58)</f>
        <v>0</v>
      </c>
      <c r="Z59" s="889">
        <f>SUMIFS('Other Costs'!AE$5:AE$167,'Other Costs'!$F$5:$F$167,Miscellaneous!$N$8,'Other Costs'!$G$5:$G$167,"Capex")-SUM(Z55:Z58)</f>
        <v>0</v>
      </c>
      <c r="AA59" s="924">
        <f>SUMIFS('Other Costs'!AF$5:AF$167,'Other Costs'!$F$5:$F$167,Miscellaneous!$N$8,'Other Costs'!$G$5:$G$167,"Capex")-SUM(AA55:AA58)</f>
        <v>0</v>
      </c>
      <c r="AB59" s="897">
        <f>SUMIFS('Other Costs'!AG$5:AG$167,'Other Costs'!$F$5:$F$167,Miscellaneous!$N$8,'Other Costs'!$G$5:$G$167,"Capex")-SUM(AB55:AB58)</f>
        <v>0</v>
      </c>
      <c r="AC59" s="897">
        <f>SUMIFS('Other Costs'!AH$5:AH$167,'Other Costs'!$F$5:$F$167,Miscellaneous!$N$8,'Other Costs'!$G$5:$G$167,"Capex")-SUM(AC55:AC58)</f>
        <v>0</v>
      </c>
      <c r="AD59" s="897">
        <f>SUMIFS('Other Costs'!AI$5:AI$167,'Other Costs'!$F$5:$F$167,Miscellaneous!$N$8,'Other Costs'!$G$5:$G$167,"Capex")-SUM(AD55:AD58)</f>
        <v>0</v>
      </c>
      <c r="AE59" s="897">
        <f>SUMIFS('Other Costs'!AJ$5:AJ$167,'Other Costs'!$F$5:$F$167,Miscellaneous!$N$8,'Other Costs'!$G$5:$G$167,"Capex")-SUM(AE55:AE58)</f>
        <v>0</v>
      </c>
      <c r="AF59" s="897">
        <f>SUMIFS('Other Costs'!AK$5:AK$167,'Other Costs'!$F$5:$F$167,Miscellaneous!$N$8,'Other Costs'!$G$5:$G$167,"Capex")-SUM(AF55:AF58)</f>
        <v>0</v>
      </c>
      <c r="AG59" s="897">
        <f>SUMIFS('Other Costs'!AL$5:AL$167,'Other Costs'!$F$5:$F$167,Miscellaneous!$N$8,'Other Costs'!$G$5:$G$167,"Capex")-SUM(AG55:AG58)</f>
        <v>0</v>
      </c>
      <c r="AH59" s="897">
        <f>SUMIFS('Other Costs'!AM$5:AM$167,'Other Costs'!$F$5:$F$167,Miscellaneous!$N$8,'Other Costs'!$G$5:$G$167,"Capex")-SUM(AH55:AH58)</f>
        <v>0</v>
      </c>
      <c r="AI59" s="897">
        <f>SUMIFS('Other Costs'!AN$5:AN$167,'Other Costs'!$F$5:$F$167,Miscellaneous!$N$8,'Other Costs'!$G$5:$G$167,"Capex")-SUM(AI55:AI58)</f>
        <v>0</v>
      </c>
      <c r="AJ59" s="897">
        <f>SUMIFS('Other Costs'!AO$5:AO$167,'Other Costs'!$F$5:$F$167,Miscellaneous!$N$8,'Other Costs'!$G$5:$G$167,"Capex")-SUM(AJ55:AJ58)</f>
        <v>0</v>
      </c>
      <c r="AK59" s="897">
        <f>SUMIFS('Other Costs'!AP$5:AP$167,'Other Costs'!$F$5:$F$167,Miscellaneous!$N$8,'Other Costs'!$G$5:$G$167,"Capex")-SUM(AK55:AK58)</f>
        <v>0</v>
      </c>
      <c r="AL59" s="889">
        <f>SUMIFS('Other Costs'!AQ$5:AQ$167,'Other Costs'!$F$5:$F$167,Miscellaneous!$N$8,'Other Costs'!$G$5:$G$167,"Capex")-SUM(AL55:AL58)</f>
        <v>0</v>
      </c>
      <c r="AM59" s="924">
        <f>SUMIFS('Other Costs'!AR$5:AR$167,'Other Costs'!$F$5:$F$167,Miscellaneous!$N$8,'Other Costs'!$G$5:$G$167,"Capex")-SUM(AM55:AM58)</f>
        <v>0</v>
      </c>
      <c r="AN59" s="897">
        <f>SUMIFS('Other Costs'!AS$5:AS$167,'Other Costs'!$F$5:$F$167,Miscellaneous!$N$8,'Other Costs'!$G$5:$G$167,"Capex")-SUM(AN55:AN58)</f>
        <v>0</v>
      </c>
      <c r="AO59" s="897">
        <f>SUMIFS('Other Costs'!AT$5:AT$167,'Other Costs'!$F$5:$F$167,Miscellaneous!$N$8,'Other Costs'!$G$5:$G$167,"Capex")-SUM(AO55:AO58)</f>
        <v>0</v>
      </c>
      <c r="AP59" s="897">
        <f>SUMIFS('Other Costs'!AU$5:AU$167,'Other Costs'!$F$5:$F$167,Miscellaneous!$N$8,'Other Costs'!$G$5:$G$167,"Capex")-SUM(AP55:AP58)</f>
        <v>0</v>
      </c>
      <c r="AQ59" s="897">
        <f>SUMIFS('Other Costs'!AV$5:AV$167,'Other Costs'!$F$5:$F$167,Miscellaneous!$N$8,'Other Costs'!$G$5:$G$167,"Capex")-SUM(AQ55:AQ58)</f>
        <v>0</v>
      </c>
      <c r="AR59" s="897">
        <f>SUMIFS('Other Costs'!AW$5:AW$167,'Other Costs'!$F$5:$F$167,Miscellaneous!$N$8,'Other Costs'!$G$5:$G$167,"Capex")-SUM(AR55:AR58)</f>
        <v>0</v>
      </c>
      <c r="AS59" s="897">
        <f>SUMIFS('Other Costs'!AX$5:AX$167,'Other Costs'!$F$5:$F$167,Miscellaneous!$N$8,'Other Costs'!$G$5:$G$167,"Capex")-SUM(AS55:AS58)</f>
        <v>0</v>
      </c>
      <c r="AT59" s="897">
        <f>SUMIFS('Other Costs'!AY$5:AY$167,'Other Costs'!$F$5:$F$167,Miscellaneous!$N$8,'Other Costs'!$G$5:$G$167,"Capex")-SUM(AT55:AT58)</f>
        <v>0</v>
      </c>
      <c r="AU59" s="897">
        <f>SUMIFS('Other Costs'!AZ$5:AZ$167,'Other Costs'!$F$5:$F$167,Miscellaneous!$N$8,'Other Costs'!$G$5:$G$167,"Capex")-SUM(AU55:AU58)</f>
        <v>0</v>
      </c>
      <c r="AV59" s="897">
        <f>SUMIFS('Other Costs'!BA$5:BA$167,'Other Costs'!$F$5:$F$167,Miscellaneous!$N$8,'Other Costs'!$G$5:$G$167,"Capex")-SUM(AV55:AV58)</f>
        <v>0</v>
      </c>
      <c r="AW59" s="897">
        <f>SUMIFS('Other Costs'!BB$5:BB$167,'Other Costs'!$F$5:$F$167,Miscellaneous!$N$8,'Other Costs'!$G$5:$G$167,"Capex")-SUM(AW55:AW58)</f>
        <v>0</v>
      </c>
      <c r="AX59" s="892">
        <f>SUMIFS('Other Costs'!BC$5:BC$167,'Other Costs'!$F$5:$F$167,Miscellaneous!$N$8,'Other Costs'!$G$5:$G$167,"Capex")-SUM(AX55:AX58)</f>
        <v>0</v>
      </c>
      <c r="AY59" s="924">
        <f>SUMIFS('Other Costs'!BD$5:BD$167,'Other Costs'!$F$5:$F$167,Miscellaneous!$N$8,'Other Costs'!$G$5:$G$167,"Capex")-SUM(AY55:AY58)</f>
        <v>0</v>
      </c>
      <c r="AZ59" s="897">
        <f>SUMIFS('Other Costs'!BE$5:BE$167,'Other Costs'!$F$5:$F$167,Miscellaneous!$N$8,'Other Costs'!$G$5:$G$167,"Capex")-SUM(AZ55:AZ58)</f>
        <v>0</v>
      </c>
      <c r="BA59" s="897">
        <f>SUMIFS('Other Costs'!BF$5:BF$167,'Other Costs'!$F$5:$F$167,Miscellaneous!$N$8,'Other Costs'!$G$5:$G$167,"Capex")-SUM(BA55:BA58)</f>
        <v>0</v>
      </c>
      <c r="BB59" s="897">
        <f>SUMIFS('Other Costs'!BG$5:BG$167,'Other Costs'!$F$5:$F$167,Miscellaneous!$N$8,'Other Costs'!$G$5:$G$167,"Capex")-SUM(BB55:BB58)</f>
        <v>0</v>
      </c>
      <c r="BC59" s="897">
        <f>SUMIFS('Other Costs'!BH$5:BH$167,'Other Costs'!$F$5:$F$167,Miscellaneous!$N$8,'Other Costs'!$G$5:$G$167,"Capex")-SUM(BC55:BC58)</f>
        <v>0</v>
      </c>
      <c r="BD59" s="897">
        <f>SUMIFS('Other Costs'!BI$5:BI$167,'Other Costs'!$F$5:$F$167,Miscellaneous!$N$8,'Other Costs'!$G$5:$G$167,"Capex")-SUM(BD55:BD58)</f>
        <v>0</v>
      </c>
      <c r="BE59" s="897">
        <f>SUMIFS('Other Costs'!BJ$5:BJ$167,'Other Costs'!$F$5:$F$167,Miscellaneous!$N$8,'Other Costs'!$G$5:$G$167,"Capex")-SUM(BE55:BE58)</f>
        <v>0</v>
      </c>
      <c r="BF59" s="897">
        <f>SUMIFS('Other Costs'!BK$5:BK$167,'Other Costs'!$F$5:$F$167,Miscellaneous!$N$8,'Other Costs'!$G$5:$G$167,"Capex")-SUM(BF55:BF58)</f>
        <v>0</v>
      </c>
      <c r="BG59" s="897">
        <f>SUMIFS('Other Costs'!BL$5:BL$167,'Other Costs'!$F$5:$F$167,Miscellaneous!$N$8,'Other Costs'!$G$5:$G$167,"Capex")-SUM(BG55:BG58)</f>
        <v>0</v>
      </c>
      <c r="BH59" s="897">
        <f>SUMIFS('Other Costs'!BM$5:BM$167,'Other Costs'!$F$5:$F$167,Miscellaneous!$N$8,'Other Costs'!$G$5:$G$167,"Capex")-SUM(BH55:BH58)</f>
        <v>0</v>
      </c>
      <c r="BI59" s="897">
        <f>SUMIFS('Other Costs'!BN$5:BN$167,'Other Costs'!$F$5:$F$167,Miscellaneous!$N$8,'Other Costs'!$G$5:$G$167,"Capex")-SUM(BI55:BI58)</f>
        <v>0</v>
      </c>
      <c r="BJ59" s="892">
        <f>SUMIFS('Other Costs'!BO$5:BO$167,'Other Costs'!$F$5:$F$167,Miscellaneous!$N$8,'Other Costs'!$G$5:$G$167,"Capex")-SUM(BJ55:BJ58)</f>
        <v>0</v>
      </c>
      <c r="BK59" s="924">
        <f>SUMIFS('Other Costs'!BP$5:BP$167,'Other Costs'!$F$5:$F$167,Miscellaneous!$N$8,'Other Costs'!$G$5:$G$167,"Capex")-SUM(BK55:BK58)</f>
        <v>0</v>
      </c>
      <c r="BL59" s="897">
        <f>SUMIFS('Other Costs'!BQ$5:BQ$167,'Other Costs'!$F$5:$F$167,Miscellaneous!$N$8,'Other Costs'!$G$5:$G$167,"Capex")-SUM(BL55:BL58)</f>
        <v>0</v>
      </c>
      <c r="BM59" s="897">
        <f>SUMIFS('Other Costs'!BR$5:BR$167,'Other Costs'!$F$5:$F$167,Miscellaneous!$N$8,'Other Costs'!$G$5:$G$167,"Capex")-SUM(BM55:BM58)</f>
        <v>0</v>
      </c>
      <c r="BN59" s="897">
        <f>SUMIFS('Other Costs'!BS$5:BS$167,'Other Costs'!$F$5:$F$167,Miscellaneous!$N$8,'Other Costs'!$G$5:$G$167,"Capex")-SUM(BN55:BN58)</f>
        <v>0</v>
      </c>
      <c r="BO59" s="897">
        <f>SUMIFS('Other Costs'!BT$5:BT$167,'Other Costs'!$F$5:$F$167,Miscellaneous!$N$8,'Other Costs'!$G$5:$G$167,"Capex")-SUM(BO55:BO58)</f>
        <v>0</v>
      </c>
      <c r="BP59" s="897">
        <f>SUMIFS('Other Costs'!BU$5:BU$167,'Other Costs'!$F$5:$F$167,Miscellaneous!$N$8,'Other Costs'!$G$5:$G$167,"Capex")-SUM(BP55:BP58)</f>
        <v>0</v>
      </c>
      <c r="BQ59" s="897">
        <f>SUMIFS('Other Costs'!BV$5:BV$167,'Other Costs'!$F$5:$F$167,Miscellaneous!$N$8,'Other Costs'!$G$5:$G$167,"Capex")-SUM(BQ55:BQ58)</f>
        <v>0</v>
      </c>
      <c r="BR59" s="897">
        <f>SUMIFS('Other Costs'!BW$5:BW$167,'Other Costs'!$F$5:$F$167,Miscellaneous!$N$8,'Other Costs'!$G$5:$G$167,"Capex")-SUM(BR55:BR58)</f>
        <v>0</v>
      </c>
      <c r="BS59" s="897">
        <f>SUMIFS('Other Costs'!BX$5:BX$167,'Other Costs'!$F$5:$F$167,Miscellaneous!$N$8,'Other Costs'!$G$5:$G$167,"Capex")-SUM(BS55:BS58)</f>
        <v>0</v>
      </c>
      <c r="BT59" s="897">
        <f>SUMIFS('Other Costs'!BY$5:BY$167,'Other Costs'!$F$5:$F$167,Miscellaneous!$N$8,'Other Costs'!$G$5:$G$167,"Capex")-SUM(BT55:BT58)</f>
        <v>0</v>
      </c>
      <c r="BU59" s="897">
        <f>SUMIFS('Other Costs'!BZ$5:BZ$167,'Other Costs'!$F$5:$F$167,Miscellaneous!$N$8,'Other Costs'!$G$5:$G$167,"Capex")-SUM(BU55:BU58)</f>
        <v>0</v>
      </c>
      <c r="BV59" s="892">
        <f>SUMIFS('Other Costs'!CA$5:CA$167,'Other Costs'!$F$5:$F$167,Miscellaneous!$N$8,'Other Costs'!$G$5:$G$167,"Capex")-SUM(BV55:BV58)</f>
        <v>0</v>
      </c>
      <c r="BW59" s="893">
        <f>SUMIFS(C59:BV59,$C$74:$BV$74,"")</f>
        <v>0</v>
      </c>
      <c r="BX59" s="894">
        <f>SUM(SUMIFS(C59:N59,$C$2:$N$2,{"Dev","Impl","PIS","Close"},$C$74:$N$74,""))</f>
        <v>0</v>
      </c>
      <c r="BY59" s="894">
        <f>SUM(SUMIFS(O59:Z59,$O$2:$Z$2,{"Dev","Impl","PIS","Close"},$O$74:$Z$74,""))</f>
        <v>0</v>
      </c>
      <c r="BZ59" s="894">
        <f>SUM(SUMIFS(AA59:AL59,$AA$2:$AL$2,{"Dev","Impl","PIS","Close"},$AA$74:$AL$74,""))</f>
        <v>0</v>
      </c>
      <c r="CA59" s="894">
        <f>SUM(SUMIFS(AM59:AX59,$AM$2:$AX$2,{"Dev","Impl","PIS","Close"},$AM$74:$AX$74,""))</f>
        <v>0</v>
      </c>
      <c r="CB59" s="894">
        <f>SUM(SUMIFS(AY59:BJ59,$AY$2:$BJ$2,{"Dev","Impl","PIS","Close"},$AY$74:$BJ$74,""))</f>
        <v>0</v>
      </c>
      <c r="CC59" s="894">
        <f>SUM(SUMIFS(BK59:BV59,$BK$2:$BV$2,{"Dev","Impl","PIS","Close"},$BK$74:$BV$74,""))</f>
        <v>0</v>
      </c>
    </row>
    <row r="60" spans="1:88" s="4" customFormat="1" ht="15.5">
      <c r="A60" s="33" t="s">
        <v>68</v>
      </c>
      <c r="B60" s="109"/>
      <c r="C60" s="886"/>
      <c r="D60" s="886"/>
      <c r="E60" s="886"/>
      <c r="F60" s="886"/>
      <c r="G60" s="886"/>
      <c r="H60" s="886"/>
      <c r="I60" s="886"/>
      <c r="J60" s="886"/>
      <c r="K60" s="886"/>
      <c r="L60" s="886"/>
      <c r="M60" s="886"/>
      <c r="N60" s="885"/>
      <c r="O60" s="920"/>
      <c r="P60" s="886"/>
      <c r="Q60" s="886"/>
      <c r="R60" s="886"/>
      <c r="S60" s="886"/>
      <c r="T60" s="886"/>
      <c r="U60" s="886"/>
      <c r="V60" s="886"/>
      <c r="W60" s="886"/>
      <c r="X60" s="886"/>
      <c r="Y60" s="886"/>
      <c r="Z60" s="885"/>
      <c r="AA60" s="920"/>
      <c r="AB60" s="886"/>
      <c r="AC60" s="886"/>
      <c r="AD60" s="886"/>
      <c r="AE60" s="886"/>
      <c r="AF60" s="886"/>
      <c r="AG60" s="886"/>
      <c r="AH60" s="886"/>
      <c r="AI60" s="886"/>
      <c r="AJ60" s="886"/>
      <c r="AK60" s="886"/>
      <c r="AL60" s="885"/>
      <c r="AM60" s="920"/>
      <c r="AN60" s="886"/>
      <c r="AO60" s="886"/>
      <c r="AP60" s="886"/>
      <c r="AQ60" s="886"/>
      <c r="AR60" s="886"/>
      <c r="AS60" s="886"/>
      <c r="AT60" s="886"/>
      <c r="AU60" s="886"/>
      <c r="AV60" s="886"/>
      <c r="AW60" s="886"/>
      <c r="AX60" s="921"/>
      <c r="AY60" s="920"/>
      <c r="AZ60" s="886"/>
      <c r="BA60" s="886"/>
      <c r="BB60" s="886"/>
      <c r="BC60" s="886"/>
      <c r="BD60" s="886"/>
      <c r="BE60" s="886"/>
      <c r="BF60" s="886"/>
      <c r="BG60" s="886"/>
      <c r="BH60" s="886"/>
      <c r="BI60" s="886"/>
      <c r="BJ60" s="921"/>
      <c r="BK60" s="920"/>
      <c r="BL60" s="886"/>
      <c r="BM60" s="886"/>
      <c r="BN60" s="886"/>
      <c r="BO60" s="886"/>
      <c r="BP60" s="886"/>
      <c r="BQ60" s="886"/>
      <c r="BR60" s="886"/>
      <c r="BS60" s="886"/>
      <c r="BT60" s="886"/>
      <c r="BU60" s="886"/>
      <c r="BV60" s="921"/>
      <c r="BW60" s="893"/>
      <c r="BX60" s="896"/>
      <c r="BY60" s="896"/>
      <c r="BZ60" s="896"/>
      <c r="CA60" s="896"/>
      <c r="CB60" s="896"/>
      <c r="CC60" s="896"/>
    </row>
    <row r="61" spans="1:88" s="4" customFormat="1">
      <c r="A61" s="6" t="s">
        <v>196</v>
      </c>
      <c r="B61" s="108"/>
      <c r="C61" s="897">
        <f>'Other Costs'!H173</f>
        <v>0</v>
      </c>
      <c r="D61" s="897">
        <f>'Other Costs'!I173</f>
        <v>0</v>
      </c>
      <c r="E61" s="897">
        <f>'Other Costs'!J173</f>
        <v>0</v>
      </c>
      <c r="F61" s="897">
        <f>'Other Costs'!K173</f>
        <v>0</v>
      </c>
      <c r="G61" s="897">
        <f>'Other Costs'!L173</f>
        <v>0</v>
      </c>
      <c r="H61" s="897">
        <f>'Other Costs'!M173</f>
        <v>0</v>
      </c>
      <c r="I61" s="897">
        <f>'Other Costs'!N173</f>
        <v>0</v>
      </c>
      <c r="J61" s="897">
        <f>'Other Costs'!O173</f>
        <v>0</v>
      </c>
      <c r="K61" s="897">
        <f>'Other Costs'!P173</f>
        <v>0</v>
      </c>
      <c r="L61" s="897">
        <f>'Other Costs'!Q173</f>
        <v>0</v>
      </c>
      <c r="M61" s="897">
        <f>'Other Costs'!R173</f>
        <v>0</v>
      </c>
      <c r="N61" s="889">
        <f>'Other Costs'!S173</f>
        <v>0</v>
      </c>
      <c r="O61" s="924">
        <f>'Other Costs'!T173</f>
        <v>0</v>
      </c>
      <c r="P61" s="897">
        <f>'Other Costs'!U173</f>
        <v>0</v>
      </c>
      <c r="Q61" s="897">
        <f>'Other Costs'!V173</f>
        <v>0</v>
      </c>
      <c r="R61" s="897">
        <f>'Other Costs'!W173</f>
        <v>0</v>
      </c>
      <c r="S61" s="897">
        <f>'Other Costs'!X173</f>
        <v>0</v>
      </c>
      <c r="T61" s="897">
        <f>'Other Costs'!Y173</f>
        <v>0</v>
      </c>
      <c r="U61" s="897">
        <f>'Other Costs'!Z173</f>
        <v>0</v>
      </c>
      <c r="V61" s="897">
        <f>'Other Costs'!AA173</f>
        <v>0</v>
      </c>
      <c r="W61" s="897">
        <f>'Other Costs'!AB173</f>
        <v>0</v>
      </c>
      <c r="X61" s="897">
        <f>'Other Costs'!AC173</f>
        <v>0</v>
      </c>
      <c r="Y61" s="897">
        <f>'Other Costs'!AD173</f>
        <v>0</v>
      </c>
      <c r="Z61" s="889">
        <f>'Other Costs'!AE173</f>
        <v>0</v>
      </c>
      <c r="AA61" s="924">
        <f>'Other Costs'!AF173</f>
        <v>0</v>
      </c>
      <c r="AB61" s="897">
        <f>'Other Costs'!AG173</f>
        <v>0</v>
      </c>
      <c r="AC61" s="897">
        <f>'Other Costs'!AH173</f>
        <v>0</v>
      </c>
      <c r="AD61" s="897">
        <f>'Other Costs'!AI173</f>
        <v>0</v>
      </c>
      <c r="AE61" s="897">
        <f>'Other Costs'!AJ173</f>
        <v>0</v>
      </c>
      <c r="AF61" s="897">
        <f>'Other Costs'!AK173</f>
        <v>0</v>
      </c>
      <c r="AG61" s="897">
        <f>'Other Costs'!AL173</f>
        <v>0</v>
      </c>
      <c r="AH61" s="897">
        <f>'Other Costs'!AM173</f>
        <v>0</v>
      </c>
      <c r="AI61" s="897">
        <f>'Other Costs'!AN173</f>
        <v>0</v>
      </c>
      <c r="AJ61" s="897">
        <f>'Other Costs'!AO173</f>
        <v>0</v>
      </c>
      <c r="AK61" s="897">
        <f>'Other Costs'!AP173</f>
        <v>0</v>
      </c>
      <c r="AL61" s="889">
        <f>'Other Costs'!AQ173</f>
        <v>0</v>
      </c>
      <c r="AM61" s="924">
        <f>'Other Costs'!AR173</f>
        <v>0</v>
      </c>
      <c r="AN61" s="897">
        <f>'Other Costs'!AS173</f>
        <v>0</v>
      </c>
      <c r="AO61" s="897">
        <f>'Other Costs'!AT173</f>
        <v>0</v>
      </c>
      <c r="AP61" s="897">
        <f>'Other Costs'!AU173</f>
        <v>0</v>
      </c>
      <c r="AQ61" s="897">
        <f>'Other Costs'!AV173</f>
        <v>0</v>
      </c>
      <c r="AR61" s="897">
        <f>'Other Costs'!AW173</f>
        <v>0</v>
      </c>
      <c r="AS61" s="897">
        <f>'Other Costs'!AX173</f>
        <v>0</v>
      </c>
      <c r="AT61" s="897">
        <f>'Other Costs'!AY173</f>
        <v>0</v>
      </c>
      <c r="AU61" s="897">
        <f>'Other Costs'!AZ173</f>
        <v>0</v>
      </c>
      <c r="AV61" s="897">
        <f>'Other Costs'!BA173</f>
        <v>0</v>
      </c>
      <c r="AW61" s="897">
        <f>'Other Costs'!BB173</f>
        <v>0</v>
      </c>
      <c r="AX61" s="892">
        <f>'Other Costs'!BC173</f>
        <v>0</v>
      </c>
      <c r="AY61" s="924">
        <f>'Other Costs'!BD173</f>
        <v>0</v>
      </c>
      <c r="AZ61" s="897">
        <f>'Other Costs'!BE173</f>
        <v>0</v>
      </c>
      <c r="BA61" s="897">
        <f>'Other Costs'!BF173</f>
        <v>0</v>
      </c>
      <c r="BB61" s="897">
        <f>'Other Costs'!BG173</f>
        <v>0</v>
      </c>
      <c r="BC61" s="897">
        <f>'Other Costs'!BH173</f>
        <v>0</v>
      </c>
      <c r="BD61" s="897">
        <f>'Other Costs'!BI173</f>
        <v>0</v>
      </c>
      <c r="BE61" s="897">
        <f>'Other Costs'!BJ173</f>
        <v>0</v>
      </c>
      <c r="BF61" s="897">
        <f>'Other Costs'!BK173</f>
        <v>0</v>
      </c>
      <c r="BG61" s="897">
        <f>'Other Costs'!BL173</f>
        <v>0</v>
      </c>
      <c r="BH61" s="897">
        <f>'Other Costs'!BM173</f>
        <v>0</v>
      </c>
      <c r="BI61" s="897">
        <f>'Other Costs'!BN173</f>
        <v>0</v>
      </c>
      <c r="BJ61" s="892">
        <f>'Other Costs'!BO173</f>
        <v>0</v>
      </c>
      <c r="BK61" s="924">
        <f>'Other Costs'!BP173</f>
        <v>0</v>
      </c>
      <c r="BL61" s="897">
        <f>'Other Costs'!BQ173</f>
        <v>0</v>
      </c>
      <c r="BM61" s="897">
        <f>'Other Costs'!BR173</f>
        <v>0</v>
      </c>
      <c r="BN61" s="897">
        <f>'Other Costs'!BS173</f>
        <v>0</v>
      </c>
      <c r="BO61" s="897">
        <f>'Other Costs'!BT173</f>
        <v>0</v>
      </c>
      <c r="BP61" s="897">
        <f>'Other Costs'!BU173</f>
        <v>0</v>
      </c>
      <c r="BQ61" s="897">
        <f>'Other Costs'!BV173</f>
        <v>0</v>
      </c>
      <c r="BR61" s="897">
        <f>'Other Costs'!BW173</f>
        <v>0</v>
      </c>
      <c r="BS61" s="897">
        <f>'Other Costs'!BX173</f>
        <v>0</v>
      </c>
      <c r="BT61" s="897">
        <f>'Other Costs'!BY173</f>
        <v>0</v>
      </c>
      <c r="BU61" s="897">
        <f>'Other Costs'!BZ173</f>
        <v>0</v>
      </c>
      <c r="BV61" s="892">
        <f>'Other Costs'!CA173</f>
        <v>0</v>
      </c>
      <c r="BW61" s="893">
        <f t="shared" ref="BW61:BW69" si="6">SUMIFS(C61:BV61,$C$74:$BV$74,"")</f>
        <v>0</v>
      </c>
      <c r="BX61" s="901">
        <f>SUM(SUMIFS(C61:N61,$C$2:$N$2,{"Dev","Impl","PIS","Close"},$C$74:$N$74,""))</f>
        <v>0</v>
      </c>
      <c r="BY61" s="901">
        <f>SUM(SUMIFS(O61:Z61,$O$2:$Z$2,{"Dev","Impl","PIS","Close"},$O$74:$Z$74,""))</f>
        <v>0</v>
      </c>
      <c r="BZ61" s="901">
        <f>SUM(SUMIFS(AA61:AL61,$AA$2:$AL$2,{"Dev","Impl","PIS","Close"},$AA$74:$AL$74,""))</f>
        <v>0</v>
      </c>
      <c r="CA61" s="901">
        <f>SUM(SUMIFS(AM61:AX61,$AM$2:$AX$2,{"Dev","Impl","PIS","Close"},$AM$74:$AX$74,""))</f>
        <v>0</v>
      </c>
      <c r="CB61" s="901">
        <f>SUM(SUMIFS(AY61:BJ61,$AY$2:$BJ$2,{"Dev","Impl","PIS","Close"},$AY$74:$BJ$74,""))</f>
        <v>0</v>
      </c>
      <c r="CC61" s="901">
        <f>SUM(SUMIFS(BK61:BV61,$BK$2:$BV$2,{"Dev","Impl","PIS","Close"},$BK$74:$BV$74,""))</f>
        <v>0</v>
      </c>
      <c r="CE61" s="530" t="s">
        <v>405</v>
      </c>
      <c r="CF61" s="530"/>
      <c r="CG61" s="530"/>
      <c r="CH61" s="530"/>
      <c r="CI61" s="530"/>
      <c r="CJ61" s="530"/>
    </row>
    <row r="62" spans="1:88" s="4" customFormat="1">
      <c r="A62" s="6" t="s">
        <v>197</v>
      </c>
      <c r="B62" s="108"/>
      <c r="C62" s="897">
        <f>'Other Costs'!H176</f>
        <v>0</v>
      </c>
      <c r="D62" s="897">
        <f>'Other Costs'!I176</f>
        <v>0</v>
      </c>
      <c r="E62" s="897">
        <f>'Other Costs'!J176</f>
        <v>0</v>
      </c>
      <c r="F62" s="897">
        <f>'Other Costs'!K176</f>
        <v>0</v>
      </c>
      <c r="G62" s="897">
        <f>'Other Costs'!L176</f>
        <v>0</v>
      </c>
      <c r="H62" s="897">
        <f>'Other Costs'!M176</f>
        <v>0</v>
      </c>
      <c r="I62" s="897">
        <f>'Other Costs'!N176</f>
        <v>0</v>
      </c>
      <c r="J62" s="897">
        <f>'Other Costs'!O176</f>
        <v>0</v>
      </c>
      <c r="K62" s="897">
        <f>'Other Costs'!P176</f>
        <v>0</v>
      </c>
      <c r="L62" s="897">
        <f>'Other Costs'!Q176</f>
        <v>0</v>
      </c>
      <c r="M62" s="897">
        <f>'Other Costs'!R176</f>
        <v>0</v>
      </c>
      <c r="N62" s="897">
        <f>'Other Costs'!S176</f>
        <v>0</v>
      </c>
      <c r="O62" s="897">
        <f>'Other Costs'!T176</f>
        <v>0</v>
      </c>
      <c r="P62" s="897">
        <f>'Other Costs'!U176</f>
        <v>0</v>
      </c>
      <c r="Q62" s="897">
        <f>'Other Costs'!V176</f>
        <v>0</v>
      </c>
      <c r="R62" s="897">
        <f>'Other Costs'!W176</f>
        <v>0</v>
      </c>
      <c r="S62" s="897">
        <f>'Other Costs'!X176</f>
        <v>0</v>
      </c>
      <c r="T62" s="897">
        <f>'Other Costs'!Y176</f>
        <v>0</v>
      </c>
      <c r="U62" s="897">
        <f>'Other Costs'!Z176</f>
        <v>0</v>
      </c>
      <c r="V62" s="897">
        <f>'Other Costs'!AA176</f>
        <v>0</v>
      </c>
      <c r="W62" s="897">
        <f>'Other Costs'!AB176</f>
        <v>0</v>
      </c>
      <c r="X62" s="897">
        <f>'Other Costs'!AC176</f>
        <v>0</v>
      </c>
      <c r="Y62" s="897">
        <f>'Other Costs'!AD176</f>
        <v>0</v>
      </c>
      <c r="Z62" s="897">
        <f>'Other Costs'!AE176</f>
        <v>0</v>
      </c>
      <c r="AA62" s="897">
        <f>'Other Costs'!AF176</f>
        <v>0</v>
      </c>
      <c r="AB62" s="897">
        <f>'Other Costs'!AG176</f>
        <v>0</v>
      </c>
      <c r="AC62" s="897">
        <f>'Other Costs'!AH176</f>
        <v>0</v>
      </c>
      <c r="AD62" s="897">
        <f>'Other Costs'!AI176</f>
        <v>0</v>
      </c>
      <c r="AE62" s="897">
        <f>'Other Costs'!AJ176</f>
        <v>0</v>
      </c>
      <c r="AF62" s="897">
        <f>'Other Costs'!AK176</f>
        <v>0</v>
      </c>
      <c r="AG62" s="897">
        <f>'Other Costs'!AL176</f>
        <v>0</v>
      </c>
      <c r="AH62" s="897">
        <f>'Other Costs'!AM176</f>
        <v>0</v>
      </c>
      <c r="AI62" s="897">
        <f>'Other Costs'!AN176</f>
        <v>0</v>
      </c>
      <c r="AJ62" s="897">
        <f>'Other Costs'!AO176</f>
        <v>0</v>
      </c>
      <c r="AK62" s="897">
        <f>'Other Costs'!AP176</f>
        <v>0</v>
      </c>
      <c r="AL62" s="897">
        <f>'Other Costs'!AQ176</f>
        <v>0</v>
      </c>
      <c r="AM62" s="897">
        <f>'Other Costs'!AR176</f>
        <v>0</v>
      </c>
      <c r="AN62" s="897">
        <f>'Other Costs'!AS176</f>
        <v>0</v>
      </c>
      <c r="AO62" s="897">
        <f>'Other Costs'!AT176</f>
        <v>0</v>
      </c>
      <c r="AP62" s="897">
        <f>'Other Costs'!AU176</f>
        <v>0</v>
      </c>
      <c r="AQ62" s="897">
        <f>'Other Costs'!AV176</f>
        <v>0</v>
      </c>
      <c r="AR62" s="897">
        <f>'Other Costs'!AW176</f>
        <v>0</v>
      </c>
      <c r="AS62" s="897">
        <f>'Other Costs'!AX176</f>
        <v>0</v>
      </c>
      <c r="AT62" s="897">
        <f>'Other Costs'!AY176</f>
        <v>0</v>
      </c>
      <c r="AU62" s="897">
        <f>'Other Costs'!AZ176</f>
        <v>0</v>
      </c>
      <c r="AV62" s="897">
        <f>'Other Costs'!BA176</f>
        <v>0</v>
      </c>
      <c r="AW62" s="897">
        <f>'Other Costs'!BB176</f>
        <v>0</v>
      </c>
      <c r="AX62" s="897">
        <f>'Other Costs'!BC176</f>
        <v>0</v>
      </c>
      <c r="AY62" s="897">
        <f>'Other Costs'!BD176</f>
        <v>0</v>
      </c>
      <c r="AZ62" s="897">
        <f>'Other Costs'!BE176</f>
        <v>0</v>
      </c>
      <c r="BA62" s="897">
        <f>'Other Costs'!BF176</f>
        <v>0</v>
      </c>
      <c r="BB62" s="897">
        <f>'Other Costs'!BG176</f>
        <v>0</v>
      </c>
      <c r="BC62" s="897">
        <f>'Other Costs'!BH176</f>
        <v>0</v>
      </c>
      <c r="BD62" s="897">
        <f>'Other Costs'!BI176</f>
        <v>0</v>
      </c>
      <c r="BE62" s="897">
        <f>'Other Costs'!BJ176</f>
        <v>0</v>
      </c>
      <c r="BF62" s="897">
        <f>'Other Costs'!BK176</f>
        <v>0</v>
      </c>
      <c r="BG62" s="897">
        <f>'Other Costs'!BL176</f>
        <v>0</v>
      </c>
      <c r="BH62" s="897">
        <f>'Other Costs'!BM176</f>
        <v>0</v>
      </c>
      <c r="BI62" s="897">
        <f>'Other Costs'!BN176</f>
        <v>0</v>
      </c>
      <c r="BJ62" s="897">
        <f>'Other Costs'!BO176</f>
        <v>0</v>
      </c>
      <c r="BK62" s="897">
        <f>'Other Costs'!BP176</f>
        <v>0</v>
      </c>
      <c r="BL62" s="897">
        <f>'Other Costs'!BQ176</f>
        <v>0</v>
      </c>
      <c r="BM62" s="897">
        <f>'Other Costs'!BR176</f>
        <v>0</v>
      </c>
      <c r="BN62" s="897">
        <f>'Other Costs'!BS176</f>
        <v>0</v>
      </c>
      <c r="BO62" s="897">
        <f>'Other Costs'!BT176</f>
        <v>0</v>
      </c>
      <c r="BP62" s="897">
        <f>'Other Costs'!BU176</f>
        <v>0</v>
      </c>
      <c r="BQ62" s="897">
        <f>'Other Costs'!BV176</f>
        <v>0</v>
      </c>
      <c r="BR62" s="897">
        <f>'Other Costs'!BW176</f>
        <v>0</v>
      </c>
      <c r="BS62" s="897">
        <f>'Other Costs'!BX176</f>
        <v>0</v>
      </c>
      <c r="BT62" s="897">
        <f>'Other Costs'!BY176</f>
        <v>0</v>
      </c>
      <c r="BU62" s="897">
        <f>'Other Costs'!BZ176</f>
        <v>0</v>
      </c>
      <c r="BV62" s="897">
        <f>'Other Costs'!CA176</f>
        <v>0</v>
      </c>
      <c r="BW62" s="893">
        <f t="shared" si="6"/>
        <v>0</v>
      </c>
      <c r="BX62" s="901">
        <f>SUM(SUMIFS(C62:N62,$C$2:$N$2,{"Dev","Impl","PIS","Close"},$C$74:$N$74,""))</f>
        <v>0</v>
      </c>
      <c r="BY62" s="901">
        <f>SUM(SUMIFS(O62:Z62,$O$2:$Z$2,{"Dev","Impl","PIS","Close"},$O$74:$Z$74,""))</f>
        <v>0</v>
      </c>
      <c r="BZ62" s="901">
        <f>SUM(SUMIFS(AA62:AL62,$AA$2:$AL$2,{"Dev","Impl","PIS","Close"},$AA$74:$AL$74,""))</f>
        <v>0</v>
      </c>
      <c r="CA62" s="901">
        <f>SUM(SUMIFS(AM62:AX62,$AM$2:$AX$2,{"Dev","Impl","PIS","Close"},$AM$74:$AX$74,""))</f>
        <v>0</v>
      </c>
      <c r="CB62" s="901">
        <f>SUM(SUMIFS(AY62:BJ62,$AY$2:$BJ$2,{"Dev","Impl","PIS","Close"},$AY$74:$BJ$74,""))</f>
        <v>0</v>
      </c>
      <c r="CC62" s="901">
        <f>SUM(SUMIFS(BK62:BV62,$BK$2:$BV$2,{"Dev","Impl","PIS","Close"},$BK$74:$BV$74,""))</f>
        <v>0</v>
      </c>
      <c r="CE62" s="530"/>
      <c r="CF62" s="530"/>
      <c r="CG62" s="530"/>
      <c r="CH62" s="530"/>
      <c r="CI62" s="530"/>
      <c r="CJ62" s="530"/>
    </row>
    <row r="63" spans="1:88" s="4" customFormat="1" ht="14.25" customHeight="1">
      <c r="A63" s="6" t="s">
        <v>168</v>
      </c>
      <c r="B63" s="108"/>
      <c r="C63" s="897">
        <f>'Other Costs'!H182</f>
        <v>0</v>
      </c>
      <c r="D63" s="897">
        <f>'Other Costs'!I182</f>
        <v>0</v>
      </c>
      <c r="E63" s="897">
        <f>'Other Costs'!J182</f>
        <v>0</v>
      </c>
      <c r="F63" s="897">
        <f>'Other Costs'!K182</f>
        <v>0</v>
      </c>
      <c r="G63" s="897">
        <f>'Other Costs'!L182</f>
        <v>0</v>
      </c>
      <c r="H63" s="897">
        <f>'Other Costs'!M182</f>
        <v>0</v>
      </c>
      <c r="I63" s="897">
        <f>'Other Costs'!N182</f>
        <v>0</v>
      </c>
      <c r="J63" s="897">
        <f>'Other Costs'!O182</f>
        <v>0</v>
      </c>
      <c r="K63" s="897">
        <f>'Other Costs'!P182</f>
        <v>0</v>
      </c>
      <c r="L63" s="897">
        <f>'Other Costs'!Q182</f>
        <v>0</v>
      </c>
      <c r="M63" s="897">
        <f>'Other Costs'!R182</f>
        <v>0</v>
      </c>
      <c r="N63" s="889">
        <f>'Other Costs'!S182</f>
        <v>0</v>
      </c>
      <c r="O63" s="924">
        <f>'Other Costs'!T182</f>
        <v>0</v>
      </c>
      <c r="P63" s="897">
        <f>'Other Costs'!U182</f>
        <v>0</v>
      </c>
      <c r="Q63" s="897">
        <f>'Other Costs'!V182</f>
        <v>0</v>
      </c>
      <c r="R63" s="897">
        <f>'Other Costs'!W182</f>
        <v>0</v>
      </c>
      <c r="S63" s="897">
        <f>'Other Costs'!X182</f>
        <v>0</v>
      </c>
      <c r="T63" s="897">
        <f>'Other Costs'!Y182</f>
        <v>0</v>
      </c>
      <c r="U63" s="897">
        <f>'Other Costs'!Z182</f>
        <v>0</v>
      </c>
      <c r="V63" s="897">
        <f>'Other Costs'!AA182</f>
        <v>0</v>
      </c>
      <c r="W63" s="897">
        <f>'Other Costs'!AB182</f>
        <v>0</v>
      </c>
      <c r="X63" s="897">
        <f>'Other Costs'!AC182</f>
        <v>0</v>
      </c>
      <c r="Y63" s="897">
        <f>'Other Costs'!AD182</f>
        <v>0</v>
      </c>
      <c r="Z63" s="889">
        <f>'Other Costs'!AE182</f>
        <v>0</v>
      </c>
      <c r="AA63" s="924">
        <f>'Other Costs'!AF182</f>
        <v>0</v>
      </c>
      <c r="AB63" s="897">
        <f>'Other Costs'!AG182</f>
        <v>0</v>
      </c>
      <c r="AC63" s="897">
        <f>'Other Costs'!AH182</f>
        <v>0</v>
      </c>
      <c r="AD63" s="897">
        <f>'Other Costs'!AI182</f>
        <v>0</v>
      </c>
      <c r="AE63" s="897">
        <f>'Other Costs'!AJ182</f>
        <v>0</v>
      </c>
      <c r="AF63" s="897">
        <f>'Other Costs'!AK182</f>
        <v>0</v>
      </c>
      <c r="AG63" s="897">
        <f>'Other Costs'!AL182</f>
        <v>0</v>
      </c>
      <c r="AH63" s="897">
        <f>'Other Costs'!AM182</f>
        <v>0</v>
      </c>
      <c r="AI63" s="897">
        <f>'Other Costs'!AN182</f>
        <v>0</v>
      </c>
      <c r="AJ63" s="897">
        <f>'Other Costs'!AO182</f>
        <v>0</v>
      </c>
      <c r="AK63" s="897">
        <f>'Other Costs'!AP182</f>
        <v>0</v>
      </c>
      <c r="AL63" s="889">
        <f>'Other Costs'!AQ182</f>
        <v>0</v>
      </c>
      <c r="AM63" s="924">
        <f>'Other Costs'!AR182</f>
        <v>0</v>
      </c>
      <c r="AN63" s="897">
        <f>'Other Costs'!AS182</f>
        <v>0</v>
      </c>
      <c r="AO63" s="897">
        <f>'Other Costs'!AT182</f>
        <v>0</v>
      </c>
      <c r="AP63" s="897">
        <f>'Other Costs'!AU182</f>
        <v>0</v>
      </c>
      <c r="AQ63" s="897">
        <f>'Other Costs'!AV182</f>
        <v>0</v>
      </c>
      <c r="AR63" s="897">
        <f>'Other Costs'!AW182</f>
        <v>0</v>
      </c>
      <c r="AS63" s="897">
        <f>'Other Costs'!AX182</f>
        <v>0</v>
      </c>
      <c r="AT63" s="897">
        <f>'Other Costs'!AY182</f>
        <v>0</v>
      </c>
      <c r="AU63" s="897">
        <f>'Other Costs'!AZ182</f>
        <v>0</v>
      </c>
      <c r="AV63" s="897">
        <f>'Other Costs'!BA182</f>
        <v>0</v>
      </c>
      <c r="AW63" s="897">
        <f>'Other Costs'!BB182</f>
        <v>0</v>
      </c>
      <c r="AX63" s="892">
        <f>'Other Costs'!BC182</f>
        <v>0</v>
      </c>
      <c r="AY63" s="924">
        <f>'Other Costs'!BD182</f>
        <v>0</v>
      </c>
      <c r="AZ63" s="897">
        <f>'Other Costs'!BE182</f>
        <v>0</v>
      </c>
      <c r="BA63" s="897">
        <f>'Other Costs'!BF182</f>
        <v>0</v>
      </c>
      <c r="BB63" s="897">
        <f>'Other Costs'!BG182</f>
        <v>0</v>
      </c>
      <c r="BC63" s="897">
        <f>'Other Costs'!BH182</f>
        <v>0</v>
      </c>
      <c r="BD63" s="897">
        <f>'Other Costs'!BI182</f>
        <v>0</v>
      </c>
      <c r="BE63" s="897">
        <f>'Other Costs'!BJ182</f>
        <v>0</v>
      </c>
      <c r="BF63" s="897">
        <f>'Other Costs'!BK182</f>
        <v>0</v>
      </c>
      <c r="BG63" s="897">
        <f>'Other Costs'!BL182</f>
        <v>0</v>
      </c>
      <c r="BH63" s="897">
        <f>'Other Costs'!BM182</f>
        <v>0</v>
      </c>
      <c r="BI63" s="897">
        <f>'Other Costs'!BN182</f>
        <v>0</v>
      </c>
      <c r="BJ63" s="892">
        <f>'Other Costs'!BO182</f>
        <v>0</v>
      </c>
      <c r="BK63" s="924">
        <f>'Other Costs'!BP182</f>
        <v>0</v>
      </c>
      <c r="BL63" s="897">
        <f>'Other Costs'!BQ182</f>
        <v>0</v>
      </c>
      <c r="BM63" s="897">
        <f>'Other Costs'!BR182</f>
        <v>0</v>
      </c>
      <c r="BN63" s="897">
        <f>'Other Costs'!BS182</f>
        <v>0</v>
      </c>
      <c r="BO63" s="897">
        <f>'Other Costs'!BT182</f>
        <v>0</v>
      </c>
      <c r="BP63" s="897">
        <f>'Other Costs'!BU182</f>
        <v>0</v>
      </c>
      <c r="BQ63" s="897">
        <f>'Other Costs'!BV182</f>
        <v>0</v>
      </c>
      <c r="BR63" s="897">
        <f>'Other Costs'!BW182</f>
        <v>0</v>
      </c>
      <c r="BS63" s="897">
        <f>'Other Costs'!BX182</f>
        <v>0</v>
      </c>
      <c r="BT63" s="897">
        <f>'Other Costs'!BY182</f>
        <v>0</v>
      </c>
      <c r="BU63" s="897">
        <f>'Other Costs'!BZ182</f>
        <v>0</v>
      </c>
      <c r="BV63" s="892">
        <f>'Other Costs'!CA182</f>
        <v>0</v>
      </c>
      <c r="BW63" s="893">
        <f t="shared" si="6"/>
        <v>0</v>
      </c>
      <c r="BX63" s="904">
        <f>SUM(SUMIFS(C63:N63,$C$2:$N$2,{"Dev","Impl","PIS","Close"},$C$74:$N$74,""))</f>
        <v>0</v>
      </c>
      <c r="BY63" s="904">
        <f>SUM(SUMIFS(O63:Z63,$O$2:$Z$2,{"Dev","Impl","PIS","Close"},$O$74:$Z$74,""))</f>
        <v>0</v>
      </c>
      <c r="BZ63" s="904">
        <f>SUM(SUMIFS(AA63:AL63,$AA$2:$AL$2,{"Dev","Impl","PIS","Close"},$AA$74:$AL$74,""))</f>
        <v>0</v>
      </c>
      <c r="CA63" s="904">
        <f>SUM(SUMIFS(AM63:AX63,$AM$2:$AX$2,{"Dev","Impl","PIS","Close"},$AM$74:$AX$74,""))</f>
        <v>0</v>
      </c>
      <c r="CB63" s="904">
        <f>SUM(SUMIFS(AY63:BJ63,$AY$2:$BJ$2,{"Dev","Impl","PIS","Close"},$AY$74:$BJ$74,""))</f>
        <v>0</v>
      </c>
      <c r="CC63" s="904">
        <f>SUM(SUMIFS(BK63:BV63,$BK$2:$BV$2,{"Dev","Impl","PIS","Close"},$BK$74:$BV$74,""))</f>
        <v>0</v>
      </c>
      <c r="CE63" s="529" t="s">
        <v>406</v>
      </c>
      <c r="CF63" s="529"/>
      <c r="CG63" s="529"/>
      <c r="CH63" s="529"/>
      <c r="CI63" s="529"/>
    </row>
    <row r="64" spans="1:88" s="4" customFormat="1">
      <c r="A64" s="6" t="s">
        <v>224</v>
      </c>
      <c r="B64" s="108"/>
      <c r="C64" s="897">
        <f>'Other Costs'!H188</f>
        <v>0</v>
      </c>
      <c r="D64" s="897">
        <f>'Other Costs'!I188</f>
        <v>0</v>
      </c>
      <c r="E64" s="897">
        <f>'Other Costs'!J188</f>
        <v>0</v>
      </c>
      <c r="F64" s="897">
        <f>'Other Costs'!K188</f>
        <v>0</v>
      </c>
      <c r="G64" s="897">
        <f>'Other Costs'!L188</f>
        <v>0</v>
      </c>
      <c r="H64" s="897">
        <f>'Other Costs'!M188</f>
        <v>0</v>
      </c>
      <c r="I64" s="897">
        <f>'Other Costs'!N188</f>
        <v>0</v>
      </c>
      <c r="J64" s="897">
        <f>'Other Costs'!O188</f>
        <v>0</v>
      </c>
      <c r="K64" s="897">
        <f>'Other Costs'!P188</f>
        <v>0</v>
      </c>
      <c r="L64" s="897">
        <f>'Other Costs'!Q188</f>
        <v>0</v>
      </c>
      <c r="M64" s="897">
        <f>'Other Costs'!R188</f>
        <v>0</v>
      </c>
      <c r="N64" s="892">
        <f>'Other Costs'!S188</f>
        <v>0</v>
      </c>
      <c r="O64" s="924">
        <f>'Other Costs'!T188</f>
        <v>0</v>
      </c>
      <c r="P64" s="897">
        <f>'Other Costs'!U188</f>
        <v>0</v>
      </c>
      <c r="Q64" s="897">
        <f>'Other Costs'!V188</f>
        <v>0</v>
      </c>
      <c r="R64" s="897">
        <f>'Other Costs'!W188</f>
        <v>0</v>
      </c>
      <c r="S64" s="897">
        <f>'Other Costs'!X188</f>
        <v>0</v>
      </c>
      <c r="T64" s="897">
        <f>'Other Costs'!Y188</f>
        <v>0</v>
      </c>
      <c r="U64" s="897">
        <f>'Other Costs'!Z188</f>
        <v>0</v>
      </c>
      <c r="V64" s="897">
        <f>'Other Costs'!AA188</f>
        <v>0</v>
      </c>
      <c r="W64" s="897">
        <f>'Other Costs'!AB188</f>
        <v>0</v>
      </c>
      <c r="X64" s="897">
        <f>'Other Costs'!AC188</f>
        <v>0</v>
      </c>
      <c r="Y64" s="897">
        <f>'Other Costs'!AD188</f>
        <v>0</v>
      </c>
      <c r="Z64" s="892">
        <f>'Other Costs'!AE188</f>
        <v>0</v>
      </c>
      <c r="AA64" s="924">
        <f>'Other Costs'!AF188</f>
        <v>0</v>
      </c>
      <c r="AB64" s="897">
        <f>'Other Costs'!AG188</f>
        <v>0</v>
      </c>
      <c r="AC64" s="897">
        <f>'Other Costs'!AH188</f>
        <v>0</v>
      </c>
      <c r="AD64" s="897">
        <f>'Other Costs'!AI188</f>
        <v>0</v>
      </c>
      <c r="AE64" s="897">
        <f>'Other Costs'!AJ188</f>
        <v>0</v>
      </c>
      <c r="AF64" s="897">
        <f>'Other Costs'!AK188</f>
        <v>0</v>
      </c>
      <c r="AG64" s="897">
        <f>'Other Costs'!AL188</f>
        <v>0</v>
      </c>
      <c r="AH64" s="897">
        <f>'Other Costs'!AM188</f>
        <v>0</v>
      </c>
      <c r="AI64" s="897">
        <f>'Other Costs'!AN188</f>
        <v>0</v>
      </c>
      <c r="AJ64" s="897">
        <f>'Other Costs'!AO188</f>
        <v>0</v>
      </c>
      <c r="AK64" s="897">
        <f>'Other Costs'!AP188</f>
        <v>0</v>
      </c>
      <c r="AL64" s="892">
        <f>'Other Costs'!AQ188</f>
        <v>0</v>
      </c>
      <c r="AM64" s="924">
        <f>'Other Costs'!AR188</f>
        <v>0</v>
      </c>
      <c r="AN64" s="897">
        <f>'Other Costs'!AS188</f>
        <v>0</v>
      </c>
      <c r="AO64" s="897">
        <f>'Other Costs'!AT188</f>
        <v>0</v>
      </c>
      <c r="AP64" s="897">
        <f>'Other Costs'!AU188</f>
        <v>0</v>
      </c>
      <c r="AQ64" s="897">
        <f>'Other Costs'!AV188</f>
        <v>0</v>
      </c>
      <c r="AR64" s="897">
        <f>'Other Costs'!AW188</f>
        <v>0</v>
      </c>
      <c r="AS64" s="897">
        <f>'Other Costs'!AX188</f>
        <v>0</v>
      </c>
      <c r="AT64" s="897">
        <f>'Other Costs'!AY188</f>
        <v>0</v>
      </c>
      <c r="AU64" s="897">
        <f>'Other Costs'!AZ188</f>
        <v>0</v>
      </c>
      <c r="AV64" s="897">
        <f>'Other Costs'!BA188</f>
        <v>0</v>
      </c>
      <c r="AW64" s="897">
        <f>'Other Costs'!BB188</f>
        <v>0</v>
      </c>
      <c r="AX64" s="892">
        <f>'Other Costs'!BC188</f>
        <v>0</v>
      </c>
      <c r="AY64" s="924">
        <f>'Other Costs'!BD188</f>
        <v>0</v>
      </c>
      <c r="AZ64" s="897">
        <f>'Other Costs'!BE188</f>
        <v>0</v>
      </c>
      <c r="BA64" s="897">
        <f>'Other Costs'!BF188</f>
        <v>0</v>
      </c>
      <c r="BB64" s="897">
        <f>'Other Costs'!BG188</f>
        <v>0</v>
      </c>
      <c r="BC64" s="897">
        <f>'Other Costs'!BH188</f>
        <v>0</v>
      </c>
      <c r="BD64" s="897">
        <f>'Other Costs'!BI188</f>
        <v>0</v>
      </c>
      <c r="BE64" s="897">
        <f>'Other Costs'!BJ188</f>
        <v>0</v>
      </c>
      <c r="BF64" s="897">
        <f>'Other Costs'!BK188</f>
        <v>0</v>
      </c>
      <c r="BG64" s="897">
        <f>'Other Costs'!BL188</f>
        <v>0</v>
      </c>
      <c r="BH64" s="897">
        <f>'Other Costs'!BM188</f>
        <v>0</v>
      </c>
      <c r="BI64" s="897">
        <f>'Other Costs'!BN188</f>
        <v>0</v>
      </c>
      <c r="BJ64" s="892">
        <f>'Other Costs'!BO188</f>
        <v>0</v>
      </c>
      <c r="BK64" s="924">
        <f>'Other Costs'!BP188</f>
        <v>0</v>
      </c>
      <c r="BL64" s="897">
        <f>'Other Costs'!BQ188</f>
        <v>0</v>
      </c>
      <c r="BM64" s="897">
        <f>'Other Costs'!BR188</f>
        <v>0</v>
      </c>
      <c r="BN64" s="897">
        <f>'Other Costs'!BS188</f>
        <v>0</v>
      </c>
      <c r="BO64" s="897">
        <f>'Other Costs'!BT188</f>
        <v>0</v>
      </c>
      <c r="BP64" s="897">
        <f>'Other Costs'!BU188</f>
        <v>0</v>
      </c>
      <c r="BQ64" s="897">
        <f>'Other Costs'!BV188</f>
        <v>0</v>
      </c>
      <c r="BR64" s="897">
        <f>'Other Costs'!BW188</f>
        <v>0</v>
      </c>
      <c r="BS64" s="897">
        <f>'Other Costs'!BX188</f>
        <v>0</v>
      </c>
      <c r="BT64" s="897">
        <f>'Other Costs'!BY188</f>
        <v>0</v>
      </c>
      <c r="BU64" s="897">
        <f>'Other Costs'!BZ188</f>
        <v>0</v>
      </c>
      <c r="BV64" s="892">
        <f>'Other Costs'!CA188</f>
        <v>0</v>
      </c>
      <c r="BW64" s="893">
        <f t="shared" si="6"/>
        <v>0</v>
      </c>
      <c r="BX64" s="894">
        <f>SUM(SUMIFS(C64:N64,$C$2:$N$2,{"Dev","Impl","PIS","Close"},$C$74:$N$74,""))</f>
        <v>0</v>
      </c>
      <c r="BY64" s="894">
        <f>SUM(SUMIFS(O64:Z64,$O$2:$Z$2,{"Dev","Impl","PIS","Close"},$O$74:$Z$74,""))</f>
        <v>0</v>
      </c>
      <c r="BZ64" s="894">
        <f>SUM(SUMIFS(AA64:AL64,$AA$2:$AL$2,{"Dev","Impl","PIS","Close"},$AA$74:$AL$74,""))</f>
        <v>0</v>
      </c>
      <c r="CA64" s="894">
        <f>SUM(SUMIFS(AM64:AX64,$AM$2:$AX$2,{"Dev","Impl","PIS","Close"},$AM$74:$AX$74,""))</f>
        <v>0</v>
      </c>
      <c r="CB64" s="894">
        <f>SUM(SUMIFS(AY64:BJ64,$AY$2:$BJ$2,{"Dev","Impl","PIS","Close"},$AY$74:$BJ$74,""))</f>
        <v>0</v>
      </c>
      <c r="CC64" s="894">
        <f>SUM(SUMIFS(BK64:BV64,$BK$2:$BV$2,{"Dev","Impl","PIS","Close"},$BK$74:$BV$74,""))</f>
        <v>0</v>
      </c>
    </row>
    <row r="65" spans="1:89" s="4" customFormat="1">
      <c r="A65" s="6" t="s">
        <v>8403</v>
      </c>
      <c r="B65" s="108"/>
      <c r="C65" s="1092">
        <f>'Other Costs'!H$191</f>
        <v>0</v>
      </c>
      <c r="D65" s="1092">
        <f>'Other Costs'!I$191</f>
        <v>0</v>
      </c>
      <c r="E65" s="1092">
        <f>'Other Costs'!J$191</f>
        <v>0</v>
      </c>
      <c r="F65" s="1092">
        <f>'Other Costs'!K$191</f>
        <v>0</v>
      </c>
      <c r="G65" s="1092">
        <f>'Other Costs'!L$191</f>
        <v>0</v>
      </c>
      <c r="H65" s="1092">
        <f>'Other Costs'!M$191</f>
        <v>0</v>
      </c>
      <c r="I65" s="1092">
        <f>'Other Costs'!N$191</f>
        <v>0</v>
      </c>
      <c r="J65" s="1092">
        <f>'Other Costs'!O$191</f>
        <v>0</v>
      </c>
      <c r="K65" s="1092">
        <f>'Other Costs'!P$191</f>
        <v>0</v>
      </c>
      <c r="L65" s="1092">
        <f>'Other Costs'!Q$191</f>
        <v>0</v>
      </c>
      <c r="M65" s="1092">
        <f>'Other Costs'!R$191</f>
        <v>0</v>
      </c>
      <c r="N65" s="1093">
        <f>'Other Costs'!S$191</f>
        <v>0</v>
      </c>
      <c r="O65" s="927">
        <f>'Other Costs'!T$191</f>
        <v>0</v>
      </c>
      <c r="P65" s="1092">
        <f>'Other Costs'!U$191</f>
        <v>0</v>
      </c>
      <c r="Q65" s="1092">
        <f>'Other Costs'!V$191</f>
        <v>0</v>
      </c>
      <c r="R65" s="1092">
        <f>'Other Costs'!W$191</f>
        <v>0</v>
      </c>
      <c r="S65" s="1092">
        <f>'Other Costs'!X$191</f>
        <v>0</v>
      </c>
      <c r="T65" s="1092">
        <f>'Other Costs'!Y$191</f>
        <v>0</v>
      </c>
      <c r="U65" s="1092">
        <f>'Other Costs'!Z$191</f>
        <v>0</v>
      </c>
      <c r="V65" s="1092">
        <f>'Other Costs'!AA$191</f>
        <v>0</v>
      </c>
      <c r="W65" s="1092">
        <f>'Other Costs'!AB$191</f>
        <v>0</v>
      </c>
      <c r="X65" s="1092">
        <f>'Other Costs'!AC$191</f>
        <v>0</v>
      </c>
      <c r="Y65" s="1092">
        <f>'Other Costs'!AD$191</f>
        <v>0</v>
      </c>
      <c r="Z65" s="1093">
        <f>'Other Costs'!AE$191</f>
        <v>0</v>
      </c>
      <c r="AA65" s="927">
        <f>'Other Costs'!AF$191</f>
        <v>0</v>
      </c>
      <c r="AB65" s="1092">
        <f>'Other Costs'!AG$191</f>
        <v>0</v>
      </c>
      <c r="AC65" s="1092">
        <f>'Other Costs'!AH$191</f>
        <v>0</v>
      </c>
      <c r="AD65" s="1092">
        <f>'Other Costs'!AI$191</f>
        <v>0</v>
      </c>
      <c r="AE65" s="1092">
        <f>'Other Costs'!AJ$191</f>
        <v>0</v>
      </c>
      <c r="AF65" s="1092">
        <f>'Other Costs'!AK$191</f>
        <v>0</v>
      </c>
      <c r="AG65" s="1092">
        <f>'Other Costs'!AL$191</f>
        <v>0</v>
      </c>
      <c r="AH65" s="1092">
        <f>'Other Costs'!AM$191</f>
        <v>0</v>
      </c>
      <c r="AI65" s="1092">
        <f>'Other Costs'!AN$191</f>
        <v>0</v>
      </c>
      <c r="AJ65" s="1092">
        <f>'Other Costs'!AO$191</f>
        <v>0</v>
      </c>
      <c r="AK65" s="1092">
        <f>'Other Costs'!AP$191</f>
        <v>0</v>
      </c>
      <c r="AL65" s="1093">
        <f>'Other Costs'!AQ$191</f>
        <v>0</v>
      </c>
      <c r="AM65" s="927">
        <f>'Other Costs'!AR$191</f>
        <v>0</v>
      </c>
      <c r="AN65" s="1092">
        <f>'Other Costs'!AS$191</f>
        <v>0</v>
      </c>
      <c r="AO65" s="1092">
        <f>'Other Costs'!AT$191</f>
        <v>0</v>
      </c>
      <c r="AP65" s="1092">
        <f>'Other Costs'!AU$191</f>
        <v>0</v>
      </c>
      <c r="AQ65" s="1092">
        <f>'Other Costs'!AV$191</f>
        <v>0</v>
      </c>
      <c r="AR65" s="1092">
        <f>'Other Costs'!AW$191</f>
        <v>0</v>
      </c>
      <c r="AS65" s="1092">
        <f>'Other Costs'!AX$191</f>
        <v>0</v>
      </c>
      <c r="AT65" s="1092">
        <f>'Other Costs'!AY$191</f>
        <v>0</v>
      </c>
      <c r="AU65" s="1092">
        <f>'Other Costs'!AZ$191</f>
        <v>0</v>
      </c>
      <c r="AV65" s="1092">
        <f>'Other Costs'!BA$191</f>
        <v>0</v>
      </c>
      <c r="AW65" s="1092">
        <f>'Other Costs'!BB$191</f>
        <v>0</v>
      </c>
      <c r="AX65" s="1093">
        <f>'Other Costs'!BC$191</f>
        <v>0</v>
      </c>
      <c r="AY65" s="927">
        <f>'Other Costs'!BD$191</f>
        <v>0</v>
      </c>
      <c r="AZ65" s="1092">
        <f>'Other Costs'!BE$191</f>
        <v>0</v>
      </c>
      <c r="BA65" s="1092">
        <f>'Other Costs'!BF$191</f>
        <v>0</v>
      </c>
      <c r="BB65" s="1092">
        <f>'Other Costs'!BG$191</f>
        <v>0</v>
      </c>
      <c r="BC65" s="1092">
        <f>'Other Costs'!BH$191</f>
        <v>0</v>
      </c>
      <c r="BD65" s="1092">
        <f>'Other Costs'!BI$191</f>
        <v>0</v>
      </c>
      <c r="BE65" s="1092">
        <f>'Other Costs'!BJ$191</f>
        <v>0</v>
      </c>
      <c r="BF65" s="1092">
        <f>'Other Costs'!BK$191</f>
        <v>0</v>
      </c>
      <c r="BG65" s="1092">
        <f>'Other Costs'!BL$191</f>
        <v>0</v>
      </c>
      <c r="BH65" s="1092">
        <f>'Other Costs'!BM$191</f>
        <v>0</v>
      </c>
      <c r="BI65" s="1092">
        <f>'Other Costs'!BN$191</f>
        <v>0</v>
      </c>
      <c r="BJ65" s="1093">
        <f>'Other Costs'!BO$191</f>
        <v>0</v>
      </c>
      <c r="BK65" s="927">
        <f>'Other Costs'!BP$191</f>
        <v>0</v>
      </c>
      <c r="BL65" s="1092">
        <f>'Other Costs'!BQ$191</f>
        <v>0</v>
      </c>
      <c r="BM65" s="1092">
        <f>'Other Costs'!BR$191</f>
        <v>0</v>
      </c>
      <c r="BN65" s="1092">
        <f>'Other Costs'!BS$191</f>
        <v>0</v>
      </c>
      <c r="BO65" s="1092">
        <f>'Other Costs'!BT$191</f>
        <v>0</v>
      </c>
      <c r="BP65" s="1092">
        <f>'Other Costs'!BU$191</f>
        <v>0</v>
      </c>
      <c r="BQ65" s="1092">
        <f>'Other Costs'!BV$191</f>
        <v>0</v>
      </c>
      <c r="BR65" s="1092">
        <f>'Other Costs'!BW$191</f>
        <v>0</v>
      </c>
      <c r="BS65" s="1092">
        <f>'Other Costs'!BX$191</f>
        <v>0</v>
      </c>
      <c r="BT65" s="1092">
        <f>'Other Costs'!BY$191</f>
        <v>0</v>
      </c>
      <c r="BU65" s="1092">
        <f>'Other Costs'!BZ$191</f>
        <v>0</v>
      </c>
      <c r="BV65" s="1093">
        <f>'Other Costs'!CA$191</f>
        <v>0</v>
      </c>
      <c r="BW65" s="893">
        <f t="shared" si="6"/>
        <v>0</v>
      </c>
      <c r="BX65" s="905">
        <f>SUM(SUMIFS(C65:N65,$C$2:$N$2,{"Dev","Impl","PIS","Close"},$C$74:$N$74,""))</f>
        <v>0</v>
      </c>
      <c r="BY65" s="905">
        <f>SUM(SUMIFS(O65:Z65,$O$2:$Z$2,{"Dev","Impl","PIS","Close"},$O$74:$Z$74,""))</f>
        <v>0</v>
      </c>
      <c r="BZ65" s="905">
        <f>SUM(SUMIFS(AA65:AL65,$AA$2:$AL$2,{"Dev","Impl","PIS","Close"},$AA$74:$AL$74,""))</f>
        <v>0</v>
      </c>
      <c r="CA65" s="905">
        <f>SUM(SUMIFS(AM65:AX65,$AM$2:$AX$2,{"Dev","Impl","PIS","Close"},$AM$74:$AX$74,""))</f>
        <v>0</v>
      </c>
      <c r="CB65" s="905">
        <f>SUM(SUMIFS(AY65:BJ65,$AY$2:$BJ$2,{"Dev","Impl","PIS","Close"},$AY$74:$BJ$74,""))</f>
        <v>0</v>
      </c>
      <c r="CC65" s="905">
        <f>SUM(SUMIFS(BK65:BV65,$BK$2:$BV$2,{"Dev","Impl","PIS","Close"},$BK$74:$BV$74,""))</f>
        <v>0</v>
      </c>
    </row>
    <row r="66" spans="1:89" s="4" customFormat="1">
      <c r="A66" s="991" t="s">
        <v>13</v>
      </c>
      <c r="B66" s="108"/>
      <c r="C66" s="897">
        <f>'Other Costs'!H$194</f>
        <v>0</v>
      </c>
      <c r="D66" s="897">
        <f>'Other Costs'!I$194</f>
        <v>0</v>
      </c>
      <c r="E66" s="897">
        <f>'Other Costs'!J$194</f>
        <v>0</v>
      </c>
      <c r="F66" s="897">
        <f>'Other Costs'!K$194</f>
        <v>0</v>
      </c>
      <c r="G66" s="897">
        <f>'Other Costs'!L$194</f>
        <v>0</v>
      </c>
      <c r="H66" s="897">
        <f>'Other Costs'!M$194</f>
        <v>0</v>
      </c>
      <c r="I66" s="897">
        <f>'Other Costs'!N$194</f>
        <v>0</v>
      </c>
      <c r="J66" s="897">
        <f>'Other Costs'!O$194</f>
        <v>0</v>
      </c>
      <c r="K66" s="897">
        <f>'Other Costs'!P$194</f>
        <v>0</v>
      </c>
      <c r="L66" s="897">
        <f>'Other Costs'!Q$194</f>
        <v>0</v>
      </c>
      <c r="M66" s="897">
        <f>'Other Costs'!R$194</f>
        <v>0</v>
      </c>
      <c r="N66" s="889">
        <f>'Other Costs'!S$194</f>
        <v>0</v>
      </c>
      <c r="O66" s="924">
        <f>'Other Costs'!T$194</f>
        <v>0</v>
      </c>
      <c r="P66" s="897">
        <f>'Other Costs'!U$194</f>
        <v>0</v>
      </c>
      <c r="Q66" s="897">
        <f>'Other Costs'!V$194</f>
        <v>0</v>
      </c>
      <c r="R66" s="897">
        <f>'Other Costs'!W$194</f>
        <v>0</v>
      </c>
      <c r="S66" s="897">
        <f>'Other Costs'!X$194</f>
        <v>0</v>
      </c>
      <c r="T66" s="897">
        <f>'Other Costs'!Y$194</f>
        <v>0</v>
      </c>
      <c r="U66" s="897">
        <f>'Other Costs'!Z$194</f>
        <v>0</v>
      </c>
      <c r="V66" s="897">
        <f>'Other Costs'!AA$194</f>
        <v>0</v>
      </c>
      <c r="W66" s="897">
        <f>'Other Costs'!AB$194</f>
        <v>0</v>
      </c>
      <c r="X66" s="897">
        <f>'Other Costs'!AC$194</f>
        <v>0</v>
      </c>
      <c r="Y66" s="897">
        <f>'Other Costs'!AD$194</f>
        <v>0</v>
      </c>
      <c r="Z66" s="889">
        <f>'Other Costs'!AE$194</f>
        <v>0</v>
      </c>
      <c r="AA66" s="924">
        <f>'Other Costs'!AF$194</f>
        <v>0</v>
      </c>
      <c r="AB66" s="897">
        <f>'Other Costs'!AG$194</f>
        <v>0</v>
      </c>
      <c r="AC66" s="897">
        <f>'Other Costs'!AH$194</f>
        <v>0</v>
      </c>
      <c r="AD66" s="897">
        <f>'Other Costs'!AI$194</f>
        <v>0</v>
      </c>
      <c r="AE66" s="897">
        <f>'Other Costs'!AJ$194</f>
        <v>0</v>
      </c>
      <c r="AF66" s="897">
        <f>'Other Costs'!AK$194</f>
        <v>0</v>
      </c>
      <c r="AG66" s="897">
        <f>'Other Costs'!AL$194</f>
        <v>0</v>
      </c>
      <c r="AH66" s="897">
        <f>'Other Costs'!AM$194</f>
        <v>0</v>
      </c>
      <c r="AI66" s="897">
        <f>'Other Costs'!AN$194</f>
        <v>0</v>
      </c>
      <c r="AJ66" s="897">
        <f>'Other Costs'!AO$194</f>
        <v>0</v>
      </c>
      <c r="AK66" s="897">
        <f>'Other Costs'!AP$194</f>
        <v>0</v>
      </c>
      <c r="AL66" s="889">
        <f>'Other Costs'!AQ$194</f>
        <v>0</v>
      </c>
      <c r="AM66" s="924">
        <f>'Other Costs'!AR$194</f>
        <v>0</v>
      </c>
      <c r="AN66" s="897">
        <f>'Other Costs'!AS$194</f>
        <v>0</v>
      </c>
      <c r="AO66" s="897">
        <f>'Other Costs'!AT$194</f>
        <v>0</v>
      </c>
      <c r="AP66" s="897">
        <f>'Other Costs'!AU$194</f>
        <v>0</v>
      </c>
      <c r="AQ66" s="897">
        <f>'Other Costs'!AV$194</f>
        <v>0</v>
      </c>
      <c r="AR66" s="897">
        <f>'Other Costs'!AW$194</f>
        <v>0</v>
      </c>
      <c r="AS66" s="897">
        <f>'Other Costs'!AX$194</f>
        <v>0</v>
      </c>
      <c r="AT66" s="897">
        <f>'Other Costs'!AY$194</f>
        <v>0</v>
      </c>
      <c r="AU66" s="897">
        <f>'Other Costs'!AZ$194</f>
        <v>0</v>
      </c>
      <c r="AV66" s="897">
        <f>'Other Costs'!BA$194</f>
        <v>0</v>
      </c>
      <c r="AW66" s="897">
        <f>'Other Costs'!BB$194</f>
        <v>0</v>
      </c>
      <c r="AX66" s="892">
        <f>'Other Costs'!BC$194</f>
        <v>0</v>
      </c>
      <c r="AY66" s="924">
        <f>'Other Costs'!BD$194</f>
        <v>0</v>
      </c>
      <c r="AZ66" s="897">
        <f>'Other Costs'!BE$194</f>
        <v>0</v>
      </c>
      <c r="BA66" s="897">
        <f>'Other Costs'!BF$194</f>
        <v>0</v>
      </c>
      <c r="BB66" s="897">
        <f>'Other Costs'!BG$194</f>
        <v>0</v>
      </c>
      <c r="BC66" s="897">
        <f>'Other Costs'!BH$194</f>
        <v>0</v>
      </c>
      <c r="BD66" s="897">
        <f>'Other Costs'!BI$194</f>
        <v>0</v>
      </c>
      <c r="BE66" s="897">
        <f>'Other Costs'!BJ$194</f>
        <v>0</v>
      </c>
      <c r="BF66" s="897">
        <f>'Other Costs'!BK$194</f>
        <v>0</v>
      </c>
      <c r="BG66" s="897">
        <f>'Other Costs'!BL$194</f>
        <v>0</v>
      </c>
      <c r="BH66" s="897">
        <f>'Other Costs'!BM$194</f>
        <v>0</v>
      </c>
      <c r="BI66" s="897">
        <f>'Other Costs'!BN$194</f>
        <v>0</v>
      </c>
      <c r="BJ66" s="892">
        <f>'Other Costs'!BO$194</f>
        <v>0</v>
      </c>
      <c r="BK66" s="924">
        <f>'Other Costs'!BP$194</f>
        <v>0</v>
      </c>
      <c r="BL66" s="897">
        <f>'Other Costs'!BQ$194</f>
        <v>0</v>
      </c>
      <c r="BM66" s="897">
        <f>'Other Costs'!BR$194</f>
        <v>0</v>
      </c>
      <c r="BN66" s="897">
        <f>'Other Costs'!BS$194</f>
        <v>0</v>
      </c>
      <c r="BO66" s="897">
        <f>'Other Costs'!BT$194</f>
        <v>0</v>
      </c>
      <c r="BP66" s="897">
        <f>'Other Costs'!BU$194</f>
        <v>0</v>
      </c>
      <c r="BQ66" s="897">
        <f>'Other Costs'!BV$194</f>
        <v>0</v>
      </c>
      <c r="BR66" s="897">
        <f>'Other Costs'!BW$194</f>
        <v>0</v>
      </c>
      <c r="BS66" s="897">
        <f>'Other Costs'!BX$194</f>
        <v>0</v>
      </c>
      <c r="BT66" s="897">
        <f>'Other Costs'!BY$194</f>
        <v>0</v>
      </c>
      <c r="BU66" s="897">
        <f>'Other Costs'!BZ$194</f>
        <v>0</v>
      </c>
      <c r="BV66" s="892">
        <f>'Other Costs'!CA$194</f>
        <v>0</v>
      </c>
      <c r="BW66" s="893">
        <f t="shared" si="6"/>
        <v>0</v>
      </c>
      <c r="BX66" s="905">
        <f>SUM(SUMIFS(C66:N66,$C$2:$N$2,{"Dev","Impl","PIS","Close"},$C$74:$N$74,""))</f>
        <v>0</v>
      </c>
      <c r="BY66" s="905">
        <f>SUM(SUMIFS(O66:Z66,$O$2:$Z$2,{"Dev","Impl","PIS","Close"},$O$74:$Z$74,""))</f>
        <v>0</v>
      </c>
      <c r="BZ66" s="905">
        <f>SUM(SUMIFS(AA66:AL66,$AA$2:$AL$2,{"Dev","Impl","PIS","Close"},$AA$74:$AL$74,""))</f>
        <v>0</v>
      </c>
      <c r="CA66" s="905">
        <f>SUM(SUMIFS(AM66:AX66,$AM$2:$AX$2,{"Dev","Impl","PIS","Close"},$AM$74:$AX$74,""))</f>
        <v>0</v>
      </c>
      <c r="CB66" s="905">
        <f>SUM(SUMIFS(AY66:BJ66,$AY$2:$BJ$2,{"Dev","Impl","PIS","Close"},$AY$74:$BJ$74,""))</f>
        <v>0</v>
      </c>
      <c r="CC66" s="905">
        <f>SUM(SUMIFS(BK66:BV66,$BK$2:$BV$2,{"Dev","Impl","PIS","Close"},$BK$74:$BV$74,""))</f>
        <v>0</v>
      </c>
      <c r="CE66" s="534" t="s">
        <v>407</v>
      </c>
      <c r="CF66" s="534"/>
      <c r="CG66" s="534"/>
      <c r="CH66" s="534"/>
      <c r="CI66" s="534"/>
      <c r="CJ66" s="534"/>
      <c r="CK66" s="534"/>
    </row>
    <row r="67" spans="1:89" s="4" customFormat="1" hidden="1">
      <c r="A67" s="6" t="s">
        <v>204</v>
      </c>
      <c r="B67" s="108"/>
      <c r="C67" s="906"/>
      <c r="D67" s="906"/>
      <c r="E67" s="907">
        <f>IF(OR(Variables!D23="Close",Variables!D23="PIS"),0,IF(Variables!D23="","",(IF(C74="",SUM(C41:C66),C74)+IF(D74="",SUM(D41:D66),D74)+SUM(E41:E66))*Variables!$B$55))</f>
        <v>0</v>
      </c>
      <c r="F67" s="906"/>
      <c r="G67" s="906"/>
      <c r="H67" s="907">
        <f>IF(OR(Variables!G23="Close",Variables!G23="PIS"),0,IF(Variables!G23="","",(IF(F74="",SUM(F41:F66),F74)+IF(G74="",SUM(G41:G66),G74)+SUM(H41:H66))*Variables!$B$55))</f>
        <v>0</v>
      </c>
      <c r="I67" s="906"/>
      <c r="J67" s="906"/>
      <c r="K67" s="907">
        <f>IF(OR(Variables!J23="Close",Variables!J23="PIS"),0,IF(Variables!J23="","",(IF(I74="",SUM(I41:I66),I74)+IF(J74="",SUM(J41:J66),J74)+SUM(K41:K66))*Variables!$B$55))</f>
        <v>0</v>
      </c>
      <c r="L67" s="906"/>
      <c r="M67" s="906"/>
      <c r="N67" s="907">
        <f>IF(OR(Variables!M23="Close",Variables!M23="PIS"),0,IF(Variables!M23="","",(IF(L74="",SUM(L41:L66),L74)+IF(M74="",SUM(M41:M66),M74)+SUM(N41:N66))*Variables!$B$55))</f>
        <v>0</v>
      </c>
      <c r="O67" s="906"/>
      <c r="P67" s="906"/>
      <c r="Q67" s="907" t="str">
        <f>IF(OR(Variables!P23="Close",Variables!P23="PIS"),0,IF(Variables!P23="","",(IF(O74="",SUM(O41:O66),O74)+IF(P74="",SUM(P41:P66),P74)+SUM(Q41:Q66))*Variables!$B$55))</f>
        <v/>
      </c>
      <c r="R67" s="906"/>
      <c r="S67" s="906"/>
      <c r="T67" s="907" t="str">
        <f>IF(OR(Variables!S23="Close",Variables!S23="PIS"),0,IF(Variables!S23="","",(IF(R74="",SUM(R41:R66),R74)+IF(S74="",SUM(S41:S66),S74)+SUM(T41:T66))*Variables!$B$55))</f>
        <v/>
      </c>
      <c r="U67" s="906"/>
      <c r="V67" s="906"/>
      <c r="W67" s="907" t="str">
        <f>IF(OR(Variables!V23="Close",Variables!V23="PIS"),0,IF(Variables!V23="","",(IF(U74="",SUM(U41:U66),U74)+IF(V74="",SUM(V41:V66),V74)+SUM(W41:W66))*Variables!$B$55))</f>
        <v/>
      </c>
      <c r="X67" s="906"/>
      <c r="Y67" s="906"/>
      <c r="Z67" s="907" t="str">
        <f>IF(OR(Variables!Y23="Close",Variables!Y23="PIS"),0,IF(Variables!Y23="","",(IF(X74="",SUM(X41:X66),X74)+IF(Y74="",SUM(Y41:Y66),Y74)+SUM(Z41:Z66))*Variables!$B$55))</f>
        <v/>
      </c>
      <c r="AA67" s="906"/>
      <c r="AB67" s="906"/>
      <c r="AC67" s="907" t="str">
        <f>IF(OR(Variables!AB23="Close",Variables!AB23="PIS"),0,IF(Variables!AB23="","",(IF(AA74="",SUM(AA41:AA66),AA74)+IF(AB74="",SUM(AB41:AB66),AB74)+SUM(AC41:AC66))*Variables!$B$55))</f>
        <v/>
      </c>
      <c r="AD67" s="906"/>
      <c r="AE67" s="906"/>
      <c r="AF67" s="907" t="str">
        <f>IF(OR(Variables!AE23="Close",Variables!AE23="PIS"),0,IF(Variables!AE23="","",(IF(AD74="",SUM(AD41:AD66),AD74)+IF(AE74="",SUM(AE41:AE66),AE74)+SUM(AF41:AF66))*Variables!$B$55))</f>
        <v/>
      </c>
      <c r="AG67" s="906"/>
      <c r="AH67" s="906"/>
      <c r="AI67" s="907" t="str">
        <f>IF(OR(Variables!AH23="Close",Variables!AH23="PIS"),0,IF(Variables!AH23="","",(IF(AG74="",SUM(AG41:AG66),AG74)+IF(AH74="",SUM(AH41:AH66),AH74)+SUM(AI41:AI66))*Variables!$B$55))</f>
        <v/>
      </c>
      <c r="AJ67" s="906"/>
      <c r="AK67" s="906"/>
      <c r="AL67" s="907" t="str">
        <f>IF(OR(Variables!AK23="Close",Variables!AK23="PIS"),0,IF(Variables!AK23="","",(IF(AJ74="",SUM(AJ41:AJ66),AJ74)+IF(AK74="",SUM(AK41:AK66),AK74)+SUM(AL41:AL66))*Variables!$B$55))</f>
        <v/>
      </c>
      <c r="AM67" s="906"/>
      <c r="AN67" s="906"/>
      <c r="AO67" s="907" t="str">
        <f>IF(OR(Variables!AN23="Close",Variables!AN23="PIS"),0,IF(Variables!AN23="","",(IF(AM74="",SUM(AM41:AM66),AM74)+IF(AN74="",SUM(AN41:AN66),AN74)+SUM(AO41:AO66))*Variables!$B$55))</f>
        <v/>
      </c>
      <c r="AP67" s="906"/>
      <c r="AQ67" s="906"/>
      <c r="AR67" s="907" t="str">
        <f>IF(OR(Variables!AQ23="Close",Variables!AQ23="PIS"),0,IF(Variables!AQ23="","",(IF(AP74="",SUM(AP41:AP66),AP74)+IF(AQ74="",SUM(AQ41:AQ66),AQ74)+SUM(AR41:AR66))*Variables!$B$55))</f>
        <v/>
      </c>
      <c r="AS67" s="906"/>
      <c r="AT67" s="906"/>
      <c r="AU67" s="907" t="str">
        <f>IF(OR(Variables!AT23="Close",Variables!AT23="PIS"),0,IF(Variables!AT23="","",(IF(AS74="",SUM(AS41:AS66),AS74)+IF(AT74="",SUM(AT41:AT66),AT74)+SUM(AU41:AU66))*Variables!$B$55))</f>
        <v/>
      </c>
      <c r="AV67" s="906"/>
      <c r="AW67" s="906"/>
      <c r="AX67" s="907" t="str">
        <f>IF(OR(Variables!AW23="Close",Variables!AW23="PIS"),0,IF(Variables!AW23="","",(IF(AV74="",SUM(AV41:AV66),AV74)+IF(AW74="",SUM(AW41:AW66),AW74)+SUM(AX41:AX66))*Variables!$B$55))</f>
        <v/>
      </c>
      <c r="AY67" s="906"/>
      <c r="AZ67" s="906"/>
      <c r="BA67" s="907" t="str">
        <f>IF(OR(Variables!AZ23="Close",Variables!AZ23="PIS"),0,IF(Variables!AZ23="","",(IF(AY74="",SUM(AY41:AY66),AY74)+IF(AZ74="",SUM(AZ41:AZ66),AZ74)+SUM(BA41:BA66))*Variables!$B$55))</f>
        <v/>
      </c>
      <c r="BB67" s="906"/>
      <c r="BC67" s="906"/>
      <c r="BD67" s="907" t="str">
        <f>IF(OR(Variables!BC23="Close",Variables!BC23="PIS"),0,IF(Variables!BC23="","",(IF(BB74="",SUM(BB41:BB66),BB74)+IF(BC74="",SUM(BC41:BC66),BC74)+SUM(BD41:BD66))*Variables!$B$55))</f>
        <v/>
      </c>
      <c r="BE67" s="906"/>
      <c r="BF67" s="906"/>
      <c r="BG67" s="907" t="str">
        <f>IF(OR(Variables!BF23="Close",Variables!BF23="PIS"),0,IF(Variables!BF23="","",(IF(BE74="",SUM(BE41:BE66),BE74)+IF(BF74="",SUM(BF41:BF66),BF74)+SUM(BG41:BG66))*Variables!$B$55))</f>
        <v/>
      </c>
      <c r="BH67" s="906"/>
      <c r="BI67" s="906"/>
      <c r="BJ67" s="907" t="str">
        <f>IF(OR(Variables!BI23="Close",Variables!BI23="PIS"),0,IF(Variables!BI23="","",(IF(BH74="",SUM(BH41:BH66),BH74)+IF(BI74="",SUM(BI41:BI66),BI74)+SUM(BJ41:BJ66))*Variables!$B$55))</f>
        <v/>
      </c>
      <c r="BK67" s="906"/>
      <c r="BL67" s="906"/>
      <c r="BM67" s="907" t="str">
        <f>IF(OR(Variables!BL23="Close",Variables!BL23="PIS"),0,IF(Variables!BL23="","",(IF(BK74="",SUM(BK41:BK66),BK74)+IF(BL74="",SUM(BL41:BL66),BL74)+SUM(BM41:BM66))*Variables!$B$55))</f>
        <v/>
      </c>
      <c r="BN67" s="906"/>
      <c r="BO67" s="906"/>
      <c r="BP67" s="907" t="str">
        <f>IF(OR(Variables!BO23="Close",Variables!BO23="PIS"),0,IF(Variables!BO23="","",(IF(BN74="",SUM(BN41:BN66),BN74)+IF(BO74="",SUM(BO41:BO66),BO74)+SUM(BP41:BP66))*Variables!$B$55))</f>
        <v/>
      </c>
      <c r="BQ67" s="906"/>
      <c r="BR67" s="906"/>
      <c r="BS67" s="907" t="str">
        <f>IF(OR(Variables!BR23="Close",Variables!BR23="PIS"),0,IF(Variables!BR23="","",(IF(BQ74="",SUM(BQ41:BQ66),BQ74)+IF(BR74="",SUM(BR41:BR66),BR74)+SUM(BS41:BS66))*Variables!$B$55))</f>
        <v/>
      </c>
      <c r="BT67" s="906"/>
      <c r="BU67" s="906"/>
      <c r="BV67" s="907" t="str">
        <f>IF(OR(Variables!BU23="Close",Variables!BU23="PIS"),0,IF(Variables!BU23="","",(IF(BT74="",SUM(BT41:BT66),BT74)+IF(BU74="",SUM(BU41:BU66),BU74)+SUM(BV41:BV66))*Variables!$B$55))</f>
        <v/>
      </c>
      <c r="BW67" s="893">
        <f t="shared" si="6"/>
        <v>0</v>
      </c>
      <c r="BX67" s="905">
        <f>SUM(SUMIFS(C67:N67,$C$2:$N$2,{"Dev","Impl"},$C$74:$N$74,""))</f>
        <v>0</v>
      </c>
      <c r="BY67" s="905">
        <f>SUM(SUMIFS(O67:Z67,$O$2:$Z$2,{"Dev","Impl"},$O$74:$Z$74,""))</f>
        <v>0</v>
      </c>
      <c r="BZ67" s="905">
        <f>SUM(SUMIFS(AA67:AL67,$AA$2:$AL$2,{"Dev","Impl"},$AA$74:$AL$74,""))</f>
        <v>0</v>
      </c>
      <c r="CA67" s="905">
        <f>SUM(SUMIFS(AM67:AX67,$AM$2:$AX$2,{"Dev","Impl"},$AM$74:$AX$74,""))</f>
        <v>0</v>
      </c>
      <c r="CB67" s="905">
        <f>SUM(SUMIFS(AY67:BJ67,$AY$2:$BJ$2,{"Dev","Impl"},$AY$74:$BJ$74,""))</f>
        <v>0</v>
      </c>
      <c r="CC67" s="905">
        <f>SUM(SUMIFS(BK67:BV67,$BK$2:$BV$2,{"Dev","Impl"},$BK$74:$BV$74,""))</f>
        <v>0</v>
      </c>
    </row>
    <row r="68" spans="1:89" s="4" customFormat="1">
      <c r="A68" s="6" t="s">
        <v>167</v>
      </c>
      <c r="B68" s="108"/>
      <c r="C68" s="925" t="str">
        <f>IFERROR(SUM(C41:C66)*VLOOKUP(C3,Variables!$A$64:$B$74,2,0),"")</f>
        <v/>
      </c>
      <c r="D68" s="925" t="str">
        <f>IFERROR(SUM(D41:D66)*VLOOKUP(D3,Variables!$A$64:$B$74,2,0),"")</f>
        <v/>
      </c>
      <c r="E68" s="925">
        <f>IFERROR(SUM(E41:E66)*VLOOKUP(E3,Variables!$A$64:$B$74,2,0),"")</f>
        <v>0</v>
      </c>
      <c r="F68" s="925">
        <f>IFERROR(SUM(F41:F66)*VLOOKUP(F3,Variables!$A$64:$B$74,2,0),"")</f>
        <v>2440</v>
      </c>
      <c r="G68" s="925">
        <f>IFERROR(SUM(G41:G66)*VLOOKUP(G3,Variables!$A$64:$B$74,2,0),"")</f>
        <v>2440</v>
      </c>
      <c r="H68" s="925">
        <f>IFERROR(SUM(H41:H66)*VLOOKUP(H3,Variables!$A$64:$B$74,2,0),"")</f>
        <v>2440</v>
      </c>
      <c r="I68" s="925">
        <f>IFERROR(SUM(I41:I66)*VLOOKUP(I3,Variables!$A$64:$B$74,2,0),"")</f>
        <v>2440</v>
      </c>
      <c r="J68" s="925">
        <f>IFERROR(SUM(J41:J66)*VLOOKUP(J3,Variables!$A$64:$B$74,2,0),"")</f>
        <v>0</v>
      </c>
      <c r="K68" s="925">
        <f>IFERROR(SUM(K41:K66)*VLOOKUP(K3,Variables!$A$64:$B$74,2,0),"")</f>
        <v>0</v>
      </c>
      <c r="L68" s="925">
        <f>IFERROR(SUM(L41:L66)*VLOOKUP(L3,Variables!$A$64:$B$74,2,0),"")</f>
        <v>0</v>
      </c>
      <c r="M68" s="925">
        <f>IFERROR(SUM(M41:M66)*VLOOKUP(M3,Variables!$A$64:$B$74,2,0),"")</f>
        <v>0</v>
      </c>
      <c r="N68" s="925">
        <f>IFERROR(SUM(N41:N66)*VLOOKUP(N3,Variables!$A$64:$B$74,2,0),"")</f>
        <v>0</v>
      </c>
      <c r="O68" s="909">
        <f>IFERROR(SUM(O41:O66)*VLOOKUP(O3,Variables!$A$64:$B$74,2,0),"")</f>
        <v>0</v>
      </c>
      <c r="P68" s="925">
        <f>IFERROR(SUM(P41:P66)*VLOOKUP(P3,Variables!$A$64:$B$74,2,0),"")</f>
        <v>0</v>
      </c>
      <c r="Q68" s="925" t="str">
        <f>IFERROR(SUM(Q41:Q66)*VLOOKUP(Q3,Variables!$A$64:$B$74,2,0),"")</f>
        <v/>
      </c>
      <c r="R68" s="925" t="str">
        <f>IFERROR(SUM(R41:R66)*VLOOKUP(R3,Variables!$A$64:$B$74,2,0),"")</f>
        <v/>
      </c>
      <c r="S68" s="925" t="str">
        <f>IFERROR(SUM(S41:S66)*VLOOKUP(S3,Variables!$A$64:$B$74,2,0),"")</f>
        <v/>
      </c>
      <c r="T68" s="925" t="str">
        <f>IFERROR(SUM(T41:T66)*VLOOKUP(T3,Variables!$A$64:$B$74,2,0),"")</f>
        <v/>
      </c>
      <c r="U68" s="925" t="str">
        <f>IFERROR(SUM(U41:U66)*VLOOKUP(U3,Variables!$A$64:$B$74,2,0),"")</f>
        <v/>
      </c>
      <c r="V68" s="925" t="str">
        <f>IFERROR(SUM(V41:V66)*VLOOKUP(V3,Variables!$A$64:$B$74,2,0),"")</f>
        <v/>
      </c>
      <c r="W68" s="925" t="str">
        <f>IFERROR(SUM(W41:W66)*VLOOKUP(W3,Variables!$A$64:$B$74,2,0),"")</f>
        <v/>
      </c>
      <c r="X68" s="925" t="str">
        <f>IFERROR(SUM(X41:X66)*VLOOKUP(X3,Variables!$A$64:$B$74,2,0),"")</f>
        <v/>
      </c>
      <c r="Y68" s="925" t="str">
        <f>IFERROR(SUM(Y41:Y66)*VLOOKUP(Y3,Variables!$A$64:$B$74,2,0),"")</f>
        <v/>
      </c>
      <c r="Z68" s="910" t="str">
        <f>IFERROR(SUM(Z41:Z66)*VLOOKUP(Z3,Variables!$A$64:$B$74,2,0),"")</f>
        <v/>
      </c>
      <c r="AA68" s="909" t="str">
        <f>IFERROR(SUM(AA41:AA66)*VLOOKUP(AA3,Variables!$A$64:$B$74,2,0),"")</f>
        <v/>
      </c>
      <c r="AB68" s="925" t="str">
        <f>IFERROR(SUM(AB41:AB66)*VLOOKUP(AB3,Variables!$A$64:$B$74,2,0),"")</f>
        <v/>
      </c>
      <c r="AC68" s="925" t="str">
        <f>IFERROR(SUM(AC41:AC66)*VLOOKUP(AC3,Variables!$A$64:$B$74,2,0),"")</f>
        <v/>
      </c>
      <c r="AD68" s="925" t="str">
        <f>IFERROR(SUM(AD41:AD66)*VLOOKUP(AD3,Variables!$A$64:$B$74,2,0),"")</f>
        <v/>
      </c>
      <c r="AE68" s="925" t="str">
        <f>IFERROR(SUM(AE41:AE66)*VLOOKUP(AE3,Variables!$A$64:$B$74,2,0),"")</f>
        <v/>
      </c>
      <c r="AF68" s="925" t="str">
        <f>IFERROR(SUM(AF41:AF66)*VLOOKUP(AF3,Variables!$A$64:$B$74,2,0),"")</f>
        <v/>
      </c>
      <c r="AG68" s="925" t="str">
        <f>IFERROR(SUM(AG41:AG66)*VLOOKUP(AG3,Variables!$A$64:$B$74,2,0),"")</f>
        <v/>
      </c>
      <c r="AH68" s="925" t="str">
        <f>IFERROR(SUM(AH41:AH66)*VLOOKUP(AH3,Variables!$A$64:$B$74,2,0),"")</f>
        <v/>
      </c>
      <c r="AI68" s="925" t="str">
        <f>IFERROR(SUM(AI41:AI66)*VLOOKUP(AI3,Variables!$A$64:$B$74,2,0),"")</f>
        <v/>
      </c>
      <c r="AJ68" s="925" t="str">
        <f>IFERROR(SUM(AJ41:AJ66)*VLOOKUP(AJ3,Variables!$A$64:$B$74,2,0),"")</f>
        <v/>
      </c>
      <c r="AK68" s="925" t="str">
        <f>IFERROR(SUM(AK41:AK66)*VLOOKUP(AK3,Variables!$A$64:$B$74,2,0),"")</f>
        <v/>
      </c>
      <c r="AL68" s="910" t="str">
        <f>IFERROR(SUM(AL41:AL66)*VLOOKUP(AL3,Variables!$A$64:$B$74,2,0),"")</f>
        <v/>
      </c>
      <c r="AM68" s="909" t="str">
        <f>IFERROR(SUM(AM41:AM66)*VLOOKUP(AM3,Variables!$A$64:$B$74,2,0),"")</f>
        <v/>
      </c>
      <c r="AN68" s="925" t="str">
        <f>IFERROR(SUM(AN41:AN66)*VLOOKUP(AN3,Variables!$A$64:$B$74,2,0),"")</f>
        <v/>
      </c>
      <c r="AO68" s="925" t="str">
        <f>IFERROR(SUM(AO41:AO66)*VLOOKUP(AO3,Variables!$A$64:$B$74,2,0),"")</f>
        <v/>
      </c>
      <c r="AP68" s="925" t="str">
        <f>IFERROR(SUM(AP41:AP66)*VLOOKUP(AP3,Variables!$A$64:$B$74,2,0),"")</f>
        <v/>
      </c>
      <c r="AQ68" s="925" t="str">
        <f>IFERROR(SUM(AQ41:AQ66)*VLOOKUP(AQ3,Variables!$A$64:$B$74,2,0),"")</f>
        <v/>
      </c>
      <c r="AR68" s="925" t="str">
        <f>IFERROR(SUM(AR41:AR66)*VLOOKUP(AR3,Variables!$A$64:$B$74,2,0),"")</f>
        <v/>
      </c>
      <c r="AS68" s="925" t="str">
        <f>IFERROR(SUM(AS41:AS66)*VLOOKUP(AS3,Variables!$A$64:$B$74,2,0),"")</f>
        <v/>
      </c>
      <c r="AT68" s="925" t="str">
        <f>IFERROR(SUM(AT41:AT66)*VLOOKUP(AT3,Variables!$A$64:$B$74,2,0),"")</f>
        <v/>
      </c>
      <c r="AU68" s="925" t="str">
        <f>IFERROR(SUM(AU41:AU66)*VLOOKUP(AU3,Variables!$A$64:$B$74,2,0),"")</f>
        <v/>
      </c>
      <c r="AV68" s="925" t="str">
        <f>IFERROR(SUM(AV41:AV66)*VLOOKUP(AV3,Variables!$A$64:$B$74,2,0),"")</f>
        <v/>
      </c>
      <c r="AW68" s="925" t="str">
        <f>IFERROR(SUM(AW41:AW66)*VLOOKUP(AW3,Variables!$A$64:$B$74,2,0),"")</f>
        <v/>
      </c>
      <c r="AX68" s="910" t="str">
        <f>IFERROR(SUM(AX41:AX66)*VLOOKUP(AX3,Variables!$A$64:$B$74,2,0),"")</f>
        <v/>
      </c>
      <c r="AY68" s="909" t="str">
        <f>IFERROR(SUM(AY41:AY66)*VLOOKUP(AY3,Variables!$A$64:$B$74,2,0),"")</f>
        <v/>
      </c>
      <c r="AZ68" s="925" t="str">
        <f>IFERROR(SUM(AZ41:AZ66)*VLOOKUP(AZ3,Variables!$A$64:$B$74,2,0),"")</f>
        <v/>
      </c>
      <c r="BA68" s="925" t="str">
        <f>IFERROR(SUM(BA41:BA66)*VLOOKUP(BA3,Variables!$A$64:$B$74,2,0),"")</f>
        <v/>
      </c>
      <c r="BB68" s="925" t="str">
        <f>IFERROR(SUM(BB41:BB66)*VLOOKUP(BB3,Variables!$A$64:$B$74,2,0),"")</f>
        <v/>
      </c>
      <c r="BC68" s="925" t="str">
        <f>IFERROR(SUM(BC41:BC66)*VLOOKUP(BC3,Variables!$A$64:$B$74,2,0),"")</f>
        <v/>
      </c>
      <c r="BD68" s="925" t="str">
        <f>IFERROR(SUM(BD41:BD66)*VLOOKUP(BD3,Variables!$A$64:$B$74,2,0),"")</f>
        <v/>
      </c>
      <c r="BE68" s="925" t="str">
        <f>IFERROR(SUM(BE41:BE66)*VLOOKUP(BE3,Variables!$A$64:$B$74,2,0),"")</f>
        <v/>
      </c>
      <c r="BF68" s="925" t="str">
        <f>IFERROR(SUM(BF41:BF66)*VLOOKUP(BF3,Variables!$A$64:$B$74,2,0),"")</f>
        <v/>
      </c>
      <c r="BG68" s="925" t="str">
        <f>IFERROR(SUM(BG41:BG66)*VLOOKUP(BG3,Variables!$A$64:$B$74,2,0),"")</f>
        <v/>
      </c>
      <c r="BH68" s="925" t="str">
        <f>IFERROR(SUM(BH41:BH66)*VLOOKUP(BH3,Variables!$A$64:$B$74,2,0),"")</f>
        <v/>
      </c>
      <c r="BI68" s="925" t="str">
        <f>IFERROR(SUM(BI41:BI66)*VLOOKUP(BI3,Variables!$A$64:$B$74,2,0),"")</f>
        <v/>
      </c>
      <c r="BJ68" s="910" t="str">
        <f>IFERROR(SUM(BJ41:BJ66)*VLOOKUP(BJ3,Variables!$A$64:$B$74,2,0),"")</f>
        <v/>
      </c>
      <c r="BK68" s="909" t="str">
        <f>IFERROR(SUM(BK41:BK66)*VLOOKUP(BK3,Variables!$A$64:$B$74,2,0),"")</f>
        <v/>
      </c>
      <c r="BL68" s="925" t="str">
        <f>IFERROR(SUM(BL41:BL66)*VLOOKUP(BL3,Variables!$A$64:$B$74,2,0),"")</f>
        <v/>
      </c>
      <c r="BM68" s="925" t="str">
        <f>IFERROR(SUM(BM41:BM66)*VLOOKUP(BM3,Variables!$A$64:$B$74,2,0),"")</f>
        <v/>
      </c>
      <c r="BN68" s="925" t="str">
        <f>IFERROR(SUM(BN41:BN66)*VLOOKUP(BN3,Variables!$A$64:$B$74,2,0),"")</f>
        <v/>
      </c>
      <c r="BO68" s="925" t="str">
        <f>IFERROR(SUM(BO41:BO66)*VLOOKUP(BO3,Variables!$A$64:$B$74,2,0),"")</f>
        <v/>
      </c>
      <c r="BP68" s="925" t="str">
        <f>IFERROR(SUM(BP41:BP66)*VLOOKUP(BP3,Variables!$A$64:$B$74,2,0),"")</f>
        <v/>
      </c>
      <c r="BQ68" s="925" t="str">
        <f>IFERROR(SUM(BQ41:BQ66)*VLOOKUP(BQ3,Variables!$A$64:$B$74,2,0),"")</f>
        <v/>
      </c>
      <c r="BR68" s="925" t="str">
        <f>IFERROR(SUM(BR41:BR66)*VLOOKUP(BR3,Variables!$A$64:$B$74,2,0),"")</f>
        <v/>
      </c>
      <c r="BS68" s="925" t="str">
        <f>IFERROR(SUM(BS41:BS66)*VLOOKUP(BS3,Variables!$A$64:$B$74,2,0),"")</f>
        <v/>
      </c>
      <c r="BT68" s="925" t="str">
        <f>IFERROR(SUM(BT41:BT66)*VLOOKUP(BT3,Variables!$A$64:$B$74,2,0),"")</f>
        <v/>
      </c>
      <c r="BU68" s="925" t="str">
        <f>IFERROR(SUM(BU41:BU66)*VLOOKUP(BU3,Variables!$A$64:$B$74,2,0),"")</f>
        <v/>
      </c>
      <c r="BV68" s="913" t="str">
        <f>IFERROR(SUM(BV41:BV66)*VLOOKUP(BV3,Variables!$A$64:$B$74,2,0),"")</f>
        <v/>
      </c>
      <c r="BW68" s="893">
        <f t="shared" si="6"/>
        <v>9760</v>
      </c>
      <c r="BX68" s="914">
        <f>SUM(SUMIFS(C68:N68,$C$2:$N$2,{"Dev","Impl","PIS","Close"},$C$74:$N$74,""))</f>
        <v>2440</v>
      </c>
      <c r="BY68" s="914">
        <f>SUM(SUMIFS(O68:Z68,$O$2:$Z$2,{"Dev","Impl","PIS","Close"},$O$74:$Z$74,""))</f>
        <v>0</v>
      </c>
      <c r="BZ68" s="914">
        <f>SUM(SUMIFS(AA68:AL68,$AA$2:$AL$2,{"Dev","Impl","PIS","Close"},$AA$74:$AL$74,""))</f>
        <v>0</v>
      </c>
      <c r="CA68" s="914">
        <f>SUM(SUMIFS(AM68:AX68,$AM$2:$AX$2,{"Dev","Impl","PIS","Close"},$AM$74:$AX$74,""))</f>
        <v>0</v>
      </c>
      <c r="CB68" s="914">
        <f>SUM(SUMIFS(AY68:BJ68,$AY$2:$BJ$2,{"Dev","Impl","PIS","Close"},$AY$74:$BJ$74,""))</f>
        <v>0</v>
      </c>
      <c r="CC68" s="914">
        <f>SUM(SUMIFS(BK68:BV68,$BK$2:$BV$2,{"Dev","Impl","PIS","Close"},$BK$74:$BV$74,""))</f>
        <v>0</v>
      </c>
      <c r="CE68" s="532" t="s">
        <v>398</v>
      </c>
      <c r="CF68" s="532"/>
      <c r="CG68" s="532"/>
      <c r="CH68" s="532"/>
      <c r="CI68" s="532"/>
    </row>
    <row r="69" spans="1:89" s="4" customFormat="1">
      <c r="A69" s="6" t="s">
        <v>107</v>
      </c>
      <c r="B69" s="108"/>
      <c r="C69" s="897">
        <f>IF(SUM(C41:C68)=0,0,(SUM($B74:B74))*Variables!$B$51/12+SUM(C41:C68)*Variables!$B$51/24)</f>
        <v>0</v>
      </c>
      <c r="D69" s="897">
        <f>IF(SUM(D41:D68)=0,0,(SUM($B74:C74)+SUM($C77:C77))*Variables!$B$51/12+SUM(D41:D68)*Variables!$B$51/24)</f>
        <v>0</v>
      </c>
      <c r="E69" s="897">
        <f>IF(SUM(E41:E68)=0,0,(SUM($B74:D74)+SUM($C77:D77))*Variables!$B$51/12+SUM(E41:E68)*Variables!$B$51/24)</f>
        <v>0</v>
      </c>
      <c r="F69" s="897">
        <f>IF(SUM(F41:F68)=0,0,(SUM($B74:E74)+SUM($C77:E77))*Variables!$B$51/12+SUM(F41:F68)*Variables!$B$51/24)</f>
        <v>54.574666666666673</v>
      </c>
      <c r="G69" s="897">
        <f>IF(SUM(G41:G68)=0,0,(SUM($B74:F74)+SUM($C77:F77))*Variables!$B$51/12+SUM(G41:G68)*Variables!$B$51/24)</f>
        <v>163.94593697777779</v>
      </c>
      <c r="H69" s="897">
        <f>IF(SUM(H41:H68)=0,0,(SUM($B74:G74)+SUM($C77:G77))*Variables!$B$51/12+SUM(H41:H68)*Variables!$B$51/24)</f>
        <v>273.76198378815411</v>
      </c>
      <c r="I69" s="897">
        <f>IF(SUM(I41:I68)=0,0,(SUM($B74:H74)+SUM($C77:H77))*Variables!$B$51/12+SUM(I41:I68)*Variables!$B$51/24)</f>
        <v>384.0246158555592</v>
      </c>
      <c r="J69" s="897">
        <f>IF(SUM(J41:J68)=0,0,(SUM($B74:I74)+SUM($C77:I77))*Variables!$B$51/12+SUM(J41:J68)*Variables!$B$51/24)</f>
        <v>0</v>
      </c>
      <c r="K69" s="897">
        <f>IF(SUM(K41:K68)=0,0,(SUM($B74:J74)+SUM($C77:J77))*Variables!$B$51/12+SUM(K41:K68)*Variables!$B$51/24)</f>
        <v>0</v>
      </c>
      <c r="L69" s="897">
        <f>IF(SUM(L41:L68)=0,0,(SUM($B74:K74)+SUM($C77:K77))*Variables!$B$51/12+SUM(L41:L68)*Variables!$B$51/24)</f>
        <v>0</v>
      </c>
      <c r="M69" s="897">
        <f>IF(SUM(M41:M68)=0,0,(SUM($B74:L74)+SUM($C77:L77))*Variables!$B$51/12+SUM(M41:M68)*Variables!$B$51/24)</f>
        <v>0</v>
      </c>
      <c r="N69" s="926">
        <f>IF(SUM(N41:N68)=0,0,(SUM($B74:M74)+SUM($C77:M77))*Variables!$B$51/12+SUM(N41:N68)*Variables!$B$51/24)</f>
        <v>0</v>
      </c>
      <c r="O69" s="927">
        <f>IF(SUM(O41:O68)=0,0,(SUM($B74:N74)+SUM($C77:N77))*Variables!$B$51/12+SUM(O41:O68)*Variables!$B$51/24)</f>
        <v>0</v>
      </c>
      <c r="P69" s="897">
        <f>IF(SUM(P41:P68)=0,0,(SUM($B74:O74)+SUM($C77:O77))*Variables!$B$51/12+SUM(P41:P68)*Variables!$B$51/24)</f>
        <v>0</v>
      </c>
      <c r="Q69" s="897">
        <f>IF(SUM(Q41:Q68)=0,0,(SUM($B74:P74)+SUM($C77:P77))*Variables!$B$51/12+SUM(Q41:Q68)*Variables!$B$51/24)</f>
        <v>0</v>
      </c>
      <c r="R69" s="897">
        <f>IF(SUM(R41:R68)=0,0,(SUM($B74:Q74)+SUM($C77:Q77))*Variables!$B$51/12+SUM(R41:R68)*Variables!$B$51/24)</f>
        <v>0</v>
      </c>
      <c r="S69" s="897">
        <f>IF(SUM(S41:S68)=0,0,(SUM($B74:R74)+SUM($C77:R77))*Variables!$B$51/12+SUM(S41:S68)*Variables!$B$51/24)</f>
        <v>0</v>
      </c>
      <c r="T69" s="897">
        <f>IF(SUM(T41:T68)=0,0,(SUM($B74:S74)+SUM($C77:S77))*Variables!$B$51/12+SUM(T41:T68)*Variables!$B$51/24)</f>
        <v>0</v>
      </c>
      <c r="U69" s="897">
        <f>IF(SUM(U41:U68)=0,0,(SUM($B74:T74)+SUM($C77:T77))*Variables!$B$51/12+SUM(U41:U68)*Variables!$B$51/24)</f>
        <v>0</v>
      </c>
      <c r="V69" s="897">
        <f>IF(SUM(V41:V68)=0,0,(SUM($B74:U74)+SUM($C77:U77))*Variables!$B$51/12+SUM(V41:V68)*Variables!$B$51/24)</f>
        <v>0</v>
      </c>
      <c r="W69" s="897">
        <f>IF(SUM(W41:W68)=0,0,(SUM($B74:V74)+SUM($C77:V77))*Variables!$B$51/12+SUM(W41:W68)*Variables!$B$51/24)</f>
        <v>0</v>
      </c>
      <c r="X69" s="897">
        <f>IF(SUM(X41:X68)=0,0,(SUM($B74:W74)+SUM($C77:W77))*Variables!$B$51/12+SUM(X41:X68)*Variables!$B$51/24)</f>
        <v>0</v>
      </c>
      <c r="Y69" s="897">
        <f>IF(SUM(Y41:Y68)=0,0,(SUM($B74:X74)+SUM($C77:X77))*Variables!$B$51/12+SUM(Y41:Y68)*Variables!$B$51/24)</f>
        <v>0</v>
      </c>
      <c r="Z69" s="926">
        <f>IF(SUM(Z41:Z68)=0,0,(SUM($B74:Y74)+SUM($C77:Y77))*Variables!$B$51/12+SUM(Z41:Z68)*Variables!$B$51/24)</f>
        <v>0</v>
      </c>
      <c r="AA69" s="927">
        <f>IF(SUM(AA41:AA68)=0,0,(SUM($B74:Z74)+SUM($C77:Z77))*Variables!$B$51/12+SUM(AA41:AA68)*Variables!$B$51/24)</f>
        <v>0</v>
      </c>
      <c r="AB69" s="897">
        <f>IF(SUM(AB41:AB68)=0,0,(SUM($B74:AA74)+SUM($C77:AA77))*Variables!$B$51/12+SUM(AB41:AB68)*Variables!$B$51/24)</f>
        <v>0</v>
      </c>
      <c r="AC69" s="897">
        <f>IF(SUM(AC41:AC68)=0,0,(SUM($B74:AB74)+SUM($C77:AB77))*Variables!$B$51/12+SUM(AC41:AC68)*Variables!$B$51/24)</f>
        <v>0</v>
      </c>
      <c r="AD69" s="897">
        <f>IF(SUM(AD41:AD68)=0,0,(SUM($B74:AC74)+SUM($C77:AC77))*Variables!$B$51/12+SUM(AD41:AD68)*Variables!$B$51/24)</f>
        <v>0</v>
      </c>
      <c r="AE69" s="897">
        <f>IF(SUM(AE41:AE68)=0,0,(SUM($B74:AD74)+SUM($C77:AD77))*Variables!$B$51/12+SUM(AE41:AE68)*Variables!$B$51/24)</f>
        <v>0</v>
      </c>
      <c r="AF69" s="897">
        <f>IF(SUM(AF41:AF68)=0,0,(SUM($B74:AE74)+SUM($C77:AE77))*Variables!$B$51/12+SUM(AF41:AF68)*Variables!$B$51/24)</f>
        <v>0</v>
      </c>
      <c r="AG69" s="897">
        <f>IF(SUM(AG41:AG68)=0,0,(SUM($B74:AF74)+SUM($C77:AF77))*Variables!$B$51/12+SUM(AG41:AG68)*Variables!$B$51/24)</f>
        <v>0</v>
      </c>
      <c r="AH69" s="897">
        <f>IF(SUM(AH41:AH68)=0,0,(SUM($B74:AG74)+SUM($C77:AG77))*Variables!$B$51/12+SUM(AH41:AH68)*Variables!$B$51/24)</f>
        <v>0</v>
      </c>
      <c r="AI69" s="897">
        <f>IF(SUM(AI41:AI68)=0,0,(SUM($B74:AH74)+SUM($C77:AH77))*Variables!$B$51/12+SUM(AI41:AI68)*Variables!$B$51/24)</f>
        <v>0</v>
      </c>
      <c r="AJ69" s="897">
        <f>IF(SUM(AJ41:AJ68)=0,0,(SUM($B74:AI74)+SUM($C77:AI77))*Variables!$B$51/12+SUM(AJ41:AJ68)*Variables!$B$51/24)</f>
        <v>0</v>
      </c>
      <c r="AK69" s="897">
        <f>IF(SUM(AK41:AK68)=0,0,(SUM($B74:AJ74)+SUM($C77:AJ77))*Variables!$B$51/12+SUM(AK41:AK68)*Variables!$B$51/24)</f>
        <v>0</v>
      </c>
      <c r="AL69" s="926">
        <f>IF(SUM(AL41:AL68)=0,0,(SUM($B74:AK74)+SUM($C77:AK77))*Variables!$B$51/12+SUM(AL41:AL68)*Variables!$B$51/24)</f>
        <v>0</v>
      </c>
      <c r="AM69" s="927">
        <f>IF(SUM(AM41:AM68)=0,0,(SUM($B74:AL74)+SUM($C77:AL77))*Variables!$B$51/12+SUM(AM41:AM68)*Variables!$B$51/24)</f>
        <v>0</v>
      </c>
      <c r="AN69" s="897">
        <f>IF(SUM(AN41:AN68)=0,0,(SUM($B74:AM74)+SUM($C77:AM77))*Variables!$B$51/12+SUM(AN41:AN68)*Variables!$B$51/24)</f>
        <v>0</v>
      </c>
      <c r="AO69" s="897">
        <f>IF(SUM(AO41:AO68)=0,0,(SUM($B74:AN74)+SUM($C77:AN77))*Variables!$B$51/12+SUM(AO41:AO68)*Variables!$B$51/24)</f>
        <v>0</v>
      </c>
      <c r="AP69" s="897">
        <f>IF(SUM(AP41:AP68)=0,0,(SUM($B74:AO74)+SUM($C77:AO77))*Variables!$B$51/12+SUM(AP41:AP68)*Variables!$B$51/24)</f>
        <v>0</v>
      </c>
      <c r="AQ69" s="897">
        <f>IF(SUM(AQ41:AQ68)=0,0,(SUM($B74:AP74)+SUM($C77:AP77))*Variables!$B$51/12+SUM(AQ41:AQ68)*Variables!$B$51/24)</f>
        <v>0</v>
      </c>
      <c r="AR69" s="897">
        <f>IF(SUM(AR41:AR68)=0,0,(SUM($B74:AQ74)+SUM($C77:AQ77))*Variables!$B$51/12+SUM(AR41:AR68)*Variables!$B$51/24)</f>
        <v>0</v>
      </c>
      <c r="AS69" s="897">
        <f>IF(SUM(AS41:AS68)=0,0,(SUM($B74:AR74)+SUM($C77:AR77))*Variables!$B$51/12+SUM(AS41:AS68)*Variables!$B$51/24)</f>
        <v>0</v>
      </c>
      <c r="AT69" s="897">
        <f>IF(SUM(AT41:AT68)=0,0,(SUM($B74:AS74)+SUM($C77:AS77))*Variables!$B$51/12+SUM(AT41:AT68)*Variables!$B$51/24)</f>
        <v>0</v>
      </c>
      <c r="AU69" s="897">
        <f>IF(SUM(AU41:AU68)=0,0,(SUM($B74:AT74)+SUM($C77:AT77))*Variables!$B$51/12+SUM(AU41:AU68)*Variables!$B$51/24)</f>
        <v>0</v>
      </c>
      <c r="AV69" s="897">
        <f>IF(SUM(AV41:AV68)=0,0,(SUM($B74:AU74)+SUM($C77:AU77))*Variables!$B$51/12+SUM(AV41:AV68)*Variables!$B$51/24)</f>
        <v>0</v>
      </c>
      <c r="AW69" s="897">
        <f>IF(SUM(AW41:AW68)=0,0,(SUM($B74:AV74)+SUM($C77:AV77))*Variables!$B$51/12+SUM(AW41:AW68)*Variables!$B$51/24)</f>
        <v>0</v>
      </c>
      <c r="AX69" s="926">
        <f>IF(SUM(AX41:AX68)=0,0,(SUM($B74:AW74)+SUM($C77:AW77))*Variables!$B$51/12+SUM(AX41:AX68)*Variables!$B$51/24)</f>
        <v>0</v>
      </c>
      <c r="AY69" s="927">
        <f>IF(SUM(AY41:AY68)=0,0,(SUM($B74:AX74)+SUM($C77:AX77))*Variables!$B$51/12+SUM(AY41:AY68)*Variables!$B$51/24)</f>
        <v>0</v>
      </c>
      <c r="AZ69" s="897">
        <f>IF(SUM(AZ41:AZ68)=0,0,(SUM($B74:AY74)+SUM($C77:AY77))*Variables!$B$51/12+SUM(AZ41:AZ68)*Variables!$B$51/24)</f>
        <v>0</v>
      </c>
      <c r="BA69" s="897">
        <f>IF(SUM(BA41:BA68)=0,0,(SUM($B74:AZ74)+SUM($C77:AZ77))*Variables!$B$51/12+SUM(BA41:BA68)*Variables!$B$51/24)</f>
        <v>0</v>
      </c>
      <c r="BB69" s="897">
        <f>IF(SUM(BB41:BB68)=0,0,(SUM($B74:BA74)+SUM($C77:BA77))*Variables!$B$51/12+SUM(BB41:BB68)*Variables!$B$51/24)</f>
        <v>0</v>
      </c>
      <c r="BC69" s="897">
        <f>IF(SUM(BC41:BC68)=0,0,(SUM($B74:BB74)+SUM($C77:BB77))*Variables!$B$51/12+SUM(BC41:BC68)*Variables!$B$51/24)</f>
        <v>0</v>
      </c>
      <c r="BD69" s="897">
        <f>IF(SUM(BD41:BD68)=0,0,(SUM($B74:BC74)+SUM($C77:BC77))*Variables!$B$51/12+SUM(BD41:BD68)*Variables!$B$51/24)</f>
        <v>0</v>
      </c>
      <c r="BE69" s="897">
        <f>IF(SUM(BE41:BE68)=0,0,(SUM($B74:BD74)+SUM($C77:BD77))*Variables!$B$51/12+SUM(BE41:BE68)*Variables!$B$51/24)</f>
        <v>0</v>
      </c>
      <c r="BF69" s="897">
        <f>IF(SUM(BF41:BF68)=0,0,(SUM($B74:BE74)+SUM($C77:BE77))*Variables!$B$51/12+SUM(BF41:BF68)*Variables!$B$51/24)</f>
        <v>0</v>
      </c>
      <c r="BG69" s="897">
        <f>IF(SUM(BG41:BG68)=0,0,(SUM($B74:BF74)+SUM($C77:BF77))*Variables!$B$51/12+SUM(BG41:BG68)*Variables!$B$51/24)</f>
        <v>0</v>
      </c>
      <c r="BH69" s="897">
        <f>IF(SUM(BH41:BH68)=0,0,(SUM($B74:BG74)+SUM($C77:BG77))*Variables!$B$51/12+SUM(BH41:BH68)*Variables!$B$51/24)</f>
        <v>0</v>
      </c>
      <c r="BI69" s="897">
        <f>IF(SUM(BI41:BI68)=0,0,(SUM($B74:BH74)+SUM($C77:BH77))*Variables!$B$51/12+SUM(BI41:BI68)*Variables!$B$51/24)</f>
        <v>0</v>
      </c>
      <c r="BJ69" s="926">
        <f>IF(SUM(BJ41:BJ68)=0,0,(SUM($B74:BI74)+SUM($C77:BI77))*Variables!$B$51/12+SUM(BJ41:BJ68)*Variables!$B$51/24)</f>
        <v>0</v>
      </c>
      <c r="BK69" s="927">
        <f>IF(SUM(BK41:BK68)=0,0,(SUM($B74:BJ74)+SUM($C77:BJ77))*Variables!$B$51/12+SUM(BK41:BK68)*Variables!$B$51/24)</f>
        <v>0</v>
      </c>
      <c r="BL69" s="897">
        <f>IF(SUM(BL41:BL68)=0,0,(SUM($B74:BK74)+SUM($C77:BK77))*Variables!$B$51/12+SUM(BL41:BL68)*Variables!$B$51/24)</f>
        <v>0</v>
      </c>
      <c r="BM69" s="897">
        <f>IF(SUM(BM41:BM68)=0,0,(SUM($B74:BL74)+SUM($C77:BL77))*Variables!$B$51/12+SUM(BM41:BM68)*Variables!$B$51/24)</f>
        <v>0</v>
      </c>
      <c r="BN69" s="897">
        <f>IF(SUM(BN41:BN68)=0,0,(SUM($B74:BM74)+SUM($C77:BM77))*Variables!$B$51/12+SUM(BN41:BN68)*Variables!$B$51/24)</f>
        <v>0</v>
      </c>
      <c r="BO69" s="897">
        <f>IF(SUM(BO41:BO68)=0,0,(SUM($B74:BN74)+SUM($C77:BN77))*Variables!$B$51/12+SUM(BO41:BO68)*Variables!$B$51/24)</f>
        <v>0</v>
      </c>
      <c r="BP69" s="897">
        <f>IF(SUM(BP41:BP68)=0,0,(SUM($B74:BO74)+SUM($C77:BO77))*Variables!$B$51/12+SUM(BP41:BP68)*Variables!$B$51/24)</f>
        <v>0</v>
      </c>
      <c r="BQ69" s="897">
        <f>IF(SUM(BQ41:BQ68)=0,0,(SUM($B74:BP74)+SUM($C77:BP77))*Variables!$B$51/12+SUM(BQ41:BQ68)*Variables!$B$51/24)</f>
        <v>0</v>
      </c>
      <c r="BR69" s="897">
        <f>IF(SUM(BR41:BR68)=0,0,(SUM($B74:BQ74)+SUM($C77:BQ77))*Variables!$B$51/12+SUM(BR41:BR68)*Variables!$B$51/24)</f>
        <v>0</v>
      </c>
      <c r="BS69" s="897">
        <f>IF(SUM(BS41:BS68)=0,0,(SUM($B74:BR74)+SUM($C77:BR77))*Variables!$B$51/12+SUM(BS41:BS68)*Variables!$B$51/24)</f>
        <v>0</v>
      </c>
      <c r="BT69" s="897">
        <f>IF(SUM(BT41:BT68)=0,0,(SUM($B74:BS74)+SUM($C77:BS77))*Variables!$B$51/12+SUM(BT41:BT68)*Variables!$B$51/24)</f>
        <v>0</v>
      </c>
      <c r="BU69" s="897">
        <f>IF(SUM(BU41:BU68)=0,0,(SUM($B74:BT74)+SUM($C77:BT77))*Variables!$B$51/12+SUM(BU41:BU68)*Variables!$B$51/24)</f>
        <v>0</v>
      </c>
      <c r="BV69" s="926">
        <f>IF(SUM(BV41:BV68)=0,0,(SUM($B74:BU74)+SUM($C77:BU77))*Variables!$B$51/12+SUM(BV41:BV68)*Variables!$B$51/24)</f>
        <v>0</v>
      </c>
      <c r="BW69" s="893">
        <f t="shared" si="6"/>
        <v>876.30720328815778</v>
      </c>
      <c r="BX69" s="928">
        <f>SUM(SUMIFS(C69:N69,$C$2:$N$2,{"Dev","Impl","PIS","Close"},$C$74:$N$74,""))</f>
        <v>384.0246158555592</v>
      </c>
      <c r="BY69" s="928">
        <f>SUM(SUMIFS(O69:Z69,$O$2:$Z$2,{"Dev","Impl","PIS","Close"},$O$74:$Z$74,""))</f>
        <v>0</v>
      </c>
      <c r="BZ69" s="928">
        <f>SUM(SUMIFS(AA69:AL69,$AA$2:$AL$2,{"Dev","Impl","PIS","Close"},$AA$74:$AL$74,""))</f>
        <v>0</v>
      </c>
      <c r="CA69" s="928">
        <f>SUM(SUMIFS(AM69:AX69,$AM$2:$AX$2,{"Dev","Impl","PIS","Close"},$AM$74:$AX$74,""))</f>
        <v>0</v>
      </c>
      <c r="CB69" s="928">
        <f>SUM(SUMIFS(AY69:BJ69,$AY$2:$BJ$2,{"Dev","Impl","PIS","Close"},$AY$74:$BJ$74,""))</f>
        <v>0</v>
      </c>
      <c r="CC69" s="928">
        <f>SUM(SUMIFS(BK69:BV69,$BK$2:$BV$2,{"Dev","Impl","PIS","Close"},$BK$74:$BV$74,""))</f>
        <v>0</v>
      </c>
      <c r="CE69" s="533" t="s">
        <v>408</v>
      </c>
      <c r="CF69" s="533"/>
      <c r="CG69" s="533"/>
      <c r="CH69" s="533"/>
      <c r="CI69" s="533"/>
    </row>
    <row r="70" spans="1:89" s="1" customFormat="1" ht="15" thickBot="1">
      <c r="A70" s="15" t="s">
        <v>40</v>
      </c>
      <c r="B70" s="111"/>
      <c r="C70" s="929">
        <f t="shared" ref="C70:AH70" si="7">SUM(C41:C69)</f>
        <v>0</v>
      </c>
      <c r="D70" s="930">
        <f t="shared" si="7"/>
        <v>0</v>
      </c>
      <c r="E70" s="930">
        <f t="shared" si="7"/>
        <v>0</v>
      </c>
      <c r="F70" s="930">
        <f t="shared" si="7"/>
        <v>26894.574666666667</v>
      </c>
      <c r="G70" s="930">
        <f t="shared" si="7"/>
        <v>27003.945936977776</v>
      </c>
      <c r="H70" s="930">
        <f t="shared" si="7"/>
        <v>27113.761983788154</v>
      </c>
      <c r="I70" s="930">
        <f t="shared" si="7"/>
        <v>27224.02461585556</v>
      </c>
      <c r="J70" s="930">
        <f t="shared" si="7"/>
        <v>0</v>
      </c>
      <c r="K70" s="930">
        <f t="shared" si="7"/>
        <v>0</v>
      </c>
      <c r="L70" s="930">
        <f t="shared" si="7"/>
        <v>0</v>
      </c>
      <c r="M70" s="930">
        <f t="shared" si="7"/>
        <v>0</v>
      </c>
      <c r="N70" s="931">
        <f t="shared" si="7"/>
        <v>0</v>
      </c>
      <c r="O70" s="932">
        <f t="shared" si="7"/>
        <v>0</v>
      </c>
      <c r="P70" s="930">
        <f t="shared" si="7"/>
        <v>0</v>
      </c>
      <c r="Q70" s="930">
        <f t="shared" si="7"/>
        <v>0</v>
      </c>
      <c r="R70" s="930">
        <f t="shared" si="7"/>
        <v>0</v>
      </c>
      <c r="S70" s="930">
        <f t="shared" si="7"/>
        <v>0</v>
      </c>
      <c r="T70" s="930">
        <f t="shared" si="7"/>
        <v>0</v>
      </c>
      <c r="U70" s="930">
        <f t="shared" si="7"/>
        <v>0</v>
      </c>
      <c r="V70" s="930">
        <f t="shared" si="7"/>
        <v>0</v>
      </c>
      <c r="W70" s="930">
        <f t="shared" si="7"/>
        <v>0</v>
      </c>
      <c r="X70" s="930">
        <f t="shared" si="7"/>
        <v>0</v>
      </c>
      <c r="Y70" s="930">
        <f t="shared" si="7"/>
        <v>0</v>
      </c>
      <c r="Z70" s="931">
        <f t="shared" si="7"/>
        <v>0</v>
      </c>
      <c r="AA70" s="929">
        <f t="shared" si="7"/>
        <v>0</v>
      </c>
      <c r="AB70" s="930">
        <f t="shared" si="7"/>
        <v>0</v>
      </c>
      <c r="AC70" s="930">
        <f t="shared" si="7"/>
        <v>0</v>
      </c>
      <c r="AD70" s="930">
        <f t="shared" si="7"/>
        <v>0</v>
      </c>
      <c r="AE70" s="930">
        <f t="shared" si="7"/>
        <v>0</v>
      </c>
      <c r="AF70" s="930">
        <f t="shared" si="7"/>
        <v>0</v>
      </c>
      <c r="AG70" s="930">
        <f t="shared" si="7"/>
        <v>0</v>
      </c>
      <c r="AH70" s="930">
        <f t="shared" si="7"/>
        <v>0</v>
      </c>
      <c r="AI70" s="930">
        <f t="shared" ref="AI70:BN70" si="8">SUM(AI41:AI69)</f>
        <v>0</v>
      </c>
      <c r="AJ70" s="930">
        <f t="shared" si="8"/>
        <v>0</v>
      </c>
      <c r="AK70" s="930">
        <f t="shared" si="8"/>
        <v>0</v>
      </c>
      <c r="AL70" s="933">
        <f t="shared" si="8"/>
        <v>0</v>
      </c>
      <c r="AM70" s="932">
        <f t="shared" si="8"/>
        <v>0</v>
      </c>
      <c r="AN70" s="930">
        <f t="shared" si="8"/>
        <v>0</v>
      </c>
      <c r="AO70" s="930">
        <f t="shared" si="8"/>
        <v>0</v>
      </c>
      <c r="AP70" s="930">
        <f t="shared" si="8"/>
        <v>0</v>
      </c>
      <c r="AQ70" s="930">
        <f t="shared" si="8"/>
        <v>0</v>
      </c>
      <c r="AR70" s="930">
        <f t="shared" si="8"/>
        <v>0</v>
      </c>
      <c r="AS70" s="930">
        <f t="shared" si="8"/>
        <v>0</v>
      </c>
      <c r="AT70" s="930">
        <f t="shared" si="8"/>
        <v>0</v>
      </c>
      <c r="AU70" s="930">
        <f t="shared" si="8"/>
        <v>0</v>
      </c>
      <c r="AV70" s="930">
        <f t="shared" si="8"/>
        <v>0</v>
      </c>
      <c r="AW70" s="930">
        <f t="shared" si="8"/>
        <v>0</v>
      </c>
      <c r="AX70" s="933">
        <f t="shared" si="8"/>
        <v>0</v>
      </c>
      <c r="AY70" s="932">
        <f t="shared" si="8"/>
        <v>0</v>
      </c>
      <c r="AZ70" s="930">
        <f t="shared" si="8"/>
        <v>0</v>
      </c>
      <c r="BA70" s="930">
        <f t="shared" si="8"/>
        <v>0</v>
      </c>
      <c r="BB70" s="930">
        <f t="shared" si="8"/>
        <v>0</v>
      </c>
      <c r="BC70" s="930">
        <f t="shared" si="8"/>
        <v>0</v>
      </c>
      <c r="BD70" s="930">
        <f t="shared" si="8"/>
        <v>0</v>
      </c>
      <c r="BE70" s="930">
        <f t="shared" si="8"/>
        <v>0</v>
      </c>
      <c r="BF70" s="930">
        <f t="shared" si="8"/>
        <v>0</v>
      </c>
      <c r="BG70" s="930">
        <f t="shared" si="8"/>
        <v>0</v>
      </c>
      <c r="BH70" s="930">
        <f t="shared" si="8"/>
        <v>0</v>
      </c>
      <c r="BI70" s="930">
        <f t="shared" si="8"/>
        <v>0</v>
      </c>
      <c r="BJ70" s="933">
        <f t="shared" si="8"/>
        <v>0</v>
      </c>
      <c r="BK70" s="932">
        <f t="shared" si="8"/>
        <v>0</v>
      </c>
      <c r="BL70" s="930">
        <f t="shared" si="8"/>
        <v>0</v>
      </c>
      <c r="BM70" s="930">
        <f t="shared" si="8"/>
        <v>0</v>
      </c>
      <c r="BN70" s="930">
        <f t="shared" si="8"/>
        <v>0</v>
      </c>
      <c r="BO70" s="930">
        <f t="shared" ref="BO70:BV70" si="9">SUM(BO41:BO69)</f>
        <v>0</v>
      </c>
      <c r="BP70" s="930">
        <f t="shared" si="9"/>
        <v>0</v>
      </c>
      <c r="BQ70" s="930">
        <f t="shared" si="9"/>
        <v>0</v>
      </c>
      <c r="BR70" s="930">
        <f t="shared" si="9"/>
        <v>0</v>
      </c>
      <c r="BS70" s="930">
        <f t="shared" si="9"/>
        <v>0</v>
      </c>
      <c r="BT70" s="930">
        <f t="shared" si="9"/>
        <v>0</v>
      </c>
      <c r="BU70" s="930">
        <f t="shared" si="9"/>
        <v>0</v>
      </c>
      <c r="BV70" s="933">
        <f t="shared" si="9"/>
        <v>0</v>
      </c>
      <c r="BW70" s="934"/>
      <c r="BX70" s="934"/>
      <c r="BY70" s="934"/>
      <c r="BZ70" s="934"/>
      <c r="CA70" s="934"/>
      <c r="CB70" s="934"/>
      <c r="CC70" s="934"/>
    </row>
    <row r="71" spans="1:89" s="1" customFormat="1" ht="15" thickBot="1">
      <c r="B71" s="120"/>
      <c r="C71" s="935"/>
      <c r="D71" s="936"/>
      <c r="E71" s="936"/>
      <c r="F71" s="936"/>
      <c r="G71" s="936"/>
      <c r="H71" s="936"/>
      <c r="I71" s="936"/>
      <c r="J71" s="936"/>
      <c r="K71" s="936"/>
      <c r="L71" s="936"/>
      <c r="M71" s="936"/>
      <c r="N71" s="936"/>
      <c r="O71" s="936"/>
      <c r="P71" s="936"/>
      <c r="Q71" s="936"/>
      <c r="R71" s="936"/>
      <c r="S71" s="936"/>
      <c r="T71" s="936"/>
      <c r="U71" s="936"/>
      <c r="V71" s="936"/>
      <c r="W71" s="936"/>
      <c r="X71" s="936"/>
      <c r="Y71" s="936"/>
      <c r="Z71" s="936"/>
      <c r="AA71" s="936"/>
      <c r="AB71" s="936"/>
      <c r="AC71" s="936"/>
      <c r="AD71" s="936"/>
      <c r="AE71" s="936"/>
      <c r="AF71" s="936"/>
      <c r="AG71" s="936"/>
      <c r="AH71" s="936"/>
      <c r="AI71" s="936"/>
      <c r="AJ71" s="936"/>
      <c r="AK71" s="936"/>
      <c r="AL71" s="936"/>
      <c r="AM71" s="936"/>
      <c r="AN71" s="936"/>
      <c r="AO71" s="936"/>
      <c r="AP71" s="936"/>
      <c r="AQ71" s="936"/>
      <c r="AR71" s="936"/>
      <c r="AS71" s="936"/>
      <c r="AT71" s="936"/>
      <c r="AU71" s="936"/>
      <c r="AV71" s="936"/>
      <c r="AW71" s="936"/>
      <c r="AX71" s="936"/>
      <c r="AY71" s="936"/>
      <c r="AZ71" s="936"/>
      <c r="BA71" s="936"/>
      <c r="BB71" s="936"/>
      <c r="BC71" s="936"/>
      <c r="BD71" s="936"/>
      <c r="BE71" s="936"/>
      <c r="BF71" s="936"/>
      <c r="BG71" s="936"/>
      <c r="BH71" s="936"/>
      <c r="BI71" s="936"/>
      <c r="BJ71" s="936"/>
      <c r="BK71" s="936"/>
      <c r="BL71" s="936"/>
      <c r="BM71" s="936"/>
      <c r="BN71" s="936"/>
      <c r="BO71" s="936"/>
      <c r="BP71" s="936"/>
      <c r="BQ71" s="936"/>
      <c r="BR71" s="936"/>
      <c r="BS71" s="936"/>
      <c r="BT71" s="936"/>
      <c r="BU71" s="936"/>
      <c r="BV71" s="936"/>
      <c r="BW71" s="934"/>
      <c r="BX71" s="934"/>
      <c r="BY71" s="934"/>
      <c r="BZ71" s="934"/>
      <c r="CA71" s="934"/>
      <c r="CB71" s="934"/>
      <c r="CC71" s="934"/>
    </row>
    <row r="72" spans="1:89" ht="18.5">
      <c r="A72" s="64" t="s">
        <v>124</v>
      </c>
      <c r="B72" s="119"/>
      <c r="C72" s="937"/>
      <c r="D72" s="938"/>
      <c r="E72" s="938"/>
      <c r="F72" s="938"/>
      <c r="G72" s="938"/>
      <c r="H72" s="938"/>
      <c r="I72" s="938"/>
      <c r="J72" s="938"/>
      <c r="K72" s="938"/>
      <c r="L72" s="938"/>
      <c r="M72" s="938"/>
      <c r="N72" s="938"/>
      <c r="O72" s="938"/>
      <c r="P72" s="938"/>
      <c r="Q72" s="938"/>
      <c r="R72" s="938"/>
      <c r="S72" s="938"/>
      <c r="T72" s="938"/>
      <c r="U72" s="938"/>
      <c r="V72" s="938"/>
      <c r="W72" s="938"/>
      <c r="X72" s="938"/>
      <c r="Y72" s="938"/>
      <c r="Z72" s="938"/>
      <c r="AA72" s="938"/>
      <c r="AB72" s="938"/>
      <c r="AC72" s="938"/>
      <c r="AD72" s="938"/>
      <c r="AE72" s="938"/>
      <c r="AF72" s="938"/>
      <c r="AG72" s="938"/>
      <c r="AH72" s="938"/>
      <c r="AI72" s="938"/>
      <c r="AJ72" s="938"/>
      <c r="AK72" s="938"/>
      <c r="AL72" s="938"/>
      <c r="AM72" s="938"/>
      <c r="AN72" s="938"/>
      <c r="AO72" s="938"/>
      <c r="AP72" s="938"/>
      <c r="AQ72" s="938"/>
      <c r="AR72" s="938"/>
      <c r="AS72" s="938"/>
      <c r="AT72" s="938"/>
      <c r="AU72" s="938"/>
      <c r="AV72" s="938"/>
      <c r="AW72" s="938"/>
      <c r="AX72" s="938"/>
      <c r="AY72" s="938"/>
      <c r="AZ72" s="938"/>
      <c r="BA72" s="938"/>
      <c r="BB72" s="938"/>
      <c r="BC72" s="938"/>
      <c r="BD72" s="938"/>
      <c r="BE72" s="938"/>
      <c r="BF72" s="938"/>
      <c r="BG72" s="938"/>
      <c r="BH72" s="938"/>
      <c r="BI72" s="938"/>
      <c r="BJ72" s="938"/>
      <c r="BK72" s="938"/>
      <c r="BL72" s="938"/>
      <c r="BM72" s="938"/>
      <c r="BN72" s="938"/>
      <c r="BO72" s="938"/>
      <c r="BP72" s="938"/>
      <c r="BQ72" s="938"/>
      <c r="BR72" s="938"/>
      <c r="BS72" s="938"/>
      <c r="BT72" s="938"/>
      <c r="BU72" s="938"/>
      <c r="BV72" s="938"/>
      <c r="BW72" s="939"/>
      <c r="BX72" s="939"/>
      <c r="BY72" s="939"/>
      <c r="BZ72" s="939"/>
      <c r="CA72" s="939"/>
      <c r="CB72" s="939"/>
      <c r="CC72" s="939"/>
    </row>
    <row r="73" spans="1:89">
      <c r="A73" s="115"/>
      <c r="B73" s="116"/>
      <c r="C73" s="937"/>
      <c r="D73" s="938"/>
      <c r="E73" s="938"/>
      <c r="F73" s="938"/>
      <c r="G73" s="938"/>
      <c r="H73" s="938"/>
      <c r="I73" s="938"/>
      <c r="J73" s="938"/>
      <c r="K73" s="938"/>
      <c r="L73" s="938"/>
      <c r="M73" s="938"/>
      <c r="N73" s="938"/>
      <c r="O73" s="938"/>
      <c r="P73" s="938"/>
      <c r="Q73" s="938"/>
      <c r="R73" s="938"/>
      <c r="S73" s="938"/>
      <c r="T73" s="938"/>
      <c r="U73" s="938"/>
      <c r="V73" s="938"/>
      <c r="W73" s="938"/>
      <c r="X73" s="938"/>
      <c r="Y73" s="938"/>
      <c r="Z73" s="938"/>
      <c r="AA73" s="938"/>
      <c r="AB73" s="938"/>
      <c r="AC73" s="938"/>
      <c r="AD73" s="938"/>
      <c r="AE73" s="938"/>
      <c r="AF73" s="938"/>
      <c r="AG73" s="938"/>
      <c r="AH73" s="938"/>
      <c r="AI73" s="938"/>
      <c r="AJ73" s="938"/>
      <c r="AK73" s="938"/>
      <c r="AL73" s="938"/>
      <c r="AM73" s="938"/>
      <c r="AN73" s="938"/>
      <c r="AO73" s="938"/>
      <c r="AP73" s="938"/>
      <c r="AQ73" s="938"/>
      <c r="AR73" s="938"/>
      <c r="AS73" s="938"/>
      <c r="AT73" s="938"/>
      <c r="AU73" s="938"/>
      <c r="AV73" s="938"/>
      <c r="AW73" s="938"/>
      <c r="AX73" s="938"/>
      <c r="AY73" s="938"/>
      <c r="AZ73" s="938"/>
      <c r="BA73" s="938"/>
      <c r="BB73" s="938"/>
      <c r="BC73" s="938"/>
      <c r="BD73" s="938"/>
      <c r="BE73" s="938"/>
      <c r="BF73" s="938"/>
      <c r="BG73" s="938"/>
      <c r="BH73" s="938"/>
      <c r="BI73" s="938"/>
      <c r="BJ73" s="938"/>
      <c r="BK73" s="938"/>
      <c r="BL73" s="938"/>
      <c r="BM73" s="938"/>
      <c r="BN73" s="938"/>
      <c r="BO73" s="938"/>
      <c r="BP73" s="938"/>
      <c r="BQ73" s="938"/>
      <c r="BR73" s="938"/>
      <c r="BS73" s="938"/>
      <c r="BT73" s="938"/>
      <c r="BU73" s="938"/>
      <c r="BV73" s="938"/>
      <c r="BW73" s="939"/>
      <c r="BX73" s="939"/>
      <c r="BY73" s="939"/>
      <c r="BZ73" s="939"/>
      <c r="CA73" s="939"/>
      <c r="CB73" s="939"/>
      <c r="CC73" s="939"/>
    </row>
    <row r="74" spans="1:89">
      <c r="A74" s="11" t="s">
        <v>43</v>
      </c>
      <c r="B74" s="1365"/>
      <c r="C74" s="940"/>
      <c r="D74" s="940"/>
      <c r="E74" s="940"/>
      <c r="F74" s="940"/>
      <c r="G74" s="940"/>
      <c r="H74" s="941"/>
      <c r="I74" s="940"/>
      <c r="J74" s="940"/>
      <c r="K74" s="940"/>
      <c r="L74" s="940"/>
      <c r="M74" s="940"/>
      <c r="N74" s="940"/>
      <c r="O74" s="940"/>
      <c r="P74" s="940"/>
      <c r="Q74" s="940"/>
      <c r="R74" s="940"/>
      <c r="S74" s="940"/>
      <c r="T74" s="940"/>
      <c r="U74" s="940"/>
      <c r="V74" s="940"/>
      <c r="W74" s="940"/>
      <c r="X74" s="940"/>
      <c r="Y74" s="940"/>
      <c r="Z74" s="940"/>
      <c r="AA74" s="940"/>
      <c r="AB74" s="940"/>
      <c r="AC74" s="940"/>
      <c r="AD74" s="940"/>
      <c r="AE74" s="940"/>
      <c r="AF74" s="940"/>
      <c r="AG74" s="940"/>
      <c r="AH74" s="940"/>
      <c r="AI74" s="940"/>
      <c r="AJ74" s="940"/>
      <c r="AK74" s="940"/>
      <c r="AL74" s="940"/>
      <c r="AM74" s="940"/>
      <c r="AN74" s="940"/>
      <c r="AO74" s="940"/>
      <c r="AP74" s="940"/>
      <c r="AQ74" s="940"/>
      <c r="AR74" s="940"/>
      <c r="AS74" s="940"/>
      <c r="AT74" s="940"/>
      <c r="AU74" s="940"/>
      <c r="AV74" s="940"/>
      <c r="AW74" s="940"/>
      <c r="AX74" s="940"/>
      <c r="AY74" s="940"/>
      <c r="AZ74" s="940"/>
      <c r="BA74" s="940"/>
      <c r="BB74" s="940"/>
      <c r="BC74" s="940"/>
      <c r="BD74" s="940"/>
      <c r="BE74" s="940"/>
      <c r="BF74" s="940"/>
      <c r="BG74" s="940"/>
      <c r="BH74" s="940"/>
      <c r="BI74" s="940"/>
      <c r="BJ74" s="940"/>
      <c r="BK74" s="940"/>
      <c r="BL74" s="940"/>
      <c r="BM74" s="940"/>
      <c r="BN74" s="940"/>
      <c r="BO74" s="940"/>
      <c r="BP74" s="940"/>
      <c r="BQ74" s="940"/>
      <c r="BR74" s="940"/>
      <c r="BS74" s="940"/>
      <c r="BT74" s="940"/>
      <c r="BU74" s="940"/>
      <c r="BV74" s="940"/>
      <c r="BW74" s="939"/>
      <c r="BX74" s="939"/>
      <c r="BY74" s="939"/>
      <c r="BZ74" s="939"/>
      <c r="CA74" s="939"/>
      <c r="CB74" s="939"/>
      <c r="CC74" s="939"/>
    </row>
    <row r="75" spans="1:89">
      <c r="A75" s="10" t="s">
        <v>42</v>
      </c>
      <c r="B75" s="1365"/>
      <c r="C75" s="942"/>
      <c r="D75" s="942"/>
      <c r="E75" s="943"/>
      <c r="F75" s="943"/>
      <c r="G75" s="943"/>
      <c r="H75" s="942"/>
      <c r="I75" s="942"/>
      <c r="J75" s="942"/>
      <c r="K75" s="942"/>
      <c r="L75" s="942"/>
      <c r="M75" s="942"/>
      <c r="N75" s="942"/>
      <c r="O75" s="942"/>
      <c r="P75" s="942"/>
      <c r="Q75" s="942"/>
      <c r="R75" s="942"/>
      <c r="S75" s="942"/>
      <c r="T75" s="942"/>
      <c r="U75" s="942"/>
      <c r="V75" s="942"/>
      <c r="W75" s="942"/>
      <c r="X75" s="942"/>
      <c r="Y75" s="942"/>
      <c r="Z75" s="942"/>
      <c r="AA75" s="942"/>
      <c r="AB75" s="942"/>
      <c r="AC75" s="942"/>
      <c r="AD75" s="942"/>
      <c r="AE75" s="942"/>
      <c r="AF75" s="942"/>
      <c r="AG75" s="942"/>
      <c r="AH75" s="942"/>
      <c r="AI75" s="942"/>
      <c r="AJ75" s="942"/>
      <c r="AK75" s="942"/>
      <c r="AL75" s="942"/>
      <c r="AM75" s="942"/>
      <c r="AN75" s="942"/>
      <c r="AO75" s="942"/>
      <c r="AP75" s="942"/>
      <c r="AQ75" s="942"/>
      <c r="AR75" s="942"/>
      <c r="AS75" s="942"/>
      <c r="AT75" s="942"/>
      <c r="AU75" s="942"/>
      <c r="AV75" s="942"/>
      <c r="AW75" s="942"/>
      <c r="AX75" s="942"/>
      <c r="AY75" s="942"/>
      <c r="AZ75" s="942"/>
      <c r="BA75" s="942"/>
      <c r="BB75" s="942"/>
      <c r="BC75" s="942"/>
      <c r="BD75" s="942"/>
      <c r="BE75" s="942"/>
      <c r="BF75" s="942"/>
      <c r="BG75" s="942"/>
      <c r="BH75" s="942"/>
      <c r="BI75" s="942"/>
      <c r="BJ75" s="942"/>
      <c r="BK75" s="942"/>
      <c r="BL75" s="942"/>
      <c r="BM75" s="942"/>
      <c r="BN75" s="942"/>
      <c r="BO75" s="942"/>
      <c r="BP75" s="942"/>
      <c r="BQ75" s="942"/>
      <c r="BR75" s="942"/>
      <c r="BS75" s="942"/>
      <c r="BT75" s="942"/>
      <c r="BU75" s="942"/>
      <c r="BV75" s="942"/>
      <c r="BW75" s="939"/>
      <c r="BX75" s="939"/>
      <c r="BY75" s="939"/>
      <c r="BZ75" s="939"/>
      <c r="CA75" s="939"/>
      <c r="CB75" s="939"/>
      <c r="CC75" s="939"/>
    </row>
    <row r="76" spans="1:89">
      <c r="A76" s="14"/>
      <c r="B76" s="114"/>
      <c r="C76" s="918"/>
      <c r="D76" s="919"/>
      <c r="E76" s="919"/>
      <c r="F76" s="919"/>
      <c r="G76" s="919"/>
      <c r="H76" s="919"/>
      <c r="I76" s="919"/>
      <c r="J76" s="919"/>
      <c r="K76" s="919"/>
      <c r="L76" s="919"/>
      <c r="M76" s="919"/>
      <c r="N76" s="919"/>
      <c r="O76" s="919"/>
      <c r="P76" s="919"/>
      <c r="Q76" s="919"/>
      <c r="R76" s="919"/>
      <c r="S76" s="919"/>
      <c r="T76" s="919"/>
      <c r="U76" s="919"/>
      <c r="V76" s="919"/>
      <c r="W76" s="919"/>
      <c r="X76" s="919"/>
      <c r="Y76" s="919"/>
      <c r="Z76" s="919"/>
      <c r="AA76" s="919"/>
      <c r="AB76" s="919"/>
      <c r="AC76" s="919"/>
      <c r="AD76" s="919"/>
      <c r="AE76" s="919"/>
      <c r="AF76" s="919"/>
      <c r="AG76" s="919"/>
      <c r="AH76" s="919"/>
      <c r="AI76" s="919"/>
      <c r="AJ76" s="919"/>
      <c r="AK76" s="919"/>
      <c r="AL76" s="919"/>
      <c r="AM76" s="919"/>
      <c r="AN76" s="919"/>
      <c r="AO76" s="919"/>
      <c r="AP76" s="919"/>
      <c r="AQ76" s="919"/>
      <c r="AR76" s="919"/>
      <c r="AS76" s="919"/>
      <c r="AT76" s="919"/>
      <c r="AU76" s="919"/>
      <c r="AV76" s="919"/>
      <c r="AW76" s="919"/>
      <c r="AX76" s="919"/>
      <c r="AY76" s="919"/>
      <c r="AZ76" s="919"/>
      <c r="BA76" s="919"/>
      <c r="BB76" s="919"/>
      <c r="BC76" s="919"/>
      <c r="BD76" s="919"/>
      <c r="BE76" s="919"/>
      <c r="BF76" s="919"/>
      <c r="BG76" s="919"/>
      <c r="BH76" s="919"/>
      <c r="BI76" s="919"/>
      <c r="BJ76" s="919"/>
      <c r="BK76" s="919"/>
      <c r="BL76" s="919"/>
      <c r="BM76" s="919"/>
      <c r="BN76" s="919"/>
      <c r="BO76" s="919"/>
      <c r="BP76" s="919"/>
      <c r="BQ76" s="919"/>
      <c r="BR76" s="919"/>
      <c r="BS76" s="919"/>
      <c r="BT76" s="919"/>
      <c r="BU76" s="919"/>
      <c r="BV76" s="919"/>
      <c r="BW76" s="939"/>
      <c r="BX76" s="939"/>
      <c r="BY76" s="939"/>
      <c r="BZ76" s="939"/>
      <c r="CA76" s="939"/>
      <c r="CB76" s="939"/>
      <c r="CC76" s="939"/>
    </row>
    <row r="77" spans="1:89">
      <c r="A77" s="13" t="s">
        <v>45</v>
      </c>
      <c r="B77" s="114"/>
      <c r="C77" s="944">
        <f t="shared" ref="C77:AH77" si="10">IF(C74="",C70,"")</f>
        <v>0</v>
      </c>
      <c r="D77" s="945">
        <f t="shared" si="10"/>
        <v>0</v>
      </c>
      <c r="E77" s="945">
        <f t="shared" si="10"/>
        <v>0</v>
      </c>
      <c r="F77" s="945">
        <f t="shared" si="10"/>
        <v>26894.574666666667</v>
      </c>
      <c r="G77" s="945">
        <f t="shared" si="10"/>
        <v>27003.945936977776</v>
      </c>
      <c r="H77" s="945">
        <f t="shared" si="10"/>
        <v>27113.761983788154</v>
      </c>
      <c r="I77" s="945">
        <f t="shared" si="10"/>
        <v>27224.02461585556</v>
      </c>
      <c r="J77" s="945">
        <f t="shared" si="10"/>
        <v>0</v>
      </c>
      <c r="K77" s="945">
        <f t="shared" si="10"/>
        <v>0</v>
      </c>
      <c r="L77" s="945">
        <f t="shared" si="10"/>
        <v>0</v>
      </c>
      <c r="M77" s="945">
        <f t="shared" si="10"/>
        <v>0</v>
      </c>
      <c r="N77" s="945">
        <f t="shared" si="10"/>
        <v>0</v>
      </c>
      <c r="O77" s="945">
        <f t="shared" si="10"/>
        <v>0</v>
      </c>
      <c r="P77" s="945">
        <f t="shared" si="10"/>
        <v>0</v>
      </c>
      <c r="Q77" s="945">
        <f t="shared" si="10"/>
        <v>0</v>
      </c>
      <c r="R77" s="945">
        <f t="shared" si="10"/>
        <v>0</v>
      </c>
      <c r="S77" s="945">
        <f t="shared" si="10"/>
        <v>0</v>
      </c>
      <c r="T77" s="945">
        <f t="shared" si="10"/>
        <v>0</v>
      </c>
      <c r="U77" s="945">
        <f t="shared" si="10"/>
        <v>0</v>
      </c>
      <c r="V77" s="945">
        <f t="shared" si="10"/>
        <v>0</v>
      </c>
      <c r="W77" s="945">
        <f t="shared" si="10"/>
        <v>0</v>
      </c>
      <c r="X77" s="945">
        <f t="shared" si="10"/>
        <v>0</v>
      </c>
      <c r="Y77" s="945">
        <f t="shared" si="10"/>
        <v>0</v>
      </c>
      <c r="Z77" s="945">
        <f t="shared" si="10"/>
        <v>0</v>
      </c>
      <c r="AA77" s="945">
        <f t="shared" si="10"/>
        <v>0</v>
      </c>
      <c r="AB77" s="945">
        <f t="shared" si="10"/>
        <v>0</v>
      </c>
      <c r="AC77" s="945">
        <f t="shared" si="10"/>
        <v>0</v>
      </c>
      <c r="AD77" s="945">
        <f t="shared" si="10"/>
        <v>0</v>
      </c>
      <c r="AE77" s="945">
        <f t="shared" si="10"/>
        <v>0</v>
      </c>
      <c r="AF77" s="945">
        <f t="shared" si="10"/>
        <v>0</v>
      </c>
      <c r="AG77" s="945">
        <f t="shared" si="10"/>
        <v>0</v>
      </c>
      <c r="AH77" s="945">
        <f t="shared" si="10"/>
        <v>0</v>
      </c>
      <c r="AI77" s="945">
        <f t="shared" ref="AI77:BN77" si="11">IF(AI74="",AI70,"")</f>
        <v>0</v>
      </c>
      <c r="AJ77" s="945">
        <f t="shared" si="11"/>
        <v>0</v>
      </c>
      <c r="AK77" s="945">
        <f t="shared" si="11"/>
        <v>0</v>
      </c>
      <c r="AL77" s="945">
        <f t="shared" si="11"/>
        <v>0</v>
      </c>
      <c r="AM77" s="945">
        <f t="shared" si="11"/>
        <v>0</v>
      </c>
      <c r="AN77" s="945">
        <f t="shared" si="11"/>
        <v>0</v>
      </c>
      <c r="AO77" s="945">
        <f t="shared" si="11"/>
        <v>0</v>
      </c>
      <c r="AP77" s="945">
        <f t="shared" si="11"/>
        <v>0</v>
      </c>
      <c r="AQ77" s="945">
        <f t="shared" si="11"/>
        <v>0</v>
      </c>
      <c r="AR77" s="945">
        <f t="shared" si="11"/>
        <v>0</v>
      </c>
      <c r="AS77" s="945">
        <f t="shared" si="11"/>
        <v>0</v>
      </c>
      <c r="AT77" s="945">
        <f t="shared" si="11"/>
        <v>0</v>
      </c>
      <c r="AU77" s="945">
        <f t="shared" si="11"/>
        <v>0</v>
      </c>
      <c r="AV77" s="945">
        <f t="shared" si="11"/>
        <v>0</v>
      </c>
      <c r="AW77" s="945">
        <f t="shared" si="11"/>
        <v>0</v>
      </c>
      <c r="AX77" s="945">
        <f t="shared" si="11"/>
        <v>0</v>
      </c>
      <c r="AY77" s="945">
        <f t="shared" si="11"/>
        <v>0</v>
      </c>
      <c r="AZ77" s="945">
        <f t="shared" si="11"/>
        <v>0</v>
      </c>
      <c r="BA77" s="945">
        <f t="shared" si="11"/>
        <v>0</v>
      </c>
      <c r="BB77" s="945">
        <f t="shared" si="11"/>
        <v>0</v>
      </c>
      <c r="BC77" s="945">
        <f t="shared" si="11"/>
        <v>0</v>
      </c>
      <c r="BD77" s="945">
        <f t="shared" si="11"/>
        <v>0</v>
      </c>
      <c r="BE77" s="945">
        <f t="shared" si="11"/>
        <v>0</v>
      </c>
      <c r="BF77" s="945">
        <f t="shared" si="11"/>
        <v>0</v>
      </c>
      <c r="BG77" s="945">
        <f t="shared" si="11"/>
        <v>0</v>
      </c>
      <c r="BH77" s="945">
        <f t="shared" si="11"/>
        <v>0</v>
      </c>
      <c r="BI77" s="945">
        <f t="shared" si="11"/>
        <v>0</v>
      </c>
      <c r="BJ77" s="945">
        <f t="shared" si="11"/>
        <v>0</v>
      </c>
      <c r="BK77" s="945">
        <f t="shared" si="11"/>
        <v>0</v>
      </c>
      <c r="BL77" s="945">
        <f t="shared" si="11"/>
        <v>0</v>
      </c>
      <c r="BM77" s="945">
        <f t="shared" si="11"/>
        <v>0</v>
      </c>
      <c r="BN77" s="945">
        <f t="shared" si="11"/>
        <v>0</v>
      </c>
      <c r="BO77" s="945">
        <f t="shared" ref="BO77:BV77" si="12">IF(BO74="",BO70,"")</f>
        <v>0</v>
      </c>
      <c r="BP77" s="945">
        <f t="shared" si="12"/>
        <v>0</v>
      </c>
      <c r="BQ77" s="945">
        <f t="shared" si="12"/>
        <v>0</v>
      </c>
      <c r="BR77" s="945">
        <f t="shared" si="12"/>
        <v>0</v>
      </c>
      <c r="BS77" s="945">
        <f t="shared" si="12"/>
        <v>0</v>
      </c>
      <c r="BT77" s="945">
        <f t="shared" si="12"/>
        <v>0</v>
      </c>
      <c r="BU77" s="945">
        <f t="shared" si="12"/>
        <v>0</v>
      </c>
      <c r="BV77" s="945">
        <f t="shared" si="12"/>
        <v>0</v>
      </c>
      <c r="BW77" s="939">
        <f>SUM(C77:BV77)</f>
        <v>108236.30720328816</v>
      </c>
      <c r="BX77" s="939"/>
      <c r="BY77" s="939"/>
      <c r="BZ77" s="939"/>
      <c r="CA77" s="939"/>
      <c r="CB77" s="939"/>
      <c r="CC77" s="939"/>
    </row>
    <row r="78" spans="1:89">
      <c r="A78" s="12" t="s">
        <v>44</v>
      </c>
      <c r="B78" s="113"/>
      <c r="C78" s="946">
        <f t="shared" ref="C78:AH78" si="13">IF(C75="",C37,"")</f>
        <v>0</v>
      </c>
      <c r="D78" s="947">
        <f t="shared" si="13"/>
        <v>0</v>
      </c>
      <c r="E78" s="947">
        <f t="shared" si="13"/>
        <v>0</v>
      </c>
      <c r="F78" s="947">
        <f t="shared" si="13"/>
        <v>0</v>
      </c>
      <c r="G78" s="947">
        <f t="shared" si="13"/>
        <v>0</v>
      </c>
      <c r="H78" s="947">
        <f t="shared" si="13"/>
        <v>0</v>
      </c>
      <c r="I78" s="947">
        <f t="shared" si="13"/>
        <v>0</v>
      </c>
      <c r="J78" s="947">
        <f t="shared" si="13"/>
        <v>0</v>
      </c>
      <c r="K78" s="947">
        <f t="shared" si="13"/>
        <v>0</v>
      </c>
      <c r="L78" s="947">
        <f t="shared" si="13"/>
        <v>0</v>
      </c>
      <c r="M78" s="947">
        <f t="shared" si="13"/>
        <v>0</v>
      </c>
      <c r="N78" s="947">
        <f t="shared" si="13"/>
        <v>0</v>
      </c>
      <c r="O78" s="947">
        <f t="shared" si="13"/>
        <v>0</v>
      </c>
      <c r="P78" s="947">
        <f t="shared" si="13"/>
        <v>0</v>
      </c>
      <c r="Q78" s="947">
        <f t="shared" si="13"/>
        <v>0</v>
      </c>
      <c r="R78" s="947">
        <f t="shared" si="13"/>
        <v>0</v>
      </c>
      <c r="S78" s="947">
        <f t="shared" si="13"/>
        <v>0</v>
      </c>
      <c r="T78" s="947">
        <f t="shared" si="13"/>
        <v>0</v>
      </c>
      <c r="U78" s="947">
        <f t="shared" si="13"/>
        <v>0</v>
      </c>
      <c r="V78" s="947">
        <f t="shared" si="13"/>
        <v>0</v>
      </c>
      <c r="W78" s="947">
        <f t="shared" si="13"/>
        <v>0</v>
      </c>
      <c r="X78" s="947">
        <f t="shared" si="13"/>
        <v>0</v>
      </c>
      <c r="Y78" s="947">
        <f t="shared" si="13"/>
        <v>0</v>
      </c>
      <c r="Z78" s="947">
        <f t="shared" si="13"/>
        <v>0</v>
      </c>
      <c r="AA78" s="947">
        <f t="shared" si="13"/>
        <v>0</v>
      </c>
      <c r="AB78" s="947">
        <f t="shared" si="13"/>
        <v>0</v>
      </c>
      <c r="AC78" s="947">
        <f t="shared" si="13"/>
        <v>0</v>
      </c>
      <c r="AD78" s="947">
        <f t="shared" si="13"/>
        <v>0</v>
      </c>
      <c r="AE78" s="947">
        <f t="shared" si="13"/>
        <v>0</v>
      </c>
      <c r="AF78" s="947">
        <f t="shared" si="13"/>
        <v>0</v>
      </c>
      <c r="AG78" s="947">
        <f t="shared" si="13"/>
        <v>0</v>
      </c>
      <c r="AH78" s="947">
        <f t="shared" si="13"/>
        <v>0</v>
      </c>
      <c r="AI78" s="947">
        <f t="shared" ref="AI78:BN78" si="14">IF(AI75="",AI37,"")</f>
        <v>0</v>
      </c>
      <c r="AJ78" s="947">
        <f t="shared" si="14"/>
        <v>0</v>
      </c>
      <c r="AK78" s="947">
        <f t="shared" si="14"/>
        <v>0</v>
      </c>
      <c r="AL78" s="947">
        <f t="shared" si="14"/>
        <v>0</v>
      </c>
      <c r="AM78" s="947">
        <f t="shared" si="14"/>
        <v>0</v>
      </c>
      <c r="AN78" s="947">
        <f t="shared" si="14"/>
        <v>0</v>
      </c>
      <c r="AO78" s="947">
        <f t="shared" si="14"/>
        <v>0</v>
      </c>
      <c r="AP78" s="947">
        <f t="shared" si="14"/>
        <v>0</v>
      </c>
      <c r="AQ78" s="947">
        <f t="shared" si="14"/>
        <v>0</v>
      </c>
      <c r="AR78" s="947">
        <f t="shared" si="14"/>
        <v>0</v>
      </c>
      <c r="AS78" s="947">
        <f t="shared" si="14"/>
        <v>0</v>
      </c>
      <c r="AT78" s="947">
        <f t="shared" si="14"/>
        <v>0</v>
      </c>
      <c r="AU78" s="947">
        <f t="shared" si="14"/>
        <v>0</v>
      </c>
      <c r="AV78" s="947">
        <f t="shared" si="14"/>
        <v>0</v>
      </c>
      <c r="AW78" s="947">
        <f t="shared" si="14"/>
        <v>0</v>
      </c>
      <c r="AX78" s="947">
        <f t="shared" si="14"/>
        <v>0</v>
      </c>
      <c r="AY78" s="947">
        <f t="shared" si="14"/>
        <v>0</v>
      </c>
      <c r="AZ78" s="947">
        <f t="shared" si="14"/>
        <v>0</v>
      </c>
      <c r="BA78" s="947">
        <f t="shared" si="14"/>
        <v>0</v>
      </c>
      <c r="BB78" s="947">
        <f t="shared" si="14"/>
        <v>0</v>
      </c>
      <c r="BC78" s="947">
        <f t="shared" si="14"/>
        <v>0</v>
      </c>
      <c r="BD78" s="947">
        <f t="shared" si="14"/>
        <v>0</v>
      </c>
      <c r="BE78" s="947">
        <f t="shared" si="14"/>
        <v>0</v>
      </c>
      <c r="BF78" s="947">
        <f t="shared" si="14"/>
        <v>0</v>
      </c>
      <c r="BG78" s="947">
        <f t="shared" si="14"/>
        <v>0</v>
      </c>
      <c r="BH78" s="947">
        <f t="shared" si="14"/>
        <v>0</v>
      </c>
      <c r="BI78" s="947">
        <f t="shared" si="14"/>
        <v>0</v>
      </c>
      <c r="BJ78" s="947">
        <f t="shared" si="14"/>
        <v>0</v>
      </c>
      <c r="BK78" s="947">
        <f t="shared" si="14"/>
        <v>0</v>
      </c>
      <c r="BL78" s="947">
        <f t="shared" si="14"/>
        <v>0</v>
      </c>
      <c r="BM78" s="947">
        <f t="shared" si="14"/>
        <v>0</v>
      </c>
      <c r="BN78" s="947">
        <f t="shared" si="14"/>
        <v>0</v>
      </c>
      <c r="BO78" s="947">
        <f t="shared" ref="BO78:BV78" si="15">IF(BO75="",BO37,"")</f>
        <v>0</v>
      </c>
      <c r="BP78" s="947">
        <f t="shared" si="15"/>
        <v>0</v>
      </c>
      <c r="BQ78" s="947">
        <f t="shared" si="15"/>
        <v>0</v>
      </c>
      <c r="BR78" s="947">
        <f t="shared" si="15"/>
        <v>0</v>
      </c>
      <c r="BS78" s="947">
        <f t="shared" si="15"/>
        <v>0</v>
      </c>
      <c r="BT78" s="947">
        <f t="shared" si="15"/>
        <v>0</v>
      </c>
      <c r="BU78" s="947">
        <f t="shared" si="15"/>
        <v>0</v>
      </c>
      <c r="BV78" s="947">
        <f t="shared" si="15"/>
        <v>0</v>
      </c>
      <c r="BW78" s="939">
        <f>SUM(C78:BV78)</f>
        <v>0</v>
      </c>
      <c r="BX78" s="939"/>
      <c r="BY78" s="939"/>
      <c r="BZ78" s="939"/>
      <c r="CA78" s="939"/>
      <c r="CB78" s="939"/>
      <c r="CC78" s="939"/>
    </row>
    <row r="79" spans="1:89" s="370" customFormat="1">
      <c r="C79" s="948"/>
      <c r="D79" s="948"/>
      <c r="E79" s="948"/>
      <c r="F79" s="948"/>
      <c r="G79" s="948"/>
      <c r="H79" s="948"/>
      <c r="I79" s="948"/>
      <c r="J79" s="948"/>
      <c r="K79" s="948"/>
      <c r="L79" s="948"/>
      <c r="M79" s="948"/>
      <c r="N79" s="948"/>
      <c r="O79" s="948"/>
      <c r="P79" s="948"/>
      <c r="Q79" s="948"/>
      <c r="R79" s="948"/>
      <c r="S79" s="948"/>
      <c r="T79" s="948"/>
      <c r="U79" s="948"/>
      <c r="V79" s="948"/>
      <c r="W79" s="948"/>
      <c r="X79" s="948"/>
      <c r="Y79" s="948"/>
      <c r="Z79" s="948"/>
      <c r="AA79" s="948"/>
      <c r="AB79" s="948"/>
      <c r="AC79" s="948"/>
      <c r="AD79" s="948"/>
      <c r="AE79" s="948"/>
      <c r="AF79" s="948"/>
      <c r="AG79" s="948"/>
      <c r="AH79" s="948"/>
      <c r="AI79" s="948"/>
      <c r="AJ79" s="948"/>
      <c r="AK79" s="948"/>
      <c r="AL79" s="948"/>
      <c r="AM79" s="948"/>
      <c r="AN79" s="948"/>
      <c r="AO79" s="948"/>
      <c r="AP79" s="948"/>
      <c r="AQ79" s="948"/>
      <c r="AR79" s="948"/>
      <c r="AS79" s="948"/>
      <c r="AT79" s="948"/>
      <c r="AU79" s="948"/>
      <c r="AV79" s="948"/>
      <c r="AW79" s="948"/>
      <c r="AX79" s="948"/>
      <c r="AY79" s="948"/>
      <c r="AZ79" s="948"/>
      <c r="BA79" s="948"/>
      <c r="BB79" s="948"/>
      <c r="BC79" s="948"/>
      <c r="BD79" s="948"/>
      <c r="BE79" s="948"/>
      <c r="BF79" s="948"/>
      <c r="BG79" s="948"/>
      <c r="BH79" s="948"/>
      <c r="BI79" s="948"/>
      <c r="BJ79" s="948"/>
      <c r="BK79" s="948"/>
      <c r="BL79" s="948"/>
      <c r="BM79" s="948"/>
      <c r="BN79" s="948"/>
      <c r="BO79" s="948"/>
      <c r="BP79" s="948"/>
      <c r="BQ79" s="948"/>
      <c r="BR79" s="948"/>
      <c r="BS79" s="948"/>
      <c r="BT79" s="948"/>
      <c r="BU79" s="948"/>
      <c r="BV79" s="948"/>
      <c r="BW79" s="948"/>
      <c r="BX79" s="948"/>
      <c r="BY79" s="948"/>
      <c r="BZ79" s="948"/>
      <c r="CA79" s="948"/>
      <c r="CB79" s="948"/>
      <c r="CC79" s="948"/>
    </row>
    <row r="80" spans="1:89" s="374" customFormat="1" ht="14.25" customHeight="1">
      <c r="A80" s="374" t="s">
        <v>261</v>
      </c>
      <c r="C80" s="949">
        <f t="shared" ref="C80:AH80" si="16">SUM(C8:C35)</f>
        <v>0</v>
      </c>
      <c r="D80" s="949">
        <f t="shared" si="16"/>
        <v>0</v>
      </c>
      <c r="E80" s="949">
        <f t="shared" si="16"/>
        <v>0</v>
      </c>
      <c r="F80" s="949">
        <f t="shared" si="16"/>
        <v>0</v>
      </c>
      <c r="G80" s="949">
        <f t="shared" si="16"/>
        <v>0</v>
      </c>
      <c r="H80" s="949">
        <f t="shared" si="16"/>
        <v>0</v>
      </c>
      <c r="I80" s="949">
        <f t="shared" si="16"/>
        <v>0</v>
      </c>
      <c r="J80" s="949">
        <f t="shared" si="16"/>
        <v>0</v>
      </c>
      <c r="K80" s="949">
        <f t="shared" si="16"/>
        <v>0</v>
      </c>
      <c r="L80" s="949">
        <f t="shared" si="16"/>
        <v>0</v>
      </c>
      <c r="M80" s="949">
        <f t="shared" si="16"/>
        <v>0</v>
      </c>
      <c r="N80" s="949">
        <f t="shared" si="16"/>
        <v>0</v>
      </c>
      <c r="O80" s="949">
        <f t="shared" si="16"/>
        <v>0</v>
      </c>
      <c r="P80" s="949">
        <f t="shared" si="16"/>
        <v>0</v>
      </c>
      <c r="Q80" s="949">
        <f t="shared" si="16"/>
        <v>0</v>
      </c>
      <c r="R80" s="949">
        <f t="shared" si="16"/>
        <v>0</v>
      </c>
      <c r="S80" s="949">
        <f t="shared" si="16"/>
        <v>0</v>
      </c>
      <c r="T80" s="949">
        <f t="shared" si="16"/>
        <v>0</v>
      </c>
      <c r="U80" s="949">
        <f t="shared" si="16"/>
        <v>0</v>
      </c>
      <c r="V80" s="949">
        <f t="shared" si="16"/>
        <v>0</v>
      </c>
      <c r="W80" s="949">
        <f t="shared" si="16"/>
        <v>0</v>
      </c>
      <c r="X80" s="949">
        <f t="shared" si="16"/>
        <v>0</v>
      </c>
      <c r="Y80" s="949">
        <f t="shared" si="16"/>
        <v>0</v>
      </c>
      <c r="Z80" s="949">
        <f t="shared" si="16"/>
        <v>0</v>
      </c>
      <c r="AA80" s="949">
        <f t="shared" si="16"/>
        <v>0</v>
      </c>
      <c r="AB80" s="949">
        <f t="shared" si="16"/>
        <v>0</v>
      </c>
      <c r="AC80" s="949">
        <f t="shared" si="16"/>
        <v>0</v>
      </c>
      <c r="AD80" s="949">
        <f t="shared" si="16"/>
        <v>0</v>
      </c>
      <c r="AE80" s="949">
        <f t="shared" si="16"/>
        <v>0</v>
      </c>
      <c r="AF80" s="949">
        <f t="shared" si="16"/>
        <v>0</v>
      </c>
      <c r="AG80" s="949">
        <f t="shared" si="16"/>
        <v>0</v>
      </c>
      <c r="AH80" s="949">
        <f t="shared" si="16"/>
        <v>0</v>
      </c>
      <c r="AI80" s="949">
        <f t="shared" ref="AI80:BN80" si="17">SUM(AI8:AI35)</f>
        <v>0</v>
      </c>
      <c r="AJ80" s="949">
        <f t="shared" si="17"/>
        <v>0</v>
      </c>
      <c r="AK80" s="949">
        <f t="shared" si="17"/>
        <v>0</v>
      </c>
      <c r="AL80" s="949">
        <f t="shared" si="17"/>
        <v>0</v>
      </c>
      <c r="AM80" s="949">
        <f t="shared" si="17"/>
        <v>0</v>
      </c>
      <c r="AN80" s="949">
        <f t="shared" si="17"/>
        <v>0</v>
      </c>
      <c r="AO80" s="949">
        <f t="shared" si="17"/>
        <v>0</v>
      </c>
      <c r="AP80" s="949">
        <f t="shared" si="17"/>
        <v>0</v>
      </c>
      <c r="AQ80" s="949">
        <f t="shared" si="17"/>
        <v>0</v>
      </c>
      <c r="AR80" s="949">
        <f t="shared" si="17"/>
        <v>0</v>
      </c>
      <c r="AS80" s="949">
        <f t="shared" si="17"/>
        <v>0</v>
      </c>
      <c r="AT80" s="949">
        <f t="shared" si="17"/>
        <v>0</v>
      </c>
      <c r="AU80" s="949">
        <f t="shared" si="17"/>
        <v>0</v>
      </c>
      <c r="AV80" s="949">
        <f t="shared" si="17"/>
        <v>0</v>
      </c>
      <c r="AW80" s="949">
        <f t="shared" si="17"/>
        <v>0</v>
      </c>
      <c r="AX80" s="949">
        <f t="shared" si="17"/>
        <v>0</v>
      </c>
      <c r="AY80" s="949">
        <f t="shared" si="17"/>
        <v>0</v>
      </c>
      <c r="AZ80" s="949">
        <f t="shared" si="17"/>
        <v>0</v>
      </c>
      <c r="BA80" s="949">
        <f t="shared" si="17"/>
        <v>0</v>
      </c>
      <c r="BB80" s="949">
        <f t="shared" si="17"/>
        <v>0</v>
      </c>
      <c r="BC80" s="949">
        <f t="shared" si="17"/>
        <v>0</v>
      </c>
      <c r="BD80" s="949">
        <f t="shared" si="17"/>
        <v>0</v>
      </c>
      <c r="BE80" s="949">
        <f t="shared" si="17"/>
        <v>0</v>
      </c>
      <c r="BF80" s="949">
        <f t="shared" si="17"/>
        <v>0</v>
      </c>
      <c r="BG80" s="949">
        <f t="shared" si="17"/>
        <v>0</v>
      </c>
      <c r="BH80" s="949">
        <f t="shared" si="17"/>
        <v>0</v>
      </c>
      <c r="BI80" s="949">
        <f t="shared" si="17"/>
        <v>0</v>
      </c>
      <c r="BJ80" s="949">
        <f t="shared" si="17"/>
        <v>0</v>
      </c>
      <c r="BK80" s="949">
        <f t="shared" si="17"/>
        <v>0</v>
      </c>
      <c r="BL80" s="949">
        <f t="shared" si="17"/>
        <v>0</v>
      </c>
      <c r="BM80" s="949">
        <f t="shared" si="17"/>
        <v>0</v>
      </c>
      <c r="BN80" s="949">
        <f t="shared" si="17"/>
        <v>0</v>
      </c>
      <c r="BO80" s="949">
        <f t="shared" ref="BO80:BV80" si="18">SUM(BO8:BO35)</f>
        <v>0</v>
      </c>
      <c r="BP80" s="949">
        <f t="shared" si="18"/>
        <v>0</v>
      </c>
      <c r="BQ80" s="949">
        <f t="shared" si="18"/>
        <v>0</v>
      </c>
      <c r="BR80" s="949">
        <f t="shared" si="18"/>
        <v>0</v>
      </c>
      <c r="BS80" s="949">
        <f t="shared" si="18"/>
        <v>0</v>
      </c>
      <c r="BT80" s="949">
        <f t="shared" si="18"/>
        <v>0</v>
      </c>
      <c r="BU80" s="949">
        <f t="shared" si="18"/>
        <v>0</v>
      </c>
      <c r="BV80" s="949">
        <f t="shared" si="18"/>
        <v>0</v>
      </c>
      <c r="BW80" s="949"/>
      <c r="BX80" s="949"/>
      <c r="BY80" s="949"/>
      <c r="BZ80" s="949"/>
      <c r="CA80" s="949"/>
      <c r="CB80" s="949"/>
      <c r="CC80" s="949"/>
    </row>
    <row r="81" spans="1:81" s="374" customFormat="1" ht="14.25" customHeight="1">
      <c r="A81" s="374" t="s">
        <v>262</v>
      </c>
      <c r="C81" s="949">
        <f>IF(SUM(C41:$BV68)=0,0,SUM(C68)*Variables!$B$51/24)</f>
        <v>0</v>
      </c>
      <c r="D81" s="949">
        <f>IF(SUM(D41:$BV68)=0,0,SUM($C68:C68))*Variables!$B$51/12+SUM(D68)*Variables!$B$51/24</f>
        <v>0</v>
      </c>
      <c r="E81" s="949">
        <f>IF(SUM(E41:$BV68)=0,0,SUM($C68:D68))*Variables!$B$51/12+SUM(E68)*Variables!$B$51/24</f>
        <v>0</v>
      </c>
      <c r="F81" s="949">
        <f>IF(SUM(F41:$BV68)=0,0,SUM($C68:E68))*Variables!$B$51/12+SUM(F68)*Variables!$B$51/24</f>
        <v>4.9613333333333332</v>
      </c>
      <c r="G81" s="949">
        <f>IF(SUM(G41:$BV68)=0,0,SUM($C68:F68))*Variables!$B$51/12+SUM(G68)*Variables!$B$51/24</f>
        <v>14.884</v>
      </c>
      <c r="H81" s="949">
        <f>IF(SUM(H41:$BV68)=0,0,SUM($C68:G68))*Variables!$B$51/12+SUM(H68)*Variables!$B$51/24</f>
        <v>24.806666666666665</v>
      </c>
      <c r="I81" s="949">
        <f>IF(SUM(I41:$BV68)=0,0,SUM($C68:H68))*Variables!$B$51/12+SUM(I68)*Variables!$B$51/24</f>
        <v>34.729333333333336</v>
      </c>
      <c r="J81" s="949">
        <f>IF(SUM(J41:$BV68)=0,0,SUM($C68:I68))*Variables!$B$51/12+SUM(J68)*Variables!$B$51/24</f>
        <v>0</v>
      </c>
      <c r="K81" s="949">
        <f>IF(SUM(K41:$BV68)=0,0,SUM($C68:J68))*Variables!$B$51/12+SUM(K68)*Variables!$B$51/24</f>
        <v>0</v>
      </c>
      <c r="L81" s="949">
        <f>IF(SUM(L41:$BV68)=0,0,SUM($C68:K68))*Variables!$B$51/12+SUM(L68)*Variables!$B$51/24</f>
        <v>0</v>
      </c>
      <c r="M81" s="949">
        <f>IF(SUM(M41:$BV68)=0,0,SUM($C68:L68))*Variables!$B$51/12+SUM(M68)*Variables!$B$51/24</f>
        <v>0</v>
      </c>
      <c r="N81" s="949">
        <f>IF(SUM(N41:$BV68)=0,0,SUM($C68:M68))*Variables!$B$51/12+SUM(N68)*Variables!$B$51/24</f>
        <v>0</v>
      </c>
      <c r="O81" s="949">
        <f>IF(SUM(O41:$BV68)=0,0,SUM($C68:N68))*Variables!$B$51/12+SUM(O68)*Variables!$B$51/24</f>
        <v>0</v>
      </c>
      <c r="P81" s="949">
        <f>IF(SUM(P41:$BV68)=0,0,SUM($C68:O68))*Variables!$B$51/12+SUM(P68)*Variables!$B$51/24</f>
        <v>0</v>
      </c>
      <c r="Q81" s="949">
        <f>IF(SUM(Q41:$BV68)=0,0,SUM($C68:P68))*Variables!$B$51/12+SUM(Q68)*Variables!$B$51/24</f>
        <v>0</v>
      </c>
      <c r="R81" s="949">
        <f>IF(SUM(R41:$BV68)=0,0,SUM($C68:Q68))*Variables!$B$51/12+SUM(R68)*Variables!$B$51/24</f>
        <v>0</v>
      </c>
      <c r="S81" s="949">
        <f>IF(SUM(S41:$BV68)=0,0,SUM($C68:R68))*Variables!$B$51/12+SUM(S68)*Variables!$B$51/24</f>
        <v>0</v>
      </c>
      <c r="T81" s="949">
        <f>IF(SUM(T41:$BV68)=0,0,SUM($C68:S68))*Variables!$B$51/12+SUM(T68)*Variables!$B$51/24</f>
        <v>0</v>
      </c>
      <c r="U81" s="949">
        <f>IF(SUM(U41:$BV68)=0,0,SUM($C68:T68))*Variables!$B$51/12+SUM(U68)*Variables!$B$51/24</f>
        <v>0</v>
      </c>
      <c r="V81" s="949">
        <f>IF(SUM(V41:$BV68)=0,0,SUM($C68:U68))*Variables!$B$51/12+SUM(V68)*Variables!$B$51/24</f>
        <v>0</v>
      </c>
      <c r="W81" s="949">
        <f>IF(SUM(W41:$BV68)=0,0,SUM($C68:V68))*Variables!$B$51/12+SUM(W68)*Variables!$B$51/24</f>
        <v>0</v>
      </c>
      <c r="X81" s="949">
        <f>IF(SUM(X41:$BV68)=0,0,SUM($C68:W68))*Variables!$B$51/12+SUM(X68)*Variables!$B$51/24</f>
        <v>0</v>
      </c>
      <c r="Y81" s="949">
        <f>IF(SUM(Y41:$BV68)=0,0,SUM($C68:X68))*Variables!$B$51/12+SUM(Y68)*Variables!$B$51/24</f>
        <v>0</v>
      </c>
      <c r="Z81" s="949">
        <f>IF(SUM(Z41:$BV68)=0,0,SUM($C68:Y68))*Variables!$B$51/12+SUM(Z68)*Variables!$B$51/24</f>
        <v>0</v>
      </c>
      <c r="AA81" s="949">
        <f>IF(SUM(AA41:$BV68)=0,0,SUM($C68:Z68))*Variables!$B$51/12+SUM(AA68)*Variables!$B$51/24</f>
        <v>0</v>
      </c>
      <c r="AB81" s="949">
        <f>IF(SUM(AB41:$BV68)=0,0,SUM($C68:AA68))*Variables!$B$51/12+SUM(AB68)*Variables!$B$51/24</f>
        <v>0</v>
      </c>
      <c r="AC81" s="949">
        <f>IF(SUM(AC41:$BV68)=0,0,SUM($C68:AB68))*Variables!$B$51/12+SUM(AC68)*Variables!$B$51/24</f>
        <v>0</v>
      </c>
      <c r="AD81" s="949">
        <f>IF(SUM(AD41:$BV68)=0,0,SUM($C68:AC68))*Variables!$B$51/12+SUM(AD68)*Variables!$B$51/24</f>
        <v>0</v>
      </c>
      <c r="AE81" s="949">
        <f>IF(SUM(AE41:$BV68)=0,0,SUM($C68:AD68))*Variables!$B$51/12+SUM(AE68)*Variables!$B$51/24</f>
        <v>0</v>
      </c>
      <c r="AF81" s="949">
        <f>IF(SUM(AF41:$BV68)=0,0,SUM($C68:AE68))*Variables!$B$51/12+SUM(AF68)*Variables!$B$51/24</f>
        <v>0</v>
      </c>
      <c r="AG81" s="949">
        <f>IF(SUM(AG41:$BV68)=0,0,SUM($C68:AF68))*Variables!$B$51/12+SUM(AG68)*Variables!$B$51/24</f>
        <v>0</v>
      </c>
      <c r="AH81" s="949">
        <f>IF(SUM(AH41:$BV68)=0,0,SUM($C68:AG68))*Variables!$B$51/12+SUM(AH68)*Variables!$B$51/24</f>
        <v>0</v>
      </c>
      <c r="AI81" s="949">
        <f>IF(SUM(AI41:$BV68)=0,0,SUM($C68:AH68))*Variables!$B$51/12+SUM(AI68)*Variables!$B$51/24</f>
        <v>0</v>
      </c>
      <c r="AJ81" s="949">
        <f>IF(SUM(AJ41:$BV68)=0,0,SUM($C68:AI68))*Variables!$B$51/12+SUM(AJ68)*Variables!$B$51/24</f>
        <v>0</v>
      </c>
      <c r="AK81" s="949">
        <f>IF(SUM(AK41:$BV68)=0,0,SUM($C68:AJ68))*Variables!$B$51/12+SUM(AK68)*Variables!$B$51/24</f>
        <v>0</v>
      </c>
      <c r="AL81" s="949">
        <f>IF(SUM(AL41:$BV68)=0,0,SUM($C68:AK68))*Variables!$B$51/12+SUM(AL68)*Variables!$B$51/24</f>
        <v>0</v>
      </c>
      <c r="AM81" s="949">
        <f>IF(SUM(AM41:$BV68)=0,0,SUM($C68:AL68))*Variables!$B$51/12+SUM(AM68)*Variables!$B$51/24</f>
        <v>0</v>
      </c>
      <c r="AN81" s="949">
        <f>IF(SUM(AN41:$BV68)=0,0,SUM($C68:AM68))*Variables!$B$51/12+SUM(AN68)*Variables!$B$51/24</f>
        <v>0</v>
      </c>
      <c r="AO81" s="949">
        <f>IF(SUM(AO41:$BV68)=0,0,SUM($C68:AN68))*Variables!$B$51/12+SUM(AO68)*Variables!$B$51/24</f>
        <v>0</v>
      </c>
      <c r="AP81" s="949">
        <f>IF(SUM(AP41:$BV68)=0,0,SUM($C68:AO68))*Variables!$B$51/12+SUM(AP68)*Variables!$B$51/24</f>
        <v>0</v>
      </c>
      <c r="AQ81" s="949">
        <f>IF(SUM(AQ41:$BV68)=0,0,SUM($C68:AP68))*Variables!$B$51/12+SUM(AQ68)*Variables!$B$51/24</f>
        <v>0</v>
      </c>
      <c r="AR81" s="949">
        <f>IF(SUM(AR41:$BV68)=0,0,SUM($C68:AQ68))*Variables!$B$51/12+SUM(AR68)*Variables!$B$51/24</f>
        <v>0</v>
      </c>
      <c r="AS81" s="949">
        <f>IF(SUM(AS41:$BV68)=0,0,SUM($C68:AR68))*Variables!$B$51/12+SUM(AS68)*Variables!$B$51/24</f>
        <v>0</v>
      </c>
      <c r="AT81" s="949">
        <f>IF(SUM(AT41:$BV68)=0,0,SUM($C68:AS68))*Variables!$B$51/12+SUM(AT68)*Variables!$B$51/24</f>
        <v>0</v>
      </c>
      <c r="AU81" s="949">
        <f>IF(SUM(AU41:$BV68)=0,0,SUM($C68:AT68))*Variables!$B$51/12+SUM(AU68)*Variables!$B$51/24</f>
        <v>0</v>
      </c>
      <c r="AV81" s="949">
        <f>IF(SUM(AV41:$BV68)=0,0,SUM($C68:AU68))*Variables!$B$51/12+SUM(AV68)*Variables!$B$51/24</f>
        <v>0</v>
      </c>
      <c r="AW81" s="949">
        <f>IF(SUM(AW41:$BV68)=0,0,SUM($C68:AV68))*Variables!$B$51/12+SUM(AW68)*Variables!$B$51/24</f>
        <v>0</v>
      </c>
      <c r="AX81" s="949">
        <f>IF(SUM(AX41:$BV68)=0,0,SUM($C68:AW68))*Variables!$B$51/12+SUM(AX68)*Variables!$B$51/24</f>
        <v>0</v>
      </c>
      <c r="AY81" s="949">
        <f>IF(SUM(AY41:$BV68)=0,0,SUM($C68:AX68))*Variables!$B$51/12+SUM(AY68)*Variables!$B$51/24</f>
        <v>0</v>
      </c>
      <c r="AZ81" s="949">
        <f>IF(SUM(AZ41:$BV68)=0,0,SUM($C68:AY68))*Variables!$B$51/12+SUM(AZ68)*Variables!$B$51/24</f>
        <v>0</v>
      </c>
      <c r="BA81" s="949">
        <f>IF(SUM(BA41:$BV68)=0,0,SUM($C68:AZ68))*Variables!$B$51/12+SUM(BA68)*Variables!$B$51/24</f>
        <v>0</v>
      </c>
      <c r="BB81" s="949">
        <f>IF(SUM(BB41:$BV68)=0,0,SUM($C68:BA68))*Variables!$B$51/12+SUM(BB68)*Variables!$B$51/24</f>
        <v>0</v>
      </c>
      <c r="BC81" s="949">
        <f>IF(SUM(BC41:$BV68)=0,0,SUM($C68:BB68))*Variables!$B$51/12+SUM(BC68)*Variables!$B$51/24</f>
        <v>0</v>
      </c>
      <c r="BD81" s="949">
        <f>IF(SUM(BD41:$BV68)=0,0,SUM($C68:BC68))*Variables!$B$51/12+SUM(BD68)*Variables!$B$51/24</f>
        <v>0</v>
      </c>
      <c r="BE81" s="949">
        <f>IF(SUM(BE41:$BV68)=0,0,SUM($C68:BD68))*Variables!$B$51/12+SUM(BE68)*Variables!$B$51/24</f>
        <v>0</v>
      </c>
      <c r="BF81" s="949">
        <f>IF(SUM(BF41:$BV68)=0,0,SUM($C68:BE68))*Variables!$B$51/12+SUM(BF68)*Variables!$B$51/24</f>
        <v>0</v>
      </c>
      <c r="BG81" s="949">
        <f>IF(SUM(BG41:$BV68)=0,0,SUM($C68:BF68))*Variables!$B$51/12+SUM(BG68)*Variables!$B$51/24</f>
        <v>0</v>
      </c>
      <c r="BH81" s="949">
        <f>IF(SUM(BH41:$BV68)=0,0,SUM($C68:BG68))*Variables!$B$51/12+SUM(BH68)*Variables!$B$51/24</f>
        <v>0</v>
      </c>
      <c r="BI81" s="949">
        <f>IF(SUM(BI41:$BV68)=0,0,SUM($C68:BH68))*Variables!$B$51/12+SUM(BI68)*Variables!$B$51/24</f>
        <v>0</v>
      </c>
      <c r="BJ81" s="949">
        <f>IF(SUM(BJ41:$BV68)=0,0,SUM($C68:BI68))*Variables!$B$51/12+SUM(BJ68)*Variables!$B$51/24</f>
        <v>0</v>
      </c>
      <c r="BK81" s="949">
        <f>IF(SUM(BK41:$BV68)=0,0,SUM($C68:BJ68))*Variables!$B$51/12+SUM(BK68)*Variables!$B$51/24</f>
        <v>0</v>
      </c>
      <c r="BL81" s="949">
        <f>IF(SUM(BL41:$BV68)=0,0,SUM($C68:BK68))*Variables!$B$51/12+SUM(BL68)*Variables!$B$51/24</f>
        <v>0</v>
      </c>
      <c r="BM81" s="949">
        <f>IF(SUM(BM41:$BV68)=0,0,SUM($C68:BL68))*Variables!$B$51/12+SUM(BM68)*Variables!$B$51/24</f>
        <v>0</v>
      </c>
      <c r="BN81" s="949">
        <f>IF(SUM(BN41:$BV68)=0,0,SUM($C68:BM68))*Variables!$B$51/12+SUM(BN68)*Variables!$B$51/24</f>
        <v>0</v>
      </c>
      <c r="BO81" s="949">
        <f>IF(SUM(BO41:$BV68)=0,0,SUM($C68:BN68))*Variables!$B$51/12+SUM(BO68)*Variables!$B$51/24</f>
        <v>0</v>
      </c>
      <c r="BP81" s="949">
        <f>IF(SUM(BP41:$BV68)=0,0,SUM($C68:BO68))*Variables!$B$51/12+SUM(BP68)*Variables!$B$51/24</f>
        <v>0</v>
      </c>
      <c r="BQ81" s="949">
        <f>IF(SUM(BQ41:$BV68)=0,0,SUM($C68:BP68))*Variables!$B$51/12+SUM(BQ68)*Variables!$B$51/24</f>
        <v>0</v>
      </c>
      <c r="BR81" s="949">
        <f>IF(SUM(BR41:$BV68)=0,0,SUM($C68:BQ68))*Variables!$B$51/12+SUM(BR68)*Variables!$B$51/24</f>
        <v>0</v>
      </c>
      <c r="BS81" s="949">
        <f>IF(SUM(BS41:$BV68)=0,0,SUM($C68:BR68))*Variables!$B$51/12+SUM(BS68)*Variables!$B$51/24</f>
        <v>0</v>
      </c>
      <c r="BT81" s="949">
        <f>IF(SUM(BT41:$BV68)=0,0,SUM($C68:BS68))*Variables!$B$51/12+SUM(BT68)*Variables!$B$51/24</f>
        <v>0</v>
      </c>
      <c r="BU81" s="949">
        <f>IF(SUM(BU41:$BV68)=0,0,SUM($C68:BT68))*Variables!$B$51/12+SUM(BU68)*Variables!$B$51/24</f>
        <v>0</v>
      </c>
      <c r="BV81" s="949">
        <f>IF(SUM(BV41:$BV68)=0,0,SUM($C68:BU68))*Variables!$B$51/12+SUM(BV68)*Variables!$B$51/24</f>
        <v>0</v>
      </c>
      <c r="BW81" s="949"/>
      <c r="BX81" s="949"/>
      <c r="BY81" s="949"/>
      <c r="BZ81" s="949"/>
      <c r="CA81" s="949"/>
      <c r="CB81" s="949"/>
      <c r="CC81" s="949"/>
    </row>
    <row r="82" spans="1:81" s="374" customFormat="1" ht="14.25" customHeight="1">
      <c r="A82" s="375" t="s">
        <v>294</v>
      </c>
      <c r="C82" s="949">
        <f>IFERROR(C70-C68-C81,0)</f>
        <v>0</v>
      </c>
      <c r="D82" s="949">
        <f t="shared" ref="D82:BO82" si="19">IFERROR(D70-D68-D81,0)</f>
        <v>0</v>
      </c>
      <c r="E82" s="949">
        <f t="shared" si="19"/>
        <v>0</v>
      </c>
      <c r="F82" s="949">
        <f t="shared" si="19"/>
        <v>24449.613333333335</v>
      </c>
      <c r="G82" s="949">
        <f t="shared" si="19"/>
        <v>24549.061936977778</v>
      </c>
      <c r="H82" s="949">
        <f t="shared" si="19"/>
        <v>24648.955317121487</v>
      </c>
      <c r="I82" s="949">
        <f t="shared" si="19"/>
        <v>24749.295282522227</v>
      </c>
      <c r="J82" s="949">
        <f t="shared" si="19"/>
        <v>0</v>
      </c>
      <c r="K82" s="949">
        <f t="shared" si="19"/>
        <v>0</v>
      </c>
      <c r="L82" s="949">
        <f t="shared" si="19"/>
        <v>0</v>
      </c>
      <c r="M82" s="949">
        <f t="shared" si="19"/>
        <v>0</v>
      </c>
      <c r="N82" s="949">
        <f t="shared" si="19"/>
        <v>0</v>
      </c>
      <c r="O82" s="949">
        <f t="shared" si="19"/>
        <v>0</v>
      </c>
      <c r="P82" s="949">
        <f t="shared" si="19"/>
        <v>0</v>
      </c>
      <c r="Q82" s="949">
        <f t="shared" si="19"/>
        <v>0</v>
      </c>
      <c r="R82" s="949">
        <f t="shared" si="19"/>
        <v>0</v>
      </c>
      <c r="S82" s="949">
        <f t="shared" si="19"/>
        <v>0</v>
      </c>
      <c r="T82" s="949">
        <f t="shared" si="19"/>
        <v>0</v>
      </c>
      <c r="U82" s="949">
        <f t="shared" si="19"/>
        <v>0</v>
      </c>
      <c r="V82" s="949">
        <f t="shared" si="19"/>
        <v>0</v>
      </c>
      <c r="W82" s="949">
        <f t="shared" si="19"/>
        <v>0</v>
      </c>
      <c r="X82" s="949">
        <f t="shared" si="19"/>
        <v>0</v>
      </c>
      <c r="Y82" s="949">
        <f t="shared" si="19"/>
        <v>0</v>
      </c>
      <c r="Z82" s="949">
        <f t="shared" si="19"/>
        <v>0</v>
      </c>
      <c r="AA82" s="949">
        <f t="shared" si="19"/>
        <v>0</v>
      </c>
      <c r="AB82" s="949">
        <f t="shared" si="19"/>
        <v>0</v>
      </c>
      <c r="AC82" s="949">
        <f t="shared" si="19"/>
        <v>0</v>
      </c>
      <c r="AD82" s="949">
        <f t="shared" si="19"/>
        <v>0</v>
      </c>
      <c r="AE82" s="949">
        <f t="shared" si="19"/>
        <v>0</v>
      </c>
      <c r="AF82" s="949">
        <f t="shared" si="19"/>
        <v>0</v>
      </c>
      <c r="AG82" s="949">
        <f t="shared" si="19"/>
        <v>0</v>
      </c>
      <c r="AH82" s="949">
        <f t="shared" si="19"/>
        <v>0</v>
      </c>
      <c r="AI82" s="949">
        <f t="shared" si="19"/>
        <v>0</v>
      </c>
      <c r="AJ82" s="949">
        <f t="shared" si="19"/>
        <v>0</v>
      </c>
      <c r="AK82" s="949">
        <f t="shared" si="19"/>
        <v>0</v>
      </c>
      <c r="AL82" s="949">
        <f t="shared" si="19"/>
        <v>0</v>
      </c>
      <c r="AM82" s="949">
        <f t="shared" si="19"/>
        <v>0</v>
      </c>
      <c r="AN82" s="949">
        <f t="shared" si="19"/>
        <v>0</v>
      </c>
      <c r="AO82" s="949">
        <f t="shared" si="19"/>
        <v>0</v>
      </c>
      <c r="AP82" s="949">
        <f t="shared" si="19"/>
        <v>0</v>
      </c>
      <c r="AQ82" s="949">
        <f t="shared" si="19"/>
        <v>0</v>
      </c>
      <c r="AR82" s="949">
        <f t="shared" si="19"/>
        <v>0</v>
      </c>
      <c r="AS82" s="949">
        <f t="shared" si="19"/>
        <v>0</v>
      </c>
      <c r="AT82" s="949">
        <f t="shared" si="19"/>
        <v>0</v>
      </c>
      <c r="AU82" s="949">
        <f t="shared" si="19"/>
        <v>0</v>
      </c>
      <c r="AV82" s="949">
        <f t="shared" si="19"/>
        <v>0</v>
      </c>
      <c r="AW82" s="949">
        <f t="shared" si="19"/>
        <v>0</v>
      </c>
      <c r="AX82" s="949">
        <f t="shared" si="19"/>
        <v>0</v>
      </c>
      <c r="AY82" s="949">
        <f t="shared" si="19"/>
        <v>0</v>
      </c>
      <c r="AZ82" s="949">
        <f t="shared" si="19"/>
        <v>0</v>
      </c>
      <c r="BA82" s="949">
        <f t="shared" si="19"/>
        <v>0</v>
      </c>
      <c r="BB82" s="949">
        <f t="shared" si="19"/>
        <v>0</v>
      </c>
      <c r="BC82" s="949">
        <f t="shared" si="19"/>
        <v>0</v>
      </c>
      <c r="BD82" s="949">
        <f t="shared" si="19"/>
        <v>0</v>
      </c>
      <c r="BE82" s="949">
        <f t="shared" si="19"/>
        <v>0</v>
      </c>
      <c r="BF82" s="949">
        <f t="shared" si="19"/>
        <v>0</v>
      </c>
      <c r="BG82" s="949">
        <f t="shared" si="19"/>
        <v>0</v>
      </c>
      <c r="BH82" s="949">
        <f t="shared" si="19"/>
        <v>0</v>
      </c>
      <c r="BI82" s="949">
        <f t="shared" si="19"/>
        <v>0</v>
      </c>
      <c r="BJ82" s="949">
        <f t="shared" si="19"/>
        <v>0</v>
      </c>
      <c r="BK82" s="949">
        <f t="shared" si="19"/>
        <v>0</v>
      </c>
      <c r="BL82" s="949">
        <f t="shared" si="19"/>
        <v>0</v>
      </c>
      <c r="BM82" s="949">
        <f t="shared" si="19"/>
        <v>0</v>
      </c>
      <c r="BN82" s="949">
        <f t="shared" si="19"/>
        <v>0</v>
      </c>
      <c r="BO82" s="949">
        <f t="shared" si="19"/>
        <v>0</v>
      </c>
      <c r="BP82" s="949">
        <f t="shared" ref="BP82:BV82" si="20">IFERROR(BP70-BP68-BP81,0)</f>
        <v>0</v>
      </c>
      <c r="BQ82" s="949">
        <f t="shared" si="20"/>
        <v>0</v>
      </c>
      <c r="BR82" s="949">
        <f t="shared" si="20"/>
        <v>0</v>
      </c>
      <c r="BS82" s="949">
        <f t="shared" si="20"/>
        <v>0</v>
      </c>
      <c r="BT82" s="949">
        <f t="shared" si="20"/>
        <v>0</v>
      </c>
      <c r="BU82" s="949">
        <f t="shared" si="20"/>
        <v>0</v>
      </c>
      <c r="BV82" s="949">
        <f t="shared" si="20"/>
        <v>0</v>
      </c>
      <c r="BW82" s="949"/>
      <c r="BX82" s="949"/>
      <c r="BY82" s="949"/>
      <c r="BZ82" s="949"/>
      <c r="CA82" s="949"/>
      <c r="CB82" s="949"/>
      <c r="CC82" s="949"/>
    </row>
    <row r="83" spans="1:81" s="374" customFormat="1" ht="13">
      <c r="C83" s="949"/>
      <c r="D83" s="949"/>
      <c r="E83" s="949"/>
      <c r="F83" s="949"/>
      <c r="G83" s="949"/>
      <c r="H83" s="949"/>
      <c r="I83" s="949"/>
      <c r="J83" s="949"/>
      <c r="K83" s="949"/>
      <c r="L83" s="949"/>
      <c r="M83" s="949"/>
      <c r="N83" s="949"/>
      <c r="O83" s="949"/>
      <c r="P83" s="949"/>
      <c r="Q83" s="949"/>
      <c r="R83" s="949"/>
      <c r="S83" s="949"/>
      <c r="T83" s="949"/>
      <c r="U83" s="949"/>
      <c r="V83" s="949"/>
      <c r="W83" s="949"/>
      <c r="X83" s="949"/>
      <c r="Y83" s="949"/>
      <c r="Z83" s="949"/>
      <c r="AA83" s="949"/>
      <c r="AB83" s="949"/>
      <c r="AC83" s="949"/>
      <c r="AD83" s="949"/>
      <c r="AE83" s="949"/>
      <c r="AF83" s="949"/>
      <c r="AG83" s="949"/>
      <c r="AH83" s="949"/>
      <c r="AI83" s="949"/>
      <c r="AJ83" s="949"/>
      <c r="AK83" s="949"/>
      <c r="AL83" s="949"/>
      <c r="AM83" s="949"/>
      <c r="AN83" s="949"/>
      <c r="AO83" s="949"/>
      <c r="AP83" s="949"/>
      <c r="AQ83" s="949"/>
      <c r="AR83" s="949"/>
      <c r="AS83" s="949"/>
      <c r="AT83" s="949"/>
      <c r="AU83" s="949"/>
      <c r="AV83" s="949"/>
      <c r="AW83" s="949"/>
      <c r="AX83" s="949"/>
      <c r="AY83" s="949"/>
      <c r="AZ83" s="949"/>
      <c r="BA83" s="949"/>
      <c r="BB83" s="949"/>
      <c r="BC83" s="949"/>
      <c r="BD83" s="949"/>
      <c r="BE83" s="949"/>
      <c r="BF83" s="949"/>
      <c r="BG83" s="949"/>
      <c r="BH83" s="949"/>
      <c r="BI83" s="949"/>
      <c r="BJ83" s="949"/>
      <c r="BK83" s="949"/>
      <c r="BL83" s="949"/>
      <c r="BM83" s="949"/>
      <c r="BN83" s="949"/>
      <c r="BO83" s="949"/>
      <c r="BP83" s="949"/>
      <c r="BQ83" s="949"/>
      <c r="BR83" s="949"/>
      <c r="BS83" s="949"/>
      <c r="BT83" s="949"/>
      <c r="BU83" s="949"/>
      <c r="BV83" s="949"/>
      <c r="BW83" s="949"/>
      <c r="BX83" s="949"/>
      <c r="BY83" s="949"/>
      <c r="BZ83" s="949"/>
      <c r="CA83" s="949"/>
      <c r="CB83" s="949"/>
      <c r="CC83" s="949"/>
    </row>
    <row r="84" spans="1:81" s="376" customFormat="1" ht="13">
      <c r="A84" s="376" t="s">
        <v>8864</v>
      </c>
      <c r="C84" s="950" t="str">
        <f t="shared" ref="C84:AH84" si="21">C4</f>
        <v>Apr</v>
      </c>
      <c r="D84" s="950" t="str">
        <f t="shared" si="21"/>
        <v>May</v>
      </c>
      <c r="E84" s="950" t="str">
        <f t="shared" si="21"/>
        <v>Jun</v>
      </c>
      <c r="F84" s="950" t="str">
        <f t="shared" si="21"/>
        <v>Jul</v>
      </c>
      <c r="G84" s="950" t="str">
        <f t="shared" si="21"/>
        <v>Aug</v>
      </c>
      <c r="H84" s="950" t="str">
        <f t="shared" si="21"/>
        <v>Sep</v>
      </c>
      <c r="I84" s="950" t="str">
        <f t="shared" si="21"/>
        <v>Oct</v>
      </c>
      <c r="J84" s="950" t="str">
        <f t="shared" si="21"/>
        <v>Nov</v>
      </c>
      <c r="K84" s="950" t="str">
        <f t="shared" si="21"/>
        <v>Dec</v>
      </c>
      <c r="L84" s="950" t="str">
        <f t="shared" si="21"/>
        <v>Jan</v>
      </c>
      <c r="M84" s="950" t="str">
        <f t="shared" si="21"/>
        <v>Feb</v>
      </c>
      <c r="N84" s="950" t="str">
        <f t="shared" si="21"/>
        <v>Mar</v>
      </c>
      <c r="O84" s="950" t="str">
        <f t="shared" si="21"/>
        <v>Apr</v>
      </c>
      <c r="P84" s="950" t="str">
        <f t="shared" si="21"/>
        <v>May</v>
      </c>
      <c r="Q84" s="950" t="str">
        <f t="shared" si="21"/>
        <v>Jun</v>
      </c>
      <c r="R84" s="950" t="str">
        <f t="shared" si="21"/>
        <v>Jul</v>
      </c>
      <c r="S84" s="950" t="str">
        <f t="shared" si="21"/>
        <v>Aug</v>
      </c>
      <c r="T84" s="950" t="str">
        <f t="shared" si="21"/>
        <v>Sep</v>
      </c>
      <c r="U84" s="950" t="str">
        <f t="shared" si="21"/>
        <v>Oct</v>
      </c>
      <c r="V84" s="950" t="str">
        <f t="shared" si="21"/>
        <v>Nov</v>
      </c>
      <c r="W84" s="950" t="str">
        <f t="shared" si="21"/>
        <v>Dec</v>
      </c>
      <c r="X84" s="950" t="str">
        <f t="shared" si="21"/>
        <v>Jan</v>
      </c>
      <c r="Y84" s="950" t="str">
        <f t="shared" si="21"/>
        <v>Feb</v>
      </c>
      <c r="Z84" s="950" t="str">
        <f t="shared" si="21"/>
        <v>Mar</v>
      </c>
      <c r="AA84" s="950" t="str">
        <f t="shared" si="21"/>
        <v>Apr</v>
      </c>
      <c r="AB84" s="950" t="str">
        <f t="shared" si="21"/>
        <v>May</v>
      </c>
      <c r="AC84" s="950" t="str">
        <f t="shared" si="21"/>
        <v>Jun</v>
      </c>
      <c r="AD84" s="950" t="str">
        <f t="shared" si="21"/>
        <v>Jul</v>
      </c>
      <c r="AE84" s="950" t="str">
        <f t="shared" si="21"/>
        <v>Aug</v>
      </c>
      <c r="AF84" s="950" t="str">
        <f t="shared" si="21"/>
        <v>Sep</v>
      </c>
      <c r="AG84" s="950" t="str">
        <f t="shared" si="21"/>
        <v>Oct</v>
      </c>
      <c r="AH84" s="950" t="str">
        <f t="shared" si="21"/>
        <v>Nov</v>
      </c>
      <c r="AI84" s="950" t="str">
        <f t="shared" ref="AI84:BN84" si="22">AI4</f>
        <v>Dec</v>
      </c>
      <c r="AJ84" s="950" t="str">
        <f t="shared" si="22"/>
        <v>Jan</v>
      </c>
      <c r="AK84" s="950" t="str">
        <f t="shared" si="22"/>
        <v>Feb</v>
      </c>
      <c r="AL84" s="950" t="str">
        <f t="shared" si="22"/>
        <v>Mar</v>
      </c>
      <c r="AM84" s="950" t="str">
        <f t="shared" si="22"/>
        <v>Apr</v>
      </c>
      <c r="AN84" s="950" t="str">
        <f t="shared" si="22"/>
        <v>May</v>
      </c>
      <c r="AO84" s="950" t="str">
        <f t="shared" si="22"/>
        <v>Jun</v>
      </c>
      <c r="AP84" s="950" t="str">
        <f t="shared" si="22"/>
        <v>Jul</v>
      </c>
      <c r="AQ84" s="950" t="str">
        <f t="shared" si="22"/>
        <v>Aug</v>
      </c>
      <c r="AR84" s="950" t="str">
        <f t="shared" si="22"/>
        <v>Sep</v>
      </c>
      <c r="AS84" s="950" t="str">
        <f t="shared" si="22"/>
        <v>Oct</v>
      </c>
      <c r="AT84" s="950" t="str">
        <f t="shared" si="22"/>
        <v>Nov</v>
      </c>
      <c r="AU84" s="950" t="str">
        <f t="shared" si="22"/>
        <v>Dec</v>
      </c>
      <c r="AV84" s="950" t="str">
        <f t="shared" si="22"/>
        <v>Jan</v>
      </c>
      <c r="AW84" s="950" t="str">
        <f t="shared" si="22"/>
        <v>Feb</v>
      </c>
      <c r="AX84" s="950" t="str">
        <f t="shared" si="22"/>
        <v>Mar</v>
      </c>
      <c r="AY84" s="950" t="str">
        <f t="shared" si="22"/>
        <v>Apr</v>
      </c>
      <c r="AZ84" s="950" t="str">
        <f t="shared" si="22"/>
        <v>May</v>
      </c>
      <c r="BA84" s="950" t="str">
        <f t="shared" si="22"/>
        <v>Jun</v>
      </c>
      <c r="BB84" s="950" t="str">
        <f t="shared" si="22"/>
        <v>Jul</v>
      </c>
      <c r="BC84" s="950" t="str">
        <f t="shared" si="22"/>
        <v>Aug</v>
      </c>
      <c r="BD84" s="950" t="str">
        <f t="shared" si="22"/>
        <v>Sep</v>
      </c>
      <c r="BE84" s="950" t="str">
        <f t="shared" si="22"/>
        <v>Oct</v>
      </c>
      <c r="BF84" s="950" t="str">
        <f t="shared" si="22"/>
        <v>Nov</v>
      </c>
      <c r="BG84" s="950" t="str">
        <f t="shared" si="22"/>
        <v>Dec</v>
      </c>
      <c r="BH84" s="950" t="str">
        <f t="shared" si="22"/>
        <v>Jan</v>
      </c>
      <c r="BI84" s="950" t="str">
        <f t="shared" si="22"/>
        <v>Feb</v>
      </c>
      <c r="BJ84" s="950" t="str">
        <f t="shared" si="22"/>
        <v>Mar</v>
      </c>
      <c r="BK84" s="950" t="str">
        <f t="shared" si="22"/>
        <v>Apr</v>
      </c>
      <c r="BL84" s="950" t="str">
        <f t="shared" si="22"/>
        <v>May</v>
      </c>
      <c r="BM84" s="950" t="str">
        <f t="shared" si="22"/>
        <v>Jun</v>
      </c>
      <c r="BN84" s="950" t="str">
        <f t="shared" si="22"/>
        <v>Jul</v>
      </c>
      <c r="BO84" s="950" t="str">
        <f t="shared" ref="BO84:BV84" si="23">BO4</f>
        <v>Aug</v>
      </c>
      <c r="BP84" s="950" t="str">
        <f t="shared" si="23"/>
        <v>Sep</v>
      </c>
      <c r="BQ84" s="950" t="str">
        <f t="shared" si="23"/>
        <v>Oct</v>
      </c>
      <c r="BR84" s="950" t="str">
        <f t="shared" si="23"/>
        <v>Nov</v>
      </c>
      <c r="BS84" s="950" t="str">
        <f t="shared" si="23"/>
        <v>Dec</v>
      </c>
      <c r="BT84" s="950" t="str">
        <f t="shared" si="23"/>
        <v>Jan</v>
      </c>
      <c r="BU84" s="950" t="str">
        <f t="shared" si="23"/>
        <v>Feb</v>
      </c>
      <c r="BV84" s="950" t="str">
        <f t="shared" si="23"/>
        <v>Mar</v>
      </c>
      <c r="BW84" s="950"/>
      <c r="BX84" s="1371" t="s">
        <v>390</v>
      </c>
      <c r="BY84" s="1371" t="s">
        <v>391</v>
      </c>
      <c r="BZ84" s="1371" t="s">
        <v>392</v>
      </c>
      <c r="CA84" s="1371" t="s">
        <v>393</v>
      </c>
      <c r="CB84" s="1371" t="s">
        <v>394</v>
      </c>
      <c r="CC84" s="1371" t="s">
        <v>395</v>
      </c>
    </row>
    <row r="85" spans="1:81" s="376" customFormat="1" ht="13">
      <c r="A85" s="376" t="s">
        <v>263</v>
      </c>
      <c r="C85" s="950" t="str">
        <f t="shared" ref="C85:AH85" si="24">IF(C75="",C36,0)</f>
        <v/>
      </c>
      <c r="D85" s="950" t="str">
        <f t="shared" si="24"/>
        <v/>
      </c>
      <c r="E85" s="950">
        <f t="shared" si="24"/>
        <v>0</v>
      </c>
      <c r="F85" s="950">
        <f t="shared" si="24"/>
        <v>0</v>
      </c>
      <c r="G85" s="950">
        <f t="shared" si="24"/>
        <v>0</v>
      </c>
      <c r="H85" s="950">
        <f t="shared" si="24"/>
        <v>0</v>
      </c>
      <c r="I85" s="950">
        <f t="shared" si="24"/>
        <v>0</v>
      </c>
      <c r="J85" s="950">
        <f t="shared" si="24"/>
        <v>0</v>
      </c>
      <c r="K85" s="950">
        <f t="shared" si="24"/>
        <v>0</v>
      </c>
      <c r="L85" s="950">
        <f t="shared" si="24"/>
        <v>0</v>
      </c>
      <c r="M85" s="950">
        <f t="shared" si="24"/>
        <v>0</v>
      </c>
      <c r="N85" s="950">
        <f t="shared" si="24"/>
        <v>0</v>
      </c>
      <c r="O85" s="1327">
        <f t="shared" si="24"/>
        <v>0</v>
      </c>
      <c r="P85" s="1327">
        <f t="shared" si="24"/>
        <v>0</v>
      </c>
      <c r="Q85" s="1327" t="str">
        <f t="shared" si="24"/>
        <v/>
      </c>
      <c r="R85" s="1327" t="str">
        <f t="shared" si="24"/>
        <v/>
      </c>
      <c r="S85" s="1327" t="str">
        <f t="shared" si="24"/>
        <v/>
      </c>
      <c r="T85" s="1327" t="str">
        <f t="shared" si="24"/>
        <v/>
      </c>
      <c r="U85" s="1327" t="str">
        <f t="shared" si="24"/>
        <v/>
      </c>
      <c r="V85" s="1327" t="str">
        <f t="shared" si="24"/>
        <v/>
      </c>
      <c r="W85" s="1327" t="str">
        <f t="shared" si="24"/>
        <v/>
      </c>
      <c r="X85" s="1327" t="str">
        <f t="shared" si="24"/>
        <v/>
      </c>
      <c r="Y85" s="1327" t="str">
        <f t="shared" si="24"/>
        <v/>
      </c>
      <c r="Z85" s="1327" t="str">
        <f t="shared" si="24"/>
        <v/>
      </c>
      <c r="AA85" s="1327" t="str">
        <f t="shared" si="24"/>
        <v/>
      </c>
      <c r="AB85" s="1327" t="str">
        <f t="shared" si="24"/>
        <v/>
      </c>
      <c r="AC85" s="1327" t="str">
        <f t="shared" si="24"/>
        <v/>
      </c>
      <c r="AD85" s="1327" t="str">
        <f t="shared" si="24"/>
        <v/>
      </c>
      <c r="AE85" s="1327" t="str">
        <f t="shared" si="24"/>
        <v/>
      </c>
      <c r="AF85" s="1327" t="str">
        <f t="shared" si="24"/>
        <v/>
      </c>
      <c r="AG85" s="1327" t="str">
        <f t="shared" si="24"/>
        <v/>
      </c>
      <c r="AH85" s="1327" t="str">
        <f t="shared" si="24"/>
        <v/>
      </c>
      <c r="AI85" s="1327" t="str">
        <f t="shared" ref="AI85:BN85" si="25">IF(AI75="",AI36,0)</f>
        <v/>
      </c>
      <c r="AJ85" s="1327" t="str">
        <f t="shared" si="25"/>
        <v/>
      </c>
      <c r="AK85" s="1327" t="str">
        <f t="shared" si="25"/>
        <v/>
      </c>
      <c r="AL85" s="1327" t="str">
        <f t="shared" si="25"/>
        <v/>
      </c>
      <c r="AM85" s="1327" t="str">
        <f t="shared" si="25"/>
        <v/>
      </c>
      <c r="AN85" s="1327" t="str">
        <f t="shared" si="25"/>
        <v/>
      </c>
      <c r="AO85" s="1327" t="str">
        <f t="shared" si="25"/>
        <v/>
      </c>
      <c r="AP85" s="1327" t="str">
        <f t="shared" si="25"/>
        <v/>
      </c>
      <c r="AQ85" s="1327" t="str">
        <f t="shared" si="25"/>
        <v/>
      </c>
      <c r="AR85" s="1327" t="str">
        <f t="shared" si="25"/>
        <v/>
      </c>
      <c r="AS85" s="1327" t="str">
        <f t="shared" si="25"/>
        <v/>
      </c>
      <c r="AT85" s="1327" t="str">
        <f t="shared" si="25"/>
        <v/>
      </c>
      <c r="AU85" s="1327" t="str">
        <f t="shared" si="25"/>
        <v/>
      </c>
      <c r="AV85" s="1327" t="str">
        <f t="shared" si="25"/>
        <v/>
      </c>
      <c r="AW85" s="1327" t="str">
        <f t="shared" si="25"/>
        <v/>
      </c>
      <c r="AX85" s="1327" t="str">
        <f t="shared" si="25"/>
        <v/>
      </c>
      <c r="AY85" s="1327" t="str">
        <f t="shared" si="25"/>
        <v/>
      </c>
      <c r="AZ85" s="1327" t="str">
        <f t="shared" si="25"/>
        <v/>
      </c>
      <c r="BA85" s="1327" t="str">
        <f t="shared" si="25"/>
        <v/>
      </c>
      <c r="BB85" s="1327" t="str">
        <f t="shared" si="25"/>
        <v/>
      </c>
      <c r="BC85" s="1327" t="str">
        <f t="shared" si="25"/>
        <v/>
      </c>
      <c r="BD85" s="1327" t="str">
        <f t="shared" si="25"/>
        <v/>
      </c>
      <c r="BE85" s="1327" t="str">
        <f t="shared" si="25"/>
        <v/>
      </c>
      <c r="BF85" s="1327" t="str">
        <f t="shared" si="25"/>
        <v/>
      </c>
      <c r="BG85" s="1327" t="str">
        <f t="shared" si="25"/>
        <v/>
      </c>
      <c r="BH85" s="1327" t="str">
        <f t="shared" si="25"/>
        <v/>
      </c>
      <c r="BI85" s="1327" t="str">
        <f t="shared" si="25"/>
        <v/>
      </c>
      <c r="BJ85" s="1327" t="str">
        <f t="shared" si="25"/>
        <v/>
      </c>
      <c r="BK85" s="1327" t="str">
        <f t="shared" si="25"/>
        <v/>
      </c>
      <c r="BL85" s="1327" t="str">
        <f t="shared" si="25"/>
        <v/>
      </c>
      <c r="BM85" s="1327" t="str">
        <f t="shared" si="25"/>
        <v/>
      </c>
      <c r="BN85" s="1327" t="str">
        <f t="shared" si="25"/>
        <v/>
      </c>
      <c r="BO85" s="1327" t="str">
        <f t="shared" ref="BO85:BV85" si="26">IF(BO75="",BO36,0)</f>
        <v/>
      </c>
      <c r="BP85" s="1327" t="str">
        <f t="shared" si="26"/>
        <v/>
      </c>
      <c r="BQ85" s="1327" t="str">
        <f t="shared" si="26"/>
        <v/>
      </c>
      <c r="BR85" s="1327" t="str">
        <f t="shared" si="26"/>
        <v/>
      </c>
      <c r="BS85" s="1327" t="str">
        <f t="shared" si="26"/>
        <v/>
      </c>
      <c r="BT85" s="1327" t="str">
        <f t="shared" si="26"/>
        <v/>
      </c>
      <c r="BU85" s="1327" t="str">
        <f t="shared" si="26"/>
        <v/>
      </c>
      <c r="BV85" s="1327" t="str">
        <f t="shared" si="26"/>
        <v/>
      </c>
      <c r="BW85" s="950">
        <f>SUM(C85:BV85)</f>
        <v>0</v>
      </c>
      <c r="BX85" s="950">
        <f>SUM(C85:N85)</f>
        <v>0</v>
      </c>
      <c r="BY85" s="950">
        <f>SUM(O85:Z85)</f>
        <v>0</v>
      </c>
      <c r="BZ85" s="950">
        <f>SUM(AA85:AL85)</f>
        <v>0</v>
      </c>
      <c r="CA85" s="950">
        <f>SUM(AM85:AX85)</f>
        <v>0</v>
      </c>
      <c r="CB85" s="950">
        <f>SUM(AY85:BJ85)</f>
        <v>0</v>
      </c>
      <c r="CC85" s="950">
        <f>SUM(BK85:BV85)</f>
        <v>0</v>
      </c>
    </row>
    <row r="86" spans="1:81" s="376" customFormat="1" ht="13">
      <c r="A86" s="376" t="s">
        <v>264</v>
      </c>
      <c r="C86" s="950" t="str">
        <f>IF(C74="",C68,0)</f>
        <v/>
      </c>
      <c r="D86" s="950" t="str">
        <f t="shared" ref="D86:BO86" si="27">IF(D74="",D68,0)</f>
        <v/>
      </c>
      <c r="E86" s="950">
        <f t="shared" si="27"/>
        <v>0</v>
      </c>
      <c r="F86" s="950">
        <f t="shared" si="27"/>
        <v>2440</v>
      </c>
      <c r="G86" s="950">
        <f t="shared" si="27"/>
        <v>2440</v>
      </c>
      <c r="H86" s="950">
        <f t="shared" si="27"/>
        <v>2440</v>
      </c>
      <c r="I86" s="950">
        <f t="shared" si="27"/>
        <v>2440</v>
      </c>
      <c r="J86" s="950">
        <f t="shared" si="27"/>
        <v>0</v>
      </c>
      <c r="K86" s="950">
        <f t="shared" si="27"/>
        <v>0</v>
      </c>
      <c r="L86" s="950">
        <f t="shared" si="27"/>
        <v>0</v>
      </c>
      <c r="M86" s="950">
        <f t="shared" si="27"/>
        <v>0</v>
      </c>
      <c r="N86" s="950">
        <f t="shared" si="27"/>
        <v>0</v>
      </c>
      <c r="O86" s="1327">
        <f t="shared" si="27"/>
        <v>0</v>
      </c>
      <c r="P86" s="1327">
        <f t="shared" si="27"/>
        <v>0</v>
      </c>
      <c r="Q86" s="1327" t="str">
        <f t="shared" si="27"/>
        <v/>
      </c>
      <c r="R86" s="1327" t="str">
        <f t="shared" si="27"/>
        <v/>
      </c>
      <c r="S86" s="1327" t="str">
        <f t="shared" si="27"/>
        <v/>
      </c>
      <c r="T86" s="1327" t="str">
        <f t="shared" si="27"/>
        <v/>
      </c>
      <c r="U86" s="1327" t="str">
        <f t="shared" si="27"/>
        <v/>
      </c>
      <c r="V86" s="1327" t="str">
        <f t="shared" si="27"/>
        <v/>
      </c>
      <c r="W86" s="1327" t="str">
        <f t="shared" si="27"/>
        <v/>
      </c>
      <c r="X86" s="1327" t="str">
        <f t="shared" si="27"/>
        <v/>
      </c>
      <c r="Y86" s="1327" t="str">
        <f t="shared" si="27"/>
        <v/>
      </c>
      <c r="Z86" s="1327" t="str">
        <f t="shared" si="27"/>
        <v/>
      </c>
      <c r="AA86" s="1327" t="str">
        <f t="shared" si="27"/>
        <v/>
      </c>
      <c r="AB86" s="1327" t="str">
        <f t="shared" si="27"/>
        <v/>
      </c>
      <c r="AC86" s="1327" t="str">
        <f t="shared" si="27"/>
        <v/>
      </c>
      <c r="AD86" s="1327" t="str">
        <f t="shared" si="27"/>
        <v/>
      </c>
      <c r="AE86" s="1327" t="str">
        <f t="shared" si="27"/>
        <v/>
      </c>
      <c r="AF86" s="1327" t="str">
        <f t="shared" si="27"/>
        <v/>
      </c>
      <c r="AG86" s="1327" t="str">
        <f t="shared" si="27"/>
        <v/>
      </c>
      <c r="AH86" s="1327" t="str">
        <f t="shared" si="27"/>
        <v/>
      </c>
      <c r="AI86" s="1327" t="str">
        <f t="shared" si="27"/>
        <v/>
      </c>
      <c r="AJ86" s="1327" t="str">
        <f t="shared" si="27"/>
        <v/>
      </c>
      <c r="AK86" s="1327" t="str">
        <f t="shared" si="27"/>
        <v/>
      </c>
      <c r="AL86" s="1327" t="str">
        <f t="shared" si="27"/>
        <v/>
      </c>
      <c r="AM86" s="1327" t="str">
        <f t="shared" si="27"/>
        <v/>
      </c>
      <c r="AN86" s="1327" t="str">
        <f t="shared" si="27"/>
        <v/>
      </c>
      <c r="AO86" s="1327" t="str">
        <f t="shared" si="27"/>
        <v/>
      </c>
      <c r="AP86" s="1327" t="str">
        <f t="shared" si="27"/>
        <v/>
      </c>
      <c r="AQ86" s="1327" t="str">
        <f t="shared" si="27"/>
        <v/>
      </c>
      <c r="AR86" s="1327" t="str">
        <f t="shared" si="27"/>
        <v/>
      </c>
      <c r="AS86" s="1327" t="str">
        <f t="shared" si="27"/>
        <v/>
      </c>
      <c r="AT86" s="1327" t="str">
        <f t="shared" si="27"/>
        <v/>
      </c>
      <c r="AU86" s="1327" t="str">
        <f t="shared" si="27"/>
        <v/>
      </c>
      <c r="AV86" s="1327" t="str">
        <f t="shared" si="27"/>
        <v/>
      </c>
      <c r="AW86" s="1327" t="str">
        <f t="shared" si="27"/>
        <v/>
      </c>
      <c r="AX86" s="1327" t="str">
        <f t="shared" si="27"/>
        <v/>
      </c>
      <c r="AY86" s="1327" t="str">
        <f t="shared" si="27"/>
        <v/>
      </c>
      <c r="AZ86" s="1327" t="str">
        <f t="shared" si="27"/>
        <v/>
      </c>
      <c r="BA86" s="1327" t="str">
        <f t="shared" si="27"/>
        <v/>
      </c>
      <c r="BB86" s="1327" t="str">
        <f t="shared" si="27"/>
        <v/>
      </c>
      <c r="BC86" s="1327" t="str">
        <f t="shared" si="27"/>
        <v/>
      </c>
      <c r="BD86" s="1327" t="str">
        <f t="shared" si="27"/>
        <v/>
      </c>
      <c r="BE86" s="1327" t="str">
        <f t="shared" si="27"/>
        <v/>
      </c>
      <c r="BF86" s="1327" t="str">
        <f t="shared" si="27"/>
        <v/>
      </c>
      <c r="BG86" s="1327" t="str">
        <f t="shared" si="27"/>
        <v/>
      </c>
      <c r="BH86" s="1327" t="str">
        <f t="shared" si="27"/>
        <v/>
      </c>
      <c r="BI86" s="1327" t="str">
        <f t="shared" si="27"/>
        <v/>
      </c>
      <c r="BJ86" s="1327" t="str">
        <f t="shared" si="27"/>
        <v/>
      </c>
      <c r="BK86" s="1327" t="str">
        <f t="shared" si="27"/>
        <v/>
      </c>
      <c r="BL86" s="1327" t="str">
        <f t="shared" si="27"/>
        <v/>
      </c>
      <c r="BM86" s="1327" t="str">
        <f t="shared" si="27"/>
        <v/>
      </c>
      <c r="BN86" s="1327" t="str">
        <f t="shared" si="27"/>
        <v/>
      </c>
      <c r="BO86" s="1327" t="str">
        <f t="shared" si="27"/>
        <v/>
      </c>
      <c r="BP86" s="1327" t="str">
        <f t="shared" ref="BP86:BV86" si="28">IF(BP74="",BP68,0)</f>
        <v/>
      </c>
      <c r="BQ86" s="1327" t="str">
        <f t="shared" si="28"/>
        <v/>
      </c>
      <c r="BR86" s="1327" t="str">
        <f t="shared" si="28"/>
        <v/>
      </c>
      <c r="BS86" s="1327" t="str">
        <f t="shared" si="28"/>
        <v/>
      </c>
      <c r="BT86" s="1327" t="str">
        <f t="shared" si="28"/>
        <v/>
      </c>
      <c r="BU86" s="1327" t="str">
        <f t="shared" si="28"/>
        <v/>
      </c>
      <c r="BV86" s="1327" t="str">
        <f t="shared" si="28"/>
        <v/>
      </c>
      <c r="BW86" s="950">
        <f>SUM(C86:BV86)</f>
        <v>9760</v>
      </c>
      <c r="BX86" s="950">
        <f>SUM(C86:N86)</f>
        <v>9760</v>
      </c>
      <c r="BY86" s="950">
        <f>SUM(O86:Z86)</f>
        <v>0</v>
      </c>
      <c r="BZ86" s="950">
        <f>SUM(AA86:AL86)</f>
        <v>0</v>
      </c>
      <c r="CA86" s="950">
        <f>SUM(AM86:AX86)</f>
        <v>0</v>
      </c>
      <c r="CB86" s="950">
        <f>SUM(AY86:BJ86)</f>
        <v>0</v>
      </c>
      <c r="CC86" s="950">
        <f>SUM(BK86:BV86)</f>
        <v>0</v>
      </c>
    </row>
    <row r="87" spans="1:81" s="376" customFormat="1" ht="13">
      <c r="A87" s="376" t="s">
        <v>296</v>
      </c>
      <c r="C87" s="950" t="str">
        <f>IF(AND(C86="",C85=""),"",SUM(C85:C86))</f>
        <v/>
      </c>
      <c r="D87" s="950" t="str">
        <f t="shared" ref="D87:BO87" si="29">IF(AND(D86="",D85=""),"",SUM(D85:D86))</f>
        <v/>
      </c>
      <c r="E87" s="950">
        <f t="shared" si="29"/>
        <v>0</v>
      </c>
      <c r="F87" s="950">
        <f t="shared" si="29"/>
        <v>2440</v>
      </c>
      <c r="G87" s="950">
        <f t="shared" si="29"/>
        <v>2440</v>
      </c>
      <c r="H87" s="950">
        <f t="shared" si="29"/>
        <v>2440</v>
      </c>
      <c r="I87" s="950">
        <f t="shared" si="29"/>
        <v>2440</v>
      </c>
      <c r="J87" s="950">
        <f t="shared" si="29"/>
        <v>0</v>
      </c>
      <c r="K87" s="950">
        <f t="shared" si="29"/>
        <v>0</v>
      </c>
      <c r="L87" s="950">
        <f t="shared" si="29"/>
        <v>0</v>
      </c>
      <c r="M87" s="950">
        <f t="shared" si="29"/>
        <v>0</v>
      </c>
      <c r="N87" s="950">
        <f t="shared" si="29"/>
        <v>0</v>
      </c>
      <c r="O87" s="1327">
        <f t="shared" si="29"/>
        <v>0</v>
      </c>
      <c r="P87" s="1327">
        <f t="shared" si="29"/>
        <v>0</v>
      </c>
      <c r="Q87" s="1327" t="str">
        <f t="shared" si="29"/>
        <v/>
      </c>
      <c r="R87" s="1327" t="str">
        <f t="shared" si="29"/>
        <v/>
      </c>
      <c r="S87" s="1327" t="str">
        <f t="shared" si="29"/>
        <v/>
      </c>
      <c r="T87" s="1327" t="str">
        <f t="shared" si="29"/>
        <v/>
      </c>
      <c r="U87" s="1327" t="str">
        <f t="shared" si="29"/>
        <v/>
      </c>
      <c r="V87" s="1327" t="str">
        <f t="shared" si="29"/>
        <v/>
      </c>
      <c r="W87" s="1327" t="str">
        <f t="shared" si="29"/>
        <v/>
      </c>
      <c r="X87" s="1327" t="str">
        <f t="shared" si="29"/>
        <v/>
      </c>
      <c r="Y87" s="1327" t="str">
        <f t="shared" si="29"/>
        <v/>
      </c>
      <c r="Z87" s="1327" t="str">
        <f t="shared" si="29"/>
        <v/>
      </c>
      <c r="AA87" s="1327" t="str">
        <f t="shared" si="29"/>
        <v/>
      </c>
      <c r="AB87" s="1327" t="str">
        <f t="shared" si="29"/>
        <v/>
      </c>
      <c r="AC87" s="1327" t="str">
        <f t="shared" si="29"/>
        <v/>
      </c>
      <c r="AD87" s="1327" t="str">
        <f t="shared" si="29"/>
        <v/>
      </c>
      <c r="AE87" s="1327" t="str">
        <f t="shared" si="29"/>
        <v/>
      </c>
      <c r="AF87" s="1327" t="str">
        <f t="shared" si="29"/>
        <v/>
      </c>
      <c r="AG87" s="1327" t="str">
        <f t="shared" si="29"/>
        <v/>
      </c>
      <c r="AH87" s="1327" t="str">
        <f t="shared" si="29"/>
        <v/>
      </c>
      <c r="AI87" s="1327" t="str">
        <f t="shared" si="29"/>
        <v/>
      </c>
      <c r="AJ87" s="1327" t="str">
        <f t="shared" si="29"/>
        <v/>
      </c>
      <c r="AK87" s="1327" t="str">
        <f t="shared" si="29"/>
        <v/>
      </c>
      <c r="AL87" s="1327" t="str">
        <f t="shared" si="29"/>
        <v/>
      </c>
      <c r="AM87" s="1327" t="str">
        <f t="shared" si="29"/>
        <v/>
      </c>
      <c r="AN87" s="1327" t="str">
        <f t="shared" si="29"/>
        <v/>
      </c>
      <c r="AO87" s="1327" t="str">
        <f t="shared" si="29"/>
        <v/>
      </c>
      <c r="AP87" s="1327" t="str">
        <f t="shared" si="29"/>
        <v/>
      </c>
      <c r="AQ87" s="1327" t="str">
        <f t="shared" si="29"/>
        <v/>
      </c>
      <c r="AR87" s="1327" t="str">
        <f t="shared" si="29"/>
        <v/>
      </c>
      <c r="AS87" s="1327" t="str">
        <f t="shared" si="29"/>
        <v/>
      </c>
      <c r="AT87" s="1327" t="str">
        <f t="shared" si="29"/>
        <v/>
      </c>
      <c r="AU87" s="1327" t="str">
        <f t="shared" si="29"/>
        <v/>
      </c>
      <c r="AV87" s="1327" t="str">
        <f t="shared" si="29"/>
        <v/>
      </c>
      <c r="AW87" s="1327" t="str">
        <f t="shared" si="29"/>
        <v/>
      </c>
      <c r="AX87" s="1327" t="str">
        <f t="shared" si="29"/>
        <v/>
      </c>
      <c r="AY87" s="1327" t="str">
        <f t="shared" si="29"/>
        <v/>
      </c>
      <c r="AZ87" s="1327" t="str">
        <f t="shared" si="29"/>
        <v/>
      </c>
      <c r="BA87" s="1327" t="str">
        <f t="shared" si="29"/>
        <v/>
      </c>
      <c r="BB87" s="1327" t="str">
        <f t="shared" si="29"/>
        <v/>
      </c>
      <c r="BC87" s="1327" t="str">
        <f t="shared" si="29"/>
        <v/>
      </c>
      <c r="BD87" s="1327" t="str">
        <f t="shared" si="29"/>
        <v/>
      </c>
      <c r="BE87" s="1327" t="str">
        <f t="shared" si="29"/>
        <v/>
      </c>
      <c r="BF87" s="1327" t="str">
        <f t="shared" si="29"/>
        <v/>
      </c>
      <c r="BG87" s="1327" t="str">
        <f t="shared" si="29"/>
        <v/>
      </c>
      <c r="BH87" s="1327" t="str">
        <f t="shared" si="29"/>
        <v/>
      </c>
      <c r="BI87" s="1327" t="str">
        <f t="shared" si="29"/>
        <v/>
      </c>
      <c r="BJ87" s="1327" t="str">
        <f t="shared" si="29"/>
        <v/>
      </c>
      <c r="BK87" s="1327" t="str">
        <f t="shared" si="29"/>
        <v/>
      </c>
      <c r="BL87" s="1327" t="str">
        <f t="shared" si="29"/>
        <v/>
      </c>
      <c r="BM87" s="1327" t="str">
        <f t="shared" si="29"/>
        <v/>
      </c>
      <c r="BN87" s="1327" t="str">
        <f t="shared" si="29"/>
        <v/>
      </c>
      <c r="BO87" s="1327" t="str">
        <f t="shared" si="29"/>
        <v/>
      </c>
      <c r="BP87" s="1327" t="str">
        <f t="shared" ref="BP87:BU87" si="30">IF(AND(BP86="",BP85=""),"",SUM(BP85:BP86))</f>
        <v/>
      </c>
      <c r="BQ87" s="1327" t="str">
        <f t="shared" si="30"/>
        <v/>
      </c>
      <c r="BR87" s="1327" t="str">
        <f t="shared" si="30"/>
        <v/>
      </c>
      <c r="BS87" s="1327" t="str">
        <f t="shared" si="30"/>
        <v/>
      </c>
      <c r="BT87" s="1327" t="str">
        <f t="shared" si="30"/>
        <v/>
      </c>
      <c r="BU87" s="1327" t="str">
        <f t="shared" si="30"/>
        <v/>
      </c>
      <c r="BV87" s="1327" t="str">
        <f>IF(AND(BV86="",BV85=""),"",SUM(BV85:BV86))</f>
        <v/>
      </c>
      <c r="BW87" s="950"/>
      <c r="BX87" s="950"/>
      <c r="BY87" s="950"/>
      <c r="BZ87" s="950"/>
      <c r="CA87" s="950"/>
      <c r="CB87" s="950"/>
      <c r="CC87" s="950"/>
    </row>
    <row r="88" spans="1:81" s="373" customFormat="1" ht="14.25" customHeight="1">
      <c r="A88" s="376" t="s">
        <v>107</v>
      </c>
      <c r="B88" s="376"/>
      <c r="C88" s="950">
        <f>IF(C74="",C69,0)</f>
        <v>0</v>
      </c>
      <c r="D88" s="950">
        <f t="shared" ref="D88:BO88" si="31">IF(D74="",D69,0)</f>
        <v>0</v>
      </c>
      <c r="E88" s="950">
        <f t="shared" si="31"/>
        <v>0</v>
      </c>
      <c r="F88" s="950">
        <f t="shared" si="31"/>
        <v>54.574666666666673</v>
      </c>
      <c r="G88" s="950">
        <f t="shared" si="31"/>
        <v>163.94593697777779</v>
      </c>
      <c r="H88" s="950">
        <f t="shared" si="31"/>
        <v>273.76198378815411</v>
      </c>
      <c r="I88" s="950">
        <f t="shared" si="31"/>
        <v>384.0246158555592</v>
      </c>
      <c r="J88" s="950">
        <f t="shared" si="31"/>
        <v>0</v>
      </c>
      <c r="K88" s="950">
        <f t="shared" si="31"/>
        <v>0</v>
      </c>
      <c r="L88" s="950">
        <f t="shared" si="31"/>
        <v>0</v>
      </c>
      <c r="M88" s="950">
        <f t="shared" si="31"/>
        <v>0</v>
      </c>
      <c r="N88" s="950">
        <f t="shared" si="31"/>
        <v>0</v>
      </c>
      <c r="O88" s="950">
        <f t="shared" si="31"/>
        <v>0</v>
      </c>
      <c r="P88" s="950">
        <f t="shared" si="31"/>
        <v>0</v>
      </c>
      <c r="Q88" s="950">
        <f t="shared" si="31"/>
        <v>0</v>
      </c>
      <c r="R88" s="950">
        <f t="shared" si="31"/>
        <v>0</v>
      </c>
      <c r="S88" s="950">
        <f t="shared" si="31"/>
        <v>0</v>
      </c>
      <c r="T88" s="950">
        <f t="shared" si="31"/>
        <v>0</v>
      </c>
      <c r="U88" s="950">
        <f t="shared" si="31"/>
        <v>0</v>
      </c>
      <c r="V88" s="950">
        <f t="shared" si="31"/>
        <v>0</v>
      </c>
      <c r="W88" s="950">
        <f t="shared" si="31"/>
        <v>0</v>
      </c>
      <c r="X88" s="950">
        <f t="shared" si="31"/>
        <v>0</v>
      </c>
      <c r="Y88" s="950">
        <f t="shared" si="31"/>
        <v>0</v>
      </c>
      <c r="Z88" s="950">
        <f t="shared" si="31"/>
        <v>0</v>
      </c>
      <c r="AA88" s="950">
        <f t="shared" si="31"/>
        <v>0</v>
      </c>
      <c r="AB88" s="950">
        <f t="shared" si="31"/>
        <v>0</v>
      </c>
      <c r="AC88" s="950">
        <f t="shared" si="31"/>
        <v>0</v>
      </c>
      <c r="AD88" s="950">
        <f t="shared" si="31"/>
        <v>0</v>
      </c>
      <c r="AE88" s="950">
        <f t="shared" si="31"/>
        <v>0</v>
      </c>
      <c r="AF88" s="950">
        <f t="shared" si="31"/>
        <v>0</v>
      </c>
      <c r="AG88" s="950">
        <f t="shared" si="31"/>
        <v>0</v>
      </c>
      <c r="AH88" s="950">
        <f t="shared" si="31"/>
        <v>0</v>
      </c>
      <c r="AI88" s="950">
        <f t="shared" si="31"/>
        <v>0</v>
      </c>
      <c r="AJ88" s="950">
        <f t="shared" si="31"/>
        <v>0</v>
      </c>
      <c r="AK88" s="950">
        <f t="shared" si="31"/>
        <v>0</v>
      </c>
      <c r="AL88" s="950">
        <f t="shared" si="31"/>
        <v>0</v>
      </c>
      <c r="AM88" s="950">
        <f t="shared" si="31"/>
        <v>0</v>
      </c>
      <c r="AN88" s="950">
        <f t="shared" si="31"/>
        <v>0</v>
      </c>
      <c r="AO88" s="950">
        <f t="shared" si="31"/>
        <v>0</v>
      </c>
      <c r="AP88" s="950">
        <f t="shared" si="31"/>
        <v>0</v>
      </c>
      <c r="AQ88" s="950">
        <f t="shared" si="31"/>
        <v>0</v>
      </c>
      <c r="AR88" s="950">
        <f t="shared" si="31"/>
        <v>0</v>
      </c>
      <c r="AS88" s="950">
        <f t="shared" si="31"/>
        <v>0</v>
      </c>
      <c r="AT88" s="950">
        <f t="shared" si="31"/>
        <v>0</v>
      </c>
      <c r="AU88" s="950">
        <f t="shared" si="31"/>
        <v>0</v>
      </c>
      <c r="AV88" s="950">
        <f t="shared" si="31"/>
        <v>0</v>
      </c>
      <c r="AW88" s="950">
        <f t="shared" si="31"/>
        <v>0</v>
      </c>
      <c r="AX88" s="950">
        <f t="shared" si="31"/>
        <v>0</v>
      </c>
      <c r="AY88" s="950">
        <f t="shared" si="31"/>
        <v>0</v>
      </c>
      <c r="AZ88" s="950">
        <f t="shared" si="31"/>
        <v>0</v>
      </c>
      <c r="BA88" s="950">
        <f t="shared" si="31"/>
        <v>0</v>
      </c>
      <c r="BB88" s="950">
        <f t="shared" si="31"/>
        <v>0</v>
      </c>
      <c r="BC88" s="950">
        <f t="shared" si="31"/>
        <v>0</v>
      </c>
      <c r="BD88" s="950">
        <f t="shared" si="31"/>
        <v>0</v>
      </c>
      <c r="BE88" s="950">
        <f t="shared" si="31"/>
        <v>0</v>
      </c>
      <c r="BF88" s="950">
        <f t="shared" si="31"/>
        <v>0</v>
      </c>
      <c r="BG88" s="950">
        <f t="shared" si="31"/>
        <v>0</v>
      </c>
      <c r="BH88" s="950">
        <f t="shared" si="31"/>
        <v>0</v>
      </c>
      <c r="BI88" s="950">
        <f t="shared" si="31"/>
        <v>0</v>
      </c>
      <c r="BJ88" s="950">
        <f t="shared" si="31"/>
        <v>0</v>
      </c>
      <c r="BK88" s="950">
        <f t="shared" si="31"/>
        <v>0</v>
      </c>
      <c r="BL88" s="950">
        <f t="shared" si="31"/>
        <v>0</v>
      </c>
      <c r="BM88" s="950">
        <f t="shared" si="31"/>
        <v>0</v>
      </c>
      <c r="BN88" s="950">
        <f t="shared" si="31"/>
        <v>0</v>
      </c>
      <c r="BO88" s="950">
        <f t="shared" si="31"/>
        <v>0</v>
      </c>
      <c r="BP88" s="950">
        <f t="shared" ref="BP88:BV88" si="32">IF(BP74="",BP69,0)</f>
        <v>0</v>
      </c>
      <c r="BQ88" s="950">
        <f t="shared" si="32"/>
        <v>0</v>
      </c>
      <c r="BR88" s="950">
        <f t="shared" si="32"/>
        <v>0</v>
      </c>
      <c r="BS88" s="950">
        <f t="shared" si="32"/>
        <v>0</v>
      </c>
      <c r="BT88" s="950">
        <f t="shared" si="32"/>
        <v>0</v>
      </c>
      <c r="BU88" s="950">
        <f t="shared" si="32"/>
        <v>0</v>
      </c>
      <c r="BV88" s="950">
        <f t="shared" si="32"/>
        <v>0</v>
      </c>
      <c r="BW88" s="950">
        <f>SUM(C88:BV88)</f>
        <v>876.30720328815778</v>
      </c>
      <c r="BX88" s="950">
        <f>SUM(C88:N88)</f>
        <v>876.30720328815778</v>
      </c>
      <c r="BY88" s="950">
        <f>SUM(O88:Z88)</f>
        <v>0</v>
      </c>
      <c r="BZ88" s="950">
        <f>SUM(AA88:AL88)</f>
        <v>0</v>
      </c>
      <c r="CA88" s="950">
        <f>SUM(AM88:AX88)</f>
        <v>0</v>
      </c>
      <c r="CB88" s="950">
        <f>SUM(AY88:BJ88)</f>
        <v>0</v>
      </c>
      <c r="CC88" s="950">
        <f>SUM(BK88:BV88)</f>
        <v>0</v>
      </c>
    </row>
    <row r="89" spans="1:81" s="370" customFormat="1" ht="14.25" customHeight="1"/>
  </sheetData>
  <sheetProtection algorithmName="SHA-512" hashValue="rZ6wAlvzkvZP7AlfhnOC5BrHYJWRfg1zfi3qMe2EGZpL1hXnrPM/lEBBWrPPLxwA/6x2mILDQTKC6KBj1hLslA==" saltValue="LZJTrkvwC9PU8pMrFTsj5g==" spinCount="100000" sheet="1" formatCells="0" formatColumns="0" formatRows="0"/>
  <protectedRanges>
    <protectedRange sqref="B74:BV75" name="VOWD"/>
  </protectedRanges>
  <mergeCells count="26">
    <mergeCell ref="AA39:AL39"/>
    <mergeCell ref="AA5:AL5"/>
    <mergeCell ref="BX7:CC7"/>
    <mergeCell ref="O1:Z1"/>
    <mergeCell ref="C1:N1"/>
    <mergeCell ref="C6:N6"/>
    <mergeCell ref="O6:Z6"/>
    <mergeCell ref="AY1:BJ1"/>
    <mergeCell ref="AY5:BJ5"/>
    <mergeCell ref="AY6:BJ6"/>
    <mergeCell ref="A1:A2"/>
    <mergeCell ref="AY39:BJ39"/>
    <mergeCell ref="BK1:BV1"/>
    <mergeCell ref="BK5:BV5"/>
    <mergeCell ref="BK6:BV6"/>
    <mergeCell ref="BK39:BV39"/>
    <mergeCell ref="O39:Z39"/>
    <mergeCell ref="C39:N39"/>
    <mergeCell ref="C5:N5"/>
    <mergeCell ref="O5:Z5"/>
    <mergeCell ref="AM1:AX1"/>
    <mergeCell ref="AM5:AX5"/>
    <mergeCell ref="AM6:AX6"/>
    <mergeCell ref="AM39:AX39"/>
    <mergeCell ref="AA1:AL1"/>
    <mergeCell ref="AA6:AL6"/>
  </mergeCells>
  <conditionalFormatting sqref="Z7 Z21:Z27 C8:N13 C66:M66 O66:Y66 AA66:AK66 AM66:AX66 AM34:AX34 C34:AK34 N14 AL54:AL60 O8:AX14 C28:AK31 AM27:AX31 N21:N27 C27:M27 AA27:AK27 O27:Y27 C35:BV35 C36:J36 L36:BV36 C32:AX33 C61:AX61 C63:AX65 C62:BV62">
    <cfRule type="cellIs" dxfId="404" priority="197" operator="equal">
      <formula>0</formula>
    </cfRule>
  </conditionalFormatting>
  <conditionalFormatting sqref="AM60:AX60 AM40:AX40 C60:AK60 C40:AK40 Z54:Z59 N66 Z66 C41:AX45 N47:AX47 N54:N59 C69:BV69">
    <cfRule type="cellIs" dxfId="403" priority="196" operator="equal">
      <formula>0</formula>
    </cfRule>
  </conditionalFormatting>
  <conditionalFormatting sqref="C67:BV67">
    <cfRule type="cellIs" dxfId="402" priority="184" operator="equal">
      <formula>0</formula>
    </cfRule>
  </conditionalFormatting>
  <conditionalFormatting sqref="C14:M14 C22:M26 O22:Y26 AA22:AK26 AM22:AX26">
    <cfRule type="cellIs" dxfId="401" priority="180" operator="equal">
      <formula>0</formula>
    </cfRule>
  </conditionalFormatting>
  <conditionalFormatting sqref="C46:AX46">
    <cfRule type="cellIs" dxfId="400" priority="179" operator="equal">
      <formula>0</formula>
    </cfRule>
  </conditionalFormatting>
  <conditionalFormatting sqref="AL7 AL34 AL21:AL31">
    <cfRule type="cellIs" dxfId="399" priority="178" operator="equal">
      <formula>0</formula>
    </cfRule>
  </conditionalFormatting>
  <conditionalFormatting sqref="AL40 AL66">
    <cfRule type="cellIs" dxfId="398" priority="177" operator="equal">
      <formula>0</formula>
    </cfRule>
  </conditionalFormatting>
  <conditionalFormatting sqref="AM3:AX3">
    <cfRule type="cellIs" dxfId="397" priority="148" stopIfTrue="1" operator="equal">
      <formula>0</formula>
    </cfRule>
    <cfRule type="cellIs" dxfId="396" priority="149" stopIfTrue="1" operator="equal">
      <formula>"Start"</formula>
    </cfRule>
    <cfRule type="cellIs" dxfId="395" priority="150" stopIfTrue="1" operator="equal">
      <formula>"Req"</formula>
    </cfRule>
    <cfRule type="cellIs" dxfId="394" priority="151" stopIfTrue="1" operator="equal">
      <formula>"Des"</formula>
    </cfRule>
    <cfRule type="cellIs" dxfId="393" priority="152" stopIfTrue="1" operator="equal">
      <formula>"Dev"</formula>
    </cfRule>
    <cfRule type="cellIs" dxfId="392" priority="153" stopIfTrue="1" operator="equal">
      <formula>"Impl"</formula>
    </cfRule>
  </conditionalFormatting>
  <conditionalFormatting sqref="C68:BV68">
    <cfRule type="cellIs" dxfId="391" priority="144" operator="equal">
      <formula>0</formula>
    </cfRule>
  </conditionalFormatting>
  <conditionalFormatting sqref="C47:M47">
    <cfRule type="cellIs" dxfId="390" priority="143" operator="equal">
      <formula>0</formula>
    </cfRule>
  </conditionalFormatting>
  <conditionalFormatting sqref="C54:M54 O54:Y54 AA54:AK54 AM54:AX54">
    <cfRule type="cellIs" dxfId="389" priority="141" operator="equal">
      <formula>0</formula>
    </cfRule>
  </conditionalFormatting>
  <conditionalFormatting sqref="C55:M58 O55:Y58 AA55:AK58 AM55:AX58">
    <cfRule type="cellIs" dxfId="388" priority="138" operator="equal">
      <formula>0</formula>
    </cfRule>
  </conditionalFormatting>
  <conditionalFormatting sqref="C59:M59 AM59:AX59 AA59:AK59 O59:Y59">
    <cfRule type="cellIs" dxfId="387" priority="137" operator="equal">
      <formula>0</formula>
    </cfRule>
  </conditionalFormatting>
  <conditionalFormatting sqref="AY8:BJ14 AY27:BJ34 AY61:BJ61 AY63:BJ66">
    <cfRule type="cellIs" dxfId="386" priority="136" operator="equal">
      <formula>0</formula>
    </cfRule>
  </conditionalFormatting>
  <conditionalFormatting sqref="AY60:BJ60 AY40:BJ45 AY47:BJ47">
    <cfRule type="cellIs" dxfId="385" priority="135" operator="equal">
      <formula>0</formula>
    </cfRule>
  </conditionalFormatting>
  <conditionalFormatting sqref="AY22:BJ26">
    <cfRule type="cellIs" dxfId="384" priority="130" operator="equal">
      <formula>0</formula>
    </cfRule>
  </conditionalFormatting>
  <conditionalFormatting sqref="AY46:BJ46">
    <cfRule type="cellIs" dxfId="383" priority="129" operator="equal">
      <formula>0</formula>
    </cfRule>
  </conditionalFormatting>
  <conditionalFormatting sqref="AY3:BJ3">
    <cfRule type="cellIs" dxfId="382" priority="123" stopIfTrue="1" operator="equal">
      <formula>0</formula>
    </cfRule>
    <cfRule type="cellIs" dxfId="381" priority="124" stopIfTrue="1" operator="equal">
      <formula>"Start"</formula>
    </cfRule>
    <cfRule type="cellIs" dxfId="380" priority="125" stopIfTrue="1" operator="equal">
      <formula>"Req"</formula>
    </cfRule>
    <cfRule type="cellIs" dxfId="379" priority="126" stopIfTrue="1" operator="equal">
      <formula>"Des"</formula>
    </cfRule>
    <cfRule type="cellIs" dxfId="378" priority="127" stopIfTrue="1" operator="equal">
      <formula>"Dev"</formula>
    </cfRule>
    <cfRule type="cellIs" dxfId="377" priority="128" stopIfTrue="1" operator="equal">
      <formula>"Impl"</formula>
    </cfRule>
  </conditionalFormatting>
  <conditionalFormatting sqref="AY54:BJ54">
    <cfRule type="cellIs" dxfId="376" priority="121" operator="equal">
      <formula>0</formula>
    </cfRule>
  </conditionalFormatting>
  <conditionalFormatting sqref="AY55:BJ58">
    <cfRule type="cellIs" dxfId="375" priority="120" operator="equal">
      <formula>0</formula>
    </cfRule>
  </conditionalFormatting>
  <conditionalFormatting sqref="AY59:BJ59">
    <cfRule type="cellIs" dxfId="374" priority="119" operator="equal">
      <formula>0</formula>
    </cfRule>
  </conditionalFormatting>
  <conditionalFormatting sqref="BK8:BV14 BK27:BV34 BK61:BV61 BK63:BV66">
    <cfRule type="cellIs" dxfId="373" priority="118" operator="equal">
      <formula>0</formula>
    </cfRule>
  </conditionalFormatting>
  <conditionalFormatting sqref="BK60:BV60 BK40:BV45 BK47:BV47">
    <cfRule type="cellIs" dxfId="372" priority="117" operator="equal">
      <formula>0</formula>
    </cfRule>
  </conditionalFormatting>
  <conditionalFormatting sqref="BK22:BV26">
    <cfRule type="cellIs" dxfId="371" priority="112" operator="equal">
      <formula>0</formula>
    </cfRule>
  </conditionalFormatting>
  <conditionalFormatting sqref="BK46:BV46">
    <cfRule type="cellIs" dxfId="370" priority="111" operator="equal">
      <formula>0</formula>
    </cfRule>
  </conditionalFormatting>
  <conditionalFormatting sqref="BK3:BV3">
    <cfRule type="cellIs" dxfId="369" priority="105" stopIfTrue="1" operator="equal">
      <formula>0</formula>
    </cfRule>
    <cfRule type="cellIs" dxfId="368" priority="106" stopIfTrue="1" operator="equal">
      <formula>"Start"</formula>
    </cfRule>
    <cfRule type="cellIs" dxfId="367" priority="107" stopIfTrue="1" operator="equal">
      <formula>"Req"</formula>
    </cfRule>
    <cfRule type="cellIs" dxfId="366" priority="108" stopIfTrue="1" operator="equal">
      <formula>"Des"</formula>
    </cfRule>
    <cfRule type="cellIs" dxfId="365" priority="109" stopIfTrue="1" operator="equal">
      <formula>"Dev"</formula>
    </cfRule>
    <cfRule type="cellIs" dxfId="364" priority="110" stopIfTrue="1" operator="equal">
      <formula>"Impl"</formula>
    </cfRule>
  </conditionalFormatting>
  <conditionalFormatting sqref="BK54:BV54">
    <cfRule type="cellIs" dxfId="363" priority="103" operator="equal">
      <formula>0</formula>
    </cfRule>
  </conditionalFormatting>
  <conditionalFormatting sqref="BK55:BV58">
    <cfRule type="cellIs" dxfId="362" priority="102" operator="equal">
      <formula>0</formula>
    </cfRule>
  </conditionalFormatting>
  <conditionalFormatting sqref="BK59:BV59">
    <cfRule type="cellIs" dxfId="361" priority="101" operator="equal">
      <formula>0</formula>
    </cfRule>
  </conditionalFormatting>
  <conditionalFormatting sqref="BK15:BV15">
    <cfRule type="cellIs" dxfId="360" priority="92" operator="equal">
      <formula>0</formula>
    </cfRule>
  </conditionalFormatting>
  <conditionalFormatting sqref="AM15:AX15 C15:AK15">
    <cfRule type="cellIs" dxfId="359" priority="95" operator="equal">
      <formula>0</formula>
    </cfRule>
  </conditionalFormatting>
  <conditionalFormatting sqref="AL15">
    <cfRule type="cellIs" dxfId="358" priority="94" operator="equal">
      <formula>0</formula>
    </cfRule>
  </conditionalFormatting>
  <conditionalFormatting sqref="AY15:BJ15">
    <cfRule type="cellIs" dxfId="357" priority="93" operator="equal">
      <formula>0</formula>
    </cfRule>
  </conditionalFormatting>
  <conditionalFormatting sqref="AL48">
    <cfRule type="cellIs" dxfId="356" priority="91" operator="equal">
      <formula>0</formula>
    </cfRule>
  </conditionalFormatting>
  <conditionalFormatting sqref="AM48:AX48 C48:AK48">
    <cfRule type="cellIs" dxfId="355" priority="90" operator="equal">
      <formula>0</formula>
    </cfRule>
  </conditionalFormatting>
  <conditionalFormatting sqref="AY48:BJ48">
    <cfRule type="cellIs" dxfId="354" priority="89" operator="equal">
      <formula>0</formula>
    </cfRule>
  </conditionalFormatting>
  <conditionalFormatting sqref="BK48:BV48">
    <cfRule type="cellIs" dxfId="353" priority="88" operator="equal">
      <formula>0</formula>
    </cfRule>
  </conditionalFormatting>
  <conditionalFormatting sqref="AL53">
    <cfRule type="cellIs" dxfId="352" priority="87" operator="equal">
      <formula>0</formula>
    </cfRule>
  </conditionalFormatting>
  <conditionalFormatting sqref="Z53 N53">
    <cfRule type="cellIs" dxfId="351" priority="86" operator="equal">
      <formula>0</formula>
    </cfRule>
  </conditionalFormatting>
  <conditionalFormatting sqref="C49:BV52">
    <cfRule type="cellIs" dxfId="350" priority="85" operator="equal">
      <formula>0</formula>
    </cfRule>
  </conditionalFormatting>
  <conditionalFormatting sqref="C53:M53 AM53:AX53 AA53:AK53 O53:Y53">
    <cfRule type="cellIs" dxfId="349" priority="84" operator="equal">
      <formula>0</formula>
    </cfRule>
  </conditionalFormatting>
  <conditionalFormatting sqref="C20:M20 O20:Y20 AA20:AK20 AM20:AX20 C16:BV19">
    <cfRule type="cellIs" dxfId="348" priority="78" operator="equal">
      <formula>0</formula>
    </cfRule>
  </conditionalFormatting>
  <conditionalFormatting sqref="AY53:BJ53">
    <cfRule type="cellIs" dxfId="347" priority="82" operator="equal">
      <formula>0</formula>
    </cfRule>
  </conditionalFormatting>
  <conditionalFormatting sqref="AY20:BJ20">
    <cfRule type="cellIs" dxfId="346" priority="76" operator="equal">
      <formula>0</formula>
    </cfRule>
  </conditionalFormatting>
  <conditionalFormatting sqref="BK53:BV53">
    <cfRule type="cellIs" dxfId="345" priority="80" operator="equal">
      <formula>0</formula>
    </cfRule>
  </conditionalFormatting>
  <conditionalFormatting sqref="Z20 N20">
    <cfRule type="cellIs" dxfId="344" priority="79" operator="equal">
      <formula>0</formula>
    </cfRule>
  </conditionalFormatting>
  <conditionalFormatting sqref="AL20">
    <cfRule type="cellIs" dxfId="343" priority="77" operator="equal">
      <formula>0</formula>
    </cfRule>
  </conditionalFormatting>
  <conditionalFormatting sqref="BK20:BV20">
    <cfRule type="cellIs" dxfId="342" priority="75" operator="equal">
      <formula>0</formula>
    </cfRule>
  </conditionalFormatting>
  <conditionalFormatting sqref="C2:BV2">
    <cfRule type="cellIs" dxfId="341" priority="5" operator="equal">
      <formula>"PIS"</formula>
    </cfRule>
    <cfRule type="cellIs" dxfId="340" priority="28" operator="equal">
      <formula>"Close"</formula>
    </cfRule>
    <cfRule type="cellIs" dxfId="339" priority="29" operator="equal">
      <formula>"Rel"</formula>
    </cfRule>
    <cfRule type="cellIs" dxfId="338" priority="30" stopIfTrue="1" operator="equal">
      <formula>0</formula>
    </cfRule>
    <cfRule type="cellIs" dxfId="337" priority="162" stopIfTrue="1" operator="equal">
      <formula>"Start"</formula>
    </cfRule>
    <cfRule type="cellIs" dxfId="336" priority="166" stopIfTrue="1" operator="equal">
      <formula>"Req"</formula>
    </cfRule>
    <cfRule type="cellIs" dxfId="335" priority="167" stopIfTrue="1" operator="equal">
      <formula>"Des"</formula>
    </cfRule>
    <cfRule type="cellIs" dxfId="334" priority="168" stopIfTrue="1" operator="equal">
      <formula>"Dev"</formula>
    </cfRule>
    <cfRule type="cellIs" dxfId="333" priority="169" stopIfTrue="1" operator="equal">
      <formula>"Impl"</formula>
    </cfRule>
    <cfRule type="cellIs" dxfId="332" priority="170" stopIfTrue="1" operator="equal">
      <formula>"Sprint0"</formula>
    </cfRule>
  </conditionalFormatting>
  <conditionalFormatting sqref="K36">
    <cfRule type="cellIs" dxfId="331" priority="1" operator="equal">
      <formula>0</formula>
    </cfRule>
  </conditionalFormatting>
  <pageMargins left="0.25" right="0.25" top="0.75" bottom="0.75" header="0.3" footer="0.3"/>
  <pageSetup paperSize="5" scale="35" fitToHeight="0" orientation="landscape" r:id="rId1"/>
  <headerFooter>
    <oddHeader>&amp;C&amp;"Tahoma,Bold"&amp;14&amp;F - &amp;A</oddHeader>
    <oddFooter>&amp;L&amp;"Tahoma,Regular"&amp;P of &amp;N&amp;R&amp;"Tahoma,Regular"&amp;D</oddFooter>
  </headerFooter>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8">
    <tabColor rgb="FF0070C0"/>
  </sheetPr>
  <dimension ref="A1"/>
  <sheetViews>
    <sheetView workbookViewId="0">
      <selection activeCell="E13" sqref="E13"/>
    </sheetView>
  </sheetViews>
  <sheetFormatPr defaultColWidth="9.1796875" defaultRowHeight="14.5"/>
  <cols>
    <col min="1" max="10" width="9.1796875" style="136"/>
    <col min="11" max="11" width="4.7265625" style="136" customWidth="1"/>
    <col min="12" max="16384" width="9.1796875" style="136"/>
  </cols>
  <sheetData/>
  <sheetProtection algorithmName="SHA-512" hashValue="qsa2ZXlcB/UZLwH5xTqUrIwC5lynz+jhdQNcT7m9Xb5+PdH7erCIM9jCb6pCauyCXn9V2fo1q4cGwlqcD73lOA==" saltValue="gsIW1CEd7WnuOnBcqKy5Lg==" spinCount="100000" sheet="1" objects="1" scenarios="1"/>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4973A-A70D-4705-AAD4-37B1CDBB9F2B}">
  <sheetPr codeName="Sheet19">
    <tabColor theme="1"/>
  </sheetPr>
  <dimension ref="A1:AU117"/>
  <sheetViews>
    <sheetView showGridLines="0" workbookViewId="0"/>
  </sheetViews>
  <sheetFormatPr defaultColWidth="9.1796875" defaultRowHeight="13"/>
  <cols>
    <col min="1" max="16384" width="9.1796875" style="649"/>
  </cols>
  <sheetData>
    <row r="1" spans="1:47">
      <c r="A1" s="648"/>
      <c r="B1" s="648"/>
      <c r="C1" s="648"/>
      <c r="D1" s="648"/>
      <c r="E1" s="648"/>
      <c r="F1" s="648"/>
      <c r="G1" s="648"/>
      <c r="H1" s="648"/>
      <c r="I1" s="648"/>
      <c r="J1" s="648"/>
      <c r="K1" s="648"/>
      <c r="L1" s="648"/>
      <c r="M1" s="648"/>
      <c r="N1" s="648"/>
      <c r="O1" s="648"/>
      <c r="P1" s="648"/>
      <c r="Q1" s="648"/>
      <c r="R1" s="648"/>
      <c r="S1" s="648"/>
      <c r="T1" s="648"/>
      <c r="U1" s="648"/>
      <c r="V1" s="648"/>
      <c r="W1" s="648"/>
      <c r="X1" s="648"/>
      <c r="Y1" s="648"/>
      <c r="Z1" s="648"/>
      <c r="AA1" s="648"/>
      <c r="AB1" s="648"/>
      <c r="AC1" s="648"/>
      <c r="AD1" s="648"/>
      <c r="AE1" s="648"/>
      <c r="AF1" s="648"/>
      <c r="AG1" s="648"/>
      <c r="AH1" s="648"/>
      <c r="AI1" s="648"/>
      <c r="AJ1" s="648"/>
      <c r="AK1" s="648"/>
      <c r="AL1" s="648"/>
      <c r="AM1" s="648"/>
      <c r="AN1" s="648"/>
      <c r="AO1" s="648"/>
      <c r="AP1" s="648"/>
      <c r="AQ1" s="648"/>
      <c r="AR1" s="648"/>
      <c r="AS1" s="648"/>
      <c r="AT1" s="648"/>
      <c r="AU1" s="648"/>
    </row>
    <row r="2" spans="1:47">
      <c r="A2" s="648"/>
      <c r="B2" s="648"/>
      <c r="C2" s="648"/>
      <c r="D2" s="648"/>
      <c r="E2" s="648"/>
      <c r="F2" s="648"/>
      <c r="G2" s="648"/>
      <c r="H2" s="648"/>
      <c r="I2" s="648"/>
      <c r="J2" s="648"/>
      <c r="K2" s="648"/>
      <c r="L2" s="648"/>
      <c r="M2" s="648"/>
      <c r="N2" s="648"/>
      <c r="O2" s="648"/>
      <c r="P2" s="648"/>
      <c r="Q2" s="648"/>
      <c r="R2" s="648"/>
      <c r="S2" s="648"/>
      <c r="T2" s="648"/>
      <c r="U2" s="648"/>
      <c r="V2" s="648"/>
      <c r="W2" s="648"/>
      <c r="X2" s="648"/>
      <c r="Y2" s="648"/>
      <c r="Z2" s="648"/>
      <c r="AA2" s="648"/>
      <c r="AB2" s="648"/>
      <c r="AC2" s="648"/>
      <c r="AD2" s="648"/>
      <c r="AE2" s="648"/>
      <c r="AF2" s="648"/>
      <c r="AG2" s="648"/>
      <c r="AH2" s="648"/>
      <c r="AI2" s="648"/>
      <c r="AJ2" s="648"/>
      <c r="AK2" s="648"/>
      <c r="AL2" s="648"/>
      <c r="AM2" s="648"/>
      <c r="AN2" s="648"/>
      <c r="AO2" s="648"/>
      <c r="AP2" s="648"/>
      <c r="AQ2" s="648"/>
      <c r="AR2" s="648"/>
      <c r="AS2" s="648"/>
      <c r="AT2" s="648"/>
      <c r="AU2" s="648"/>
    </row>
    <row r="3" spans="1:47">
      <c r="A3" s="648"/>
      <c r="B3" s="648"/>
      <c r="C3" s="648"/>
      <c r="D3" s="648"/>
      <c r="E3" s="648"/>
      <c r="F3" s="648"/>
      <c r="G3" s="648"/>
      <c r="H3" s="648"/>
      <c r="I3" s="648"/>
      <c r="J3" s="648"/>
      <c r="K3" s="648"/>
      <c r="L3" s="648"/>
      <c r="M3" s="648"/>
      <c r="N3" s="648"/>
      <c r="O3" s="648"/>
      <c r="P3" s="648"/>
      <c r="Q3" s="648"/>
      <c r="R3" s="648"/>
      <c r="S3" s="648"/>
      <c r="T3" s="648"/>
      <c r="U3" s="648"/>
      <c r="V3" s="648"/>
      <c r="W3" s="648"/>
      <c r="X3" s="648"/>
      <c r="Y3" s="648"/>
      <c r="Z3" s="648"/>
      <c r="AA3" s="648"/>
      <c r="AB3" s="648"/>
      <c r="AC3" s="648"/>
      <c r="AD3" s="648"/>
      <c r="AE3" s="648"/>
      <c r="AF3" s="648"/>
      <c r="AG3" s="648"/>
      <c r="AH3" s="648"/>
      <c r="AI3" s="648"/>
      <c r="AJ3" s="648"/>
      <c r="AK3" s="648"/>
      <c r="AL3" s="648"/>
      <c r="AM3" s="648"/>
      <c r="AN3" s="648"/>
      <c r="AO3" s="648"/>
      <c r="AP3" s="648"/>
      <c r="AQ3" s="648"/>
      <c r="AR3" s="648"/>
      <c r="AS3" s="648"/>
      <c r="AT3" s="648"/>
      <c r="AU3" s="648"/>
    </row>
    <row r="4" spans="1:47">
      <c r="A4" s="648"/>
      <c r="B4" s="648"/>
      <c r="C4" s="648"/>
      <c r="D4" s="648"/>
      <c r="E4" s="648"/>
      <c r="F4" s="648"/>
      <c r="G4" s="648"/>
      <c r="H4" s="648"/>
      <c r="I4" s="648"/>
      <c r="J4" s="648"/>
      <c r="K4" s="648"/>
      <c r="L4" s="648"/>
      <c r="M4" s="648"/>
      <c r="N4" s="648"/>
      <c r="O4" s="648"/>
      <c r="P4" s="648"/>
      <c r="Q4" s="648"/>
      <c r="R4" s="648"/>
      <c r="S4" s="648"/>
      <c r="T4" s="648"/>
      <c r="U4" s="648"/>
      <c r="V4" s="648"/>
      <c r="W4" s="648"/>
      <c r="X4" s="648"/>
      <c r="Y4" s="648"/>
      <c r="Z4" s="648"/>
      <c r="AA4" s="648"/>
      <c r="AB4" s="648"/>
      <c r="AC4" s="648"/>
      <c r="AD4" s="648"/>
      <c r="AE4" s="648"/>
      <c r="AF4" s="648"/>
      <c r="AG4" s="648"/>
      <c r="AH4" s="648"/>
      <c r="AI4" s="648"/>
      <c r="AJ4" s="648"/>
      <c r="AK4" s="648"/>
      <c r="AL4" s="648"/>
      <c r="AM4" s="648"/>
      <c r="AN4" s="648"/>
      <c r="AO4" s="648"/>
      <c r="AP4" s="648"/>
      <c r="AQ4" s="648"/>
      <c r="AR4" s="648"/>
      <c r="AS4" s="648"/>
      <c r="AT4" s="648"/>
      <c r="AU4" s="648"/>
    </row>
    <row r="5" spans="1:47">
      <c r="A5" s="648"/>
      <c r="B5" s="648"/>
      <c r="C5" s="648"/>
      <c r="D5" s="648"/>
      <c r="E5" s="648"/>
      <c r="F5" s="648"/>
      <c r="G5" s="648"/>
      <c r="H5" s="648"/>
      <c r="I5" s="648"/>
      <c r="J5" s="648"/>
      <c r="K5" s="648"/>
      <c r="L5" s="648"/>
      <c r="M5" s="648"/>
      <c r="N5" s="648"/>
      <c r="O5" s="648"/>
      <c r="P5" s="648"/>
      <c r="Q5" s="648"/>
      <c r="R5" s="648"/>
      <c r="S5" s="648"/>
      <c r="T5" s="648"/>
      <c r="U5" s="648"/>
      <c r="V5" s="648"/>
      <c r="W5" s="648"/>
      <c r="X5" s="648"/>
      <c r="Y5" s="648"/>
      <c r="Z5" s="648"/>
      <c r="AA5" s="648"/>
      <c r="AB5" s="648"/>
      <c r="AC5" s="648"/>
      <c r="AD5" s="648"/>
      <c r="AE5" s="648"/>
      <c r="AF5" s="648"/>
      <c r="AG5" s="648"/>
      <c r="AH5" s="648"/>
      <c r="AI5" s="648"/>
      <c r="AJ5" s="648"/>
      <c r="AK5" s="648"/>
      <c r="AL5" s="648"/>
      <c r="AM5" s="648"/>
      <c r="AN5" s="648"/>
      <c r="AO5" s="648"/>
      <c r="AP5" s="648"/>
      <c r="AQ5" s="648"/>
      <c r="AR5" s="648"/>
      <c r="AS5" s="648"/>
      <c r="AT5" s="648"/>
      <c r="AU5" s="648"/>
    </row>
    <row r="6" spans="1:47">
      <c r="A6" s="648"/>
      <c r="B6" s="648"/>
      <c r="C6" s="648"/>
      <c r="D6" s="648"/>
      <c r="E6" s="648"/>
      <c r="F6" s="648"/>
      <c r="G6" s="648"/>
      <c r="H6" s="648"/>
      <c r="I6" s="648"/>
      <c r="J6" s="648"/>
      <c r="K6" s="648"/>
      <c r="L6" s="648"/>
      <c r="M6" s="648"/>
      <c r="N6" s="648"/>
      <c r="O6" s="648"/>
      <c r="P6" s="648"/>
      <c r="Q6" s="648"/>
      <c r="R6" s="648"/>
      <c r="S6" s="648"/>
      <c r="T6" s="648"/>
      <c r="U6" s="648"/>
      <c r="V6" s="648"/>
      <c r="W6" s="648"/>
      <c r="X6" s="648"/>
      <c r="Y6" s="648"/>
      <c r="Z6" s="648"/>
      <c r="AA6" s="648"/>
      <c r="AB6" s="648"/>
      <c r="AC6" s="648"/>
      <c r="AD6" s="648"/>
      <c r="AE6" s="648"/>
      <c r="AF6" s="648"/>
      <c r="AG6" s="648"/>
      <c r="AH6" s="648"/>
      <c r="AI6" s="648"/>
      <c r="AJ6" s="648"/>
      <c r="AK6" s="648"/>
      <c r="AL6" s="648"/>
      <c r="AM6" s="648"/>
      <c r="AN6" s="648"/>
      <c r="AO6" s="648"/>
      <c r="AP6" s="648"/>
      <c r="AQ6" s="648"/>
      <c r="AR6" s="648"/>
      <c r="AS6" s="648"/>
      <c r="AT6" s="648"/>
      <c r="AU6" s="648"/>
    </row>
    <row r="7" spans="1:47">
      <c r="A7" s="648"/>
      <c r="B7" s="648"/>
      <c r="C7" s="648"/>
      <c r="D7" s="648"/>
      <c r="E7" s="648"/>
      <c r="F7" s="648"/>
      <c r="G7" s="648"/>
      <c r="H7" s="648"/>
      <c r="I7" s="648"/>
      <c r="J7" s="648"/>
      <c r="K7" s="648"/>
      <c r="L7" s="648"/>
      <c r="M7" s="648"/>
      <c r="N7" s="648"/>
      <c r="O7" s="648"/>
      <c r="P7" s="648"/>
      <c r="Q7" s="648"/>
      <c r="R7" s="648"/>
      <c r="S7" s="648"/>
      <c r="T7" s="648"/>
      <c r="U7" s="648"/>
      <c r="V7" s="648"/>
      <c r="W7" s="648"/>
      <c r="X7" s="648"/>
      <c r="Y7" s="648"/>
      <c r="Z7" s="648"/>
      <c r="AA7" s="648"/>
      <c r="AB7" s="648"/>
      <c r="AC7" s="648"/>
      <c r="AD7" s="648"/>
      <c r="AE7" s="648"/>
      <c r="AF7" s="648"/>
      <c r="AG7" s="648"/>
      <c r="AH7" s="648"/>
      <c r="AI7" s="648"/>
      <c r="AJ7" s="648"/>
      <c r="AK7" s="648"/>
      <c r="AL7" s="648"/>
      <c r="AM7" s="648"/>
      <c r="AN7" s="648"/>
      <c r="AO7" s="648"/>
      <c r="AP7" s="648"/>
      <c r="AQ7" s="648"/>
      <c r="AR7" s="648"/>
      <c r="AS7" s="648"/>
      <c r="AT7" s="648"/>
      <c r="AU7" s="648"/>
    </row>
    <row r="8" spans="1:47">
      <c r="A8" s="648"/>
      <c r="B8" s="648"/>
      <c r="C8" s="648"/>
      <c r="D8" s="648"/>
      <c r="E8" s="648"/>
      <c r="F8" s="648"/>
      <c r="G8" s="648"/>
      <c r="H8" s="648"/>
      <c r="I8" s="648"/>
      <c r="J8" s="648"/>
      <c r="K8" s="648"/>
      <c r="L8" s="648"/>
      <c r="M8" s="648"/>
      <c r="N8" s="648"/>
      <c r="O8" s="648"/>
      <c r="P8" s="648"/>
      <c r="Q8" s="648"/>
      <c r="R8" s="648"/>
      <c r="S8" s="648"/>
      <c r="T8" s="648"/>
      <c r="U8" s="648"/>
      <c r="V8" s="648"/>
      <c r="W8" s="648"/>
      <c r="X8" s="648"/>
      <c r="Y8" s="648"/>
      <c r="Z8" s="648"/>
      <c r="AA8" s="648"/>
      <c r="AB8" s="648"/>
      <c r="AC8" s="648"/>
      <c r="AD8" s="648"/>
      <c r="AE8" s="648"/>
      <c r="AF8" s="648"/>
      <c r="AG8" s="648"/>
      <c r="AH8" s="648"/>
      <c r="AI8" s="648"/>
      <c r="AJ8" s="648"/>
      <c r="AK8" s="648"/>
      <c r="AL8" s="648"/>
      <c r="AM8" s="648"/>
      <c r="AN8" s="648"/>
      <c r="AO8" s="648"/>
      <c r="AP8" s="648"/>
      <c r="AQ8" s="648"/>
      <c r="AR8" s="648"/>
      <c r="AS8" s="648"/>
      <c r="AT8" s="648"/>
      <c r="AU8" s="648"/>
    </row>
    <row r="9" spans="1:47">
      <c r="A9" s="648"/>
      <c r="B9" s="648"/>
      <c r="C9" s="648"/>
      <c r="D9" s="648"/>
      <c r="E9" s="648"/>
      <c r="F9" s="648"/>
      <c r="G9" s="648"/>
      <c r="H9" s="648"/>
      <c r="I9" s="648"/>
      <c r="J9" s="648"/>
      <c r="K9" s="648"/>
      <c r="L9" s="648"/>
      <c r="M9" s="648"/>
      <c r="N9" s="648"/>
      <c r="O9" s="648"/>
      <c r="P9" s="648"/>
      <c r="Q9" s="648"/>
      <c r="R9" s="648"/>
      <c r="S9" s="648"/>
      <c r="T9" s="648"/>
      <c r="U9" s="648"/>
      <c r="V9" s="648"/>
      <c r="W9" s="648"/>
      <c r="X9" s="648"/>
      <c r="Y9" s="648"/>
      <c r="Z9" s="648"/>
      <c r="AA9" s="648"/>
      <c r="AB9" s="648"/>
      <c r="AC9" s="648"/>
      <c r="AD9" s="648"/>
      <c r="AE9" s="648"/>
      <c r="AF9" s="648"/>
      <c r="AG9" s="648"/>
      <c r="AH9" s="648"/>
      <c r="AI9" s="648"/>
      <c r="AJ9" s="648"/>
      <c r="AK9" s="648"/>
      <c r="AL9" s="648"/>
      <c r="AM9" s="648"/>
      <c r="AN9" s="648"/>
      <c r="AO9" s="648"/>
      <c r="AP9" s="648"/>
      <c r="AQ9" s="648"/>
      <c r="AR9" s="648"/>
      <c r="AS9" s="648"/>
      <c r="AT9" s="648"/>
      <c r="AU9" s="648"/>
    </row>
    <row r="10" spans="1:47">
      <c r="A10" s="648"/>
      <c r="B10" s="648"/>
      <c r="C10" s="648"/>
      <c r="D10" s="648"/>
      <c r="E10" s="648"/>
      <c r="F10" s="648"/>
      <c r="G10" s="648"/>
      <c r="H10" s="648"/>
      <c r="I10" s="648"/>
      <c r="J10" s="648"/>
      <c r="K10" s="648"/>
      <c r="L10" s="648"/>
      <c r="M10" s="648"/>
      <c r="N10" s="648"/>
      <c r="O10" s="648"/>
      <c r="P10" s="648"/>
      <c r="Q10" s="648"/>
      <c r="R10" s="648"/>
      <c r="S10" s="648"/>
      <c r="T10" s="648"/>
      <c r="U10" s="648"/>
      <c r="V10" s="648"/>
      <c r="W10" s="648"/>
      <c r="X10" s="648"/>
      <c r="Y10" s="648"/>
      <c r="Z10" s="648"/>
      <c r="AA10" s="648"/>
      <c r="AB10" s="648"/>
      <c r="AC10" s="648"/>
      <c r="AD10" s="648"/>
      <c r="AE10" s="648"/>
      <c r="AF10" s="648"/>
      <c r="AG10" s="648"/>
      <c r="AH10" s="648"/>
      <c r="AI10" s="648"/>
      <c r="AJ10" s="648"/>
      <c r="AK10" s="648"/>
      <c r="AL10" s="648"/>
      <c r="AM10" s="648"/>
      <c r="AN10" s="648"/>
      <c r="AO10" s="648"/>
      <c r="AP10" s="648"/>
      <c r="AQ10" s="648"/>
      <c r="AR10" s="648"/>
      <c r="AS10" s="648"/>
      <c r="AT10" s="648"/>
      <c r="AU10" s="648"/>
    </row>
    <row r="11" spans="1:47">
      <c r="A11" s="648"/>
      <c r="B11" s="648"/>
      <c r="C11" s="648"/>
      <c r="D11" s="648"/>
      <c r="E11" s="648"/>
      <c r="F11" s="648"/>
      <c r="G11" s="648"/>
      <c r="H11" s="648"/>
      <c r="I11" s="648"/>
      <c r="J11" s="648"/>
      <c r="K11" s="648"/>
      <c r="L11" s="648"/>
      <c r="M11" s="648"/>
      <c r="N11" s="648"/>
      <c r="O11" s="648"/>
      <c r="P11" s="648"/>
      <c r="Q11" s="648"/>
      <c r="R11" s="648"/>
      <c r="S11" s="648"/>
      <c r="T11" s="648"/>
      <c r="U11" s="648"/>
      <c r="V11" s="648"/>
      <c r="W11" s="648"/>
      <c r="X11" s="648"/>
      <c r="Y11" s="648"/>
      <c r="Z11" s="648"/>
      <c r="AA11" s="648"/>
      <c r="AB11" s="648"/>
      <c r="AC11" s="648"/>
      <c r="AD11" s="648"/>
      <c r="AE11" s="648"/>
      <c r="AF11" s="648"/>
      <c r="AG11" s="648"/>
      <c r="AH11" s="648"/>
      <c r="AI11" s="648"/>
      <c r="AJ11" s="648"/>
      <c r="AK11" s="648"/>
      <c r="AL11" s="648"/>
      <c r="AM11" s="648"/>
      <c r="AN11" s="648"/>
      <c r="AO11" s="648"/>
      <c r="AP11" s="648"/>
      <c r="AQ11" s="648"/>
      <c r="AR11" s="648"/>
      <c r="AS11" s="648"/>
      <c r="AT11" s="648"/>
      <c r="AU11" s="648"/>
    </row>
    <row r="12" spans="1:47">
      <c r="A12" s="648"/>
      <c r="B12" s="648"/>
      <c r="C12" s="648"/>
      <c r="D12" s="648"/>
      <c r="E12" s="648"/>
      <c r="F12" s="648"/>
      <c r="G12" s="648"/>
      <c r="H12" s="648"/>
      <c r="I12" s="648"/>
      <c r="J12" s="648"/>
      <c r="K12" s="648"/>
      <c r="L12" s="648"/>
      <c r="M12" s="648"/>
      <c r="N12" s="648"/>
      <c r="O12" s="648"/>
      <c r="P12" s="648"/>
      <c r="Q12" s="648"/>
      <c r="R12" s="648"/>
      <c r="S12" s="648"/>
      <c r="T12" s="648"/>
      <c r="U12" s="648"/>
      <c r="V12" s="648"/>
      <c r="W12" s="648"/>
      <c r="X12" s="648"/>
      <c r="Y12" s="648"/>
      <c r="Z12" s="648"/>
      <c r="AA12" s="648"/>
      <c r="AB12" s="648"/>
      <c r="AC12" s="648"/>
      <c r="AD12" s="648"/>
      <c r="AE12" s="648"/>
      <c r="AF12" s="648"/>
      <c r="AG12" s="648"/>
      <c r="AH12" s="648"/>
      <c r="AI12" s="648"/>
      <c r="AJ12" s="648"/>
      <c r="AK12" s="648"/>
      <c r="AL12" s="648"/>
      <c r="AM12" s="648"/>
      <c r="AN12" s="648"/>
      <c r="AO12" s="648"/>
      <c r="AP12" s="648"/>
      <c r="AQ12" s="648"/>
      <c r="AR12" s="648"/>
      <c r="AS12" s="648"/>
      <c r="AT12" s="648"/>
      <c r="AU12" s="648"/>
    </row>
    <row r="13" spans="1:47">
      <c r="A13" s="648"/>
      <c r="B13" s="648"/>
      <c r="C13" s="648"/>
      <c r="D13" s="648"/>
      <c r="E13" s="648"/>
      <c r="F13" s="648"/>
      <c r="G13" s="648"/>
      <c r="H13" s="648"/>
      <c r="I13" s="648"/>
      <c r="J13" s="648"/>
      <c r="K13" s="648"/>
      <c r="L13" s="648"/>
      <c r="M13" s="648"/>
      <c r="N13" s="648"/>
      <c r="O13" s="648"/>
      <c r="P13" s="648"/>
      <c r="Q13" s="648"/>
      <c r="R13" s="648"/>
      <c r="S13" s="648"/>
      <c r="T13" s="648"/>
      <c r="U13" s="648"/>
      <c r="V13" s="648"/>
      <c r="W13" s="648"/>
      <c r="X13" s="648"/>
      <c r="Y13" s="648"/>
      <c r="Z13" s="648"/>
      <c r="AA13" s="648"/>
      <c r="AB13" s="648"/>
      <c r="AC13" s="648"/>
      <c r="AD13" s="648"/>
      <c r="AE13" s="648"/>
      <c r="AF13" s="648"/>
      <c r="AG13" s="648"/>
      <c r="AH13" s="648"/>
      <c r="AI13" s="648"/>
      <c r="AJ13" s="648"/>
      <c r="AK13" s="648"/>
      <c r="AL13" s="648"/>
      <c r="AM13" s="648"/>
      <c r="AN13" s="648"/>
      <c r="AO13" s="648"/>
      <c r="AP13" s="648"/>
      <c r="AQ13" s="648"/>
      <c r="AR13" s="648"/>
      <c r="AS13" s="648"/>
      <c r="AT13" s="648"/>
      <c r="AU13" s="648"/>
    </row>
    <row r="14" spans="1:47">
      <c r="A14" s="648"/>
      <c r="B14" s="648"/>
      <c r="C14" s="648"/>
      <c r="D14" s="648"/>
      <c r="E14" s="648"/>
      <c r="F14" s="648"/>
      <c r="G14" s="648"/>
      <c r="H14" s="648"/>
      <c r="I14" s="648"/>
      <c r="J14" s="648"/>
      <c r="K14" s="648"/>
      <c r="L14" s="648"/>
      <c r="M14" s="648"/>
      <c r="N14" s="648"/>
      <c r="O14" s="648"/>
      <c r="P14" s="648"/>
      <c r="Q14" s="648"/>
      <c r="R14" s="648"/>
      <c r="S14" s="648"/>
      <c r="T14" s="648"/>
      <c r="U14" s="648"/>
      <c r="V14" s="648"/>
      <c r="W14" s="648"/>
      <c r="X14" s="648"/>
      <c r="Y14" s="648"/>
      <c r="Z14" s="648"/>
      <c r="AA14" s="648"/>
      <c r="AB14" s="648"/>
      <c r="AC14" s="648"/>
      <c r="AD14" s="648"/>
      <c r="AE14" s="648"/>
      <c r="AF14" s="648"/>
      <c r="AG14" s="648"/>
      <c r="AH14" s="648"/>
      <c r="AI14" s="648"/>
      <c r="AJ14" s="648"/>
      <c r="AK14" s="648"/>
      <c r="AL14" s="648"/>
      <c r="AM14" s="648"/>
      <c r="AN14" s="648"/>
      <c r="AO14" s="648"/>
      <c r="AP14" s="648"/>
      <c r="AQ14" s="648"/>
      <c r="AR14" s="648"/>
      <c r="AS14" s="648"/>
      <c r="AT14" s="648"/>
      <c r="AU14" s="648"/>
    </row>
    <row r="15" spans="1:47">
      <c r="A15" s="648"/>
      <c r="B15" s="648"/>
      <c r="C15" s="648"/>
      <c r="D15" s="648"/>
      <c r="E15" s="648"/>
      <c r="F15" s="648"/>
      <c r="G15" s="648"/>
      <c r="H15" s="648"/>
      <c r="I15" s="648"/>
      <c r="J15" s="648"/>
      <c r="K15" s="648"/>
      <c r="L15" s="648"/>
      <c r="M15" s="648"/>
      <c r="N15" s="648"/>
      <c r="O15" s="648"/>
      <c r="P15" s="648"/>
      <c r="Q15" s="648"/>
      <c r="R15" s="648"/>
      <c r="S15" s="648"/>
      <c r="T15" s="648"/>
      <c r="U15" s="648"/>
      <c r="V15" s="648"/>
      <c r="W15" s="648"/>
      <c r="X15" s="648"/>
      <c r="Y15" s="648"/>
      <c r="Z15" s="648"/>
      <c r="AA15" s="648"/>
      <c r="AB15" s="648"/>
      <c r="AC15" s="648"/>
      <c r="AD15" s="648"/>
      <c r="AE15" s="648"/>
      <c r="AF15" s="648"/>
      <c r="AG15" s="648"/>
      <c r="AH15" s="648"/>
      <c r="AI15" s="648"/>
      <c r="AJ15" s="648"/>
      <c r="AK15" s="648"/>
      <c r="AL15" s="648"/>
      <c r="AM15" s="648"/>
      <c r="AN15" s="648"/>
      <c r="AO15" s="648"/>
      <c r="AP15" s="648"/>
      <c r="AQ15" s="648"/>
      <c r="AR15" s="648"/>
      <c r="AS15" s="648"/>
      <c r="AT15" s="648"/>
      <c r="AU15" s="648"/>
    </row>
    <row r="16" spans="1:47">
      <c r="A16" s="648"/>
      <c r="B16" s="648"/>
      <c r="C16" s="648"/>
      <c r="D16" s="648"/>
      <c r="E16" s="648"/>
      <c r="F16" s="648"/>
      <c r="G16" s="648"/>
      <c r="H16" s="648"/>
      <c r="I16" s="648"/>
      <c r="J16" s="648"/>
      <c r="K16" s="648"/>
      <c r="L16" s="648"/>
      <c r="M16" s="648"/>
      <c r="N16" s="648"/>
      <c r="O16" s="648"/>
      <c r="P16" s="648"/>
      <c r="Q16" s="648"/>
      <c r="R16" s="648"/>
      <c r="S16" s="648"/>
      <c r="T16" s="648"/>
      <c r="U16" s="648"/>
      <c r="V16" s="648"/>
      <c r="W16" s="648"/>
      <c r="X16" s="648"/>
      <c r="Y16" s="648"/>
      <c r="Z16" s="648"/>
      <c r="AA16" s="648"/>
      <c r="AB16" s="648"/>
      <c r="AC16" s="648"/>
      <c r="AD16" s="648"/>
      <c r="AE16" s="648"/>
      <c r="AF16" s="648"/>
      <c r="AG16" s="648"/>
      <c r="AH16" s="648"/>
      <c r="AI16" s="648"/>
      <c r="AJ16" s="648"/>
      <c r="AK16" s="648"/>
      <c r="AL16" s="648"/>
      <c r="AM16" s="648"/>
      <c r="AN16" s="648"/>
      <c r="AO16" s="648"/>
      <c r="AP16" s="648"/>
      <c r="AQ16" s="648"/>
      <c r="AR16" s="648"/>
      <c r="AS16" s="648"/>
      <c r="AT16" s="648"/>
      <c r="AU16" s="648"/>
    </row>
    <row r="17" spans="1:47">
      <c r="A17" s="648"/>
      <c r="B17" s="648"/>
      <c r="C17" s="648"/>
      <c r="D17" s="648"/>
      <c r="E17" s="648"/>
      <c r="F17" s="648"/>
      <c r="G17" s="648"/>
      <c r="H17" s="648"/>
      <c r="I17" s="648"/>
      <c r="J17" s="648"/>
      <c r="K17" s="648"/>
      <c r="L17" s="648"/>
      <c r="M17" s="648"/>
      <c r="N17" s="648"/>
      <c r="O17" s="648"/>
      <c r="P17" s="648"/>
      <c r="Q17" s="648"/>
      <c r="R17" s="648"/>
      <c r="S17" s="648"/>
      <c r="T17" s="648"/>
      <c r="U17" s="648"/>
      <c r="V17" s="648"/>
      <c r="W17" s="648"/>
      <c r="X17" s="648"/>
      <c r="Y17" s="648"/>
      <c r="Z17" s="648"/>
      <c r="AA17" s="648"/>
      <c r="AB17" s="648"/>
      <c r="AC17" s="648"/>
      <c r="AD17" s="648"/>
      <c r="AE17" s="648"/>
      <c r="AF17" s="648"/>
      <c r="AG17" s="648"/>
      <c r="AH17" s="648"/>
      <c r="AI17" s="648"/>
      <c r="AJ17" s="648"/>
      <c r="AK17" s="648"/>
      <c r="AL17" s="648"/>
      <c r="AM17" s="648"/>
      <c r="AN17" s="648"/>
      <c r="AO17" s="648"/>
      <c r="AP17" s="648"/>
      <c r="AQ17" s="648"/>
      <c r="AR17" s="648"/>
      <c r="AS17" s="648"/>
      <c r="AT17" s="648"/>
      <c r="AU17" s="648"/>
    </row>
    <row r="18" spans="1:47">
      <c r="A18" s="648"/>
      <c r="B18" s="648"/>
      <c r="C18" s="648"/>
      <c r="D18" s="648"/>
      <c r="E18" s="648"/>
      <c r="F18" s="648"/>
      <c r="G18" s="648"/>
      <c r="H18" s="648"/>
      <c r="I18" s="648"/>
      <c r="J18" s="648"/>
      <c r="K18" s="648"/>
      <c r="L18" s="648"/>
      <c r="M18" s="648"/>
      <c r="N18" s="648"/>
      <c r="O18" s="648"/>
      <c r="P18" s="648"/>
      <c r="Q18" s="648"/>
      <c r="R18" s="648"/>
      <c r="S18" s="648"/>
      <c r="T18" s="648"/>
      <c r="U18" s="648"/>
      <c r="V18" s="648"/>
      <c r="W18" s="648"/>
      <c r="X18" s="648"/>
      <c r="Y18" s="648"/>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row>
    <row r="19" spans="1:47">
      <c r="A19" s="648"/>
      <c r="B19" s="648"/>
      <c r="C19" s="648"/>
      <c r="D19" s="648"/>
      <c r="E19" s="648"/>
      <c r="F19" s="648"/>
      <c r="G19" s="648"/>
      <c r="H19" s="648"/>
      <c r="I19" s="648"/>
      <c r="J19" s="648"/>
      <c r="K19" s="648"/>
      <c r="L19" s="648"/>
      <c r="M19" s="648"/>
      <c r="N19" s="648"/>
      <c r="O19" s="648"/>
      <c r="P19" s="648"/>
      <c r="Q19" s="648"/>
      <c r="R19" s="648"/>
      <c r="S19" s="648"/>
      <c r="T19" s="648"/>
      <c r="U19" s="648"/>
      <c r="V19" s="648"/>
      <c r="W19" s="648"/>
      <c r="X19" s="648"/>
      <c r="Y19" s="648"/>
      <c r="Z19" s="648"/>
      <c r="AA19" s="648"/>
      <c r="AB19" s="648"/>
      <c r="AC19" s="648"/>
      <c r="AD19" s="648"/>
      <c r="AE19" s="648"/>
      <c r="AF19" s="648"/>
      <c r="AG19" s="648"/>
      <c r="AH19" s="648"/>
      <c r="AI19" s="648"/>
      <c r="AJ19" s="648"/>
      <c r="AK19" s="648"/>
      <c r="AL19" s="648"/>
      <c r="AM19" s="648"/>
      <c r="AN19" s="648"/>
      <c r="AO19" s="648"/>
      <c r="AP19" s="648"/>
      <c r="AQ19" s="648"/>
      <c r="AR19" s="648"/>
      <c r="AS19" s="648"/>
      <c r="AT19" s="648"/>
      <c r="AU19" s="648"/>
    </row>
    <row r="20" spans="1:47">
      <c r="A20" s="648"/>
      <c r="B20" s="648"/>
      <c r="C20" s="648"/>
      <c r="D20" s="648"/>
      <c r="E20" s="648"/>
      <c r="F20" s="648"/>
      <c r="G20" s="648"/>
      <c r="H20" s="648"/>
      <c r="I20" s="648"/>
      <c r="J20" s="648"/>
      <c r="K20" s="648"/>
      <c r="L20" s="648"/>
      <c r="M20" s="648"/>
      <c r="N20" s="648"/>
      <c r="O20" s="648"/>
      <c r="P20" s="648"/>
      <c r="Q20" s="648"/>
      <c r="R20" s="648"/>
      <c r="S20" s="648"/>
      <c r="T20" s="648"/>
      <c r="U20" s="648"/>
      <c r="V20" s="648"/>
      <c r="W20" s="648"/>
      <c r="X20" s="648"/>
      <c r="Y20" s="648"/>
      <c r="Z20" s="648"/>
      <c r="AA20" s="648"/>
      <c r="AB20" s="648"/>
      <c r="AC20" s="648"/>
      <c r="AD20" s="648"/>
      <c r="AE20" s="648"/>
      <c r="AF20" s="648"/>
      <c r="AG20" s="648"/>
      <c r="AH20" s="648"/>
      <c r="AI20" s="648"/>
      <c r="AJ20" s="648"/>
      <c r="AK20" s="648"/>
      <c r="AL20" s="648"/>
      <c r="AM20" s="648"/>
      <c r="AN20" s="648"/>
      <c r="AO20" s="648"/>
      <c r="AP20" s="648"/>
      <c r="AQ20" s="648"/>
      <c r="AR20" s="648"/>
      <c r="AS20" s="648"/>
      <c r="AT20" s="648"/>
      <c r="AU20" s="648"/>
    </row>
    <row r="21" spans="1:47">
      <c r="A21" s="648"/>
      <c r="B21" s="648"/>
      <c r="C21" s="648"/>
      <c r="D21" s="648"/>
      <c r="E21" s="648"/>
      <c r="F21" s="648"/>
      <c r="G21" s="648"/>
      <c r="H21" s="648"/>
      <c r="I21" s="648"/>
      <c r="J21" s="648"/>
      <c r="K21" s="648"/>
      <c r="L21" s="648"/>
      <c r="M21" s="648"/>
      <c r="N21" s="648"/>
      <c r="O21" s="648"/>
      <c r="P21" s="648"/>
      <c r="Q21" s="648"/>
      <c r="R21" s="648"/>
      <c r="S21" s="648"/>
      <c r="T21" s="648"/>
      <c r="U21" s="648"/>
      <c r="V21" s="648"/>
      <c r="W21" s="648"/>
      <c r="X21" s="648"/>
      <c r="Y21" s="648"/>
      <c r="Z21" s="648"/>
      <c r="AA21" s="648"/>
      <c r="AB21" s="648"/>
      <c r="AC21" s="648"/>
      <c r="AD21" s="648"/>
      <c r="AE21" s="648"/>
      <c r="AF21" s="648"/>
      <c r="AG21" s="648"/>
      <c r="AH21" s="648"/>
      <c r="AI21" s="648"/>
      <c r="AJ21" s="648"/>
      <c r="AK21" s="648"/>
      <c r="AL21" s="648"/>
      <c r="AM21" s="648"/>
      <c r="AN21" s="648"/>
      <c r="AO21" s="648"/>
      <c r="AP21" s="648"/>
      <c r="AQ21" s="648"/>
      <c r="AR21" s="648"/>
      <c r="AS21" s="648"/>
      <c r="AT21" s="648"/>
      <c r="AU21" s="648"/>
    </row>
    <row r="22" spans="1:47">
      <c r="A22" s="648"/>
      <c r="B22" s="648"/>
      <c r="C22" s="648"/>
      <c r="D22" s="648"/>
      <c r="E22" s="648"/>
      <c r="F22" s="648"/>
      <c r="G22" s="648"/>
      <c r="H22" s="648"/>
      <c r="I22" s="648"/>
      <c r="J22" s="648"/>
      <c r="K22" s="648"/>
      <c r="L22" s="648"/>
      <c r="M22" s="648"/>
      <c r="N22" s="648"/>
      <c r="O22" s="648"/>
      <c r="P22" s="648"/>
      <c r="Q22" s="648"/>
      <c r="R22" s="648"/>
      <c r="S22" s="648"/>
      <c r="T22" s="648"/>
      <c r="U22" s="648"/>
      <c r="V22" s="648"/>
      <c r="W22" s="648"/>
      <c r="X22" s="648"/>
      <c r="Y22" s="648"/>
      <c r="Z22" s="648"/>
      <c r="AA22" s="648"/>
      <c r="AB22" s="648"/>
      <c r="AC22" s="648"/>
      <c r="AD22" s="648"/>
      <c r="AE22" s="648"/>
      <c r="AF22" s="648"/>
      <c r="AG22" s="648"/>
      <c r="AH22" s="648"/>
      <c r="AI22" s="648"/>
      <c r="AJ22" s="648"/>
      <c r="AK22" s="648"/>
      <c r="AL22" s="648"/>
      <c r="AM22" s="648"/>
      <c r="AN22" s="648"/>
      <c r="AO22" s="648"/>
      <c r="AP22" s="648"/>
      <c r="AQ22" s="648"/>
      <c r="AR22" s="648"/>
      <c r="AS22" s="648"/>
      <c r="AT22" s="648"/>
      <c r="AU22" s="648"/>
    </row>
    <row r="23" spans="1:47">
      <c r="A23" s="648"/>
      <c r="B23" s="648"/>
      <c r="C23" s="648"/>
      <c r="D23" s="648"/>
      <c r="E23" s="648"/>
      <c r="F23" s="648"/>
      <c r="G23" s="648"/>
      <c r="H23" s="648"/>
      <c r="I23" s="648"/>
      <c r="J23" s="648"/>
      <c r="K23" s="648"/>
      <c r="L23" s="648"/>
      <c r="M23" s="648"/>
      <c r="N23" s="648"/>
      <c r="O23" s="648"/>
      <c r="P23" s="648"/>
      <c r="Q23" s="648"/>
      <c r="R23" s="648"/>
      <c r="S23" s="648"/>
      <c r="T23" s="648"/>
      <c r="U23" s="648"/>
      <c r="V23" s="648"/>
      <c r="W23" s="648"/>
      <c r="X23" s="648"/>
      <c r="Y23" s="648"/>
      <c r="Z23" s="648"/>
      <c r="AA23" s="648"/>
      <c r="AB23" s="648"/>
      <c r="AC23" s="648"/>
      <c r="AD23" s="648"/>
      <c r="AE23" s="648"/>
      <c r="AF23" s="648"/>
      <c r="AG23" s="648"/>
      <c r="AH23" s="648"/>
      <c r="AI23" s="648"/>
      <c r="AJ23" s="648"/>
      <c r="AK23" s="648"/>
      <c r="AL23" s="648"/>
      <c r="AM23" s="648"/>
      <c r="AN23" s="648"/>
      <c r="AO23" s="648"/>
      <c r="AP23" s="648"/>
      <c r="AQ23" s="648"/>
      <c r="AR23" s="648"/>
      <c r="AS23" s="648"/>
      <c r="AT23" s="648"/>
      <c r="AU23" s="648"/>
    </row>
    <row r="24" spans="1:47">
      <c r="A24" s="648"/>
      <c r="B24" s="648"/>
      <c r="C24" s="648"/>
      <c r="D24" s="648"/>
      <c r="E24" s="648"/>
      <c r="F24" s="648"/>
      <c r="G24" s="648"/>
      <c r="H24" s="648"/>
      <c r="I24" s="648"/>
      <c r="J24" s="648"/>
      <c r="K24" s="648"/>
      <c r="L24" s="648"/>
      <c r="M24" s="648"/>
      <c r="N24" s="648"/>
      <c r="O24" s="648"/>
      <c r="P24" s="648"/>
      <c r="Q24" s="648"/>
      <c r="R24" s="648"/>
      <c r="S24" s="648"/>
      <c r="T24" s="648"/>
      <c r="U24" s="648"/>
      <c r="V24" s="648"/>
      <c r="W24" s="648"/>
      <c r="X24" s="648"/>
      <c r="Y24" s="648"/>
      <c r="Z24" s="648"/>
      <c r="AA24" s="648"/>
      <c r="AB24" s="648"/>
      <c r="AC24" s="648"/>
      <c r="AD24" s="648"/>
      <c r="AE24" s="648"/>
      <c r="AF24" s="648"/>
      <c r="AG24" s="648"/>
      <c r="AH24" s="648"/>
      <c r="AI24" s="648"/>
      <c r="AJ24" s="648"/>
      <c r="AK24" s="648"/>
      <c r="AL24" s="648"/>
      <c r="AM24" s="648"/>
      <c r="AN24" s="648"/>
      <c r="AO24" s="648"/>
      <c r="AP24" s="648"/>
      <c r="AQ24" s="648"/>
      <c r="AR24" s="648"/>
      <c r="AS24" s="648"/>
      <c r="AT24" s="648"/>
      <c r="AU24" s="648"/>
    </row>
    <row r="25" spans="1:47">
      <c r="A25" s="648"/>
      <c r="B25" s="648"/>
      <c r="C25" s="648"/>
      <c r="D25" s="648"/>
      <c r="E25" s="648"/>
      <c r="F25" s="648"/>
      <c r="G25" s="648"/>
      <c r="H25" s="648"/>
      <c r="I25" s="648"/>
      <c r="J25" s="648"/>
      <c r="K25" s="648"/>
      <c r="L25" s="648"/>
      <c r="M25" s="648"/>
      <c r="N25" s="648"/>
      <c r="O25" s="648"/>
      <c r="P25" s="648"/>
      <c r="Q25" s="648"/>
      <c r="R25" s="648"/>
      <c r="S25" s="648"/>
      <c r="T25" s="648"/>
      <c r="U25" s="648"/>
      <c r="V25" s="648"/>
      <c r="W25" s="648"/>
      <c r="X25" s="648"/>
      <c r="Y25" s="648"/>
      <c r="Z25" s="648"/>
      <c r="AA25" s="648"/>
      <c r="AB25" s="648"/>
      <c r="AC25" s="648"/>
      <c r="AD25" s="648"/>
      <c r="AE25" s="648"/>
      <c r="AF25" s="648"/>
      <c r="AG25" s="648"/>
      <c r="AH25" s="648"/>
      <c r="AI25" s="648"/>
      <c r="AJ25" s="648"/>
      <c r="AK25" s="648"/>
      <c r="AL25" s="648"/>
      <c r="AM25" s="648"/>
      <c r="AN25" s="648"/>
      <c r="AO25" s="648"/>
      <c r="AP25" s="648"/>
      <c r="AQ25" s="648"/>
      <c r="AR25" s="648"/>
      <c r="AS25" s="648"/>
      <c r="AT25" s="648"/>
      <c r="AU25" s="648"/>
    </row>
    <row r="26" spans="1:47">
      <c r="A26" s="648"/>
      <c r="B26" s="648"/>
      <c r="C26" s="648"/>
      <c r="D26" s="648"/>
      <c r="E26" s="648"/>
      <c r="F26" s="648"/>
      <c r="G26" s="648"/>
      <c r="H26" s="648"/>
      <c r="I26" s="648"/>
      <c r="J26" s="648"/>
      <c r="K26" s="648"/>
      <c r="L26" s="648"/>
      <c r="M26" s="648"/>
      <c r="N26" s="648"/>
      <c r="O26" s="648"/>
      <c r="P26" s="648"/>
      <c r="Q26" s="648"/>
      <c r="R26" s="648"/>
      <c r="S26" s="648"/>
      <c r="T26" s="648"/>
      <c r="U26" s="648"/>
      <c r="V26" s="648"/>
      <c r="W26" s="648"/>
      <c r="X26" s="648"/>
      <c r="Y26" s="648"/>
      <c r="Z26" s="648"/>
      <c r="AA26" s="648"/>
      <c r="AB26" s="648"/>
      <c r="AC26" s="648"/>
      <c r="AD26" s="648"/>
      <c r="AE26" s="648"/>
      <c r="AF26" s="648"/>
      <c r="AG26" s="648"/>
      <c r="AH26" s="648"/>
      <c r="AI26" s="648"/>
      <c r="AJ26" s="648"/>
      <c r="AK26" s="648"/>
      <c r="AL26" s="648"/>
      <c r="AM26" s="648"/>
      <c r="AN26" s="648"/>
      <c r="AO26" s="648"/>
      <c r="AP26" s="648"/>
      <c r="AQ26" s="648"/>
      <c r="AR26" s="648"/>
      <c r="AS26" s="648"/>
      <c r="AT26" s="648"/>
      <c r="AU26" s="648"/>
    </row>
    <row r="27" spans="1:47">
      <c r="A27" s="648"/>
      <c r="B27" s="648"/>
      <c r="C27" s="648"/>
      <c r="D27" s="648"/>
      <c r="E27" s="648"/>
      <c r="F27" s="648"/>
      <c r="G27" s="648"/>
      <c r="H27" s="648"/>
      <c r="I27" s="648"/>
      <c r="J27" s="648"/>
      <c r="K27" s="648"/>
      <c r="L27" s="648"/>
      <c r="M27" s="648"/>
      <c r="N27" s="648"/>
      <c r="O27" s="648"/>
      <c r="P27" s="648"/>
      <c r="Q27" s="648"/>
      <c r="R27" s="648"/>
      <c r="S27" s="648"/>
      <c r="T27" s="648"/>
      <c r="U27" s="648"/>
      <c r="V27" s="648"/>
      <c r="W27" s="648"/>
      <c r="X27" s="648"/>
      <c r="Y27" s="648"/>
      <c r="Z27" s="648"/>
      <c r="AA27" s="648"/>
      <c r="AB27" s="648"/>
      <c r="AC27" s="648"/>
      <c r="AD27" s="648"/>
      <c r="AE27" s="648"/>
      <c r="AF27" s="648"/>
      <c r="AG27" s="648"/>
      <c r="AH27" s="648"/>
      <c r="AI27" s="648"/>
      <c r="AJ27" s="648"/>
      <c r="AK27" s="648"/>
      <c r="AL27" s="648"/>
      <c r="AM27" s="648"/>
      <c r="AN27" s="648"/>
      <c r="AO27" s="648"/>
      <c r="AP27" s="648"/>
      <c r="AQ27" s="648"/>
      <c r="AR27" s="648"/>
      <c r="AS27" s="648"/>
      <c r="AT27" s="648"/>
      <c r="AU27" s="648"/>
    </row>
    <row r="28" spans="1:47">
      <c r="A28" s="648"/>
      <c r="B28" s="648"/>
      <c r="C28" s="648"/>
      <c r="D28" s="648"/>
      <c r="E28" s="648"/>
      <c r="F28" s="648"/>
      <c r="G28" s="648"/>
      <c r="H28" s="648"/>
      <c r="I28" s="648"/>
      <c r="J28" s="648"/>
      <c r="K28" s="648"/>
      <c r="L28" s="648"/>
      <c r="M28" s="648"/>
      <c r="N28" s="648"/>
      <c r="O28" s="648"/>
      <c r="P28" s="648"/>
      <c r="Q28" s="648"/>
      <c r="R28" s="648"/>
      <c r="S28" s="648"/>
      <c r="T28" s="648"/>
      <c r="U28" s="648"/>
      <c r="V28" s="648"/>
      <c r="W28" s="648"/>
      <c r="X28" s="648"/>
      <c r="Y28" s="648"/>
      <c r="Z28" s="648"/>
      <c r="AA28" s="648"/>
      <c r="AB28" s="648"/>
      <c r="AC28" s="648"/>
      <c r="AD28" s="648"/>
      <c r="AE28" s="648"/>
      <c r="AF28" s="648"/>
      <c r="AG28" s="648"/>
      <c r="AH28" s="648"/>
      <c r="AI28" s="648"/>
      <c r="AJ28" s="648"/>
      <c r="AK28" s="648"/>
      <c r="AL28" s="648"/>
      <c r="AM28" s="648"/>
      <c r="AN28" s="648"/>
      <c r="AO28" s="648"/>
      <c r="AP28" s="648"/>
      <c r="AQ28" s="648"/>
      <c r="AR28" s="648"/>
      <c r="AS28" s="648"/>
      <c r="AT28" s="648"/>
      <c r="AU28" s="648"/>
    </row>
    <row r="29" spans="1:47">
      <c r="A29" s="648"/>
      <c r="B29" s="648"/>
      <c r="C29" s="648"/>
      <c r="D29" s="648"/>
      <c r="E29" s="648"/>
      <c r="F29" s="648"/>
      <c r="G29" s="648"/>
      <c r="H29" s="648"/>
      <c r="I29" s="648"/>
      <c r="J29" s="648"/>
      <c r="K29" s="648"/>
      <c r="L29" s="648"/>
      <c r="M29" s="648"/>
      <c r="N29" s="648"/>
      <c r="O29" s="648"/>
      <c r="P29" s="648"/>
      <c r="Q29" s="648"/>
      <c r="R29" s="648"/>
      <c r="S29" s="648"/>
      <c r="T29" s="648"/>
      <c r="U29" s="648"/>
      <c r="V29" s="648"/>
      <c r="W29" s="648"/>
      <c r="X29" s="648"/>
      <c r="Y29" s="648"/>
      <c r="Z29" s="648"/>
      <c r="AA29" s="648"/>
      <c r="AB29" s="648"/>
      <c r="AC29" s="648"/>
      <c r="AD29" s="648"/>
      <c r="AE29" s="648"/>
      <c r="AF29" s="648"/>
      <c r="AG29" s="648"/>
      <c r="AH29" s="648"/>
      <c r="AI29" s="648"/>
      <c r="AJ29" s="648"/>
      <c r="AK29" s="648"/>
      <c r="AL29" s="648"/>
      <c r="AM29" s="648"/>
      <c r="AN29" s="648"/>
      <c r="AO29" s="648"/>
      <c r="AP29" s="648"/>
      <c r="AQ29" s="648"/>
      <c r="AR29" s="648"/>
      <c r="AS29" s="648"/>
      <c r="AT29" s="648"/>
      <c r="AU29" s="648"/>
    </row>
    <row r="30" spans="1:47">
      <c r="A30" s="648"/>
      <c r="B30" s="648"/>
      <c r="C30" s="648"/>
      <c r="D30" s="648"/>
      <c r="E30" s="648"/>
      <c r="F30" s="648"/>
      <c r="G30" s="648"/>
      <c r="H30" s="648"/>
      <c r="I30" s="648"/>
      <c r="J30" s="648"/>
      <c r="K30" s="648"/>
      <c r="L30" s="648"/>
      <c r="M30" s="648"/>
      <c r="N30" s="648"/>
      <c r="O30" s="648"/>
      <c r="P30" s="648"/>
      <c r="Q30" s="648"/>
      <c r="R30" s="648"/>
      <c r="S30" s="648"/>
      <c r="T30" s="648"/>
      <c r="U30" s="648"/>
      <c r="V30" s="648"/>
      <c r="W30" s="648"/>
      <c r="X30" s="648"/>
      <c r="Y30" s="648"/>
      <c r="Z30" s="648"/>
      <c r="AA30" s="648"/>
      <c r="AB30" s="648"/>
      <c r="AC30" s="648"/>
      <c r="AD30" s="648"/>
      <c r="AE30" s="648"/>
      <c r="AF30" s="648"/>
      <c r="AG30" s="648"/>
      <c r="AH30" s="648"/>
      <c r="AI30" s="648"/>
      <c r="AJ30" s="648"/>
      <c r="AK30" s="648"/>
      <c r="AL30" s="648"/>
      <c r="AM30" s="648"/>
      <c r="AN30" s="648"/>
      <c r="AO30" s="648"/>
      <c r="AP30" s="648"/>
      <c r="AQ30" s="648"/>
      <c r="AR30" s="648"/>
      <c r="AS30" s="648"/>
      <c r="AT30" s="648"/>
      <c r="AU30" s="648"/>
    </row>
    <row r="31" spans="1:47">
      <c r="A31" s="648"/>
      <c r="B31" s="648"/>
      <c r="C31" s="648"/>
      <c r="D31" s="648"/>
      <c r="E31" s="648"/>
      <c r="F31" s="648"/>
      <c r="G31" s="648"/>
      <c r="H31" s="648"/>
      <c r="I31" s="648"/>
      <c r="J31" s="648"/>
      <c r="K31" s="648"/>
      <c r="L31" s="648"/>
      <c r="M31" s="648"/>
      <c r="N31" s="648"/>
      <c r="O31" s="648"/>
      <c r="P31" s="648"/>
      <c r="Q31" s="648"/>
      <c r="R31" s="648"/>
      <c r="S31" s="648"/>
      <c r="T31" s="648"/>
      <c r="U31" s="648"/>
      <c r="V31" s="648"/>
      <c r="W31" s="648"/>
      <c r="X31" s="648"/>
      <c r="Y31" s="648"/>
      <c r="Z31" s="648"/>
      <c r="AA31" s="648"/>
      <c r="AB31" s="648"/>
      <c r="AC31" s="648"/>
      <c r="AD31" s="648"/>
      <c r="AE31" s="648"/>
      <c r="AF31" s="648"/>
      <c r="AG31" s="648"/>
      <c r="AH31" s="648"/>
      <c r="AI31" s="648"/>
      <c r="AJ31" s="648"/>
      <c r="AK31" s="648"/>
      <c r="AL31" s="648"/>
      <c r="AM31" s="648"/>
      <c r="AN31" s="648"/>
      <c r="AO31" s="648"/>
      <c r="AP31" s="648"/>
      <c r="AQ31" s="648"/>
      <c r="AR31" s="648"/>
      <c r="AS31" s="648"/>
      <c r="AT31" s="648"/>
      <c r="AU31" s="648"/>
    </row>
    <row r="32" spans="1:47">
      <c r="A32" s="648"/>
      <c r="B32" s="648"/>
      <c r="C32" s="648"/>
      <c r="D32" s="648"/>
      <c r="E32" s="648"/>
      <c r="F32" s="648"/>
      <c r="G32" s="648"/>
      <c r="H32" s="648"/>
      <c r="I32" s="648"/>
      <c r="J32" s="648"/>
      <c r="K32" s="648"/>
      <c r="L32" s="648"/>
      <c r="M32" s="648"/>
      <c r="N32" s="648"/>
      <c r="O32" s="648"/>
      <c r="P32" s="648"/>
      <c r="Q32" s="648"/>
      <c r="R32" s="648"/>
      <c r="S32" s="648"/>
      <c r="T32" s="648"/>
      <c r="U32" s="648"/>
      <c r="V32" s="648"/>
      <c r="W32" s="648"/>
      <c r="X32" s="648"/>
      <c r="Y32" s="648"/>
      <c r="Z32" s="648"/>
      <c r="AA32" s="648"/>
      <c r="AB32" s="648"/>
      <c r="AC32" s="648"/>
      <c r="AD32" s="648"/>
      <c r="AE32" s="648"/>
      <c r="AF32" s="648"/>
      <c r="AG32" s="648"/>
      <c r="AH32" s="648"/>
      <c r="AI32" s="648"/>
      <c r="AJ32" s="648"/>
      <c r="AK32" s="648"/>
      <c r="AL32" s="648"/>
      <c r="AM32" s="648"/>
      <c r="AN32" s="648"/>
      <c r="AO32" s="648"/>
      <c r="AP32" s="648"/>
      <c r="AQ32" s="648"/>
      <c r="AR32" s="648"/>
      <c r="AS32" s="648"/>
      <c r="AT32" s="648"/>
      <c r="AU32" s="648"/>
    </row>
    <row r="33" spans="1:47">
      <c r="A33" s="648"/>
      <c r="B33" s="648"/>
      <c r="C33" s="648"/>
      <c r="D33" s="648"/>
      <c r="E33" s="648"/>
      <c r="F33" s="648"/>
      <c r="G33" s="648"/>
      <c r="H33" s="648"/>
      <c r="I33" s="648"/>
      <c r="J33" s="648"/>
      <c r="K33" s="648"/>
      <c r="L33" s="648"/>
      <c r="M33" s="648"/>
      <c r="N33" s="648"/>
      <c r="O33" s="648"/>
      <c r="P33" s="648"/>
      <c r="Q33" s="648"/>
      <c r="R33" s="648"/>
      <c r="S33" s="648"/>
      <c r="T33" s="648"/>
      <c r="U33" s="648"/>
      <c r="V33" s="648"/>
      <c r="W33" s="648"/>
      <c r="X33" s="648"/>
      <c r="Y33" s="648"/>
      <c r="Z33" s="648"/>
      <c r="AA33" s="648"/>
      <c r="AB33" s="648"/>
      <c r="AC33" s="648"/>
      <c r="AD33" s="648"/>
      <c r="AE33" s="648"/>
      <c r="AF33" s="648"/>
      <c r="AG33" s="648"/>
      <c r="AH33" s="648"/>
      <c r="AI33" s="648"/>
      <c r="AJ33" s="648"/>
      <c r="AK33" s="648"/>
      <c r="AL33" s="648"/>
      <c r="AM33" s="648"/>
      <c r="AN33" s="648"/>
      <c r="AO33" s="648"/>
      <c r="AP33" s="648"/>
      <c r="AQ33" s="648"/>
      <c r="AR33" s="648"/>
      <c r="AS33" s="648"/>
      <c r="AT33" s="648"/>
      <c r="AU33" s="648"/>
    </row>
    <row r="34" spans="1:47">
      <c r="A34" s="648"/>
      <c r="B34" s="648"/>
      <c r="C34" s="648"/>
      <c r="D34" s="648"/>
      <c r="E34" s="648"/>
      <c r="F34" s="648"/>
      <c r="G34" s="648"/>
      <c r="H34" s="648"/>
      <c r="I34" s="648"/>
      <c r="J34" s="648"/>
      <c r="K34" s="648"/>
      <c r="L34" s="648"/>
      <c r="M34" s="648"/>
      <c r="N34" s="648"/>
      <c r="O34" s="648"/>
      <c r="P34" s="648"/>
      <c r="Q34" s="648"/>
      <c r="R34" s="648"/>
      <c r="S34" s="648"/>
      <c r="T34" s="648"/>
      <c r="U34" s="648"/>
      <c r="V34" s="648"/>
      <c r="W34" s="648"/>
      <c r="X34" s="648"/>
      <c r="Y34" s="648"/>
      <c r="Z34" s="648"/>
      <c r="AA34" s="648"/>
      <c r="AB34" s="648"/>
      <c r="AC34" s="648"/>
      <c r="AD34" s="648"/>
      <c r="AE34" s="648"/>
      <c r="AF34" s="648"/>
      <c r="AG34" s="648"/>
      <c r="AH34" s="648"/>
      <c r="AI34" s="648"/>
      <c r="AJ34" s="648"/>
      <c r="AK34" s="648"/>
      <c r="AL34" s="648"/>
      <c r="AM34" s="648"/>
      <c r="AN34" s="648"/>
      <c r="AO34" s="648"/>
      <c r="AP34" s="648"/>
      <c r="AQ34" s="648"/>
      <c r="AR34" s="648"/>
      <c r="AS34" s="648"/>
      <c r="AT34" s="648"/>
      <c r="AU34" s="648"/>
    </row>
    <row r="35" spans="1:47">
      <c r="A35" s="648"/>
      <c r="B35" s="648"/>
      <c r="C35" s="648"/>
      <c r="D35" s="648"/>
      <c r="E35" s="648"/>
      <c r="F35" s="648"/>
      <c r="G35" s="648"/>
      <c r="H35" s="648"/>
      <c r="I35" s="648"/>
      <c r="J35" s="648"/>
      <c r="K35" s="648"/>
      <c r="L35" s="648"/>
      <c r="M35" s="648"/>
      <c r="N35" s="648"/>
      <c r="O35" s="648"/>
      <c r="P35" s="648"/>
      <c r="Q35" s="648"/>
      <c r="R35" s="648"/>
      <c r="S35" s="648"/>
      <c r="T35" s="648"/>
      <c r="U35" s="648"/>
      <c r="V35" s="648"/>
      <c r="W35" s="648"/>
      <c r="X35" s="648"/>
      <c r="Y35" s="648"/>
      <c r="Z35" s="648"/>
      <c r="AA35" s="648"/>
      <c r="AB35" s="648"/>
      <c r="AC35" s="648"/>
      <c r="AD35" s="648"/>
      <c r="AE35" s="648"/>
      <c r="AF35" s="648"/>
      <c r="AG35" s="648"/>
      <c r="AH35" s="648"/>
      <c r="AI35" s="648"/>
      <c r="AJ35" s="648"/>
      <c r="AK35" s="648"/>
      <c r="AL35" s="648"/>
      <c r="AM35" s="648"/>
      <c r="AN35" s="648"/>
      <c r="AO35" s="648"/>
      <c r="AP35" s="648"/>
      <c r="AQ35" s="648"/>
      <c r="AR35" s="648"/>
      <c r="AS35" s="648"/>
      <c r="AT35" s="648"/>
      <c r="AU35" s="648"/>
    </row>
    <row r="36" spans="1:47">
      <c r="A36" s="648"/>
      <c r="B36" s="648"/>
      <c r="C36" s="648"/>
      <c r="D36" s="648"/>
      <c r="E36" s="648"/>
      <c r="F36" s="648"/>
      <c r="G36" s="648"/>
      <c r="H36" s="648"/>
      <c r="I36" s="648"/>
      <c r="J36" s="648"/>
      <c r="K36" s="648"/>
      <c r="L36" s="648"/>
      <c r="M36" s="648"/>
      <c r="N36" s="648"/>
      <c r="O36" s="648"/>
      <c r="P36" s="648"/>
      <c r="Q36" s="648"/>
      <c r="R36" s="648"/>
      <c r="S36" s="648"/>
      <c r="T36" s="648"/>
      <c r="U36" s="648"/>
      <c r="V36" s="648"/>
      <c r="W36" s="648"/>
      <c r="X36" s="648"/>
      <c r="Y36" s="648"/>
      <c r="Z36" s="648"/>
      <c r="AA36" s="648"/>
      <c r="AB36" s="648"/>
      <c r="AC36" s="648"/>
      <c r="AD36" s="648"/>
      <c r="AE36" s="648"/>
      <c r="AF36" s="648"/>
      <c r="AG36" s="648"/>
      <c r="AH36" s="648"/>
      <c r="AI36" s="648"/>
      <c r="AJ36" s="648"/>
      <c r="AK36" s="648"/>
      <c r="AL36" s="648"/>
      <c r="AM36" s="648"/>
      <c r="AN36" s="648"/>
      <c r="AO36" s="648"/>
      <c r="AP36" s="648"/>
      <c r="AQ36" s="648"/>
      <c r="AR36" s="648"/>
      <c r="AS36" s="648"/>
      <c r="AT36" s="648"/>
      <c r="AU36" s="648"/>
    </row>
    <row r="37" spans="1:47">
      <c r="A37" s="648"/>
      <c r="B37" s="648"/>
      <c r="C37" s="648"/>
      <c r="D37" s="648"/>
      <c r="E37" s="648"/>
      <c r="F37" s="648"/>
      <c r="G37" s="648"/>
      <c r="H37" s="648"/>
      <c r="I37" s="648"/>
      <c r="J37" s="648"/>
      <c r="K37" s="648"/>
      <c r="L37" s="648"/>
      <c r="M37" s="648"/>
      <c r="N37" s="648"/>
      <c r="O37" s="648"/>
      <c r="P37" s="648"/>
      <c r="Q37" s="648"/>
      <c r="R37" s="648"/>
      <c r="S37" s="648"/>
      <c r="T37" s="648"/>
      <c r="U37" s="648"/>
      <c r="V37" s="648"/>
      <c r="W37" s="648"/>
      <c r="X37" s="648"/>
      <c r="Y37" s="648"/>
      <c r="Z37" s="648"/>
      <c r="AA37" s="648"/>
      <c r="AB37" s="648"/>
      <c r="AC37" s="648"/>
      <c r="AD37" s="648"/>
      <c r="AE37" s="648"/>
      <c r="AF37" s="648"/>
      <c r="AG37" s="648"/>
      <c r="AH37" s="648"/>
      <c r="AI37" s="648"/>
      <c r="AJ37" s="648"/>
      <c r="AK37" s="648"/>
      <c r="AL37" s="648"/>
      <c r="AM37" s="648"/>
      <c r="AN37" s="648"/>
      <c r="AO37" s="648"/>
      <c r="AP37" s="648"/>
      <c r="AQ37" s="648"/>
      <c r="AR37" s="648"/>
      <c r="AS37" s="648"/>
      <c r="AT37" s="648"/>
      <c r="AU37" s="648"/>
    </row>
    <row r="38" spans="1:47">
      <c r="A38" s="648"/>
      <c r="B38" s="648"/>
      <c r="C38" s="648"/>
      <c r="D38" s="648"/>
      <c r="E38" s="648"/>
      <c r="F38" s="648"/>
      <c r="G38" s="648"/>
      <c r="H38" s="648"/>
      <c r="I38" s="648"/>
      <c r="J38" s="648"/>
      <c r="K38" s="648"/>
      <c r="L38" s="648"/>
      <c r="M38" s="648"/>
      <c r="N38" s="648"/>
      <c r="O38" s="648"/>
      <c r="P38" s="648"/>
      <c r="Q38" s="648"/>
      <c r="R38" s="648"/>
      <c r="S38" s="648"/>
      <c r="T38" s="648"/>
      <c r="U38" s="648"/>
      <c r="V38" s="648"/>
      <c r="W38" s="648"/>
      <c r="X38" s="648"/>
      <c r="Y38" s="648"/>
      <c r="Z38" s="648"/>
      <c r="AA38" s="648"/>
      <c r="AB38" s="648"/>
      <c r="AC38" s="648"/>
      <c r="AD38" s="648"/>
      <c r="AE38" s="648"/>
      <c r="AF38" s="648"/>
      <c r="AG38" s="648"/>
      <c r="AH38" s="648"/>
      <c r="AI38" s="648"/>
      <c r="AJ38" s="648"/>
      <c r="AK38" s="648"/>
      <c r="AL38" s="648"/>
      <c r="AM38" s="648"/>
      <c r="AN38" s="648"/>
      <c r="AO38" s="648"/>
      <c r="AP38" s="648"/>
      <c r="AQ38" s="648"/>
      <c r="AR38" s="648"/>
      <c r="AS38" s="648"/>
      <c r="AT38" s="648"/>
      <c r="AU38" s="648"/>
    </row>
    <row r="39" spans="1:47">
      <c r="A39" s="648"/>
      <c r="B39" s="648"/>
      <c r="C39" s="648"/>
      <c r="D39" s="648"/>
      <c r="E39" s="648"/>
      <c r="F39" s="648"/>
      <c r="G39" s="648"/>
      <c r="H39" s="648"/>
      <c r="I39" s="648"/>
      <c r="J39" s="648"/>
      <c r="K39" s="648"/>
      <c r="L39" s="648"/>
      <c r="M39" s="648"/>
      <c r="N39" s="648"/>
      <c r="O39" s="648"/>
      <c r="P39" s="648"/>
      <c r="Q39" s="648"/>
      <c r="R39" s="648"/>
      <c r="S39" s="648"/>
      <c r="T39" s="648"/>
      <c r="U39" s="648"/>
      <c r="V39" s="648"/>
      <c r="W39" s="648"/>
      <c r="X39" s="648"/>
      <c r="Y39" s="648"/>
      <c r="Z39" s="648"/>
      <c r="AA39" s="648"/>
      <c r="AB39" s="648"/>
      <c r="AC39" s="648"/>
      <c r="AD39" s="648"/>
      <c r="AE39" s="648"/>
      <c r="AF39" s="648"/>
      <c r="AG39" s="648"/>
      <c r="AH39" s="648"/>
      <c r="AI39" s="648"/>
      <c r="AJ39" s="648"/>
      <c r="AK39" s="648"/>
      <c r="AL39" s="648"/>
      <c r="AM39" s="648"/>
      <c r="AN39" s="648"/>
      <c r="AO39" s="648"/>
      <c r="AP39" s="648"/>
      <c r="AQ39" s="648"/>
      <c r="AR39" s="648"/>
      <c r="AS39" s="648"/>
      <c r="AT39" s="648"/>
      <c r="AU39" s="648"/>
    </row>
    <row r="40" spans="1:47">
      <c r="A40" s="648"/>
      <c r="B40" s="648"/>
      <c r="C40" s="648"/>
      <c r="D40" s="648"/>
      <c r="E40" s="648"/>
      <c r="F40" s="648"/>
      <c r="G40" s="648"/>
      <c r="H40" s="648"/>
      <c r="I40" s="648"/>
      <c r="J40" s="648"/>
      <c r="K40" s="648"/>
      <c r="L40" s="648"/>
      <c r="M40" s="648"/>
      <c r="N40" s="648"/>
      <c r="O40" s="648"/>
      <c r="P40" s="648"/>
      <c r="Q40" s="648"/>
      <c r="R40" s="648"/>
      <c r="S40" s="648"/>
      <c r="T40" s="648"/>
      <c r="U40" s="648"/>
      <c r="V40" s="648"/>
      <c r="W40" s="648"/>
      <c r="X40" s="648"/>
      <c r="Y40" s="648"/>
      <c r="Z40" s="648"/>
      <c r="AA40" s="648"/>
      <c r="AB40" s="648"/>
      <c r="AC40" s="648"/>
      <c r="AD40" s="648"/>
      <c r="AE40" s="648"/>
      <c r="AF40" s="648"/>
      <c r="AG40" s="648"/>
      <c r="AH40" s="648"/>
      <c r="AI40" s="648"/>
      <c r="AJ40" s="648"/>
      <c r="AK40" s="648"/>
      <c r="AL40" s="648"/>
      <c r="AM40" s="648"/>
      <c r="AN40" s="648"/>
      <c r="AO40" s="648"/>
      <c r="AP40" s="648"/>
      <c r="AQ40" s="648"/>
      <c r="AR40" s="648"/>
      <c r="AS40" s="648"/>
      <c r="AT40" s="648"/>
      <c r="AU40" s="648"/>
    </row>
    <row r="41" spans="1:47">
      <c r="A41" s="648"/>
      <c r="B41" s="648"/>
      <c r="C41" s="648"/>
      <c r="D41" s="648"/>
      <c r="E41" s="648"/>
      <c r="F41" s="648"/>
      <c r="G41" s="648"/>
      <c r="H41" s="648"/>
      <c r="I41" s="648"/>
      <c r="J41" s="648"/>
      <c r="K41" s="648"/>
      <c r="L41" s="648"/>
      <c r="M41" s="648"/>
      <c r="N41" s="648"/>
      <c r="O41" s="648"/>
      <c r="P41" s="648"/>
      <c r="Q41" s="648"/>
      <c r="R41" s="648"/>
      <c r="S41" s="648"/>
      <c r="T41" s="648"/>
      <c r="U41" s="648"/>
      <c r="V41" s="648"/>
      <c r="W41" s="648"/>
      <c r="X41" s="648"/>
      <c r="Y41" s="648"/>
      <c r="Z41" s="648"/>
      <c r="AA41" s="648"/>
      <c r="AB41" s="648"/>
      <c r="AC41" s="648"/>
      <c r="AD41" s="648"/>
      <c r="AE41" s="648"/>
      <c r="AF41" s="648"/>
      <c r="AG41" s="648"/>
      <c r="AH41" s="648"/>
      <c r="AI41" s="648"/>
      <c r="AJ41" s="648"/>
      <c r="AK41" s="648"/>
      <c r="AL41" s="648"/>
      <c r="AM41" s="648"/>
      <c r="AN41" s="648"/>
      <c r="AO41" s="648"/>
      <c r="AP41" s="648"/>
      <c r="AQ41" s="648"/>
      <c r="AR41" s="648"/>
      <c r="AS41" s="648"/>
      <c r="AT41" s="648"/>
      <c r="AU41" s="648"/>
    </row>
    <row r="42" spans="1:47">
      <c r="A42" s="648"/>
      <c r="B42" s="648"/>
      <c r="C42" s="648"/>
      <c r="D42" s="648"/>
      <c r="E42" s="648"/>
      <c r="F42" s="648"/>
      <c r="G42" s="648"/>
      <c r="H42" s="648"/>
      <c r="I42" s="648"/>
      <c r="J42" s="648"/>
      <c r="K42" s="648"/>
      <c r="L42" s="648"/>
      <c r="M42" s="648"/>
      <c r="N42" s="648"/>
      <c r="O42" s="648"/>
      <c r="P42" s="648"/>
      <c r="Q42" s="648"/>
      <c r="R42" s="648"/>
      <c r="S42" s="648"/>
      <c r="T42" s="648"/>
      <c r="U42" s="648"/>
      <c r="V42" s="648"/>
      <c r="W42" s="648"/>
      <c r="X42" s="648"/>
      <c r="Y42" s="648"/>
      <c r="Z42" s="648"/>
      <c r="AA42" s="648"/>
      <c r="AB42" s="648"/>
      <c r="AC42" s="648"/>
      <c r="AD42" s="648"/>
      <c r="AE42" s="648"/>
      <c r="AF42" s="648"/>
      <c r="AG42" s="648"/>
      <c r="AH42" s="648"/>
      <c r="AI42" s="648"/>
      <c r="AJ42" s="648"/>
      <c r="AK42" s="648"/>
      <c r="AL42" s="648"/>
      <c r="AM42" s="648"/>
      <c r="AN42" s="648"/>
      <c r="AO42" s="648"/>
      <c r="AP42" s="648"/>
      <c r="AQ42" s="648"/>
      <c r="AR42" s="648"/>
      <c r="AS42" s="648"/>
      <c r="AT42" s="648"/>
      <c r="AU42" s="648"/>
    </row>
    <row r="43" spans="1:47">
      <c r="A43" s="648"/>
      <c r="B43" s="648"/>
      <c r="C43" s="648"/>
      <c r="D43" s="648"/>
      <c r="E43" s="648"/>
      <c r="F43" s="648"/>
      <c r="G43" s="648"/>
      <c r="H43" s="648"/>
      <c r="I43" s="648"/>
      <c r="J43" s="648"/>
      <c r="K43" s="648"/>
      <c r="L43" s="648"/>
      <c r="M43" s="648"/>
      <c r="N43" s="648"/>
      <c r="O43" s="648"/>
      <c r="P43" s="648"/>
      <c r="Q43" s="648"/>
      <c r="R43" s="648"/>
      <c r="S43" s="648"/>
      <c r="T43" s="648"/>
      <c r="U43" s="648"/>
      <c r="V43" s="648"/>
      <c r="W43" s="648"/>
      <c r="X43" s="648"/>
      <c r="Y43" s="648"/>
      <c r="Z43" s="648"/>
      <c r="AA43" s="648"/>
      <c r="AB43" s="648"/>
      <c r="AC43" s="648"/>
      <c r="AD43" s="648"/>
      <c r="AE43" s="648"/>
      <c r="AF43" s="648"/>
      <c r="AG43" s="648"/>
      <c r="AH43" s="648"/>
      <c r="AI43" s="648"/>
      <c r="AJ43" s="648"/>
      <c r="AK43" s="648"/>
      <c r="AL43" s="648"/>
      <c r="AM43" s="648"/>
      <c r="AN43" s="648"/>
      <c r="AO43" s="648"/>
      <c r="AP43" s="648"/>
      <c r="AQ43" s="648"/>
      <c r="AR43" s="648"/>
      <c r="AS43" s="648"/>
      <c r="AT43" s="648"/>
      <c r="AU43" s="648"/>
    </row>
    <row r="44" spans="1:47">
      <c r="A44" s="648"/>
      <c r="B44" s="648"/>
      <c r="C44" s="648"/>
      <c r="D44" s="648"/>
      <c r="E44" s="648"/>
      <c r="F44" s="648"/>
      <c r="G44" s="648"/>
      <c r="H44" s="648"/>
      <c r="I44" s="648"/>
      <c r="J44" s="648"/>
      <c r="K44" s="648"/>
      <c r="L44" s="648"/>
      <c r="M44" s="648"/>
      <c r="N44" s="648"/>
      <c r="O44" s="648"/>
      <c r="P44" s="648"/>
      <c r="Q44" s="648"/>
      <c r="R44" s="648"/>
      <c r="S44" s="648"/>
      <c r="T44" s="648"/>
      <c r="U44" s="648"/>
      <c r="V44" s="648"/>
      <c r="W44" s="648"/>
      <c r="X44" s="648"/>
      <c r="Y44" s="648"/>
      <c r="Z44" s="648"/>
      <c r="AA44" s="648"/>
      <c r="AB44" s="648"/>
      <c r="AC44" s="648"/>
      <c r="AD44" s="648"/>
      <c r="AE44" s="648"/>
      <c r="AF44" s="648"/>
      <c r="AG44" s="648"/>
      <c r="AH44" s="648"/>
      <c r="AI44" s="648"/>
      <c r="AJ44" s="648"/>
      <c r="AK44" s="648"/>
      <c r="AL44" s="648"/>
      <c r="AM44" s="648"/>
      <c r="AN44" s="648"/>
      <c r="AO44" s="648"/>
      <c r="AP44" s="648"/>
      <c r="AQ44" s="648"/>
      <c r="AR44" s="648"/>
      <c r="AS44" s="648"/>
      <c r="AT44" s="648"/>
      <c r="AU44" s="648"/>
    </row>
    <row r="45" spans="1:47">
      <c r="A45" s="648"/>
      <c r="B45" s="648"/>
      <c r="C45" s="648"/>
      <c r="D45" s="648"/>
      <c r="E45" s="648"/>
      <c r="F45" s="648"/>
      <c r="G45" s="648"/>
      <c r="H45" s="648"/>
      <c r="I45" s="648"/>
      <c r="J45" s="648"/>
      <c r="K45" s="648"/>
      <c r="L45" s="648"/>
      <c r="M45" s="648"/>
      <c r="N45" s="648"/>
      <c r="O45" s="648"/>
      <c r="P45" s="648"/>
      <c r="Q45" s="648"/>
      <c r="R45" s="648"/>
      <c r="S45" s="648"/>
      <c r="T45" s="648"/>
      <c r="U45" s="648"/>
      <c r="V45" s="648"/>
      <c r="W45" s="648"/>
      <c r="X45" s="648"/>
      <c r="Y45" s="648"/>
      <c r="Z45" s="648"/>
      <c r="AA45" s="648"/>
      <c r="AB45" s="648"/>
      <c r="AC45" s="648"/>
      <c r="AD45" s="648"/>
      <c r="AE45" s="648"/>
      <c r="AF45" s="648"/>
      <c r="AG45" s="648"/>
      <c r="AH45" s="648"/>
      <c r="AI45" s="648"/>
      <c r="AJ45" s="648"/>
      <c r="AK45" s="648"/>
      <c r="AL45" s="648"/>
      <c r="AM45" s="648"/>
      <c r="AN45" s="648"/>
      <c r="AO45" s="648"/>
      <c r="AP45" s="648"/>
      <c r="AQ45" s="648"/>
      <c r="AR45" s="648"/>
      <c r="AS45" s="648"/>
      <c r="AT45" s="648"/>
      <c r="AU45" s="648"/>
    </row>
    <row r="46" spans="1:47">
      <c r="A46" s="648"/>
      <c r="B46" s="648"/>
      <c r="C46" s="648"/>
      <c r="D46" s="648"/>
      <c r="E46" s="648"/>
      <c r="F46" s="648"/>
      <c r="G46" s="648"/>
      <c r="H46" s="648"/>
      <c r="I46" s="648"/>
      <c r="J46" s="648"/>
      <c r="K46" s="648"/>
      <c r="L46" s="648"/>
      <c r="M46" s="648"/>
      <c r="N46" s="648"/>
      <c r="O46" s="648"/>
      <c r="P46" s="648"/>
      <c r="Q46" s="648"/>
      <c r="R46" s="648"/>
      <c r="S46" s="648"/>
      <c r="T46" s="648"/>
      <c r="U46" s="648"/>
      <c r="V46" s="648"/>
      <c r="W46" s="648"/>
      <c r="X46" s="648"/>
      <c r="Y46" s="648"/>
      <c r="Z46" s="648"/>
      <c r="AA46" s="648"/>
      <c r="AB46" s="648"/>
      <c r="AC46" s="648"/>
      <c r="AD46" s="648"/>
      <c r="AE46" s="648"/>
      <c r="AF46" s="648"/>
      <c r="AG46" s="648"/>
      <c r="AH46" s="648"/>
      <c r="AI46" s="648"/>
      <c r="AJ46" s="648"/>
      <c r="AK46" s="648"/>
      <c r="AL46" s="648"/>
      <c r="AM46" s="648"/>
      <c r="AN46" s="648"/>
      <c r="AO46" s="648"/>
      <c r="AP46" s="648"/>
      <c r="AQ46" s="648"/>
      <c r="AR46" s="648"/>
      <c r="AS46" s="648"/>
      <c r="AT46" s="648"/>
      <c r="AU46" s="648"/>
    </row>
    <row r="47" spans="1:47">
      <c r="A47" s="648"/>
      <c r="B47" s="648"/>
      <c r="C47" s="648"/>
      <c r="D47" s="648"/>
      <c r="E47" s="648"/>
      <c r="F47" s="648"/>
      <c r="G47" s="648"/>
      <c r="H47" s="648"/>
      <c r="I47" s="648"/>
      <c r="J47" s="648"/>
      <c r="K47" s="648"/>
      <c r="L47" s="648"/>
      <c r="M47" s="648"/>
      <c r="N47" s="648"/>
      <c r="O47" s="648"/>
      <c r="P47" s="648"/>
      <c r="Q47" s="648"/>
      <c r="R47" s="648"/>
      <c r="S47" s="648"/>
      <c r="T47" s="648"/>
      <c r="U47" s="648"/>
      <c r="V47" s="648"/>
      <c r="W47" s="648"/>
      <c r="X47" s="648"/>
      <c r="Y47" s="648"/>
      <c r="Z47" s="648"/>
      <c r="AA47" s="648"/>
      <c r="AB47" s="648"/>
      <c r="AC47" s="648"/>
      <c r="AD47" s="648"/>
      <c r="AE47" s="648"/>
      <c r="AF47" s="648"/>
      <c r="AG47" s="648"/>
      <c r="AH47" s="648"/>
      <c r="AI47" s="648"/>
      <c r="AJ47" s="648"/>
      <c r="AK47" s="648"/>
      <c r="AL47" s="648"/>
      <c r="AM47" s="648"/>
      <c r="AN47" s="648"/>
      <c r="AO47" s="648"/>
      <c r="AP47" s="648"/>
      <c r="AQ47" s="648"/>
      <c r="AR47" s="648"/>
      <c r="AS47" s="648"/>
      <c r="AT47" s="648"/>
      <c r="AU47" s="648"/>
    </row>
    <row r="48" spans="1:47">
      <c r="A48" s="648"/>
      <c r="B48" s="648"/>
      <c r="C48" s="648"/>
      <c r="D48" s="648"/>
      <c r="E48" s="648"/>
      <c r="F48" s="648"/>
      <c r="G48" s="648"/>
      <c r="H48" s="648"/>
      <c r="I48" s="648"/>
      <c r="J48" s="648"/>
      <c r="K48" s="648"/>
      <c r="L48" s="648"/>
      <c r="M48" s="648"/>
      <c r="N48" s="648"/>
      <c r="O48" s="648"/>
      <c r="P48" s="648"/>
      <c r="Q48" s="648"/>
      <c r="R48" s="648"/>
      <c r="S48" s="648"/>
      <c r="T48" s="648"/>
      <c r="U48" s="648"/>
      <c r="V48" s="648"/>
      <c r="W48" s="648"/>
      <c r="X48" s="648"/>
      <c r="Y48" s="648"/>
      <c r="Z48" s="648"/>
      <c r="AA48" s="648"/>
      <c r="AB48" s="648"/>
      <c r="AC48" s="648"/>
      <c r="AD48" s="648"/>
      <c r="AE48" s="648"/>
      <c r="AF48" s="648"/>
      <c r="AG48" s="648"/>
      <c r="AH48" s="648"/>
      <c r="AI48" s="648"/>
      <c r="AJ48" s="648"/>
      <c r="AK48" s="648"/>
      <c r="AL48" s="648"/>
      <c r="AM48" s="648"/>
      <c r="AN48" s="648"/>
      <c r="AO48" s="648"/>
      <c r="AP48" s="648"/>
      <c r="AQ48" s="648"/>
      <c r="AR48" s="648"/>
      <c r="AS48" s="648"/>
      <c r="AT48" s="648"/>
      <c r="AU48" s="648"/>
    </row>
    <row r="49" spans="1:47">
      <c r="A49" s="648"/>
      <c r="B49" s="648"/>
      <c r="C49" s="648"/>
      <c r="D49" s="648"/>
      <c r="E49" s="648"/>
      <c r="F49" s="648"/>
      <c r="G49" s="648"/>
      <c r="H49" s="648"/>
      <c r="I49" s="648"/>
      <c r="J49" s="648"/>
      <c r="K49" s="648"/>
      <c r="L49" s="648"/>
      <c r="M49" s="648"/>
      <c r="N49" s="648"/>
      <c r="O49" s="648"/>
      <c r="P49" s="648"/>
      <c r="Q49" s="648"/>
      <c r="R49" s="648"/>
      <c r="S49" s="648"/>
      <c r="T49" s="648"/>
      <c r="U49" s="648"/>
      <c r="V49" s="648"/>
      <c r="W49" s="648"/>
      <c r="X49" s="648"/>
      <c r="Y49" s="648"/>
      <c r="Z49" s="648"/>
      <c r="AA49" s="648"/>
      <c r="AB49" s="648"/>
      <c r="AC49" s="648"/>
      <c r="AD49" s="648"/>
      <c r="AE49" s="648"/>
      <c r="AF49" s="648"/>
      <c r="AG49" s="648"/>
      <c r="AH49" s="648"/>
      <c r="AI49" s="648"/>
      <c r="AJ49" s="648"/>
      <c r="AK49" s="648"/>
      <c r="AL49" s="648"/>
      <c r="AM49" s="648"/>
      <c r="AN49" s="648"/>
      <c r="AO49" s="648"/>
      <c r="AP49" s="648"/>
      <c r="AQ49" s="648"/>
      <c r="AR49" s="648"/>
      <c r="AS49" s="648"/>
      <c r="AT49" s="648"/>
      <c r="AU49" s="648"/>
    </row>
    <row r="50" spans="1:47">
      <c r="A50" s="648"/>
      <c r="B50" s="648"/>
      <c r="C50" s="648"/>
      <c r="D50" s="648"/>
      <c r="E50" s="648"/>
      <c r="F50" s="648"/>
      <c r="G50" s="648"/>
      <c r="H50" s="648"/>
      <c r="I50" s="648"/>
      <c r="J50" s="648"/>
      <c r="K50" s="648"/>
      <c r="L50" s="648"/>
      <c r="M50" s="648"/>
      <c r="N50" s="648"/>
      <c r="O50" s="648"/>
      <c r="P50" s="648"/>
      <c r="Q50" s="648"/>
      <c r="R50" s="648"/>
      <c r="S50" s="648"/>
      <c r="T50" s="648"/>
      <c r="U50" s="648"/>
      <c r="V50" s="648"/>
      <c r="W50" s="648"/>
      <c r="X50" s="648"/>
      <c r="Y50" s="648"/>
      <c r="Z50" s="648"/>
      <c r="AA50" s="648"/>
      <c r="AB50" s="648"/>
      <c r="AC50" s="648"/>
      <c r="AD50" s="648"/>
      <c r="AE50" s="648"/>
      <c r="AF50" s="648"/>
      <c r="AG50" s="648"/>
      <c r="AH50" s="648"/>
      <c r="AI50" s="648"/>
      <c r="AJ50" s="648"/>
      <c r="AK50" s="648"/>
      <c r="AL50" s="648"/>
      <c r="AM50" s="648"/>
      <c r="AN50" s="648"/>
      <c r="AO50" s="648"/>
      <c r="AP50" s="648"/>
      <c r="AQ50" s="648"/>
      <c r="AR50" s="648"/>
      <c r="AS50" s="648"/>
      <c r="AT50" s="648"/>
      <c r="AU50" s="648"/>
    </row>
    <row r="51" spans="1:47">
      <c r="A51" s="648"/>
      <c r="B51" s="648"/>
      <c r="C51" s="648"/>
      <c r="D51" s="648"/>
      <c r="E51" s="648"/>
      <c r="F51" s="648"/>
      <c r="G51" s="648"/>
      <c r="H51" s="648"/>
      <c r="I51" s="648"/>
      <c r="J51" s="648"/>
      <c r="K51" s="648"/>
      <c r="L51" s="648"/>
      <c r="M51" s="648"/>
      <c r="N51" s="648"/>
      <c r="O51" s="648"/>
      <c r="P51" s="648"/>
      <c r="Q51" s="648"/>
      <c r="R51" s="648"/>
      <c r="S51" s="648"/>
      <c r="T51" s="648"/>
      <c r="U51" s="648"/>
      <c r="V51" s="648"/>
      <c r="W51" s="648"/>
      <c r="X51" s="648"/>
      <c r="Y51" s="648"/>
      <c r="Z51" s="648"/>
      <c r="AA51" s="648"/>
      <c r="AB51" s="648"/>
      <c r="AC51" s="648"/>
      <c r="AD51" s="648"/>
      <c r="AE51" s="648"/>
      <c r="AF51" s="648"/>
      <c r="AG51" s="648"/>
      <c r="AH51" s="648"/>
      <c r="AI51" s="648"/>
      <c r="AJ51" s="648"/>
      <c r="AK51" s="648"/>
      <c r="AL51" s="648"/>
      <c r="AM51" s="648"/>
      <c r="AN51" s="648"/>
      <c r="AO51" s="648"/>
      <c r="AP51" s="648"/>
      <c r="AQ51" s="648"/>
      <c r="AR51" s="648"/>
      <c r="AS51" s="648"/>
      <c r="AT51" s="648"/>
      <c r="AU51" s="648"/>
    </row>
    <row r="52" spans="1:47">
      <c r="A52" s="648"/>
      <c r="B52" s="648"/>
      <c r="C52" s="648"/>
      <c r="D52" s="648"/>
      <c r="E52" s="648"/>
      <c r="F52" s="648"/>
      <c r="G52" s="648"/>
      <c r="H52" s="648"/>
      <c r="I52" s="648"/>
      <c r="J52" s="648"/>
      <c r="K52" s="648"/>
      <c r="L52" s="648"/>
      <c r="M52" s="648"/>
      <c r="N52" s="648"/>
      <c r="O52" s="648"/>
      <c r="P52" s="648"/>
      <c r="Q52" s="648"/>
      <c r="R52" s="648"/>
      <c r="S52" s="648"/>
      <c r="T52" s="648"/>
      <c r="U52" s="648"/>
      <c r="V52" s="648"/>
      <c r="W52" s="648"/>
      <c r="X52" s="648"/>
      <c r="Y52" s="648"/>
      <c r="Z52" s="648"/>
      <c r="AA52" s="648"/>
      <c r="AB52" s="648"/>
      <c r="AC52" s="648"/>
      <c r="AD52" s="648"/>
      <c r="AE52" s="648"/>
      <c r="AF52" s="648"/>
      <c r="AG52" s="648"/>
      <c r="AH52" s="648"/>
      <c r="AI52" s="648"/>
      <c r="AJ52" s="648"/>
      <c r="AK52" s="648"/>
      <c r="AL52" s="648"/>
      <c r="AM52" s="648"/>
      <c r="AN52" s="648"/>
      <c r="AO52" s="648"/>
      <c r="AP52" s="648"/>
      <c r="AQ52" s="648"/>
      <c r="AR52" s="648"/>
      <c r="AS52" s="648"/>
      <c r="AT52" s="648"/>
      <c r="AU52" s="648"/>
    </row>
    <row r="53" spans="1:47">
      <c r="A53" s="648"/>
      <c r="B53" s="648"/>
      <c r="C53" s="648"/>
      <c r="D53" s="648"/>
      <c r="E53" s="648"/>
      <c r="F53" s="648"/>
      <c r="G53" s="648"/>
      <c r="H53" s="648"/>
      <c r="I53" s="648"/>
      <c r="J53" s="648"/>
      <c r="K53" s="648"/>
      <c r="L53" s="648"/>
      <c r="M53" s="648"/>
      <c r="N53" s="648"/>
      <c r="O53" s="648"/>
      <c r="P53" s="648"/>
      <c r="Q53" s="648"/>
      <c r="R53" s="648"/>
      <c r="S53" s="648"/>
      <c r="T53" s="648"/>
      <c r="U53" s="648"/>
      <c r="V53" s="648"/>
      <c r="W53" s="648"/>
      <c r="X53" s="648"/>
      <c r="Y53" s="648"/>
      <c r="Z53" s="648"/>
      <c r="AA53" s="648"/>
      <c r="AB53" s="648"/>
      <c r="AC53" s="648"/>
      <c r="AD53" s="648"/>
      <c r="AE53" s="648"/>
      <c r="AF53" s="648"/>
      <c r="AG53" s="648"/>
      <c r="AH53" s="648"/>
      <c r="AI53" s="648"/>
      <c r="AJ53" s="648"/>
      <c r="AK53" s="648"/>
      <c r="AL53" s="648"/>
      <c r="AM53" s="648"/>
      <c r="AN53" s="648"/>
      <c r="AO53" s="648"/>
      <c r="AP53" s="648"/>
      <c r="AQ53" s="648"/>
      <c r="AR53" s="648"/>
      <c r="AS53" s="648"/>
      <c r="AT53" s="648"/>
      <c r="AU53" s="648"/>
    </row>
    <row r="54" spans="1:47">
      <c r="A54" s="648"/>
      <c r="B54" s="648"/>
      <c r="C54" s="648"/>
      <c r="D54" s="648"/>
      <c r="E54" s="648"/>
      <c r="F54" s="648"/>
      <c r="G54" s="648"/>
      <c r="H54" s="648"/>
      <c r="I54" s="648"/>
      <c r="J54" s="648"/>
      <c r="K54" s="648"/>
      <c r="L54" s="648"/>
      <c r="M54" s="648"/>
      <c r="N54" s="648"/>
      <c r="O54" s="648"/>
      <c r="P54" s="648"/>
      <c r="Q54" s="648"/>
      <c r="R54" s="648"/>
      <c r="S54" s="648"/>
      <c r="T54" s="648"/>
      <c r="U54" s="648"/>
      <c r="V54" s="648"/>
      <c r="W54" s="648"/>
      <c r="X54" s="648"/>
      <c r="Y54" s="648"/>
      <c r="Z54" s="648"/>
      <c r="AA54" s="648"/>
      <c r="AB54" s="648"/>
      <c r="AC54" s="648"/>
      <c r="AD54" s="648"/>
      <c r="AE54" s="648"/>
      <c r="AF54" s="648"/>
      <c r="AG54" s="648"/>
      <c r="AH54" s="648"/>
      <c r="AI54" s="648"/>
      <c r="AJ54" s="648"/>
      <c r="AK54" s="648"/>
      <c r="AL54" s="648"/>
      <c r="AM54" s="648"/>
      <c r="AN54" s="648"/>
      <c r="AO54" s="648"/>
      <c r="AP54" s="648"/>
      <c r="AQ54" s="648"/>
      <c r="AR54" s="648"/>
      <c r="AS54" s="648"/>
      <c r="AT54" s="648"/>
      <c r="AU54" s="648"/>
    </row>
    <row r="55" spans="1:47">
      <c r="A55" s="648"/>
      <c r="B55" s="648"/>
      <c r="C55" s="648"/>
      <c r="D55" s="648"/>
      <c r="E55" s="648"/>
      <c r="F55" s="648"/>
      <c r="G55" s="648"/>
      <c r="H55" s="648"/>
      <c r="I55" s="648"/>
      <c r="J55" s="648"/>
      <c r="K55" s="648"/>
      <c r="L55" s="648"/>
      <c r="M55" s="648"/>
      <c r="N55" s="648"/>
      <c r="O55" s="648"/>
      <c r="P55" s="648"/>
      <c r="Q55" s="648"/>
      <c r="R55" s="648"/>
      <c r="S55" s="648"/>
      <c r="T55" s="648"/>
      <c r="U55" s="648"/>
      <c r="V55" s="648"/>
      <c r="W55" s="648"/>
      <c r="X55" s="648"/>
      <c r="Y55" s="648"/>
      <c r="Z55" s="648"/>
      <c r="AA55" s="648"/>
      <c r="AB55" s="648"/>
      <c r="AC55" s="648"/>
      <c r="AD55" s="648"/>
      <c r="AE55" s="648"/>
      <c r="AF55" s="648"/>
      <c r="AG55" s="648"/>
      <c r="AH55" s="648"/>
      <c r="AI55" s="648"/>
      <c r="AJ55" s="648"/>
      <c r="AK55" s="648"/>
      <c r="AL55" s="648"/>
      <c r="AM55" s="648"/>
      <c r="AN55" s="648"/>
      <c r="AO55" s="648"/>
      <c r="AP55" s="648"/>
      <c r="AQ55" s="648"/>
      <c r="AR55" s="648"/>
      <c r="AS55" s="648"/>
      <c r="AT55" s="648"/>
      <c r="AU55" s="648"/>
    </row>
    <row r="56" spans="1:47">
      <c r="A56" s="648"/>
      <c r="B56" s="648"/>
      <c r="C56" s="648"/>
      <c r="D56" s="648"/>
      <c r="E56" s="648"/>
      <c r="F56" s="648"/>
      <c r="G56" s="648"/>
      <c r="H56" s="648"/>
      <c r="I56" s="648"/>
      <c r="J56" s="648"/>
      <c r="K56" s="648"/>
      <c r="L56" s="648"/>
      <c r="M56" s="648"/>
      <c r="N56" s="648"/>
      <c r="O56" s="648"/>
      <c r="P56" s="648"/>
      <c r="Q56" s="648"/>
      <c r="R56" s="648"/>
      <c r="S56" s="648"/>
      <c r="T56" s="648"/>
      <c r="U56" s="648"/>
      <c r="V56" s="648"/>
      <c r="W56" s="648"/>
      <c r="X56" s="648"/>
      <c r="Y56" s="648"/>
      <c r="Z56" s="648"/>
      <c r="AA56" s="648"/>
      <c r="AB56" s="648"/>
      <c r="AC56" s="648"/>
      <c r="AD56" s="648"/>
      <c r="AE56" s="648"/>
      <c r="AF56" s="648"/>
      <c r="AG56" s="648"/>
      <c r="AH56" s="648"/>
      <c r="AI56" s="648"/>
      <c r="AJ56" s="648"/>
      <c r="AK56" s="648"/>
      <c r="AL56" s="648"/>
      <c r="AM56" s="648"/>
      <c r="AN56" s="648"/>
      <c r="AO56" s="648"/>
      <c r="AP56" s="648"/>
      <c r="AQ56" s="648"/>
      <c r="AR56" s="648"/>
      <c r="AS56" s="648"/>
      <c r="AT56" s="648"/>
      <c r="AU56" s="648"/>
    </row>
    <row r="57" spans="1:47">
      <c r="A57" s="648"/>
      <c r="B57" s="648"/>
      <c r="C57" s="648"/>
      <c r="D57" s="648"/>
      <c r="E57" s="648"/>
      <c r="F57" s="648"/>
      <c r="G57" s="648"/>
      <c r="H57" s="648"/>
      <c r="I57" s="648"/>
      <c r="J57" s="648"/>
      <c r="K57" s="648"/>
      <c r="L57" s="648"/>
      <c r="M57" s="648"/>
      <c r="N57" s="648"/>
      <c r="O57" s="648"/>
      <c r="P57" s="648"/>
      <c r="Q57" s="648"/>
      <c r="R57" s="648"/>
      <c r="S57" s="648"/>
      <c r="T57" s="648"/>
      <c r="U57" s="648"/>
      <c r="V57" s="648"/>
      <c r="W57" s="648"/>
      <c r="X57" s="648"/>
      <c r="Y57" s="648"/>
      <c r="Z57" s="648"/>
      <c r="AA57" s="648"/>
      <c r="AB57" s="648"/>
      <c r="AC57" s="648"/>
      <c r="AD57" s="648"/>
      <c r="AE57" s="648"/>
      <c r="AF57" s="648"/>
      <c r="AG57" s="648"/>
      <c r="AH57" s="648"/>
      <c r="AI57" s="648"/>
      <c r="AJ57" s="648"/>
      <c r="AK57" s="648"/>
      <c r="AL57" s="648"/>
      <c r="AM57" s="648"/>
      <c r="AN57" s="648"/>
      <c r="AO57" s="648"/>
      <c r="AP57" s="648"/>
      <c r="AQ57" s="648"/>
      <c r="AR57" s="648"/>
      <c r="AS57" s="648"/>
      <c r="AT57" s="648"/>
      <c r="AU57" s="648"/>
    </row>
    <row r="58" spans="1:47">
      <c r="A58" s="648"/>
      <c r="B58" s="648"/>
      <c r="C58" s="648"/>
      <c r="D58" s="648"/>
      <c r="E58" s="648"/>
      <c r="F58" s="648"/>
      <c r="G58" s="648"/>
      <c r="H58" s="648"/>
      <c r="I58" s="648"/>
      <c r="J58" s="648"/>
      <c r="K58" s="648"/>
      <c r="L58" s="648"/>
      <c r="M58" s="648"/>
      <c r="N58" s="648"/>
      <c r="O58" s="648"/>
      <c r="P58" s="648"/>
      <c r="Q58" s="648"/>
      <c r="R58" s="648"/>
      <c r="S58" s="648"/>
      <c r="T58" s="648"/>
      <c r="U58" s="648"/>
      <c r="V58" s="648"/>
      <c r="W58" s="648"/>
      <c r="X58" s="648"/>
      <c r="Y58" s="648"/>
      <c r="Z58" s="648"/>
      <c r="AA58" s="648"/>
      <c r="AB58" s="648"/>
      <c r="AC58" s="648"/>
      <c r="AD58" s="648"/>
      <c r="AE58" s="648"/>
      <c r="AF58" s="648"/>
      <c r="AG58" s="648"/>
      <c r="AH58" s="648"/>
      <c r="AI58" s="648"/>
      <c r="AJ58" s="648"/>
      <c r="AK58" s="648"/>
      <c r="AL58" s="648"/>
      <c r="AM58" s="648"/>
      <c r="AN58" s="648"/>
      <c r="AO58" s="648"/>
      <c r="AP58" s="648"/>
      <c r="AQ58" s="648"/>
      <c r="AR58" s="648"/>
      <c r="AS58" s="648"/>
      <c r="AT58" s="648"/>
      <c r="AU58" s="648"/>
    </row>
    <row r="59" spans="1:47">
      <c r="A59" s="648"/>
      <c r="B59" s="648"/>
      <c r="C59" s="648"/>
      <c r="D59" s="648"/>
      <c r="E59" s="648"/>
      <c r="F59" s="648"/>
      <c r="G59" s="648"/>
      <c r="H59" s="648"/>
      <c r="I59" s="648"/>
      <c r="J59" s="648"/>
      <c r="K59" s="648"/>
      <c r="L59" s="648"/>
      <c r="M59" s="648"/>
      <c r="N59" s="648"/>
      <c r="O59" s="648"/>
      <c r="P59" s="648"/>
      <c r="Q59" s="648"/>
      <c r="R59" s="648"/>
      <c r="S59" s="648"/>
      <c r="T59" s="648"/>
      <c r="U59" s="648"/>
      <c r="V59" s="648"/>
      <c r="W59" s="648"/>
      <c r="X59" s="648"/>
      <c r="Y59" s="648"/>
      <c r="Z59" s="648"/>
      <c r="AA59" s="648"/>
      <c r="AB59" s="648"/>
      <c r="AC59" s="648"/>
      <c r="AD59" s="648"/>
      <c r="AE59" s="648"/>
      <c r="AF59" s="648"/>
      <c r="AG59" s="648"/>
      <c r="AH59" s="648"/>
      <c r="AI59" s="648"/>
      <c r="AJ59" s="648"/>
      <c r="AK59" s="648"/>
      <c r="AL59" s="648"/>
      <c r="AM59" s="648"/>
      <c r="AN59" s="648"/>
      <c r="AO59" s="648"/>
      <c r="AP59" s="648"/>
      <c r="AQ59" s="648"/>
      <c r="AR59" s="648"/>
      <c r="AS59" s="648"/>
      <c r="AT59" s="648"/>
      <c r="AU59" s="648"/>
    </row>
    <row r="60" spans="1:47">
      <c r="A60" s="648"/>
      <c r="B60" s="648"/>
      <c r="C60" s="648"/>
      <c r="D60" s="648"/>
      <c r="E60" s="648"/>
      <c r="F60" s="648"/>
      <c r="G60" s="648"/>
      <c r="H60" s="648"/>
      <c r="I60" s="648"/>
      <c r="J60" s="648"/>
      <c r="K60" s="648"/>
      <c r="L60" s="648"/>
      <c r="M60" s="648"/>
      <c r="N60" s="648"/>
      <c r="O60" s="648"/>
      <c r="P60" s="648"/>
      <c r="Q60" s="648"/>
      <c r="R60" s="648"/>
      <c r="S60" s="648"/>
      <c r="T60" s="648"/>
      <c r="U60" s="648"/>
      <c r="V60" s="648"/>
      <c r="W60" s="648"/>
      <c r="X60" s="648"/>
      <c r="Y60" s="648"/>
      <c r="Z60" s="648"/>
      <c r="AA60" s="648"/>
      <c r="AB60" s="648"/>
      <c r="AC60" s="648"/>
      <c r="AD60" s="648"/>
      <c r="AE60" s="648"/>
      <c r="AF60" s="648"/>
      <c r="AG60" s="648"/>
      <c r="AH60" s="648"/>
      <c r="AI60" s="648"/>
      <c r="AJ60" s="648"/>
      <c r="AK60" s="648"/>
      <c r="AL60" s="648"/>
      <c r="AM60" s="648"/>
      <c r="AN60" s="648"/>
      <c r="AO60" s="648"/>
      <c r="AP60" s="648"/>
      <c r="AQ60" s="648"/>
      <c r="AR60" s="648"/>
      <c r="AS60" s="648"/>
      <c r="AT60" s="648"/>
      <c r="AU60" s="648"/>
    </row>
    <row r="61" spans="1:47">
      <c r="A61" s="648"/>
      <c r="B61" s="648"/>
      <c r="C61" s="648"/>
      <c r="D61" s="648"/>
      <c r="E61" s="648"/>
      <c r="F61" s="648"/>
      <c r="G61" s="648"/>
      <c r="H61" s="648"/>
      <c r="I61" s="648"/>
      <c r="J61" s="648"/>
      <c r="K61" s="648"/>
      <c r="L61" s="648"/>
      <c r="M61" s="648"/>
      <c r="N61" s="648"/>
      <c r="O61" s="648"/>
      <c r="P61" s="648"/>
      <c r="Q61" s="648"/>
      <c r="R61" s="648"/>
      <c r="S61" s="648"/>
      <c r="T61" s="648"/>
      <c r="U61" s="648"/>
      <c r="V61" s="648"/>
      <c r="W61" s="648"/>
      <c r="X61" s="648"/>
      <c r="Y61" s="648"/>
      <c r="Z61" s="648"/>
      <c r="AA61" s="648"/>
      <c r="AB61" s="648"/>
      <c r="AC61" s="648"/>
      <c r="AD61" s="648"/>
      <c r="AE61" s="648"/>
      <c r="AF61" s="648"/>
      <c r="AG61" s="648"/>
      <c r="AH61" s="648"/>
      <c r="AI61" s="648"/>
      <c r="AJ61" s="648"/>
      <c r="AK61" s="648"/>
      <c r="AL61" s="648"/>
      <c r="AM61" s="648"/>
      <c r="AN61" s="648"/>
      <c r="AO61" s="648"/>
      <c r="AP61" s="648"/>
      <c r="AQ61" s="648"/>
      <c r="AR61" s="648"/>
      <c r="AS61" s="648"/>
      <c r="AT61" s="648"/>
      <c r="AU61" s="648"/>
    </row>
    <row r="62" spans="1:47">
      <c r="A62" s="648"/>
      <c r="B62" s="648"/>
      <c r="C62" s="648"/>
      <c r="D62" s="648"/>
      <c r="E62" s="648"/>
      <c r="F62" s="648"/>
      <c r="G62" s="648"/>
      <c r="H62" s="648"/>
      <c r="I62" s="648"/>
      <c r="J62" s="648"/>
      <c r="K62" s="648"/>
      <c r="L62" s="648"/>
      <c r="M62" s="648"/>
      <c r="N62" s="648"/>
      <c r="O62" s="648"/>
      <c r="P62" s="648"/>
      <c r="Q62" s="648"/>
      <c r="R62" s="648"/>
      <c r="S62" s="648"/>
      <c r="T62" s="648"/>
      <c r="U62" s="648"/>
      <c r="V62" s="648"/>
      <c r="W62" s="648"/>
      <c r="X62" s="648"/>
      <c r="Y62" s="648"/>
      <c r="Z62" s="648"/>
      <c r="AA62" s="648"/>
      <c r="AB62" s="648"/>
      <c r="AC62" s="648"/>
      <c r="AD62" s="648"/>
      <c r="AE62" s="648"/>
      <c r="AF62" s="648"/>
      <c r="AG62" s="648"/>
      <c r="AH62" s="648"/>
      <c r="AI62" s="648"/>
      <c r="AJ62" s="648"/>
      <c r="AK62" s="648"/>
      <c r="AL62" s="648"/>
      <c r="AM62" s="648"/>
      <c r="AN62" s="648"/>
      <c r="AO62" s="648"/>
      <c r="AP62" s="648"/>
      <c r="AQ62" s="648"/>
      <c r="AR62" s="648"/>
      <c r="AS62" s="648"/>
      <c r="AT62" s="648"/>
      <c r="AU62" s="648"/>
    </row>
    <row r="63" spans="1:47">
      <c r="A63" s="648"/>
      <c r="B63" s="648"/>
      <c r="C63" s="648"/>
      <c r="D63" s="648"/>
      <c r="E63" s="648"/>
      <c r="F63" s="648"/>
      <c r="G63" s="648"/>
      <c r="H63" s="648"/>
      <c r="I63" s="648"/>
      <c r="J63" s="648"/>
      <c r="K63" s="648"/>
      <c r="L63" s="648"/>
      <c r="M63" s="648"/>
      <c r="N63" s="648"/>
      <c r="O63" s="648"/>
      <c r="P63" s="648"/>
      <c r="Q63" s="648"/>
      <c r="R63" s="648"/>
      <c r="S63" s="648"/>
      <c r="T63" s="648"/>
      <c r="U63" s="648"/>
      <c r="V63" s="648"/>
      <c r="W63" s="648"/>
      <c r="X63" s="648"/>
      <c r="Y63" s="648"/>
      <c r="Z63" s="648"/>
      <c r="AA63" s="648"/>
      <c r="AB63" s="648"/>
      <c r="AC63" s="648"/>
      <c r="AD63" s="648"/>
      <c r="AE63" s="648"/>
      <c r="AF63" s="648"/>
      <c r="AG63" s="648"/>
      <c r="AH63" s="648"/>
      <c r="AI63" s="648"/>
      <c r="AJ63" s="648"/>
      <c r="AK63" s="648"/>
      <c r="AL63" s="648"/>
      <c r="AM63" s="648"/>
      <c r="AN63" s="648"/>
      <c r="AO63" s="648"/>
      <c r="AP63" s="648"/>
      <c r="AQ63" s="648"/>
      <c r="AR63" s="648"/>
      <c r="AS63" s="648"/>
      <c r="AT63" s="648"/>
      <c r="AU63" s="648"/>
    </row>
    <row r="64" spans="1:47">
      <c r="A64" s="648"/>
      <c r="B64" s="648"/>
      <c r="C64" s="648"/>
      <c r="D64" s="648"/>
      <c r="E64" s="648"/>
      <c r="F64" s="648"/>
      <c r="G64" s="648"/>
      <c r="H64" s="648"/>
      <c r="I64" s="648"/>
      <c r="J64" s="648"/>
      <c r="K64" s="648"/>
      <c r="L64" s="648"/>
      <c r="M64" s="648"/>
      <c r="N64" s="648"/>
      <c r="O64" s="648"/>
      <c r="P64" s="648"/>
      <c r="Q64" s="648"/>
      <c r="R64" s="648"/>
      <c r="S64" s="648"/>
      <c r="T64" s="648"/>
      <c r="U64" s="648"/>
      <c r="V64" s="648"/>
      <c r="W64" s="648"/>
      <c r="X64" s="648"/>
      <c r="Y64" s="648"/>
      <c r="Z64" s="648"/>
      <c r="AA64" s="648"/>
      <c r="AB64" s="648"/>
      <c r="AC64" s="648"/>
      <c r="AD64" s="648"/>
      <c r="AE64" s="648"/>
      <c r="AF64" s="648"/>
      <c r="AG64" s="648"/>
      <c r="AH64" s="648"/>
      <c r="AI64" s="648"/>
      <c r="AJ64" s="648"/>
      <c r="AK64" s="648"/>
      <c r="AL64" s="648"/>
      <c r="AM64" s="648"/>
      <c r="AN64" s="648"/>
      <c r="AO64" s="648"/>
      <c r="AP64" s="648"/>
      <c r="AQ64" s="648"/>
      <c r="AR64" s="648"/>
      <c r="AS64" s="648"/>
      <c r="AT64" s="648"/>
      <c r="AU64" s="648"/>
    </row>
    <row r="65" spans="1:47">
      <c r="A65" s="648"/>
      <c r="B65" s="648"/>
      <c r="C65" s="648"/>
      <c r="D65" s="648"/>
      <c r="E65" s="648"/>
      <c r="F65" s="648"/>
      <c r="G65" s="648"/>
      <c r="H65" s="648"/>
      <c r="I65" s="648"/>
      <c r="J65" s="648"/>
      <c r="K65" s="648"/>
      <c r="L65" s="648"/>
      <c r="M65" s="648"/>
      <c r="N65" s="648"/>
      <c r="O65" s="648"/>
      <c r="P65" s="648"/>
      <c r="Q65" s="648"/>
      <c r="R65" s="648"/>
      <c r="S65" s="648"/>
      <c r="T65" s="648"/>
      <c r="U65" s="648"/>
      <c r="V65" s="648"/>
      <c r="W65" s="648"/>
      <c r="X65" s="648"/>
      <c r="Y65" s="648"/>
      <c r="Z65" s="648"/>
      <c r="AA65" s="648"/>
      <c r="AB65" s="648"/>
      <c r="AC65" s="648"/>
      <c r="AD65" s="648"/>
      <c r="AE65" s="648"/>
      <c r="AF65" s="648"/>
      <c r="AG65" s="648"/>
      <c r="AH65" s="648"/>
      <c r="AI65" s="648"/>
      <c r="AJ65" s="648"/>
      <c r="AK65" s="648"/>
      <c r="AL65" s="648"/>
      <c r="AM65" s="648"/>
      <c r="AN65" s="648"/>
      <c r="AO65" s="648"/>
      <c r="AP65" s="648"/>
      <c r="AQ65" s="648"/>
      <c r="AR65" s="648"/>
      <c r="AS65" s="648"/>
      <c r="AT65" s="648"/>
      <c r="AU65" s="648"/>
    </row>
    <row r="66" spans="1:47">
      <c r="A66" s="648"/>
      <c r="B66" s="648"/>
      <c r="C66" s="648"/>
      <c r="D66" s="648"/>
      <c r="E66" s="648"/>
      <c r="F66" s="648"/>
      <c r="G66" s="648"/>
      <c r="H66" s="648"/>
      <c r="I66" s="648"/>
      <c r="J66" s="648"/>
      <c r="K66" s="648"/>
      <c r="L66" s="648"/>
      <c r="M66" s="648"/>
      <c r="N66" s="648"/>
      <c r="O66" s="648"/>
      <c r="P66" s="648"/>
      <c r="Q66" s="648"/>
      <c r="R66" s="648"/>
      <c r="S66" s="648"/>
      <c r="T66" s="648"/>
      <c r="U66" s="648"/>
      <c r="V66" s="648"/>
      <c r="W66" s="648"/>
      <c r="X66" s="648"/>
      <c r="Y66" s="648"/>
      <c r="Z66" s="648"/>
      <c r="AA66" s="648"/>
      <c r="AB66" s="648"/>
      <c r="AC66" s="648"/>
      <c r="AD66" s="648"/>
      <c r="AE66" s="648"/>
      <c r="AF66" s="648"/>
      <c r="AG66" s="648"/>
      <c r="AH66" s="648"/>
      <c r="AI66" s="648"/>
      <c r="AJ66" s="648"/>
      <c r="AK66" s="648"/>
      <c r="AL66" s="648"/>
      <c r="AM66" s="648"/>
      <c r="AN66" s="648"/>
      <c r="AO66" s="648"/>
      <c r="AP66" s="648"/>
      <c r="AQ66" s="648"/>
      <c r="AR66" s="648"/>
      <c r="AS66" s="648"/>
      <c r="AT66" s="648"/>
      <c r="AU66" s="648"/>
    </row>
    <row r="67" spans="1:47">
      <c r="A67" s="648"/>
      <c r="B67" s="648"/>
      <c r="C67" s="648"/>
      <c r="D67" s="648"/>
      <c r="E67" s="648"/>
      <c r="F67" s="648"/>
      <c r="G67" s="648"/>
      <c r="H67" s="648"/>
      <c r="I67" s="648"/>
      <c r="J67" s="648"/>
      <c r="K67" s="648"/>
      <c r="L67" s="648"/>
      <c r="M67" s="648"/>
      <c r="N67" s="648"/>
      <c r="O67" s="648"/>
      <c r="P67" s="648"/>
      <c r="Q67" s="648"/>
      <c r="R67" s="648"/>
      <c r="S67" s="648"/>
      <c r="T67" s="648"/>
      <c r="U67" s="648"/>
      <c r="V67" s="648"/>
      <c r="W67" s="648"/>
      <c r="X67" s="648"/>
      <c r="Y67" s="648"/>
      <c r="Z67" s="648"/>
      <c r="AA67" s="648"/>
      <c r="AB67" s="648"/>
      <c r="AC67" s="648"/>
      <c r="AD67" s="648"/>
      <c r="AE67" s="648"/>
      <c r="AF67" s="648"/>
      <c r="AG67" s="648"/>
      <c r="AH67" s="648"/>
      <c r="AI67" s="648"/>
      <c r="AJ67" s="648"/>
      <c r="AK67" s="648"/>
      <c r="AL67" s="648"/>
      <c r="AM67" s="648"/>
      <c r="AN67" s="648"/>
      <c r="AO67" s="648"/>
      <c r="AP67" s="648"/>
      <c r="AQ67" s="648"/>
      <c r="AR67" s="648"/>
      <c r="AS67" s="648"/>
      <c r="AT67" s="648"/>
      <c r="AU67" s="648"/>
    </row>
    <row r="68" spans="1:47">
      <c r="A68" s="648"/>
      <c r="B68" s="648"/>
      <c r="C68" s="648"/>
      <c r="D68" s="648"/>
      <c r="E68" s="648"/>
      <c r="F68" s="648"/>
      <c r="G68" s="648"/>
      <c r="H68" s="648"/>
      <c r="I68" s="648"/>
      <c r="J68" s="648"/>
      <c r="K68" s="648"/>
      <c r="L68" s="648"/>
      <c r="M68" s="648"/>
      <c r="N68" s="648"/>
      <c r="O68" s="648"/>
      <c r="P68" s="648"/>
      <c r="Q68" s="648"/>
      <c r="R68" s="648"/>
      <c r="S68" s="648"/>
      <c r="T68" s="648"/>
      <c r="U68" s="648"/>
      <c r="V68" s="648"/>
      <c r="W68" s="648"/>
      <c r="X68" s="648"/>
      <c r="Y68" s="648"/>
      <c r="Z68" s="648"/>
      <c r="AA68" s="648"/>
      <c r="AB68" s="648"/>
      <c r="AC68" s="648"/>
      <c r="AD68" s="648"/>
      <c r="AE68" s="648"/>
      <c r="AF68" s="648"/>
      <c r="AG68" s="648"/>
      <c r="AH68" s="648"/>
      <c r="AI68" s="648"/>
      <c r="AJ68" s="648"/>
      <c r="AK68" s="648"/>
      <c r="AL68" s="648"/>
      <c r="AM68" s="648"/>
      <c r="AN68" s="648"/>
      <c r="AO68" s="648"/>
      <c r="AP68" s="648"/>
      <c r="AQ68" s="648"/>
      <c r="AR68" s="648"/>
      <c r="AS68" s="648"/>
      <c r="AT68" s="648"/>
      <c r="AU68" s="648"/>
    </row>
    <row r="69" spans="1:47">
      <c r="A69" s="648"/>
      <c r="B69" s="648"/>
      <c r="C69" s="648"/>
      <c r="D69" s="648"/>
      <c r="E69" s="648"/>
      <c r="F69" s="648"/>
      <c r="G69" s="648"/>
      <c r="H69" s="648"/>
      <c r="I69" s="648"/>
      <c r="J69" s="648"/>
      <c r="K69" s="648"/>
      <c r="L69" s="648"/>
      <c r="M69" s="648"/>
      <c r="N69" s="648"/>
      <c r="O69" s="648"/>
      <c r="P69" s="648"/>
      <c r="Q69" s="648"/>
      <c r="R69" s="648"/>
      <c r="S69" s="648"/>
      <c r="T69" s="648"/>
      <c r="U69" s="648"/>
      <c r="V69" s="648"/>
      <c r="W69" s="648"/>
      <c r="X69" s="648"/>
      <c r="Y69" s="648"/>
      <c r="Z69" s="648"/>
      <c r="AA69" s="648"/>
      <c r="AB69" s="648"/>
      <c r="AC69" s="648"/>
      <c r="AD69" s="648"/>
      <c r="AE69" s="648"/>
      <c r="AF69" s="648"/>
      <c r="AG69" s="648"/>
      <c r="AH69" s="648"/>
      <c r="AI69" s="648"/>
      <c r="AJ69" s="648"/>
      <c r="AK69" s="648"/>
      <c r="AL69" s="648"/>
      <c r="AM69" s="648"/>
      <c r="AN69" s="648"/>
      <c r="AO69" s="648"/>
      <c r="AP69" s="648"/>
      <c r="AQ69" s="648"/>
      <c r="AR69" s="648"/>
      <c r="AS69" s="648"/>
      <c r="AT69" s="648"/>
      <c r="AU69" s="648"/>
    </row>
    <row r="70" spans="1:47">
      <c r="A70" s="648"/>
      <c r="B70" s="648"/>
      <c r="C70" s="648"/>
      <c r="D70" s="648"/>
      <c r="E70" s="648"/>
      <c r="F70" s="648"/>
      <c r="G70" s="648"/>
      <c r="H70" s="648"/>
      <c r="I70" s="648"/>
      <c r="J70" s="648"/>
      <c r="K70" s="648"/>
      <c r="L70" s="648"/>
      <c r="M70" s="648"/>
      <c r="N70" s="648"/>
      <c r="O70" s="648"/>
      <c r="P70" s="648"/>
      <c r="Q70" s="648"/>
      <c r="R70" s="648"/>
      <c r="S70" s="648"/>
      <c r="T70" s="648"/>
      <c r="U70" s="648"/>
      <c r="V70" s="648"/>
      <c r="W70" s="648"/>
      <c r="X70" s="648"/>
      <c r="Y70" s="648"/>
      <c r="Z70" s="648"/>
      <c r="AA70" s="648"/>
      <c r="AB70" s="648"/>
      <c r="AC70" s="648"/>
      <c r="AD70" s="648"/>
      <c r="AE70" s="648"/>
      <c r="AF70" s="648"/>
      <c r="AG70" s="648"/>
      <c r="AH70" s="648"/>
      <c r="AI70" s="648"/>
      <c r="AJ70" s="648"/>
      <c r="AK70" s="648"/>
      <c r="AL70" s="648"/>
      <c r="AM70" s="648"/>
      <c r="AN70" s="648"/>
      <c r="AO70" s="648"/>
      <c r="AP70" s="648"/>
      <c r="AQ70" s="648"/>
      <c r="AR70" s="648"/>
      <c r="AS70" s="648"/>
      <c r="AT70" s="648"/>
      <c r="AU70" s="648"/>
    </row>
    <row r="71" spans="1:47">
      <c r="A71" s="648"/>
      <c r="B71" s="648"/>
      <c r="C71" s="648"/>
      <c r="D71" s="648"/>
      <c r="E71" s="648"/>
      <c r="F71" s="648"/>
      <c r="G71" s="648"/>
      <c r="H71" s="648"/>
      <c r="I71" s="648"/>
      <c r="J71" s="648"/>
      <c r="K71" s="648"/>
      <c r="L71" s="648"/>
      <c r="M71" s="648"/>
      <c r="N71" s="648"/>
      <c r="O71" s="648"/>
      <c r="P71" s="648"/>
      <c r="Q71" s="648"/>
      <c r="R71" s="648"/>
      <c r="S71" s="648"/>
      <c r="T71" s="648"/>
      <c r="U71" s="648"/>
      <c r="V71" s="648"/>
      <c r="W71" s="648"/>
      <c r="X71" s="648"/>
      <c r="Y71" s="648"/>
      <c r="Z71" s="648"/>
      <c r="AA71" s="648"/>
      <c r="AB71" s="648"/>
      <c r="AC71" s="648"/>
      <c r="AD71" s="648"/>
      <c r="AE71" s="648"/>
      <c r="AF71" s="648"/>
      <c r="AG71" s="648"/>
      <c r="AH71" s="648"/>
      <c r="AI71" s="648"/>
      <c r="AJ71" s="648"/>
      <c r="AK71" s="648"/>
      <c r="AL71" s="648"/>
      <c r="AM71" s="648"/>
      <c r="AN71" s="648"/>
      <c r="AO71" s="648"/>
      <c r="AP71" s="648"/>
      <c r="AQ71" s="648"/>
      <c r="AR71" s="648"/>
      <c r="AS71" s="648"/>
      <c r="AT71" s="648"/>
      <c r="AU71" s="648"/>
    </row>
    <row r="72" spans="1:47">
      <c r="A72" s="648"/>
      <c r="B72" s="648"/>
      <c r="C72" s="648"/>
      <c r="D72" s="648"/>
      <c r="E72" s="648"/>
      <c r="F72" s="648"/>
      <c r="G72" s="648"/>
      <c r="H72" s="648"/>
      <c r="I72" s="648"/>
      <c r="J72" s="648"/>
      <c r="K72" s="648"/>
      <c r="L72" s="648"/>
      <c r="M72" s="648"/>
      <c r="N72" s="648"/>
      <c r="O72" s="648"/>
      <c r="P72" s="648"/>
      <c r="Q72" s="648"/>
      <c r="R72" s="648"/>
      <c r="S72" s="648"/>
      <c r="T72" s="648"/>
      <c r="U72" s="648"/>
      <c r="V72" s="648"/>
      <c r="W72" s="648"/>
      <c r="X72" s="648"/>
      <c r="Y72" s="648"/>
      <c r="Z72" s="648"/>
      <c r="AA72" s="648"/>
      <c r="AB72" s="648"/>
      <c r="AC72" s="648"/>
      <c r="AD72" s="648"/>
      <c r="AE72" s="648"/>
      <c r="AF72" s="648"/>
      <c r="AG72" s="648"/>
      <c r="AH72" s="648"/>
      <c r="AI72" s="648"/>
      <c r="AJ72" s="648"/>
      <c r="AK72" s="648"/>
      <c r="AL72" s="648"/>
      <c r="AM72" s="648"/>
      <c r="AN72" s="648"/>
      <c r="AO72" s="648"/>
      <c r="AP72" s="648"/>
      <c r="AQ72" s="648"/>
      <c r="AR72" s="648"/>
      <c r="AS72" s="648"/>
      <c r="AT72" s="648"/>
      <c r="AU72" s="648"/>
    </row>
    <row r="73" spans="1:47">
      <c r="A73" s="648"/>
      <c r="B73" s="648"/>
      <c r="C73" s="648"/>
      <c r="D73" s="648"/>
      <c r="E73" s="648"/>
      <c r="F73" s="648"/>
      <c r="G73" s="648"/>
      <c r="H73" s="648"/>
      <c r="I73" s="648"/>
      <c r="J73" s="648"/>
      <c r="K73" s="648"/>
      <c r="L73" s="648"/>
      <c r="M73" s="648"/>
      <c r="N73" s="648"/>
      <c r="O73" s="648"/>
      <c r="P73" s="648"/>
      <c r="Q73" s="648"/>
      <c r="R73" s="648"/>
      <c r="S73" s="648"/>
      <c r="T73" s="648"/>
      <c r="U73" s="648"/>
      <c r="V73" s="648"/>
      <c r="W73" s="648"/>
      <c r="X73" s="648"/>
      <c r="Y73" s="648"/>
      <c r="Z73" s="648"/>
      <c r="AA73" s="648"/>
      <c r="AB73" s="648"/>
      <c r="AC73" s="648"/>
      <c r="AD73" s="648"/>
      <c r="AE73" s="648"/>
      <c r="AF73" s="648"/>
      <c r="AG73" s="648"/>
      <c r="AH73" s="648"/>
      <c r="AI73" s="648"/>
      <c r="AJ73" s="648"/>
      <c r="AK73" s="648"/>
      <c r="AL73" s="648"/>
      <c r="AM73" s="648"/>
      <c r="AN73" s="648"/>
      <c r="AO73" s="648"/>
      <c r="AP73" s="648"/>
      <c r="AQ73" s="648"/>
      <c r="AR73" s="648"/>
      <c r="AS73" s="648"/>
      <c r="AT73" s="648"/>
      <c r="AU73" s="648"/>
    </row>
    <row r="74" spans="1:47">
      <c r="A74" s="648"/>
      <c r="B74" s="648"/>
      <c r="C74" s="648"/>
      <c r="D74" s="648"/>
      <c r="E74" s="648"/>
      <c r="F74" s="648"/>
      <c r="G74" s="648"/>
      <c r="H74" s="648"/>
      <c r="I74" s="648"/>
      <c r="J74" s="648"/>
      <c r="K74" s="648"/>
      <c r="L74" s="648"/>
      <c r="M74" s="648"/>
      <c r="N74" s="648"/>
      <c r="O74" s="648"/>
      <c r="P74" s="648"/>
      <c r="Q74" s="648"/>
      <c r="R74" s="648"/>
      <c r="S74" s="648"/>
      <c r="T74" s="648"/>
      <c r="U74" s="648"/>
      <c r="V74" s="648"/>
      <c r="W74" s="648"/>
      <c r="X74" s="648"/>
      <c r="Y74" s="648"/>
      <c r="Z74" s="648"/>
      <c r="AA74" s="648"/>
      <c r="AB74" s="648"/>
      <c r="AC74" s="648"/>
      <c r="AD74" s="648"/>
      <c r="AE74" s="648"/>
      <c r="AF74" s="648"/>
      <c r="AG74" s="648"/>
      <c r="AH74" s="648"/>
      <c r="AI74" s="648"/>
      <c r="AJ74" s="648"/>
      <c r="AK74" s="648"/>
      <c r="AL74" s="648"/>
      <c r="AM74" s="648"/>
      <c r="AN74" s="648"/>
      <c r="AO74" s="648"/>
      <c r="AP74" s="648"/>
      <c r="AQ74" s="648"/>
      <c r="AR74" s="648"/>
      <c r="AS74" s="648"/>
      <c r="AT74" s="648"/>
      <c r="AU74" s="648"/>
    </row>
    <row r="75" spans="1:47">
      <c r="A75" s="648"/>
      <c r="B75" s="648"/>
      <c r="C75" s="648"/>
      <c r="D75" s="648"/>
      <c r="E75" s="648"/>
      <c r="F75" s="648"/>
      <c r="G75" s="648"/>
      <c r="H75" s="648"/>
      <c r="I75" s="648"/>
      <c r="J75" s="648"/>
      <c r="K75" s="648"/>
      <c r="L75" s="648"/>
      <c r="M75" s="648"/>
      <c r="N75" s="648"/>
      <c r="O75" s="648"/>
      <c r="P75" s="648"/>
      <c r="Q75" s="648"/>
      <c r="R75" s="648"/>
      <c r="S75" s="648"/>
      <c r="T75" s="648"/>
      <c r="U75" s="648"/>
      <c r="V75" s="648"/>
      <c r="W75" s="648"/>
      <c r="X75" s="648"/>
      <c r="Y75" s="648"/>
      <c r="Z75" s="648"/>
      <c r="AA75" s="648"/>
      <c r="AB75" s="648"/>
      <c r="AC75" s="648"/>
      <c r="AD75" s="648"/>
      <c r="AE75" s="648"/>
      <c r="AF75" s="648"/>
      <c r="AG75" s="648"/>
      <c r="AH75" s="648"/>
      <c r="AI75" s="648"/>
      <c r="AJ75" s="648"/>
      <c r="AK75" s="648"/>
      <c r="AL75" s="648"/>
      <c r="AM75" s="648"/>
      <c r="AN75" s="648"/>
      <c r="AO75" s="648"/>
      <c r="AP75" s="648"/>
      <c r="AQ75" s="648"/>
      <c r="AR75" s="648"/>
      <c r="AS75" s="648"/>
      <c r="AT75" s="648"/>
      <c r="AU75" s="648"/>
    </row>
    <row r="76" spans="1:47">
      <c r="A76" s="648"/>
      <c r="B76" s="648"/>
      <c r="C76" s="648"/>
      <c r="D76" s="648"/>
      <c r="E76" s="648"/>
      <c r="F76" s="648"/>
      <c r="G76" s="648"/>
      <c r="H76" s="648"/>
      <c r="I76" s="648"/>
      <c r="J76" s="648"/>
      <c r="K76" s="648"/>
      <c r="L76" s="648"/>
      <c r="M76" s="648"/>
      <c r="N76" s="648"/>
      <c r="O76" s="648"/>
      <c r="P76" s="648"/>
      <c r="Q76" s="648"/>
      <c r="R76" s="648"/>
      <c r="S76" s="648"/>
      <c r="T76" s="648"/>
      <c r="U76" s="648"/>
      <c r="V76" s="648"/>
      <c r="W76" s="648"/>
      <c r="X76" s="648"/>
      <c r="Y76" s="648"/>
      <c r="Z76" s="648"/>
      <c r="AA76" s="648"/>
      <c r="AB76" s="648"/>
      <c r="AC76" s="648"/>
      <c r="AD76" s="648"/>
      <c r="AE76" s="648"/>
      <c r="AF76" s="648"/>
      <c r="AG76" s="648"/>
      <c r="AH76" s="648"/>
      <c r="AI76" s="648"/>
      <c r="AJ76" s="648"/>
      <c r="AK76" s="648"/>
      <c r="AL76" s="648"/>
      <c r="AM76" s="648"/>
      <c r="AN76" s="648"/>
      <c r="AO76" s="648"/>
      <c r="AP76" s="648"/>
      <c r="AQ76" s="648"/>
      <c r="AR76" s="648"/>
      <c r="AS76" s="648"/>
      <c r="AT76" s="648"/>
      <c r="AU76" s="648"/>
    </row>
    <row r="77" spans="1:47">
      <c r="A77" s="648"/>
      <c r="B77" s="648"/>
      <c r="C77" s="648"/>
      <c r="D77" s="648"/>
      <c r="E77" s="648"/>
      <c r="F77" s="648"/>
      <c r="G77" s="648"/>
      <c r="H77" s="648"/>
      <c r="I77" s="648"/>
      <c r="J77" s="648"/>
      <c r="K77" s="648"/>
      <c r="L77" s="648"/>
      <c r="M77" s="648"/>
      <c r="N77" s="648"/>
      <c r="O77" s="648"/>
      <c r="P77" s="648"/>
      <c r="Q77" s="648"/>
      <c r="R77" s="648"/>
      <c r="S77" s="648"/>
      <c r="T77" s="648"/>
      <c r="U77" s="648"/>
      <c r="V77" s="648"/>
      <c r="W77" s="648"/>
      <c r="X77" s="648"/>
      <c r="Y77" s="648"/>
      <c r="Z77" s="648"/>
      <c r="AA77" s="648"/>
      <c r="AB77" s="648"/>
      <c r="AC77" s="648"/>
      <c r="AD77" s="648"/>
      <c r="AE77" s="648"/>
      <c r="AF77" s="648"/>
      <c r="AG77" s="648"/>
      <c r="AH77" s="648"/>
      <c r="AI77" s="648"/>
      <c r="AJ77" s="648"/>
      <c r="AK77" s="648"/>
      <c r="AL77" s="648"/>
      <c r="AM77" s="648"/>
      <c r="AN77" s="648"/>
      <c r="AO77" s="648"/>
      <c r="AP77" s="648"/>
      <c r="AQ77" s="648"/>
      <c r="AR77" s="648"/>
      <c r="AS77" s="648"/>
      <c r="AT77" s="648"/>
      <c r="AU77" s="648"/>
    </row>
    <row r="78" spans="1:47">
      <c r="A78" s="648"/>
      <c r="B78" s="648"/>
      <c r="C78" s="648"/>
      <c r="D78" s="648"/>
      <c r="E78" s="648"/>
      <c r="F78" s="648"/>
      <c r="G78" s="648"/>
      <c r="H78" s="648"/>
      <c r="I78" s="648"/>
      <c r="J78" s="648"/>
      <c r="K78" s="648"/>
      <c r="L78" s="648"/>
      <c r="M78" s="648"/>
      <c r="N78" s="648"/>
      <c r="O78" s="648"/>
      <c r="P78" s="648"/>
      <c r="Q78" s="648"/>
      <c r="R78" s="648"/>
      <c r="S78" s="648"/>
      <c r="T78" s="648"/>
      <c r="U78" s="648"/>
      <c r="V78" s="648"/>
      <c r="W78" s="648"/>
      <c r="X78" s="648"/>
      <c r="Y78" s="648"/>
      <c r="Z78" s="648"/>
      <c r="AA78" s="648"/>
      <c r="AB78" s="648"/>
      <c r="AC78" s="648"/>
      <c r="AD78" s="648"/>
      <c r="AE78" s="648"/>
      <c r="AF78" s="648"/>
      <c r="AG78" s="648"/>
      <c r="AH78" s="648"/>
      <c r="AI78" s="648"/>
      <c r="AJ78" s="648"/>
      <c r="AK78" s="648"/>
      <c r="AL78" s="648"/>
      <c r="AM78" s="648"/>
      <c r="AN78" s="648"/>
      <c r="AO78" s="648"/>
      <c r="AP78" s="648"/>
      <c r="AQ78" s="648"/>
      <c r="AR78" s="648"/>
      <c r="AS78" s="648"/>
      <c r="AT78" s="648"/>
      <c r="AU78" s="648"/>
    </row>
    <row r="79" spans="1:47">
      <c r="A79" s="648"/>
      <c r="B79" s="648"/>
      <c r="C79" s="648"/>
      <c r="D79" s="648"/>
      <c r="E79" s="648"/>
      <c r="F79" s="648"/>
      <c r="G79" s="648"/>
      <c r="H79" s="648"/>
      <c r="I79" s="648"/>
      <c r="J79" s="648"/>
      <c r="K79" s="648"/>
      <c r="L79" s="648"/>
      <c r="M79" s="648"/>
      <c r="N79" s="648"/>
      <c r="O79" s="648"/>
      <c r="P79" s="648"/>
      <c r="Q79" s="648"/>
      <c r="R79" s="648"/>
      <c r="S79" s="648"/>
      <c r="T79" s="648"/>
      <c r="U79" s="648"/>
      <c r="V79" s="648"/>
      <c r="W79" s="648"/>
      <c r="X79" s="648"/>
      <c r="Y79" s="648"/>
      <c r="Z79" s="648"/>
      <c r="AA79" s="648"/>
      <c r="AB79" s="648"/>
      <c r="AC79" s="648"/>
      <c r="AD79" s="648"/>
      <c r="AE79" s="648"/>
      <c r="AF79" s="648"/>
      <c r="AG79" s="648"/>
      <c r="AH79" s="648"/>
      <c r="AI79" s="648"/>
      <c r="AJ79" s="648"/>
      <c r="AK79" s="648"/>
      <c r="AL79" s="648"/>
      <c r="AM79" s="648"/>
      <c r="AN79" s="648"/>
      <c r="AO79" s="648"/>
      <c r="AP79" s="648"/>
      <c r="AQ79" s="648"/>
      <c r="AR79" s="648"/>
      <c r="AS79" s="648"/>
      <c r="AT79" s="648"/>
      <c r="AU79" s="648"/>
    </row>
    <row r="80" spans="1:47">
      <c r="A80" s="648"/>
      <c r="B80" s="648"/>
      <c r="C80" s="648"/>
      <c r="D80" s="648"/>
      <c r="E80" s="648"/>
      <c r="F80" s="648"/>
      <c r="G80" s="648"/>
      <c r="H80" s="648"/>
      <c r="I80" s="648"/>
      <c r="J80" s="648"/>
      <c r="K80" s="648"/>
      <c r="L80" s="648"/>
      <c r="M80" s="648"/>
      <c r="N80" s="648"/>
      <c r="O80" s="648"/>
      <c r="P80" s="648"/>
      <c r="Q80" s="648"/>
      <c r="R80" s="648"/>
      <c r="S80" s="648"/>
      <c r="T80" s="648"/>
      <c r="U80" s="648"/>
      <c r="V80" s="648"/>
      <c r="W80" s="648"/>
      <c r="X80" s="648"/>
      <c r="Y80" s="648"/>
      <c r="Z80" s="648"/>
      <c r="AA80" s="648"/>
      <c r="AB80" s="648"/>
      <c r="AC80" s="648"/>
      <c r="AD80" s="648"/>
      <c r="AE80" s="648"/>
      <c r="AF80" s="648"/>
      <c r="AG80" s="648"/>
      <c r="AH80" s="648"/>
      <c r="AI80" s="648"/>
      <c r="AJ80" s="648"/>
      <c r="AK80" s="648"/>
      <c r="AL80" s="648"/>
      <c r="AM80" s="648"/>
      <c r="AN80" s="648"/>
      <c r="AO80" s="648"/>
      <c r="AP80" s="648"/>
      <c r="AQ80" s="648"/>
      <c r="AR80" s="648"/>
      <c r="AS80" s="648"/>
      <c r="AT80" s="648"/>
      <c r="AU80" s="648"/>
    </row>
    <row r="81" spans="1:47">
      <c r="A81" s="648"/>
      <c r="B81" s="648"/>
      <c r="C81" s="648"/>
      <c r="D81" s="648"/>
      <c r="E81" s="648"/>
      <c r="F81" s="648"/>
      <c r="G81" s="648"/>
      <c r="H81" s="648"/>
      <c r="I81" s="648"/>
      <c r="J81" s="648"/>
      <c r="K81" s="648"/>
      <c r="L81" s="648"/>
      <c r="M81" s="648"/>
      <c r="N81" s="648"/>
      <c r="O81" s="648"/>
      <c r="P81" s="648"/>
      <c r="Q81" s="648"/>
      <c r="R81" s="648"/>
      <c r="S81" s="648"/>
      <c r="T81" s="648"/>
      <c r="U81" s="648"/>
      <c r="V81" s="648"/>
      <c r="W81" s="648"/>
      <c r="X81" s="648"/>
      <c r="Y81" s="648"/>
      <c r="Z81" s="648"/>
      <c r="AA81" s="648"/>
      <c r="AB81" s="648"/>
      <c r="AC81" s="648"/>
      <c r="AD81" s="648"/>
      <c r="AE81" s="648"/>
      <c r="AF81" s="648"/>
      <c r="AG81" s="648"/>
      <c r="AH81" s="648"/>
      <c r="AI81" s="648"/>
      <c r="AJ81" s="648"/>
      <c r="AK81" s="648"/>
      <c r="AL81" s="648"/>
      <c r="AM81" s="648"/>
      <c r="AN81" s="648"/>
      <c r="AO81" s="648"/>
      <c r="AP81" s="648"/>
      <c r="AQ81" s="648"/>
      <c r="AR81" s="648"/>
      <c r="AS81" s="648"/>
      <c r="AT81" s="648"/>
      <c r="AU81" s="648"/>
    </row>
    <row r="82" spans="1:47">
      <c r="A82" s="648"/>
      <c r="B82" s="648"/>
      <c r="C82" s="648"/>
      <c r="D82" s="648"/>
      <c r="E82" s="648"/>
      <c r="F82" s="648"/>
      <c r="G82" s="648"/>
      <c r="H82" s="648"/>
      <c r="I82" s="648"/>
      <c r="J82" s="648"/>
      <c r="K82" s="648"/>
      <c r="L82" s="648"/>
      <c r="M82" s="648"/>
      <c r="N82" s="648"/>
      <c r="O82" s="648"/>
      <c r="P82" s="648"/>
      <c r="Q82" s="648"/>
      <c r="R82" s="648"/>
      <c r="S82" s="648"/>
      <c r="T82" s="648"/>
      <c r="U82" s="648"/>
      <c r="V82" s="648"/>
      <c r="W82" s="648"/>
      <c r="X82" s="648"/>
      <c r="Y82" s="648"/>
      <c r="Z82" s="648"/>
      <c r="AA82" s="648"/>
      <c r="AB82" s="648"/>
      <c r="AC82" s="648"/>
      <c r="AD82" s="648"/>
      <c r="AE82" s="648"/>
      <c r="AF82" s="648"/>
      <c r="AG82" s="648"/>
      <c r="AH82" s="648"/>
      <c r="AI82" s="648"/>
      <c r="AJ82" s="648"/>
      <c r="AK82" s="648"/>
      <c r="AL82" s="648"/>
      <c r="AM82" s="648"/>
      <c r="AN82" s="648"/>
      <c r="AO82" s="648"/>
      <c r="AP82" s="648"/>
      <c r="AQ82" s="648"/>
      <c r="AR82" s="648"/>
      <c r="AS82" s="648"/>
      <c r="AT82" s="648"/>
      <c r="AU82" s="648"/>
    </row>
    <row r="83" spans="1:47">
      <c r="A83" s="648"/>
      <c r="B83" s="648"/>
      <c r="C83" s="648"/>
      <c r="D83" s="648"/>
      <c r="E83" s="648"/>
      <c r="F83" s="648"/>
      <c r="G83" s="648"/>
      <c r="H83" s="648"/>
      <c r="I83" s="648"/>
      <c r="J83" s="648"/>
      <c r="K83" s="648"/>
      <c r="L83" s="648"/>
      <c r="M83" s="648"/>
      <c r="N83" s="648"/>
      <c r="O83" s="648"/>
      <c r="P83" s="648"/>
      <c r="Q83" s="648"/>
      <c r="R83" s="648"/>
      <c r="S83" s="648"/>
      <c r="T83" s="648"/>
      <c r="U83" s="648"/>
      <c r="V83" s="648"/>
      <c r="W83" s="648"/>
      <c r="X83" s="648"/>
      <c r="Y83" s="648"/>
      <c r="Z83" s="648"/>
      <c r="AA83" s="648"/>
      <c r="AB83" s="648"/>
      <c r="AC83" s="648"/>
      <c r="AD83" s="648"/>
      <c r="AE83" s="648"/>
      <c r="AF83" s="648"/>
      <c r="AG83" s="648"/>
      <c r="AH83" s="648"/>
      <c r="AI83" s="648"/>
      <c r="AJ83" s="648"/>
      <c r="AK83" s="648"/>
      <c r="AL83" s="648"/>
      <c r="AM83" s="648"/>
      <c r="AN83" s="648"/>
      <c r="AO83" s="648"/>
      <c r="AP83" s="648"/>
      <c r="AQ83" s="648"/>
      <c r="AR83" s="648"/>
      <c r="AS83" s="648"/>
      <c r="AT83" s="648"/>
      <c r="AU83" s="648"/>
    </row>
    <row r="84" spans="1:47">
      <c r="A84" s="648"/>
      <c r="B84" s="648"/>
      <c r="C84" s="648"/>
      <c r="D84" s="648"/>
      <c r="E84" s="648"/>
      <c r="F84" s="648"/>
      <c r="G84" s="648"/>
      <c r="H84" s="648"/>
      <c r="I84" s="648"/>
      <c r="J84" s="648"/>
      <c r="K84" s="648"/>
      <c r="L84" s="648"/>
      <c r="M84" s="648"/>
      <c r="N84" s="648"/>
      <c r="O84" s="648"/>
      <c r="P84" s="648"/>
      <c r="Q84" s="648"/>
      <c r="R84" s="648"/>
      <c r="S84" s="648"/>
      <c r="T84" s="648"/>
      <c r="U84" s="648"/>
      <c r="V84" s="648"/>
      <c r="W84" s="648"/>
      <c r="X84" s="648"/>
      <c r="Y84" s="648"/>
      <c r="Z84" s="648"/>
      <c r="AA84" s="648"/>
      <c r="AB84" s="648"/>
      <c r="AC84" s="648"/>
      <c r="AD84" s="648"/>
      <c r="AE84" s="648"/>
      <c r="AF84" s="648"/>
      <c r="AG84" s="648"/>
      <c r="AH84" s="648"/>
      <c r="AI84" s="648"/>
      <c r="AJ84" s="648"/>
      <c r="AK84" s="648"/>
      <c r="AL84" s="648"/>
      <c r="AM84" s="648"/>
      <c r="AN84" s="648"/>
      <c r="AO84" s="648"/>
      <c r="AP84" s="648"/>
      <c r="AQ84" s="648"/>
      <c r="AR84" s="648"/>
      <c r="AS84" s="648"/>
      <c r="AT84" s="648"/>
      <c r="AU84" s="648"/>
    </row>
    <row r="85" spans="1:47">
      <c r="A85" s="648"/>
      <c r="B85" s="648"/>
      <c r="C85" s="648"/>
      <c r="D85" s="648"/>
      <c r="E85" s="648"/>
      <c r="F85" s="648"/>
      <c r="G85" s="648"/>
      <c r="H85" s="648"/>
      <c r="I85" s="648"/>
      <c r="J85" s="648"/>
      <c r="K85" s="648"/>
      <c r="L85" s="648"/>
      <c r="M85" s="648"/>
      <c r="N85" s="648"/>
      <c r="O85" s="648"/>
      <c r="P85" s="648"/>
      <c r="Q85" s="648"/>
      <c r="R85" s="648"/>
      <c r="S85" s="648"/>
      <c r="T85" s="648"/>
      <c r="U85" s="648"/>
      <c r="V85" s="648"/>
      <c r="W85" s="648"/>
      <c r="X85" s="648"/>
      <c r="Y85" s="648"/>
      <c r="Z85" s="648"/>
      <c r="AA85" s="648"/>
      <c r="AB85" s="648"/>
      <c r="AC85" s="648"/>
      <c r="AD85" s="648"/>
      <c r="AE85" s="648"/>
      <c r="AF85" s="648"/>
      <c r="AG85" s="648"/>
      <c r="AH85" s="648"/>
      <c r="AI85" s="648"/>
      <c r="AJ85" s="648"/>
      <c r="AK85" s="648"/>
      <c r="AL85" s="648"/>
      <c r="AM85" s="648"/>
      <c r="AN85" s="648"/>
      <c r="AO85" s="648"/>
      <c r="AP85" s="648"/>
      <c r="AQ85" s="648"/>
      <c r="AR85" s="648"/>
      <c r="AS85" s="648"/>
      <c r="AT85" s="648"/>
      <c r="AU85" s="648"/>
    </row>
    <row r="86" spans="1:47">
      <c r="A86" s="648"/>
      <c r="B86" s="648"/>
      <c r="C86" s="648"/>
      <c r="D86" s="648"/>
      <c r="E86" s="648"/>
      <c r="F86" s="648"/>
      <c r="G86" s="648"/>
      <c r="H86" s="648"/>
      <c r="I86" s="648"/>
      <c r="J86" s="648"/>
      <c r="K86" s="648"/>
      <c r="L86" s="648"/>
      <c r="M86" s="648"/>
      <c r="N86" s="648"/>
      <c r="O86" s="648"/>
      <c r="P86" s="648"/>
      <c r="Q86" s="648"/>
      <c r="R86" s="648"/>
      <c r="S86" s="648"/>
      <c r="T86" s="648"/>
      <c r="U86" s="648"/>
      <c r="V86" s="648"/>
      <c r="W86" s="648"/>
      <c r="X86" s="648"/>
      <c r="Y86" s="648"/>
      <c r="Z86" s="648"/>
      <c r="AA86" s="648"/>
      <c r="AB86" s="648"/>
      <c r="AC86" s="648"/>
      <c r="AD86" s="648"/>
      <c r="AE86" s="648"/>
      <c r="AF86" s="648"/>
      <c r="AG86" s="648"/>
      <c r="AH86" s="648"/>
      <c r="AI86" s="648"/>
      <c r="AJ86" s="648"/>
      <c r="AK86" s="648"/>
      <c r="AL86" s="648"/>
      <c r="AM86" s="648"/>
      <c r="AN86" s="648"/>
      <c r="AO86" s="648"/>
      <c r="AP86" s="648"/>
      <c r="AQ86" s="648"/>
      <c r="AR86" s="648"/>
      <c r="AS86" s="648"/>
      <c r="AT86" s="648"/>
      <c r="AU86" s="648"/>
    </row>
    <row r="87" spans="1:47">
      <c r="A87" s="648"/>
      <c r="B87" s="648"/>
      <c r="C87" s="648"/>
      <c r="D87" s="648"/>
      <c r="E87" s="648"/>
      <c r="F87" s="648"/>
      <c r="G87" s="648"/>
      <c r="H87" s="648"/>
      <c r="I87" s="648"/>
      <c r="J87" s="648"/>
      <c r="K87" s="648"/>
      <c r="L87" s="648"/>
      <c r="M87" s="648"/>
      <c r="N87" s="648"/>
      <c r="O87" s="648"/>
      <c r="P87" s="648"/>
      <c r="Q87" s="648"/>
      <c r="R87" s="648"/>
      <c r="S87" s="648"/>
      <c r="T87" s="648"/>
      <c r="U87" s="648"/>
      <c r="V87" s="648"/>
      <c r="W87" s="648"/>
      <c r="X87" s="648"/>
      <c r="Y87" s="648"/>
      <c r="Z87" s="648"/>
      <c r="AA87" s="648"/>
      <c r="AB87" s="648"/>
      <c r="AC87" s="648"/>
      <c r="AD87" s="648"/>
      <c r="AE87" s="648"/>
      <c r="AF87" s="648"/>
      <c r="AG87" s="648"/>
      <c r="AH87" s="648"/>
      <c r="AI87" s="648"/>
      <c r="AJ87" s="648"/>
      <c r="AK87" s="648"/>
      <c r="AL87" s="648"/>
      <c r="AM87" s="648"/>
      <c r="AN87" s="648"/>
      <c r="AO87" s="648"/>
      <c r="AP87" s="648"/>
      <c r="AQ87" s="648"/>
      <c r="AR87" s="648"/>
      <c r="AS87" s="648"/>
      <c r="AT87" s="648"/>
      <c r="AU87" s="648"/>
    </row>
    <row r="88" spans="1:47">
      <c r="A88" s="648"/>
      <c r="B88" s="648"/>
      <c r="C88" s="648"/>
      <c r="D88" s="648"/>
      <c r="E88" s="648"/>
      <c r="F88" s="648"/>
      <c r="G88" s="648"/>
      <c r="H88" s="648"/>
      <c r="I88" s="648"/>
      <c r="J88" s="648"/>
      <c r="K88" s="648"/>
      <c r="L88" s="648"/>
      <c r="M88" s="648"/>
      <c r="N88" s="648"/>
      <c r="O88" s="648"/>
      <c r="P88" s="648"/>
      <c r="Q88" s="648"/>
      <c r="R88" s="648"/>
      <c r="S88" s="648"/>
      <c r="T88" s="648"/>
      <c r="U88" s="648"/>
      <c r="V88" s="648"/>
      <c r="W88" s="648"/>
      <c r="X88" s="648"/>
      <c r="Y88" s="648"/>
      <c r="Z88" s="648"/>
      <c r="AA88" s="648"/>
      <c r="AB88" s="648"/>
      <c r="AC88" s="648"/>
      <c r="AD88" s="648"/>
      <c r="AE88" s="648"/>
      <c r="AF88" s="648"/>
      <c r="AG88" s="648"/>
      <c r="AH88" s="648"/>
      <c r="AI88" s="648"/>
      <c r="AJ88" s="648"/>
      <c r="AK88" s="648"/>
      <c r="AL88" s="648"/>
      <c r="AM88" s="648"/>
      <c r="AN88" s="648"/>
      <c r="AO88" s="648"/>
      <c r="AP88" s="648"/>
      <c r="AQ88" s="648"/>
      <c r="AR88" s="648"/>
      <c r="AS88" s="648"/>
      <c r="AT88" s="648"/>
      <c r="AU88" s="648"/>
    </row>
    <row r="89" spans="1:47">
      <c r="A89" s="648"/>
      <c r="B89" s="648"/>
      <c r="C89" s="648"/>
      <c r="D89" s="648"/>
      <c r="E89" s="648"/>
      <c r="F89" s="648"/>
      <c r="G89" s="648"/>
      <c r="H89" s="648"/>
      <c r="I89" s="648"/>
      <c r="J89" s="648"/>
      <c r="K89" s="648"/>
      <c r="L89" s="648"/>
      <c r="M89" s="648"/>
      <c r="N89" s="648"/>
      <c r="O89" s="648"/>
      <c r="P89" s="648"/>
      <c r="Q89" s="648"/>
      <c r="R89" s="648"/>
      <c r="S89" s="648"/>
      <c r="T89" s="648"/>
      <c r="U89" s="648"/>
      <c r="V89" s="648"/>
      <c r="W89" s="648"/>
      <c r="X89" s="648"/>
      <c r="Y89" s="648"/>
      <c r="Z89" s="648"/>
      <c r="AA89" s="648"/>
      <c r="AB89" s="648"/>
      <c r="AC89" s="648"/>
      <c r="AD89" s="648"/>
      <c r="AE89" s="648"/>
      <c r="AF89" s="648"/>
      <c r="AG89" s="648"/>
      <c r="AH89" s="648"/>
      <c r="AI89" s="648"/>
      <c r="AJ89" s="648"/>
      <c r="AK89" s="648"/>
      <c r="AL89" s="648"/>
      <c r="AM89" s="648"/>
      <c r="AN89" s="648"/>
      <c r="AO89" s="648"/>
      <c r="AP89" s="648"/>
      <c r="AQ89" s="648"/>
      <c r="AR89" s="648"/>
      <c r="AS89" s="648"/>
      <c r="AT89" s="648"/>
      <c r="AU89" s="648"/>
    </row>
    <row r="90" spans="1:47">
      <c r="A90" s="648"/>
      <c r="B90" s="648"/>
      <c r="C90" s="648"/>
      <c r="D90" s="648"/>
      <c r="E90" s="648"/>
      <c r="F90" s="648"/>
      <c r="G90" s="648"/>
      <c r="H90" s="648"/>
      <c r="I90" s="648"/>
      <c r="J90" s="648"/>
      <c r="K90" s="648"/>
      <c r="L90" s="648"/>
      <c r="M90" s="648"/>
      <c r="N90" s="648"/>
      <c r="O90" s="648"/>
      <c r="P90" s="648"/>
      <c r="Q90" s="648"/>
      <c r="R90" s="648"/>
      <c r="S90" s="648"/>
      <c r="T90" s="648"/>
      <c r="U90" s="648"/>
      <c r="V90" s="648"/>
      <c r="W90" s="648"/>
      <c r="X90" s="648"/>
      <c r="Y90" s="648"/>
      <c r="Z90" s="648"/>
      <c r="AA90" s="648"/>
      <c r="AB90" s="648"/>
      <c r="AC90" s="648"/>
      <c r="AD90" s="648"/>
      <c r="AE90" s="648"/>
      <c r="AF90" s="648"/>
      <c r="AG90" s="648"/>
      <c r="AH90" s="648"/>
      <c r="AI90" s="648"/>
      <c r="AJ90" s="648"/>
      <c r="AK90" s="648"/>
      <c r="AL90" s="648"/>
      <c r="AM90" s="648"/>
      <c r="AN90" s="648"/>
      <c r="AO90" s="648"/>
      <c r="AP90" s="648"/>
      <c r="AQ90" s="648"/>
      <c r="AR90" s="648"/>
      <c r="AS90" s="648"/>
      <c r="AT90" s="648"/>
      <c r="AU90" s="648"/>
    </row>
    <row r="91" spans="1:47">
      <c r="A91" s="648"/>
      <c r="B91" s="648"/>
      <c r="C91" s="648"/>
      <c r="D91" s="648"/>
      <c r="E91" s="648"/>
      <c r="F91" s="648"/>
      <c r="G91" s="648"/>
      <c r="H91" s="648"/>
      <c r="I91" s="648"/>
      <c r="J91" s="648"/>
      <c r="K91" s="648"/>
      <c r="L91" s="648"/>
      <c r="M91" s="648"/>
      <c r="N91" s="648"/>
      <c r="O91" s="648"/>
      <c r="P91" s="648"/>
      <c r="Q91" s="648"/>
      <c r="R91" s="648"/>
      <c r="S91" s="648"/>
      <c r="T91" s="648"/>
      <c r="U91" s="648"/>
      <c r="V91" s="648"/>
      <c r="W91" s="648"/>
      <c r="X91" s="648"/>
      <c r="Y91" s="648"/>
      <c r="Z91" s="648"/>
      <c r="AA91" s="648"/>
      <c r="AB91" s="648"/>
      <c r="AC91" s="648"/>
      <c r="AD91" s="648"/>
      <c r="AE91" s="648"/>
      <c r="AF91" s="648"/>
      <c r="AG91" s="648"/>
      <c r="AH91" s="648"/>
      <c r="AI91" s="648"/>
      <c r="AJ91" s="648"/>
      <c r="AK91" s="648"/>
      <c r="AL91" s="648"/>
      <c r="AM91" s="648"/>
      <c r="AN91" s="648"/>
      <c r="AO91" s="648"/>
      <c r="AP91" s="648"/>
      <c r="AQ91" s="648"/>
      <c r="AR91" s="648"/>
      <c r="AS91" s="648"/>
      <c r="AT91" s="648"/>
      <c r="AU91" s="648"/>
    </row>
    <row r="92" spans="1:47">
      <c r="A92" s="648"/>
      <c r="B92" s="648"/>
      <c r="C92" s="648"/>
      <c r="D92" s="648"/>
      <c r="E92" s="648"/>
      <c r="F92" s="648"/>
      <c r="G92" s="648"/>
      <c r="H92" s="648"/>
      <c r="I92" s="648"/>
      <c r="J92" s="648"/>
      <c r="K92" s="648"/>
      <c r="L92" s="648"/>
      <c r="M92" s="648"/>
      <c r="N92" s="648"/>
      <c r="O92" s="648"/>
      <c r="P92" s="648"/>
      <c r="Q92" s="648"/>
      <c r="R92" s="648"/>
      <c r="S92" s="648"/>
      <c r="T92" s="648"/>
      <c r="U92" s="648"/>
      <c r="V92" s="648"/>
      <c r="W92" s="648"/>
      <c r="X92" s="648"/>
      <c r="Y92" s="648"/>
      <c r="Z92" s="648"/>
      <c r="AA92" s="648"/>
      <c r="AB92" s="648"/>
      <c r="AC92" s="648"/>
      <c r="AD92" s="648"/>
      <c r="AE92" s="648"/>
      <c r="AF92" s="648"/>
      <c r="AG92" s="648"/>
      <c r="AH92" s="648"/>
      <c r="AI92" s="648"/>
      <c r="AJ92" s="648"/>
      <c r="AK92" s="648"/>
      <c r="AL92" s="648"/>
      <c r="AM92" s="648"/>
      <c r="AN92" s="648"/>
      <c r="AO92" s="648"/>
      <c r="AP92" s="648"/>
      <c r="AQ92" s="648"/>
      <c r="AR92" s="648"/>
      <c r="AS92" s="648"/>
      <c r="AT92" s="648"/>
      <c r="AU92" s="648"/>
    </row>
    <row r="93" spans="1:47">
      <c r="A93" s="648"/>
      <c r="B93" s="648"/>
      <c r="C93" s="648"/>
      <c r="D93" s="648"/>
      <c r="E93" s="648"/>
      <c r="F93" s="648"/>
      <c r="G93" s="648"/>
      <c r="H93" s="648"/>
      <c r="I93" s="648"/>
      <c r="J93" s="648"/>
      <c r="K93" s="648"/>
      <c r="L93" s="648"/>
      <c r="M93" s="648"/>
      <c r="N93" s="648"/>
      <c r="O93" s="648"/>
      <c r="P93" s="648"/>
      <c r="Q93" s="648"/>
      <c r="R93" s="648"/>
      <c r="S93" s="648"/>
      <c r="T93" s="648"/>
      <c r="U93" s="648"/>
      <c r="V93" s="648"/>
      <c r="W93" s="648"/>
      <c r="X93" s="648"/>
      <c r="Y93" s="648"/>
      <c r="Z93" s="648"/>
      <c r="AA93" s="648"/>
      <c r="AB93" s="648"/>
      <c r="AC93" s="648"/>
      <c r="AD93" s="648"/>
      <c r="AE93" s="648"/>
      <c r="AF93" s="648"/>
      <c r="AG93" s="648"/>
      <c r="AH93" s="648"/>
      <c r="AI93" s="648"/>
      <c r="AJ93" s="648"/>
      <c r="AK93" s="648"/>
      <c r="AL93" s="648"/>
      <c r="AM93" s="648"/>
      <c r="AN93" s="648"/>
      <c r="AO93" s="648"/>
      <c r="AP93" s="648"/>
      <c r="AQ93" s="648"/>
      <c r="AR93" s="648"/>
      <c r="AS93" s="648"/>
      <c r="AT93" s="648"/>
      <c r="AU93" s="648"/>
    </row>
    <row r="94" spans="1:47">
      <c r="A94" s="648"/>
      <c r="B94" s="648"/>
      <c r="C94" s="648"/>
      <c r="D94" s="648"/>
      <c r="E94" s="648"/>
      <c r="F94" s="648"/>
      <c r="G94" s="648"/>
      <c r="H94" s="648"/>
      <c r="I94" s="648"/>
      <c r="J94" s="648"/>
      <c r="K94" s="648"/>
      <c r="L94" s="648"/>
      <c r="M94" s="648"/>
      <c r="N94" s="648"/>
      <c r="O94" s="648"/>
      <c r="P94" s="648"/>
      <c r="Q94" s="648"/>
      <c r="R94" s="648"/>
      <c r="S94" s="648"/>
      <c r="T94" s="648"/>
      <c r="U94" s="648"/>
      <c r="V94" s="648"/>
      <c r="W94" s="648"/>
      <c r="X94" s="648"/>
      <c r="Y94" s="648"/>
      <c r="Z94" s="648"/>
      <c r="AA94" s="648"/>
      <c r="AB94" s="648"/>
      <c r="AC94" s="648"/>
      <c r="AD94" s="648"/>
      <c r="AE94" s="648"/>
      <c r="AF94" s="648"/>
      <c r="AG94" s="648"/>
      <c r="AH94" s="648"/>
      <c r="AI94" s="648"/>
      <c r="AJ94" s="648"/>
      <c r="AK94" s="648"/>
      <c r="AL94" s="648"/>
      <c r="AM94" s="648"/>
      <c r="AN94" s="648"/>
      <c r="AO94" s="648"/>
      <c r="AP94" s="648"/>
      <c r="AQ94" s="648"/>
      <c r="AR94" s="648"/>
      <c r="AS94" s="648"/>
      <c r="AT94" s="648"/>
      <c r="AU94" s="648"/>
    </row>
    <row r="95" spans="1:47">
      <c r="A95" s="648"/>
      <c r="B95" s="648"/>
      <c r="C95" s="648"/>
      <c r="D95" s="648"/>
      <c r="E95" s="648"/>
      <c r="F95" s="648"/>
      <c r="G95" s="648"/>
      <c r="H95" s="648"/>
      <c r="I95" s="648"/>
      <c r="J95" s="648"/>
      <c r="K95" s="648"/>
      <c r="L95" s="648"/>
      <c r="M95" s="648"/>
      <c r="N95" s="648"/>
      <c r="O95" s="648"/>
      <c r="P95" s="648"/>
      <c r="Q95" s="648"/>
      <c r="R95" s="648"/>
      <c r="S95" s="648"/>
      <c r="T95" s="648"/>
      <c r="U95" s="648"/>
      <c r="V95" s="648"/>
      <c r="W95" s="648"/>
      <c r="X95" s="648"/>
      <c r="Y95" s="648"/>
      <c r="Z95" s="648"/>
      <c r="AA95" s="648"/>
      <c r="AB95" s="648"/>
      <c r="AC95" s="648"/>
      <c r="AD95" s="648"/>
      <c r="AE95" s="648"/>
      <c r="AF95" s="648"/>
      <c r="AG95" s="648"/>
      <c r="AH95" s="648"/>
      <c r="AI95" s="648"/>
      <c r="AJ95" s="648"/>
      <c r="AK95" s="648"/>
      <c r="AL95" s="648"/>
      <c r="AM95" s="648"/>
      <c r="AN95" s="648"/>
      <c r="AO95" s="648"/>
      <c r="AP95" s="648"/>
      <c r="AQ95" s="648"/>
      <c r="AR95" s="648"/>
      <c r="AS95" s="648"/>
      <c r="AT95" s="648"/>
      <c r="AU95" s="648"/>
    </row>
    <row r="96" spans="1:47">
      <c r="A96" s="648"/>
      <c r="B96" s="648"/>
      <c r="C96" s="648"/>
      <c r="D96" s="648"/>
      <c r="E96" s="648"/>
      <c r="F96" s="648"/>
      <c r="G96" s="648"/>
      <c r="H96" s="648"/>
      <c r="I96" s="648"/>
      <c r="J96" s="648"/>
      <c r="K96" s="648"/>
      <c r="L96" s="648"/>
      <c r="M96" s="648"/>
      <c r="N96" s="648"/>
      <c r="O96" s="648"/>
      <c r="P96" s="648"/>
      <c r="Q96" s="648"/>
      <c r="R96" s="648"/>
      <c r="S96" s="648"/>
      <c r="T96" s="648"/>
      <c r="U96" s="648"/>
      <c r="V96" s="648"/>
      <c r="W96" s="648"/>
      <c r="X96" s="648"/>
      <c r="Y96" s="648"/>
      <c r="Z96" s="648"/>
      <c r="AA96" s="648"/>
      <c r="AB96" s="648"/>
      <c r="AC96" s="648"/>
      <c r="AD96" s="648"/>
      <c r="AE96" s="648"/>
      <c r="AF96" s="648"/>
      <c r="AG96" s="648"/>
      <c r="AH96" s="648"/>
      <c r="AI96" s="648"/>
      <c r="AJ96" s="648"/>
      <c r="AK96" s="648"/>
      <c r="AL96" s="648"/>
      <c r="AM96" s="648"/>
      <c r="AN96" s="648"/>
      <c r="AO96" s="648"/>
      <c r="AP96" s="648"/>
      <c r="AQ96" s="648"/>
      <c r="AR96" s="648"/>
      <c r="AS96" s="648"/>
      <c r="AT96" s="648"/>
      <c r="AU96" s="648"/>
    </row>
    <row r="97" spans="1:47">
      <c r="A97" s="648"/>
      <c r="B97" s="648"/>
      <c r="C97" s="648"/>
      <c r="D97" s="648"/>
      <c r="E97" s="648"/>
      <c r="F97" s="648"/>
      <c r="G97" s="648"/>
      <c r="H97" s="648"/>
      <c r="I97" s="648"/>
      <c r="J97" s="648"/>
      <c r="K97" s="648"/>
      <c r="L97" s="648"/>
      <c r="M97" s="648"/>
      <c r="N97" s="648"/>
      <c r="O97" s="648"/>
      <c r="P97" s="648"/>
      <c r="Q97" s="648"/>
      <c r="R97" s="648"/>
      <c r="S97" s="648"/>
      <c r="T97" s="648"/>
      <c r="U97" s="648"/>
      <c r="V97" s="648"/>
      <c r="W97" s="648"/>
      <c r="X97" s="648"/>
      <c r="Y97" s="648"/>
      <c r="Z97" s="648"/>
      <c r="AA97" s="648"/>
      <c r="AB97" s="648"/>
      <c r="AC97" s="648"/>
      <c r="AD97" s="648"/>
      <c r="AE97" s="648"/>
      <c r="AF97" s="648"/>
      <c r="AG97" s="648"/>
      <c r="AH97" s="648"/>
      <c r="AI97" s="648"/>
      <c r="AJ97" s="648"/>
      <c r="AK97" s="648"/>
      <c r="AL97" s="648"/>
      <c r="AM97" s="648"/>
      <c r="AN97" s="648"/>
      <c r="AO97" s="648"/>
      <c r="AP97" s="648"/>
      <c r="AQ97" s="648"/>
      <c r="AR97" s="648"/>
      <c r="AS97" s="648"/>
      <c r="AT97" s="648"/>
      <c r="AU97" s="648"/>
    </row>
    <row r="98" spans="1:47">
      <c r="A98" s="648"/>
      <c r="B98" s="648"/>
      <c r="C98" s="648"/>
      <c r="D98" s="648"/>
      <c r="E98" s="648"/>
      <c r="F98" s="648"/>
      <c r="G98" s="648"/>
      <c r="H98" s="648"/>
      <c r="I98" s="648"/>
      <c r="J98" s="648"/>
      <c r="K98" s="648"/>
      <c r="L98" s="648"/>
      <c r="M98" s="648"/>
      <c r="N98" s="648"/>
      <c r="O98" s="648"/>
      <c r="P98" s="648"/>
      <c r="Q98" s="648"/>
      <c r="R98" s="648"/>
      <c r="S98" s="648"/>
      <c r="T98" s="648"/>
      <c r="U98" s="648"/>
      <c r="V98" s="648"/>
      <c r="W98" s="648"/>
      <c r="X98" s="648"/>
      <c r="Y98" s="648"/>
      <c r="Z98" s="648"/>
      <c r="AA98" s="648"/>
      <c r="AB98" s="648"/>
      <c r="AC98" s="648"/>
      <c r="AD98" s="648"/>
      <c r="AE98" s="648"/>
      <c r="AF98" s="648"/>
      <c r="AG98" s="648"/>
      <c r="AH98" s="648"/>
      <c r="AI98" s="648"/>
      <c r="AJ98" s="648"/>
      <c r="AK98" s="648"/>
      <c r="AL98" s="648"/>
      <c r="AM98" s="648"/>
      <c r="AN98" s="648"/>
      <c r="AO98" s="648"/>
      <c r="AP98" s="648"/>
      <c r="AQ98" s="648"/>
      <c r="AR98" s="648"/>
      <c r="AS98" s="648"/>
      <c r="AT98" s="648"/>
      <c r="AU98" s="648"/>
    </row>
    <row r="99" spans="1:47">
      <c r="A99" s="648"/>
      <c r="B99" s="648"/>
      <c r="C99" s="648"/>
      <c r="D99" s="648"/>
      <c r="E99" s="648"/>
      <c r="F99" s="648"/>
      <c r="G99" s="648"/>
      <c r="H99" s="648"/>
      <c r="I99" s="648"/>
      <c r="J99" s="648"/>
      <c r="K99" s="648"/>
      <c r="L99" s="648"/>
      <c r="M99" s="648"/>
      <c r="N99" s="648"/>
      <c r="O99" s="648"/>
      <c r="P99" s="648"/>
      <c r="Q99" s="648"/>
      <c r="R99" s="648"/>
      <c r="S99" s="648"/>
      <c r="T99" s="648"/>
      <c r="U99" s="648"/>
      <c r="V99" s="648"/>
      <c r="W99" s="648"/>
      <c r="X99" s="648"/>
      <c r="Y99" s="648"/>
      <c r="Z99" s="648"/>
      <c r="AA99" s="648"/>
      <c r="AB99" s="648"/>
      <c r="AC99" s="648"/>
      <c r="AD99" s="648"/>
      <c r="AE99" s="648"/>
      <c r="AF99" s="648"/>
      <c r="AG99" s="648"/>
      <c r="AH99" s="648"/>
      <c r="AI99" s="648"/>
      <c r="AJ99" s="648"/>
      <c r="AK99" s="648"/>
      <c r="AL99" s="648"/>
      <c r="AM99" s="648"/>
      <c r="AN99" s="648"/>
      <c r="AO99" s="648"/>
      <c r="AP99" s="648"/>
      <c r="AQ99" s="648"/>
      <c r="AR99" s="648"/>
      <c r="AS99" s="648"/>
      <c r="AT99" s="648"/>
      <c r="AU99" s="648"/>
    </row>
    <row r="100" spans="1:47">
      <c r="A100" s="648"/>
      <c r="B100" s="648"/>
      <c r="C100" s="648"/>
      <c r="D100" s="648"/>
      <c r="E100" s="648"/>
      <c r="F100" s="648"/>
      <c r="G100" s="648"/>
      <c r="H100" s="648"/>
      <c r="I100" s="648"/>
      <c r="J100" s="648"/>
      <c r="K100" s="648"/>
      <c r="L100" s="648"/>
      <c r="M100" s="648"/>
      <c r="N100" s="648"/>
      <c r="O100" s="648"/>
      <c r="P100" s="648"/>
      <c r="Q100" s="648"/>
      <c r="R100" s="648"/>
      <c r="S100" s="648"/>
      <c r="T100" s="648"/>
      <c r="U100" s="648"/>
      <c r="V100" s="648"/>
      <c r="W100" s="648"/>
      <c r="X100" s="648"/>
      <c r="Y100" s="648"/>
      <c r="Z100" s="648"/>
      <c r="AA100" s="648"/>
      <c r="AB100" s="648"/>
      <c r="AC100" s="648"/>
      <c r="AD100" s="648"/>
      <c r="AE100" s="648"/>
      <c r="AF100" s="648"/>
      <c r="AG100" s="648"/>
      <c r="AH100" s="648"/>
      <c r="AI100" s="648"/>
      <c r="AJ100" s="648"/>
      <c r="AK100" s="648"/>
      <c r="AL100" s="648"/>
      <c r="AM100" s="648"/>
      <c r="AN100" s="648"/>
      <c r="AO100" s="648"/>
      <c r="AP100" s="648"/>
      <c r="AQ100" s="648"/>
      <c r="AR100" s="648"/>
      <c r="AS100" s="648"/>
      <c r="AT100" s="648"/>
      <c r="AU100" s="648"/>
    </row>
    <row r="101" spans="1:47">
      <c r="A101" s="648"/>
      <c r="B101" s="648"/>
      <c r="C101" s="648"/>
      <c r="D101" s="648"/>
      <c r="E101" s="648"/>
      <c r="F101" s="648"/>
      <c r="G101" s="648"/>
      <c r="H101" s="648"/>
      <c r="I101" s="648"/>
      <c r="J101" s="648"/>
      <c r="K101" s="648"/>
      <c r="L101" s="648"/>
      <c r="M101" s="648"/>
      <c r="N101" s="648"/>
      <c r="O101" s="648"/>
      <c r="P101" s="648"/>
      <c r="Q101" s="648"/>
      <c r="R101" s="648"/>
      <c r="S101" s="648"/>
      <c r="T101" s="648"/>
      <c r="U101" s="648"/>
      <c r="V101" s="648"/>
      <c r="W101" s="648"/>
      <c r="X101" s="648"/>
      <c r="Y101" s="648"/>
      <c r="Z101" s="648"/>
      <c r="AA101" s="648"/>
      <c r="AB101" s="648"/>
      <c r="AC101" s="648"/>
      <c r="AD101" s="648"/>
      <c r="AE101" s="648"/>
      <c r="AF101" s="648"/>
      <c r="AG101" s="648"/>
      <c r="AH101" s="648"/>
      <c r="AI101" s="648"/>
      <c r="AJ101" s="648"/>
      <c r="AK101" s="648"/>
      <c r="AL101" s="648"/>
      <c r="AM101" s="648"/>
      <c r="AN101" s="648"/>
      <c r="AO101" s="648"/>
      <c r="AP101" s="648"/>
      <c r="AQ101" s="648"/>
      <c r="AR101" s="648"/>
      <c r="AS101" s="648"/>
      <c r="AT101" s="648"/>
      <c r="AU101" s="648"/>
    </row>
    <row r="102" spans="1:47">
      <c r="A102" s="648"/>
      <c r="B102" s="648"/>
      <c r="C102" s="648"/>
      <c r="D102" s="648"/>
      <c r="E102" s="648"/>
      <c r="F102" s="648"/>
      <c r="G102" s="648"/>
      <c r="H102" s="648"/>
      <c r="I102" s="648"/>
      <c r="J102" s="648"/>
      <c r="K102" s="648"/>
      <c r="L102" s="648"/>
      <c r="M102" s="648"/>
      <c r="N102" s="648"/>
      <c r="O102" s="648"/>
      <c r="P102" s="648"/>
      <c r="Q102" s="648"/>
      <c r="R102" s="648"/>
      <c r="S102" s="648"/>
      <c r="T102" s="648"/>
      <c r="U102" s="648"/>
      <c r="V102" s="648"/>
      <c r="W102" s="648"/>
      <c r="X102" s="648"/>
      <c r="Y102" s="648"/>
      <c r="Z102" s="648"/>
      <c r="AA102" s="648"/>
      <c r="AB102" s="648"/>
      <c r="AC102" s="648"/>
      <c r="AD102" s="648"/>
      <c r="AE102" s="648"/>
      <c r="AF102" s="648"/>
      <c r="AG102" s="648"/>
      <c r="AH102" s="648"/>
      <c r="AI102" s="648"/>
      <c r="AJ102" s="648"/>
      <c r="AK102" s="648"/>
      <c r="AL102" s="648"/>
      <c r="AM102" s="648"/>
      <c r="AN102" s="648"/>
      <c r="AO102" s="648"/>
      <c r="AP102" s="648"/>
      <c r="AQ102" s="648"/>
      <c r="AR102" s="648"/>
      <c r="AS102" s="648"/>
      <c r="AT102" s="648"/>
      <c r="AU102" s="648"/>
    </row>
    <row r="103" spans="1:47">
      <c r="A103" s="648"/>
      <c r="B103" s="648"/>
      <c r="C103" s="648"/>
      <c r="D103" s="648"/>
      <c r="E103" s="648"/>
      <c r="F103" s="648"/>
      <c r="G103" s="648"/>
      <c r="H103" s="648"/>
      <c r="I103" s="648"/>
      <c r="J103" s="648"/>
      <c r="K103" s="648"/>
      <c r="L103" s="648"/>
      <c r="M103" s="648"/>
      <c r="N103" s="648"/>
      <c r="O103" s="648"/>
      <c r="P103" s="648"/>
      <c r="Q103" s="648"/>
      <c r="R103" s="648"/>
      <c r="S103" s="648"/>
      <c r="T103" s="648"/>
      <c r="U103" s="648"/>
      <c r="V103" s="648"/>
      <c r="W103" s="648"/>
      <c r="X103" s="648"/>
      <c r="Y103" s="648"/>
      <c r="Z103" s="648"/>
      <c r="AA103" s="648"/>
      <c r="AB103" s="648"/>
      <c r="AC103" s="648"/>
      <c r="AD103" s="648"/>
      <c r="AE103" s="648"/>
      <c r="AF103" s="648"/>
      <c r="AG103" s="648"/>
      <c r="AH103" s="648"/>
      <c r="AI103" s="648"/>
      <c r="AJ103" s="648"/>
      <c r="AK103" s="648"/>
      <c r="AL103" s="648"/>
      <c r="AM103" s="648"/>
      <c r="AN103" s="648"/>
      <c r="AO103" s="648"/>
      <c r="AP103" s="648"/>
      <c r="AQ103" s="648"/>
      <c r="AR103" s="648"/>
      <c r="AS103" s="648"/>
      <c r="AT103" s="648"/>
      <c r="AU103" s="648"/>
    </row>
    <row r="104" spans="1:47">
      <c r="A104" s="648"/>
      <c r="B104" s="648"/>
      <c r="C104" s="648"/>
      <c r="D104" s="648"/>
      <c r="E104" s="648"/>
      <c r="F104" s="648"/>
      <c r="G104" s="648"/>
      <c r="H104" s="648"/>
      <c r="I104" s="648"/>
      <c r="J104" s="648"/>
      <c r="K104" s="648"/>
      <c r="L104" s="648"/>
      <c r="M104" s="648"/>
      <c r="N104" s="648"/>
      <c r="O104" s="648"/>
      <c r="P104" s="648"/>
      <c r="Q104" s="648"/>
      <c r="R104" s="648"/>
      <c r="S104" s="648"/>
      <c r="T104" s="648"/>
      <c r="U104" s="648"/>
      <c r="V104" s="648"/>
      <c r="W104" s="648"/>
      <c r="X104" s="648"/>
      <c r="Y104" s="648"/>
      <c r="Z104" s="648"/>
      <c r="AA104" s="648"/>
      <c r="AB104" s="648"/>
      <c r="AC104" s="648"/>
      <c r="AD104" s="648"/>
      <c r="AE104" s="648"/>
      <c r="AF104" s="648"/>
      <c r="AG104" s="648"/>
      <c r="AH104" s="648"/>
      <c r="AI104" s="648"/>
      <c r="AJ104" s="648"/>
      <c r="AK104" s="648"/>
      <c r="AL104" s="648"/>
      <c r="AM104" s="648"/>
      <c r="AN104" s="648"/>
      <c r="AO104" s="648"/>
      <c r="AP104" s="648"/>
      <c r="AQ104" s="648"/>
      <c r="AR104" s="648"/>
      <c r="AS104" s="648"/>
      <c r="AT104" s="648"/>
      <c r="AU104" s="648"/>
    </row>
    <row r="105" spans="1:47">
      <c r="A105" s="648"/>
      <c r="B105" s="648"/>
      <c r="C105" s="648"/>
      <c r="D105" s="648"/>
      <c r="E105" s="648"/>
      <c r="F105" s="648"/>
      <c r="G105" s="648"/>
      <c r="H105" s="648"/>
      <c r="I105" s="648"/>
      <c r="J105" s="648"/>
      <c r="K105" s="648"/>
      <c r="L105" s="648"/>
      <c r="M105" s="648"/>
      <c r="N105" s="648"/>
      <c r="O105" s="648"/>
      <c r="P105" s="648"/>
      <c r="Q105" s="648"/>
      <c r="R105" s="648"/>
      <c r="S105" s="648"/>
      <c r="T105" s="648"/>
      <c r="U105" s="648"/>
      <c r="V105" s="648"/>
      <c r="W105" s="648"/>
      <c r="X105" s="648"/>
      <c r="Y105" s="648"/>
      <c r="Z105" s="648"/>
      <c r="AA105" s="648"/>
      <c r="AB105" s="648"/>
      <c r="AC105" s="648"/>
      <c r="AD105" s="648"/>
      <c r="AE105" s="648"/>
      <c r="AF105" s="648"/>
      <c r="AG105" s="648"/>
      <c r="AH105" s="648"/>
      <c r="AI105" s="648"/>
      <c r="AJ105" s="648"/>
      <c r="AK105" s="648"/>
      <c r="AL105" s="648"/>
      <c r="AM105" s="648"/>
      <c r="AN105" s="648"/>
      <c r="AO105" s="648"/>
      <c r="AP105" s="648"/>
      <c r="AQ105" s="648"/>
      <c r="AR105" s="648"/>
      <c r="AS105" s="648"/>
      <c r="AT105" s="648"/>
      <c r="AU105" s="648"/>
    </row>
    <row r="106" spans="1:47">
      <c r="A106" s="648"/>
      <c r="B106" s="648"/>
      <c r="C106" s="648"/>
      <c r="D106" s="648"/>
      <c r="E106" s="648"/>
      <c r="F106" s="648"/>
      <c r="G106" s="648"/>
      <c r="H106" s="648"/>
      <c r="I106" s="648"/>
      <c r="J106" s="648"/>
      <c r="K106" s="648"/>
      <c r="L106" s="648"/>
      <c r="M106" s="648"/>
      <c r="N106" s="648"/>
      <c r="O106" s="648"/>
      <c r="P106" s="648"/>
      <c r="Q106" s="648"/>
      <c r="R106" s="648"/>
      <c r="S106" s="648"/>
      <c r="T106" s="648"/>
      <c r="U106" s="648"/>
      <c r="V106" s="648"/>
      <c r="W106" s="648"/>
      <c r="X106" s="648"/>
      <c r="Y106" s="648"/>
      <c r="Z106" s="648"/>
      <c r="AA106" s="648"/>
      <c r="AB106" s="648"/>
      <c r="AC106" s="648"/>
      <c r="AD106" s="648"/>
      <c r="AE106" s="648"/>
      <c r="AF106" s="648"/>
      <c r="AG106" s="648"/>
      <c r="AH106" s="648"/>
      <c r="AI106" s="648"/>
      <c r="AJ106" s="648"/>
      <c r="AK106" s="648"/>
      <c r="AL106" s="648"/>
      <c r="AM106" s="648"/>
      <c r="AN106" s="648"/>
      <c r="AO106" s="648"/>
      <c r="AP106" s="648"/>
      <c r="AQ106" s="648"/>
      <c r="AR106" s="648"/>
      <c r="AS106" s="648"/>
      <c r="AT106" s="648"/>
      <c r="AU106" s="648"/>
    </row>
    <row r="107" spans="1:47">
      <c r="A107" s="648"/>
      <c r="B107" s="648"/>
      <c r="C107" s="648"/>
      <c r="D107" s="648"/>
      <c r="E107" s="648"/>
      <c r="F107" s="648"/>
      <c r="G107" s="648"/>
      <c r="H107" s="648"/>
      <c r="I107" s="648"/>
      <c r="J107" s="648"/>
      <c r="K107" s="648"/>
      <c r="L107" s="648"/>
      <c r="M107" s="648"/>
      <c r="N107" s="648"/>
      <c r="O107" s="648"/>
      <c r="P107" s="648"/>
      <c r="Q107" s="648"/>
      <c r="R107" s="648"/>
      <c r="S107" s="648"/>
      <c r="T107" s="648"/>
      <c r="U107" s="648"/>
      <c r="V107" s="648"/>
      <c r="W107" s="648"/>
      <c r="X107" s="648"/>
      <c r="Y107" s="648"/>
      <c r="Z107" s="648"/>
      <c r="AA107" s="648"/>
      <c r="AB107" s="648"/>
      <c r="AC107" s="648"/>
      <c r="AD107" s="648"/>
      <c r="AE107" s="648"/>
      <c r="AF107" s="648"/>
      <c r="AG107" s="648"/>
      <c r="AH107" s="648"/>
      <c r="AI107" s="648"/>
      <c r="AJ107" s="648"/>
      <c r="AK107" s="648"/>
      <c r="AL107" s="648"/>
      <c r="AM107" s="648"/>
      <c r="AN107" s="648"/>
      <c r="AO107" s="648"/>
      <c r="AP107" s="648"/>
      <c r="AQ107" s="648"/>
      <c r="AR107" s="648"/>
      <c r="AS107" s="648"/>
      <c r="AT107" s="648"/>
      <c r="AU107" s="648"/>
    </row>
    <row r="108" spans="1:47">
      <c r="A108" s="648"/>
      <c r="B108" s="648"/>
      <c r="C108" s="648"/>
      <c r="D108" s="648"/>
      <c r="E108" s="648"/>
      <c r="F108" s="648"/>
      <c r="G108" s="648"/>
      <c r="H108" s="648"/>
      <c r="I108" s="648"/>
      <c r="J108" s="648"/>
      <c r="K108" s="648"/>
      <c r="L108" s="648"/>
      <c r="M108" s="648"/>
      <c r="N108" s="648"/>
      <c r="O108" s="648"/>
      <c r="P108" s="648"/>
      <c r="Q108" s="648"/>
      <c r="R108" s="648"/>
      <c r="S108" s="648"/>
      <c r="T108" s="648"/>
      <c r="U108" s="648"/>
      <c r="V108" s="648"/>
      <c r="W108" s="648"/>
      <c r="X108" s="648"/>
      <c r="Y108" s="648"/>
      <c r="Z108" s="648"/>
      <c r="AA108" s="648"/>
      <c r="AB108" s="648"/>
      <c r="AC108" s="648"/>
      <c r="AD108" s="648"/>
      <c r="AE108" s="648"/>
      <c r="AF108" s="648"/>
      <c r="AG108" s="648"/>
      <c r="AH108" s="648"/>
      <c r="AI108" s="648"/>
      <c r="AJ108" s="648"/>
      <c r="AK108" s="648"/>
      <c r="AL108" s="648"/>
      <c r="AM108" s="648"/>
      <c r="AN108" s="648"/>
      <c r="AO108" s="648"/>
      <c r="AP108" s="648"/>
      <c r="AQ108" s="648"/>
      <c r="AR108" s="648"/>
      <c r="AS108" s="648"/>
      <c r="AT108" s="648"/>
      <c r="AU108" s="648"/>
    </row>
    <row r="109" spans="1:47">
      <c r="A109" s="648"/>
      <c r="B109" s="648"/>
      <c r="C109" s="648"/>
      <c r="D109" s="648"/>
      <c r="E109" s="648"/>
      <c r="F109" s="648"/>
      <c r="G109" s="648"/>
      <c r="H109" s="648"/>
      <c r="I109" s="648"/>
      <c r="J109" s="648"/>
      <c r="K109" s="648"/>
      <c r="L109" s="648"/>
      <c r="M109" s="648"/>
      <c r="N109" s="648"/>
      <c r="O109" s="648"/>
      <c r="P109" s="648"/>
      <c r="Q109" s="648"/>
      <c r="R109" s="648"/>
      <c r="S109" s="648"/>
      <c r="T109" s="648"/>
      <c r="U109" s="648"/>
      <c r="V109" s="648"/>
      <c r="W109" s="648"/>
      <c r="X109" s="648"/>
      <c r="Y109" s="648"/>
      <c r="Z109" s="648"/>
      <c r="AA109" s="648"/>
      <c r="AB109" s="648"/>
      <c r="AC109" s="648"/>
      <c r="AD109" s="648"/>
      <c r="AE109" s="648"/>
      <c r="AF109" s="648"/>
      <c r="AG109" s="648"/>
      <c r="AH109" s="648"/>
      <c r="AI109" s="648"/>
      <c r="AJ109" s="648"/>
      <c r="AK109" s="648"/>
      <c r="AL109" s="648"/>
      <c r="AM109" s="648"/>
      <c r="AN109" s="648"/>
      <c r="AO109" s="648"/>
      <c r="AP109" s="648"/>
      <c r="AQ109" s="648"/>
      <c r="AR109" s="648"/>
      <c r="AS109" s="648"/>
      <c r="AT109" s="648"/>
      <c r="AU109" s="648"/>
    </row>
    <row r="110" spans="1:47">
      <c r="A110" s="648"/>
      <c r="B110" s="648"/>
      <c r="C110" s="648"/>
      <c r="D110" s="648"/>
      <c r="E110" s="648"/>
      <c r="F110" s="648"/>
      <c r="G110" s="648"/>
      <c r="H110" s="648"/>
      <c r="I110" s="648"/>
      <c r="J110" s="648"/>
      <c r="K110" s="648"/>
      <c r="L110" s="648"/>
      <c r="M110" s="648"/>
      <c r="N110" s="648"/>
      <c r="O110" s="648"/>
      <c r="P110" s="648"/>
      <c r="Q110" s="648"/>
      <c r="R110" s="648"/>
      <c r="S110" s="648"/>
      <c r="T110" s="648"/>
      <c r="U110" s="648"/>
      <c r="V110" s="648"/>
      <c r="W110" s="648"/>
      <c r="X110" s="648"/>
      <c r="Y110" s="648"/>
      <c r="Z110" s="648"/>
      <c r="AA110" s="648"/>
      <c r="AB110" s="648"/>
      <c r="AC110" s="648"/>
      <c r="AD110" s="648"/>
      <c r="AE110" s="648"/>
      <c r="AF110" s="648"/>
      <c r="AG110" s="648"/>
      <c r="AH110" s="648"/>
      <c r="AI110" s="648"/>
      <c r="AJ110" s="648"/>
      <c r="AK110" s="648"/>
      <c r="AL110" s="648"/>
      <c r="AM110" s="648"/>
      <c r="AN110" s="648"/>
      <c r="AO110" s="648"/>
      <c r="AP110" s="648"/>
      <c r="AQ110" s="648"/>
      <c r="AR110" s="648"/>
      <c r="AS110" s="648"/>
      <c r="AT110" s="648"/>
      <c r="AU110" s="648"/>
    </row>
    <row r="111" spans="1:47">
      <c r="A111" s="648"/>
      <c r="B111" s="648"/>
      <c r="C111" s="648"/>
      <c r="D111" s="648"/>
      <c r="E111" s="648"/>
      <c r="F111" s="648"/>
      <c r="G111" s="648"/>
      <c r="H111" s="648"/>
      <c r="I111" s="648"/>
      <c r="J111" s="648"/>
      <c r="K111" s="648"/>
      <c r="L111" s="648"/>
      <c r="M111" s="648"/>
      <c r="N111" s="648"/>
      <c r="O111" s="648"/>
      <c r="P111" s="648"/>
      <c r="Q111" s="648"/>
      <c r="R111" s="648"/>
      <c r="S111" s="648"/>
      <c r="T111" s="648"/>
      <c r="U111" s="648"/>
      <c r="V111" s="648"/>
      <c r="W111" s="648"/>
      <c r="X111" s="648"/>
      <c r="Y111" s="648"/>
      <c r="Z111" s="648"/>
      <c r="AA111" s="648"/>
      <c r="AB111" s="648"/>
      <c r="AC111" s="648"/>
      <c r="AD111" s="648"/>
      <c r="AE111" s="648"/>
      <c r="AF111" s="648"/>
      <c r="AG111" s="648"/>
      <c r="AH111" s="648"/>
      <c r="AI111" s="648"/>
      <c r="AJ111" s="648"/>
      <c r="AK111" s="648"/>
      <c r="AL111" s="648"/>
      <c r="AM111" s="648"/>
      <c r="AN111" s="648"/>
      <c r="AO111" s="648"/>
      <c r="AP111" s="648"/>
      <c r="AQ111" s="648"/>
      <c r="AR111" s="648"/>
      <c r="AS111" s="648"/>
      <c r="AT111" s="648"/>
      <c r="AU111" s="648"/>
    </row>
    <row r="112" spans="1:47">
      <c r="A112" s="648"/>
      <c r="B112" s="648"/>
      <c r="C112" s="648"/>
      <c r="D112" s="648"/>
      <c r="E112" s="648"/>
      <c r="F112" s="648"/>
      <c r="G112" s="648"/>
      <c r="H112" s="648"/>
      <c r="I112" s="648"/>
      <c r="J112" s="648"/>
      <c r="K112" s="648"/>
      <c r="L112" s="648"/>
      <c r="M112" s="648"/>
      <c r="N112" s="648"/>
      <c r="O112" s="648"/>
      <c r="P112" s="648"/>
      <c r="Q112" s="648"/>
      <c r="R112" s="648"/>
      <c r="S112" s="648"/>
      <c r="T112" s="648"/>
      <c r="U112" s="648"/>
      <c r="V112" s="648"/>
      <c r="W112" s="648"/>
      <c r="X112" s="648"/>
      <c r="Y112" s="648"/>
      <c r="Z112" s="648"/>
      <c r="AA112" s="648"/>
      <c r="AB112" s="648"/>
      <c r="AC112" s="648"/>
      <c r="AD112" s="648"/>
      <c r="AE112" s="648"/>
      <c r="AF112" s="648"/>
      <c r="AG112" s="648"/>
      <c r="AH112" s="648"/>
      <c r="AI112" s="648"/>
      <c r="AJ112" s="648"/>
      <c r="AK112" s="648"/>
      <c r="AL112" s="648"/>
      <c r="AM112" s="648"/>
      <c r="AN112" s="648"/>
      <c r="AO112" s="648"/>
      <c r="AP112" s="648"/>
      <c r="AQ112" s="648"/>
      <c r="AR112" s="648"/>
      <c r="AS112" s="648"/>
      <c r="AT112" s="648"/>
      <c r="AU112" s="648"/>
    </row>
    <row r="113" spans="1:47">
      <c r="A113" s="648"/>
      <c r="B113" s="648"/>
      <c r="C113" s="648"/>
      <c r="D113" s="648"/>
      <c r="E113" s="648"/>
      <c r="F113" s="648"/>
      <c r="G113" s="648"/>
      <c r="H113" s="648"/>
      <c r="I113" s="648"/>
      <c r="J113" s="648"/>
      <c r="K113" s="648"/>
      <c r="L113" s="648"/>
      <c r="M113" s="648"/>
      <c r="N113" s="648"/>
      <c r="O113" s="648"/>
      <c r="P113" s="648"/>
      <c r="Q113" s="648"/>
      <c r="R113" s="648"/>
      <c r="S113" s="648"/>
      <c r="T113" s="648"/>
      <c r="U113" s="648"/>
      <c r="V113" s="648"/>
      <c r="W113" s="648"/>
      <c r="X113" s="648"/>
      <c r="Y113" s="648"/>
      <c r="Z113" s="648"/>
      <c r="AA113" s="648"/>
      <c r="AB113" s="648"/>
      <c r="AC113" s="648"/>
      <c r="AD113" s="648"/>
      <c r="AE113" s="648"/>
      <c r="AF113" s="648"/>
      <c r="AG113" s="648"/>
      <c r="AH113" s="648"/>
      <c r="AI113" s="648"/>
      <c r="AJ113" s="648"/>
      <c r="AK113" s="648"/>
      <c r="AL113" s="648"/>
      <c r="AM113" s="648"/>
      <c r="AN113" s="648"/>
      <c r="AO113" s="648"/>
      <c r="AP113" s="648"/>
      <c r="AQ113" s="648"/>
      <c r="AR113" s="648"/>
      <c r="AS113" s="648"/>
      <c r="AT113" s="648"/>
      <c r="AU113" s="648"/>
    </row>
    <row r="114" spans="1:47">
      <c r="A114" s="648"/>
      <c r="B114" s="648"/>
      <c r="C114" s="648"/>
      <c r="D114" s="648"/>
      <c r="E114" s="648"/>
      <c r="F114" s="648"/>
      <c r="G114" s="648"/>
      <c r="H114" s="648"/>
      <c r="I114" s="648"/>
      <c r="J114" s="648"/>
      <c r="K114" s="648"/>
      <c r="L114" s="648"/>
      <c r="M114" s="648"/>
      <c r="N114" s="648"/>
      <c r="O114" s="648"/>
      <c r="P114" s="648"/>
      <c r="Q114" s="648"/>
      <c r="R114" s="648"/>
      <c r="S114" s="648"/>
      <c r="T114" s="648"/>
      <c r="U114" s="648"/>
      <c r="V114" s="648"/>
      <c r="W114" s="648"/>
      <c r="X114" s="648"/>
      <c r="Y114" s="648"/>
      <c r="Z114" s="648"/>
      <c r="AA114" s="648"/>
      <c r="AB114" s="648"/>
      <c r="AC114" s="648"/>
      <c r="AD114" s="648"/>
      <c r="AE114" s="648"/>
      <c r="AF114" s="648"/>
      <c r="AG114" s="648"/>
      <c r="AH114" s="648"/>
      <c r="AI114" s="648"/>
      <c r="AJ114" s="648"/>
      <c r="AK114" s="648"/>
      <c r="AL114" s="648"/>
      <c r="AM114" s="648"/>
      <c r="AN114" s="648"/>
      <c r="AO114" s="648"/>
      <c r="AP114" s="648"/>
      <c r="AQ114" s="648"/>
      <c r="AR114" s="648"/>
      <c r="AS114" s="648"/>
      <c r="AT114" s="648"/>
      <c r="AU114" s="648"/>
    </row>
    <row r="115" spans="1:47">
      <c r="A115" s="648"/>
      <c r="B115" s="648"/>
      <c r="C115" s="648"/>
      <c r="D115" s="648"/>
      <c r="E115" s="648"/>
      <c r="F115" s="648"/>
      <c r="G115" s="648"/>
      <c r="H115" s="648"/>
      <c r="I115" s="648"/>
      <c r="J115" s="648"/>
      <c r="K115" s="648"/>
      <c r="L115" s="648"/>
      <c r="M115" s="648"/>
      <c r="N115" s="648"/>
      <c r="O115" s="648"/>
      <c r="P115" s="648"/>
      <c r="Q115" s="648"/>
      <c r="R115" s="648"/>
      <c r="S115" s="648"/>
      <c r="T115" s="648"/>
      <c r="U115" s="648"/>
      <c r="V115" s="648"/>
      <c r="W115" s="648"/>
      <c r="X115" s="648"/>
      <c r="Y115" s="648"/>
      <c r="Z115" s="648"/>
      <c r="AA115" s="648"/>
      <c r="AB115" s="648"/>
      <c r="AC115" s="648"/>
      <c r="AD115" s="648"/>
      <c r="AE115" s="648"/>
      <c r="AF115" s="648"/>
      <c r="AG115" s="648"/>
      <c r="AH115" s="648"/>
      <c r="AI115" s="648"/>
      <c r="AJ115" s="648"/>
      <c r="AK115" s="648"/>
      <c r="AL115" s="648"/>
      <c r="AM115" s="648"/>
      <c r="AN115" s="648"/>
      <c r="AO115" s="648"/>
      <c r="AP115" s="648"/>
      <c r="AQ115" s="648"/>
      <c r="AR115" s="648"/>
      <c r="AS115" s="648"/>
      <c r="AT115" s="648"/>
      <c r="AU115" s="648"/>
    </row>
    <row r="116" spans="1:47">
      <c r="A116" s="648"/>
      <c r="B116" s="648"/>
      <c r="C116" s="648"/>
      <c r="D116" s="648"/>
      <c r="E116" s="648"/>
      <c r="F116" s="648"/>
      <c r="G116" s="648"/>
      <c r="H116" s="648"/>
      <c r="I116" s="648"/>
      <c r="J116" s="648"/>
      <c r="K116" s="648"/>
      <c r="L116" s="648"/>
      <c r="M116" s="648"/>
      <c r="N116" s="648"/>
      <c r="O116" s="648"/>
      <c r="P116" s="648"/>
      <c r="Q116" s="648"/>
      <c r="R116" s="648"/>
      <c r="S116" s="648"/>
      <c r="T116" s="648"/>
      <c r="U116" s="648"/>
      <c r="V116" s="648"/>
      <c r="W116" s="648"/>
      <c r="X116" s="648"/>
      <c r="Y116" s="648"/>
      <c r="Z116" s="648"/>
      <c r="AA116" s="648"/>
      <c r="AB116" s="648"/>
      <c r="AC116" s="648"/>
      <c r="AD116" s="648"/>
      <c r="AE116" s="648"/>
      <c r="AF116" s="648"/>
      <c r="AG116" s="648"/>
      <c r="AH116" s="648"/>
      <c r="AI116" s="648"/>
      <c r="AJ116" s="648"/>
      <c r="AK116" s="648"/>
      <c r="AL116" s="648"/>
      <c r="AM116" s="648"/>
      <c r="AN116" s="648"/>
      <c r="AO116" s="648"/>
      <c r="AP116" s="648"/>
      <c r="AQ116" s="648"/>
      <c r="AR116" s="648"/>
      <c r="AS116" s="648"/>
      <c r="AT116" s="648"/>
      <c r="AU116" s="648"/>
    </row>
    <row r="117" spans="1:47">
      <c r="A117" s="648"/>
      <c r="B117" s="648"/>
      <c r="C117" s="648"/>
      <c r="D117" s="648"/>
      <c r="E117" s="648"/>
      <c r="F117" s="648"/>
      <c r="G117" s="648"/>
      <c r="H117" s="648"/>
      <c r="I117" s="648"/>
      <c r="J117" s="648"/>
      <c r="K117" s="648"/>
      <c r="L117" s="648"/>
      <c r="M117" s="648"/>
      <c r="N117" s="648"/>
      <c r="O117" s="648"/>
      <c r="P117" s="648"/>
      <c r="Q117" s="648"/>
      <c r="R117" s="648"/>
      <c r="S117" s="648"/>
      <c r="T117" s="648"/>
      <c r="U117" s="648"/>
      <c r="V117" s="648"/>
      <c r="W117" s="648"/>
      <c r="X117" s="648"/>
      <c r="Y117" s="648"/>
      <c r="Z117" s="648"/>
      <c r="AA117" s="648"/>
      <c r="AB117" s="648"/>
      <c r="AC117" s="648"/>
      <c r="AD117" s="648"/>
      <c r="AE117" s="648"/>
      <c r="AF117" s="648"/>
      <c r="AG117" s="648"/>
      <c r="AH117" s="648"/>
      <c r="AI117" s="648"/>
      <c r="AJ117" s="648"/>
      <c r="AK117" s="648"/>
      <c r="AL117" s="648"/>
      <c r="AM117" s="648"/>
      <c r="AN117" s="648"/>
      <c r="AO117" s="648"/>
      <c r="AP117" s="648"/>
      <c r="AQ117" s="648"/>
      <c r="AR117" s="648"/>
      <c r="AS117" s="648"/>
      <c r="AT117" s="648"/>
      <c r="AU117" s="648"/>
    </row>
  </sheetData>
  <sheetProtection selectLockedCells="1" selectUnlockedCells="1"/>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tabColor rgb="FF00B050"/>
    <pageSetUpPr fitToPage="1"/>
  </sheetPr>
  <dimension ref="A1:P264"/>
  <sheetViews>
    <sheetView zoomScale="90" zoomScaleNormal="90" workbookViewId="0">
      <pane ySplit="2" topLeftCell="A3" activePane="bottomLeft" state="frozen"/>
      <selection pane="bottomLeft" activeCell="G2" sqref="G2"/>
    </sheetView>
  </sheetViews>
  <sheetFormatPr defaultColWidth="9.1796875" defaultRowHeight="14.5"/>
  <cols>
    <col min="1" max="1" width="13.1796875" style="42" customWidth="1"/>
    <col min="2" max="2" width="9.7265625" style="43" customWidth="1"/>
    <col min="3" max="3" width="13.7265625" style="62" customWidth="1"/>
    <col min="4" max="4" width="14" style="40" customWidth="1"/>
    <col min="5" max="5" width="41.453125" style="34" customWidth="1"/>
    <col min="6" max="6" width="17.26953125" style="42" customWidth="1"/>
    <col min="7" max="7" width="15.1796875" style="1230" customWidth="1"/>
    <col min="8" max="8" width="18" style="42" customWidth="1"/>
    <col min="9" max="9" width="10.26953125" style="40" customWidth="1"/>
    <col min="10" max="10" width="18" style="42" customWidth="1"/>
    <col min="11" max="11" width="38.7265625" style="34" customWidth="1"/>
    <col min="12" max="12" width="15.7265625" style="45" customWidth="1"/>
    <col min="13" max="13" width="17.7265625" style="1236" bestFit="1" customWidth="1"/>
    <col min="14" max="14" width="14.1796875" style="1236" customWidth="1"/>
    <col min="15" max="15" width="14.1796875" style="1237" customWidth="1"/>
    <col min="16" max="16" width="43.7265625" style="34" customWidth="1"/>
    <col min="17" max="16384" width="9.1796875" style="34"/>
  </cols>
  <sheetData>
    <row r="1" spans="1:16" ht="56.25" customHeight="1" thickBot="1">
      <c r="A1" s="1876" t="s">
        <v>9697</v>
      </c>
      <c r="B1" s="1877"/>
      <c r="C1" s="1877"/>
      <c r="D1" s="1877"/>
      <c r="E1" s="1877"/>
      <c r="F1" s="1877"/>
      <c r="G1" s="1878"/>
      <c r="H1" s="1878"/>
      <c r="I1" s="1877"/>
      <c r="J1" s="1877"/>
      <c r="K1" s="1879"/>
      <c r="L1" s="59" t="s">
        <v>120</v>
      </c>
      <c r="M1" s="1875" t="s">
        <v>103</v>
      </c>
      <c r="N1" s="1875"/>
      <c r="O1" s="1875"/>
      <c r="P1" s="59" t="s">
        <v>12394</v>
      </c>
    </row>
    <row r="2" spans="1:16" s="39" customFormat="1" ht="26.5" thickBot="1">
      <c r="A2" s="36" t="s">
        <v>70</v>
      </c>
      <c r="B2" s="37" t="s">
        <v>71</v>
      </c>
      <c r="C2" s="61" t="s">
        <v>72</v>
      </c>
      <c r="D2" s="38" t="s">
        <v>73</v>
      </c>
      <c r="E2" s="38" t="s">
        <v>74</v>
      </c>
      <c r="F2" s="1483" t="s">
        <v>75</v>
      </c>
      <c r="G2" s="1487" t="s">
        <v>12431</v>
      </c>
      <c r="H2" s="1486" t="s">
        <v>9696</v>
      </c>
      <c r="I2" s="1484" t="s">
        <v>76</v>
      </c>
      <c r="J2" s="1488" t="s">
        <v>77</v>
      </c>
      <c r="K2" s="1487" t="s">
        <v>78</v>
      </c>
      <c r="L2" s="1489" t="s">
        <v>79</v>
      </c>
      <c r="M2" s="1233" t="s">
        <v>9698</v>
      </c>
      <c r="N2" s="1233" t="s">
        <v>69</v>
      </c>
      <c r="O2" s="1233" t="s">
        <v>80</v>
      </c>
      <c r="P2" s="47" t="s">
        <v>31</v>
      </c>
    </row>
    <row r="3" spans="1:16" s="40" customFormat="1">
      <c r="A3" s="1462"/>
      <c r="B3" s="1462"/>
      <c r="C3" s="1466"/>
      <c r="D3" s="1462"/>
      <c r="E3" s="1462"/>
      <c r="F3" s="1462"/>
      <c r="G3" s="1485"/>
      <c r="H3" s="1485"/>
      <c r="I3" s="1464"/>
      <c r="J3" s="1459"/>
      <c r="K3" s="1490"/>
      <c r="L3" s="1465"/>
      <c r="M3" s="1234">
        <f>SUMIF(Invoices!$E:$E,H3,Invoices!$D:$D)</f>
        <v>0</v>
      </c>
      <c r="N3" s="1234">
        <f>SUMIF(Accruals!$H:$H,H3,Accruals!$K:$K)</f>
        <v>0</v>
      </c>
      <c r="O3" s="1235">
        <f t="shared" ref="O3:O65" si="0">L3-M3-N3</f>
        <v>0</v>
      </c>
      <c r="P3" s="1475"/>
    </row>
    <row r="4" spans="1:16" s="40" customFormat="1">
      <c r="A4" s="1462"/>
      <c r="B4" s="1462"/>
      <c r="C4" s="1466"/>
      <c r="D4" s="1462"/>
      <c r="E4" s="1462"/>
      <c r="F4" s="1462"/>
      <c r="G4" s="1464"/>
      <c r="H4" s="1464"/>
      <c r="I4" s="1464"/>
      <c r="J4" s="1459"/>
      <c r="K4" s="1459"/>
      <c r="L4" s="1465"/>
      <c r="M4" s="1234">
        <f>SUMIF(Invoices!$E:$E,H4,Invoices!$D:$D)</f>
        <v>0</v>
      </c>
      <c r="N4" s="1234">
        <f>SUMIF(Accruals!$H:$H,H4,Accruals!$K:$K)</f>
        <v>0</v>
      </c>
      <c r="O4" s="1235">
        <f t="shared" si="0"/>
        <v>0</v>
      </c>
      <c r="P4" s="1476"/>
    </row>
    <row r="5" spans="1:16" s="41" customFormat="1">
      <c r="A5" s="1462"/>
      <c r="B5" s="1462"/>
      <c r="C5" s="1466"/>
      <c r="D5" s="1462"/>
      <c r="E5" s="1462"/>
      <c r="F5" s="1462"/>
      <c r="G5" s="1464"/>
      <c r="H5" s="1464"/>
      <c r="I5" s="1464"/>
      <c r="J5" s="1459"/>
      <c r="K5" s="1459"/>
      <c r="L5" s="1465"/>
      <c r="M5" s="1234">
        <f>SUMIF(Invoices!$E:$E,H5,Invoices!$D:$D)</f>
        <v>0</v>
      </c>
      <c r="N5" s="1234">
        <f>SUMIF(Accruals!$H:$H,H5,Accruals!$K:$K)</f>
        <v>0</v>
      </c>
      <c r="O5" s="1235">
        <f t="shared" si="0"/>
        <v>0</v>
      </c>
      <c r="P5" s="1477"/>
    </row>
    <row r="6" spans="1:16">
      <c r="A6" s="1462"/>
      <c r="B6" s="1462"/>
      <c r="C6" s="1466"/>
      <c r="D6" s="1462"/>
      <c r="E6" s="1462"/>
      <c r="F6" s="1462"/>
      <c r="G6" s="1464"/>
      <c r="H6" s="1464"/>
      <c r="I6" s="1464"/>
      <c r="J6" s="1459"/>
      <c r="K6" s="1459"/>
      <c r="L6" s="1465"/>
      <c r="M6" s="1234">
        <f>SUMIF(Invoices!$E:$E,H6,Invoices!$D:$D)</f>
        <v>0</v>
      </c>
      <c r="N6" s="1234">
        <f>SUMIF(Accruals!$H:$H,H6,Accruals!$K:$K)</f>
        <v>0</v>
      </c>
      <c r="O6" s="1235">
        <f t="shared" si="0"/>
        <v>0</v>
      </c>
      <c r="P6" s="1477"/>
    </row>
    <row r="7" spans="1:16">
      <c r="A7" s="1462"/>
      <c r="B7" s="1462"/>
      <c r="C7" s="1466"/>
      <c r="D7" s="1462"/>
      <c r="E7" s="1462"/>
      <c r="F7" s="1462"/>
      <c r="G7" s="1464"/>
      <c r="H7" s="1464"/>
      <c r="I7" s="1464"/>
      <c r="J7" s="1459"/>
      <c r="K7" s="1459"/>
      <c r="L7" s="1465"/>
      <c r="M7" s="1234">
        <f>SUMIF(Invoices!$E:$E,H7,Invoices!$D:$D)</f>
        <v>0</v>
      </c>
      <c r="N7" s="1234">
        <f>SUMIF(Accruals!$H:$H,H7,Accruals!$K:$K)</f>
        <v>0</v>
      </c>
      <c r="O7" s="1235">
        <f t="shared" si="0"/>
        <v>0</v>
      </c>
      <c r="P7" s="1477"/>
    </row>
    <row r="8" spans="1:16">
      <c r="A8" s="1462"/>
      <c r="B8" s="1462"/>
      <c r="C8" s="1466"/>
      <c r="D8" s="1462"/>
      <c r="E8" s="1462"/>
      <c r="F8" s="1462"/>
      <c r="G8" s="1464"/>
      <c r="H8" s="1464"/>
      <c r="I8" s="1464"/>
      <c r="J8" s="1459"/>
      <c r="K8" s="1459"/>
      <c r="L8" s="1465"/>
      <c r="M8" s="1234">
        <f>SUMIF(Invoices!$E:$E,H8,Invoices!$D:$D)</f>
        <v>0</v>
      </c>
      <c r="N8" s="1234">
        <f>SUMIF(Accruals!$H:$H,H8,Accruals!$K:$K)</f>
        <v>0</v>
      </c>
      <c r="O8" s="1235">
        <f t="shared" si="0"/>
        <v>0</v>
      </c>
      <c r="P8" s="1477"/>
    </row>
    <row r="9" spans="1:16">
      <c r="A9" s="1462"/>
      <c r="B9" s="1462"/>
      <c r="C9" s="1466"/>
      <c r="D9" s="1462"/>
      <c r="E9" s="1462"/>
      <c r="F9" s="1462"/>
      <c r="G9" s="1464"/>
      <c r="H9" s="1464"/>
      <c r="I9" s="1464"/>
      <c r="J9" s="1459"/>
      <c r="K9" s="1459"/>
      <c r="L9" s="1465"/>
      <c r="M9" s="1234">
        <f>SUMIF(Invoices!$E:$E,H9,Invoices!$D:$D)</f>
        <v>0</v>
      </c>
      <c r="N9" s="1234">
        <f>SUMIF(Accruals!$H:$H,H9,Accruals!$K:$K)</f>
        <v>0</v>
      </c>
      <c r="O9" s="1235">
        <f t="shared" si="0"/>
        <v>0</v>
      </c>
      <c r="P9" s="1477"/>
    </row>
    <row r="10" spans="1:16">
      <c r="A10" s="1462"/>
      <c r="B10" s="1462"/>
      <c r="C10" s="1466"/>
      <c r="D10" s="1462"/>
      <c r="E10" s="1462"/>
      <c r="F10" s="1462"/>
      <c r="G10" s="1462"/>
      <c r="H10" s="1462"/>
      <c r="I10" s="1462"/>
      <c r="J10" s="1459"/>
      <c r="K10" s="1459"/>
      <c r="L10" s="1465"/>
      <c r="M10" s="1234">
        <f>SUMIF(Invoices!$E:$E,H10,Invoices!$D:$D)</f>
        <v>0</v>
      </c>
      <c r="N10" s="1234">
        <f>SUMIF(Accruals!$H:$H,H10,Accruals!$K:$K)</f>
        <v>0</v>
      </c>
      <c r="O10" s="1235">
        <f t="shared" si="0"/>
        <v>0</v>
      </c>
      <c r="P10" s="1477"/>
    </row>
    <row r="11" spans="1:16">
      <c r="A11" s="1462"/>
      <c r="B11" s="1462"/>
      <c r="C11" s="1466"/>
      <c r="D11" s="1462"/>
      <c r="E11" s="1462"/>
      <c r="F11" s="1462"/>
      <c r="G11" s="1462"/>
      <c r="H11" s="1462"/>
      <c r="I11" s="1462"/>
      <c r="J11" s="1459"/>
      <c r="K11" s="1459"/>
      <c r="L11" s="1465"/>
      <c r="M11" s="1234">
        <f>SUMIF(Invoices!$E:$E,H11,Invoices!$D:$D)</f>
        <v>0</v>
      </c>
      <c r="N11" s="1234">
        <f>SUMIF(Accruals!$H:$H,H11,Accruals!$K:$K)</f>
        <v>0</v>
      </c>
      <c r="O11" s="1235">
        <f t="shared" si="0"/>
        <v>0</v>
      </c>
      <c r="P11" s="1477"/>
    </row>
    <row r="12" spans="1:16">
      <c r="A12" s="1462"/>
      <c r="B12" s="1462"/>
      <c r="C12" s="1466"/>
      <c r="D12" s="1462"/>
      <c r="E12" s="1462"/>
      <c r="F12" s="1462"/>
      <c r="G12" s="1462"/>
      <c r="H12" s="1462"/>
      <c r="I12" s="1462"/>
      <c r="J12" s="1459"/>
      <c r="K12" s="1459"/>
      <c r="L12" s="1465"/>
      <c r="M12" s="1234">
        <f>SUMIF(Invoices!$E:$E,H12,Invoices!$D:$D)</f>
        <v>0</v>
      </c>
      <c r="N12" s="1234">
        <f>SUMIF(Accruals!$H:$H,H12,Accruals!$K:$K)</f>
        <v>0</v>
      </c>
      <c r="O12" s="1235">
        <f t="shared" si="0"/>
        <v>0</v>
      </c>
      <c r="P12" s="1477"/>
    </row>
    <row r="13" spans="1:16" s="41" customFormat="1">
      <c r="A13" s="1462"/>
      <c r="B13" s="1462"/>
      <c r="C13" s="1466"/>
      <c r="D13" s="1462"/>
      <c r="E13" s="1462"/>
      <c r="F13" s="1462"/>
      <c r="G13" s="1462"/>
      <c r="H13" s="1462"/>
      <c r="I13" s="1462"/>
      <c r="J13" s="1459"/>
      <c r="K13" s="1459"/>
      <c r="L13" s="1465"/>
      <c r="M13" s="1234">
        <f>SUMIF(Invoices!$E:$E,H13,Invoices!$D:$D)</f>
        <v>0</v>
      </c>
      <c r="N13" s="1234">
        <f>SUMIF(Accruals!$H:$H,H13,Accruals!$K:$K)</f>
        <v>0</v>
      </c>
      <c r="O13" s="1235">
        <f t="shared" si="0"/>
        <v>0</v>
      </c>
      <c r="P13" s="1477"/>
    </row>
    <row r="14" spans="1:16" s="41" customFormat="1">
      <c r="A14" s="1462"/>
      <c r="B14" s="1462"/>
      <c r="C14" s="1466"/>
      <c r="D14" s="1462"/>
      <c r="E14" s="1462"/>
      <c r="F14" s="1462"/>
      <c r="G14" s="1462"/>
      <c r="H14" s="1462"/>
      <c r="I14" s="1462"/>
      <c r="J14" s="1459"/>
      <c r="K14" s="1459"/>
      <c r="L14" s="1465"/>
      <c r="M14" s="1234">
        <f>SUMIF(Invoices!$E:$E,H14,Invoices!$D:$D)</f>
        <v>0</v>
      </c>
      <c r="N14" s="1234">
        <f>SUMIF(Accruals!$H:$H,H14,Accruals!$K:$K)</f>
        <v>0</v>
      </c>
      <c r="O14" s="1235">
        <f t="shared" si="0"/>
        <v>0</v>
      </c>
      <c r="P14" s="1477"/>
    </row>
    <row r="15" spans="1:16">
      <c r="A15" s="1462"/>
      <c r="B15" s="1462"/>
      <c r="C15" s="1466"/>
      <c r="D15" s="1462"/>
      <c r="E15" s="1462"/>
      <c r="F15" s="1462"/>
      <c r="G15" s="1462"/>
      <c r="H15" s="1462"/>
      <c r="I15" s="1462"/>
      <c r="J15" s="1459"/>
      <c r="K15" s="1459"/>
      <c r="L15" s="1465"/>
      <c r="M15" s="1234">
        <f>SUMIF(Invoices!$E:$E,H15,Invoices!$D:$D)</f>
        <v>0</v>
      </c>
      <c r="N15" s="1234">
        <f>SUMIF(Accruals!$H:$H,H15,Accruals!$K:$K)</f>
        <v>0</v>
      </c>
      <c r="O15" s="1235">
        <f t="shared" si="0"/>
        <v>0</v>
      </c>
      <c r="P15" s="1477"/>
    </row>
    <row r="16" spans="1:16">
      <c r="A16" s="1462"/>
      <c r="B16" s="1462"/>
      <c r="C16" s="1466"/>
      <c r="D16" s="1462"/>
      <c r="E16" s="1462"/>
      <c r="F16" s="1462"/>
      <c r="G16" s="1462"/>
      <c r="H16" s="1462"/>
      <c r="I16" s="1462"/>
      <c r="J16" s="1459"/>
      <c r="K16" s="1459"/>
      <c r="L16" s="1465"/>
      <c r="M16" s="1234">
        <f>SUMIF(Invoices!$E:$E,H16,Invoices!$D:$D)</f>
        <v>0</v>
      </c>
      <c r="N16" s="1234">
        <f>SUMIF(Accruals!$H:$H,H16,Accruals!$K:$K)</f>
        <v>0</v>
      </c>
      <c r="O16" s="1235">
        <f t="shared" si="0"/>
        <v>0</v>
      </c>
      <c r="P16" s="1477"/>
    </row>
    <row r="17" spans="1:16">
      <c r="A17" s="1462"/>
      <c r="B17" s="1462"/>
      <c r="C17" s="1466"/>
      <c r="D17" s="1462"/>
      <c r="E17" s="1462"/>
      <c r="F17" s="1462"/>
      <c r="G17" s="1462"/>
      <c r="H17" s="1462"/>
      <c r="I17" s="1462"/>
      <c r="J17" s="1459"/>
      <c r="K17" s="1459"/>
      <c r="L17" s="1465"/>
      <c r="M17" s="1234">
        <f>SUMIF(Invoices!$E:$E,H17,Invoices!$D:$D)</f>
        <v>0</v>
      </c>
      <c r="N17" s="1234">
        <f>SUMIF(Accruals!$H:$H,H17,Accruals!$K:$K)</f>
        <v>0</v>
      </c>
      <c r="O17" s="1235">
        <f t="shared" si="0"/>
        <v>0</v>
      </c>
      <c r="P17" s="1477"/>
    </row>
    <row r="18" spans="1:16">
      <c r="A18" s="1462"/>
      <c r="B18" s="1462"/>
      <c r="C18" s="1466"/>
      <c r="D18" s="1462"/>
      <c r="E18" s="1462"/>
      <c r="F18" s="1462"/>
      <c r="G18" s="1462"/>
      <c r="H18" s="1462"/>
      <c r="I18" s="1462"/>
      <c r="J18" s="1459"/>
      <c r="K18" s="1459"/>
      <c r="L18" s="1465"/>
      <c r="M18" s="1234">
        <f>SUMIF(Invoices!$E:$E,H18,Invoices!$D:$D)</f>
        <v>0</v>
      </c>
      <c r="N18" s="1234">
        <f>SUMIF(Accruals!$H:$H,H18,Accruals!$K:$K)</f>
        <v>0</v>
      </c>
      <c r="O18" s="1235">
        <f t="shared" si="0"/>
        <v>0</v>
      </c>
      <c r="P18" s="1477"/>
    </row>
    <row r="19" spans="1:16">
      <c r="A19" s="1462"/>
      <c r="B19" s="1462"/>
      <c r="C19" s="1466"/>
      <c r="D19" s="1462"/>
      <c r="E19" s="1462"/>
      <c r="F19" s="1462"/>
      <c r="G19" s="1462"/>
      <c r="H19" s="1462"/>
      <c r="I19" s="1462"/>
      <c r="J19" s="1459"/>
      <c r="K19" s="1459"/>
      <c r="L19" s="1465"/>
      <c r="M19" s="1234">
        <f>SUMIF(Invoices!$E:$E,H19,Invoices!$D:$D)</f>
        <v>0</v>
      </c>
      <c r="N19" s="1234">
        <f>SUMIF(Accruals!$H:$H,H19,Accruals!$K:$K)</f>
        <v>0</v>
      </c>
      <c r="O19" s="1235">
        <f t="shared" si="0"/>
        <v>0</v>
      </c>
      <c r="P19" s="1477"/>
    </row>
    <row r="20" spans="1:16">
      <c r="A20" s="1462"/>
      <c r="B20" s="1462"/>
      <c r="C20" s="1466"/>
      <c r="D20" s="1462"/>
      <c r="E20" s="1462"/>
      <c r="F20" s="1462"/>
      <c r="G20" s="1462"/>
      <c r="H20" s="1462"/>
      <c r="I20" s="1462"/>
      <c r="J20" s="1459"/>
      <c r="K20" s="1459"/>
      <c r="L20" s="1465"/>
      <c r="M20" s="1234">
        <f>SUMIF(Invoices!$E:$E,H20,Invoices!$D:$D)</f>
        <v>0</v>
      </c>
      <c r="N20" s="1234">
        <f>SUMIF(Accruals!$H:$H,H20,Accruals!$K:$K)</f>
        <v>0</v>
      </c>
      <c r="O20" s="1235">
        <f t="shared" si="0"/>
        <v>0</v>
      </c>
      <c r="P20" s="1477"/>
    </row>
    <row r="21" spans="1:16">
      <c r="A21" s="1462"/>
      <c r="B21" s="1462"/>
      <c r="C21" s="1466"/>
      <c r="D21" s="1462"/>
      <c r="E21" s="1462"/>
      <c r="F21" s="1462"/>
      <c r="G21" s="1462"/>
      <c r="H21" s="1462"/>
      <c r="I21" s="1462"/>
      <c r="J21" s="1459"/>
      <c r="K21" s="1459"/>
      <c r="L21" s="1465"/>
      <c r="M21" s="1234">
        <f>SUMIF(Invoices!$E:$E,H21,Invoices!$D:$D)</f>
        <v>0</v>
      </c>
      <c r="N21" s="1234">
        <f>SUMIF(Accruals!$H:$H,H21,Accruals!$K:$K)</f>
        <v>0</v>
      </c>
      <c r="O21" s="1235">
        <f t="shared" si="0"/>
        <v>0</v>
      </c>
      <c r="P21" s="1477"/>
    </row>
    <row r="22" spans="1:16">
      <c r="A22" s="1462"/>
      <c r="B22" s="1462"/>
      <c r="C22" s="1466"/>
      <c r="D22" s="1462"/>
      <c r="E22" s="1462"/>
      <c r="F22" s="1462"/>
      <c r="G22" s="1462"/>
      <c r="H22" s="1462"/>
      <c r="I22" s="1462"/>
      <c r="J22" s="1459"/>
      <c r="K22" s="1459"/>
      <c r="L22" s="1465"/>
      <c r="M22" s="1234">
        <f>SUMIF(Invoices!$E:$E,H22,Invoices!$D:$D)</f>
        <v>0</v>
      </c>
      <c r="N22" s="1234">
        <f>SUMIF(Accruals!$H:$H,H22,Accruals!$K:$K)</f>
        <v>0</v>
      </c>
      <c r="O22" s="1235">
        <f t="shared" si="0"/>
        <v>0</v>
      </c>
      <c r="P22" s="1477"/>
    </row>
    <row r="23" spans="1:16">
      <c r="A23" s="1467"/>
      <c r="B23" s="1467"/>
      <c r="C23" s="1468"/>
      <c r="D23" s="1467"/>
      <c r="E23" s="1467"/>
      <c r="F23" s="1467"/>
      <c r="G23" s="1462"/>
      <c r="H23" s="1467"/>
      <c r="I23" s="1467"/>
      <c r="J23" s="1459"/>
      <c r="K23" s="1459"/>
      <c r="L23" s="1465"/>
      <c r="M23" s="1234">
        <f>SUMIF(Invoices!$E:$E,H23,Invoices!$D:$D)</f>
        <v>0</v>
      </c>
      <c r="N23" s="1234">
        <f>SUMIF(Accruals!$H:$H,H23,Accruals!$K:$K)</f>
        <v>0</v>
      </c>
      <c r="O23" s="1235">
        <f t="shared" si="0"/>
        <v>0</v>
      </c>
      <c r="P23" s="1477"/>
    </row>
    <row r="24" spans="1:16">
      <c r="A24" s="1467"/>
      <c r="B24" s="1467"/>
      <c r="C24" s="1468"/>
      <c r="D24" s="1467"/>
      <c r="E24" s="1467"/>
      <c r="F24" s="1467"/>
      <c r="G24" s="1462"/>
      <c r="H24" s="1467"/>
      <c r="I24" s="1467"/>
      <c r="J24" s="1459"/>
      <c r="K24" s="1459"/>
      <c r="L24" s="1465"/>
      <c r="M24" s="1234">
        <f>SUMIF(Invoices!$E:$E,H24,Invoices!$D:$D)</f>
        <v>0</v>
      </c>
      <c r="N24" s="1234">
        <f>SUMIF(Accruals!$H:$H,H24,Accruals!$K:$K)</f>
        <v>0</v>
      </c>
      <c r="O24" s="1235">
        <f t="shared" si="0"/>
        <v>0</v>
      </c>
      <c r="P24" s="1477"/>
    </row>
    <row r="25" spans="1:16">
      <c r="A25" s="1467"/>
      <c r="B25" s="1467"/>
      <c r="C25" s="1468"/>
      <c r="D25" s="1467"/>
      <c r="E25" s="1467"/>
      <c r="F25" s="1467"/>
      <c r="G25" s="1462"/>
      <c r="H25" s="1467"/>
      <c r="I25" s="1467"/>
      <c r="J25" s="1459"/>
      <c r="K25" s="1459"/>
      <c r="L25" s="1465"/>
      <c r="M25" s="1234">
        <f>SUMIF(Invoices!$E:$E,H25,Invoices!$D:$D)</f>
        <v>0</v>
      </c>
      <c r="N25" s="1234">
        <f>SUMIF(Accruals!$H:$H,H25,Accruals!$K:$K)</f>
        <v>0</v>
      </c>
      <c r="O25" s="1235">
        <f t="shared" si="0"/>
        <v>0</v>
      </c>
      <c r="P25" s="1477"/>
    </row>
    <row r="26" spans="1:16">
      <c r="A26" s="1469"/>
      <c r="B26" s="1469"/>
      <c r="C26" s="1470"/>
      <c r="D26" s="1469"/>
      <c r="E26" s="1469"/>
      <c r="F26" s="1469"/>
      <c r="G26" s="1462"/>
      <c r="H26" s="1469"/>
      <c r="I26" s="1469"/>
      <c r="J26" s="1459"/>
      <c r="K26" s="1459"/>
      <c r="L26" s="1465"/>
      <c r="M26" s="1234">
        <f>SUMIF(Invoices!$E:$E,H26,Invoices!$D:$D)</f>
        <v>0</v>
      </c>
      <c r="N26" s="1234">
        <f>SUMIF(Accruals!$H:$H,H26,Accruals!$K:$K)</f>
        <v>0</v>
      </c>
      <c r="O26" s="1235">
        <f t="shared" si="0"/>
        <v>0</v>
      </c>
      <c r="P26" s="1477"/>
    </row>
    <row r="27" spans="1:16" s="41" customFormat="1">
      <c r="A27" s="1471"/>
      <c r="B27" s="1471"/>
      <c r="C27" s="1463"/>
      <c r="D27" s="1471"/>
      <c r="E27" s="1471"/>
      <c r="F27" s="1471"/>
      <c r="G27" s="1462"/>
      <c r="H27" s="1471"/>
      <c r="I27" s="1471"/>
      <c r="J27" s="1459"/>
      <c r="K27" s="1459"/>
      <c r="L27" s="1465"/>
      <c r="M27" s="1234">
        <f>SUMIF(Invoices!$E:$E,H27,Invoices!$D:$D)</f>
        <v>0</v>
      </c>
      <c r="N27" s="1234">
        <f>SUMIF(Accruals!$H:$H,H27,Accruals!$K:$K)</f>
        <v>0</v>
      </c>
      <c r="O27" s="1235">
        <f t="shared" si="0"/>
        <v>0</v>
      </c>
      <c r="P27" s="1477"/>
    </row>
    <row r="28" spans="1:16" s="41" customFormat="1">
      <c r="A28" s="1471"/>
      <c r="B28" s="1471"/>
      <c r="C28" s="1463"/>
      <c r="D28" s="1471"/>
      <c r="E28" s="1471"/>
      <c r="F28" s="1471"/>
      <c r="G28" s="1462"/>
      <c r="H28" s="1471"/>
      <c r="I28" s="1471"/>
      <c r="J28" s="1459"/>
      <c r="K28" s="1459"/>
      <c r="L28" s="1465"/>
      <c r="M28" s="1234">
        <f>SUMIF(Invoices!$E:$E,H28,Invoices!$D:$D)</f>
        <v>0</v>
      </c>
      <c r="N28" s="1234">
        <f>SUMIF(Accruals!$H:$H,H28,Accruals!$K:$K)</f>
        <v>0</v>
      </c>
      <c r="O28" s="1235">
        <f t="shared" si="0"/>
        <v>0</v>
      </c>
      <c r="P28" s="1477"/>
    </row>
    <row r="29" spans="1:16">
      <c r="A29" s="1471"/>
      <c r="B29" s="1471"/>
      <c r="C29" s="1463"/>
      <c r="D29" s="1471"/>
      <c r="E29" s="1471"/>
      <c r="F29" s="1471"/>
      <c r="G29" s="1462"/>
      <c r="H29" s="1471"/>
      <c r="I29" s="1471"/>
      <c r="J29" s="1459"/>
      <c r="K29" s="1459"/>
      <c r="L29" s="1465"/>
      <c r="M29" s="1234">
        <f>SUMIF(Invoices!$E:$E,H29,Invoices!$D:$D)</f>
        <v>0</v>
      </c>
      <c r="N29" s="1234">
        <f>SUMIF(Accruals!$H:$H,H29,Accruals!$K:$K)</f>
        <v>0</v>
      </c>
      <c r="O29" s="1235">
        <f t="shared" si="0"/>
        <v>0</v>
      </c>
      <c r="P29" s="1477"/>
    </row>
    <row r="30" spans="1:16">
      <c r="A30" s="1471"/>
      <c r="B30" s="1471"/>
      <c r="C30" s="1463"/>
      <c r="D30" s="1471"/>
      <c r="E30" s="1471"/>
      <c r="F30" s="1471"/>
      <c r="G30" s="1462"/>
      <c r="H30" s="1471"/>
      <c r="I30" s="1471"/>
      <c r="J30" s="1459"/>
      <c r="K30" s="1459"/>
      <c r="L30" s="1465"/>
      <c r="M30" s="1234">
        <f>SUMIF(Invoices!$E:$E,H30,Invoices!$D:$D)</f>
        <v>0</v>
      </c>
      <c r="N30" s="1234">
        <f>SUMIF(Accruals!$H:$H,H30,Accruals!$K:$K)</f>
        <v>0</v>
      </c>
      <c r="O30" s="1235">
        <f t="shared" si="0"/>
        <v>0</v>
      </c>
      <c r="P30" s="1477"/>
    </row>
    <row r="31" spans="1:16">
      <c r="A31" s="1471"/>
      <c r="B31" s="1471"/>
      <c r="C31" s="1463"/>
      <c r="D31" s="1471"/>
      <c r="E31" s="1471"/>
      <c r="F31" s="1471"/>
      <c r="G31" s="1462"/>
      <c r="H31" s="1471"/>
      <c r="I31" s="1471"/>
      <c r="J31" s="1459"/>
      <c r="K31" s="1459"/>
      <c r="L31" s="1465"/>
      <c r="M31" s="1234">
        <f>SUMIF(Invoices!$E:$E,H31,Invoices!$D:$D)</f>
        <v>0</v>
      </c>
      <c r="N31" s="1234">
        <f>SUMIF(Accruals!$H:$H,H31,Accruals!$K:$K)</f>
        <v>0</v>
      </c>
      <c r="O31" s="1235">
        <f t="shared" si="0"/>
        <v>0</v>
      </c>
      <c r="P31" s="1477"/>
    </row>
    <row r="32" spans="1:16">
      <c r="A32" s="1471"/>
      <c r="B32" s="1471"/>
      <c r="C32" s="1463"/>
      <c r="D32" s="1471"/>
      <c r="E32" s="1471"/>
      <c r="F32" s="1471"/>
      <c r="G32" s="1462"/>
      <c r="H32" s="1471"/>
      <c r="I32" s="1471"/>
      <c r="J32" s="1459"/>
      <c r="K32" s="1459"/>
      <c r="L32" s="1465"/>
      <c r="M32" s="1234">
        <f>SUMIF(Invoices!$E:$E,H32,Invoices!$D:$D)</f>
        <v>0</v>
      </c>
      <c r="N32" s="1234">
        <f>SUMIF(Accruals!$H:$H,H32,Accruals!$K:$K)</f>
        <v>0</v>
      </c>
      <c r="O32" s="1235">
        <f t="shared" si="0"/>
        <v>0</v>
      </c>
      <c r="P32" s="1477"/>
    </row>
    <row r="33" spans="1:16" s="41" customFormat="1">
      <c r="A33" s="1462"/>
      <c r="B33" s="1462"/>
      <c r="C33" s="1466"/>
      <c r="D33" s="1462"/>
      <c r="E33" s="1462"/>
      <c r="F33" s="1462"/>
      <c r="G33" s="1462"/>
      <c r="H33" s="1462"/>
      <c r="I33" s="1462"/>
      <c r="J33" s="1459"/>
      <c r="K33" s="1459"/>
      <c r="L33" s="1465"/>
      <c r="M33" s="1234">
        <f>SUMIF(Invoices!$E:$E,H33,Invoices!$D:$D)</f>
        <v>0</v>
      </c>
      <c r="N33" s="1234">
        <f>SUMIF(Accruals!$H:$H,H33,Accruals!$K:$K)</f>
        <v>0</v>
      </c>
      <c r="O33" s="1235">
        <f t="shared" si="0"/>
        <v>0</v>
      </c>
      <c r="P33" s="1477"/>
    </row>
    <row r="34" spans="1:16" s="40" customFormat="1">
      <c r="A34" s="1462"/>
      <c r="B34" s="1462"/>
      <c r="C34" s="1466"/>
      <c r="D34" s="1462"/>
      <c r="E34" s="1462"/>
      <c r="F34" s="1462"/>
      <c r="G34" s="1462"/>
      <c r="H34" s="1462"/>
      <c r="I34" s="1462"/>
      <c r="J34" s="1459"/>
      <c r="K34" s="1459"/>
      <c r="L34" s="1465"/>
      <c r="M34" s="1234">
        <f>SUMIF(Invoices!$E:$E,H34,Invoices!$D:$D)</f>
        <v>0</v>
      </c>
      <c r="N34" s="1234">
        <f>SUMIF(Accruals!$H:$H,H34,Accruals!$K:$K)</f>
        <v>0</v>
      </c>
      <c r="O34" s="1235">
        <f t="shared" ref="O34:O63" si="1">L34-M34-N34</f>
        <v>0</v>
      </c>
      <c r="P34" s="1478"/>
    </row>
    <row r="35" spans="1:16" s="41" customFormat="1">
      <c r="A35" s="1462"/>
      <c r="B35" s="1462"/>
      <c r="C35" s="1466"/>
      <c r="D35" s="1462"/>
      <c r="E35" s="1462"/>
      <c r="F35" s="1462"/>
      <c r="G35" s="1462"/>
      <c r="H35" s="1462"/>
      <c r="I35" s="1462"/>
      <c r="J35" s="1459"/>
      <c r="K35" s="1459"/>
      <c r="L35" s="1465"/>
      <c r="M35" s="1234">
        <f>SUMIF(Invoices!$E:$E,H35,Invoices!$D:$D)</f>
        <v>0</v>
      </c>
      <c r="N35" s="1234">
        <f>SUMIF(Accruals!$H:$H,H35,Accruals!$K:$K)</f>
        <v>0</v>
      </c>
      <c r="O35" s="1235">
        <f t="shared" si="1"/>
        <v>0</v>
      </c>
      <c r="P35" s="1477"/>
    </row>
    <row r="36" spans="1:16">
      <c r="A36" s="1462"/>
      <c r="B36" s="1462"/>
      <c r="C36" s="1466"/>
      <c r="D36" s="1462"/>
      <c r="E36" s="1462"/>
      <c r="F36" s="1462"/>
      <c r="G36" s="1462"/>
      <c r="H36" s="1462"/>
      <c r="I36" s="1462"/>
      <c r="J36" s="1459"/>
      <c r="K36" s="1459"/>
      <c r="L36" s="1465"/>
      <c r="M36" s="1234">
        <f>SUMIF(Invoices!$E:$E,H36,Invoices!$D:$D)</f>
        <v>0</v>
      </c>
      <c r="N36" s="1234">
        <f>SUMIF(Accruals!$H:$H,H36,Accruals!$K:$K)</f>
        <v>0</v>
      </c>
      <c r="O36" s="1235">
        <f t="shared" si="1"/>
        <v>0</v>
      </c>
      <c r="P36" s="1477"/>
    </row>
    <row r="37" spans="1:16">
      <c r="A37" s="1462"/>
      <c r="B37" s="1462"/>
      <c r="C37" s="1466"/>
      <c r="D37" s="1462"/>
      <c r="E37" s="1462"/>
      <c r="F37" s="1462"/>
      <c r="G37" s="1462"/>
      <c r="H37" s="1462"/>
      <c r="I37" s="1462"/>
      <c r="J37" s="1459"/>
      <c r="K37" s="1459"/>
      <c r="L37" s="1465"/>
      <c r="M37" s="1234">
        <f>SUMIF(Invoices!$E:$E,H37,Invoices!$D:$D)</f>
        <v>0</v>
      </c>
      <c r="N37" s="1234">
        <f>SUMIF(Accruals!$H:$H,H37,Accruals!$K:$K)</f>
        <v>0</v>
      </c>
      <c r="O37" s="1235">
        <f t="shared" si="1"/>
        <v>0</v>
      </c>
      <c r="P37" s="1477"/>
    </row>
    <row r="38" spans="1:16">
      <c r="A38" s="1462"/>
      <c r="B38" s="1462"/>
      <c r="C38" s="1466"/>
      <c r="D38" s="1462"/>
      <c r="E38" s="1462"/>
      <c r="F38" s="1462"/>
      <c r="G38" s="1462"/>
      <c r="H38" s="1462"/>
      <c r="I38" s="1462"/>
      <c r="J38" s="1459"/>
      <c r="K38" s="1459"/>
      <c r="L38" s="1465"/>
      <c r="M38" s="1234">
        <f>SUMIF(Invoices!$E:$E,H38,Invoices!$D:$D)</f>
        <v>0</v>
      </c>
      <c r="N38" s="1234">
        <f>SUMIF(Accruals!$H:$H,H38,Accruals!$K:$K)</f>
        <v>0</v>
      </c>
      <c r="O38" s="1235">
        <f t="shared" si="1"/>
        <v>0</v>
      </c>
      <c r="P38" s="1477"/>
    </row>
    <row r="39" spans="1:16">
      <c r="A39" s="1462"/>
      <c r="B39" s="1462"/>
      <c r="C39" s="1466"/>
      <c r="D39" s="1462"/>
      <c r="E39" s="1462"/>
      <c r="F39" s="1462"/>
      <c r="G39" s="1462"/>
      <c r="H39" s="1462"/>
      <c r="I39" s="1462"/>
      <c r="J39" s="1459"/>
      <c r="K39" s="1459"/>
      <c r="L39" s="1465"/>
      <c r="M39" s="1234">
        <f>SUMIF(Invoices!$E:$E,H39,Invoices!$D:$D)</f>
        <v>0</v>
      </c>
      <c r="N39" s="1234">
        <f>SUMIF(Accruals!$H:$H,H39,Accruals!$K:$K)</f>
        <v>0</v>
      </c>
      <c r="O39" s="1235">
        <f t="shared" si="1"/>
        <v>0</v>
      </c>
      <c r="P39" s="1477"/>
    </row>
    <row r="40" spans="1:16">
      <c r="A40" s="1462"/>
      <c r="B40" s="1462"/>
      <c r="C40" s="1466"/>
      <c r="D40" s="1462"/>
      <c r="E40" s="1462"/>
      <c r="F40" s="1462"/>
      <c r="G40" s="1462"/>
      <c r="H40" s="1462"/>
      <c r="I40" s="1462"/>
      <c r="J40" s="1459"/>
      <c r="K40" s="1459"/>
      <c r="L40" s="1465"/>
      <c r="M40" s="1234">
        <f>SUMIF(Invoices!$E:$E,H40,Invoices!$D:$D)</f>
        <v>0</v>
      </c>
      <c r="N40" s="1234">
        <f>SUMIF(Accruals!$H:$H,H40,Accruals!$K:$K)</f>
        <v>0</v>
      </c>
      <c r="O40" s="1235">
        <f t="shared" si="1"/>
        <v>0</v>
      </c>
      <c r="P40" s="1477"/>
    </row>
    <row r="41" spans="1:16">
      <c r="A41" s="1462"/>
      <c r="B41" s="1462"/>
      <c r="C41" s="1466"/>
      <c r="D41" s="1462"/>
      <c r="E41" s="1462"/>
      <c r="F41" s="1462"/>
      <c r="G41" s="1462"/>
      <c r="H41" s="1462"/>
      <c r="I41" s="1462"/>
      <c r="J41" s="1459"/>
      <c r="K41" s="1459"/>
      <c r="L41" s="1465"/>
      <c r="M41" s="1234">
        <f>SUMIF(Invoices!$E:$E,H41,Invoices!$D:$D)</f>
        <v>0</v>
      </c>
      <c r="N41" s="1234">
        <f>SUMIF(Accruals!$H:$H,H41,Accruals!$K:$K)</f>
        <v>0</v>
      </c>
      <c r="O41" s="1235">
        <f t="shared" si="1"/>
        <v>0</v>
      </c>
      <c r="P41" s="1477"/>
    </row>
    <row r="42" spans="1:16">
      <c r="A42" s="1462"/>
      <c r="B42" s="1462"/>
      <c r="C42" s="1466"/>
      <c r="D42" s="1462"/>
      <c r="E42" s="1462"/>
      <c r="F42" s="1462"/>
      <c r="G42" s="1462"/>
      <c r="H42" s="1462"/>
      <c r="I42" s="1462"/>
      <c r="J42" s="1459"/>
      <c r="K42" s="1459"/>
      <c r="L42" s="1465"/>
      <c r="M42" s="1234">
        <f>SUMIF(Invoices!$E:$E,H42,Invoices!$D:$D)</f>
        <v>0</v>
      </c>
      <c r="N42" s="1234">
        <f>SUMIF(Accruals!$H:$H,H42,Accruals!$K:$K)</f>
        <v>0</v>
      </c>
      <c r="O42" s="1235">
        <f t="shared" si="1"/>
        <v>0</v>
      </c>
      <c r="P42" s="1477"/>
    </row>
    <row r="43" spans="1:16" s="41" customFormat="1">
      <c r="A43" s="1462"/>
      <c r="B43" s="1462"/>
      <c r="C43" s="1466"/>
      <c r="D43" s="1462"/>
      <c r="E43" s="1462"/>
      <c r="F43" s="1462"/>
      <c r="G43" s="1462"/>
      <c r="H43" s="1462"/>
      <c r="I43" s="1462"/>
      <c r="J43" s="1459"/>
      <c r="K43" s="1459"/>
      <c r="L43" s="1465"/>
      <c r="M43" s="1234">
        <f>SUMIF(Invoices!$E:$E,H43,Invoices!$D:$D)</f>
        <v>0</v>
      </c>
      <c r="N43" s="1234">
        <f>SUMIF(Accruals!$H:$H,H43,Accruals!$K:$K)</f>
        <v>0</v>
      </c>
      <c r="O43" s="1235">
        <f t="shared" si="1"/>
        <v>0</v>
      </c>
      <c r="P43" s="1477"/>
    </row>
    <row r="44" spans="1:16" s="41" customFormat="1">
      <c r="A44" s="1462"/>
      <c r="B44" s="1462"/>
      <c r="C44" s="1466"/>
      <c r="D44" s="1462"/>
      <c r="E44" s="1462"/>
      <c r="F44" s="1462"/>
      <c r="G44" s="1462"/>
      <c r="H44" s="1462"/>
      <c r="I44" s="1462"/>
      <c r="J44" s="1459"/>
      <c r="K44" s="1459"/>
      <c r="L44" s="1465"/>
      <c r="M44" s="1234">
        <f>SUMIF(Invoices!$E:$E,H44,Invoices!$D:$D)</f>
        <v>0</v>
      </c>
      <c r="N44" s="1234">
        <f>SUMIF(Accruals!$H:$H,H44,Accruals!$K:$K)</f>
        <v>0</v>
      </c>
      <c r="O44" s="1235">
        <f t="shared" si="1"/>
        <v>0</v>
      </c>
      <c r="P44" s="1477"/>
    </row>
    <row r="45" spans="1:16">
      <c r="A45" s="1462"/>
      <c r="B45" s="1462"/>
      <c r="C45" s="1466"/>
      <c r="D45" s="1462"/>
      <c r="E45" s="1462"/>
      <c r="F45" s="1462"/>
      <c r="G45" s="1462"/>
      <c r="H45" s="1462"/>
      <c r="I45" s="1462"/>
      <c r="J45" s="1459"/>
      <c r="K45" s="1459"/>
      <c r="L45" s="1465"/>
      <c r="M45" s="1234">
        <f>SUMIF(Invoices!$E:$E,H45,Invoices!$D:$D)</f>
        <v>0</v>
      </c>
      <c r="N45" s="1234">
        <f>SUMIF(Accruals!$H:$H,H45,Accruals!$K:$K)</f>
        <v>0</v>
      </c>
      <c r="O45" s="1235">
        <f t="shared" si="1"/>
        <v>0</v>
      </c>
      <c r="P45" s="1477"/>
    </row>
    <row r="46" spans="1:16">
      <c r="A46" s="1462"/>
      <c r="B46" s="1462"/>
      <c r="C46" s="1466"/>
      <c r="D46" s="1462"/>
      <c r="E46" s="1462"/>
      <c r="F46" s="1462"/>
      <c r="G46" s="1462"/>
      <c r="H46" s="1462"/>
      <c r="I46" s="1462"/>
      <c r="J46" s="1459"/>
      <c r="K46" s="1459"/>
      <c r="L46" s="1465"/>
      <c r="M46" s="1234">
        <f>SUMIF(Invoices!$E:$E,H46,Invoices!$D:$D)</f>
        <v>0</v>
      </c>
      <c r="N46" s="1234">
        <f>SUMIF(Accruals!$H:$H,H46,Accruals!$K:$K)</f>
        <v>0</v>
      </c>
      <c r="O46" s="1235">
        <f t="shared" si="1"/>
        <v>0</v>
      </c>
      <c r="P46" s="1477"/>
    </row>
    <row r="47" spans="1:16">
      <c r="A47" s="1462"/>
      <c r="B47" s="1462"/>
      <c r="C47" s="1466"/>
      <c r="D47" s="1462"/>
      <c r="E47" s="1462"/>
      <c r="F47" s="1462"/>
      <c r="G47" s="1462"/>
      <c r="H47" s="1462"/>
      <c r="I47" s="1462"/>
      <c r="J47" s="1459"/>
      <c r="K47" s="1459"/>
      <c r="L47" s="1465"/>
      <c r="M47" s="1234">
        <f>SUMIF(Invoices!$E:$E,H47,Invoices!$D:$D)</f>
        <v>0</v>
      </c>
      <c r="N47" s="1234">
        <f>SUMIF(Accruals!$H:$H,H47,Accruals!$K:$K)</f>
        <v>0</v>
      </c>
      <c r="O47" s="1235">
        <f t="shared" si="1"/>
        <v>0</v>
      </c>
      <c r="P47" s="1477"/>
    </row>
    <row r="48" spans="1:16">
      <c r="A48" s="1462"/>
      <c r="B48" s="1462"/>
      <c r="C48" s="1466"/>
      <c r="D48" s="1462"/>
      <c r="E48" s="1462"/>
      <c r="F48" s="1462"/>
      <c r="G48" s="1462"/>
      <c r="H48" s="1462"/>
      <c r="I48" s="1462"/>
      <c r="J48" s="1459"/>
      <c r="K48" s="1459"/>
      <c r="L48" s="1465"/>
      <c r="M48" s="1234">
        <f>SUMIF(Invoices!$E:$E,H48,Invoices!$D:$D)</f>
        <v>0</v>
      </c>
      <c r="N48" s="1234">
        <f>SUMIF(Accruals!$H:$H,H48,Accruals!$K:$K)</f>
        <v>0</v>
      </c>
      <c r="O48" s="1235">
        <f t="shared" si="1"/>
        <v>0</v>
      </c>
      <c r="P48" s="1477"/>
    </row>
    <row r="49" spans="1:16">
      <c r="A49" s="1462"/>
      <c r="B49" s="1462"/>
      <c r="C49" s="1466"/>
      <c r="D49" s="1462"/>
      <c r="E49" s="1462"/>
      <c r="F49" s="1462"/>
      <c r="G49" s="1462"/>
      <c r="H49" s="1462"/>
      <c r="I49" s="1462"/>
      <c r="J49" s="1459"/>
      <c r="K49" s="1459"/>
      <c r="L49" s="1465"/>
      <c r="M49" s="1234">
        <f>SUMIF(Invoices!$E:$E,H49,Invoices!$D:$D)</f>
        <v>0</v>
      </c>
      <c r="N49" s="1234">
        <f>SUMIF(Accruals!$H:$H,H49,Accruals!$K:$K)</f>
        <v>0</v>
      </c>
      <c r="O49" s="1235">
        <f t="shared" si="1"/>
        <v>0</v>
      </c>
      <c r="P49" s="1477"/>
    </row>
    <row r="50" spans="1:16">
      <c r="A50" s="1462"/>
      <c r="B50" s="1462"/>
      <c r="C50" s="1466"/>
      <c r="D50" s="1462"/>
      <c r="E50" s="1462"/>
      <c r="F50" s="1462"/>
      <c r="G50" s="1462"/>
      <c r="H50" s="1462"/>
      <c r="I50" s="1462"/>
      <c r="J50" s="1459"/>
      <c r="K50" s="1459"/>
      <c r="L50" s="1465"/>
      <c r="M50" s="1234">
        <f>SUMIF(Invoices!$E:$E,H50,Invoices!$D:$D)</f>
        <v>0</v>
      </c>
      <c r="N50" s="1234">
        <f>SUMIF(Accruals!$H:$H,H50,Accruals!$K:$K)</f>
        <v>0</v>
      </c>
      <c r="O50" s="1235">
        <f t="shared" si="1"/>
        <v>0</v>
      </c>
      <c r="P50" s="1477"/>
    </row>
    <row r="51" spans="1:16">
      <c r="A51" s="1462"/>
      <c r="B51" s="1462"/>
      <c r="C51" s="1466"/>
      <c r="D51" s="1462"/>
      <c r="E51" s="1462"/>
      <c r="F51" s="1462"/>
      <c r="G51" s="1462"/>
      <c r="H51" s="1462"/>
      <c r="I51" s="1462"/>
      <c r="J51" s="1459"/>
      <c r="K51" s="1459"/>
      <c r="L51" s="1465"/>
      <c r="M51" s="1234">
        <f>SUMIF(Invoices!$E:$E,H51,Invoices!$D:$D)</f>
        <v>0</v>
      </c>
      <c r="N51" s="1234">
        <f>SUMIF(Accruals!$H:$H,H51,Accruals!$K:$K)</f>
        <v>0</v>
      </c>
      <c r="O51" s="1235">
        <f t="shared" si="1"/>
        <v>0</v>
      </c>
      <c r="P51" s="1477"/>
    </row>
    <row r="52" spans="1:16">
      <c r="A52" s="1462"/>
      <c r="B52" s="1462"/>
      <c r="C52" s="1466"/>
      <c r="D52" s="1462"/>
      <c r="E52" s="1462"/>
      <c r="F52" s="1462"/>
      <c r="G52" s="1462"/>
      <c r="H52" s="1462"/>
      <c r="I52" s="1462"/>
      <c r="J52" s="1459"/>
      <c r="K52" s="1459"/>
      <c r="L52" s="1465"/>
      <c r="M52" s="1234">
        <f>SUMIF(Invoices!$E:$E,H52,Invoices!$D:$D)</f>
        <v>0</v>
      </c>
      <c r="N52" s="1234">
        <f>SUMIF(Accruals!$H:$H,H52,Accruals!$K:$K)</f>
        <v>0</v>
      </c>
      <c r="O52" s="1235">
        <f t="shared" si="1"/>
        <v>0</v>
      </c>
      <c r="P52" s="1477"/>
    </row>
    <row r="53" spans="1:16">
      <c r="A53" s="1467"/>
      <c r="B53" s="1467"/>
      <c r="C53" s="1468"/>
      <c r="D53" s="1467"/>
      <c r="E53" s="1467"/>
      <c r="F53" s="1467"/>
      <c r="G53" s="1462"/>
      <c r="H53" s="1467"/>
      <c r="I53" s="1467"/>
      <c r="J53" s="1459"/>
      <c r="K53" s="1459"/>
      <c r="L53" s="1465"/>
      <c r="M53" s="1234">
        <f>SUMIF(Invoices!$E:$E,H53,Invoices!$D:$D)</f>
        <v>0</v>
      </c>
      <c r="N53" s="1234">
        <f>SUMIF(Accruals!$H:$H,H53,Accruals!$K:$K)</f>
        <v>0</v>
      </c>
      <c r="O53" s="1235">
        <f t="shared" si="1"/>
        <v>0</v>
      </c>
      <c r="P53" s="1477"/>
    </row>
    <row r="54" spans="1:16">
      <c r="A54" s="1467"/>
      <c r="B54" s="1467"/>
      <c r="C54" s="1468"/>
      <c r="D54" s="1467"/>
      <c r="E54" s="1467"/>
      <c r="F54" s="1467"/>
      <c r="G54" s="1462"/>
      <c r="H54" s="1467"/>
      <c r="I54" s="1467"/>
      <c r="J54" s="1459"/>
      <c r="K54" s="1459"/>
      <c r="L54" s="1465"/>
      <c r="M54" s="1234">
        <f>SUMIF(Invoices!$E:$E,H54,Invoices!$D:$D)</f>
        <v>0</v>
      </c>
      <c r="N54" s="1234">
        <f>SUMIF(Accruals!$H:$H,H54,Accruals!$K:$K)</f>
        <v>0</v>
      </c>
      <c r="O54" s="1235">
        <f t="shared" si="1"/>
        <v>0</v>
      </c>
      <c r="P54" s="1477"/>
    </row>
    <row r="55" spans="1:16">
      <c r="A55" s="1467"/>
      <c r="B55" s="1467"/>
      <c r="C55" s="1468"/>
      <c r="D55" s="1467"/>
      <c r="E55" s="1467"/>
      <c r="F55" s="1467"/>
      <c r="G55" s="1462"/>
      <c r="H55" s="1467"/>
      <c r="I55" s="1467"/>
      <c r="J55" s="1459"/>
      <c r="K55" s="1459"/>
      <c r="L55" s="1465"/>
      <c r="M55" s="1234">
        <f>SUMIF(Invoices!$E:$E,H55,Invoices!$D:$D)</f>
        <v>0</v>
      </c>
      <c r="N55" s="1234">
        <f>SUMIF(Accruals!$H:$H,H55,Accruals!$K:$K)</f>
        <v>0</v>
      </c>
      <c r="O55" s="1235">
        <f t="shared" si="1"/>
        <v>0</v>
      </c>
      <c r="P55" s="1477"/>
    </row>
    <row r="56" spans="1:16">
      <c r="A56" s="1469"/>
      <c r="B56" s="1469"/>
      <c r="C56" s="1470"/>
      <c r="D56" s="1469"/>
      <c r="E56" s="1469"/>
      <c r="F56" s="1469"/>
      <c r="G56" s="1462"/>
      <c r="H56" s="1469"/>
      <c r="I56" s="1469"/>
      <c r="J56" s="1459"/>
      <c r="K56" s="1459"/>
      <c r="L56" s="1465"/>
      <c r="M56" s="1234">
        <f>SUMIF(Invoices!$E:$E,H56,Invoices!$D:$D)</f>
        <v>0</v>
      </c>
      <c r="N56" s="1234">
        <f>SUMIF(Accruals!$H:$H,H56,Accruals!$K:$K)</f>
        <v>0</v>
      </c>
      <c r="O56" s="1235">
        <f t="shared" si="1"/>
        <v>0</v>
      </c>
      <c r="P56" s="1477"/>
    </row>
    <row r="57" spans="1:16" s="41" customFormat="1">
      <c r="A57" s="1471"/>
      <c r="B57" s="1471"/>
      <c r="C57" s="1463"/>
      <c r="D57" s="1471"/>
      <c r="E57" s="1471"/>
      <c r="F57" s="1471"/>
      <c r="G57" s="1462"/>
      <c r="H57" s="1471"/>
      <c r="I57" s="1471"/>
      <c r="J57" s="1459"/>
      <c r="K57" s="1459"/>
      <c r="L57" s="1465"/>
      <c r="M57" s="1234">
        <f>SUMIF(Invoices!$E:$E,H57,Invoices!$D:$D)</f>
        <v>0</v>
      </c>
      <c r="N57" s="1234">
        <f>SUMIF(Accruals!$H:$H,H57,Accruals!$K:$K)</f>
        <v>0</v>
      </c>
      <c r="O57" s="1235">
        <f t="shared" si="1"/>
        <v>0</v>
      </c>
      <c r="P57" s="1477"/>
    </row>
    <row r="58" spans="1:16" s="41" customFormat="1">
      <c r="A58" s="1471"/>
      <c r="B58" s="1471"/>
      <c r="C58" s="1463"/>
      <c r="D58" s="1471"/>
      <c r="E58" s="1471"/>
      <c r="F58" s="1471"/>
      <c r="G58" s="1462"/>
      <c r="H58" s="1471"/>
      <c r="I58" s="1471"/>
      <c r="J58" s="1459"/>
      <c r="K58" s="1459"/>
      <c r="L58" s="1465"/>
      <c r="M58" s="1234">
        <f>SUMIF(Invoices!$E:$E,H58,Invoices!$D:$D)</f>
        <v>0</v>
      </c>
      <c r="N58" s="1234">
        <f>SUMIF(Accruals!$H:$H,H58,Accruals!$K:$K)</f>
        <v>0</v>
      </c>
      <c r="O58" s="1235">
        <f t="shared" si="1"/>
        <v>0</v>
      </c>
      <c r="P58" s="1477"/>
    </row>
    <row r="59" spans="1:16">
      <c r="A59" s="1471"/>
      <c r="B59" s="1471"/>
      <c r="C59" s="1463"/>
      <c r="D59" s="1471"/>
      <c r="E59" s="1471"/>
      <c r="F59" s="1471"/>
      <c r="G59" s="1462"/>
      <c r="H59" s="1471"/>
      <c r="I59" s="1471"/>
      <c r="J59" s="1459"/>
      <c r="K59" s="1459"/>
      <c r="L59" s="1465"/>
      <c r="M59" s="1234">
        <f>SUMIF(Invoices!$E:$E,H59,Invoices!$D:$D)</f>
        <v>0</v>
      </c>
      <c r="N59" s="1234">
        <f>SUMIF(Accruals!$H:$H,H59,Accruals!$K:$K)</f>
        <v>0</v>
      </c>
      <c r="O59" s="1235">
        <f t="shared" si="1"/>
        <v>0</v>
      </c>
      <c r="P59" s="1477"/>
    </row>
    <row r="60" spans="1:16">
      <c r="A60" s="1471"/>
      <c r="B60" s="1471"/>
      <c r="C60" s="1463"/>
      <c r="D60" s="1471"/>
      <c r="E60" s="1471"/>
      <c r="F60" s="1471"/>
      <c r="G60" s="1462"/>
      <c r="H60" s="1471"/>
      <c r="I60" s="1471"/>
      <c r="J60" s="1459"/>
      <c r="K60" s="1459"/>
      <c r="L60" s="1465"/>
      <c r="M60" s="1234">
        <f>SUMIF(Invoices!$E:$E,H60,Invoices!$D:$D)</f>
        <v>0</v>
      </c>
      <c r="N60" s="1234">
        <f>SUMIF(Accruals!$H:$H,H60,Accruals!$K:$K)</f>
        <v>0</v>
      </c>
      <c r="O60" s="1235">
        <f t="shared" si="1"/>
        <v>0</v>
      </c>
      <c r="P60" s="1477"/>
    </row>
    <row r="61" spans="1:16">
      <c r="A61" s="1471"/>
      <c r="B61" s="1471"/>
      <c r="C61" s="1463"/>
      <c r="D61" s="1471"/>
      <c r="E61" s="1471"/>
      <c r="F61" s="1471"/>
      <c r="G61" s="1462"/>
      <c r="H61" s="1471"/>
      <c r="I61" s="1471"/>
      <c r="J61" s="1459"/>
      <c r="K61" s="1459"/>
      <c r="L61" s="1465"/>
      <c r="M61" s="1234">
        <f>SUMIF(Invoices!$E:$E,H61,Invoices!$D:$D)</f>
        <v>0</v>
      </c>
      <c r="N61" s="1234">
        <f>SUMIF(Accruals!$H:$H,H61,Accruals!$K:$K)</f>
        <v>0</v>
      </c>
      <c r="O61" s="1235">
        <f t="shared" si="1"/>
        <v>0</v>
      </c>
      <c r="P61" s="1477"/>
    </row>
    <row r="62" spans="1:16">
      <c r="A62" s="1471"/>
      <c r="B62" s="1471"/>
      <c r="C62" s="1463"/>
      <c r="D62" s="1471"/>
      <c r="E62" s="1471"/>
      <c r="F62" s="1471"/>
      <c r="G62" s="1462"/>
      <c r="H62" s="1471"/>
      <c r="I62" s="1471"/>
      <c r="J62" s="1459"/>
      <c r="K62" s="1459"/>
      <c r="L62" s="1465"/>
      <c r="M62" s="1234">
        <f>SUMIF(Invoices!$E:$E,H62,Invoices!$D:$D)</f>
        <v>0</v>
      </c>
      <c r="N62" s="1234">
        <f>SUMIF(Accruals!$H:$H,H62,Accruals!$K:$K)</f>
        <v>0</v>
      </c>
      <c r="O62" s="1235">
        <f t="shared" si="1"/>
        <v>0</v>
      </c>
      <c r="P62" s="1477"/>
    </row>
    <row r="63" spans="1:16" s="41" customFormat="1">
      <c r="A63" s="1462"/>
      <c r="B63" s="1462"/>
      <c r="C63" s="1466"/>
      <c r="D63" s="1462"/>
      <c r="E63" s="1462"/>
      <c r="F63" s="1462"/>
      <c r="G63" s="1462"/>
      <c r="H63" s="1462"/>
      <c r="I63" s="1462"/>
      <c r="J63" s="1459"/>
      <c r="K63" s="1459"/>
      <c r="L63" s="1465"/>
      <c r="M63" s="1234">
        <f>SUMIF(Invoices!$E:$E,H63,Invoices!$D:$D)</f>
        <v>0</v>
      </c>
      <c r="N63" s="1234">
        <f>SUMIF(Accruals!$H:$H,H63,Accruals!$K:$K)</f>
        <v>0</v>
      </c>
      <c r="O63" s="1235">
        <f t="shared" si="1"/>
        <v>0</v>
      </c>
      <c r="P63" s="1477"/>
    </row>
    <row r="64" spans="1:16" s="41" customFormat="1">
      <c r="A64" s="1471"/>
      <c r="B64" s="1471"/>
      <c r="C64" s="1463"/>
      <c r="D64" s="1471"/>
      <c r="E64" s="1471"/>
      <c r="F64" s="1471"/>
      <c r="G64" s="1462"/>
      <c r="H64" s="1471"/>
      <c r="I64" s="1471"/>
      <c r="J64" s="1459"/>
      <c r="K64" s="1459"/>
      <c r="L64" s="1465"/>
      <c r="M64" s="1234">
        <f>SUMIF(Invoices!$E:$E,H64,Invoices!$D:$D)</f>
        <v>0</v>
      </c>
      <c r="N64" s="1234">
        <f>SUMIF(Accruals!$H:$H,H64,Accruals!$K:$K)</f>
        <v>0</v>
      </c>
      <c r="O64" s="1235">
        <f t="shared" si="0"/>
        <v>0</v>
      </c>
      <c r="P64" s="1477"/>
    </row>
    <row r="65" spans="1:16" s="41" customFormat="1">
      <c r="A65" s="1471"/>
      <c r="B65" s="1471"/>
      <c r="C65" s="1463"/>
      <c r="D65" s="1471"/>
      <c r="E65" s="1471"/>
      <c r="F65" s="1471"/>
      <c r="G65" s="1462"/>
      <c r="H65" s="1471"/>
      <c r="I65" s="1471"/>
      <c r="J65" s="1459"/>
      <c r="K65" s="1459"/>
      <c r="L65" s="1465"/>
      <c r="M65" s="1234">
        <f>SUMIF(Invoices!$E:$E,H65,Invoices!$D:$D)</f>
        <v>0</v>
      </c>
      <c r="N65" s="1234">
        <f>SUMIF(Accruals!$H:$H,H65,Accruals!$K:$K)</f>
        <v>0</v>
      </c>
      <c r="O65" s="1235">
        <f t="shared" si="0"/>
        <v>0</v>
      </c>
      <c r="P65" s="1477"/>
    </row>
    <row r="66" spans="1:16" s="40" customFormat="1">
      <c r="A66" s="1462"/>
      <c r="B66" s="1462"/>
      <c r="C66" s="1466"/>
      <c r="D66" s="1462"/>
      <c r="E66" s="1462"/>
      <c r="F66" s="1462"/>
      <c r="G66" s="1462"/>
      <c r="H66" s="1462"/>
      <c r="I66" s="1462"/>
      <c r="J66" s="1459"/>
      <c r="K66" s="1459"/>
      <c r="L66" s="1465"/>
      <c r="M66" s="1234">
        <f>SUMIF(Invoices!$E:$E,H66,Invoices!$D:$D)</f>
        <v>0</v>
      </c>
      <c r="N66" s="1234">
        <f>SUMIF(Accruals!$H:$H,H66,Accruals!$K:$K)</f>
        <v>0</v>
      </c>
      <c r="O66" s="1235">
        <f t="shared" ref="O66:O252" si="2">L66-M66-N66</f>
        <v>0</v>
      </c>
      <c r="P66" s="1478"/>
    </row>
    <row r="67" spans="1:16" s="41" customFormat="1">
      <c r="A67" s="1462"/>
      <c r="B67" s="1462"/>
      <c r="C67" s="1466"/>
      <c r="D67" s="1462"/>
      <c r="E67" s="1462"/>
      <c r="F67" s="1462"/>
      <c r="G67" s="1462"/>
      <c r="H67" s="1462"/>
      <c r="I67" s="1462"/>
      <c r="J67" s="1459"/>
      <c r="K67" s="1459"/>
      <c r="L67" s="1465"/>
      <c r="M67" s="1234">
        <f>SUMIF(Invoices!$E:$E,H67,Invoices!$D:$D)</f>
        <v>0</v>
      </c>
      <c r="N67" s="1234">
        <f>SUMIF(Accruals!$H:$H,H67,Accruals!$K:$K)</f>
        <v>0</v>
      </c>
      <c r="O67" s="1235">
        <f t="shared" si="2"/>
        <v>0</v>
      </c>
      <c r="P67" s="1477"/>
    </row>
    <row r="68" spans="1:16">
      <c r="A68" s="1462"/>
      <c r="B68" s="1462"/>
      <c r="C68" s="1466"/>
      <c r="D68" s="1462"/>
      <c r="E68" s="1462"/>
      <c r="F68" s="1462"/>
      <c r="G68" s="1462"/>
      <c r="H68" s="1462"/>
      <c r="I68" s="1462"/>
      <c r="J68" s="1459"/>
      <c r="K68" s="1459"/>
      <c r="L68" s="1465"/>
      <c r="M68" s="1234">
        <f>SUMIF(Invoices!$E:$E,H68,Invoices!$D:$D)</f>
        <v>0</v>
      </c>
      <c r="N68" s="1234">
        <f>SUMIF(Accruals!$H:$H,H68,Accruals!$K:$K)</f>
        <v>0</v>
      </c>
      <c r="O68" s="1235">
        <f t="shared" si="2"/>
        <v>0</v>
      </c>
      <c r="P68" s="1477"/>
    </row>
    <row r="69" spans="1:16">
      <c r="A69" s="1462"/>
      <c r="B69" s="1462"/>
      <c r="C69" s="1466"/>
      <c r="D69" s="1462"/>
      <c r="E69" s="1462"/>
      <c r="F69" s="1462"/>
      <c r="G69" s="1462"/>
      <c r="H69" s="1462"/>
      <c r="I69" s="1462"/>
      <c r="J69" s="1459"/>
      <c r="K69" s="1459"/>
      <c r="L69" s="1465"/>
      <c r="M69" s="1234">
        <f>SUMIF(Invoices!$E:$E,H69,Invoices!$D:$D)</f>
        <v>0</v>
      </c>
      <c r="N69" s="1234">
        <f>SUMIF(Accruals!$H:$H,H69,Accruals!$K:$K)</f>
        <v>0</v>
      </c>
      <c r="O69" s="1235">
        <f t="shared" si="2"/>
        <v>0</v>
      </c>
      <c r="P69" s="1477"/>
    </row>
    <row r="70" spans="1:16">
      <c r="A70" s="1462"/>
      <c r="B70" s="1462"/>
      <c r="C70" s="1466"/>
      <c r="D70" s="1462"/>
      <c r="E70" s="1462"/>
      <c r="F70" s="1462"/>
      <c r="G70" s="1462"/>
      <c r="H70" s="1462"/>
      <c r="I70" s="1462"/>
      <c r="J70" s="1459"/>
      <c r="K70" s="1459"/>
      <c r="L70" s="1465"/>
      <c r="M70" s="1234">
        <f>SUMIF(Invoices!$E:$E,H70,Invoices!$D:$D)</f>
        <v>0</v>
      </c>
      <c r="N70" s="1234">
        <f>SUMIF(Accruals!$H:$H,H70,Accruals!$K:$K)</f>
        <v>0</v>
      </c>
      <c r="O70" s="1235">
        <f t="shared" si="2"/>
        <v>0</v>
      </c>
      <c r="P70" s="1477"/>
    </row>
    <row r="71" spans="1:16">
      <c r="A71" s="1462"/>
      <c r="B71" s="1462"/>
      <c r="C71" s="1466"/>
      <c r="D71" s="1462"/>
      <c r="E71" s="1462"/>
      <c r="F71" s="1462"/>
      <c r="G71" s="1462"/>
      <c r="H71" s="1462"/>
      <c r="I71" s="1462"/>
      <c r="J71" s="1459"/>
      <c r="K71" s="1459"/>
      <c r="L71" s="1465"/>
      <c r="M71" s="1234">
        <f>SUMIF(Invoices!$E:$E,H71,Invoices!$D:$D)</f>
        <v>0</v>
      </c>
      <c r="N71" s="1234">
        <f>SUMIF(Accruals!$H:$H,H71,Accruals!$K:$K)</f>
        <v>0</v>
      </c>
      <c r="O71" s="1235">
        <f t="shared" si="2"/>
        <v>0</v>
      </c>
      <c r="P71" s="1477"/>
    </row>
    <row r="72" spans="1:16">
      <c r="A72" s="1462"/>
      <c r="B72" s="1462"/>
      <c r="C72" s="1466"/>
      <c r="D72" s="1462"/>
      <c r="E72" s="1462"/>
      <c r="F72" s="1462"/>
      <c r="G72" s="1462"/>
      <c r="H72" s="1462"/>
      <c r="I72" s="1462"/>
      <c r="J72" s="1459"/>
      <c r="K72" s="1459"/>
      <c r="L72" s="1465"/>
      <c r="M72" s="1234">
        <f>SUMIF(Invoices!$E:$E,H72,Invoices!$D:$D)</f>
        <v>0</v>
      </c>
      <c r="N72" s="1234">
        <f>SUMIF(Accruals!$H:$H,H72,Accruals!$K:$K)</f>
        <v>0</v>
      </c>
      <c r="O72" s="1235">
        <f t="shared" si="2"/>
        <v>0</v>
      </c>
      <c r="P72" s="1477"/>
    </row>
    <row r="73" spans="1:16">
      <c r="A73" s="1462"/>
      <c r="B73" s="1462"/>
      <c r="C73" s="1466"/>
      <c r="D73" s="1462"/>
      <c r="E73" s="1462"/>
      <c r="F73" s="1462"/>
      <c r="G73" s="1462"/>
      <c r="H73" s="1462"/>
      <c r="I73" s="1462"/>
      <c r="J73" s="1459"/>
      <c r="K73" s="1459"/>
      <c r="L73" s="1465"/>
      <c r="M73" s="1234">
        <f>SUMIF(Invoices!$E:$E,H73,Invoices!$D:$D)</f>
        <v>0</v>
      </c>
      <c r="N73" s="1234">
        <f>SUMIF(Accruals!$H:$H,H73,Accruals!$K:$K)</f>
        <v>0</v>
      </c>
      <c r="O73" s="1235">
        <f t="shared" si="2"/>
        <v>0</v>
      </c>
      <c r="P73" s="1477"/>
    </row>
    <row r="74" spans="1:16">
      <c r="A74" s="1462"/>
      <c r="B74" s="1462"/>
      <c r="C74" s="1466"/>
      <c r="D74" s="1462"/>
      <c r="E74" s="1462"/>
      <c r="F74" s="1462"/>
      <c r="G74" s="1462"/>
      <c r="H74" s="1462"/>
      <c r="I74" s="1462"/>
      <c r="J74" s="1459"/>
      <c r="K74" s="1459"/>
      <c r="L74" s="1465"/>
      <c r="M74" s="1234">
        <f>SUMIF(Invoices!$E:$E,H74,Invoices!$D:$D)</f>
        <v>0</v>
      </c>
      <c r="N74" s="1234">
        <f>SUMIF(Accruals!$H:$H,H74,Accruals!$K:$K)</f>
        <v>0</v>
      </c>
      <c r="O74" s="1235">
        <f t="shared" si="2"/>
        <v>0</v>
      </c>
      <c r="P74" s="1477"/>
    </row>
    <row r="75" spans="1:16" s="41" customFormat="1">
      <c r="A75" s="1462"/>
      <c r="B75" s="1462"/>
      <c r="C75" s="1466"/>
      <c r="D75" s="1462"/>
      <c r="E75" s="1462"/>
      <c r="F75" s="1462"/>
      <c r="G75" s="1462"/>
      <c r="H75" s="1462"/>
      <c r="I75" s="1462"/>
      <c r="J75" s="1459"/>
      <c r="K75" s="1459"/>
      <c r="L75" s="1465"/>
      <c r="M75" s="1234">
        <f>SUMIF(Invoices!$E:$E,H75,Invoices!$D:$D)</f>
        <v>0</v>
      </c>
      <c r="N75" s="1234">
        <f>SUMIF(Accruals!$H:$H,H75,Accruals!$K:$K)</f>
        <v>0</v>
      </c>
      <c r="O75" s="1235">
        <f t="shared" si="2"/>
        <v>0</v>
      </c>
      <c r="P75" s="1477"/>
    </row>
    <row r="76" spans="1:16" s="41" customFormat="1">
      <c r="A76" s="1462"/>
      <c r="B76" s="1462"/>
      <c r="C76" s="1466"/>
      <c r="D76" s="1462"/>
      <c r="E76" s="1462"/>
      <c r="F76" s="1462"/>
      <c r="G76" s="1462"/>
      <c r="H76" s="1462"/>
      <c r="I76" s="1462"/>
      <c r="J76" s="1459"/>
      <c r="K76" s="1459"/>
      <c r="L76" s="1465"/>
      <c r="M76" s="1234">
        <f>SUMIF(Invoices!$E:$E,H76,Invoices!$D:$D)</f>
        <v>0</v>
      </c>
      <c r="N76" s="1234">
        <f>SUMIF(Accruals!$H:$H,H76,Accruals!$K:$K)</f>
        <v>0</v>
      </c>
      <c r="O76" s="1235">
        <f t="shared" si="2"/>
        <v>0</v>
      </c>
      <c r="P76" s="1477"/>
    </row>
    <row r="77" spans="1:16">
      <c r="A77" s="1462"/>
      <c r="B77" s="1462"/>
      <c r="C77" s="1466"/>
      <c r="D77" s="1462"/>
      <c r="E77" s="1462"/>
      <c r="F77" s="1462"/>
      <c r="G77" s="1462"/>
      <c r="H77" s="1462"/>
      <c r="I77" s="1462"/>
      <c r="J77" s="1459"/>
      <c r="K77" s="1459"/>
      <c r="L77" s="1465"/>
      <c r="M77" s="1234">
        <f>SUMIF(Invoices!$E:$E,H77,Invoices!$D:$D)</f>
        <v>0</v>
      </c>
      <c r="N77" s="1234">
        <f>SUMIF(Accruals!$H:$H,H77,Accruals!$K:$K)</f>
        <v>0</v>
      </c>
      <c r="O77" s="1235">
        <f t="shared" si="2"/>
        <v>0</v>
      </c>
      <c r="P77" s="1477"/>
    </row>
    <row r="78" spans="1:16">
      <c r="A78" s="1462"/>
      <c r="B78" s="1462"/>
      <c r="C78" s="1466"/>
      <c r="D78" s="1462"/>
      <c r="E78" s="1462"/>
      <c r="F78" s="1462"/>
      <c r="G78" s="1462"/>
      <c r="H78" s="1462"/>
      <c r="I78" s="1462"/>
      <c r="J78" s="1459"/>
      <c r="K78" s="1459"/>
      <c r="L78" s="1465"/>
      <c r="M78" s="1234">
        <f>SUMIF(Invoices!$E:$E,H78,Invoices!$D:$D)</f>
        <v>0</v>
      </c>
      <c r="N78" s="1234">
        <f>SUMIF(Accruals!$H:$H,H78,Accruals!$K:$K)</f>
        <v>0</v>
      </c>
      <c r="O78" s="1235">
        <f t="shared" si="2"/>
        <v>0</v>
      </c>
      <c r="P78" s="1477"/>
    </row>
    <row r="79" spans="1:16">
      <c r="A79" s="1462"/>
      <c r="B79" s="1462"/>
      <c r="C79" s="1466"/>
      <c r="D79" s="1462"/>
      <c r="E79" s="1462"/>
      <c r="F79" s="1462"/>
      <c r="G79" s="1462"/>
      <c r="H79" s="1462"/>
      <c r="I79" s="1462"/>
      <c r="J79" s="1459"/>
      <c r="K79" s="1459"/>
      <c r="L79" s="1465"/>
      <c r="M79" s="1234">
        <f>SUMIF(Invoices!$E:$E,H79,Invoices!$D:$D)</f>
        <v>0</v>
      </c>
      <c r="N79" s="1234">
        <f>SUMIF(Accruals!$H:$H,H79,Accruals!$K:$K)</f>
        <v>0</v>
      </c>
      <c r="O79" s="1235">
        <f t="shared" si="2"/>
        <v>0</v>
      </c>
      <c r="P79" s="1477"/>
    </row>
    <row r="80" spans="1:16">
      <c r="A80" s="1462"/>
      <c r="B80" s="1462"/>
      <c r="C80" s="1466"/>
      <c r="D80" s="1462"/>
      <c r="E80" s="1462"/>
      <c r="F80" s="1462"/>
      <c r="G80" s="1462"/>
      <c r="H80" s="1462"/>
      <c r="I80" s="1462"/>
      <c r="J80" s="1459"/>
      <c r="K80" s="1459"/>
      <c r="L80" s="1465"/>
      <c r="M80" s="1234">
        <f>SUMIF(Invoices!$E:$E,H80,Invoices!$D:$D)</f>
        <v>0</v>
      </c>
      <c r="N80" s="1234">
        <f>SUMIF(Accruals!$H:$H,H80,Accruals!$K:$K)</f>
        <v>0</v>
      </c>
      <c r="O80" s="1235">
        <f t="shared" si="2"/>
        <v>0</v>
      </c>
      <c r="P80" s="1477"/>
    </row>
    <row r="81" spans="1:16" s="40" customFormat="1">
      <c r="A81" s="1462"/>
      <c r="B81" s="1462"/>
      <c r="C81" s="1466"/>
      <c r="D81" s="1462"/>
      <c r="E81" s="1462"/>
      <c r="F81" s="1462"/>
      <c r="G81" s="1462"/>
      <c r="H81" s="1462"/>
      <c r="I81" s="1462"/>
      <c r="J81" s="1459"/>
      <c r="K81" s="1459"/>
      <c r="L81" s="1465"/>
      <c r="M81" s="1234">
        <f>SUMIF(Invoices!$E:$E,H81,Invoices!$D:$D)</f>
        <v>0</v>
      </c>
      <c r="N81" s="1234">
        <f>SUMIF(Accruals!$H:$H,H81,Accruals!$K:$K)</f>
        <v>0</v>
      </c>
      <c r="O81" s="1235">
        <f t="shared" si="2"/>
        <v>0</v>
      </c>
      <c r="P81" s="1478"/>
    </row>
    <row r="82" spans="1:16" s="41" customFormat="1">
      <c r="A82" s="1462"/>
      <c r="B82" s="1462"/>
      <c r="C82" s="1466"/>
      <c r="D82" s="1462"/>
      <c r="E82" s="1462"/>
      <c r="F82" s="1462"/>
      <c r="G82" s="1462"/>
      <c r="H82" s="1462"/>
      <c r="I82" s="1462"/>
      <c r="J82" s="1459"/>
      <c r="K82" s="1459"/>
      <c r="L82" s="1465"/>
      <c r="M82" s="1234">
        <f>SUMIF(Invoices!$E:$E,H82,Invoices!$D:$D)</f>
        <v>0</v>
      </c>
      <c r="N82" s="1234">
        <f>SUMIF(Accruals!$H:$H,H82,Accruals!$K:$K)</f>
        <v>0</v>
      </c>
      <c r="O82" s="1235">
        <f t="shared" si="2"/>
        <v>0</v>
      </c>
      <c r="P82" s="1477"/>
    </row>
    <row r="83" spans="1:16">
      <c r="A83" s="1462"/>
      <c r="B83" s="1462"/>
      <c r="C83" s="1466"/>
      <c r="D83" s="1462"/>
      <c r="E83" s="1462"/>
      <c r="F83" s="1462"/>
      <c r="G83" s="1462"/>
      <c r="H83" s="1462"/>
      <c r="I83" s="1462"/>
      <c r="J83" s="1459"/>
      <c r="K83" s="1459"/>
      <c r="L83" s="1465"/>
      <c r="M83" s="1234">
        <f>SUMIF(Invoices!$E:$E,H83,Invoices!$D:$D)</f>
        <v>0</v>
      </c>
      <c r="N83" s="1234">
        <f>SUMIF(Accruals!$H:$H,H83,Accruals!$K:$K)</f>
        <v>0</v>
      </c>
      <c r="O83" s="1235">
        <f t="shared" si="2"/>
        <v>0</v>
      </c>
      <c r="P83" s="1477"/>
    </row>
    <row r="84" spans="1:16">
      <c r="A84" s="1462"/>
      <c r="B84" s="1462"/>
      <c r="C84" s="1466"/>
      <c r="D84" s="1462"/>
      <c r="E84" s="1462"/>
      <c r="F84" s="1462"/>
      <c r="G84" s="1462"/>
      <c r="H84" s="1462"/>
      <c r="I84" s="1462"/>
      <c r="J84" s="1459"/>
      <c r="K84" s="1459"/>
      <c r="L84" s="1465"/>
      <c r="M84" s="1234">
        <f>SUMIF(Invoices!$E:$E,H84,Invoices!$D:$D)</f>
        <v>0</v>
      </c>
      <c r="N84" s="1234">
        <f>SUMIF(Accruals!$H:$H,H84,Accruals!$K:$K)</f>
        <v>0</v>
      </c>
      <c r="O84" s="1235">
        <f t="shared" si="2"/>
        <v>0</v>
      </c>
      <c r="P84" s="1477"/>
    </row>
    <row r="85" spans="1:16">
      <c r="A85" s="1462"/>
      <c r="B85" s="1462"/>
      <c r="C85" s="1466"/>
      <c r="D85" s="1462"/>
      <c r="E85" s="1462"/>
      <c r="F85" s="1462"/>
      <c r="G85" s="1462"/>
      <c r="H85" s="1462"/>
      <c r="I85" s="1462"/>
      <c r="J85" s="1459"/>
      <c r="K85" s="1459"/>
      <c r="L85" s="1465"/>
      <c r="M85" s="1234">
        <f>SUMIF(Invoices!$E:$E,H85,Invoices!$D:$D)</f>
        <v>0</v>
      </c>
      <c r="N85" s="1234">
        <f>SUMIF(Accruals!$H:$H,H85,Accruals!$K:$K)</f>
        <v>0</v>
      </c>
      <c r="O85" s="1235">
        <f t="shared" si="2"/>
        <v>0</v>
      </c>
      <c r="P85" s="1477"/>
    </row>
    <row r="86" spans="1:16">
      <c r="A86" s="1462"/>
      <c r="B86" s="1462"/>
      <c r="C86" s="1466"/>
      <c r="D86" s="1462"/>
      <c r="E86" s="1462"/>
      <c r="F86" s="1462"/>
      <c r="G86" s="1462"/>
      <c r="H86" s="1462"/>
      <c r="I86" s="1462"/>
      <c r="J86" s="1459"/>
      <c r="K86" s="1459"/>
      <c r="L86" s="1465"/>
      <c r="M86" s="1234">
        <f>SUMIF(Invoices!$E:$E,H86,Invoices!$D:$D)</f>
        <v>0</v>
      </c>
      <c r="N86" s="1234">
        <f>SUMIF(Accruals!$H:$H,H86,Accruals!$K:$K)</f>
        <v>0</v>
      </c>
      <c r="O86" s="1235">
        <f t="shared" si="2"/>
        <v>0</v>
      </c>
      <c r="P86" s="1477"/>
    </row>
    <row r="87" spans="1:16">
      <c r="A87" s="1462"/>
      <c r="B87" s="1462"/>
      <c r="C87" s="1466"/>
      <c r="D87" s="1462"/>
      <c r="E87" s="1462"/>
      <c r="F87" s="1462"/>
      <c r="G87" s="1462"/>
      <c r="H87" s="1462"/>
      <c r="I87" s="1462"/>
      <c r="J87" s="1459"/>
      <c r="K87" s="1459"/>
      <c r="L87" s="1465"/>
      <c r="M87" s="1234">
        <f>SUMIF(Invoices!$E:$E,H87,Invoices!$D:$D)</f>
        <v>0</v>
      </c>
      <c r="N87" s="1234">
        <f>SUMIF(Accruals!$H:$H,H87,Accruals!$K:$K)</f>
        <v>0</v>
      </c>
      <c r="O87" s="1235">
        <f t="shared" si="2"/>
        <v>0</v>
      </c>
      <c r="P87" s="1477"/>
    </row>
    <row r="88" spans="1:16">
      <c r="A88" s="1462"/>
      <c r="B88" s="1462"/>
      <c r="C88" s="1466"/>
      <c r="D88" s="1462"/>
      <c r="E88" s="1462"/>
      <c r="F88" s="1462"/>
      <c r="G88" s="1462"/>
      <c r="H88" s="1462"/>
      <c r="I88" s="1462"/>
      <c r="J88" s="1459"/>
      <c r="K88" s="1459"/>
      <c r="L88" s="1465"/>
      <c r="M88" s="1234">
        <f>SUMIF(Invoices!$E:$E,H88,Invoices!$D:$D)</f>
        <v>0</v>
      </c>
      <c r="N88" s="1234">
        <f>SUMIF(Accruals!$H:$H,H88,Accruals!$K:$K)</f>
        <v>0</v>
      </c>
      <c r="O88" s="1235">
        <f t="shared" si="2"/>
        <v>0</v>
      </c>
      <c r="P88" s="1477"/>
    </row>
    <row r="89" spans="1:16">
      <c r="A89" s="1462"/>
      <c r="B89" s="1462"/>
      <c r="C89" s="1466"/>
      <c r="D89" s="1462"/>
      <c r="E89" s="1462"/>
      <c r="F89" s="1462"/>
      <c r="G89" s="1462"/>
      <c r="H89" s="1462"/>
      <c r="I89" s="1462"/>
      <c r="J89" s="1459"/>
      <c r="K89" s="1459"/>
      <c r="L89" s="1465"/>
      <c r="M89" s="1234">
        <f>SUMIF(Invoices!$E:$E,H89,Invoices!$D:$D)</f>
        <v>0</v>
      </c>
      <c r="N89" s="1234">
        <f>SUMIF(Accruals!$H:$H,H89,Accruals!$K:$K)</f>
        <v>0</v>
      </c>
      <c r="O89" s="1235">
        <f t="shared" si="2"/>
        <v>0</v>
      </c>
      <c r="P89" s="1477"/>
    </row>
    <row r="90" spans="1:16" s="41" customFormat="1">
      <c r="A90" s="1462"/>
      <c r="B90" s="1462"/>
      <c r="C90" s="1466"/>
      <c r="D90" s="1462"/>
      <c r="E90" s="1462"/>
      <c r="F90" s="1462"/>
      <c r="G90" s="1462"/>
      <c r="H90" s="1462"/>
      <c r="I90" s="1462"/>
      <c r="J90" s="1459"/>
      <c r="K90" s="1459"/>
      <c r="L90" s="1465"/>
      <c r="M90" s="1234">
        <f>SUMIF(Invoices!$E:$E,H90,Invoices!$D:$D)</f>
        <v>0</v>
      </c>
      <c r="N90" s="1234">
        <f>SUMIF(Accruals!$H:$H,H90,Accruals!$K:$K)</f>
        <v>0</v>
      </c>
      <c r="O90" s="1235">
        <f t="shared" si="2"/>
        <v>0</v>
      </c>
      <c r="P90" s="1477"/>
    </row>
    <row r="91" spans="1:16" s="41" customFormat="1">
      <c r="A91" s="1462"/>
      <c r="B91" s="1462"/>
      <c r="C91" s="1466"/>
      <c r="D91" s="1462"/>
      <c r="E91" s="1462"/>
      <c r="F91" s="1462"/>
      <c r="G91" s="1462"/>
      <c r="H91" s="1462"/>
      <c r="I91" s="1462"/>
      <c r="J91" s="1459"/>
      <c r="K91" s="1459"/>
      <c r="L91" s="1465"/>
      <c r="M91" s="1234">
        <f>SUMIF(Invoices!$E:$E,H91,Invoices!$D:$D)</f>
        <v>0</v>
      </c>
      <c r="N91" s="1234">
        <f>SUMIF(Accruals!$H:$H,H91,Accruals!$K:$K)</f>
        <v>0</v>
      </c>
      <c r="O91" s="1235">
        <f t="shared" si="2"/>
        <v>0</v>
      </c>
      <c r="P91" s="1477"/>
    </row>
    <row r="92" spans="1:16">
      <c r="A92" s="1462"/>
      <c r="B92" s="1462"/>
      <c r="C92" s="1466"/>
      <c r="D92" s="1462"/>
      <c r="E92" s="1462"/>
      <c r="F92" s="1462"/>
      <c r="G92" s="1462"/>
      <c r="H92" s="1462"/>
      <c r="I92" s="1462"/>
      <c r="J92" s="1459"/>
      <c r="K92" s="1459"/>
      <c r="L92" s="1465"/>
      <c r="M92" s="1234">
        <f>SUMIF(Invoices!$E:$E,H92,Invoices!$D:$D)</f>
        <v>0</v>
      </c>
      <c r="N92" s="1234">
        <f>SUMIF(Accruals!$H:$H,H92,Accruals!$K:$K)</f>
        <v>0</v>
      </c>
      <c r="O92" s="1235">
        <f t="shared" si="2"/>
        <v>0</v>
      </c>
      <c r="P92" s="1477"/>
    </row>
    <row r="93" spans="1:16">
      <c r="A93" s="1462"/>
      <c r="B93" s="1462"/>
      <c r="C93" s="1466"/>
      <c r="D93" s="1462"/>
      <c r="E93" s="1462"/>
      <c r="F93" s="1462"/>
      <c r="G93" s="1462"/>
      <c r="H93" s="1462"/>
      <c r="I93" s="1462"/>
      <c r="J93" s="1459"/>
      <c r="K93" s="1459"/>
      <c r="L93" s="1465"/>
      <c r="M93" s="1234">
        <f>SUMIF(Invoices!$E:$E,H93,Invoices!$D:$D)</f>
        <v>0</v>
      </c>
      <c r="N93" s="1234">
        <f>SUMIF(Accruals!$H:$H,H93,Accruals!$K:$K)</f>
        <v>0</v>
      </c>
      <c r="O93" s="1235">
        <f t="shared" si="2"/>
        <v>0</v>
      </c>
      <c r="P93" s="1477"/>
    </row>
    <row r="94" spans="1:16">
      <c r="A94" s="1462"/>
      <c r="B94" s="1462"/>
      <c r="C94" s="1466"/>
      <c r="D94" s="1462"/>
      <c r="E94" s="1462"/>
      <c r="F94" s="1462"/>
      <c r="G94" s="1462"/>
      <c r="H94" s="1462"/>
      <c r="I94" s="1462"/>
      <c r="J94" s="1459"/>
      <c r="K94" s="1459"/>
      <c r="L94" s="1465"/>
      <c r="M94" s="1234">
        <f>SUMIF(Invoices!$E:$E,H94,Invoices!$D:$D)</f>
        <v>0</v>
      </c>
      <c r="N94" s="1234">
        <f>SUMIF(Accruals!$H:$H,H94,Accruals!$K:$K)</f>
        <v>0</v>
      </c>
      <c r="O94" s="1235">
        <f t="shared" si="2"/>
        <v>0</v>
      </c>
      <c r="P94" s="1477"/>
    </row>
    <row r="95" spans="1:16">
      <c r="A95" s="1462"/>
      <c r="B95" s="1462"/>
      <c r="C95" s="1466"/>
      <c r="D95" s="1462"/>
      <c r="E95" s="1462"/>
      <c r="F95" s="1462"/>
      <c r="G95" s="1462"/>
      <c r="H95" s="1462"/>
      <c r="I95" s="1462"/>
      <c r="J95" s="1459"/>
      <c r="K95" s="1459"/>
      <c r="L95" s="1465"/>
      <c r="M95" s="1234">
        <f>SUMIF(Invoices!$E:$E,H95,Invoices!$D:$D)</f>
        <v>0</v>
      </c>
      <c r="N95" s="1234">
        <f>SUMIF(Accruals!$H:$H,H95,Accruals!$K:$K)</f>
        <v>0</v>
      </c>
      <c r="O95" s="1235">
        <f t="shared" si="2"/>
        <v>0</v>
      </c>
      <c r="P95" s="1477"/>
    </row>
    <row r="96" spans="1:16">
      <c r="A96" s="1462"/>
      <c r="B96" s="1462"/>
      <c r="C96" s="1466"/>
      <c r="D96" s="1462"/>
      <c r="E96" s="1462"/>
      <c r="F96" s="1462"/>
      <c r="G96" s="1462"/>
      <c r="H96" s="1462"/>
      <c r="I96" s="1462"/>
      <c r="J96" s="1459"/>
      <c r="K96" s="1459"/>
      <c r="L96" s="1465"/>
      <c r="M96" s="1234">
        <f>SUMIF(Invoices!$E:$E,H96,Invoices!$D:$D)</f>
        <v>0</v>
      </c>
      <c r="N96" s="1234">
        <f>SUMIF(Accruals!$H:$H,H96,Accruals!$K:$K)</f>
        <v>0</v>
      </c>
      <c r="O96" s="1235">
        <f t="shared" si="2"/>
        <v>0</v>
      </c>
      <c r="P96" s="1477"/>
    </row>
    <row r="97" spans="1:16">
      <c r="A97" s="1462"/>
      <c r="B97" s="1462"/>
      <c r="C97" s="1466"/>
      <c r="D97" s="1462"/>
      <c r="E97" s="1462"/>
      <c r="F97" s="1462"/>
      <c r="G97" s="1462"/>
      <c r="H97" s="1462"/>
      <c r="I97" s="1462"/>
      <c r="J97" s="1459"/>
      <c r="K97" s="1459"/>
      <c r="L97" s="1465"/>
      <c r="M97" s="1234">
        <f>SUMIF(Invoices!$E:$E,H97,Invoices!$D:$D)</f>
        <v>0</v>
      </c>
      <c r="N97" s="1234">
        <f>SUMIF(Accruals!$H:$H,H97,Accruals!$K:$K)</f>
        <v>0</v>
      </c>
      <c r="O97" s="1235">
        <f t="shared" si="2"/>
        <v>0</v>
      </c>
      <c r="P97" s="1477"/>
    </row>
    <row r="98" spans="1:16">
      <c r="A98" s="1462"/>
      <c r="B98" s="1462"/>
      <c r="C98" s="1466"/>
      <c r="D98" s="1462"/>
      <c r="E98" s="1462"/>
      <c r="F98" s="1462"/>
      <c r="G98" s="1462"/>
      <c r="H98" s="1462"/>
      <c r="I98" s="1462"/>
      <c r="J98" s="1459"/>
      <c r="K98" s="1459"/>
      <c r="L98" s="1465"/>
      <c r="M98" s="1234">
        <f>SUMIF(Invoices!$E:$E,H98,Invoices!$D:$D)</f>
        <v>0</v>
      </c>
      <c r="N98" s="1234">
        <f>SUMIF(Accruals!$H:$H,H98,Accruals!$K:$K)</f>
        <v>0</v>
      </c>
      <c r="O98" s="1235">
        <f t="shared" si="2"/>
        <v>0</v>
      </c>
      <c r="P98" s="1477"/>
    </row>
    <row r="99" spans="1:16">
      <c r="A99" s="1462"/>
      <c r="B99" s="1462"/>
      <c r="C99" s="1466"/>
      <c r="D99" s="1462"/>
      <c r="E99" s="1462"/>
      <c r="F99" s="1462"/>
      <c r="G99" s="1462"/>
      <c r="H99" s="1462"/>
      <c r="I99" s="1462"/>
      <c r="J99" s="1459"/>
      <c r="K99" s="1459"/>
      <c r="L99" s="1465"/>
      <c r="M99" s="1234">
        <f>SUMIF(Invoices!$E:$E,H99,Invoices!$D:$D)</f>
        <v>0</v>
      </c>
      <c r="N99" s="1234">
        <f>SUMIF(Accruals!$H:$H,H99,Accruals!$K:$K)</f>
        <v>0</v>
      </c>
      <c r="O99" s="1235">
        <f t="shared" si="2"/>
        <v>0</v>
      </c>
      <c r="P99" s="1477"/>
    </row>
    <row r="100" spans="1:16">
      <c r="A100" s="1467"/>
      <c r="B100" s="1467"/>
      <c r="C100" s="1468"/>
      <c r="D100" s="1467"/>
      <c r="E100" s="1467"/>
      <c r="F100" s="1467"/>
      <c r="G100" s="1462"/>
      <c r="H100" s="1467"/>
      <c r="I100" s="1467"/>
      <c r="J100" s="1459"/>
      <c r="K100" s="1459"/>
      <c r="L100" s="1465"/>
      <c r="M100" s="1234">
        <f>SUMIF(Invoices!$E:$E,H100,Invoices!$D:$D)</f>
        <v>0</v>
      </c>
      <c r="N100" s="1234">
        <f>SUMIF(Accruals!$H:$H,H100,Accruals!$K:$K)</f>
        <v>0</v>
      </c>
      <c r="O100" s="1235">
        <f t="shared" si="2"/>
        <v>0</v>
      </c>
      <c r="P100" s="1477"/>
    </row>
    <row r="101" spans="1:16">
      <c r="A101" s="1472"/>
      <c r="B101" s="1472"/>
      <c r="C101" s="1473"/>
      <c r="D101" s="1472"/>
      <c r="E101" s="1472"/>
      <c r="F101" s="1472"/>
      <c r="G101" s="1464"/>
      <c r="H101" s="1472"/>
      <c r="I101" s="1472"/>
      <c r="J101" s="1459"/>
      <c r="K101" s="1459"/>
      <c r="L101" s="1474"/>
      <c r="M101" s="1234">
        <f>SUMIF(Invoices!$E:$E,H101,Invoices!$D:$D)</f>
        <v>0</v>
      </c>
      <c r="N101" s="1234">
        <f>SUMIF(Accruals!$H:$H,H101,Accruals!$K:$K)</f>
        <v>0</v>
      </c>
      <c r="O101" s="1235">
        <f t="shared" ref="O101:O164" si="3">L101-M101-N101</f>
        <v>0</v>
      </c>
      <c r="P101" s="1479"/>
    </row>
    <row r="102" spans="1:16">
      <c r="A102" s="1472"/>
      <c r="B102" s="1472"/>
      <c r="C102" s="1473"/>
      <c r="D102" s="1472"/>
      <c r="E102" s="1472"/>
      <c r="F102" s="1472"/>
      <c r="G102" s="1464"/>
      <c r="H102" s="1472"/>
      <c r="I102" s="1472"/>
      <c r="J102" s="1459"/>
      <c r="K102" s="1459"/>
      <c r="L102" s="1474"/>
      <c r="M102" s="1234">
        <f>SUMIF(Invoices!$E:$E,H102,Invoices!$D:$D)</f>
        <v>0</v>
      </c>
      <c r="N102" s="1234">
        <f>SUMIF(Accruals!$H:$H,H102,Accruals!$K:$K)</f>
        <v>0</v>
      </c>
      <c r="O102" s="1235">
        <f t="shared" si="3"/>
        <v>0</v>
      </c>
      <c r="P102" s="1479"/>
    </row>
    <row r="103" spans="1:16">
      <c r="A103" s="1472"/>
      <c r="B103" s="1472"/>
      <c r="C103" s="1473"/>
      <c r="D103" s="1472"/>
      <c r="E103" s="1472"/>
      <c r="F103" s="1472"/>
      <c r="G103" s="1464"/>
      <c r="H103" s="1472"/>
      <c r="I103" s="1472"/>
      <c r="J103" s="1459"/>
      <c r="K103" s="1459"/>
      <c r="L103" s="1474"/>
      <c r="M103" s="1234">
        <f>SUMIF(Invoices!$E:$E,H103,Invoices!$D:$D)</f>
        <v>0</v>
      </c>
      <c r="N103" s="1234">
        <f>SUMIF(Accruals!$H:$H,H103,Accruals!$K:$K)</f>
        <v>0</v>
      </c>
      <c r="O103" s="1235">
        <f t="shared" si="3"/>
        <v>0</v>
      </c>
      <c r="P103" s="1479"/>
    </row>
    <row r="104" spans="1:16">
      <c r="A104" s="1472"/>
      <c r="B104" s="1472"/>
      <c r="C104" s="1473"/>
      <c r="D104" s="1472"/>
      <c r="E104" s="1472"/>
      <c r="F104" s="1472"/>
      <c r="G104" s="1464"/>
      <c r="H104" s="1472"/>
      <c r="I104" s="1472"/>
      <c r="J104" s="1459"/>
      <c r="K104" s="1459"/>
      <c r="L104" s="1474"/>
      <c r="M104" s="1234">
        <f>SUMIF(Invoices!$E:$E,H104,Invoices!$D:$D)</f>
        <v>0</v>
      </c>
      <c r="N104" s="1234">
        <f>SUMIF(Accruals!$H:$H,H104,Accruals!$K:$K)</f>
        <v>0</v>
      </c>
      <c r="O104" s="1235">
        <f t="shared" si="3"/>
        <v>0</v>
      </c>
      <c r="P104" s="1479"/>
    </row>
    <row r="105" spans="1:16">
      <c r="A105" s="1472"/>
      <c r="B105" s="1472"/>
      <c r="C105" s="1473"/>
      <c r="D105" s="1472"/>
      <c r="E105" s="1472"/>
      <c r="F105" s="1472"/>
      <c r="G105" s="1464"/>
      <c r="H105" s="1472"/>
      <c r="I105" s="1472"/>
      <c r="J105" s="1459"/>
      <c r="K105" s="1459"/>
      <c r="L105" s="1474"/>
      <c r="M105" s="1234">
        <f>SUMIF(Invoices!$E:$E,H105,Invoices!$D:$D)</f>
        <v>0</v>
      </c>
      <c r="N105" s="1234">
        <f>SUMIF(Accruals!$H:$H,H105,Accruals!$K:$K)</f>
        <v>0</v>
      </c>
      <c r="O105" s="1235">
        <f t="shared" si="3"/>
        <v>0</v>
      </c>
      <c r="P105" s="1479"/>
    </row>
    <row r="106" spans="1:16">
      <c r="A106" s="1472"/>
      <c r="B106" s="1472"/>
      <c r="C106" s="1473"/>
      <c r="D106" s="1472"/>
      <c r="E106" s="1472"/>
      <c r="F106" s="1472"/>
      <c r="G106" s="1464"/>
      <c r="H106" s="1472"/>
      <c r="I106" s="1472"/>
      <c r="J106" s="1459"/>
      <c r="K106" s="1459"/>
      <c r="L106" s="1474"/>
      <c r="M106" s="1234">
        <f>SUMIF(Invoices!$E:$E,H106,Invoices!$D:$D)</f>
        <v>0</v>
      </c>
      <c r="N106" s="1234">
        <f>SUMIF(Accruals!$H:$H,H106,Accruals!$K:$K)</f>
        <v>0</v>
      </c>
      <c r="O106" s="1235">
        <f t="shared" si="3"/>
        <v>0</v>
      </c>
      <c r="P106" s="1479"/>
    </row>
    <row r="107" spans="1:16">
      <c r="A107" s="1472"/>
      <c r="B107" s="1472"/>
      <c r="C107" s="1473"/>
      <c r="D107" s="1472"/>
      <c r="E107" s="1472"/>
      <c r="F107" s="1472"/>
      <c r="G107" s="1464"/>
      <c r="H107" s="1472"/>
      <c r="I107" s="1472"/>
      <c r="J107" s="1459"/>
      <c r="K107" s="1459"/>
      <c r="L107" s="1474"/>
      <c r="M107" s="1234">
        <f>SUMIF(Invoices!$E:$E,H107,Invoices!$D:$D)</f>
        <v>0</v>
      </c>
      <c r="N107" s="1234">
        <f>SUMIF(Accruals!$H:$H,H107,Accruals!$K:$K)</f>
        <v>0</v>
      </c>
      <c r="O107" s="1235">
        <f t="shared" si="3"/>
        <v>0</v>
      </c>
      <c r="P107" s="1479"/>
    </row>
    <row r="108" spans="1:16">
      <c r="A108" s="1472"/>
      <c r="B108" s="1472"/>
      <c r="C108" s="1473"/>
      <c r="D108" s="1472"/>
      <c r="E108" s="1472"/>
      <c r="F108" s="1472"/>
      <c r="G108" s="1464"/>
      <c r="H108" s="1472"/>
      <c r="I108" s="1472"/>
      <c r="J108" s="1459"/>
      <c r="K108" s="1459"/>
      <c r="L108" s="1474"/>
      <c r="M108" s="1234">
        <f>SUMIF(Invoices!$E:$E,H108,Invoices!$D:$D)</f>
        <v>0</v>
      </c>
      <c r="N108" s="1234">
        <f>SUMIF(Accruals!$H:$H,H108,Accruals!$K:$K)</f>
        <v>0</v>
      </c>
      <c r="O108" s="1235">
        <f t="shared" si="3"/>
        <v>0</v>
      </c>
      <c r="P108" s="1479"/>
    </row>
    <row r="109" spans="1:16">
      <c r="A109" s="1472"/>
      <c r="B109" s="1472"/>
      <c r="C109" s="1473"/>
      <c r="D109" s="1472"/>
      <c r="E109" s="1472"/>
      <c r="F109" s="1472"/>
      <c r="G109" s="1464"/>
      <c r="H109" s="1472"/>
      <c r="I109" s="1472"/>
      <c r="J109" s="1459"/>
      <c r="K109" s="1459"/>
      <c r="L109" s="1474"/>
      <c r="M109" s="1234">
        <f>SUMIF(Invoices!$E:$E,H109,Invoices!$D:$D)</f>
        <v>0</v>
      </c>
      <c r="N109" s="1234">
        <f>SUMIF(Accruals!$H:$H,H109,Accruals!$K:$K)</f>
        <v>0</v>
      </c>
      <c r="O109" s="1235">
        <f t="shared" si="3"/>
        <v>0</v>
      </c>
      <c r="P109" s="1479"/>
    </row>
    <row r="110" spans="1:16">
      <c r="A110" s="1472"/>
      <c r="B110" s="1472"/>
      <c r="C110" s="1473"/>
      <c r="D110" s="1472"/>
      <c r="E110" s="1472"/>
      <c r="F110" s="1472"/>
      <c r="G110" s="1464"/>
      <c r="H110" s="1472"/>
      <c r="I110" s="1472"/>
      <c r="J110" s="1459"/>
      <c r="K110" s="1459"/>
      <c r="L110" s="1474"/>
      <c r="M110" s="1234">
        <f>SUMIF(Invoices!$E:$E,H110,Invoices!$D:$D)</f>
        <v>0</v>
      </c>
      <c r="N110" s="1234">
        <f>SUMIF(Accruals!$H:$H,H110,Accruals!$K:$K)</f>
        <v>0</v>
      </c>
      <c r="O110" s="1235">
        <f t="shared" si="3"/>
        <v>0</v>
      </c>
      <c r="P110" s="1479"/>
    </row>
    <row r="111" spans="1:16">
      <c r="A111" s="1472"/>
      <c r="B111" s="1472"/>
      <c r="C111" s="1473"/>
      <c r="D111" s="1472"/>
      <c r="E111" s="1472"/>
      <c r="F111" s="1472"/>
      <c r="G111" s="1464"/>
      <c r="H111" s="1472"/>
      <c r="I111" s="1472"/>
      <c r="J111" s="1459"/>
      <c r="K111" s="1459"/>
      <c r="L111" s="1474"/>
      <c r="M111" s="1234">
        <f>SUMIF(Invoices!$E:$E,H111,Invoices!$D:$D)</f>
        <v>0</v>
      </c>
      <c r="N111" s="1234">
        <f>SUMIF(Accruals!$H:$H,H111,Accruals!$K:$K)</f>
        <v>0</v>
      </c>
      <c r="O111" s="1235">
        <f t="shared" si="3"/>
        <v>0</v>
      </c>
      <c r="P111" s="1479"/>
    </row>
    <row r="112" spans="1:16">
      <c r="A112" s="1472"/>
      <c r="B112" s="1472"/>
      <c r="C112" s="1473"/>
      <c r="D112" s="1472"/>
      <c r="E112" s="1472"/>
      <c r="F112" s="1472"/>
      <c r="G112" s="1464"/>
      <c r="H112" s="1472"/>
      <c r="I112" s="1472"/>
      <c r="J112" s="1459"/>
      <c r="K112" s="1459"/>
      <c r="L112" s="1474"/>
      <c r="M112" s="1234">
        <f>SUMIF(Invoices!$E:$E,H112,Invoices!$D:$D)</f>
        <v>0</v>
      </c>
      <c r="N112" s="1234">
        <f>SUMIF(Accruals!$H:$H,H112,Accruals!$K:$K)</f>
        <v>0</v>
      </c>
      <c r="O112" s="1235">
        <f t="shared" si="3"/>
        <v>0</v>
      </c>
      <c r="P112" s="1479"/>
    </row>
    <row r="113" spans="1:16">
      <c r="A113" s="1472"/>
      <c r="B113" s="1472"/>
      <c r="C113" s="1473"/>
      <c r="D113" s="1472"/>
      <c r="E113" s="1472"/>
      <c r="F113" s="1472"/>
      <c r="G113" s="1464"/>
      <c r="H113" s="1472"/>
      <c r="I113" s="1472"/>
      <c r="J113" s="1459"/>
      <c r="K113" s="1459"/>
      <c r="L113" s="1474"/>
      <c r="M113" s="1234">
        <f>SUMIF(Invoices!$E:$E,H113,Invoices!$D:$D)</f>
        <v>0</v>
      </c>
      <c r="N113" s="1234">
        <f>SUMIF(Accruals!$H:$H,H113,Accruals!$K:$K)</f>
        <v>0</v>
      </c>
      <c r="O113" s="1235">
        <f t="shared" si="3"/>
        <v>0</v>
      </c>
      <c r="P113" s="1479"/>
    </row>
    <row r="114" spans="1:16">
      <c r="A114" s="1472"/>
      <c r="B114" s="1472"/>
      <c r="C114" s="1473"/>
      <c r="D114" s="1472"/>
      <c r="E114" s="1472"/>
      <c r="F114" s="1472"/>
      <c r="G114" s="1464"/>
      <c r="H114" s="1472"/>
      <c r="I114" s="1472"/>
      <c r="J114" s="1459"/>
      <c r="K114" s="1459"/>
      <c r="L114" s="1474"/>
      <c r="M114" s="1234">
        <f>SUMIF(Invoices!$E:$E,H114,Invoices!$D:$D)</f>
        <v>0</v>
      </c>
      <c r="N114" s="1234">
        <f>SUMIF(Accruals!$H:$H,H114,Accruals!$K:$K)</f>
        <v>0</v>
      </c>
      <c r="O114" s="1235">
        <f t="shared" si="3"/>
        <v>0</v>
      </c>
      <c r="P114" s="1479"/>
    </row>
    <row r="115" spans="1:16">
      <c r="A115" s="1472"/>
      <c r="B115" s="1472"/>
      <c r="C115" s="1473"/>
      <c r="D115" s="1472"/>
      <c r="E115" s="1472"/>
      <c r="F115" s="1472"/>
      <c r="G115" s="1464"/>
      <c r="H115" s="1472"/>
      <c r="I115" s="1472"/>
      <c r="J115" s="1459"/>
      <c r="K115" s="1459"/>
      <c r="L115" s="1474"/>
      <c r="M115" s="1234">
        <f>SUMIF(Invoices!$E:$E,H115,Invoices!$D:$D)</f>
        <v>0</v>
      </c>
      <c r="N115" s="1234">
        <f>SUMIF(Accruals!$H:$H,H115,Accruals!$K:$K)</f>
        <v>0</v>
      </c>
      <c r="O115" s="1235">
        <f t="shared" si="3"/>
        <v>0</v>
      </c>
      <c r="P115" s="1479"/>
    </row>
    <row r="116" spans="1:16">
      <c r="A116" s="1472"/>
      <c r="B116" s="1472"/>
      <c r="C116" s="1473"/>
      <c r="D116" s="1472"/>
      <c r="E116" s="1472"/>
      <c r="F116" s="1472"/>
      <c r="G116" s="1464"/>
      <c r="H116" s="1472"/>
      <c r="I116" s="1472"/>
      <c r="J116" s="1459"/>
      <c r="K116" s="1459"/>
      <c r="L116" s="1474"/>
      <c r="M116" s="1234">
        <f>SUMIF(Invoices!$E:$E,H116,Invoices!$D:$D)</f>
        <v>0</v>
      </c>
      <c r="N116" s="1234">
        <f>SUMIF(Accruals!$H:$H,H116,Accruals!$K:$K)</f>
        <v>0</v>
      </c>
      <c r="O116" s="1235">
        <f t="shared" si="3"/>
        <v>0</v>
      </c>
      <c r="P116" s="1479"/>
    </row>
    <row r="117" spans="1:16">
      <c r="A117" s="1472"/>
      <c r="B117" s="1472"/>
      <c r="C117" s="1473"/>
      <c r="D117" s="1472"/>
      <c r="E117" s="1472"/>
      <c r="F117" s="1472"/>
      <c r="G117" s="1464"/>
      <c r="H117" s="1472"/>
      <c r="I117" s="1472"/>
      <c r="J117" s="1459"/>
      <c r="K117" s="1459"/>
      <c r="L117" s="1474"/>
      <c r="M117" s="1234">
        <f>SUMIF(Invoices!$E:$E,H117,Invoices!$D:$D)</f>
        <v>0</v>
      </c>
      <c r="N117" s="1234">
        <f>SUMIF(Accruals!$H:$H,H117,Accruals!$K:$K)</f>
        <v>0</v>
      </c>
      <c r="O117" s="1235">
        <f t="shared" si="3"/>
        <v>0</v>
      </c>
      <c r="P117" s="1479"/>
    </row>
    <row r="118" spans="1:16">
      <c r="A118" s="1472"/>
      <c r="B118" s="1472"/>
      <c r="C118" s="1473"/>
      <c r="D118" s="1472"/>
      <c r="E118" s="1472"/>
      <c r="F118" s="1472"/>
      <c r="G118" s="1464"/>
      <c r="H118" s="1472"/>
      <c r="I118" s="1472"/>
      <c r="J118" s="1459"/>
      <c r="K118" s="1459"/>
      <c r="L118" s="1474"/>
      <c r="M118" s="1234">
        <f>SUMIF(Invoices!$E:$E,H118,Invoices!$D:$D)</f>
        <v>0</v>
      </c>
      <c r="N118" s="1234">
        <f>SUMIF(Accruals!$H:$H,H118,Accruals!$K:$K)</f>
        <v>0</v>
      </c>
      <c r="O118" s="1235">
        <f t="shared" si="3"/>
        <v>0</v>
      </c>
      <c r="P118" s="1479"/>
    </row>
    <row r="119" spans="1:16">
      <c r="A119" s="1472"/>
      <c r="B119" s="1472"/>
      <c r="C119" s="1473"/>
      <c r="D119" s="1472"/>
      <c r="E119" s="1472"/>
      <c r="F119" s="1472"/>
      <c r="G119" s="1464"/>
      <c r="H119" s="1472"/>
      <c r="I119" s="1472"/>
      <c r="J119" s="1459"/>
      <c r="K119" s="1459"/>
      <c r="L119" s="1474"/>
      <c r="M119" s="1234">
        <f>SUMIF(Invoices!$E:$E,H119,Invoices!$D:$D)</f>
        <v>0</v>
      </c>
      <c r="N119" s="1234">
        <f>SUMIF(Accruals!$H:$H,H119,Accruals!$K:$K)</f>
        <v>0</v>
      </c>
      <c r="O119" s="1235">
        <f t="shared" si="3"/>
        <v>0</v>
      </c>
      <c r="P119" s="1479"/>
    </row>
    <row r="120" spans="1:16">
      <c r="A120" s="1472"/>
      <c r="B120" s="1472"/>
      <c r="C120" s="1473"/>
      <c r="D120" s="1472"/>
      <c r="E120" s="1472"/>
      <c r="F120" s="1472"/>
      <c r="G120" s="1464"/>
      <c r="H120" s="1472"/>
      <c r="I120" s="1472"/>
      <c r="J120" s="1459"/>
      <c r="K120" s="1459"/>
      <c r="L120" s="1474"/>
      <c r="M120" s="1234">
        <f>SUMIF(Invoices!$E:$E,H120,Invoices!$D:$D)</f>
        <v>0</v>
      </c>
      <c r="N120" s="1234">
        <f>SUMIF(Accruals!$H:$H,H120,Accruals!$K:$K)</f>
        <v>0</v>
      </c>
      <c r="O120" s="1235">
        <f t="shared" si="3"/>
        <v>0</v>
      </c>
      <c r="P120" s="1479"/>
    </row>
    <row r="121" spans="1:16">
      <c r="A121" s="1472"/>
      <c r="B121" s="1472"/>
      <c r="C121" s="1473"/>
      <c r="D121" s="1472"/>
      <c r="E121" s="1472"/>
      <c r="F121" s="1472"/>
      <c r="G121" s="1464"/>
      <c r="H121" s="1472"/>
      <c r="I121" s="1472"/>
      <c r="J121" s="1459"/>
      <c r="K121" s="1459"/>
      <c r="L121" s="1474"/>
      <c r="M121" s="1234">
        <f>SUMIF(Invoices!$E:$E,H121,Invoices!$D:$D)</f>
        <v>0</v>
      </c>
      <c r="N121" s="1234">
        <f>SUMIF(Accruals!$H:$H,H121,Accruals!$K:$K)</f>
        <v>0</v>
      </c>
      <c r="O121" s="1235">
        <f t="shared" si="3"/>
        <v>0</v>
      </c>
      <c r="P121" s="1479"/>
    </row>
    <row r="122" spans="1:16">
      <c r="A122" s="1472"/>
      <c r="B122" s="1472"/>
      <c r="C122" s="1473"/>
      <c r="D122" s="1472"/>
      <c r="E122" s="1472"/>
      <c r="F122" s="1472"/>
      <c r="G122" s="1464"/>
      <c r="H122" s="1472"/>
      <c r="I122" s="1472"/>
      <c r="J122" s="1459"/>
      <c r="K122" s="1459"/>
      <c r="L122" s="1474"/>
      <c r="M122" s="1234">
        <f>SUMIF(Invoices!$E:$E,H122,Invoices!$D:$D)</f>
        <v>0</v>
      </c>
      <c r="N122" s="1234">
        <f>SUMIF(Accruals!$H:$H,H122,Accruals!$K:$K)</f>
        <v>0</v>
      </c>
      <c r="O122" s="1235">
        <f t="shared" si="3"/>
        <v>0</v>
      </c>
      <c r="P122" s="1479"/>
    </row>
    <row r="123" spans="1:16">
      <c r="A123" s="1472"/>
      <c r="B123" s="1472"/>
      <c r="C123" s="1473"/>
      <c r="D123" s="1472"/>
      <c r="E123" s="1472"/>
      <c r="F123" s="1472"/>
      <c r="G123" s="1464"/>
      <c r="H123" s="1472"/>
      <c r="I123" s="1472"/>
      <c r="J123" s="1459"/>
      <c r="K123" s="1459"/>
      <c r="L123" s="1474"/>
      <c r="M123" s="1234">
        <f>SUMIF(Invoices!$E:$E,H123,Invoices!$D:$D)</f>
        <v>0</v>
      </c>
      <c r="N123" s="1234">
        <f>SUMIF(Accruals!$H:$H,H123,Accruals!$K:$K)</f>
        <v>0</v>
      </c>
      <c r="O123" s="1235">
        <f t="shared" si="3"/>
        <v>0</v>
      </c>
      <c r="P123" s="1479"/>
    </row>
    <row r="124" spans="1:16">
      <c r="A124" s="1472"/>
      <c r="B124" s="1472"/>
      <c r="C124" s="1473"/>
      <c r="D124" s="1472"/>
      <c r="E124" s="1472"/>
      <c r="F124" s="1472"/>
      <c r="G124" s="1464"/>
      <c r="H124" s="1472"/>
      <c r="I124" s="1472"/>
      <c r="J124" s="1459"/>
      <c r="K124" s="1459"/>
      <c r="L124" s="1474"/>
      <c r="M124" s="1234">
        <f>SUMIF(Invoices!$E:$E,H124,Invoices!$D:$D)</f>
        <v>0</v>
      </c>
      <c r="N124" s="1234">
        <f>SUMIF(Accruals!$H:$H,H124,Accruals!$K:$K)</f>
        <v>0</v>
      </c>
      <c r="O124" s="1235">
        <f t="shared" si="3"/>
        <v>0</v>
      </c>
      <c r="P124" s="1479"/>
    </row>
    <row r="125" spans="1:16">
      <c r="A125" s="1472"/>
      <c r="B125" s="1472"/>
      <c r="C125" s="1473"/>
      <c r="D125" s="1472"/>
      <c r="E125" s="1472"/>
      <c r="F125" s="1472"/>
      <c r="G125" s="1464"/>
      <c r="H125" s="1472"/>
      <c r="I125" s="1472"/>
      <c r="J125" s="1459"/>
      <c r="K125" s="1459"/>
      <c r="L125" s="1474"/>
      <c r="M125" s="1234">
        <f>SUMIF(Invoices!$E:$E,H125,Invoices!$D:$D)</f>
        <v>0</v>
      </c>
      <c r="N125" s="1234">
        <f>SUMIF(Accruals!$H:$H,H125,Accruals!$K:$K)</f>
        <v>0</v>
      </c>
      <c r="O125" s="1235">
        <f t="shared" si="3"/>
        <v>0</v>
      </c>
      <c r="P125" s="1479"/>
    </row>
    <row r="126" spans="1:16">
      <c r="A126" s="1472"/>
      <c r="B126" s="1472"/>
      <c r="C126" s="1473"/>
      <c r="D126" s="1472"/>
      <c r="E126" s="1472"/>
      <c r="F126" s="1472"/>
      <c r="G126" s="1464"/>
      <c r="H126" s="1472"/>
      <c r="I126" s="1472"/>
      <c r="J126" s="1459"/>
      <c r="K126" s="1459"/>
      <c r="L126" s="1474"/>
      <c r="M126" s="1234">
        <f>SUMIF(Invoices!$E:$E,H126,Invoices!$D:$D)</f>
        <v>0</v>
      </c>
      <c r="N126" s="1234">
        <f>SUMIF(Accruals!$H:$H,H126,Accruals!$K:$K)</f>
        <v>0</v>
      </c>
      <c r="O126" s="1235">
        <f t="shared" si="3"/>
        <v>0</v>
      </c>
      <c r="P126" s="1479"/>
    </row>
    <row r="127" spans="1:16">
      <c r="A127" s="1472"/>
      <c r="B127" s="1472"/>
      <c r="C127" s="1473"/>
      <c r="D127" s="1472"/>
      <c r="E127" s="1472"/>
      <c r="F127" s="1472"/>
      <c r="G127" s="1464"/>
      <c r="H127" s="1472"/>
      <c r="I127" s="1472"/>
      <c r="J127" s="1459"/>
      <c r="K127" s="1459"/>
      <c r="L127" s="1474"/>
      <c r="M127" s="1234">
        <f>SUMIF(Invoices!$E:$E,H127,Invoices!$D:$D)</f>
        <v>0</v>
      </c>
      <c r="N127" s="1234">
        <f>SUMIF(Accruals!$H:$H,H127,Accruals!$K:$K)</f>
        <v>0</v>
      </c>
      <c r="O127" s="1235">
        <f t="shared" si="3"/>
        <v>0</v>
      </c>
      <c r="P127" s="1479"/>
    </row>
    <row r="128" spans="1:16">
      <c r="A128" s="1472"/>
      <c r="B128" s="1472"/>
      <c r="C128" s="1473"/>
      <c r="D128" s="1472"/>
      <c r="E128" s="1472"/>
      <c r="F128" s="1472"/>
      <c r="G128" s="1464"/>
      <c r="H128" s="1472"/>
      <c r="I128" s="1472"/>
      <c r="J128" s="1459"/>
      <c r="K128" s="1459"/>
      <c r="L128" s="1474"/>
      <c r="M128" s="1234">
        <f>SUMIF(Invoices!$E:$E,H128,Invoices!$D:$D)</f>
        <v>0</v>
      </c>
      <c r="N128" s="1234">
        <f>SUMIF(Accruals!$H:$H,H128,Accruals!$K:$K)</f>
        <v>0</v>
      </c>
      <c r="O128" s="1235">
        <f t="shared" si="3"/>
        <v>0</v>
      </c>
      <c r="P128" s="1479"/>
    </row>
    <row r="129" spans="1:16">
      <c r="A129" s="1472"/>
      <c r="B129" s="1472"/>
      <c r="C129" s="1473"/>
      <c r="D129" s="1472"/>
      <c r="E129" s="1472"/>
      <c r="F129" s="1472"/>
      <c r="G129" s="1464"/>
      <c r="H129" s="1472"/>
      <c r="I129" s="1472"/>
      <c r="J129" s="1459"/>
      <c r="K129" s="1459"/>
      <c r="L129" s="1474"/>
      <c r="M129" s="1234">
        <f>SUMIF(Invoices!$E:$E,H129,Invoices!$D:$D)</f>
        <v>0</v>
      </c>
      <c r="N129" s="1234">
        <f>SUMIF(Accruals!$H:$H,H129,Accruals!$K:$K)</f>
        <v>0</v>
      </c>
      <c r="O129" s="1235">
        <f t="shared" si="3"/>
        <v>0</v>
      </c>
      <c r="P129" s="1479"/>
    </row>
    <row r="130" spans="1:16">
      <c r="A130" s="1472"/>
      <c r="B130" s="1472"/>
      <c r="C130" s="1473"/>
      <c r="D130" s="1472"/>
      <c r="E130" s="1472"/>
      <c r="F130" s="1472"/>
      <c r="G130" s="1464"/>
      <c r="H130" s="1472"/>
      <c r="I130" s="1472"/>
      <c r="J130" s="1459"/>
      <c r="K130" s="1459"/>
      <c r="L130" s="1474"/>
      <c r="M130" s="1234">
        <f>SUMIF(Invoices!$E:$E,H130,Invoices!$D:$D)</f>
        <v>0</v>
      </c>
      <c r="N130" s="1234">
        <f>SUMIF(Accruals!$H:$H,H130,Accruals!$K:$K)</f>
        <v>0</v>
      </c>
      <c r="O130" s="1235">
        <f t="shared" si="3"/>
        <v>0</v>
      </c>
      <c r="P130" s="1479"/>
    </row>
    <row r="131" spans="1:16">
      <c r="A131" s="1472"/>
      <c r="B131" s="1472"/>
      <c r="C131" s="1473"/>
      <c r="D131" s="1472"/>
      <c r="E131" s="1472"/>
      <c r="F131" s="1472"/>
      <c r="G131" s="1464"/>
      <c r="H131" s="1472"/>
      <c r="I131" s="1472"/>
      <c r="J131" s="1459"/>
      <c r="K131" s="1459"/>
      <c r="L131" s="1474"/>
      <c r="M131" s="1234">
        <f>SUMIF(Invoices!$E:$E,H131,Invoices!$D:$D)</f>
        <v>0</v>
      </c>
      <c r="N131" s="1234">
        <f>SUMIF(Accruals!$H:$H,H131,Accruals!$K:$K)</f>
        <v>0</v>
      </c>
      <c r="O131" s="1235">
        <f t="shared" si="3"/>
        <v>0</v>
      </c>
      <c r="P131" s="1479"/>
    </row>
    <row r="132" spans="1:16">
      <c r="A132" s="1472"/>
      <c r="B132" s="1472"/>
      <c r="C132" s="1473"/>
      <c r="D132" s="1472"/>
      <c r="E132" s="1472"/>
      <c r="F132" s="1472"/>
      <c r="G132" s="1464"/>
      <c r="H132" s="1472"/>
      <c r="I132" s="1472"/>
      <c r="J132" s="1459"/>
      <c r="K132" s="1459"/>
      <c r="L132" s="1474"/>
      <c r="M132" s="1234">
        <f>SUMIF(Invoices!$E:$E,H132,Invoices!$D:$D)</f>
        <v>0</v>
      </c>
      <c r="N132" s="1234">
        <f>SUMIF(Accruals!$H:$H,H132,Accruals!$K:$K)</f>
        <v>0</v>
      </c>
      <c r="O132" s="1235">
        <f t="shared" si="3"/>
        <v>0</v>
      </c>
      <c r="P132" s="1479"/>
    </row>
    <row r="133" spans="1:16">
      <c r="A133" s="1472"/>
      <c r="B133" s="1472"/>
      <c r="C133" s="1473"/>
      <c r="D133" s="1472"/>
      <c r="E133" s="1472"/>
      <c r="F133" s="1472"/>
      <c r="G133" s="1464"/>
      <c r="H133" s="1472"/>
      <c r="I133" s="1472"/>
      <c r="J133" s="1459"/>
      <c r="K133" s="1459"/>
      <c r="L133" s="1474"/>
      <c r="M133" s="1234">
        <f>SUMIF(Invoices!$E:$E,H133,Invoices!$D:$D)</f>
        <v>0</v>
      </c>
      <c r="N133" s="1234">
        <f>SUMIF(Accruals!$H:$H,H133,Accruals!$K:$K)</f>
        <v>0</v>
      </c>
      <c r="O133" s="1235">
        <f t="shared" si="3"/>
        <v>0</v>
      </c>
      <c r="P133" s="1479"/>
    </row>
    <row r="134" spans="1:16">
      <c r="A134" s="1472"/>
      <c r="B134" s="1472"/>
      <c r="C134" s="1473"/>
      <c r="D134" s="1472"/>
      <c r="E134" s="1472"/>
      <c r="F134" s="1472"/>
      <c r="G134" s="1464"/>
      <c r="H134" s="1472"/>
      <c r="I134" s="1472"/>
      <c r="J134" s="1459"/>
      <c r="K134" s="1459"/>
      <c r="L134" s="1474"/>
      <c r="M134" s="1234">
        <f>SUMIF(Invoices!$E:$E,H134,Invoices!$D:$D)</f>
        <v>0</v>
      </c>
      <c r="N134" s="1234">
        <f>SUMIF(Accruals!$H:$H,H134,Accruals!$K:$K)</f>
        <v>0</v>
      </c>
      <c r="O134" s="1235">
        <f t="shared" si="3"/>
        <v>0</v>
      </c>
      <c r="P134" s="1479"/>
    </row>
    <row r="135" spans="1:16">
      <c r="A135" s="1472"/>
      <c r="B135" s="1472"/>
      <c r="C135" s="1473"/>
      <c r="D135" s="1472"/>
      <c r="E135" s="1472"/>
      <c r="F135" s="1472"/>
      <c r="G135" s="1464"/>
      <c r="H135" s="1472"/>
      <c r="I135" s="1472"/>
      <c r="J135" s="1459"/>
      <c r="K135" s="1459"/>
      <c r="L135" s="1474"/>
      <c r="M135" s="1234">
        <f>SUMIF(Invoices!$E:$E,H135,Invoices!$D:$D)</f>
        <v>0</v>
      </c>
      <c r="N135" s="1234">
        <f>SUMIF(Accruals!$H:$H,H135,Accruals!$K:$K)</f>
        <v>0</v>
      </c>
      <c r="O135" s="1235">
        <f t="shared" si="3"/>
        <v>0</v>
      </c>
      <c r="P135" s="1479"/>
    </row>
    <row r="136" spans="1:16">
      <c r="A136" s="1472"/>
      <c r="B136" s="1472"/>
      <c r="C136" s="1473"/>
      <c r="D136" s="1472"/>
      <c r="E136" s="1472"/>
      <c r="F136" s="1472"/>
      <c r="G136" s="1464"/>
      <c r="H136" s="1472"/>
      <c r="I136" s="1472"/>
      <c r="J136" s="1459"/>
      <c r="K136" s="1459"/>
      <c r="L136" s="1474"/>
      <c r="M136" s="1234">
        <f>SUMIF(Invoices!$E:$E,H136,Invoices!$D:$D)</f>
        <v>0</v>
      </c>
      <c r="N136" s="1234">
        <f>SUMIF(Accruals!$H:$H,H136,Accruals!$K:$K)</f>
        <v>0</v>
      </c>
      <c r="O136" s="1235">
        <f t="shared" si="3"/>
        <v>0</v>
      </c>
      <c r="P136" s="1479"/>
    </row>
    <row r="137" spans="1:16">
      <c r="A137" s="1472"/>
      <c r="B137" s="1472"/>
      <c r="C137" s="1473"/>
      <c r="D137" s="1472"/>
      <c r="E137" s="1472"/>
      <c r="F137" s="1472"/>
      <c r="G137" s="1464"/>
      <c r="H137" s="1472"/>
      <c r="I137" s="1472"/>
      <c r="J137" s="1459"/>
      <c r="K137" s="1459"/>
      <c r="L137" s="1474"/>
      <c r="M137" s="1234">
        <f>SUMIF(Invoices!$E:$E,H137,Invoices!$D:$D)</f>
        <v>0</v>
      </c>
      <c r="N137" s="1234">
        <f>SUMIF(Accruals!$H:$H,H137,Accruals!$K:$K)</f>
        <v>0</v>
      </c>
      <c r="O137" s="1235">
        <f t="shared" si="3"/>
        <v>0</v>
      </c>
      <c r="P137" s="1479"/>
    </row>
    <row r="138" spans="1:16">
      <c r="A138" s="1472"/>
      <c r="B138" s="1472"/>
      <c r="C138" s="1473"/>
      <c r="D138" s="1472"/>
      <c r="E138" s="1472"/>
      <c r="F138" s="1472"/>
      <c r="G138" s="1464"/>
      <c r="H138" s="1472"/>
      <c r="I138" s="1472"/>
      <c r="J138" s="1459"/>
      <c r="K138" s="1459"/>
      <c r="L138" s="1474"/>
      <c r="M138" s="1234">
        <f>SUMIF(Invoices!$E:$E,H138,Invoices!$D:$D)</f>
        <v>0</v>
      </c>
      <c r="N138" s="1234">
        <f>SUMIF(Accruals!$H:$H,H138,Accruals!$K:$K)</f>
        <v>0</v>
      </c>
      <c r="O138" s="1235">
        <f t="shared" si="3"/>
        <v>0</v>
      </c>
      <c r="P138" s="1479"/>
    </row>
    <row r="139" spans="1:16">
      <c r="A139" s="1472"/>
      <c r="B139" s="1472"/>
      <c r="C139" s="1473"/>
      <c r="D139" s="1472"/>
      <c r="E139" s="1472"/>
      <c r="F139" s="1472"/>
      <c r="G139" s="1464"/>
      <c r="H139" s="1472"/>
      <c r="I139" s="1472"/>
      <c r="J139" s="1459"/>
      <c r="K139" s="1459"/>
      <c r="L139" s="1474"/>
      <c r="M139" s="1234">
        <f>SUMIF(Invoices!$E:$E,H139,Invoices!$D:$D)</f>
        <v>0</v>
      </c>
      <c r="N139" s="1234">
        <f>SUMIF(Accruals!$H:$H,H139,Accruals!$K:$K)</f>
        <v>0</v>
      </c>
      <c r="O139" s="1235">
        <f t="shared" si="3"/>
        <v>0</v>
      </c>
      <c r="P139" s="1479"/>
    </row>
    <row r="140" spans="1:16">
      <c r="A140" s="1472"/>
      <c r="B140" s="1472"/>
      <c r="C140" s="1473"/>
      <c r="D140" s="1472"/>
      <c r="E140" s="1472"/>
      <c r="F140" s="1472"/>
      <c r="G140" s="1464"/>
      <c r="H140" s="1472"/>
      <c r="I140" s="1472"/>
      <c r="J140" s="1459"/>
      <c r="K140" s="1459"/>
      <c r="L140" s="1474"/>
      <c r="M140" s="1234">
        <f>SUMIF(Invoices!$E:$E,H140,Invoices!$D:$D)</f>
        <v>0</v>
      </c>
      <c r="N140" s="1234">
        <f>SUMIF(Accruals!$H:$H,H140,Accruals!$K:$K)</f>
        <v>0</v>
      </c>
      <c r="O140" s="1235">
        <f t="shared" si="3"/>
        <v>0</v>
      </c>
      <c r="P140" s="1479"/>
    </row>
    <row r="141" spans="1:16">
      <c r="A141" s="1472"/>
      <c r="B141" s="1472"/>
      <c r="C141" s="1473"/>
      <c r="D141" s="1472"/>
      <c r="E141" s="1472"/>
      <c r="F141" s="1472"/>
      <c r="G141" s="1464"/>
      <c r="H141" s="1472"/>
      <c r="I141" s="1472"/>
      <c r="J141" s="1459"/>
      <c r="K141" s="1459"/>
      <c r="L141" s="1474"/>
      <c r="M141" s="1234">
        <f>SUMIF(Invoices!$E:$E,H141,Invoices!$D:$D)</f>
        <v>0</v>
      </c>
      <c r="N141" s="1234">
        <f>SUMIF(Accruals!$H:$H,H141,Accruals!$K:$K)</f>
        <v>0</v>
      </c>
      <c r="O141" s="1235">
        <f t="shared" si="3"/>
        <v>0</v>
      </c>
      <c r="P141" s="1479"/>
    </row>
    <row r="142" spans="1:16">
      <c r="A142" s="1472"/>
      <c r="B142" s="1472"/>
      <c r="C142" s="1473"/>
      <c r="D142" s="1472"/>
      <c r="E142" s="1472"/>
      <c r="F142" s="1472"/>
      <c r="G142" s="1464"/>
      <c r="H142" s="1472"/>
      <c r="I142" s="1472"/>
      <c r="J142" s="1459"/>
      <c r="K142" s="1459"/>
      <c r="L142" s="1474"/>
      <c r="M142" s="1234">
        <f>SUMIF(Invoices!$E:$E,H142,Invoices!$D:$D)</f>
        <v>0</v>
      </c>
      <c r="N142" s="1234">
        <f>SUMIF(Accruals!$H:$H,H142,Accruals!$K:$K)</f>
        <v>0</v>
      </c>
      <c r="O142" s="1235">
        <f t="shared" si="3"/>
        <v>0</v>
      </c>
      <c r="P142" s="1479"/>
    </row>
    <row r="143" spans="1:16">
      <c r="A143" s="1472"/>
      <c r="B143" s="1472"/>
      <c r="C143" s="1473"/>
      <c r="D143" s="1472"/>
      <c r="E143" s="1472"/>
      <c r="F143" s="1472"/>
      <c r="G143" s="1464"/>
      <c r="H143" s="1472"/>
      <c r="I143" s="1472"/>
      <c r="J143" s="1459"/>
      <c r="K143" s="1459"/>
      <c r="L143" s="1474"/>
      <c r="M143" s="1234">
        <f>SUMIF(Invoices!$E:$E,H143,Invoices!$D:$D)</f>
        <v>0</v>
      </c>
      <c r="N143" s="1234">
        <f>SUMIF(Accruals!$H:$H,H143,Accruals!$K:$K)</f>
        <v>0</v>
      </c>
      <c r="O143" s="1235">
        <f t="shared" si="3"/>
        <v>0</v>
      </c>
      <c r="P143" s="1479"/>
    </row>
    <row r="144" spans="1:16">
      <c r="A144" s="1472"/>
      <c r="B144" s="1472"/>
      <c r="C144" s="1473"/>
      <c r="D144" s="1472"/>
      <c r="E144" s="1472"/>
      <c r="F144" s="1472"/>
      <c r="G144" s="1464"/>
      <c r="H144" s="1472"/>
      <c r="I144" s="1472"/>
      <c r="J144" s="1459"/>
      <c r="K144" s="1459"/>
      <c r="L144" s="1474"/>
      <c r="M144" s="1234">
        <f>SUMIF(Invoices!$E:$E,H144,Invoices!$D:$D)</f>
        <v>0</v>
      </c>
      <c r="N144" s="1234">
        <f>SUMIF(Accruals!$H:$H,H144,Accruals!$K:$K)</f>
        <v>0</v>
      </c>
      <c r="O144" s="1235">
        <f t="shared" si="3"/>
        <v>0</v>
      </c>
      <c r="P144" s="1479"/>
    </row>
    <row r="145" spans="1:16">
      <c r="A145" s="1472"/>
      <c r="B145" s="1472"/>
      <c r="C145" s="1473"/>
      <c r="D145" s="1472"/>
      <c r="E145" s="1472"/>
      <c r="F145" s="1472"/>
      <c r="G145" s="1464"/>
      <c r="H145" s="1472"/>
      <c r="I145" s="1472"/>
      <c r="J145" s="1459"/>
      <c r="K145" s="1459"/>
      <c r="L145" s="1474"/>
      <c r="M145" s="1234">
        <f>SUMIF(Invoices!$E:$E,H145,Invoices!$D:$D)</f>
        <v>0</v>
      </c>
      <c r="N145" s="1234">
        <f>SUMIF(Accruals!$H:$H,H145,Accruals!$K:$K)</f>
        <v>0</v>
      </c>
      <c r="O145" s="1235">
        <f t="shared" si="3"/>
        <v>0</v>
      </c>
      <c r="P145" s="1479"/>
    </row>
    <row r="146" spans="1:16">
      <c r="A146" s="1472"/>
      <c r="B146" s="1472"/>
      <c r="C146" s="1473"/>
      <c r="D146" s="1472"/>
      <c r="E146" s="1472"/>
      <c r="F146" s="1472"/>
      <c r="G146" s="1464"/>
      <c r="H146" s="1472"/>
      <c r="I146" s="1472"/>
      <c r="J146" s="1459"/>
      <c r="K146" s="1459"/>
      <c r="L146" s="1474"/>
      <c r="M146" s="1234">
        <f>SUMIF(Invoices!$E:$E,H146,Invoices!$D:$D)</f>
        <v>0</v>
      </c>
      <c r="N146" s="1234">
        <f>SUMIF(Accruals!$H:$H,H146,Accruals!$K:$K)</f>
        <v>0</v>
      </c>
      <c r="O146" s="1235">
        <f t="shared" si="3"/>
        <v>0</v>
      </c>
      <c r="P146" s="1479"/>
    </row>
    <row r="147" spans="1:16">
      <c r="A147" s="1472"/>
      <c r="B147" s="1472"/>
      <c r="C147" s="1473"/>
      <c r="D147" s="1472"/>
      <c r="E147" s="1472"/>
      <c r="F147" s="1472"/>
      <c r="G147" s="1464"/>
      <c r="H147" s="1472"/>
      <c r="I147" s="1472"/>
      <c r="J147" s="1459"/>
      <c r="K147" s="1459"/>
      <c r="L147" s="1474"/>
      <c r="M147" s="1234">
        <f>SUMIF(Invoices!$E:$E,H147,Invoices!$D:$D)</f>
        <v>0</v>
      </c>
      <c r="N147" s="1234">
        <f>SUMIF(Accruals!$H:$H,H147,Accruals!$K:$K)</f>
        <v>0</v>
      </c>
      <c r="O147" s="1235">
        <f t="shared" si="3"/>
        <v>0</v>
      </c>
      <c r="P147" s="1479"/>
    </row>
    <row r="148" spans="1:16">
      <c r="A148" s="1472"/>
      <c r="B148" s="1472"/>
      <c r="C148" s="1473"/>
      <c r="D148" s="1472"/>
      <c r="E148" s="1472"/>
      <c r="F148" s="1472"/>
      <c r="G148" s="1464"/>
      <c r="H148" s="1472"/>
      <c r="I148" s="1472"/>
      <c r="J148" s="1459"/>
      <c r="K148" s="1459"/>
      <c r="L148" s="1474"/>
      <c r="M148" s="1234">
        <f>SUMIF(Invoices!$E:$E,H148,Invoices!$D:$D)</f>
        <v>0</v>
      </c>
      <c r="N148" s="1234">
        <f>SUMIF(Accruals!$H:$H,H148,Accruals!$K:$K)</f>
        <v>0</v>
      </c>
      <c r="O148" s="1235">
        <f t="shared" si="3"/>
        <v>0</v>
      </c>
      <c r="P148" s="1479"/>
    </row>
    <row r="149" spans="1:16">
      <c r="A149" s="1472"/>
      <c r="B149" s="1472"/>
      <c r="C149" s="1473"/>
      <c r="D149" s="1472"/>
      <c r="E149" s="1472"/>
      <c r="F149" s="1472"/>
      <c r="G149" s="1464"/>
      <c r="H149" s="1472"/>
      <c r="I149" s="1472"/>
      <c r="J149" s="1459"/>
      <c r="K149" s="1459"/>
      <c r="L149" s="1474"/>
      <c r="M149" s="1234">
        <f>SUMIF(Invoices!$E:$E,H149,Invoices!$D:$D)</f>
        <v>0</v>
      </c>
      <c r="N149" s="1234">
        <f>SUMIF(Accruals!$H:$H,H149,Accruals!$K:$K)</f>
        <v>0</v>
      </c>
      <c r="O149" s="1235">
        <f t="shared" si="3"/>
        <v>0</v>
      </c>
      <c r="P149" s="1479"/>
    </row>
    <row r="150" spans="1:16">
      <c r="A150" s="1472"/>
      <c r="B150" s="1472"/>
      <c r="C150" s="1473"/>
      <c r="D150" s="1472"/>
      <c r="E150" s="1472"/>
      <c r="F150" s="1472"/>
      <c r="G150" s="1464"/>
      <c r="H150" s="1472"/>
      <c r="I150" s="1472"/>
      <c r="J150" s="1459"/>
      <c r="K150" s="1459"/>
      <c r="L150" s="1474"/>
      <c r="M150" s="1234">
        <f>SUMIF(Invoices!$E:$E,H150,Invoices!$D:$D)</f>
        <v>0</v>
      </c>
      <c r="N150" s="1234">
        <f>SUMIF(Accruals!$H:$H,H150,Accruals!$K:$K)</f>
        <v>0</v>
      </c>
      <c r="O150" s="1235">
        <f t="shared" si="3"/>
        <v>0</v>
      </c>
      <c r="P150" s="1479"/>
    </row>
    <row r="151" spans="1:16">
      <c r="A151" s="1472"/>
      <c r="B151" s="1472"/>
      <c r="C151" s="1473"/>
      <c r="D151" s="1472"/>
      <c r="E151" s="1472"/>
      <c r="F151" s="1472"/>
      <c r="G151" s="1464"/>
      <c r="H151" s="1472"/>
      <c r="I151" s="1472"/>
      <c r="J151" s="1459"/>
      <c r="K151" s="1459"/>
      <c r="L151" s="1474"/>
      <c r="M151" s="1234">
        <f>SUMIF(Invoices!$E:$E,H151,Invoices!$D:$D)</f>
        <v>0</v>
      </c>
      <c r="N151" s="1234">
        <f>SUMIF(Accruals!$H:$H,H151,Accruals!$K:$K)</f>
        <v>0</v>
      </c>
      <c r="O151" s="1235">
        <f t="shared" si="3"/>
        <v>0</v>
      </c>
      <c r="P151" s="1479"/>
    </row>
    <row r="152" spans="1:16">
      <c r="A152" s="1472"/>
      <c r="B152" s="1472"/>
      <c r="C152" s="1473"/>
      <c r="D152" s="1472"/>
      <c r="E152" s="1472"/>
      <c r="F152" s="1472"/>
      <c r="G152" s="1464"/>
      <c r="H152" s="1472"/>
      <c r="I152" s="1472"/>
      <c r="J152" s="1459"/>
      <c r="K152" s="1459"/>
      <c r="L152" s="1474"/>
      <c r="M152" s="1234">
        <f>SUMIF(Invoices!$E:$E,H152,Invoices!$D:$D)</f>
        <v>0</v>
      </c>
      <c r="N152" s="1234">
        <f>SUMIF(Accruals!$H:$H,H152,Accruals!$K:$K)</f>
        <v>0</v>
      </c>
      <c r="O152" s="1235">
        <f t="shared" si="3"/>
        <v>0</v>
      </c>
      <c r="P152" s="1479"/>
    </row>
    <row r="153" spans="1:16">
      <c r="A153" s="1472"/>
      <c r="B153" s="1472"/>
      <c r="C153" s="1473"/>
      <c r="D153" s="1472"/>
      <c r="E153" s="1472"/>
      <c r="F153" s="1472"/>
      <c r="G153" s="1464"/>
      <c r="H153" s="1472"/>
      <c r="I153" s="1472"/>
      <c r="J153" s="1459"/>
      <c r="K153" s="1459"/>
      <c r="L153" s="1474"/>
      <c r="M153" s="1234">
        <f>SUMIF(Invoices!$E:$E,H153,Invoices!$D:$D)</f>
        <v>0</v>
      </c>
      <c r="N153" s="1234">
        <f>SUMIF(Accruals!$H:$H,H153,Accruals!$K:$K)</f>
        <v>0</v>
      </c>
      <c r="O153" s="1235">
        <f t="shared" si="3"/>
        <v>0</v>
      </c>
      <c r="P153" s="1479"/>
    </row>
    <row r="154" spans="1:16">
      <c r="A154" s="1472"/>
      <c r="B154" s="1472"/>
      <c r="C154" s="1473"/>
      <c r="D154" s="1472"/>
      <c r="E154" s="1472"/>
      <c r="F154" s="1472"/>
      <c r="G154" s="1464"/>
      <c r="H154" s="1472"/>
      <c r="I154" s="1472"/>
      <c r="J154" s="1459"/>
      <c r="K154" s="1459"/>
      <c r="L154" s="1474"/>
      <c r="M154" s="1234">
        <f>SUMIF(Invoices!$E:$E,H154,Invoices!$D:$D)</f>
        <v>0</v>
      </c>
      <c r="N154" s="1234">
        <f>SUMIF(Accruals!$H:$H,H154,Accruals!$K:$K)</f>
        <v>0</v>
      </c>
      <c r="O154" s="1235">
        <f t="shared" si="3"/>
        <v>0</v>
      </c>
      <c r="P154" s="1479"/>
    </row>
    <row r="155" spans="1:16">
      <c r="A155" s="1472"/>
      <c r="B155" s="1472"/>
      <c r="C155" s="1473"/>
      <c r="D155" s="1472"/>
      <c r="E155" s="1472"/>
      <c r="F155" s="1472"/>
      <c r="G155" s="1464"/>
      <c r="H155" s="1472"/>
      <c r="I155" s="1472"/>
      <c r="J155" s="1459"/>
      <c r="K155" s="1459"/>
      <c r="L155" s="1474"/>
      <c r="M155" s="1234">
        <f>SUMIF(Invoices!$E:$E,H155,Invoices!$D:$D)</f>
        <v>0</v>
      </c>
      <c r="N155" s="1234">
        <f>SUMIF(Accruals!$H:$H,H155,Accruals!$K:$K)</f>
        <v>0</v>
      </c>
      <c r="O155" s="1235">
        <f t="shared" si="3"/>
        <v>0</v>
      </c>
      <c r="P155" s="1479"/>
    </row>
    <row r="156" spans="1:16">
      <c r="A156" s="1472"/>
      <c r="B156" s="1472"/>
      <c r="C156" s="1473"/>
      <c r="D156" s="1472"/>
      <c r="E156" s="1472"/>
      <c r="F156" s="1472"/>
      <c r="G156" s="1464"/>
      <c r="H156" s="1472"/>
      <c r="I156" s="1472"/>
      <c r="J156" s="1459"/>
      <c r="K156" s="1459"/>
      <c r="L156" s="1474"/>
      <c r="M156" s="1234">
        <f>SUMIF(Invoices!$E:$E,H156,Invoices!$D:$D)</f>
        <v>0</v>
      </c>
      <c r="N156" s="1234">
        <f>SUMIF(Accruals!$H:$H,H156,Accruals!$K:$K)</f>
        <v>0</v>
      </c>
      <c r="O156" s="1235">
        <f t="shared" si="3"/>
        <v>0</v>
      </c>
      <c r="P156" s="1479"/>
    </row>
    <row r="157" spans="1:16">
      <c r="A157" s="1472"/>
      <c r="B157" s="1472"/>
      <c r="C157" s="1473"/>
      <c r="D157" s="1472"/>
      <c r="E157" s="1472"/>
      <c r="F157" s="1472"/>
      <c r="G157" s="1464"/>
      <c r="H157" s="1472"/>
      <c r="I157" s="1472"/>
      <c r="J157" s="1459"/>
      <c r="K157" s="1459"/>
      <c r="L157" s="1474"/>
      <c r="M157" s="1234">
        <f>SUMIF(Invoices!$E:$E,H157,Invoices!$D:$D)</f>
        <v>0</v>
      </c>
      <c r="N157" s="1234">
        <f>SUMIF(Accruals!$H:$H,H157,Accruals!$K:$K)</f>
        <v>0</v>
      </c>
      <c r="O157" s="1235">
        <f t="shared" si="3"/>
        <v>0</v>
      </c>
      <c r="P157" s="1479"/>
    </row>
    <row r="158" spans="1:16">
      <c r="A158" s="1472"/>
      <c r="B158" s="1472"/>
      <c r="C158" s="1473"/>
      <c r="D158" s="1472"/>
      <c r="E158" s="1472"/>
      <c r="F158" s="1472"/>
      <c r="G158" s="1464"/>
      <c r="H158" s="1472"/>
      <c r="I158" s="1472"/>
      <c r="J158" s="1459"/>
      <c r="K158" s="1459"/>
      <c r="L158" s="1474"/>
      <c r="M158" s="1234">
        <f>SUMIF(Invoices!$E:$E,H158,Invoices!$D:$D)</f>
        <v>0</v>
      </c>
      <c r="N158" s="1234">
        <f>SUMIF(Accruals!$H:$H,H158,Accruals!$K:$K)</f>
        <v>0</v>
      </c>
      <c r="O158" s="1235">
        <f t="shared" si="3"/>
        <v>0</v>
      </c>
      <c r="P158" s="1479"/>
    </row>
    <row r="159" spans="1:16">
      <c r="A159" s="1472"/>
      <c r="B159" s="1472"/>
      <c r="C159" s="1473"/>
      <c r="D159" s="1472"/>
      <c r="E159" s="1472"/>
      <c r="F159" s="1472"/>
      <c r="G159" s="1464"/>
      <c r="H159" s="1472"/>
      <c r="I159" s="1472"/>
      <c r="J159" s="1459"/>
      <c r="K159" s="1459"/>
      <c r="L159" s="1474"/>
      <c r="M159" s="1234">
        <f>SUMIF(Invoices!$E:$E,H159,Invoices!$D:$D)</f>
        <v>0</v>
      </c>
      <c r="N159" s="1234">
        <f>SUMIF(Accruals!$H:$H,H159,Accruals!$K:$K)</f>
        <v>0</v>
      </c>
      <c r="O159" s="1235">
        <f t="shared" si="3"/>
        <v>0</v>
      </c>
      <c r="P159" s="1479"/>
    </row>
    <row r="160" spans="1:16">
      <c r="A160" s="1472"/>
      <c r="B160" s="1472"/>
      <c r="C160" s="1473"/>
      <c r="D160" s="1472"/>
      <c r="E160" s="1472"/>
      <c r="F160" s="1472"/>
      <c r="G160" s="1464"/>
      <c r="H160" s="1472"/>
      <c r="I160" s="1472"/>
      <c r="J160" s="1459"/>
      <c r="K160" s="1459"/>
      <c r="L160" s="1474"/>
      <c r="M160" s="1234">
        <f>SUMIF(Invoices!$E:$E,H160,Invoices!$D:$D)</f>
        <v>0</v>
      </c>
      <c r="N160" s="1234">
        <f>SUMIF(Accruals!$H:$H,H160,Accruals!$K:$K)</f>
        <v>0</v>
      </c>
      <c r="O160" s="1235">
        <f t="shared" si="3"/>
        <v>0</v>
      </c>
      <c r="P160" s="1479"/>
    </row>
    <row r="161" spans="1:16">
      <c r="A161" s="1472"/>
      <c r="B161" s="1472"/>
      <c r="C161" s="1473"/>
      <c r="D161" s="1472"/>
      <c r="E161" s="1472"/>
      <c r="F161" s="1472"/>
      <c r="G161" s="1464"/>
      <c r="H161" s="1472"/>
      <c r="I161" s="1472"/>
      <c r="J161" s="1459"/>
      <c r="K161" s="1459"/>
      <c r="L161" s="1474"/>
      <c r="M161" s="1234">
        <f>SUMIF(Invoices!$E:$E,H161,Invoices!$D:$D)</f>
        <v>0</v>
      </c>
      <c r="N161" s="1234">
        <f>SUMIF(Accruals!$H:$H,H161,Accruals!$K:$K)</f>
        <v>0</v>
      </c>
      <c r="O161" s="1235">
        <f t="shared" si="3"/>
        <v>0</v>
      </c>
      <c r="P161" s="1479"/>
    </row>
    <row r="162" spans="1:16">
      <c r="A162" s="1472"/>
      <c r="B162" s="1472"/>
      <c r="C162" s="1473"/>
      <c r="D162" s="1472"/>
      <c r="E162" s="1472"/>
      <c r="F162" s="1472"/>
      <c r="G162" s="1464"/>
      <c r="H162" s="1472"/>
      <c r="I162" s="1472"/>
      <c r="J162" s="1459"/>
      <c r="K162" s="1459"/>
      <c r="L162" s="1474"/>
      <c r="M162" s="1234">
        <f>SUMIF(Invoices!$E:$E,H162,Invoices!$D:$D)</f>
        <v>0</v>
      </c>
      <c r="N162" s="1234">
        <f>SUMIF(Accruals!$H:$H,H162,Accruals!$K:$K)</f>
        <v>0</v>
      </c>
      <c r="O162" s="1235">
        <f t="shared" si="3"/>
        <v>0</v>
      </c>
      <c r="P162" s="1479"/>
    </row>
    <row r="163" spans="1:16">
      <c r="A163" s="1472"/>
      <c r="B163" s="1472"/>
      <c r="C163" s="1473"/>
      <c r="D163" s="1472"/>
      <c r="E163" s="1472"/>
      <c r="F163" s="1472"/>
      <c r="G163" s="1464"/>
      <c r="H163" s="1472"/>
      <c r="I163" s="1472"/>
      <c r="J163" s="1459"/>
      <c r="K163" s="1459"/>
      <c r="L163" s="1474"/>
      <c r="M163" s="1234">
        <f>SUMIF(Invoices!$E:$E,H163,Invoices!$D:$D)</f>
        <v>0</v>
      </c>
      <c r="N163" s="1234">
        <f>SUMIF(Accruals!$H:$H,H163,Accruals!$K:$K)</f>
        <v>0</v>
      </c>
      <c r="O163" s="1235">
        <f t="shared" si="3"/>
        <v>0</v>
      </c>
      <c r="P163" s="1479"/>
    </row>
    <row r="164" spans="1:16">
      <c r="A164" s="1472"/>
      <c r="B164" s="1472"/>
      <c r="C164" s="1473"/>
      <c r="D164" s="1472"/>
      <c r="E164" s="1472"/>
      <c r="F164" s="1472"/>
      <c r="G164" s="1464"/>
      <c r="H164" s="1472"/>
      <c r="I164" s="1472"/>
      <c r="J164" s="1459"/>
      <c r="K164" s="1459"/>
      <c r="L164" s="1474"/>
      <c r="M164" s="1234">
        <f>SUMIF(Invoices!$E:$E,H164,Invoices!$D:$D)</f>
        <v>0</v>
      </c>
      <c r="N164" s="1234">
        <f>SUMIF(Accruals!$H:$H,H164,Accruals!$K:$K)</f>
        <v>0</v>
      </c>
      <c r="O164" s="1235">
        <f t="shared" si="3"/>
        <v>0</v>
      </c>
      <c r="P164" s="1479"/>
    </row>
    <row r="165" spans="1:16">
      <c r="A165" s="1472"/>
      <c r="B165" s="1472"/>
      <c r="C165" s="1473"/>
      <c r="D165" s="1472"/>
      <c r="E165" s="1472"/>
      <c r="F165" s="1472"/>
      <c r="G165" s="1464"/>
      <c r="H165" s="1472"/>
      <c r="I165" s="1472"/>
      <c r="J165" s="1459"/>
      <c r="K165" s="1459"/>
      <c r="L165" s="1474"/>
      <c r="M165" s="1234">
        <f>SUMIF(Invoices!$E:$E,H165,Invoices!$D:$D)</f>
        <v>0</v>
      </c>
      <c r="N165" s="1234">
        <f>SUMIF(Accruals!$H:$H,H165,Accruals!$K:$K)</f>
        <v>0</v>
      </c>
      <c r="O165" s="1235">
        <f t="shared" ref="O165:O228" si="4">L165-M165-N165</f>
        <v>0</v>
      </c>
      <c r="P165" s="1479"/>
    </row>
    <row r="166" spans="1:16">
      <c r="A166" s="1472"/>
      <c r="B166" s="1472"/>
      <c r="C166" s="1473"/>
      <c r="D166" s="1472"/>
      <c r="E166" s="1472"/>
      <c r="F166" s="1472"/>
      <c r="G166" s="1464"/>
      <c r="H166" s="1472"/>
      <c r="I166" s="1472"/>
      <c r="J166" s="1459"/>
      <c r="K166" s="1459"/>
      <c r="L166" s="1474"/>
      <c r="M166" s="1234">
        <f>SUMIF(Invoices!$E:$E,H166,Invoices!$D:$D)</f>
        <v>0</v>
      </c>
      <c r="N166" s="1234">
        <f>SUMIF(Accruals!$H:$H,H166,Accruals!$K:$K)</f>
        <v>0</v>
      </c>
      <c r="O166" s="1235">
        <f t="shared" si="4"/>
        <v>0</v>
      </c>
      <c r="P166" s="1479"/>
    </row>
    <row r="167" spans="1:16">
      <c r="A167" s="1472"/>
      <c r="B167" s="1472"/>
      <c r="C167" s="1473"/>
      <c r="D167" s="1472"/>
      <c r="E167" s="1472"/>
      <c r="F167" s="1472"/>
      <c r="G167" s="1464"/>
      <c r="H167" s="1472"/>
      <c r="I167" s="1472"/>
      <c r="J167" s="1459"/>
      <c r="K167" s="1459"/>
      <c r="L167" s="1474"/>
      <c r="M167" s="1234">
        <f>SUMIF(Invoices!$E:$E,H167,Invoices!$D:$D)</f>
        <v>0</v>
      </c>
      <c r="N167" s="1234">
        <f>SUMIF(Accruals!$H:$H,H167,Accruals!$K:$K)</f>
        <v>0</v>
      </c>
      <c r="O167" s="1235">
        <f t="shared" si="4"/>
        <v>0</v>
      </c>
      <c r="P167" s="1479"/>
    </row>
    <row r="168" spans="1:16">
      <c r="A168" s="1472"/>
      <c r="B168" s="1472"/>
      <c r="C168" s="1473"/>
      <c r="D168" s="1472"/>
      <c r="E168" s="1472"/>
      <c r="F168" s="1472"/>
      <c r="G168" s="1464"/>
      <c r="H168" s="1472"/>
      <c r="I168" s="1472"/>
      <c r="J168" s="1459"/>
      <c r="K168" s="1459"/>
      <c r="L168" s="1474"/>
      <c r="M168" s="1234">
        <f>SUMIF(Invoices!$E:$E,H168,Invoices!$D:$D)</f>
        <v>0</v>
      </c>
      <c r="N168" s="1234">
        <f>SUMIF(Accruals!$H:$H,H168,Accruals!$K:$K)</f>
        <v>0</v>
      </c>
      <c r="O168" s="1235">
        <f t="shared" si="4"/>
        <v>0</v>
      </c>
      <c r="P168" s="1479"/>
    </row>
    <row r="169" spans="1:16">
      <c r="A169" s="1472"/>
      <c r="B169" s="1472"/>
      <c r="C169" s="1473"/>
      <c r="D169" s="1472"/>
      <c r="E169" s="1472"/>
      <c r="F169" s="1472"/>
      <c r="G169" s="1464"/>
      <c r="H169" s="1472"/>
      <c r="I169" s="1472"/>
      <c r="J169" s="1459"/>
      <c r="K169" s="1459"/>
      <c r="L169" s="1474"/>
      <c r="M169" s="1234">
        <f>SUMIF(Invoices!$E:$E,H169,Invoices!$D:$D)</f>
        <v>0</v>
      </c>
      <c r="N169" s="1234">
        <f>SUMIF(Accruals!$H:$H,H169,Accruals!$K:$K)</f>
        <v>0</v>
      </c>
      <c r="O169" s="1235">
        <f t="shared" si="4"/>
        <v>0</v>
      </c>
      <c r="P169" s="1479"/>
    </row>
    <row r="170" spans="1:16">
      <c r="A170" s="1472"/>
      <c r="B170" s="1472"/>
      <c r="C170" s="1473"/>
      <c r="D170" s="1472"/>
      <c r="E170" s="1472"/>
      <c r="F170" s="1472"/>
      <c r="G170" s="1464"/>
      <c r="H170" s="1472"/>
      <c r="I170" s="1472"/>
      <c r="J170" s="1459"/>
      <c r="K170" s="1459"/>
      <c r="L170" s="1474"/>
      <c r="M170" s="1234">
        <f>SUMIF(Invoices!$E:$E,H170,Invoices!$D:$D)</f>
        <v>0</v>
      </c>
      <c r="N170" s="1234">
        <f>SUMIF(Accruals!$H:$H,H170,Accruals!$K:$K)</f>
        <v>0</v>
      </c>
      <c r="O170" s="1235">
        <f t="shared" si="4"/>
        <v>0</v>
      </c>
      <c r="P170" s="1479"/>
    </row>
    <row r="171" spans="1:16">
      <c r="A171" s="1472"/>
      <c r="B171" s="1472"/>
      <c r="C171" s="1473"/>
      <c r="D171" s="1472"/>
      <c r="E171" s="1472"/>
      <c r="F171" s="1472"/>
      <c r="G171" s="1464"/>
      <c r="H171" s="1472"/>
      <c r="I171" s="1472"/>
      <c r="J171" s="1459"/>
      <c r="K171" s="1459"/>
      <c r="L171" s="1474"/>
      <c r="M171" s="1234">
        <f>SUMIF(Invoices!$E:$E,H171,Invoices!$D:$D)</f>
        <v>0</v>
      </c>
      <c r="N171" s="1234">
        <f>SUMIF(Accruals!$H:$H,H171,Accruals!$K:$K)</f>
        <v>0</v>
      </c>
      <c r="O171" s="1235">
        <f t="shared" si="4"/>
        <v>0</v>
      </c>
      <c r="P171" s="1479"/>
    </row>
    <row r="172" spans="1:16">
      <c r="A172" s="1472"/>
      <c r="B172" s="1472"/>
      <c r="C172" s="1473"/>
      <c r="D172" s="1472"/>
      <c r="E172" s="1472"/>
      <c r="F172" s="1472"/>
      <c r="G172" s="1464"/>
      <c r="H172" s="1472"/>
      <c r="I172" s="1472"/>
      <c r="J172" s="1459"/>
      <c r="K172" s="1459"/>
      <c r="L172" s="1474"/>
      <c r="M172" s="1234">
        <f>SUMIF(Invoices!$E:$E,H172,Invoices!$D:$D)</f>
        <v>0</v>
      </c>
      <c r="N172" s="1234">
        <f>SUMIF(Accruals!$H:$H,H172,Accruals!$K:$K)</f>
        <v>0</v>
      </c>
      <c r="O172" s="1235">
        <f t="shared" si="4"/>
        <v>0</v>
      </c>
      <c r="P172" s="1479"/>
    </row>
    <row r="173" spans="1:16">
      <c r="A173" s="1472"/>
      <c r="B173" s="1472"/>
      <c r="C173" s="1473"/>
      <c r="D173" s="1472"/>
      <c r="E173" s="1472"/>
      <c r="F173" s="1472"/>
      <c r="G173" s="1464"/>
      <c r="H173" s="1472"/>
      <c r="I173" s="1472"/>
      <c r="J173" s="1459"/>
      <c r="K173" s="1459"/>
      <c r="L173" s="1474"/>
      <c r="M173" s="1234">
        <f>SUMIF(Invoices!$E:$E,H173,Invoices!$D:$D)</f>
        <v>0</v>
      </c>
      <c r="N173" s="1234">
        <f>SUMIF(Accruals!$H:$H,H173,Accruals!$K:$K)</f>
        <v>0</v>
      </c>
      <c r="O173" s="1235">
        <f t="shared" si="4"/>
        <v>0</v>
      </c>
      <c r="P173" s="1479"/>
    </row>
    <row r="174" spans="1:16">
      <c r="A174" s="1472"/>
      <c r="B174" s="1472"/>
      <c r="C174" s="1473"/>
      <c r="D174" s="1472"/>
      <c r="E174" s="1472"/>
      <c r="F174" s="1472"/>
      <c r="G174" s="1464"/>
      <c r="H174" s="1472"/>
      <c r="I174" s="1472"/>
      <c r="J174" s="1459"/>
      <c r="K174" s="1459"/>
      <c r="L174" s="1474"/>
      <c r="M174" s="1234">
        <f>SUMIF(Invoices!$E:$E,H174,Invoices!$D:$D)</f>
        <v>0</v>
      </c>
      <c r="N174" s="1234">
        <f>SUMIF(Accruals!$H:$H,H174,Accruals!$K:$K)</f>
        <v>0</v>
      </c>
      <c r="O174" s="1235">
        <f t="shared" si="4"/>
        <v>0</v>
      </c>
      <c r="P174" s="1479"/>
    </row>
    <row r="175" spans="1:16">
      <c r="A175" s="1472"/>
      <c r="B175" s="1472"/>
      <c r="C175" s="1473"/>
      <c r="D175" s="1472"/>
      <c r="E175" s="1472"/>
      <c r="F175" s="1472"/>
      <c r="G175" s="1464"/>
      <c r="H175" s="1472"/>
      <c r="I175" s="1472"/>
      <c r="J175" s="1459"/>
      <c r="K175" s="1459"/>
      <c r="L175" s="1474"/>
      <c r="M175" s="1234">
        <f>SUMIF(Invoices!$E:$E,H175,Invoices!$D:$D)</f>
        <v>0</v>
      </c>
      <c r="N175" s="1234">
        <f>SUMIF(Accruals!$H:$H,H175,Accruals!$K:$K)</f>
        <v>0</v>
      </c>
      <c r="O175" s="1235">
        <f t="shared" si="4"/>
        <v>0</v>
      </c>
      <c r="P175" s="1479"/>
    </row>
    <row r="176" spans="1:16">
      <c r="A176" s="1472"/>
      <c r="B176" s="1472"/>
      <c r="C176" s="1473"/>
      <c r="D176" s="1472"/>
      <c r="E176" s="1472"/>
      <c r="F176" s="1472"/>
      <c r="G176" s="1464"/>
      <c r="H176" s="1472"/>
      <c r="I176" s="1472"/>
      <c r="J176" s="1459"/>
      <c r="K176" s="1459"/>
      <c r="L176" s="1474"/>
      <c r="M176" s="1234">
        <f>SUMIF(Invoices!$E:$E,H176,Invoices!$D:$D)</f>
        <v>0</v>
      </c>
      <c r="N176" s="1234">
        <f>SUMIF(Accruals!$H:$H,H176,Accruals!$K:$K)</f>
        <v>0</v>
      </c>
      <c r="O176" s="1235">
        <f t="shared" si="4"/>
        <v>0</v>
      </c>
      <c r="P176" s="1479"/>
    </row>
    <row r="177" spans="1:16">
      <c r="A177" s="1472"/>
      <c r="B177" s="1472"/>
      <c r="C177" s="1473"/>
      <c r="D177" s="1472"/>
      <c r="E177" s="1472"/>
      <c r="F177" s="1472"/>
      <c r="G177" s="1464"/>
      <c r="H177" s="1472"/>
      <c r="I177" s="1472"/>
      <c r="J177" s="1459"/>
      <c r="K177" s="1459"/>
      <c r="L177" s="1474"/>
      <c r="M177" s="1234">
        <f>SUMIF(Invoices!$E:$E,H177,Invoices!$D:$D)</f>
        <v>0</v>
      </c>
      <c r="N177" s="1234">
        <f>SUMIF(Accruals!$H:$H,H177,Accruals!$K:$K)</f>
        <v>0</v>
      </c>
      <c r="O177" s="1235">
        <f t="shared" si="4"/>
        <v>0</v>
      </c>
      <c r="P177" s="1479"/>
    </row>
    <row r="178" spans="1:16">
      <c r="A178" s="1472"/>
      <c r="B178" s="1472"/>
      <c r="C178" s="1473"/>
      <c r="D178" s="1472"/>
      <c r="E178" s="1472"/>
      <c r="F178" s="1472"/>
      <c r="G178" s="1464"/>
      <c r="H178" s="1472"/>
      <c r="I178" s="1472"/>
      <c r="J178" s="1459"/>
      <c r="K178" s="1459"/>
      <c r="L178" s="1474"/>
      <c r="M178" s="1234">
        <f>SUMIF(Invoices!$E:$E,H178,Invoices!$D:$D)</f>
        <v>0</v>
      </c>
      <c r="N178" s="1234">
        <f>SUMIF(Accruals!$H:$H,H178,Accruals!$K:$K)</f>
        <v>0</v>
      </c>
      <c r="O178" s="1235">
        <f t="shared" si="4"/>
        <v>0</v>
      </c>
      <c r="P178" s="1479"/>
    </row>
    <row r="179" spans="1:16">
      <c r="A179" s="1472"/>
      <c r="B179" s="1472"/>
      <c r="C179" s="1473"/>
      <c r="D179" s="1472"/>
      <c r="E179" s="1472"/>
      <c r="F179" s="1472"/>
      <c r="G179" s="1464"/>
      <c r="H179" s="1472"/>
      <c r="I179" s="1472"/>
      <c r="J179" s="1459"/>
      <c r="K179" s="1459"/>
      <c r="L179" s="1474"/>
      <c r="M179" s="1234">
        <f>SUMIF(Invoices!$E:$E,H179,Invoices!$D:$D)</f>
        <v>0</v>
      </c>
      <c r="N179" s="1234">
        <f>SUMIF(Accruals!$H:$H,H179,Accruals!$K:$K)</f>
        <v>0</v>
      </c>
      <c r="O179" s="1235">
        <f t="shared" si="4"/>
        <v>0</v>
      </c>
      <c r="P179" s="1479"/>
    </row>
    <row r="180" spans="1:16">
      <c r="A180" s="1472"/>
      <c r="B180" s="1472"/>
      <c r="C180" s="1473"/>
      <c r="D180" s="1472"/>
      <c r="E180" s="1472"/>
      <c r="F180" s="1472"/>
      <c r="G180" s="1464"/>
      <c r="H180" s="1472"/>
      <c r="I180" s="1472"/>
      <c r="J180" s="1459"/>
      <c r="K180" s="1459"/>
      <c r="L180" s="1474"/>
      <c r="M180" s="1234">
        <f>SUMIF(Invoices!$E:$E,H180,Invoices!$D:$D)</f>
        <v>0</v>
      </c>
      <c r="N180" s="1234">
        <f>SUMIF(Accruals!$H:$H,H180,Accruals!$K:$K)</f>
        <v>0</v>
      </c>
      <c r="O180" s="1235">
        <f t="shared" si="4"/>
        <v>0</v>
      </c>
      <c r="P180" s="1479"/>
    </row>
    <row r="181" spans="1:16">
      <c r="A181" s="1472"/>
      <c r="B181" s="1472"/>
      <c r="C181" s="1473"/>
      <c r="D181" s="1472"/>
      <c r="E181" s="1472"/>
      <c r="F181" s="1472"/>
      <c r="G181" s="1464"/>
      <c r="H181" s="1472"/>
      <c r="I181" s="1472"/>
      <c r="J181" s="1459"/>
      <c r="K181" s="1459"/>
      <c r="L181" s="1474"/>
      <c r="M181" s="1234">
        <f>SUMIF(Invoices!$E:$E,H181,Invoices!$D:$D)</f>
        <v>0</v>
      </c>
      <c r="N181" s="1234">
        <f>SUMIF(Accruals!$H:$H,H181,Accruals!$K:$K)</f>
        <v>0</v>
      </c>
      <c r="O181" s="1235">
        <f t="shared" si="4"/>
        <v>0</v>
      </c>
      <c r="P181" s="1479"/>
    </row>
    <row r="182" spans="1:16">
      <c r="A182" s="1472"/>
      <c r="B182" s="1472"/>
      <c r="C182" s="1473"/>
      <c r="D182" s="1472"/>
      <c r="E182" s="1472"/>
      <c r="F182" s="1472"/>
      <c r="G182" s="1464"/>
      <c r="H182" s="1472"/>
      <c r="I182" s="1472"/>
      <c r="J182" s="1459"/>
      <c r="K182" s="1459"/>
      <c r="L182" s="1474"/>
      <c r="M182" s="1234">
        <f>SUMIF(Invoices!$E:$E,H182,Invoices!$D:$D)</f>
        <v>0</v>
      </c>
      <c r="N182" s="1234">
        <f>SUMIF(Accruals!$H:$H,H182,Accruals!$K:$K)</f>
        <v>0</v>
      </c>
      <c r="O182" s="1235">
        <f t="shared" si="4"/>
        <v>0</v>
      </c>
      <c r="P182" s="1479"/>
    </row>
    <row r="183" spans="1:16">
      <c r="A183" s="1472"/>
      <c r="B183" s="1472"/>
      <c r="C183" s="1473"/>
      <c r="D183" s="1472"/>
      <c r="E183" s="1472"/>
      <c r="F183" s="1472"/>
      <c r="G183" s="1464"/>
      <c r="H183" s="1472"/>
      <c r="I183" s="1472"/>
      <c r="J183" s="1459"/>
      <c r="K183" s="1459"/>
      <c r="L183" s="1474"/>
      <c r="M183" s="1234">
        <f>SUMIF(Invoices!$E:$E,H183,Invoices!$D:$D)</f>
        <v>0</v>
      </c>
      <c r="N183" s="1234">
        <f>SUMIF(Accruals!$H:$H,H183,Accruals!$K:$K)</f>
        <v>0</v>
      </c>
      <c r="O183" s="1235">
        <f t="shared" si="4"/>
        <v>0</v>
      </c>
      <c r="P183" s="1479"/>
    </row>
    <row r="184" spans="1:16">
      <c r="A184" s="1472"/>
      <c r="B184" s="1472"/>
      <c r="C184" s="1473"/>
      <c r="D184" s="1472"/>
      <c r="E184" s="1472"/>
      <c r="F184" s="1472"/>
      <c r="G184" s="1464"/>
      <c r="H184" s="1472"/>
      <c r="I184" s="1472"/>
      <c r="J184" s="1459"/>
      <c r="K184" s="1459"/>
      <c r="L184" s="1474"/>
      <c r="M184" s="1234">
        <f>SUMIF(Invoices!$E:$E,H184,Invoices!$D:$D)</f>
        <v>0</v>
      </c>
      <c r="N184" s="1234">
        <f>SUMIF(Accruals!$H:$H,H184,Accruals!$K:$K)</f>
        <v>0</v>
      </c>
      <c r="O184" s="1235">
        <f t="shared" si="4"/>
        <v>0</v>
      </c>
      <c r="P184" s="1479"/>
    </row>
    <row r="185" spans="1:16">
      <c r="A185" s="1472"/>
      <c r="B185" s="1472"/>
      <c r="C185" s="1473"/>
      <c r="D185" s="1472"/>
      <c r="E185" s="1472"/>
      <c r="F185" s="1472"/>
      <c r="G185" s="1464"/>
      <c r="H185" s="1472"/>
      <c r="I185" s="1472"/>
      <c r="J185" s="1459"/>
      <c r="K185" s="1459"/>
      <c r="L185" s="1474"/>
      <c r="M185" s="1234">
        <f>SUMIF(Invoices!$E:$E,H185,Invoices!$D:$D)</f>
        <v>0</v>
      </c>
      <c r="N185" s="1234">
        <f>SUMIF(Accruals!$H:$H,H185,Accruals!$K:$K)</f>
        <v>0</v>
      </c>
      <c r="O185" s="1235">
        <f t="shared" si="4"/>
        <v>0</v>
      </c>
      <c r="P185" s="1479"/>
    </row>
    <row r="186" spans="1:16">
      <c r="A186" s="1472"/>
      <c r="B186" s="1472"/>
      <c r="C186" s="1473"/>
      <c r="D186" s="1472"/>
      <c r="E186" s="1472"/>
      <c r="F186" s="1472"/>
      <c r="G186" s="1464"/>
      <c r="H186" s="1472"/>
      <c r="I186" s="1472"/>
      <c r="J186" s="1459"/>
      <c r="K186" s="1459"/>
      <c r="L186" s="1474"/>
      <c r="M186" s="1234">
        <f>SUMIF(Invoices!$E:$E,H186,Invoices!$D:$D)</f>
        <v>0</v>
      </c>
      <c r="N186" s="1234">
        <f>SUMIF(Accruals!$H:$H,H186,Accruals!$K:$K)</f>
        <v>0</v>
      </c>
      <c r="O186" s="1235">
        <f t="shared" si="4"/>
        <v>0</v>
      </c>
      <c r="P186" s="1479"/>
    </row>
    <row r="187" spans="1:16">
      <c r="A187" s="1472"/>
      <c r="B187" s="1472"/>
      <c r="C187" s="1473"/>
      <c r="D187" s="1472"/>
      <c r="E187" s="1472"/>
      <c r="F187" s="1472"/>
      <c r="G187" s="1464"/>
      <c r="H187" s="1472"/>
      <c r="I187" s="1472"/>
      <c r="J187" s="1459"/>
      <c r="K187" s="1459"/>
      <c r="L187" s="1474"/>
      <c r="M187" s="1234">
        <f>SUMIF(Invoices!$E:$E,H187,Invoices!$D:$D)</f>
        <v>0</v>
      </c>
      <c r="N187" s="1234">
        <f>SUMIF(Accruals!$H:$H,H187,Accruals!$K:$K)</f>
        <v>0</v>
      </c>
      <c r="O187" s="1235">
        <f t="shared" si="4"/>
        <v>0</v>
      </c>
      <c r="P187" s="1479"/>
    </row>
    <row r="188" spans="1:16">
      <c r="A188" s="1472"/>
      <c r="B188" s="1472"/>
      <c r="C188" s="1473"/>
      <c r="D188" s="1472"/>
      <c r="E188" s="1472"/>
      <c r="F188" s="1472"/>
      <c r="G188" s="1464"/>
      <c r="H188" s="1472"/>
      <c r="I188" s="1472"/>
      <c r="J188" s="1459"/>
      <c r="K188" s="1459"/>
      <c r="L188" s="1474"/>
      <c r="M188" s="1234">
        <f>SUMIF(Invoices!$E:$E,H188,Invoices!$D:$D)</f>
        <v>0</v>
      </c>
      <c r="N188" s="1234">
        <f>SUMIF(Accruals!$H:$H,H188,Accruals!$K:$K)</f>
        <v>0</v>
      </c>
      <c r="O188" s="1235">
        <f t="shared" si="4"/>
        <v>0</v>
      </c>
      <c r="P188" s="1479"/>
    </row>
    <row r="189" spans="1:16">
      <c r="A189" s="1472"/>
      <c r="B189" s="1472"/>
      <c r="C189" s="1473"/>
      <c r="D189" s="1472"/>
      <c r="E189" s="1472"/>
      <c r="F189" s="1472"/>
      <c r="G189" s="1464"/>
      <c r="H189" s="1472"/>
      <c r="I189" s="1472"/>
      <c r="J189" s="1459"/>
      <c r="K189" s="1459"/>
      <c r="L189" s="1474"/>
      <c r="M189" s="1234">
        <f>SUMIF(Invoices!$E:$E,H189,Invoices!$D:$D)</f>
        <v>0</v>
      </c>
      <c r="N189" s="1234">
        <f>SUMIF(Accruals!$H:$H,H189,Accruals!$K:$K)</f>
        <v>0</v>
      </c>
      <c r="O189" s="1235">
        <f t="shared" si="4"/>
        <v>0</v>
      </c>
      <c r="P189" s="1479"/>
    </row>
    <row r="190" spans="1:16">
      <c r="A190" s="1472"/>
      <c r="B190" s="1472"/>
      <c r="C190" s="1473"/>
      <c r="D190" s="1472"/>
      <c r="E190" s="1472"/>
      <c r="F190" s="1472"/>
      <c r="G190" s="1464"/>
      <c r="H190" s="1472"/>
      <c r="I190" s="1472"/>
      <c r="J190" s="1459"/>
      <c r="K190" s="1459"/>
      <c r="L190" s="1474"/>
      <c r="M190" s="1234">
        <f>SUMIF(Invoices!$E:$E,H190,Invoices!$D:$D)</f>
        <v>0</v>
      </c>
      <c r="N190" s="1234">
        <f>SUMIF(Accruals!$H:$H,H190,Accruals!$K:$K)</f>
        <v>0</v>
      </c>
      <c r="O190" s="1235">
        <f t="shared" si="4"/>
        <v>0</v>
      </c>
      <c r="P190" s="1479"/>
    </row>
    <row r="191" spans="1:16">
      <c r="A191" s="1472"/>
      <c r="B191" s="1472"/>
      <c r="C191" s="1473"/>
      <c r="D191" s="1472"/>
      <c r="E191" s="1472"/>
      <c r="F191" s="1472"/>
      <c r="G191" s="1464"/>
      <c r="H191" s="1472"/>
      <c r="I191" s="1472"/>
      <c r="J191" s="1459"/>
      <c r="K191" s="1459"/>
      <c r="L191" s="1474"/>
      <c r="M191" s="1234">
        <f>SUMIF(Invoices!$E:$E,H191,Invoices!$D:$D)</f>
        <v>0</v>
      </c>
      <c r="N191" s="1234">
        <f>SUMIF(Accruals!$H:$H,H191,Accruals!$K:$K)</f>
        <v>0</v>
      </c>
      <c r="O191" s="1235">
        <f t="shared" si="4"/>
        <v>0</v>
      </c>
      <c r="P191" s="1479"/>
    </row>
    <row r="192" spans="1:16">
      <c r="A192" s="1472"/>
      <c r="B192" s="1472"/>
      <c r="C192" s="1473"/>
      <c r="D192" s="1472"/>
      <c r="E192" s="1472"/>
      <c r="F192" s="1472"/>
      <c r="G192" s="1464"/>
      <c r="H192" s="1472"/>
      <c r="I192" s="1472"/>
      <c r="J192" s="1459"/>
      <c r="K192" s="1459"/>
      <c r="L192" s="1474"/>
      <c r="M192" s="1234">
        <f>SUMIF(Invoices!$E:$E,H192,Invoices!$D:$D)</f>
        <v>0</v>
      </c>
      <c r="N192" s="1234">
        <f>SUMIF(Accruals!$H:$H,H192,Accruals!$K:$K)</f>
        <v>0</v>
      </c>
      <c r="O192" s="1235">
        <f t="shared" si="4"/>
        <v>0</v>
      </c>
      <c r="P192" s="1479"/>
    </row>
    <row r="193" spans="1:16">
      <c r="A193" s="1472"/>
      <c r="B193" s="1472"/>
      <c r="C193" s="1473"/>
      <c r="D193" s="1472"/>
      <c r="E193" s="1472"/>
      <c r="F193" s="1472"/>
      <c r="G193" s="1464"/>
      <c r="H193" s="1472"/>
      <c r="I193" s="1472"/>
      <c r="J193" s="1459"/>
      <c r="K193" s="1459"/>
      <c r="L193" s="1474"/>
      <c r="M193" s="1234">
        <f>SUMIF(Invoices!$E:$E,H193,Invoices!$D:$D)</f>
        <v>0</v>
      </c>
      <c r="N193" s="1234">
        <f>SUMIF(Accruals!$H:$H,H193,Accruals!$K:$K)</f>
        <v>0</v>
      </c>
      <c r="O193" s="1235">
        <f t="shared" si="4"/>
        <v>0</v>
      </c>
      <c r="P193" s="1479"/>
    </row>
    <row r="194" spans="1:16">
      <c r="A194" s="1472"/>
      <c r="B194" s="1472"/>
      <c r="C194" s="1473"/>
      <c r="D194" s="1472"/>
      <c r="E194" s="1472"/>
      <c r="F194" s="1472"/>
      <c r="G194" s="1464"/>
      <c r="H194" s="1472"/>
      <c r="I194" s="1472"/>
      <c r="J194" s="1459"/>
      <c r="K194" s="1459"/>
      <c r="L194" s="1474"/>
      <c r="M194" s="1234">
        <f>SUMIF(Invoices!$E:$E,H194,Invoices!$D:$D)</f>
        <v>0</v>
      </c>
      <c r="N194" s="1234">
        <f>SUMIF(Accruals!$H:$H,H194,Accruals!$K:$K)</f>
        <v>0</v>
      </c>
      <c r="O194" s="1235">
        <f t="shared" si="4"/>
        <v>0</v>
      </c>
      <c r="P194" s="1479"/>
    </row>
    <row r="195" spans="1:16">
      <c r="A195" s="1472"/>
      <c r="B195" s="1472"/>
      <c r="C195" s="1473"/>
      <c r="D195" s="1472"/>
      <c r="E195" s="1472"/>
      <c r="F195" s="1472"/>
      <c r="G195" s="1464"/>
      <c r="H195" s="1472"/>
      <c r="I195" s="1472"/>
      <c r="J195" s="1459"/>
      <c r="K195" s="1459"/>
      <c r="L195" s="1474"/>
      <c r="M195" s="1234">
        <f>SUMIF(Invoices!$E:$E,H195,Invoices!$D:$D)</f>
        <v>0</v>
      </c>
      <c r="N195" s="1234">
        <f>SUMIF(Accruals!$H:$H,H195,Accruals!$K:$K)</f>
        <v>0</v>
      </c>
      <c r="O195" s="1235">
        <f t="shared" si="4"/>
        <v>0</v>
      </c>
      <c r="P195" s="1479"/>
    </row>
    <row r="196" spans="1:16">
      <c r="A196" s="1472"/>
      <c r="B196" s="1472"/>
      <c r="C196" s="1473"/>
      <c r="D196" s="1472"/>
      <c r="E196" s="1472"/>
      <c r="F196" s="1472"/>
      <c r="G196" s="1464"/>
      <c r="H196" s="1472"/>
      <c r="I196" s="1472"/>
      <c r="J196" s="1459"/>
      <c r="K196" s="1459"/>
      <c r="L196" s="1474"/>
      <c r="M196" s="1234">
        <f>SUMIF(Invoices!$E:$E,H196,Invoices!$D:$D)</f>
        <v>0</v>
      </c>
      <c r="N196" s="1234">
        <f>SUMIF(Accruals!$H:$H,H196,Accruals!$K:$K)</f>
        <v>0</v>
      </c>
      <c r="O196" s="1235">
        <f t="shared" si="4"/>
        <v>0</v>
      </c>
      <c r="P196" s="1479"/>
    </row>
    <row r="197" spans="1:16">
      <c r="A197" s="1472"/>
      <c r="B197" s="1472"/>
      <c r="C197" s="1473"/>
      <c r="D197" s="1472"/>
      <c r="E197" s="1472"/>
      <c r="F197" s="1472"/>
      <c r="G197" s="1464"/>
      <c r="H197" s="1472"/>
      <c r="I197" s="1472"/>
      <c r="J197" s="1459"/>
      <c r="K197" s="1459"/>
      <c r="L197" s="1474"/>
      <c r="M197" s="1234">
        <f>SUMIF(Invoices!$E:$E,H197,Invoices!$D:$D)</f>
        <v>0</v>
      </c>
      <c r="N197" s="1234">
        <f>SUMIF(Accruals!$H:$H,H197,Accruals!$K:$K)</f>
        <v>0</v>
      </c>
      <c r="O197" s="1235">
        <f t="shared" si="4"/>
        <v>0</v>
      </c>
      <c r="P197" s="1479"/>
    </row>
    <row r="198" spans="1:16">
      <c r="A198" s="1472"/>
      <c r="B198" s="1472"/>
      <c r="C198" s="1473"/>
      <c r="D198" s="1472"/>
      <c r="E198" s="1472"/>
      <c r="F198" s="1472"/>
      <c r="G198" s="1464"/>
      <c r="H198" s="1472"/>
      <c r="I198" s="1472"/>
      <c r="J198" s="1459"/>
      <c r="K198" s="1459"/>
      <c r="L198" s="1474"/>
      <c r="M198" s="1234">
        <f>SUMIF(Invoices!$E:$E,H198,Invoices!$D:$D)</f>
        <v>0</v>
      </c>
      <c r="N198" s="1234">
        <f>SUMIF(Accruals!$H:$H,H198,Accruals!$K:$K)</f>
        <v>0</v>
      </c>
      <c r="O198" s="1235">
        <f t="shared" si="4"/>
        <v>0</v>
      </c>
      <c r="P198" s="1479"/>
    </row>
    <row r="199" spans="1:16">
      <c r="A199" s="1472"/>
      <c r="B199" s="1472"/>
      <c r="C199" s="1473"/>
      <c r="D199" s="1472"/>
      <c r="E199" s="1472"/>
      <c r="F199" s="1472"/>
      <c r="G199" s="1464"/>
      <c r="H199" s="1472"/>
      <c r="I199" s="1472"/>
      <c r="J199" s="1459"/>
      <c r="K199" s="1459"/>
      <c r="L199" s="1474"/>
      <c r="M199" s="1234">
        <f>SUMIF(Invoices!$E:$E,H199,Invoices!$D:$D)</f>
        <v>0</v>
      </c>
      <c r="N199" s="1234">
        <f>SUMIF(Accruals!$H:$H,H199,Accruals!$K:$K)</f>
        <v>0</v>
      </c>
      <c r="O199" s="1235">
        <f t="shared" si="4"/>
        <v>0</v>
      </c>
      <c r="P199" s="1479"/>
    </row>
    <row r="200" spans="1:16">
      <c r="A200" s="1472"/>
      <c r="B200" s="1472"/>
      <c r="C200" s="1473"/>
      <c r="D200" s="1472"/>
      <c r="E200" s="1472"/>
      <c r="F200" s="1472"/>
      <c r="G200" s="1464"/>
      <c r="H200" s="1472"/>
      <c r="I200" s="1472"/>
      <c r="J200" s="1459"/>
      <c r="K200" s="1459"/>
      <c r="L200" s="1474"/>
      <c r="M200" s="1234">
        <f>SUMIF(Invoices!$E:$E,H200,Invoices!$D:$D)</f>
        <v>0</v>
      </c>
      <c r="N200" s="1234">
        <f>SUMIF(Accruals!$H:$H,H200,Accruals!$K:$K)</f>
        <v>0</v>
      </c>
      <c r="O200" s="1235">
        <f t="shared" si="4"/>
        <v>0</v>
      </c>
      <c r="P200" s="1479"/>
    </row>
    <row r="201" spans="1:16">
      <c r="A201" s="1472"/>
      <c r="B201" s="1472"/>
      <c r="C201" s="1473"/>
      <c r="D201" s="1472"/>
      <c r="E201" s="1472"/>
      <c r="F201" s="1472"/>
      <c r="G201" s="1464"/>
      <c r="H201" s="1472"/>
      <c r="I201" s="1472"/>
      <c r="J201" s="1459"/>
      <c r="K201" s="1459"/>
      <c r="L201" s="1474"/>
      <c r="M201" s="1234">
        <f>SUMIF(Invoices!$E:$E,H201,Invoices!$D:$D)</f>
        <v>0</v>
      </c>
      <c r="N201" s="1234">
        <f>SUMIF(Accruals!$H:$H,H201,Accruals!$K:$K)</f>
        <v>0</v>
      </c>
      <c r="O201" s="1235">
        <f t="shared" si="4"/>
        <v>0</v>
      </c>
      <c r="P201" s="1479"/>
    </row>
    <row r="202" spans="1:16">
      <c r="A202" s="1472"/>
      <c r="B202" s="1472"/>
      <c r="C202" s="1473"/>
      <c r="D202" s="1472"/>
      <c r="E202" s="1472"/>
      <c r="F202" s="1472"/>
      <c r="G202" s="1464"/>
      <c r="H202" s="1472"/>
      <c r="I202" s="1472"/>
      <c r="J202" s="1459"/>
      <c r="K202" s="1459"/>
      <c r="L202" s="1474"/>
      <c r="M202" s="1234">
        <f>SUMIF(Invoices!$E:$E,H202,Invoices!$D:$D)</f>
        <v>0</v>
      </c>
      <c r="N202" s="1234">
        <f>SUMIF(Accruals!$H:$H,H202,Accruals!$K:$K)</f>
        <v>0</v>
      </c>
      <c r="O202" s="1235">
        <f t="shared" si="4"/>
        <v>0</v>
      </c>
      <c r="P202" s="1479"/>
    </row>
    <row r="203" spans="1:16">
      <c r="A203" s="1472"/>
      <c r="B203" s="1472"/>
      <c r="C203" s="1473"/>
      <c r="D203" s="1472"/>
      <c r="E203" s="1472"/>
      <c r="F203" s="1472"/>
      <c r="G203" s="1464"/>
      <c r="H203" s="1472"/>
      <c r="I203" s="1472"/>
      <c r="J203" s="1459"/>
      <c r="K203" s="1459"/>
      <c r="L203" s="1474"/>
      <c r="M203" s="1234">
        <f>SUMIF(Invoices!$E:$E,H203,Invoices!$D:$D)</f>
        <v>0</v>
      </c>
      <c r="N203" s="1234">
        <f>SUMIF(Accruals!$H:$H,H203,Accruals!$K:$K)</f>
        <v>0</v>
      </c>
      <c r="O203" s="1235">
        <f t="shared" si="4"/>
        <v>0</v>
      </c>
      <c r="P203" s="1479"/>
    </row>
    <row r="204" spans="1:16">
      <c r="A204" s="1472"/>
      <c r="B204" s="1472"/>
      <c r="C204" s="1473"/>
      <c r="D204" s="1472"/>
      <c r="E204" s="1472"/>
      <c r="F204" s="1472"/>
      <c r="G204" s="1464"/>
      <c r="H204" s="1472"/>
      <c r="I204" s="1472"/>
      <c r="J204" s="1459"/>
      <c r="K204" s="1459"/>
      <c r="L204" s="1474"/>
      <c r="M204" s="1234">
        <f>SUMIF(Invoices!$E:$E,H204,Invoices!$D:$D)</f>
        <v>0</v>
      </c>
      <c r="N204" s="1234">
        <f>SUMIF(Accruals!$H:$H,H204,Accruals!$K:$K)</f>
        <v>0</v>
      </c>
      <c r="O204" s="1235">
        <f t="shared" si="4"/>
        <v>0</v>
      </c>
      <c r="P204" s="1479"/>
    </row>
    <row r="205" spans="1:16">
      <c r="A205" s="1472"/>
      <c r="B205" s="1472"/>
      <c r="C205" s="1473"/>
      <c r="D205" s="1472"/>
      <c r="E205" s="1472"/>
      <c r="F205" s="1472"/>
      <c r="G205" s="1464"/>
      <c r="H205" s="1472"/>
      <c r="I205" s="1472"/>
      <c r="J205" s="1459"/>
      <c r="K205" s="1459"/>
      <c r="L205" s="1474"/>
      <c r="M205" s="1234">
        <f>SUMIF(Invoices!$E:$E,H205,Invoices!$D:$D)</f>
        <v>0</v>
      </c>
      <c r="N205" s="1234">
        <f>SUMIF(Accruals!$H:$H,H205,Accruals!$K:$K)</f>
        <v>0</v>
      </c>
      <c r="O205" s="1235">
        <f t="shared" si="4"/>
        <v>0</v>
      </c>
      <c r="P205" s="1479"/>
    </row>
    <row r="206" spans="1:16">
      <c r="A206" s="1472"/>
      <c r="B206" s="1472"/>
      <c r="C206" s="1473"/>
      <c r="D206" s="1472"/>
      <c r="E206" s="1472"/>
      <c r="F206" s="1472"/>
      <c r="G206" s="1464"/>
      <c r="H206" s="1472"/>
      <c r="I206" s="1472"/>
      <c r="J206" s="1459"/>
      <c r="K206" s="1459"/>
      <c r="L206" s="1474"/>
      <c r="M206" s="1234">
        <f>SUMIF(Invoices!$E:$E,H206,Invoices!$D:$D)</f>
        <v>0</v>
      </c>
      <c r="N206" s="1234">
        <f>SUMIF(Accruals!$H:$H,H206,Accruals!$K:$K)</f>
        <v>0</v>
      </c>
      <c r="O206" s="1235">
        <f t="shared" si="4"/>
        <v>0</v>
      </c>
      <c r="P206" s="1479"/>
    </row>
    <row r="207" spans="1:16">
      <c r="A207" s="1472"/>
      <c r="B207" s="1472"/>
      <c r="C207" s="1473"/>
      <c r="D207" s="1472"/>
      <c r="E207" s="1472"/>
      <c r="F207" s="1472"/>
      <c r="G207" s="1464"/>
      <c r="H207" s="1472"/>
      <c r="I207" s="1472"/>
      <c r="J207" s="1459"/>
      <c r="K207" s="1459"/>
      <c r="L207" s="1474"/>
      <c r="M207" s="1234">
        <f>SUMIF(Invoices!$E:$E,H207,Invoices!$D:$D)</f>
        <v>0</v>
      </c>
      <c r="N207" s="1234">
        <f>SUMIF(Accruals!$H:$H,H207,Accruals!$K:$K)</f>
        <v>0</v>
      </c>
      <c r="O207" s="1235">
        <f t="shared" si="4"/>
        <v>0</v>
      </c>
      <c r="P207" s="1479"/>
    </row>
    <row r="208" spans="1:16">
      <c r="A208" s="1472"/>
      <c r="B208" s="1472"/>
      <c r="C208" s="1473"/>
      <c r="D208" s="1472"/>
      <c r="E208" s="1472"/>
      <c r="F208" s="1472"/>
      <c r="G208" s="1464"/>
      <c r="H208" s="1472"/>
      <c r="I208" s="1472"/>
      <c r="J208" s="1459"/>
      <c r="K208" s="1459"/>
      <c r="L208" s="1474"/>
      <c r="M208" s="1234">
        <f>SUMIF(Invoices!$E:$E,H208,Invoices!$D:$D)</f>
        <v>0</v>
      </c>
      <c r="N208" s="1234">
        <f>SUMIF(Accruals!$H:$H,H208,Accruals!$K:$K)</f>
        <v>0</v>
      </c>
      <c r="O208" s="1235">
        <f t="shared" si="4"/>
        <v>0</v>
      </c>
      <c r="P208" s="1479"/>
    </row>
    <row r="209" spans="1:16">
      <c r="A209" s="1472"/>
      <c r="B209" s="1472"/>
      <c r="C209" s="1473"/>
      <c r="D209" s="1472"/>
      <c r="E209" s="1472"/>
      <c r="F209" s="1472"/>
      <c r="G209" s="1464"/>
      <c r="H209" s="1472"/>
      <c r="I209" s="1472"/>
      <c r="J209" s="1459"/>
      <c r="K209" s="1459"/>
      <c r="L209" s="1474"/>
      <c r="M209" s="1234">
        <f>SUMIF(Invoices!$E:$E,H209,Invoices!$D:$D)</f>
        <v>0</v>
      </c>
      <c r="N209" s="1234">
        <f>SUMIF(Accruals!$H:$H,H209,Accruals!$K:$K)</f>
        <v>0</v>
      </c>
      <c r="O209" s="1235">
        <f t="shared" si="4"/>
        <v>0</v>
      </c>
      <c r="P209" s="1479"/>
    </row>
    <row r="210" spans="1:16">
      <c r="A210" s="1472"/>
      <c r="B210" s="1472"/>
      <c r="C210" s="1473"/>
      <c r="D210" s="1472"/>
      <c r="E210" s="1472"/>
      <c r="F210" s="1472"/>
      <c r="G210" s="1464"/>
      <c r="H210" s="1472"/>
      <c r="I210" s="1472"/>
      <c r="J210" s="1459"/>
      <c r="K210" s="1459"/>
      <c r="L210" s="1474"/>
      <c r="M210" s="1234">
        <f>SUMIF(Invoices!$E:$E,H210,Invoices!$D:$D)</f>
        <v>0</v>
      </c>
      <c r="N210" s="1234">
        <f>SUMIF(Accruals!$H:$H,H210,Accruals!$K:$K)</f>
        <v>0</v>
      </c>
      <c r="O210" s="1235">
        <f t="shared" si="4"/>
        <v>0</v>
      </c>
      <c r="P210" s="1479"/>
    </row>
    <row r="211" spans="1:16">
      <c r="A211" s="1472"/>
      <c r="B211" s="1472"/>
      <c r="C211" s="1473"/>
      <c r="D211" s="1472"/>
      <c r="E211" s="1472"/>
      <c r="F211" s="1472"/>
      <c r="G211" s="1464"/>
      <c r="H211" s="1472"/>
      <c r="I211" s="1472"/>
      <c r="J211" s="1459"/>
      <c r="K211" s="1459"/>
      <c r="L211" s="1474"/>
      <c r="M211" s="1234">
        <f>SUMIF(Invoices!$E:$E,H211,Invoices!$D:$D)</f>
        <v>0</v>
      </c>
      <c r="N211" s="1234">
        <f>SUMIF(Accruals!$H:$H,H211,Accruals!$K:$K)</f>
        <v>0</v>
      </c>
      <c r="O211" s="1235">
        <f t="shared" si="4"/>
        <v>0</v>
      </c>
      <c r="P211" s="1479"/>
    </row>
    <row r="212" spans="1:16">
      <c r="A212" s="1472"/>
      <c r="B212" s="1472"/>
      <c r="C212" s="1473"/>
      <c r="D212" s="1472"/>
      <c r="E212" s="1472"/>
      <c r="F212" s="1472"/>
      <c r="G212" s="1464"/>
      <c r="H212" s="1472"/>
      <c r="I212" s="1472"/>
      <c r="J212" s="1459"/>
      <c r="K212" s="1459"/>
      <c r="L212" s="1474"/>
      <c r="M212" s="1234">
        <f>SUMIF(Invoices!$E:$E,H212,Invoices!$D:$D)</f>
        <v>0</v>
      </c>
      <c r="N212" s="1234">
        <f>SUMIF(Accruals!$H:$H,H212,Accruals!$K:$K)</f>
        <v>0</v>
      </c>
      <c r="O212" s="1235">
        <f t="shared" si="4"/>
        <v>0</v>
      </c>
      <c r="P212" s="1479"/>
    </row>
    <row r="213" spans="1:16">
      <c r="A213" s="1472"/>
      <c r="B213" s="1472"/>
      <c r="C213" s="1473"/>
      <c r="D213" s="1472"/>
      <c r="E213" s="1472"/>
      <c r="F213" s="1472"/>
      <c r="G213" s="1464"/>
      <c r="H213" s="1472"/>
      <c r="I213" s="1472"/>
      <c r="J213" s="1459"/>
      <c r="K213" s="1459"/>
      <c r="L213" s="1474"/>
      <c r="M213" s="1234">
        <f>SUMIF(Invoices!$E:$E,H213,Invoices!$D:$D)</f>
        <v>0</v>
      </c>
      <c r="N213" s="1234">
        <f>SUMIF(Accruals!$H:$H,H213,Accruals!$K:$K)</f>
        <v>0</v>
      </c>
      <c r="O213" s="1235">
        <f t="shared" si="4"/>
        <v>0</v>
      </c>
      <c r="P213" s="1479"/>
    </row>
    <row r="214" spans="1:16">
      <c r="A214" s="1472"/>
      <c r="B214" s="1472"/>
      <c r="C214" s="1473"/>
      <c r="D214" s="1472"/>
      <c r="E214" s="1472"/>
      <c r="F214" s="1472"/>
      <c r="G214" s="1464"/>
      <c r="H214" s="1472"/>
      <c r="I214" s="1472"/>
      <c r="J214" s="1459"/>
      <c r="K214" s="1459"/>
      <c r="L214" s="1474"/>
      <c r="M214" s="1234">
        <f>SUMIF(Invoices!$E:$E,H214,Invoices!$D:$D)</f>
        <v>0</v>
      </c>
      <c r="N214" s="1234">
        <f>SUMIF(Accruals!$H:$H,H214,Accruals!$K:$K)</f>
        <v>0</v>
      </c>
      <c r="O214" s="1235">
        <f t="shared" si="4"/>
        <v>0</v>
      </c>
      <c r="P214" s="1479"/>
    </row>
    <row r="215" spans="1:16">
      <c r="A215" s="1472"/>
      <c r="B215" s="1472"/>
      <c r="C215" s="1473"/>
      <c r="D215" s="1472"/>
      <c r="E215" s="1472"/>
      <c r="F215" s="1472"/>
      <c r="G215" s="1464"/>
      <c r="H215" s="1472"/>
      <c r="I215" s="1472"/>
      <c r="J215" s="1459"/>
      <c r="K215" s="1459"/>
      <c r="L215" s="1474"/>
      <c r="M215" s="1234">
        <f>SUMIF(Invoices!$E:$E,H215,Invoices!$D:$D)</f>
        <v>0</v>
      </c>
      <c r="N215" s="1234">
        <f>SUMIF(Accruals!$H:$H,H215,Accruals!$K:$K)</f>
        <v>0</v>
      </c>
      <c r="O215" s="1235">
        <f t="shared" si="4"/>
        <v>0</v>
      </c>
      <c r="P215" s="1479"/>
    </row>
    <row r="216" spans="1:16">
      <c r="A216" s="1472"/>
      <c r="B216" s="1472"/>
      <c r="C216" s="1473"/>
      <c r="D216" s="1472"/>
      <c r="E216" s="1472"/>
      <c r="F216" s="1472"/>
      <c r="G216" s="1464"/>
      <c r="H216" s="1472"/>
      <c r="I216" s="1472"/>
      <c r="J216" s="1459"/>
      <c r="K216" s="1459"/>
      <c r="L216" s="1474"/>
      <c r="M216" s="1234">
        <f>SUMIF(Invoices!$E:$E,H216,Invoices!$D:$D)</f>
        <v>0</v>
      </c>
      <c r="N216" s="1234">
        <f>SUMIF(Accruals!$H:$H,H216,Accruals!$K:$K)</f>
        <v>0</v>
      </c>
      <c r="O216" s="1235">
        <f t="shared" si="4"/>
        <v>0</v>
      </c>
      <c r="P216" s="1479"/>
    </row>
    <row r="217" spans="1:16">
      <c r="A217" s="1472"/>
      <c r="B217" s="1472"/>
      <c r="C217" s="1473"/>
      <c r="D217" s="1472"/>
      <c r="E217" s="1472"/>
      <c r="F217" s="1472"/>
      <c r="G217" s="1464"/>
      <c r="H217" s="1472"/>
      <c r="I217" s="1472"/>
      <c r="J217" s="1459"/>
      <c r="K217" s="1459"/>
      <c r="L217" s="1474"/>
      <c r="M217" s="1234">
        <f>SUMIF(Invoices!$E:$E,H217,Invoices!$D:$D)</f>
        <v>0</v>
      </c>
      <c r="N217" s="1234">
        <f>SUMIF(Accruals!$H:$H,H217,Accruals!$K:$K)</f>
        <v>0</v>
      </c>
      <c r="O217" s="1235">
        <f t="shared" si="4"/>
        <v>0</v>
      </c>
      <c r="P217" s="1479"/>
    </row>
    <row r="218" spans="1:16">
      <c r="A218" s="1472"/>
      <c r="B218" s="1472"/>
      <c r="C218" s="1473"/>
      <c r="D218" s="1472"/>
      <c r="E218" s="1472"/>
      <c r="F218" s="1472"/>
      <c r="G218" s="1464"/>
      <c r="H218" s="1472"/>
      <c r="I218" s="1472"/>
      <c r="J218" s="1459"/>
      <c r="K218" s="1459"/>
      <c r="L218" s="1474"/>
      <c r="M218" s="1234">
        <f>SUMIF(Invoices!$E:$E,H218,Invoices!$D:$D)</f>
        <v>0</v>
      </c>
      <c r="N218" s="1234">
        <f>SUMIF(Accruals!$H:$H,H218,Accruals!$K:$K)</f>
        <v>0</v>
      </c>
      <c r="O218" s="1235">
        <f t="shared" si="4"/>
        <v>0</v>
      </c>
      <c r="P218" s="1479"/>
    </row>
    <row r="219" spans="1:16">
      <c r="A219" s="1472"/>
      <c r="B219" s="1472"/>
      <c r="C219" s="1473"/>
      <c r="D219" s="1472"/>
      <c r="E219" s="1472"/>
      <c r="F219" s="1472"/>
      <c r="G219" s="1464"/>
      <c r="H219" s="1472"/>
      <c r="I219" s="1472"/>
      <c r="J219" s="1459"/>
      <c r="K219" s="1459"/>
      <c r="L219" s="1474"/>
      <c r="M219" s="1234">
        <f>SUMIF(Invoices!$E:$E,H219,Invoices!$D:$D)</f>
        <v>0</v>
      </c>
      <c r="N219" s="1234">
        <f>SUMIF(Accruals!$H:$H,H219,Accruals!$K:$K)</f>
        <v>0</v>
      </c>
      <c r="O219" s="1235">
        <f t="shared" si="4"/>
        <v>0</v>
      </c>
      <c r="P219" s="1479"/>
    </row>
    <row r="220" spans="1:16">
      <c r="A220" s="1472"/>
      <c r="B220" s="1472"/>
      <c r="C220" s="1473"/>
      <c r="D220" s="1472"/>
      <c r="E220" s="1472"/>
      <c r="F220" s="1472"/>
      <c r="G220" s="1464"/>
      <c r="H220" s="1472"/>
      <c r="I220" s="1472"/>
      <c r="J220" s="1459"/>
      <c r="K220" s="1459"/>
      <c r="L220" s="1474"/>
      <c r="M220" s="1234">
        <f>SUMIF(Invoices!$E:$E,H220,Invoices!$D:$D)</f>
        <v>0</v>
      </c>
      <c r="N220" s="1234">
        <f>SUMIF(Accruals!$H:$H,H220,Accruals!$K:$K)</f>
        <v>0</v>
      </c>
      <c r="O220" s="1235">
        <f t="shared" si="4"/>
        <v>0</v>
      </c>
      <c r="P220" s="1479"/>
    </row>
    <row r="221" spans="1:16">
      <c r="A221" s="1472"/>
      <c r="B221" s="1472"/>
      <c r="C221" s="1473"/>
      <c r="D221" s="1472"/>
      <c r="E221" s="1472"/>
      <c r="F221" s="1472"/>
      <c r="G221" s="1464"/>
      <c r="H221" s="1472"/>
      <c r="I221" s="1472"/>
      <c r="J221" s="1459"/>
      <c r="K221" s="1459"/>
      <c r="L221" s="1474"/>
      <c r="M221" s="1234">
        <f>SUMIF(Invoices!$E:$E,H221,Invoices!$D:$D)</f>
        <v>0</v>
      </c>
      <c r="N221" s="1234">
        <f>SUMIF(Accruals!$H:$H,H221,Accruals!$K:$K)</f>
        <v>0</v>
      </c>
      <c r="O221" s="1235">
        <f t="shared" si="4"/>
        <v>0</v>
      </c>
      <c r="P221" s="1479"/>
    </row>
    <row r="222" spans="1:16">
      <c r="A222" s="1472"/>
      <c r="B222" s="1472"/>
      <c r="C222" s="1473"/>
      <c r="D222" s="1472"/>
      <c r="E222" s="1472"/>
      <c r="F222" s="1472"/>
      <c r="G222" s="1464"/>
      <c r="H222" s="1472"/>
      <c r="I222" s="1472"/>
      <c r="J222" s="1459"/>
      <c r="K222" s="1459"/>
      <c r="L222" s="1474"/>
      <c r="M222" s="1234">
        <f>SUMIF(Invoices!$E:$E,H222,Invoices!$D:$D)</f>
        <v>0</v>
      </c>
      <c r="N222" s="1234">
        <f>SUMIF(Accruals!$H:$H,H222,Accruals!$K:$K)</f>
        <v>0</v>
      </c>
      <c r="O222" s="1235">
        <f t="shared" si="4"/>
        <v>0</v>
      </c>
      <c r="P222" s="1479"/>
    </row>
    <row r="223" spans="1:16">
      <c r="A223" s="1472"/>
      <c r="B223" s="1472"/>
      <c r="C223" s="1473"/>
      <c r="D223" s="1472"/>
      <c r="E223" s="1472"/>
      <c r="F223" s="1472"/>
      <c r="G223" s="1464"/>
      <c r="H223" s="1472"/>
      <c r="I223" s="1472"/>
      <c r="J223" s="1459"/>
      <c r="K223" s="1459"/>
      <c r="L223" s="1474"/>
      <c r="M223" s="1234">
        <f>SUMIF(Invoices!$E:$E,H223,Invoices!$D:$D)</f>
        <v>0</v>
      </c>
      <c r="N223" s="1234">
        <f>SUMIF(Accruals!$H:$H,H223,Accruals!$K:$K)</f>
        <v>0</v>
      </c>
      <c r="O223" s="1235">
        <f t="shared" si="4"/>
        <v>0</v>
      </c>
      <c r="P223" s="1479"/>
    </row>
    <row r="224" spans="1:16">
      <c r="A224" s="1472"/>
      <c r="B224" s="1472"/>
      <c r="C224" s="1473"/>
      <c r="D224" s="1472"/>
      <c r="E224" s="1472"/>
      <c r="F224" s="1472"/>
      <c r="G224" s="1464"/>
      <c r="H224" s="1472"/>
      <c r="I224" s="1472"/>
      <c r="J224" s="1459"/>
      <c r="K224" s="1459"/>
      <c r="L224" s="1474"/>
      <c r="M224" s="1234">
        <f>SUMIF(Invoices!$E:$E,H224,Invoices!$D:$D)</f>
        <v>0</v>
      </c>
      <c r="N224" s="1234">
        <f>SUMIF(Accruals!$H:$H,H224,Accruals!$K:$K)</f>
        <v>0</v>
      </c>
      <c r="O224" s="1235">
        <f t="shared" si="4"/>
        <v>0</v>
      </c>
      <c r="P224" s="1479"/>
    </row>
    <row r="225" spans="1:16">
      <c r="A225" s="1472"/>
      <c r="B225" s="1472"/>
      <c r="C225" s="1473"/>
      <c r="D225" s="1472"/>
      <c r="E225" s="1472"/>
      <c r="F225" s="1472"/>
      <c r="G225" s="1464"/>
      <c r="H225" s="1472"/>
      <c r="I225" s="1472"/>
      <c r="J225" s="1459"/>
      <c r="K225" s="1459"/>
      <c r="L225" s="1474"/>
      <c r="M225" s="1234">
        <f>SUMIF(Invoices!$E:$E,H225,Invoices!$D:$D)</f>
        <v>0</v>
      </c>
      <c r="N225" s="1234">
        <f>SUMIF(Accruals!$H:$H,H225,Accruals!$K:$K)</f>
        <v>0</v>
      </c>
      <c r="O225" s="1235">
        <f t="shared" si="4"/>
        <v>0</v>
      </c>
      <c r="P225" s="1479"/>
    </row>
    <row r="226" spans="1:16">
      <c r="A226" s="1472"/>
      <c r="B226" s="1472"/>
      <c r="C226" s="1473"/>
      <c r="D226" s="1472"/>
      <c r="E226" s="1472"/>
      <c r="F226" s="1472"/>
      <c r="G226" s="1464"/>
      <c r="H226" s="1472"/>
      <c r="I226" s="1472"/>
      <c r="J226" s="1459"/>
      <c r="K226" s="1459"/>
      <c r="L226" s="1474"/>
      <c r="M226" s="1234">
        <f>SUMIF(Invoices!$E:$E,H226,Invoices!$D:$D)</f>
        <v>0</v>
      </c>
      <c r="N226" s="1234">
        <f>SUMIF(Accruals!$H:$H,H226,Accruals!$K:$K)</f>
        <v>0</v>
      </c>
      <c r="O226" s="1235">
        <f t="shared" si="4"/>
        <v>0</v>
      </c>
      <c r="P226" s="1479"/>
    </row>
    <row r="227" spans="1:16">
      <c r="A227" s="1472"/>
      <c r="B227" s="1472"/>
      <c r="C227" s="1473"/>
      <c r="D227" s="1472"/>
      <c r="E227" s="1472"/>
      <c r="F227" s="1472"/>
      <c r="G227" s="1464"/>
      <c r="H227" s="1472"/>
      <c r="I227" s="1472"/>
      <c r="J227" s="1459"/>
      <c r="K227" s="1459"/>
      <c r="L227" s="1474"/>
      <c r="M227" s="1234">
        <f>SUMIF(Invoices!$E:$E,H227,Invoices!$D:$D)</f>
        <v>0</v>
      </c>
      <c r="N227" s="1234">
        <f>SUMIF(Accruals!$H:$H,H227,Accruals!$K:$K)</f>
        <v>0</v>
      </c>
      <c r="O227" s="1235">
        <f t="shared" si="4"/>
        <v>0</v>
      </c>
      <c r="P227" s="1479"/>
    </row>
    <row r="228" spans="1:16">
      <c r="A228" s="1472"/>
      <c r="B228" s="1472"/>
      <c r="C228" s="1473"/>
      <c r="D228" s="1472"/>
      <c r="E228" s="1472"/>
      <c r="F228" s="1472"/>
      <c r="G228" s="1464"/>
      <c r="H228" s="1472"/>
      <c r="I228" s="1472"/>
      <c r="J228" s="1459"/>
      <c r="K228" s="1459"/>
      <c r="L228" s="1474"/>
      <c r="M228" s="1234">
        <f>SUMIF(Invoices!$E:$E,H228,Invoices!$D:$D)</f>
        <v>0</v>
      </c>
      <c r="N228" s="1234">
        <f>SUMIF(Accruals!$H:$H,H228,Accruals!$K:$K)</f>
        <v>0</v>
      </c>
      <c r="O228" s="1235">
        <f t="shared" si="4"/>
        <v>0</v>
      </c>
      <c r="P228" s="1479"/>
    </row>
    <row r="229" spans="1:16">
      <c r="A229" s="1472"/>
      <c r="B229" s="1472"/>
      <c r="C229" s="1473"/>
      <c r="D229" s="1472"/>
      <c r="E229" s="1472"/>
      <c r="F229" s="1472"/>
      <c r="G229" s="1464"/>
      <c r="H229" s="1472"/>
      <c r="I229" s="1472"/>
      <c r="J229" s="1459"/>
      <c r="K229" s="1459"/>
      <c r="L229" s="1474"/>
      <c r="M229" s="1234">
        <f>SUMIF(Invoices!$E:$E,H229,Invoices!$D:$D)</f>
        <v>0</v>
      </c>
      <c r="N229" s="1234">
        <f>SUMIF(Accruals!$H:$H,H229,Accruals!$K:$K)</f>
        <v>0</v>
      </c>
      <c r="O229" s="1235">
        <f t="shared" ref="O229:O251" si="5">L229-M229-N229</f>
        <v>0</v>
      </c>
      <c r="P229" s="1479"/>
    </row>
    <row r="230" spans="1:16">
      <c r="A230" s="1472"/>
      <c r="B230" s="1472"/>
      <c r="C230" s="1473"/>
      <c r="D230" s="1472"/>
      <c r="E230" s="1472"/>
      <c r="F230" s="1472"/>
      <c r="G230" s="1464"/>
      <c r="H230" s="1472"/>
      <c r="I230" s="1472"/>
      <c r="J230" s="1459"/>
      <c r="K230" s="1459"/>
      <c r="L230" s="1474"/>
      <c r="M230" s="1234">
        <f>SUMIF(Invoices!$E:$E,H230,Invoices!$D:$D)</f>
        <v>0</v>
      </c>
      <c r="N230" s="1234">
        <f>SUMIF(Accruals!$H:$H,H230,Accruals!$K:$K)</f>
        <v>0</v>
      </c>
      <c r="O230" s="1235">
        <f t="shared" si="5"/>
        <v>0</v>
      </c>
      <c r="P230" s="1479"/>
    </row>
    <row r="231" spans="1:16">
      <c r="A231" s="1472"/>
      <c r="B231" s="1472"/>
      <c r="C231" s="1473"/>
      <c r="D231" s="1472"/>
      <c r="E231" s="1472"/>
      <c r="F231" s="1472"/>
      <c r="G231" s="1464"/>
      <c r="H231" s="1472"/>
      <c r="I231" s="1472"/>
      <c r="J231" s="1459"/>
      <c r="K231" s="1459"/>
      <c r="L231" s="1474"/>
      <c r="M231" s="1234">
        <f>SUMIF(Invoices!$E:$E,H231,Invoices!$D:$D)</f>
        <v>0</v>
      </c>
      <c r="N231" s="1234">
        <f>SUMIF(Accruals!$H:$H,H231,Accruals!$K:$K)</f>
        <v>0</v>
      </c>
      <c r="O231" s="1235">
        <f t="shared" si="5"/>
        <v>0</v>
      </c>
      <c r="P231" s="1479"/>
    </row>
    <row r="232" spans="1:16">
      <c r="A232" s="1472"/>
      <c r="B232" s="1472"/>
      <c r="C232" s="1473"/>
      <c r="D232" s="1472"/>
      <c r="E232" s="1472"/>
      <c r="F232" s="1472"/>
      <c r="G232" s="1464"/>
      <c r="H232" s="1472"/>
      <c r="I232" s="1472"/>
      <c r="J232" s="1459"/>
      <c r="K232" s="1459"/>
      <c r="L232" s="1474"/>
      <c r="M232" s="1234">
        <f>SUMIF(Invoices!$E:$E,H232,Invoices!$D:$D)</f>
        <v>0</v>
      </c>
      <c r="N232" s="1234">
        <f>SUMIF(Accruals!$H:$H,H232,Accruals!$K:$K)</f>
        <v>0</v>
      </c>
      <c r="O232" s="1235">
        <f t="shared" si="5"/>
        <v>0</v>
      </c>
      <c r="P232" s="1479"/>
    </row>
    <row r="233" spans="1:16">
      <c r="A233" s="1472"/>
      <c r="B233" s="1472"/>
      <c r="C233" s="1473"/>
      <c r="D233" s="1472"/>
      <c r="E233" s="1472"/>
      <c r="F233" s="1472"/>
      <c r="G233" s="1464"/>
      <c r="H233" s="1472"/>
      <c r="I233" s="1472"/>
      <c r="J233" s="1459"/>
      <c r="K233" s="1459"/>
      <c r="L233" s="1474"/>
      <c r="M233" s="1234">
        <f>SUMIF(Invoices!$E:$E,H233,Invoices!$D:$D)</f>
        <v>0</v>
      </c>
      <c r="N233" s="1234">
        <f>SUMIF(Accruals!$H:$H,H233,Accruals!$K:$K)</f>
        <v>0</v>
      </c>
      <c r="O233" s="1235">
        <f t="shared" si="5"/>
        <v>0</v>
      </c>
      <c r="P233" s="1479"/>
    </row>
    <row r="234" spans="1:16">
      <c r="A234" s="1472"/>
      <c r="B234" s="1472"/>
      <c r="C234" s="1473"/>
      <c r="D234" s="1472"/>
      <c r="E234" s="1472"/>
      <c r="F234" s="1472"/>
      <c r="G234" s="1464"/>
      <c r="H234" s="1472"/>
      <c r="I234" s="1472"/>
      <c r="J234" s="1459"/>
      <c r="K234" s="1459"/>
      <c r="L234" s="1474"/>
      <c r="M234" s="1234">
        <f>SUMIF(Invoices!$E:$E,H234,Invoices!$D:$D)</f>
        <v>0</v>
      </c>
      <c r="N234" s="1234">
        <f>SUMIF(Accruals!$H:$H,H234,Accruals!$K:$K)</f>
        <v>0</v>
      </c>
      <c r="O234" s="1235">
        <f t="shared" si="5"/>
        <v>0</v>
      </c>
      <c r="P234" s="1479"/>
    </row>
    <row r="235" spans="1:16">
      <c r="A235" s="1472"/>
      <c r="B235" s="1472"/>
      <c r="C235" s="1473"/>
      <c r="D235" s="1472"/>
      <c r="E235" s="1472"/>
      <c r="F235" s="1472"/>
      <c r="G235" s="1464"/>
      <c r="H235" s="1472"/>
      <c r="I235" s="1472"/>
      <c r="J235" s="1459"/>
      <c r="K235" s="1459"/>
      <c r="L235" s="1474"/>
      <c r="M235" s="1234">
        <f>SUMIF(Invoices!$E:$E,H235,Invoices!$D:$D)</f>
        <v>0</v>
      </c>
      <c r="N235" s="1234">
        <f>SUMIF(Accruals!$H:$H,H235,Accruals!$K:$K)</f>
        <v>0</v>
      </c>
      <c r="O235" s="1235">
        <f t="shared" si="5"/>
        <v>0</v>
      </c>
      <c r="P235" s="1479"/>
    </row>
    <row r="236" spans="1:16">
      <c r="A236" s="1472"/>
      <c r="B236" s="1472"/>
      <c r="C236" s="1473"/>
      <c r="D236" s="1472"/>
      <c r="E236" s="1472"/>
      <c r="F236" s="1472"/>
      <c r="G236" s="1464"/>
      <c r="H236" s="1472"/>
      <c r="I236" s="1472"/>
      <c r="J236" s="1459"/>
      <c r="K236" s="1459"/>
      <c r="L236" s="1474"/>
      <c r="M236" s="1234">
        <f>SUMIF(Invoices!$E:$E,H236,Invoices!$D:$D)</f>
        <v>0</v>
      </c>
      <c r="N236" s="1234">
        <f>SUMIF(Accruals!$H:$H,H236,Accruals!$K:$K)</f>
        <v>0</v>
      </c>
      <c r="O236" s="1235">
        <f t="shared" si="5"/>
        <v>0</v>
      </c>
      <c r="P236" s="1479"/>
    </row>
    <row r="237" spans="1:16">
      <c r="A237" s="1472"/>
      <c r="B237" s="1472"/>
      <c r="C237" s="1473"/>
      <c r="D237" s="1472"/>
      <c r="E237" s="1472"/>
      <c r="F237" s="1472"/>
      <c r="G237" s="1464"/>
      <c r="H237" s="1472"/>
      <c r="I237" s="1472"/>
      <c r="J237" s="1459"/>
      <c r="K237" s="1459"/>
      <c r="L237" s="1474"/>
      <c r="M237" s="1234">
        <f>SUMIF(Invoices!$E:$E,H237,Invoices!$D:$D)</f>
        <v>0</v>
      </c>
      <c r="N237" s="1234">
        <f>SUMIF(Accruals!$H:$H,H237,Accruals!$K:$K)</f>
        <v>0</v>
      </c>
      <c r="O237" s="1235">
        <f t="shared" si="5"/>
        <v>0</v>
      </c>
      <c r="P237" s="1479"/>
    </row>
    <row r="238" spans="1:16">
      <c r="A238" s="1472"/>
      <c r="B238" s="1472"/>
      <c r="C238" s="1473"/>
      <c r="D238" s="1472"/>
      <c r="E238" s="1472"/>
      <c r="F238" s="1472"/>
      <c r="G238" s="1464"/>
      <c r="H238" s="1472"/>
      <c r="I238" s="1472"/>
      <c r="J238" s="1459"/>
      <c r="K238" s="1459"/>
      <c r="L238" s="1474"/>
      <c r="M238" s="1234">
        <f>SUMIF(Invoices!$E:$E,H238,Invoices!$D:$D)</f>
        <v>0</v>
      </c>
      <c r="N238" s="1234">
        <f>SUMIF(Accruals!$H:$H,H238,Accruals!$K:$K)</f>
        <v>0</v>
      </c>
      <c r="O238" s="1235">
        <f t="shared" si="5"/>
        <v>0</v>
      </c>
      <c r="P238" s="1479"/>
    </row>
    <row r="239" spans="1:16">
      <c r="A239" s="1472"/>
      <c r="B239" s="1472"/>
      <c r="C239" s="1473"/>
      <c r="D239" s="1472"/>
      <c r="E239" s="1472"/>
      <c r="F239" s="1472"/>
      <c r="G239" s="1464"/>
      <c r="H239" s="1472"/>
      <c r="I239" s="1472"/>
      <c r="J239" s="1459"/>
      <c r="K239" s="1459"/>
      <c r="L239" s="1474"/>
      <c r="M239" s="1234">
        <f>SUMIF(Invoices!$E:$E,H239,Invoices!$D:$D)</f>
        <v>0</v>
      </c>
      <c r="N239" s="1234">
        <f>SUMIF(Accruals!$H:$H,H239,Accruals!$K:$K)</f>
        <v>0</v>
      </c>
      <c r="O239" s="1235">
        <f t="shared" si="5"/>
        <v>0</v>
      </c>
      <c r="P239" s="1479"/>
    </row>
    <row r="240" spans="1:16">
      <c r="A240" s="1472"/>
      <c r="B240" s="1472"/>
      <c r="C240" s="1473"/>
      <c r="D240" s="1472"/>
      <c r="E240" s="1472"/>
      <c r="F240" s="1472"/>
      <c r="G240" s="1464"/>
      <c r="H240" s="1472"/>
      <c r="I240" s="1472"/>
      <c r="J240" s="1459"/>
      <c r="K240" s="1459"/>
      <c r="L240" s="1474"/>
      <c r="M240" s="1234">
        <f>SUMIF(Invoices!$E:$E,H240,Invoices!$D:$D)</f>
        <v>0</v>
      </c>
      <c r="N240" s="1234">
        <f>SUMIF(Accruals!$H:$H,H240,Accruals!$K:$K)</f>
        <v>0</v>
      </c>
      <c r="O240" s="1235">
        <f t="shared" si="5"/>
        <v>0</v>
      </c>
      <c r="P240" s="1479"/>
    </row>
    <row r="241" spans="1:16">
      <c r="A241" s="1472"/>
      <c r="B241" s="1472"/>
      <c r="C241" s="1473"/>
      <c r="D241" s="1472"/>
      <c r="E241" s="1472"/>
      <c r="F241" s="1472"/>
      <c r="G241" s="1464"/>
      <c r="H241" s="1472"/>
      <c r="I241" s="1472"/>
      <c r="J241" s="1459"/>
      <c r="K241" s="1459"/>
      <c r="L241" s="1474"/>
      <c r="M241" s="1234">
        <f>SUMIF(Invoices!$E:$E,H241,Invoices!$D:$D)</f>
        <v>0</v>
      </c>
      <c r="N241" s="1234">
        <f>SUMIF(Accruals!$H:$H,H241,Accruals!$K:$K)</f>
        <v>0</v>
      </c>
      <c r="O241" s="1235">
        <f t="shared" si="5"/>
        <v>0</v>
      </c>
      <c r="P241" s="1479"/>
    </row>
    <row r="242" spans="1:16">
      <c r="A242" s="1472"/>
      <c r="B242" s="1472"/>
      <c r="C242" s="1473"/>
      <c r="D242" s="1472"/>
      <c r="E242" s="1472"/>
      <c r="F242" s="1472"/>
      <c r="G242" s="1464"/>
      <c r="H242" s="1472"/>
      <c r="I242" s="1472"/>
      <c r="J242" s="1459"/>
      <c r="K242" s="1459"/>
      <c r="L242" s="1474"/>
      <c r="M242" s="1234">
        <f>SUMIF(Invoices!$E:$E,H242,Invoices!$D:$D)</f>
        <v>0</v>
      </c>
      <c r="N242" s="1234">
        <f>SUMIF(Accruals!$H:$H,H242,Accruals!$K:$K)</f>
        <v>0</v>
      </c>
      <c r="O242" s="1235">
        <f t="shared" si="5"/>
        <v>0</v>
      </c>
      <c r="P242" s="1479"/>
    </row>
    <row r="243" spans="1:16">
      <c r="A243" s="1472"/>
      <c r="B243" s="1472"/>
      <c r="C243" s="1473"/>
      <c r="D243" s="1472"/>
      <c r="E243" s="1472"/>
      <c r="F243" s="1472"/>
      <c r="G243" s="1464"/>
      <c r="H243" s="1472"/>
      <c r="I243" s="1472"/>
      <c r="J243" s="1459"/>
      <c r="K243" s="1459"/>
      <c r="L243" s="1474"/>
      <c r="M243" s="1234">
        <f>SUMIF(Invoices!$E:$E,H243,Invoices!$D:$D)</f>
        <v>0</v>
      </c>
      <c r="N243" s="1234">
        <f>SUMIF(Accruals!$H:$H,H243,Accruals!$K:$K)</f>
        <v>0</v>
      </c>
      <c r="O243" s="1235">
        <f t="shared" si="5"/>
        <v>0</v>
      </c>
      <c r="P243" s="1479"/>
    </row>
    <row r="244" spans="1:16">
      <c r="A244" s="1472"/>
      <c r="B244" s="1472"/>
      <c r="C244" s="1473"/>
      <c r="D244" s="1472"/>
      <c r="E244" s="1472"/>
      <c r="F244" s="1472"/>
      <c r="G244" s="1464"/>
      <c r="H244" s="1472"/>
      <c r="I244" s="1472"/>
      <c r="J244" s="1459"/>
      <c r="K244" s="1459"/>
      <c r="L244" s="1474"/>
      <c r="M244" s="1234">
        <f>SUMIF(Invoices!$E:$E,H244,Invoices!$D:$D)</f>
        <v>0</v>
      </c>
      <c r="N244" s="1234">
        <f>SUMIF(Accruals!$H:$H,H244,Accruals!$K:$K)</f>
        <v>0</v>
      </c>
      <c r="O244" s="1235">
        <f t="shared" si="5"/>
        <v>0</v>
      </c>
      <c r="P244" s="1479"/>
    </row>
    <row r="245" spans="1:16">
      <c r="A245" s="1472"/>
      <c r="B245" s="1472"/>
      <c r="C245" s="1473"/>
      <c r="D245" s="1472"/>
      <c r="E245" s="1472"/>
      <c r="F245" s="1472"/>
      <c r="G245" s="1464"/>
      <c r="H245" s="1472"/>
      <c r="I245" s="1472"/>
      <c r="J245" s="1459"/>
      <c r="K245" s="1459"/>
      <c r="L245" s="1474"/>
      <c r="M245" s="1234">
        <f>SUMIF(Invoices!$E:$E,H245,Invoices!$D:$D)</f>
        <v>0</v>
      </c>
      <c r="N245" s="1234">
        <f>SUMIF(Accruals!$H:$H,H245,Accruals!$K:$K)</f>
        <v>0</v>
      </c>
      <c r="O245" s="1235">
        <f t="shared" si="5"/>
        <v>0</v>
      </c>
      <c r="P245" s="1479"/>
    </row>
    <row r="246" spans="1:16">
      <c r="A246" s="1472"/>
      <c r="B246" s="1472"/>
      <c r="C246" s="1473"/>
      <c r="D246" s="1472"/>
      <c r="E246" s="1472"/>
      <c r="F246" s="1472"/>
      <c r="G246" s="1464"/>
      <c r="H246" s="1472"/>
      <c r="I246" s="1472"/>
      <c r="J246" s="1459"/>
      <c r="K246" s="1459"/>
      <c r="L246" s="1474"/>
      <c r="M246" s="1234">
        <f>SUMIF(Invoices!$E:$E,H246,Invoices!$D:$D)</f>
        <v>0</v>
      </c>
      <c r="N246" s="1234">
        <f>SUMIF(Accruals!$H:$H,H246,Accruals!$K:$K)</f>
        <v>0</v>
      </c>
      <c r="O246" s="1235">
        <f t="shared" si="5"/>
        <v>0</v>
      </c>
      <c r="P246" s="1479"/>
    </row>
    <row r="247" spans="1:16">
      <c r="A247" s="1472"/>
      <c r="B247" s="1472"/>
      <c r="C247" s="1473"/>
      <c r="D247" s="1472"/>
      <c r="E247" s="1472"/>
      <c r="F247" s="1472"/>
      <c r="G247" s="1464"/>
      <c r="H247" s="1472"/>
      <c r="I247" s="1472"/>
      <c r="J247" s="1459"/>
      <c r="K247" s="1459"/>
      <c r="L247" s="1474"/>
      <c r="M247" s="1234">
        <f>SUMIF(Invoices!$E:$E,H247,Invoices!$D:$D)</f>
        <v>0</v>
      </c>
      <c r="N247" s="1234">
        <f>SUMIF(Accruals!$H:$H,H247,Accruals!$K:$K)</f>
        <v>0</v>
      </c>
      <c r="O247" s="1235">
        <f t="shared" si="5"/>
        <v>0</v>
      </c>
      <c r="P247" s="1479"/>
    </row>
    <row r="248" spans="1:16">
      <c r="A248" s="1472"/>
      <c r="B248" s="1472"/>
      <c r="C248" s="1473"/>
      <c r="D248" s="1472"/>
      <c r="E248" s="1472"/>
      <c r="F248" s="1472"/>
      <c r="G248" s="1464"/>
      <c r="H248" s="1472"/>
      <c r="I248" s="1472"/>
      <c r="J248" s="1459"/>
      <c r="K248" s="1459"/>
      <c r="L248" s="1474"/>
      <c r="M248" s="1234">
        <f>SUMIF(Invoices!$E:$E,H248,Invoices!$D:$D)</f>
        <v>0</v>
      </c>
      <c r="N248" s="1234">
        <f>SUMIF(Accruals!$H:$H,H248,Accruals!$K:$K)</f>
        <v>0</v>
      </c>
      <c r="O248" s="1235">
        <f t="shared" si="5"/>
        <v>0</v>
      </c>
      <c r="P248" s="1479"/>
    </row>
    <row r="249" spans="1:16">
      <c r="A249" s="1472"/>
      <c r="B249" s="1472"/>
      <c r="C249" s="1473"/>
      <c r="D249" s="1472"/>
      <c r="E249" s="1472"/>
      <c r="F249" s="1472"/>
      <c r="G249" s="1464"/>
      <c r="H249" s="1472"/>
      <c r="I249" s="1472"/>
      <c r="J249" s="1459"/>
      <c r="K249" s="1459"/>
      <c r="L249" s="1474"/>
      <c r="M249" s="1234">
        <f>SUMIF(Invoices!$E:$E,H249,Invoices!$D:$D)</f>
        <v>0</v>
      </c>
      <c r="N249" s="1234">
        <f>SUMIF(Accruals!$H:$H,H249,Accruals!$K:$K)</f>
        <v>0</v>
      </c>
      <c r="O249" s="1235">
        <f t="shared" si="5"/>
        <v>0</v>
      </c>
      <c r="P249" s="1479"/>
    </row>
    <row r="250" spans="1:16">
      <c r="A250" s="1472"/>
      <c r="B250" s="1472"/>
      <c r="C250" s="1473"/>
      <c r="D250" s="1472"/>
      <c r="E250" s="1472"/>
      <c r="F250" s="1472"/>
      <c r="G250" s="1464"/>
      <c r="H250" s="1472"/>
      <c r="I250" s="1472"/>
      <c r="J250" s="1459"/>
      <c r="K250" s="1459"/>
      <c r="L250" s="1474"/>
      <c r="M250" s="1234">
        <f>SUMIF(Invoices!$E:$E,H250,Invoices!$D:$D)</f>
        <v>0</v>
      </c>
      <c r="N250" s="1234">
        <f>SUMIF(Accruals!$H:$H,H250,Accruals!$K:$K)</f>
        <v>0</v>
      </c>
      <c r="O250" s="1235">
        <f t="shared" si="5"/>
        <v>0</v>
      </c>
      <c r="P250" s="1479"/>
    </row>
    <row r="251" spans="1:16">
      <c r="A251" s="1472"/>
      <c r="B251" s="1472"/>
      <c r="C251" s="1473"/>
      <c r="D251" s="1472"/>
      <c r="E251" s="1472"/>
      <c r="F251" s="1472"/>
      <c r="G251" s="1464"/>
      <c r="H251" s="1472"/>
      <c r="I251" s="1472"/>
      <c r="J251" s="1459"/>
      <c r="K251" s="1459"/>
      <c r="L251" s="1474"/>
      <c r="M251" s="1234">
        <f>SUMIF(Invoices!$E:$E,H251,Invoices!$D:$D)</f>
        <v>0</v>
      </c>
      <c r="N251" s="1234">
        <f>SUMIF(Accruals!$H:$H,H251,Accruals!$K:$K)</f>
        <v>0</v>
      </c>
      <c r="O251" s="1235">
        <f t="shared" si="5"/>
        <v>0</v>
      </c>
      <c r="P251" s="1479"/>
    </row>
    <row r="252" spans="1:16">
      <c r="A252" s="1467"/>
      <c r="B252" s="1467"/>
      <c r="C252" s="1468"/>
      <c r="D252" s="1467"/>
      <c r="E252" s="1467"/>
      <c r="F252" s="1467"/>
      <c r="G252" s="1462"/>
      <c r="H252" s="1467"/>
      <c r="I252" s="1467"/>
      <c r="J252" s="1459"/>
      <c r="K252" s="1459"/>
      <c r="L252" s="1465"/>
      <c r="M252" s="1234">
        <f>SUMIF(Invoices!$E:$E,H252,Invoices!$D:$D)</f>
        <v>0</v>
      </c>
      <c r="N252" s="1234">
        <f>SUMIF(Accruals!$H:$H,H252,Accruals!$K:$K)</f>
        <v>0</v>
      </c>
      <c r="O252" s="1235">
        <f t="shared" si="2"/>
        <v>0</v>
      </c>
      <c r="P252" s="1477"/>
    </row>
    <row r="256" spans="1:16">
      <c r="M256" s="1239" t="s">
        <v>105</v>
      </c>
      <c r="N256" s="1239" t="s">
        <v>106</v>
      </c>
      <c r="O256" s="1239" t="s">
        <v>13041</v>
      </c>
    </row>
    <row r="257" spans="11:15">
      <c r="K257" s="48" t="s">
        <v>82</v>
      </c>
      <c r="L257" s="44"/>
      <c r="M257" s="1238">
        <f>SUM(M3:M252)</f>
        <v>0</v>
      </c>
      <c r="N257" s="1238">
        <f>SUM(N3:N252)</f>
        <v>0</v>
      </c>
      <c r="O257" s="1238">
        <f>SUM(O3:O252)</f>
        <v>0</v>
      </c>
    </row>
    <row r="258" spans="11:15">
      <c r="K258" s="48" t="s">
        <v>83</v>
      </c>
      <c r="L258" s="44"/>
      <c r="M258" s="1238">
        <f>SUM(Invoices!D:D)</f>
        <v>0</v>
      </c>
      <c r="N258" s="1240"/>
    </row>
    <row r="259" spans="11:15">
      <c r="K259" s="48" t="s">
        <v>8896</v>
      </c>
      <c r="L259" s="44"/>
      <c r="M259" s="1240"/>
      <c r="N259" s="1238">
        <f>SUM(Accruals!K:K)</f>
        <v>0</v>
      </c>
    </row>
    <row r="260" spans="11:15">
      <c r="K260" s="49" t="s">
        <v>65</v>
      </c>
      <c r="L260" s="44"/>
      <c r="M260" s="1238">
        <f>M257-M258</f>
        <v>0</v>
      </c>
      <c r="N260" s="1238">
        <f>N257-N259</f>
        <v>0</v>
      </c>
      <c r="O260" s="1236"/>
    </row>
    <row r="261" spans="11:15">
      <c r="K261" s="35"/>
      <c r="L261" s="46"/>
      <c r="M261" s="1241"/>
      <c r="N261" s="1241"/>
      <c r="O261" s="1236"/>
    </row>
    <row r="262" spans="11:15">
      <c r="O262" s="1236"/>
    </row>
    <row r="263" spans="11:15">
      <c r="O263" s="1236"/>
    </row>
    <row r="264" spans="11:15">
      <c r="O264" s="1241"/>
    </row>
  </sheetData>
  <sheetProtection algorithmName="SHA-512" hashValue="ODeyntb9oNFGS9fN2PrLPZ481+8uCIrzCA7Zrtdi8+clsl6alzvnLvv3Z2HFpZUK9yUXoP+r160wggrlyrv7oA==" saltValue="PJMU6LKi+Hh8etXdbFi1eg==" spinCount="100000" sheet="1" formatCells="0" formatColumns="0" formatRows="0" autoFilter="0"/>
  <protectedRanges>
    <protectedRange sqref="P3:P252" name="Right of Calc Fields"/>
    <protectedRange sqref="A3:F7 I3:L7 A8:L252" name="Left of Calc Fields"/>
    <protectedRange sqref="G3:H7" name="Left of Calc Fields_1"/>
  </protectedRanges>
  <autoFilter ref="A2:P252" xr:uid="{00000000-0009-0000-0000-00000E000000}">
    <sortState xmlns:xlrd2="http://schemas.microsoft.com/office/spreadsheetml/2017/richdata2" ref="A2:X73">
      <sortCondition ref="H1:H73"/>
    </sortState>
  </autoFilter>
  <mergeCells count="2">
    <mergeCell ref="M1:O1"/>
    <mergeCell ref="A1:K1"/>
  </mergeCells>
  <conditionalFormatting sqref="M260">
    <cfRule type="cellIs" dxfId="330" priority="96" operator="notEqual">
      <formula>0</formula>
    </cfRule>
  </conditionalFormatting>
  <conditionalFormatting sqref="O259:O261 O2:O33 O263:O1048576 O64:O65 O81:O252">
    <cfRule type="cellIs" dxfId="329" priority="132" operator="lessThan">
      <formula>0</formula>
    </cfRule>
  </conditionalFormatting>
  <conditionalFormatting sqref="O262">
    <cfRule type="cellIs" dxfId="328" priority="97" operator="lessThan">
      <formula>0</formula>
    </cfRule>
  </conditionalFormatting>
  <conditionalFormatting sqref="N260">
    <cfRule type="cellIs" dxfId="327" priority="94" operator="notEqual">
      <formula>0</formula>
    </cfRule>
    <cfRule type="cellIs" dxfId="326" priority="95" operator="notEqual">
      <formula>0</formula>
    </cfRule>
  </conditionalFormatting>
  <conditionalFormatting sqref="A3:A252 E3:E252 L3:L252">
    <cfRule type="containsBlanks" dxfId="325" priority="66">
      <formula>LEN(TRIM(A3))=0</formula>
    </cfRule>
  </conditionalFormatting>
  <conditionalFormatting sqref="O34:O63">
    <cfRule type="cellIs" dxfId="324" priority="61" operator="lessThan">
      <formula>0</formula>
    </cfRule>
  </conditionalFormatting>
  <conditionalFormatting sqref="A34:A63">
    <cfRule type="containsBlanks" dxfId="323" priority="60">
      <formula>LEN(TRIM(A34))=0</formula>
    </cfRule>
  </conditionalFormatting>
  <conditionalFormatting sqref="E34:E63">
    <cfRule type="containsBlanks" dxfId="322" priority="59">
      <formula>LEN(TRIM(E34))=0</formula>
    </cfRule>
  </conditionalFormatting>
  <conditionalFormatting sqref="O66:O80">
    <cfRule type="cellIs" dxfId="321" priority="56" operator="lessThan">
      <formula>0</formula>
    </cfRule>
  </conditionalFormatting>
  <conditionalFormatting sqref="A66:A80">
    <cfRule type="containsBlanks" dxfId="320" priority="55">
      <formula>LEN(TRIM(A66))=0</formula>
    </cfRule>
  </conditionalFormatting>
  <conditionalFormatting sqref="E66:E80">
    <cfRule type="containsBlanks" dxfId="319" priority="54">
      <formula>LEN(TRIM(E66))=0</formula>
    </cfRule>
  </conditionalFormatting>
  <conditionalFormatting sqref="G3:G252 H3:H252 K3:K252">
    <cfRule type="containsBlanks" dxfId="318" priority="1">
      <formula>LEN(TRIM(G3))=0</formula>
    </cfRule>
  </conditionalFormatting>
  <pageMargins left="0.25" right="0.25" top="0.75" bottom="0.75" header="0.3" footer="0.3"/>
  <pageSetup paperSize="5" scale="40" fitToHeight="0" orientation="landscape" r:id="rId1"/>
  <headerFooter>
    <oddHeader>&amp;C&amp;"Tahoma,Bold"&amp;14&amp;F - &amp;A</oddHeader>
    <oddFooter>&amp;L&amp;"Tahoma,Regular"&amp;P of &amp;N&amp;R&amp;"Tahoma,Regular"&amp;D</oddFooter>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tabColor rgb="FF00B050"/>
    <pageSetUpPr fitToPage="1"/>
  </sheetPr>
  <dimension ref="A1:P102"/>
  <sheetViews>
    <sheetView workbookViewId="0">
      <selection activeCell="E2" sqref="E2"/>
    </sheetView>
  </sheetViews>
  <sheetFormatPr defaultColWidth="9.1796875" defaultRowHeight="12.5"/>
  <cols>
    <col min="1" max="1" width="16.54296875" style="1348" customWidth="1"/>
    <col min="2" max="2" width="21.1796875" style="203" bestFit="1" customWidth="1"/>
    <col min="3" max="3" width="12.453125" style="1348" bestFit="1" customWidth="1"/>
    <col min="4" max="4" width="12.453125" style="204" bestFit="1" customWidth="1"/>
    <col min="5" max="5" width="11" style="205" bestFit="1" customWidth="1"/>
    <col min="6" max="6" width="15.54296875" style="205" customWidth="1"/>
    <col min="7" max="7" width="31.81640625" style="203" customWidth="1"/>
    <col min="8" max="8" width="17.7265625" style="203" bestFit="1" customWidth="1"/>
    <col min="9" max="9" width="13.54296875" style="203" customWidth="1"/>
    <col min="10" max="10" width="19" style="201" bestFit="1" customWidth="1"/>
    <col min="11" max="11" width="10.54296875" style="1232" bestFit="1" customWidth="1"/>
    <col min="12" max="12" width="9.1796875" style="201"/>
    <col min="13" max="13" width="9.81640625" style="201" bestFit="1" customWidth="1"/>
    <col min="14" max="14" width="13.7265625" style="1350" customWidth="1"/>
    <col min="15" max="15" width="22.81640625" style="1350" customWidth="1"/>
    <col min="16" max="16" width="9.1796875" style="1243"/>
    <col min="17" max="16384" width="9.1796875" style="201"/>
  </cols>
  <sheetData>
    <row r="1" spans="1:16" s="200" customFormat="1" ht="69" customHeight="1">
      <c r="A1" s="1349" t="s">
        <v>121</v>
      </c>
      <c r="B1" s="1880" t="s">
        <v>122</v>
      </c>
      <c r="C1" s="1880"/>
      <c r="D1" s="1880"/>
      <c r="E1" s="1880"/>
      <c r="F1" s="1880"/>
      <c r="G1" s="1880"/>
      <c r="H1" s="1880"/>
      <c r="I1" s="1880"/>
      <c r="J1" s="1881" t="s">
        <v>123</v>
      </c>
      <c r="K1" s="1881"/>
      <c r="L1" s="1881"/>
      <c r="M1" s="1881"/>
      <c r="N1" s="1881"/>
      <c r="O1" s="1881"/>
      <c r="P1" s="1242"/>
    </row>
    <row r="2" spans="1:16" s="1430" customFormat="1" ht="29">
      <c r="A2" s="1420" t="s">
        <v>84</v>
      </c>
      <c r="B2" s="1421" t="s">
        <v>85</v>
      </c>
      <c r="C2" s="1422" t="s">
        <v>102</v>
      </c>
      <c r="D2" s="1423" t="s">
        <v>86</v>
      </c>
      <c r="E2" s="1421" t="s">
        <v>87</v>
      </c>
      <c r="F2" s="1424" t="s">
        <v>77</v>
      </c>
      <c r="G2" s="1424" t="s">
        <v>16</v>
      </c>
      <c r="H2" s="1421" t="s">
        <v>100</v>
      </c>
      <c r="I2" s="1421" t="s">
        <v>101</v>
      </c>
      <c r="J2" s="1425" t="s">
        <v>88</v>
      </c>
      <c r="K2" s="1426" t="s">
        <v>8741</v>
      </c>
      <c r="L2" s="1427" t="s">
        <v>89</v>
      </c>
      <c r="M2" s="1428" t="s">
        <v>81</v>
      </c>
      <c r="N2" s="1425" t="s">
        <v>90</v>
      </c>
      <c r="O2" s="1425" t="s">
        <v>91</v>
      </c>
      <c r="P2" s="1429"/>
    </row>
    <row r="3" spans="1:16" ht="14.5">
      <c r="A3" s="1432"/>
      <c r="B3" s="1433"/>
      <c r="C3" s="1434"/>
      <c r="D3" s="1435"/>
      <c r="E3" s="1433"/>
      <c r="F3" s="1431" t="str">
        <f>IFERROR(VLOOKUP($E3,POs!$H:J,3,0),"")</f>
        <v/>
      </c>
      <c r="G3" s="1431" t="str">
        <f>IFERROR(VLOOKUP($E3,POs!$H:K,4,0),"")</f>
        <v/>
      </c>
      <c r="H3" s="1433"/>
      <c r="I3" s="1433"/>
      <c r="J3" s="1436"/>
      <c r="K3" s="1437"/>
      <c r="L3" s="1438"/>
      <c r="M3" s="1438"/>
      <c r="N3" s="1436"/>
      <c r="O3" s="1439"/>
    </row>
    <row r="4" spans="1:16" ht="14.5">
      <c r="A4" s="1432"/>
      <c r="B4" s="1433"/>
      <c r="C4" s="1434"/>
      <c r="D4" s="1435"/>
      <c r="E4" s="1433"/>
      <c r="F4" s="1431" t="str">
        <f>IFERROR(VLOOKUP($E4,POs!$H:J,3,0),"")</f>
        <v/>
      </c>
      <c r="G4" s="1431" t="str">
        <f>IFERROR(VLOOKUP($E4,POs!$H:K,4,0),"")</f>
        <v/>
      </c>
      <c r="H4" s="1433"/>
      <c r="I4" s="1433"/>
      <c r="J4" s="1436"/>
      <c r="K4" s="1437"/>
      <c r="L4" s="1438"/>
      <c r="M4" s="1438"/>
      <c r="N4" s="1436"/>
      <c r="O4" s="1439"/>
    </row>
    <row r="5" spans="1:16" ht="14.5">
      <c r="A5" s="1432"/>
      <c r="B5" s="1433"/>
      <c r="C5" s="1434"/>
      <c r="D5" s="1435"/>
      <c r="E5" s="1433"/>
      <c r="F5" s="1431" t="str">
        <f>IFERROR(VLOOKUP($E5,POs!$H:J,3,0),"")</f>
        <v/>
      </c>
      <c r="G5" s="1431" t="str">
        <f>IFERROR(VLOOKUP($E5,POs!$H:K,4,0),"")</f>
        <v/>
      </c>
      <c r="H5" s="1433"/>
      <c r="I5" s="1433"/>
      <c r="J5" s="1436"/>
      <c r="K5" s="1437"/>
      <c r="L5" s="1438"/>
      <c r="M5" s="1438"/>
      <c r="N5" s="1436"/>
      <c r="O5" s="1439"/>
    </row>
    <row r="6" spans="1:16" ht="14.5">
      <c r="A6" s="1432"/>
      <c r="B6" s="1433"/>
      <c r="C6" s="1434"/>
      <c r="D6" s="1435"/>
      <c r="E6" s="1433"/>
      <c r="F6" s="1431" t="str">
        <f>IFERROR(VLOOKUP($E6,POs!$H:J,3,0),"")</f>
        <v/>
      </c>
      <c r="G6" s="1431" t="str">
        <f>IFERROR(VLOOKUP($E6,POs!$H:K,4,0),"")</f>
        <v/>
      </c>
      <c r="H6" s="1433"/>
      <c r="I6" s="1433"/>
      <c r="J6" s="1436"/>
      <c r="K6" s="1437"/>
      <c r="L6" s="1438"/>
      <c r="M6" s="1438"/>
      <c r="N6" s="1436"/>
      <c r="O6" s="1439"/>
    </row>
    <row r="7" spans="1:16" ht="14.5">
      <c r="A7" s="1432"/>
      <c r="B7" s="1433"/>
      <c r="C7" s="1434"/>
      <c r="D7" s="1435"/>
      <c r="E7" s="1433"/>
      <c r="F7" s="1431" t="str">
        <f>IFERROR(VLOOKUP($E7,POs!$H:J,3,0),"")</f>
        <v/>
      </c>
      <c r="G7" s="1431" t="str">
        <f>IFERROR(VLOOKUP($E7,POs!$H:K,4,0),"")</f>
        <v/>
      </c>
      <c r="H7" s="1433"/>
      <c r="I7" s="1433"/>
      <c r="J7" s="1436"/>
      <c r="K7" s="1437"/>
      <c r="L7" s="1438"/>
      <c r="M7" s="1438"/>
      <c r="N7" s="1436"/>
      <c r="O7" s="1439"/>
    </row>
    <row r="8" spans="1:16" ht="14.5">
      <c r="A8" s="1432"/>
      <c r="B8" s="1433"/>
      <c r="C8" s="1434"/>
      <c r="D8" s="1435"/>
      <c r="E8" s="1433"/>
      <c r="F8" s="1431" t="str">
        <f>IFERROR(VLOOKUP($E8,POs!$H:J,3,0),"")</f>
        <v/>
      </c>
      <c r="G8" s="1431" t="str">
        <f>IFERROR(VLOOKUP($E8,POs!$H:K,4,0),"")</f>
        <v/>
      </c>
      <c r="H8" s="1433"/>
      <c r="I8" s="1433"/>
      <c r="J8" s="1436"/>
      <c r="K8" s="1437"/>
      <c r="L8" s="1438"/>
      <c r="M8" s="1440"/>
      <c r="N8" s="1436"/>
      <c r="O8" s="1439"/>
    </row>
    <row r="9" spans="1:16" ht="14.5">
      <c r="A9" s="1432"/>
      <c r="B9" s="1436"/>
      <c r="C9" s="1432"/>
      <c r="D9" s="1435"/>
      <c r="E9" s="1433"/>
      <c r="F9" s="1431" t="str">
        <f>IFERROR(VLOOKUP($E9,POs!$H:J,3,0),"")</f>
        <v/>
      </c>
      <c r="G9" s="1431" t="str">
        <f>IFERROR(VLOOKUP($E9,POs!$H:K,4,0),"")</f>
        <v/>
      </c>
      <c r="H9" s="1436"/>
      <c r="I9" s="1436"/>
      <c r="J9" s="1436"/>
      <c r="K9" s="1437"/>
      <c r="L9" s="1438"/>
      <c r="M9" s="1440"/>
      <c r="N9" s="1436"/>
      <c r="O9" s="1439"/>
    </row>
    <row r="10" spans="1:16" ht="14.5">
      <c r="A10" s="1432"/>
      <c r="B10" s="1433"/>
      <c r="C10" s="1434"/>
      <c r="D10" s="1435"/>
      <c r="E10" s="1433"/>
      <c r="F10" s="1431" t="str">
        <f>IFERROR(VLOOKUP($E10,POs!$H:J,3,0),"")</f>
        <v/>
      </c>
      <c r="G10" s="1431" t="str">
        <f>IFERROR(VLOOKUP($E10,POs!$H:K,4,0),"")</f>
        <v/>
      </c>
      <c r="H10" s="1433"/>
      <c r="I10" s="1433"/>
      <c r="J10" s="1436"/>
      <c r="K10" s="1437"/>
      <c r="L10" s="1438"/>
      <c r="M10" s="1440"/>
      <c r="N10" s="1436"/>
      <c r="O10" s="1439"/>
    </row>
    <row r="11" spans="1:16" ht="14.5">
      <c r="A11" s="1432"/>
      <c r="B11" s="1433"/>
      <c r="C11" s="1434"/>
      <c r="D11" s="1435"/>
      <c r="E11" s="1433"/>
      <c r="F11" s="1431" t="str">
        <f>IFERROR(VLOOKUP($E11,POs!$H:J,3,0),"")</f>
        <v/>
      </c>
      <c r="G11" s="1431" t="str">
        <f>IFERROR(VLOOKUP($E11,POs!$H:K,4,0),"")</f>
        <v/>
      </c>
      <c r="H11" s="1433"/>
      <c r="I11" s="1433"/>
      <c r="J11" s="1436"/>
      <c r="K11" s="1437"/>
      <c r="L11" s="1438"/>
      <c r="M11" s="1440"/>
      <c r="N11" s="1436"/>
      <c r="O11" s="1439"/>
    </row>
    <row r="12" spans="1:16" ht="14.5">
      <c r="A12" s="1432"/>
      <c r="B12" s="1433"/>
      <c r="C12" s="1434"/>
      <c r="D12" s="1435"/>
      <c r="E12" s="1433"/>
      <c r="F12" s="1431" t="str">
        <f>IFERROR(VLOOKUP($E12,POs!$H:J,3,0),"")</f>
        <v/>
      </c>
      <c r="G12" s="1431" t="str">
        <f>IFERROR(VLOOKUP($E12,POs!$H:K,4,0),"")</f>
        <v/>
      </c>
      <c r="H12" s="1433"/>
      <c r="I12" s="1433"/>
      <c r="J12" s="1436"/>
      <c r="K12" s="1437"/>
      <c r="L12" s="1438"/>
      <c r="M12" s="1440"/>
      <c r="N12" s="1436"/>
      <c r="O12" s="1439"/>
    </row>
    <row r="13" spans="1:16" ht="14.5">
      <c r="A13" s="1432"/>
      <c r="B13" s="1433"/>
      <c r="C13" s="1434"/>
      <c r="D13" s="1435"/>
      <c r="E13" s="1433"/>
      <c r="F13" s="1431" t="str">
        <f>IFERROR(VLOOKUP($E13,POs!$H:J,3,0),"")</f>
        <v/>
      </c>
      <c r="G13" s="1431" t="str">
        <f>IFERROR(VLOOKUP($E13,POs!$H:K,4,0),"")</f>
        <v/>
      </c>
      <c r="H13" s="1433"/>
      <c r="I13" s="1433"/>
      <c r="J13" s="1436"/>
      <c r="K13" s="1437"/>
      <c r="L13" s="1438"/>
      <c r="M13" s="1440"/>
      <c r="N13" s="1436"/>
      <c r="O13" s="1439"/>
    </row>
    <row r="14" spans="1:16" ht="14.5">
      <c r="A14" s="1432"/>
      <c r="B14" s="1433"/>
      <c r="C14" s="1434"/>
      <c r="D14" s="1435"/>
      <c r="E14" s="1433"/>
      <c r="F14" s="1431" t="str">
        <f>IFERROR(VLOOKUP($E14,POs!$H:J,3,0),"")</f>
        <v/>
      </c>
      <c r="G14" s="1431" t="str">
        <f>IFERROR(VLOOKUP($E14,POs!$H:K,4,0),"")</f>
        <v/>
      </c>
      <c r="H14" s="1433"/>
      <c r="I14" s="1433"/>
      <c r="J14" s="1436"/>
      <c r="K14" s="1437"/>
      <c r="L14" s="1438"/>
      <c r="M14" s="1440"/>
      <c r="N14" s="1436"/>
      <c r="O14" s="1439"/>
    </row>
    <row r="15" spans="1:16" ht="14.5">
      <c r="A15" s="1432"/>
      <c r="B15" s="1433"/>
      <c r="C15" s="1434"/>
      <c r="D15" s="1435"/>
      <c r="E15" s="1433"/>
      <c r="F15" s="1431" t="str">
        <f>IFERROR(VLOOKUP($E15,POs!$H:J,3,0),"")</f>
        <v/>
      </c>
      <c r="G15" s="1431" t="str">
        <f>IFERROR(VLOOKUP($E15,POs!$H:K,4,0),"")</f>
        <v/>
      </c>
      <c r="H15" s="1433"/>
      <c r="I15" s="1433"/>
      <c r="J15" s="1436"/>
      <c r="K15" s="1437"/>
      <c r="L15" s="1438"/>
      <c r="M15" s="1440"/>
      <c r="N15" s="1436"/>
      <c r="O15" s="1439"/>
    </row>
    <row r="16" spans="1:16" ht="14.5">
      <c r="A16" s="1432"/>
      <c r="B16" s="1436"/>
      <c r="C16" s="1432"/>
      <c r="D16" s="1435"/>
      <c r="E16" s="1433"/>
      <c r="F16" s="1431" t="str">
        <f>IFERROR(VLOOKUP($E16,POs!$H:J,3,0),"")</f>
        <v/>
      </c>
      <c r="G16" s="1431" t="str">
        <f>IFERROR(VLOOKUP($E16,POs!$H:K,4,0),"")</f>
        <v/>
      </c>
      <c r="H16" s="1433"/>
      <c r="I16" s="1433"/>
      <c r="J16" s="1436"/>
      <c r="K16" s="1437"/>
      <c r="L16" s="1438"/>
      <c r="M16" s="1440"/>
      <c r="N16" s="1436"/>
      <c r="O16" s="1439"/>
    </row>
    <row r="17" spans="1:15" ht="14.5">
      <c r="A17" s="1432"/>
      <c r="B17" s="1433"/>
      <c r="C17" s="1434"/>
      <c r="D17" s="1435"/>
      <c r="E17" s="1433"/>
      <c r="F17" s="1431" t="str">
        <f>IFERROR(VLOOKUP($E17,POs!$H:J,3,0),"")</f>
        <v/>
      </c>
      <c r="G17" s="1431" t="str">
        <f>IFERROR(VLOOKUP($E17,POs!$H:K,4,0),"")</f>
        <v/>
      </c>
      <c r="H17" s="1433"/>
      <c r="I17" s="1433"/>
      <c r="J17" s="1436"/>
      <c r="K17" s="1437"/>
      <c r="L17" s="1438"/>
      <c r="M17" s="1438"/>
      <c r="N17" s="1436"/>
      <c r="O17" s="1441"/>
    </row>
    <row r="18" spans="1:15" ht="14.5">
      <c r="A18" s="1432"/>
      <c r="B18" s="1433"/>
      <c r="C18" s="1434"/>
      <c r="D18" s="1435"/>
      <c r="E18" s="1433"/>
      <c r="F18" s="1431" t="str">
        <f>IFERROR(VLOOKUP($E18,POs!$H:J,3,0),"")</f>
        <v/>
      </c>
      <c r="G18" s="1431" t="str">
        <f>IFERROR(VLOOKUP($E18,POs!$H:K,4,0),"")</f>
        <v/>
      </c>
      <c r="H18" s="1433"/>
      <c r="I18" s="1433"/>
      <c r="J18" s="1436"/>
      <c r="K18" s="1437"/>
      <c r="L18" s="1438"/>
      <c r="M18" s="1440"/>
      <c r="N18" s="1436"/>
      <c r="O18" s="1439"/>
    </row>
    <row r="19" spans="1:15" ht="14.5">
      <c r="A19" s="1432"/>
      <c r="B19" s="1433"/>
      <c r="C19" s="1434"/>
      <c r="D19" s="1435"/>
      <c r="E19" s="1433"/>
      <c r="F19" s="1431" t="str">
        <f>IFERROR(VLOOKUP($E19,POs!$H:J,3,0),"")</f>
        <v/>
      </c>
      <c r="G19" s="1431" t="str">
        <f>IFERROR(VLOOKUP($E19,POs!$H:K,4,0),"")</f>
        <v/>
      </c>
      <c r="H19" s="1433"/>
      <c r="I19" s="1433"/>
      <c r="J19" s="1436"/>
      <c r="K19" s="1437"/>
      <c r="L19" s="1438"/>
      <c r="M19" s="1440"/>
      <c r="N19" s="1436"/>
      <c r="O19" s="1439"/>
    </row>
    <row r="20" spans="1:15" ht="14.5">
      <c r="A20" s="1432"/>
      <c r="B20" s="1433"/>
      <c r="C20" s="1434"/>
      <c r="D20" s="1435"/>
      <c r="E20" s="1433"/>
      <c r="F20" s="1431" t="str">
        <f>IFERROR(VLOOKUP($E20,POs!$H:J,3,0),"")</f>
        <v/>
      </c>
      <c r="G20" s="1431" t="str">
        <f>IFERROR(VLOOKUP($E20,POs!$H:K,4,0),"")</f>
        <v/>
      </c>
      <c r="H20" s="1433"/>
      <c r="I20" s="1433"/>
      <c r="J20" s="1436"/>
      <c r="K20" s="1437"/>
      <c r="L20" s="1438"/>
      <c r="M20" s="1440"/>
      <c r="N20" s="1436"/>
      <c r="O20" s="1439"/>
    </row>
    <row r="21" spans="1:15" ht="14.5">
      <c r="A21" s="1432"/>
      <c r="B21" s="1433"/>
      <c r="C21" s="1434"/>
      <c r="D21" s="1435"/>
      <c r="E21" s="1433"/>
      <c r="F21" s="1431" t="str">
        <f>IFERROR(VLOOKUP($E21,POs!$H:J,3,0),"")</f>
        <v/>
      </c>
      <c r="G21" s="1431" t="str">
        <f>IFERROR(VLOOKUP($E21,POs!$H:K,4,0),"")</f>
        <v/>
      </c>
      <c r="H21" s="1433"/>
      <c r="I21" s="1433"/>
      <c r="J21" s="1436"/>
      <c r="K21" s="1437"/>
      <c r="L21" s="1438"/>
      <c r="M21" s="1440"/>
      <c r="N21" s="1436"/>
      <c r="O21" s="1439"/>
    </row>
    <row r="22" spans="1:15" ht="14.5">
      <c r="A22" s="1432"/>
      <c r="B22" s="1433"/>
      <c r="C22" s="1434"/>
      <c r="D22" s="1435"/>
      <c r="E22" s="1433"/>
      <c r="F22" s="1431" t="str">
        <f>IFERROR(VLOOKUP($E22,POs!$H:J,3,0),"")</f>
        <v/>
      </c>
      <c r="G22" s="1431" t="str">
        <f>IFERROR(VLOOKUP($E22,POs!$H:K,4,0),"")</f>
        <v/>
      </c>
      <c r="H22" s="1433"/>
      <c r="I22" s="1433"/>
      <c r="J22" s="1436"/>
      <c r="K22" s="1437"/>
      <c r="L22" s="1438"/>
      <c r="M22" s="1440"/>
      <c r="N22" s="1436"/>
      <c r="O22" s="1439"/>
    </row>
    <row r="23" spans="1:15" ht="14.5">
      <c r="A23" s="1432"/>
      <c r="B23" s="1433"/>
      <c r="C23" s="1434"/>
      <c r="D23" s="1435"/>
      <c r="E23" s="1433"/>
      <c r="F23" s="1431" t="str">
        <f>IFERROR(VLOOKUP($E23,POs!$H:J,3,0),"")</f>
        <v/>
      </c>
      <c r="G23" s="1431" t="str">
        <f>IFERROR(VLOOKUP($E23,POs!$H:K,4,0),"")</f>
        <v/>
      </c>
      <c r="H23" s="1433"/>
      <c r="I23" s="1433"/>
      <c r="J23" s="1436"/>
      <c r="K23" s="1437"/>
      <c r="L23" s="1438"/>
      <c r="M23" s="1440"/>
      <c r="N23" s="1436"/>
      <c r="O23" s="1439"/>
    </row>
    <row r="24" spans="1:15" ht="14.5">
      <c r="A24" s="1432"/>
      <c r="B24" s="1433"/>
      <c r="C24" s="1434"/>
      <c r="D24" s="1435"/>
      <c r="E24" s="1433"/>
      <c r="F24" s="1431" t="str">
        <f>IFERROR(VLOOKUP($E24,POs!$H:J,3,0),"")</f>
        <v/>
      </c>
      <c r="G24" s="1431" t="str">
        <f>IFERROR(VLOOKUP($E24,POs!$H:K,4,0),"")</f>
        <v/>
      </c>
      <c r="H24" s="1433"/>
      <c r="I24" s="1433"/>
      <c r="J24" s="1436"/>
      <c r="K24" s="1437"/>
      <c r="L24" s="1438"/>
      <c r="M24" s="1440"/>
      <c r="N24" s="1436"/>
      <c r="O24" s="1439"/>
    </row>
    <row r="25" spans="1:15" ht="14.5">
      <c r="A25" s="1432"/>
      <c r="B25" s="1433"/>
      <c r="C25" s="1434"/>
      <c r="D25" s="1435"/>
      <c r="E25" s="1433"/>
      <c r="F25" s="1431" t="str">
        <f>IFERROR(VLOOKUP($E25,POs!$H:J,3,0),"")</f>
        <v/>
      </c>
      <c r="G25" s="1431" t="str">
        <f>IFERROR(VLOOKUP($E25,POs!$H:K,4,0),"")</f>
        <v/>
      </c>
      <c r="H25" s="1433"/>
      <c r="I25" s="1433"/>
      <c r="J25" s="1436"/>
      <c r="K25" s="1437"/>
      <c r="L25" s="1438"/>
      <c r="M25" s="1438"/>
      <c r="N25" s="1436"/>
      <c r="O25" s="1439"/>
    </row>
    <row r="26" spans="1:15" ht="14.5">
      <c r="A26" s="1432"/>
      <c r="B26" s="1433"/>
      <c r="C26" s="1434"/>
      <c r="D26" s="1435"/>
      <c r="E26" s="1433"/>
      <c r="F26" s="1431" t="str">
        <f>IFERROR(VLOOKUP($E26,POs!$H:J,3,0),"")</f>
        <v/>
      </c>
      <c r="G26" s="1431" t="str">
        <f>IFERROR(VLOOKUP($E26,POs!$H:K,4,0),"")</f>
        <v/>
      </c>
      <c r="H26" s="1433"/>
      <c r="I26" s="1433"/>
      <c r="J26" s="1436"/>
      <c r="K26" s="1437"/>
      <c r="L26" s="1438"/>
      <c r="M26" s="1438"/>
      <c r="N26" s="1436"/>
      <c r="O26" s="1439"/>
    </row>
    <row r="27" spans="1:15" ht="14.5">
      <c r="A27" s="1432"/>
      <c r="B27" s="1433"/>
      <c r="C27" s="1434"/>
      <c r="D27" s="1435"/>
      <c r="E27" s="1433"/>
      <c r="F27" s="1431" t="str">
        <f>IFERROR(VLOOKUP($E27,POs!$H:J,3,0),"")</f>
        <v/>
      </c>
      <c r="G27" s="1431" t="str">
        <f>IFERROR(VLOOKUP($E27,POs!$H:K,4,0),"")</f>
        <v/>
      </c>
      <c r="H27" s="1433"/>
      <c r="I27" s="1433"/>
      <c r="J27" s="1436"/>
      <c r="K27" s="1437"/>
      <c r="L27" s="1438"/>
      <c r="M27" s="1438"/>
      <c r="N27" s="1436"/>
      <c r="O27" s="1439"/>
    </row>
    <row r="28" spans="1:15" ht="14.5">
      <c r="A28" s="1432"/>
      <c r="B28" s="1433"/>
      <c r="C28" s="1434"/>
      <c r="D28" s="1435"/>
      <c r="E28" s="1433"/>
      <c r="F28" s="1431" t="str">
        <f>IFERROR(VLOOKUP($E28,POs!$H:J,3,0),"")</f>
        <v/>
      </c>
      <c r="G28" s="1431" t="str">
        <f>IFERROR(VLOOKUP($E28,POs!$H:K,4,0),"")</f>
        <v/>
      </c>
      <c r="H28" s="1433"/>
      <c r="I28" s="1433"/>
      <c r="J28" s="1436"/>
      <c r="K28" s="1437"/>
      <c r="L28" s="1438"/>
      <c r="M28" s="1438"/>
      <c r="N28" s="1436"/>
      <c r="O28" s="1439"/>
    </row>
    <row r="29" spans="1:15" ht="14.5">
      <c r="A29" s="1432"/>
      <c r="B29" s="1433"/>
      <c r="C29" s="1434"/>
      <c r="D29" s="1435"/>
      <c r="E29" s="1433"/>
      <c r="F29" s="1431" t="str">
        <f>IFERROR(VLOOKUP($E29,POs!$H:J,3,0),"")</f>
        <v/>
      </c>
      <c r="G29" s="1431" t="str">
        <f>IFERROR(VLOOKUP($E29,POs!$H:K,4,0),"")</f>
        <v/>
      </c>
      <c r="H29" s="1433"/>
      <c r="I29" s="1433"/>
      <c r="J29" s="1436"/>
      <c r="K29" s="1437"/>
      <c r="L29" s="1438"/>
      <c r="M29" s="1438"/>
      <c r="N29" s="1436"/>
      <c r="O29" s="1439"/>
    </row>
    <row r="30" spans="1:15" ht="14.5">
      <c r="A30" s="1432"/>
      <c r="B30" s="1433"/>
      <c r="C30" s="1434"/>
      <c r="D30" s="1435"/>
      <c r="E30" s="1433"/>
      <c r="F30" s="1431" t="str">
        <f>IFERROR(VLOOKUP($E30,POs!$H:J,3,0),"")</f>
        <v/>
      </c>
      <c r="G30" s="1431" t="str">
        <f>IFERROR(VLOOKUP($E30,POs!$H:K,4,0),"")</f>
        <v/>
      </c>
      <c r="H30" s="1433"/>
      <c r="I30" s="1433"/>
      <c r="J30" s="1436"/>
      <c r="K30" s="1437"/>
      <c r="L30" s="1438"/>
      <c r="M30" s="1438"/>
      <c r="N30" s="1436"/>
      <c r="O30" s="1439"/>
    </row>
    <row r="31" spans="1:15" ht="14.5">
      <c r="A31" s="1432"/>
      <c r="B31" s="1433"/>
      <c r="C31" s="1434"/>
      <c r="D31" s="1435"/>
      <c r="E31" s="1433"/>
      <c r="F31" s="1431" t="str">
        <f>IFERROR(VLOOKUP($E31,POs!$H:J,3,0),"")</f>
        <v/>
      </c>
      <c r="G31" s="1431" t="str">
        <f>IFERROR(VLOOKUP($E31,POs!$H:K,4,0),"")</f>
        <v/>
      </c>
      <c r="H31" s="1433"/>
      <c r="I31" s="1433"/>
      <c r="J31" s="1436"/>
      <c r="K31" s="1437"/>
      <c r="L31" s="1438"/>
      <c r="M31" s="1438"/>
      <c r="N31" s="1436"/>
      <c r="O31" s="1439"/>
    </row>
    <row r="32" spans="1:15" ht="14.5">
      <c r="A32" s="1432"/>
      <c r="B32" s="1433"/>
      <c r="C32" s="1434"/>
      <c r="D32" s="1435"/>
      <c r="E32" s="1433"/>
      <c r="F32" s="1431" t="str">
        <f>IFERROR(VLOOKUP($E32,POs!$H:J,3,0),"")</f>
        <v/>
      </c>
      <c r="G32" s="1431" t="str">
        <f>IFERROR(VLOOKUP($E32,POs!$H:K,4,0),"")</f>
        <v/>
      </c>
      <c r="H32" s="1433"/>
      <c r="I32" s="1433"/>
      <c r="J32" s="1436"/>
      <c r="K32" s="1437"/>
      <c r="L32" s="1438"/>
      <c r="M32" s="1440"/>
      <c r="N32" s="1436"/>
      <c r="O32" s="1439"/>
    </row>
    <row r="33" spans="1:15" ht="14.5">
      <c r="A33" s="1432"/>
      <c r="B33" s="1436"/>
      <c r="C33" s="1432"/>
      <c r="D33" s="1435"/>
      <c r="E33" s="1433"/>
      <c r="F33" s="1431" t="str">
        <f>IFERROR(VLOOKUP($E33,POs!$H:J,3,0),"")</f>
        <v/>
      </c>
      <c r="G33" s="1431" t="str">
        <f>IFERROR(VLOOKUP($E33,POs!$H:K,4,0),"")</f>
        <v/>
      </c>
      <c r="H33" s="1436"/>
      <c r="I33" s="1436"/>
      <c r="J33" s="1436"/>
      <c r="K33" s="1437"/>
      <c r="L33" s="1438"/>
      <c r="M33" s="1440"/>
      <c r="N33" s="1436"/>
      <c r="O33" s="1439"/>
    </row>
    <row r="34" spans="1:15" ht="14.5">
      <c r="A34" s="1432"/>
      <c r="B34" s="1433"/>
      <c r="C34" s="1434"/>
      <c r="D34" s="1435"/>
      <c r="E34" s="1433"/>
      <c r="F34" s="1431" t="str">
        <f>IFERROR(VLOOKUP($E34,POs!$H:J,3,0),"")</f>
        <v/>
      </c>
      <c r="G34" s="1431" t="str">
        <f>IFERROR(VLOOKUP($E34,POs!$H:K,4,0),"")</f>
        <v/>
      </c>
      <c r="H34" s="1433"/>
      <c r="I34" s="1433"/>
      <c r="J34" s="1436"/>
      <c r="K34" s="1437"/>
      <c r="L34" s="1438"/>
      <c r="M34" s="1440"/>
      <c r="N34" s="1436"/>
      <c r="O34" s="1439"/>
    </row>
    <row r="35" spans="1:15" ht="14.5">
      <c r="A35" s="1432"/>
      <c r="B35" s="1433"/>
      <c r="C35" s="1434"/>
      <c r="D35" s="1435"/>
      <c r="E35" s="1433"/>
      <c r="F35" s="1431" t="str">
        <f>IFERROR(VLOOKUP($E35,POs!$H:J,3,0),"")</f>
        <v/>
      </c>
      <c r="G35" s="1431" t="str">
        <f>IFERROR(VLOOKUP($E35,POs!$H:K,4,0),"")</f>
        <v/>
      </c>
      <c r="H35" s="1433"/>
      <c r="I35" s="1433"/>
      <c r="J35" s="1436"/>
      <c r="K35" s="1437"/>
      <c r="L35" s="1438"/>
      <c r="M35" s="1440"/>
      <c r="N35" s="1436"/>
      <c r="O35" s="1439"/>
    </row>
    <row r="36" spans="1:15" ht="14.5">
      <c r="A36" s="1432"/>
      <c r="B36" s="1433"/>
      <c r="C36" s="1434"/>
      <c r="D36" s="1435"/>
      <c r="E36" s="1433"/>
      <c r="F36" s="1431" t="str">
        <f>IFERROR(VLOOKUP($E36,POs!$H:J,3,0),"")</f>
        <v/>
      </c>
      <c r="G36" s="1431" t="str">
        <f>IFERROR(VLOOKUP($E36,POs!$H:K,4,0),"")</f>
        <v/>
      </c>
      <c r="H36" s="1433"/>
      <c r="I36" s="1433"/>
      <c r="J36" s="1436"/>
      <c r="K36" s="1437"/>
      <c r="L36" s="1438"/>
      <c r="M36" s="1440"/>
      <c r="N36" s="1436"/>
      <c r="O36" s="1439"/>
    </row>
    <row r="37" spans="1:15" ht="14.5">
      <c r="A37" s="1432"/>
      <c r="B37" s="1433"/>
      <c r="C37" s="1434"/>
      <c r="D37" s="1435"/>
      <c r="E37" s="1433"/>
      <c r="F37" s="1431" t="str">
        <f>IFERROR(VLOOKUP($E37,POs!$H:J,3,0),"")</f>
        <v/>
      </c>
      <c r="G37" s="1431" t="str">
        <f>IFERROR(VLOOKUP($E37,POs!$H:K,4,0),"")</f>
        <v/>
      </c>
      <c r="H37" s="1433"/>
      <c r="I37" s="1433"/>
      <c r="J37" s="1436"/>
      <c r="K37" s="1437"/>
      <c r="L37" s="1438"/>
      <c r="M37" s="1440"/>
      <c r="N37" s="1436"/>
      <c r="O37" s="1439"/>
    </row>
    <row r="38" spans="1:15" ht="14.5">
      <c r="A38" s="1432"/>
      <c r="B38" s="1433"/>
      <c r="C38" s="1434"/>
      <c r="D38" s="1435"/>
      <c r="E38" s="1433"/>
      <c r="F38" s="1431" t="str">
        <f>IFERROR(VLOOKUP($E38,POs!$H:J,3,0),"")</f>
        <v/>
      </c>
      <c r="G38" s="1431" t="str">
        <f>IFERROR(VLOOKUP($E38,POs!$H:K,4,0),"")</f>
        <v/>
      </c>
      <c r="H38" s="1433"/>
      <c r="I38" s="1433"/>
      <c r="J38" s="1436"/>
      <c r="K38" s="1437"/>
      <c r="L38" s="1438"/>
      <c r="M38" s="1440"/>
      <c r="N38" s="1436"/>
      <c r="O38" s="1439"/>
    </row>
    <row r="39" spans="1:15" ht="14.5">
      <c r="A39" s="1432"/>
      <c r="B39" s="1433"/>
      <c r="C39" s="1434"/>
      <c r="D39" s="1435"/>
      <c r="E39" s="1433"/>
      <c r="F39" s="1431" t="str">
        <f>IFERROR(VLOOKUP($E39,POs!$H:J,3,0),"")</f>
        <v/>
      </c>
      <c r="G39" s="1431" t="str">
        <f>IFERROR(VLOOKUP($E39,POs!$H:K,4,0),"")</f>
        <v/>
      </c>
      <c r="H39" s="1433"/>
      <c r="I39" s="1433"/>
      <c r="J39" s="1436"/>
      <c r="K39" s="1437"/>
      <c r="L39" s="1438"/>
      <c r="M39" s="1440"/>
      <c r="N39" s="1436"/>
      <c r="O39" s="1439"/>
    </row>
    <row r="40" spans="1:15" ht="14.5">
      <c r="A40" s="1432"/>
      <c r="B40" s="1436"/>
      <c r="C40" s="1432"/>
      <c r="D40" s="1435"/>
      <c r="E40" s="1433"/>
      <c r="F40" s="1431" t="str">
        <f>IFERROR(VLOOKUP($E40,POs!$H:J,3,0),"")</f>
        <v/>
      </c>
      <c r="G40" s="1431" t="str">
        <f>IFERROR(VLOOKUP($E40,POs!$H:K,4,0),"")</f>
        <v/>
      </c>
      <c r="H40" s="1433"/>
      <c r="I40" s="1433"/>
      <c r="J40" s="1436"/>
      <c r="K40" s="1437"/>
      <c r="L40" s="1438"/>
      <c r="M40" s="1440"/>
      <c r="N40" s="1436"/>
      <c r="O40" s="1439"/>
    </row>
    <row r="41" spans="1:15" ht="14.5">
      <c r="A41" s="1432"/>
      <c r="B41" s="1433"/>
      <c r="C41" s="1434"/>
      <c r="D41" s="1435"/>
      <c r="E41" s="1433"/>
      <c r="F41" s="1431" t="str">
        <f>IFERROR(VLOOKUP($E41,POs!$H:J,3,0),"")</f>
        <v/>
      </c>
      <c r="G41" s="1431" t="str">
        <f>IFERROR(VLOOKUP($E41,POs!$H:K,4,0),"")</f>
        <v/>
      </c>
      <c r="H41" s="1433"/>
      <c r="I41" s="1433"/>
      <c r="J41" s="1436"/>
      <c r="K41" s="1437"/>
      <c r="L41" s="1438"/>
      <c r="M41" s="1438"/>
      <c r="N41" s="1436"/>
      <c r="O41" s="1441"/>
    </row>
    <row r="42" spans="1:15" ht="14.5">
      <c r="A42" s="1432"/>
      <c r="B42" s="1433"/>
      <c r="C42" s="1434"/>
      <c r="D42" s="1435"/>
      <c r="E42" s="1433"/>
      <c r="F42" s="1431" t="str">
        <f>IFERROR(VLOOKUP($E42,POs!$H:J,3,0),"")</f>
        <v/>
      </c>
      <c r="G42" s="1431" t="str">
        <f>IFERROR(VLOOKUP($E42,POs!$H:K,4,0),"")</f>
        <v/>
      </c>
      <c r="H42" s="1433"/>
      <c r="I42" s="1433"/>
      <c r="J42" s="1436"/>
      <c r="K42" s="1437"/>
      <c r="L42" s="1438"/>
      <c r="M42" s="1440"/>
      <c r="N42" s="1436"/>
      <c r="O42" s="1439"/>
    </row>
    <row r="43" spans="1:15" ht="14.5">
      <c r="A43" s="1432"/>
      <c r="B43" s="1433"/>
      <c r="C43" s="1434"/>
      <c r="D43" s="1435"/>
      <c r="E43" s="1433"/>
      <c r="F43" s="1431" t="str">
        <f>IFERROR(VLOOKUP($E43,POs!$H:J,3,0),"")</f>
        <v/>
      </c>
      <c r="G43" s="1431" t="str">
        <f>IFERROR(VLOOKUP($E43,POs!$H:K,4,0),"")</f>
        <v/>
      </c>
      <c r="H43" s="1433"/>
      <c r="I43" s="1433"/>
      <c r="J43" s="1436"/>
      <c r="K43" s="1437"/>
      <c r="L43" s="1438"/>
      <c r="M43" s="1440"/>
      <c r="N43" s="1436"/>
      <c r="O43" s="1439"/>
    </row>
    <row r="44" spans="1:15" ht="14.5">
      <c r="A44" s="1432"/>
      <c r="B44" s="1433"/>
      <c r="C44" s="1434"/>
      <c r="D44" s="1435"/>
      <c r="E44" s="1433"/>
      <c r="F44" s="1431" t="str">
        <f>IFERROR(VLOOKUP($E44,POs!$H:J,3,0),"")</f>
        <v/>
      </c>
      <c r="G44" s="1431" t="str">
        <f>IFERROR(VLOOKUP($E44,POs!$H:K,4,0),"")</f>
        <v/>
      </c>
      <c r="H44" s="1433"/>
      <c r="I44" s="1433"/>
      <c r="J44" s="1436"/>
      <c r="K44" s="1437"/>
      <c r="L44" s="1438"/>
      <c r="M44" s="1440"/>
      <c r="N44" s="1436"/>
      <c r="O44" s="1439"/>
    </row>
    <row r="45" spans="1:15" ht="14.5">
      <c r="A45" s="1432"/>
      <c r="B45" s="1433"/>
      <c r="C45" s="1434"/>
      <c r="D45" s="1435"/>
      <c r="E45" s="1433"/>
      <c r="F45" s="1431" t="str">
        <f>IFERROR(VLOOKUP($E45,POs!$H:J,3,0),"")</f>
        <v/>
      </c>
      <c r="G45" s="1431" t="str">
        <f>IFERROR(VLOOKUP($E45,POs!$H:K,4,0),"")</f>
        <v/>
      </c>
      <c r="H45" s="1433"/>
      <c r="I45" s="1433"/>
      <c r="J45" s="1436"/>
      <c r="K45" s="1437"/>
      <c r="L45" s="1438"/>
      <c r="M45" s="1440"/>
      <c r="N45" s="1436"/>
      <c r="O45" s="1439"/>
    </row>
    <row r="46" spans="1:15" ht="14.5">
      <c r="A46" s="1432"/>
      <c r="B46" s="1433"/>
      <c r="C46" s="1434"/>
      <c r="D46" s="1435"/>
      <c r="E46" s="1433"/>
      <c r="F46" s="1431" t="str">
        <f>IFERROR(VLOOKUP($E46,POs!$H:J,3,0),"")</f>
        <v/>
      </c>
      <c r="G46" s="1431" t="str">
        <f>IFERROR(VLOOKUP($E46,POs!$H:K,4,0),"")</f>
        <v/>
      </c>
      <c r="H46" s="1433"/>
      <c r="I46" s="1433"/>
      <c r="J46" s="1436"/>
      <c r="K46" s="1437"/>
      <c r="L46" s="1438"/>
      <c r="M46" s="1440"/>
      <c r="N46" s="1436"/>
      <c r="O46" s="1439"/>
    </row>
    <row r="47" spans="1:15" ht="14.5">
      <c r="A47" s="1432"/>
      <c r="B47" s="1433"/>
      <c r="C47" s="1434"/>
      <c r="D47" s="1435"/>
      <c r="E47" s="1433"/>
      <c r="F47" s="1431" t="str">
        <f>IFERROR(VLOOKUP($E47,POs!$H:J,3,0),"")</f>
        <v/>
      </c>
      <c r="G47" s="1431" t="str">
        <f>IFERROR(VLOOKUP($E47,POs!$H:K,4,0),"")</f>
        <v/>
      </c>
      <c r="H47" s="1433"/>
      <c r="I47" s="1433"/>
      <c r="J47" s="1436"/>
      <c r="K47" s="1437"/>
      <c r="L47" s="1438"/>
      <c r="M47" s="1440"/>
      <c r="N47" s="1436"/>
      <c r="O47" s="1439"/>
    </row>
    <row r="48" spans="1:15" ht="14.5">
      <c r="A48" s="1432"/>
      <c r="B48" s="1433"/>
      <c r="C48" s="1434"/>
      <c r="D48" s="1435"/>
      <c r="E48" s="1433"/>
      <c r="F48" s="1431" t="str">
        <f>IFERROR(VLOOKUP($E48,POs!$H:J,3,0),"")</f>
        <v/>
      </c>
      <c r="G48" s="1431" t="str">
        <f>IFERROR(VLOOKUP($E48,POs!$H:K,4,0),"")</f>
        <v/>
      </c>
      <c r="H48" s="1433"/>
      <c r="I48" s="1433"/>
      <c r="J48" s="1436"/>
      <c r="K48" s="1437"/>
      <c r="L48" s="1438"/>
      <c r="M48" s="1440"/>
      <c r="N48" s="1436"/>
      <c r="O48" s="1439"/>
    </row>
    <row r="49" spans="1:15" ht="14.5">
      <c r="A49" s="1432"/>
      <c r="B49" s="1433"/>
      <c r="C49" s="1434"/>
      <c r="D49" s="1435"/>
      <c r="E49" s="1433"/>
      <c r="F49" s="1431" t="str">
        <f>IFERROR(VLOOKUP($E49,POs!$H:J,3,0),"")</f>
        <v/>
      </c>
      <c r="G49" s="1431" t="str">
        <f>IFERROR(VLOOKUP($E49,POs!$H:K,4,0),"")</f>
        <v/>
      </c>
      <c r="H49" s="1433"/>
      <c r="I49" s="1433"/>
      <c r="J49" s="1436"/>
      <c r="K49" s="1437"/>
      <c r="L49" s="1438"/>
      <c r="M49" s="1438"/>
      <c r="N49" s="1436"/>
      <c r="O49" s="1439"/>
    </row>
    <row r="50" spans="1:15" ht="14.5">
      <c r="A50" s="1432"/>
      <c r="B50" s="1433"/>
      <c r="C50" s="1434"/>
      <c r="D50" s="1435"/>
      <c r="E50" s="1433"/>
      <c r="F50" s="1431" t="str">
        <f>IFERROR(VLOOKUP($E50,POs!$H:J,3,0),"")</f>
        <v/>
      </c>
      <c r="G50" s="1431" t="str">
        <f>IFERROR(VLOOKUP($E50,POs!$H:K,4,0),"")</f>
        <v/>
      </c>
      <c r="H50" s="1433"/>
      <c r="I50" s="1433"/>
      <c r="J50" s="1436"/>
      <c r="K50" s="1437"/>
      <c r="L50" s="1438"/>
      <c r="M50" s="1438"/>
      <c r="N50" s="1436"/>
      <c r="O50" s="1439"/>
    </row>
    <row r="51" spans="1:15" ht="14.5">
      <c r="A51" s="1432"/>
      <c r="B51" s="1433"/>
      <c r="C51" s="1434"/>
      <c r="D51" s="1435"/>
      <c r="E51" s="1433"/>
      <c r="F51" s="1431" t="str">
        <f>IFERROR(VLOOKUP($E51,POs!$H:J,3,0),"")</f>
        <v/>
      </c>
      <c r="G51" s="1431" t="str">
        <f>IFERROR(VLOOKUP($E51,POs!$H:K,4,0),"")</f>
        <v/>
      </c>
      <c r="H51" s="1433"/>
      <c r="I51" s="1433"/>
      <c r="J51" s="1436"/>
      <c r="K51" s="1437"/>
      <c r="L51" s="1438"/>
      <c r="M51" s="1438"/>
      <c r="N51" s="1436"/>
      <c r="O51" s="1439"/>
    </row>
    <row r="52" spans="1:15" ht="14.5">
      <c r="A52" s="1432"/>
      <c r="B52" s="1433"/>
      <c r="C52" s="1434"/>
      <c r="D52" s="1435"/>
      <c r="E52" s="1433"/>
      <c r="F52" s="1431" t="str">
        <f>IFERROR(VLOOKUP($E52,POs!$H:J,3,0),"")</f>
        <v/>
      </c>
      <c r="G52" s="1431" t="str">
        <f>IFERROR(VLOOKUP($E52,POs!$H:K,4,0),"")</f>
        <v/>
      </c>
      <c r="H52" s="1433"/>
      <c r="I52" s="1433"/>
      <c r="J52" s="1436"/>
      <c r="K52" s="1437"/>
      <c r="L52" s="1438"/>
      <c r="M52" s="1438"/>
      <c r="N52" s="1436"/>
      <c r="O52" s="1439"/>
    </row>
    <row r="53" spans="1:15" ht="14.5">
      <c r="A53" s="1432"/>
      <c r="B53" s="1433"/>
      <c r="C53" s="1434"/>
      <c r="D53" s="1435"/>
      <c r="E53" s="1433"/>
      <c r="F53" s="1431" t="str">
        <f>IFERROR(VLOOKUP($E53,POs!$H:J,3,0),"")</f>
        <v/>
      </c>
      <c r="G53" s="1431" t="str">
        <f>IFERROR(VLOOKUP($E53,POs!$H:K,4,0),"")</f>
        <v/>
      </c>
      <c r="H53" s="1433"/>
      <c r="I53" s="1433"/>
      <c r="J53" s="1436"/>
      <c r="K53" s="1437"/>
      <c r="L53" s="1438"/>
      <c r="M53" s="1440"/>
      <c r="N53" s="1436"/>
      <c r="O53" s="1439"/>
    </row>
    <row r="54" spans="1:15" ht="14.5">
      <c r="A54" s="1432"/>
      <c r="B54" s="1436"/>
      <c r="C54" s="1432"/>
      <c r="D54" s="1435"/>
      <c r="E54" s="1433"/>
      <c r="F54" s="1431" t="str">
        <f>IFERROR(VLOOKUP($E54,POs!$H:J,3,0),"")</f>
        <v/>
      </c>
      <c r="G54" s="1431" t="str">
        <f>IFERROR(VLOOKUP($E54,POs!$H:K,4,0),"")</f>
        <v/>
      </c>
      <c r="H54" s="1436"/>
      <c r="I54" s="1436"/>
      <c r="J54" s="1436"/>
      <c r="K54" s="1437"/>
      <c r="L54" s="1438"/>
      <c r="M54" s="1440"/>
      <c r="N54" s="1436"/>
      <c r="O54" s="1439"/>
    </row>
    <row r="55" spans="1:15" ht="14.5">
      <c r="A55" s="1432"/>
      <c r="B55" s="1433"/>
      <c r="C55" s="1434"/>
      <c r="D55" s="1435"/>
      <c r="E55" s="1433"/>
      <c r="F55" s="1431" t="str">
        <f>IFERROR(VLOOKUP($E55,POs!$H:J,3,0),"")</f>
        <v/>
      </c>
      <c r="G55" s="1431" t="str">
        <f>IFERROR(VLOOKUP($E55,POs!$H:K,4,0),"")</f>
        <v/>
      </c>
      <c r="H55" s="1433"/>
      <c r="I55" s="1433"/>
      <c r="J55" s="1436"/>
      <c r="K55" s="1437"/>
      <c r="L55" s="1438"/>
      <c r="M55" s="1440"/>
      <c r="N55" s="1436"/>
      <c r="O55" s="1439"/>
    </row>
    <row r="56" spans="1:15" ht="14.5">
      <c r="A56" s="1432"/>
      <c r="B56" s="1433"/>
      <c r="C56" s="1434"/>
      <c r="D56" s="1435"/>
      <c r="E56" s="1433"/>
      <c r="F56" s="1431" t="str">
        <f>IFERROR(VLOOKUP($E56,POs!$H:J,3,0),"")</f>
        <v/>
      </c>
      <c r="G56" s="1431" t="str">
        <f>IFERROR(VLOOKUP($E56,POs!$H:K,4,0),"")</f>
        <v/>
      </c>
      <c r="H56" s="1433"/>
      <c r="I56" s="1433"/>
      <c r="J56" s="1436"/>
      <c r="K56" s="1437"/>
      <c r="L56" s="1438"/>
      <c r="M56" s="1440"/>
      <c r="N56" s="1436"/>
      <c r="O56" s="1439"/>
    </row>
    <row r="57" spans="1:15" ht="14.5">
      <c r="A57" s="1432"/>
      <c r="B57" s="1433"/>
      <c r="C57" s="1434"/>
      <c r="D57" s="1435"/>
      <c r="E57" s="1433"/>
      <c r="F57" s="1431" t="str">
        <f>IFERROR(VLOOKUP($E57,POs!$H:J,3,0),"")</f>
        <v/>
      </c>
      <c r="G57" s="1431" t="str">
        <f>IFERROR(VLOOKUP($E57,POs!$H:K,4,0),"")</f>
        <v/>
      </c>
      <c r="H57" s="1433"/>
      <c r="I57" s="1433"/>
      <c r="J57" s="1436"/>
      <c r="K57" s="1437"/>
      <c r="L57" s="1438"/>
      <c r="M57" s="1440"/>
      <c r="N57" s="1436"/>
      <c r="O57" s="1439"/>
    </row>
    <row r="58" spans="1:15" ht="14.5">
      <c r="A58" s="1432"/>
      <c r="B58" s="1433"/>
      <c r="C58" s="1434"/>
      <c r="D58" s="1435"/>
      <c r="E58" s="1433"/>
      <c r="F58" s="1431" t="str">
        <f>IFERROR(VLOOKUP($E58,POs!$H:J,3,0),"")</f>
        <v/>
      </c>
      <c r="G58" s="1431" t="str">
        <f>IFERROR(VLOOKUP($E58,POs!$H:K,4,0),"")</f>
        <v/>
      </c>
      <c r="H58" s="1433"/>
      <c r="I58" s="1433"/>
      <c r="J58" s="1436"/>
      <c r="K58" s="1437"/>
      <c r="L58" s="1438"/>
      <c r="M58" s="1440"/>
      <c r="N58" s="1436"/>
      <c r="O58" s="1439"/>
    </row>
    <row r="59" spans="1:15" ht="14.5">
      <c r="A59" s="1432"/>
      <c r="B59" s="1433"/>
      <c r="C59" s="1434"/>
      <c r="D59" s="1435"/>
      <c r="E59" s="1433"/>
      <c r="F59" s="1431" t="str">
        <f>IFERROR(VLOOKUP($E59,POs!$H:J,3,0),"")</f>
        <v/>
      </c>
      <c r="G59" s="1431" t="str">
        <f>IFERROR(VLOOKUP($E59,POs!$H:K,4,0),"")</f>
        <v/>
      </c>
      <c r="H59" s="1433"/>
      <c r="I59" s="1433"/>
      <c r="J59" s="1436"/>
      <c r="K59" s="1437"/>
      <c r="L59" s="1438"/>
      <c r="M59" s="1440"/>
      <c r="N59" s="1436"/>
      <c r="O59" s="1439"/>
    </row>
    <row r="60" spans="1:15" ht="14.5">
      <c r="A60" s="1432"/>
      <c r="B60" s="1433"/>
      <c r="C60" s="1434"/>
      <c r="D60" s="1435"/>
      <c r="E60" s="1433"/>
      <c r="F60" s="1431" t="str">
        <f>IFERROR(VLOOKUP($E60,POs!$H:J,3,0),"")</f>
        <v/>
      </c>
      <c r="G60" s="1431" t="str">
        <f>IFERROR(VLOOKUP($E60,POs!$H:K,4,0),"")</f>
        <v/>
      </c>
      <c r="H60" s="1433"/>
      <c r="I60" s="1433"/>
      <c r="J60" s="1436"/>
      <c r="K60" s="1437"/>
      <c r="L60" s="1438"/>
      <c r="M60" s="1440"/>
      <c r="N60" s="1436"/>
      <c r="O60" s="1439"/>
    </row>
    <row r="61" spans="1:15" ht="14.5">
      <c r="A61" s="1432"/>
      <c r="B61" s="1436"/>
      <c r="C61" s="1432"/>
      <c r="D61" s="1435"/>
      <c r="E61" s="1433"/>
      <c r="F61" s="1431" t="str">
        <f>IFERROR(VLOOKUP($E61,POs!$H:J,3,0),"")</f>
        <v/>
      </c>
      <c r="G61" s="1431" t="str">
        <f>IFERROR(VLOOKUP($E61,POs!$H:K,4,0),"")</f>
        <v/>
      </c>
      <c r="H61" s="1433"/>
      <c r="I61" s="1433"/>
      <c r="J61" s="1436"/>
      <c r="K61" s="1437"/>
      <c r="L61" s="1438"/>
      <c r="M61" s="1440"/>
      <c r="N61" s="1436"/>
      <c r="O61" s="1439"/>
    </row>
    <row r="62" spans="1:15" ht="14.5">
      <c r="A62" s="1432"/>
      <c r="B62" s="1433"/>
      <c r="C62" s="1434"/>
      <c r="D62" s="1435"/>
      <c r="E62" s="1433"/>
      <c r="F62" s="1431" t="str">
        <f>IFERROR(VLOOKUP($E62,POs!$H:J,3,0),"")</f>
        <v/>
      </c>
      <c r="G62" s="1431" t="str">
        <f>IFERROR(VLOOKUP($E62,POs!$H:K,4,0),"")</f>
        <v/>
      </c>
      <c r="H62" s="1433"/>
      <c r="I62" s="1433"/>
      <c r="J62" s="1436"/>
      <c r="K62" s="1437"/>
      <c r="L62" s="1438"/>
      <c r="M62" s="1438"/>
      <c r="N62" s="1436"/>
      <c r="O62" s="1441"/>
    </row>
    <row r="63" spans="1:15" ht="14.5">
      <c r="A63" s="1432"/>
      <c r="B63" s="1433"/>
      <c r="C63" s="1434"/>
      <c r="D63" s="1435"/>
      <c r="E63" s="1433"/>
      <c r="F63" s="1431" t="str">
        <f>IFERROR(VLOOKUP($E63,POs!$H:J,3,0),"")</f>
        <v/>
      </c>
      <c r="G63" s="1431" t="str">
        <f>IFERROR(VLOOKUP($E63,POs!$H:K,4,0),"")</f>
        <v/>
      </c>
      <c r="H63" s="1433"/>
      <c r="I63" s="1433"/>
      <c r="J63" s="1436"/>
      <c r="K63" s="1437"/>
      <c r="L63" s="1438"/>
      <c r="M63" s="1440"/>
      <c r="N63" s="1436"/>
      <c r="O63" s="1439"/>
    </row>
    <row r="64" spans="1:15" ht="14.5">
      <c r="A64" s="1432"/>
      <c r="B64" s="1433"/>
      <c r="C64" s="1434"/>
      <c r="D64" s="1435"/>
      <c r="E64" s="1433"/>
      <c r="F64" s="1431" t="str">
        <f>IFERROR(VLOOKUP($E64,POs!$H:J,3,0),"")</f>
        <v/>
      </c>
      <c r="G64" s="1431" t="str">
        <f>IFERROR(VLOOKUP($E64,POs!$H:K,4,0),"")</f>
        <v/>
      </c>
      <c r="H64" s="1433"/>
      <c r="I64" s="1433"/>
      <c r="J64" s="1436"/>
      <c r="K64" s="1437"/>
      <c r="L64" s="1438"/>
      <c r="M64" s="1440"/>
      <c r="N64" s="1436"/>
      <c r="O64" s="1439"/>
    </row>
    <row r="65" spans="1:16" ht="14.5">
      <c r="A65" s="1432"/>
      <c r="B65" s="1433"/>
      <c r="C65" s="1434"/>
      <c r="D65" s="1435"/>
      <c r="E65" s="1433"/>
      <c r="F65" s="1431" t="str">
        <f>IFERROR(VLOOKUP($E65,POs!$H:J,3,0),"")</f>
        <v/>
      </c>
      <c r="G65" s="1431" t="str">
        <f>IFERROR(VLOOKUP($E65,POs!$H:K,4,0),"")</f>
        <v/>
      </c>
      <c r="H65" s="1433"/>
      <c r="I65" s="1433"/>
      <c r="J65" s="1436"/>
      <c r="K65" s="1437"/>
      <c r="L65" s="1438"/>
      <c r="M65" s="1440"/>
      <c r="N65" s="1436"/>
      <c r="O65" s="1439"/>
    </row>
    <row r="66" spans="1:16" ht="14.5">
      <c r="A66" s="1432"/>
      <c r="B66" s="1433"/>
      <c r="C66" s="1434"/>
      <c r="D66" s="1435"/>
      <c r="E66" s="1433"/>
      <c r="F66" s="1431" t="str">
        <f>IFERROR(VLOOKUP($E66,POs!$H:J,3,0),"")</f>
        <v/>
      </c>
      <c r="G66" s="1431" t="str">
        <f>IFERROR(VLOOKUP($E66,POs!$H:K,4,0),"")</f>
        <v/>
      </c>
      <c r="H66" s="1433"/>
      <c r="I66" s="1433"/>
      <c r="J66" s="1436"/>
      <c r="K66" s="1437"/>
      <c r="L66" s="1438"/>
      <c r="M66" s="1440"/>
      <c r="N66" s="1436"/>
      <c r="O66" s="1439"/>
    </row>
    <row r="67" spans="1:16" ht="14.5">
      <c r="A67" s="1432"/>
      <c r="B67" s="1433"/>
      <c r="C67" s="1434"/>
      <c r="D67" s="1435"/>
      <c r="E67" s="1433"/>
      <c r="F67" s="1431" t="str">
        <f>IFERROR(VLOOKUP($E67,POs!$H:J,3,0),"")</f>
        <v/>
      </c>
      <c r="G67" s="1431" t="str">
        <f>IFERROR(VLOOKUP($E67,POs!$H:K,4,0),"")</f>
        <v/>
      </c>
      <c r="H67" s="1433"/>
      <c r="I67" s="1433"/>
      <c r="J67" s="1436"/>
      <c r="K67" s="1437"/>
      <c r="L67" s="1438"/>
      <c r="M67" s="1440"/>
      <c r="N67" s="1436"/>
      <c r="O67" s="1439"/>
    </row>
    <row r="68" spans="1:16" ht="14.5">
      <c r="A68" s="1432"/>
      <c r="B68" s="1433"/>
      <c r="C68" s="1434"/>
      <c r="D68" s="1435"/>
      <c r="E68" s="1433"/>
      <c r="F68" s="1431" t="str">
        <f>IFERROR(VLOOKUP($E68,POs!$H:J,3,0),"")</f>
        <v/>
      </c>
      <c r="G68" s="1431" t="str">
        <f>IFERROR(VLOOKUP($E68,POs!$H:K,4,0),"")</f>
        <v/>
      </c>
      <c r="H68" s="1433"/>
      <c r="I68" s="1433"/>
      <c r="J68" s="1436"/>
      <c r="K68" s="1437"/>
      <c r="L68" s="1438"/>
      <c r="M68" s="1440"/>
      <c r="N68" s="1436"/>
      <c r="O68" s="1439"/>
    </row>
    <row r="69" spans="1:16" ht="14.5">
      <c r="A69" s="1432"/>
      <c r="B69" s="1433"/>
      <c r="C69" s="1434"/>
      <c r="D69" s="1435"/>
      <c r="E69" s="1433"/>
      <c r="F69" s="1431" t="str">
        <f>IFERROR(VLOOKUP($E69,POs!$H:J,3,0),"")</f>
        <v/>
      </c>
      <c r="G69" s="1431" t="str">
        <f>IFERROR(VLOOKUP($E69,POs!$H:K,4,0),"")</f>
        <v/>
      </c>
      <c r="H69" s="1433"/>
      <c r="I69" s="1433"/>
      <c r="J69" s="1436"/>
      <c r="K69" s="1437"/>
      <c r="L69" s="1438"/>
      <c r="M69" s="1438"/>
      <c r="N69" s="1436"/>
      <c r="O69" s="1439"/>
    </row>
    <row r="70" spans="1:16" ht="14.5">
      <c r="A70" s="1432"/>
      <c r="B70" s="1433"/>
      <c r="C70" s="1434"/>
      <c r="D70" s="1435"/>
      <c r="E70" s="1433"/>
      <c r="F70" s="1431" t="str">
        <f>IFERROR(VLOOKUP($E70,POs!$H:J,3,0),"")</f>
        <v/>
      </c>
      <c r="G70" s="1431" t="str">
        <f>IFERROR(VLOOKUP($E70,POs!$H:K,4,0),"")</f>
        <v/>
      </c>
      <c r="H70" s="1433"/>
      <c r="I70" s="1433"/>
      <c r="J70" s="1436"/>
      <c r="K70" s="1437"/>
      <c r="L70" s="1438"/>
      <c r="M70" s="1440"/>
      <c r="N70" s="1436"/>
      <c r="O70" s="1439"/>
    </row>
    <row r="71" spans="1:16" ht="14.5">
      <c r="A71" s="1432"/>
      <c r="B71" s="1433"/>
      <c r="C71" s="1434"/>
      <c r="D71" s="1435"/>
      <c r="E71" s="1433"/>
      <c r="F71" s="1431" t="str">
        <f>IFERROR(VLOOKUP($E71,POs!$H:J,3,0),"")</f>
        <v/>
      </c>
      <c r="G71" s="1431" t="str">
        <f>IFERROR(VLOOKUP($E71,POs!$H:K,4,0),"")</f>
        <v/>
      </c>
      <c r="H71" s="1433"/>
      <c r="I71" s="1433"/>
      <c r="J71" s="1436"/>
      <c r="K71" s="1437"/>
      <c r="L71" s="1438"/>
      <c r="M71" s="1440"/>
      <c r="N71" s="1436"/>
      <c r="O71" s="1439"/>
    </row>
    <row r="72" spans="1:16" s="202" customFormat="1" ht="14.5">
      <c r="A72" s="1432"/>
      <c r="B72" s="1433"/>
      <c r="C72" s="1434"/>
      <c r="D72" s="1435"/>
      <c r="E72" s="1433"/>
      <c r="F72" s="1431" t="str">
        <f>IFERROR(VLOOKUP($E72,POs!$H:J,3,0),"")</f>
        <v/>
      </c>
      <c r="G72" s="1431" t="str">
        <f>IFERROR(VLOOKUP($E72,POs!$H:K,4,0),"")</f>
        <v/>
      </c>
      <c r="H72" s="1433"/>
      <c r="I72" s="1433"/>
      <c r="J72" s="1436"/>
      <c r="K72" s="1437"/>
      <c r="L72" s="1438"/>
      <c r="M72" s="1440"/>
      <c r="N72" s="1436"/>
      <c r="O72" s="1439"/>
      <c r="P72" s="1244"/>
    </row>
    <row r="73" spans="1:16" s="202" customFormat="1" ht="14.5">
      <c r="A73" s="1432"/>
      <c r="B73" s="1433"/>
      <c r="C73" s="1434"/>
      <c r="D73" s="1435"/>
      <c r="E73" s="1433"/>
      <c r="F73" s="1431" t="str">
        <f>IFERROR(VLOOKUP($E73,POs!$H:J,3,0),"")</f>
        <v/>
      </c>
      <c r="G73" s="1431" t="str">
        <f>IFERROR(VLOOKUP($E73,POs!$H:K,4,0),"")</f>
        <v/>
      </c>
      <c r="H73" s="1433"/>
      <c r="I73" s="1433"/>
      <c r="J73" s="1436"/>
      <c r="K73" s="1437"/>
      <c r="L73" s="1438"/>
      <c r="M73" s="1440"/>
      <c r="N73" s="1436"/>
      <c r="O73" s="1439"/>
      <c r="P73" s="1244"/>
    </row>
    <row r="74" spans="1:16" s="202" customFormat="1" ht="14.5">
      <c r="A74" s="1432"/>
      <c r="B74" s="1433"/>
      <c r="C74" s="1434"/>
      <c r="D74" s="1435"/>
      <c r="E74" s="1433"/>
      <c r="F74" s="1431" t="str">
        <f>IFERROR(VLOOKUP($E74,POs!$H:J,3,0),"")</f>
        <v/>
      </c>
      <c r="G74" s="1431" t="str">
        <f>IFERROR(VLOOKUP($E74,POs!$H:K,4,0),"")</f>
        <v/>
      </c>
      <c r="H74" s="1433"/>
      <c r="I74" s="1433"/>
      <c r="J74" s="1436"/>
      <c r="K74" s="1437"/>
      <c r="L74" s="1438"/>
      <c r="M74" s="1440"/>
      <c r="N74" s="1436"/>
      <c r="O74" s="1439"/>
      <c r="P74" s="1244"/>
    </row>
    <row r="75" spans="1:16" ht="14.5">
      <c r="A75" s="1432"/>
      <c r="B75" s="1433"/>
      <c r="C75" s="1434"/>
      <c r="D75" s="1435"/>
      <c r="E75" s="1433"/>
      <c r="F75" s="1431" t="str">
        <f>IFERROR(VLOOKUP($E75,POs!$H:J,3,0),"")</f>
        <v/>
      </c>
      <c r="G75" s="1431" t="str">
        <f>IFERROR(VLOOKUP($E75,POs!$H:K,4,0),"")</f>
        <v/>
      </c>
      <c r="H75" s="1433"/>
      <c r="I75" s="1433"/>
      <c r="J75" s="1436"/>
      <c r="K75" s="1437"/>
      <c r="L75" s="1438"/>
      <c r="M75" s="1440"/>
      <c r="N75" s="1436"/>
      <c r="O75" s="1439"/>
    </row>
    <row r="76" spans="1:16" ht="14.5">
      <c r="A76" s="1432"/>
      <c r="B76" s="1433"/>
      <c r="C76" s="1434"/>
      <c r="D76" s="1435"/>
      <c r="E76" s="1433"/>
      <c r="F76" s="1431" t="str">
        <f>IFERROR(VLOOKUP($E76,POs!$H:J,3,0),"")</f>
        <v/>
      </c>
      <c r="G76" s="1431" t="str">
        <f>IFERROR(VLOOKUP($E76,POs!$H:K,4,0),"")</f>
        <v/>
      </c>
      <c r="H76" s="1433"/>
      <c r="I76" s="1433"/>
      <c r="J76" s="1436"/>
      <c r="K76" s="1437"/>
      <c r="L76" s="1438"/>
      <c r="M76" s="1440"/>
      <c r="N76" s="1436"/>
      <c r="O76" s="1439"/>
    </row>
    <row r="77" spans="1:16" ht="14.5">
      <c r="A77" s="1432"/>
      <c r="B77" s="1433"/>
      <c r="C77" s="1434"/>
      <c r="D77" s="1435"/>
      <c r="E77" s="1433"/>
      <c r="F77" s="1431" t="str">
        <f>IFERROR(VLOOKUP($E77,POs!$H:J,3,0),"")</f>
        <v/>
      </c>
      <c r="G77" s="1431" t="str">
        <f>IFERROR(VLOOKUP($E77,POs!$H:K,4,0),"")</f>
        <v/>
      </c>
      <c r="H77" s="1433"/>
      <c r="I77" s="1433"/>
      <c r="J77" s="1436"/>
      <c r="K77" s="1437"/>
      <c r="L77" s="1438"/>
      <c r="M77" s="1440"/>
      <c r="N77" s="1436"/>
      <c r="O77" s="1439"/>
    </row>
    <row r="78" spans="1:16" ht="14.5">
      <c r="A78" s="1432"/>
      <c r="B78" s="1433"/>
      <c r="C78" s="1434"/>
      <c r="D78" s="1435"/>
      <c r="E78" s="1433"/>
      <c r="F78" s="1431" t="str">
        <f>IFERROR(VLOOKUP($E78,POs!$H:J,3,0),"")</f>
        <v/>
      </c>
      <c r="G78" s="1431" t="str">
        <f>IFERROR(VLOOKUP($E78,POs!$H:K,4,0),"")</f>
        <v/>
      </c>
      <c r="H78" s="1433"/>
      <c r="I78" s="1433"/>
      <c r="J78" s="1436"/>
      <c r="K78" s="1437"/>
      <c r="L78" s="1438"/>
      <c r="M78" s="1440"/>
      <c r="N78" s="1436"/>
      <c r="O78" s="1439"/>
    </row>
    <row r="79" spans="1:16" ht="14.5">
      <c r="A79" s="1432"/>
      <c r="B79" s="1433"/>
      <c r="C79" s="1434"/>
      <c r="D79" s="1435"/>
      <c r="E79" s="1433"/>
      <c r="F79" s="1431" t="str">
        <f>IFERROR(VLOOKUP($E79,POs!$H:J,3,0),"")</f>
        <v/>
      </c>
      <c r="G79" s="1431" t="str">
        <f>IFERROR(VLOOKUP($E79,POs!$H:K,4,0),"")</f>
        <v/>
      </c>
      <c r="H79" s="1433"/>
      <c r="I79" s="1433"/>
      <c r="J79" s="1436"/>
      <c r="K79" s="1437"/>
      <c r="L79" s="1438"/>
      <c r="M79" s="1440"/>
      <c r="N79" s="1436"/>
      <c r="O79" s="1439"/>
    </row>
    <row r="80" spans="1:16" ht="14.5">
      <c r="A80" s="1432"/>
      <c r="B80" s="1433"/>
      <c r="C80" s="1434"/>
      <c r="D80" s="1435"/>
      <c r="E80" s="1433"/>
      <c r="F80" s="1431" t="str">
        <f>IFERROR(VLOOKUP($E80,POs!$H:J,3,0),"")</f>
        <v/>
      </c>
      <c r="G80" s="1431" t="str">
        <f>IFERROR(VLOOKUP($E80,POs!$H:K,4,0),"")</f>
        <v/>
      </c>
      <c r="H80" s="1433"/>
      <c r="I80" s="1433"/>
      <c r="J80" s="1436"/>
      <c r="K80" s="1437"/>
      <c r="L80" s="1438"/>
      <c r="M80" s="1440"/>
      <c r="N80" s="1436"/>
      <c r="O80" s="1439"/>
    </row>
    <row r="81" spans="1:16" ht="14.5">
      <c r="A81" s="1432"/>
      <c r="B81" s="1433"/>
      <c r="C81" s="1434"/>
      <c r="D81" s="1435"/>
      <c r="E81" s="1433"/>
      <c r="F81" s="1431" t="str">
        <f>IFERROR(VLOOKUP($E81,POs!$H:J,3,0),"")</f>
        <v/>
      </c>
      <c r="G81" s="1431" t="str">
        <f>IFERROR(VLOOKUP($E81,POs!$H:K,4,0),"")</f>
        <v/>
      </c>
      <c r="H81" s="1433"/>
      <c r="I81" s="1433"/>
      <c r="J81" s="1436"/>
      <c r="K81" s="1437"/>
      <c r="L81" s="1438"/>
      <c r="M81" s="1440"/>
      <c r="N81" s="1436"/>
      <c r="O81" s="1439"/>
    </row>
    <row r="82" spans="1:16" ht="14.5">
      <c r="A82" s="1432"/>
      <c r="B82" s="1433"/>
      <c r="C82" s="1434"/>
      <c r="D82" s="1435"/>
      <c r="E82" s="1433"/>
      <c r="F82" s="1431" t="str">
        <f>IFERROR(VLOOKUP($E82,POs!$H:J,3,0),"")</f>
        <v/>
      </c>
      <c r="G82" s="1431" t="str">
        <f>IFERROR(VLOOKUP($E82,POs!$H:K,4,0),"")</f>
        <v/>
      </c>
      <c r="H82" s="1436"/>
      <c r="I82" s="1436"/>
      <c r="J82" s="1436"/>
      <c r="K82" s="1437"/>
      <c r="L82" s="1438"/>
      <c r="M82" s="1440"/>
      <c r="N82" s="1436"/>
      <c r="O82" s="1439"/>
    </row>
    <row r="83" spans="1:16" ht="14.5">
      <c r="A83" s="1432"/>
      <c r="B83" s="1433"/>
      <c r="C83" s="1434"/>
      <c r="D83" s="1435"/>
      <c r="E83" s="1433"/>
      <c r="F83" s="1431" t="str">
        <f>IFERROR(VLOOKUP($E83,POs!$H:J,3,0),"")</f>
        <v/>
      </c>
      <c r="G83" s="1431" t="str">
        <f>IFERROR(VLOOKUP($E83,POs!$H:K,4,0),"")</f>
        <v/>
      </c>
      <c r="H83" s="1433"/>
      <c r="I83" s="1433"/>
      <c r="J83" s="1436"/>
      <c r="K83" s="1437"/>
      <c r="L83" s="1438"/>
      <c r="M83" s="1440"/>
      <c r="N83" s="1436"/>
      <c r="O83" s="1439"/>
    </row>
    <row r="84" spans="1:16" ht="14.5">
      <c r="A84" s="1432"/>
      <c r="B84" s="1433"/>
      <c r="C84" s="1434"/>
      <c r="D84" s="1435"/>
      <c r="E84" s="1433"/>
      <c r="F84" s="1431" t="str">
        <f>IFERROR(VLOOKUP($E84,POs!$H:J,3,0),"")</f>
        <v/>
      </c>
      <c r="G84" s="1431" t="str">
        <f>IFERROR(VLOOKUP($E84,POs!$H:K,4,0),"")</f>
        <v/>
      </c>
      <c r="H84" s="1433"/>
      <c r="I84" s="1433"/>
      <c r="J84" s="1436"/>
      <c r="K84" s="1437"/>
      <c r="L84" s="1438"/>
      <c r="M84" s="1440"/>
      <c r="N84" s="1436"/>
      <c r="O84" s="1439"/>
    </row>
    <row r="85" spans="1:16" ht="14.5">
      <c r="A85" s="1432"/>
      <c r="B85" s="1433"/>
      <c r="C85" s="1434"/>
      <c r="D85" s="1435"/>
      <c r="E85" s="1433"/>
      <c r="F85" s="1431" t="str">
        <f>IFERROR(VLOOKUP($E85,POs!$H:J,3,0),"")</f>
        <v/>
      </c>
      <c r="G85" s="1431" t="str">
        <f>IFERROR(VLOOKUP($E85,POs!$H:K,4,0),"")</f>
        <v/>
      </c>
      <c r="H85" s="1433"/>
      <c r="I85" s="1433"/>
      <c r="J85" s="1436"/>
      <c r="K85" s="1437"/>
      <c r="L85" s="1438"/>
      <c r="M85" s="1440"/>
      <c r="N85" s="1436"/>
      <c r="O85" s="1439"/>
    </row>
    <row r="86" spans="1:16" ht="14.5">
      <c r="A86" s="1432"/>
      <c r="B86" s="1433"/>
      <c r="C86" s="1434"/>
      <c r="D86" s="1435"/>
      <c r="E86" s="1433"/>
      <c r="F86" s="1431" t="str">
        <f>IFERROR(VLOOKUP($E86,POs!$H:J,3,0),"")</f>
        <v/>
      </c>
      <c r="G86" s="1431" t="str">
        <f>IFERROR(VLOOKUP($E86,POs!$H:K,4,0),"")</f>
        <v/>
      </c>
      <c r="H86" s="1436"/>
      <c r="I86" s="1436"/>
      <c r="J86" s="1436"/>
      <c r="K86" s="1437"/>
      <c r="L86" s="1438"/>
      <c r="M86" s="1440"/>
      <c r="N86" s="1436"/>
      <c r="O86" s="1439"/>
    </row>
    <row r="87" spans="1:16" ht="14.5">
      <c r="A87" s="1432"/>
      <c r="B87" s="1433"/>
      <c r="C87" s="1434"/>
      <c r="D87" s="1435"/>
      <c r="E87" s="1433"/>
      <c r="F87" s="1431" t="str">
        <f>IFERROR(VLOOKUP($E87,POs!$H:J,3,0),"")</f>
        <v/>
      </c>
      <c r="G87" s="1431" t="str">
        <f>IFERROR(VLOOKUP($E87,POs!$H:K,4,0),"")</f>
        <v/>
      </c>
      <c r="H87" s="1433"/>
      <c r="I87" s="1433"/>
      <c r="J87" s="1436"/>
      <c r="K87" s="1437"/>
      <c r="L87" s="1438"/>
      <c r="M87" s="1440"/>
      <c r="N87" s="1436"/>
      <c r="O87" s="1439"/>
    </row>
    <row r="88" spans="1:16" ht="14.5">
      <c r="A88" s="1432"/>
      <c r="B88" s="1433"/>
      <c r="C88" s="1434"/>
      <c r="D88" s="1435"/>
      <c r="E88" s="1433"/>
      <c r="F88" s="1431" t="str">
        <f>IFERROR(VLOOKUP($E88,POs!$H:J,3,0),"")</f>
        <v/>
      </c>
      <c r="G88" s="1431" t="str">
        <f>IFERROR(VLOOKUP($E88,POs!$H:K,4,0),"")</f>
        <v/>
      </c>
      <c r="H88" s="1433"/>
      <c r="I88" s="1433"/>
      <c r="J88" s="1436"/>
      <c r="K88" s="1437"/>
      <c r="L88" s="1438"/>
      <c r="M88" s="1440"/>
      <c r="N88" s="1436"/>
      <c r="O88" s="1439"/>
    </row>
    <row r="89" spans="1:16" ht="14.5">
      <c r="A89" s="1432"/>
      <c r="B89" s="1433"/>
      <c r="C89" s="1434"/>
      <c r="D89" s="1435"/>
      <c r="E89" s="1433"/>
      <c r="F89" s="1431" t="str">
        <f>IFERROR(VLOOKUP($E89,POs!$H:J,3,0),"")</f>
        <v/>
      </c>
      <c r="G89" s="1431" t="str">
        <f>IFERROR(VLOOKUP($E89,POs!$H:K,4,0),"")</f>
        <v/>
      </c>
      <c r="H89" s="1433"/>
      <c r="I89" s="1433"/>
      <c r="J89" s="1436"/>
      <c r="K89" s="1437"/>
      <c r="L89" s="1438"/>
      <c r="M89" s="1440"/>
      <c r="N89" s="1436"/>
      <c r="O89" s="1439"/>
    </row>
    <row r="90" spans="1:16" ht="14.5">
      <c r="A90" s="1432"/>
      <c r="B90" s="1433"/>
      <c r="C90" s="1434"/>
      <c r="D90" s="1435"/>
      <c r="E90" s="1433"/>
      <c r="F90" s="1431" t="str">
        <f>IFERROR(VLOOKUP($E90,POs!$H:J,3,0),"")</f>
        <v/>
      </c>
      <c r="G90" s="1431" t="str">
        <f>IFERROR(VLOOKUP($E90,POs!$H:K,4,0),"")</f>
        <v/>
      </c>
      <c r="H90" s="1433"/>
      <c r="I90" s="1433"/>
      <c r="J90" s="1436"/>
      <c r="K90" s="1437"/>
      <c r="L90" s="1438"/>
      <c r="M90" s="1440"/>
      <c r="N90" s="1436"/>
      <c r="O90" s="1439"/>
    </row>
    <row r="91" spans="1:16" ht="14.5">
      <c r="A91" s="1432"/>
      <c r="B91" s="1436"/>
      <c r="C91" s="1432"/>
      <c r="D91" s="1435"/>
      <c r="E91" s="1433"/>
      <c r="F91" s="1431" t="str">
        <f>IFERROR(VLOOKUP($E91,POs!$H:J,3,0),"")</f>
        <v/>
      </c>
      <c r="G91" s="1431" t="str">
        <f>IFERROR(VLOOKUP($E91,POs!$H:K,4,0),"")</f>
        <v/>
      </c>
      <c r="H91" s="1433"/>
      <c r="I91" s="1433"/>
      <c r="J91" s="1436"/>
      <c r="K91" s="1437"/>
      <c r="L91" s="1438"/>
      <c r="M91" s="1440"/>
      <c r="N91" s="1436"/>
      <c r="O91" s="1439"/>
    </row>
    <row r="92" spans="1:16" ht="14.5">
      <c r="A92" s="1432"/>
      <c r="B92" s="1433"/>
      <c r="C92" s="1434"/>
      <c r="D92" s="1435"/>
      <c r="E92" s="1433"/>
      <c r="F92" s="1431" t="str">
        <f>IFERROR(VLOOKUP($E92,POs!$H:J,3,0),"")</f>
        <v/>
      </c>
      <c r="G92" s="1431" t="str">
        <f>IFERROR(VLOOKUP($E92,POs!$H:K,4,0),"")</f>
        <v/>
      </c>
      <c r="H92" s="1433"/>
      <c r="I92" s="1433"/>
      <c r="J92" s="1436"/>
      <c r="K92" s="1437"/>
      <c r="L92" s="1438"/>
      <c r="M92" s="1440"/>
      <c r="N92" s="1436"/>
      <c r="O92" s="1439"/>
    </row>
    <row r="93" spans="1:16" ht="14.5">
      <c r="A93" s="1432"/>
      <c r="B93" s="1436"/>
      <c r="C93" s="1432"/>
      <c r="D93" s="1435"/>
      <c r="E93" s="1433"/>
      <c r="F93" s="1431" t="str">
        <f>IFERROR(VLOOKUP($E93,POs!$H:J,3,0),"")</f>
        <v/>
      </c>
      <c r="G93" s="1431" t="str">
        <f>IFERROR(VLOOKUP($E93,POs!$H:K,4,0),"")</f>
        <v/>
      </c>
      <c r="H93" s="1433"/>
      <c r="I93" s="1433"/>
      <c r="J93" s="1436"/>
      <c r="K93" s="1437"/>
      <c r="L93" s="1438"/>
      <c r="M93" s="1440"/>
      <c r="N93" s="1436"/>
      <c r="O93" s="1439"/>
    </row>
    <row r="94" spans="1:16" s="202" customFormat="1" ht="14.5">
      <c r="A94" s="1432"/>
      <c r="B94" s="1442"/>
      <c r="C94" s="1443"/>
      <c r="D94" s="1435"/>
      <c r="E94" s="1433"/>
      <c r="F94" s="1431" t="str">
        <f>IFERROR(VLOOKUP($E94,POs!$H:J,3,0),"")</f>
        <v/>
      </c>
      <c r="G94" s="1431" t="str">
        <f>IFERROR(VLOOKUP($E94,POs!$H:K,4,0),"")</f>
        <v/>
      </c>
      <c r="H94" s="1433"/>
      <c r="I94" s="1433"/>
      <c r="J94" s="1436"/>
      <c r="K94" s="1437"/>
      <c r="L94" s="1438"/>
      <c r="M94" s="1440"/>
      <c r="N94" s="1436"/>
      <c r="O94" s="1439"/>
      <c r="P94" s="1244"/>
    </row>
    <row r="95" spans="1:16" s="202" customFormat="1" ht="14.5">
      <c r="A95" s="1432"/>
      <c r="B95" s="1436"/>
      <c r="C95" s="1432"/>
      <c r="D95" s="1435"/>
      <c r="E95" s="1433"/>
      <c r="F95" s="1431" t="str">
        <f>IFERROR(VLOOKUP($E95,POs!$H:J,3,0),"")</f>
        <v/>
      </c>
      <c r="G95" s="1431" t="str">
        <f>IFERROR(VLOOKUP($E95,POs!$H:K,4,0),"")</f>
        <v/>
      </c>
      <c r="H95" s="1433"/>
      <c r="I95" s="1433"/>
      <c r="J95" s="1436"/>
      <c r="K95" s="1437"/>
      <c r="L95" s="1438"/>
      <c r="M95" s="1440"/>
      <c r="N95" s="1436"/>
      <c r="O95" s="1439"/>
      <c r="P95" s="1244"/>
    </row>
    <row r="96" spans="1:16" ht="14.5">
      <c r="A96" s="1432"/>
      <c r="B96" s="1442"/>
      <c r="C96" s="1443"/>
      <c r="D96" s="1435"/>
      <c r="E96" s="1433"/>
      <c r="F96" s="1431" t="str">
        <f>IFERROR(VLOOKUP($E96,POs!$H:J,3,0),"")</f>
        <v/>
      </c>
      <c r="G96" s="1431" t="str">
        <f>IFERROR(VLOOKUP($E96,POs!$H:K,4,0),"")</f>
        <v/>
      </c>
      <c r="H96" s="1433"/>
      <c r="I96" s="1433"/>
      <c r="J96" s="1436"/>
      <c r="K96" s="1437"/>
      <c r="L96" s="1438"/>
      <c r="M96" s="1440"/>
      <c r="N96" s="1436"/>
      <c r="O96" s="1439"/>
    </row>
    <row r="97" spans="1:15" ht="14.5">
      <c r="A97" s="1432"/>
      <c r="B97" s="1442"/>
      <c r="C97" s="1443"/>
      <c r="D97" s="1435"/>
      <c r="E97" s="1433"/>
      <c r="F97" s="1431" t="str">
        <f>IFERROR(VLOOKUP($E97,POs!$H:J,3,0),"")</f>
        <v/>
      </c>
      <c r="G97" s="1431" t="str">
        <f>IFERROR(VLOOKUP($E97,POs!$H:K,4,0),"")</f>
        <v/>
      </c>
      <c r="H97" s="1433"/>
      <c r="I97" s="1433"/>
      <c r="J97" s="1436"/>
      <c r="K97" s="1437"/>
      <c r="L97" s="1438"/>
      <c r="M97" s="1440"/>
      <c r="N97" s="1436"/>
      <c r="O97" s="1439"/>
    </row>
    <row r="98" spans="1:15" ht="14.5">
      <c r="A98" s="1432"/>
      <c r="B98" s="1436"/>
      <c r="C98" s="1432"/>
      <c r="D98" s="1435"/>
      <c r="E98" s="1433"/>
      <c r="F98" s="1431" t="str">
        <f>IFERROR(VLOOKUP($E98,POs!$H:J,3,0),"")</f>
        <v/>
      </c>
      <c r="G98" s="1431" t="str">
        <f>IFERROR(VLOOKUP($E98,POs!$H:K,4,0),"")</f>
        <v/>
      </c>
      <c r="H98" s="1433"/>
      <c r="I98" s="1433"/>
      <c r="J98" s="1436"/>
      <c r="K98" s="1437"/>
      <c r="L98" s="1438"/>
      <c r="M98" s="1440"/>
      <c r="N98" s="1436"/>
      <c r="O98" s="1439"/>
    </row>
    <row r="99" spans="1:15" ht="14.5">
      <c r="A99" s="1432"/>
      <c r="B99" s="1436"/>
      <c r="C99" s="1432"/>
      <c r="D99" s="1435"/>
      <c r="E99" s="1433"/>
      <c r="F99" s="1431" t="str">
        <f>IFERROR(VLOOKUP($E99,POs!$H:J,3,0),"")</f>
        <v/>
      </c>
      <c r="G99" s="1431" t="str">
        <f>IFERROR(VLOOKUP($E99,POs!$H:K,4,0),"")</f>
        <v/>
      </c>
      <c r="H99" s="1433"/>
      <c r="I99" s="1433"/>
      <c r="J99" s="1436"/>
      <c r="K99" s="1437"/>
      <c r="L99" s="1438"/>
      <c r="M99" s="1440"/>
      <c r="N99" s="1436"/>
      <c r="O99" s="1439"/>
    </row>
    <row r="100" spans="1:15" ht="14.5">
      <c r="A100" s="1432"/>
      <c r="B100" s="1436"/>
      <c r="C100" s="1432"/>
      <c r="D100" s="1435"/>
      <c r="E100" s="1433"/>
      <c r="F100" s="1431" t="str">
        <f>IFERROR(VLOOKUP($E100,POs!$H:J,3,0),"")</f>
        <v/>
      </c>
      <c r="G100" s="1431" t="str">
        <f>IFERROR(VLOOKUP($E100,POs!$H:K,4,0),"")</f>
        <v/>
      </c>
      <c r="H100" s="1433"/>
      <c r="I100" s="1433"/>
      <c r="J100" s="1436"/>
      <c r="K100" s="1437"/>
      <c r="L100" s="1438"/>
      <c r="M100" s="1440"/>
      <c r="N100" s="1436"/>
      <c r="O100" s="1439"/>
    </row>
    <row r="101" spans="1:15" ht="14.5">
      <c r="A101" s="1432"/>
      <c r="B101" s="1436"/>
      <c r="C101" s="1432"/>
      <c r="D101" s="1435"/>
      <c r="E101" s="1433"/>
      <c r="F101" s="1431" t="str">
        <f>IFERROR(VLOOKUP($E101,POs!$H:J,3,0),"")</f>
        <v/>
      </c>
      <c r="G101" s="1431" t="str">
        <f>IFERROR(VLOOKUP($E101,POs!$H:K,4,0),"")</f>
        <v/>
      </c>
      <c r="H101" s="1433"/>
      <c r="I101" s="1433"/>
      <c r="J101" s="1436"/>
      <c r="K101" s="1437"/>
      <c r="L101" s="1438"/>
      <c r="M101" s="1440"/>
      <c r="N101" s="1436"/>
      <c r="O101" s="1439"/>
    </row>
    <row r="102" spans="1:15" ht="14.5">
      <c r="A102" s="1432"/>
      <c r="B102" s="1436"/>
      <c r="C102" s="1432"/>
      <c r="D102" s="1435"/>
      <c r="E102" s="1433"/>
      <c r="F102" s="1431" t="str">
        <f>IFERROR(VLOOKUP($E102,POs!$H:J,3,0),"")</f>
        <v/>
      </c>
      <c r="G102" s="1431" t="str">
        <f>IFERROR(VLOOKUP($E102,POs!$H:K,4,0),"")</f>
        <v/>
      </c>
      <c r="H102" s="1433"/>
      <c r="I102" s="1433"/>
      <c r="J102" s="1436"/>
      <c r="K102" s="1437"/>
      <c r="L102" s="1438"/>
      <c r="M102" s="1440"/>
      <c r="N102" s="1436"/>
      <c r="O102" s="1439"/>
    </row>
  </sheetData>
  <autoFilter ref="A2:O2" xr:uid="{00000000-0009-0000-0000-00000F000000}"/>
  <mergeCells count="2">
    <mergeCell ref="B1:I1"/>
    <mergeCell ref="J1:O1"/>
  </mergeCells>
  <conditionalFormatting sqref="B3:B99">
    <cfRule type="duplicateValues" dxfId="317" priority="9"/>
    <cfRule type="duplicateValues" dxfId="316" priority="10"/>
  </conditionalFormatting>
  <conditionalFormatting sqref="A3:A102">
    <cfRule type="containsBlanks" dxfId="315" priority="6">
      <formula>LEN(TRIM(A3))=0</formula>
    </cfRule>
  </conditionalFormatting>
  <conditionalFormatting sqref="B3:B102">
    <cfRule type="containsBlanks" dxfId="314" priority="5">
      <formula>LEN(TRIM(B3))=0</formula>
    </cfRule>
  </conditionalFormatting>
  <conditionalFormatting sqref="D3:D102">
    <cfRule type="containsBlanks" dxfId="313" priority="4">
      <formula>LEN(TRIM(D3))=0</formula>
    </cfRule>
  </conditionalFormatting>
  <conditionalFormatting sqref="E3:E102">
    <cfRule type="containsBlanks" dxfId="312" priority="3">
      <formula>LEN(TRIM(E3))=0</formula>
    </cfRule>
  </conditionalFormatting>
  <conditionalFormatting sqref="B100:B102">
    <cfRule type="duplicateValues" dxfId="311" priority="73"/>
    <cfRule type="duplicateValues" dxfId="310" priority="74"/>
  </conditionalFormatting>
  <dataValidations count="2">
    <dataValidation type="list" allowBlank="1" showInputMessage="1" showErrorMessage="1" sqref="K3:K102" xr:uid="{00000000-0002-0000-0F00-000000000000}">
      <formula1>"HW, SW, HW&amp;SW, Maint, Milestone, T&amp;M, Other"</formula1>
    </dataValidation>
    <dataValidation type="list" allowBlank="1" showInputMessage="1" showErrorMessage="1" sqref="E3:E102" xr:uid="{A6131212-F84C-4CDF-A3E4-097572BADAAA}">
      <formula1>PO_Number</formula1>
    </dataValidation>
  </dataValidations>
  <pageMargins left="0.25" right="0.25" top="0.75" bottom="0.75" header="0.3" footer="0.3"/>
  <pageSetup paperSize="5" scale="65" fitToHeight="0" orientation="landscape" r:id="rId1"/>
  <headerFooter>
    <oddHeader>&amp;C&amp;"Tahoma,Bold"&amp;14&amp;F - &amp;A</oddHeader>
    <oddFooter>&amp;L&amp;"Tahoma,Regular"&amp;P of &amp;N&amp;R&amp;"Tahoma,Regular"&amp;D</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3">
    <tabColor rgb="FF00B050"/>
    <pageSetUpPr fitToPage="1"/>
  </sheetPr>
  <dimension ref="A1:Q102"/>
  <sheetViews>
    <sheetView zoomScaleNormal="100" workbookViewId="0">
      <pane ySplit="2" topLeftCell="A3" activePane="bottomLeft" state="frozen"/>
      <selection pane="bottomLeft" activeCell="D3" sqref="D3"/>
    </sheetView>
  </sheetViews>
  <sheetFormatPr defaultColWidth="9.1796875" defaultRowHeight="14.5"/>
  <cols>
    <col min="1" max="1" width="9.1796875" style="194" customWidth="1"/>
    <col min="2" max="2" width="43.1796875" style="194" bestFit="1" customWidth="1"/>
    <col min="3" max="3" width="10.453125" style="194" customWidth="1"/>
    <col min="4" max="4" width="15.453125" style="194" customWidth="1"/>
    <col min="5" max="5" width="11.7265625" style="194" customWidth="1"/>
    <col min="6" max="6" width="11.26953125" style="194" customWidth="1"/>
    <col min="7" max="7" width="16.26953125" style="194" bestFit="1" customWidth="1"/>
    <col min="8" max="8" width="18.54296875" style="194" bestFit="1" customWidth="1"/>
    <col min="9" max="9" width="21.1796875" style="194" customWidth="1"/>
    <col min="10" max="10" width="14.453125" style="194" bestFit="1" customWidth="1"/>
    <col min="11" max="11" width="16.7265625" style="1231" customWidth="1"/>
    <col min="12" max="12" width="18" style="195" bestFit="1" customWidth="1"/>
    <col min="13" max="13" width="41.1796875" style="194" customWidth="1"/>
    <col min="14" max="14" width="15.54296875" style="197" customWidth="1"/>
    <col min="15" max="15" width="23.7265625" style="1352" bestFit="1" customWidth="1"/>
    <col min="16" max="16" width="18.26953125" style="1366" bestFit="1" customWidth="1"/>
    <col min="17" max="17" width="27.26953125" style="1354" bestFit="1" customWidth="1"/>
    <col min="18" max="16384" width="9.1796875" style="196"/>
  </cols>
  <sheetData>
    <row r="1" spans="1:17" ht="23.5">
      <c r="A1" s="1882" t="s">
        <v>13040</v>
      </c>
      <c r="B1" s="1883"/>
      <c r="C1" s="1883"/>
      <c r="D1" s="1883"/>
      <c r="E1" s="1883"/>
      <c r="F1" s="1883"/>
      <c r="G1" s="1883"/>
      <c r="H1" s="1883"/>
      <c r="I1" s="1883"/>
      <c r="J1" s="1883"/>
      <c r="K1" s="1883"/>
      <c r="L1" s="1883"/>
      <c r="M1" s="1883"/>
      <c r="N1" s="1883"/>
      <c r="O1" s="1883"/>
      <c r="P1" s="1884"/>
      <c r="Q1" s="1448" t="s">
        <v>104</v>
      </c>
    </row>
    <row r="2" spans="1:17" ht="26">
      <c r="A2" s="1351" t="s">
        <v>228</v>
      </c>
      <c r="B2" s="1351" t="s">
        <v>229</v>
      </c>
      <c r="C2" s="1351" t="s">
        <v>92</v>
      </c>
      <c r="D2" s="1351" t="s">
        <v>93</v>
      </c>
      <c r="E2" s="1351" t="s">
        <v>94</v>
      </c>
      <c r="F2" s="1351" t="s">
        <v>95</v>
      </c>
      <c r="G2" s="1351" t="s">
        <v>12432</v>
      </c>
      <c r="H2" s="1351" t="s">
        <v>12435</v>
      </c>
      <c r="I2" s="1351" t="s">
        <v>16</v>
      </c>
      <c r="J2" s="1351" t="s">
        <v>96</v>
      </c>
      <c r="K2" s="1245" t="s">
        <v>8741</v>
      </c>
      <c r="L2" s="199" t="s">
        <v>12367</v>
      </c>
      <c r="M2" s="1481" t="s">
        <v>14955</v>
      </c>
      <c r="N2" s="198" t="s">
        <v>97</v>
      </c>
      <c r="O2" s="1353" t="s">
        <v>8485</v>
      </c>
      <c r="P2" s="1353" t="s">
        <v>98</v>
      </c>
      <c r="Q2" s="1355" t="s">
        <v>99</v>
      </c>
    </row>
    <row r="3" spans="1:17">
      <c r="A3" s="1455" t="str">
        <f>IF(ISBLANK($D3),"",Variables!B$2)</f>
        <v/>
      </c>
      <c r="B3" s="1455" t="str">
        <f>IF(ISBLANK($D3),"",Variables!B$3)</f>
        <v/>
      </c>
      <c r="C3" s="1455" t="str">
        <f ca="1">IFERROR(VLOOKUP($D3,'Cntl Tables'!$B:C,2,0),"")</f>
        <v/>
      </c>
      <c r="D3" s="1444"/>
      <c r="E3" s="1455" t="str">
        <f ca="1">IFERROR(IF(VLOOKUP($D3,'Cntl Tables'!$B:D,3,0)=0,"",VLOOKUP($D3,'Cntl Tables'!$B:D,3,0)),"")</f>
        <v/>
      </c>
      <c r="F3" s="1455" t="str">
        <f ca="1">IFERROR(VLOOKUP($D3,'Cntl Tables'!$B:E,4,0),"")</f>
        <v/>
      </c>
      <c r="G3" s="1444"/>
      <c r="H3" s="1444"/>
      <c r="I3" s="1444"/>
      <c r="J3" s="1444"/>
      <c r="K3" s="1446"/>
      <c r="L3" s="1456" t="str">
        <f>IFERROR(VLOOKUP($J3,Miscellaneous!$N$21:$O$23,2,0),"")</f>
        <v/>
      </c>
      <c r="M3" s="1445"/>
      <c r="N3" s="1457" t="str">
        <f>IF(ISBLANK($D3),"",Variables!$B$8)</f>
        <v/>
      </c>
      <c r="O3" s="1458" t="str">
        <f>IF(ISBLANK($D3),"",Variables!$B$7)</f>
        <v/>
      </c>
      <c r="P3" s="1480"/>
      <c r="Q3" s="1356"/>
    </row>
    <row r="4" spans="1:17">
      <c r="A4" s="1455" t="str">
        <f>IF(ISBLANK($D4),"",Variables!B$2)</f>
        <v/>
      </c>
      <c r="B4" s="1455" t="str">
        <f>IF(ISBLANK($D4),"",Variables!B$3)</f>
        <v/>
      </c>
      <c r="C4" s="1455" t="str">
        <f ca="1">IFERROR(VLOOKUP($D4,'Cntl Tables'!$B:C,2,0),"")</f>
        <v/>
      </c>
      <c r="D4" s="1444"/>
      <c r="E4" s="1455" t="str">
        <f ca="1">IFERROR(IF(VLOOKUP($D4,'Cntl Tables'!$B:D,3,0)=0,"",VLOOKUP($D4,'Cntl Tables'!$B:D,3,0)),"")</f>
        <v/>
      </c>
      <c r="F4" s="1455" t="str">
        <f ca="1">IFERROR(VLOOKUP($D4,'Cntl Tables'!$B:E,4,0),"")</f>
        <v/>
      </c>
      <c r="G4" s="1444"/>
      <c r="H4" s="1444"/>
      <c r="I4" s="1444"/>
      <c r="J4" s="1444"/>
      <c r="K4" s="1446"/>
      <c r="L4" s="1456" t="str">
        <f>IFERROR(VLOOKUP($J4,Miscellaneous!$N$21:$O$23,2,0),"")</f>
        <v/>
      </c>
      <c r="M4" s="1445"/>
      <c r="N4" s="1457" t="str">
        <f>IF(ISBLANK($D4),"",Variables!$B$8)</f>
        <v/>
      </c>
      <c r="O4" s="1458" t="str">
        <f>IF(ISBLANK($D4),"",Variables!$B$7)</f>
        <v/>
      </c>
      <c r="P4" s="1480"/>
      <c r="Q4" s="1357"/>
    </row>
    <row r="5" spans="1:17">
      <c r="A5" s="1455" t="str">
        <f>IF(ISBLANK($D5),"",Variables!B$2)</f>
        <v/>
      </c>
      <c r="B5" s="1455" t="str">
        <f>IF(ISBLANK($D5),"",Variables!B$3)</f>
        <v/>
      </c>
      <c r="C5" s="1455" t="str">
        <f ca="1">IFERROR(VLOOKUP($D5,'Cntl Tables'!$B:C,2,0),"")</f>
        <v/>
      </c>
      <c r="D5" s="1444"/>
      <c r="E5" s="1455" t="str">
        <f ca="1">IFERROR(IF(VLOOKUP($D5,'Cntl Tables'!$B:D,3,0)=0,"",VLOOKUP($D5,'Cntl Tables'!$B:D,3,0)),"")</f>
        <v/>
      </c>
      <c r="F5" s="1455" t="str">
        <f ca="1">IFERROR(VLOOKUP($D5,'Cntl Tables'!$B:E,4,0),"")</f>
        <v/>
      </c>
      <c r="G5" s="1444"/>
      <c r="H5" s="1444"/>
      <c r="I5" s="1444"/>
      <c r="J5" s="1444"/>
      <c r="K5" s="1446"/>
      <c r="L5" s="1456" t="str">
        <f>IFERROR(VLOOKUP($J5,Miscellaneous!$N$21:$O$23,2,0),"")</f>
        <v/>
      </c>
      <c r="M5" s="1445"/>
      <c r="N5" s="1457" t="str">
        <f>IF(ISBLANK($D5),"",Variables!$B$8)</f>
        <v/>
      </c>
      <c r="O5" s="1458" t="str">
        <f>IF(ISBLANK($D5),"",Variables!$B$7)</f>
        <v/>
      </c>
      <c r="P5" s="1480"/>
      <c r="Q5" s="1357"/>
    </row>
    <row r="6" spans="1:17">
      <c r="A6" s="1455" t="str">
        <f>IF(ISBLANK($D6),"",Variables!B$2)</f>
        <v/>
      </c>
      <c r="B6" s="1455" t="str">
        <f>IF(ISBLANK($D6),"",Variables!B$3)</f>
        <v/>
      </c>
      <c r="C6" s="1455" t="str">
        <f ca="1">IFERROR(VLOOKUP($D6,'Cntl Tables'!$B:C,2,0),"")</f>
        <v/>
      </c>
      <c r="D6" s="1444"/>
      <c r="E6" s="1455" t="str">
        <f ca="1">IFERROR(IF(VLOOKUP($D6,'Cntl Tables'!$B:D,3,0)=0,"",VLOOKUP($D6,'Cntl Tables'!$B:D,3,0)),"")</f>
        <v/>
      </c>
      <c r="F6" s="1455" t="str">
        <f ca="1">IFERROR(VLOOKUP($D6,'Cntl Tables'!$B:E,4,0),"")</f>
        <v/>
      </c>
      <c r="G6" s="1444"/>
      <c r="H6" s="1444"/>
      <c r="I6" s="1444"/>
      <c r="J6" s="1444"/>
      <c r="K6" s="1446"/>
      <c r="L6" s="1456" t="str">
        <f>IFERROR(VLOOKUP($J6,Miscellaneous!$N$21:$O$23,2,0),"")</f>
        <v/>
      </c>
      <c r="M6" s="1445"/>
      <c r="N6" s="1457" t="str">
        <f>IF(ISBLANK($D6),"",Variables!$B$8)</f>
        <v/>
      </c>
      <c r="O6" s="1458" t="str">
        <f>IF(ISBLANK($D6),"",Variables!$B$7)</f>
        <v/>
      </c>
      <c r="P6" s="1480"/>
      <c r="Q6" s="1357"/>
    </row>
    <row r="7" spans="1:17">
      <c r="A7" s="1455" t="str">
        <f>IF(ISBLANK($D7),"",Variables!B$2)</f>
        <v/>
      </c>
      <c r="B7" s="1455" t="str">
        <f>IF(ISBLANK($D7),"",Variables!B$3)</f>
        <v/>
      </c>
      <c r="C7" s="1455" t="str">
        <f ca="1">IFERROR(VLOOKUP($D7,'Cntl Tables'!$B:C,2,0),"")</f>
        <v/>
      </c>
      <c r="D7" s="1444"/>
      <c r="E7" s="1455" t="str">
        <f ca="1">IFERROR(IF(VLOOKUP($D7,'Cntl Tables'!$B:D,3,0)=0,"",VLOOKUP($D7,'Cntl Tables'!$B:D,3,0)),"")</f>
        <v/>
      </c>
      <c r="F7" s="1455" t="str">
        <f ca="1">IFERROR(VLOOKUP($D7,'Cntl Tables'!$B:E,4,0),"")</f>
        <v/>
      </c>
      <c r="G7" s="1444"/>
      <c r="H7" s="1444"/>
      <c r="I7" s="1444"/>
      <c r="J7" s="1444"/>
      <c r="K7" s="1446"/>
      <c r="L7" s="1456" t="str">
        <f>IFERROR(VLOOKUP($J7,Miscellaneous!$N$21:$O$23,2,0),"")</f>
        <v/>
      </c>
      <c r="M7" s="1445"/>
      <c r="N7" s="1457" t="str">
        <f>IF(ISBLANK($D7),"",Variables!$B$8)</f>
        <v/>
      </c>
      <c r="O7" s="1458" t="str">
        <f>IF(ISBLANK($D7),"",Variables!$B$7)</f>
        <v/>
      </c>
      <c r="P7" s="1480"/>
      <c r="Q7" s="1357"/>
    </row>
    <row r="8" spans="1:17">
      <c r="A8" s="1455" t="str">
        <f>IF(ISBLANK($D8),"",Variables!B$2)</f>
        <v/>
      </c>
      <c r="B8" s="1455" t="str">
        <f>IF(ISBLANK($D8),"",Variables!B$3)</f>
        <v/>
      </c>
      <c r="C8" s="1455" t="str">
        <f ca="1">IFERROR(VLOOKUP($D8,'Cntl Tables'!$B:C,2,0),"")</f>
        <v/>
      </c>
      <c r="D8" s="1444"/>
      <c r="E8" s="1455" t="str">
        <f ca="1">IFERROR(IF(VLOOKUP($D8,'Cntl Tables'!$B:D,3,0)=0,"",VLOOKUP($D8,'Cntl Tables'!$B:D,3,0)),"")</f>
        <v/>
      </c>
      <c r="F8" s="1455" t="str">
        <f ca="1">IFERROR(VLOOKUP($D8,'Cntl Tables'!$B:E,4,0),"")</f>
        <v/>
      </c>
      <c r="G8" s="1444"/>
      <c r="H8" s="1444"/>
      <c r="I8" s="1444"/>
      <c r="J8" s="1444"/>
      <c r="K8" s="1446"/>
      <c r="L8" s="1456" t="str">
        <f>IFERROR(VLOOKUP($J8,Miscellaneous!$N$21:$O$23,2,0),"")</f>
        <v/>
      </c>
      <c r="M8" s="1445"/>
      <c r="N8" s="1457" t="str">
        <f>IF(ISBLANK($D8),"",Variables!$B$8)</f>
        <v/>
      </c>
      <c r="O8" s="1458" t="str">
        <f>IF(ISBLANK($D8),"",Variables!$B$7)</f>
        <v/>
      </c>
      <c r="P8" s="1480"/>
      <c r="Q8" s="1358"/>
    </row>
    <row r="9" spans="1:17">
      <c r="A9" s="1455" t="str">
        <f>IF(ISBLANK($D9),"",Variables!B$2)</f>
        <v/>
      </c>
      <c r="B9" s="1455" t="str">
        <f>IF(ISBLANK($D9),"",Variables!B$3)</f>
        <v/>
      </c>
      <c r="C9" s="1455" t="str">
        <f ca="1">IFERROR(VLOOKUP($D9,'Cntl Tables'!$B:C,2,0),"")</f>
        <v/>
      </c>
      <c r="D9" s="1444"/>
      <c r="E9" s="1455" t="str">
        <f ca="1">IFERROR(IF(VLOOKUP($D9,'Cntl Tables'!$B:D,3,0)=0,"",VLOOKUP($D9,'Cntl Tables'!$B:D,3,0)),"")</f>
        <v/>
      </c>
      <c r="F9" s="1455" t="str">
        <f ca="1">IFERROR(VLOOKUP($D9,'Cntl Tables'!$B:E,4,0),"")</f>
        <v/>
      </c>
      <c r="G9" s="1444"/>
      <c r="H9" s="1444"/>
      <c r="I9" s="1444"/>
      <c r="J9" s="1444"/>
      <c r="K9" s="1446"/>
      <c r="L9" s="1456" t="str">
        <f>IFERROR(VLOOKUP($J9,Miscellaneous!$N$21:$O$23,2,0),"")</f>
        <v/>
      </c>
      <c r="M9" s="1445"/>
      <c r="N9" s="1457" t="str">
        <f>IF(ISBLANK($D9),"",Variables!$B$8)</f>
        <v/>
      </c>
      <c r="O9" s="1458" t="str">
        <f>IF(ISBLANK($D9),"",Variables!$B$7)</f>
        <v/>
      </c>
      <c r="P9" s="1480"/>
      <c r="Q9" s="1357"/>
    </row>
    <row r="10" spans="1:17">
      <c r="A10" s="1455" t="str">
        <f>IF(ISBLANK($D10),"",Variables!B$2)</f>
        <v/>
      </c>
      <c r="B10" s="1455" t="str">
        <f>IF(ISBLANK($D10),"",Variables!B$3)</f>
        <v/>
      </c>
      <c r="C10" s="1455" t="str">
        <f ca="1">IFERROR(VLOOKUP($D10,'Cntl Tables'!$B:C,2,0),"")</f>
        <v/>
      </c>
      <c r="D10" s="1444"/>
      <c r="E10" s="1455" t="str">
        <f ca="1">IFERROR(IF(VLOOKUP($D10,'Cntl Tables'!$B:D,3,0)=0,"",VLOOKUP($D10,'Cntl Tables'!$B:D,3,0)),"")</f>
        <v/>
      </c>
      <c r="F10" s="1455" t="str">
        <f ca="1">IFERROR(VLOOKUP($D10,'Cntl Tables'!$B:E,4,0),"")</f>
        <v/>
      </c>
      <c r="G10" s="1444"/>
      <c r="H10" s="1444"/>
      <c r="I10" s="1444"/>
      <c r="J10" s="1444"/>
      <c r="K10" s="1446"/>
      <c r="L10" s="1456" t="str">
        <f>IFERROR(VLOOKUP($J10,Miscellaneous!$N$21:$O$23,2,0),"")</f>
        <v/>
      </c>
      <c r="M10" s="1445"/>
      <c r="N10" s="1457" t="str">
        <f>IF(ISBLANK($D10),"",Variables!$B$8)</f>
        <v/>
      </c>
      <c r="O10" s="1458" t="str">
        <f>IF(ISBLANK($D10),"",Variables!$B$7)</f>
        <v/>
      </c>
      <c r="P10" s="1480"/>
      <c r="Q10" s="1357"/>
    </row>
    <row r="11" spans="1:17">
      <c r="A11" s="1455" t="str">
        <f>IF(ISBLANK($D11),"",Variables!B$2)</f>
        <v/>
      </c>
      <c r="B11" s="1455" t="str">
        <f>IF(ISBLANK($D11),"",Variables!B$3)</f>
        <v/>
      </c>
      <c r="C11" s="1455" t="str">
        <f ca="1">IFERROR(VLOOKUP($D11,'Cntl Tables'!$B:C,2,0),"")</f>
        <v/>
      </c>
      <c r="D11" s="1444"/>
      <c r="E11" s="1455" t="str">
        <f ca="1">IFERROR(IF(VLOOKUP($D11,'Cntl Tables'!$B:D,3,0)=0,"",VLOOKUP($D11,'Cntl Tables'!$B:D,3,0)),"")</f>
        <v/>
      </c>
      <c r="F11" s="1455" t="str">
        <f ca="1">IFERROR(VLOOKUP($D11,'Cntl Tables'!$B:E,4,0),"")</f>
        <v/>
      </c>
      <c r="G11" s="1444"/>
      <c r="H11" s="1444"/>
      <c r="I11" s="1444"/>
      <c r="J11" s="1444"/>
      <c r="K11" s="1446"/>
      <c r="L11" s="1456" t="str">
        <f>IFERROR(VLOOKUP($J11,Miscellaneous!$N$21:$O$23,2,0),"")</f>
        <v/>
      </c>
      <c r="M11" s="1445"/>
      <c r="N11" s="1457" t="str">
        <f>IF(ISBLANK($D11),"",Variables!$B$8)</f>
        <v/>
      </c>
      <c r="O11" s="1458" t="str">
        <f>IF(ISBLANK($D11),"",Variables!$B$7)</f>
        <v/>
      </c>
      <c r="P11" s="1480"/>
      <c r="Q11" s="1358"/>
    </row>
    <row r="12" spans="1:17">
      <c r="A12" s="1455" t="str">
        <f>IF(ISBLANK($D12),"",Variables!B$2)</f>
        <v/>
      </c>
      <c r="B12" s="1455" t="str">
        <f>IF(ISBLANK($D12),"",Variables!B$3)</f>
        <v/>
      </c>
      <c r="C12" s="1455" t="str">
        <f ca="1">IFERROR(VLOOKUP($D12,'Cntl Tables'!$B:C,2,0),"")</f>
        <v/>
      </c>
      <c r="D12" s="1444"/>
      <c r="E12" s="1455" t="str">
        <f ca="1">IFERROR(IF(VLOOKUP($D12,'Cntl Tables'!$B:D,3,0)=0,"",VLOOKUP($D12,'Cntl Tables'!$B:D,3,0)),"")</f>
        <v/>
      </c>
      <c r="F12" s="1455" t="str">
        <f ca="1">IFERROR(VLOOKUP($D12,'Cntl Tables'!$B:E,4,0),"")</f>
        <v/>
      </c>
      <c r="G12" s="1444"/>
      <c r="H12" s="1444"/>
      <c r="I12" s="1444"/>
      <c r="J12" s="1444"/>
      <c r="K12" s="1446"/>
      <c r="L12" s="1456" t="str">
        <f>IFERROR(VLOOKUP($J12,Miscellaneous!$N$21:$O$23,2,0),"")</f>
        <v/>
      </c>
      <c r="M12" s="1445"/>
      <c r="N12" s="1457" t="str">
        <f>IF(ISBLANK($D12),"",Variables!$B$8)</f>
        <v/>
      </c>
      <c r="O12" s="1458" t="str">
        <f>IF(ISBLANK($D12),"",Variables!$B$7)</f>
        <v/>
      </c>
      <c r="P12" s="1480"/>
      <c r="Q12" s="1357"/>
    </row>
    <row r="13" spans="1:17">
      <c r="A13" s="1455" t="str">
        <f>IF(ISBLANK($D13),"",Variables!B$2)</f>
        <v/>
      </c>
      <c r="B13" s="1455" t="str">
        <f>IF(ISBLANK($D13),"",Variables!B$3)</f>
        <v/>
      </c>
      <c r="C13" s="1455" t="str">
        <f ca="1">IFERROR(VLOOKUP($D13,'Cntl Tables'!$B:C,2,0),"")</f>
        <v/>
      </c>
      <c r="D13" s="1444"/>
      <c r="E13" s="1455" t="str">
        <f ca="1">IFERROR(IF(VLOOKUP($D13,'Cntl Tables'!$B:D,3,0)=0,"",VLOOKUP($D13,'Cntl Tables'!$B:D,3,0)),"")</f>
        <v/>
      </c>
      <c r="F13" s="1455" t="str">
        <f ca="1">IFERROR(VLOOKUP($D13,'Cntl Tables'!$B:E,4,0),"")</f>
        <v/>
      </c>
      <c r="G13" s="1444"/>
      <c r="H13" s="1444"/>
      <c r="I13" s="1444"/>
      <c r="J13" s="1444"/>
      <c r="K13" s="1446"/>
      <c r="L13" s="1456" t="str">
        <f>IFERROR(VLOOKUP($J13,Miscellaneous!$N$21:$O$23,2,0),"")</f>
        <v/>
      </c>
      <c r="M13" s="1445"/>
      <c r="N13" s="1457" t="str">
        <f>IF(ISBLANK($D13),"",Variables!$B$8)</f>
        <v/>
      </c>
      <c r="O13" s="1458" t="str">
        <f>IF(ISBLANK($D13),"",Variables!$B$7)</f>
        <v/>
      </c>
      <c r="P13" s="1480"/>
      <c r="Q13" s="1357"/>
    </row>
    <row r="14" spans="1:17">
      <c r="A14" s="1455" t="str">
        <f>IF(ISBLANK($D14),"",Variables!B$2)</f>
        <v/>
      </c>
      <c r="B14" s="1455" t="str">
        <f>IF(ISBLANK($D14),"",Variables!B$3)</f>
        <v/>
      </c>
      <c r="C14" s="1455" t="str">
        <f ca="1">IFERROR(VLOOKUP($D14,'Cntl Tables'!$B:C,2,0),"")</f>
        <v/>
      </c>
      <c r="D14" s="1444"/>
      <c r="E14" s="1455" t="str">
        <f ca="1">IFERROR(IF(VLOOKUP($D14,'Cntl Tables'!$B:D,3,0)=0,"",VLOOKUP($D14,'Cntl Tables'!$B:D,3,0)),"")</f>
        <v/>
      </c>
      <c r="F14" s="1455" t="str">
        <f ca="1">IFERROR(VLOOKUP($D14,'Cntl Tables'!$B:E,4,0),"")</f>
        <v/>
      </c>
      <c r="G14" s="1444"/>
      <c r="H14" s="1444"/>
      <c r="I14" s="1444"/>
      <c r="J14" s="1444"/>
      <c r="K14" s="1446"/>
      <c r="L14" s="1456" t="str">
        <f>IFERROR(VLOOKUP($J14,Miscellaneous!$N$21:$O$23,2,0),"")</f>
        <v/>
      </c>
      <c r="M14" s="1445"/>
      <c r="N14" s="1457" t="str">
        <f>IF(ISBLANK($D14),"",Variables!$B$8)</f>
        <v/>
      </c>
      <c r="O14" s="1458" t="str">
        <f>IF(ISBLANK($D14),"",Variables!$B$7)</f>
        <v/>
      </c>
      <c r="P14" s="1480"/>
      <c r="Q14" s="1357"/>
    </row>
    <row r="15" spans="1:17">
      <c r="A15" s="1455" t="str">
        <f>IF(ISBLANK($D15),"",Variables!B$2)</f>
        <v/>
      </c>
      <c r="B15" s="1455" t="str">
        <f>IF(ISBLANK($D15),"",Variables!B$3)</f>
        <v/>
      </c>
      <c r="C15" s="1455" t="str">
        <f ca="1">IFERROR(VLOOKUP($D15,'Cntl Tables'!$B:C,2,0),"")</f>
        <v/>
      </c>
      <c r="D15" s="1444"/>
      <c r="E15" s="1455" t="str">
        <f ca="1">IFERROR(IF(VLOOKUP($D15,'Cntl Tables'!$B:D,3,0)=0,"",VLOOKUP($D15,'Cntl Tables'!$B:D,3,0)),"")</f>
        <v/>
      </c>
      <c r="F15" s="1455" t="str">
        <f ca="1">IFERROR(VLOOKUP($D15,'Cntl Tables'!$B:E,4,0),"")</f>
        <v/>
      </c>
      <c r="G15" s="1444"/>
      <c r="H15" s="1444"/>
      <c r="I15" s="1444"/>
      <c r="J15" s="1444"/>
      <c r="K15" s="1446"/>
      <c r="L15" s="1456" t="str">
        <f>IFERROR(VLOOKUP($J15,Miscellaneous!$N$21:$O$23,2,0),"")</f>
        <v/>
      </c>
      <c r="M15" s="1445"/>
      <c r="N15" s="1457" t="str">
        <f>IF(ISBLANK($D15),"",Variables!$B$8)</f>
        <v/>
      </c>
      <c r="O15" s="1458" t="str">
        <f>IF(ISBLANK($D15),"",Variables!$B$7)</f>
        <v/>
      </c>
      <c r="P15" s="1480"/>
      <c r="Q15" s="1357"/>
    </row>
    <row r="16" spans="1:17">
      <c r="A16" s="1455" t="str">
        <f>IF(ISBLANK($D16),"",Variables!B$2)</f>
        <v/>
      </c>
      <c r="B16" s="1455" t="str">
        <f>IF(ISBLANK($D16),"",Variables!B$3)</f>
        <v/>
      </c>
      <c r="C16" s="1455" t="str">
        <f ca="1">IFERROR(VLOOKUP($D16,'Cntl Tables'!$B:C,2,0),"")</f>
        <v/>
      </c>
      <c r="D16" s="1444"/>
      <c r="E16" s="1455" t="str">
        <f ca="1">IFERROR(IF(VLOOKUP($D16,'Cntl Tables'!$B:D,3,0)=0,"",VLOOKUP($D16,'Cntl Tables'!$B:D,3,0)),"")</f>
        <v/>
      </c>
      <c r="F16" s="1455" t="str">
        <f ca="1">IFERROR(VLOOKUP($D16,'Cntl Tables'!$B:E,4,0),"")</f>
        <v/>
      </c>
      <c r="G16" s="1444"/>
      <c r="H16" s="1444"/>
      <c r="I16" s="1444"/>
      <c r="J16" s="1444"/>
      <c r="K16" s="1446"/>
      <c r="L16" s="1456" t="str">
        <f>IFERROR(VLOOKUP($J16,Miscellaneous!$N$21:$O$23,2,0),"")</f>
        <v/>
      </c>
      <c r="M16" s="1445"/>
      <c r="N16" s="1457" t="str">
        <f>IF(ISBLANK($D16),"",Variables!$B$8)</f>
        <v/>
      </c>
      <c r="O16" s="1458" t="str">
        <f>IF(ISBLANK($D16),"",Variables!$B$7)</f>
        <v/>
      </c>
      <c r="P16" s="1480"/>
      <c r="Q16" s="1357"/>
    </row>
    <row r="17" spans="1:17">
      <c r="A17" s="1455" t="str">
        <f>IF(ISBLANK($D17),"",Variables!B$2)</f>
        <v/>
      </c>
      <c r="B17" s="1455" t="str">
        <f>IF(ISBLANK($D17),"",Variables!B$3)</f>
        <v/>
      </c>
      <c r="C17" s="1455" t="str">
        <f ca="1">IFERROR(VLOOKUP($D17,'Cntl Tables'!$B:C,2,0),"")</f>
        <v/>
      </c>
      <c r="D17" s="1444"/>
      <c r="E17" s="1455" t="str">
        <f ca="1">IFERROR(IF(VLOOKUP($D17,'Cntl Tables'!$B:D,3,0)=0,"",VLOOKUP($D17,'Cntl Tables'!$B:D,3,0)),"")</f>
        <v/>
      </c>
      <c r="F17" s="1455" t="str">
        <f ca="1">IFERROR(VLOOKUP($D17,'Cntl Tables'!$B:E,4,0),"")</f>
        <v/>
      </c>
      <c r="G17" s="1444"/>
      <c r="H17" s="1444"/>
      <c r="I17" s="1444"/>
      <c r="J17" s="1444"/>
      <c r="K17" s="1446"/>
      <c r="L17" s="1456" t="str">
        <f>IFERROR(VLOOKUP($J17,Miscellaneous!$N$21:$O$23,2,0),"")</f>
        <v/>
      </c>
      <c r="M17" s="1445"/>
      <c r="N17" s="1457" t="str">
        <f>IF(ISBLANK($D17),"",Variables!$B$8)</f>
        <v/>
      </c>
      <c r="O17" s="1458" t="str">
        <f>IF(ISBLANK($D17),"",Variables!$B$7)</f>
        <v/>
      </c>
      <c r="P17" s="1480"/>
      <c r="Q17" s="1357"/>
    </row>
    <row r="18" spans="1:17">
      <c r="A18" s="1455" t="str">
        <f>IF(ISBLANK($D18),"",Variables!B$2)</f>
        <v/>
      </c>
      <c r="B18" s="1455" t="str">
        <f>IF(ISBLANK($D18),"",Variables!B$3)</f>
        <v/>
      </c>
      <c r="C18" s="1455" t="str">
        <f ca="1">IFERROR(VLOOKUP($D18,'Cntl Tables'!$B:C,2,0),"")</f>
        <v/>
      </c>
      <c r="D18" s="1444"/>
      <c r="E18" s="1455" t="str">
        <f ca="1">IFERROR(IF(VLOOKUP($D18,'Cntl Tables'!$B:D,3,0)=0,"",VLOOKUP($D18,'Cntl Tables'!$B:D,3,0)),"")</f>
        <v/>
      </c>
      <c r="F18" s="1455" t="str">
        <f ca="1">IFERROR(VLOOKUP($D18,'Cntl Tables'!$B:E,4,0),"")</f>
        <v/>
      </c>
      <c r="G18" s="1444"/>
      <c r="H18" s="1444"/>
      <c r="I18" s="1444"/>
      <c r="J18" s="1444"/>
      <c r="K18" s="1446"/>
      <c r="L18" s="1456" t="str">
        <f>IFERROR(VLOOKUP($J18,Miscellaneous!$N$21:$O$23,2,0),"")</f>
        <v/>
      </c>
      <c r="M18" s="1445"/>
      <c r="N18" s="1457" t="str">
        <f>IF(ISBLANK($D18),"",Variables!$B$8)</f>
        <v/>
      </c>
      <c r="O18" s="1458" t="str">
        <f>IF(ISBLANK($D18),"",Variables!$B$7)</f>
        <v/>
      </c>
      <c r="P18" s="1480"/>
      <c r="Q18" s="1357"/>
    </row>
    <row r="19" spans="1:17">
      <c r="A19" s="1455" t="str">
        <f>IF(ISBLANK($D19),"",Variables!B$2)</f>
        <v/>
      </c>
      <c r="B19" s="1455" t="str">
        <f>IF(ISBLANK($D19),"",Variables!B$3)</f>
        <v/>
      </c>
      <c r="C19" s="1455" t="str">
        <f ca="1">IFERROR(VLOOKUP($D19,'Cntl Tables'!$B:C,2,0),"")</f>
        <v/>
      </c>
      <c r="D19" s="1444"/>
      <c r="E19" s="1455" t="str">
        <f ca="1">IFERROR(IF(VLOOKUP($D19,'Cntl Tables'!$B:D,3,0)=0,"",VLOOKUP($D19,'Cntl Tables'!$B:D,3,0)),"")</f>
        <v/>
      </c>
      <c r="F19" s="1455" t="str">
        <f ca="1">IFERROR(VLOOKUP($D19,'Cntl Tables'!$B:E,4,0),"")</f>
        <v/>
      </c>
      <c r="G19" s="1444"/>
      <c r="H19" s="1444"/>
      <c r="I19" s="1444"/>
      <c r="J19" s="1444"/>
      <c r="K19" s="1446"/>
      <c r="L19" s="1456" t="str">
        <f>IFERROR(VLOOKUP($J19,Miscellaneous!$N$21:$O$23,2,0),"")</f>
        <v/>
      </c>
      <c r="M19" s="1445"/>
      <c r="N19" s="1457" t="str">
        <f>IF(ISBLANK($D19),"",Variables!$B$8)</f>
        <v/>
      </c>
      <c r="O19" s="1458" t="str">
        <f>IF(ISBLANK($D19),"",Variables!$B$7)</f>
        <v/>
      </c>
      <c r="P19" s="1480"/>
      <c r="Q19" s="1357"/>
    </row>
    <row r="20" spans="1:17">
      <c r="A20" s="1455" t="str">
        <f>IF(ISBLANK($D20),"",Variables!B$2)</f>
        <v/>
      </c>
      <c r="B20" s="1455" t="str">
        <f>IF(ISBLANK($D20),"",Variables!B$3)</f>
        <v/>
      </c>
      <c r="C20" s="1455" t="str">
        <f ca="1">IFERROR(VLOOKUP($D20,'Cntl Tables'!$B:C,2,0),"")</f>
        <v/>
      </c>
      <c r="D20" s="1444"/>
      <c r="E20" s="1455" t="str">
        <f ca="1">IFERROR(IF(VLOOKUP($D20,'Cntl Tables'!$B:D,3,0)=0,"",VLOOKUP($D20,'Cntl Tables'!$B:D,3,0)),"")</f>
        <v/>
      </c>
      <c r="F20" s="1455" t="str">
        <f ca="1">IFERROR(VLOOKUP($D20,'Cntl Tables'!$B:E,4,0),"")</f>
        <v/>
      </c>
      <c r="G20" s="1444"/>
      <c r="H20" s="1444"/>
      <c r="I20" s="1444"/>
      <c r="J20" s="1444"/>
      <c r="K20" s="1446"/>
      <c r="L20" s="1456" t="str">
        <f>IFERROR(VLOOKUP($J20,Miscellaneous!$N$21:$O$23,2,0),"")</f>
        <v/>
      </c>
      <c r="M20" s="1445"/>
      <c r="N20" s="1457" t="str">
        <f>IF(ISBLANK($D20),"",Variables!$B$8)</f>
        <v/>
      </c>
      <c r="O20" s="1458" t="str">
        <f>IF(ISBLANK($D20),"",Variables!$B$7)</f>
        <v/>
      </c>
      <c r="P20" s="1480"/>
      <c r="Q20" s="1357"/>
    </row>
    <row r="21" spans="1:17">
      <c r="A21" s="1455" t="str">
        <f>IF(ISBLANK($D21),"",Variables!B$2)</f>
        <v/>
      </c>
      <c r="B21" s="1455" t="str">
        <f>IF(ISBLANK($D21),"",Variables!B$3)</f>
        <v/>
      </c>
      <c r="C21" s="1455" t="str">
        <f ca="1">IFERROR(VLOOKUP($D21,'Cntl Tables'!$B:C,2,0),"")</f>
        <v/>
      </c>
      <c r="D21" s="1444"/>
      <c r="E21" s="1455" t="str">
        <f ca="1">IFERROR(IF(VLOOKUP($D21,'Cntl Tables'!$B:D,3,0)=0,"",VLOOKUP($D21,'Cntl Tables'!$B:D,3,0)),"")</f>
        <v/>
      </c>
      <c r="F21" s="1455" t="str">
        <f ca="1">IFERROR(VLOOKUP($D21,'Cntl Tables'!$B:E,4,0),"")</f>
        <v/>
      </c>
      <c r="G21" s="1444"/>
      <c r="H21" s="1444"/>
      <c r="I21" s="1444"/>
      <c r="J21" s="1444"/>
      <c r="K21" s="1446"/>
      <c r="L21" s="1456" t="str">
        <f>IFERROR(VLOOKUP($J21,Miscellaneous!$N$21:$O$23,2,0),"")</f>
        <v/>
      </c>
      <c r="M21" s="1445"/>
      <c r="N21" s="1457" t="str">
        <f>IF(ISBLANK($D21),"",Variables!$B$8)</f>
        <v/>
      </c>
      <c r="O21" s="1458" t="str">
        <f>IF(ISBLANK($D21),"",Variables!$B$7)</f>
        <v/>
      </c>
      <c r="P21" s="1480"/>
      <c r="Q21" s="1357"/>
    </row>
    <row r="22" spans="1:17">
      <c r="A22" s="1455" t="str">
        <f>IF(ISBLANK($D22),"",Variables!B$2)</f>
        <v/>
      </c>
      <c r="B22" s="1455" t="str">
        <f>IF(ISBLANK($D22),"",Variables!B$3)</f>
        <v/>
      </c>
      <c r="C22" s="1455" t="str">
        <f ca="1">IFERROR(VLOOKUP($D22,'Cntl Tables'!$B:C,2,0),"")</f>
        <v/>
      </c>
      <c r="D22" s="1444"/>
      <c r="E22" s="1455" t="str">
        <f ca="1">IFERROR(IF(VLOOKUP($D22,'Cntl Tables'!$B:D,3,0)=0,"",VLOOKUP($D22,'Cntl Tables'!$B:D,3,0)),"")</f>
        <v/>
      </c>
      <c r="F22" s="1455" t="str">
        <f ca="1">IFERROR(VLOOKUP($D22,'Cntl Tables'!$B:E,4,0),"")</f>
        <v/>
      </c>
      <c r="G22" s="1444"/>
      <c r="H22" s="1444"/>
      <c r="I22" s="1444"/>
      <c r="J22" s="1444"/>
      <c r="K22" s="1446"/>
      <c r="L22" s="1456" t="str">
        <f>IFERROR(VLOOKUP($J22,Miscellaneous!$N$21:$O$23,2,0),"")</f>
        <v/>
      </c>
      <c r="M22" s="1445"/>
      <c r="N22" s="1457" t="str">
        <f>IF(ISBLANK($D22),"",Variables!$B$8)</f>
        <v/>
      </c>
      <c r="O22" s="1458" t="str">
        <f>IF(ISBLANK($D22),"",Variables!$B$7)</f>
        <v/>
      </c>
      <c r="P22" s="1480"/>
      <c r="Q22" s="1357"/>
    </row>
    <row r="23" spans="1:17">
      <c r="A23" s="1455" t="str">
        <f>IF(ISBLANK($D23),"",Variables!B$2)</f>
        <v/>
      </c>
      <c r="B23" s="1455" t="str">
        <f>IF(ISBLANK($D23),"",Variables!B$3)</f>
        <v/>
      </c>
      <c r="C23" s="1455" t="str">
        <f ca="1">IFERROR(VLOOKUP($D23,'Cntl Tables'!$B:C,2,0),"")</f>
        <v/>
      </c>
      <c r="D23" s="1444"/>
      <c r="E23" s="1455" t="str">
        <f ca="1">IFERROR(IF(VLOOKUP($D23,'Cntl Tables'!$B:D,3,0)=0,"",VLOOKUP($D23,'Cntl Tables'!$B:D,3,0)),"")</f>
        <v/>
      </c>
      <c r="F23" s="1455" t="str">
        <f ca="1">IFERROR(VLOOKUP($D23,'Cntl Tables'!$B:E,4,0),"")</f>
        <v/>
      </c>
      <c r="G23" s="1444"/>
      <c r="H23" s="1444"/>
      <c r="I23" s="1444"/>
      <c r="J23" s="1444"/>
      <c r="K23" s="1446"/>
      <c r="L23" s="1456" t="str">
        <f>IFERROR(VLOOKUP($J23,Miscellaneous!$N$21:$O$23,2,0),"")</f>
        <v/>
      </c>
      <c r="M23" s="1445"/>
      <c r="N23" s="1457" t="str">
        <f>IF(ISBLANK($D23),"",Variables!$B$8)</f>
        <v/>
      </c>
      <c r="O23" s="1458" t="str">
        <f>IF(ISBLANK($D23),"",Variables!$B$7)</f>
        <v/>
      </c>
      <c r="P23" s="1480"/>
      <c r="Q23" s="1357"/>
    </row>
    <row r="24" spans="1:17">
      <c r="A24" s="1455" t="str">
        <f>IF(ISBLANK($D24),"",Variables!B$2)</f>
        <v/>
      </c>
      <c r="B24" s="1455" t="str">
        <f>IF(ISBLANK($D24),"",Variables!B$3)</f>
        <v/>
      </c>
      <c r="C24" s="1455" t="str">
        <f ca="1">IFERROR(VLOOKUP($D24,'Cntl Tables'!$B:C,2,0),"")</f>
        <v/>
      </c>
      <c r="D24" s="1444"/>
      <c r="E24" s="1455" t="str">
        <f ca="1">IFERROR(IF(VLOOKUP($D24,'Cntl Tables'!$B:D,3,0)=0,"",VLOOKUP($D24,'Cntl Tables'!$B:D,3,0)),"")</f>
        <v/>
      </c>
      <c r="F24" s="1455" t="str">
        <f ca="1">IFERROR(VLOOKUP($D24,'Cntl Tables'!$B:E,4,0),"")</f>
        <v/>
      </c>
      <c r="G24" s="1444"/>
      <c r="H24" s="1444"/>
      <c r="I24" s="1444"/>
      <c r="J24" s="1444"/>
      <c r="K24" s="1446"/>
      <c r="L24" s="1456" t="str">
        <f>IFERROR(VLOOKUP($J24,Miscellaneous!$N$21:$O$23,2,0),"")</f>
        <v/>
      </c>
      <c r="M24" s="1445"/>
      <c r="N24" s="1457" t="str">
        <f>IF(ISBLANK($D24),"",Variables!$B$8)</f>
        <v/>
      </c>
      <c r="O24" s="1458" t="str">
        <f>IF(ISBLANK($D24),"",Variables!$B$7)</f>
        <v/>
      </c>
      <c r="P24" s="1480"/>
      <c r="Q24" s="1357"/>
    </row>
    <row r="25" spans="1:17">
      <c r="A25" s="1455" t="str">
        <f>IF(ISBLANK($D25),"",Variables!B$2)</f>
        <v/>
      </c>
      <c r="B25" s="1455" t="str">
        <f>IF(ISBLANK($D25),"",Variables!B$3)</f>
        <v/>
      </c>
      <c r="C25" s="1455" t="str">
        <f ca="1">IFERROR(VLOOKUP($D25,'Cntl Tables'!$B:C,2,0),"")</f>
        <v/>
      </c>
      <c r="D25" s="1444"/>
      <c r="E25" s="1455" t="str">
        <f ca="1">IFERROR(IF(VLOOKUP($D25,'Cntl Tables'!$B:D,3,0)=0,"",VLOOKUP($D25,'Cntl Tables'!$B:D,3,0)),"")</f>
        <v/>
      </c>
      <c r="F25" s="1455" t="str">
        <f ca="1">IFERROR(VLOOKUP($D25,'Cntl Tables'!$B:E,4,0),"")</f>
        <v/>
      </c>
      <c r="G25" s="1444"/>
      <c r="H25" s="1444"/>
      <c r="I25" s="1444"/>
      <c r="J25" s="1444"/>
      <c r="K25" s="1446"/>
      <c r="L25" s="1456" t="str">
        <f>IFERROR(VLOOKUP($J25,Miscellaneous!$N$21:$O$23,2,0),"")</f>
        <v/>
      </c>
      <c r="M25" s="1445"/>
      <c r="N25" s="1457" t="str">
        <f>IF(ISBLANK($D25),"",Variables!$B$8)</f>
        <v/>
      </c>
      <c r="O25" s="1458" t="str">
        <f>IF(ISBLANK($D25),"",Variables!$B$7)</f>
        <v/>
      </c>
      <c r="P25" s="1480"/>
      <c r="Q25" s="1357"/>
    </row>
    <row r="26" spans="1:17">
      <c r="A26" s="1455" t="str">
        <f>IF(ISBLANK($D26),"",Variables!B$2)</f>
        <v/>
      </c>
      <c r="B26" s="1455" t="str">
        <f>IF(ISBLANK($D26),"",Variables!B$3)</f>
        <v/>
      </c>
      <c r="C26" s="1455" t="str">
        <f ca="1">IFERROR(VLOOKUP($D26,'Cntl Tables'!$B:C,2,0),"")</f>
        <v/>
      </c>
      <c r="D26" s="1444"/>
      <c r="E26" s="1455" t="str">
        <f ca="1">IFERROR(IF(VLOOKUP($D26,'Cntl Tables'!$B:D,3,0)=0,"",VLOOKUP($D26,'Cntl Tables'!$B:D,3,0)),"")</f>
        <v/>
      </c>
      <c r="F26" s="1455" t="str">
        <f ca="1">IFERROR(VLOOKUP($D26,'Cntl Tables'!$B:E,4,0),"")</f>
        <v/>
      </c>
      <c r="G26" s="1444"/>
      <c r="H26" s="1444"/>
      <c r="I26" s="1444"/>
      <c r="J26" s="1444"/>
      <c r="K26" s="1446"/>
      <c r="L26" s="1456" t="str">
        <f>IFERROR(VLOOKUP($J26,Miscellaneous!$N$21:$O$23,2,0),"")</f>
        <v/>
      </c>
      <c r="M26" s="1445"/>
      <c r="N26" s="1457" t="str">
        <f>IF(ISBLANK($D26),"",Variables!$B$8)</f>
        <v/>
      </c>
      <c r="O26" s="1458" t="str">
        <f>IF(ISBLANK($D26),"",Variables!$B$7)</f>
        <v/>
      </c>
      <c r="P26" s="1480"/>
      <c r="Q26" s="1357"/>
    </row>
    <row r="27" spans="1:17">
      <c r="A27" s="1455" t="str">
        <f>IF(ISBLANK($D27),"",Variables!B$2)</f>
        <v/>
      </c>
      <c r="B27" s="1455" t="str">
        <f>IF(ISBLANK($D27),"",Variables!B$3)</f>
        <v/>
      </c>
      <c r="C27" s="1455" t="str">
        <f ca="1">IFERROR(VLOOKUP($D27,'Cntl Tables'!$B:C,2,0),"")</f>
        <v/>
      </c>
      <c r="D27" s="1444"/>
      <c r="E27" s="1455" t="str">
        <f ca="1">IFERROR(IF(VLOOKUP($D27,'Cntl Tables'!$B:D,3,0)=0,"",VLOOKUP($D27,'Cntl Tables'!$B:D,3,0)),"")</f>
        <v/>
      </c>
      <c r="F27" s="1455" t="str">
        <f ca="1">IFERROR(VLOOKUP($D27,'Cntl Tables'!$B:E,4,0),"")</f>
        <v/>
      </c>
      <c r="G27" s="1444"/>
      <c r="H27" s="1444"/>
      <c r="I27" s="1444"/>
      <c r="J27" s="1444"/>
      <c r="K27" s="1446"/>
      <c r="L27" s="1456" t="str">
        <f>IFERROR(VLOOKUP($J27,Miscellaneous!$N$21:$O$23,2,0),"")</f>
        <v/>
      </c>
      <c r="M27" s="1445"/>
      <c r="N27" s="1457" t="str">
        <f>IF(ISBLANK($D27),"",Variables!$B$8)</f>
        <v/>
      </c>
      <c r="O27" s="1458" t="str">
        <f>IF(ISBLANK($D27),"",Variables!$B$7)</f>
        <v/>
      </c>
      <c r="P27" s="1480"/>
      <c r="Q27" s="1357"/>
    </row>
    <row r="28" spans="1:17">
      <c r="A28" s="1455" t="str">
        <f>IF(ISBLANK($D28),"",Variables!B$2)</f>
        <v/>
      </c>
      <c r="B28" s="1455" t="str">
        <f>IF(ISBLANK($D28),"",Variables!B$3)</f>
        <v/>
      </c>
      <c r="C28" s="1455" t="str">
        <f ca="1">IFERROR(VLOOKUP($D28,'Cntl Tables'!$B:C,2,0),"")</f>
        <v/>
      </c>
      <c r="D28" s="1444"/>
      <c r="E28" s="1455" t="str">
        <f ca="1">IFERROR(IF(VLOOKUP($D28,'Cntl Tables'!$B:D,3,0)=0,"",VLOOKUP($D28,'Cntl Tables'!$B:D,3,0)),"")</f>
        <v/>
      </c>
      <c r="F28" s="1455" t="str">
        <f ca="1">IFERROR(VLOOKUP($D28,'Cntl Tables'!$B:E,4,0),"")</f>
        <v/>
      </c>
      <c r="G28" s="1444"/>
      <c r="H28" s="1444"/>
      <c r="I28" s="1444"/>
      <c r="J28" s="1444"/>
      <c r="K28" s="1446"/>
      <c r="L28" s="1456" t="str">
        <f>IFERROR(VLOOKUP($J28,Miscellaneous!$N$21:$O$23,2,0),"")</f>
        <v/>
      </c>
      <c r="M28" s="1445"/>
      <c r="N28" s="1457" t="str">
        <f>IF(ISBLANK($D28),"",Variables!$B$8)</f>
        <v/>
      </c>
      <c r="O28" s="1458" t="str">
        <f>IF(ISBLANK($D28),"",Variables!$B$7)</f>
        <v/>
      </c>
      <c r="P28" s="1480"/>
      <c r="Q28" s="1357"/>
    </row>
    <row r="29" spans="1:17">
      <c r="A29" s="1455" t="str">
        <f>IF(ISBLANK($D29),"",Variables!B$2)</f>
        <v/>
      </c>
      <c r="B29" s="1455" t="str">
        <f>IF(ISBLANK($D29),"",Variables!B$3)</f>
        <v/>
      </c>
      <c r="C29" s="1455" t="str">
        <f ca="1">IFERROR(VLOOKUP($D29,'Cntl Tables'!$B:C,2,0),"")</f>
        <v/>
      </c>
      <c r="D29" s="1444"/>
      <c r="E29" s="1455" t="str">
        <f ca="1">IFERROR(IF(VLOOKUP($D29,'Cntl Tables'!$B:D,3,0)=0,"",VLOOKUP($D29,'Cntl Tables'!$B:D,3,0)),"")</f>
        <v/>
      </c>
      <c r="F29" s="1455" t="str">
        <f ca="1">IFERROR(VLOOKUP($D29,'Cntl Tables'!$B:E,4,0),"")</f>
        <v/>
      </c>
      <c r="G29" s="1444"/>
      <c r="H29" s="1444"/>
      <c r="I29" s="1444"/>
      <c r="J29" s="1444"/>
      <c r="K29" s="1446"/>
      <c r="L29" s="1456" t="str">
        <f>IFERROR(VLOOKUP($J29,Miscellaneous!$N$21:$O$23,2,0),"")</f>
        <v/>
      </c>
      <c r="M29" s="1445"/>
      <c r="N29" s="1457" t="str">
        <f>IF(ISBLANK($D29),"",Variables!$B$8)</f>
        <v/>
      </c>
      <c r="O29" s="1458" t="str">
        <f>IF(ISBLANK($D29),"",Variables!$B$7)</f>
        <v/>
      </c>
      <c r="P29" s="1480"/>
      <c r="Q29" s="1357"/>
    </row>
    <row r="30" spans="1:17">
      <c r="A30" s="1455" t="str">
        <f>IF(ISBLANK($D30),"",Variables!B$2)</f>
        <v/>
      </c>
      <c r="B30" s="1455" t="str">
        <f>IF(ISBLANK($D30),"",Variables!B$3)</f>
        <v/>
      </c>
      <c r="C30" s="1455" t="str">
        <f ca="1">IFERROR(VLOOKUP($D30,'Cntl Tables'!$B:C,2,0),"")</f>
        <v/>
      </c>
      <c r="D30" s="1444"/>
      <c r="E30" s="1455" t="str">
        <f ca="1">IFERROR(IF(VLOOKUP($D30,'Cntl Tables'!$B:D,3,0)=0,"",VLOOKUP($D30,'Cntl Tables'!$B:D,3,0)),"")</f>
        <v/>
      </c>
      <c r="F30" s="1455" t="str">
        <f ca="1">IFERROR(VLOOKUP($D30,'Cntl Tables'!$B:E,4,0),"")</f>
        <v/>
      </c>
      <c r="G30" s="1444"/>
      <c r="H30" s="1444"/>
      <c r="I30" s="1444"/>
      <c r="J30" s="1444"/>
      <c r="K30" s="1446"/>
      <c r="L30" s="1456" t="str">
        <f>IFERROR(VLOOKUP($J30,Miscellaneous!$N$21:$O$23,2,0),"")</f>
        <v/>
      </c>
      <c r="M30" s="1445"/>
      <c r="N30" s="1457" t="str">
        <f>IF(ISBLANK($D30),"",Variables!$B$8)</f>
        <v/>
      </c>
      <c r="O30" s="1458" t="str">
        <f>IF(ISBLANK($D30),"",Variables!$B$7)</f>
        <v/>
      </c>
      <c r="P30" s="1480"/>
      <c r="Q30" s="1357"/>
    </row>
    <row r="31" spans="1:17">
      <c r="A31" s="1455" t="str">
        <f>IF(ISBLANK($D31),"",Variables!B$2)</f>
        <v/>
      </c>
      <c r="B31" s="1455" t="str">
        <f>IF(ISBLANK($D31),"",Variables!B$3)</f>
        <v/>
      </c>
      <c r="C31" s="1455" t="str">
        <f ca="1">IFERROR(VLOOKUP($D31,'Cntl Tables'!$B:C,2,0),"")</f>
        <v/>
      </c>
      <c r="D31" s="1444"/>
      <c r="E31" s="1455" t="str">
        <f ca="1">IFERROR(IF(VLOOKUP($D31,'Cntl Tables'!$B:D,3,0)=0,"",VLOOKUP($D31,'Cntl Tables'!$B:D,3,0)),"")</f>
        <v/>
      </c>
      <c r="F31" s="1455" t="str">
        <f ca="1">IFERROR(VLOOKUP($D31,'Cntl Tables'!$B:E,4,0),"")</f>
        <v/>
      </c>
      <c r="G31" s="1444"/>
      <c r="H31" s="1444"/>
      <c r="I31" s="1444"/>
      <c r="J31" s="1444"/>
      <c r="K31" s="1446"/>
      <c r="L31" s="1456" t="str">
        <f>IFERROR(VLOOKUP($J31,Miscellaneous!$N$21:$O$23,2,0),"")</f>
        <v/>
      </c>
      <c r="M31" s="1445"/>
      <c r="N31" s="1457" t="str">
        <f>IF(ISBLANK($D31),"",Variables!$B$8)</f>
        <v/>
      </c>
      <c r="O31" s="1458" t="str">
        <f>IF(ISBLANK($D31),"",Variables!$B$7)</f>
        <v/>
      </c>
      <c r="P31" s="1480"/>
      <c r="Q31" s="1357"/>
    </row>
    <row r="32" spans="1:17">
      <c r="A32" s="1455" t="str">
        <f>IF(ISBLANK($D32),"",Variables!B$2)</f>
        <v/>
      </c>
      <c r="B32" s="1455" t="str">
        <f>IF(ISBLANK($D32),"",Variables!B$3)</f>
        <v/>
      </c>
      <c r="C32" s="1455" t="str">
        <f ca="1">IFERROR(VLOOKUP($D32,'Cntl Tables'!$B:C,2,0),"")</f>
        <v/>
      </c>
      <c r="D32" s="1444"/>
      <c r="E32" s="1455" t="str">
        <f ca="1">IFERROR(IF(VLOOKUP($D32,'Cntl Tables'!$B:D,3,0)=0,"",VLOOKUP($D32,'Cntl Tables'!$B:D,3,0)),"")</f>
        <v/>
      </c>
      <c r="F32" s="1455" t="str">
        <f ca="1">IFERROR(VLOOKUP($D32,'Cntl Tables'!$B:E,4,0),"")</f>
        <v/>
      </c>
      <c r="G32" s="1444"/>
      <c r="H32" s="1444"/>
      <c r="I32" s="1444"/>
      <c r="J32" s="1444"/>
      <c r="K32" s="1446"/>
      <c r="L32" s="1456" t="str">
        <f>IFERROR(VLOOKUP($J32,Miscellaneous!$N$21:$O$23,2,0),"")</f>
        <v/>
      </c>
      <c r="M32" s="1445"/>
      <c r="N32" s="1457" t="str">
        <f>IF(ISBLANK($D32),"",Variables!$B$8)</f>
        <v/>
      </c>
      <c r="O32" s="1458" t="str">
        <f>IF(ISBLANK($D32),"",Variables!$B$7)</f>
        <v/>
      </c>
      <c r="P32" s="1480"/>
      <c r="Q32" s="1357"/>
    </row>
    <row r="33" spans="1:17">
      <c r="A33" s="1455" t="str">
        <f>IF(ISBLANK($D33),"",Variables!B$2)</f>
        <v/>
      </c>
      <c r="B33" s="1455" t="str">
        <f>IF(ISBLANK($D33),"",Variables!B$3)</f>
        <v/>
      </c>
      <c r="C33" s="1455" t="str">
        <f ca="1">IFERROR(VLOOKUP($D33,'Cntl Tables'!$B:C,2,0),"")</f>
        <v/>
      </c>
      <c r="D33" s="1444"/>
      <c r="E33" s="1455" t="str">
        <f ca="1">IFERROR(IF(VLOOKUP($D33,'Cntl Tables'!$B:D,3,0)=0,"",VLOOKUP($D33,'Cntl Tables'!$B:D,3,0)),"")</f>
        <v/>
      </c>
      <c r="F33" s="1455" t="str">
        <f ca="1">IFERROR(VLOOKUP($D33,'Cntl Tables'!$B:E,4,0),"")</f>
        <v/>
      </c>
      <c r="G33" s="1444"/>
      <c r="H33" s="1444"/>
      <c r="I33" s="1444"/>
      <c r="J33" s="1444"/>
      <c r="K33" s="1446"/>
      <c r="L33" s="1456" t="str">
        <f>IFERROR(VLOOKUP($J33,Miscellaneous!$N$21:$O$23,2,0),"")</f>
        <v/>
      </c>
      <c r="M33" s="1445"/>
      <c r="N33" s="1457" t="str">
        <f>IF(ISBLANK($D33),"",Variables!$B$8)</f>
        <v/>
      </c>
      <c r="O33" s="1458" t="str">
        <f>IF(ISBLANK($D33),"",Variables!$B$7)</f>
        <v/>
      </c>
      <c r="P33" s="1480"/>
      <c r="Q33" s="1357"/>
    </row>
    <row r="34" spans="1:17">
      <c r="A34" s="1455" t="str">
        <f>IF(ISBLANK($D34),"",Variables!B$2)</f>
        <v/>
      </c>
      <c r="B34" s="1455" t="str">
        <f>IF(ISBLANK($D34),"",Variables!B$3)</f>
        <v/>
      </c>
      <c r="C34" s="1455" t="str">
        <f ca="1">IFERROR(VLOOKUP($D34,'Cntl Tables'!$B:C,2,0),"")</f>
        <v/>
      </c>
      <c r="D34" s="1444"/>
      <c r="E34" s="1455" t="str">
        <f ca="1">IFERROR(IF(VLOOKUP($D34,'Cntl Tables'!$B:D,3,0)=0,"",VLOOKUP($D34,'Cntl Tables'!$B:D,3,0)),"")</f>
        <v/>
      </c>
      <c r="F34" s="1455" t="str">
        <f ca="1">IFERROR(VLOOKUP($D34,'Cntl Tables'!$B:E,4,0),"")</f>
        <v/>
      </c>
      <c r="G34" s="1444"/>
      <c r="H34" s="1444"/>
      <c r="I34" s="1444"/>
      <c r="J34" s="1444"/>
      <c r="K34" s="1446"/>
      <c r="L34" s="1456" t="str">
        <f>IFERROR(VLOOKUP($J34,Miscellaneous!$N$21:$O$23,2,0),"")</f>
        <v/>
      </c>
      <c r="M34" s="1445"/>
      <c r="N34" s="1457" t="str">
        <f>IF(ISBLANK($D34),"",Variables!$B$8)</f>
        <v/>
      </c>
      <c r="O34" s="1458" t="str">
        <f>IF(ISBLANK($D34),"",Variables!$B$7)</f>
        <v/>
      </c>
      <c r="P34" s="1480"/>
      <c r="Q34" s="1357"/>
    </row>
    <row r="35" spans="1:17">
      <c r="A35" s="1455" t="str">
        <f>IF(ISBLANK($D35),"",Variables!B$2)</f>
        <v/>
      </c>
      <c r="B35" s="1455" t="str">
        <f>IF(ISBLANK($D35),"",Variables!B$3)</f>
        <v/>
      </c>
      <c r="C35" s="1455" t="str">
        <f ca="1">IFERROR(VLOOKUP($D35,'Cntl Tables'!$B:C,2,0),"")</f>
        <v/>
      </c>
      <c r="D35" s="1444"/>
      <c r="E35" s="1455" t="str">
        <f ca="1">IFERROR(IF(VLOOKUP($D35,'Cntl Tables'!$B:D,3,0)=0,"",VLOOKUP($D35,'Cntl Tables'!$B:D,3,0)),"")</f>
        <v/>
      </c>
      <c r="F35" s="1455" t="str">
        <f ca="1">IFERROR(VLOOKUP($D35,'Cntl Tables'!$B:E,4,0),"")</f>
        <v/>
      </c>
      <c r="G35" s="1444"/>
      <c r="H35" s="1444"/>
      <c r="I35" s="1444"/>
      <c r="J35" s="1444"/>
      <c r="K35" s="1446"/>
      <c r="L35" s="1456" t="str">
        <f>IFERROR(VLOOKUP($J35,Miscellaneous!$N$21:$O$23,2,0),"")</f>
        <v/>
      </c>
      <c r="M35" s="1445"/>
      <c r="N35" s="1457" t="str">
        <f>IF(ISBLANK($D35),"",Variables!$B$8)</f>
        <v/>
      </c>
      <c r="O35" s="1458" t="str">
        <f>IF(ISBLANK($D35),"",Variables!$B$7)</f>
        <v/>
      </c>
      <c r="P35" s="1480"/>
      <c r="Q35" s="1357"/>
    </row>
    <row r="36" spans="1:17">
      <c r="A36" s="1455" t="str">
        <f>IF(ISBLANK($D36),"",Variables!B$2)</f>
        <v/>
      </c>
      <c r="B36" s="1455" t="str">
        <f>IF(ISBLANK($D36),"",Variables!B$3)</f>
        <v/>
      </c>
      <c r="C36" s="1455" t="str">
        <f ca="1">IFERROR(VLOOKUP($D36,'Cntl Tables'!$B:C,2,0),"")</f>
        <v/>
      </c>
      <c r="D36" s="1444"/>
      <c r="E36" s="1455" t="str">
        <f ca="1">IFERROR(IF(VLOOKUP($D36,'Cntl Tables'!$B:D,3,0)=0,"",VLOOKUP($D36,'Cntl Tables'!$B:D,3,0)),"")</f>
        <v/>
      </c>
      <c r="F36" s="1455" t="str">
        <f ca="1">IFERROR(VLOOKUP($D36,'Cntl Tables'!$B:E,4,0),"")</f>
        <v/>
      </c>
      <c r="G36" s="1444"/>
      <c r="H36" s="1444"/>
      <c r="I36" s="1444"/>
      <c r="J36" s="1444"/>
      <c r="K36" s="1446"/>
      <c r="L36" s="1456" t="str">
        <f>IFERROR(VLOOKUP($J36,Miscellaneous!$N$21:$O$23,2,0),"")</f>
        <v/>
      </c>
      <c r="M36" s="1445"/>
      <c r="N36" s="1457" t="str">
        <f>IF(ISBLANK($D36),"",Variables!$B$8)</f>
        <v/>
      </c>
      <c r="O36" s="1458" t="str">
        <f>IF(ISBLANK($D36),"",Variables!$B$7)</f>
        <v/>
      </c>
      <c r="P36" s="1480"/>
      <c r="Q36" s="1357"/>
    </row>
    <row r="37" spans="1:17">
      <c r="A37" s="1455" t="str">
        <f>IF(ISBLANK($D37),"",Variables!B$2)</f>
        <v/>
      </c>
      <c r="B37" s="1455" t="str">
        <f>IF(ISBLANK($D37),"",Variables!B$3)</f>
        <v/>
      </c>
      <c r="C37" s="1455" t="str">
        <f ca="1">IFERROR(VLOOKUP($D37,'Cntl Tables'!$B:C,2,0),"")</f>
        <v/>
      </c>
      <c r="D37" s="1444"/>
      <c r="E37" s="1455" t="str">
        <f ca="1">IFERROR(IF(VLOOKUP($D37,'Cntl Tables'!$B:D,3,0)=0,"",VLOOKUP($D37,'Cntl Tables'!$B:D,3,0)),"")</f>
        <v/>
      </c>
      <c r="F37" s="1455" t="str">
        <f ca="1">IFERROR(VLOOKUP($D37,'Cntl Tables'!$B:E,4,0),"")</f>
        <v/>
      </c>
      <c r="G37" s="1444"/>
      <c r="H37" s="1444"/>
      <c r="I37" s="1444"/>
      <c r="J37" s="1444"/>
      <c r="K37" s="1446"/>
      <c r="L37" s="1456" t="str">
        <f>IFERROR(VLOOKUP($J37,Miscellaneous!$N$21:$O$23,2,0),"")</f>
        <v/>
      </c>
      <c r="M37" s="1445"/>
      <c r="N37" s="1457" t="str">
        <f>IF(ISBLANK($D37),"",Variables!$B$8)</f>
        <v/>
      </c>
      <c r="O37" s="1458" t="str">
        <f>IF(ISBLANK($D37),"",Variables!$B$7)</f>
        <v/>
      </c>
      <c r="P37" s="1480"/>
      <c r="Q37" s="1357"/>
    </row>
    <row r="38" spans="1:17">
      <c r="A38" s="1455" t="str">
        <f>IF(ISBLANK($D38),"",Variables!B$2)</f>
        <v/>
      </c>
      <c r="B38" s="1455" t="str">
        <f>IF(ISBLANK($D38),"",Variables!B$3)</f>
        <v/>
      </c>
      <c r="C38" s="1455" t="str">
        <f ca="1">IFERROR(VLOOKUP($D38,'Cntl Tables'!$B:C,2,0),"")</f>
        <v/>
      </c>
      <c r="D38" s="1444"/>
      <c r="E38" s="1455" t="str">
        <f ca="1">IFERROR(IF(VLOOKUP($D38,'Cntl Tables'!$B:D,3,0)=0,"",VLOOKUP($D38,'Cntl Tables'!$B:D,3,0)),"")</f>
        <v/>
      </c>
      <c r="F38" s="1455" t="str">
        <f ca="1">IFERROR(VLOOKUP($D38,'Cntl Tables'!$B:E,4,0),"")</f>
        <v/>
      </c>
      <c r="G38" s="1444"/>
      <c r="H38" s="1444"/>
      <c r="I38" s="1444"/>
      <c r="J38" s="1444"/>
      <c r="K38" s="1446"/>
      <c r="L38" s="1456" t="str">
        <f>IFERROR(VLOOKUP($J38,Miscellaneous!$N$21:$O$23,2,0),"")</f>
        <v/>
      </c>
      <c r="M38" s="1445"/>
      <c r="N38" s="1457" t="str">
        <f>IF(ISBLANK($D38),"",Variables!$B$8)</f>
        <v/>
      </c>
      <c r="O38" s="1458" t="str">
        <f>IF(ISBLANK($D38),"",Variables!$B$7)</f>
        <v/>
      </c>
      <c r="P38" s="1480"/>
      <c r="Q38" s="1357"/>
    </row>
    <row r="39" spans="1:17">
      <c r="A39" s="1455" t="str">
        <f>IF(ISBLANK($D39),"",Variables!B$2)</f>
        <v/>
      </c>
      <c r="B39" s="1455" t="str">
        <f>IF(ISBLANK($D39),"",Variables!B$3)</f>
        <v/>
      </c>
      <c r="C39" s="1455" t="str">
        <f ca="1">IFERROR(VLOOKUP($D39,'Cntl Tables'!$B:C,2,0),"")</f>
        <v/>
      </c>
      <c r="D39" s="1444"/>
      <c r="E39" s="1455" t="str">
        <f ca="1">IFERROR(IF(VLOOKUP($D39,'Cntl Tables'!$B:D,3,0)=0,"",VLOOKUP($D39,'Cntl Tables'!$B:D,3,0)),"")</f>
        <v/>
      </c>
      <c r="F39" s="1455" t="str">
        <f ca="1">IFERROR(VLOOKUP($D39,'Cntl Tables'!$B:E,4,0),"")</f>
        <v/>
      </c>
      <c r="G39" s="1444"/>
      <c r="H39" s="1444"/>
      <c r="I39" s="1444"/>
      <c r="J39" s="1444"/>
      <c r="K39" s="1446"/>
      <c r="L39" s="1456" t="str">
        <f>IFERROR(VLOOKUP($J39,Miscellaneous!$N$21:$O$23,2,0),"")</f>
        <v/>
      </c>
      <c r="M39" s="1445"/>
      <c r="N39" s="1457" t="str">
        <f>IF(ISBLANK($D39),"",Variables!$B$8)</f>
        <v/>
      </c>
      <c r="O39" s="1458" t="str">
        <f>IF(ISBLANK($D39),"",Variables!$B$7)</f>
        <v/>
      </c>
      <c r="P39" s="1480"/>
      <c r="Q39" s="1357"/>
    </row>
    <row r="40" spans="1:17">
      <c r="A40" s="1455" t="str">
        <f>IF(ISBLANK($D40),"",Variables!B$2)</f>
        <v/>
      </c>
      <c r="B40" s="1455" t="str">
        <f>IF(ISBLANK($D40),"",Variables!B$3)</f>
        <v/>
      </c>
      <c r="C40" s="1455" t="str">
        <f ca="1">IFERROR(VLOOKUP($D40,'Cntl Tables'!$B:C,2,0),"")</f>
        <v/>
      </c>
      <c r="D40" s="1444"/>
      <c r="E40" s="1455" t="str">
        <f ca="1">IFERROR(IF(VLOOKUP($D40,'Cntl Tables'!$B:D,3,0)=0,"",VLOOKUP($D40,'Cntl Tables'!$B:D,3,0)),"")</f>
        <v/>
      </c>
      <c r="F40" s="1455" t="str">
        <f ca="1">IFERROR(VLOOKUP($D40,'Cntl Tables'!$B:E,4,0),"")</f>
        <v/>
      </c>
      <c r="G40" s="1444"/>
      <c r="H40" s="1444"/>
      <c r="I40" s="1444"/>
      <c r="J40" s="1444"/>
      <c r="K40" s="1446"/>
      <c r="L40" s="1456" t="str">
        <f>IFERROR(VLOOKUP($J40,Miscellaneous!$N$21:$O$23,2,0),"")</f>
        <v/>
      </c>
      <c r="M40" s="1445"/>
      <c r="N40" s="1457" t="str">
        <f>IF(ISBLANK($D40),"",Variables!$B$8)</f>
        <v/>
      </c>
      <c r="O40" s="1458" t="str">
        <f>IF(ISBLANK($D40),"",Variables!$B$7)</f>
        <v/>
      </c>
      <c r="P40" s="1480"/>
      <c r="Q40" s="1357"/>
    </row>
    <row r="41" spans="1:17">
      <c r="A41" s="1455" t="str">
        <f>IF(ISBLANK($D41),"",Variables!B$2)</f>
        <v/>
      </c>
      <c r="B41" s="1455" t="str">
        <f>IF(ISBLANK($D41),"",Variables!B$3)</f>
        <v/>
      </c>
      <c r="C41" s="1455" t="str">
        <f ca="1">IFERROR(VLOOKUP($D41,'Cntl Tables'!$B:C,2,0),"")</f>
        <v/>
      </c>
      <c r="D41" s="1444"/>
      <c r="E41" s="1455" t="str">
        <f ca="1">IFERROR(IF(VLOOKUP($D41,'Cntl Tables'!$B:D,3,0)=0,"",VLOOKUP($D41,'Cntl Tables'!$B:D,3,0)),"")</f>
        <v/>
      </c>
      <c r="F41" s="1455" t="str">
        <f ca="1">IFERROR(VLOOKUP($D41,'Cntl Tables'!$B:E,4,0),"")</f>
        <v/>
      </c>
      <c r="G41" s="1444"/>
      <c r="H41" s="1444"/>
      <c r="I41" s="1444"/>
      <c r="J41" s="1444"/>
      <c r="K41" s="1446"/>
      <c r="L41" s="1456" t="str">
        <f>IFERROR(VLOOKUP($J41,Miscellaneous!$N$21:$O$23,2,0),"")</f>
        <v/>
      </c>
      <c r="M41" s="1445"/>
      <c r="N41" s="1457" t="str">
        <f>IF(ISBLANK($D41),"",Variables!$B$8)</f>
        <v/>
      </c>
      <c r="O41" s="1458" t="str">
        <f>IF(ISBLANK($D41),"",Variables!$B$7)</f>
        <v/>
      </c>
      <c r="P41" s="1480"/>
      <c r="Q41" s="1357"/>
    </row>
    <row r="42" spans="1:17">
      <c r="A42" s="1455" t="str">
        <f>IF(ISBLANK($D42),"",Variables!B$2)</f>
        <v/>
      </c>
      <c r="B42" s="1455" t="str">
        <f>IF(ISBLANK($D42),"",Variables!B$3)</f>
        <v/>
      </c>
      <c r="C42" s="1455" t="str">
        <f ca="1">IFERROR(VLOOKUP($D42,'Cntl Tables'!$B:C,2,0),"")</f>
        <v/>
      </c>
      <c r="D42" s="1444"/>
      <c r="E42" s="1455" t="str">
        <f ca="1">IFERROR(IF(VLOOKUP($D42,'Cntl Tables'!$B:D,3,0)=0,"",VLOOKUP($D42,'Cntl Tables'!$B:D,3,0)),"")</f>
        <v/>
      </c>
      <c r="F42" s="1455" t="str">
        <f ca="1">IFERROR(VLOOKUP($D42,'Cntl Tables'!$B:E,4,0),"")</f>
        <v/>
      </c>
      <c r="G42" s="1444"/>
      <c r="H42" s="1444"/>
      <c r="I42" s="1444"/>
      <c r="J42" s="1444"/>
      <c r="K42" s="1446"/>
      <c r="L42" s="1456" t="str">
        <f>IFERROR(VLOOKUP($J42,Miscellaneous!$N$21:$O$23,2,0),"")</f>
        <v/>
      </c>
      <c r="M42" s="1445"/>
      <c r="N42" s="1457" t="str">
        <f>IF(ISBLANK($D42),"",Variables!$B$8)</f>
        <v/>
      </c>
      <c r="O42" s="1458" t="str">
        <f>IF(ISBLANK($D42),"",Variables!$B$7)</f>
        <v/>
      </c>
      <c r="P42" s="1480"/>
      <c r="Q42" s="1357"/>
    </row>
    <row r="43" spans="1:17">
      <c r="A43" s="1455" t="str">
        <f>IF(ISBLANK($D43),"",Variables!B$2)</f>
        <v/>
      </c>
      <c r="B43" s="1455" t="str">
        <f>IF(ISBLANK($D43),"",Variables!B$3)</f>
        <v/>
      </c>
      <c r="C43" s="1455" t="str">
        <f ca="1">IFERROR(VLOOKUP($D43,'Cntl Tables'!$B:C,2,0),"")</f>
        <v/>
      </c>
      <c r="D43" s="1444"/>
      <c r="E43" s="1455" t="str">
        <f ca="1">IFERROR(IF(VLOOKUP($D43,'Cntl Tables'!$B:D,3,0)=0,"",VLOOKUP($D43,'Cntl Tables'!$B:D,3,0)),"")</f>
        <v/>
      </c>
      <c r="F43" s="1455" t="str">
        <f ca="1">IFERROR(VLOOKUP($D43,'Cntl Tables'!$B:E,4,0),"")</f>
        <v/>
      </c>
      <c r="G43" s="1444"/>
      <c r="H43" s="1444"/>
      <c r="I43" s="1444"/>
      <c r="J43" s="1444"/>
      <c r="K43" s="1446"/>
      <c r="L43" s="1456" t="str">
        <f>IFERROR(VLOOKUP($J43,Miscellaneous!$N$21:$O$23,2,0),"")</f>
        <v/>
      </c>
      <c r="M43" s="1445"/>
      <c r="N43" s="1457" t="str">
        <f>IF(ISBLANK($D43),"",Variables!$B$8)</f>
        <v/>
      </c>
      <c r="O43" s="1458" t="str">
        <f>IF(ISBLANK($D43),"",Variables!$B$7)</f>
        <v/>
      </c>
      <c r="P43" s="1480"/>
      <c r="Q43" s="1357"/>
    </row>
    <row r="44" spans="1:17">
      <c r="A44" s="1455" t="str">
        <f>IF(ISBLANK($D44),"",Variables!B$2)</f>
        <v/>
      </c>
      <c r="B44" s="1455" t="str">
        <f>IF(ISBLANK($D44),"",Variables!B$3)</f>
        <v/>
      </c>
      <c r="C44" s="1455" t="str">
        <f ca="1">IFERROR(VLOOKUP($D44,'Cntl Tables'!$B:C,2,0),"")</f>
        <v/>
      </c>
      <c r="D44" s="1444"/>
      <c r="E44" s="1455" t="str">
        <f ca="1">IFERROR(IF(VLOOKUP($D44,'Cntl Tables'!$B:D,3,0)=0,"",VLOOKUP($D44,'Cntl Tables'!$B:D,3,0)),"")</f>
        <v/>
      </c>
      <c r="F44" s="1455" t="str">
        <f ca="1">IFERROR(VLOOKUP($D44,'Cntl Tables'!$B:E,4,0),"")</f>
        <v/>
      </c>
      <c r="G44" s="1444"/>
      <c r="H44" s="1444"/>
      <c r="I44" s="1444"/>
      <c r="J44" s="1444"/>
      <c r="K44" s="1446"/>
      <c r="L44" s="1456" t="str">
        <f>IFERROR(VLOOKUP($J44,Miscellaneous!$N$21:$O$23,2,0),"")</f>
        <v/>
      </c>
      <c r="M44" s="1445"/>
      <c r="N44" s="1457" t="str">
        <f>IF(ISBLANK($D44),"",Variables!$B$8)</f>
        <v/>
      </c>
      <c r="O44" s="1458" t="str">
        <f>IF(ISBLANK($D44),"",Variables!$B$7)</f>
        <v/>
      </c>
      <c r="P44" s="1480"/>
      <c r="Q44" s="1357"/>
    </row>
    <row r="45" spans="1:17">
      <c r="A45" s="1455" t="str">
        <f>IF(ISBLANK($D45),"",Variables!B$2)</f>
        <v/>
      </c>
      <c r="B45" s="1455" t="str">
        <f>IF(ISBLANK($D45),"",Variables!B$3)</f>
        <v/>
      </c>
      <c r="C45" s="1455" t="str">
        <f ca="1">IFERROR(VLOOKUP($D45,'Cntl Tables'!$B:C,2,0),"")</f>
        <v/>
      </c>
      <c r="D45" s="1444"/>
      <c r="E45" s="1455" t="str">
        <f ca="1">IFERROR(IF(VLOOKUP($D45,'Cntl Tables'!$B:D,3,0)=0,"",VLOOKUP($D45,'Cntl Tables'!$B:D,3,0)),"")</f>
        <v/>
      </c>
      <c r="F45" s="1455" t="str">
        <f ca="1">IFERROR(VLOOKUP($D45,'Cntl Tables'!$B:E,4,0),"")</f>
        <v/>
      </c>
      <c r="G45" s="1444"/>
      <c r="H45" s="1444"/>
      <c r="I45" s="1444"/>
      <c r="J45" s="1444"/>
      <c r="K45" s="1446"/>
      <c r="L45" s="1456" t="str">
        <f>IFERROR(VLOOKUP($J45,Miscellaneous!$N$21:$O$23,2,0),"")</f>
        <v/>
      </c>
      <c r="M45" s="1445"/>
      <c r="N45" s="1457" t="str">
        <f>IF(ISBLANK($D45),"",Variables!$B$8)</f>
        <v/>
      </c>
      <c r="O45" s="1458" t="str">
        <f>IF(ISBLANK($D45),"",Variables!$B$7)</f>
        <v/>
      </c>
      <c r="P45" s="1480"/>
      <c r="Q45" s="1357"/>
    </row>
    <row r="46" spans="1:17">
      <c r="A46" s="1455" t="str">
        <f>IF(ISBLANK($D46),"",Variables!B$2)</f>
        <v/>
      </c>
      <c r="B46" s="1455" t="str">
        <f>IF(ISBLANK($D46),"",Variables!B$3)</f>
        <v/>
      </c>
      <c r="C46" s="1455" t="str">
        <f ca="1">IFERROR(VLOOKUP($D46,'Cntl Tables'!$B:C,2,0),"")</f>
        <v/>
      </c>
      <c r="D46" s="1444"/>
      <c r="E46" s="1455" t="str">
        <f ca="1">IFERROR(IF(VLOOKUP($D46,'Cntl Tables'!$B:D,3,0)=0,"",VLOOKUP($D46,'Cntl Tables'!$B:D,3,0)),"")</f>
        <v/>
      </c>
      <c r="F46" s="1455" t="str">
        <f ca="1">IFERROR(VLOOKUP($D46,'Cntl Tables'!$B:E,4,0),"")</f>
        <v/>
      </c>
      <c r="G46" s="1444"/>
      <c r="H46" s="1444"/>
      <c r="I46" s="1444"/>
      <c r="J46" s="1444"/>
      <c r="K46" s="1446"/>
      <c r="L46" s="1456" t="str">
        <f>IFERROR(VLOOKUP($J46,Miscellaneous!$N$21:$O$23,2,0),"")</f>
        <v/>
      </c>
      <c r="M46" s="1445"/>
      <c r="N46" s="1457" t="str">
        <f>IF(ISBLANK($D46),"",Variables!$B$8)</f>
        <v/>
      </c>
      <c r="O46" s="1458" t="str">
        <f>IF(ISBLANK($D46),"",Variables!$B$7)</f>
        <v/>
      </c>
      <c r="P46" s="1480"/>
      <c r="Q46" s="1357"/>
    </row>
    <row r="47" spans="1:17">
      <c r="A47" s="1455" t="str">
        <f>IF(ISBLANK($D47),"",Variables!B$2)</f>
        <v/>
      </c>
      <c r="B47" s="1455" t="str">
        <f>IF(ISBLANK($D47),"",Variables!B$3)</f>
        <v/>
      </c>
      <c r="C47" s="1455" t="str">
        <f ca="1">IFERROR(VLOOKUP($D47,'Cntl Tables'!$B:C,2,0),"")</f>
        <v/>
      </c>
      <c r="D47" s="1444"/>
      <c r="E47" s="1455" t="str">
        <f ca="1">IFERROR(IF(VLOOKUP($D47,'Cntl Tables'!$B:D,3,0)=0,"",VLOOKUP($D47,'Cntl Tables'!$B:D,3,0)),"")</f>
        <v/>
      </c>
      <c r="F47" s="1455" t="str">
        <f ca="1">IFERROR(VLOOKUP($D47,'Cntl Tables'!$B:E,4,0),"")</f>
        <v/>
      </c>
      <c r="G47" s="1444"/>
      <c r="H47" s="1444"/>
      <c r="I47" s="1444"/>
      <c r="J47" s="1444"/>
      <c r="K47" s="1446"/>
      <c r="L47" s="1456" t="str">
        <f>IFERROR(VLOOKUP($J47,Miscellaneous!$N$21:$O$23,2,0),"")</f>
        <v/>
      </c>
      <c r="M47" s="1445"/>
      <c r="N47" s="1457" t="str">
        <f>IF(ISBLANK($D47),"",Variables!$B$8)</f>
        <v/>
      </c>
      <c r="O47" s="1458" t="str">
        <f>IF(ISBLANK($D47),"",Variables!$B$7)</f>
        <v/>
      </c>
      <c r="P47" s="1480"/>
      <c r="Q47" s="1357"/>
    </row>
    <row r="48" spans="1:17">
      <c r="A48" s="1455" t="str">
        <f>IF(ISBLANK($D48),"",Variables!B$2)</f>
        <v/>
      </c>
      <c r="B48" s="1455" t="str">
        <f>IF(ISBLANK($D48),"",Variables!B$3)</f>
        <v/>
      </c>
      <c r="C48" s="1455" t="str">
        <f ca="1">IFERROR(VLOOKUP($D48,'Cntl Tables'!$B:C,2,0),"")</f>
        <v/>
      </c>
      <c r="D48" s="1444"/>
      <c r="E48" s="1455" t="str">
        <f ca="1">IFERROR(IF(VLOOKUP($D48,'Cntl Tables'!$B:D,3,0)=0,"",VLOOKUP($D48,'Cntl Tables'!$B:D,3,0)),"")</f>
        <v/>
      </c>
      <c r="F48" s="1455" t="str">
        <f ca="1">IFERROR(VLOOKUP($D48,'Cntl Tables'!$B:E,4,0),"")</f>
        <v/>
      </c>
      <c r="G48" s="1444"/>
      <c r="H48" s="1444"/>
      <c r="I48" s="1444"/>
      <c r="J48" s="1444"/>
      <c r="K48" s="1446"/>
      <c r="L48" s="1456" t="str">
        <f>IFERROR(VLOOKUP($J48,Miscellaneous!$N$21:$O$23,2,0),"")</f>
        <v/>
      </c>
      <c r="M48" s="1445"/>
      <c r="N48" s="1457" t="str">
        <f>IF(ISBLANK($D48),"",Variables!$B$8)</f>
        <v/>
      </c>
      <c r="O48" s="1458" t="str">
        <f>IF(ISBLANK($D48),"",Variables!$B$7)</f>
        <v/>
      </c>
      <c r="P48" s="1480"/>
      <c r="Q48" s="1357"/>
    </row>
    <row r="49" spans="1:17">
      <c r="A49" s="1455" t="str">
        <f>IF(ISBLANK($D49),"",Variables!B$2)</f>
        <v/>
      </c>
      <c r="B49" s="1455" t="str">
        <f>IF(ISBLANK($D49),"",Variables!B$3)</f>
        <v/>
      </c>
      <c r="C49" s="1455" t="str">
        <f ca="1">IFERROR(VLOOKUP($D49,'Cntl Tables'!$B:C,2,0),"")</f>
        <v/>
      </c>
      <c r="D49" s="1444"/>
      <c r="E49" s="1455" t="str">
        <f ca="1">IFERROR(IF(VLOOKUP($D49,'Cntl Tables'!$B:D,3,0)=0,"",VLOOKUP($D49,'Cntl Tables'!$B:D,3,0)),"")</f>
        <v/>
      </c>
      <c r="F49" s="1455" t="str">
        <f ca="1">IFERROR(VLOOKUP($D49,'Cntl Tables'!$B:E,4,0),"")</f>
        <v/>
      </c>
      <c r="G49" s="1444"/>
      <c r="H49" s="1444"/>
      <c r="I49" s="1444"/>
      <c r="J49" s="1444"/>
      <c r="K49" s="1446"/>
      <c r="L49" s="1456" t="str">
        <f>IFERROR(VLOOKUP($J49,Miscellaneous!$N$21:$O$23,2,0),"")</f>
        <v/>
      </c>
      <c r="M49" s="1445"/>
      <c r="N49" s="1457" t="str">
        <f>IF(ISBLANK($D49),"",Variables!$B$8)</f>
        <v/>
      </c>
      <c r="O49" s="1458" t="str">
        <f>IF(ISBLANK($D49),"",Variables!$B$7)</f>
        <v/>
      </c>
      <c r="P49" s="1480"/>
      <c r="Q49" s="1357"/>
    </row>
    <row r="50" spans="1:17">
      <c r="A50" s="1455" t="str">
        <f>IF(ISBLANK($D50),"",Variables!B$2)</f>
        <v/>
      </c>
      <c r="B50" s="1455" t="str">
        <f>IF(ISBLANK($D50),"",Variables!B$3)</f>
        <v/>
      </c>
      <c r="C50" s="1455" t="str">
        <f ca="1">IFERROR(VLOOKUP($D50,'Cntl Tables'!$B:C,2,0),"")</f>
        <v/>
      </c>
      <c r="D50" s="1444"/>
      <c r="E50" s="1455" t="str">
        <f ca="1">IFERROR(IF(VLOOKUP($D50,'Cntl Tables'!$B:D,3,0)=0,"",VLOOKUP($D50,'Cntl Tables'!$B:D,3,0)),"")</f>
        <v/>
      </c>
      <c r="F50" s="1455" t="str">
        <f ca="1">IFERROR(VLOOKUP($D50,'Cntl Tables'!$B:E,4,0),"")</f>
        <v/>
      </c>
      <c r="G50" s="1444"/>
      <c r="H50" s="1444"/>
      <c r="I50" s="1444"/>
      <c r="J50" s="1444"/>
      <c r="K50" s="1446"/>
      <c r="L50" s="1456" t="str">
        <f>IFERROR(VLOOKUP($J50,Miscellaneous!$N$21:$O$23,2,0),"")</f>
        <v/>
      </c>
      <c r="M50" s="1445"/>
      <c r="N50" s="1457" t="str">
        <f>IF(ISBLANK($D50),"",Variables!$B$8)</f>
        <v/>
      </c>
      <c r="O50" s="1458" t="str">
        <f>IF(ISBLANK($D50),"",Variables!$B$7)</f>
        <v/>
      </c>
      <c r="P50" s="1480"/>
      <c r="Q50" s="1357"/>
    </row>
    <row r="51" spans="1:17">
      <c r="A51" s="1455" t="str">
        <f>IF(ISBLANK($D51),"",Variables!B$2)</f>
        <v/>
      </c>
      <c r="B51" s="1455" t="str">
        <f>IF(ISBLANK($D51),"",Variables!B$3)</f>
        <v/>
      </c>
      <c r="C51" s="1455" t="str">
        <f ca="1">IFERROR(VLOOKUP($D51,'Cntl Tables'!$B:C,2,0),"")</f>
        <v/>
      </c>
      <c r="D51" s="1444"/>
      <c r="E51" s="1455" t="str">
        <f ca="1">IFERROR(IF(VLOOKUP($D51,'Cntl Tables'!$B:D,3,0)=0,"",VLOOKUP($D51,'Cntl Tables'!$B:D,3,0)),"")</f>
        <v/>
      </c>
      <c r="F51" s="1455" t="str">
        <f ca="1">IFERROR(VLOOKUP($D51,'Cntl Tables'!$B:E,4,0),"")</f>
        <v/>
      </c>
      <c r="G51" s="1444"/>
      <c r="H51" s="1444"/>
      <c r="I51" s="1444"/>
      <c r="J51" s="1444"/>
      <c r="K51" s="1446"/>
      <c r="L51" s="1456" t="str">
        <f>IFERROR(VLOOKUP($J51,Miscellaneous!$N$21:$O$23,2,0),"")</f>
        <v/>
      </c>
      <c r="M51" s="1445"/>
      <c r="N51" s="1457" t="str">
        <f>IF(ISBLANK($D51),"",Variables!$B$8)</f>
        <v/>
      </c>
      <c r="O51" s="1458" t="str">
        <f>IF(ISBLANK($D51),"",Variables!$B$7)</f>
        <v/>
      </c>
      <c r="P51" s="1480"/>
      <c r="Q51" s="1357"/>
    </row>
    <row r="52" spans="1:17">
      <c r="A52" s="1455" t="str">
        <f>IF(ISBLANK($D52),"",Variables!B$2)</f>
        <v/>
      </c>
      <c r="B52" s="1455" t="str">
        <f>IF(ISBLANK($D52),"",Variables!B$3)</f>
        <v/>
      </c>
      <c r="C52" s="1455" t="str">
        <f ca="1">IFERROR(VLOOKUP($D52,'Cntl Tables'!$B:C,2,0),"")</f>
        <v/>
      </c>
      <c r="D52" s="1444"/>
      <c r="E52" s="1455" t="str">
        <f ca="1">IFERROR(IF(VLOOKUP($D52,'Cntl Tables'!$B:D,3,0)=0,"",VLOOKUP($D52,'Cntl Tables'!$B:D,3,0)),"")</f>
        <v/>
      </c>
      <c r="F52" s="1455" t="str">
        <f ca="1">IFERROR(VLOOKUP($D52,'Cntl Tables'!$B:E,4,0),"")</f>
        <v/>
      </c>
      <c r="G52" s="1444"/>
      <c r="H52" s="1444"/>
      <c r="I52" s="1444"/>
      <c r="J52" s="1444"/>
      <c r="K52" s="1446"/>
      <c r="L52" s="1456" t="str">
        <f>IFERROR(VLOOKUP($J52,Miscellaneous!$N$21:$O$23,2,0),"")</f>
        <v/>
      </c>
      <c r="M52" s="1445"/>
      <c r="N52" s="1457" t="str">
        <f>IF(ISBLANK($D52),"",Variables!$B$8)</f>
        <v/>
      </c>
      <c r="O52" s="1458" t="str">
        <f>IF(ISBLANK($D52),"",Variables!$B$7)</f>
        <v/>
      </c>
      <c r="P52" s="1480"/>
      <c r="Q52" s="1357"/>
    </row>
    <row r="53" spans="1:17">
      <c r="A53" s="1455" t="str">
        <f>IF(ISBLANK($D53),"",Variables!B$2)</f>
        <v/>
      </c>
      <c r="B53" s="1455" t="str">
        <f>IF(ISBLANK($D53),"",Variables!B$3)</f>
        <v/>
      </c>
      <c r="C53" s="1455" t="str">
        <f ca="1">IFERROR(VLOOKUP($D53,'Cntl Tables'!$B:C,2,0),"")</f>
        <v/>
      </c>
      <c r="D53" s="1444"/>
      <c r="E53" s="1455" t="str">
        <f ca="1">IFERROR(IF(VLOOKUP($D53,'Cntl Tables'!$B:D,3,0)=0,"",VLOOKUP($D53,'Cntl Tables'!$B:D,3,0)),"")</f>
        <v/>
      </c>
      <c r="F53" s="1455" t="str">
        <f ca="1">IFERROR(VLOOKUP($D53,'Cntl Tables'!$B:E,4,0),"")</f>
        <v/>
      </c>
      <c r="G53" s="1444"/>
      <c r="H53" s="1444"/>
      <c r="I53" s="1444"/>
      <c r="J53" s="1444"/>
      <c r="K53" s="1446"/>
      <c r="L53" s="1456" t="str">
        <f>IFERROR(VLOOKUP($J53,Miscellaneous!$N$21:$O$23,2,0),"")</f>
        <v/>
      </c>
      <c r="M53" s="1445"/>
      <c r="N53" s="1457" t="str">
        <f>IF(ISBLANK($D53),"",Variables!$B$8)</f>
        <v/>
      </c>
      <c r="O53" s="1458" t="str">
        <f>IF(ISBLANK($D53),"",Variables!$B$7)</f>
        <v/>
      </c>
      <c r="P53" s="1480"/>
      <c r="Q53" s="1357"/>
    </row>
    <row r="54" spans="1:17">
      <c r="A54" s="1455" t="str">
        <f>IF(ISBLANK($D54),"",Variables!B$2)</f>
        <v/>
      </c>
      <c r="B54" s="1455" t="str">
        <f>IF(ISBLANK($D54),"",Variables!B$3)</f>
        <v/>
      </c>
      <c r="C54" s="1455" t="str">
        <f ca="1">IFERROR(VLOOKUP($D54,'Cntl Tables'!$B:C,2,0),"")</f>
        <v/>
      </c>
      <c r="D54" s="1444"/>
      <c r="E54" s="1455" t="str">
        <f ca="1">IFERROR(IF(VLOOKUP($D54,'Cntl Tables'!$B:D,3,0)=0,"",VLOOKUP($D54,'Cntl Tables'!$B:D,3,0)),"")</f>
        <v/>
      </c>
      <c r="F54" s="1455" t="str">
        <f ca="1">IFERROR(VLOOKUP($D54,'Cntl Tables'!$B:E,4,0),"")</f>
        <v/>
      </c>
      <c r="G54" s="1444"/>
      <c r="H54" s="1444"/>
      <c r="I54" s="1444"/>
      <c r="J54" s="1444"/>
      <c r="K54" s="1446"/>
      <c r="L54" s="1456" t="str">
        <f>IFERROR(VLOOKUP($J54,Miscellaneous!$N$21:$O$23,2,0),"")</f>
        <v/>
      </c>
      <c r="M54" s="1445"/>
      <c r="N54" s="1457" t="str">
        <f>IF(ISBLANK($D54),"",Variables!$B$8)</f>
        <v/>
      </c>
      <c r="O54" s="1458" t="str">
        <f>IF(ISBLANK($D54),"",Variables!$B$7)</f>
        <v/>
      </c>
      <c r="P54" s="1480"/>
      <c r="Q54" s="1357"/>
    </row>
    <row r="55" spans="1:17">
      <c r="A55" s="1455" t="str">
        <f>IF(ISBLANK($D55),"",Variables!B$2)</f>
        <v/>
      </c>
      <c r="B55" s="1455" t="str">
        <f>IF(ISBLANK($D55),"",Variables!B$3)</f>
        <v/>
      </c>
      <c r="C55" s="1455" t="str">
        <f ca="1">IFERROR(VLOOKUP($D55,'Cntl Tables'!$B:C,2,0),"")</f>
        <v/>
      </c>
      <c r="D55" s="1444"/>
      <c r="E55" s="1455" t="str">
        <f ca="1">IFERROR(IF(VLOOKUP($D55,'Cntl Tables'!$B:D,3,0)=0,"",VLOOKUP($D55,'Cntl Tables'!$B:D,3,0)),"")</f>
        <v/>
      </c>
      <c r="F55" s="1455" t="str">
        <f ca="1">IFERROR(VLOOKUP($D55,'Cntl Tables'!$B:E,4,0),"")</f>
        <v/>
      </c>
      <c r="G55" s="1444"/>
      <c r="H55" s="1444"/>
      <c r="I55" s="1444"/>
      <c r="J55" s="1444"/>
      <c r="K55" s="1446"/>
      <c r="L55" s="1456" t="str">
        <f>IFERROR(VLOOKUP($J55,Miscellaneous!$N$21:$O$23,2,0),"")</f>
        <v/>
      </c>
      <c r="M55" s="1445"/>
      <c r="N55" s="1457" t="str">
        <f>IF(ISBLANK($D55),"",Variables!$B$8)</f>
        <v/>
      </c>
      <c r="O55" s="1458" t="str">
        <f>IF(ISBLANK($D55),"",Variables!$B$7)</f>
        <v/>
      </c>
      <c r="P55" s="1480"/>
      <c r="Q55" s="1357"/>
    </row>
    <row r="56" spans="1:17">
      <c r="A56" s="1455" t="str">
        <f>IF(ISBLANK($D56),"",Variables!B$2)</f>
        <v/>
      </c>
      <c r="B56" s="1455" t="str">
        <f>IF(ISBLANK($D56),"",Variables!B$3)</f>
        <v/>
      </c>
      <c r="C56" s="1455" t="str">
        <f ca="1">IFERROR(VLOOKUP($D56,'Cntl Tables'!$B:C,2,0),"")</f>
        <v/>
      </c>
      <c r="D56" s="1444"/>
      <c r="E56" s="1455" t="str">
        <f ca="1">IFERROR(IF(VLOOKUP($D56,'Cntl Tables'!$B:D,3,0)=0,"",VLOOKUP($D56,'Cntl Tables'!$B:D,3,0)),"")</f>
        <v/>
      </c>
      <c r="F56" s="1455" t="str">
        <f ca="1">IFERROR(VLOOKUP($D56,'Cntl Tables'!$B:E,4,0),"")</f>
        <v/>
      </c>
      <c r="G56" s="1444"/>
      <c r="H56" s="1444"/>
      <c r="I56" s="1444"/>
      <c r="J56" s="1444"/>
      <c r="K56" s="1446"/>
      <c r="L56" s="1456" t="str">
        <f>IFERROR(VLOOKUP($J56,Miscellaneous!$N$21:$O$23,2,0),"")</f>
        <v/>
      </c>
      <c r="M56" s="1445"/>
      <c r="N56" s="1457" t="str">
        <f>IF(ISBLANK($D56),"",Variables!$B$8)</f>
        <v/>
      </c>
      <c r="O56" s="1458" t="str">
        <f>IF(ISBLANK($D56),"",Variables!$B$7)</f>
        <v/>
      </c>
      <c r="P56" s="1480"/>
      <c r="Q56" s="1357"/>
    </row>
    <row r="57" spans="1:17">
      <c r="A57" s="1455" t="str">
        <f>IF(ISBLANK($D57),"",Variables!B$2)</f>
        <v/>
      </c>
      <c r="B57" s="1455" t="str">
        <f>IF(ISBLANK($D57),"",Variables!B$3)</f>
        <v/>
      </c>
      <c r="C57" s="1455" t="str">
        <f ca="1">IFERROR(VLOOKUP($D57,'Cntl Tables'!$B:C,2,0),"")</f>
        <v/>
      </c>
      <c r="D57" s="1444"/>
      <c r="E57" s="1455" t="str">
        <f ca="1">IFERROR(IF(VLOOKUP($D57,'Cntl Tables'!$B:D,3,0)=0,"",VLOOKUP($D57,'Cntl Tables'!$B:D,3,0)),"")</f>
        <v/>
      </c>
      <c r="F57" s="1455" t="str">
        <f ca="1">IFERROR(VLOOKUP($D57,'Cntl Tables'!$B:E,4,0),"")</f>
        <v/>
      </c>
      <c r="G57" s="1444"/>
      <c r="H57" s="1444"/>
      <c r="I57" s="1444"/>
      <c r="J57" s="1444"/>
      <c r="K57" s="1446"/>
      <c r="L57" s="1456" t="str">
        <f>IFERROR(VLOOKUP($J57,Miscellaneous!$N$21:$O$23,2,0),"")</f>
        <v/>
      </c>
      <c r="M57" s="1445"/>
      <c r="N57" s="1457" t="str">
        <f>IF(ISBLANK($D57),"",Variables!$B$8)</f>
        <v/>
      </c>
      <c r="O57" s="1458" t="str">
        <f>IF(ISBLANK($D57),"",Variables!$B$7)</f>
        <v/>
      </c>
      <c r="P57" s="1480"/>
      <c r="Q57" s="1357"/>
    </row>
    <row r="58" spans="1:17">
      <c r="A58" s="1455" t="str">
        <f>IF(ISBLANK($D58),"",Variables!B$2)</f>
        <v/>
      </c>
      <c r="B58" s="1455" t="str">
        <f>IF(ISBLANK($D58),"",Variables!B$3)</f>
        <v/>
      </c>
      <c r="C58" s="1455" t="str">
        <f ca="1">IFERROR(VLOOKUP($D58,'Cntl Tables'!$B:C,2,0),"")</f>
        <v/>
      </c>
      <c r="D58" s="1444"/>
      <c r="E58" s="1455" t="str">
        <f ca="1">IFERROR(IF(VLOOKUP($D58,'Cntl Tables'!$B:D,3,0)=0,"",VLOOKUP($D58,'Cntl Tables'!$B:D,3,0)),"")</f>
        <v/>
      </c>
      <c r="F58" s="1455" t="str">
        <f ca="1">IFERROR(VLOOKUP($D58,'Cntl Tables'!$B:E,4,0),"")</f>
        <v/>
      </c>
      <c r="G58" s="1444"/>
      <c r="H58" s="1444"/>
      <c r="I58" s="1444"/>
      <c r="J58" s="1444"/>
      <c r="K58" s="1446"/>
      <c r="L58" s="1456" t="str">
        <f>IFERROR(VLOOKUP($J58,Miscellaneous!$N$21:$O$23,2,0),"")</f>
        <v/>
      </c>
      <c r="M58" s="1445"/>
      <c r="N58" s="1457" t="str">
        <f>IF(ISBLANK($D58),"",Variables!$B$8)</f>
        <v/>
      </c>
      <c r="O58" s="1458" t="str">
        <f>IF(ISBLANK($D58),"",Variables!$B$7)</f>
        <v/>
      </c>
      <c r="P58" s="1480"/>
      <c r="Q58" s="1357"/>
    </row>
    <row r="59" spans="1:17">
      <c r="A59" s="1455" t="str">
        <f>IF(ISBLANK($D59),"",Variables!B$2)</f>
        <v/>
      </c>
      <c r="B59" s="1455" t="str">
        <f>IF(ISBLANK($D59),"",Variables!B$3)</f>
        <v/>
      </c>
      <c r="C59" s="1455" t="str">
        <f ca="1">IFERROR(VLOOKUP($D59,'Cntl Tables'!$B:C,2,0),"")</f>
        <v/>
      </c>
      <c r="D59" s="1444"/>
      <c r="E59" s="1455" t="str">
        <f ca="1">IFERROR(IF(VLOOKUP($D59,'Cntl Tables'!$B:D,3,0)=0,"",VLOOKUP($D59,'Cntl Tables'!$B:D,3,0)),"")</f>
        <v/>
      </c>
      <c r="F59" s="1455" t="str">
        <f ca="1">IFERROR(VLOOKUP($D59,'Cntl Tables'!$B:E,4,0),"")</f>
        <v/>
      </c>
      <c r="G59" s="1444"/>
      <c r="H59" s="1444"/>
      <c r="I59" s="1444"/>
      <c r="J59" s="1444"/>
      <c r="K59" s="1446"/>
      <c r="L59" s="1456" t="str">
        <f>IFERROR(VLOOKUP($J59,Miscellaneous!$N$21:$O$23,2,0),"")</f>
        <v/>
      </c>
      <c r="M59" s="1445"/>
      <c r="N59" s="1457" t="str">
        <f>IF(ISBLANK($D59),"",Variables!$B$8)</f>
        <v/>
      </c>
      <c r="O59" s="1458" t="str">
        <f>IF(ISBLANK($D59),"",Variables!$B$7)</f>
        <v/>
      </c>
      <c r="P59" s="1480"/>
      <c r="Q59" s="1357"/>
    </row>
    <row r="60" spans="1:17">
      <c r="A60" s="1455" t="str">
        <f>IF(ISBLANK($D60),"",Variables!B$2)</f>
        <v/>
      </c>
      <c r="B60" s="1455" t="str">
        <f>IF(ISBLANK($D60),"",Variables!B$3)</f>
        <v/>
      </c>
      <c r="C60" s="1455" t="str">
        <f ca="1">IFERROR(VLOOKUP($D60,'Cntl Tables'!$B:C,2,0),"")</f>
        <v/>
      </c>
      <c r="D60" s="1444"/>
      <c r="E60" s="1455" t="str">
        <f ca="1">IFERROR(IF(VLOOKUP($D60,'Cntl Tables'!$B:D,3,0)=0,"",VLOOKUP($D60,'Cntl Tables'!$B:D,3,0)),"")</f>
        <v/>
      </c>
      <c r="F60" s="1455" t="str">
        <f ca="1">IFERROR(VLOOKUP($D60,'Cntl Tables'!$B:E,4,0),"")</f>
        <v/>
      </c>
      <c r="G60" s="1444"/>
      <c r="H60" s="1444"/>
      <c r="I60" s="1444"/>
      <c r="J60" s="1444"/>
      <c r="K60" s="1446"/>
      <c r="L60" s="1456" t="str">
        <f>IFERROR(VLOOKUP($J60,Miscellaneous!$N$21:$O$23,2,0),"")</f>
        <v/>
      </c>
      <c r="M60" s="1445"/>
      <c r="N60" s="1457" t="str">
        <f>IF(ISBLANK($D60),"",Variables!$B$8)</f>
        <v/>
      </c>
      <c r="O60" s="1458" t="str">
        <f>IF(ISBLANK($D60),"",Variables!$B$7)</f>
        <v/>
      </c>
      <c r="P60" s="1480"/>
      <c r="Q60" s="1357"/>
    </row>
    <row r="61" spans="1:17">
      <c r="A61" s="1455" t="str">
        <f>IF(ISBLANK($D61),"",Variables!B$2)</f>
        <v/>
      </c>
      <c r="B61" s="1455" t="str">
        <f>IF(ISBLANK($D61),"",Variables!B$3)</f>
        <v/>
      </c>
      <c r="C61" s="1455" t="str">
        <f ca="1">IFERROR(VLOOKUP($D61,'Cntl Tables'!$B:C,2,0),"")</f>
        <v/>
      </c>
      <c r="D61" s="1444"/>
      <c r="E61" s="1455" t="str">
        <f ca="1">IFERROR(IF(VLOOKUP($D61,'Cntl Tables'!$B:D,3,0)=0,"",VLOOKUP($D61,'Cntl Tables'!$B:D,3,0)),"")</f>
        <v/>
      </c>
      <c r="F61" s="1455" t="str">
        <f ca="1">IFERROR(VLOOKUP($D61,'Cntl Tables'!$B:E,4,0),"")</f>
        <v/>
      </c>
      <c r="G61" s="1444"/>
      <c r="H61" s="1444"/>
      <c r="I61" s="1444"/>
      <c r="J61" s="1444"/>
      <c r="K61" s="1446"/>
      <c r="L61" s="1456" t="str">
        <f>IFERROR(VLOOKUP($J61,Miscellaneous!$N$21:$O$23,2,0),"")</f>
        <v/>
      </c>
      <c r="M61" s="1445"/>
      <c r="N61" s="1457" t="str">
        <f>IF(ISBLANK($D61),"",Variables!$B$8)</f>
        <v/>
      </c>
      <c r="O61" s="1458" t="str">
        <f>IF(ISBLANK($D61),"",Variables!$B$7)</f>
        <v/>
      </c>
      <c r="P61" s="1480"/>
      <c r="Q61" s="1357"/>
    </row>
    <row r="62" spans="1:17">
      <c r="A62" s="1455" t="str">
        <f>IF(ISBLANK($D62),"",Variables!B$2)</f>
        <v/>
      </c>
      <c r="B62" s="1455" t="str">
        <f>IF(ISBLANK($D62),"",Variables!B$3)</f>
        <v/>
      </c>
      <c r="C62" s="1455" t="str">
        <f ca="1">IFERROR(VLOOKUP($D62,'Cntl Tables'!$B:C,2,0),"")</f>
        <v/>
      </c>
      <c r="D62" s="1444"/>
      <c r="E62" s="1455" t="str">
        <f ca="1">IFERROR(IF(VLOOKUP($D62,'Cntl Tables'!$B:D,3,0)=0,"",VLOOKUP($D62,'Cntl Tables'!$B:D,3,0)),"")</f>
        <v/>
      </c>
      <c r="F62" s="1455" t="str">
        <f ca="1">IFERROR(VLOOKUP($D62,'Cntl Tables'!$B:E,4,0),"")</f>
        <v/>
      </c>
      <c r="G62" s="1444"/>
      <c r="H62" s="1444"/>
      <c r="I62" s="1444"/>
      <c r="J62" s="1444"/>
      <c r="K62" s="1446"/>
      <c r="L62" s="1456" t="str">
        <f>IFERROR(VLOOKUP($J62,Miscellaneous!$N$21:$O$23,2,0),"")</f>
        <v/>
      </c>
      <c r="M62" s="1445"/>
      <c r="N62" s="1457" t="str">
        <f>IF(ISBLANK($D62),"",Variables!$B$8)</f>
        <v/>
      </c>
      <c r="O62" s="1458" t="str">
        <f>IF(ISBLANK($D62),"",Variables!$B$7)</f>
        <v/>
      </c>
      <c r="P62" s="1480"/>
      <c r="Q62" s="1357"/>
    </row>
    <row r="63" spans="1:17">
      <c r="A63" s="1455" t="str">
        <f>IF(ISBLANK($D63),"",Variables!B$2)</f>
        <v/>
      </c>
      <c r="B63" s="1455" t="str">
        <f>IF(ISBLANK($D63),"",Variables!B$3)</f>
        <v/>
      </c>
      <c r="C63" s="1455" t="str">
        <f ca="1">IFERROR(VLOOKUP($D63,'Cntl Tables'!$B:C,2,0),"")</f>
        <v/>
      </c>
      <c r="D63" s="1444"/>
      <c r="E63" s="1455" t="str">
        <f ca="1">IFERROR(IF(VLOOKUP($D63,'Cntl Tables'!$B:D,3,0)=0,"",VLOOKUP($D63,'Cntl Tables'!$B:D,3,0)),"")</f>
        <v/>
      </c>
      <c r="F63" s="1455" t="str">
        <f ca="1">IFERROR(VLOOKUP($D63,'Cntl Tables'!$B:E,4,0),"")</f>
        <v/>
      </c>
      <c r="G63" s="1444"/>
      <c r="H63" s="1444"/>
      <c r="I63" s="1444"/>
      <c r="J63" s="1444"/>
      <c r="K63" s="1446"/>
      <c r="L63" s="1456" t="str">
        <f>IFERROR(VLOOKUP($J63,Miscellaneous!$N$21:$O$23,2,0),"")</f>
        <v/>
      </c>
      <c r="M63" s="1445"/>
      <c r="N63" s="1457" t="str">
        <f>IF(ISBLANK($D63),"",Variables!$B$8)</f>
        <v/>
      </c>
      <c r="O63" s="1458" t="str">
        <f>IF(ISBLANK($D63),"",Variables!$B$7)</f>
        <v/>
      </c>
      <c r="P63" s="1480"/>
      <c r="Q63" s="1357"/>
    </row>
    <row r="64" spans="1:17">
      <c r="A64" s="1455" t="str">
        <f>IF(ISBLANK($D64),"",Variables!B$2)</f>
        <v/>
      </c>
      <c r="B64" s="1455" t="str">
        <f>IF(ISBLANK($D64),"",Variables!B$3)</f>
        <v/>
      </c>
      <c r="C64" s="1455" t="str">
        <f ca="1">IFERROR(VLOOKUP($D64,'Cntl Tables'!$B:C,2,0),"")</f>
        <v/>
      </c>
      <c r="D64" s="1444"/>
      <c r="E64" s="1455" t="str">
        <f ca="1">IFERROR(IF(VLOOKUP($D64,'Cntl Tables'!$B:D,3,0)=0,"",VLOOKUP($D64,'Cntl Tables'!$B:D,3,0)),"")</f>
        <v/>
      </c>
      <c r="F64" s="1455" t="str">
        <f ca="1">IFERROR(VLOOKUP($D64,'Cntl Tables'!$B:E,4,0),"")</f>
        <v/>
      </c>
      <c r="G64" s="1444"/>
      <c r="H64" s="1444"/>
      <c r="I64" s="1444"/>
      <c r="J64" s="1444"/>
      <c r="K64" s="1446"/>
      <c r="L64" s="1456" t="str">
        <f>IFERROR(VLOOKUP($J64,Miscellaneous!$N$21:$O$23,2,0),"")</f>
        <v/>
      </c>
      <c r="M64" s="1445"/>
      <c r="N64" s="1457" t="str">
        <f>IF(ISBLANK($D64),"",Variables!$B$8)</f>
        <v/>
      </c>
      <c r="O64" s="1458" t="str">
        <f>IF(ISBLANK($D64),"",Variables!$B$7)</f>
        <v/>
      </c>
      <c r="P64" s="1480"/>
      <c r="Q64" s="1357"/>
    </row>
    <row r="65" spans="1:17">
      <c r="A65" s="1455" t="str">
        <f>IF(ISBLANK($D65),"",Variables!B$2)</f>
        <v/>
      </c>
      <c r="B65" s="1455" t="str">
        <f>IF(ISBLANK($D65),"",Variables!B$3)</f>
        <v/>
      </c>
      <c r="C65" s="1455" t="str">
        <f ca="1">IFERROR(VLOOKUP($D65,'Cntl Tables'!$B:C,2,0),"")</f>
        <v/>
      </c>
      <c r="D65" s="1444"/>
      <c r="E65" s="1455" t="str">
        <f ca="1">IFERROR(IF(VLOOKUP($D65,'Cntl Tables'!$B:D,3,0)=0,"",VLOOKUP($D65,'Cntl Tables'!$B:D,3,0)),"")</f>
        <v/>
      </c>
      <c r="F65" s="1455" t="str">
        <f ca="1">IFERROR(VLOOKUP($D65,'Cntl Tables'!$B:E,4,0),"")</f>
        <v/>
      </c>
      <c r="G65" s="1444"/>
      <c r="H65" s="1444"/>
      <c r="I65" s="1444"/>
      <c r="J65" s="1444"/>
      <c r="K65" s="1446"/>
      <c r="L65" s="1456" t="str">
        <f>IFERROR(VLOOKUP($J65,Miscellaneous!$N$21:$O$23,2,0),"")</f>
        <v/>
      </c>
      <c r="M65" s="1445"/>
      <c r="N65" s="1457" t="str">
        <f>IF(ISBLANK($D65),"",Variables!$B$8)</f>
        <v/>
      </c>
      <c r="O65" s="1458" t="str">
        <f>IF(ISBLANK($D65),"",Variables!$B$7)</f>
        <v/>
      </c>
      <c r="P65" s="1480"/>
      <c r="Q65" s="1357"/>
    </row>
    <row r="66" spans="1:17">
      <c r="A66" s="1455" t="str">
        <f>IF(ISBLANK($D66),"",Variables!B$2)</f>
        <v/>
      </c>
      <c r="B66" s="1455" t="str">
        <f>IF(ISBLANK($D66),"",Variables!B$3)</f>
        <v/>
      </c>
      <c r="C66" s="1455" t="str">
        <f ca="1">IFERROR(VLOOKUP($D66,'Cntl Tables'!$B:C,2,0),"")</f>
        <v/>
      </c>
      <c r="D66" s="1444"/>
      <c r="E66" s="1455" t="str">
        <f ca="1">IFERROR(IF(VLOOKUP($D66,'Cntl Tables'!$B:D,3,0)=0,"",VLOOKUP($D66,'Cntl Tables'!$B:D,3,0)),"")</f>
        <v/>
      </c>
      <c r="F66" s="1455" t="str">
        <f ca="1">IFERROR(VLOOKUP($D66,'Cntl Tables'!$B:E,4,0),"")</f>
        <v/>
      </c>
      <c r="G66" s="1444"/>
      <c r="H66" s="1444"/>
      <c r="I66" s="1444"/>
      <c r="J66" s="1444"/>
      <c r="K66" s="1446"/>
      <c r="L66" s="1456" t="str">
        <f>IFERROR(VLOOKUP($J66,Miscellaneous!$N$21:$O$23,2,0),"")</f>
        <v/>
      </c>
      <c r="M66" s="1445"/>
      <c r="N66" s="1457" t="str">
        <f>IF(ISBLANK($D66),"",Variables!$B$8)</f>
        <v/>
      </c>
      <c r="O66" s="1458" t="str">
        <f>IF(ISBLANK($D66),"",Variables!$B$7)</f>
        <v/>
      </c>
      <c r="P66" s="1480"/>
      <c r="Q66" s="1357"/>
    </row>
    <row r="67" spans="1:17">
      <c r="A67" s="1455" t="str">
        <f>IF(ISBLANK($D67),"",Variables!B$2)</f>
        <v/>
      </c>
      <c r="B67" s="1455" t="str">
        <f>IF(ISBLANK($D67),"",Variables!B$3)</f>
        <v/>
      </c>
      <c r="C67" s="1455" t="str">
        <f ca="1">IFERROR(VLOOKUP($D67,'Cntl Tables'!$B:C,2,0),"")</f>
        <v/>
      </c>
      <c r="D67" s="1444"/>
      <c r="E67" s="1455" t="str">
        <f ca="1">IFERROR(IF(VLOOKUP($D67,'Cntl Tables'!$B:D,3,0)=0,"",VLOOKUP($D67,'Cntl Tables'!$B:D,3,0)),"")</f>
        <v/>
      </c>
      <c r="F67" s="1455" t="str">
        <f ca="1">IFERROR(VLOOKUP($D67,'Cntl Tables'!$B:E,4,0),"")</f>
        <v/>
      </c>
      <c r="G67" s="1444"/>
      <c r="H67" s="1444"/>
      <c r="I67" s="1444"/>
      <c r="J67" s="1444"/>
      <c r="K67" s="1446"/>
      <c r="L67" s="1456" t="str">
        <f>IFERROR(VLOOKUP($J67,Miscellaneous!$N$21:$O$23,2,0),"")</f>
        <v/>
      </c>
      <c r="M67" s="1445"/>
      <c r="N67" s="1457" t="str">
        <f>IF(ISBLANK($D67),"",Variables!$B$8)</f>
        <v/>
      </c>
      <c r="O67" s="1458" t="str">
        <f>IF(ISBLANK($D67),"",Variables!$B$7)</f>
        <v/>
      </c>
      <c r="P67" s="1480"/>
      <c r="Q67" s="1357"/>
    </row>
    <row r="68" spans="1:17">
      <c r="A68" s="1455" t="str">
        <f>IF(ISBLANK($D68),"",Variables!B$2)</f>
        <v/>
      </c>
      <c r="B68" s="1455" t="str">
        <f>IF(ISBLANK($D68),"",Variables!B$3)</f>
        <v/>
      </c>
      <c r="C68" s="1455" t="str">
        <f ca="1">IFERROR(VLOOKUP($D68,'Cntl Tables'!$B:C,2,0),"")</f>
        <v/>
      </c>
      <c r="D68" s="1444"/>
      <c r="E68" s="1455" t="str">
        <f ca="1">IFERROR(IF(VLOOKUP($D68,'Cntl Tables'!$B:D,3,0)=0,"",VLOOKUP($D68,'Cntl Tables'!$B:D,3,0)),"")</f>
        <v/>
      </c>
      <c r="F68" s="1455" t="str">
        <f ca="1">IFERROR(VLOOKUP($D68,'Cntl Tables'!$B:E,4,0),"")</f>
        <v/>
      </c>
      <c r="G68" s="1444"/>
      <c r="H68" s="1444"/>
      <c r="I68" s="1444"/>
      <c r="J68" s="1444"/>
      <c r="K68" s="1446"/>
      <c r="L68" s="1456" t="str">
        <f>IFERROR(VLOOKUP($J68,Miscellaneous!$N$21:$O$23,2,0),"")</f>
        <v/>
      </c>
      <c r="M68" s="1445"/>
      <c r="N68" s="1457" t="str">
        <f>IF(ISBLANK($D68),"",Variables!$B$8)</f>
        <v/>
      </c>
      <c r="O68" s="1458" t="str">
        <f>IF(ISBLANK($D68),"",Variables!$B$7)</f>
        <v/>
      </c>
      <c r="P68" s="1480"/>
      <c r="Q68" s="1357"/>
    </row>
    <row r="69" spans="1:17">
      <c r="A69" s="1455" t="str">
        <f>IF(ISBLANK($D69),"",Variables!B$2)</f>
        <v/>
      </c>
      <c r="B69" s="1455" t="str">
        <f>IF(ISBLANK($D69),"",Variables!B$3)</f>
        <v/>
      </c>
      <c r="C69" s="1455" t="str">
        <f ca="1">IFERROR(VLOOKUP($D69,'Cntl Tables'!$B:C,2,0),"")</f>
        <v/>
      </c>
      <c r="D69" s="1444"/>
      <c r="E69" s="1455" t="str">
        <f ca="1">IFERROR(IF(VLOOKUP($D69,'Cntl Tables'!$B:D,3,0)=0,"",VLOOKUP($D69,'Cntl Tables'!$B:D,3,0)),"")</f>
        <v/>
      </c>
      <c r="F69" s="1455" t="str">
        <f ca="1">IFERROR(VLOOKUP($D69,'Cntl Tables'!$B:E,4,0),"")</f>
        <v/>
      </c>
      <c r="G69" s="1444"/>
      <c r="H69" s="1444"/>
      <c r="I69" s="1444"/>
      <c r="J69" s="1444"/>
      <c r="K69" s="1446"/>
      <c r="L69" s="1456" t="str">
        <f>IFERROR(VLOOKUP($J69,Miscellaneous!$N$21:$O$23,2,0),"")</f>
        <v/>
      </c>
      <c r="M69" s="1445"/>
      <c r="N69" s="1457" t="str">
        <f>IF(ISBLANK($D69),"",Variables!$B$8)</f>
        <v/>
      </c>
      <c r="O69" s="1458" t="str">
        <f>IF(ISBLANK($D69),"",Variables!$B$7)</f>
        <v/>
      </c>
      <c r="P69" s="1480"/>
      <c r="Q69" s="1357"/>
    </row>
    <row r="70" spans="1:17">
      <c r="A70" s="1455" t="str">
        <f>IF(ISBLANK($D70),"",Variables!B$2)</f>
        <v/>
      </c>
      <c r="B70" s="1455" t="str">
        <f>IF(ISBLANK($D70),"",Variables!B$3)</f>
        <v/>
      </c>
      <c r="C70" s="1455" t="str">
        <f ca="1">IFERROR(VLOOKUP($D70,'Cntl Tables'!$B:C,2,0),"")</f>
        <v/>
      </c>
      <c r="D70" s="1444"/>
      <c r="E70" s="1455" t="str">
        <f ca="1">IFERROR(IF(VLOOKUP($D70,'Cntl Tables'!$B:D,3,0)=0,"",VLOOKUP($D70,'Cntl Tables'!$B:D,3,0)),"")</f>
        <v/>
      </c>
      <c r="F70" s="1455" t="str">
        <f ca="1">IFERROR(VLOOKUP($D70,'Cntl Tables'!$B:E,4,0),"")</f>
        <v/>
      </c>
      <c r="G70" s="1444"/>
      <c r="H70" s="1444"/>
      <c r="I70" s="1444"/>
      <c r="J70" s="1444"/>
      <c r="K70" s="1446"/>
      <c r="L70" s="1456" t="str">
        <f>IFERROR(VLOOKUP($J70,Miscellaneous!$N$21:$O$23,2,0),"")</f>
        <v/>
      </c>
      <c r="M70" s="1445"/>
      <c r="N70" s="1457" t="str">
        <f>IF(ISBLANK($D70),"",Variables!$B$8)</f>
        <v/>
      </c>
      <c r="O70" s="1458" t="str">
        <f>IF(ISBLANK($D70),"",Variables!$B$7)</f>
        <v/>
      </c>
      <c r="P70" s="1480"/>
      <c r="Q70" s="1357"/>
    </row>
    <row r="71" spans="1:17">
      <c r="A71" s="1455" t="str">
        <f>IF(ISBLANK($D71),"",Variables!B$2)</f>
        <v/>
      </c>
      <c r="B71" s="1455" t="str">
        <f>IF(ISBLANK($D71),"",Variables!B$3)</f>
        <v/>
      </c>
      <c r="C71" s="1455" t="str">
        <f ca="1">IFERROR(VLOOKUP($D71,'Cntl Tables'!$B:C,2,0),"")</f>
        <v/>
      </c>
      <c r="D71" s="1444"/>
      <c r="E71" s="1455" t="str">
        <f ca="1">IFERROR(IF(VLOOKUP($D71,'Cntl Tables'!$B:D,3,0)=0,"",VLOOKUP($D71,'Cntl Tables'!$B:D,3,0)),"")</f>
        <v/>
      </c>
      <c r="F71" s="1455" t="str">
        <f ca="1">IFERROR(VLOOKUP($D71,'Cntl Tables'!$B:E,4,0),"")</f>
        <v/>
      </c>
      <c r="G71" s="1444"/>
      <c r="H71" s="1444"/>
      <c r="I71" s="1444"/>
      <c r="J71" s="1444"/>
      <c r="K71" s="1446"/>
      <c r="L71" s="1456" t="str">
        <f>IFERROR(VLOOKUP($J71,Miscellaneous!$N$21:$O$23,2,0),"")</f>
        <v/>
      </c>
      <c r="M71" s="1445"/>
      <c r="N71" s="1457" t="str">
        <f>IF(ISBLANK($D71),"",Variables!$B$8)</f>
        <v/>
      </c>
      <c r="O71" s="1458" t="str">
        <f>IF(ISBLANK($D71),"",Variables!$B$7)</f>
        <v/>
      </c>
      <c r="P71" s="1480"/>
      <c r="Q71" s="1357"/>
    </row>
    <row r="72" spans="1:17">
      <c r="A72" s="1455" t="str">
        <f>IF(ISBLANK($D72),"",Variables!B$2)</f>
        <v/>
      </c>
      <c r="B72" s="1455" t="str">
        <f>IF(ISBLANK($D72),"",Variables!B$3)</f>
        <v/>
      </c>
      <c r="C72" s="1455" t="str">
        <f ca="1">IFERROR(VLOOKUP($D72,'Cntl Tables'!$B:C,2,0),"")</f>
        <v/>
      </c>
      <c r="D72" s="1444"/>
      <c r="E72" s="1455" t="str">
        <f ca="1">IFERROR(IF(VLOOKUP($D72,'Cntl Tables'!$B:D,3,0)=0,"",VLOOKUP($D72,'Cntl Tables'!$B:D,3,0)),"")</f>
        <v/>
      </c>
      <c r="F72" s="1455" t="str">
        <f ca="1">IFERROR(VLOOKUP($D72,'Cntl Tables'!$B:E,4,0),"")</f>
        <v/>
      </c>
      <c r="G72" s="1444"/>
      <c r="H72" s="1444"/>
      <c r="I72" s="1444"/>
      <c r="J72" s="1444"/>
      <c r="K72" s="1446"/>
      <c r="L72" s="1456" t="str">
        <f>IFERROR(VLOOKUP($J72,Miscellaneous!$N$21:$O$23,2,0),"")</f>
        <v/>
      </c>
      <c r="M72" s="1445"/>
      <c r="N72" s="1457" t="str">
        <f>IF(ISBLANK($D72),"",Variables!$B$8)</f>
        <v/>
      </c>
      <c r="O72" s="1458" t="str">
        <f>IF(ISBLANK($D72),"",Variables!$B$7)</f>
        <v/>
      </c>
      <c r="P72" s="1480"/>
      <c r="Q72" s="1357"/>
    </row>
    <row r="73" spans="1:17">
      <c r="A73" s="1455" t="str">
        <f>IF(ISBLANK($D73),"",Variables!B$2)</f>
        <v/>
      </c>
      <c r="B73" s="1455" t="str">
        <f>IF(ISBLANK($D73),"",Variables!B$3)</f>
        <v/>
      </c>
      <c r="C73" s="1455" t="str">
        <f ca="1">IFERROR(VLOOKUP($D73,'Cntl Tables'!$B:C,2,0),"")</f>
        <v/>
      </c>
      <c r="D73" s="1444"/>
      <c r="E73" s="1455" t="str">
        <f ca="1">IFERROR(IF(VLOOKUP($D73,'Cntl Tables'!$B:D,3,0)=0,"",VLOOKUP($D73,'Cntl Tables'!$B:D,3,0)),"")</f>
        <v/>
      </c>
      <c r="F73" s="1455" t="str">
        <f ca="1">IFERROR(VLOOKUP($D73,'Cntl Tables'!$B:E,4,0),"")</f>
        <v/>
      </c>
      <c r="G73" s="1444"/>
      <c r="H73" s="1444"/>
      <c r="I73" s="1444"/>
      <c r="J73" s="1444"/>
      <c r="K73" s="1446"/>
      <c r="L73" s="1456" t="str">
        <f>IFERROR(VLOOKUP($J73,Miscellaneous!$N$21:$O$23,2,0),"")</f>
        <v/>
      </c>
      <c r="M73" s="1445"/>
      <c r="N73" s="1457" t="str">
        <f>IF(ISBLANK($D73),"",Variables!$B$8)</f>
        <v/>
      </c>
      <c r="O73" s="1458" t="str">
        <f>IF(ISBLANK($D73),"",Variables!$B$7)</f>
        <v/>
      </c>
      <c r="P73" s="1480"/>
      <c r="Q73" s="1357"/>
    </row>
    <row r="74" spans="1:17">
      <c r="A74" s="1455" t="str">
        <f>IF(ISBLANK($D74),"",Variables!B$2)</f>
        <v/>
      </c>
      <c r="B74" s="1455" t="str">
        <f>IF(ISBLANK($D74),"",Variables!B$3)</f>
        <v/>
      </c>
      <c r="C74" s="1455" t="str">
        <f ca="1">IFERROR(VLOOKUP($D74,'Cntl Tables'!$B:C,2,0),"")</f>
        <v/>
      </c>
      <c r="D74" s="1444"/>
      <c r="E74" s="1455" t="str">
        <f ca="1">IFERROR(IF(VLOOKUP($D74,'Cntl Tables'!$B:D,3,0)=0,"",VLOOKUP($D74,'Cntl Tables'!$B:D,3,0)),"")</f>
        <v/>
      </c>
      <c r="F74" s="1455" t="str">
        <f ca="1">IFERROR(VLOOKUP($D74,'Cntl Tables'!$B:E,4,0),"")</f>
        <v/>
      </c>
      <c r="G74" s="1444"/>
      <c r="H74" s="1444"/>
      <c r="I74" s="1444"/>
      <c r="J74" s="1444"/>
      <c r="K74" s="1446"/>
      <c r="L74" s="1456" t="str">
        <f>IFERROR(VLOOKUP($J74,Miscellaneous!$N$21:$O$23,2,0),"")</f>
        <v/>
      </c>
      <c r="M74" s="1445"/>
      <c r="N74" s="1457" t="str">
        <f>IF(ISBLANK($D74),"",Variables!$B$8)</f>
        <v/>
      </c>
      <c r="O74" s="1458" t="str">
        <f>IF(ISBLANK($D74),"",Variables!$B$7)</f>
        <v/>
      </c>
      <c r="P74" s="1480"/>
      <c r="Q74" s="1357"/>
    </row>
    <row r="75" spans="1:17">
      <c r="A75" s="1455" t="str">
        <f>IF(ISBLANK($D75),"",Variables!B$2)</f>
        <v/>
      </c>
      <c r="B75" s="1455" t="str">
        <f>IF(ISBLANK($D75),"",Variables!B$3)</f>
        <v/>
      </c>
      <c r="C75" s="1455" t="str">
        <f ca="1">IFERROR(VLOOKUP($D75,'Cntl Tables'!$B:C,2,0),"")</f>
        <v/>
      </c>
      <c r="D75" s="1444"/>
      <c r="E75" s="1455" t="str">
        <f ca="1">IFERROR(IF(VLOOKUP($D75,'Cntl Tables'!$B:D,3,0)=0,"",VLOOKUP($D75,'Cntl Tables'!$B:D,3,0)),"")</f>
        <v/>
      </c>
      <c r="F75" s="1455" t="str">
        <f ca="1">IFERROR(VLOOKUP($D75,'Cntl Tables'!$B:E,4,0),"")</f>
        <v/>
      </c>
      <c r="G75" s="1444"/>
      <c r="H75" s="1444"/>
      <c r="I75" s="1444"/>
      <c r="J75" s="1444"/>
      <c r="K75" s="1446"/>
      <c r="L75" s="1456" t="str">
        <f>IFERROR(VLOOKUP($J75,Miscellaneous!$N$21:$O$23,2,0),"")</f>
        <v/>
      </c>
      <c r="M75" s="1445"/>
      <c r="N75" s="1457" t="str">
        <f>IF(ISBLANK($D75),"",Variables!$B$8)</f>
        <v/>
      </c>
      <c r="O75" s="1458" t="str">
        <f>IF(ISBLANK($D75),"",Variables!$B$7)</f>
        <v/>
      </c>
      <c r="P75" s="1480"/>
      <c r="Q75" s="1357"/>
    </row>
    <row r="76" spans="1:17">
      <c r="A76" s="1455" t="str">
        <f>IF(ISBLANK($D76),"",Variables!B$2)</f>
        <v/>
      </c>
      <c r="B76" s="1455" t="str">
        <f>IF(ISBLANK($D76),"",Variables!B$3)</f>
        <v/>
      </c>
      <c r="C76" s="1455" t="str">
        <f ca="1">IFERROR(VLOOKUP($D76,'Cntl Tables'!$B:C,2,0),"")</f>
        <v/>
      </c>
      <c r="D76" s="1444"/>
      <c r="E76" s="1455" t="str">
        <f ca="1">IFERROR(IF(VLOOKUP($D76,'Cntl Tables'!$B:D,3,0)=0,"",VLOOKUP($D76,'Cntl Tables'!$B:D,3,0)),"")</f>
        <v/>
      </c>
      <c r="F76" s="1455" t="str">
        <f ca="1">IFERROR(VLOOKUP($D76,'Cntl Tables'!$B:E,4,0),"")</f>
        <v/>
      </c>
      <c r="G76" s="1444"/>
      <c r="H76" s="1444"/>
      <c r="I76" s="1444"/>
      <c r="J76" s="1444"/>
      <c r="K76" s="1446"/>
      <c r="L76" s="1456" t="str">
        <f>IFERROR(VLOOKUP($J76,Miscellaneous!$N$21:$O$23,2,0),"")</f>
        <v/>
      </c>
      <c r="M76" s="1445"/>
      <c r="N76" s="1457" t="str">
        <f>IF(ISBLANK($D76),"",Variables!$B$8)</f>
        <v/>
      </c>
      <c r="O76" s="1458" t="str">
        <f>IF(ISBLANK($D76),"",Variables!$B$7)</f>
        <v/>
      </c>
      <c r="P76" s="1480"/>
      <c r="Q76" s="1357"/>
    </row>
    <row r="77" spans="1:17">
      <c r="A77" s="1455" t="str">
        <f>IF(ISBLANK($D77),"",Variables!B$2)</f>
        <v/>
      </c>
      <c r="B77" s="1455" t="str">
        <f>IF(ISBLANK($D77),"",Variables!B$3)</f>
        <v/>
      </c>
      <c r="C77" s="1455" t="str">
        <f ca="1">IFERROR(VLOOKUP($D77,'Cntl Tables'!$B:C,2,0),"")</f>
        <v/>
      </c>
      <c r="D77" s="1444"/>
      <c r="E77" s="1455" t="str">
        <f ca="1">IFERROR(IF(VLOOKUP($D77,'Cntl Tables'!$B:D,3,0)=0,"",VLOOKUP($D77,'Cntl Tables'!$B:D,3,0)),"")</f>
        <v/>
      </c>
      <c r="F77" s="1455" t="str">
        <f ca="1">IFERROR(VLOOKUP($D77,'Cntl Tables'!$B:E,4,0),"")</f>
        <v/>
      </c>
      <c r="G77" s="1444"/>
      <c r="H77" s="1444"/>
      <c r="I77" s="1444"/>
      <c r="J77" s="1444"/>
      <c r="K77" s="1446"/>
      <c r="L77" s="1456" t="str">
        <f>IFERROR(VLOOKUP($J77,Miscellaneous!$N$21:$O$23,2,0),"")</f>
        <v/>
      </c>
      <c r="M77" s="1445"/>
      <c r="N77" s="1457" t="str">
        <f>IF(ISBLANK($D77),"",Variables!$B$8)</f>
        <v/>
      </c>
      <c r="O77" s="1458" t="str">
        <f>IF(ISBLANK($D77),"",Variables!$B$7)</f>
        <v/>
      </c>
      <c r="P77" s="1480"/>
      <c r="Q77" s="1357"/>
    </row>
    <row r="78" spans="1:17">
      <c r="A78" s="1455" t="str">
        <f>IF(ISBLANK($D78),"",Variables!B$2)</f>
        <v/>
      </c>
      <c r="B78" s="1455" t="str">
        <f>IF(ISBLANK($D78),"",Variables!B$3)</f>
        <v/>
      </c>
      <c r="C78" s="1455" t="str">
        <f ca="1">IFERROR(VLOOKUP($D78,'Cntl Tables'!$B:C,2,0),"")</f>
        <v/>
      </c>
      <c r="D78" s="1444"/>
      <c r="E78" s="1455" t="str">
        <f ca="1">IFERROR(IF(VLOOKUP($D78,'Cntl Tables'!$B:D,3,0)=0,"",VLOOKUP($D78,'Cntl Tables'!$B:D,3,0)),"")</f>
        <v/>
      </c>
      <c r="F78" s="1455" t="str">
        <f ca="1">IFERROR(VLOOKUP($D78,'Cntl Tables'!$B:E,4,0),"")</f>
        <v/>
      </c>
      <c r="G78" s="1444"/>
      <c r="H78" s="1444"/>
      <c r="I78" s="1444"/>
      <c r="J78" s="1444"/>
      <c r="K78" s="1446"/>
      <c r="L78" s="1456" t="str">
        <f>IFERROR(VLOOKUP($J78,Miscellaneous!$N$21:$O$23,2,0),"")</f>
        <v/>
      </c>
      <c r="M78" s="1445"/>
      <c r="N78" s="1457" t="str">
        <f>IF(ISBLANK($D78),"",Variables!$B$8)</f>
        <v/>
      </c>
      <c r="O78" s="1458" t="str">
        <f>IF(ISBLANK($D78),"",Variables!$B$7)</f>
        <v/>
      </c>
      <c r="P78" s="1480"/>
      <c r="Q78" s="1357"/>
    </row>
    <row r="79" spans="1:17">
      <c r="A79" s="1455" t="str">
        <f>IF(ISBLANK($D79),"",Variables!B$2)</f>
        <v/>
      </c>
      <c r="B79" s="1455" t="str">
        <f>IF(ISBLANK($D79),"",Variables!B$3)</f>
        <v/>
      </c>
      <c r="C79" s="1455" t="str">
        <f ca="1">IFERROR(VLOOKUP($D79,'Cntl Tables'!$B:C,2,0),"")</f>
        <v/>
      </c>
      <c r="D79" s="1444"/>
      <c r="E79" s="1455" t="str">
        <f ca="1">IFERROR(IF(VLOOKUP($D79,'Cntl Tables'!$B:D,3,0)=0,"",VLOOKUP($D79,'Cntl Tables'!$B:D,3,0)),"")</f>
        <v/>
      </c>
      <c r="F79" s="1455" t="str">
        <f ca="1">IFERROR(VLOOKUP($D79,'Cntl Tables'!$B:E,4,0),"")</f>
        <v/>
      </c>
      <c r="G79" s="1444"/>
      <c r="H79" s="1444"/>
      <c r="I79" s="1444"/>
      <c r="J79" s="1444"/>
      <c r="K79" s="1446"/>
      <c r="L79" s="1456" t="str">
        <f>IFERROR(VLOOKUP($J79,Miscellaneous!$N$21:$O$23,2,0),"")</f>
        <v/>
      </c>
      <c r="M79" s="1445"/>
      <c r="N79" s="1457" t="str">
        <f>IF(ISBLANK($D79),"",Variables!$B$8)</f>
        <v/>
      </c>
      <c r="O79" s="1458" t="str">
        <f>IF(ISBLANK($D79),"",Variables!$B$7)</f>
        <v/>
      </c>
      <c r="P79" s="1480"/>
      <c r="Q79" s="1357"/>
    </row>
    <row r="80" spans="1:17">
      <c r="A80" s="1455" t="str">
        <f>IF(ISBLANK($D80),"",Variables!B$2)</f>
        <v/>
      </c>
      <c r="B80" s="1455" t="str">
        <f>IF(ISBLANK($D80),"",Variables!B$3)</f>
        <v/>
      </c>
      <c r="C80" s="1455" t="str">
        <f ca="1">IFERROR(VLOOKUP($D80,'Cntl Tables'!$B:C,2,0),"")</f>
        <v/>
      </c>
      <c r="D80" s="1444"/>
      <c r="E80" s="1455" t="str">
        <f ca="1">IFERROR(IF(VLOOKUP($D80,'Cntl Tables'!$B:D,3,0)=0,"",VLOOKUP($D80,'Cntl Tables'!$B:D,3,0)),"")</f>
        <v/>
      </c>
      <c r="F80" s="1455" t="str">
        <f ca="1">IFERROR(VLOOKUP($D80,'Cntl Tables'!$B:E,4,0),"")</f>
        <v/>
      </c>
      <c r="G80" s="1444"/>
      <c r="H80" s="1444"/>
      <c r="I80" s="1444"/>
      <c r="J80" s="1444"/>
      <c r="K80" s="1446"/>
      <c r="L80" s="1456" t="str">
        <f>IFERROR(VLOOKUP($J80,Miscellaneous!$N$21:$O$23,2,0),"")</f>
        <v/>
      </c>
      <c r="M80" s="1445"/>
      <c r="N80" s="1457" t="str">
        <f>IF(ISBLANK($D80),"",Variables!$B$8)</f>
        <v/>
      </c>
      <c r="O80" s="1458" t="str">
        <f>IF(ISBLANK($D80),"",Variables!$B$7)</f>
        <v/>
      </c>
      <c r="P80" s="1480"/>
      <c r="Q80" s="1357"/>
    </row>
    <row r="81" spans="1:17">
      <c r="A81" s="1455" t="str">
        <f>IF(ISBLANK($D81),"",Variables!B$2)</f>
        <v/>
      </c>
      <c r="B81" s="1455" t="str">
        <f>IF(ISBLANK($D81),"",Variables!B$3)</f>
        <v/>
      </c>
      <c r="C81" s="1455" t="str">
        <f ca="1">IFERROR(VLOOKUP($D81,'Cntl Tables'!$B:C,2,0),"")</f>
        <v/>
      </c>
      <c r="D81" s="1444"/>
      <c r="E81" s="1455" t="str">
        <f ca="1">IFERROR(IF(VLOOKUP($D81,'Cntl Tables'!$B:D,3,0)=0,"",VLOOKUP($D81,'Cntl Tables'!$B:D,3,0)),"")</f>
        <v/>
      </c>
      <c r="F81" s="1455" t="str">
        <f ca="1">IFERROR(VLOOKUP($D81,'Cntl Tables'!$B:E,4,0),"")</f>
        <v/>
      </c>
      <c r="G81" s="1444"/>
      <c r="H81" s="1444"/>
      <c r="I81" s="1444"/>
      <c r="J81" s="1444"/>
      <c r="K81" s="1446"/>
      <c r="L81" s="1456" t="str">
        <f>IFERROR(VLOOKUP($J81,Miscellaneous!$N$21:$O$23,2,0),"")</f>
        <v/>
      </c>
      <c r="M81" s="1445"/>
      <c r="N81" s="1457" t="str">
        <f>IF(ISBLANK($D81),"",Variables!$B$8)</f>
        <v/>
      </c>
      <c r="O81" s="1458" t="str">
        <f>IF(ISBLANK($D81),"",Variables!$B$7)</f>
        <v/>
      </c>
      <c r="P81" s="1480"/>
      <c r="Q81" s="1357"/>
    </row>
    <row r="82" spans="1:17">
      <c r="A82" s="1455" t="str">
        <f>IF(ISBLANK($D82),"",Variables!B$2)</f>
        <v/>
      </c>
      <c r="B82" s="1455" t="str">
        <f>IF(ISBLANK($D82),"",Variables!B$3)</f>
        <v/>
      </c>
      <c r="C82" s="1455" t="str">
        <f ca="1">IFERROR(VLOOKUP($D82,'Cntl Tables'!$B:C,2,0),"")</f>
        <v/>
      </c>
      <c r="D82" s="1444"/>
      <c r="E82" s="1455" t="str">
        <f ca="1">IFERROR(IF(VLOOKUP($D82,'Cntl Tables'!$B:D,3,0)=0,"",VLOOKUP($D82,'Cntl Tables'!$B:D,3,0)),"")</f>
        <v/>
      </c>
      <c r="F82" s="1455" t="str">
        <f ca="1">IFERROR(VLOOKUP($D82,'Cntl Tables'!$B:E,4,0),"")</f>
        <v/>
      </c>
      <c r="G82" s="1444"/>
      <c r="H82" s="1444"/>
      <c r="I82" s="1444"/>
      <c r="J82" s="1444"/>
      <c r="K82" s="1446"/>
      <c r="L82" s="1456" t="str">
        <f>IFERROR(VLOOKUP($J82,Miscellaneous!$N$21:$O$23,2,0),"")</f>
        <v/>
      </c>
      <c r="M82" s="1445"/>
      <c r="N82" s="1457" t="str">
        <f>IF(ISBLANK($D82),"",Variables!$B$8)</f>
        <v/>
      </c>
      <c r="O82" s="1458" t="str">
        <f>IF(ISBLANK($D82),"",Variables!$B$7)</f>
        <v/>
      </c>
      <c r="P82" s="1480"/>
      <c r="Q82" s="1357"/>
    </row>
    <row r="83" spans="1:17">
      <c r="A83" s="1455" t="str">
        <f>IF(ISBLANK($D83),"",Variables!B$2)</f>
        <v/>
      </c>
      <c r="B83" s="1455" t="str">
        <f>IF(ISBLANK($D83),"",Variables!B$3)</f>
        <v/>
      </c>
      <c r="C83" s="1455" t="str">
        <f ca="1">IFERROR(VLOOKUP($D83,'Cntl Tables'!$B:C,2,0),"")</f>
        <v/>
      </c>
      <c r="D83" s="1444"/>
      <c r="E83" s="1455" t="str">
        <f ca="1">IFERROR(IF(VLOOKUP($D83,'Cntl Tables'!$B:D,3,0)=0,"",VLOOKUP($D83,'Cntl Tables'!$B:D,3,0)),"")</f>
        <v/>
      </c>
      <c r="F83" s="1455" t="str">
        <f ca="1">IFERROR(VLOOKUP($D83,'Cntl Tables'!$B:E,4,0),"")</f>
        <v/>
      </c>
      <c r="G83" s="1444"/>
      <c r="H83" s="1444"/>
      <c r="I83" s="1444"/>
      <c r="J83" s="1444"/>
      <c r="K83" s="1446"/>
      <c r="L83" s="1456" t="str">
        <f>IFERROR(VLOOKUP($J83,Miscellaneous!$N$21:$O$23,2,0),"")</f>
        <v/>
      </c>
      <c r="M83" s="1445"/>
      <c r="N83" s="1457" t="str">
        <f>IF(ISBLANK($D83),"",Variables!$B$8)</f>
        <v/>
      </c>
      <c r="O83" s="1458" t="str">
        <f>IF(ISBLANK($D83),"",Variables!$B$7)</f>
        <v/>
      </c>
      <c r="P83" s="1480"/>
      <c r="Q83" s="1357"/>
    </row>
    <row r="84" spans="1:17">
      <c r="A84" s="1455" t="str">
        <f>IF(ISBLANK($D84),"",Variables!B$2)</f>
        <v/>
      </c>
      <c r="B84" s="1455" t="str">
        <f>IF(ISBLANK($D84),"",Variables!B$3)</f>
        <v/>
      </c>
      <c r="C84" s="1455" t="str">
        <f ca="1">IFERROR(VLOOKUP($D84,'Cntl Tables'!$B:C,2,0),"")</f>
        <v/>
      </c>
      <c r="D84" s="1444"/>
      <c r="E84" s="1455" t="str">
        <f ca="1">IFERROR(IF(VLOOKUP($D84,'Cntl Tables'!$B:D,3,0)=0,"",VLOOKUP($D84,'Cntl Tables'!$B:D,3,0)),"")</f>
        <v/>
      </c>
      <c r="F84" s="1455" t="str">
        <f ca="1">IFERROR(VLOOKUP($D84,'Cntl Tables'!$B:E,4,0),"")</f>
        <v/>
      </c>
      <c r="G84" s="1444"/>
      <c r="H84" s="1444"/>
      <c r="I84" s="1444"/>
      <c r="J84" s="1444"/>
      <c r="K84" s="1446"/>
      <c r="L84" s="1456" t="str">
        <f>IFERROR(VLOOKUP($J84,Miscellaneous!$N$21:$O$23,2,0),"")</f>
        <v/>
      </c>
      <c r="M84" s="1445"/>
      <c r="N84" s="1457" t="str">
        <f>IF(ISBLANK($D84),"",Variables!$B$8)</f>
        <v/>
      </c>
      <c r="O84" s="1458" t="str">
        <f>IF(ISBLANK($D84),"",Variables!$B$7)</f>
        <v/>
      </c>
      <c r="P84" s="1480"/>
      <c r="Q84" s="1357"/>
    </row>
    <row r="85" spans="1:17">
      <c r="A85" s="1455" t="str">
        <f>IF(ISBLANK($D85),"",Variables!B$2)</f>
        <v/>
      </c>
      <c r="B85" s="1455" t="str">
        <f>IF(ISBLANK($D85),"",Variables!B$3)</f>
        <v/>
      </c>
      <c r="C85" s="1455" t="str">
        <f ca="1">IFERROR(VLOOKUP($D85,'Cntl Tables'!$B:C,2,0),"")</f>
        <v/>
      </c>
      <c r="D85" s="1444"/>
      <c r="E85" s="1455" t="str">
        <f ca="1">IFERROR(IF(VLOOKUP($D85,'Cntl Tables'!$B:D,3,0)=0,"",VLOOKUP($D85,'Cntl Tables'!$B:D,3,0)),"")</f>
        <v/>
      </c>
      <c r="F85" s="1455" t="str">
        <f ca="1">IFERROR(VLOOKUP($D85,'Cntl Tables'!$B:E,4,0),"")</f>
        <v/>
      </c>
      <c r="G85" s="1444"/>
      <c r="H85" s="1444"/>
      <c r="I85" s="1444"/>
      <c r="J85" s="1444"/>
      <c r="K85" s="1446"/>
      <c r="L85" s="1456" t="str">
        <f>IFERROR(VLOOKUP($J85,Miscellaneous!$N$21:$O$23,2,0),"")</f>
        <v/>
      </c>
      <c r="M85" s="1445"/>
      <c r="N85" s="1457" t="str">
        <f>IF(ISBLANK($D85),"",Variables!$B$8)</f>
        <v/>
      </c>
      <c r="O85" s="1458" t="str">
        <f>IF(ISBLANK($D85),"",Variables!$B$7)</f>
        <v/>
      </c>
      <c r="P85" s="1480"/>
      <c r="Q85" s="1357"/>
    </row>
    <row r="86" spans="1:17">
      <c r="A86" s="1455" t="str">
        <f>IF(ISBLANK($D86),"",Variables!B$2)</f>
        <v/>
      </c>
      <c r="B86" s="1455" t="str">
        <f>IF(ISBLANK($D86),"",Variables!B$3)</f>
        <v/>
      </c>
      <c r="C86" s="1455" t="str">
        <f ca="1">IFERROR(VLOOKUP($D86,'Cntl Tables'!$B:C,2,0),"")</f>
        <v/>
      </c>
      <c r="D86" s="1444"/>
      <c r="E86" s="1455" t="str">
        <f ca="1">IFERROR(IF(VLOOKUP($D86,'Cntl Tables'!$B:D,3,0)=0,"",VLOOKUP($D86,'Cntl Tables'!$B:D,3,0)),"")</f>
        <v/>
      </c>
      <c r="F86" s="1455" t="str">
        <f ca="1">IFERROR(VLOOKUP($D86,'Cntl Tables'!$B:E,4,0),"")</f>
        <v/>
      </c>
      <c r="G86" s="1444"/>
      <c r="H86" s="1444"/>
      <c r="I86" s="1444"/>
      <c r="J86" s="1444"/>
      <c r="K86" s="1446"/>
      <c r="L86" s="1456" t="str">
        <f>IFERROR(VLOOKUP($J86,Miscellaneous!$N$21:$O$23,2,0),"")</f>
        <v/>
      </c>
      <c r="M86" s="1445"/>
      <c r="N86" s="1457" t="str">
        <f>IF(ISBLANK($D86),"",Variables!$B$8)</f>
        <v/>
      </c>
      <c r="O86" s="1458" t="str">
        <f>IF(ISBLANK($D86),"",Variables!$B$7)</f>
        <v/>
      </c>
      <c r="P86" s="1480"/>
      <c r="Q86" s="1357"/>
    </row>
    <row r="87" spans="1:17">
      <c r="A87" s="1455" t="str">
        <f>IF(ISBLANK($D87),"",Variables!B$2)</f>
        <v/>
      </c>
      <c r="B87" s="1455" t="str">
        <f>IF(ISBLANK($D87),"",Variables!B$3)</f>
        <v/>
      </c>
      <c r="C87" s="1455" t="str">
        <f ca="1">IFERROR(VLOOKUP($D87,'Cntl Tables'!$B:C,2,0),"")</f>
        <v/>
      </c>
      <c r="D87" s="1444"/>
      <c r="E87" s="1455" t="str">
        <f ca="1">IFERROR(IF(VLOOKUP($D87,'Cntl Tables'!$B:D,3,0)=0,"",VLOOKUP($D87,'Cntl Tables'!$B:D,3,0)),"")</f>
        <v/>
      </c>
      <c r="F87" s="1455" t="str">
        <f ca="1">IFERROR(VLOOKUP($D87,'Cntl Tables'!$B:E,4,0),"")</f>
        <v/>
      </c>
      <c r="G87" s="1444"/>
      <c r="H87" s="1444"/>
      <c r="I87" s="1444"/>
      <c r="J87" s="1444"/>
      <c r="K87" s="1446"/>
      <c r="L87" s="1456" t="str">
        <f>IFERROR(VLOOKUP($J87,Miscellaneous!$N$21:$O$23,2,0),"")</f>
        <v/>
      </c>
      <c r="M87" s="1445"/>
      <c r="N87" s="1457" t="str">
        <f>IF(ISBLANK($D87),"",Variables!$B$8)</f>
        <v/>
      </c>
      <c r="O87" s="1458" t="str">
        <f>IF(ISBLANK($D87),"",Variables!$B$7)</f>
        <v/>
      </c>
      <c r="P87" s="1480"/>
      <c r="Q87" s="1357"/>
    </row>
    <row r="88" spans="1:17">
      <c r="A88" s="1455" t="str">
        <f>IF(ISBLANK($D88),"",Variables!B$2)</f>
        <v/>
      </c>
      <c r="B88" s="1455" t="str">
        <f>IF(ISBLANK($D88),"",Variables!B$3)</f>
        <v/>
      </c>
      <c r="C88" s="1455" t="str">
        <f ca="1">IFERROR(VLOOKUP($D88,'Cntl Tables'!$B:C,2,0),"")</f>
        <v/>
      </c>
      <c r="D88" s="1444"/>
      <c r="E88" s="1455" t="str">
        <f ca="1">IFERROR(IF(VLOOKUP($D88,'Cntl Tables'!$B:D,3,0)=0,"",VLOOKUP($D88,'Cntl Tables'!$B:D,3,0)),"")</f>
        <v/>
      </c>
      <c r="F88" s="1455" t="str">
        <f ca="1">IFERROR(VLOOKUP($D88,'Cntl Tables'!$B:E,4,0),"")</f>
        <v/>
      </c>
      <c r="G88" s="1444"/>
      <c r="H88" s="1444"/>
      <c r="I88" s="1444"/>
      <c r="J88" s="1444"/>
      <c r="K88" s="1446"/>
      <c r="L88" s="1456" t="str">
        <f>IFERROR(VLOOKUP($J88,Miscellaneous!$N$21:$O$23,2,0),"")</f>
        <v/>
      </c>
      <c r="M88" s="1445"/>
      <c r="N88" s="1457" t="str">
        <f>IF(ISBLANK($D88),"",Variables!$B$8)</f>
        <v/>
      </c>
      <c r="O88" s="1458" t="str">
        <f>IF(ISBLANK($D88),"",Variables!$B$7)</f>
        <v/>
      </c>
      <c r="P88" s="1480"/>
      <c r="Q88" s="1357"/>
    </row>
    <row r="89" spans="1:17">
      <c r="A89" s="1455" t="str">
        <f>IF(ISBLANK($D89),"",Variables!B$2)</f>
        <v/>
      </c>
      <c r="B89" s="1455" t="str">
        <f>IF(ISBLANK($D89),"",Variables!B$3)</f>
        <v/>
      </c>
      <c r="C89" s="1455" t="str">
        <f ca="1">IFERROR(VLOOKUP($D89,'Cntl Tables'!$B:C,2,0),"")</f>
        <v/>
      </c>
      <c r="D89" s="1444"/>
      <c r="E89" s="1455" t="str">
        <f ca="1">IFERROR(IF(VLOOKUP($D89,'Cntl Tables'!$B:D,3,0)=0,"",VLOOKUP($D89,'Cntl Tables'!$B:D,3,0)),"")</f>
        <v/>
      </c>
      <c r="F89" s="1455" t="str">
        <f ca="1">IFERROR(VLOOKUP($D89,'Cntl Tables'!$B:E,4,0),"")</f>
        <v/>
      </c>
      <c r="G89" s="1444"/>
      <c r="H89" s="1444"/>
      <c r="I89" s="1444"/>
      <c r="J89" s="1444"/>
      <c r="K89" s="1446"/>
      <c r="L89" s="1456" t="str">
        <f>IFERROR(VLOOKUP($J89,Miscellaneous!$N$21:$O$23,2,0),"")</f>
        <v/>
      </c>
      <c r="M89" s="1445"/>
      <c r="N89" s="1457" t="str">
        <f>IF(ISBLANK($D89),"",Variables!$B$8)</f>
        <v/>
      </c>
      <c r="O89" s="1458" t="str">
        <f>IF(ISBLANK($D89),"",Variables!$B$7)</f>
        <v/>
      </c>
      <c r="P89" s="1480"/>
      <c r="Q89" s="1357"/>
    </row>
    <row r="90" spans="1:17">
      <c r="A90" s="1455" t="str">
        <f>IF(ISBLANK($D90),"",Variables!B$2)</f>
        <v/>
      </c>
      <c r="B90" s="1455" t="str">
        <f>IF(ISBLANK($D90),"",Variables!B$3)</f>
        <v/>
      </c>
      <c r="C90" s="1455" t="str">
        <f ca="1">IFERROR(VLOOKUP($D90,'Cntl Tables'!$B:C,2,0),"")</f>
        <v/>
      </c>
      <c r="D90" s="1444"/>
      <c r="E90" s="1455" t="str">
        <f ca="1">IFERROR(IF(VLOOKUP($D90,'Cntl Tables'!$B:D,3,0)=0,"",VLOOKUP($D90,'Cntl Tables'!$B:D,3,0)),"")</f>
        <v/>
      </c>
      <c r="F90" s="1455" t="str">
        <f ca="1">IFERROR(VLOOKUP($D90,'Cntl Tables'!$B:E,4,0),"")</f>
        <v/>
      </c>
      <c r="G90" s="1444"/>
      <c r="H90" s="1444"/>
      <c r="I90" s="1444"/>
      <c r="J90" s="1444"/>
      <c r="K90" s="1446"/>
      <c r="L90" s="1456" t="str">
        <f>IFERROR(VLOOKUP($J90,Miscellaneous!$N$21:$O$23,2,0),"")</f>
        <v/>
      </c>
      <c r="M90" s="1445"/>
      <c r="N90" s="1457" t="str">
        <f>IF(ISBLANK($D90),"",Variables!$B$8)</f>
        <v/>
      </c>
      <c r="O90" s="1458" t="str">
        <f>IF(ISBLANK($D90),"",Variables!$B$7)</f>
        <v/>
      </c>
      <c r="P90" s="1480"/>
      <c r="Q90" s="1357"/>
    </row>
    <row r="91" spans="1:17">
      <c r="A91" s="1455" t="str">
        <f>IF(ISBLANK($D91),"",Variables!B$2)</f>
        <v/>
      </c>
      <c r="B91" s="1455" t="str">
        <f>IF(ISBLANK($D91),"",Variables!B$3)</f>
        <v/>
      </c>
      <c r="C91" s="1455" t="str">
        <f ca="1">IFERROR(VLOOKUP($D91,'Cntl Tables'!$B:C,2,0),"")</f>
        <v/>
      </c>
      <c r="D91" s="1444"/>
      <c r="E91" s="1455" t="str">
        <f ca="1">IFERROR(IF(VLOOKUP($D91,'Cntl Tables'!$B:D,3,0)=0,"",VLOOKUP($D91,'Cntl Tables'!$B:D,3,0)),"")</f>
        <v/>
      </c>
      <c r="F91" s="1455" t="str">
        <f ca="1">IFERROR(VLOOKUP($D91,'Cntl Tables'!$B:E,4,0),"")</f>
        <v/>
      </c>
      <c r="G91" s="1444"/>
      <c r="H91" s="1444"/>
      <c r="I91" s="1444"/>
      <c r="J91" s="1444"/>
      <c r="K91" s="1446"/>
      <c r="L91" s="1456" t="str">
        <f>IFERROR(VLOOKUP($J91,Miscellaneous!$N$21:$O$23,2,0),"")</f>
        <v/>
      </c>
      <c r="M91" s="1445"/>
      <c r="N91" s="1457" t="str">
        <f>IF(ISBLANK($D91),"",Variables!$B$8)</f>
        <v/>
      </c>
      <c r="O91" s="1458" t="str">
        <f>IF(ISBLANK($D91),"",Variables!$B$7)</f>
        <v/>
      </c>
      <c r="P91" s="1480"/>
      <c r="Q91" s="1357"/>
    </row>
    <row r="92" spans="1:17">
      <c r="A92" s="1455" t="str">
        <f>IF(ISBLANK($D92),"",Variables!B$2)</f>
        <v/>
      </c>
      <c r="B92" s="1455" t="str">
        <f>IF(ISBLANK($D92),"",Variables!B$3)</f>
        <v/>
      </c>
      <c r="C92" s="1455" t="str">
        <f ca="1">IFERROR(VLOOKUP($D92,'Cntl Tables'!$B:C,2,0),"")</f>
        <v/>
      </c>
      <c r="D92" s="1444"/>
      <c r="E92" s="1455" t="str">
        <f ca="1">IFERROR(IF(VLOOKUP($D92,'Cntl Tables'!$B:D,3,0)=0,"",VLOOKUP($D92,'Cntl Tables'!$B:D,3,0)),"")</f>
        <v/>
      </c>
      <c r="F92" s="1455" t="str">
        <f ca="1">IFERROR(VLOOKUP($D92,'Cntl Tables'!$B:E,4,0),"")</f>
        <v/>
      </c>
      <c r="G92" s="1444"/>
      <c r="H92" s="1444"/>
      <c r="I92" s="1444"/>
      <c r="J92" s="1444"/>
      <c r="K92" s="1446"/>
      <c r="L92" s="1456" t="str">
        <f>IFERROR(VLOOKUP($J92,Miscellaneous!$N$21:$O$23,2,0),"")</f>
        <v/>
      </c>
      <c r="M92" s="1445"/>
      <c r="N92" s="1457" t="str">
        <f>IF(ISBLANK($D92),"",Variables!$B$8)</f>
        <v/>
      </c>
      <c r="O92" s="1458" t="str">
        <f>IF(ISBLANK($D92),"",Variables!$B$7)</f>
        <v/>
      </c>
      <c r="P92" s="1480"/>
      <c r="Q92" s="1357"/>
    </row>
    <row r="93" spans="1:17">
      <c r="A93" s="1455" t="str">
        <f>IF(ISBLANK($D93),"",Variables!B$2)</f>
        <v/>
      </c>
      <c r="B93" s="1455" t="str">
        <f>IF(ISBLANK($D93),"",Variables!B$3)</f>
        <v/>
      </c>
      <c r="C93" s="1455" t="str">
        <f ca="1">IFERROR(VLOOKUP($D93,'Cntl Tables'!$B:C,2,0),"")</f>
        <v/>
      </c>
      <c r="D93" s="1444"/>
      <c r="E93" s="1455" t="str">
        <f ca="1">IFERROR(IF(VLOOKUP($D93,'Cntl Tables'!$B:D,3,0)=0,"",VLOOKUP($D93,'Cntl Tables'!$B:D,3,0)),"")</f>
        <v/>
      </c>
      <c r="F93" s="1455" t="str">
        <f ca="1">IFERROR(VLOOKUP($D93,'Cntl Tables'!$B:E,4,0),"")</f>
        <v/>
      </c>
      <c r="G93" s="1444"/>
      <c r="H93" s="1444"/>
      <c r="I93" s="1444"/>
      <c r="J93" s="1444"/>
      <c r="K93" s="1446"/>
      <c r="L93" s="1456" t="str">
        <f>IFERROR(VLOOKUP($J93,Miscellaneous!$N$21:$O$23,2,0),"")</f>
        <v/>
      </c>
      <c r="M93" s="1445"/>
      <c r="N93" s="1457" t="str">
        <f>IF(ISBLANK($D93),"",Variables!$B$8)</f>
        <v/>
      </c>
      <c r="O93" s="1458" t="str">
        <f>IF(ISBLANK($D93),"",Variables!$B$7)</f>
        <v/>
      </c>
      <c r="P93" s="1480"/>
      <c r="Q93" s="1357"/>
    </row>
    <row r="94" spans="1:17">
      <c r="A94" s="1455" t="str">
        <f>IF(ISBLANK($D94),"",Variables!B$2)</f>
        <v/>
      </c>
      <c r="B94" s="1455" t="str">
        <f>IF(ISBLANK($D94),"",Variables!B$3)</f>
        <v/>
      </c>
      <c r="C94" s="1455" t="str">
        <f ca="1">IFERROR(VLOOKUP($D94,'Cntl Tables'!$B:C,2,0),"")</f>
        <v/>
      </c>
      <c r="D94" s="1444"/>
      <c r="E94" s="1455" t="str">
        <f ca="1">IFERROR(IF(VLOOKUP($D94,'Cntl Tables'!$B:D,3,0)=0,"",VLOOKUP($D94,'Cntl Tables'!$B:D,3,0)),"")</f>
        <v/>
      </c>
      <c r="F94" s="1455" t="str">
        <f ca="1">IFERROR(VLOOKUP($D94,'Cntl Tables'!$B:E,4,0),"")</f>
        <v/>
      </c>
      <c r="G94" s="1444"/>
      <c r="H94" s="1444"/>
      <c r="I94" s="1444"/>
      <c r="J94" s="1444"/>
      <c r="K94" s="1446"/>
      <c r="L94" s="1456" t="str">
        <f>IFERROR(VLOOKUP($J94,Miscellaneous!$N$21:$O$23,2,0),"")</f>
        <v/>
      </c>
      <c r="M94" s="1445"/>
      <c r="N94" s="1457" t="str">
        <f>IF(ISBLANK($D94),"",Variables!$B$8)</f>
        <v/>
      </c>
      <c r="O94" s="1458" t="str">
        <f>IF(ISBLANK($D94),"",Variables!$B$7)</f>
        <v/>
      </c>
      <c r="P94" s="1480"/>
      <c r="Q94" s="1357"/>
    </row>
    <row r="95" spans="1:17">
      <c r="A95" s="1455" t="str">
        <f>IF(ISBLANK($D95),"",Variables!B$2)</f>
        <v/>
      </c>
      <c r="B95" s="1455" t="str">
        <f>IF(ISBLANK($D95),"",Variables!B$3)</f>
        <v/>
      </c>
      <c r="C95" s="1455" t="str">
        <f ca="1">IFERROR(VLOOKUP($D95,'Cntl Tables'!$B:C,2,0),"")</f>
        <v/>
      </c>
      <c r="D95" s="1444"/>
      <c r="E95" s="1455" t="str">
        <f ca="1">IFERROR(IF(VLOOKUP($D95,'Cntl Tables'!$B:D,3,0)=0,"",VLOOKUP($D95,'Cntl Tables'!$B:D,3,0)),"")</f>
        <v/>
      </c>
      <c r="F95" s="1455" t="str">
        <f ca="1">IFERROR(VLOOKUP($D95,'Cntl Tables'!$B:E,4,0),"")</f>
        <v/>
      </c>
      <c r="G95" s="1444"/>
      <c r="H95" s="1444"/>
      <c r="I95" s="1444"/>
      <c r="J95" s="1444"/>
      <c r="K95" s="1446"/>
      <c r="L95" s="1456" t="str">
        <f>IFERROR(VLOOKUP($J95,Miscellaneous!$N$21:$O$23,2,0),"")</f>
        <v/>
      </c>
      <c r="M95" s="1445"/>
      <c r="N95" s="1457" t="str">
        <f>IF(ISBLANK($D95),"",Variables!$B$8)</f>
        <v/>
      </c>
      <c r="O95" s="1458" t="str">
        <f>IF(ISBLANK($D95),"",Variables!$B$7)</f>
        <v/>
      </c>
      <c r="P95" s="1480"/>
      <c r="Q95" s="1357"/>
    </row>
    <row r="96" spans="1:17">
      <c r="A96" s="1455" t="str">
        <f>IF(ISBLANK($D96),"",Variables!B$2)</f>
        <v/>
      </c>
      <c r="B96" s="1455" t="str">
        <f>IF(ISBLANK($D96),"",Variables!B$3)</f>
        <v/>
      </c>
      <c r="C96" s="1455" t="str">
        <f ca="1">IFERROR(VLOOKUP($D96,'Cntl Tables'!$B:C,2,0),"")</f>
        <v/>
      </c>
      <c r="D96" s="1444"/>
      <c r="E96" s="1455" t="str">
        <f ca="1">IFERROR(IF(VLOOKUP($D96,'Cntl Tables'!$B:D,3,0)=0,"",VLOOKUP($D96,'Cntl Tables'!$B:D,3,0)),"")</f>
        <v/>
      </c>
      <c r="F96" s="1455" t="str">
        <f ca="1">IFERROR(VLOOKUP($D96,'Cntl Tables'!$B:E,4,0),"")</f>
        <v/>
      </c>
      <c r="G96" s="1444"/>
      <c r="H96" s="1444"/>
      <c r="I96" s="1444"/>
      <c r="J96" s="1444"/>
      <c r="K96" s="1446"/>
      <c r="L96" s="1456" t="str">
        <f>IFERROR(VLOOKUP($J96,Miscellaneous!$N$21:$O$23,2,0),"")</f>
        <v/>
      </c>
      <c r="M96" s="1445"/>
      <c r="N96" s="1457" t="str">
        <f>IF(ISBLANK($D96),"",Variables!$B$8)</f>
        <v/>
      </c>
      <c r="O96" s="1458" t="str">
        <f>IF(ISBLANK($D96),"",Variables!$B$7)</f>
        <v/>
      </c>
      <c r="P96" s="1480"/>
      <c r="Q96" s="1357"/>
    </row>
    <row r="97" spans="1:17">
      <c r="A97" s="1455" t="str">
        <f>IF(ISBLANK($D97),"",Variables!B$2)</f>
        <v/>
      </c>
      <c r="B97" s="1455" t="str">
        <f>IF(ISBLANK($D97),"",Variables!B$3)</f>
        <v/>
      </c>
      <c r="C97" s="1455" t="str">
        <f ca="1">IFERROR(VLOOKUP($D97,'Cntl Tables'!$B:C,2,0),"")</f>
        <v/>
      </c>
      <c r="D97" s="1444"/>
      <c r="E97" s="1455" t="str">
        <f ca="1">IFERROR(IF(VLOOKUP($D97,'Cntl Tables'!$B:D,3,0)=0,"",VLOOKUP($D97,'Cntl Tables'!$B:D,3,0)),"")</f>
        <v/>
      </c>
      <c r="F97" s="1455" t="str">
        <f ca="1">IFERROR(VLOOKUP($D97,'Cntl Tables'!$B:E,4,0),"")</f>
        <v/>
      </c>
      <c r="G97" s="1444"/>
      <c r="H97" s="1444"/>
      <c r="I97" s="1444"/>
      <c r="J97" s="1444"/>
      <c r="K97" s="1446"/>
      <c r="L97" s="1456" t="str">
        <f>IFERROR(VLOOKUP($J97,Miscellaneous!$N$21:$O$23,2,0),"")</f>
        <v/>
      </c>
      <c r="M97" s="1445"/>
      <c r="N97" s="1457" t="str">
        <f>IF(ISBLANK($D97),"",Variables!$B$8)</f>
        <v/>
      </c>
      <c r="O97" s="1458" t="str">
        <f>IF(ISBLANK($D97),"",Variables!$B$7)</f>
        <v/>
      </c>
      <c r="P97" s="1480"/>
      <c r="Q97" s="1357"/>
    </row>
    <row r="98" spans="1:17">
      <c r="A98" s="1455" t="str">
        <f>IF(ISBLANK($D98),"",Variables!B$2)</f>
        <v/>
      </c>
      <c r="B98" s="1455" t="str">
        <f>IF(ISBLANK($D98),"",Variables!B$3)</f>
        <v/>
      </c>
      <c r="C98" s="1455" t="str">
        <f ca="1">IFERROR(VLOOKUP($D98,'Cntl Tables'!$B:C,2,0),"")</f>
        <v/>
      </c>
      <c r="D98" s="1444"/>
      <c r="E98" s="1455" t="str">
        <f ca="1">IFERROR(IF(VLOOKUP($D98,'Cntl Tables'!$B:D,3,0)=0,"",VLOOKUP($D98,'Cntl Tables'!$B:D,3,0)),"")</f>
        <v/>
      </c>
      <c r="F98" s="1455" t="str">
        <f ca="1">IFERROR(VLOOKUP($D98,'Cntl Tables'!$B:E,4,0),"")</f>
        <v/>
      </c>
      <c r="G98" s="1444"/>
      <c r="H98" s="1444"/>
      <c r="I98" s="1444"/>
      <c r="J98" s="1444"/>
      <c r="K98" s="1446"/>
      <c r="L98" s="1456" t="str">
        <f>IFERROR(VLOOKUP($J98,Miscellaneous!$N$21:$O$23,2,0),"")</f>
        <v/>
      </c>
      <c r="M98" s="1445"/>
      <c r="N98" s="1457" t="str">
        <f>IF(ISBLANK($D98),"",Variables!$B$8)</f>
        <v/>
      </c>
      <c r="O98" s="1458" t="str">
        <f>IF(ISBLANK($D98),"",Variables!$B$7)</f>
        <v/>
      </c>
      <c r="P98" s="1480"/>
      <c r="Q98" s="1357"/>
    </row>
    <row r="99" spans="1:17">
      <c r="A99" s="1455" t="str">
        <f>IF(ISBLANK($D99),"",Variables!B$2)</f>
        <v/>
      </c>
      <c r="B99" s="1455" t="str">
        <f>IF(ISBLANK($D99),"",Variables!B$3)</f>
        <v/>
      </c>
      <c r="C99" s="1455" t="str">
        <f ca="1">IFERROR(VLOOKUP($D99,'Cntl Tables'!$B:C,2,0),"")</f>
        <v/>
      </c>
      <c r="D99" s="1444"/>
      <c r="E99" s="1455" t="str">
        <f ca="1">IFERROR(IF(VLOOKUP($D99,'Cntl Tables'!$B:D,3,0)=0,"",VLOOKUP($D99,'Cntl Tables'!$B:D,3,0)),"")</f>
        <v/>
      </c>
      <c r="F99" s="1455" t="str">
        <f ca="1">IFERROR(VLOOKUP($D99,'Cntl Tables'!$B:E,4,0),"")</f>
        <v/>
      </c>
      <c r="G99" s="1444"/>
      <c r="H99" s="1444"/>
      <c r="I99" s="1444"/>
      <c r="J99" s="1444"/>
      <c r="K99" s="1446"/>
      <c r="L99" s="1456" t="str">
        <f>IFERROR(VLOOKUP($J99,Miscellaneous!$N$21:$O$23,2,0),"")</f>
        <v/>
      </c>
      <c r="M99" s="1445"/>
      <c r="N99" s="1457" t="str">
        <f>IF(ISBLANK($D99),"",Variables!$B$8)</f>
        <v/>
      </c>
      <c r="O99" s="1458" t="str">
        <f>IF(ISBLANK($D99),"",Variables!$B$7)</f>
        <v/>
      </c>
      <c r="P99" s="1480"/>
      <c r="Q99" s="1357"/>
    </row>
    <row r="100" spans="1:17">
      <c r="A100" s="1455" t="str">
        <f>IF(ISBLANK($D100),"",Variables!B$2)</f>
        <v/>
      </c>
      <c r="B100" s="1455" t="str">
        <f>IF(ISBLANK($D100),"",Variables!B$3)</f>
        <v/>
      </c>
      <c r="C100" s="1455" t="str">
        <f ca="1">IFERROR(VLOOKUP($D100,'Cntl Tables'!$B:C,2,0),"")</f>
        <v/>
      </c>
      <c r="D100" s="1444"/>
      <c r="E100" s="1455" t="str">
        <f ca="1">IFERROR(IF(VLOOKUP($D100,'Cntl Tables'!$B:D,3,0)=0,"",VLOOKUP($D100,'Cntl Tables'!$B:D,3,0)),"")</f>
        <v/>
      </c>
      <c r="F100" s="1455" t="str">
        <f ca="1">IFERROR(VLOOKUP($D100,'Cntl Tables'!$B:E,4,0),"")</f>
        <v/>
      </c>
      <c r="G100" s="1444"/>
      <c r="H100" s="1444"/>
      <c r="I100" s="1444"/>
      <c r="J100" s="1444"/>
      <c r="K100" s="1446"/>
      <c r="L100" s="1456" t="str">
        <f>IFERROR(VLOOKUP($J100,Miscellaneous!$N$21:$O$23,2,0),"")</f>
        <v/>
      </c>
      <c r="M100" s="1445"/>
      <c r="N100" s="1457" t="str">
        <f>IF(ISBLANK($D100),"",Variables!$B$8)</f>
        <v/>
      </c>
      <c r="O100" s="1458" t="str">
        <f>IF(ISBLANK($D100),"",Variables!$B$7)</f>
        <v/>
      </c>
      <c r="P100" s="1480"/>
      <c r="Q100" s="1357"/>
    </row>
    <row r="101" spans="1:17">
      <c r="A101" s="1455" t="str">
        <f>IF(ISBLANK($D101),"",Variables!B$2)</f>
        <v/>
      </c>
      <c r="B101" s="1455" t="str">
        <f>IF(ISBLANK($D101),"",Variables!B$3)</f>
        <v/>
      </c>
      <c r="C101" s="1455" t="str">
        <f ca="1">IFERROR(VLOOKUP($D101,'Cntl Tables'!$B:C,2,0),"")</f>
        <v/>
      </c>
      <c r="D101" s="1444"/>
      <c r="E101" s="1455" t="str">
        <f ca="1">IFERROR(IF(VLOOKUP($D101,'Cntl Tables'!$B:D,3,0)=0,"",VLOOKUP($D101,'Cntl Tables'!$B:D,3,0)),"")</f>
        <v/>
      </c>
      <c r="F101" s="1455" t="str">
        <f ca="1">IFERROR(VLOOKUP($D101,'Cntl Tables'!$B:E,4,0),"")</f>
        <v/>
      </c>
      <c r="G101" s="1444"/>
      <c r="H101" s="1444"/>
      <c r="I101" s="1444"/>
      <c r="J101" s="1444"/>
      <c r="K101" s="1446"/>
      <c r="L101" s="1456" t="str">
        <f>IFERROR(VLOOKUP($J101,Miscellaneous!$N$21:$O$23,2,0),"")</f>
        <v/>
      </c>
      <c r="M101" s="1445"/>
      <c r="N101" s="1457" t="str">
        <f>IF(ISBLANK($D101),"",Variables!$B$8)</f>
        <v/>
      </c>
      <c r="O101" s="1458" t="str">
        <f>IF(ISBLANK($D101),"",Variables!$B$7)</f>
        <v/>
      </c>
      <c r="P101" s="1480"/>
      <c r="Q101" s="1357"/>
    </row>
    <row r="102" spans="1:17">
      <c r="A102" s="1455" t="str">
        <f>IF(ISBLANK($D102),"",Variables!B$2)</f>
        <v/>
      </c>
      <c r="B102" s="1455" t="str">
        <f>IF(ISBLANK($D102),"",Variables!B$3)</f>
        <v/>
      </c>
      <c r="C102" s="1455" t="str">
        <f ca="1">IFERROR(VLOOKUP($D102,'Cntl Tables'!$B:C,2,0),"")</f>
        <v/>
      </c>
      <c r="D102" s="1444"/>
      <c r="E102" s="1455" t="str">
        <f ca="1">IFERROR(IF(VLOOKUP($D102,'Cntl Tables'!$B:D,3,0)=0,"",VLOOKUP($D102,'Cntl Tables'!$B:D,3,0)),"")</f>
        <v/>
      </c>
      <c r="F102" s="1455" t="str">
        <f ca="1">IFERROR(VLOOKUP($D102,'Cntl Tables'!$B:E,4,0),"")</f>
        <v/>
      </c>
      <c r="G102" s="1444"/>
      <c r="H102" s="1444"/>
      <c r="I102" s="1444"/>
      <c r="J102" s="1444"/>
      <c r="K102" s="1446"/>
      <c r="L102" s="1456" t="str">
        <f>IFERROR(VLOOKUP($J102,Miscellaneous!$N$21:$O$23,2,0),"")</f>
        <v/>
      </c>
      <c r="M102" s="1445"/>
      <c r="N102" s="1457" t="str">
        <f>IF(ISBLANK($D102),"",Variables!$B$8)</f>
        <v/>
      </c>
      <c r="O102" s="1458" t="str">
        <f>IF(ISBLANK($D102),"",Variables!$B$7)</f>
        <v/>
      </c>
      <c r="P102" s="1480"/>
      <c r="Q102" s="1357"/>
    </row>
  </sheetData>
  <sheetProtection algorithmName="SHA-512" hashValue="C/tdtExrvNkbTyu5nLFptkWm6b6slz1DbOi/tocQE1P+HXcecyYGskZJXxtKQD6HGoTMrk3aO5UhaEujNHm/1g==" saltValue="M79+BZgcjT8SCKk2SyDskQ==" spinCount="100000" sheet="1" formatCells="0" formatColumns="0" formatRows="0" autoFilter="0"/>
  <autoFilter ref="A2:Q2" xr:uid="{E608F3A7-0CCD-43C2-8B5C-E90C34CA21BE}"/>
  <dataConsolidate/>
  <mergeCells count="1">
    <mergeCell ref="A1:P1"/>
  </mergeCells>
  <conditionalFormatting sqref="D3">
    <cfRule type="expression" dxfId="309" priority="30">
      <formula>ISBLANK($D3)</formula>
    </cfRule>
  </conditionalFormatting>
  <conditionalFormatting sqref="D4:D51 D102">
    <cfRule type="expression" dxfId="308" priority="29">
      <formula>ISBLANK($D4)</formula>
    </cfRule>
  </conditionalFormatting>
  <conditionalFormatting sqref="G3">
    <cfRule type="expression" dxfId="307" priority="28">
      <formula>ISBLANK($G3)</formula>
    </cfRule>
  </conditionalFormatting>
  <conditionalFormatting sqref="G4:G51 G102">
    <cfRule type="expression" dxfId="306" priority="27">
      <formula>ISBLANK($G4)</formula>
    </cfRule>
  </conditionalFormatting>
  <conditionalFormatting sqref="H3">
    <cfRule type="expression" dxfId="305" priority="6" stopIfTrue="1">
      <formula>ISBLANK($H3)</formula>
    </cfRule>
  </conditionalFormatting>
  <conditionalFormatting sqref="I3">
    <cfRule type="expression" dxfId="304" priority="5" stopIfTrue="1">
      <formula>ISBLANK($I3)</formula>
    </cfRule>
  </conditionalFormatting>
  <conditionalFormatting sqref="J3">
    <cfRule type="expression" dxfId="303" priority="22">
      <formula>ISBLANK($J3)</formula>
    </cfRule>
  </conditionalFormatting>
  <conditionalFormatting sqref="J4:J51 J102">
    <cfRule type="expression" dxfId="302" priority="21">
      <formula>ISBLANK($J4)</formula>
    </cfRule>
  </conditionalFormatting>
  <conditionalFormatting sqref="K3">
    <cfRule type="expression" dxfId="301" priority="20">
      <formula>ISBLANK($K3)</formula>
    </cfRule>
  </conditionalFormatting>
  <conditionalFormatting sqref="K4:K51 K102">
    <cfRule type="expression" dxfId="300" priority="19">
      <formula>ISBLANK($K4)</formula>
    </cfRule>
  </conditionalFormatting>
  <conditionalFormatting sqref="M3">
    <cfRule type="expression" dxfId="299" priority="18">
      <formula>ISBLANK($M3)</formula>
    </cfRule>
  </conditionalFormatting>
  <conditionalFormatting sqref="M4:M51 M102">
    <cfRule type="expression" dxfId="298" priority="17">
      <formula>ISBLANK($M4)</formula>
    </cfRule>
  </conditionalFormatting>
  <conditionalFormatting sqref="P3">
    <cfRule type="expression" dxfId="297" priority="16">
      <formula>ISBLANK($P3)</formula>
    </cfRule>
  </conditionalFormatting>
  <conditionalFormatting sqref="P4:P51 P102">
    <cfRule type="expression" dxfId="296" priority="15">
      <formula>ISBLANK($P4)</formula>
    </cfRule>
  </conditionalFormatting>
  <conditionalFormatting sqref="D52:D101">
    <cfRule type="expression" dxfId="295" priority="14">
      <formula>ISBLANK($D52)</formula>
    </cfRule>
  </conditionalFormatting>
  <conditionalFormatting sqref="G52:G101">
    <cfRule type="expression" dxfId="294" priority="13">
      <formula>ISBLANK($G52)</formula>
    </cfRule>
  </conditionalFormatting>
  <conditionalFormatting sqref="J52:J101">
    <cfRule type="expression" dxfId="293" priority="10">
      <formula>ISBLANK($J52)</formula>
    </cfRule>
  </conditionalFormatting>
  <conditionalFormatting sqref="K52:K101">
    <cfRule type="expression" dxfId="292" priority="9">
      <formula>ISBLANK($K52)</formula>
    </cfRule>
  </conditionalFormatting>
  <conditionalFormatting sqref="M52:M101">
    <cfRule type="expression" dxfId="291" priority="8">
      <formula>ISBLANK($M52)</formula>
    </cfRule>
  </conditionalFormatting>
  <conditionalFormatting sqref="P52:P101">
    <cfRule type="expression" dxfId="290" priority="7">
      <formula>ISBLANK($P52)</formula>
    </cfRule>
  </conditionalFormatting>
  <conditionalFormatting sqref="H4:H102">
    <cfRule type="expression" dxfId="289" priority="2" stopIfTrue="1">
      <formula>ISBLANK($H4)</formula>
    </cfRule>
  </conditionalFormatting>
  <conditionalFormatting sqref="I4:I102">
    <cfRule type="expression" dxfId="288" priority="1" stopIfTrue="1">
      <formula>ISBLANK($I4)</formula>
    </cfRule>
  </conditionalFormatting>
  <dataValidations count="4">
    <dataValidation type="list" allowBlank="1" showInputMessage="1" showErrorMessage="1" sqref="D3:D102" xr:uid="{E48F27F6-0831-425E-9A17-8A55E099B10C}">
      <formula1>Orders</formula1>
    </dataValidation>
    <dataValidation type="list" allowBlank="1" showInputMessage="1" showErrorMessage="1" sqref="J3:J102" xr:uid="{7DCB3B30-8271-465C-A76D-5CDCFAF746EC}">
      <formula1>Expense_Type</formula1>
    </dataValidation>
    <dataValidation type="list" allowBlank="1" showInputMessage="1" showErrorMessage="1" sqref="G3:G102" xr:uid="{C46D1085-2BFB-4C32-8031-1CD677C533CF}">
      <formula1>Work_Req</formula1>
    </dataValidation>
    <dataValidation type="list" allowBlank="1" showInputMessage="1" showErrorMessage="1" sqref="I3:I102" xr:uid="{144AA43F-79B0-4796-A75A-CB1058290B80}">
      <formula1>IF(ISBLANK($H3),Vendor_Full_List,Vendor_Short_List)</formula1>
    </dataValidation>
  </dataValidations>
  <pageMargins left="0.25" right="0.25" top="0.75" bottom="0.75" header="0.3" footer="0.3"/>
  <pageSetup paperSize="5" scale="68" fitToHeight="0" orientation="landscape" r:id="rId1"/>
  <headerFooter>
    <oddHeader>&amp;C&amp;"Tahoma,Bold"&amp;14&amp;F - &amp;A</oddHeader>
    <oddFooter>&amp;L&amp;"Tahoma,Regular"&amp;P of &amp;N&amp;R&amp;"Tahoma,Regular"&amp;D</oddFooter>
  </headerFooter>
  <extLst>
    <ext xmlns:x14="http://schemas.microsoft.com/office/spreadsheetml/2009/9/main" uri="{78C0D931-6437-407d-A8EE-F0AAD7539E65}">
      <x14:conditionalFormattings>
        <x14:conditionalFormatting xmlns:xm="http://schemas.microsoft.com/office/excel/2006/main">
          <x14:cfRule type="expression" priority="26" id="{3DF8E0AA-D917-46AA-A202-47A1C42BA33E}">
            <xm:f>COUNTIFS('Cntl Tables'!$K:$K,$G3,'Cntl Tables'!$L:$L,$H3)=0</xm:f>
            <x14:dxf>
              <font>
                <b/>
                <i val="0"/>
                <color rgb="FFC00000"/>
              </font>
              <fill>
                <patternFill>
                  <bgColor theme="5" tint="0.39994506668294322"/>
                </patternFill>
              </fill>
              <border>
                <left style="thin">
                  <color rgb="FFC00000"/>
                </left>
                <right style="thin">
                  <color rgb="FFC00000"/>
                </right>
                <top style="thin">
                  <color rgb="FFC00000"/>
                </top>
                <bottom style="thin">
                  <color rgb="FFC00000"/>
                </bottom>
                <vertical/>
                <horizontal/>
              </border>
            </x14:dxf>
          </x14:cfRule>
          <xm:sqref>H3</xm:sqref>
        </x14:conditionalFormatting>
        <x14:conditionalFormatting xmlns:xm="http://schemas.microsoft.com/office/excel/2006/main">
          <x14:cfRule type="expression" priority="24" id="{42483FE5-4114-45A1-82B4-4B12E2014BAE}">
            <xm:f>(COUNTIFS('Cntl Tables'!$K:$K,$G3,'Cntl Tables'!$M:$M,$I3)+COUNTIFS('Cntl Tables'!$L:$L,$H3,'Cntl Tables'!$M:$M,$I3)+IF(ISBLANK($H3),1,0))&lt;2</xm:f>
            <x14:dxf>
              <font>
                <b/>
                <i val="0"/>
                <color rgb="FFC00000"/>
              </font>
              <fill>
                <patternFill>
                  <bgColor theme="5" tint="0.39994506668294322"/>
                </patternFill>
              </fill>
              <border>
                <left style="thin">
                  <color rgb="FFC00000"/>
                </left>
                <right style="thin">
                  <color rgb="FFC00000"/>
                </right>
                <top style="thin">
                  <color rgb="FFC00000"/>
                </top>
                <bottom style="thin">
                  <color rgb="FFC00000"/>
                </bottom>
                <vertical/>
                <horizontal/>
              </border>
            </x14:dxf>
          </x14:cfRule>
          <xm:sqref>I3</xm:sqref>
        </x14:conditionalFormatting>
        <x14:conditionalFormatting xmlns:xm="http://schemas.microsoft.com/office/excel/2006/main">
          <x14:cfRule type="expression" priority="4" id="{26C7DAC5-8603-4900-A411-F60435DA8FFC}">
            <xm:f>COUNTIFS('Cntl Tables'!$K:$K,$G4,'Cntl Tables'!$L:$L,$H4)=0</xm:f>
            <x14:dxf>
              <font>
                <b/>
                <i val="0"/>
                <color rgb="FFC00000"/>
              </font>
              <fill>
                <patternFill>
                  <bgColor theme="5" tint="0.39994506668294322"/>
                </patternFill>
              </fill>
              <border>
                <left style="thin">
                  <color rgb="FFC00000"/>
                </left>
                <right style="thin">
                  <color rgb="FFC00000"/>
                </right>
                <top style="thin">
                  <color rgb="FFC00000"/>
                </top>
                <bottom style="thin">
                  <color rgb="FFC00000"/>
                </bottom>
                <vertical/>
                <horizontal/>
              </border>
            </x14:dxf>
          </x14:cfRule>
          <xm:sqref>H4:H102</xm:sqref>
        </x14:conditionalFormatting>
        <x14:conditionalFormatting xmlns:xm="http://schemas.microsoft.com/office/excel/2006/main">
          <x14:cfRule type="expression" priority="3" id="{0D65DA6E-7F30-4BEC-935E-805F9A570DD4}">
            <xm:f>(COUNTIFS('Cntl Tables'!$K:$K,$G4,'Cntl Tables'!$M:$M,$I4)+COUNTIFS('Cntl Tables'!$L:$L,$H4,'Cntl Tables'!$M:$M,$I4)+IF(ISBLANK($H4),1,0))&lt;2</xm:f>
            <x14:dxf>
              <font>
                <b/>
                <i val="0"/>
                <color rgb="FFC00000"/>
              </font>
              <fill>
                <patternFill>
                  <bgColor theme="5" tint="0.39994506668294322"/>
                </patternFill>
              </fill>
              <border>
                <left style="thin">
                  <color rgb="FFC00000"/>
                </left>
                <right style="thin">
                  <color rgb="FFC00000"/>
                </right>
                <top style="thin">
                  <color rgb="FFC00000"/>
                </top>
                <bottom style="thin">
                  <color rgb="FFC00000"/>
                </bottom>
                <vertical/>
                <horizontal/>
              </border>
            </x14:dxf>
          </x14:cfRule>
          <xm:sqref>I4:I102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D2D8CBA5-4347-409E-8972-F9CE38C60005}">
          <x14:formula1>
            <xm:f>OFFSET('Cntl Tables'!$K$1,MATCH($G3,'Cntl Tables'!$K:$K,0)-1,1,COUNTIF('Cntl Tables'!$K:$K,$G3),1)</xm:f>
          </x14:formula1>
          <xm:sqref>H3:H102</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7409B-1399-4B2F-AC06-19AA9CC9BE25}">
  <sheetPr codeName="Sheet25">
    <tabColor theme="1"/>
  </sheetPr>
  <dimension ref="A1:AU117"/>
  <sheetViews>
    <sheetView showGridLines="0" workbookViewId="0"/>
  </sheetViews>
  <sheetFormatPr defaultColWidth="9.1796875" defaultRowHeight="13"/>
  <cols>
    <col min="1" max="16384" width="9.1796875" style="649"/>
  </cols>
  <sheetData>
    <row r="1" spans="1:47">
      <c r="A1" s="648"/>
      <c r="B1" s="648"/>
      <c r="C1" s="648"/>
      <c r="D1" s="648"/>
      <c r="E1" s="648"/>
      <c r="F1" s="648"/>
      <c r="G1" s="648"/>
      <c r="H1" s="648"/>
      <c r="I1" s="648"/>
      <c r="J1" s="648"/>
      <c r="K1" s="648"/>
      <c r="L1" s="648"/>
      <c r="M1" s="648"/>
      <c r="N1" s="648"/>
      <c r="O1" s="648"/>
      <c r="P1" s="648"/>
      <c r="Q1" s="648"/>
      <c r="R1" s="648"/>
      <c r="S1" s="648"/>
      <c r="T1" s="648"/>
      <c r="U1" s="648"/>
      <c r="V1" s="648"/>
      <c r="W1" s="648"/>
      <c r="X1" s="648"/>
      <c r="Y1" s="648"/>
      <c r="Z1" s="648"/>
      <c r="AA1" s="648"/>
      <c r="AB1" s="648"/>
      <c r="AC1" s="648"/>
      <c r="AD1" s="648"/>
      <c r="AE1" s="648"/>
      <c r="AF1" s="648"/>
      <c r="AG1" s="648"/>
      <c r="AH1" s="648"/>
      <c r="AI1" s="648"/>
      <c r="AJ1" s="648"/>
      <c r="AK1" s="648"/>
      <c r="AL1" s="648"/>
      <c r="AM1" s="648"/>
      <c r="AN1" s="648"/>
      <c r="AO1" s="648"/>
      <c r="AP1" s="648"/>
      <c r="AQ1" s="648"/>
      <c r="AR1" s="648"/>
      <c r="AS1" s="648"/>
      <c r="AT1" s="648"/>
      <c r="AU1" s="648"/>
    </row>
    <row r="2" spans="1:47">
      <c r="A2" s="648"/>
      <c r="B2" s="648"/>
      <c r="C2" s="648"/>
      <c r="D2" s="648"/>
      <c r="E2" s="648"/>
      <c r="F2" s="648"/>
      <c r="G2" s="648"/>
      <c r="H2" s="648"/>
      <c r="I2" s="648"/>
      <c r="J2" s="648"/>
      <c r="K2" s="648"/>
      <c r="L2" s="648"/>
      <c r="M2" s="648"/>
      <c r="N2" s="648"/>
      <c r="O2" s="648"/>
      <c r="P2" s="648"/>
      <c r="Q2" s="648"/>
      <c r="R2" s="648"/>
      <c r="S2" s="648"/>
      <c r="T2" s="648"/>
      <c r="U2" s="648"/>
      <c r="V2" s="648"/>
      <c r="W2" s="648"/>
      <c r="X2" s="648"/>
      <c r="Y2" s="648"/>
      <c r="Z2" s="648"/>
      <c r="AA2" s="648"/>
      <c r="AB2" s="648"/>
      <c r="AC2" s="648"/>
      <c r="AD2" s="648"/>
      <c r="AE2" s="648"/>
      <c r="AF2" s="648"/>
      <c r="AG2" s="648"/>
      <c r="AH2" s="648"/>
      <c r="AI2" s="648"/>
      <c r="AJ2" s="648"/>
      <c r="AK2" s="648"/>
      <c r="AL2" s="648"/>
      <c r="AM2" s="648"/>
      <c r="AN2" s="648"/>
      <c r="AO2" s="648"/>
      <c r="AP2" s="648"/>
      <c r="AQ2" s="648"/>
      <c r="AR2" s="648"/>
      <c r="AS2" s="648"/>
      <c r="AT2" s="648"/>
      <c r="AU2" s="648"/>
    </row>
    <row r="3" spans="1:47">
      <c r="A3" s="648"/>
      <c r="B3" s="648"/>
      <c r="C3" s="648"/>
      <c r="D3" s="648"/>
      <c r="E3" s="648"/>
      <c r="F3" s="648"/>
      <c r="G3" s="648"/>
      <c r="H3" s="648"/>
      <c r="I3" s="648"/>
      <c r="J3" s="648"/>
      <c r="K3" s="648"/>
      <c r="L3" s="648"/>
      <c r="M3" s="648"/>
      <c r="N3" s="648"/>
      <c r="O3" s="648"/>
      <c r="P3" s="648"/>
      <c r="Q3" s="648"/>
      <c r="R3" s="648"/>
      <c r="S3" s="648"/>
      <c r="T3" s="648"/>
      <c r="U3" s="648"/>
      <c r="V3" s="648"/>
      <c r="W3" s="648"/>
      <c r="X3" s="648"/>
      <c r="Y3" s="648"/>
      <c r="Z3" s="648"/>
      <c r="AA3" s="648"/>
      <c r="AB3" s="648"/>
      <c r="AC3" s="648"/>
      <c r="AD3" s="648"/>
      <c r="AE3" s="648"/>
      <c r="AF3" s="648"/>
      <c r="AG3" s="648"/>
      <c r="AH3" s="648"/>
      <c r="AI3" s="648"/>
      <c r="AJ3" s="648"/>
      <c r="AK3" s="648"/>
      <c r="AL3" s="648"/>
      <c r="AM3" s="648"/>
      <c r="AN3" s="648"/>
      <c r="AO3" s="648"/>
      <c r="AP3" s="648"/>
      <c r="AQ3" s="648"/>
      <c r="AR3" s="648"/>
      <c r="AS3" s="648"/>
      <c r="AT3" s="648"/>
      <c r="AU3" s="648"/>
    </row>
    <row r="4" spans="1:47">
      <c r="A4" s="648"/>
      <c r="B4" s="648"/>
      <c r="C4" s="648"/>
      <c r="D4" s="648"/>
      <c r="E4" s="648"/>
      <c r="F4" s="648"/>
      <c r="G4" s="648"/>
      <c r="H4" s="648"/>
      <c r="I4" s="648"/>
      <c r="J4" s="648"/>
      <c r="K4" s="648"/>
      <c r="L4" s="648"/>
      <c r="M4" s="648"/>
      <c r="N4" s="648"/>
      <c r="O4" s="648"/>
      <c r="P4" s="648"/>
      <c r="Q4" s="648"/>
      <c r="R4" s="648"/>
      <c r="S4" s="648"/>
      <c r="T4" s="648"/>
      <c r="U4" s="648"/>
      <c r="V4" s="648"/>
      <c r="W4" s="648"/>
      <c r="X4" s="648"/>
      <c r="Y4" s="648"/>
      <c r="Z4" s="648"/>
      <c r="AA4" s="648"/>
      <c r="AB4" s="648"/>
      <c r="AC4" s="648"/>
      <c r="AD4" s="648"/>
      <c r="AE4" s="648"/>
      <c r="AF4" s="648"/>
      <c r="AG4" s="648"/>
      <c r="AH4" s="648"/>
      <c r="AI4" s="648"/>
      <c r="AJ4" s="648"/>
      <c r="AK4" s="648"/>
      <c r="AL4" s="648"/>
      <c r="AM4" s="648"/>
      <c r="AN4" s="648"/>
      <c r="AO4" s="648"/>
      <c r="AP4" s="648"/>
      <c r="AQ4" s="648"/>
      <c r="AR4" s="648"/>
      <c r="AS4" s="648"/>
      <c r="AT4" s="648"/>
      <c r="AU4" s="648"/>
    </row>
    <row r="5" spans="1:47">
      <c r="A5" s="648"/>
      <c r="B5" s="648"/>
      <c r="C5" s="648"/>
      <c r="D5" s="648"/>
      <c r="E5" s="648"/>
      <c r="F5" s="648"/>
      <c r="G5" s="648"/>
      <c r="H5" s="648"/>
      <c r="I5" s="648"/>
      <c r="J5" s="648"/>
      <c r="K5" s="648"/>
      <c r="L5" s="648"/>
      <c r="M5" s="648"/>
      <c r="N5" s="648"/>
      <c r="O5" s="648"/>
      <c r="P5" s="648"/>
      <c r="Q5" s="648"/>
      <c r="R5" s="648"/>
      <c r="S5" s="648"/>
      <c r="T5" s="648"/>
      <c r="U5" s="648"/>
      <c r="V5" s="648"/>
      <c r="W5" s="648"/>
      <c r="X5" s="648"/>
      <c r="Y5" s="648"/>
      <c r="Z5" s="648"/>
      <c r="AA5" s="648"/>
      <c r="AB5" s="648"/>
      <c r="AC5" s="648"/>
      <c r="AD5" s="648"/>
      <c r="AE5" s="648"/>
      <c r="AF5" s="648"/>
      <c r="AG5" s="648"/>
      <c r="AH5" s="648"/>
      <c r="AI5" s="648"/>
      <c r="AJ5" s="648"/>
      <c r="AK5" s="648"/>
      <c r="AL5" s="648"/>
      <c r="AM5" s="648"/>
      <c r="AN5" s="648"/>
      <c r="AO5" s="648"/>
      <c r="AP5" s="648"/>
      <c r="AQ5" s="648"/>
      <c r="AR5" s="648"/>
      <c r="AS5" s="648"/>
      <c r="AT5" s="648"/>
      <c r="AU5" s="648"/>
    </row>
    <row r="6" spans="1:47">
      <c r="A6" s="648"/>
      <c r="B6" s="648"/>
      <c r="C6" s="648"/>
      <c r="D6" s="648"/>
      <c r="E6" s="648"/>
      <c r="F6" s="648"/>
      <c r="G6" s="648"/>
      <c r="H6" s="648"/>
      <c r="I6" s="648"/>
      <c r="J6" s="648"/>
      <c r="K6" s="648"/>
      <c r="L6" s="648"/>
      <c r="M6" s="648"/>
      <c r="N6" s="648"/>
      <c r="O6" s="648"/>
      <c r="P6" s="648"/>
      <c r="Q6" s="648"/>
      <c r="R6" s="648"/>
      <c r="S6" s="648"/>
      <c r="T6" s="648"/>
      <c r="U6" s="648"/>
      <c r="V6" s="648"/>
      <c r="W6" s="648"/>
      <c r="X6" s="648"/>
      <c r="Y6" s="648"/>
      <c r="Z6" s="648"/>
      <c r="AA6" s="648"/>
      <c r="AB6" s="648"/>
      <c r="AC6" s="648"/>
      <c r="AD6" s="648"/>
      <c r="AE6" s="648"/>
      <c r="AF6" s="648"/>
      <c r="AG6" s="648"/>
      <c r="AH6" s="648"/>
      <c r="AI6" s="648"/>
      <c r="AJ6" s="648"/>
      <c r="AK6" s="648"/>
      <c r="AL6" s="648"/>
      <c r="AM6" s="648"/>
      <c r="AN6" s="648"/>
      <c r="AO6" s="648"/>
      <c r="AP6" s="648"/>
      <c r="AQ6" s="648"/>
      <c r="AR6" s="648"/>
      <c r="AS6" s="648"/>
      <c r="AT6" s="648"/>
      <c r="AU6" s="648"/>
    </row>
    <row r="7" spans="1:47">
      <c r="A7" s="648"/>
      <c r="B7" s="648"/>
      <c r="C7" s="648"/>
      <c r="D7" s="648"/>
      <c r="E7" s="648"/>
      <c r="F7" s="648"/>
      <c r="G7" s="648"/>
      <c r="H7" s="648"/>
      <c r="I7" s="648"/>
      <c r="J7" s="648"/>
      <c r="K7" s="648"/>
      <c r="L7" s="648"/>
      <c r="M7" s="648"/>
      <c r="N7" s="648"/>
      <c r="O7" s="648"/>
      <c r="P7" s="648"/>
      <c r="Q7" s="648"/>
      <c r="R7" s="648"/>
      <c r="S7" s="648"/>
      <c r="T7" s="648"/>
      <c r="U7" s="648"/>
      <c r="V7" s="648"/>
      <c r="W7" s="648"/>
      <c r="X7" s="648"/>
      <c r="Y7" s="648"/>
      <c r="Z7" s="648"/>
      <c r="AA7" s="648"/>
      <c r="AB7" s="648"/>
      <c r="AC7" s="648"/>
      <c r="AD7" s="648"/>
      <c r="AE7" s="648"/>
      <c r="AF7" s="648"/>
      <c r="AG7" s="648"/>
      <c r="AH7" s="648"/>
      <c r="AI7" s="648"/>
      <c r="AJ7" s="648"/>
      <c r="AK7" s="648"/>
      <c r="AL7" s="648"/>
      <c r="AM7" s="648"/>
      <c r="AN7" s="648"/>
      <c r="AO7" s="648"/>
      <c r="AP7" s="648"/>
      <c r="AQ7" s="648"/>
      <c r="AR7" s="648"/>
      <c r="AS7" s="648"/>
      <c r="AT7" s="648"/>
      <c r="AU7" s="648"/>
    </row>
    <row r="8" spans="1:47">
      <c r="A8" s="648"/>
      <c r="B8" s="648"/>
      <c r="C8" s="648"/>
      <c r="D8" s="648"/>
      <c r="E8" s="648"/>
      <c r="F8" s="648"/>
      <c r="G8" s="648"/>
      <c r="H8" s="648"/>
      <c r="I8" s="648"/>
      <c r="J8" s="648"/>
      <c r="K8" s="648"/>
      <c r="L8" s="648"/>
      <c r="M8" s="648"/>
      <c r="N8" s="648"/>
      <c r="O8" s="648"/>
      <c r="P8" s="648"/>
      <c r="Q8" s="648"/>
      <c r="R8" s="648"/>
      <c r="S8" s="648"/>
      <c r="T8" s="648"/>
      <c r="U8" s="648"/>
      <c r="V8" s="648"/>
      <c r="W8" s="648"/>
      <c r="X8" s="648"/>
      <c r="Y8" s="648"/>
      <c r="Z8" s="648"/>
      <c r="AA8" s="648"/>
      <c r="AB8" s="648"/>
      <c r="AC8" s="648"/>
      <c r="AD8" s="648"/>
      <c r="AE8" s="648"/>
      <c r="AF8" s="648"/>
      <c r="AG8" s="648"/>
      <c r="AH8" s="648"/>
      <c r="AI8" s="648"/>
      <c r="AJ8" s="648"/>
      <c r="AK8" s="648"/>
      <c r="AL8" s="648"/>
      <c r="AM8" s="648"/>
      <c r="AN8" s="648"/>
      <c r="AO8" s="648"/>
      <c r="AP8" s="648"/>
      <c r="AQ8" s="648"/>
      <c r="AR8" s="648"/>
      <c r="AS8" s="648"/>
      <c r="AT8" s="648"/>
      <c r="AU8" s="648"/>
    </row>
    <row r="9" spans="1:47">
      <c r="A9" s="648"/>
      <c r="B9" s="648"/>
      <c r="C9" s="648"/>
      <c r="D9" s="648"/>
      <c r="E9" s="648"/>
      <c r="F9" s="648"/>
      <c r="G9" s="648"/>
      <c r="H9" s="648"/>
      <c r="I9" s="648"/>
      <c r="J9" s="648"/>
      <c r="K9" s="648"/>
      <c r="L9" s="648"/>
      <c r="M9" s="648"/>
      <c r="N9" s="648"/>
      <c r="O9" s="648"/>
      <c r="P9" s="648"/>
      <c r="Q9" s="648"/>
      <c r="R9" s="648"/>
      <c r="S9" s="648"/>
      <c r="T9" s="648"/>
      <c r="U9" s="648"/>
      <c r="V9" s="648"/>
      <c r="W9" s="648"/>
      <c r="X9" s="648"/>
      <c r="Y9" s="648"/>
      <c r="Z9" s="648"/>
      <c r="AA9" s="648"/>
      <c r="AB9" s="648"/>
      <c r="AC9" s="648"/>
      <c r="AD9" s="648"/>
      <c r="AE9" s="648"/>
      <c r="AF9" s="648"/>
      <c r="AG9" s="648"/>
      <c r="AH9" s="648"/>
      <c r="AI9" s="648"/>
      <c r="AJ9" s="648"/>
      <c r="AK9" s="648"/>
      <c r="AL9" s="648"/>
      <c r="AM9" s="648"/>
      <c r="AN9" s="648"/>
      <c r="AO9" s="648"/>
      <c r="AP9" s="648"/>
      <c r="AQ9" s="648"/>
      <c r="AR9" s="648"/>
      <c r="AS9" s="648"/>
      <c r="AT9" s="648"/>
      <c r="AU9" s="648"/>
    </row>
    <row r="10" spans="1:47">
      <c r="A10" s="648"/>
      <c r="B10" s="648"/>
      <c r="C10" s="648"/>
      <c r="D10" s="648"/>
      <c r="E10" s="648"/>
      <c r="F10" s="648"/>
      <c r="G10" s="648"/>
      <c r="H10" s="648"/>
      <c r="I10" s="648"/>
      <c r="J10" s="648"/>
      <c r="K10" s="648"/>
      <c r="L10" s="648"/>
      <c r="M10" s="648"/>
      <c r="N10" s="648"/>
      <c r="O10" s="648"/>
      <c r="P10" s="648"/>
      <c r="Q10" s="648"/>
      <c r="R10" s="648"/>
      <c r="S10" s="648"/>
      <c r="T10" s="648"/>
      <c r="U10" s="648"/>
      <c r="V10" s="648"/>
      <c r="W10" s="648"/>
      <c r="X10" s="648"/>
      <c r="Y10" s="648"/>
      <c r="Z10" s="648"/>
      <c r="AA10" s="648"/>
      <c r="AB10" s="648"/>
      <c r="AC10" s="648"/>
      <c r="AD10" s="648"/>
      <c r="AE10" s="648"/>
      <c r="AF10" s="648"/>
      <c r="AG10" s="648"/>
      <c r="AH10" s="648"/>
      <c r="AI10" s="648"/>
      <c r="AJ10" s="648"/>
      <c r="AK10" s="648"/>
      <c r="AL10" s="648"/>
      <c r="AM10" s="648"/>
      <c r="AN10" s="648"/>
      <c r="AO10" s="648"/>
      <c r="AP10" s="648"/>
      <c r="AQ10" s="648"/>
      <c r="AR10" s="648"/>
      <c r="AS10" s="648"/>
      <c r="AT10" s="648"/>
      <c r="AU10" s="648"/>
    </row>
    <row r="11" spans="1:47">
      <c r="A11" s="648"/>
      <c r="B11" s="648"/>
      <c r="C11" s="648"/>
      <c r="D11" s="648"/>
      <c r="E11" s="648"/>
      <c r="F11" s="648"/>
      <c r="G11" s="648"/>
      <c r="H11" s="648"/>
      <c r="I11" s="648"/>
      <c r="J11" s="648"/>
      <c r="K11" s="648"/>
      <c r="L11" s="648"/>
      <c r="M11" s="648"/>
      <c r="N11" s="648"/>
      <c r="O11" s="648"/>
      <c r="P11" s="648"/>
      <c r="Q11" s="648"/>
      <c r="R11" s="648"/>
      <c r="S11" s="648"/>
      <c r="T11" s="648"/>
      <c r="U11" s="648"/>
      <c r="V11" s="648"/>
      <c r="W11" s="648"/>
      <c r="X11" s="648"/>
      <c r="Y11" s="648"/>
      <c r="Z11" s="648"/>
      <c r="AA11" s="648"/>
      <c r="AB11" s="648"/>
      <c r="AC11" s="648"/>
      <c r="AD11" s="648"/>
      <c r="AE11" s="648"/>
      <c r="AF11" s="648"/>
      <c r="AG11" s="648"/>
      <c r="AH11" s="648"/>
      <c r="AI11" s="648"/>
      <c r="AJ11" s="648"/>
      <c r="AK11" s="648"/>
      <c r="AL11" s="648"/>
      <c r="AM11" s="648"/>
      <c r="AN11" s="648"/>
      <c r="AO11" s="648"/>
      <c r="AP11" s="648"/>
      <c r="AQ11" s="648"/>
      <c r="AR11" s="648"/>
      <c r="AS11" s="648"/>
      <c r="AT11" s="648"/>
      <c r="AU11" s="648"/>
    </row>
    <row r="12" spans="1:47">
      <c r="A12" s="648"/>
      <c r="B12" s="648"/>
      <c r="C12" s="648"/>
      <c r="D12" s="648"/>
      <c r="E12" s="648"/>
      <c r="F12" s="648"/>
      <c r="G12" s="648"/>
      <c r="H12" s="648"/>
      <c r="I12" s="648"/>
      <c r="J12" s="648"/>
      <c r="K12" s="648"/>
      <c r="L12" s="648"/>
      <c r="M12" s="648"/>
      <c r="N12" s="648"/>
      <c r="O12" s="648"/>
      <c r="P12" s="648"/>
      <c r="Q12" s="648"/>
      <c r="R12" s="648"/>
      <c r="S12" s="648"/>
      <c r="T12" s="648"/>
      <c r="U12" s="648"/>
      <c r="V12" s="648"/>
      <c r="W12" s="648"/>
      <c r="X12" s="648"/>
      <c r="Y12" s="648"/>
      <c r="Z12" s="648"/>
      <c r="AA12" s="648"/>
      <c r="AB12" s="648"/>
      <c r="AC12" s="648"/>
      <c r="AD12" s="648"/>
      <c r="AE12" s="648"/>
      <c r="AF12" s="648"/>
      <c r="AG12" s="648"/>
      <c r="AH12" s="648"/>
      <c r="AI12" s="648"/>
      <c r="AJ12" s="648"/>
      <c r="AK12" s="648"/>
      <c r="AL12" s="648"/>
      <c r="AM12" s="648"/>
      <c r="AN12" s="648"/>
      <c r="AO12" s="648"/>
      <c r="AP12" s="648"/>
      <c r="AQ12" s="648"/>
      <c r="AR12" s="648"/>
      <c r="AS12" s="648"/>
      <c r="AT12" s="648"/>
      <c r="AU12" s="648"/>
    </row>
    <row r="13" spans="1:47">
      <c r="A13" s="648"/>
      <c r="B13" s="648"/>
      <c r="C13" s="648"/>
      <c r="D13" s="648"/>
      <c r="E13" s="648"/>
      <c r="F13" s="648"/>
      <c r="G13" s="648"/>
      <c r="H13" s="648"/>
      <c r="I13" s="648"/>
      <c r="J13" s="648"/>
      <c r="K13" s="648"/>
      <c r="L13" s="648"/>
      <c r="M13" s="648"/>
      <c r="N13" s="648"/>
      <c r="O13" s="648"/>
      <c r="P13" s="648"/>
      <c r="Q13" s="648"/>
      <c r="R13" s="648"/>
      <c r="S13" s="648"/>
      <c r="T13" s="648"/>
      <c r="U13" s="648"/>
      <c r="V13" s="648"/>
      <c r="W13" s="648"/>
      <c r="X13" s="648"/>
      <c r="Y13" s="648"/>
      <c r="Z13" s="648"/>
      <c r="AA13" s="648"/>
      <c r="AB13" s="648"/>
      <c r="AC13" s="648"/>
      <c r="AD13" s="648"/>
      <c r="AE13" s="648"/>
      <c r="AF13" s="648"/>
      <c r="AG13" s="648"/>
      <c r="AH13" s="648"/>
      <c r="AI13" s="648"/>
      <c r="AJ13" s="648"/>
      <c r="AK13" s="648"/>
      <c r="AL13" s="648"/>
      <c r="AM13" s="648"/>
      <c r="AN13" s="648"/>
      <c r="AO13" s="648"/>
      <c r="AP13" s="648"/>
      <c r="AQ13" s="648"/>
      <c r="AR13" s="648"/>
      <c r="AS13" s="648"/>
      <c r="AT13" s="648"/>
      <c r="AU13" s="648"/>
    </row>
    <row r="14" spans="1:47">
      <c r="A14" s="648"/>
      <c r="B14" s="648"/>
      <c r="C14" s="648"/>
      <c r="D14" s="648"/>
      <c r="E14" s="648"/>
      <c r="F14" s="648"/>
      <c r="G14" s="648"/>
      <c r="H14" s="648"/>
      <c r="I14" s="648"/>
      <c r="J14" s="648"/>
      <c r="K14" s="648"/>
      <c r="L14" s="648"/>
      <c r="M14" s="648"/>
      <c r="N14" s="648"/>
      <c r="O14" s="648"/>
      <c r="P14" s="648"/>
      <c r="Q14" s="648"/>
      <c r="R14" s="648"/>
      <c r="S14" s="648"/>
      <c r="T14" s="648"/>
      <c r="U14" s="648"/>
      <c r="V14" s="648"/>
      <c r="W14" s="648"/>
      <c r="X14" s="648"/>
      <c r="Y14" s="648"/>
      <c r="Z14" s="648"/>
      <c r="AA14" s="648"/>
      <c r="AB14" s="648"/>
      <c r="AC14" s="648"/>
      <c r="AD14" s="648"/>
      <c r="AE14" s="648"/>
      <c r="AF14" s="648"/>
      <c r="AG14" s="648"/>
      <c r="AH14" s="648"/>
      <c r="AI14" s="648"/>
      <c r="AJ14" s="648"/>
      <c r="AK14" s="648"/>
      <c r="AL14" s="648"/>
      <c r="AM14" s="648"/>
      <c r="AN14" s="648"/>
      <c r="AO14" s="648"/>
      <c r="AP14" s="648"/>
      <c r="AQ14" s="648"/>
      <c r="AR14" s="648"/>
      <c r="AS14" s="648"/>
      <c r="AT14" s="648"/>
      <c r="AU14" s="648"/>
    </row>
    <row r="15" spans="1:47">
      <c r="A15" s="648"/>
      <c r="B15" s="648"/>
      <c r="C15" s="648"/>
      <c r="D15" s="648"/>
      <c r="E15" s="648"/>
      <c r="F15" s="648"/>
      <c r="G15" s="648"/>
      <c r="H15" s="648"/>
      <c r="I15" s="648"/>
      <c r="J15" s="648"/>
      <c r="K15" s="648"/>
      <c r="L15" s="648"/>
      <c r="M15" s="648"/>
      <c r="N15" s="648"/>
      <c r="O15" s="648"/>
      <c r="P15" s="648"/>
      <c r="Q15" s="648"/>
      <c r="R15" s="648"/>
      <c r="S15" s="648"/>
      <c r="T15" s="648"/>
      <c r="U15" s="648"/>
      <c r="V15" s="648"/>
      <c r="W15" s="648"/>
      <c r="X15" s="648"/>
      <c r="Y15" s="648"/>
      <c r="Z15" s="648"/>
      <c r="AA15" s="648"/>
      <c r="AB15" s="648"/>
      <c r="AC15" s="648"/>
      <c r="AD15" s="648"/>
      <c r="AE15" s="648"/>
      <c r="AF15" s="648"/>
      <c r="AG15" s="648"/>
      <c r="AH15" s="648"/>
      <c r="AI15" s="648"/>
      <c r="AJ15" s="648"/>
      <c r="AK15" s="648"/>
      <c r="AL15" s="648"/>
      <c r="AM15" s="648"/>
      <c r="AN15" s="648"/>
      <c r="AO15" s="648"/>
      <c r="AP15" s="648"/>
      <c r="AQ15" s="648"/>
      <c r="AR15" s="648"/>
      <c r="AS15" s="648"/>
      <c r="AT15" s="648"/>
      <c r="AU15" s="648"/>
    </row>
    <row r="16" spans="1:47">
      <c r="A16" s="648"/>
      <c r="B16" s="648"/>
      <c r="C16" s="648"/>
      <c r="D16" s="648"/>
      <c r="E16" s="648"/>
      <c r="F16" s="648"/>
      <c r="G16" s="648"/>
      <c r="H16" s="648"/>
      <c r="I16" s="648"/>
      <c r="J16" s="648"/>
      <c r="K16" s="648"/>
      <c r="L16" s="648"/>
      <c r="M16" s="648"/>
      <c r="N16" s="648"/>
      <c r="O16" s="648"/>
      <c r="P16" s="648"/>
      <c r="Q16" s="648"/>
      <c r="R16" s="648"/>
      <c r="S16" s="648"/>
      <c r="T16" s="648"/>
      <c r="U16" s="648"/>
      <c r="V16" s="648"/>
      <c r="W16" s="648"/>
      <c r="X16" s="648"/>
      <c r="Y16" s="648"/>
      <c r="Z16" s="648"/>
      <c r="AA16" s="648"/>
      <c r="AB16" s="648"/>
      <c r="AC16" s="648"/>
      <c r="AD16" s="648"/>
      <c r="AE16" s="648"/>
      <c r="AF16" s="648"/>
      <c r="AG16" s="648"/>
      <c r="AH16" s="648"/>
      <c r="AI16" s="648"/>
      <c r="AJ16" s="648"/>
      <c r="AK16" s="648"/>
      <c r="AL16" s="648"/>
      <c r="AM16" s="648"/>
      <c r="AN16" s="648"/>
      <c r="AO16" s="648"/>
      <c r="AP16" s="648"/>
      <c r="AQ16" s="648"/>
      <c r="AR16" s="648"/>
      <c r="AS16" s="648"/>
      <c r="AT16" s="648"/>
      <c r="AU16" s="648"/>
    </row>
    <row r="17" spans="1:47">
      <c r="A17" s="648"/>
      <c r="B17" s="648"/>
      <c r="C17" s="648"/>
      <c r="D17" s="648"/>
      <c r="E17" s="648"/>
      <c r="F17" s="648"/>
      <c r="G17" s="648"/>
      <c r="H17" s="648"/>
      <c r="I17" s="648"/>
      <c r="J17" s="648"/>
      <c r="K17" s="648"/>
      <c r="L17" s="648"/>
      <c r="M17" s="648"/>
      <c r="N17" s="648"/>
      <c r="O17" s="648"/>
      <c r="P17" s="648"/>
      <c r="Q17" s="648"/>
      <c r="R17" s="648"/>
      <c r="S17" s="648"/>
      <c r="T17" s="648"/>
      <c r="U17" s="648"/>
      <c r="V17" s="648"/>
      <c r="W17" s="648"/>
      <c r="X17" s="648"/>
      <c r="Y17" s="648"/>
      <c r="Z17" s="648"/>
      <c r="AA17" s="648"/>
      <c r="AB17" s="648"/>
      <c r="AC17" s="648"/>
      <c r="AD17" s="648"/>
      <c r="AE17" s="648"/>
      <c r="AF17" s="648"/>
      <c r="AG17" s="648"/>
      <c r="AH17" s="648"/>
      <c r="AI17" s="648"/>
      <c r="AJ17" s="648"/>
      <c r="AK17" s="648"/>
      <c r="AL17" s="648"/>
      <c r="AM17" s="648"/>
      <c r="AN17" s="648"/>
      <c r="AO17" s="648"/>
      <c r="AP17" s="648"/>
      <c r="AQ17" s="648"/>
      <c r="AR17" s="648"/>
      <c r="AS17" s="648"/>
      <c r="AT17" s="648"/>
      <c r="AU17" s="648"/>
    </row>
    <row r="18" spans="1:47">
      <c r="A18" s="648"/>
      <c r="B18" s="648"/>
      <c r="C18" s="648"/>
      <c r="D18" s="648"/>
      <c r="E18" s="648"/>
      <c r="F18" s="648"/>
      <c r="G18" s="648"/>
      <c r="H18" s="648"/>
      <c r="I18" s="648"/>
      <c r="J18" s="648"/>
      <c r="K18" s="648"/>
      <c r="L18" s="648"/>
      <c r="M18" s="648"/>
      <c r="N18" s="648"/>
      <c r="O18" s="648"/>
      <c r="P18" s="648"/>
      <c r="Q18" s="648"/>
      <c r="R18" s="648"/>
      <c r="S18" s="648"/>
      <c r="T18" s="648"/>
      <c r="U18" s="648"/>
      <c r="V18" s="648"/>
      <c r="W18" s="648"/>
      <c r="X18" s="648"/>
      <c r="Y18" s="648"/>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row>
    <row r="19" spans="1:47">
      <c r="A19" s="648"/>
      <c r="B19" s="648"/>
      <c r="C19" s="648"/>
      <c r="D19" s="648"/>
      <c r="E19" s="648"/>
      <c r="F19" s="648"/>
      <c r="G19" s="648"/>
      <c r="H19" s="648"/>
      <c r="I19" s="648"/>
      <c r="J19" s="648"/>
      <c r="K19" s="648"/>
      <c r="L19" s="648"/>
      <c r="M19" s="648"/>
      <c r="N19" s="648"/>
      <c r="O19" s="648"/>
      <c r="P19" s="648"/>
      <c r="Q19" s="648"/>
      <c r="R19" s="648"/>
      <c r="S19" s="648"/>
      <c r="T19" s="648"/>
      <c r="U19" s="648"/>
      <c r="V19" s="648"/>
      <c r="W19" s="648"/>
      <c r="X19" s="648"/>
      <c r="Y19" s="648"/>
      <c r="Z19" s="648"/>
      <c r="AA19" s="648"/>
      <c r="AB19" s="648"/>
      <c r="AC19" s="648"/>
      <c r="AD19" s="648"/>
      <c r="AE19" s="648"/>
      <c r="AF19" s="648"/>
      <c r="AG19" s="648"/>
      <c r="AH19" s="648"/>
      <c r="AI19" s="648"/>
      <c r="AJ19" s="648"/>
      <c r="AK19" s="648"/>
      <c r="AL19" s="648"/>
      <c r="AM19" s="648"/>
      <c r="AN19" s="648"/>
      <c r="AO19" s="648"/>
      <c r="AP19" s="648"/>
      <c r="AQ19" s="648"/>
      <c r="AR19" s="648"/>
      <c r="AS19" s="648"/>
      <c r="AT19" s="648"/>
      <c r="AU19" s="648"/>
    </row>
    <row r="20" spans="1:47">
      <c r="A20" s="648"/>
      <c r="B20" s="648"/>
      <c r="C20" s="648"/>
      <c r="D20" s="648"/>
      <c r="E20" s="648"/>
      <c r="F20" s="648"/>
      <c r="G20" s="648"/>
      <c r="H20" s="648"/>
      <c r="I20" s="648"/>
      <c r="J20" s="648"/>
      <c r="K20" s="648"/>
      <c r="L20" s="648"/>
      <c r="M20" s="648"/>
      <c r="N20" s="648"/>
      <c r="O20" s="648"/>
      <c r="P20" s="648"/>
      <c r="Q20" s="648"/>
      <c r="R20" s="648"/>
      <c r="S20" s="648"/>
      <c r="T20" s="648"/>
      <c r="U20" s="648"/>
      <c r="V20" s="648"/>
      <c r="W20" s="648"/>
      <c r="X20" s="648"/>
      <c r="Y20" s="648"/>
      <c r="Z20" s="648"/>
      <c r="AA20" s="648"/>
      <c r="AB20" s="648"/>
      <c r="AC20" s="648"/>
      <c r="AD20" s="648"/>
      <c r="AE20" s="648"/>
      <c r="AF20" s="648"/>
      <c r="AG20" s="648"/>
      <c r="AH20" s="648"/>
      <c r="AI20" s="648"/>
      <c r="AJ20" s="648"/>
      <c r="AK20" s="648"/>
      <c r="AL20" s="648"/>
      <c r="AM20" s="648"/>
      <c r="AN20" s="648"/>
      <c r="AO20" s="648"/>
      <c r="AP20" s="648"/>
      <c r="AQ20" s="648"/>
      <c r="AR20" s="648"/>
      <c r="AS20" s="648"/>
      <c r="AT20" s="648"/>
      <c r="AU20" s="648"/>
    </row>
    <row r="21" spans="1:47">
      <c r="A21" s="648"/>
      <c r="B21" s="648"/>
      <c r="C21" s="648"/>
      <c r="D21" s="648"/>
      <c r="E21" s="648"/>
      <c r="F21" s="648"/>
      <c r="G21" s="648"/>
      <c r="H21" s="648"/>
      <c r="I21" s="648"/>
      <c r="J21" s="648"/>
      <c r="K21" s="648"/>
      <c r="L21" s="648"/>
      <c r="M21" s="648"/>
      <c r="N21" s="648"/>
      <c r="O21" s="648"/>
      <c r="P21" s="648"/>
      <c r="Q21" s="648"/>
      <c r="R21" s="648"/>
      <c r="S21" s="648"/>
      <c r="T21" s="648"/>
      <c r="U21" s="648"/>
      <c r="V21" s="648"/>
      <c r="W21" s="648"/>
      <c r="X21" s="648"/>
      <c r="Y21" s="648"/>
      <c r="Z21" s="648"/>
      <c r="AA21" s="648"/>
      <c r="AB21" s="648"/>
      <c r="AC21" s="648"/>
      <c r="AD21" s="648"/>
      <c r="AE21" s="648"/>
      <c r="AF21" s="648"/>
      <c r="AG21" s="648"/>
      <c r="AH21" s="648"/>
      <c r="AI21" s="648"/>
      <c r="AJ21" s="648"/>
      <c r="AK21" s="648"/>
      <c r="AL21" s="648"/>
      <c r="AM21" s="648"/>
      <c r="AN21" s="648"/>
      <c r="AO21" s="648"/>
      <c r="AP21" s="648"/>
      <c r="AQ21" s="648"/>
      <c r="AR21" s="648"/>
      <c r="AS21" s="648"/>
      <c r="AT21" s="648"/>
      <c r="AU21" s="648"/>
    </row>
    <row r="22" spans="1:47">
      <c r="A22" s="648"/>
      <c r="B22" s="648"/>
      <c r="C22" s="648"/>
      <c r="D22" s="648"/>
      <c r="E22" s="648"/>
      <c r="F22" s="648"/>
      <c r="G22" s="648"/>
      <c r="H22" s="648"/>
      <c r="I22" s="648"/>
      <c r="J22" s="648"/>
      <c r="K22" s="648"/>
      <c r="L22" s="648"/>
      <c r="M22" s="648"/>
      <c r="N22" s="648"/>
      <c r="O22" s="648"/>
      <c r="P22" s="648"/>
      <c r="Q22" s="648"/>
      <c r="R22" s="648"/>
      <c r="S22" s="648"/>
      <c r="T22" s="648"/>
      <c r="U22" s="648"/>
      <c r="V22" s="648"/>
      <c r="W22" s="648"/>
      <c r="X22" s="648"/>
      <c r="Y22" s="648"/>
      <c r="Z22" s="648"/>
      <c r="AA22" s="648"/>
      <c r="AB22" s="648"/>
      <c r="AC22" s="648"/>
      <c r="AD22" s="648"/>
      <c r="AE22" s="648"/>
      <c r="AF22" s="648"/>
      <c r="AG22" s="648"/>
      <c r="AH22" s="648"/>
      <c r="AI22" s="648"/>
      <c r="AJ22" s="648"/>
      <c r="AK22" s="648"/>
      <c r="AL22" s="648"/>
      <c r="AM22" s="648"/>
      <c r="AN22" s="648"/>
      <c r="AO22" s="648"/>
      <c r="AP22" s="648"/>
      <c r="AQ22" s="648"/>
      <c r="AR22" s="648"/>
      <c r="AS22" s="648"/>
      <c r="AT22" s="648"/>
      <c r="AU22" s="648"/>
    </row>
    <row r="23" spans="1:47">
      <c r="A23" s="648"/>
      <c r="B23" s="648"/>
      <c r="C23" s="648"/>
      <c r="D23" s="648"/>
      <c r="E23" s="648"/>
      <c r="F23" s="648"/>
      <c r="G23" s="648"/>
      <c r="H23" s="648"/>
      <c r="I23" s="648"/>
      <c r="J23" s="648"/>
      <c r="K23" s="648"/>
      <c r="L23" s="648"/>
      <c r="M23" s="648"/>
      <c r="N23" s="648"/>
      <c r="O23" s="648"/>
      <c r="P23" s="648"/>
      <c r="Q23" s="648"/>
      <c r="R23" s="648"/>
      <c r="S23" s="648"/>
      <c r="T23" s="648"/>
      <c r="U23" s="648"/>
      <c r="V23" s="648"/>
      <c r="W23" s="648"/>
      <c r="X23" s="648"/>
      <c r="Y23" s="648"/>
      <c r="Z23" s="648"/>
      <c r="AA23" s="648"/>
      <c r="AB23" s="648"/>
      <c r="AC23" s="648"/>
      <c r="AD23" s="648"/>
      <c r="AE23" s="648"/>
      <c r="AF23" s="648"/>
      <c r="AG23" s="648"/>
      <c r="AH23" s="648"/>
      <c r="AI23" s="648"/>
      <c r="AJ23" s="648"/>
      <c r="AK23" s="648"/>
      <c r="AL23" s="648"/>
      <c r="AM23" s="648"/>
      <c r="AN23" s="648"/>
      <c r="AO23" s="648"/>
      <c r="AP23" s="648"/>
      <c r="AQ23" s="648"/>
      <c r="AR23" s="648"/>
      <c r="AS23" s="648"/>
      <c r="AT23" s="648"/>
      <c r="AU23" s="648"/>
    </row>
    <row r="24" spans="1:47">
      <c r="A24" s="648"/>
      <c r="B24" s="648"/>
      <c r="C24" s="648"/>
      <c r="D24" s="648"/>
      <c r="E24" s="648"/>
      <c r="F24" s="648"/>
      <c r="G24" s="648"/>
      <c r="H24" s="648"/>
      <c r="I24" s="648"/>
      <c r="J24" s="648"/>
      <c r="K24" s="648"/>
      <c r="L24" s="648"/>
      <c r="M24" s="648"/>
      <c r="N24" s="648"/>
      <c r="O24" s="648"/>
      <c r="P24" s="648"/>
      <c r="Q24" s="648"/>
      <c r="R24" s="648"/>
      <c r="S24" s="648"/>
      <c r="T24" s="648"/>
      <c r="U24" s="648"/>
      <c r="V24" s="648"/>
      <c r="W24" s="648"/>
      <c r="X24" s="648"/>
      <c r="Y24" s="648"/>
      <c r="Z24" s="648"/>
      <c r="AA24" s="648"/>
      <c r="AB24" s="648"/>
      <c r="AC24" s="648"/>
      <c r="AD24" s="648"/>
      <c r="AE24" s="648"/>
      <c r="AF24" s="648"/>
      <c r="AG24" s="648"/>
      <c r="AH24" s="648"/>
      <c r="AI24" s="648"/>
      <c r="AJ24" s="648"/>
      <c r="AK24" s="648"/>
      <c r="AL24" s="648"/>
      <c r="AM24" s="648"/>
      <c r="AN24" s="648"/>
      <c r="AO24" s="648"/>
      <c r="AP24" s="648"/>
      <c r="AQ24" s="648"/>
      <c r="AR24" s="648"/>
      <c r="AS24" s="648"/>
      <c r="AT24" s="648"/>
      <c r="AU24" s="648"/>
    </row>
    <row r="25" spans="1:47">
      <c r="A25" s="648"/>
      <c r="B25" s="648"/>
      <c r="C25" s="648"/>
      <c r="D25" s="648"/>
      <c r="E25" s="648"/>
      <c r="F25" s="648"/>
      <c r="G25" s="648"/>
      <c r="H25" s="648"/>
      <c r="I25" s="648"/>
      <c r="J25" s="648"/>
      <c r="K25" s="648"/>
      <c r="L25" s="648"/>
      <c r="M25" s="648"/>
      <c r="N25" s="648"/>
      <c r="O25" s="648"/>
      <c r="P25" s="648"/>
      <c r="Q25" s="648"/>
      <c r="R25" s="648"/>
      <c r="S25" s="648"/>
      <c r="T25" s="648"/>
      <c r="U25" s="648"/>
      <c r="V25" s="648"/>
      <c r="W25" s="648"/>
      <c r="X25" s="648"/>
      <c r="Y25" s="648"/>
      <c r="Z25" s="648"/>
      <c r="AA25" s="648"/>
      <c r="AB25" s="648"/>
      <c r="AC25" s="648"/>
      <c r="AD25" s="648"/>
      <c r="AE25" s="648"/>
      <c r="AF25" s="648"/>
      <c r="AG25" s="648"/>
      <c r="AH25" s="648"/>
      <c r="AI25" s="648"/>
      <c r="AJ25" s="648"/>
      <c r="AK25" s="648"/>
      <c r="AL25" s="648"/>
      <c r="AM25" s="648"/>
      <c r="AN25" s="648"/>
      <c r="AO25" s="648"/>
      <c r="AP25" s="648"/>
      <c r="AQ25" s="648"/>
      <c r="AR25" s="648"/>
      <c r="AS25" s="648"/>
      <c r="AT25" s="648"/>
      <c r="AU25" s="648"/>
    </row>
    <row r="26" spans="1:47">
      <c r="A26" s="648"/>
      <c r="B26" s="648"/>
      <c r="C26" s="648"/>
      <c r="D26" s="648"/>
      <c r="E26" s="648"/>
      <c r="F26" s="648"/>
      <c r="G26" s="648"/>
      <c r="H26" s="648"/>
      <c r="I26" s="648"/>
      <c r="J26" s="648"/>
      <c r="K26" s="648"/>
      <c r="L26" s="648"/>
      <c r="M26" s="648"/>
      <c r="N26" s="648"/>
      <c r="O26" s="648"/>
      <c r="P26" s="648"/>
      <c r="Q26" s="648"/>
      <c r="R26" s="648"/>
      <c r="S26" s="648"/>
      <c r="T26" s="648"/>
      <c r="U26" s="648"/>
      <c r="V26" s="648"/>
      <c r="W26" s="648"/>
      <c r="X26" s="648"/>
      <c r="Y26" s="648"/>
      <c r="Z26" s="648"/>
      <c r="AA26" s="648"/>
      <c r="AB26" s="648"/>
      <c r="AC26" s="648"/>
      <c r="AD26" s="648"/>
      <c r="AE26" s="648"/>
      <c r="AF26" s="648"/>
      <c r="AG26" s="648"/>
      <c r="AH26" s="648"/>
      <c r="AI26" s="648"/>
      <c r="AJ26" s="648"/>
      <c r="AK26" s="648"/>
      <c r="AL26" s="648"/>
      <c r="AM26" s="648"/>
      <c r="AN26" s="648"/>
      <c r="AO26" s="648"/>
      <c r="AP26" s="648"/>
      <c r="AQ26" s="648"/>
      <c r="AR26" s="648"/>
      <c r="AS26" s="648"/>
      <c r="AT26" s="648"/>
      <c r="AU26" s="648"/>
    </row>
    <row r="27" spans="1:47">
      <c r="A27" s="648"/>
      <c r="B27" s="648"/>
      <c r="C27" s="648"/>
      <c r="D27" s="648"/>
      <c r="E27" s="648"/>
      <c r="F27" s="648"/>
      <c r="G27" s="648"/>
      <c r="H27" s="648"/>
      <c r="I27" s="648"/>
      <c r="J27" s="648"/>
      <c r="K27" s="648"/>
      <c r="L27" s="648"/>
      <c r="M27" s="648"/>
      <c r="N27" s="648"/>
      <c r="O27" s="648"/>
      <c r="P27" s="648"/>
      <c r="Q27" s="648"/>
      <c r="R27" s="648"/>
      <c r="S27" s="648"/>
      <c r="T27" s="648"/>
      <c r="U27" s="648"/>
      <c r="V27" s="648"/>
      <c r="W27" s="648"/>
      <c r="X27" s="648"/>
      <c r="Y27" s="648"/>
      <c r="Z27" s="648"/>
      <c r="AA27" s="648"/>
      <c r="AB27" s="648"/>
      <c r="AC27" s="648"/>
      <c r="AD27" s="648"/>
      <c r="AE27" s="648"/>
      <c r="AF27" s="648"/>
      <c r="AG27" s="648"/>
      <c r="AH27" s="648"/>
      <c r="AI27" s="648"/>
      <c r="AJ27" s="648"/>
      <c r="AK27" s="648"/>
      <c r="AL27" s="648"/>
      <c r="AM27" s="648"/>
      <c r="AN27" s="648"/>
      <c r="AO27" s="648"/>
      <c r="AP27" s="648"/>
      <c r="AQ27" s="648"/>
      <c r="AR27" s="648"/>
      <c r="AS27" s="648"/>
      <c r="AT27" s="648"/>
      <c r="AU27" s="648"/>
    </row>
    <row r="28" spans="1:47">
      <c r="A28" s="648"/>
      <c r="B28" s="648"/>
      <c r="C28" s="648"/>
      <c r="D28" s="648"/>
      <c r="E28" s="648"/>
      <c r="F28" s="648"/>
      <c r="G28" s="648"/>
      <c r="H28" s="648"/>
      <c r="I28" s="648"/>
      <c r="J28" s="648"/>
      <c r="K28" s="648"/>
      <c r="L28" s="648"/>
      <c r="M28" s="648"/>
      <c r="N28" s="648"/>
      <c r="O28" s="648"/>
      <c r="P28" s="648"/>
      <c r="Q28" s="648"/>
      <c r="R28" s="648"/>
      <c r="S28" s="648"/>
      <c r="T28" s="648"/>
      <c r="U28" s="648"/>
      <c r="V28" s="648"/>
      <c r="W28" s="648"/>
      <c r="X28" s="648"/>
      <c r="Y28" s="648"/>
      <c r="Z28" s="648"/>
      <c r="AA28" s="648"/>
      <c r="AB28" s="648"/>
      <c r="AC28" s="648"/>
      <c r="AD28" s="648"/>
      <c r="AE28" s="648"/>
      <c r="AF28" s="648"/>
      <c r="AG28" s="648"/>
      <c r="AH28" s="648"/>
      <c r="AI28" s="648"/>
      <c r="AJ28" s="648"/>
      <c r="AK28" s="648"/>
      <c r="AL28" s="648"/>
      <c r="AM28" s="648"/>
      <c r="AN28" s="648"/>
      <c r="AO28" s="648"/>
      <c r="AP28" s="648"/>
      <c r="AQ28" s="648"/>
      <c r="AR28" s="648"/>
      <c r="AS28" s="648"/>
      <c r="AT28" s="648"/>
      <c r="AU28" s="648"/>
    </row>
    <row r="29" spans="1:47">
      <c r="A29" s="648"/>
      <c r="B29" s="648"/>
      <c r="C29" s="648"/>
      <c r="D29" s="648"/>
      <c r="E29" s="648"/>
      <c r="F29" s="648"/>
      <c r="G29" s="648"/>
      <c r="H29" s="648"/>
      <c r="I29" s="648"/>
      <c r="J29" s="648"/>
      <c r="K29" s="648"/>
      <c r="L29" s="648"/>
      <c r="M29" s="648"/>
      <c r="N29" s="648"/>
      <c r="O29" s="648"/>
      <c r="P29" s="648"/>
      <c r="Q29" s="648"/>
      <c r="R29" s="648"/>
      <c r="S29" s="648"/>
      <c r="T29" s="648"/>
      <c r="U29" s="648"/>
      <c r="V29" s="648"/>
      <c r="W29" s="648"/>
      <c r="X29" s="648"/>
      <c r="Y29" s="648"/>
      <c r="Z29" s="648"/>
      <c r="AA29" s="648"/>
      <c r="AB29" s="648"/>
      <c r="AC29" s="648"/>
      <c r="AD29" s="648"/>
      <c r="AE29" s="648"/>
      <c r="AF29" s="648"/>
      <c r="AG29" s="648"/>
      <c r="AH29" s="648"/>
      <c r="AI29" s="648"/>
      <c r="AJ29" s="648"/>
      <c r="AK29" s="648"/>
      <c r="AL29" s="648"/>
      <c r="AM29" s="648"/>
      <c r="AN29" s="648"/>
      <c r="AO29" s="648"/>
      <c r="AP29" s="648"/>
      <c r="AQ29" s="648"/>
      <c r="AR29" s="648"/>
      <c r="AS29" s="648"/>
      <c r="AT29" s="648"/>
      <c r="AU29" s="648"/>
    </row>
    <row r="30" spans="1:47">
      <c r="A30" s="648"/>
      <c r="B30" s="648"/>
      <c r="C30" s="648"/>
      <c r="D30" s="648"/>
      <c r="E30" s="648"/>
      <c r="F30" s="648"/>
      <c r="G30" s="648"/>
      <c r="H30" s="648"/>
      <c r="I30" s="648"/>
      <c r="J30" s="648"/>
      <c r="K30" s="648"/>
      <c r="L30" s="648"/>
      <c r="M30" s="648"/>
      <c r="N30" s="648"/>
      <c r="O30" s="648"/>
      <c r="P30" s="648"/>
      <c r="Q30" s="648"/>
      <c r="R30" s="648"/>
      <c r="S30" s="648"/>
      <c r="T30" s="648"/>
      <c r="U30" s="648"/>
      <c r="V30" s="648"/>
      <c r="W30" s="648"/>
      <c r="X30" s="648"/>
      <c r="Y30" s="648"/>
      <c r="Z30" s="648"/>
      <c r="AA30" s="648"/>
      <c r="AB30" s="648"/>
      <c r="AC30" s="648"/>
      <c r="AD30" s="648"/>
      <c r="AE30" s="648"/>
      <c r="AF30" s="648"/>
      <c r="AG30" s="648"/>
      <c r="AH30" s="648"/>
      <c r="AI30" s="648"/>
      <c r="AJ30" s="648"/>
      <c r="AK30" s="648"/>
      <c r="AL30" s="648"/>
      <c r="AM30" s="648"/>
      <c r="AN30" s="648"/>
      <c r="AO30" s="648"/>
      <c r="AP30" s="648"/>
      <c r="AQ30" s="648"/>
      <c r="AR30" s="648"/>
      <c r="AS30" s="648"/>
      <c r="AT30" s="648"/>
      <c r="AU30" s="648"/>
    </row>
    <row r="31" spans="1:47">
      <c r="A31" s="648"/>
      <c r="B31" s="648"/>
      <c r="C31" s="648"/>
      <c r="D31" s="648"/>
      <c r="E31" s="648"/>
      <c r="F31" s="648"/>
      <c r="G31" s="648"/>
      <c r="H31" s="648"/>
      <c r="I31" s="648"/>
      <c r="J31" s="648"/>
      <c r="K31" s="648"/>
      <c r="L31" s="648"/>
      <c r="M31" s="648"/>
      <c r="N31" s="648"/>
      <c r="O31" s="648"/>
      <c r="P31" s="648"/>
      <c r="Q31" s="648"/>
      <c r="R31" s="648"/>
      <c r="S31" s="648"/>
      <c r="T31" s="648"/>
      <c r="U31" s="648"/>
      <c r="V31" s="648"/>
      <c r="W31" s="648"/>
      <c r="X31" s="648"/>
      <c r="Y31" s="648"/>
      <c r="Z31" s="648"/>
      <c r="AA31" s="648"/>
      <c r="AB31" s="648"/>
      <c r="AC31" s="648"/>
      <c r="AD31" s="648"/>
      <c r="AE31" s="648"/>
      <c r="AF31" s="648"/>
      <c r="AG31" s="648"/>
      <c r="AH31" s="648"/>
      <c r="AI31" s="648"/>
      <c r="AJ31" s="648"/>
      <c r="AK31" s="648"/>
      <c r="AL31" s="648"/>
      <c r="AM31" s="648"/>
      <c r="AN31" s="648"/>
      <c r="AO31" s="648"/>
      <c r="AP31" s="648"/>
      <c r="AQ31" s="648"/>
      <c r="AR31" s="648"/>
      <c r="AS31" s="648"/>
      <c r="AT31" s="648"/>
      <c r="AU31" s="648"/>
    </row>
    <row r="32" spans="1:47">
      <c r="A32" s="648"/>
      <c r="B32" s="648"/>
      <c r="C32" s="648"/>
      <c r="D32" s="648"/>
      <c r="E32" s="648"/>
      <c r="F32" s="648"/>
      <c r="G32" s="648"/>
      <c r="H32" s="648"/>
      <c r="I32" s="648"/>
      <c r="J32" s="648"/>
      <c r="K32" s="648"/>
      <c r="L32" s="648"/>
      <c r="M32" s="648"/>
      <c r="N32" s="648"/>
      <c r="O32" s="648"/>
      <c r="P32" s="648"/>
      <c r="Q32" s="648"/>
      <c r="R32" s="648"/>
      <c r="S32" s="648"/>
      <c r="T32" s="648"/>
      <c r="U32" s="648"/>
      <c r="V32" s="648"/>
      <c r="W32" s="648"/>
      <c r="X32" s="648"/>
      <c r="Y32" s="648"/>
      <c r="Z32" s="648"/>
      <c r="AA32" s="648"/>
      <c r="AB32" s="648"/>
      <c r="AC32" s="648"/>
      <c r="AD32" s="648"/>
      <c r="AE32" s="648"/>
      <c r="AF32" s="648"/>
      <c r="AG32" s="648"/>
      <c r="AH32" s="648"/>
      <c r="AI32" s="648"/>
      <c r="AJ32" s="648"/>
      <c r="AK32" s="648"/>
      <c r="AL32" s="648"/>
      <c r="AM32" s="648"/>
      <c r="AN32" s="648"/>
      <c r="AO32" s="648"/>
      <c r="AP32" s="648"/>
      <c r="AQ32" s="648"/>
      <c r="AR32" s="648"/>
      <c r="AS32" s="648"/>
      <c r="AT32" s="648"/>
      <c r="AU32" s="648"/>
    </row>
    <row r="33" spans="1:47">
      <c r="A33" s="648"/>
      <c r="B33" s="648"/>
      <c r="C33" s="648"/>
      <c r="D33" s="648"/>
      <c r="E33" s="648"/>
      <c r="F33" s="648"/>
      <c r="G33" s="648"/>
      <c r="H33" s="648"/>
      <c r="I33" s="648"/>
      <c r="J33" s="648"/>
      <c r="K33" s="648"/>
      <c r="L33" s="648"/>
      <c r="M33" s="648"/>
      <c r="N33" s="648"/>
      <c r="O33" s="648"/>
      <c r="P33" s="648"/>
      <c r="Q33" s="648"/>
      <c r="R33" s="648"/>
      <c r="S33" s="648"/>
      <c r="T33" s="648"/>
      <c r="U33" s="648"/>
      <c r="V33" s="648"/>
      <c r="W33" s="648"/>
      <c r="X33" s="648"/>
      <c r="Y33" s="648"/>
      <c r="Z33" s="648"/>
      <c r="AA33" s="648"/>
      <c r="AB33" s="648"/>
      <c r="AC33" s="648"/>
      <c r="AD33" s="648"/>
      <c r="AE33" s="648"/>
      <c r="AF33" s="648"/>
      <c r="AG33" s="648"/>
      <c r="AH33" s="648"/>
      <c r="AI33" s="648"/>
      <c r="AJ33" s="648"/>
      <c r="AK33" s="648"/>
      <c r="AL33" s="648"/>
      <c r="AM33" s="648"/>
      <c r="AN33" s="648"/>
      <c r="AO33" s="648"/>
      <c r="AP33" s="648"/>
      <c r="AQ33" s="648"/>
      <c r="AR33" s="648"/>
      <c r="AS33" s="648"/>
      <c r="AT33" s="648"/>
      <c r="AU33" s="648"/>
    </row>
    <row r="34" spans="1:47">
      <c r="A34" s="648"/>
      <c r="B34" s="648"/>
      <c r="C34" s="648"/>
      <c r="D34" s="648"/>
      <c r="E34" s="648"/>
      <c r="F34" s="648"/>
      <c r="G34" s="648"/>
      <c r="H34" s="648"/>
      <c r="I34" s="648"/>
      <c r="J34" s="648"/>
      <c r="K34" s="648"/>
      <c r="L34" s="648"/>
      <c r="M34" s="648"/>
      <c r="N34" s="648"/>
      <c r="O34" s="648"/>
      <c r="P34" s="648"/>
      <c r="Q34" s="648"/>
      <c r="R34" s="648"/>
      <c r="S34" s="648"/>
      <c r="T34" s="648"/>
      <c r="U34" s="648"/>
      <c r="V34" s="648"/>
      <c r="W34" s="648"/>
      <c r="X34" s="648"/>
      <c r="Y34" s="648"/>
      <c r="Z34" s="648"/>
      <c r="AA34" s="648"/>
      <c r="AB34" s="648"/>
      <c r="AC34" s="648"/>
      <c r="AD34" s="648"/>
      <c r="AE34" s="648"/>
      <c r="AF34" s="648"/>
      <c r="AG34" s="648"/>
      <c r="AH34" s="648"/>
      <c r="AI34" s="648"/>
      <c r="AJ34" s="648"/>
      <c r="AK34" s="648"/>
      <c r="AL34" s="648"/>
      <c r="AM34" s="648"/>
      <c r="AN34" s="648"/>
      <c r="AO34" s="648"/>
      <c r="AP34" s="648"/>
      <c r="AQ34" s="648"/>
      <c r="AR34" s="648"/>
      <c r="AS34" s="648"/>
      <c r="AT34" s="648"/>
      <c r="AU34" s="648"/>
    </row>
    <row r="35" spans="1:47">
      <c r="A35" s="648"/>
      <c r="B35" s="648"/>
      <c r="C35" s="648"/>
      <c r="D35" s="648"/>
      <c r="E35" s="648"/>
      <c r="F35" s="648"/>
      <c r="G35" s="648"/>
      <c r="H35" s="648"/>
      <c r="I35" s="648"/>
      <c r="J35" s="648"/>
      <c r="K35" s="648"/>
      <c r="L35" s="648"/>
      <c r="M35" s="648"/>
      <c r="N35" s="648"/>
      <c r="O35" s="648"/>
      <c r="P35" s="648"/>
      <c r="Q35" s="648"/>
      <c r="R35" s="648"/>
      <c r="S35" s="648"/>
      <c r="T35" s="648"/>
      <c r="U35" s="648"/>
      <c r="V35" s="648"/>
      <c r="W35" s="648"/>
      <c r="X35" s="648"/>
      <c r="Y35" s="648"/>
      <c r="Z35" s="648"/>
      <c r="AA35" s="648"/>
      <c r="AB35" s="648"/>
      <c r="AC35" s="648"/>
      <c r="AD35" s="648"/>
      <c r="AE35" s="648"/>
      <c r="AF35" s="648"/>
      <c r="AG35" s="648"/>
      <c r="AH35" s="648"/>
      <c r="AI35" s="648"/>
      <c r="AJ35" s="648"/>
      <c r="AK35" s="648"/>
      <c r="AL35" s="648"/>
      <c r="AM35" s="648"/>
      <c r="AN35" s="648"/>
      <c r="AO35" s="648"/>
      <c r="AP35" s="648"/>
      <c r="AQ35" s="648"/>
      <c r="AR35" s="648"/>
      <c r="AS35" s="648"/>
      <c r="AT35" s="648"/>
      <c r="AU35" s="648"/>
    </row>
    <row r="36" spans="1:47">
      <c r="A36" s="648"/>
      <c r="B36" s="648"/>
      <c r="C36" s="648"/>
      <c r="D36" s="648"/>
      <c r="E36" s="648"/>
      <c r="F36" s="648"/>
      <c r="G36" s="648"/>
      <c r="H36" s="648"/>
      <c r="I36" s="648"/>
      <c r="J36" s="648"/>
      <c r="K36" s="648"/>
      <c r="L36" s="648"/>
      <c r="M36" s="648"/>
      <c r="N36" s="648"/>
      <c r="O36" s="648"/>
      <c r="P36" s="648"/>
      <c r="Q36" s="648"/>
      <c r="R36" s="648"/>
      <c r="S36" s="648"/>
      <c r="T36" s="648"/>
      <c r="U36" s="648"/>
      <c r="V36" s="648"/>
      <c r="W36" s="648"/>
      <c r="X36" s="648"/>
      <c r="Y36" s="648"/>
      <c r="Z36" s="648"/>
      <c r="AA36" s="648"/>
      <c r="AB36" s="648"/>
      <c r="AC36" s="648"/>
      <c r="AD36" s="648"/>
      <c r="AE36" s="648"/>
      <c r="AF36" s="648"/>
      <c r="AG36" s="648"/>
      <c r="AH36" s="648"/>
      <c r="AI36" s="648"/>
      <c r="AJ36" s="648"/>
      <c r="AK36" s="648"/>
      <c r="AL36" s="648"/>
      <c r="AM36" s="648"/>
      <c r="AN36" s="648"/>
      <c r="AO36" s="648"/>
      <c r="AP36" s="648"/>
      <c r="AQ36" s="648"/>
      <c r="AR36" s="648"/>
      <c r="AS36" s="648"/>
      <c r="AT36" s="648"/>
      <c r="AU36" s="648"/>
    </row>
    <row r="37" spans="1:47">
      <c r="A37" s="648"/>
      <c r="B37" s="648"/>
      <c r="C37" s="648"/>
      <c r="D37" s="648"/>
      <c r="E37" s="648"/>
      <c r="F37" s="648"/>
      <c r="G37" s="648"/>
      <c r="H37" s="648"/>
      <c r="I37" s="648"/>
      <c r="J37" s="648"/>
      <c r="K37" s="648"/>
      <c r="L37" s="648"/>
      <c r="M37" s="648"/>
      <c r="N37" s="648"/>
      <c r="O37" s="648"/>
      <c r="P37" s="648"/>
      <c r="Q37" s="648"/>
      <c r="R37" s="648"/>
      <c r="S37" s="648"/>
      <c r="T37" s="648"/>
      <c r="U37" s="648"/>
      <c r="V37" s="648"/>
      <c r="W37" s="648"/>
      <c r="X37" s="648"/>
      <c r="Y37" s="648"/>
      <c r="Z37" s="648"/>
      <c r="AA37" s="648"/>
      <c r="AB37" s="648"/>
      <c r="AC37" s="648"/>
      <c r="AD37" s="648"/>
      <c r="AE37" s="648"/>
      <c r="AF37" s="648"/>
      <c r="AG37" s="648"/>
      <c r="AH37" s="648"/>
      <c r="AI37" s="648"/>
      <c r="AJ37" s="648"/>
      <c r="AK37" s="648"/>
      <c r="AL37" s="648"/>
      <c r="AM37" s="648"/>
      <c r="AN37" s="648"/>
      <c r="AO37" s="648"/>
      <c r="AP37" s="648"/>
      <c r="AQ37" s="648"/>
      <c r="AR37" s="648"/>
      <c r="AS37" s="648"/>
      <c r="AT37" s="648"/>
      <c r="AU37" s="648"/>
    </row>
    <row r="38" spans="1:47">
      <c r="A38" s="648"/>
      <c r="B38" s="648"/>
      <c r="C38" s="648"/>
      <c r="D38" s="648"/>
      <c r="E38" s="648"/>
      <c r="F38" s="648"/>
      <c r="G38" s="648"/>
      <c r="H38" s="648"/>
      <c r="I38" s="648"/>
      <c r="J38" s="648"/>
      <c r="K38" s="648"/>
      <c r="L38" s="648"/>
      <c r="M38" s="648"/>
      <c r="N38" s="648"/>
      <c r="O38" s="648"/>
      <c r="P38" s="648"/>
      <c r="Q38" s="648"/>
      <c r="R38" s="648"/>
      <c r="S38" s="648"/>
      <c r="T38" s="648"/>
      <c r="U38" s="648"/>
      <c r="V38" s="648"/>
      <c r="W38" s="648"/>
      <c r="X38" s="648"/>
      <c r="Y38" s="648"/>
      <c r="Z38" s="648"/>
      <c r="AA38" s="648"/>
      <c r="AB38" s="648"/>
      <c r="AC38" s="648"/>
      <c r="AD38" s="648"/>
      <c r="AE38" s="648"/>
      <c r="AF38" s="648"/>
      <c r="AG38" s="648"/>
      <c r="AH38" s="648"/>
      <c r="AI38" s="648"/>
      <c r="AJ38" s="648"/>
      <c r="AK38" s="648"/>
      <c r="AL38" s="648"/>
      <c r="AM38" s="648"/>
      <c r="AN38" s="648"/>
      <c r="AO38" s="648"/>
      <c r="AP38" s="648"/>
      <c r="AQ38" s="648"/>
      <c r="AR38" s="648"/>
      <c r="AS38" s="648"/>
      <c r="AT38" s="648"/>
      <c r="AU38" s="648"/>
    </row>
    <row r="39" spans="1:47">
      <c r="A39" s="648"/>
      <c r="B39" s="648"/>
      <c r="C39" s="648"/>
      <c r="D39" s="648"/>
      <c r="E39" s="648"/>
      <c r="F39" s="648"/>
      <c r="G39" s="648"/>
      <c r="H39" s="648"/>
      <c r="I39" s="648"/>
      <c r="J39" s="648"/>
      <c r="K39" s="648"/>
      <c r="L39" s="648"/>
      <c r="M39" s="648"/>
      <c r="N39" s="648"/>
      <c r="O39" s="648"/>
      <c r="P39" s="648"/>
      <c r="Q39" s="648"/>
      <c r="R39" s="648"/>
      <c r="S39" s="648"/>
      <c r="T39" s="648"/>
      <c r="U39" s="648"/>
      <c r="V39" s="648"/>
      <c r="W39" s="648"/>
      <c r="X39" s="648"/>
      <c r="Y39" s="648"/>
      <c r="Z39" s="648"/>
      <c r="AA39" s="648"/>
      <c r="AB39" s="648"/>
      <c r="AC39" s="648"/>
      <c r="AD39" s="648"/>
      <c r="AE39" s="648"/>
      <c r="AF39" s="648"/>
      <c r="AG39" s="648"/>
      <c r="AH39" s="648"/>
      <c r="AI39" s="648"/>
      <c r="AJ39" s="648"/>
      <c r="AK39" s="648"/>
      <c r="AL39" s="648"/>
      <c r="AM39" s="648"/>
      <c r="AN39" s="648"/>
      <c r="AO39" s="648"/>
      <c r="AP39" s="648"/>
      <c r="AQ39" s="648"/>
      <c r="AR39" s="648"/>
      <c r="AS39" s="648"/>
      <c r="AT39" s="648"/>
      <c r="AU39" s="648"/>
    </row>
    <row r="40" spans="1:47">
      <c r="A40" s="648"/>
      <c r="B40" s="648"/>
      <c r="C40" s="648"/>
      <c r="D40" s="648"/>
      <c r="E40" s="648"/>
      <c r="F40" s="648"/>
      <c r="G40" s="648"/>
      <c r="H40" s="648"/>
      <c r="I40" s="648"/>
      <c r="J40" s="648"/>
      <c r="K40" s="648"/>
      <c r="L40" s="648"/>
      <c r="M40" s="648"/>
      <c r="N40" s="648"/>
      <c r="O40" s="648"/>
      <c r="P40" s="648"/>
      <c r="Q40" s="648"/>
      <c r="R40" s="648"/>
      <c r="S40" s="648"/>
      <c r="T40" s="648"/>
      <c r="U40" s="648"/>
      <c r="V40" s="648"/>
      <c r="W40" s="648"/>
      <c r="X40" s="648"/>
      <c r="Y40" s="648"/>
      <c r="Z40" s="648"/>
      <c r="AA40" s="648"/>
      <c r="AB40" s="648"/>
      <c r="AC40" s="648"/>
      <c r="AD40" s="648"/>
      <c r="AE40" s="648"/>
      <c r="AF40" s="648"/>
      <c r="AG40" s="648"/>
      <c r="AH40" s="648"/>
      <c r="AI40" s="648"/>
      <c r="AJ40" s="648"/>
      <c r="AK40" s="648"/>
      <c r="AL40" s="648"/>
      <c r="AM40" s="648"/>
      <c r="AN40" s="648"/>
      <c r="AO40" s="648"/>
      <c r="AP40" s="648"/>
      <c r="AQ40" s="648"/>
      <c r="AR40" s="648"/>
      <c r="AS40" s="648"/>
      <c r="AT40" s="648"/>
      <c r="AU40" s="648"/>
    </row>
    <row r="41" spans="1:47">
      <c r="A41" s="648"/>
      <c r="B41" s="648"/>
      <c r="C41" s="648"/>
      <c r="D41" s="648"/>
      <c r="E41" s="648"/>
      <c r="F41" s="648"/>
      <c r="G41" s="648"/>
      <c r="H41" s="648"/>
      <c r="I41" s="648"/>
      <c r="J41" s="648"/>
      <c r="K41" s="648"/>
      <c r="L41" s="648"/>
      <c r="M41" s="648"/>
      <c r="N41" s="648"/>
      <c r="O41" s="648"/>
      <c r="P41" s="648"/>
      <c r="Q41" s="648"/>
      <c r="R41" s="648"/>
      <c r="S41" s="648"/>
      <c r="T41" s="648"/>
      <c r="U41" s="648"/>
      <c r="V41" s="648"/>
      <c r="W41" s="648"/>
      <c r="X41" s="648"/>
      <c r="Y41" s="648"/>
      <c r="Z41" s="648"/>
      <c r="AA41" s="648"/>
      <c r="AB41" s="648"/>
      <c r="AC41" s="648"/>
      <c r="AD41" s="648"/>
      <c r="AE41" s="648"/>
      <c r="AF41" s="648"/>
      <c r="AG41" s="648"/>
      <c r="AH41" s="648"/>
      <c r="AI41" s="648"/>
      <c r="AJ41" s="648"/>
      <c r="AK41" s="648"/>
      <c r="AL41" s="648"/>
      <c r="AM41" s="648"/>
      <c r="AN41" s="648"/>
      <c r="AO41" s="648"/>
      <c r="AP41" s="648"/>
      <c r="AQ41" s="648"/>
      <c r="AR41" s="648"/>
      <c r="AS41" s="648"/>
      <c r="AT41" s="648"/>
      <c r="AU41" s="648"/>
    </row>
    <row r="42" spans="1:47">
      <c r="A42" s="648"/>
      <c r="B42" s="648"/>
      <c r="C42" s="648"/>
      <c r="D42" s="648"/>
      <c r="E42" s="648"/>
      <c r="F42" s="648"/>
      <c r="G42" s="648"/>
      <c r="H42" s="648"/>
      <c r="I42" s="648"/>
      <c r="J42" s="648"/>
      <c r="K42" s="648"/>
      <c r="L42" s="648"/>
      <c r="M42" s="648"/>
      <c r="N42" s="648"/>
      <c r="O42" s="648"/>
      <c r="P42" s="648"/>
      <c r="Q42" s="648"/>
      <c r="R42" s="648"/>
      <c r="S42" s="648"/>
      <c r="T42" s="648"/>
      <c r="U42" s="648"/>
      <c r="V42" s="648"/>
      <c r="W42" s="648"/>
      <c r="X42" s="648"/>
      <c r="Y42" s="648"/>
      <c r="Z42" s="648"/>
      <c r="AA42" s="648"/>
      <c r="AB42" s="648"/>
      <c r="AC42" s="648"/>
      <c r="AD42" s="648"/>
      <c r="AE42" s="648"/>
      <c r="AF42" s="648"/>
      <c r="AG42" s="648"/>
      <c r="AH42" s="648"/>
      <c r="AI42" s="648"/>
      <c r="AJ42" s="648"/>
      <c r="AK42" s="648"/>
      <c r="AL42" s="648"/>
      <c r="AM42" s="648"/>
      <c r="AN42" s="648"/>
      <c r="AO42" s="648"/>
      <c r="AP42" s="648"/>
      <c r="AQ42" s="648"/>
      <c r="AR42" s="648"/>
      <c r="AS42" s="648"/>
      <c r="AT42" s="648"/>
      <c r="AU42" s="648"/>
    </row>
    <row r="43" spans="1:47">
      <c r="A43" s="648"/>
      <c r="B43" s="648"/>
      <c r="C43" s="648"/>
      <c r="D43" s="648"/>
      <c r="E43" s="648"/>
      <c r="F43" s="648"/>
      <c r="G43" s="648"/>
      <c r="H43" s="648"/>
      <c r="I43" s="648"/>
      <c r="J43" s="648"/>
      <c r="K43" s="648"/>
      <c r="L43" s="648"/>
      <c r="M43" s="648"/>
      <c r="N43" s="648"/>
      <c r="O43" s="648"/>
      <c r="P43" s="648"/>
      <c r="Q43" s="648"/>
      <c r="R43" s="648"/>
      <c r="S43" s="648"/>
      <c r="T43" s="648"/>
      <c r="U43" s="648"/>
      <c r="V43" s="648"/>
      <c r="W43" s="648"/>
      <c r="X43" s="648"/>
      <c r="Y43" s="648"/>
      <c r="Z43" s="648"/>
      <c r="AA43" s="648"/>
      <c r="AB43" s="648"/>
      <c r="AC43" s="648"/>
      <c r="AD43" s="648"/>
      <c r="AE43" s="648"/>
      <c r="AF43" s="648"/>
      <c r="AG43" s="648"/>
      <c r="AH43" s="648"/>
      <c r="AI43" s="648"/>
      <c r="AJ43" s="648"/>
      <c r="AK43" s="648"/>
      <c r="AL43" s="648"/>
      <c r="AM43" s="648"/>
      <c r="AN43" s="648"/>
      <c r="AO43" s="648"/>
      <c r="AP43" s="648"/>
      <c r="AQ43" s="648"/>
      <c r="AR43" s="648"/>
      <c r="AS43" s="648"/>
      <c r="AT43" s="648"/>
      <c r="AU43" s="648"/>
    </row>
    <row r="44" spans="1:47">
      <c r="A44" s="648"/>
      <c r="B44" s="648"/>
      <c r="C44" s="648"/>
      <c r="D44" s="648"/>
      <c r="E44" s="648"/>
      <c r="F44" s="648"/>
      <c r="G44" s="648"/>
      <c r="H44" s="648"/>
      <c r="I44" s="648"/>
      <c r="J44" s="648"/>
      <c r="K44" s="648"/>
      <c r="L44" s="648"/>
      <c r="M44" s="648"/>
      <c r="N44" s="648"/>
      <c r="O44" s="648"/>
      <c r="P44" s="648"/>
      <c r="Q44" s="648"/>
      <c r="R44" s="648"/>
      <c r="S44" s="648"/>
      <c r="T44" s="648"/>
      <c r="U44" s="648"/>
      <c r="V44" s="648"/>
      <c r="W44" s="648"/>
      <c r="X44" s="648"/>
      <c r="Y44" s="648"/>
      <c r="Z44" s="648"/>
      <c r="AA44" s="648"/>
      <c r="AB44" s="648"/>
      <c r="AC44" s="648"/>
      <c r="AD44" s="648"/>
      <c r="AE44" s="648"/>
      <c r="AF44" s="648"/>
      <c r="AG44" s="648"/>
      <c r="AH44" s="648"/>
      <c r="AI44" s="648"/>
      <c r="AJ44" s="648"/>
      <c r="AK44" s="648"/>
      <c r="AL44" s="648"/>
      <c r="AM44" s="648"/>
      <c r="AN44" s="648"/>
      <c r="AO44" s="648"/>
      <c r="AP44" s="648"/>
      <c r="AQ44" s="648"/>
      <c r="AR44" s="648"/>
      <c r="AS44" s="648"/>
      <c r="AT44" s="648"/>
      <c r="AU44" s="648"/>
    </row>
    <row r="45" spans="1:47">
      <c r="A45" s="648"/>
      <c r="B45" s="648"/>
      <c r="C45" s="648"/>
      <c r="D45" s="648"/>
      <c r="E45" s="648"/>
      <c r="F45" s="648"/>
      <c r="G45" s="648"/>
      <c r="H45" s="648"/>
      <c r="I45" s="648"/>
      <c r="J45" s="648"/>
      <c r="K45" s="648"/>
      <c r="L45" s="648"/>
      <c r="M45" s="648"/>
      <c r="N45" s="648"/>
      <c r="O45" s="648"/>
      <c r="P45" s="648"/>
      <c r="Q45" s="648"/>
      <c r="R45" s="648"/>
      <c r="S45" s="648"/>
      <c r="T45" s="648"/>
      <c r="U45" s="648"/>
      <c r="V45" s="648"/>
      <c r="W45" s="648"/>
      <c r="X45" s="648"/>
      <c r="Y45" s="648"/>
      <c r="Z45" s="648"/>
      <c r="AA45" s="648"/>
      <c r="AB45" s="648"/>
      <c r="AC45" s="648"/>
      <c r="AD45" s="648"/>
      <c r="AE45" s="648"/>
      <c r="AF45" s="648"/>
      <c r="AG45" s="648"/>
      <c r="AH45" s="648"/>
      <c r="AI45" s="648"/>
      <c r="AJ45" s="648"/>
      <c r="AK45" s="648"/>
      <c r="AL45" s="648"/>
      <c r="AM45" s="648"/>
      <c r="AN45" s="648"/>
      <c r="AO45" s="648"/>
      <c r="AP45" s="648"/>
      <c r="AQ45" s="648"/>
      <c r="AR45" s="648"/>
      <c r="AS45" s="648"/>
      <c r="AT45" s="648"/>
      <c r="AU45" s="648"/>
    </row>
    <row r="46" spans="1:47">
      <c r="A46" s="648"/>
      <c r="B46" s="648"/>
      <c r="C46" s="648"/>
      <c r="D46" s="648"/>
      <c r="E46" s="648"/>
      <c r="F46" s="648"/>
      <c r="G46" s="648"/>
      <c r="H46" s="648"/>
      <c r="I46" s="648"/>
      <c r="J46" s="648"/>
      <c r="K46" s="648"/>
      <c r="L46" s="648"/>
      <c r="M46" s="648"/>
      <c r="N46" s="648"/>
      <c r="O46" s="648"/>
      <c r="P46" s="648"/>
      <c r="Q46" s="648"/>
      <c r="R46" s="648"/>
      <c r="S46" s="648"/>
      <c r="T46" s="648"/>
      <c r="U46" s="648"/>
      <c r="V46" s="648"/>
      <c r="W46" s="648"/>
      <c r="X46" s="648"/>
      <c r="Y46" s="648"/>
      <c r="Z46" s="648"/>
      <c r="AA46" s="648"/>
      <c r="AB46" s="648"/>
      <c r="AC46" s="648"/>
      <c r="AD46" s="648"/>
      <c r="AE46" s="648"/>
      <c r="AF46" s="648"/>
      <c r="AG46" s="648"/>
      <c r="AH46" s="648"/>
      <c r="AI46" s="648"/>
      <c r="AJ46" s="648"/>
      <c r="AK46" s="648"/>
      <c r="AL46" s="648"/>
      <c r="AM46" s="648"/>
      <c r="AN46" s="648"/>
      <c r="AO46" s="648"/>
      <c r="AP46" s="648"/>
      <c r="AQ46" s="648"/>
      <c r="AR46" s="648"/>
      <c r="AS46" s="648"/>
      <c r="AT46" s="648"/>
      <c r="AU46" s="648"/>
    </row>
    <row r="47" spans="1:47">
      <c r="A47" s="648"/>
      <c r="B47" s="648"/>
      <c r="C47" s="648"/>
      <c r="D47" s="648"/>
      <c r="E47" s="648"/>
      <c r="F47" s="648"/>
      <c r="G47" s="648"/>
      <c r="H47" s="648"/>
      <c r="I47" s="648"/>
      <c r="J47" s="648"/>
      <c r="K47" s="648"/>
      <c r="L47" s="648"/>
      <c r="M47" s="648"/>
      <c r="N47" s="648"/>
      <c r="O47" s="648"/>
      <c r="P47" s="648"/>
      <c r="Q47" s="648"/>
      <c r="R47" s="648"/>
      <c r="S47" s="648"/>
      <c r="T47" s="648"/>
      <c r="U47" s="648"/>
      <c r="V47" s="648"/>
      <c r="W47" s="648"/>
      <c r="X47" s="648"/>
      <c r="Y47" s="648"/>
      <c r="Z47" s="648"/>
      <c r="AA47" s="648"/>
      <c r="AB47" s="648"/>
      <c r="AC47" s="648"/>
      <c r="AD47" s="648"/>
      <c r="AE47" s="648"/>
      <c r="AF47" s="648"/>
      <c r="AG47" s="648"/>
      <c r="AH47" s="648"/>
      <c r="AI47" s="648"/>
      <c r="AJ47" s="648"/>
      <c r="AK47" s="648"/>
      <c r="AL47" s="648"/>
      <c r="AM47" s="648"/>
      <c r="AN47" s="648"/>
      <c r="AO47" s="648"/>
      <c r="AP47" s="648"/>
      <c r="AQ47" s="648"/>
      <c r="AR47" s="648"/>
      <c r="AS47" s="648"/>
      <c r="AT47" s="648"/>
      <c r="AU47" s="648"/>
    </row>
    <row r="48" spans="1:47">
      <c r="A48" s="648"/>
      <c r="B48" s="648"/>
      <c r="C48" s="648"/>
      <c r="D48" s="648"/>
      <c r="E48" s="648"/>
      <c r="F48" s="648"/>
      <c r="G48" s="648"/>
      <c r="H48" s="648"/>
      <c r="I48" s="648"/>
      <c r="J48" s="648"/>
      <c r="K48" s="648"/>
      <c r="L48" s="648"/>
      <c r="M48" s="648"/>
      <c r="N48" s="648"/>
      <c r="O48" s="648"/>
      <c r="P48" s="648"/>
      <c r="Q48" s="648"/>
      <c r="R48" s="648"/>
      <c r="S48" s="648"/>
      <c r="T48" s="648"/>
      <c r="U48" s="648"/>
      <c r="V48" s="648"/>
      <c r="W48" s="648"/>
      <c r="X48" s="648"/>
      <c r="Y48" s="648"/>
      <c r="Z48" s="648"/>
      <c r="AA48" s="648"/>
      <c r="AB48" s="648"/>
      <c r="AC48" s="648"/>
      <c r="AD48" s="648"/>
      <c r="AE48" s="648"/>
      <c r="AF48" s="648"/>
      <c r="AG48" s="648"/>
      <c r="AH48" s="648"/>
      <c r="AI48" s="648"/>
      <c r="AJ48" s="648"/>
      <c r="AK48" s="648"/>
      <c r="AL48" s="648"/>
      <c r="AM48" s="648"/>
      <c r="AN48" s="648"/>
      <c r="AO48" s="648"/>
      <c r="AP48" s="648"/>
      <c r="AQ48" s="648"/>
      <c r="AR48" s="648"/>
      <c r="AS48" s="648"/>
      <c r="AT48" s="648"/>
      <c r="AU48" s="648"/>
    </row>
    <row r="49" spans="1:47">
      <c r="A49" s="648"/>
      <c r="B49" s="648"/>
      <c r="C49" s="648"/>
      <c r="D49" s="648"/>
      <c r="E49" s="648"/>
      <c r="F49" s="648"/>
      <c r="G49" s="648"/>
      <c r="H49" s="648"/>
      <c r="I49" s="648"/>
      <c r="J49" s="648"/>
      <c r="K49" s="648"/>
      <c r="L49" s="648"/>
      <c r="M49" s="648"/>
      <c r="N49" s="648"/>
      <c r="O49" s="648"/>
      <c r="P49" s="648"/>
      <c r="Q49" s="648"/>
      <c r="R49" s="648"/>
      <c r="S49" s="648"/>
      <c r="T49" s="648"/>
      <c r="U49" s="648"/>
      <c r="V49" s="648"/>
      <c r="W49" s="648"/>
      <c r="X49" s="648"/>
      <c r="Y49" s="648"/>
      <c r="Z49" s="648"/>
      <c r="AA49" s="648"/>
      <c r="AB49" s="648"/>
      <c r="AC49" s="648"/>
      <c r="AD49" s="648"/>
      <c r="AE49" s="648"/>
      <c r="AF49" s="648"/>
      <c r="AG49" s="648"/>
      <c r="AH49" s="648"/>
      <c r="AI49" s="648"/>
      <c r="AJ49" s="648"/>
      <c r="AK49" s="648"/>
      <c r="AL49" s="648"/>
      <c r="AM49" s="648"/>
      <c r="AN49" s="648"/>
      <c r="AO49" s="648"/>
      <c r="AP49" s="648"/>
      <c r="AQ49" s="648"/>
      <c r="AR49" s="648"/>
      <c r="AS49" s="648"/>
      <c r="AT49" s="648"/>
      <c r="AU49" s="648"/>
    </row>
    <row r="50" spans="1:47">
      <c r="A50" s="648"/>
      <c r="B50" s="648"/>
      <c r="C50" s="648"/>
      <c r="D50" s="648"/>
      <c r="E50" s="648"/>
      <c r="F50" s="648"/>
      <c r="G50" s="648"/>
      <c r="H50" s="648"/>
      <c r="I50" s="648"/>
      <c r="J50" s="648"/>
      <c r="K50" s="648"/>
      <c r="L50" s="648"/>
      <c r="M50" s="648"/>
      <c r="N50" s="648"/>
      <c r="O50" s="648"/>
      <c r="P50" s="648"/>
      <c r="Q50" s="648"/>
      <c r="R50" s="648"/>
      <c r="S50" s="648"/>
      <c r="T50" s="648"/>
      <c r="U50" s="648"/>
      <c r="V50" s="648"/>
      <c r="W50" s="648"/>
      <c r="X50" s="648"/>
      <c r="Y50" s="648"/>
      <c r="Z50" s="648"/>
      <c r="AA50" s="648"/>
      <c r="AB50" s="648"/>
      <c r="AC50" s="648"/>
      <c r="AD50" s="648"/>
      <c r="AE50" s="648"/>
      <c r="AF50" s="648"/>
      <c r="AG50" s="648"/>
      <c r="AH50" s="648"/>
      <c r="AI50" s="648"/>
      <c r="AJ50" s="648"/>
      <c r="AK50" s="648"/>
      <c r="AL50" s="648"/>
      <c r="AM50" s="648"/>
      <c r="AN50" s="648"/>
      <c r="AO50" s="648"/>
      <c r="AP50" s="648"/>
      <c r="AQ50" s="648"/>
      <c r="AR50" s="648"/>
      <c r="AS50" s="648"/>
      <c r="AT50" s="648"/>
      <c r="AU50" s="648"/>
    </row>
    <row r="51" spans="1:47">
      <c r="A51" s="648"/>
      <c r="B51" s="648"/>
      <c r="C51" s="648"/>
      <c r="D51" s="648"/>
      <c r="E51" s="648"/>
      <c r="F51" s="648"/>
      <c r="G51" s="648"/>
      <c r="H51" s="648"/>
      <c r="I51" s="648"/>
      <c r="J51" s="648"/>
      <c r="K51" s="648"/>
      <c r="L51" s="648"/>
      <c r="M51" s="648"/>
      <c r="N51" s="648"/>
      <c r="O51" s="648"/>
      <c r="P51" s="648"/>
      <c r="Q51" s="648"/>
      <c r="R51" s="648"/>
      <c r="S51" s="648"/>
      <c r="T51" s="648"/>
      <c r="U51" s="648"/>
      <c r="V51" s="648"/>
      <c r="W51" s="648"/>
      <c r="X51" s="648"/>
      <c r="Y51" s="648"/>
      <c r="Z51" s="648"/>
      <c r="AA51" s="648"/>
      <c r="AB51" s="648"/>
      <c r="AC51" s="648"/>
      <c r="AD51" s="648"/>
      <c r="AE51" s="648"/>
      <c r="AF51" s="648"/>
      <c r="AG51" s="648"/>
      <c r="AH51" s="648"/>
      <c r="AI51" s="648"/>
      <c r="AJ51" s="648"/>
      <c r="AK51" s="648"/>
      <c r="AL51" s="648"/>
      <c r="AM51" s="648"/>
      <c r="AN51" s="648"/>
      <c r="AO51" s="648"/>
      <c r="AP51" s="648"/>
      <c r="AQ51" s="648"/>
      <c r="AR51" s="648"/>
      <c r="AS51" s="648"/>
      <c r="AT51" s="648"/>
      <c r="AU51" s="648"/>
    </row>
    <row r="52" spans="1:47">
      <c r="A52" s="648"/>
      <c r="B52" s="648"/>
      <c r="C52" s="648"/>
      <c r="D52" s="648"/>
      <c r="E52" s="648"/>
      <c r="F52" s="648"/>
      <c r="G52" s="648"/>
      <c r="H52" s="648"/>
      <c r="I52" s="648"/>
      <c r="J52" s="648"/>
      <c r="K52" s="648"/>
      <c r="L52" s="648"/>
      <c r="M52" s="648"/>
      <c r="N52" s="648"/>
      <c r="O52" s="648"/>
      <c r="P52" s="648"/>
      <c r="Q52" s="648"/>
      <c r="R52" s="648"/>
      <c r="S52" s="648"/>
      <c r="T52" s="648"/>
      <c r="U52" s="648"/>
      <c r="V52" s="648"/>
      <c r="W52" s="648"/>
      <c r="X52" s="648"/>
      <c r="Y52" s="648"/>
      <c r="Z52" s="648"/>
      <c r="AA52" s="648"/>
      <c r="AB52" s="648"/>
      <c r="AC52" s="648"/>
      <c r="AD52" s="648"/>
      <c r="AE52" s="648"/>
      <c r="AF52" s="648"/>
      <c r="AG52" s="648"/>
      <c r="AH52" s="648"/>
      <c r="AI52" s="648"/>
      <c r="AJ52" s="648"/>
      <c r="AK52" s="648"/>
      <c r="AL52" s="648"/>
      <c r="AM52" s="648"/>
      <c r="AN52" s="648"/>
      <c r="AO52" s="648"/>
      <c r="AP52" s="648"/>
      <c r="AQ52" s="648"/>
      <c r="AR52" s="648"/>
      <c r="AS52" s="648"/>
      <c r="AT52" s="648"/>
      <c r="AU52" s="648"/>
    </row>
    <row r="53" spans="1:47">
      <c r="A53" s="648"/>
      <c r="B53" s="648"/>
      <c r="C53" s="648"/>
      <c r="D53" s="648"/>
      <c r="E53" s="648"/>
      <c r="F53" s="648"/>
      <c r="G53" s="648"/>
      <c r="H53" s="648"/>
      <c r="I53" s="648"/>
      <c r="J53" s="648"/>
      <c r="K53" s="648"/>
      <c r="L53" s="648"/>
      <c r="M53" s="648"/>
      <c r="N53" s="648"/>
      <c r="O53" s="648"/>
      <c r="P53" s="648"/>
      <c r="Q53" s="648"/>
      <c r="R53" s="648"/>
      <c r="S53" s="648"/>
      <c r="T53" s="648"/>
      <c r="U53" s="648"/>
      <c r="V53" s="648"/>
      <c r="W53" s="648"/>
      <c r="X53" s="648"/>
      <c r="Y53" s="648"/>
      <c r="Z53" s="648"/>
      <c r="AA53" s="648"/>
      <c r="AB53" s="648"/>
      <c r="AC53" s="648"/>
      <c r="AD53" s="648"/>
      <c r="AE53" s="648"/>
      <c r="AF53" s="648"/>
      <c r="AG53" s="648"/>
      <c r="AH53" s="648"/>
      <c r="AI53" s="648"/>
      <c r="AJ53" s="648"/>
      <c r="AK53" s="648"/>
      <c r="AL53" s="648"/>
      <c r="AM53" s="648"/>
      <c r="AN53" s="648"/>
      <c r="AO53" s="648"/>
      <c r="AP53" s="648"/>
      <c r="AQ53" s="648"/>
      <c r="AR53" s="648"/>
      <c r="AS53" s="648"/>
      <c r="AT53" s="648"/>
      <c r="AU53" s="648"/>
    </row>
    <row r="54" spans="1:47">
      <c r="A54" s="648"/>
      <c r="B54" s="648"/>
      <c r="C54" s="648"/>
      <c r="D54" s="648"/>
      <c r="E54" s="648"/>
      <c r="F54" s="648"/>
      <c r="G54" s="648"/>
      <c r="H54" s="648"/>
      <c r="I54" s="648"/>
      <c r="J54" s="648"/>
      <c r="K54" s="648"/>
      <c r="L54" s="648"/>
      <c r="M54" s="648"/>
      <c r="N54" s="648"/>
      <c r="O54" s="648"/>
      <c r="P54" s="648"/>
      <c r="Q54" s="648"/>
      <c r="R54" s="648"/>
      <c r="S54" s="648"/>
      <c r="T54" s="648"/>
      <c r="U54" s="648"/>
      <c r="V54" s="648"/>
      <c r="W54" s="648"/>
      <c r="X54" s="648"/>
      <c r="Y54" s="648"/>
      <c r="Z54" s="648"/>
      <c r="AA54" s="648"/>
      <c r="AB54" s="648"/>
      <c r="AC54" s="648"/>
      <c r="AD54" s="648"/>
      <c r="AE54" s="648"/>
      <c r="AF54" s="648"/>
      <c r="AG54" s="648"/>
      <c r="AH54" s="648"/>
      <c r="AI54" s="648"/>
      <c r="AJ54" s="648"/>
      <c r="AK54" s="648"/>
      <c r="AL54" s="648"/>
      <c r="AM54" s="648"/>
      <c r="AN54" s="648"/>
      <c r="AO54" s="648"/>
      <c r="AP54" s="648"/>
      <c r="AQ54" s="648"/>
      <c r="AR54" s="648"/>
      <c r="AS54" s="648"/>
      <c r="AT54" s="648"/>
      <c r="AU54" s="648"/>
    </row>
    <row r="55" spans="1:47">
      <c r="A55" s="648"/>
      <c r="B55" s="648"/>
      <c r="C55" s="648"/>
      <c r="D55" s="648"/>
      <c r="E55" s="648"/>
      <c r="F55" s="648"/>
      <c r="G55" s="648"/>
      <c r="H55" s="648"/>
      <c r="I55" s="648"/>
      <c r="J55" s="648"/>
      <c r="K55" s="648"/>
      <c r="L55" s="648"/>
      <c r="M55" s="648"/>
      <c r="N55" s="648"/>
      <c r="O55" s="648"/>
      <c r="P55" s="648"/>
      <c r="Q55" s="648"/>
      <c r="R55" s="648"/>
      <c r="S55" s="648"/>
      <c r="T55" s="648"/>
      <c r="U55" s="648"/>
      <c r="V55" s="648"/>
      <c r="W55" s="648"/>
      <c r="X55" s="648"/>
      <c r="Y55" s="648"/>
      <c r="Z55" s="648"/>
      <c r="AA55" s="648"/>
      <c r="AB55" s="648"/>
      <c r="AC55" s="648"/>
      <c r="AD55" s="648"/>
      <c r="AE55" s="648"/>
      <c r="AF55" s="648"/>
      <c r="AG55" s="648"/>
      <c r="AH55" s="648"/>
      <c r="AI55" s="648"/>
      <c r="AJ55" s="648"/>
      <c r="AK55" s="648"/>
      <c r="AL55" s="648"/>
      <c r="AM55" s="648"/>
      <c r="AN55" s="648"/>
      <c r="AO55" s="648"/>
      <c r="AP55" s="648"/>
      <c r="AQ55" s="648"/>
      <c r="AR55" s="648"/>
      <c r="AS55" s="648"/>
      <c r="AT55" s="648"/>
      <c r="AU55" s="648"/>
    </row>
    <row r="56" spans="1:47">
      <c r="A56" s="648"/>
      <c r="B56" s="648"/>
      <c r="C56" s="648"/>
      <c r="D56" s="648"/>
      <c r="E56" s="648"/>
      <c r="F56" s="648"/>
      <c r="G56" s="648"/>
      <c r="H56" s="648"/>
      <c r="I56" s="648"/>
      <c r="J56" s="648"/>
      <c r="K56" s="648"/>
      <c r="L56" s="648"/>
      <c r="M56" s="648"/>
      <c r="N56" s="648"/>
      <c r="O56" s="648"/>
      <c r="P56" s="648"/>
      <c r="Q56" s="648"/>
      <c r="R56" s="648"/>
      <c r="S56" s="648"/>
      <c r="T56" s="648"/>
      <c r="U56" s="648"/>
      <c r="V56" s="648"/>
      <c r="W56" s="648"/>
      <c r="X56" s="648"/>
      <c r="Y56" s="648"/>
      <c r="Z56" s="648"/>
      <c r="AA56" s="648"/>
      <c r="AB56" s="648"/>
      <c r="AC56" s="648"/>
      <c r="AD56" s="648"/>
      <c r="AE56" s="648"/>
      <c r="AF56" s="648"/>
      <c r="AG56" s="648"/>
      <c r="AH56" s="648"/>
      <c r="AI56" s="648"/>
      <c r="AJ56" s="648"/>
      <c r="AK56" s="648"/>
      <c r="AL56" s="648"/>
      <c r="AM56" s="648"/>
      <c r="AN56" s="648"/>
      <c r="AO56" s="648"/>
      <c r="AP56" s="648"/>
      <c r="AQ56" s="648"/>
      <c r="AR56" s="648"/>
      <c r="AS56" s="648"/>
      <c r="AT56" s="648"/>
      <c r="AU56" s="648"/>
    </row>
    <row r="57" spans="1:47">
      <c r="A57" s="648"/>
      <c r="B57" s="648"/>
      <c r="C57" s="648"/>
      <c r="D57" s="648"/>
      <c r="E57" s="648"/>
      <c r="F57" s="648"/>
      <c r="G57" s="648"/>
      <c r="H57" s="648"/>
      <c r="I57" s="648"/>
      <c r="J57" s="648"/>
      <c r="K57" s="648"/>
      <c r="L57" s="648"/>
      <c r="M57" s="648"/>
      <c r="N57" s="648"/>
      <c r="O57" s="648"/>
      <c r="P57" s="648"/>
      <c r="Q57" s="648"/>
      <c r="R57" s="648"/>
      <c r="S57" s="648"/>
      <c r="T57" s="648"/>
      <c r="U57" s="648"/>
      <c r="V57" s="648"/>
      <c r="W57" s="648"/>
      <c r="X57" s="648"/>
      <c r="Y57" s="648"/>
      <c r="Z57" s="648"/>
      <c r="AA57" s="648"/>
      <c r="AB57" s="648"/>
      <c r="AC57" s="648"/>
      <c r="AD57" s="648"/>
      <c r="AE57" s="648"/>
      <c r="AF57" s="648"/>
      <c r="AG57" s="648"/>
      <c r="AH57" s="648"/>
      <c r="AI57" s="648"/>
      <c r="AJ57" s="648"/>
      <c r="AK57" s="648"/>
      <c r="AL57" s="648"/>
      <c r="AM57" s="648"/>
      <c r="AN57" s="648"/>
      <c r="AO57" s="648"/>
      <c r="AP57" s="648"/>
      <c r="AQ57" s="648"/>
      <c r="AR57" s="648"/>
      <c r="AS57" s="648"/>
      <c r="AT57" s="648"/>
      <c r="AU57" s="648"/>
    </row>
    <row r="58" spans="1:47">
      <c r="A58" s="648"/>
      <c r="B58" s="648"/>
      <c r="C58" s="648"/>
      <c r="D58" s="648"/>
      <c r="E58" s="648"/>
      <c r="F58" s="648"/>
      <c r="G58" s="648"/>
      <c r="H58" s="648"/>
      <c r="I58" s="648"/>
      <c r="J58" s="648"/>
      <c r="K58" s="648"/>
      <c r="L58" s="648"/>
      <c r="M58" s="648"/>
      <c r="N58" s="648"/>
      <c r="O58" s="648"/>
      <c r="P58" s="648"/>
      <c r="Q58" s="648"/>
      <c r="R58" s="648"/>
      <c r="S58" s="648"/>
      <c r="T58" s="648"/>
      <c r="U58" s="648"/>
      <c r="V58" s="648"/>
      <c r="W58" s="648"/>
      <c r="X58" s="648"/>
      <c r="Y58" s="648"/>
      <c r="Z58" s="648"/>
      <c r="AA58" s="648"/>
      <c r="AB58" s="648"/>
      <c r="AC58" s="648"/>
      <c r="AD58" s="648"/>
      <c r="AE58" s="648"/>
      <c r="AF58" s="648"/>
      <c r="AG58" s="648"/>
      <c r="AH58" s="648"/>
      <c r="AI58" s="648"/>
      <c r="AJ58" s="648"/>
      <c r="AK58" s="648"/>
      <c r="AL58" s="648"/>
      <c r="AM58" s="648"/>
      <c r="AN58" s="648"/>
      <c r="AO58" s="648"/>
      <c r="AP58" s="648"/>
      <c r="AQ58" s="648"/>
      <c r="AR58" s="648"/>
      <c r="AS58" s="648"/>
      <c r="AT58" s="648"/>
      <c r="AU58" s="648"/>
    </row>
    <row r="59" spans="1:47">
      <c r="A59" s="648"/>
      <c r="B59" s="648"/>
      <c r="C59" s="648"/>
      <c r="D59" s="648"/>
      <c r="E59" s="648"/>
      <c r="F59" s="648"/>
      <c r="G59" s="648"/>
      <c r="H59" s="648"/>
      <c r="I59" s="648"/>
      <c r="J59" s="648"/>
      <c r="K59" s="648"/>
      <c r="L59" s="648"/>
      <c r="M59" s="648"/>
      <c r="N59" s="648"/>
      <c r="O59" s="648"/>
      <c r="P59" s="648"/>
      <c r="Q59" s="648"/>
      <c r="R59" s="648"/>
      <c r="S59" s="648"/>
      <c r="T59" s="648"/>
      <c r="U59" s="648"/>
      <c r="V59" s="648"/>
      <c r="W59" s="648"/>
      <c r="X59" s="648"/>
      <c r="Y59" s="648"/>
      <c r="Z59" s="648"/>
      <c r="AA59" s="648"/>
      <c r="AB59" s="648"/>
      <c r="AC59" s="648"/>
      <c r="AD59" s="648"/>
      <c r="AE59" s="648"/>
      <c r="AF59" s="648"/>
      <c r="AG59" s="648"/>
      <c r="AH59" s="648"/>
      <c r="AI59" s="648"/>
      <c r="AJ59" s="648"/>
      <c r="AK59" s="648"/>
      <c r="AL59" s="648"/>
      <c r="AM59" s="648"/>
      <c r="AN59" s="648"/>
      <c r="AO59" s="648"/>
      <c r="AP59" s="648"/>
      <c r="AQ59" s="648"/>
      <c r="AR59" s="648"/>
      <c r="AS59" s="648"/>
      <c r="AT59" s="648"/>
      <c r="AU59" s="648"/>
    </row>
    <row r="60" spans="1:47">
      <c r="A60" s="648"/>
      <c r="B60" s="648"/>
      <c r="C60" s="648"/>
      <c r="D60" s="648"/>
      <c r="E60" s="648"/>
      <c r="F60" s="648"/>
      <c r="G60" s="648"/>
      <c r="H60" s="648"/>
      <c r="I60" s="648"/>
      <c r="J60" s="648"/>
      <c r="K60" s="648"/>
      <c r="L60" s="648"/>
      <c r="M60" s="648"/>
      <c r="N60" s="648"/>
      <c r="O60" s="648"/>
      <c r="P60" s="648"/>
      <c r="Q60" s="648"/>
      <c r="R60" s="648"/>
      <c r="S60" s="648"/>
      <c r="T60" s="648"/>
      <c r="U60" s="648"/>
      <c r="V60" s="648"/>
      <c r="W60" s="648"/>
      <c r="X60" s="648"/>
      <c r="Y60" s="648"/>
      <c r="Z60" s="648"/>
      <c r="AA60" s="648"/>
      <c r="AB60" s="648"/>
      <c r="AC60" s="648"/>
      <c r="AD60" s="648"/>
      <c r="AE60" s="648"/>
      <c r="AF60" s="648"/>
      <c r="AG60" s="648"/>
      <c r="AH60" s="648"/>
      <c r="AI60" s="648"/>
      <c r="AJ60" s="648"/>
      <c r="AK60" s="648"/>
      <c r="AL60" s="648"/>
      <c r="AM60" s="648"/>
      <c r="AN60" s="648"/>
      <c r="AO60" s="648"/>
      <c r="AP60" s="648"/>
      <c r="AQ60" s="648"/>
      <c r="AR60" s="648"/>
      <c r="AS60" s="648"/>
      <c r="AT60" s="648"/>
      <c r="AU60" s="648"/>
    </row>
    <row r="61" spans="1:47">
      <c r="A61" s="648"/>
      <c r="B61" s="648"/>
      <c r="C61" s="648"/>
      <c r="D61" s="648"/>
      <c r="E61" s="648"/>
      <c r="F61" s="648"/>
      <c r="G61" s="648"/>
      <c r="H61" s="648"/>
      <c r="I61" s="648"/>
      <c r="J61" s="648"/>
      <c r="K61" s="648"/>
      <c r="L61" s="648"/>
      <c r="M61" s="648"/>
      <c r="N61" s="648"/>
      <c r="O61" s="648"/>
      <c r="P61" s="648"/>
      <c r="Q61" s="648"/>
      <c r="R61" s="648"/>
      <c r="S61" s="648"/>
      <c r="T61" s="648"/>
      <c r="U61" s="648"/>
      <c r="V61" s="648"/>
      <c r="W61" s="648"/>
      <c r="X61" s="648"/>
      <c r="Y61" s="648"/>
      <c r="Z61" s="648"/>
      <c r="AA61" s="648"/>
      <c r="AB61" s="648"/>
      <c r="AC61" s="648"/>
      <c r="AD61" s="648"/>
      <c r="AE61" s="648"/>
      <c r="AF61" s="648"/>
      <c r="AG61" s="648"/>
      <c r="AH61" s="648"/>
      <c r="AI61" s="648"/>
      <c r="AJ61" s="648"/>
      <c r="AK61" s="648"/>
      <c r="AL61" s="648"/>
      <c r="AM61" s="648"/>
      <c r="AN61" s="648"/>
      <c r="AO61" s="648"/>
      <c r="AP61" s="648"/>
      <c r="AQ61" s="648"/>
      <c r="AR61" s="648"/>
      <c r="AS61" s="648"/>
      <c r="AT61" s="648"/>
      <c r="AU61" s="648"/>
    </row>
    <row r="62" spans="1:47">
      <c r="A62" s="648"/>
      <c r="B62" s="648"/>
      <c r="C62" s="648"/>
      <c r="D62" s="648"/>
      <c r="E62" s="648"/>
      <c r="F62" s="648"/>
      <c r="G62" s="648"/>
      <c r="H62" s="648"/>
      <c r="I62" s="648"/>
      <c r="J62" s="648"/>
      <c r="K62" s="648"/>
      <c r="L62" s="648"/>
      <c r="M62" s="648"/>
      <c r="N62" s="648"/>
      <c r="O62" s="648"/>
      <c r="P62" s="648"/>
      <c r="Q62" s="648"/>
      <c r="R62" s="648"/>
      <c r="S62" s="648"/>
      <c r="T62" s="648"/>
      <c r="U62" s="648"/>
      <c r="V62" s="648"/>
      <c r="W62" s="648"/>
      <c r="X62" s="648"/>
      <c r="Y62" s="648"/>
      <c r="Z62" s="648"/>
      <c r="AA62" s="648"/>
      <c r="AB62" s="648"/>
      <c r="AC62" s="648"/>
      <c r="AD62" s="648"/>
      <c r="AE62" s="648"/>
      <c r="AF62" s="648"/>
      <c r="AG62" s="648"/>
      <c r="AH62" s="648"/>
      <c r="AI62" s="648"/>
      <c r="AJ62" s="648"/>
      <c r="AK62" s="648"/>
      <c r="AL62" s="648"/>
      <c r="AM62" s="648"/>
      <c r="AN62" s="648"/>
      <c r="AO62" s="648"/>
      <c r="AP62" s="648"/>
      <c r="AQ62" s="648"/>
      <c r="AR62" s="648"/>
      <c r="AS62" s="648"/>
      <c r="AT62" s="648"/>
      <c r="AU62" s="648"/>
    </row>
    <row r="63" spans="1:47">
      <c r="A63" s="648"/>
      <c r="B63" s="648"/>
      <c r="C63" s="648"/>
      <c r="D63" s="648"/>
      <c r="E63" s="648"/>
      <c r="F63" s="648"/>
      <c r="G63" s="648"/>
      <c r="H63" s="648"/>
      <c r="I63" s="648"/>
      <c r="J63" s="648"/>
      <c r="K63" s="648"/>
      <c r="L63" s="648"/>
      <c r="M63" s="648"/>
      <c r="N63" s="648"/>
      <c r="O63" s="648"/>
      <c r="P63" s="648"/>
      <c r="Q63" s="648"/>
      <c r="R63" s="648"/>
      <c r="S63" s="648"/>
      <c r="T63" s="648"/>
      <c r="U63" s="648"/>
      <c r="V63" s="648"/>
      <c r="W63" s="648"/>
      <c r="X63" s="648"/>
      <c r="Y63" s="648"/>
      <c r="Z63" s="648"/>
      <c r="AA63" s="648"/>
      <c r="AB63" s="648"/>
      <c r="AC63" s="648"/>
      <c r="AD63" s="648"/>
      <c r="AE63" s="648"/>
      <c r="AF63" s="648"/>
      <c r="AG63" s="648"/>
      <c r="AH63" s="648"/>
      <c r="AI63" s="648"/>
      <c r="AJ63" s="648"/>
      <c r="AK63" s="648"/>
      <c r="AL63" s="648"/>
      <c r="AM63" s="648"/>
      <c r="AN63" s="648"/>
      <c r="AO63" s="648"/>
      <c r="AP63" s="648"/>
      <c r="AQ63" s="648"/>
      <c r="AR63" s="648"/>
      <c r="AS63" s="648"/>
      <c r="AT63" s="648"/>
      <c r="AU63" s="648"/>
    </row>
    <row r="64" spans="1:47">
      <c r="A64" s="648"/>
      <c r="B64" s="648"/>
      <c r="C64" s="648"/>
      <c r="D64" s="648"/>
      <c r="E64" s="648"/>
      <c r="F64" s="648"/>
      <c r="G64" s="648"/>
      <c r="H64" s="648"/>
      <c r="I64" s="648"/>
      <c r="J64" s="648"/>
      <c r="K64" s="648"/>
      <c r="L64" s="648"/>
      <c r="M64" s="648"/>
      <c r="N64" s="648"/>
      <c r="O64" s="648"/>
      <c r="P64" s="648"/>
      <c r="Q64" s="648"/>
      <c r="R64" s="648"/>
      <c r="S64" s="648"/>
      <c r="T64" s="648"/>
      <c r="U64" s="648"/>
      <c r="V64" s="648"/>
      <c r="W64" s="648"/>
      <c r="X64" s="648"/>
      <c r="Y64" s="648"/>
      <c r="Z64" s="648"/>
      <c r="AA64" s="648"/>
      <c r="AB64" s="648"/>
      <c r="AC64" s="648"/>
      <c r="AD64" s="648"/>
      <c r="AE64" s="648"/>
      <c r="AF64" s="648"/>
      <c r="AG64" s="648"/>
      <c r="AH64" s="648"/>
      <c r="AI64" s="648"/>
      <c r="AJ64" s="648"/>
      <c r="AK64" s="648"/>
      <c r="AL64" s="648"/>
      <c r="AM64" s="648"/>
      <c r="AN64" s="648"/>
      <c r="AO64" s="648"/>
      <c r="AP64" s="648"/>
      <c r="AQ64" s="648"/>
      <c r="AR64" s="648"/>
      <c r="AS64" s="648"/>
      <c r="AT64" s="648"/>
      <c r="AU64" s="648"/>
    </row>
    <row r="65" spans="1:47">
      <c r="A65" s="648"/>
      <c r="B65" s="648"/>
      <c r="C65" s="648"/>
      <c r="D65" s="648"/>
      <c r="E65" s="648"/>
      <c r="F65" s="648"/>
      <c r="G65" s="648"/>
      <c r="H65" s="648"/>
      <c r="I65" s="648"/>
      <c r="J65" s="648"/>
      <c r="K65" s="648"/>
      <c r="L65" s="648"/>
      <c r="M65" s="648"/>
      <c r="N65" s="648"/>
      <c r="O65" s="648"/>
      <c r="P65" s="648"/>
      <c r="Q65" s="648"/>
      <c r="R65" s="648"/>
      <c r="S65" s="648"/>
      <c r="T65" s="648"/>
      <c r="U65" s="648"/>
      <c r="V65" s="648"/>
      <c r="W65" s="648"/>
      <c r="X65" s="648"/>
      <c r="Y65" s="648"/>
      <c r="Z65" s="648"/>
      <c r="AA65" s="648"/>
      <c r="AB65" s="648"/>
      <c r="AC65" s="648"/>
      <c r="AD65" s="648"/>
      <c r="AE65" s="648"/>
      <c r="AF65" s="648"/>
      <c r="AG65" s="648"/>
      <c r="AH65" s="648"/>
      <c r="AI65" s="648"/>
      <c r="AJ65" s="648"/>
      <c r="AK65" s="648"/>
      <c r="AL65" s="648"/>
      <c r="AM65" s="648"/>
      <c r="AN65" s="648"/>
      <c r="AO65" s="648"/>
      <c r="AP65" s="648"/>
      <c r="AQ65" s="648"/>
      <c r="AR65" s="648"/>
      <c r="AS65" s="648"/>
      <c r="AT65" s="648"/>
      <c r="AU65" s="648"/>
    </row>
    <row r="66" spans="1:47">
      <c r="A66" s="648"/>
      <c r="B66" s="648"/>
      <c r="C66" s="648"/>
      <c r="D66" s="648"/>
      <c r="E66" s="648"/>
      <c r="F66" s="648"/>
      <c r="G66" s="648"/>
      <c r="H66" s="648"/>
      <c r="I66" s="648"/>
      <c r="J66" s="648"/>
      <c r="K66" s="648"/>
      <c r="L66" s="648"/>
      <c r="M66" s="648"/>
      <c r="N66" s="648"/>
      <c r="O66" s="648"/>
      <c r="P66" s="648"/>
      <c r="Q66" s="648"/>
      <c r="R66" s="648"/>
      <c r="S66" s="648"/>
      <c r="T66" s="648"/>
      <c r="U66" s="648"/>
      <c r="V66" s="648"/>
      <c r="W66" s="648"/>
      <c r="X66" s="648"/>
      <c r="Y66" s="648"/>
      <c r="Z66" s="648"/>
      <c r="AA66" s="648"/>
      <c r="AB66" s="648"/>
      <c r="AC66" s="648"/>
      <c r="AD66" s="648"/>
      <c r="AE66" s="648"/>
      <c r="AF66" s="648"/>
      <c r="AG66" s="648"/>
      <c r="AH66" s="648"/>
      <c r="AI66" s="648"/>
      <c r="AJ66" s="648"/>
      <c r="AK66" s="648"/>
      <c r="AL66" s="648"/>
      <c r="AM66" s="648"/>
      <c r="AN66" s="648"/>
      <c r="AO66" s="648"/>
      <c r="AP66" s="648"/>
      <c r="AQ66" s="648"/>
      <c r="AR66" s="648"/>
      <c r="AS66" s="648"/>
      <c r="AT66" s="648"/>
      <c r="AU66" s="648"/>
    </row>
    <row r="67" spans="1:47">
      <c r="A67" s="648"/>
      <c r="B67" s="648"/>
      <c r="C67" s="648"/>
      <c r="D67" s="648"/>
      <c r="E67" s="648"/>
      <c r="F67" s="648"/>
      <c r="G67" s="648"/>
      <c r="H67" s="648"/>
      <c r="I67" s="648"/>
      <c r="J67" s="648"/>
      <c r="K67" s="648"/>
      <c r="L67" s="648"/>
      <c r="M67" s="648"/>
      <c r="N67" s="648"/>
      <c r="O67" s="648"/>
      <c r="P67" s="648"/>
      <c r="Q67" s="648"/>
      <c r="R67" s="648"/>
      <c r="S67" s="648"/>
      <c r="T67" s="648"/>
      <c r="U67" s="648"/>
      <c r="V67" s="648"/>
      <c r="W67" s="648"/>
      <c r="X67" s="648"/>
      <c r="Y67" s="648"/>
      <c r="Z67" s="648"/>
      <c r="AA67" s="648"/>
      <c r="AB67" s="648"/>
      <c r="AC67" s="648"/>
      <c r="AD67" s="648"/>
      <c r="AE67" s="648"/>
      <c r="AF67" s="648"/>
      <c r="AG67" s="648"/>
      <c r="AH67" s="648"/>
      <c r="AI67" s="648"/>
      <c r="AJ67" s="648"/>
      <c r="AK67" s="648"/>
      <c r="AL67" s="648"/>
      <c r="AM67" s="648"/>
      <c r="AN67" s="648"/>
      <c r="AO67" s="648"/>
      <c r="AP67" s="648"/>
      <c r="AQ67" s="648"/>
      <c r="AR67" s="648"/>
      <c r="AS67" s="648"/>
      <c r="AT67" s="648"/>
      <c r="AU67" s="648"/>
    </row>
    <row r="68" spans="1:47">
      <c r="A68" s="648"/>
      <c r="B68" s="648"/>
      <c r="C68" s="648"/>
      <c r="D68" s="648"/>
      <c r="E68" s="648"/>
      <c r="F68" s="648"/>
      <c r="G68" s="648"/>
      <c r="H68" s="648"/>
      <c r="I68" s="648"/>
      <c r="J68" s="648"/>
      <c r="K68" s="648"/>
      <c r="L68" s="648"/>
      <c r="M68" s="648"/>
      <c r="N68" s="648"/>
      <c r="O68" s="648"/>
      <c r="P68" s="648"/>
      <c r="Q68" s="648"/>
      <c r="R68" s="648"/>
      <c r="S68" s="648"/>
      <c r="T68" s="648"/>
      <c r="U68" s="648"/>
      <c r="V68" s="648"/>
      <c r="W68" s="648"/>
      <c r="X68" s="648"/>
      <c r="Y68" s="648"/>
      <c r="Z68" s="648"/>
      <c r="AA68" s="648"/>
      <c r="AB68" s="648"/>
      <c r="AC68" s="648"/>
      <c r="AD68" s="648"/>
      <c r="AE68" s="648"/>
      <c r="AF68" s="648"/>
      <c r="AG68" s="648"/>
      <c r="AH68" s="648"/>
      <c r="AI68" s="648"/>
      <c r="AJ68" s="648"/>
      <c r="AK68" s="648"/>
      <c r="AL68" s="648"/>
      <c r="AM68" s="648"/>
      <c r="AN68" s="648"/>
      <c r="AO68" s="648"/>
      <c r="AP68" s="648"/>
      <c r="AQ68" s="648"/>
      <c r="AR68" s="648"/>
      <c r="AS68" s="648"/>
      <c r="AT68" s="648"/>
      <c r="AU68" s="648"/>
    </row>
    <row r="69" spans="1:47">
      <c r="A69" s="648"/>
      <c r="B69" s="648"/>
      <c r="C69" s="648"/>
      <c r="D69" s="648"/>
      <c r="E69" s="648"/>
      <c r="F69" s="648"/>
      <c r="G69" s="648"/>
      <c r="H69" s="648"/>
      <c r="I69" s="648"/>
      <c r="J69" s="648"/>
      <c r="K69" s="648"/>
      <c r="L69" s="648"/>
      <c r="M69" s="648"/>
      <c r="N69" s="648"/>
      <c r="O69" s="648"/>
      <c r="P69" s="648"/>
      <c r="Q69" s="648"/>
      <c r="R69" s="648"/>
      <c r="S69" s="648"/>
      <c r="T69" s="648"/>
      <c r="U69" s="648"/>
      <c r="V69" s="648"/>
      <c r="W69" s="648"/>
      <c r="X69" s="648"/>
      <c r="Y69" s="648"/>
      <c r="Z69" s="648"/>
      <c r="AA69" s="648"/>
      <c r="AB69" s="648"/>
      <c r="AC69" s="648"/>
      <c r="AD69" s="648"/>
      <c r="AE69" s="648"/>
      <c r="AF69" s="648"/>
      <c r="AG69" s="648"/>
      <c r="AH69" s="648"/>
      <c r="AI69" s="648"/>
      <c r="AJ69" s="648"/>
      <c r="AK69" s="648"/>
      <c r="AL69" s="648"/>
      <c r="AM69" s="648"/>
      <c r="AN69" s="648"/>
      <c r="AO69" s="648"/>
      <c r="AP69" s="648"/>
      <c r="AQ69" s="648"/>
      <c r="AR69" s="648"/>
      <c r="AS69" s="648"/>
      <c r="AT69" s="648"/>
      <c r="AU69" s="648"/>
    </row>
    <row r="70" spans="1:47">
      <c r="A70" s="648"/>
      <c r="B70" s="648"/>
      <c r="C70" s="648"/>
      <c r="D70" s="648"/>
      <c r="E70" s="648"/>
      <c r="F70" s="648"/>
      <c r="G70" s="648"/>
      <c r="H70" s="648"/>
      <c r="I70" s="648"/>
      <c r="J70" s="648"/>
      <c r="K70" s="648"/>
      <c r="L70" s="648"/>
      <c r="M70" s="648"/>
      <c r="N70" s="648"/>
      <c r="O70" s="648"/>
      <c r="P70" s="648"/>
      <c r="Q70" s="648"/>
      <c r="R70" s="648"/>
      <c r="S70" s="648"/>
      <c r="T70" s="648"/>
      <c r="U70" s="648"/>
      <c r="V70" s="648"/>
      <c r="W70" s="648"/>
      <c r="X70" s="648"/>
      <c r="Y70" s="648"/>
      <c r="Z70" s="648"/>
      <c r="AA70" s="648"/>
      <c r="AB70" s="648"/>
      <c r="AC70" s="648"/>
      <c r="AD70" s="648"/>
      <c r="AE70" s="648"/>
      <c r="AF70" s="648"/>
      <c r="AG70" s="648"/>
      <c r="AH70" s="648"/>
      <c r="AI70" s="648"/>
      <c r="AJ70" s="648"/>
      <c r="AK70" s="648"/>
      <c r="AL70" s="648"/>
      <c r="AM70" s="648"/>
      <c r="AN70" s="648"/>
      <c r="AO70" s="648"/>
      <c r="AP70" s="648"/>
      <c r="AQ70" s="648"/>
      <c r="AR70" s="648"/>
      <c r="AS70" s="648"/>
      <c r="AT70" s="648"/>
      <c r="AU70" s="648"/>
    </row>
    <row r="71" spans="1:47">
      <c r="A71" s="648"/>
      <c r="B71" s="648"/>
      <c r="C71" s="648"/>
      <c r="D71" s="648"/>
      <c r="E71" s="648"/>
      <c r="F71" s="648"/>
      <c r="G71" s="648"/>
      <c r="H71" s="648"/>
      <c r="I71" s="648"/>
      <c r="J71" s="648"/>
      <c r="K71" s="648"/>
      <c r="L71" s="648"/>
      <c r="M71" s="648"/>
      <c r="N71" s="648"/>
      <c r="O71" s="648"/>
      <c r="P71" s="648"/>
      <c r="Q71" s="648"/>
      <c r="R71" s="648"/>
      <c r="S71" s="648"/>
      <c r="T71" s="648"/>
      <c r="U71" s="648"/>
      <c r="V71" s="648"/>
      <c r="W71" s="648"/>
      <c r="X71" s="648"/>
      <c r="Y71" s="648"/>
      <c r="Z71" s="648"/>
      <c r="AA71" s="648"/>
      <c r="AB71" s="648"/>
      <c r="AC71" s="648"/>
      <c r="AD71" s="648"/>
      <c r="AE71" s="648"/>
      <c r="AF71" s="648"/>
      <c r="AG71" s="648"/>
      <c r="AH71" s="648"/>
      <c r="AI71" s="648"/>
      <c r="AJ71" s="648"/>
      <c r="AK71" s="648"/>
      <c r="AL71" s="648"/>
      <c r="AM71" s="648"/>
      <c r="AN71" s="648"/>
      <c r="AO71" s="648"/>
      <c r="AP71" s="648"/>
      <c r="AQ71" s="648"/>
      <c r="AR71" s="648"/>
      <c r="AS71" s="648"/>
      <c r="AT71" s="648"/>
      <c r="AU71" s="648"/>
    </row>
    <row r="72" spans="1:47">
      <c r="A72" s="648"/>
      <c r="B72" s="648"/>
      <c r="C72" s="648"/>
      <c r="D72" s="648"/>
      <c r="E72" s="648"/>
      <c r="F72" s="648"/>
      <c r="G72" s="648"/>
      <c r="H72" s="648"/>
      <c r="I72" s="648"/>
      <c r="J72" s="648"/>
      <c r="K72" s="648"/>
      <c r="L72" s="648"/>
      <c r="M72" s="648"/>
      <c r="N72" s="648"/>
      <c r="O72" s="648"/>
      <c r="P72" s="648"/>
      <c r="Q72" s="648"/>
      <c r="R72" s="648"/>
      <c r="S72" s="648"/>
      <c r="T72" s="648"/>
      <c r="U72" s="648"/>
      <c r="V72" s="648"/>
      <c r="W72" s="648"/>
      <c r="X72" s="648"/>
      <c r="Y72" s="648"/>
      <c r="Z72" s="648"/>
      <c r="AA72" s="648"/>
      <c r="AB72" s="648"/>
      <c r="AC72" s="648"/>
      <c r="AD72" s="648"/>
      <c r="AE72" s="648"/>
      <c r="AF72" s="648"/>
      <c r="AG72" s="648"/>
      <c r="AH72" s="648"/>
      <c r="AI72" s="648"/>
      <c r="AJ72" s="648"/>
      <c r="AK72" s="648"/>
      <c r="AL72" s="648"/>
      <c r="AM72" s="648"/>
      <c r="AN72" s="648"/>
      <c r="AO72" s="648"/>
      <c r="AP72" s="648"/>
      <c r="AQ72" s="648"/>
      <c r="AR72" s="648"/>
      <c r="AS72" s="648"/>
      <c r="AT72" s="648"/>
      <c r="AU72" s="648"/>
    </row>
    <row r="73" spans="1:47">
      <c r="A73" s="648"/>
      <c r="B73" s="648"/>
      <c r="C73" s="648"/>
      <c r="D73" s="648"/>
      <c r="E73" s="648"/>
      <c r="F73" s="648"/>
      <c r="G73" s="648"/>
      <c r="H73" s="648"/>
      <c r="I73" s="648"/>
      <c r="J73" s="648"/>
      <c r="K73" s="648"/>
      <c r="L73" s="648"/>
      <c r="M73" s="648"/>
      <c r="N73" s="648"/>
      <c r="O73" s="648"/>
      <c r="P73" s="648"/>
      <c r="Q73" s="648"/>
      <c r="R73" s="648"/>
      <c r="S73" s="648"/>
      <c r="T73" s="648"/>
      <c r="U73" s="648"/>
      <c r="V73" s="648"/>
      <c r="W73" s="648"/>
      <c r="X73" s="648"/>
      <c r="Y73" s="648"/>
      <c r="Z73" s="648"/>
      <c r="AA73" s="648"/>
      <c r="AB73" s="648"/>
      <c r="AC73" s="648"/>
      <c r="AD73" s="648"/>
      <c r="AE73" s="648"/>
      <c r="AF73" s="648"/>
      <c r="AG73" s="648"/>
      <c r="AH73" s="648"/>
      <c r="AI73" s="648"/>
      <c r="AJ73" s="648"/>
      <c r="AK73" s="648"/>
      <c r="AL73" s="648"/>
      <c r="AM73" s="648"/>
      <c r="AN73" s="648"/>
      <c r="AO73" s="648"/>
      <c r="AP73" s="648"/>
      <c r="AQ73" s="648"/>
      <c r="AR73" s="648"/>
      <c r="AS73" s="648"/>
      <c r="AT73" s="648"/>
      <c r="AU73" s="648"/>
    </row>
    <row r="74" spans="1:47">
      <c r="A74" s="648"/>
      <c r="B74" s="648"/>
      <c r="C74" s="648"/>
      <c r="D74" s="648"/>
      <c r="E74" s="648"/>
      <c r="F74" s="648"/>
      <c r="G74" s="648"/>
      <c r="H74" s="648"/>
      <c r="I74" s="648"/>
      <c r="J74" s="648"/>
      <c r="K74" s="648"/>
      <c r="L74" s="648"/>
      <c r="M74" s="648"/>
      <c r="N74" s="648"/>
      <c r="O74" s="648"/>
      <c r="P74" s="648"/>
      <c r="Q74" s="648"/>
      <c r="R74" s="648"/>
      <c r="S74" s="648"/>
      <c r="T74" s="648"/>
      <c r="U74" s="648"/>
      <c r="V74" s="648"/>
      <c r="W74" s="648"/>
      <c r="X74" s="648"/>
      <c r="Y74" s="648"/>
      <c r="Z74" s="648"/>
      <c r="AA74" s="648"/>
      <c r="AB74" s="648"/>
      <c r="AC74" s="648"/>
      <c r="AD74" s="648"/>
      <c r="AE74" s="648"/>
      <c r="AF74" s="648"/>
      <c r="AG74" s="648"/>
      <c r="AH74" s="648"/>
      <c r="AI74" s="648"/>
      <c r="AJ74" s="648"/>
      <c r="AK74" s="648"/>
      <c r="AL74" s="648"/>
      <c r="AM74" s="648"/>
      <c r="AN74" s="648"/>
      <c r="AO74" s="648"/>
      <c r="AP74" s="648"/>
      <c r="AQ74" s="648"/>
      <c r="AR74" s="648"/>
      <c r="AS74" s="648"/>
      <c r="AT74" s="648"/>
      <c r="AU74" s="648"/>
    </row>
    <row r="75" spans="1:47">
      <c r="A75" s="648"/>
      <c r="B75" s="648"/>
      <c r="C75" s="648"/>
      <c r="D75" s="648"/>
      <c r="E75" s="648"/>
      <c r="F75" s="648"/>
      <c r="G75" s="648"/>
      <c r="H75" s="648"/>
      <c r="I75" s="648"/>
      <c r="J75" s="648"/>
      <c r="K75" s="648"/>
      <c r="L75" s="648"/>
      <c r="M75" s="648"/>
      <c r="N75" s="648"/>
      <c r="O75" s="648"/>
      <c r="P75" s="648"/>
      <c r="Q75" s="648"/>
      <c r="R75" s="648"/>
      <c r="S75" s="648"/>
      <c r="T75" s="648"/>
      <c r="U75" s="648"/>
      <c r="V75" s="648"/>
      <c r="W75" s="648"/>
      <c r="X75" s="648"/>
      <c r="Y75" s="648"/>
      <c r="Z75" s="648"/>
      <c r="AA75" s="648"/>
      <c r="AB75" s="648"/>
      <c r="AC75" s="648"/>
      <c r="AD75" s="648"/>
      <c r="AE75" s="648"/>
      <c r="AF75" s="648"/>
      <c r="AG75" s="648"/>
      <c r="AH75" s="648"/>
      <c r="AI75" s="648"/>
      <c r="AJ75" s="648"/>
      <c r="AK75" s="648"/>
      <c r="AL75" s="648"/>
      <c r="AM75" s="648"/>
      <c r="AN75" s="648"/>
      <c r="AO75" s="648"/>
      <c r="AP75" s="648"/>
      <c r="AQ75" s="648"/>
      <c r="AR75" s="648"/>
      <c r="AS75" s="648"/>
      <c r="AT75" s="648"/>
      <c r="AU75" s="648"/>
    </row>
    <row r="76" spans="1:47">
      <c r="A76" s="648"/>
      <c r="B76" s="648"/>
      <c r="C76" s="648"/>
      <c r="D76" s="648"/>
      <c r="E76" s="648"/>
      <c r="F76" s="648"/>
      <c r="G76" s="648"/>
      <c r="H76" s="648"/>
      <c r="I76" s="648"/>
      <c r="J76" s="648"/>
      <c r="K76" s="648"/>
      <c r="L76" s="648"/>
      <c r="M76" s="648"/>
      <c r="N76" s="648"/>
      <c r="O76" s="648"/>
      <c r="P76" s="648"/>
      <c r="Q76" s="648"/>
      <c r="R76" s="648"/>
      <c r="S76" s="648"/>
      <c r="T76" s="648"/>
      <c r="U76" s="648"/>
      <c r="V76" s="648"/>
      <c r="W76" s="648"/>
      <c r="X76" s="648"/>
      <c r="Y76" s="648"/>
      <c r="Z76" s="648"/>
      <c r="AA76" s="648"/>
      <c r="AB76" s="648"/>
      <c r="AC76" s="648"/>
      <c r="AD76" s="648"/>
      <c r="AE76" s="648"/>
      <c r="AF76" s="648"/>
      <c r="AG76" s="648"/>
      <c r="AH76" s="648"/>
      <c r="AI76" s="648"/>
      <c r="AJ76" s="648"/>
      <c r="AK76" s="648"/>
      <c r="AL76" s="648"/>
      <c r="AM76" s="648"/>
      <c r="AN76" s="648"/>
      <c r="AO76" s="648"/>
      <c r="AP76" s="648"/>
      <c r="AQ76" s="648"/>
      <c r="AR76" s="648"/>
      <c r="AS76" s="648"/>
      <c r="AT76" s="648"/>
      <c r="AU76" s="648"/>
    </row>
    <row r="77" spans="1:47">
      <c r="A77" s="648"/>
      <c r="B77" s="648"/>
      <c r="C77" s="648"/>
      <c r="D77" s="648"/>
      <c r="E77" s="648"/>
      <c r="F77" s="648"/>
      <c r="G77" s="648"/>
      <c r="H77" s="648"/>
      <c r="I77" s="648"/>
      <c r="J77" s="648"/>
      <c r="K77" s="648"/>
      <c r="L77" s="648"/>
      <c r="M77" s="648"/>
      <c r="N77" s="648"/>
      <c r="O77" s="648"/>
      <c r="P77" s="648"/>
      <c r="Q77" s="648"/>
      <c r="R77" s="648"/>
      <c r="S77" s="648"/>
      <c r="T77" s="648"/>
      <c r="U77" s="648"/>
      <c r="V77" s="648"/>
      <c r="W77" s="648"/>
      <c r="X77" s="648"/>
      <c r="Y77" s="648"/>
      <c r="Z77" s="648"/>
      <c r="AA77" s="648"/>
      <c r="AB77" s="648"/>
      <c r="AC77" s="648"/>
      <c r="AD77" s="648"/>
      <c r="AE77" s="648"/>
      <c r="AF77" s="648"/>
      <c r="AG77" s="648"/>
      <c r="AH77" s="648"/>
      <c r="AI77" s="648"/>
      <c r="AJ77" s="648"/>
      <c r="AK77" s="648"/>
      <c r="AL77" s="648"/>
      <c r="AM77" s="648"/>
      <c r="AN77" s="648"/>
      <c r="AO77" s="648"/>
      <c r="AP77" s="648"/>
      <c r="AQ77" s="648"/>
      <c r="AR77" s="648"/>
      <c r="AS77" s="648"/>
      <c r="AT77" s="648"/>
      <c r="AU77" s="648"/>
    </row>
    <row r="78" spans="1:47">
      <c r="A78" s="648"/>
      <c r="B78" s="648"/>
      <c r="C78" s="648"/>
      <c r="D78" s="648"/>
      <c r="E78" s="648"/>
      <c r="F78" s="648"/>
      <c r="G78" s="648"/>
      <c r="H78" s="648"/>
      <c r="I78" s="648"/>
      <c r="J78" s="648"/>
      <c r="K78" s="648"/>
      <c r="L78" s="648"/>
      <c r="M78" s="648"/>
      <c r="N78" s="648"/>
      <c r="O78" s="648"/>
      <c r="P78" s="648"/>
      <c r="Q78" s="648"/>
      <c r="R78" s="648"/>
      <c r="S78" s="648"/>
      <c r="T78" s="648"/>
      <c r="U78" s="648"/>
      <c r="V78" s="648"/>
      <c r="W78" s="648"/>
      <c r="X78" s="648"/>
      <c r="Y78" s="648"/>
      <c r="Z78" s="648"/>
      <c r="AA78" s="648"/>
      <c r="AB78" s="648"/>
      <c r="AC78" s="648"/>
      <c r="AD78" s="648"/>
      <c r="AE78" s="648"/>
      <c r="AF78" s="648"/>
      <c r="AG78" s="648"/>
      <c r="AH78" s="648"/>
      <c r="AI78" s="648"/>
      <c r="AJ78" s="648"/>
      <c r="AK78" s="648"/>
      <c r="AL78" s="648"/>
      <c r="AM78" s="648"/>
      <c r="AN78" s="648"/>
      <c r="AO78" s="648"/>
      <c r="AP78" s="648"/>
      <c r="AQ78" s="648"/>
      <c r="AR78" s="648"/>
      <c r="AS78" s="648"/>
      <c r="AT78" s="648"/>
      <c r="AU78" s="648"/>
    </row>
    <row r="79" spans="1:47">
      <c r="A79" s="648"/>
      <c r="B79" s="648"/>
      <c r="C79" s="648"/>
      <c r="D79" s="648"/>
      <c r="E79" s="648"/>
      <c r="F79" s="648"/>
      <c r="G79" s="648"/>
      <c r="H79" s="648"/>
      <c r="I79" s="648"/>
      <c r="J79" s="648"/>
      <c r="K79" s="648"/>
      <c r="L79" s="648"/>
      <c r="M79" s="648"/>
      <c r="N79" s="648"/>
      <c r="O79" s="648"/>
      <c r="P79" s="648"/>
      <c r="Q79" s="648"/>
      <c r="R79" s="648"/>
      <c r="S79" s="648"/>
      <c r="T79" s="648"/>
      <c r="U79" s="648"/>
      <c r="V79" s="648"/>
      <c r="W79" s="648"/>
      <c r="X79" s="648"/>
      <c r="Y79" s="648"/>
      <c r="Z79" s="648"/>
      <c r="AA79" s="648"/>
      <c r="AB79" s="648"/>
      <c r="AC79" s="648"/>
      <c r="AD79" s="648"/>
      <c r="AE79" s="648"/>
      <c r="AF79" s="648"/>
      <c r="AG79" s="648"/>
      <c r="AH79" s="648"/>
      <c r="AI79" s="648"/>
      <c r="AJ79" s="648"/>
      <c r="AK79" s="648"/>
      <c r="AL79" s="648"/>
      <c r="AM79" s="648"/>
      <c r="AN79" s="648"/>
      <c r="AO79" s="648"/>
      <c r="AP79" s="648"/>
      <c r="AQ79" s="648"/>
      <c r="AR79" s="648"/>
      <c r="AS79" s="648"/>
      <c r="AT79" s="648"/>
      <c r="AU79" s="648"/>
    </row>
    <row r="80" spans="1:47">
      <c r="A80" s="648"/>
      <c r="B80" s="648"/>
      <c r="C80" s="648"/>
      <c r="D80" s="648"/>
      <c r="E80" s="648"/>
      <c r="F80" s="648"/>
      <c r="G80" s="648"/>
      <c r="H80" s="648"/>
      <c r="I80" s="648"/>
      <c r="J80" s="648"/>
      <c r="K80" s="648"/>
      <c r="L80" s="648"/>
      <c r="M80" s="648"/>
      <c r="N80" s="648"/>
      <c r="O80" s="648"/>
      <c r="P80" s="648"/>
      <c r="Q80" s="648"/>
      <c r="R80" s="648"/>
      <c r="S80" s="648"/>
      <c r="T80" s="648"/>
      <c r="U80" s="648"/>
      <c r="V80" s="648"/>
      <c r="W80" s="648"/>
      <c r="X80" s="648"/>
      <c r="Y80" s="648"/>
      <c r="Z80" s="648"/>
      <c r="AA80" s="648"/>
      <c r="AB80" s="648"/>
      <c r="AC80" s="648"/>
      <c r="AD80" s="648"/>
      <c r="AE80" s="648"/>
      <c r="AF80" s="648"/>
      <c r="AG80" s="648"/>
      <c r="AH80" s="648"/>
      <c r="AI80" s="648"/>
      <c r="AJ80" s="648"/>
      <c r="AK80" s="648"/>
      <c r="AL80" s="648"/>
      <c r="AM80" s="648"/>
      <c r="AN80" s="648"/>
      <c r="AO80" s="648"/>
      <c r="AP80" s="648"/>
      <c r="AQ80" s="648"/>
      <c r="AR80" s="648"/>
      <c r="AS80" s="648"/>
      <c r="AT80" s="648"/>
      <c r="AU80" s="648"/>
    </row>
    <row r="81" spans="1:47">
      <c r="A81" s="648"/>
      <c r="B81" s="648"/>
      <c r="C81" s="648"/>
      <c r="D81" s="648"/>
      <c r="E81" s="648"/>
      <c r="F81" s="648"/>
      <c r="G81" s="648"/>
      <c r="H81" s="648"/>
      <c r="I81" s="648"/>
      <c r="J81" s="648"/>
      <c r="K81" s="648"/>
      <c r="L81" s="648"/>
      <c r="M81" s="648"/>
      <c r="N81" s="648"/>
      <c r="O81" s="648"/>
      <c r="P81" s="648"/>
      <c r="Q81" s="648"/>
      <c r="R81" s="648"/>
      <c r="S81" s="648"/>
      <c r="T81" s="648"/>
      <c r="U81" s="648"/>
      <c r="V81" s="648"/>
      <c r="W81" s="648"/>
      <c r="X81" s="648"/>
      <c r="Y81" s="648"/>
      <c r="Z81" s="648"/>
      <c r="AA81" s="648"/>
      <c r="AB81" s="648"/>
      <c r="AC81" s="648"/>
      <c r="AD81" s="648"/>
      <c r="AE81" s="648"/>
      <c r="AF81" s="648"/>
      <c r="AG81" s="648"/>
      <c r="AH81" s="648"/>
      <c r="AI81" s="648"/>
      <c r="AJ81" s="648"/>
      <c r="AK81" s="648"/>
      <c r="AL81" s="648"/>
      <c r="AM81" s="648"/>
      <c r="AN81" s="648"/>
      <c r="AO81" s="648"/>
      <c r="AP81" s="648"/>
      <c r="AQ81" s="648"/>
      <c r="AR81" s="648"/>
      <c r="AS81" s="648"/>
      <c r="AT81" s="648"/>
      <c r="AU81" s="648"/>
    </row>
    <row r="82" spans="1:47">
      <c r="A82" s="648"/>
      <c r="B82" s="648"/>
      <c r="C82" s="648"/>
      <c r="D82" s="648"/>
      <c r="E82" s="648"/>
      <c r="F82" s="648"/>
      <c r="G82" s="648"/>
      <c r="H82" s="648"/>
      <c r="I82" s="648"/>
      <c r="J82" s="648"/>
      <c r="K82" s="648"/>
      <c r="L82" s="648"/>
      <c r="M82" s="648"/>
      <c r="N82" s="648"/>
      <c r="O82" s="648"/>
      <c r="P82" s="648"/>
      <c r="Q82" s="648"/>
      <c r="R82" s="648"/>
      <c r="S82" s="648"/>
      <c r="T82" s="648"/>
      <c r="U82" s="648"/>
      <c r="V82" s="648"/>
      <c r="W82" s="648"/>
      <c r="X82" s="648"/>
      <c r="Y82" s="648"/>
      <c r="Z82" s="648"/>
      <c r="AA82" s="648"/>
      <c r="AB82" s="648"/>
      <c r="AC82" s="648"/>
      <c r="AD82" s="648"/>
      <c r="AE82" s="648"/>
      <c r="AF82" s="648"/>
      <c r="AG82" s="648"/>
      <c r="AH82" s="648"/>
      <c r="AI82" s="648"/>
      <c r="AJ82" s="648"/>
      <c r="AK82" s="648"/>
      <c r="AL82" s="648"/>
      <c r="AM82" s="648"/>
      <c r="AN82" s="648"/>
      <c r="AO82" s="648"/>
      <c r="AP82" s="648"/>
      <c r="AQ82" s="648"/>
      <c r="AR82" s="648"/>
      <c r="AS82" s="648"/>
      <c r="AT82" s="648"/>
      <c r="AU82" s="648"/>
    </row>
    <row r="83" spans="1:47">
      <c r="A83" s="648"/>
      <c r="B83" s="648"/>
      <c r="C83" s="648"/>
      <c r="D83" s="648"/>
      <c r="E83" s="648"/>
      <c r="F83" s="648"/>
      <c r="G83" s="648"/>
      <c r="H83" s="648"/>
      <c r="I83" s="648"/>
      <c r="J83" s="648"/>
      <c r="K83" s="648"/>
      <c r="L83" s="648"/>
      <c r="M83" s="648"/>
      <c r="N83" s="648"/>
      <c r="O83" s="648"/>
      <c r="P83" s="648"/>
      <c r="Q83" s="648"/>
      <c r="R83" s="648"/>
      <c r="S83" s="648"/>
      <c r="T83" s="648"/>
      <c r="U83" s="648"/>
      <c r="V83" s="648"/>
      <c r="W83" s="648"/>
      <c r="X83" s="648"/>
      <c r="Y83" s="648"/>
      <c r="Z83" s="648"/>
      <c r="AA83" s="648"/>
      <c r="AB83" s="648"/>
      <c r="AC83" s="648"/>
      <c r="AD83" s="648"/>
      <c r="AE83" s="648"/>
      <c r="AF83" s="648"/>
      <c r="AG83" s="648"/>
      <c r="AH83" s="648"/>
      <c r="AI83" s="648"/>
      <c r="AJ83" s="648"/>
      <c r="AK83" s="648"/>
      <c r="AL83" s="648"/>
      <c r="AM83" s="648"/>
      <c r="AN83" s="648"/>
      <c r="AO83" s="648"/>
      <c r="AP83" s="648"/>
      <c r="AQ83" s="648"/>
      <c r="AR83" s="648"/>
      <c r="AS83" s="648"/>
      <c r="AT83" s="648"/>
      <c r="AU83" s="648"/>
    </row>
    <row r="84" spans="1:47">
      <c r="A84" s="648"/>
      <c r="B84" s="648"/>
      <c r="C84" s="648"/>
      <c r="D84" s="648"/>
      <c r="E84" s="648"/>
      <c r="F84" s="648"/>
      <c r="G84" s="648"/>
      <c r="H84" s="648"/>
      <c r="I84" s="648"/>
      <c r="J84" s="648"/>
      <c r="K84" s="648"/>
      <c r="L84" s="648"/>
      <c r="M84" s="648"/>
      <c r="N84" s="648"/>
      <c r="O84" s="648"/>
      <c r="P84" s="648"/>
      <c r="Q84" s="648"/>
      <c r="R84" s="648"/>
      <c r="S84" s="648"/>
      <c r="T84" s="648"/>
      <c r="U84" s="648"/>
      <c r="V84" s="648"/>
      <c r="W84" s="648"/>
      <c r="X84" s="648"/>
      <c r="Y84" s="648"/>
      <c r="Z84" s="648"/>
      <c r="AA84" s="648"/>
      <c r="AB84" s="648"/>
      <c r="AC84" s="648"/>
      <c r="AD84" s="648"/>
      <c r="AE84" s="648"/>
      <c r="AF84" s="648"/>
      <c r="AG84" s="648"/>
      <c r="AH84" s="648"/>
      <c r="AI84" s="648"/>
      <c r="AJ84" s="648"/>
      <c r="AK84" s="648"/>
      <c r="AL84" s="648"/>
      <c r="AM84" s="648"/>
      <c r="AN84" s="648"/>
      <c r="AO84" s="648"/>
      <c r="AP84" s="648"/>
      <c r="AQ84" s="648"/>
      <c r="AR84" s="648"/>
      <c r="AS84" s="648"/>
      <c r="AT84" s="648"/>
      <c r="AU84" s="648"/>
    </row>
    <row r="85" spans="1:47">
      <c r="A85" s="648"/>
      <c r="B85" s="648"/>
      <c r="C85" s="648"/>
      <c r="D85" s="648"/>
      <c r="E85" s="648"/>
      <c r="F85" s="648"/>
      <c r="G85" s="648"/>
      <c r="H85" s="648"/>
      <c r="I85" s="648"/>
      <c r="J85" s="648"/>
      <c r="K85" s="648"/>
      <c r="L85" s="648"/>
      <c r="M85" s="648"/>
      <c r="N85" s="648"/>
      <c r="O85" s="648"/>
      <c r="P85" s="648"/>
      <c r="Q85" s="648"/>
      <c r="R85" s="648"/>
      <c r="S85" s="648"/>
      <c r="T85" s="648"/>
      <c r="U85" s="648"/>
      <c r="V85" s="648"/>
      <c r="W85" s="648"/>
      <c r="X85" s="648"/>
      <c r="Y85" s="648"/>
      <c r="Z85" s="648"/>
      <c r="AA85" s="648"/>
      <c r="AB85" s="648"/>
      <c r="AC85" s="648"/>
      <c r="AD85" s="648"/>
      <c r="AE85" s="648"/>
      <c r="AF85" s="648"/>
      <c r="AG85" s="648"/>
      <c r="AH85" s="648"/>
      <c r="AI85" s="648"/>
      <c r="AJ85" s="648"/>
      <c r="AK85" s="648"/>
      <c r="AL85" s="648"/>
      <c r="AM85" s="648"/>
      <c r="AN85" s="648"/>
      <c r="AO85" s="648"/>
      <c r="AP85" s="648"/>
      <c r="AQ85" s="648"/>
      <c r="AR85" s="648"/>
      <c r="AS85" s="648"/>
      <c r="AT85" s="648"/>
      <c r="AU85" s="648"/>
    </row>
    <row r="86" spans="1:47">
      <c r="A86" s="648"/>
      <c r="B86" s="648"/>
      <c r="C86" s="648"/>
      <c r="D86" s="648"/>
      <c r="E86" s="648"/>
      <c r="F86" s="648"/>
      <c r="G86" s="648"/>
      <c r="H86" s="648"/>
      <c r="I86" s="648"/>
      <c r="J86" s="648"/>
      <c r="K86" s="648"/>
      <c r="L86" s="648"/>
      <c r="M86" s="648"/>
      <c r="N86" s="648"/>
      <c r="O86" s="648"/>
      <c r="P86" s="648"/>
      <c r="Q86" s="648"/>
      <c r="R86" s="648"/>
      <c r="S86" s="648"/>
      <c r="T86" s="648"/>
      <c r="U86" s="648"/>
      <c r="V86" s="648"/>
      <c r="W86" s="648"/>
      <c r="X86" s="648"/>
      <c r="Y86" s="648"/>
      <c r="Z86" s="648"/>
      <c r="AA86" s="648"/>
      <c r="AB86" s="648"/>
      <c r="AC86" s="648"/>
      <c r="AD86" s="648"/>
      <c r="AE86" s="648"/>
      <c r="AF86" s="648"/>
      <c r="AG86" s="648"/>
      <c r="AH86" s="648"/>
      <c r="AI86" s="648"/>
      <c r="AJ86" s="648"/>
      <c r="AK86" s="648"/>
      <c r="AL86" s="648"/>
      <c r="AM86" s="648"/>
      <c r="AN86" s="648"/>
      <c r="AO86" s="648"/>
      <c r="AP86" s="648"/>
      <c r="AQ86" s="648"/>
      <c r="AR86" s="648"/>
      <c r="AS86" s="648"/>
      <c r="AT86" s="648"/>
      <c r="AU86" s="648"/>
    </row>
    <row r="87" spans="1:47">
      <c r="A87" s="648"/>
      <c r="B87" s="648"/>
      <c r="C87" s="648"/>
      <c r="D87" s="648"/>
      <c r="E87" s="648"/>
      <c r="F87" s="648"/>
      <c r="G87" s="648"/>
      <c r="H87" s="648"/>
      <c r="I87" s="648"/>
      <c r="J87" s="648"/>
      <c r="K87" s="648"/>
      <c r="L87" s="648"/>
      <c r="M87" s="648"/>
      <c r="N87" s="648"/>
      <c r="O87" s="648"/>
      <c r="P87" s="648"/>
      <c r="Q87" s="648"/>
      <c r="R87" s="648"/>
      <c r="S87" s="648"/>
      <c r="T87" s="648"/>
      <c r="U87" s="648"/>
      <c r="V87" s="648"/>
      <c r="W87" s="648"/>
      <c r="X87" s="648"/>
      <c r="Y87" s="648"/>
      <c r="Z87" s="648"/>
      <c r="AA87" s="648"/>
      <c r="AB87" s="648"/>
      <c r="AC87" s="648"/>
      <c r="AD87" s="648"/>
      <c r="AE87" s="648"/>
      <c r="AF87" s="648"/>
      <c r="AG87" s="648"/>
      <c r="AH87" s="648"/>
      <c r="AI87" s="648"/>
      <c r="AJ87" s="648"/>
      <c r="AK87" s="648"/>
      <c r="AL87" s="648"/>
      <c r="AM87" s="648"/>
      <c r="AN87" s="648"/>
      <c r="AO87" s="648"/>
      <c r="AP87" s="648"/>
      <c r="AQ87" s="648"/>
      <c r="AR87" s="648"/>
      <c r="AS87" s="648"/>
      <c r="AT87" s="648"/>
      <c r="AU87" s="648"/>
    </row>
    <row r="88" spans="1:47">
      <c r="A88" s="648"/>
      <c r="B88" s="648"/>
      <c r="C88" s="648"/>
      <c r="D88" s="648"/>
      <c r="E88" s="648"/>
      <c r="F88" s="648"/>
      <c r="G88" s="648"/>
      <c r="H88" s="648"/>
      <c r="I88" s="648"/>
      <c r="J88" s="648"/>
      <c r="K88" s="648"/>
      <c r="L88" s="648"/>
      <c r="M88" s="648"/>
      <c r="N88" s="648"/>
      <c r="O88" s="648"/>
      <c r="P88" s="648"/>
      <c r="Q88" s="648"/>
      <c r="R88" s="648"/>
      <c r="S88" s="648"/>
      <c r="T88" s="648"/>
      <c r="U88" s="648"/>
      <c r="V88" s="648"/>
      <c r="W88" s="648"/>
      <c r="X88" s="648"/>
      <c r="Y88" s="648"/>
      <c r="Z88" s="648"/>
      <c r="AA88" s="648"/>
      <c r="AB88" s="648"/>
      <c r="AC88" s="648"/>
      <c r="AD88" s="648"/>
      <c r="AE88" s="648"/>
      <c r="AF88" s="648"/>
      <c r="AG88" s="648"/>
      <c r="AH88" s="648"/>
      <c r="AI88" s="648"/>
      <c r="AJ88" s="648"/>
      <c r="AK88" s="648"/>
      <c r="AL88" s="648"/>
      <c r="AM88" s="648"/>
      <c r="AN88" s="648"/>
      <c r="AO88" s="648"/>
      <c r="AP88" s="648"/>
      <c r="AQ88" s="648"/>
      <c r="AR88" s="648"/>
      <c r="AS88" s="648"/>
      <c r="AT88" s="648"/>
      <c r="AU88" s="648"/>
    </row>
    <row r="89" spans="1:47">
      <c r="A89" s="648"/>
      <c r="B89" s="648"/>
      <c r="C89" s="648"/>
      <c r="D89" s="648"/>
      <c r="E89" s="648"/>
      <c r="F89" s="648"/>
      <c r="G89" s="648"/>
      <c r="H89" s="648"/>
      <c r="I89" s="648"/>
      <c r="J89" s="648"/>
      <c r="K89" s="648"/>
      <c r="L89" s="648"/>
      <c r="M89" s="648"/>
      <c r="N89" s="648"/>
      <c r="O89" s="648"/>
      <c r="P89" s="648"/>
      <c r="Q89" s="648"/>
      <c r="R89" s="648"/>
      <c r="S89" s="648"/>
      <c r="T89" s="648"/>
      <c r="U89" s="648"/>
      <c r="V89" s="648"/>
      <c r="W89" s="648"/>
      <c r="X89" s="648"/>
      <c r="Y89" s="648"/>
      <c r="Z89" s="648"/>
      <c r="AA89" s="648"/>
      <c r="AB89" s="648"/>
      <c r="AC89" s="648"/>
      <c r="AD89" s="648"/>
      <c r="AE89" s="648"/>
      <c r="AF89" s="648"/>
      <c r="AG89" s="648"/>
      <c r="AH89" s="648"/>
      <c r="AI89" s="648"/>
      <c r="AJ89" s="648"/>
      <c r="AK89" s="648"/>
      <c r="AL89" s="648"/>
      <c r="AM89" s="648"/>
      <c r="AN89" s="648"/>
      <c r="AO89" s="648"/>
      <c r="AP89" s="648"/>
      <c r="AQ89" s="648"/>
      <c r="AR89" s="648"/>
      <c r="AS89" s="648"/>
      <c r="AT89" s="648"/>
      <c r="AU89" s="648"/>
    </row>
    <row r="90" spans="1:47">
      <c r="A90" s="648"/>
      <c r="B90" s="648"/>
      <c r="C90" s="648"/>
      <c r="D90" s="648"/>
      <c r="E90" s="648"/>
      <c r="F90" s="648"/>
      <c r="G90" s="648"/>
      <c r="H90" s="648"/>
      <c r="I90" s="648"/>
      <c r="J90" s="648"/>
      <c r="K90" s="648"/>
      <c r="L90" s="648"/>
      <c r="M90" s="648"/>
      <c r="N90" s="648"/>
      <c r="O90" s="648"/>
      <c r="P90" s="648"/>
      <c r="Q90" s="648"/>
      <c r="R90" s="648"/>
      <c r="S90" s="648"/>
      <c r="T90" s="648"/>
      <c r="U90" s="648"/>
      <c r="V90" s="648"/>
      <c r="W90" s="648"/>
      <c r="X90" s="648"/>
      <c r="Y90" s="648"/>
      <c r="Z90" s="648"/>
      <c r="AA90" s="648"/>
      <c r="AB90" s="648"/>
      <c r="AC90" s="648"/>
      <c r="AD90" s="648"/>
      <c r="AE90" s="648"/>
      <c r="AF90" s="648"/>
      <c r="AG90" s="648"/>
      <c r="AH90" s="648"/>
      <c r="AI90" s="648"/>
      <c r="AJ90" s="648"/>
      <c r="AK90" s="648"/>
      <c r="AL90" s="648"/>
      <c r="AM90" s="648"/>
      <c r="AN90" s="648"/>
      <c r="AO90" s="648"/>
      <c r="AP90" s="648"/>
      <c r="AQ90" s="648"/>
      <c r="AR90" s="648"/>
      <c r="AS90" s="648"/>
      <c r="AT90" s="648"/>
      <c r="AU90" s="648"/>
    </row>
    <row r="91" spans="1:47">
      <c r="A91" s="648"/>
      <c r="B91" s="648"/>
      <c r="C91" s="648"/>
      <c r="D91" s="648"/>
      <c r="E91" s="648"/>
      <c r="F91" s="648"/>
      <c r="G91" s="648"/>
      <c r="H91" s="648"/>
      <c r="I91" s="648"/>
      <c r="J91" s="648"/>
      <c r="K91" s="648"/>
      <c r="L91" s="648"/>
      <c r="M91" s="648"/>
      <c r="N91" s="648"/>
      <c r="O91" s="648"/>
      <c r="P91" s="648"/>
      <c r="Q91" s="648"/>
      <c r="R91" s="648"/>
      <c r="S91" s="648"/>
      <c r="T91" s="648"/>
      <c r="U91" s="648"/>
      <c r="V91" s="648"/>
      <c r="W91" s="648"/>
      <c r="X91" s="648"/>
      <c r="Y91" s="648"/>
      <c r="Z91" s="648"/>
      <c r="AA91" s="648"/>
      <c r="AB91" s="648"/>
      <c r="AC91" s="648"/>
      <c r="AD91" s="648"/>
      <c r="AE91" s="648"/>
      <c r="AF91" s="648"/>
      <c r="AG91" s="648"/>
      <c r="AH91" s="648"/>
      <c r="AI91" s="648"/>
      <c r="AJ91" s="648"/>
      <c r="AK91" s="648"/>
      <c r="AL91" s="648"/>
      <c r="AM91" s="648"/>
      <c r="AN91" s="648"/>
      <c r="AO91" s="648"/>
      <c r="AP91" s="648"/>
      <c r="AQ91" s="648"/>
      <c r="AR91" s="648"/>
      <c r="AS91" s="648"/>
      <c r="AT91" s="648"/>
      <c r="AU91" s="648"/>
    </row>
    <row r="92" spans="1:47">
      <c r="A92" s="648"/>
      <c r="B92" s="648"/>
      <c r="C92" s="648"/>
      <c r="D92" s="648"/>
      <c r="E92" s="648"/>
      <c r="F92" s="648"/>
      <c r="G92" s="648"/>
      <c r="H92" s="648"/>
      <c r="I92" s="648"/>
      <c r="J92" s="648"/>
      <c r="K92" s="648"/>
      <c r="L92" s="648"/>
      <c r="M92" s="648"/>
      <c r="N92" s="648"/>
      <c r="O92" s="648"/>
      <c r="P92" s="648"/>
      <c r="Q92" s="648"/>
      <c r="R92" s="648"/>
      <c r="S92" s="648"/>
      <c r="T92" s="648"/>
      <c r="U92" s="648"/>
      <c r="V92" s="648"/>
      <c r="W92" s="648"/>
      <c r="X92" s="648"/>
      <c r="Y92" s="648"/>
      <c r="Z92" s="648"/>
      <c r="AA92" s="648"/>
      <c r="AB92" s="648"/>
      <c r="AC92" s="648"/>
      <c r="AD92" s="648"/>
      <c r="AE92" s="648"/>
      <c r="AF92" s="648"/>
      <c r="AG92" s="648"/>
      <c r="AH92" s="648"/>
      <c r="AI92" s="648"/>
      <c r="AJ92" s="648"/>
      <c r="AK92" s="648"/>
      <c r="AL92" s="648"/>
      <c r="AM92" s="648"/>
      <c r="AN92" s="648"/>
      <c r="AO92" s="648"/>
      <c r="AP92" s="648"/>
      <c r="AQ92" s="648"/>
      <c r="AR92" s="648"/>
      <c r="AS92" s="648"/>
      <c r="AT92" s="648"/>
      <c r="AU92" s="648"/>
    </row>
    <row r="93" spans="1:47">
      <c r="A93" s="648"/>
      <c r="B93" s="648"/>
      <c r="C93" s="648"/>
      <c r="D93" s="648"/>
      <c r="E93" s="648"/>
      <c r="F93" s="648"/>
      <c r="G93" s="648"/>
      <c r="H93" s="648"/>
      <c r="I93" s="648"/>
      <c r="J93" s="648"/>
      <c r="K93" s="648"/>
      <c r="L93" s="648"/>
      <c r="M93" s="648"/>
      <c r="N93" s="648"/>
      <c r="O93" s="648"/>
      <c r="P93" s="648"/>
      <c r="Q93" s="648"/>
      <c r="R93" s="648"/>
      <c r="S93" s="648"/>
      <c r="T93" s="648"/>
      <c r="U93" s="648"/>
      <c r="V93" s="648"/>
      <c r="W93" s="648"/>
      <c r="X93" s="648"/>
      <c r="Y93" s="648"/>
      <c r="Z93" s="648"/>
      <c r="AA93" s="648"/>
      <c r="AB93" s="648"/>
      <c r="AC93" s="648"/>
      <c r="AD93" s="648"/>
      <c r="AE93" s="648"/>
      <c r="AF93" s="648"/>
      <c r="AG93" s="648"/>
      <c r="AH93" s="648"/>
      <c r="AI93" s="648"/>
      <c r="AJ93" s="648"/>
      <c r="AK93" s="648"/>
      <c r="AL93" s="648"/>
      <c r="AM93" s="648"/>
      <c r="AN93" s="648"/>
      <c r="AO93" s="648"/>
      <c r="AP93" s="648"/>
      <c r="AQ93" s="648"/>
      <c r="AR93" s="648"/>
      <c r="AS93" s="648"/>
      <c r="AT93" s="648"/>
      <c r="AU93" s="648"/>
    </row>
    <row r="94" spans="1:47">
      <c r="A94" s="648"/>
      <c r="B94" s="648"/>
      <c r="C94" s="648"/>
      <c r="D94" s="648"/>
      <c r="E94" s="648"/>
      <c r="F94" s="648"/>
      <c r="G94" s="648"/>
      <c r="H94" s="648"/>
      <c r="I94" s="648"/>
      <c r="J94" s="648"/>
      <c r="K94" s="648"/>
      <c r="L94" s="648"/>
      <c r="M94" s="648"/>
      <c r="N94" s="648"/>
      <c r="O94" s="648"/>
      <c r="P94" s="648"/>
      <c r="Q94" s="648"/>
      <c r="R94" s="648"/>
      <c r="S94" s="648"/>
      <c r="T94" s="648"/>
      <c r="U94" s="648"/>
      <c r="V94" s="648"/>
      <c r="W94" s="648"/>
      <c r="X94" s="648"/>
      <c r="Y94" s="648"/>
      <c r="Z94" s="648"/>
      <c r="AA94" s="648"/>
      <c r="AB94" s="648"/>
      <c r="AC94" s="648"/>
      <c r="AD94" s="648"/>
      <c r="AE94" s="648"/>
      <c r="AF94" s="648"/>
      <c r="AG94" s="648"/>
      <c r="AH94" s="648"/>
      <c r="AI94" s="648"/>
      <c r="AJ94" s="648"/>
      <c r="AK94" s="648"/>
      <c r="AL94" s="648"/>
      <c r="AM94" s="648"/>
      <c r="AN94" s="648"/>
      <c r="AO94" s="648"/>
      <c r="AP94" s="648"/>
      <c r="AQ94" s="648"/>
      <c r="AR94" s="648"/>
      <c r="AS94" s="648"/>
      <c r="AT94" s="648"/>
      <c r="AU94" s="648"/>
    </row>
    <row r="95" spans="1:47">
      <c r="A95" s="648"/>
      <c r="B95" s="648"/>
      <c r="C95" s="648"/>
      <c r="D95" s="648"/>
      <c r="E95" s="648"/>
      <c r="F95" s="648"/>
      <c r="G95" s="648"/>
      <c r="H95" s="648"/>
      <c r="I95" s="648"/>
      <c r="J95" s="648"/>
      <c r="K95" s="648"/>
      <c r="L95" s="648"/>
      <c r="M95" s="648"/>
      <c r="N95" s="648"/>
      <c r="O95" s="648"/>
      <c r="P95" s="648"/>
      <c r="Q95" s="648"/>
      <c r="R95" s="648"/>
      <c r="S95" s="648"/>
      <c r="T95" s="648"/>
      <c r="U95" s="648"/>
      <c r="V95" s="648"/>
      <c r="W95" s="648"/>
      <c r="X95" s="648"/>
      <c r="Y95" s="648"/>
      <c r="Z95" s="648"/>
      <c r="AA95" s="648"/>
      <c r="AB95" s="648"/>
      <c r="AC95" s="648"/>
      <c r="AD95" s="648"/>
      <c r="AE95" s="648"/>
      <c r="AF95" s="648"/>
      <c r="AG95" s="648"/>
      <c r="AH95" s="648"/>
      <c r="AI95" s="648"/>
      <c r="AJ95" s="648"/>
      <c r="AK95" s="648"/>
      <c r="AL95" s="648"/>
      <c r="AM95" s="648"/>
      <c r="AN95" s="648"/>
      <c r="AO95" s="648"/>
      <c r="AP95" s="648"/>
      <c r="AQ95" s="648"/>
      <c r="AR95" s="648"/>
      <c r="AS95" s="648"/>
      <c r="AT95" s="648"/>
      <c r="AU95" s="648"/>
    </row>
    <row r="96" spans="1:47">
      <c r="A96" s="648"/>
      <c r="B96" s="648"/>
      <c r="C96" s="648"/>
      <c r="D96" s="648"/>
      <c r="E96" s="648"/>
      <c r="F96" s="648"/>
      <c r="G96" s="648"/>
      <c r="H96" s="648"/>
      <c r="I96" s="648"/>
      <c r="J96" s="648"/>
      <c r="K96" s="648"/>
      <c r="L96" s="648"/>
      <c r="M96" s="648"/>
      <c r="N96" s="648"/>
      <c r="O96" s="648"/>
      <c r="P96" s="648"/>
      <c r="Q96" s="648"/>
      <c r="R96" s="648"/>
      <c r="S96" s="648"/>
      <c r="T96" s="648"/>
      <c r="U96" s="648"/>
      <c r="V96" s="648"/>
      <c r="W96" s="648"/>
      <c r="X96" s="648"/>
      <c r="Y96" s="648"/>
      <c r="Z96" s="648"/>
      <c r="AA96" s="648"/>
      <c r="AB96" s="648"/>
      <c r="AC96" s="648"/>
      <c r="AD96" s="648"/>
      <c r="AE96" s="648"/>
      <c r="AF96" s="648"/>
      <c r="AG96" s="648"/>
      <c r="AH96" s="648"/>
      <c r="AI96" s="648"/>
      <c r="AJ96" s="648"/>
      <c r="AK96" s="648"/>
      <c r="AL96" s="648"/>
      <c r="AM96" s="648"/>
      <c r="AN96" s="648"/>
      <c r="AO96" s="648"/>
      <c r="AP96" s="648"/>
      <c r="AQ96" s="648"/>
      <c r="AR96" s="648"/>
      <c r="AS96" s="648"/>
      <c r="AT96" s="648"/>
      <c r="AU96" s="648"/>
    </row>
    <row r="97" spans="1:47">
      <c r="A97" s="648"/>
      <c r="B97" s="648"/>
      <c r="C97" s="648"/>
      <c r="D97" s="648"/>
      <c r="E97" s="648"/>
      <c r="F97" s="648"/>
      <c r="G97" s="648"/>
      <c r="H97" s="648"/>
      <c r="I97" s="648"/>
      <c r="J97" s="648"/>
      <c r="K97" s="648"/>
      <c r="L97" s="648"/>
      <c r="M97" s="648"/>
      <c r="N97" s="648"/>
      <c r="O97" s="648"/>
      <c r="P97" s="648"/>
      <c r="Q97" s="648"/>
      <c r="R97" s="648"/>
      <c r="S97" s="648"/>
      <c r="T97" s="648"/>
      <c r="U97" s="648"/>
      <c r="V97" s="648"/>
      <c r="W97" s="648"/>
      <c r="X97" s="648"/>
      <c r="Y97" s="648"/>
      <c r="Z97" s="648"/>
      <c r="AA97" s="648"/>
      <c r="AB97" s="648"/>
      <c r="AC97" s="648"/>
      <c r="AD97" s="648"/>
      <c r="AE97" s="648"/>
      <c r="AF97" s="648"/>
      <c r="AG97" s="648"/>
      <c r="AH97" s="648"/>
      <c r="AI97" s="648"/>
      <c r="AJ97" s="648"/>
      <c r="AK97" s="648"/>
      <c r="AL97" s="648"/>
      <c r="AM97" s="648"/>
      <c r="AN97" s="648"/>
      <c r="AO97" s="648"/>
      <c r="AP97" s="648"/>
      <c r="AQ97" s="648"/>
      <c r="AR97" s="648"/>
      <c r="AS97" s="648"/>
      <c r="AT97" s="648"/>
      <c r="AU97" s="648"/>
    </row>
    <row r="98" spans="1:47">
      <c r="A98" s="648"/>
      <c r="B98" s="648"/>
      <c r="C98" s="648"/>
      <c r="D98" s="648"/>
      <c r="E98" s="648"/>
      <c r="F98" s="648"/>
      <c r="G98" s="648"/>
      <c r="H98" s="648"/>
      <c r="I98" s="648"/>
      <c r="J98" s="648"/>
      <c r="K98" s="648"/>
      <c r="L98" s="648"/>
      <c r="M98" s="648"/>
      <c r="N98" s="648"/>
      <c r="O98" s="648"/>
      <c r="P98" s="648"/>
      <c r="Q98" s="648"/>
      <c r="R98" s="648"/>
      <c r="S98" s="648"/>
      <c r="T98" s="648"/>
      <c r="U98" s="648"/>
      <c r="V98" s="648"/>
      <c r="W98" s="648"/>
      <c r="X98" s="648"/>
      <c r="Y98" s="648"/>
      <c r="Z98" s="648"/>
      <c r="AA98" s="648"/>
      <c r="AB98" s="648"/>
      <c r="AC98" s="648"/>
      <c r="AD98" s="648"/>
      <c r="AE98" s="648"/>
      <c r="AF98" s="648"/>
      <c r="AG98" s="648"/>
      <c r="AH98" s="648"/>
      <c r="AI98" s="648"/>
      <c r="AJ98" s="648"/>
      <c r="AK98" s="648"/>
      <c r="AL98" s="648"/>
      <c r="AM98" s="648"/>
      <c r="AN98" s="648"/>
      <c r="AO98" s="648"/>
      <c r="AP98" s="648"/>
      <c r="AQ98" s="648"/>
      <c r="AR98" s="648"/>
      <c r="AS98" s="648"/>
      <c r="AT98" s="648"/>
      <c r="AU98" s="648"/>
    </row>
    <row r="99" spans="1:47">
      <c r="A99" s="648"/>
      <c r="B99" s="648"/>
      <c r="C99" s="648"/>
      <c r="D99" s="648"/>
      <c r="E99" s="648"/>
      <c r="F99" s="648"/>
      <c r="G99" s="648"/>
      <c r="H99" s="648"/>
      <c r="I99" s="648"/>
      <c r="J99" s="648"/>
      <c r="K99" s="648"/>
      <c r="L99" s="648"/>
      <c r="M99" s="648"/>
      <c r="N99" s="648"/>
      <c r="O99" s="648"/>
      <c r="P99" s="648"/>
      <c r="Q99" s="648"/>
      <c r="R99" s="648"/>
      <c r="S99" s="648"/>
      <c r="T99" s="648"/>
      <c r="U99" s="648"/>
      <c r="V99" s="648"/>
      <c r="W99" s="648"/>
      <c r="X99" s="648"/>
      <c r="Y99" s="648"/>
      <c r="Z99" s="648"/>
      <c r="AA99" s="648"/>
      <c r="AB99" s="648"/>
      <c r="AC99" s="648"/>
      <c r="AD99" s="648"/>
      <c r="AE99" s="648"/>
      <c r="AF99" s="648"/>
      <c r="AG99" s="648"/>
      <c r="AH99" s="648"/>
      <c r="AI99" s="648"/>
      <c r="AJ99" s="648"/>
      <c r="AK99" s="648"/>
      <c r="AL99" s="648"/>
      <c r="AM99" s="648"/>
      <c r="AN99" s="648"/>
      <c r="AO99" s="648"/>
      <c r="AP99" s="648"/>
      <c r="AQ99" s="648"/>
      <c r="AR99" s="648"/>
      <c r="AS99" s="648"/>
      <c r="AT99" s="648"/>
      <c r="AU99" s="648"/>
    </row>
    <row r="100" spans="1:47">
      <c r="A100" s="648"/>
      <c r="B100" s="648"/>
      <c r="C100" s="648"/>
      <c r="D100" s="648"/>
      <c r="E100" s="648"/>
      <c r="F100" s="648"/>
      <c r="G100" s="648"/>
      <c r="H100" s="648"/>
      <c r="I100" s="648"/>
      <c r="J100" s="648"/>
      <c r="K100" s="648"/>
      <c r="L100" s="648"/>
      <c r="M100" s="648"/>
      <c r="N100" s="648"/>
      <c r="O100" s="648"/>
      <c r="P100" s="648"/>
      <c r="Q100" s="648"/>
      <c r="R100" s="648"/>
      <c r="S100" s="648"/>
      <c r="T100" s="648"/>
      <c r="U100" s="648"/>
      <c r="V100" s="648"/>
      <c r="W100" s="648"/>
      <c r="X100" s="648"/>
      <c r="Y100" s="648"/>
      <c r="Z100" s="648"/>
      <c r="AA100" s="648"/>
      <c r="AB100" s="648"/>
      <c r="AC100" s="648"/>
      <c r="AD100" s="648"/>
      <c r="AE100" s="648"/>
      <c r="AF100" s="648"/>
      <c r="AG100" s="648"/>
      <c r="AH100" s="648"/>
      <c r="AI100" s="648"/>
      <c r="AJ100" s="648"/>
      <c r="AK100" s="648"/>
      <c r="AL100" s="648"/>
      <c r="AM100" s="648"/>
      <c r="AN100" s="648"/>
      <c r="AO100" s="648"/>
      <c r="AP100" s="648"/>
      <c r="AQ100" s="648"/>
      <c r="AR100" s="648"/>
      <c r="AS100" s="648"/>
      <c r="AT100" s="648"/>
      <c r="AU100" s="648"/>
    </row>
    <row r="101" spans="1:47">
      <c r="A101" s="648"/>
      <c r="B101" s="648"/>
      <c r="C101" s="648"/>
      <c r="D101" s="648"/>
      <c r="E101" s="648"/>
      <c r="F101" s="648"/>
      <c r="G101" s="648"/>
      <c r="H101" s="648"/>
      <c r="I101" s="648"/>
      <c r="J101" s="648"/>
      <c r="K101" s="648"/>
      <c r="L101" s="648"/>
      <c r="M101" s="648"/>
      <c r="N101" s="648"/>
      <c r="O101" s="648"/>
      <c r="P101" s="648"/>
      <c r="Q101" s="648"/>
      <c r="R101" s="648"/>
      <c r="S101" s="648"/>
      <c r="T101" s="648"/>
      <c r="U101" s="648"/>
      <c r="V101" s="648"/>
      <c r="W101" s="648"/>
      <c r="X101" s="648"/>
      <c r="Y101" s="648"/>
      <c r="Z101" s="648"/>
      <c r="AA101" s="648"/>
      <c r="AB101" s="648"/>
      <c r="AC101" s="648"/>
      <c r="AD101" s="648"/>
      <c r="AE101" s="648"/>
      <c r="AF101" s="648"/>
      <c r="AG101" s="648"/>
      <c r="AH101" s="648"/>
      <c r="AI101" s="648"/>
      <c r="AJ101" s="648"/>
      <c r="AK101" s="648"/>
      <c r="AL101" s="648"/>
      <c r="AM101" s="648"/>
      <c r="AN101" s="648"/>
      <c r="AO101" s="648"/>
      <c r="AP101" s="648"/>
      <c r="AQ101" s="648"/>
      <c r="AR101" s="648"/>
      <c r="AS101" s="648"/>
      <c r="AT101" s="648"/>
      <c r="AU101" s="648"/>
    </row>
    <row r="102" spans="1:47">
      <c r="A102" s="648"/>
      <c r="B102" s="648"/>
      <c r="C102" s="648"/>
      <c r="D102" s="648"/>
      <c r="E102" s="648"/>
      <c r="F102" s="648"/>
      <c r="G102" s="648"/>
      <c r="H102" s="648"/>
      <c r="I102" s="648"/>
      <c r="J102" s="648"/>
      <c r="K102" s="648"/>
      <c r="L102" s="648"/>
      <c r="M102" s="648"/>
      <c r="N102" s="648"/>
      <c r="O102" s="648"/>
      <c r="P102" s="648"/>
      <c r="Q102" s="648"/>
      <c r="R102" s="648"/>
      <c r="S102" s="648"/>
      <c r="T102" s="648"/>
      <c r="U102" s="648"/>
      <c r="V102" s="648"/>
      <c r="W102" s="648"/>
      <c r="X102" s="648"/>
      <c r="Y102" s="648"/>
      <c r="Z102" s="648"/>
      <c r="AA102" s="648"/>
      <c r="AB102" s="648"/>
      <c r="AC102" s="648"/>
      <c r="AD102" s="648"/>
      <c r="AE102" s="648"/>
      <c r="AF102" s="648"/>
      <c r="AG102" s="648"/>
      <c r="AH102" s="648"/>
      <c r="AI102" s="648"/>
      <c r="AJ102" s="648"/>
      <c r="AK102" s="648"/>
      <c r="AL102" s="648"/>
      <c r="AM102" s="648"/>
      <c r="AN102" s="648"/>
      <c r="AO102" s="648"/>
      <c r="AP102" s="648"/>
      <c r="AQ102" s="648"/>
      <c r="AR102" s="648"/>
      <c r="AS102" s="648"/>
      <c r="AT102" s="648"/>
      <c r="AU102" s="648"/>
    </row>
    <row r="103" spans="1:47">
      <c r="A103" s="648"/>
      <c r="B103" s="648"/>
      <c r="C103" s="648"/>
      <c r="D103" s="648"/>
      <c r="E103" s="648"/>
      <c r="F103" s="648"/>
      <c r="G103" s="648"/>
      <c r="H103" s="648"/>
      <c r="I103" s="648"/>
      <c r="J103" s="648"/>
      <c r="K103" s="648"/>
      <c r="L103" s="648"/>
      <c r="M103" s="648"/>
      <c r="N103" s="648"/>
      <c r="O103" s="648"/>
      <c r="P103" s="648"/>
      <c r="Q103" s="648"/>
      <c r="R103" s="648"/>
      <c r="S103" s="648"/>
      <c r="T103" s="648"/>
      <c r="U103" s="648"/>
      <c r="V103" s="648"/>
      <c r="W103" s="648"/>
      <c r="X103" s="648"/>
      <c r="Y103" s="648"/>
      <c r="Z103" s="648"/>
      <c r="AA103" s="648"/>
      <c r="AB103" s="648"/>
      <c r="AC103" s="648"/>
      <c r="AD103" s="648"/>
      <c r="AE103" s="648"/>
      <c r="AF103" s="648"/>
      <c r="AG103" s="648"/>
      <c r="AH103" s="648"/>
      <c r="AI103" s="648"/>
      <c r="AJ103" s="648"/>
      <c r="AK103" s="648"/>
      <c r="AL103" s="648"/>
      <c r="AM103" s="648"/>
      <c r="AN103" s="648"/>
      <c r="AO103" s="648"/>
      <c r="AP103" s="648"/>
      <c r="AQ103" s="648"/>
      <c r="AR103" s="648"/>
      <c r="AS103" s="648"/>
      <c r="AT103" s="648"/>
      <c r="AU103" s="648"/>
    </row>
    <row r="104" spans="1:47">
      <c r="A104" s="648"/>
      <c r="B104" s="648"/>
      <c r="C104" s="648"/>
      <c r="D104" s="648"/>
      <c r="E104" s="648"/>
      <c r="F104" s="648"/>
      <c r="G104" s="648"/>
      <c r="H104" s="648"/>
      <c r="I104" s="648"/>
      <c r="J104" s="648"/>
      <c r="K104" s="648"/>
      <c r="L104" s="648"/>
      <c r="M104" s="648"/>
      <c r="N104" s="648"/>
      <c r="O104" s="648"/>
      <c r="P104" s="648"/>
      <c r="Q104" s="648"/>
      <c r="R104" s="648"/>
      <c r="S104" s="648"/>
      <c r="T104" s="648"/>
      <c r="U104" s="648"/>
      <c r="V104" s="648"/>
      <c r="W104" s="648"/>
      <c r="X104" s="648"/>
      <c r="Y104" s="648"/>
      <c r="Z104" s="648"/>
      <c r="AA104" s="648"/>
      <c r="AB104" s="648"/>
      <c r="AC104" s="648"/>
      <c r="AD104" s="648"/>
      <c r="AE104" s="648"/>
      <c r="AF104" s="648"/>
      <c r="AG104" s="648"/>
      <c r="AH104" s="648"/>
      <c r="AI104" s="648"/>
      <c r="AJ104" s="648"/>
      <c r="AK104" s="648"/>
      <c r="AL104" s="648"/>
      <c r="AM104" s="648"/>
      <c r="AN104" s="648"/>
      <c r="AO104" s="648"/>
      <c r="AP104" s="648"/>
      <c r="AQ104" s="648"/>
      <c r="AR104" s="648"/>
      <c r="AS104" s="648"/>
      <c r="AT104" s="648"/>
      <c r="AU104" s="648"/>
    </row>
    <row r="105" spans="1:47">
      <c r="A105" s="648"/>
      <c r="B105" s="648"/>
      <c r="C105" s="648"/>
      <c r="D105" s="648"/>
      <c r="E105" s="648"/>
      <c r="F105" s="648"/>
      <c r="G105" s="648"/>
      <c r="H105" s="648"/>
      <c r="I105" s="648"/>
      <c r="J105" s="648"/>
      <c r="K105" s="648"/>
      <c r="L105" s="648"/>
      <c r="M105" s="648"/>
      <c r="N105" s="648"/>
      <c r="O105" s="648"/>
      <c r="P105" s="648"/>
      <c r="Q105" s="648"/>
      <c r="R105" s="648"/>
      <c r="S105" s="648"/>
      <c r="T105" s="648"/>
      <c r="U105" s="648"/>
      <c r="V105" s="648"/>
      <c r="W105" s="648"/>
      <c r="X105" s="648"/>
      <c r="Y105" s="648"/>
      <c r="Z105" s="648"/>
      <c r="AA105" s="648"/>
      <c r="AB105" s="648"/>
      <c r="AC105" s="648"/>
      <c r="AD105" s="648"/>
      <c r="AE105" s="648"/>
      <c r="AF105" s="648"/>
      <c r="AG105" s="648"/>
      <c r="AH105" s="648"/>
      <c r="AI105" s="648"/>
      <c r="AJ105" s="648"/>
      <c r="AK105" s="648"/>
      <c r="AL105" s="648"/>
      <c r="AM105" s="648"/>
      <c r="AN105" s="648"/>
      <c r="AO105" s="648"/>
      <c r="AP105" s="648"/>
      <c r="AQ105" s="648"/>
      <c r="AR105" s="648"/>
      <c r="AS105" s="648"/>
      <c r="AT105" s="648"/>
      <c r="AU105" s="648"/>
    </row>
    <row r="106" spans="1:47">
      <c r="A106" s="648"/>
      <c r="B106" s="648"/>
      <c r="C106" s="648"/>
      <c r="D106" s="648"/>
      <c r="E106" s="648"/>
      <c r="F106" s="648"/>
      <c r="G106" s="648"/>
      <c r="H106" s="648"/>
      <c r="I106" s="648"/>
      <c r="J106" s="648"/>
      <c r="K106" s="648"/>
      <c r="L106" s="648"/>
      <c r="M106" s="648"/>
      <c r="N106" s="648"/>
      <c r="O106" s="648"/>
      <c r="P106" s="648"/>
      <c r="Q106" s="648"/>
      <c r="R106" s="648"/>
      <c r="S106" s="648"/>
      <c r="T106" s="648"/>
      <c r="U106" s="648"/>
      <c r="V106" s="648"/>
      <c r="W106" s="648"/>
      <c r="X106" s="648"/>
      <c r="Y106" s="648"/>
      <c r="Z106" s="648"/>
      <c r="AA106" s="648"/>
      <c r="AB106" s="648"/>
      <c r="AC106" s="648"/>
      <c r="AD106" s="648"/>
      <c r="AE106" s="648"/>
      <c r="AF106" s="648"/>
      <c r="AG106" s="648"/>
      <c r="AH106" s="648"/>
      <c r="AI106" s="648"/>
      <c r="AJ106" s="648"/>
      <c r="AK106" s="648"/>
      <c r="AL106" s="648"/>
      <c r="AM106" s="648"/>
      <c r="AN106" s="648"/>
      <c r="AO106" s="648"/>
      <c r="AP106" s="648"/>
      <c r="AQ106" s="648"/>
      <c r="AR106" s="648"/>
      <c r="AS106" s="648"/>
      <c r="AT106" s="648"/>
      <c r="AU106" s="648"/>
    </row>
    <row r="107" spans="1:47">
      <c r="A107" s="648"/>
      <c r="B107" s="648"/>
      <c r="C107" s="648"/>
      <c r="D107" s="648"/>
      <c r="E107" s="648"/>
      <c r="F107" s="648"/>
      <c r="G107" s="648"/>
      <c r="H107" s="648"/>
      <c r="I107" s="648"/>
      <c r="J107" s="648"/>
      <c r="K107" s="648"/>
      <c r="L107" s="648"/>
      <c r="M107" s="648"/>
      <c r="N107" s="648"/>
      <c r="O107" s="648"/>
      <c r="P107" s="648"/>
      <c r="Q107" s="648"/>
      <c r="R107" s="648"/>
      <c r="S107" s="648"/>
      <c r="T107" s="648"/>
      <c r="U107" s="648"/>
      <c r="V107" s="648"/>
      <c r="W107" s="648"/>
      <c r="X107" s="648"/>
      <c r="Y107" s="648"/>
      <c r="Z107" s="648"/>
      <c r="AA107" s="648"/>
      <c r="AB107" s="648"/>
      <c r="AC107" s="648"/>
      <c r="AD107" s="648"/>
      <c r="AE107" s="648"/>
      <c r="AF107" s="648"/>
      <c r="AG107" s="648"/>
      <c r="AH107" s="648"/>
      <c r="AI107" s="648"/>
      <c r="AJ107" s="648"/>
      <c r="AK107" s="648"/>
      <c r="AL107" s="648"/>
      <c r="AM107" s="648"/>
      <c r="AN107" s="648"/>
      <c r="AO107" s="648"/>
      <c r="AP107" s="648"/>
      <c r="AQ107" s="648"/>
      <c r="AR107" s="648"/>
      <c r="AS107" s="648"/>
      <c r="AT107" s="648"/>
      <c r="AU107" s="648"/>
    </row>
    <row r="108" spans="1:47">
      <c r="A108" s="648"/>
      <c r="B108" s="648"/>
      <c r="C108" s="648"/>
      <c r="D108" s="648"/>
      <c r="E108" s="648"/>
      <c r="F108" s="648"/>
      <c r="G108" s="648"/>
      <c r="H108" s="648"/>
      <c r="I108" s="648"/>
      <c r="J108" s="648"/>
      <c r="K108" s="648"/>
      <c r="L108" s="648"/>
      <c r="M108" s="648"/>
      <c r="N108" s="648"/>
      <c r="O108" s="648"/>
      <c r="P108" s="648"/>
      <c r="Q108" s="648"/>
      <c r="R108" s="648"/>
      <c r="S108" s="648"/>
      <c r="T108" s="648"/>
      <c r="U108" s="648"/>
      <c r="V108" s="648"/>
      <c r="W108" s="648"/>
      <c r="X108" s="648"/>
      <c r="Y108" s="648"/>
      <c r="Z108" s="648"/>
      <c r="AA108" s="648"/>
      <c r="AB108" s="648"/>
      <c r="AC108" s="648"/>
      <c r="AD108" s="648"/>
      <c r="AE108" s="648"/>
      <c r="AF108" s="648"/>
      <c r="AG108" s="648"/>
      <c r="AH108" s="648"/>
      <c r="AI108" s="648"/>
      <c r="AJ108" s="648"/>
      <c r="AK108" s="648"/>
      <c r="AL108" s="648"/>
      <c r="AM108" s="648"/>
      <c r="AN108" s="648"/>
      <c r="AO108" s="648"/>
      <c r="AP108" s="648"/>
      <c r="AQ108" s="648"/>
      <c r="AR108" s="648"/>
      <c r="AS108" s="648"/>
      <c r="AT108" s="648"/>
      <c r="AU108" s="648"/>
    </row>
    <row r="109" spans="1:47">
      <c r="A109" s="648"/>
      <c r="B109" s="648"/>
      <c r="C109" s="648"/>
      <c r="D109" s="648"/>
      <c r="E109" s="648"/>
      <c r="F109" s="648"/>
      <c r="G109" s="648"/>
      <c r="H109" s="648"/>
      <c r="I109" s="648"/>
      <c r="J109" s="648"/>
      <c r="K109" s="648"/>
      <c r="L109" s="648"/>
      <c r="M109" s="648"/>
      <c r="N109" s="648"/>
      <c r="O109" s="648"/>
      <c r="P109" s="648"/>
      <c r="Q109" s="648"/>
      <c r="R109" s="648"/>
      <c r="S109" s="648"/>
      <c r="T109" s="648"/>
      <c r="U109" s="648"/>
      <c r="V109" s="648"/>
      <c r="W109" s="648"/>
      <c r="X109" s="648"/>
      <c r="Y109" s="648"/>
      <c r="Z109" s="648"/>
      <c r="AA109" s="648"/>
      <c r="AB109" s="648"/>
      <c r="AC109" s="648"/>
      <c r="AD109" s="648"/>
      <c r="AE109" s="648"/>
      <c r="AF109" s="648"/>
      <c r="AG109" s="648"/>
      <c r="AH109" s="648"/>
      <c r="AI109" s="648"/>
      <c r="AJ109" s="648"/>
      <c r="AK109" s="648"/>
      <c r="AL109" s="648"/>
      <c r="AM109" s="648"/>
      <c r="AN109" s="648"/>
      <c r="AO109" s="648"/>
      <c r="AP109" s="648"/>
      <c r="AQ109" s="648"/>
      <c r="AR109" s="648"/>
      <c r="AS109" s="648"/>
      <c r="AT109" s="648"/>
      <c r="AU109" s="648"/>
    </row>
    <row r="110" spans="1:47">
      <c r="A110" s="648"/>
      <c r="B110" s="648"/>
      <c r="C110" s="648"/>
      <c r="D110" s="648"/>
      <c r="E110" s="648"/>
      <c r="F110" s="648"/>
      <c r="G110" s="648"/>
      <c r="H110" s="648"/>
      <c r="I110" s="648"/>
      <c r="J110" s="648"/>
      <c r="K110" s="648"/>
      <c r="L110" s="648"/>
      <c r="M110" s="648"/>
      <c r="N110" s="648"/>
      <c r="O110" s="648"/>
      <c r="P110" s="648"/>
      <c r="Q110" s="648"/>
      <c r="R110" s="648"/>
      <c r="S110" s="648"/>
      <c r="T110" s="648"/>
      <c r="U110" s="648"/>
      <c r="V110" s="648"/>
      <c r="W110" s="648"/>
      <c r="X110" s="648"/>
      <c r="Y110" s="648"/>
      <c r="Z110" s="648"/>
      <c r="AA110" s="648"/>
      <c r="AB110" s="648"/>
      <c r="AC110" s="648"/>
      <c r="AD110" s="648"/>
      <c r="AE110" s="648"/>
      <c r="AF110" s="648"/>
      <c r="AG110" s="648"/>
      <c r="AH110" s="648"/>
      <c r="AI110" s="648"/>
      <c r="AJ110" s="648"/>
      <c r="AK110" s="648"/>
      <c r="AL110" s="648"/>
      <c r="AM110" s="648"/>
      <c r="AN110" s="648"/>
      <c r="AO110" s="648"/>
      <c r="AP110" s="648"/>
      <c r="AQ110" s="648"/>
      <c r="AR110" s="648"/>
      <c r="AS110" s="648"/>
      <c r="AT110" s="648"/>
      <c r="AU110" s="648"/>
    </row>
    <row r="111" spans="1:47">
      <c r="A111" s="648"/>
      <c r="B111" s="648"/>
      <c r="C111" s="648"/>
      <c r="D111" s="648"/>
      <c r="E111" s="648"/>
      <c r="F111" s="648"/>
      <c r="G111" s="648"/>
      <c r="H111" s="648"/>
      <c r="I111" s="648"/>
      <c r="J111" s="648"/>
      <c r="K111" s="648"/>
      <c r="L111" s="648"/>
      <c r="M111" s="648"/>
      <c r="N111" s="648"/>
      <c r="O111" s="648"/>
      <c r="P111" s="648"/>
      <c r="Q111" s="648"/>
      <c r="R111" s="648"/>
      <c r="S111" s="648"/>
      <c r="T111" s="648"/>
      <c r="U111" s="648"/>
      <c r="V111" s="648"/>
      <c r="W111" s="648"/>
      <c r="X111" s="648"/>
      <c r="Y111" s="648"/>
      <c r="Z111" s="648"/>
      <c r="AA111" s="648"/>
      <c r="AB111" s="648"/>
      <c r="AC111" s="648"/>
      <c r="AD111" s="648"/>
      <c r="AE111" s="648"/>
      <c r="AF111" s="648"/>
      <c r="AG111" s="648"/>
      <c r="AH111" s="648"/>
      <c r="AI111" s="648"/>
      <c r="AJ111" s="648"/>
      <c r="AK111" s="648"/>
      <c r="AL111" s="648"/>
      <c r="AM111" s="648"/>
      <c r="AN111" s="648"/>
      <c r="AO111" s="648"/>
      <c r="AP111" s="648"/>
      <c r="AQ111" s="648"/>
      <c r="AR111" s="648"/>
      <c r="AS111" s="648"/>
      <c r="AT111" s="648"/>
      <c r="AU111" s="648"/>
    </row>
    <row r="112" spans="1:47">
      <c r="A112" s="648"/>
      <c r="B112" s="648"/>
      <c r="C112" s="648"/>
      <c r="D112" s="648"/>
      <c r="E112" s="648"/>
      <c r="F112" s="648"/>
      <c r="G112" s="648"/>
      <c r="H112" s="648"/>
      <c r="I112" s="648"/>
      <c r="J112" s="648"/>
      <c r="K112" s="648"/>
      <c r="L112" s="648"/>
      <c r="M112" s="648"/>
      <c r="N112" s="648"/>
      <c r="O112" s="648"/>
      <c r="P112" s="648"/>
      <c r="Q112" s="648"/>
      <c r="R112" s="648"/>
      <c r="S112" s="648"/>
      <c r="T112" s="648"/>
      <c r="U112" s="648"/>
      <c r="V112" s="648"/>
      <c r="W112" s="648"/>
      <c r="X112" s="648"/>
      <c r="Y112" s="648"/>
      <c r="Z112" s="648"/>
      <c r="AA112" s="648"/>
      <c r="AB112" s="648"/>
      <c r="AC112" s="648"/>
      <c r="AD112" s="648"/>
      <c r="AE112" s="648"/>
      <c r="AF112" s="648"/>
      <c r="AG112" s="648"/>
      <c r="AH112" s="648"/>
      <c r="AI112" s="648"/>
      <c r="AJ112" s="648"/>
      <c r="AK112" s="648"/>
      <c r="AL112" s="648"/>
      <c r="AM112" s="648"/>
      <c r="AN112" s="648"/>
      <c r="AO112" s="648"/>
      <c r="AP112" s="648"/>
      <c r="AQ112" s="648"/>
      <c r="AR112" s="648"/>
      <c r="AS112" s="648"/>
      <c r="AT112" s="648"/>
      <c r="AU112" s="648"/>
    </row>
    <row r="113" spans="1:47">
      <c r="A113" s="648"/>
      <c r="B113" s="648"/>
      <c r="C113" s="648"/>
      <c r="D113" s="648"/>
      <c r="E113" s="648"/>
      <c r="F113" s="648"/>
      <c r="G113" s="648"/>
      <c r="H113" s="648"/>
      <c r="I113" s="648"/>
      <c r="J113" s="648"/>
      <c r="K113" s="648"/>
      <c r="L113" s="648"/>
      <c r="M113" s="648"/>
      <c r="N113" s="648"/>
      <c r="O113" s="648"/>
      <c r="P113" s="648"/>
      <c r="Q113" s="648"/>
      <c r="R113" s="648"/>
      <c r="S113" s="648"/>
      <c r="T113" s="648"/>
      <c r="U113" s="648"/>
      <c r="V113" s="648"/>
      <c r="W113" s="648"/>
      <c r="X113" s="648"/>
      <c r="Y113" s="648"/>
      <c r="Z113" s="648"/>
      <c r="AA113" s="648"/>
      <c r="AB113" s="648"/>
      <c r="AC113" s="648"/>
      <c r="AD113" s="648"/>
      <c r="AE113" s="648"/>
      <c r="AF113" s="648"/>
      <c r="AG113" s="648"/>
      <c r="AH113" s="648"/>
      <c r="AI113" s="648"/>
      <c r="AJ113" s="648"/>
      <c r="AK113" s="648"/>
      <c r="AL113" s="648"/>
      <c r="AM113" s="648"/>
      <c r="AN113" s="648"/>
      <c r="AO113" s="648"/>
      <c r="AP113" s="648"/>
      <c r="AQ113" s="648"/>
      <c r="AR113" s="648"/>
      <c r="AS113" s="648"/>
      <c r="AT113" s="648"/>
      <c r="AU113" s="648"/>
    </row>
    <row r="114" spans="1:47">
      <c r="A114" s="648"/>
      <c r="B114" s="648"/>
      <c r="C114" s="648"/>
      <c r="D114" s="648"/>
      <c r="E114" s="648"/>
      <c r="F114" s="648"/>
      <c r="G114" s="648"/>
      <c r="H114" s="648"/>
      <c r="I114" s="648"/>
      <c r="J114" s="648"/>
      <c r="K114" s="648"/>
      <c r="L114" s="648"/>
      <c r="M114" s="648"/>
      <c r="N114" s="648"/>
      <c r="O114" s="648"/>
      <c r="P114" s="648"/>
      <c r="Q114" s="648"/>
      <c r="R114" s="648"/>
      <c r="S114" s="648"/>
      <c r="T114" s="648"/>
      <c r="U114" s="648"/>
      <c r="V114" s="648"/>
      <c r="W114" s="648"/>
      <c r="X114" s="648"/>
      <c r="Y114" s="648"/>
      <c r="Z114" s="648"/>
      <c r="AA114" s="648"/>
      <c r="AB114" s="648"/>
      <c r="AC114" s="648"/>
      <c r="AD114" s="648"/>
      <c r="AE114" s="648"/>
      <c r="AF114" s="648"/>
      <c r="AG114" s="648"/>
      <c r="AH114" s="648"/>
      <c r="AI114" s="648"/>
      <c r="AJ114" s="648"/>
      <c r="AK114" s="648"/>
      <c r="AL114" s="648"/>
      <c r="AM114" s="648"/>
      <c r="AN114" s="648"/>
      <c r="AO114" s="648"/>
      <c r="AP114" s="648"/>
      <c r="AQ114" s="648"/>
      <c r="AR114" s="648"/>
      <c r="AS114" s="648"/>
      <c r="AT114" s="648"/>
      <c r="AU114" s="648"/>
    </row>
    <row r="115" spans="1:47">
      <c r="A115" s="648"/>
      <c r="B115" s="648"/>
      <c r="C115" s="648"/>
      <c r="D115" s="648"/>
      <c r="E115" s="648"/>
      <c r="F115" s="648"/>
      <c r="G115" s="648"/>
      <c r="H115" s="648"/>
      <c r="I115" s="648"/>
      <c r="J115" s="648"/>
      <c r="K115" s="648"/>
      <c r="L115" s="648"/>
      <c r="M115" s="648"/>
      <c r="N115" s="648"/>
      <c r="O115" s="648"/>
      <c r="P115" s="648"/>
      <c r="Q115" s="648"/>
      <c r="R115" s="648"/>
      <c r="S115" s="648"/>
      <c r="T115" s="648"/>
      <c r="U115" s="648"/>
      <c r="V115" s="648"/>
      <c r="W115" s="648"/>
      <c r="X115" s="648"/>
      <c r="Y115" s="648"/>
      <c r="Z115" s="648"/>
      <c r="AA115" s="648"/>
      <c r="AB115" s="648"/>
      <c r="AC115" s="648"/>
      <c r="AD115" s="648"/>
      <c r="AE115" s="648"/>
      <c r="AF115" s="648"/>
      <c r="AG115" s="648"/>
      <c r="AH115" s="648"/>
      <c r="AI115" s="648"/>
      <c r="AJ115" s="648"/>
      <c r="AK115" s="648"/>
      <c r="AL115" s="648"/>
      <c r="AM115" s="648"/>
      <c r="AN115" s="648"/>
      <c r="AO115" s="648"/>
      <c r="AP115" s="648"/>
      <c r="AQ115" s="648"/>
      <c r="AR115" s="648"/>
      <c r="AS115" s="648"/>
      <c r="AT115" s="648"/>
      <c r="AU115" s="648"/>
    </row>
    <row r="116" spans="1:47">
      <c r="A116" s="648"/>
      <c r="B116" s="648"/>
      <c r="C116" s="648"/>
      <c r="D116" s="648"/>
      <c r="E116" s="648"/>
      <c r="F116" s="648"/>
      <c r="G116" s="648"/>
      <c r="H116" s="648"/>
      <c r="I116" s="648"/>
      <c r="J116" s="648"/>
      <c r="K116" s="648"/>
      <c r="L116" s="648"/>
      <c r="M116" s="648"/>
      <c r="N116" s="648"/>
      <c r="O116" s="648"/>
      <c r="P116" s="648"/>
      <c r="Q116" s="648"/>
      <c r="R116" s="648"/>
      <c r="S116" s="648"/>
      <c r="T116" s="648"/>
      <c r="U116" s="648"/>
      <c r="V116" s="648"/>
      <c r="W116" s="648"/>
      <c r="X116" s="648"/>
      <c r="Y116" s="648"/>
      <c r="Z116" s="648"/>
      <c r="AA116" s="648"/>
      <c r="AB116" s="648"/>
      <c r="AC116" s="648"/>
      <c r="AD116" s="648"/>
      <c r="AE116" s="648"/>
      <c r="AF116" s="648"/>
      <c r="AG116" s="648"/>
      <c r="AH116" s="648"/>
      <c r="AI116" s="648"/>
      <c r="AJ116" s="648"/>
      <c r="AK116" s="648"/>
      <c r="AL116" s="648"/>
      <c r="AM116" s="648"/>
      <c r="AN116" s="648"/>
      <c r="AO116" s="648"/>
      <c r="AP116" s="648"/>
      <c r="AQ116" s="648"/>
      <c r="AR116" s="648"/>
      <c r="AS116" s="648"/>
      <c r="AT116" s="648"/>
      <c r="AU116" s="648"/>
    </row>
    <row r="117" spans="1:47">
      <c r="A117" s="648"/>
      <c r="B117" s="648"/>
      <c r="C117" s="648"/>
      <c r="D117" s="648"/>
      <c r="E117" s="648"/>
      <c r="F117" s="648"/>
      <c r="G117" s="648"/>
      <c r="H117" s="648"/>
      <c r="I117" s="648"/>
      <c r="J117" s="648"/>
      <c r="K117" s="648"/>
      <c r="L117" s="648"/>
      <c r="M117" s="648"/>
      <c r="N117" s="648"/>
      <c r="O117" s="648"/>
      <c r="P117" s="648"/>
      <c r="Q117" s="648"/>
      <c r="R117" s="648"/>
      <c r="S117" s="648"/>
      <c r="T117" s="648"/>
      <c r="U117" s="648"/>
      <c r="V117" s="648"/>
      <c r="W117" s="648"/>
      <c r="X117" s="648"/>
      <c r="Y117" s="648"/>
      <c r="Z117" s="648"/>
      <c r="AA117" s="648"/>
      <c r="AB117" s="648"/>
      <c r="AC117" s="648"/>
      <c r="AD117" s="648"/>
      <c r="AE117" s="648"/>
      <c r="AF117" s="648"/>
      <c r="AG117" s="648"/>
      <c r="AH117" s="648"/>
      <c r="AI117" s="648"/>
      <c r="AJ117" s="648"/>
      <c r="AK117" s="648"/>
      <c r="AL117" s="648"/>
      <c r="AM117" s="648"/>
      <c r="AN117" s="648"/>
      <c r="AO117" s="648"/>
      <c r="AP117" s="648"/>
      <c r="AQ117" s="648"/>
      <c r="AR117" s="648"/>
      <c r="AS117" s="648"/>
      <c r="AT117" s="648"/>
      <c r="AU117" s="648"/>
    </row>
  </sheetData>
  <sheetProtection selectLockedCells="1" selectUnlockedCells="1"/>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79FFA-9018-4A3C-948F-06D4527AF906}">
  <sheetPr codeName="Sheet26">
    <tabColor rgb="FFFFC000"/>
  </sheetPr>
  <dimension ref="A1:H41"/>
  <sheetViews>
    <sheetView zoomScaleNormal="100" workbookViewId="0">
      <selection activeCell="K31" sqref="K31"/>
    </sheetView>
  </sheetViews>
  <sheetFormatPr defaultRowHeight="14.5"/>
  <cols>
    <col min="1" max="1" width="23.81640625" customWidth="1"/>
    <col min="2" max="2" width="23.81640625" style="136" customWidth="1"/>
    <col min="3" max="8" width="23.81640625" customWidth="1"/>
    <col min="9" max="9" width="23.81640625" bestFit="1" customWidth="1"/>
  </cols>
  <sheetData>
    <row r="1" spans="1:8" s="136" customFormat="1" ht="18.5">
      <c r="A1" s="1885" t="s">
        <v>8494</v>
      </c>
      <c r="B1" s="1885"/>
      <c r="C1" s="1359"/>
    </row>
    <row r="2" spans="1:8" s="136" customFormat="1" ht="10.5" customHeight="1">
      <c r="A2" s="1378"/>
      <c r="B2" s="1378"/>
      <c r="C2" s="1359"/>
    </row>
    <row r="3" spans="1:8" s="136" customFormat="1">
      <c r="A3" s="1886" t="s">
        <v>8877</v>
      </c>
      <c r="B3" s="1886"/>
      <c r="C3" s="1886"/>
      <c r="D3" s="1886"/>
      <c r="E3" s="1886"/>
      <c r="F3" s="1886"/>
    </row>
    <row r="4" spans="1:8" s="136" customFormat="1">
      <c r="A4" s="1379"/>
    </row>
    <row r="5" spans="1:8" s="962" customFormat="1" ht="13">
      <c r="A5" s="1380"/>
      <c r="B5" s="1381" t="s">
        <v>8879</v>
      </c>
    </row>
    <row r="6" spans="1:8" s="136" customFormat="1">
      <c r="A6" s="1379"/>
    </row>
    <row r="7" spans="1:8" s="667" customFormat="1">
      <c r="A7" s="867" t="s">
        <v>8668</v>
      </c>
      <c r="B7" s="1100" t="s">
        <v>452</v>
      </c>
      <c r="C7" s="868" t="s">
        <v>442</v>
      </c>
      <c r="D7" s="870" t="s">
        <v>447</v>
      </c>
      <c r="E7" s="870" t="s">
        <v>460</v>
      </c>
      <c r="F7" s="870" t="s">
        <v>109</v>
      </c>
      <c r="G7" s="867" t="s">
        <v>8669</v>
      </c>
      <c r="H7" s="1100" t="s">
        <v>8670</v>
      </c>
    </row>
    <row r="8" spans="1:8" s="136" customFormat="1">
      <c r="A8" s="866" t="s">
        <v>8485</v>
      </c>
      <c r="B8" s="1098" t="s">
        <v>8827</v>
      </c>
      <c r="C8" s="1361" t="s">
        <v>8827</v>
      </c>
      <c r="D8" s="1361" t="s">
        <v>8827</v>
      </c>
      <c r="E8" s="865" t="s">
        <v>8472</v>
      </c>
      <c r="F8" s="871" t="s">
        <v>8521</v>
      </c>
      <c r="G8" s="866" t="s">
        <v>8485</v>
      </c>
      <c r="H8" s="1097" t="s">
        <v>8479</v>
      </c>
    </row>
    <row r="9" spans="1:8" s="136" customFormat="1">
      <c r="A9" s="866" t="s">
        <v>281</v>
      </c>
      <c r="B9" s="1097" t="s">
        <v>8482</v>
      </c>
      <c r="C9" s="1362" t="s">
        <v>8482</v>
      </c>
      <c r="D9" s="1362" t="s">
        <v>8482</v>
      </c>
      <c r="F9" s="871" t="s">
        <v>8481</v>
      </c>
      <c r="G9" s="866" t="s">
        <v>281</v>
      </c>
      <c r="H9" s="1097" t="s">
        <v>8480</v>
      </c>
    </row>
    <row r="10" spans="1:8" s="136" customFormat="1">
      <c r="A10" s="866" t="s">
        <v>209</v>
      </c>
      <c r="B10" s="1098" t="s">
        <v>8831</v>
      </c>
      <c r="C10" s="865" t="s">
        <v>8834</v>
      </c>
      <c r="D10" s="865" t="s">
        <v>8834</v>
      </c>
      <c r="F10" s="871" t="s">
        <v>8495</v>
      </c>
      <c r="G10" s="866" t="s">
        <v>209</v>
      </c>
      <c r="H10" s="1097" t="s">
        <v>8481</v>
      </c>
    </row>
    <row r="11" spans="1:8">
      <c r="A11" s="866" t="s">
        <v>8481</v>
      </c>
      <c r="B11" s="1098" t="s">
        <v>8830</v>
      </c>
      <c r="C11" s="865" t="s">
        <v>8830</v>
      </c>
      <c r="D11" s="865" t="s">
        <v>8830</v>
      </c>
      <c r="F11" s="864" t="s">
        <v>8829</v>
      </c>
      <c r="G11" s="866" t="s">
        <v>8481</v>
      </c>
      <c r="H11" s="1098" t="s">
        <v>8515</v>
      </c>
    </row>
    <row r="12" spans="1:8">
      <c r="A12" s="863" t="s">
        <v>8515</v>
      </c>
      <c r="B12" s="1097" t="s">
        <v>8481</v>
      </c>
      <c r="C12" s="869" t="s">
        <v>8878</v>
      </c>
      <c r="D12" s="869" t="s">
        <v>8878</v>
      </c>
      <c r="F12" s="863" t="s">
        <v>8473</v>
      </c>
      <c r="G12" s="863" t="s">
        <v>8515</v>
      </c>
      <c r="H12" s="1097" t="s">
        <v>8482</v>
      </c>
    </row>
    <row r="13" spans="1:8">
      <c r="A13" s="866" t="s">
        <v>8484</v>
      </c>
      <c r="B13" s="1098" t="s">
        <v>8829</v>
      </c>
      <c r="C13" s="866" t="s">
        <v>8481</v>
      </c>
      <c r="D13" s="866" t="s">
        <v>8481</v>
      </c>
      <c r="F13" s="864" t="s">
        <v>8497</v>
      </c>
      <c r="G13" s="866" t="s">
        <v>8484</v>
      </c>
      <c r="H13" s="1097" t="s">
        <v>8483</v>
      </c>
    </row>
    <row r="14" spans="1:8" s="136" customFormat="1" ht="24">
      <c r="A14" s="863" t="s">
        <v>8474</v>
      </c>
      <c r="B14" s="1098" t="s">
        <v>8825</v>
      </c>
      <c r="C14" s="871" t="s">
        <v>8484</v>
      </c>
      <c r="D14" s="871" t="s">
        <v>8486</v>
      </c>
      <c r="F14"/>
      <c r="G14" s="863" t="s">
        <v>8474</v>
      </c>
      <c r="H14" s="1097" t="s">
        <v>8496</v>
      </c>
    </row>
    <row r="15" spans="1:8">
      <c r="A15" s="864" t="s">
        <v>8497</v>
      </c>
      <c r="B15" s="1097" t="s">
        <v>8516</v>
      </c>
      <c r="C15" s="864" t="s">
        <v>8515</v>
      </c>
      <c r="D15" s="871" t="s">
        <v>8484</v>
      </c>
      <c r="F15" s="136"/>
      <c r="G15" s="864" t="s">
        <v>8497</v>
      </c>
      <c r="H15" s="1097" t="s">
        <v>8516</v>
      </c>
    </row>
    <row r="16" spans="1:8">
      <c r="A16" s="136"/>
      <c r="B16" s="1098" t="s">
        <v>8515</v>
      </c>
      <c r="C16" s="869" t="s">
        <v>8836</v>
      </c>
      <c r="D16" s="865" t="s">
        <v>8515</v>
      </c>
      <c r="H16" s="1098" t="s">
        <v>8474</v>
      </c>
    </row>
    <row r="17" spans="1:8">
      <c r="A17" s="136"/>
      <c r="B17" s="1098" t="s">
        <v>8474</v>
      </c>
      <c r="C17" s="1363" t="s">
        <v>8483</v>
      </c>
      <c r="D17" s="1363" t="s">
        <v>8483</v>
      </c>
      <c r="H17" s="1098" t="s">
        <v>8829</v>
      </c>
    </row>
    <row r="18" spans="1:8">
      <c r="A18" s="136"/>
      <c r="B18" s="1360" t="s">
        <v>8483</v>
      </c>
      <c r="C18" s="869" t="s">
        <v>8496</v>
      </c>
      <c r="D18" s="869" t="s">
        <v>8496</v>
      </c>
      <c r="H18" s="1099" t="s">
        <v>8497</v>
      </c>
    </row>
    <row r="19" spans="1:8">
      <c r="B19" s="1360" t="s">
        <v>8479</v>
      </c>
      <c r="C19" s="865" t="s">
        <v>8833</v>
      </c>
      <c r="D19" s="865" t="s">
        <v>8833</v>
      </c>
      <c r="H19" s="1099" t="s">
        <v>8825</v>
      </c>
    </row>
    <row r="20" spans="1:8">
      <c r="A20" s="136"/>
      <c r="B20" s="1360" t="s">
        <v>8480</v>
      </c>
      <c r="C20" s="865" t="s">
        <v>8835</v>
      </c>
      <c r="D20" s="865" t="s">
        <v>8835</v>
      </c>
      <c r="H20" s="1099" t="s">
        <v>8826</v>
      </c>
    </row>
    <row r="21" spans="1:8">
      <c r="A21" s="136"/>
      <c r="B21" s="1360" t="s">
        <v>8496</v>
      </c>
      <c r="C21" s="864" t="s">
        <v>8497</v>
      </c>
      <c r="D21" s="864" t="s">
        <v>8497</v>
      </c>
      <c r="E21" s="136"/>
      <c r="H21" s="1099" t="s">
        <v>8827</v>
      </c>
    </row>
    <row r="22" spans="1:8">
      <c r="A22" s="53"/>
      <c r="B22" s="1099" t="s">
        <v>8826</v>
      </c>
      <c r="C22" s="53"/>
      <c r="D22" s="53"/>
      <c r="E22" s="136"/>
      <c r="H22" s="53"/>
    </row>
    <row r="23" spans="1:8" s="53" customFormat="1" ht="12">
      <c r="B23" s="1099" t="s">
        <v>8497</v>
      </c>
    </row>
    <row r="24" spans="1:8" s="53" customFormat="1" ht="12"/>
    <row r="25" spans="1:8" s="53" customFormat="1" ht="12"/>
    <row r="26" spans="1:8" s="53" customFormat="1" ht="12"/>
    <row r="27" spans="1:8" s="53" customFormat="1" ht="12"/>
    <row r="28" spans="1:8" s="53" customFormat="1" ht="12"/>
    <row r="29" spans="1:8" s="53" customFormat="1" ht="12"/>
    <row r="30" spans="1:8" s="53" customFormat="1" ht="12"/>
    <row r="31" spans="1:8" s="53" customFormat="1" ht="12"/>
    <row r="32" spans="1:8" s="53" customFormat="1">
      <c r="D32" s="136"/>
    </row>
    <row r="33" spans="1:8" s="53" customFormat="1">
      <c r="D33"/>
    </row>
    <row r="34" spans="1:8" s="53" customFormat="1">
      <c r="D34"/>
    </row>
    <row r="35" spans="1:8" s="53" customFormat="1">
      <c r="D35"/>
    </row>
    <row r="36" spans="1:8" s="53" customFormat="1">
      <c r="D36"/>
    </row>
    <row r="37" spans="1:8" s="53" customFormat="1">
      <c r="D37"/>
    </row>
    <row r="38" spans="1:8" s="53" customFormat="1">
      <c r="B38" s="136"/>
      <c r="C38"/>
      <c r="D38"/>
    </row>
    <row r="39" spans="1:8" s="53" customFormat="1">
      <c r="A39" s="136"/>
      <c r="B39" s="136"/>
      <c r="C39"/>
      <c r="D39"/>
      <c r="H39"/>
    </row>
    <row r="40" spans="1:8">
      <c r="E40" s="53"/>
      <c r="F40" s="136"/>
    </row>
    <row r="41" spans="1:8">
      <c r="E41" s="136"/>
    </row>
  </sheetData>
  <mergeCells count="2">
    <mergeCell ref="A1:B1"/>
    <mergeCell ref="A3:F3"/>
  </mergeCells>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C4193-0073-477E-A323-9164E7CFD786}">
  <sheetPr codeName="Sheet27">
    <tabColor theme="1" tint="0.499984740745262"/>
  </sheetPr>
  <dimension ref="A1:M44"/>
  <sheetViews>
    <sheetView showGridLines="0" topLeftCell="B1" zoomScaleNormal="100" workbookViewId="0">
      <selection activeCell="F44" sqref="F44"/>
    </sheetView>
  </sheetViews>
  <sheetFormatPr defaultColWidth="10.54296875" defaultRowHeight="13"/>
  <cols>
    <col min="1" max="1" width="37.81640625" style="649" customWidth="1"/>
    <col min="2" max="3" width="43.81640625" style="649" bestFit="1" customWidth="1"/>
    <col min="4" max="4" width="34" style="649" bestFit="1" customWidth="1"/>
    <col min="5" max="5" width="24.54296875" style="649" bestFit="1" customWidth="1"/>
    <col min="6" max="6" width="42.7265625" style="649" bestFit="1" customWidth="1"/>
    <col min="7" max="7" width="38.26953125" style="649" bestFit="1" customWidth="1"/>
    <col min="8" max="8" width="45.81640625" style="649" bestFit="1" customWidth="1"/>
    <col min="9" max="9" width="35" style="649" bestFit="1" customWidth="1"/>
    <col min="10" max="10" width="18" style="649" bestFit="1" customWidth="1"/>
    <col min="11" max="11" width="33" style="649" bestFit="1" customWidth="1"/>
    <col min="12" max="12" width="24.54296875" style="649" bestFit="1" customWidth="1"/>
    <col min="13" max="14" width="18" style="649" bestFit="1" customWidth="1"/>
    <col min="15" max="16384" width="10.54296875" style="649"/>
  </cols>
  <sheetData>
    <row r="1" spans="1:13" ht="15.5">
      <c r="A1" s="659" t="s">
        <v>8491</v>
      </c>
      <c r="B1" s="659"/>
    </row>
    <row r="2" spans="1:13" s="667" customFormat="1" ht="14.5">
      <c r="A2" s="847" t="s">
        <v>8668</v>
      </c>
      <c r="B2" s="848" t="s">
        <v>452</v>
      </c>
      <c r="C2" s="848" t="s">
        <v>442</v>
      </c>
      <c r="D2" s="848" t="s">
        <v>447</v>
      </c>
      <c r="E2" s="848" t="s">
        <v>460</v>
      </c>
      <c r="F2" s="848" t="s">
        <v>109</v>
      </c>
      <c r="G2" s="847" t="s">
        <v>8669</v>
      </c>
      <c r="H2" s="847" t="s">
        <v>8670</v>
      </c>
    </row>
    <row r="3" spans="1:13" s="660" customFormat="1">
      <c r="A3" s="801" t="s">
        <v>8487</v>
      </c>
      <c r="B3" s="849" t="s">
        <v>8487</v>
      </c>
      <c r="C3" s="849" t="s">
        <v>8487</v>
      </c>
      <c r="D3" s="849" t="s">
        <v>8487</v>
      </c>
      <c r="E3" s="801" t="s">
        <v>8400</v>
      </c>
      <c r="F3" s="801" t="s">
        <v>8401</v>
      </c>
      <c r="G3" s="1096" t="s">
        <v>8487</v>
      </c>
      <c r="H3" s="849" t="s">
        <v>8398</v>
      </c>
    </row>
    <row r="4" spans="1:13" s="660" customFormat="1">
      <c r="B4" s="849" t="s">
        <v>8398</v>
      </c>
      <c r="C4" s="849" t="s">
        <v>8398</v>
      </c>
      <c r="D4" s="849" t="s">
        <v>8398</v>
      </c>
      <c r="F4" s="661"/>
      <c r="G4" s="849" t="s">
        <v>8398</v>
      </c>
      <c r="H4" s="849" t="s">
        <v>8402</v>
      </c>
    </row>
    <row r="5" spans="1:13" s="660" customFormat="1">
      <c r="B5" s="801" t="s">
        <v>8402</v>
      </c>
      <c r="C5" s="801" t="s">
        <v>8402</v>
      </c>
      <c r="D5" s="849" t="s">
        <v>8402</v>
      </c>
      <c r="G5" s="849" t="s">
        <v>8402</v>
      </c>
    </row>
    <row r="6" spans="1:13" s="660" customFormat="1">
      <c r="D6" s="801" t="s">
        <v>8404</v>
      </c>
      <c r="G6" s="1096" t="s">
        <v>8672</v>
      </c>
    </row>
    <row r="7" spans="1:13" s="660" customFormat="1"/>
    <row r="8" spans="1:13" s="660" customFormat="1"/>
    <row r="9" spans="1:13" s="660" customFormat="1"/>
    <row r="10" spans="1:13" s="660" customFormat="1"/>
    <row r="11" spans="1:13" ht="15.5">
      <c r="A11" s="852" t="s">
        <v>8492</v>
      </c>
      <c r="B11" s="660"/>
      <c r="C11" s="660"/>
      <c r="E11" s="660"/>
      <c r="F11" s="660"/>
      <c r="I11" s="660"/>
      <c r="J11" s="660"/>
      <c r="K11" s="660"/>
      <c r="L11" s="660"/>
      <c r="M11" s="660"/>
    </row>
    <row r="12" spans="1:13" ht="14.5">
      <c r="A12" s="847" t="s">
        <v>8668</v>
      </c>
      <c r="B12" s="847" t="s">
        <v>452</v>
      </c>
      <c r="C12" s="847" t="s">
        <v>442</v>
      </c>
      <c r="D12" s="847" t="s">
        <v>447</v>
      </c>
      <c r="E12" s="847" t="s">
        <v>460</v>
      </c>
      <c r="F12" s="847" t="s">
        <v>168</v>
      </c>
      <c r="G12" s="847" t="s">
        <v>109</v>
      </c>
      <c r="H12" s="847" t="s">
        <v>8669</v>
      </c>
      <c r="I12" s="847" t="s">
        <v>8670</v>
      </c>
      <c r="J12" s="660"/>
      <c r="K12" s="660"/>
      <c r="L12" s="660"/>
    </row>
    <row r="13" spans="1:13">
      <c r="A13" s="805" t="s">
        <v>8487</v>
      </c>
      <c r="B13" s="805" t="s">
        <v>8487</v>
      </c>
      <c r="C13" s="805" t="s">
        <v>8487</v>
      </c>
      <c r="D13" s="805" t="s">
        <v>8487</v>
      </c>
      <c r="E13" s="806" t="s">
        <v>8400</v>
      </c>
      <c r="F13" s="851" t="s">
        <v>8399</v>
      </c>
      <c r="G13" s="806" t="s">
        <v>8401</v>
      </c>
      <c r="H13" s="1096" t="s">
        <v>8487</v>
      </c>
      <c r="I13" s="849" t="s">
        <v>8398</v>
      </c>
      <c r="J13" s="660"/>
      <c r="K13" s="660"/>
      <c r="L13" s="660"/>
    </row>
    <row r="14" spans="1:13">
      <c r="A14" s="660"/>
      <c r="B14" s="805" t="s">
        <v>8398</v>
      </c>
      <c r="C14" s="805" t="s">
        <v>8398</v>
      </c>
      <c r="D14" s="805" t="s">
        <v>8398</v>
      </c>
      <c r="E14" s="660"/>
      <c r="F14" s="661"/>
      <c r="G14" s="660"/>
      <c r="H14" s="849" t="s">
        <v>8398</v>
      </c>
      <c r="I14" s="849" t="s">
        <v>8402</v>
      </c>
      <c r="J14" s="660"/>
      <c r="K14" s="660"/>
      <c r="L14" s="660"/>
      <c r="M14" s="660"/>
    </row>
    <row r="15" spans="1:13">
      <c r="A15" s="660"/>
      <c r="B15" s="805" t="s">
        <v>8402</v>
      </c>
      <c r="C15" s="806" t="s">
        <v>8402</v>
      </c>
      <c r="D15" s="805" t="s">
        <v>8402</v>
      </c>
      <c r="E15" s="660"/>
      <c r="F15" s="660"/>
      <c r="G15" s="660"/>
      <c r="H15" s="849" t="s">
        <v>8402</v>
      </c>
      <c r="I15" s="660"/>
      <c r="J15" s="660"/>
      <c r="K15" s="660"/>
      <c r="L15" s="660"/>
      <c r="M15" s="660"/>
    </row>
    <row r="16" spans="1:13">
      <c r="A16" s="660"/>
      <c r="B16" s="660"/>
      <c r="C16" s="660"/>
      <c r="D16" s="805" t="s">
        <v>8404</v>
      </c>
      <c r="E16" s="660"/>
      <c r="F16" s="660"/>
      <c r="G16" s="660"/>
      <c r="H16" s="1096" t="s">
        <v>8672</v>
      </c>
      <c r="I16" s="660"/>
    </row>
    <row r="17" spans="1:11" s="667" customFormat="1" ht="12.75" customHeight="1">
      <c r="A17" s="660"/>
      <c r="B17" s="660"/>
      <c r="C17" s="660"/>
      <c r="D17" s="850" t="s">
        <v>171</v>
      </c>
      <c r="E17" s="660"/>
      <c r="F17" s="660"/>
      <c r="G17" s="660"/>
      <c r="H17" s="743"/>
    </row>
    <row r="18" spans="1:11" s="660" customFormat="1">
      <c r="D18" s="850" t="s">
        <v>8403</v>
      </c>
      <c r="H18" s="661"/>
    </row>
    <row r="19" spans="1:11" s="660" customFormat="1">
      <c r="D19" s="851" t="s">
        <v>8405</v>
      </c>
      <c r="H19" s="661"/>
    </row>
    <row r="20" spans="1:11" s="660" customFormat="1"/>
    <row r="21" spans="1:11" s="660" customFormat="1"/>
    <row r="22" spans="1:11" s="660" customFormat="1"/>
    <row r="23" spans="1:11" s="660" customFormat="1"/>
    <row r="24" spans="1:11" s="660" customFormat="1" ht="15.5">
      <c r="A24" s="852" t="s">
        <v>8501</v>
      </c>
      <c r="B24" s="659"/>
      <c r="C24" s="649"/>
      <c r="D24" s="649"/>
      <c r="E24" s="649"/>
      <c r="F24" s="649"/>
      <c r="G24" s="649"/>
      <c r="H24" s="649"/>
    </row>
    <row r="25" spans="1:11" s="660" customFormat="1" ht="14.5">
      <c r="A25" s="847" t="s">
        <v>8487</v>
      </c>
      <c r="B25" s="847" t="s">
        <v>8398</v>
      </c>
      <c r="C25" s="847" t="s">
        <v>8402</v>
      </c>
      <c r="D25" s="847" t="s">
        <v>8404</v>
      </c>
      <c r="E25" s="847" t="s">
        <v>8400</v>
      </c>
      <c r="F25" s="847" t="s">
        <v>8403</v>
      </c>
      <c r="G25" s="847" t="s">
        <v>8405</v>
      </c>
      <c r="H25" s="847" t="s">
        <v>171</v>
      </c>
      <c r="I25" s="847" t="s">
        <v>8399</v>
      </c>
      <c r="J25" s="847" t="s">
        <v>8401</v>
      </c>
      <c r="K25" s="847" t="s">
        <v>8672</v>
      </c>
    </row>
    <row r="26" spans="1:11" s="660" customFormat="1">
      <c r="A26" s="851" t="s">
        <v>8856</v>
      </c>
      <c r="B26" s="1417" t="s">
        <v>8860</v>
      </c>
      <c r="C26" s="1417" t="s">
        <v>8860</v>
      </c>
      <c r="D26" s="850" t="s">
        <v>8406</v>
      </c>
      <c r="E26" s="850" t="s">
        <v>8756</v>
      </c>
      <c r="F26" s="850" t="s">
        <v>8757</v>
      </c>
      <c r="G26" s="850" t="s">
        <v>8759</v>
      </c>
      <c r="H26" s="850" t="s">
        <v>8498</v>
      </c>
      <c r="I26" s="850" t="s">
        <v>8761</v>
      </c>
      <c r="J26" s="850" t="s">
        <v>8412</v>
      </c>
      <c r="K26" s="1417" t="s">
        <v>8673</v>
      </c>
    </row>
    <row r="27" spans="1:11" s="660" customFormat="1">
      <c r="A27" s="649"/>
      <c r="B27" s="1417" t="s">
        <v>8861</v>
      </c>
      <c r="C27" s="1417" t="s">
        <v>8861</v>
      </c>
      <c r="D27" s="850" t="s">
        <v>8409</v>
      </c>
      <c r="E27" s="850" t="s">
        <v>8411</v>
      </c>
      <c r="F27" s="850" t="s">
        <v>8758</v>
      </c>
      <c r="G27" s="850" t="s">
        <v>8409</v>
      </c>
      <c r="H27" s="992" t="s">
        <v>8750</v>
      </c>
      <c r="I27" s="850" t="s">
        <v>8762</v>
      </c>
      <c r="J27" s="851" t="s">
        <v>8415</v>
      </c>
      <c r="K27" s="1419" t="s">
        <v>5345</v>
      </c>
    </row>
    <row r="28" spans="1:11" s="660" customFormat="1">
      <c r="A28" s="649"/>
      <c r="B28" s="850" t="s">
        <v>8753</v>
      </c>
      <c r="C28" s="850" t="s">
        <v>8753</v>
      </c>
      <c r="D28" s="850" t="s">
        <v>8418</v>
      </c>
      <c r="E28" s="851" t="s">
        <v>8755</v>
      </c>
      <c r="F28" s="851" t="s">
        <v>13</v>
      </c>
      <c r="G28" s="850" t="s">
        <v>8413</v>
      </c>
      <c r="H28" s="850" t="s">
        <v>8499</v>
      </c>
      <c r="I28" s="850" t="s">
        <v>8421</v>
      </c>
    </row>
    <row r="29" spans="1:11" s="667" customFormat="1" ht="14.5">
      <c r="A29" s="649"/>
      <c r="B29" s="850" t="s">
        <v>8416</v>
      </c>
      <c r="C29" s="850" t="s">
        <v>8416</v>
      </c>
      <c r="D29" s="850" t="s">
        <v>8420</v>
      </c>
      <c r="E29" s="661"/>
      <c r="F29" s="661"/>
      <c r="G29" s="851" t="s">
        <v>8760</v>
      </c>
      <c r="H29" s="992" t="s">
        <v>8417</v>
      </c>
      <c r="I29" s="850" t="s">
        <v>8763</v>
      </c>
      <c r="J29" s="660"/>
    </row>
    <row r="30" spans="1:11">
      <c r="B30" s="850" t="s">
        <v>8754</v>
      </c>
      <c r="C30" s="850" t="s">
        <v>8754</v>
      </c>
      <c r="D30" s="851" t="s">
        <v>13</v>
      </c>
      <c r="E30" s="661"/>
      <c r="F30" s="661"/>
      <c r="G30" s="661"/>
      <c r="H30" s="851" t="s">
        <v>8500</v>
      </c>
      <c r="I30" s="992" t="s">
        <v>8410</v>
      </c>
      <c r="J30" s="660"/>
      <c r="K30" s="660"/>
    </row>
    <row r="31" spans="1:11">
      <c r="B31" s="850" t="s">
        <v>8411</v>
      </c>
      <c r="C31" s="850" t="s">
        <v>8411</v>
      </c>
      <c r="D31" s="660"/>
      <c r="E31" s="661"/>
      <c r="F31" s="661"/>
      <c r="G31" s="661"/>
      <c r="I31" s="992" t="s">
        <v>8419</v>
      </c>
      <c r="J31" s="660"/>
      <c r="K31" s="660"/>
    </row>
    <row r="32" spans="1:11">
      <c r="B32" s="850" t="s">
        <v>8755</v>
      </c>
      <c r="C32" s="850" t="s">
        <v>8755</v>
      </c>
      <c r="D32" s="660"/>
      <c r="E32" s="660"/>
      <c r="F32" s="660"/>
      <c r="G32" s="660"/>
      <c r="H32" s="660"/>
      <c r="I32" s="851" t="s">
        <v>8764</v>
      </c>
      <c r="J32" s="660"/>
      <c r="K32" s="660"/>
    </row>
    <row r="33" spans="1:13">
      <c r="B33" s="850" t="s">
        <v>8409</v>
      </c>
      <c r="C33" s="850" t="s">
        <v>8409</v>
      </c>
      <c r="D33" s="660"/>
      <c r="E33" s="660"/>
      <c r="F33" s="660"/>
      <c r="H33" s="660"/>
      <c r="I33" s="1419" t="s">
        <v>8414</v>
      </c>
      <c r="J33" s="660"/>
      <c r="L33" s="660"/>
    </row>
    <row r="34" spans="1:13">
      <c r="B34" s="1418" t="s">
        <v>201</v>
      </c>
      <c r="C34" s="1418" t="s">
        <v>201</v>
      </c>
      <c r="D34" s="660"/>
      <c r="E34" s="660"/>
      <c r="F34" s="660"/>
      <c r="I34" s="660"/>
      <c r="J34" s="660"/>
      <c r="L34" s="660"/>
    </row>
    <row r="35" spans="1:13">
      <c r="B35" s="850" t="s">
        <v>8418</v>
      </c>
      <c r="C35" s="850" t="s">
        <v>8418</v>
      </c>
      <c r="D35" s="660"/>
      <c r="E35" s="660"/>
      <c r="F35" s="660"/>
      <c r="I35" s="660"/>
      <c r="J35" s="660"/>
      <c r="K35" s="660"/>
      <c r="L35" s="660"/>
      <c r="M35" s="660"/>
    </row>
    <row r="36" spans="1:13">
      <c r="B36" s="850" t="s">
        <v>8422</v>
      </c>
      <c r="C36" s="850" t="s">
        <v>8420</v>
      </c>
      <c r="D36" s="660"/>
      <c r="E36" s="660"/>
      <c r="F36" s="660"/>
      <c r="I36" s="660"/>
      <c r="J36" s="660"/>
      <c r="K36" s="660"/>
      <c r="L36" s="660"/>
      <c r="M36" s="660"/>
    </row>
    <row r="37" spans="1:13">
      <c r="B37" s="850" t="s">
        <v>8420</v>
      </c>
      <c r="C37" s="851" t="s">
        <v>13</v>
      </c>
      <c r="D37" s="660"/>
      <c r="E37" s="660"/>
      <c r="F37" s="660"/>
      <c r="H37" s="660"/>
      <c r="I37" s="660"/>
      <c r="J37" s="660"/>
      <c r="K37" s="660"/>
      <c r="L37" s="660"/>
      <c r="M37" s="660"/>
    </row>
    <row r="38" spans="1:13">
      <c r="B38" s="851" t="s">
        <v>13</v>
      </c>
      <c r="C38" s="660"/>
      <c r="D38" s="660"/>
      <c r="E38" s="660"/>
      <c r="H38" s="660"/>
      <c r="I38" s="660"/>
      <c r="J38" s="660"/>
      <c r="K38" s="660"/>
      <c r="L38" s="660"/>
    </row>
    <row r="39" spans="1:13">
      <c r="B39" s="660"/>
      <c r="C39" s="660"/>
      <c r="D39" s="660"/>
      <c r="E39" s="660"/>
      <c r="H39" s="660"/>
      <c r="I39" s="660"/>
      <c r="J39" s="660"/>
      <c r="K39" s="660"/>
      <c r="L39" s="660"/>
    </row>
    <row r="40" spans="1:13">
      <c r="B40" s="660"/>
      <c r="C40" s="660"/>
      <c r="D40" s="660"/>
      <c r="E40" s="660"/>
      <c r="H40" s="660"/>
      <c r="I40" s="660"/>
      <c r="J40" s="660"/>
      <c r="K40" s="660"/>
      <c r="L40" s="660"/>
    </row>
    <row r="41" spans="1:13">
      <c r="A41" s="858" t="s">
        <v>8509</v>
      </c>
      <c r="B41" s="660"/>
      <c r="C41" s="660"/>
      <c r="D41" s="660"/>
      <c r="E41" s="660"/>
      <c r="H41" s="660"/>
      <c r="I41" s="660"/>
      <c r="J41" s="660"/>
      <c r="K41" s="660"/>
      <c r="L41" s="660"/>
    </row>
    <row r="42" spans="1:13">
      <c r="A42" s="857" t="s">
        <v>8510</v>
      </c>
      <c r="B42" s="660"/>
      <c r="C42" s="660"/>
      <c r="D42" s="660"/>
      <c r="E42" s="660"/>
      <c r="H42" s="660"/>
      <c r="I42" s="660"/>
      <c r="J42" s="660"/>
      <c r="K42" s="660"/>
      <c r="L42" s="660"/>
    </row>
    <row r="43" spans="1:13">
      <c r="A43" s="859" t="s">
        <v>8470</v>
      </c>
      <c r="B43" s="660"/>
      <c r="C43" s="660"/>
      <c r="D43" s="660"/>
      <c r="E43" s="660"/>
      <c r="H43" s="660"/>
      <c r="I43" s="660"/>
      <c r="J43" s="660"/>
      <c r="K43" s="660"/>
      <c r="L43" s="660"/>
    </row>
    <row r="44" spans="1:13">
      <c r="A44" s="660"/>
      <c r="B44" s="660"/>
      <c r="C44" s="660"/>
      <c r="D44" s="660"/>
      <c r="E44" s="660"/>
      <c r="I44" s="660"/>
      <c r="J44" s="660"/>
      <c r="K44" s="660"/>
      <c r="L44" s="660"/>
    </row>
  </sheetData>
  <sheetProtection algorithmName="SHA-512" hashValue="aHzwD4zWd/bdvIeCovgybgx+UHMfZSC+KJg6QlCd/uCfC9cIPjw6F0sFiI2jl2QBSwFjA5SheNzRzMtG37jcuw==" saltValue="kXw/Jy8TtNzFD1TuKIE1hA==" spinCount="100000" sheet="1" autoFilter="0"/>
  <pageMargins left="0.7" right="0.7" top="0.75" bottom="0.75" header="0.3" footer="0.3"/>
  <pageSetup paperSize="17" orientation="landscape" r:id="rId1"/>
  <tableParts count="28">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EE4C9-4D87-45CC-9F13-33B1F49CF17B}">
  <sheetPr codeName="Sheet28">
    <tabColor theme="1" tint="0.499984740745262"/>
  </sheetPr>
  <dimension ref="A1:I35"/>
  <sheetViews>
    <sheetView showGridLines="0" workbookViewId="0">
      <selection activeCell="G24" sqref="G24"/>
    </sheetView>
  </sheetViews>
  <sheetFormatPr defaultColWidth="9.1796875" defaultRowHeight="13"/>
  <cols>
    <col min="1" max="1" width="33" style="649" bestFit="1" customWidth="1"/>
    <col min="2" max="2" width="10.7265625" style="660" customWidth="1"/>
    <col min="3" max="3" width="33" style="649" bestFit="1" customWidth="1"/>
    <col min="4" max="4" width="10.7265625" style="649" customWidth="1"/>
    <col min="5" max="5" width="23.453125" style="649" bestFit="1" customWidth="1"/>
    <col min="6" max="6" width="9.1796875" style="649"/>
    <col min="7" max="7" width="33" style="649" bestFit="1" customWidth="1"/>
    <col min="8" max="8" width="14.26953125" style="649" bestFit="1" customWidth="1"/>
    <col min="9" max="11" width="9.1796875" style="649"/>
    <col min="12" max="12" width="33" style="649" bestFit="1" customWidth="1"/>
    <col min="13" max="13" width="12.7265625" style="649" bestFit="1" customWidth="1"/>
    <col min="14" max="16384" width="9.1796875" style="649"/>
  </cols>
  <sheetData>
    <row r="1" spans="1:8" ht="18.5">
      <c r="A1" s="662" t="s">
        <v>8423</v>
      </c>
      <c r="B1" s="663"/>
    </row>
    <row r="2" spans="1:8" ht="14.5">
      <c r="A2" s="666" t="s">
        <v>8424</v>
      </c>
      <c r="B2" s="664"/>
      <c r="C2" s="666" t="s">
        <v>8425</v>
      </c>
      <c r="D2" s="664"/>
      <c r="E2" s="666" t="s">
        <v>8426</v>
      </c>
      <c r="G2" s="1339" t="s">
        <v>481</v>
      </c>
      <c r="H2" s="1339" t="s">
        <v>8803</v>
      </c>
    </row>
    <row r="3" spans="1:8" s="660" customFormat="1">
      <c r="A3" s="660" t="s">
        <v>8425</v>
      </c>
      <c r="C3" s="660" t="s">
        <v>8978</v>
      </c>
      <c r="D3" s="665"/>
      <c r="E3" s="660" t="s">
        <v>8451</v>
      </c>
      <c r="G3" s="668" t="s">
        <v>8818</v>
      </c>
      <c r="H3" s="669" t="str">
        <f>Miscellaneous!F2</f>
        <v>Steve Olive</v>
      </c>
    </row>
    <row r="4" spans="1:8" s="660" customFormat="1">
      <c r="A4" s="660" t="s">
        <v>8426</v>
      </c>
      <c r="D4" s="665"/>
      <c r="E4" s="660" t="s">
        <v>8979</v>
      </c>
      <c r="G4" s="668" t="s">
        <v>8809</v>
      </c>
      <c r="H4" s="669" t="str">
        <f>BizLead</f>
        <v>Narayan Devireddy</v>
      </c>
    </row>
    <row r="5" spans="1:8" s="660" customFormat="1">
      <c r="E5" s="660" t="s">
        <v>8802</v>
      </c>
      <c r="G5" s="668" t="s">
        <v>8978</v>
      </c>
      <c r="H5" s="669" t="str">
        <f>BizLead</f>
        <v>Narayan Devireddy</v>
      </c>
    </row>
    <row r="6" spans="1:8" s="660" customFormat="1">
      <c r="G6" s="853" t="s">
        <v>8802</v>
      </c>
      <c r="H6" s="669" t="str">
        <f>BizLead</f>
        <v>Narayan Devireddy</v>
      </c>
    </row>
    <row r="7" spans="1:8" s="660" customFormat="1">
      <c r="G7" s="853" t="s">
        <v>8451</v>
      </c>
      <c r="H7" s="669" t="str">
        <f>BizLead</f>
        <v>Narayan Devireddy</v>
      </c>
    </row>
    <row r="8" spans="1:8" s="660" customFormat="1">
      <c r="G8" s="1338" t="s">
        <v>8979</v>
      </c>
      <c r="H8" s="669" t="str">
        <f>BizLead</f>
        <v>Narayan Devireddy</v>
      </c>
    </row>
    <row r="9" spans="1:8" s="660" customFormat="1"/>
    <row r="10" spans="1:8" s="660" customFormat="1"/>
    <row r="11" spans="1:8" s="660" customFormat="1"/>
    <row r="12" spans="1:8" s="660" customFormat="1">
      <c r="C12" s="649"/>
    </row>
    <row r="13" spans="1:8" s="660" customFormat="1">
      <c r="C13" s="649"/>
    </row>
    <row r="14" spans="1:8" s="660" customFormat="1">
      <c r="C14" s="649"/>
    </row>
    <row r="15" spans="1:8" s="660" customFormat="1">
      <c r="C15" s="649"/>
      <c r="E15" s="649"/>
      <c r="G15" s="649"/>
      <c r="H15" s="649"/>
    </row>
    <row r="18" spans="3:8">
      <c r="C18" s="660"/>
    </row>
    <row r="19" spans="3:8">
      <c r="C19" s="660"/>
    </row>
    <row r="20" spans="3:8">
      <c r="C20" s="660"/>
    </row>
    <row r="21" spans="3:8">
      <c r="C21" s="660"/>
      <c r="E21" s="660"/>
      <c r="G21" s="660"/>
      <c r="H21" s="660"/>
    </row>
    <row r="22" spans="3:8" s="660" customFormat="1"/>
    <row r="23" spans="3:8" s="660" customFormat="1"/>
    <row r="24" spans="3:8" s="660" customFormat="1"/>
    <row r="25" spans="3:8" s="660" customFormat="1"/>
    <row r="26" spans="3:8" s="660" customFormat="1"/>
    <row r="27" spans="3:8" s="660" customFormat="1"/>
    <row r="28" spans="3:8" s="660" customFormat="1"/>
    <row r="29" spans="3:8" s="660" customFormat="1"/>
    <row r="30" spans="3:8" s="660" customFormat="1"/>
    <row r="31" spans="3:8" s="660" customFormat="1">
      <c r="C31" s="649"/>
    </row>
    <row r="32" spans="3:8" s="660" customFormat="1">
      <c r="C32" s="649"/>
    </row>
    <row r="33" spans="3:9" s="660" customFormat="1">
      <c r="C33" s="649"/>
    </row>
    <row r="34" spans="3:9" s="660" customFormat="1">
      <c r="C34" s="649"/>
    </row>
    <row r="35" spans="3:9">
      <c r="F35" s="660"/>
      <c r="I35" s="660"/>
    </row>
  </sheetData>
  <sheetProtection algorithmName="SHA-512" hashValue="oT2jop39ZXSs9O5eBfZstGcojL0gJ09pF2mTnZt5Nzsz0tlr01s/ODeA7zxHtcnXoReIL76Gh4/iGsbuCs//hg==" saltValue="finGmK9X3yehfhpzkQw9yw==" spinCount="100000" sheet="1" objects="1" scenarios="1"/>
  <pageMargins left="0.7" right="0.7" top="0.75" bottom="0.75" header="0.3" footer="0.3"/>
  <pageSetup orientation="portrait" r:id="rId1"/>
  <tableParts count="4">
    <tablePart r:id="rId2"/>
    <tablePart r:id="rId3"/>
    <tablePart r:id="rId4"/>
    <tablePart r:id="rId5"/>
  </tablePart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1082-F7FC-4025-A2E8-2FD065501A5A}">
  <sheetPr codeName="Sheet29">
    <tabColor theme="1" tint="0.499984740745262"/>
  </sheetPr>
  <dimension ref="A1:X30"/>
  <sheetViews>
    <sheetView showGridLines="0" zoomScale="90" zoomScaleNormal="90" workbookViewId="0">
      <selection activeCell="H18" sqref="H18"/>
    </sheetView>
  </sheetViews>
  <sheetFormatPr defaultColWidth="9.1796875" defaultRowHeight="13"/>
  <cols>
    <col min="1" max="1" width="25.7265625" style="678" bestFit="1" customWidth="1"/>
    <col min="2" max="2" width="4.7265625" style="678" customWidth="1"/>
    <col min="3" max="3" width="20.1796875" style="678" customWidth="1"/>
    <col min="4" max="4" width="4.7265625" style="678" customWidth="1"/>
    <col min="5" max="5" width="28.81640625" style="678" bestFit="1" customWidth="1"/>
    <col min="6" max="6" width="16.81640625" style="678" bestFit="1" customWidth="1"/>
    <col min="7" max="7" width="4.7265625" style="678" customWidth="1"/>
    <col min="8" max="8" width="9.1796875" style="797"/>
    <col min="9" max="9" width="10.7265625" style="797" bestFit="1" customWidth="1"/>
    <col min="10" max="10" width="9.1796875" style="678"/>
    <col min="11" max="13" width="7.7265625" style="678" customWidth="1"/>
    <col min="14" max="14" width="17.7265625" style="678" bestFit="1" customWidth="1"/>
    <col min="15" max="15" width="12.1796875" style="678" bestFit="1" customWidth="1"/>
    <col min="16" max="16" width="24.26953125" style="678" bestFit="1" customWidth="1"/>
    <col min="17" max="17" width="23" style="678" customWidth="1"/>
    <col min="18" max="18" width="2.7265625" style="792" customWidth="1"/>
    <col min="19" max="19" width="24.26953125" style="678" bestFit="1" customWidth="1"/>
    <col min="20" max="20" width="20.7265625" style="678" bestFit="1" customWidth="1"/>
    <col min="21" max="21" width="12" style="678" bestFit="1" customWidth="1"/>
    <col min="22" max="23" width="9.1796875" style="678"/>
    <col min="24" max="24" width="39.81640625" style="800" customWidth="1"/>
    <col min="25" max="16384" width="9.1796875" style="678"/>
  </cols>
  <sheetData>
    <row r="1" spans="1:24" ht="16" thickBot="1">
      <c r="A1" s="650" t="s">
        <v>8651</v>
      </c>
      <c r="C1" s="650" t="s">
        <v>441</v>
      </c>
      <c r="E1" s="650" t="s">
        <v>442</v>
      </c>
      <c r="F1" s="802" t="s">
        <v>443</v>
      </c>
      <c r="H1" s="1887" t="s">
        <v>479</v>
      </c>
      <c r="I1" s="1887"/>
      <c r="J1" s="1887"/>
      <c r="N1" s="650" t="s">
        <v>226</v>
      </c>
      <c r="P1" s="650" t="s">
        <v>8434</v>
      </c>
      <c r="Q1" s="650"/>
      <c r="R1" s="671"/>
      <c r="X1" s="650" t="s">
        <v>8736</v>
      </c>
    </row>
    <row r="2" spans="1:24" ht="16" thickBot="1">
      <c r="A2" s="788" t="s">
        <v>445</v>
      </c>
      <c r="C2" s="802" t="s">
        <v>446</v>
      </c>
      <c r="E2" s="650" t="s">
        <v>8668</v>
      </c>
      <c r="F2" s="803" t="s">
        <v>448</v>
      </c>
      <c r="H2" s="651" t="s">
        <v>482</v>
      </c>
      <c r="I2" s="651" t="s">
        <v>480</v>
      </c>
      <c r="J2" s="651" t="s">
        <v>481</v>
      </c>
      <c r="N2" s="788" t="s">
        <v>21</v>
      </c>
      <c r="P2" s="670" t="s">
        <v>8444</v>
      </c>
      <c r="Q2" s="679" t="s">
        <v>8452</v>
      </c>
      <c r="R2" s="672"/>
      <c r="S2" s="670" t="s">
        <v>8445</v>
      </c>
      <c r="T2" s="670" t="s">
        <v>8442</v>
      </c>
      <c r="U2" s="670" t="s">
        <v>8443</v>
      </c>
      <c r="V2" s="670" t="s">
        <v>8453</v>
      </c>
      <c r="X2" s="1200" t="s">
        <v>8734</v>
      </c>
    </row>
    <row r="3" spans="1:24" ht="16" thickBot="1">
      <c r="A3" s="788" t="s">
        <v>450</v>
      </c>
      <c r="C3" s="803" t="s">
        <v>451</v>
      </c>
      <c r="E3" s="650" t="s">
        <v>447</v>
      </c>
      <c r="F3" s="803" t="s">
        <v>8816</v>
      </c>
      <c r="H3" s="652" t="s">
        <v>483</v>
      </c>
      <c r="I3" s="653" t="s">
        <v>483</v>
      </c>
      <c r="J3" s="654" t="s">
        <v>484</v>
      </c>
      <c r="N3" s="788" t="s">
        <v>20</v>
      </c>
      <c r="P3" s="789" t="s">
        <v>8437</v>
      </c>
      <c r="Q3" s="788" t="s">
        <v>447</v>
      </c>
      <c r="R3" s="790"/>
      <c r="S3" s="789" t="s">
        <v>8437</v>
      </c>
      <c r="T3" s="788" t="s">
        <v>4738</v>
      </c>
      <c r="U3" s="788" t="s">
        <v>109</v>
      </c>
      <c r="V3" s="788" t="s">
        <v>12819</v>
      </c>
      <c r="X3" s="1201" t="s">
        <v>8750</v>
      </c>
    </row>
    <row r="4" spans="1:24" ht="15.5">
      <c r="A4" s="788" t="s">
        <v>455</v>
      </c>
      <c r="C4" s="803" t="s">
        <v>12368</v>
      </c>
      <c r="E4" s="650" t="s">
        <v>168</v>
      </c>
      <c r="F4" s="803" t="s">
        <v>12821</v>
      </c>
      <c r="H4" s="791" t="str">
        <f>CONCATENATE("FY ",RIGHT($H3,2)+1)</f>
        <v>FY 20</v>
      </c>
      <c r="I4" s="791" t="str">
        <f>CONCATENATE("FY ",RIGHT($I3,2)+1)</f>
        <v>FY 20</v>
      </c>
      <c r="J4" s="791" t="str">
        <f t="shared" ref="J4:J13" si="0">CONCATENATE("FY ",RIGHT($J3,2)+1)</f>
        <v>FY 21</v>
      </c>
      <c r="P4" s="789" t="s">
        <v>8438</v>
      </c>
      <c r="Q4" s="788" t="s">
        <v>447</v>
      </c>
      <c r="R4" s="790"/>
      <c r="S4" s="789" t="s">
        <v>8438</v>
      </c>
      <c r="T4" s="788" t="s">
        <v>4738</v>
      </c>
      <c r="U4" s="788" t="s">
        <v>109</v>
      </c>
      <c r="X4" s="1201" t="s">
        <v>8417</v>
      </c>
    </row>
    <row r="5" spans="1:24" ht="16" thickBot="1">
      <c r="A5" s="788" t="s">
        <v>458</v>
      </c>
      <c r="C5" s="803" t="s">
        <v>459</v>
      </c>
      <c r="E5" s="650" t="s">
        <v>460</v>
      </c>
      <c r="F5" s="804" t="s">
        <v>456</v>
      </c>
      <c r="H5" s="791" t="str">
        <f t="shared" ref="H5:H8" si="1">CONCATENATE("FY ",RIGHT($H4,2)+1)</f>
        <v>FY 21</v>
      </c>
      <c r="I5" s="791" t="str">
        <f t="shared" ref="I5:I16" si="2">CONCATENATE("FY ",RIGHT($I4,2)+1)</f>
        <v>FY 21</v>
      </c>
      <c r="J5" s="791" t="str">
        <f t="shared" si="0"/>
        <v>FY 22</v>
      </c>
      <c r="N5" s="650" t="s">
        <v>8538</v>
      </c>
      <c r="P5" s="789" t="s">
        <v>8439</v>
      </c>
      <c r="Q5" s="788" t="s">
        <v>447</v>
      </c>
      <c r="R5" s="790"/>
      <c r="S5" s="789" t="s">
        <v>8439</v>
      </c>
      <c r="T5" s="788" t="s">
        <v>4738</v>
      </c>
      <c r="U5" s="788" t="s">
        <v>109</v>
      </c>
      <c r="X5" s="1201" t="s">
        <v>8751</v>
      </c>
    </row>
    <row r="6" spans="1:24" ht="16" thickBot="1">
      <c r="A6" s="788" t="s">
        <v>462</v>
      </c>
      <c r="C6" s="803" t="s">
        <v>463</v>
      </c>
      <c r="E6" s="650" t="s">
        <v>109</v>
      </c>
      <c r="F6" s="788" t="str">
        <f>BizLead</f>
        <v>Narayan Devireddy</v>
      </c>
      <c r="H6" s="791" t="str">
        <f t="shared" si="1"/>
        <v>FY 22</v>
      </c>
      <c r="I6" s="791" t="str">
        <f t="shared" si="2"/>
        <v>FY 22</v>
      </c>
      <c r="J6" s="791" t="str">
        <f t="shared" si="0"/>
        <v>FY 23</v>
      </c>
      <c r="N6" s="788" t="s">
        <v>169</v>
      </c>
      <c r="P6" s="789" t="s">
        <v>8440</v>
      </c>
      <c r="Q6" s="788" t="s">
        <v>447</v>
      </c>
      <c r="R6" s="790"/>
      <c r="S6" s="789" t="s">
        <v>8440</v>
      </c>
      <c r="T6" s="788" t="s">
        <v>4738</v>
      </c>
      <c r="U6" s="788" t="s">
        <v>109</v>
      </c>
      <c r="V6" s="788" t="s">
        <v>12819</v>
      </c>
      <c r="X6" s="1201" t="s">
        <v>8408</v>
      </c>
    </row>
    <row r="7" spans="1:24" ht="15.5">
      <c r="A7" s="788" t="s">
        <v>465</v>
      </c>
      <c r="C7" s="803" t="s">
        <v>466</v>
      </c>
      <c r="E7" s="650" t="s">
        <v>452</v>
      </c>
      <c r="F7" s="802" t="s">
        <v>453</v>
      </c>
      <c r="H7" s="791" t="str">
        <f t="shared" si="1"/>
        <v>FY 23</v>
      </c>
      <c r="I7" s="791" t="str">
        <f t="shared" si="2"/>
        <v>FY 23</v>
      </c>
      <c r="J7" s="791" t="str">
        <f t="shared" si="0"/>
        <v>FY 24</v>
      </c>
      <c r="N7" s="788" t="s">
        <v>8506</v>
      </c>
      <c r="P7" s="788" t="s">
        <v>8436</v>
      </c>
      <c r="Q7" s="788" t="s">
        <v>168</v>
      </c>
      <c r="S7" s="788" t="s">
        <v>8436</v>
      </c>
      <c r="T7" s="788" t="s">
        <v>4738</v>
      </c>
      <c r="U7" s="788" t="s">
        <v>109</v>
      </c>
      <c r="X7" s="1201" t="s">
        <v>8752</v>
      </c>
    </row>
    <row r="8" spans="1:24" ht="15.5">
      <c r="A8" s="788" t="s">
        <v>8493</v>
      </c>
      <c r="C8" s="803" t="s">
        <v>470</v>
      </c>
      <c r="E8" s="650" t="s">
        <v>8669</v>
      </c>
      <c r="F8" s="803" t="s">
        <v>8671</v>
      </c>
      <c r="H8" s="791" t="str">
        <f t="shared" si="1"/>
        <v>FY 24</v>
      </c>
      <c r="I8" s="791" t="str">
        <f t="shared" si="2"/>
        <v>FY 24</v>
      </c>
      <c r="J8" s="791" t="str">
        <f t="shared" si="0"/>
        <v>FY 25</v>
      </c>
      <c r="N8" s="788" t="s">
        <v>211</v>
      </c>
      <c r="P8" s="788" t="s">
        <v>8435</v>
      </c>
      <c r="Q8" s="788" t="s">
        <v>442</v>
      </c>
      <c r="S8" s="788" t="s">
        <v>8436</v>
      </c>
      <c r="T8" s="789" t="s">
        <v>8438</v>
      </c>
      <c r="U8" s="788" t="s">
        <v>4738</v>
      </c>
      <c r="V8" s="788" t="s">
        <v>109</v>
      </c>
      <c r="X8" s="1201" t="s">
        <v>8410</v>
      </c>
    </row>
    <row r="9" spans="1:24" ht="15.5">
      <c r="A9" s="788" t="s">
        <v>469</v>
      </c>
      <c r="C9" s="803" t="s">
        <v>15335</v>
      </c>
      <c r="E9" s="650" t="s">
        <v>8670</v>
      </c>
      <c r="F9" s="803" t="s">
        <v>12820</v>
      </c>
      <c r="H9" s="793"/>
      <c r="I9" s="791" t="str">
        <f t="shared" si="2"/>
        <v>FY 25</v>
      </c>
      <c r="J9" s="791" t="str">
        <f t="shared" si="0"/>
        <v>FY 26</v>
      </c>
      <c r="N9" s="788" t="s">
        <v>8415</v>
      </c>
      <c r="P9" s="788" t="s">
        <v>4738</v>
      </c>
      <c r="Q9" s="788" t="s">
        <v>4738</v>
      </c>
      <c r="X9" s="1202" t="s">
        <v>8419</v>
      </c>
    </row>
    <row r="10" spans="1:24" ht="15.5">
      <c r="A10" s="788" t="s">
        <v>472</v>
      </c>
      <c r="C10" s="803" t="s">
        <v>8814</v>
      </c>
      <c r="E10" s="650" t="s">
        <v>4738</v>
      </c>
      <c r="F10" s="803" t="s">
        <v>448</v>
      </c>
      <c r="H10" s="793"/>
      <c r="I10" s="791" t="str">
        <f t="shared" si="2"/>
        <v>FY 26</v>
      </c>
      <c r="J10" s="791" t="str">
        <f t="shared" si="0"/>
        <v>FY 27</v>
      </c>
      <c r="N10" s="788" t="s">
        <v>12847</v>
      </c>
      <c r="P10" s="788" t="s">
        <v>109</v>
      </c>
      <c r="Q10" s="788" t="s">
        <v>109</v>
      </c>
      <c r="X10" s="1203" t="s">
        <v>201</v>
      </c>
    </row>
    <row r="11" spans="1:24" ht="16" thickBot="1">
      <c r="A11" s="788" t="s">
        <v>475</v>
      </c>
      <c r="C11" s="803" t="s">
        <v>8663</v>
      </c>
      <c r="E11" s="650" t="s">
        <v>13</v>
      </c>
      <c r="F11" s="804" t="s">
        <v>448</v>
      </c>
      <c r="H11" s="793"/>
      <c r="I11" s="791" t="str">
        <f t="shared" si="2"/>
        <v>FY 27</v>
      </c>
      <c r="J11" s="791" t="str">
        <f t="shared" si="0"/>
        <v>FY 28</v>
      </c>
      <c r="N11" s="792"/>
      <c r="P11" s="788" t="s">
        <v>13</v>
      </c>
      <c r="Q11" s="794" t="s">
        <v>13</v>
      </c>
    </row>
    <row r="12" spans="1:24" ht="15.5">
      <c r="A12" s="788" t="s">
        <v>477</v>
      </c>
      <c r="C12" s="803" t="s">
        <v>8664</v>
      </c>
      <c r="H12" s="793"/>
      <c r="I12" s="791" t="str">
        <f t="shared" si="2"/>
        <v>FY 28</v>
      </c>
      <c r="J12" s="791" t="str">
        <f t="shared" si="0"/>
        <v>FY 29</v>
      </c>
      <c r="N12" s="650" t="s">
        <v>8642</v>
      </c>
      <c r="P12" s="788" t="s">
        <v>12819</v>
      </c>
      <c r="Q12" s="794" t="s">
        <v>452</v>
      </c>
      <c r="S12" s="795"/>
    </row>
    <row r="13" spans="1:24">
      <c r="A13" s="788" t="s">
        <v>478</v>
      </c>
      <c r="C13" s="803" t="s">
        <v>8665</v>
      </c>
      <c r="H13" s="793"/>
      <c r="I13" s="791" t="str">
        <f t="shared" si="2"/>
        <v>FY 29</v>
      </c>
      <c r="J13" s="791" t="str">
        <f t="shared" si="0"/>
        <v>FY 30</v>
      </c>
      <c r="N13" s="788" t="s">
        <v>202</v>
      </c>
      <c r="T13" s="795"/>
      <c r="U13" s="795"/>
    </row>
    <row r="14" spans="1:24">
      <c r="A14" s="788" t="s">
        <v>8807</v>
      </c>
      <c r="C14" s="803" t="s">
        <v>8666</v>
      </c>
      <c r="H14" s="793"/>
      <c r="I14" s="791" t="str">
        <f t="shared" si="2"/>
        <v>FY 30</v>
      </c>
      <c r="J14" s="796"/>
      <c r="N14" s="788" t="s">
        <v>504</v>
      </c>
    </row>
    <row r="15" spans="1:24">
      <c r="C15" s="803" t="s">
        <v>532</v>
      </c>
      <c r="H15" s="793"/>
      <c r="I15" s="791" t="str">
        <f t="shared" si="2"/>
        <v>FY 31</v>
      </c>
      <c r="J15" s="796"/>
      <c r="P15" s="795"/>
      <c r="Q15" s="795"/>
    </row>
    <row r="16" spans="1:24" ht="15.5">
      <c r="A16" s="1095" t="s">
        <v>8652</v>
      </c>
      <c r="C16" s="803" t="s">
        <v>8667</v>
      </c>
      <c r="H16" s="793"/>
      <c r="I16" s="791" t="str">
        <f t="shared" si="2"/>
        <v>FY 32</v>
      </c>
      <c r="J16" s="796"/>
      <c r="N16" s="650" t="s">
        <v>8560</v>
      </c>
    </row>
    <row r="17" spans="1:22">
      <c r="A17" s="1416" t="s">
        <v>8653</v>
      </c>
      <c r="C17" s="803" t="s">
        <v>12822</v>
      </c>
      <c r="J17" s="795"/>
      <c r="N17" s="788" t="s">
        <v>8561</v>
      </c>
    </row>
    <row r="18" spans="1:22">
      <c r="A18" s="1416" t="s">
        <v>4021</v>
      </c>
      <c r="H18" s="798"/>
      <c r="I18" s="798"/>
      <c r="K18" s="795"/>
      <c r="L18" s="795"/>
      <c r="M18" s="795"/>
      <c r="N18" s="788" t="s">
        <v>8562</v>
      </c>
      <c r="R18" s="799"/>
      <c r="V18" s="795"/>
    </row>
    <row r="19" spans="1:22">
      <c r="A19" s="1416" t="s">
        <v>8654</v>
      </c>
      <c r="O19" s="795"/>
    </row>
    <row r="20" spans="1:22" ht="15.5">
      <c r="A20" s="1416" t="s">
        <v>8655</v>
      </c>
      <c r="N20" s="650" t="s">
        <v>12365</v>
      </c>
      <c r="O20" s="650" t="s">
        <v>12367</v>
      </c>
    </row>
    <row r="21" spans="1:22">
      <c r="A21" s="1416" t="s">
        <v>8656</v>
      </c>
      <c r="N21" s="788" t="s">
        <v>12366</v>
      </c>
      <c r="O21" s="788" t="s">
        <v>12378</v>
      </c>
    </row>
    <row r="22" spans="1:22">
      <c r="A22" s="1416" t="s">
        <v>8657</v>
      </c>
      <c r="N22" s="788" t="s">
        <v>171</v>
      </c>
      <c r="O22" s="788" t="s">
        <v>12379</v>
      </c>
    </row>
    <row r="23" spans="1:22">
      <c r="A23" s="1416" t="s">
        <v>8658</v>
      </c>
      <c r="N23" s="788" t="s">
        <v>168</v>
      </c>
      <c r="O23" s="788" t="s">
        <v>12380</v>
      </c>
    </row>
    <row r="24" spans="1:22">
      <c r="A24" s="1416" t="s">
        <v>8659</v>
      </c>
    </row>
    <row r="25" spans="1:22">
      <c r="A25" s="1416" t="s">
        <v>8660</v>
      </c>
    </row>
    <row r="26" spans="1:22">
      <c r="A26" s="1416" t="s">
        <v>2849</v>
      </c>
    </row>
    <row r="27" spans="1:22">
      <c r="A27" s="1416" t="s">
        <v>8661</v>
      </c>
    </row>
    <row r="28" spans="1:22">
      <c r="A28" s="1416" t="s">
        <v>8662</v>
      </c>
    </row>
    <row r="29" spans="1:22">
      <c r="A29" s="1416" t="s">
        <v>3335</v>
      </c>
    </row>
    <row r="30" spans="1:22">
      <c r="A30" s="1416" t="s">
        <v>1495</v>
      </c>
    </row>
  </sheetData>
  <sheetProtection algorithmName="SHA-512" hashValue="oHvJkMSmxqCCAGeWRNkk1eeHXAckOvGcmJ5TyowfFWK9GdevBM0/LfZX5NSQePTAi6yKIjYS5FIyWOxkGQM1OQ==" saltValue="PmlCkwmd5b4K46KMaDyE8Q==" spinCount="100000" sheet="1" objects="1" scenarios="1"/>
  <mergeCells count="1">
    <mergeCell ref="H1:J1"/>
  </mergeCells>
  <pageMargins left="0.7" right="0.7" top="0.75" bottom="0.75" header="0.3" footer="0.3"/>
  <pageSetup orientation="portrait" r:id="rId1"/>
  <legacyDrawing r:id="rId2"/>
  <tableParts count="5">
    <tablePart r:id="rId3"/>
    <tablePart r:id="rId4"/>
    <tablePart r:id="rId5"/>
    <tablePart r:id="rId6"/>
    <tablePart r:id="rId7"/>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1">
    <tabColor rgb="FFFFFF00"/>
  </sheetPr>
  <dimension ref="A1:E10"/>
  <sheetViews>
    <sheetView workbookViewId="0">
      <selection activeCell="A6" sqref="A6"/>
    </sheetView>
  </sheetViews>
  <sheetFormatPr defaultRowHeight="14.5"/>
  <cols>
    <col min="1" max="1" width="29.7265625" bestFit="1" customWidth="1"/>
    <col min="2" max="2" width="59.453125" customWidth="1"/>
  </cols>
  <sheetData>
    <row r="1" spans="1:5">
      <c r="A1" s="2" t="s">
        <v>306</v>
      </c>
      <c r="D1" t="s">
        <v>23</v>
      </c>
      <c r="E1" t="s">
        <v>23</v>
      </c>
    </row>
    <row r="3" spans="1:5" s="136" customFormat="1">
      <c r="A3" s="1377" t="s">
        <v>8871</v>
      </c>
      <c r="B3" s="1377" t="s">
        <v>17</v>
      </c>
    </row>
    <row r="4" spans="1:5" ht="43.5">
      <c r="A4" s="1372" t="s">
        <v>305</v>
      </c>
      <c r="B4" s="1376" t="s">
        <v>8870</v>
      </c>
    </row>
    <row r="5" spans="1:5" ht="130.5">
      <c r="A5" s="1375" t="s">
        <v>8868</v>
      </c>
      <c r="B5" s="1373" t="s">
        <v>8869</v>
      </c>
    </row>
    <row r="6" spans="1:5" ht="29">
      <c r="A6" s="1374" t="s">
        <v>304</v>
      </c>
      <c r="B6" s="1373" t="s">
        <v>8867</v>
      </c>
    </row>
    <row r="8" spans="1:5" ht="15" thickBot="1"/>
    <row r="9" spans="1:5" ht="15" thickBot="1">
      <c r="B9" s="572" t="s">
        <v>12850</v>
      </c>
    </row>
    <row r="10" spans="1:5">
      <c r="B10" s="152"/>
    </row>
  </sheetData>
  <sheetProtection algorithmName="SHA-512" hashValue="+FcHne78ZKXXsasKFrRwfOWy5RnRXj4BrMinr+avSibg9m/NL45XHBRiN0oebjJ8a7uxlj2s4AKSsox/mMGSbA==" saltValue="kUQI4sE3y7cSDz+Rw49KmQ==" spinCount="100000" sheet="1" objects="1" scenarios="1"/>
  <hyperlinks>
    <hyperlink ref="A5" r:id="rId1" xr:uid="{00000000-0004-0000-1200-000000000000}"/>
    <hyperlink ref="A6" r:id="rId2" xr:uid="{00000000-0004-0000-1200-000001000000}"/>
    <hyperlink ref="A4" r:id="rId3" xr:uid="{00000000-0004-0000-1200-000002000000}"/>
  </hyperlinks>
  <pageMargins left="0.7" right="0.7" top="0.75" bottom="0.75" header="0.3" footer="0.3"/>
  <pageSetup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F61ED-9619-4389-8E6E-A5086A8A6E5F}">
  <sheetPr>
    <tabColor rgb="FF002060"/>
  </sheetPr>
  <dimension ref="A1:S42"/>
  <sheetViews>
    <sheetView workbookViewId="0">
      <selection activeCell="H11" sqref="H11"/>
    </sheetView>
  </sheetViews>
  <sheetFormatPr defaultColWidth="9.1796875" defaultRowHeight="14"/>
  <cols>
    <col min="1" max="1" width="20.81640625" style="474" bestFit="1" customWidth="1"/>
    <col min="2" max="2" width="12.7265625" style="474" customWidth="1"/>
    <col min="3" max="3" width="11.453125" style="474" bestFit="1" customWidth="1"/>
    <col min="4" max="4" width="10" style="474" bestFit="1" customWidth="1"/>
    <col min="5" max="5" width="9.54296875" style="474" bestFit="1" customWidth="1"/>
    <col min="6" max="7" width="9.1796875" style="474"/>
    <col min="8" max="8" width="15.90625" style="474" bestFit="1" customWidth="1"/>
    <col min="9" max="9" width="9.1796875" style="474" customWidth="1"/>
    <col min="10" max="10" width="9.1796875" style="474"/>
    <col min="11" max="11" width="14.7265625" style="474" bestFit="1" customWidth="1"/>
    <col min="12" max="12" width="13.26953125" style="474" bestFit="1" customWidth="1"/>
    <col min="13" max="13" width="14.6328125" style="474" bestFit="1" customWidth="1"/>
    <col min="14" max="16384" width="9.1796875" style="474"/>
  </cols>
  <sheetData>
    <row r="1" spans="1:19" ht="14.5">
      <c r="A1" s="1449" t="s">
        <v>12375</v>
      </c>
      <c r="B1" s="1450" t="str">
        <f>Variables!$B2</f>
        <v>6252US</v>
      </c>
      <c r="C1" s="1451" t="s">
        <v>12377</v>
      </c>
      <c r="D1" s="1452">
        <f>COUNTIFS('SAP Orders'!A:A,B1)</f>
        <v>1</v>
      </c>
      <c r="H1" s="1460" t="s">
        <v>12434</v>
      </c>
      <c r="I1" s="1460"/>
      <c r="J1"/>
      <c r="K1"/>
      <c r="L1"/>
      <c r="M1"/>
      <c r="N1"/>
      <c r="O1"/>
      <c r="P1"/>
      <c r="Q1"/>
      <c r="R1"/>
      <c r="S1"/>
    </row>
    <row r="2" spans="1:19" ht="26">
      <c r="A2" s="1351"/>
      <c r="B2" s="1351" t="s">
        <v>12376</v>
      </c>
      <c r="C2" s="1351" t="s">
        <v>180</v>
      </c>
      <c r="D2" s="1351" t="s">
        <v>94</v>
      </c>
      <c r="E2" s="1351" t="s">
        <v>95</v>
      </c>
      <c r="H2" s="1461" t="s">
        <v>12433</v>
      </c>
      <c r="I2" s="1461"/>
      <c r="J2"/>
      <c r="K2" s="1460" t="s">
        <v>12431</v>
      </c>
      <c r="L2" s="1460" t="s">
        <v>9696</v>
      </c>
      <c r="M2" s="1460" t="s">
        <v>78</v>
      </c>
      <c r="N2"/>
      <c r="O2"/>
      <c r="P2"/>
      <c r="Q2"/>
      <c r="R2"/>
      <c r="S2"/>
    </row>
    <row r="3" spans="1:19" ht="14.5">
      <c r="A3" s="1453">
        <f ca="1">IF(ROWS($F$3:F3)&lt;=$D$1,MATCH($B$1,OFFSET(Order_qry[[#Headers],[INVID]],A2,0,ROWS(Order_qry[INVID]),1),0)+A2,"")</f>
        <v>27</v>
      </c>
      <c r="B3" s="1454" t="str">
        <f ca="1">IF(ROWS($F$3:F3)&lt;=$D$1,INDEX(Order_qry[[#All],[Consolidated Order]],$A3),"")</f>
        <v>XG020023499</v>
      </c>
      <c r="C3" s="1454" t="str">
        <f ca="1">IF(ROWS($F$3:J3)&lt;=$D$1,INDEX(Order_qry[[#All],[Cost Category]],$A3),"")</f>
        <v>Opex</v>
      </c>
      <c r="D3" s="1454">
        <f ca="1">IF(ROWS($F$3:K3)&lt;=$D$1,INDEX(Order_qry[[#All],[Operation Code]],$A3),"")</f>
        <v>0</v>
      </c>
      <c r="E3" s="1454" t="str">
        <f ca="1">IF(ROWS($F$3:L3)&lt;=$D$1,INDEX(Order_qry[[#All],[Company'#]],$A3),"")</f>
        <v>5110</v>
      </c>
      <c r="H3"/>
      <c r="I3" s="1461"/>
      <c r="J3"/>
      <c r="K3" s="136" t="s">
        <v>12433</v>
      </c>
      <c r="L3" s="136" t="s">
        <v>12433</v>
      </c>
      <c r="M3" s="136" t="s">
        <v>12433</v>
      </c>
      <c r="N3"/>
      <c r="O3"/>
      <c r="P3"/>
      <c r="Q3"/>
      <c r="R3"/>
      <c r="S3"/>
    </row>
    <row r="4" spans="1:19" ht="14.5">
      <c r="A4" s="1453" t="str">
        <f ca="1">IF(ROWS($F$3:F4)&lt;=$D$1,MATCH($B$1,OFFSET(Order_qry[[#Headers],[INVID]],A3,0,ROWS(Order_qry[INVID]),1),0)+A3,"")</f>
        <v/>
      </c>
      <c r="B4" s="1454" t="str">
        <f>IF(ROWS($F$3:F4)&lt;=$D$1,INDEX(Order_qry[[#All],[Consolidated Order]],$A4),"")</f>
        <v/>
      </c>
      <c r="C4" s="1454" t="str">
        <f>IF(ROWS($F$3:J4)&lt;=$D$1,INDEX(Order_qry[[#All],[Cost Category]],$A4),"")</f>
        <v/>
      </c>
      <c r="D4" s="1454" t="str">
        <f>IF(ROWS($F$3:K4)&lt;=$D$1,INDEX(Order_qry[[#All],[Operation Code]],$A4),"")</f>
        <v/>
      </c>
      <c r="E4" s="1454" t="str">
        <f>IF(ROWS($F$3:L4)&lt;=$D$1,INDEX(Order_qry[[#All],[Company'#]],$A4),"")</f>
        <v/>
      </c>
      <c r="H4"/>
      <c r="I4" s="1461"/>
      <c r="J4"/>
      <c r="K4"/>
      <c r="L4"/>
      <c r="M4"/>
      <c r="N4"/>
      <c r="O4"/>
      <c r="P4"/>
      <c r="Q4"/>
      <c r="R4"/>
      <c r="S4"/>
    </row>
    <row r="5" spans="1:19" ht="14.5">
      <c r="A5" s="1453" t="str">
        <f ca="1">IF(ROWS($F$3:F5)&lt;=$D$1,MATCH($B$1,OFFSET(Order_qry[[#Headers],[INVID]],A4,0,ROWS(Order_qry[INVID]),1),0)+A4,"")</f>
        <v/>
      </c>
      <c r="B5" s="1454" t="str">
        <f>IF(ROWS($F$3:F5)&lt;=$D$1,INDEX(Order_qry[[#All],[Consolidated Order]],$A5),"")</f>
        <v/>
      </c>
      <c r="C5" s="1454" t="str">
        <f>IF(ROWS($F$3:J5)&lt;=$D$1,INDEX(Order_qry[[#All],[Cost Category]],$A5),"")</f>
        <v/>
      </c>
      <c r="D5" s="1454" t="str">
        <f>IF(ROWS($F$3:K5)&lt;=$D$1,INDEX(Order_qry[[#All],[Operation Code]],$A5),"")</f>
        <v/>
      </c>
      <c r="E5" s="1454" t="str">
        <f>IF(ROWS($F$3:L5)&lt;=$D$1,INDEX(Order_qry[[#All],[Company'#]],$A5),"")</f>
        <v/>
      </c>
      <c r="H5"/>
      <c r="I5" s="1461"/>
      <c r="J5"/>
      <c r="K5"/>
      <c r="L5"/>
      <c r="M5"/>
      <c r="N5"/>
      <c r="O5"/>
      <c r="P5"/>
      <c r="Q5"/>
      <c r="R5"/>
      <c r="S5"/>
    </row>
    <row r="6" spans="1:19" ht="14.5">
      <c r="A6" s="1453" t="str">
        <f ca="1">IF(ROWS($F$3:F6)&lt;=$D$1,MATCH($B$1,OFFSET(Order_qry[[#Headers],[INVID]],A5,0,ROWS(Order_qry[INVID]),1),0)+A5,"")</f>
        <v/>
      </c>
      <c r="B6" s="1454" t="str">
        <f>IF(ROWS($F$3:F6)&lt;=$D$1,INDEX(Order_qry[[#All],[Consolidated Order]],$A6),"")</f>
        <v/>
      </c>
      <c r="C6" s="1454" t="str">
        <f>IF(ROWS($F$3:J6)&lt;=$D$1,INDEX(Order_qry[[#All],[Cost Category]],$A6),"")</f>
        <v/>
      </c>
      <c r="D6" s="1454" t="str">
        <f>IF(ROWS($F$3:K6)&lt;=$D$1,INDEX(Order_qry[[#All],[Operation Code]],$A6),"")</f>
        <v/>
      </c>
      <c r="E6" s="1454" t="str">
        <f>IF(ROWS($F$3:L6)&lt;=$D$1,INDEX(Order_qry[[#All],[Company'#]],$A6),"")</f>
        <v/>
      </c>
      <c r="H6"/>
      <c r="I6" s="1461"/>
      <c r="J6"/>
      <c r="K6"/>
      <c r="L6"/>
      <c r="M6"/>
      <c r="N6"/>
      <c r="O6"/>
      <c r="P6"/>
      <c r="Q6"/>
      <c r="R6"/>
      <c r="S6"/>
    </row>
    <row r="7" spans="1:19" ht="14.5">
      <c r="A7" s="1453" t="str">
        <f ca="1">IF(ROWS($F$3:F7)&lt;=$D$1,MATCH($B$1,OFFSET(Order_qry[[#Headers],[INVID]],A6,0,ROWS(Order_qry[INVID]),1),0)+A6,"")</f>
        <v/>
      </c>
      <c r="B7" s="1454" t="str">
        <f>IF(ROWS($F$3:F7)&lt;=$D$1,INDEX(Order_qry[[#All],[Consolidated Order]],$A7),"")</f>
        <v/>
      </c>
      <c r="C7" s="1454" t="str">
        <f>IF(ROWS($F$3:J7)&lt;=$D$1,INDEX(Order_qry[[#All],[Cost Category]],$A7),"")</f>
        <v/>
      </c>
      <c r="D7" s="1454" t="str">
        <f>IF(ROWS($F$3:K7)&lt;=$D$1,INDEX(Order_qry[[#All],[Operation Code]],$A7),"")</f>
        <v/>
      </c>
      <c r="E7" s="1454" t="str">
        <f>IF(ROWS($F$3:L7)&lt;=$D$1,INDEX(Order_qry[[#All],[Company'#]],$A7),"")</f>
        <v/>
      </c>
      <c r="H7"/>
      <c r="I7" s="136"/>
      <c r="J7"/>
      <c r="K7"/>
      <c r="L7"/>
      <c r="M7"/>
      <c r="N7"/>
      <c r="O7"/>
      <c r="P7"/>
      <c r="Q7"/>
      <c r="R7"/>
      <c r="S7"/>
    </row>
    <row r="8" spans="1:19" ht="14.5">
      <c r="A8" s="1453" t="str">
        <f ca="1">IF(ROWS($F$3:F8)&lt;=$D$1,MATCH($B$1,OFFSET(Order_qry[[#Headers],[INVID]],A7,0,ROWS(Order_qry[INVID]),1),0)+A7,"")</f>
        <v/>
      </c>
      <c r="B8" s="1454" t="str">
        <f>IF(ROWS($F$3:F8)&lt;=$D$1,INDEX(Order_qry[[#All],[Consolidated Order]],$A8),"")</f>
        <v/>
      </c>
      <c r="C8" s="1454" t="str">
        <f>IF(ROWS($F$3:J8)&lt;=$D$1,INDEX(Order_qry[[#All],[Cost Category]],$A8),"")</f>
        <v/>
      </c>
      <c r="D8" s="1454" t="str">
        <f>IF(ROWS($F$3:K8)&lt;=$D$1,INDEX(Order_qry[[#All],[Operation Code]],$A8),"")</f>
        <v/>
      </c>
      <c r="E8" s="1454" t="str">
        <f>IF(ROWS($F$3:L8)&lt;=$D$1,INDEX(Order_qry[[#All],[Company'#]],$A8),"")</f>
        <v/>
      </c>
      <c r="H8"/>
      <c r="I8" s="136"/>
      <c r="J8"/>
      <c r="K8"/>
      <c r="L8"/>
      <c r="M8"/>
      <c r="N8"/>
      <c r="O8"/>
      <c r="P8"/>
      <c r="Q8"/>
      <c r="R8"/>
      <c r="S8"/>
    </row>
    <row r="9" spans="1:19" ht="14.5">
      <c r="A9" s="1453" t="str">
        <f ca="1">IF(ROWS($F$3:F9)&lt;=$D$1,MATCH($B$1,OFFSET(Order_qry[[#Headers],[INVID]],A8,0,ROWS(Order_qry[INVID]),1),0)+A8,"")</f>
        <v/>
      </c>
      <c r="B9" s="1454" t="str">
        <f>IF(ROWS($F$3:F9)&lt;=$D$1,INDEX(Order_qry[[#All],[Consolidated Order]],$A9),"")</f>
        <v/>
      </c>
      <c r="C9" s="1454" t="str">
        <f>IF(ROWS($F$3:J9)&lt;=$D$1,INDEX(Order_qry[[#All],[Cost Category]],$A9),"")</f>
        <v/>
      </c>
      <c r="D9" s="1454" t="str">
        <f>IF(ROWS($F$3:K9)&lt;=$D$1,INDEX(Order_qry[[#All],[Operation Code]],$A9),"")</f>
        <v/>
      </c>
      <c r="E9" s="1454" t="str">
        <f>IF(ROWS($F$3:L9)&lt;=$D$1,INDEX(Order_qry[[#All],[Company'#]],$A9),"")</f>
        <v/>
      </c>
      <c r="H9"/>
      <c r="I9" s="136"/>
      <c r="J9"/>
      <c r="K9"/>
      <c r="L9"/>
      <c r="M9"/>
      <c r="N9"/>
      <c r="O9"/>
      <c r="P9"/>
      <c r="Q9"/>
      <c r="R9"/>
      <c r="S9"/>
    </row>
    <row r="10" spans="1:19" ht="14.5">
      <c r="A10" s="1453" t="str">
        <f ca="1">IF(ROWS($F$3:F10)&lt;=$D$1,MATCH($B$1,OFFSET(Order_qry[[#Headers],[INVID]],A9,0,ROWS(Order_qry[INVID]),1),0)+A9,"")</f>
        <v/>
      </c>
      <c r="B10" s="1454" t="str">
        <f>IF(ROWS($F$3:F10)&lt;=$D$1,INDEX(Order_qry[[#All],[Consolidated Order]],$A10),"")</f>
        <v/>
      </c>
      <c r="C10" s="1454" t="str">
        <f>IF(ROWS($F$3:J10)&lt;=$D$1,INDEX(Order_qry[[#All],[Cost Category]],$A10),"")</f>
        <v/>
      </c>
      <c r="D10" s="1454" t="str">
        <f>IF(ROWS($F$3:K10)&lt;=$D$1,INDEX(Order_qry[[#All],[Operation Code]],$A10),"")</f>
        <v/>
      </c>
      <c r="E10" s="1454" t="str">
        <f>IF(ROWS($F$3:L10)&lt;=$D$1,INDEX(Order_qry[[#All],[Company'#]],$A10),"")</f>
        <v/>
      </c>
      <c r="H10"/>
      <c r="I10" s="136"/>
      <c r="J10"/>
      <c r="K10"/>
      <c r="L10"/>
      <c r="M10"/>
    </row>
    <row r="11" spans="1:19" ht="14.5">
      <c r="A11" s="1453" t="str">
        <f ca="1">IF(ROWS($F$3:F11)&lt;=$D$1,MATCH($B$1,OFFSET(Order_qry[[#Headers],[INVID]],A10,0,ROWS(Order_qry[INVID]),1),0)+A10,"")</f>
        <v/>
      </c>
      <c r="B11" s="1454" t="str">
        <f>IF(ROWS($F$3:F11)&lt;=$D$1,INDEX(Order_qry[[#All],[Consolidated Order]],$A11),"")</f>
        <v/>
      </c>
      <c r="C11" s="1454" t="str">
        <f>IF(ROWS($F$3:J11)&lt;=$D$1,INDEX(Order_qry[[#All],[Cost Category]],$A11),"")</f>
        <v/>
      </c>
      <c r="D11" s="1454" t="str">
        <f>IF(ROWS($F$3:K11)&lt;=$D$1,INDEX(Order_qry[[#All],[Operation Code]],$A11),"")</f>
        <v/>
      </c>
      <c r="E11" s="1454" t="str">
        <f>IF(ROWS($F$3:L11)&lt;=$D$1,INDEX(Order_qry[[#All],[Company'#]],$A11),"")</f>
        <v/>
      </c>
      <c r="H11"/>
      <c r="I11" s="136"/>
      <c r="J11"/>
      <c r="K11"/>
      <c r="L11"/>
      <c r="M11"/>
    </row>
    <row r="12" spans="1:19" ht="14.5">
      <c r="A12" s="1453" t="str">
        <f ca="1">IF(ROWS($F$3:F12)&lt;=$D$1,MATCH($B$1,OFFSET(Order_qry[[#Headers],[INVID]],A11,0,ROWS(Order_qry[INVID]),1),0)+A11,"")</f>
        <v/>
      </c>
      <c r="B12" s="1454" t="str">
        <f>IF(ROWS($F$3:F12)&lt;=$D$1,INDEX(Order_qry[[#All],[Consolidated Order]],$A12),"")</f>
        <v/>
      </c>
      <c r="C12" s="1454" t="str">
        <f>IF(ROWS($F$3:J12)&lt;=$D$1,INDEX(Order_qry[[#All],[Cost Category]],$A12),"")</f>
        <v/>
      </c>
      <c r="D12" s="1454" t="str">
        <f>IF(ROWS($F$3:K12)&lt;=$D$1,INDEX(Order_qry[[#All],[Operation Code]],$A12),"")</f>
        <v/>
      </c>
      <c r="E12" s="1454" t="str">
        <f>IF(ROWS($F$3:L12)&lt;=$D$1,INDEX(Order_qry[[#All],[Company'#]],$A12),"")</f>
        <v/>
      </c>
      <c r="H12"/>
      <c r="I12" s="136"/>
      <c r="J12"/>
      <c r="K12"/>
      <c r="L12"/>
      <c r="M12"/>
    </row>
    <row r="13" spans="1:19" ht="14.5">
      <c r="A13" s="1453" t="str">
        <f ca="1">IF(ROWS($F$3:F13)&lt;=$D$1,MATCH($B$1,OFFSET(Order_qry[[#Headers],[INVID]],A12,0,ROWS(Order_qry[INVID]),1),0)+A12,"")</f>
        <v/>
      </c>
      <c r="B13" s="1454" t="str">
        <f>IF(ROWS($F$3:F13)&lt;=$D$1,INDEX(Order_qry[[#All],[Consolidated Order]],$A13),"")</f>
        <v/>
      </c>
      <c r="C13" s="1454" t="str">
        <f>IF(ROWS($F$3:J13)&lt;=$D$1,INDEX(Order_qry[[#All],[Cost Category]],$A13),"")</f>
        <v/>
      </c>
      <c r="D13" s="1454" t="str">
        <f>IF(ROWS($F$3:K13)&lt;=$D$1,INDEX(Order_qry[[#All],[Operation Code]],$A13),"")</f>
        <v/>
      </c>
      <c r="E13" s="1454" t="str">
        <f>IF(ROWS($F$3:L13)&lt;=$D$1,INDEX(Order_qry[[#All],[Company'#]],$A13),"")</f>
        <v/>
      </c>
      <c r="I13" s="136"/>
      <c r="J13"/>
      <c r="K13"/>
      <c r="L13"/>
      <c r="M13"/>
    </row>
    <row r="14" spans="1:19" ht="14.5">
      <c r="A14" s="1453" t="str">
        <f ca="1">IF(ROWS($F$3:F14)&lt;=$D$1,MATCH($B$1,OFFSET(Order_qry[[#Headers],[INVID]],A13,0,ROWS(Order_qry[INVID]),1),0)+A13,"")</f>
        <v/>
      </c>
      <c r="B14" s="1454" t="str">
        <f>IF(ROWS($F$3:F14)&lt;=$D$1,INDEX(Order_qry[[#All],[Consolidated Order]],$A14),"")</f>
        <v/>
      </c>
      <c r="C14" s="1454" t="str">
        <f>IF(ROWS($F$3:J14)&lt;=$D$1,INDEX(Order_qry[[#All],[Cost Category]],$A14),"")</f>
        <v/>
      </c>
      <c r="D14" s="1454" t="str">
        <f>IF(ROWS($F$3:K14)&lt;=$D$1,INDEX(Order_qry[[#All],[Operation Code]],$A14),"")</f>
        <v/>
      </c>
      <c r="E14" s="1454" t="str">
        <f>IF(ROWS($F$3:L14)&lt;=$D$1,INDEX(Order_qry[[#All],[Company'#]],$A14),"")</f>
        <v/>
      </c>
      <c r="I14" s="136"/>
      <c r="J14"/>
      <c r="K14"/>
      <c r="L14"/>
      <c r="M14"/>
    </row>
    <row r="15" spans="1:19" ht="14.5">
      <c r="A15" s="1453" t="str">
        <f ca="1">IF(ROWS($F$3:F15)&lt;=$D$1,MATCH($B$1,OFFSET(Order_qry[[#Headers],[INVID]],A14,0,ROWS(Order_qry[INVID]),1),0)+A14,"")</f>
        <v/>
      </c>
      <c r="B15" s="1454" t="str">
        <f>IF(ROWS($F$3:F15)&lt;=$D$1,INDEX(Order_qry[[#All],[Consolidated Order]],$A15),"")</f>
        <v/>
      </c>
      <c r="C15" s="1454" t="str">
        <f>IF(ROWS($F$3:J15)&lt;=$D$1,INDEX(Order_qry[[#All],[Cost Category]],$A15),"")</f>
        <v/>
      </c>
      <c r="D15" s="1454" t="str">
        <f>IF(ROWS($F$3:K15)&lt;=$D$1,INDEX(Order_qry[[#All],[Operation Code]],$A15),"")</f>
        <v/>
      </c>
      <c r="E15" s="1454" t="str">
        <f>IF(ROWS($F$3:L15)&lt;=$D$1,INDEX(Order_qry[[#All],[Company'#]],$A15),"")</f>
        <v/>
      </c>
      <c r="I15" s="136"/>
      <c r="J15"/>
      <c r="K15"/>
      <c r="L15"/>
      <c r="M15"/>
    </row>
    <row r="16" spans="1:19" ht="14.5">
      <c r="A16" s="1453" t="str">
        <f ca="1">IF(ROWS($F$3:F16)&lt;=$D$1,MATCH($B$1,OFFSET(Order_qry[[#Headers],[INVID]],A15,0,ROWS(Order_qry[INVID]),1),0)+A15,"")</f>
        <v/>
      </c>
      <c r="B16" s="1454" t="str">
        <f>IF(ROWS($F$3:F16)&lt;=$D$1,INDEX(Order_qry[[#All],[Consolidated Order]],$A16),"")</f>
        <v/>
      </c>
      <c r="C16" s="1454" t="str">
        <f>IF(ROWS($F$3:J16)&lt;=$D$1,INDEX(Order_qry[[#All],[Cost Category]],$A16),"")</f>
        <v/>
      </c>
      <c r="D16" s="1454" t="str">
        <f>IF(ROWS($F$3:K16)&lt;=$D$1,INDEX(Order_qry[[#All],[Operation Code]],$A16),"")</f>
        <v/>
      </c>
      <c r="E16" s="1454" t="str">
        <f>IF(ROWS($F$3:L16)&lt;=$D$1,INDEX(Order_qry[[#All],[Company'#]],$A16),"")</f>
        <v/>
      </c>
      <c r="I16" s="136"/>
      <c r="J16"/>
      <c r="K16"/>
      <c r="L16"/>
      <c r="M16"/>
    </row>
    <row r="17" spans="1:13" ht="14.5">
      <c r="A17" s="1453" t="str">
        <f ca="1">IF(ROWS($F$3:F17)&lt;=$D$1,MATCH($B$1,OFFSET(Order_qry[[#Headers],[INVID]],A16,0,ROWS(Order_qry[INVID]),1),0)+A16,"")</f>
        <v/>
      </c>
      <c r="B17" s="1454" t="str">
        <f>IF(ROWS($F$3:F17)&lt;=$D$1,INDEX(Order_qry[[#All],[Consolidated Order]],$A17),"")</f>
        <v/>
      </c>
      <c r="C17" s="1454" t="str">
        <f>IF(ROWS($F$3:J17)&lt;=$D$1,INDEX(Order_qry[[#All],[Cost Category]],$A17),"")</f>
        <v/>
      </c>
      <c r="D17" s="1454" t="str">
        <f>IF(ROWS($F$3:K17)&lt;=$D$1,INDEX(Order_qry[[#All],[Operation Code]],$A17),"")</f>
        <v/>
      </c>
      <c r="E17" s="1454" t="str">
        <f>IF(ROWS($F$3:L17)&lt;=$D$1,INDEX(Order_qry[[#All],[Company'#]],$A17),"")</f>
        <v/>
      </c>
      <c r="I17" s="136"/>
      <c r="J17"/>
      <c r="K17"/>
      <c r="L17"/>
      <c r="M17"/>
    </row>
    <row r="18" spans="1:13" ht="14.5">
      <c r="A18" s="1453" t="str">
        <f ca="1">IF(ROWS($F$3:F18)&lt;=$D$1,MATCH($B$1,OFFSET(Order_qry[[#Headers],[INVID]],A17,0,ROWS(Order_qry[INVID]),1),0)+A17,"")</f>
        <v/>
      </c>
      <c r="B18" s="1454" t="str">
        <f>IF(ROWS($F$3:F18)&lt;=$D$1,INDEX(Order_qry[[#All],[Consolidated Order]],$A18),"")</f>
        <v/>
      </c>
      <c r="C18" s="1454" t="str">
        <f>IF(ROWS($F$3:J18)&lt;=$D$1,INDEX(Order_qry[[#All],[Cost Category]],$A18),"")</f>
        <v/>
      </c>
      <c r="D18" s="1454" t="str">
        <f>IF(ROWS($F$3:K18)&lt;=$D$1,INDEX(Order_qry[[#All],[Operation Code]],$A18),"")</f>
        <v/>
      </c>
      <c r="E18" s="1454" t="str">
        <f>IF(ROWS($F$3:L18)&lt;=$D$1,INDEX(Order_qry[[#All],[Company'#]],$A18),"")</f>
        <v/>
      </c>
      <c r="I18" s="136"/>
      <c r="J18"/>
      <c r="K18"/>
      <c r="L18"/>
      <c r="M18"/>
    </row>
    <row r="19" spans="1:13">
      <c r="A19" s="1453" t="str">
        <f ca="1">IF(ROWS($F$3:F19)&lt;=$D$1,MATCH($B$1,OFFSET(Order_qry[[#Headers],[INVID]],A18,0,ROWS(Order_qry[INVID]),1),0)+A18,"")</f>
        <v/>
      </c>
      <c r="B19" s="1454" t="str">
        <f>IF(ROWS($F$3:F19)&lt;=$D$1,INDEX(Order_qry[[#All],[Consolidated Order]],$A19),"")</f>
        <v/>
      </c>
      <c r="C19" s="1454" t="str">
        <f>IF(ROWS($F$3:J19)&lt;=$D$1,INDEX(Order_qry[[#All],[Cost Category]],$A19),"")</f>
        <v/>
      </c>
      <c r="D19" s="1454" t="str">
        <f>IF(ROWS($F$3:K19)&lt;=$D$1,INDEX(Order_qry[[#All],[Operation Code]],$A19),"")</f>
        <v/>
      </c>
      <c r="E19" s="1454" t="str">
        <f>IF(ROWS($F$3:L19)&lt;=$D$1,INDEX(Order_qry[[#All],[Company'#]],$A19),"")</f>
        <v/>
      </c>
    </row>
    <row r="20" spans="1:13">
      <c r="A20" s="1453" t="str">
        <f ca="1">IF(ROWS($F$3:F20)&lt;=$D$1,MATCH($B$1,OFFSET(Order_qry[[#Headers],[INVID]],A19,0,ROWS(Order_qry[INVID]),1),0)+A19,"")</f>
        <v/>
      </c>
      <c r="B20" s="1454" t="str">
        <f>IF(ROWS($F$3:F20)&lt;=$D$1,INDEX(Order_qry[[#All],[Consolidated Order]],$A20),"")</f>
        <v/>
      </c>
      <c r="C20" s="1454" t="str">
        <f>IF(ROWS($F$3:J20)&lt;=$D$1,INDEX(Order_qry[[#All],[Cost Category]],$A20),"")</f>
        <v/>
      </c>
      <c r="D20" s="1454" t="str">
        <f>IF(ROWS($F$3:K20)&lt;=$D$1,INDEX(Order_qry[[#All],[Operation Code]],$A20),"")</f>
        <v/>
      </c>
      <c r="E20" s="1454" t="str">
        <f>IF(ROWS($F$3:L20)&lt;=$D$1,INDEX(Order_qry[[#All],[Company'#]],$A20),"")</f>
        <v/>
      </c>
    </row>
    <row r="21" spans="1:13">
      <c r="A21" s="1453" t="str">
        <f ca="1">IF(ROWS($F$3:F21)&lt;=$D$1,MATCH($B$1,OFFSET(Order_qry[[#Headers],[INVID]],A20,0,ROWS(Order_qry[INVID]),1),0)+A20,"")</f>
        <v/>
      </c>
      <c r="B21" s="1454" t="str">
        <f>IF(ROWS($F$3:F21)&lt;=$D$1,INDEX(Order_qry[[#All],[Consolidated Order]],$A21),"")</f>
        <v/>
      </c>
      <c r="C21" s="1454" t="str">
        <f>IF(ROWS($F$3:J21)&lt;=$D$1,INDEX(Order_qry[[#All],[Cost Category]],$A21),"")</f>
        <v/>
      </c>
      <c r="D21" s="1454" t="str">
        <f>IF(ROWS($F$3:K21)&lt;=$D$1,INDEX(Order_qry[[#All],[Operation Code]],$A21),"")</f>
        <v/>
      </c>
      <c r="E21" s="1454" t="str">
        <f>IF(ROWS($F$3:L21)&lt;=$D$1,INDEX(Order_qry[[#All],[Company'#]],$A21),"")</f>
        <v/>
      </c>
    </row>
    <row r="22" spans="1:13">
      <c r="A22" s="1453" t="str">
        <f ca="1">IF(ROWS($F$3:F22)&lt;=$D$1,MATCH($B$1,OFFSET(Order_qry[[#Headers],[INVID]],A21,0,ROWS(Order_qry[INVID]),1),0)+A21,"")</f>
        <v/>
      </c>
      <c r="B22" s="1454" t="str">
        <f>IF(ROWS($F$3:F22)&lt;=$D$1,INDEX(Order_qry[[#All],[Consolidated Order]],$A22),"")</f>
        <v/>
      </c>
      <c r="C22" s="1454" t="str">
        <f>IF(ROWS($F$3:J22)&lt;=$D$1,INDEX(Order_qry[[#All],[Cost Category]],$A22),"")</f>
        <v/>
      </c>
      <c r="D22" s="1454" t="str">
        <f>IF(ROWS($F$3:K22)&lt;=$D$1,INDEX(Order_qry[[#All],[Operation Code]],$A22),"")</f>
        <v/>
      </c>
      <c r="E22" s="1454" t="str">
        <f>IF(ROWS($F$3:L22)&lt;=$D$1,INDEX(Order_qry[[#All],[Company'#]],$A22),"")</f>
        <v/>
      </c>
    </row>
    <row r="23" spans="1:13">
      <c r="A23" s="1453" t="str">
        <f ca="1">IF(ROWS($F$3:F23)&lt;=$D$1,MATCH($B$1,OFFSET(Order_qry[[#Headers],[INVID]],A22,0,ROWS(Order_qry[INVID]),1),0)+A22,"")</f>
        <v/>
      </c>
      <c r="B23" s="1454" t="str">
        <f>IF(ROWS($F$3:F23)&lt;=$D$1,INDEX(Order_qry[[#All],[Consolidated Order]],$A23),"")</f>
        <v/>
      </c>
      <c r="C23" s="1454" t="str">
        <f>IF(ROWS($F$3:J23)&lt;=$D$1,INDEX(Order_qry[[#All],[Cost Category]],$A23),"")</f>
        <v/>
      </c>
      <c r="D23" s="1454" t="str">
        <f>IF(ROWS($F$3:K23)&lt;=$D$1,INDEX(Order_qry[[#All],[Operation Code]],$A23),"")</f>
        <v/>
      </c>
      <c r="E23" s="1454" t="str">
        <f>IF(ROWS($F$3:L23)&lt;=$D$1,INDEX(Order_qry[[#All],[Company'#]],$A23),"")</f>
        <v/>
      </c>
    </row>
    <row r="24" spans="1:13">
      <c r="A24" s="1453" t="str">
        <f ca="1">IF(ROWS($F$3:F24)&lt;=$D$1,MATCH($B$1,OFFSET(Order_qry[[#Headers],[INVID]],A23,0,ROWS(Order_qry[INVID]),1),0)+A23,"")</f>
        <v/>
      </c>
      <c r="B24" s="1454" t="str">
        <f>IF(ROWS($F$3:F24)&lt;=$D$1,INDEX(Order_qry[[#All],[Consolidated Order]],$A24),"")</f>
        <v/>
      </c>
      <c r="C24" s="1454" t="str">
        <f>IF(ROWS($F$3:J24)&lt;=$D$1,INDEX(Order_qry[[#All],[Cost Category]],$A24),"")</f>
        <v/>
      </c>
      <c r="D24" s="1454" t="str">
        <f>IF(ROWS($F$3:K24)&lt;=$D$1,INDEX(Order_qry[[#All],[Operation Code]],$A24),"")</f>
        <v/>
      </c>
      <c r="E24" s="1454" t="str">
        <f>IF(ROWS($F$3:L24)&lt;=$D$1,INDEX(Order_qry[[#All],[Company'#]],$A24),"")</f>
        <v/>
      </c>
    </row>
    <row r="25" spans="1:13">
      <c r="A25" s="1453" t="str">
        <f ca="1">IF(ROWS($F$3:F25)&lt;=$D$1,MATCH($B$1,OFFSET(Order_qry[[#Headers],[INVID]],A24,0,ROWS(Order_qry[INVID]),1),0)+A24,"")</f>
        <v/>
      </c>
      <c r="B25" s="1454" t="str">
        <f>IF(ROWS($F$3:F25)&lt;=$D$1,INDEX(Order_qry[[#All],[Consolidated Order]],$A25),"")</f>
        <v/>
      </c>
      <c r="C25" s="1454" t="str">
        <f>IF(ROWS($F$3:J25)&lt;=$D$1,INDEX(Order_qry[[#All],[Cost Category]],$A25),"")</f>
        <v/>
      </c>
      <c r="D25" s="1454" t="str">
        <f>IF(ROWS($F$3:K25)&lt;=$D$1,INDEX(Order_qry[[#All],[Operation Code]],$A25),"")</f>
        <v/>
      </c>
      <c r="E25" s="1454" t="str">
        <f>IF(ROWS($F$3:L25)&lt;=$D$1,INDEX(Order_qry[[#All],[Company'#]],$A25),"")</f>
        <v/>
      </c>
    </row>
    <row r="26" spans="1:13">
      <c r="A26" s="1453" t="str">
        <f ca="1">IF(ROWS($F$3:F26)&lt;=$D$1,MATCH($B$1,OFFSET(Order_qry[[#Headers],[INVID]],A25,0,ROWS(Order_qry[INVID]),1),0)+A25,"")</f>
        <v/>
      </c>
      <c r="B26" s="1454" t="str">
        <f>IF(ROWS($F$3:F26)&lt;=$D$1,INDEX(Order_qry[[#All],[Consolidated Order]],$A26),"")</f>
        <v/>
      </c>
      <c r="C26" s="1454" t="str">
        <f>IF(ROWS($F$3:J26)&lt;=$D$1,INDEX(Order_qry[[#All],[Cost Category]],$A26),"")</f>
        <v/>
      </c>
      <c r="D26" s="1454" t="str">
        <f>IF(ROWS($F$3:K26)&lt;=$D$1,INDEX(Order_qry[[#All],[Operation Code]],$A26),"")</f>
        <v/>
      </c>
      <c r="E26" s="1454" t="str">
        <f>IF(ROWS($F$3:L26)&lt;=$D$1,INDEX(Order_qry[[#All],[Company'#]],$A26),"")</f>
        <v/>
      </c>
    </row>
    <row r="27" spans="1:13">
      <c r="A27" s="1453" t="str">
        <f ca="1">IF(ROWS($F$3:F27)&lt;=$D$1,MATCH($B$1,OFFSET(Order_qry[[#Headers],[INVID]],A26,0,ROWS(Order_qry[INVID]),1),0)+A26,"")</f>
        <v/>
      </c>
      <c r="B27" s="1454" t="str">
        <f>IF(ROWS($F$3:F27)&lt;=$D$1,INDEX(Order_qry[[#All],[Consolidated Order]],$A27),"")</f>
        <v/>
      </c>
      <c r="C27" s="1454" t="str">
        <f>IF(ROWS($F$3:J27)&lt;=$D$1,INDEX(Order_qry[[#All],[Cost Category]],$A27),"")</f>
        <v/>
      </c>
      <c r="D27" s="1454" t="str">
        <f>IF(ROWS($F$3:K27)&lt;=$D$1,INDEX(Order_qry[[#All],[Operation Code]],$A27),"")</f>
        <v/>
      </c>
      <c r="E27" s="1454" t="str">
        <f>IF(ROWS($F$3:L27)&lt;=$D$1,INDEX(Order_qry[[#All],[Company'#]],$A27),"")</f>
        <v/>
      </c>
    </row>
    <row r="28" spans="1:13">
      <c r="A28" s="1453" t="str">
        <f ca="1">IF(ROWS($F$3:F28)&lt;=$D$1,MATCH($B$1,OFFSET(Order_qry[[#Headers],[INVID]],A27,0,ROWS(Order_qry[INVID]),1),0)+A27,"")</f>
        <v/>
      </c>
      <c r="B28" s="1454" t="str">
        <f>IF(ROWS($F$3:F28)&lt;=$D$1,INDEX(Order_qry[[#All],[Consolidated Order]],$A28),"")</f>
        <v/>
      </c>
      <c r="C28" s="1454" t="str">
        <f>IF(ROWS($F$3:J28)&lt;=$D$1,INDEX(Order_qry[[#All],[Cost Category]],$A28),"")</f>
        <v/>
      </c>
      <c r="D28" s="1454" t="str">
        <f>IF(ROWS($F$3:K28)&lt;=$D$1,INDEX(Order_qry[[#All],[Operation Code]],$A28),"")</f>
        <v/>
      </c>
      <c r="E28" s="1454" t="str">
        <f>IF(ROWS($F$3:L28)&lt;=$D$1,INDEX(Order_qry[[#All],[Company'#]],$A28),"")</f>
        <v/>
      </c>
    </row>
    <row r="29" spans="1:13">
      <c r="A29" s="1453" t="str">
        <f ca="1">IF(ROWS($F$3:F29)&lt;=$D$1,MATCH($B$1,OFFSET(Order_qry[[#Headers],[INVID]],A28,0,ROWS(Order_qry[INVID]),1),0)+A28,"")</f>
        <v/>
      </c>
      <c r="B29" s="1454" t="str">
        <f>IF(ROWS($F$3:F29)&lt;=$D$1,INDEX(Order_qry[[#All],[Consolidated Order]],$A29),"")</f>
        <v/>
      </c>
      <c r="C29" s="1454" t="str">
        <f>IF(ROWS($F$3:J29)&lt;=$D$1,INDEX(Order_qry[[#All],[Cost Category]],$A29),"")</f>
        <v/>
      </c>
      <c r="D29" s="1454" t="str">
        <f>IF(ROWS($F$3:K29)&lt;=$D$1,INDEX(Order_qry[[#All],[Operation Code]],$A29),"")</f>
        <v/>
      </c>
      <c r="E29" s="1454" t="str">
        <f>IF(ROWS($F$3:L29)&lt;=$D$1,INDEX(Order_qry[[#All],[Company'#]],$A29),"")</f>
        <v/>
      </c>
    </row>
    <row r="30" spans="1:13">
      <c r="A30" s="1453" t="str">
        <f ca="1">IF(ROWS($F$3:F30)&lt;=$D$1,MATCH($B$1,OFFSET(Order_qry[[#Headers],[INVID]],A29,0,ROWS(Order_qry[INVID]),1),0)+A29,"")</f>
        <v/>
      </c>
      <c r="B30" s="1454" t="str">
        <f>IF(ROWS($F$3:F30)&lt;=$D$1,INDEX(Order_qry[[#All],[Consolidated Order]],$A30),"")</f>
        <v/>
      </c>
      <c r="C30" s="1454" t="str">
        <f>IF(ROWS($F$3:J30)&lt;=$D$1,INDEX(Order_qry[[#All],[Cost Category]],$A30),"")</f>
        <v/>
      </c>
      <c r="D30" s="1454" t="str">
        <f>IF(ROWS($F$3:K30)&lt;=$D$1,INDEX(Order_qry[[#All],[Operation Code]],$A30),"")</f>
        <v/>
      </c>
      <c r="E30" s="1454" t="str">
        <f>IF(ROWS($F$3:L30)&lt;=$D$1,INDEX(Order_qry[[#All],[Company'#]],$A30),"")</f>
        <v/>
      </c>
    </row>
    <row r="31" spans="1:13">
      <c r="A31" s="1453" t="str">
        <f ca="1">IF(ROWS($F$3:F31)&lt;=$D$1,MATCH($B$1,OFFSET(Order_qry[[#Headers],[INVID]],A30,0,ROWS(Order_qry[INVID]),1),0)+A30,"")</f>
        <v/>
      </c>
      <c r="B31" s="1454" t="str">
        <f>IF(ROWS($F$3:F31)&lt;=$D$1,INDEX(Order_qry[[#All],[Consolidated Order]],$A31),"")</f>
        <v/>
      </c>
      <c r="C31" s="1454" t="str">
        <f>IF(ROWS($F$3:J31)&lt;=$D$1,INDEX(Order_qry[[#All],[Cost Category]],$A31),"")</f>
        <v/>
      </c>
      <c r="D31" s="1454" t="str">
        <f>IF(ROWS($F$3:K31)&lt;=$D$1,INDEX(Order_qry[[#All],[Operation Code]],$A31),"")</f>
        <v/>
      </c>
      <c r="E31" s="1454" t="str">
        <f>IF(ROWS($F$3:L31)&lt;=$D$1,INDEX(Order_qry[[#All],[Company'#]],$A31),"")</f>
        <v/>
      </c>
    </row>
    <row r="32" spans="1:13">
      <c r="A32" s="1453" t="str">
        <f ca="1">IF(ROWS($F$3:F32)&lt;=$D$1,MATCH($B$1,OFFSET(Order_qry[[#Headers],[INVID]],A31,0,ROWS(Order_qry[INVID]),1),0)+A31,"")</f>
        <v/>
      </c>
      <c r="B32" s="1454" t="str">
        <f>IF(ROWS($F$3:F32)&lt;=$D$1,INDEX(Order_qry[[#All],[Consolidated Order]],$A32),"")</f>
        <v/>
      </c>
      <c r="C32" s="1454" t="str">
        <f>IF(ROWS($F$3:J32)&lt;=$D$1,INDEX(Order_qry[[#All],[Cost Category]],$A32),"")</f>
        <v/>
      </c>
      <c r="D32" s="1454" t="str">
        <f>IF(ROWS($F$3:K32)&lt;=$D$1,INDEX(Order_qry[[#All],[Operation Code]],$A32),"")</f>
        <v/>
      </c>
      <c r="E32" s="1454" t="str">
        <f>IF(ROWS($F$3:L32)&lt;=$D$1,INDEX(Order_qry[[#All],[Company'#]],$A32),"")</f>
        <v/>
      </c>
    </row>
    <row r="33" spans="1:5">
      <c r="A33" s="1453" t="str">
        <f ca="1">IF(ROWS($F$3:F33)&lt;=$D$1,MATCH($B$1,OFFSET(Order_qry[[#Headers],[INVID]],A32,0,ROWS(Order_qry[INVID]),1),0)+A32,"")</f>
        <v/>
      </c>
      <c r="B33" s="1454" t="str">
        <f>IF(ROWS($F$3:F33)&lt;=$D$1,INDEX(Order_qry[[#All],[Consolidated Order]],$A33),"")</f>
        <v/>
      </c>
      <c r="C33" s="1454" t="str">
        <f>IF(ROWS($F$3:J33)&lt;=$D$1,INDEX(Order_qry[[#All],[Cost Category]],$A33),"")</f>
        <v/>
      </c>
      <c r="D33" s="1454" t="str">
        <f>IF(ROWS($F$3:K33)&lt;=$D$1,INDEX(Order_qry[[#All],[Operation Code]],$A33),"")</f>
        <v/>
      </c>
      <c r="E33" s="1454" t="str">
        <f>IF(ROWS($F$3:L33)&lt;=$D$1,INDEX(Order_qry[[#All],[Company'#]],$A33),"")</f>
        <v/>
      </c>
    </row>
    <row r="34" spans="1:5">
      <c r="A34" s="1453" t="str">
        <f ca="1">IF(ROWS($F$3:F34)&lt;=$D$1,MATCH($B$1,OFFSET(Order_qry[[#Headers],[INVID]],A33,0,ROWS(Order_qry[INVID]),1),0)+A33,"")</f>
        <v/>
      </c>
      <c r="B34" s="1454" t="str">
        <f>IF(ROWS($F$3:F34)&lt;=$D$1,INDEX(Order_qry[[#All],[Consolidated Order]],$A34),"")</f>
        <v/>
      </c>
      <c r="C34" s="1454" t="str">
        <f>IF(ROWS($F$3:J34)&lt;=$D$1,INDEX(Order_qry[[#All],[Cost Category]],$A34),"")</f>
        <v/>
      </c>
      <c r="D34" s="1454" t="str">
        <f>IF(ROWS($F$3:K34)&lt;=$D$1,INDEX(Order_qry[[#All],[Operation Code]],$A34),"")</f>
        <v/>
      </c>
      <c r="E34" s="1454" t="str">
        <f>IF(ROWS($F$3:L34)&lt;=$D$1,INDEX(Order_qry[[#All],[Company'#]],$A34),"")</f>
        <v/>
      </c>
    </row>
    <row r="35" spans="1:5">
      <c r="A35" s="1453" t="str">
        <f ca="1">IF(ROWS($F$3:F35)&lt;=$D$1,MATCH($B$1,OFFSET(Order_qry[[#Headers],[INVID]],A34,0,ROWS(Order_qry[INVID]),1),0)+A34,"")</f>
        <v/>
      </c>
      <c r="B35" s="1454" t="str">
        <f>IF(ROWS($F$3:F35)&lt;=$D$1,INDEX(Order_qry[[#All],[Consolidated Order]],$A35),"")</f>
        <v/>
      </c>
      <c r="C35" s="1454" t="str">
        <f>IF(ROWS($F$3:J35)&lt;=$D$1,INDEX(Order_qry[[#All],[Cost Category]],$A35),"")</f>
        <v/>
      </c>
      <c r="D35" s="1454" t="str">
        <f>IF(ROWS($F$3:K35)&lt;=$D$1,INDEX(Order_qry[[#All],[Operation Code]],$A35),"")</f>
        <v/>
      </c>
      <c r="E35" s="1454" t="str">
        <f>IF(ROWS($F$3:L35)&lt;=$D$1,INDEX(Order_qry[[#All],[Company'#]],$A35),"")</f>
        <v/>
      </c>
    </row>
    <row r="36" spans="1:5">
      <c r="A36" s="1453" t="str">
        <f ca="1">IF(ROWS($F$3:F36)&lt;=$D$1,MATCH($B$1,OFFSET(Order_qry[[#Headers],[INVID]],A35,0,ROWS(Order_qry[INVID]),1),0)+A35,"")</f>
        <v/>
      </c>
      <c r="B36" s="1454" t="str">
        <f>IF(ROWS($F$3:F36)&lt;=$D$1,INDEX(Order_qry[[#All],[Consolidated Order]],$A36),"")</f>
        <v/>
      </c>
      <c r="C36" s="1454" t="str">
        <f>IF(ROWS($F$3:J36)&lt;=$D$1,INDEX(Order_qry[[#All],[Cost Category]],$A36),"")</f>
        <v/>
      </c>
      <c r="D36" s="1454" t="str">
        <f>IF(ROWS($F$3:K36)&lt;=$D$1,INDEX(Order_qry[[#All],[Operation Code]],$A36),"")</f>
        <v/>
      </c>
      <c r="E36" s="1454" t="str">
        <f>IF(ROWS($F$3:L36)&lt;=$D$1,INDEX(Order_qry[[#All],[Company'#]],$A36),"")</f>
        <v/>
      </c>
    </row>
    <row r="37" spans="1:5">
      <c r="A37" s="1453" t="str">
        <f ca="1">IF(ROWS($F$3:F37)&lt;=$D$1,MATCH($B$1,OFFSET(Order_qry[[#Headers],[INVID]],A36,0,ROWS(Order_qry[INVID]),1),0)+A36,"")</f>
        <v/>
      </c>
      <c r="B37" s="1454" t="str">
        <f>IF(ROWS($F$3:F37)&lt;=$D$1,INDEX(Order_qry[[#All],[Consolidated Order]],$A37),"")</f>
        <v/>
      </c>
      <c r="C37" s="1454" t="str">
        <f>IF(ROWS($F$3:J37)&lt;=$D$1,INDEX(Order_qry[[#All],[Cost Category]],$A37),"")</f>
        <v/>
      </c>
      <c r="D37" s="1454" t="str">
        <f>IF(ROWS($F$3:K37)&lt;=$D$1,INDEX(Order_qry[[#All],[Operation Code]],$A37),"")</f>
        <v/>
      </c>
      <c r="E37" s="1454" t="str">
        <f>IF(ROWS($F$3:L37)&lt;=$D$1,INDEX(Order_qry[[#All],[Company'#]],$A37),"")</f>
        <v/>
      </c>
    </row>
    <row r="38" spans="1:5">
      <c r="A38" s="1453" t="str">
        <f ca="1">IF(ROWS($F$3:F38)&lt;=$D$1,MATCH($B$1,OFFSET(Order_qry[[#Headers],[INVID]],A37,0,ROWS(Order_qry[INVID]),1),0)+A37,"")</f>
        <v/>
      </c>
      <c r="B38" s="1454" t="str">
        <f>IF(ROWS($F$3:F38)&lt;=$D$1,INDEX(Order_qry[[#All],[Consolidated Order]],$A38),"")</f>
        <v/>
      </c>
      <c r="C38" s="1454" t="str">
        <f>IF(ROWS($F$3:J38)&lt;=$D$1,INDEX(Order_qry[[#All],[Cost Category]],$A38),"")</f>
        <v/>
      </c>
      <c r="D38" s="1454" t="str">
        <f>IF(ROWS($F$3:K38)&lt;=$D$1,INDEX(Order_qry[[#All],[Operation Code]],$A38),"")</f>
        <v/>
      </c>
      <c r="E38" s="1454" t="str">
        <f>IF(ROWS($F$3:L38)&lt;=$D$1,INDEX(Order_qry[[#All],[Company'#]],$A38),"")</f>
        <v/>
      </c>
    </row>
    <row r="39" spans="1:5">
      <c r="A39" s="1453" t="str">
        <f ca="1">IF(ROWS($F$3:F39)&lt;=$D$1,MATCH($B$1,OFFSET(Order_qry[[#Headers],[INVID]],A38,0,ROWS(Order_qry[INVID]),1),0)+A38,"")</f>
        <v/>
      </c>
      <c r="B39" s="1454" t="str">
        <f>IF(ROWS($F$3:F39)&lt;=$D$1,INDEX(Order_qry[[#All],[Consolidated Order]],$A39),"")</f>
        <v/>
      </c>
      <c r="C39" s="1454" t="str">
        <f>IF(ROWS($F$3:J39)&lt;=$D$1,INDEX(Order_qry[[#All],[Cost Category]],$A39),"")</f>
        <v/>
      </c>
      <c r="D39" s="1454" t="str">
        <f>IF(ROWS($F$3:K39)&lt;=$D$1,INDEX(Order_qry[[#All],[Operation Code]],$A39),"")</f>
        <v/>
      </c>
      <c r="E39" s="1454" t="str">
        <f>IF(ROWS($F$3:L39)&lt;=$D$1,INDEX(Order_qry[[#All],[Company'#]],$A39),"")</f>
        <v/>
      </c>
    </row>
    <row r="40" spans="1:5">
      <c r="A40" s="1453" t="str">
        <f ca="1">IF(ROWS($F$3:F40)&lt;=$D$1,MATCH($B$1,OFFSET(Order_qry[[#Headers],[INVID]],A39,0,ROWS(Order_qry[INVID]),1),0)+A39,"")</f>
        <v/>
      </c>
      <c r="B40" s="1454" t="str">
        <f>IF(ROWS($F$3:F40)&lt;=$D$1,INDEX(Order_qry[[#All],[Consolidated Order]],$A40),"")</f>
        <v/>
      </c>
      <c r="C40" s="1454" t="str">
        <f>IF(ROWS($F$3:J40)&lt;=$D$1,INDEX(Order_qry[[#All],[Cost Category]],$A40),"")</f>
        <v/>
      </c>
      <c r="D40" s="1454" t="str">
        <f>IF(ROWS($F$3:K40)&lt;=$D$1,INDEX(Order_qry[[#All],[Operation Code]],$A40),"")</f>
        <v/>
      </c>
      <c r="E40" s="1454" t="str">
        <f>IF(ROWS($F$3:L40)&lt;=$D$1,INDEX(Order_qry[[#All],[Company'#]],$A40),"")</f>
        <v/>
      </c>
    </row>
    <row r="41" spans="1:5">
      <c r="A41" s="1453" t="str">
        <f ca="1">IF(ROWS($F$3:F41)&lt;=$D$1,MATCH($B$1,OFFSET(Order_qry[[#Headers],[INVID]],A40,0,ROWS(Order_qry[INVID]),1),0)+A40,"")</f>
        <v/>
      </c>
      <c r="B41" s="1454" t="str">
        <f>IF(ROWS($F$3:F41)&lt;=$D$1,INDEX(Order_qry[[#All],[Consolidated Order]],$A41),"")</f>
        <v/>
      </c>
      <c r="C41" s="1454" t="str">
        <f>IF(ROWS($F$3:J41)&lt;=$D$1,INDEX(Order_qry[[#All],[Cost Category]],$A41),"")</f>
        <v/>
      </c>
      <c r="D41" s="1454" t="str">
        <f>IF(ROWS($F$3:K41)&lt;=$D$1,INDEX(Order_qry[[#All],[Operation Code]],$A41),"")</f>
        <v/>
      </c>
      <c r="E41" s="1454" t="str">
        <f>IF(ROWS($F$3:L41)&lt;=$D$1,INDEX(Order_qry[[#All],[Company'#]],$A41),"")</f>
        <v/>
      </c>
    </row>
    <row r="42" spans="1:5">
      <c r="A42" s="1453" t="str">
        <f ca="1">IF(ROWS($F$3:F42)&lt;=$D$1,MATCH($B$1,OFFSET(Order_qry[[#Headers],[INVID]],A41,0,ROWS(Order_qry[INVID]),1),0)+A41,"")</f>
        <v/>
      </c>
      <c r="B42" s="1454" t="str">
        <f>IF(ROWS($F$3:F42)&lt;=$D$1,INDEX(Order_qry[[#All],[Consolidated Order]],$A42),"")</f>
        <v/>
      </c>
      <c r="C42" s="1454" t="str">
        <f>IF(ROWS($F$3:J42)&lt;=$D$1,INDEX(Order_qry[[#All],[Cost Category]],$A42),"")</f>
        <v/>
      </c>
      <c r="D42" s="1454" t="str">
        <f>IF(ROWS($F$3:K42)&lt;=$D$1,INDEX(Order_qry[[#All],[Operation Code]],$A42),"")</f>
        <v/>
      </c>
      <c r="E42" s="1454" t="str">
        <f>IF(ROWS($F$3:L42)&lt;=$D$1,INDEX(Order_qry[[#All],[Company'#]],$A42),"")</f>
        <v/>
      </c>
    </row>
  </sheetData>
  <pageMargins left="0.7" right="0.7" top="0.75" bottom="0.75" header="0.3" footer="0.3"/>
  <pageSetup orientation="portrait"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5DF3E-6335-4D86-A8CE-99AA690BA864}">
  <sheetPr>
    <tabColor rgb="FF002060"/>
  </sheetPr>
  <dimension ref="A1:Q5769"/>
  <sheetViews>
    <sheetView topLeftCell="A5450" workbookViewId="0">
      <selection activeCell="E5470" sqref="E5470"/>
    </sheetView>
  </sheetViews>
  <sheetFormatPr defaultRowHeight="14.5"/>
  <cols>
    <col min="1" max="1" width="26.36328125" bestFit="1" customWidth="1"/>
    <col min="2" max="2" width="8.7265625" bestFit="1" customWidth="1"/>
    <col min="3" max="3" width="80.7265625" bestFit="1" customWidth="1"/>
    <col min="4" max="4" width="22.90625" bestFit="1" customWidth="1"/>
    <col min="5" max="5" width="5" bestFit="1" customWidth="1"/>
    <col min="6" max="6" width="26.6328125" bestFit="1" customWidth="1"/>
    <col min="7" max="7" width="34.1796875" bestFit="1" customWidth="1"/>
    <col min="8" max="8" width="26.6328125" bestFit="1" customWidth="1"/>
    <col min="9" max="9" width="9.453125" bestFit="1" customWidth="1"/>
    <col min="10" max="10" width="16.81640625" bestFit="1" customWidth="1"/>
    <col min="11" max="11" width="15.6328125" bestFit="1" customWidth="1"/>
    <col min="12" max="12" width="49.26953125" bestFit="1" customWidth="1"/>
    <col min="13" max="13" width="19.36328125" bestFit="1" customWidth="1"/>
    <col min="14" max="14" width="11.7265625" bestFit="1" customWidth="1"/>
    <col min="15" max="15" width="11.453125" bestFit="1" customWidth="1"/>
    <col min="16" max="16" width="46.36328125" bestFit="1" customWidth="1"/>
    <col min="17" max="17" width="11.36328125" style="136" bestFit="1" customWidth="1"/>
  </cols>
  <sheetData>
    <row r="1" spans="1:17">
      <c r="A1" t="s">
        <v>9699</v>
      </c>
      <c r="B1" t="s">
        <v>492</v>
      </c>
      <c r="C1" t="s">
        <v>229</v>
      </c>
      <c r="D1" t="s">
        <v>13044</v>
      </c>
      <c r="E1" t="s">
        <v>8647</v>
      </c>
      <c r="F1" t="s">
        <v>13042</v>
      </c>
      <c r="G1" t="s">
        <v>493</v>
      </c>
      <c r="H1" t="s">
        <v>13043</v>
      </c>
      <c r="I1" t="s">
        <v>13045</v>
      </c>
      <c r="J1" t="s">
        <v>13046</v>
      </c>
      <c r="K1" t="s">
        <v>13047</v>
      </c>
      <c r="L1" t="s">
        <v>13048</v>
      </c>
      <c r="M1" t="s">
        <v>13049</v>
      </c>
      <c r="N1" t="s">
        <v>13050</v>
      </c>
      <c r="O1" t="s">
        <v>494</v>
      </c>
      <c r="P1" t="s">
        <v>495</v>
      </c>
      <c r="Q1" s="136" t="s">
        <v>15477</v>
      </c>
    </row>
    <row r="2" spans="1:17">
      <c r="A2" s="656" t="s">
        <v>15251</v>
      </c>
      <c r="B2" s="657" t="s">
        <v>202</v>
      </c>
      <c r="C2" s="656" t="s">
        <v>13045</v>
      </c>
      <c r="D2" s="657" t="s">
        <v>13789</v>
      </c>
      <c r="E2" s="657"/>
      <c r="F2" s="656"/>
      <c r="G2" s="656"/>
      <c r="H2" s="656"/>
      <c r="I2" s="656" t="s">
        <v>14976</v>
      </c>
      <c r="J2" s="656"/>
      <c r="K2" s="656"/>
      <c r="L2" s="656"/>
      <c r="M2" s="657"/>
      <c r="N2" s="1482"/>
      <c r="O2" s="656" t="s">
        <v>498</v>
      </c>
      <c r="P2" s="656" t="s">
        <v>13052</v>
      </c>
      <c r="Q2" s="656">
        <v>44216.787557870368</v>
      </c>
    </row>
    <row r="3" spans="1:17">
      <c r="A3" s="656" t="s">
        <v>15249</v>
      </c>
      <c r="B3" s="657" t="s">
        <v>202</v>
      </c>
      <c r="C3" s="656" t="s">
        <v>15250</v>
      </c>
      <c r="D3" s="657" t="s">
        <v>13789</v>
      </c>
      <c r="E3" s="657"/>
      <c r="F3" s="656"/>
      <c r="G3" s="656"/>
      <c r="H3" s="656"/>
      <c r="I3" s="656" t="s">
        <v>14976</v>
      </c>
      <c r="J3" s="656"/>
      <c r="K3" s="656"/>
      <c r="L3" s="656"/>
      <c r="M3" s="657"/>
      <c r="N3" s="1482"/>
      <c r="O3" s="656" t="s">
        <v>498</v>
      </c>
      <c r="P3" s="656" t="s">
        <v>13052</v>
      </c>
      <c r="Q3" s="656">
        <v>44216.787557870368</v>
      </c>
    </row>
    <row r="4" spans="1:17">
      <c r="A4" s="656" t="s">
        <v>15247</v>
      </c>
      <c r="B4" s="657" t="s">
        <v>202</v>
      </c>
      <c r="C4" s="656" t="s">
        <v>15248</v>
      </c>
      <c r="D4" s="657" t="s">
        <v>13789</v>
      </c>
      <c r="E4" s="657"/>
      <c r="F4" s="656"/>
      <c r="G4" s="656"/>
      <c r="H4" s="656"/>
      <c r="I4" s="656" t="s">
        <v>14976</v>
      </c>
      <c r="J4" s="656"/>
      <c r="K4" s="656"/>
      <c r="L4" s="656"/>
      <c r="M4" s="657"/>
      <c r="N4" s="1482"/>
      <c r="O4" s="656" t="s">
        <v>498</v>
      </c>
      <c r="P4" s="656" t="s">
        <v>13052</v>
      </c>
      <c r="Q4" s="656">
        <v>44216.787546296298</v>
      </c>
    </row>
    <row r="5" spans="1:17">
      <c r="A5" s="656" t="s">
        <v>15245</v>
      </c>
      <c r="B5" s="657" t="s">
        <v>202</v>
      </c>
      <c r="C5" s="656" t="s">
        <v>15246</v>
      </c>
      <c r="D5" s="657" t="s">
        <v>14977</v>
      </c>
      <c r="E5" s="657"/>
      <c r="F5" s="656" t="s">
        <v>1394</v>
      </c>
      <c r="G5" s="656"/>
      <c r="H5" s="656" t="s">
        <v>1394</v>
      </c>
      <c r="I5" s="656" t="s">
        <v>14976</v>
      </c>
      <c r="J5" s="656"/>
      <c r="K5" s="656"/>
      <c r="L5" s="656"/>
      <c r="M5" s="657"/>
      <c r="N5" s="1482"/>
      <c r="O5" s="656" t="s">
        <v>498</v>
      </c>
      <c r="P5" s="656" t="s">
        <v>13052</v>
      </c>
      <c r="Q5" s="656">
        <v>44216.787534722222</v>
      </c>
    </row>
    <row r="6" spans="1:17">
      <c r="A6" s="656" t="s">
        <v>15243</v>
      </c>
      <c r="B6" s="657" t="s">
        <v>202</v>
      </c>
      <c r="C6" s="656" t="s">
        <v>15244</v>
      </c>
      <c r="D6" s="657" t="s">
        <v>15174</v>
      </c>
      <c r="E6" s="657"/>
      <c r="F6" s="656" t="s">
        <v>1394</v>
      </c>
      <c r="G6" s="656" t="s">
        <v>1394</v>
      </c>
      <c r="H6" s="656" t="s">
        <v>1394</v>
      </c>
      <c r="I6" s="656" t="s">
        <v>14976</v>
      </c>
      <c r="J6" s="656"/>
      <c r="K6" s="656"/>
      <c r="L6" s="656"/>
      <c r="M6" s="657"/>
      <c r="N6" s="1482"/>
      <c r="O6" s="656" t="s">
        <v>498</v>
      </c>
      <c r="P6" s="656" t="s">
        <v>13052</v>
      </c>
      <c r="Q6" s="656">
        <v>44216.787523148145</v>
      </c>
    </row>
    <row r="7" spans="1:17">
      <c r="A7" s="656" t="s">
        <v>15241</v>
      </c>
      <c r="B7" s="657" t="s">
        <v>202</v>
      </c>
      <c r="C7" s="656" t="s">
        <v>15242</v>
      </c>
      <c r="D7" s="657" t="s">
        <v>15174</v>
      </c>
      <c r="E7" s="657"/>
      <c r="F7" s="656" t="s">
        <v>1394</v>
      </c>
      <c r="G7" s="656" t="s">
        <v>1394</v>
      </c>
      <c r="H7" s="656" t="s">
        <v>1394</v>
      </c>
      <c r="I7" s="656" t="s">
        <v>14976</v>
      </c>
      <c r="J7" s="656"/>
      <c r="K7" s="656"/>
      <c r="L7" s="656"/>
      <c r="M7" s="657"/>
      <c r="N7" s="1482"/>
      <c r="O7" s="656" t="s">
        <v>498</v>
      </c>
      <c r="P7" s="656" t="s">
        <v>13052</v>
      </c>
      <c r="Q7" s="656">
        <v>44216.787523148145</v>
      </c>
    </row>
    <row r="8" spans="1:17">
      <c r="A8" s="656" t="s">
        <v>15235</v>
      </c>
      <c r="B8" s="657" t="s">
        <v>202</v>
      </c>
      <c r="C8" s="656" t="s">
        <v>15236</v>
      </c>
      <c r="D8" s="657" t="s">
        <v>1239</v>
      </c>
      <c r="E8" s="657"/>
      <c r="F8" s="656"/>
      <c r="G8" s="656"/>
      <c r="H8" s="656"/>
      <c r="I8" s="656" t="s">
        <v>14976</v>
      </c>
      <c r="J8" s="656"/>
      <c r="K8" s="656"/>
      <c r="L8" s="656"/>
      <c r="M8" s="657"/>
      <c r="N8" s="1482"/>
      <c r="O8" s="656" t="s">
        <v>498</v>
      </c>
      <c r="P8" s="656" t="s">
        <v>13052</v>
      </c>
      <c r="Q8" s="656">
        <v>44216.787499999999</v>
      </c>
    </row>
    <row r="9" spans="1:17">
      <c r="A9" s="656" t="s">
        <v>15239</v>
      </c>
      <c r="B9" s="657" t="s">
        <v>202</v>
      </c>
      <c r="C9" s="656" t="s">
        <v>15240</v>
      </c>
      <c r="D9" s="657" t="s">
        <v>13789</v>
      </c>
      <c r="E9" s="657"/>
      <c r="F9" s="656"/>
      <c r="G9" s="656"/>
      <c r="H9" s="656"/>
      <c r="I9" s="656" t="s">
        <v>14976</v>
      </c>
      <c r="J9" s="656"/>
      <c r="K9" s="656"/>
      <c r="L9" s="656"/>
      <c r="M9" s="657"/>
      <c r="N9" s="1482"/>
      <c r="O9" s="656" t="s">
        <v>498</v>
      </c>
      <c r="P9" s="656" t="s">
        <v>13052</v>
      </c>
      <c r="Q9" s="656">
        <v>44216.787511574075</v>
      </c>
    </row>
    <row r="10" spans="1:17">
      <c r="A10" s="656" t="s">
        <v>15237</v>
      </c>
      <c r="B10" s="657" t="s">
        <v>202</v>
      </c>
      <c r="C10" s="656" t="s">
        <v>15238</v>
      </c>
      <c r="D10" s="657" t="s">
        <v>13789</v>
      </c>
      <c r="E10" s="657"/>
      <c r="F10" s="656" t="s">
        <v>1300</v>
      </c>
      <c r="G10" s="656"/>
      <c r="H10" s="656" t="s">
        <v>1300</v>
      </c>
      <c r="I10" s="656" t="s">
        <v>14976</v>
      </c>
      <c r="J10" s="656"/>
      <c r="K10" s="656"/>
      <c r="L10" s="656"/>
      <c r="M10" s="657"/>
      <c r="N10" s="1482"/>
      <c r="O10" s="656" t="s">
        <v>498</v>
      </c>
      <c r="P10" s="656" t="s">
        <v>13052</v>
      </c>
      <c r="Q10" s="656">
        <v>44216.787499999999</v>
      </c>
    </row>
    <row r="11" spans="1:17">
      <c r="A11" s="656" t="s">
        <v>15232</v>
      </c>
      <c r="B11" s="657" t="s">
        <v>202</v>
      </c>
      <c r="C11" s="656" t="s">
        <v>15233</v>
      </c>
      <c r="D11" s="657" t="s">
        <v>13789</v>
      </c>
      <c r="E11" s="657"/>
      <c r="F11" s="656" t="s">
        <v>15234</v>
      </c>
      <c r="G11" s="656" t="s">
        <v>15234</v>
      </c>
      <c r="H11" s="656" t="s">
        <v>15234</v>
      </c>
      <c r="I11" s="656" t="s">
        <v>14976</v>
      </c>
      <c r="J11" s="656" t="s">
        <v>15234</v>
      </c>
      <c r="K11" s="656"/>
      <c r="L11" s="656"/>
      <c r="M11" s="657"/>
      <c r="N11" s="1482"/>
      <c r="O11" s="656" t="s">
        <v>498</v>
      </c>
      <c r="P11" s="656" t="s">
        <v>13052</v>
      </c>
      <c r="Q11" s="656">
        <v>44216.787488425929</v>
      </c>
    </row>
    <row r="12" spans="1:17">
      <c r="A12" s="656" t="s">
        <v>480</v>
      </c>
      <c r="B12" s="657" t="s">
        <v>202</v>
      </c>
      <c r="C12" s="656" t="s">
        <v>15231</v>
      </c>
      <c r="D12" s="657" t="s">
        <v>13789</v>
      </c>
      <c r="E12" s="657"/>
      <c r="F12" s="656" t="s">
        <v>497</v>
      </c>
      <c r="G12" s="656" t="s">
        <v>497</v>
      </c>
      <c r="H12" s="656" t="s">
        <v>497</v>
      </c>
      <c r="I12" s="656" t="s">
        <v>14976</v>
      </c>
      <c r="J12" s="656"/>
      <c r="K12" s="656"/>
      <c r="L12" s="656"/>
      <c r="M12" s="657"/>
      <c r="N12" s="1482"/>
      <c r="O12" s="656" t="s">
        <v>498</v>
      </c>
      <c r="P12" s="656" t="s">
        <v>13052</v>
      </c>
      <c r="Q12" s="656">
        <v>44216.787488425929</v>
      </c>
    </row>
    <row r="13" spans="1:17">
      <c r="A13" s="656" t="s">
        <v>15229</v>
      </c>
      <c r="B13" s="657" t="s">
        <v>202</v>
      </c>
      <c r="C13" s="656" t="s">
        <v>15230</v>
      </c>
      <c r="D13" s="657" t="s">
        <v>13789</v>
      </c>
      <c r="E13" s="657"/>
      <c r="F13" s="656"/>
      <c r="G13" s="656"/>
      <c r="H13" s="656"/>
      <c r="I13" s="656" t="s">
        <v>14976</v>
      </c>
      <c r="J13" s="656"/>
      <c r="K13" s="656"/>
      <c r="L13" s="656"/>
      <c r="M13" s="657"/>
      <c r="N13" s="1482"/>
      <c r="O13" s="656" t="s">
        <v>498</v>
      </c>
      <c r="P13" s="656" t="s">
        <v>13052</v>
      </c>
      <c r="Q13" s="656">
        <v>44216.787476851852</v>
      </c>
    </row>
    <row r="14" spans="1:17">
      <c r="A14" s="656" t="s">
        <v>15228</v>
      </c>
      <c r="B14" s="657" t="s">
        <v>202</v>
      </c>
      <c r="C14" s="656" t="s">
        <v>10125</v>
      </c>
      <c r="D14" s="657" t="s">
        <v>13789</v>
      </c>
      <c r="E14" s="657"/>
      <c r="F14" s="656" t="s">
        <v>475</v>
      </c>
      <c r="G14" s="656"/>
      <c r="H14" s="656" t="s">
        <v>475</v>
      </c>
      <c r="I14" s="656" t="s">
        <v>14976</v>
      </c>
      <c r="J14" s="656" t="s">
        <v>12371</v>
      </c>
      <c r="K14" s="656"/>
      <c r="L14" s="656"/>
      <c r="M14" s="657"/>
      <c r="N14" s="1482"/>
      <c r="O14" s="656" t="s">
        <v>498</v>
      </c>
      <c r="P14" s="656" t="s">
        <v>13052</v>
      </c>
      <c r="Q14" s="656">
        <v>44216.787476851852</v>
      </c>
    </row>
    <row r="15" spans="1:17">
      <c r="A15" s="656" t="s">
        <v>11813</v>
      </c>
      <c r="B15" s="657"/>
      <c r="C15" s="656" t="s">
        <v>15227</v>
      </c>
      <c r="D15" s="657" t="s">
        <v>14977</v>
      </c>
      <c r="E15" s="657"/>
      <c r="F15" s="656" t="s">
        <v>1667</v>
      </c>
      <c r="G15" s="656" t="s">
        <v>2702</v>
      </c>
      <c r="H15" s="656" t="s">
        <v>1667</v>
      </c>
      <c r="I15" s="656" t="s">
        <v>14976</v>
      </c>
      <c r="J15" s="656"/>
      <c r="K15" s="656"/>
      <c r="L15" s="656"/>
      <c r="M15" s="657"/>
      <c r="N15" s="1482"/>
      <c r="O15" s="656" t="s">
        <v>498</v>
      </c>
      <c r="P15" s="656" t="s">
        <v>13052</v>
      </c>
      <c r="Q15" s="656">
        <v>44216.787476851852</v>
      </c>
    </row>
    <row r="16" spans="1:17">
      <c r="A16" s="656" t="s">
        <v>15225</v>
      </c>
      <c r="B16" s="657" t="s">
        <v>202</v>
      </c>
      <c r="C16" s="656" t="s">
        <v>15226</v>
      </c>
      <c r="D16" s="657" t="s">
        <v>14977</v>
      </c>
      <c r="E16" s="657"/>
      <c r="F16" s="656" t="s">
        <v>923</v>
      </c>
      <c r="G16" s="656"/>
      <c r="H16" s="656" t="s">
        <v>923</v>
      </c>
      <c r="I16" s="656" t="s">
        <v>14976</v>
      </c>
      <c r="J16" s="656"/>
      <c r="K16" s="656"/>
      <c r="L16" s="656"/>
      <c r="M16" s="657"/>
      <c r="N16" s="1482"/>
      <c r="O16" s="656" t="s">
        <v>498</v>
      </c>
      <c r="P16" s="656" t="s">
        <v>13052</v>
      </c>
      <c r="Q16" s="656">
        <v>44216.787465277775</v>
      </c>
    </row>
    <row r="17" spans="1:17">
      <c r="A17" s="656" t="s">
        <v>15223</v>
      </c>
      <c r="B17" s="657" t="s">
        <v>202</v>
      </c>
      <c r="C17" s="656" t="s">
        <v>15224</v>
      </c>
      <c r="D17" s="657" t="s">
        <v>13789</v>
      </c>
      <c r="E17" s="657"/>
      <c r="F17" s="656"/>
      <c r="G17" s="656"/>
      <c r="H17" s="656"/>
      <c r="I17" s="656" t="s">
        <v>14976</v>
      </c>
      <c r="J17" s="656"/>
      <c r="K17" s="656"/>
      <c r="L17" s="656"/>
      <c r="M17" s="657"/>
      <c r="N17" s="1482"/>
      <c r="O17" s="656" t="s">
        <v>498</v>
      </c>
      <c r="P17" s="656" t="s">
        <v>13052</v>
      </c>
      <c r="Q17" s="656">
        <v>44216.787465277775</v>
      </c>
    </row>
    <row r="18" spans="1:17">
      <c r="A18" s="656" t="s">
        <v>15221</v>
      </c>
      <c r="B18" s="657" t="s">
        <v>202</v>
      </c>
      <c r="C18" s="656" t="s">
        <v>15222</v>
      </c>
      <c r="D18" s="657" t="s">
        <v>15174</v>
      </c>
      <c r="E18" s="657"/>
      <c r="F18" s="656" t="s">
        <v>497</v>
      </c>
      <c r="G18" s="656" t="s">
        <v>497</v>
      </c>
      <c r="H18" s="656" t="s">
        <v>497</v>
      </c>
      <c r="I18" s="656" t="s">
        <v>14976</v>
      </c>
      <c r="J18" s="656"/>
      <c r="K18" s="656"/>
      <c r="L18" s="656"/>
      <c r="M18" s="657"/>
      <c r="N18" s="1482"/>
      <c r="O18" s="656" t="s">
        <v>498</v>
      </c>
      <c r="P18" s="656" t="s">
        <v>13052</v>
      </c>
      <c r="Q18" s="656">
        <v>44216.787453703706</v>
      </c>
    </row>
    <row r="19" spans="1:17">
      <c r="A19" s="656" t="s">
        <v>15219</v>
      </c>
      <c r="B19" s="657" t="s">
        <v>202</v>
      </c>
      <c r="C19" s="656" t="s">
        <v>15220</v>
      </c>
      <c r="D19" s="657" t="s">
        <v>15174</v>
      </c>
      <c r="E19" s="657"/>
      <c r="F19" s="656" t="s">
        <v>497</v>
      </c>
      <c r="G19" s="656" t="s">
        <v>497</v>
      </c>
      <c r="H19" s="656" t="s">
        <v>497</v>
      </c>
      <c r="I19" s="656" t="s">
        <v>14976</v>
      </c>
      <c r="J19" s="656"/>
      <c r="K19" s="656"/>
      <c r="L19" s="656"/>
      <c r="M19" s="657"/>
      <c r="N19" s="1482"/>
      <c r="O19" s="656" t="s">
        <v>498</v>
      </c>
      <c r="P19" s="656" t="s">
        <v>13052</v>
      </c>
      <c r="Q19" s="656">
        <v>44216.787453703706</v>
      </c>
    </row>
    <row r="20" spans="1:17">
      <c r="A20" s="656" t="s">
        <v>15217</v>
      </c>
      <c r="B20" s="657" t="s">
        <v>202</v>
      </c>
      <c r="C20" s="656" t="s">
        <v>15218</v>
      </c>
      <c r="D20" s="657" t="s">
        <v>15174</v>
      </c>
      <c r="E20" s="657"/>
      <c r="F20" s="656" t="s">
        <v>497</v>
      </c>
      <c r="G20" s="656" t="s">
        <v>497</v>
      </c>
      <c r="H20" s="656" t="s">
        <v>497</v>
      </c>
      <c r="I20" s="656" t="s">
        <v>14976</v>
      </c>
      <c r="J20" s="656"/>
      <c r="K20" s="656"/>
      <c r="L20" s="656"/>
      <c r="M20" s="657"/>
      <c r="N20" s="1482"/>
      <c r="O20" s="656" t="s">
        <v>498</v>
      </c>
      <c r="P20" s="656" t="s">
        <v>13052</v>
      </c>
      <c r="Q20" s="656">
        <v>44216.787442129629</v>
      </c>
    </row>
    <row r="21" spans="1:17">
      <c r="A21" s="656" t="s">
        <v>15215</v>
      </c>
      <c r="B21" s="657" t="s">
        <v>202</v>
      </c>
      <c r="C21" s="656" t="s">
        <v>15216</v>
      </c>
      <c r="D21" s="657" t="s">
        <v>15174</v>
      </c>
      <c r="E21" s="657"/>
      <c r="F21" s="656" t="s">
        <v>497</v>
      </c>
      <c r="G21" s="656" t="s">
        <v>497</v>
      </c>
      <c r="H21" s="656" t="s">
        <v>497</v>
      </c>
      <c r="I21" s="656" t="s">
        <v>14976</v>
      </c>
      <c r="J21" s="656"/>
      <c r="K21" s="656"/>
      <c r="L21" s="656"/>
      <c r="M21" s="657"/>
      <c r="N21" s="1482"/>
      <c r="O21" s="656" t="s">
        <v>498</v>
      </c>
      <c r="P21" s="656" t="s">
        <v>13052</v>
      </c>
      <c r="Q21" s="656">
        <v>44216.787442129629</v>
      </c>
    </row>
    <row r="22" spans="1:17">
      <c r="A22" s="656" t="s">
        <v>15214</v>
      </c>
      <c r="B22" s="657" t="s">
        <v>202</v>
      </c>
      <c r="C22" s="656" t="s">
        <v>15203</v>
      </c>
      <c r="D22" s="657" t="s">
        <v>13789</v>
      </c>
      <c r="E22" s="657"/>
      <c r="F22" s="656"/>
      <c r="G22" s="656"/>
      <c r="H22" s="656"/>
      <c r="I22" s="656" t="s">
        <v>14976</v>
      </c>
      <c r="J22" s="656"/>
      <c r="K22" s="656"/>
      <c r="L22" s="656"/>
      <c r="M22" s="657"/>
      <c r="N22" s="1482"/>
      <c r="O22" s="656" t="s">
        <v>498</v>
      </c>
      <c r="P22" s="656" t="s">
        <v>13052</v>
      </c>
      <c r="Q22" s="656">
        <v>44216.787430555552</v>
      </c>
    </row>
    <row r="23" spans="1:17">
      <c r="A23" s="656" t="s">
        <v>15212</v>
      </c>
      <c r="B23" s="657" t="s">
        <v>202</v>
      </c>
      <c r="C23" s="656" t="s">
        <v>15213</v>
      </c>
      <c r="D23" s="657" t="s">
        <v>14977</v>
      </c>
      <c r="E23" s="657"/>
      <c r="F23" s="656" t="s">
        <v>1394</v>
      </c>
      <c r="G23" s="656"/>
      <c r="H23" s="656" t="s">
        <v>1394</v>
      </c>
      <c r="I23" s="656" t="s">
        <v>14976</v>
      </c>
      <c r="J23" s="656"/>
      <c r="K23" s="656"/>
      <c r="L23" s="656"/>
      <c r="M23" s="657"/>
      <c r="N23" s="1482"/>
      <c r="O23" s="656" t="s">
        <v>498</v>
      </c>
      <c r="P23" s="656" t="s">
        <v>13052</v>
      </c>
      <c r="Q23" s="656">
        <v>44216.787430555552</v>
      </c>
    </row>
    <row r="24" spans="1:17">
      <c r="A24" s="656" t="s">
        <v>15210</v>
      </c>
      <c r="B24" s="657" t="s">
        <v>202</v>
      </c>
      <c r="C24" s="656" t="s">
        <v>15211</v>
      </c>
      <c r="D24" s="657" t="s">
        <v>14977</v>
      </c>
      <c r="E24" s="657"/>
      <c r="F24" s="656" t="s">
        <v>1300</v>
      </c>
      <c r="G24" s="656"/>
      <c r="H24" s="656" t="s">
        <v>1300</v>
      </c>
      <c r="I24" s="656" t="s">
        <v>14976</v>
      </c>
      <c r="J24" s="656"/>
      <c r="K24" s="656"/>
      <c r="L24" s="656"/>
      <c r="M24" s="657"/>
      <c r="N24" s="1482"/>
      <c r="O24" s="656" t="s">
        <v>498</v>
      </c>
      <c r="P24" s="656" t="s">
        <v>13052</v>
      </c>
      <c r="Q24" s="656">
        <v>44216.787418981483</v>
      </c>
    </row>
    <row r="25" spans="1:17">
      <c r="A25" s="656" t="s">
        <v>15208</v>
      </c>
      <c r="B25" s="657" t="s">
        <v>202</v>
      </c>
      <c r="C25" s="656" t="s">
        <v>15209</v>
      </c>
      <c r="D25" s="657" t="s">
        <v>13789</v>
      </c>
      <c r="E25" s="657"/>
      <c r="F25" s="656"/>
      <c r="G25" s="656"/>
      <c r="H25" s="656"/>
      <c r="I25" s="656" t="s">
        <v>14976</v>
      </c>
      <c r="J25" s="656"/>
      <c r="K25" s="656"/>
      <c r="L25" s="656"/>
      <c r="M25" s="657"/>
      <c r="N25" s="1482"/>
      <c r="O25" s="656" t="s">
        <v>498</v>
      </c>
      <c r="P25" s="656" t="s">
        <v>13052</v>
      </c>
      <c r="Q25" s="656">
        <v>44216.787418981483</v>
      </c>
    </row>
    <row r="26" spans="1:17">
      <c r="A26" s="656" t="s">
        <v>15206</v>
      </c>
      <c r="B26" s="657" t="s">
        <v>202</v>
      </c>
      <c r="C26" s="656" t="s">
        <v>15207</v>
      </c>
      <c r="D26" s="657" t="s">
        <v>1239</v>
      </c>
      <c r="E26" s="657"/>
      <c r="F26" s="656"/>
      <c r="G26" s="656"/>
      <c r="H26" s="656"/>
      <c r="I26" s="656" t="s">
        <v>14976</v>
      </c>
      <c r="J26" s="656"/>
      <c r="K26" s="656"/>
      <c r="L26" s="656"/>
      <c r="M26" s="657"/>
      <c r="N26" s="1482"/>
      <c r="O26" s="656" t="s">
        <v>498</v>
      </c>
      <c r="P26" s="656" t="s">
        <v>13052</v>
      </c>
      <c r="Q26" s="656">
        <v>44216.787407407406</v>
      </c>
    </row>
    <row r="27" spans="1:17">
      <c r="A27" s="656" t="s">
        <v>15204</v>
      </c>
      <c r="B27" s="657" t="s">
        <v>202</v>
      </c>
      <c r="C27" s="656" t="s">
        <v>15205</v>
      </c>
      <c r="D27" s="657" t="s">
        <v>14977</v>
      </c>
      <c r="E27" s="657"/>
      <c r="F27" s="656" t="s">
        <v>1300</v>
      </c>
      <c r="G27" s="656"/>
      <c r="H27" s="656" t="s">
        <v>1300</v>
      </c>
      <c r="I27" s="656" t="s">
        <v>14976</v>
      </c>
      <c r="J27" s="656"/>
      <c r="K27" s="656"/>
      <c r="L27" s="656"/>
      <c r="M27" s="657"/>
      <c r="N27" s="1482"/>
      <c r="O27" s="656" t="s">
        <v>498</v>
      </c>
      <c r="P27" s="656" t="s">
        <v>13052</v>
      </c>
      <c r="Q27" s="656">
        <v>44216.787395833337</v>
      </c>
    </row>
    <row r="28" spans="1:17">
      <c r="A28" s="656" t="s">
        <v>15202</v>
      </c>
      <c r="B28" s="657" t="s">
        <v>202</v>
      </c>
      <c r="C28" s="656" t="s">
        <v>15203</v>
      </c>
      <c r="D28" s="657" t="s">
        <v>14977</v>
      </c>
      <c r="E28" s="657"/>
      <c r="F28" s="656" t="s">
        <v>3077</v>
      </c>
      <c r="G28" s="656" t="s">
        <v>512</v>
      </c>
      <c r="H28" s="656" t="s">
        <v>465</v>
      </c>
      <c r="I28" s="656" t="s">
        <v>14976</v>
      </c>
      <c r="J28" s="656" t="s">
        <v>446</v>
      </c>
      <c r="K28" s="656" t="s">
        <v>497</v>
      </c>
      <c r="L28" s="656"/>
      <c r="M28" s="657"/>
      <c r="N28" s="1482"/>
      <c r="O28" s="656" t="s">
        <v>498</v>
      </c>
      <c r="P28" s="656" t="s">
        <v>13052</v>
      </c>
      <c r="Q28" s="656">
        <v>44216.787395833337</v>
      </c>
    </row>
    <row r="29" spans="1:17">
      <c r="A29" s="656" t="s">
        <v>15201</v>
      </c>
      <c r="B29" s="657" t="s">
        <v>202</v>
      </c>
      <c r="C29" s="656" t="s">
        <v>15200</v>
      </c>
      <c r="D29" s="657" t="s">
        <v>14977</v>
      </c>
      <c r="E29" s="657"/>
      <c r="F29" s="656" t="s">
        <v>1073</v>
      </c>
      <c r="G29" s="656"/>
      <c r="H29" s="656" t="s">
        <v>1073</v>
      </c>
      <c r="I29" s="656" t="s">
        <v>14976</v>
      </c>
      <c r="J29" s="656"/>
      <c r="K29" s="656"/>
      <c r="L29" s="656"/>
      <c r="M29" s="657"/>
      <c r="N29" s="1482"/>
      <c r="O29" s="656" t="s">
        <v>498</v>
      </c>
      <c r="P29" s="656" t="s">
        <v>13052</v>
      </c>
      <c r="Q29" s="656">
        <v>44216.78738425926</v>
      </c>
    </row>
    <row r="30" spans="1:17">
      <c r="A30" s="656" t="s">
        <v>15199</v>
      </c>
      <c r="B30" s="657" t="s">
        <v>202</v>
      </c>
      <c r="C30" s="656" t="s">
        <v>15200</v>
      </c>
      <c r="D30" s="657" t="s">
        <v>14977</v>
      </c>
      <c r="E30" s="657"/>
      <c r="F30" s="656" t="s">
        <v>1073</v>
      </c>
      <c r="G30" s="656"/>
      <c r="H30" s="656" t="s">
        <v>1073</v>
      </c>
      <c r="I30" s="656" t="s">
        <v>14976</v>
      </c>
      <c r="J30" s="656"/>
      <c r="K30" s="656"/>
      <c r="L30" s="656"/>
      <c r="M30" s="657"/>
      <c r="N30" s="1482"/>
      <c r="O30" s="656" t="s">
        <v>498</v>
      </c>
      <c r="P30" s="656" t="s">
        <v>13052</v>
      </c>
      <c r="Q30" s="656">
        <v>44216.78738425926</v>
      </c>
    </row>
    <row r="31" spans="1:17">
      <c r="A31" s="656" t="s">
        <v>15197</v>
      </c>
      <c r="B31" s="657" t="s">
        <v>202</v>
      </c>
      <c r="C31" s="656" t="s">
        <v>15198</v>
      </c>
      <c r="D31" s="657" t="s">
        <v>14977</v>
      </c>
      <c r="E31" s="657"/>
      <c r="F31" s="656" t="s">
        <v>1073</v>
      </c>
      <c r="G31" s="656"/>
      <c r="H31" s="656" t="s">
        <v>1073</v>
      </c>
      <c r="I31" s="656" t="s">
        <v>14976</v>
      </c>
      <c r="J31" s="656"/>
      <c r="K31" s="656"/>
      <c r="L31" s="656"/>
      <c r="M31" s="657"/>
      <c r="N31" s="1482"/>
      <c r="O31" s="656" t="s">
        <v>498</v>
      </c>
      <c r="P31" s="656" t="s">
        <v>13052</v>
      </c>
      <c r="Q31" s="656">
        <v>44216.787372685183</v>
      </c>
    </row>
    <row r="32" spans="1:17">
      <c r="A32" s="656" t="s">
        <v>11807</v>
      </c>
      <c r="B32" s="657" t="s">
        <v>202</v>
      </c>
      <c r="C32" s="656" t="s">
        <v>15196</v>
      </c>
      <c r="D32" s="657" t="s">
        <v>13789</v>
      </c>
      <c r="E32" s="657"/>
      <c r="F32" s="656"/>
      <c r="G32" s="656"/>
      <c r="H32" s="656"/>
      <c r="I32" s="656" t="s">
        <v>14976</v>
      </c>
      <c r="J32" s="656"/>
      <c r="K32" s="656"/>
      <c r="L32" s="656"/>
      <c r="M32" s="657"/>
      <c r="N32" s="1482"/>
      <c r="O32" s="656" t="s">
        <v>498</v>
      </c>
      <c r="P32" s="656" t="s">
        <v>13052</v>
      </c>
      <c r="Q32" s="656">
        <v>44216.787372685183</v>
      </c>
    </row>
    <row r="33" spans="1:17">
      <c r="A33" s="656" t="s">
        <v>15194</v>
      </c>
      <c r="B33" s="657" t="s">
        <v>202</v>
      </c>
      <c r="C33" s="656" t="s">
        <v>15195</v>
      </c>
      <c r="D33" s="657" t="s">
        <v>13789</v>
      </c>
      <c r="E33" s="657"/>
      <c r="F33" s="656"/>
      <c r="G33" s="656"/>
      <c r="H33" s="656"/>
      <c r="I33" s="656" t="s">
        <v>14976</v>
      </c>
      <c r="J33" s="656"/>
      <c r="K33" s="656"/>
      <c r="L33" s="656"/>
      <c r="M33" s="657"/>
      <c r="N33" s="1482"/>
      <c r="O33" s="656" t="s">
        <v>498</v>
      </c>
      <c r="P33" s="656" t="s">
        <v>13052</v>
      </c>
      <c r="Q33" s="656">
        <v>44216.787361111114</v>
      </c>
    </row>
    <row r="34" spans="1:17">
      <c r="A34" s="656" t="s">
        <v>11797</v>
      </c>
      <c r="B34" s="657" t="s">
        <v>202</v>
      </c>
      <c r="C34" s="656" t="s">
        <v>15193</v>
      </c>
      <c r="D34" s="657" t="s">
        <v>13789</v>
      </c>
      <c r="E34" s="657"/>
      <c r="F34" s="656"/>
      <c r="G34" s="656"/>
      <c r="H34" s="656"/>
      <c r="I34" s="656" t="s">
        <v>14976</v>
      </c>
      <c r="J34" s="656"/>
      <c r="K34" s="656"/>
      <c r="L34" s="656"/>
      <c r="M34" s="657"/>
      <c r="N34" s="1482"/>
      <c r="O34" s="656" t="s">
        <v>498</v>
      </c>
      <c r="P34" s="656" t="s">
        <v>13052</v>
      </c>
      <c r="Q34" s="656">
        <v>44216.787361111114</v>
      </c>
    </row>
    <row r="35" spans="1:17">
      <c r="A35" s="656" t="s">
        <v>11794</v>
      </c>
      <c r="B35" s="657" t="s">
        <v>202</v>
      </c>
      <c r="C35" s="656" t="s">
        <v>15192</v>
      </c>
      <c r="D35" s="657" t="s">
        <v>13789</v>
      </c>
      <c r="E35" s="657"/>
      <c r="F35" s="656"/>
      <c r="G35" s="656"/>
      <c r="H35" s="656"/>
      <c r="I35" s="656" t="s">
        <v>14976</v>
      </c>
      <c r="J35" s="656"/>
      <c r="K35" s="656"/>
      <c r="L35" s="656"/>
      <c r="M35" s="657"/>
      <c r="N35" s="1482"/>
      <c r="O35" s="656" t="s">
        <v>498</v>
      </c>
      <c r="P35" s="656" t="s">
        <v>13052</v>
      </c>
      <c r="Q35" s="656">
        <v>44216.787349537037</v>
      </c>
    </row>
    <row r="36" spans="1:17">
      <c r="A36" s="656" t="s">
        <v>15190</v>
      </c>
      <c r="B36" s="657" t="s">
        <v>202</v>
      </c>
      <c r="C36" s="656" t="s">
        <v>15191</v>
      </c>
      <c r="D36" s="657" t="s">
        <v>13789</v>
      </c>
      <c r="E36" s="657"/>
      <c r="F36" s="656" t="s">
        <v>497</v>
      </c>
      <c r="G36" s="656" t="s">
        <v>497</v>
      </c>
      <c r="H36" s="656" t="s">
        <v>497</v>
      </c>
      <c r="I36" s="656" t="s">
        <v>14976</v>
      </c>
      <c r="J36" s="656"/>
      <c r="K36" s="656"/>
      <c r="L36" s="656"/>
      <c r="M36" s="657"/>
      <c r="N36" s="1482"/>
      <c r="O36" s="656" t="s">
        <v>498</v>
      </c>
      <c r="P36" s="656" t="s">
        <v>13052</v>
      </c>
      <c r="Q36" s="656">
        <v>44216.787349537037</v>
      </c>
    </row>
    <row r="37" spans="1:17">
      <c r="A37" s="656" t="s">
        <v>15188</v>
      </c>
      <c r="B37" s="657" t="s">
        <v>202</v>
      </c>
      <c r="C37" s="656" t="s">
        <v>15189</v>
      </c>
      <c r="D37" s="657" t="s">
        <v>1239</v>
      </c>
      <c r="E37" s="657"/>
      <c r="F37" s="656" t="s">
        <v>1394</v>
      </c>
      <c r="G37" s="656" t="s">
        <v>1394</v>
      </c>
      <c r="H37" s="656" t="s">
        <v>1394</v>
      </c>
      <c r="I37" s="656" t="s">
        <v>14976</v>
      </c>
      <c r="J37" s="656"/>
      <c r="K37" s="656"/>
      <c r="L37" s="656"/>
      <c r="M37" s="657"/>
      <c r="N37" s="1482"/>
      <c r="O37" s="656" t="s">
        <v>498</v>
      </c>
      <c r="P37" s="656" t="s">
        <v>13052</v>
      </c>
      <c r="Q37" s="656">
        <v>44216.78733796296</v>
      </c>
    </row>
    <row r="38" spans="1:17">
      <c r="A38" s="656" t="s">
        <v>15186</v>
      </c>
      <c r="B38" s="657" t="s">
        <v>202</v>
      </c>
      <c r="C38" s="656" t="s">
        <v>15187</v>
      </c>
      <c r="D38" s="657" t="s">
        <v>13789</v>
      </c>
      <c r="E38" s="657"/>
      <c r="F38" s="656" t="s">
        <v>497</v>
      </c>
      <c r="G38" s="656" t="s">
        <v>497</v>
      </c>
      <c r="H38" s="656" t="s">
        <v>497</v>
      </c>
      <c r="I38" s="656" t="s">
        <v>14976</v>
      </c>
      <c r="J38" s="656"/>
      <c r="K38" s="656"/>
      <c r="L38" s="656"/>
      <c r="M38" s="657"/>
      <c r="N38" s="1482"/>
      <c r="O38" s="656" t="s">
        <v>498</v>
      </c>
      <c r="P38" s="656" t="s">
        <v>13052</v>
      </c>
      <c r="Q38" s="656">
        <v>44216.78733796296</v>
      </c>
    </row>
    <row r="39" spans="1:17">
      <c r="A39" s="656" t="s">
        <v>15184</v>
      </c>
      <c r="B39" s="657" t="s">
        <v>202</v>
      </c>
      <c r="C39" s="656" t="s">
        <v>15185</v>
      </c>
      <c r="D39" s="657" t="s">
        <v>14977</v>
      </c>
      <c r="E39" s="657"/>
      <c r="F39" s="656" t="s">
        <v>1073</v>
      </c>
      <c r="G39" s="656"/>
      <c r="H39" s="656" t="s">
        <v>1073</v>
      </c>
      <c r="I39" s="656" t="s">
        <v>14976</v>
      </c>
      <c r="J39" s="656"/>
      <c r="K39" s="656"/>
      <c r="L39" s="656"/>
      <c r="M39" s="657"/>
      <c r="N39" s="1482"/>
      <c r="O39" s="656" t="s">
        <v>498</v>
      </c>
      <c r="P39" s="656" t="s">
        <v>13052</v>
      </c>
      <c r="Q39" s="656">
        <v>44216.78733796296</v>
      </c>
    </row>
    <row r="40" spans="1:17">
      <c r="A40" s="656" t="s">
        <v>15181</v>
      </c>
      <c r="B40" s="657" t="s">
        <v>202</v>
      </c>
      <c r="C40" s="656" t="s">
        <v>15182</v>
      </c>
      <c r="D40" s="657" t="s">
        <v>14977</v>
      </c>
      <c r="E40" s="657"/>
      <c r="F40" s="656" t="s">
        <v>15183</v>
      </c>
      <c r="G40" s="656"/>
      <c r="H40" s="656" t="s">
        <v>15183</v>
      </c>
      <c r="I40" s="656" t="s">
        <v>14976</v>
      </c>
      <c r="J40" s="656"/>
      <c r="K40" s="656"/>
      <c r="L40" s="656"/>
      <c r="M40" s="657"/>
      <c r="N40" s="1482"/>
      <c r="O40" s="656" t="s">
        <v>498</v>
      </c>
      <c r="P40" s="656" t="s">
        <v>13052</v>
      </c>
      <c r="Q40" s="656">
        <v>44216.787326388891</v>
      </c>
    </row>
    <row r="41" spans="1:17">
      <c r="A41" s="656" t="s">
        <v>15179</v>
      </c>
      <c r="B41" s="657" t="s">
        <v>202</v>
      </c>
      <c r="C41" s="656" t="s">
        <v>15180</v>
      </c>
      <c r="D41" s="657" t="s">
        <v>13789</v>
      </c>
      <c r="E41" s="657"/>
      <c r="F41" s="656" t="s">
        <v>604</v>
      </c>
      <c r="G41" s="656"/>
      <c r="H41" s="656" t="s">
        <v>604</v>
      </c>
      <c r="I41" s="656" t="s">
        <v>14976</v>
      </c>
      <c r="J41" s="656" t="s">
        <v>12372</v>
      </c>
      <c r="K41" s="656"/>
      <c r="L41" s="656"/>
      <c r="M41" s="657"/>
      <c r="N41" s="1482"/>
      <c r="O41" s="656" t="s">
        <v>498</v>
      </c>
      <c r="P41" s="656" t="s">
        <v>13052</v>
      </c>
      <c r="Q41" s="656">
        <v>44216.787326388891</v>
      </c>
    </row>
    <row r="42" spans="1:17">
      <c r="A42" s="656" t="s">
        <v>15177</v>
      </c>
      <c r="B42" s="657" t="s">
        <v>202</v>
      </c>
      <c r="C42" s="656" t="s">
        <v>15178</v>
      </c>
      <c r="D42" s="657" t="s">
        <v>13789</v>
      </c>
      <c r="E42" s="657"/>
      <c r="F42" s="656"/>
      <c r="G42" s="656"/>
      <c r="H42" s="656"/>
      <c r="I42" s="656" t="s">
        <v>14976</v>
      </c>
      <c r="J42" s="656"/>
      <c r="K42" s="656"/>
      <c r="L42" s="656"/>
      <c r="M42" s="657"/>
      <c r="N42" s="1482"/>
      <c r="O42" s="656" t="s">
        <v>498</v>
      </c>
      <c r="P42" s="656" t="s">
        <v>13052</v>
      </c>
      <c r="Q42" s="656">
        <v>44216.787314814814</v>
      </c>
    </row>
    <row r="43" spans="1:17">
      <c r="A43" s="656" t="s">
        <v>15175</v>
      </c>
      <c r="B43" s="657" t="s">
        <v>202</v>
      </c>
      <c r="C43" s="656" t="s">
        <v>15176</v>
      </c>
      <c r="D43" s="657" t="s">
        <v>15174</v>
      </c>
      <c r="E43" s="657"/>
      <c r="F43" s="656" t="s">
        <v>497</v>
      </c>
      <c r="G43" s="656" t="s">
        <v>497</v>
      </c>
      <c r="H43" s="656" t="s">
        <v>497</v>
      </c>
      <c r="I43" s="656" t="s">
        <v>14976</v>
      </c>
      <c r="J43" s="656"/>
      <c r="K43" s="656"/>
      <c r="L43" s="656"/>
      <c r="M43" s="657"/>
      <c r="N43" s="1482"/>
      <c r="O43" s="656" t="s">
        <v>498</v>
      </c>
      <c r="P43" s="656" t="s">
        <v>13052</v>
      </c>
      <c r="Q43" s="656">
        <v>44216.787314814814</v>
      </c>
    </row>
    <row r="44" spans="1:17">
      <c r="A44" s="656" t="s">
        <v>15172</v>
      </c>
      <c r="B44" s="657" t="s">
        <v>202</v>
      </c>
      <c r="C44" s="656" t="s">
        <v>15173</v>
      </c>
      <c r="D44" s="657" t="s">
        <v>15174</v>
      </c>
      <c r="E44" s="657"/>
      <c r="F44" s="656" t="s">
        <v>497</v>
      </c>
      <c r="G44" s="656" t="s">
        <v>497</v>
      </c>
      <c r="H44" s="656" t="s">
        <v>497</v>
      </c>
      <c r="I44" s="656" t="s">
        <v>14976</v>
      </c>
      <c r="J44" s="656"/>
      <c r="K44" s="656"/>
      <c r="L44" s="656"/>
      <c r="M44" s="657"/>
      <c r="N44" s="1482"/>
      <c r="O44" s="656" t="s">
        <v>498</v>
      </c>
      <c r="P44" s="656" t="s">
        <v>13052</v>
      </c>
      <c r="Q44" s="656">
        <v>44216.787303240744</v>
      </c>
    </row>
    <row r="45" spans="1:17">
      <c r="A45" s="656" t="s">
        <v>10870</v>
      </c>
      <c r="B45" s="657" t="s">
        <v>202</v>
      </c>
      <c r="C45" s="656" t="s">
        <v>16072</v>
      </c>
      <c r="D45" s="657" t="s">
        <v>13789</v>
      </c>
      <c r="E45" s="657" t="s">
        <v>7435</v>
      </c>
      <c r="F45" s="656" t="s">
        <v>497</v>
      </c>
      <c r="G45" s="656" t="s">
        <v>497</v>
      </c>
      <c r="H45" s="656" t="s">
        <v>497</v>
      </c>
      <c r="I45" s="656" t="s">
        <v>14976</v>
      </c>
      <c r="J45" s="656" t="s">
        <v>16073</v>
      </c>
      <c r="K45" s="656"/>
      <c r="L45" s="656"/>
      <c r="M45" s="657"/>
      <c r="N45" s="1482"/>
      <c r="O45" s="656" t="s">
        <v>498</v>
      </c>
      <c r="P45" s="656" t="s">
        <v>13052</v>
      </c>
      <c r="Q45" s="656">
        <v>44216.787303240744</v>
      </c>
    </row>
    <row r="46" spans="1:17">
      <c r="A46" s="656" t="s">
        <v>9351</v>
      </c>
      <c r="B46" s="657" t="s">
        <v>202</v>
      </c>
      <c r="C46" s="656" t="s">
        <v>9350</v>
      </c>
      <c r="D46" s="657" t="s">
        <v>13789</v>
      </c>
      <c r="E46" s="657" t="s">
        <v>7437</v>
      </c>
      <c r="F46" s="656" t="s">
        <v>497</v>
      </c>
      <c r="G46" s="656"/>
      <c r="H46" s="656" t="s">
        <v>497</v>
      </c>
      <c r="I46" s="656" t="s">
        <v>14976</v>
      </c>
      <c r="J46" s="656" t="s">
        <v>15488</v>
      </c>
      <c r="K46" s="656"/>
      <c r="L46" s="656"/>
      <c r="M46" s="657"/>
      <c r="N46" s="1482"/>
      <c r="O46" s="656" t="s">
        <v>498</v>
      </c>
      <c r="P46" s="656" t="s">
        <v>13052</v>
      </c>
      <c r="Q46" s="656">
        <v>44216.787291666667</v>
      </c>
    </row>
    <row r="47" spans="1:17">
      <c r="A47" s="656" t="s">
        <v>16185</v>
      </c>
      <c r="B47" s="657" t="s">
        <v>202</v>
      </c>
      <c r="C47" s="656" t="s">
        <v>16186</v>
      </c>
      <c r="D47" s="657" t="s">
        <v>13789</v>
      </c>
      <c r="E47" s="657" t="s">
        <v>7435</v>
      </c>
      <c r="F47" s="656" t="s">
        <v>2849</v>
      </c>
      <c r="G47" s="656"/>
      <c r="H47" s="656" t="s">
        <v>2849</v>
      </c>
      <c r="I47" s="656"/>
      <c r="J47" s="656" t="s">
        <v>12822</v>
      </c>
      <c r="K47" s="656"/>
      <c r="L47" s="656"/>
      <c r="M47" s="657" t="s">
        <v>15517</v>
      </c>
      <c r="N47" s="1482">
        <v>277</v>
      </c>
      <c r="O47" s="656" t="s">
        <v>498</v>
      </c>
      <c r="P47" s="656" t="s">
        <v>13052</v>
      </c>
      <c r="Q47" s="656">
        <v>44316.369270833333</v>
      </c>
    </row>
    <row r="48" spans="1:17">
      <c r="A48" s="656" t="s">
        <v>16187</v>
      </c>
      <c r="B48" s="657" t="s">
        <v>504</v>
      </c>
      <c r="C48" s="656" t="s">
        <v>16186</v>
      </c>
      <c r="D48" s="657" t="s">
        <v>13789</v>
      </c>
      <c r="E48" s="657" t="s">
        <v>7435</v>
      </c>
      <c r="F48" s="656" t="s">
        <v>2849</v>
      </c>
      <c r="G48" s="656"/>
      <c r="H48" s="656" t="s">
        <v>2849</v>
      </c>
      <c r="I48" s="656"/>
      <c r="J48" s="656" t="s">
        <v>12822</v>
      </c>
      <c r="K48" s="656"/>
      <c r="L48" s="656"/>
      <c r="M48" s="657" t="s">
        <v>15517</v>
      </c>
      <c r="N48" s="1482">
        <v>277</v>
      </c>
      <c r="O48" s="656" t="s">
        <v>498</v>
      </c>
      <c r="P48" s="656" t="s">
        <v>13052</v>
      </c>
      <c r="Q48" s="656">
        <v>44316.369270833333</v>
      </c>
    </row>
    <row r="49" spans="1:17">
      <c r="A49" s="656" t="s">
        <v>16183</v>
      </c>
      <c r="B49" s="657" t="s">
        <v>202</v>
      </c>
      <c r="C49" s="656" t="s">
        <v>16184</v>
      </c>
      <c r="D49" s="657" t="s">
        <v>13789</v>
      </c>
      <c r="E49" s="657" t="s">
        <v>7435</v>
      </c>
      <c r="F49" s="656" t="s">
        <v>537</v>
      </c>
      <c r="G49" s="656"/>
      <c r="H49" s="656" t="s">
        <v>537</v>
      </c>
      <c r="I49" s="656"/>
      <c r="J49" s="656" t="s">
        <v>8664</v>
      </c>
      <c r="K49" s="656"/>
      <c r="L49" s="656"/>
      <c r="M49" s="657" t="s">
        <v>15517</v>
      </c>
      <c r="N49" s="1482">
        <v>259</v>
      </c>
      <c r="O49" s="656" t="s">
        <v>498</v>
      </c>
      <c r="P49" s="656" t="s">
        <v>13052</v>
      </c>
      <c r="Q49" s="656">
        <v>44315.530833333331</v>
      </c>
    </row>
    <row r="50" spans="1:17">
      <c r="A50" s="656" t="s">
        <v>16181</v>
      </c>
      <c r="B50" s="657" t="s">
        <v>202</v>
      </c>
      <c r="C50" s="656" t="s">
        <v>16182</v>
      </c>
      <c r="D50" s="657" t="s">
        <v>13789</v>
      </c>
      <c r="E50" s="657" t="s">
        <v>7435</v>
      </c>
      <c r="F50" s="656" t="s">
        <v>3077</v>
      </c>
      <c r="G50" s="656"/>
      <c r="H50" s="656" t="s">
        <v>3077</v>
      </c>
      <c r="I50" s="656"/>
      <c r="J50" s="656" t="s">
        <v>446</v>
      </c>
      <c r="K50" s="656"/>
      <c r="L50" s="656"/>
      <c r="M50" s="657" t="s">
        <v>15517</v>
      </c>
      <c r="N50" s="1482">
        <v>272</v>
      </c>
      <c r="O50" s="656" t="s">
        <v>498</v>
      </c>
      <c r="P50" s="656" t="s">
        <v>13052</v>
      </c>
      <c r="Q50" s="656">
        <v>44315.530393518522</v>
      </c>
    </row>
    <row r="51" spans="1:17">
      <c r="A51" s="656" t="s">
        <v>16179</v>
      </c>
      <c r="B51" s="657" t="s">
        <v>504</v>
      </c>
      <c r="C51" s="656" t="s">
        <v>16180</v>
      </c>
      <c r="D51" s="657" t="s">
        <v>13789</v>
      </c>
      <c r="E51" s="657" t="s">
        <v>7435</v>
      </c>
      <c r="F51" s="656"/>
      <c r="G51" s="656" t="s">
        <v>1293</v>
      </c>
      <c r="H51" s="656"/>
      <c r="I51" s="656" t="s">
        <v>13051</v>
      </c>
      <c r="J51" s="656"/>
      <c r="K51" s="656"/>
      <c r="L51" s="656"/>
      <c r="M51" s="657"/>
      <c r="N51" s="1482">
        <v>273</v>
      </c>
      <c r="O51" s="656" t="s">
        <v>498</v>
      </c>
      <c r="P51" s="656" t="s">
        <v>13052</v>
      </c>
      <c r="Q51" s="656">
        <v>44315.185983796298</v>
      </c>
    </row>
    <row r="52" spans="1:17">
      <c r="A52" s="656" t="s">
        <v>16175</v>
      </c>
      <c r="B52" s="657" t="s">
        <v>504</v>
      </c>
      <c r="C52" s="656" t="s">
        <v>16176</v>
      </c>
      <c r="D52" s="657" t="s">
        <v>13789</v>
      </c>
      <c r="E52" s="657" t="s">
        <v>7435</v>
      </c>
      <c r="F52" s="656"/>
      <c r="G52" s="656" t="s">
        <v>525</v>
      </c>
      <c r="H52" s="656"/>
      <c r="I52" s="656" t="s">
        <v>13051</v>
      </c>
      <c r="J52" s="656"/>
      <c r="K52" s="656"/>
      <c r="L52" s="656"/>
      <c r="M52" s="657"/>
      <c r="N52" s="1482">
        <v>274</v>
      </c>
      <c r="O52" s="656" t="s">
        <v>498</v>
      </c>
      <c r="P52" s="656" t="s">
        <v>13052</v>
      </c>
      <c r="Q52" s="656">
        <v>44315.185972222222</v>
      </c>
    </row>
    <row r="53" spans="1:17">
      <c r="A53" s="656" t="s">
        <v>16177</v>
      </c>
      <c r="B53" s="657" t="s">
        <v>504</v>
      </c>
      <c r="C53" s="656" t="s">
        <v>16178</v>
      </c>
      <c r="D53" s="657" t="s">
        <v>13789</v>
      </c>
      <c r="E53" s="657" t="s">
        <v>7435</v>
      </c>
      <c r="F53" s="656"/>
      <c r="G53" s="656" t="s">
        <v>506</v>
      </c>
      <c r="H53" s="656"/>
      <c r="I53" s="656" t="s">
        <v>13051</v>
      </c>
      <c r="J53" s="656"/>
      <c r="K53" s="656"/>
      <c r="L53" s="656"/>
      <c r="M53" s="657"/>
      <c r="N53" s="1482">
        <v>275</v>
      </c>
      <c r="O53" s="656" t="s">
        <v>498</v>
      </c>
      <c r="P53" s="656" t="s">
        <v>13052</v>
      </c>
      <c r="Q53" s="656">
        <v>44315.185972222222</v>
      </c>
    </row>
    <row r="54" spans="1:17">
      <c r="A54" s="656" t="s">
        <v>16188</v>
      </c>
      <c r="B54" s="657" t="s">
        <v>504</v>
      </c>
      <c r="C54" s="656" t="s">
        <v>16189</v>
      </c>
      <c r="D54" s="657" t="s">
        <v>14978</v>
      </c>
      <c r="E54" s="657" t="s">
        <v>7435</v>
      </c>
      <c r="F54" s="656"/>
      <c r="G54" s="656"/>
      <c r="H54" s="656"/>
      <c r="I54" s="656"/>
      <c r="J54" s="656"/>
      <c r="K54" s="656"/>
      <c r="L54" s="656" t="s">
        <v>16155</v>
      </c>
      <c r="M54" s="657"/>
      <c r="N54" s="1482">
        <v>279</v>
      </c>
      <c r="O54" s="656" t="s">
        <v>498</v>
      </c>
      <c r="P54" s="656" t="s">
        <v>13052</v>
      </c>
      <c r="Q54" s="656">
        <v>44316.4841087963</v>
      </c>
    </row>
    <row r="55" spans="1:17">
      <c r="A55" s="656" t="s">
        <v>16168</v>
      </c>
      <c r="B55" s="657" t="s">
        <v>504</v>
      </c>
      <c r="C55" s="656" t="s">
        <v>16169</v>
      </c>
      <c r="D55" s="657" t="s">
        <v>14978</v>
      </c>
      <c r="E55" s="657" t="s">
        <v>7435</v>
      </c>
      <c r="F55" s="656"/>
      <c r="G55" s="656"/>
      <c r="H55" s="656"/>
      <c r="I55" s="656"/>
      <c r="J55" s="656"/>
      <c r="K55" s="656"/>
      <c r="L55" s="656" t="s">
        <v>16155</v>
      </c>
      <c r="M55" s="657"/>
      <c r="N55" s="1482">
        <v>271</v>
      </c>
      <c r="O55" s="656" t="s">
        <v>498</v>
      </c>
      <c r="P55" s="656" t="s">
        <v>13052</v>
      </c>
      <c r="Q55" s="656">
        <v>44312.202152777776</v>
      </c>
    </row>
    <row r="56" spans="1:17">
      <c r="A56" s="656" t="s">
        <v>16170</v>
      </c>
      <c r="B56" s="657" t="s">
        <v>504</v>
      </c>
      <c r="C56" s="656" t="s">
        <v>16171</v>
      </c>
      <c r="D56" s="657" t="s">
        <v>14978</v>
      </c>
      <c r="E56" s="657" t="s">
        <v>7435</v>
      </c>
      <c r="F56" s="656"/>
      <c r="G56" s="656"/>
      <c r="H56" s="656"/>
      <c r="I56" s="656"/>
      <c r="J56" s="656"/>
      <c r="K56" s="656"/>
      <c r="L56" s="656" t="s">
        <v>16155</v>
      </c>
      <c r="M56" s="657"/>
      <c r="N56" s="1482">
        <v>270</v>
      </c>
      <c r="O56" s="656" t="s">
        <v>498</v>
      </c>
      <c r="P56" s="656" t="s">
        <v>13052</v>
      </c>
      <c r="Q56" s="656">
        <v>44312.202141203707</v>
      </c>
    </row>
    <row r="57" spans="1:17">
      <c r="A57" s="656" t="s">
        <v>16164</v>
      </c>
      <c r="B57" s="657" t="s">
        <v>504</v>
      </c>
      <c r="C57" s="656" t="s">
        <v>16165</v>
      </c>
      <c r="D57" s="657" t="s">
        <v>14978</v>
      </c>
      <c r="E57" s="657" t="s">
        <v>7435</v>
      </c>
      <c r="F57" s="656"/>
      <c r="G57" s="656"/>
      <c r="H57" s="656"/>
      <c r="I57" s="656"/>
      <c r="J57" s="656"/>
      <c r="K57" s="656"/>
      <c r="L57" s="656" t="s">
        <v>16155</v>
      </c>
      <c r="M57" s="657"/>
      <c r="N57" s="1482">
        <v>269</v>
      </c>
      <c r="O57" s="656" t="s">
        <v>498</v>
      </c>
      <c r="P57" s="656" t="s">
        <v>13052</v>
      </c>
      <c r="Q57" s="656">
        <v>44312.201701388891</v>
      </c>
    </row>
    <row r="58" spans="1:17">
      <c r="A58" s="656" t="s">
        <v>16166</v>
      </c>
      <c r="B58" s="657" t="s">
        <v>504</v>
      </c>
      <c r="C58" s="656" t="s">
        <v>16167</v>
      </c>
      <c r="D58" s="657" t="s">
        <v>14978</v>
      </c>
      <c r="E58" s="657" t="s">
        <v>7435</v>
      </c>
      <c r="F58" s="656"/>
      <c r="G58" s="656"/>
      <c r="H58" s="656"/>
      <c r="I58" s="656"/>
      <c r="J58" s="656"/>
      <c r="K58" s="656"/>
      <c r="L58" s="656" t="s">
        <v>16155</v>
      </c>
      <c r="M58" s="657"/>
      <c r="N58" s="1482">
        <v>268</v>
      </c>
      <c r="O58" s="656" t="s">
        <v>498</v>
      </c>
      <c r="P58" s="656" t="s">
        <v>13052</v>
      </c>
      <c r="Q58" s="656">
        <v>44312.201701388891</v>
      </c>
    </row>
    <row r="59" spans="1:17">
      <c r="A59" s="656" t="s">
        <v>16162</v>
      </c>
      <c r="B59" s="657" t="s">
        <v>504</v>
      </c>
      <c r="C59" s="656" t="s">
        <v>16163</v>
      </c>
      <c r="D59" s="657" t="s">
        <v>14978</v>
      </c>
      <c r="E59" s="657" t="s">
        <v>7435</v>
      </c>
      <c r="F59" s="656"/>
      <c r="G59" s="656"/>
      <c r="H59" s="656"/>
      <c r="I59" s="656"/>
      <c r="J59" s="656"/>
      <c r="K59" s="656"/>
      <c r="L59" s="656" t="s">
        <v>16155</v>
      </c>
      <c r="M59" s="657"/>
      <c r="N59" s="1482">
        <v>267</v>
      </c>
      <c r="O59" s="656" t="s">
        <v>498</v>
      </c>
      <c r="P59" s="656" t="s">
        <v>13052</v>
      </c>
      <c r="Q59" s="656">
        <v>44312.181921296295</v>
      </c>
    </row>
    <row r="60" spans="1:17">
      <c r="A60" s="656" t="s">
        <v>16160</v>
      </c>
      <c r="B60" s="657" t="s">
        <v>504</v>
      </c>
      <c r="C60" s="656" t="s">
        <v>16161</v>
      </c>
      <c r="D60" s="657" t="s">
        <v>14978</v>
      </c>
      <c r="E60" s="657" t="s">
        <v>7435</v>
      </c>
      <c r="F60" s="656"/>
      <c r="G60" s="656"/>
      <c r="H60" s="656"/>
      <c r="I60" s="656"/>
      <c r="J60" s="656"/>
      <c r="K60" s="656"/>
      <c r="L60" s="656" t="s">
        <v>16155</v>
      </c>
      <c r="M60" s="657"/>
      <c r="N60" s="1482">
        <v>266</v>
      </c>
      <c r="O60" s="656" t="s">
        <v>498</v>
      </c>
      <c r="P60" s="656" t="s">
        <v>13052</v>
      </c>
      <c r="Q60" s="656">
        <v>44312.181458333333</v>
      </c>
    </row>
    <row r="61" spans="1:17">
      <c r="A61" s="656" t="s">
        <v>16156</v>
      </c>
      <c r="B61" s="657" t="s">
        <v>504</v>
      </c>
      <c r="C61" s="656" t="s">
        <v>16157</v>
      </c>
      <c r="D61" s="657" t="s">
        <v>14978</v>
      </c>
      <c r="E61" s="657" t="s">
        <v>7435</v>
      </c>
      <c r="F61" s="656"/>
      <c r="G61" s="656"/>
      <c r="H61" s="656"/>
      <c r="I61" s="656"/>
      <c r="J61" s="656"/>
      <c r="K61" s="656"/>
      <c r="L61" s="656" t="s">
        <v>16155</v>
      </c>
      <c r="M61" s="657"/>
      <c r="N61" s="1482">
        <v>265</v>
      </c>
      <c r="O61" s="656" t="s">
        <v>498</v>
      </c>
      <c r="P61" s="656" t="s">
        <v>13052</v>
      </c>
      <c r="Q61" s="656">
        <v>44312.181377314817</v>
      </c>
    </row>
    <row r="62" spans="1:17">
      <c r="A62" s="656" t="s">
        <v>16158</v>
      </c>
      <c r="B62" s="657" t="s">
        <v>504</v>
      </c>
      <c r="C62" s="656" t="s">
        <v>16159</v>
      </c>
      <c r="D62" s="657" t="s">
        <v>14978</v>
      </c>
      <c r="E62" s="657" t="s">
        <v>7435</v>
      </c>
      <c r="F62" s="656"/>
      <c r="G62" s="656"/>
      <c r="H62" s="656"/>
      <c r="I62" s="656"/>
      <c r="J62" s="656"/>
      <c r="K62" s="656"/>
      <c r="L62" s="656" t="s">
        <v>16155</v>
      </c>
      <c r="M62" s="657"/>
      <c r="N62" s="1482">
        <v>264</v>
      </c>
      <c r="O62" s="656" t="s">
        <v>498</v>
      </c>
      <c r="P62" s="656" t="s">
        <v>13052</v>
      </c>
      <c r="Q62" s="656">
        <v>44312.181377314817</v>
      </c>
    </row>
    <row r="63" spans="1:17">
      <c r="A63" s="656" t="s">
        <v>16155</v>
      </c>
      <c r="B63" s="657" t="s">
        <v>504</v>
      </c>
      <c r="C63" s="656" t="s">
        <v>15756</v>
      </c>
      <c r="D63" s="657" t="s">
        <v>14977</v>
      </c>
      <c r="E63" s="657" t="s">
        <v>7435</v>
      </c>
      <c r="F63" s="656" t="s">
        <v>497</v>
      </c>
      <c r="G63" s="656"/>
      <c r="H63" s="656" t="s">
        <v>497</v>
      </c>
      <c r="I63" s="656"/>
      <c r="J63" s="656"/>
      <c r="K63" s="656"/>
      <c r="L63" s="656"/>
      <c r="M63" s="657"/>
      <c r="N63" s="1482">
        <v>263</v>
      </c>
      <c r="O63" s="656" t="s">
        <v>498</v>
      </c>
      <c r="P63" s="656" t="s">
        <v>13052</v>
      </c>
      <c r="Q63" s="656">
        <v>44312.162708333337</v>
      </c>
    </row>
    <row r="64" spans="1:17">
      <c r="A64" s="656" t="s">
        <v>16153</v>
      </c>
      <c r="B64" s="657" t="s">
        <v>202</v>
      </c>
      <c r="C64" s="656" t="s">
        <v>16154</v>
      </c>
      <c r="D64" s="657" t="s">
        <v>13789</v>
      </c>
      <c r="E64" s="657" t="s">
        <v>7435</v>
      </c>
      <c r="F64" s="656" t="s">
        <v>537</v>
      </c>
      <c r="G64" s="656" t="s">
        <v>4161</v>
      </c>
      <c r="H64" s="656" t="s">
        <v>537</v>
      </c>
      <c r="I64" s="656" t="s">
        <v>13051</v>
      </c>
      <c r="J64" s="656" t="s">
        <v>8664</v>
      </c>
      <c r="K64" s="656"/>
      <c r="L64" s="656"/>
      <c r="M64" s="657"/>
      <c r="N64" s="1482"/>
      <c r="O64" s="656" t="s">
        <v>498</v>
      </c>
      <c r="P64" s="656" t="s">
        <v>13052</v>
      </c>
      <c r="Q64" s="656">
        <v>44309.690949074073</v>
      </c>
    </row>
    <row r="65" spans="1:17">
      <c r="A65" s="656" t="s">
        <v>16151</v>
      </c>
      <c r="B65" s="657" t="s">
        <v>504</v>
      </c>
      <c r="C65" s="656" t="s">
        <v>16152</v>
      </c>
      <c r="D65" s="657" t="s">
        <v>13789</v>
      </c>
      <c r="E65" s="657" t="s">
        <v>7435</v>
      </c>
      <c r="F65" s="656"/>
      <c r="G65" s="656" t="s">
        <v>525</v>
      </c>
      <c r="H65" s="656"/>
      <c r="I65" s="656" t="s">
        <v>13051</v>
      </c>
      <c r="J65" s="656"/>
      <c r="K65" s="656"/>
      <c r="L65" s="656"/>
      <c r="M65" s="657"/>
      <c r="N65" s="1482">
        <v>262</v>
      </c>
      <c r="O65" s="656" t="s">
        <v>498</v>
      </c>
      <c r="P65" s="656" t="s">
        <v>13052</v>
      </c>
      <c r="Q65" s="656">
        <v>44309.43204861111</v>
      </c>
    </row>
    <row r="66" spans="1:17">
      <c r="A66" s="656" t="s">
        <v>16149</v>
      </c>
      <c r="B66" s="657" t="s">
        <v>504</v>
      </c>
      <c r="C66" s="656" t="s">
        <v>16150</v>
      </c>
      <c r="D66" s="657" t="s">
        <v>14977</v>
      </c>
      <c r="E66" s="657" t="s">
        <v>7435</v>
      </c>
      <c r="F66" s="656"/>
      <c r="G66" s="656" t="s">
        <v>525</v>
      </c>
      <c r="H66" s="656"/>
      <c r="I66" s="656" t="s">
        <v>13051</v>
      </c>
      <c r="J66" s="656"/>
      <c r="K66" s="656"/>
      <c r="L66" s="656"/>
      <c r="M66" s="657"/>
      <c r="N66" s="1482">
        <v>260</v>
      </c>
      <c r="O66" s="656" t="s">
        <v>498</v>
      </c>
      <c r="P66" s="656" t="s">
        <v>13052</v>
      </c>
      <c r="Q66" s="656">
        <v>44309.277233796296</v>
      </c>
    </row>
    <row r="67" spans="1:17">
      <c r="A67" s="656" t="s">
        <v>16145</v>
      </c>
      <c r="B67" s="657" t="s">
        <v>504</v>
      </c>
      <c r="C67" s="656" t="s">
        <v>16146</v>
      </c>
      <c r="D67" s="657" t="s">
        <v>13789</v>
      </c>
      <c r="E67" s="657" t="s">
        <v>7435</v>
      </c>
      <c r="F67" s="656"/>
      <c r="G67" s="656" t="s">
        <v>525</v>
      </c>
      <c r="H67" s="656"/>
      <c r="I67" s="656" t="s">
        <v>13051</v>
      </c>
      <c r="J67" s="656"/>
      <c r="K67" s="656"/>
      <c r="L67" s="656"/>
      <c r="M67" s="657"/>
      <c r="N67" s="1482">
        <v>258</v>
      </c>
      <c r="O67" s="656" t="s">
        <v>498</v>
      </c>
      <c r="P67" s="656" t="s">
        <v>13052</v>
      </c>
      <c r="Q67" s="656">
        <v>44308.357858796298</v>
      </c>
    </row>
    <row r="68" spans="1:17">
      <c r="A68" s="656" t="s">
        <v>16143</v>
      </c>
      <c r="B68" s="657" t="s">
        <v>504</v>
      </c>
      <c r="C68" s="656" t="s">
        <v>16144</v>
      </c>
      <c r="D68" s="657" t="s">
        <v>13789</v>
      </c>
      <c r="E68" s="657" t="s">
        <v>7435</v>
      </c>
      <c r="F68" s="656"/>
      <c r="G68" s="656" t="s">
        <v>522</v>
      </c>
      <c r="H68" s="656"/>
      <c r="I68" s="656"/>
      <c r="J68" s="656"/>
      <c r="K68" s="656"/>
      <c r="L68" s="656"/>
      <c r="M68" s="657"/>
      <c r="N68" s="1482">
        <v>257</v>
      </c>
      <c r="O68" s="656" t="s">
        <v>498</v>
      </c>
      <c r="P68" s="656" t="s">
        <v>13052</v>
      </c>
      <c r="Q68" s="656">
        <v>44307.337395833332</v>
      </c>
    </row>
    <row r="69" spans="1:17">
      <c r="A69" s="656" t="s">
        <v>16141</v>
      </c>
      <c r="B69" s="657" t="s">
        <v>504</v>
      </c>
      <c r="C69" s="656" t="s">
        <v>16142</v>
      </c>
      <c r="D69" s="657" t="s">
        <v>13789</v>
      </c>
      <c r="E69" s="657" t="s">
        <v>7435</v>
      </c>
      <c r="F69" s="656"/>
      <c r="G69" s="656" t="s">
        <v>506</v>
      </c>
      <c r="H69" s="656"/>
      <c r="I69" s="656" t="s">
        <v>13051</v>
      </c>
      <c r="J69" s="656"/>
      <c r="K69" s="656"/>
      <c r="L69" s="656"/>
      <c r="M69" s="657"/>
      <c r="N69" s="1482">
        <v>255</v>
      </c>
      <c r="O69" s="656" t="s">
        <v>498</v>
      </c>
      <c r="P69" s="656" t="s">
        <v>13052</v>
      </c>
      <c r="Q69" s="656">
        <v>44307.337395833332</v>
      </c>
    </row>
    <row r="70" spans="1:17">
      <c r="A70" s="656" t="s">
        <v>16139</v>
      </c>
      <c r="B70" s="657" t="s">
        <v>202</v>
      </c>
      <c r="C70" s="656" t="s">
        <v>16140</v>
      </c>
      <c r="D70" s="657" t="s">
        <v>13789</v>
      </c>
      <c r="E70" s="657" t="s">
        <v>7435</v>
      </c>
      <c r="F70" s="656" t="s">
        <v>537</v>
      </c>
      <c r="G70" s="656"/>
      <c r="H70" s="656" t="s">
        <v>537</v>
      </c>
      <c r="I70" s="656"/>
      <c r="J70" s="656" t="s">
        <v>8664</v>
      </c>
      <c r="K70" s="656"/>
      <c r="L70" s="656"/>
      <c r="M70" s="657" t="s">
        <v>15517</v>
      </c>
      <c r="N70" s="1482">
        <v>256</v>
      </c>
      <c r="O70" s="656" t="s">
        <v>498</v>
      </c>
      <c r="P70" s="656" t="s">
        <v>13052</v>
      </c>
      <c r="Q70" s="656">
        <v>44306.60019675926</v>
      </c>
    </row>
    <row r="71" spans="1:17">
      <c r="A71" s="656" t="s">
        <v>16136</v>
      </c>
      <c r="B71" s="657" t="s">
        <v>202</v>
      </c>
      <c r="C71" s="656" t="s">
        <v>16137</v>
      </c>
      <c r="D71" s="657" t="s">
        <v>14978</v>
      </c>
      <c r="E71" s="657" t="s">
        <v>7435</v>
      </c>
      <c r="F71" s="656" t="s">
        <v>497</v>
      </c>
      <c r="G71" s="656"/>
      <c r="H71" s="656" t="s">
        <v>497</v>
      </c>
      <c r="I71" s="656"/>
      <c r="J71" s="656" t="s">
        <v>463</v>
      </c>
      <c r="K71" s="656"/>
      <c r="L71" s="656" t="s">
        <v>9152</v>
      </c>
      <c r="M71" s="657" t="s">
        <v>15517</v>
      </c>
      <c r="N71" s="1482">
        <v>254</v>
      </c>
      <c r="O71" s="656" t="s">
        <v>498</v>
      </c>
      <c r="P71" s="656" t="s">
        <v>13052</v>
      </c>
      <c r="Q71" s="656">
        <v>44302.517430555556</v>
      </c>
    </row>
    <row r="72" spans="1:17">
      <c r="A72" s="656" t="s">
        <v>16138</v>
      </c>
      <c r="B72" s="657" t="s">
        <v>504</v>
      </c>
      <c r="C72" s="656" t="s">
        <v>16137</v>
      </c>
      <c r="D72" s="657" t="s">
        <v>14978</v>
      </c>
      <c r="E72" s="657" t="s">
        <v>7435</v>
      </c>
      <c r="F72" s="656" t="s">
        <v>497</v>
      </c>
      <c r="G72" s="656"/>
      <c r="H72" s="656" t="s">
        <v>497</v>
      </c>
      <c r="I72" s="656"/>
      <c r="J72" s="656" t="s">
        <v>463</v>
      </c>
      <c r="K72" s="656"/>
      <c r="L72" s="656" t="s">
        <v>9152</v>
      </c>
      <c r="M72" s="657" t="s">
        <v>15517</v>
      </c>
      <c r="N72" s="1482">
        <v>254</v>
      </c>
      <c r="O72" s="656" t="s">
        <v>498</v>
      </c>
      <c r="P72" s="656" t="s">
        <v>13052</v>
      </c>
      <c r="Q72" s="656">
        <v>44302.517430555556</v>
      </c>
    </row>
    <row r="73" spans="1:17">
      <c r="A73" s="656" t="s">
        <v>16133</v>
      </c>
      <c r="B73" s="657" t="s">
        <v>202</v>
      </c>
      <c r="C73" s="656" t="s">
        <v>16134</v>
      </c>
      <c r="D73" s="657" t="s">
        <v>14977</v>
      </c>
      <c r="E73" s="657" t="s">
        <v>7435</v>
      </c>
      <c r="F73" s="656" t="s">
        <v>497</v>
      </c>
      <c r="G73" s="656"/>
      <c r="H73" s="656" t="s">
        <v>497</v>
      </c>
      <c r="I73" s="656"/>
      <c r="J73" s="656" t="s">
        <v>463</v>
      </c>
      <c r="K73" s="656"/>
      <c r="L73" s="656"/>
      <c r="M73" s="657"/>
      <c r="N73" s="1482">
        <v>253</v>
      </c>
      <c r="O73" s="656" t="s">
        <v>498</v>
      </c>
      <c r="P73" s="656" t="s">
        <v>13052</v>
      </c>
      <c r="Q73" s="656">
        <v>44302.51699074074</v>
      </c>
    </row>
    <row r="74" spans="1:17">
      <c r="A74" s="656" t="s">
        <v>16135</v>
      </c>
      <c r="B74" s="657" t="s">
        <v>504</v>
      </c>
      <c r="C74" s="656" t="s">
        <v>16134</v>
      </c>
      <c r="D74" s="657" t="s">
        <v>14977</v>
      </c>
      <c r="E74" s="657" t="s">
        <v>7435</v>
      </c>
      <c r="F74" s="656" t="s">
        <v>497</v>
      </c>
      <c r="G74" s="656"/>
      <c r="H74" s="656" t="s">
        <v>497</v>
      </c>
      <c r="I74" s="656"/>
      <c r="J74" s="656" t="s">
        <v>463</v>
      </c>
      <c r="K74" s="656"/>
      <c r="L74" s="656"/>
      <c r="M74" s="657"/>
      <c r="N74" s="1482">
        <v>253</v>
      </c>
      <c r="O74" s="656" t="s">
        <v>498</v>
      </c>
      <c r="P74" s="656" t="s">
        <v>13052</v>
      </c>
      <c r="Q74" s="656">
        <v>44302.517002314817</v>
      </c>
    </row>
    <row r="75" spans="1:17">
      <c r="A75" s="656" t="s">
        <v>16107</v>
      </c>
      <c r="B75" s="657" t="s">
        <v>504</v>
      </c>
      <c r="C75" s="656" t="s">
        <v>16108</v>
      </c>
      <c r="D75" s="657" t="s">
        <v>13789</v>
      </c>
      <c r="E75" s="657" t="s">
        <v>7435</v>
      </c>
      <c r="F75" s="656"/>
      <c r="G75" s="656" t="s">
        <v>506</v>
      </c>
      <c r="H75" s="656"/>
      <c r="I75" s="656" t="s">
        <v>13051</v>
      </c>
      <c r="J75" s="656"/>
      <c r="K75" s="656"/>
      <c r="L75" s="656"/>
      <c r="M75" s="657"/>
      <c r="N75" s="1482">
        <v>252</v>
      </c>
      <c r="O75" s="656" t="s">
        <v>498</v>
      </c>
      <c r="P75" s="656" t="s">
        <v>13052</v>
      </c>
      <c r="Q75" s="656">
        <v>44301.348124999997</v>
      </c>
    </row>
    <row r="76" spans="1:17">
      <c r="A76" s="656" t="s">
        <v>16111</v>
      </c>
      <c r="B76" s="657" t="s">
        <v>504</v>
      </c>
      <c r="C76" s="656" t="s">
        <v>16112</v>
      </c>
      <c r="D76" s="657" t="s">
        <v>13789</v>
      </c>
      <c r="E76" s="657" t="s">
        <v>7435</v>
      </c>
      <c r="F76" s="656"/>
      <c r="G76" s="656" t="s">
        <v>506</v>
      </c>
      <c r="H76" s="656"/>
      <c r="I76" s="656" t="s">
        <v>13051</v>
      </c>
      <c r="J76" s="656"/>
      <c r="K76" s="656"/>
      <c r="L76" s="656"/>
      <c r="M76" s="657"/>
      <c r="N76" s="1482">
        <v>251</v>
      </c>
      <c r="O76" s="656" t="s">
        <v>498</v>
      </c>
      <c r="P76" s="656" t="s">
        <v>13052</v>
      </c>
      <c r="Q76" s="656">
        <v>44301.348136574074</v>
      </c>
    </row>
    <row r="77" spans="1:17">
      <c r="A77" s="656" t="s">
        <v>16109</v>
      </c>
      <c r="B77" s="657" t="s">
        <v>504</v>
      </c>
      <c r="C77" s="656" t="s">
        <v>16110</v>
      </c>
      <c r="D77" s="657" t="s">
        <v>14977</v>
      </c>
      <c r="E77" s="657" t="s">
        <v>7435</v>
      </c>
      <c r="F77" s="656"/>
      <c r="G77" s="656" t="s">
        <v>660</v>
      </c>
      <c r="H77" s="656"/>
      <c r="I77" s="656" t="s">
        <v>13051</v>
      </c>
      <c r="J77" s="656"/>
      <c r="K77" s="656"/>
      <c r="L77" s="656"/>
      <c r="M77" s="657"/>
      <c r="N77" s="1482">
        <v>250</v>
      </c>
      <c r="O77" s="656" t="s">
        <v>498</v>
      </c>
      <c r="P77" s="656" t="s">
        <v>13052</v>
      </c>
      <c r="Q77" s="656">
        <v>44301.348136574074</v>
      </c>
    </row>
    <row r="78" spans="1:17">
      <c r="A78" s="656" t="s">
        <v>16105</v>
      </c>
      <c r="B78" s="657" t="s">
        <v>504</v>
      </c>
      <c r="C78" s="656" t="s">
        <v>16106</v>
      </c>
      <c r="D78" s="657" t="s">
        <v>13789</v>
      </c>
      <c r="E78" s="657" t="s">
        <v>7435</v>
      </c>
      <c r="F78" s="656"/>
      <c r="G78" s="656" t="s">
        <v>2540</v>
      </c>
      <c r="H78" s="656"/>
      <c r="I78" s="656" t="s">
        <v>13334</v>
      </c>
      <c r="J78" s="656"/>
      <c r="K78" s="656"/>
      <c r="L78" s="656"/>
      <c r="M78" s="657"/>
      <c r="N78" s="1482">
        <v>249</v>
      </c>
      <c r="O78" s="656" t="s">
        <v>498</v>
      </c>
      <c r="P78" s="656" t="s">
        <v>13052</v>
      </c>
      <c r="Q78" s="656">
        <v>44301.166689814818</v>
      </c>
    </row>
    <row r="79" spans="1:17">
      <c r="A79" s="656" t="s">
        <v>16103</v>
      </c>
      <c r="B79" s="657" t="s">
        <v>202</v>
      </c>
      <c r="C79" s="656" t="s">
        <v>16104</v>
      </c>
      <c r="D79" s="657" t="s">
        <v>13789</v>
      </c>
      <c r="E79" s="657" t="s">
        <v>7435</v>
      </c>
      <c r="F79" s="656" t="s">
        <v>462</v>
      </c>
      <c r="G79" s="656"/>
      <c r="H79" s="656" t="s">
        <v>462</v>
      </c>
      <c r="I79" s="656"/>
      <c r="J79" s="656" t="s">
        <v>463</v>
      </c>
      <c r="K79" s="656"/>
      <c r="L79" s="656"/>
      <c r="M79" s="657" t="s">
        <v>15517</v>
      </c>
      <c r="N79" s="1482">
        <v>248</v>
      </c>
      <c r="O79" s="656" t="s">
        <v>498</v>
      </c>
      <c r="P79" s="656" t="s">
        <v>13052</v>
      </c>
      <c r="Q79" s="656">
        <v>44299.614965277775</v>
      </c>
    </row>
    <row r="80" spans="1:17">
      <c r="A80" s="656" t="s">
        <v>16101</v>
      </c>
      <c r="B80" s="657" t="s">
        <v>202</v>
      </c>
      <c r="C80" s="656" t="s">
        <v>16102</v>
      </c>
      <c r="D80" s="657" t="s">
        <v>14978</v>
      </c>
      <c r="E80" s="657" t="s">
        <v>7435</v>
      </c>
      <c r="F80" s="656" t="s">
        <v>3077</v>
      </c>
      <c r="G80" s="656"/>
      <c r="H80" s="656" t="s">
        <v>3077</v>
      </c>
      <c r="I80" s="656"/>
      <c r="J80" s="656" t="s">
        <v>446</v>
      </c>
      <c r="K80" s="656"/>
      <c r="L80" s="656" t="s">
        <v>16099</v>
      </c>
      <c r="M80" s="657" t="s">
        <v>3796</v>
      </c>
      <c r="N80" s="1482">
        <v>247</v>
      </c>
      <c r="O80" s="656" t="s">
        <v>498</v>
      </c>
      <c r="P80" s="656" t="s">
        <v>13052</v>
      </c>
      <c r="Q80" s="656">
        <v>44299.553101851852</v>
      </c>
    </row>
    <row r="81" spans="1:17">
      <c r="A81" s="656" t="s">
        <v>16099</v>
      </c>
      <c r="B81" s="657" t="s">
        <v>202</v>
      </c>
      <c r="C81" s="656" t="s">
        <v>16100</v>
      </c>
      <c r="D81" s="657" t="s">
        <v>14977</v>
      </c>
      <c r="E81" s="657" t="s">
        <v>7435</v>
      </c>
      <c r="F81" s="656" t="s">
        <v>3077</v>
      </c>
      <c r="G81" s="656"/>
      <c r="H81" s="656" t="s">
        <v>3077</v>
      </c>
      <c r="I81" s="656"/>
      <c r="J81" s="656" t="s">
        <v>446</v>
      </c>
      <c r="K81" s="656"/>
      <c r="L81" s="656"/>
      <c r="M81" s="657" t="s">
        <v>3796</v>
      </c>
      <c r="N81" s="1482">
        <v>246</v>
      </c>
      <c r="O81" s="656" t="s">
        <v>498</v>
      </c>
      <c r="P81" s="656" t="s">
        <v>13052</v>
      </c>
      <c r="Q81" s="656">
        <v>44298.753680555557</v>
      </c>
    </row>
    <row r="82" spans="1:17">
      <c r="A82" s="656" t="s">
        <v>16097</v>
      </c>
      <c r="B82" s="657" t="s">
        <v>504</v>
      </c>
      <c r="C82" s="656" t="s">
        <v>16098</v>
      </c>
      <c r="D82" s="657" t="s">
        <v>13789</v>
      </c>
      <c r="E82" s="657" t="s">
        <v>7435</v>
      </c>
      <c r="F82" s="656"/>
      <c r="G82" s="656" t="s">
        <v>506</v>
      </c>
      <c r="H82" s="656"/>
      <c r="I82" s="656" t="s">
        <v>13051</v>
      </c>
      <c r="J82" s="656"/>
      <c r="K82" s="656"/>
      <c r="L82" s="656"/>
      <c r="M82" s="657"/>
      <c r="N82" s="1482">
        <v>244</v>
      </c>
      <c r="O82" s="656" t="s">
        <v>498</v>
      </c>
      <c r="P82" s="656" t="s">
        <v>13052</v>
      </c>
      <c r="Q82" s="656">
        <v>44298.340682870374</v>
      </c>
    </row>
    <row r="83" spans="1:17">
      <c r="A83" s="656" t="s">
        <v>16095</v>
      </c>
      <c r="B83" s="657" t="s">
        <v>504</v>
      </c>
      <c r="C83" s="656" t="s">
        <v>16096</v>
      </c>
      <c r="D83" s="657" t="s">
        <v>14977</v>
      </c>
      <c r="E83" s="657" t="s">
        <v>7435</v>
      </c>
      <c r="F83" s="656"/>
      <c r="G83" s="656" t="s">
        <v>660</v>
      </c>
      <c r="H83" s="656"/>
      <c r="I83" s="656" t="s">
        <v>13051</v>
      </c>
      <c r="J83" s="656"/>
      <c r="K83" s="656"/>
      <c r="L83" s="656"/>
      <c r="M83" s="657"/>
      <c r="N83" s="1482">
        <v>245</v>
      </c>
      <c r="O83" s="656" t="s">
        <v>498</v>
      </c>
      <c r="P83" s="656" t="s">
        <v>13052</v>
      </c>
      <c r="Q83" s="656">
        <v>44298.340682870374</v>
      </c>
    </row>
    <row r="84" spans="1:17">
      <c r="A84" s="656" t="s">
        <v>16093</v>
      </c>
      <c r="B84" s="657" t="s">
        <v>504</v>
      </c>
      <c r="C84" s="656" t="s">
        <v>16094</v>
      </c>
      <c r="D84" s="657" t="s">
        <v>13789</v>
      </c>
      <c r="E84" s="657" t="s">
        <v>7435</v>
      </c>
      <c r="F84" s="656"/>
      <c r="G84" s="656" t="s">
        <v>525</v>
      </c>
      <c r="H84" s="656"/>
      <c r="I84" s="656" t="s">
        <v>13334</v>
      </c>
      <c r="J84" s="656"/>
      <c r="K84" s="656"/>
      <c r="L84" s="656"/>
      <c r="M84" s="657"/>
      <c r="N84" s="1482">
        <v>240</v>
      </c>
      <c r="O84" s="656" t="s">
        <v>498</v>
      </c>
      <c r="P84" s="656" t="s">
        <v>13052</v>
      </c>
      <c r="Q84" s="656">
        <v>44298.162581018521</v>
      </c>
    </row>
    <row r="85" spans="1:17">
      <c r="A85" s="656" t="s">
        <v>16091</v>
      </c>
      <c r="B85" s="657" t="s">
        <v>202</v>
      </c>
      <c r="C85" s="656" t="s">
        <v>16092</v>
      </c>
      <c r="D85" s="657" t="s">
        <v>13789</v>
      </c>
      <c r="E85" s="657" t="s">
        <v>7435</v>
      </c>
      <c r="F85" s="656" t="s">
        <v>537</v>
      </c>
      <c r="G85" s="656"/>
      <c r="H85" s="656" t="s">
        <v>537</v>
      </c>
      <c r="I85" s="656"/>
      <c r="J85" s="656" t="s">
        <v>8664</v>
      </c>
      <c r="K85" s="656"/>
      <c r="L85" s="656"/>
      <c r="M85" s="657" t="s">
        <v>15517</v>
      </c>
      <c r="N85" s="1482">
        <v>243</v>
      </c>
      <c r="O85" s="656" t="s">
        <v>498</v>
      </c>
      <c r="P85" s="656" t="s">
        <v>13052</v>
      </c>
      <c r="Q85" s="656">
        <v>44295.597719907404</v>
      </c>
    </row>
    <row r="86" spans="1:17">
      <c r="A86" s="656" t="s">
        <v>16089</v>
      </c>
      <c r="B86" s="657" t="s">
        <v>202</v>
      </c>
      <c r="C86" s="656" t="s">
        <v>16090</v>
      </c>
      <c r="D86" s="657" t="s">
        <v>13789</v>
      </c>
      <c r="E86" s="657" t="s">
        <v>7435</v>
      </c>
      <c r="F86" s="656" t="s">
        <v>4052</v>
      </c>
      <c r="G86" s="656"/>
      <c r="H86" s="656" t="s">
        <v>4052</v>
      </c>
      <c r="I86" s="656"/>
      <c r="J86" s="656" t="s">
        <v>451</v>
      </c>
      <c r="K86" s="656"/>
      <c r="L86" s="656"/>
      <c r="M86" s="657" t="s">
        <v>15517</v>
      </c>
      <c r="N86" s="1482">
        <v>242</v>
      </c>
      <c r="O86" s="656" t="s">
        <v>498</v>
      </c>
      <c r="P86" s="656" t="s">
        <v>13052</v>
      </c>
      <c r="Q86" s="656">
        <v>44295.436527777776</v>
      </c>
    </row>
    <row r="87" spans="1:17">
      <c r="A87" s="656" t="s">
        <v>16087</v>
      </c>
      <c r="B87" s="657" t="s">
        <v>202</v>
      </c>
      <c r="C87" s="656" t="s">
        <v>16088</v>
      </c>
      <c r="D87" s="657" t="s">
        <v>13789</v>
      </c>
      <c r="E87" s="657" t="s">
        <v>7435</v>
      </c>
      <c r="F87" s="656" t="s">
        <v>537</v>
      </c>
      <c r="G87" s="656"/>
      <c r="H87" s="656" t="s">
        <v>537</v>
      </c>
      <c r="I87" s="656"/>
      <c r="J87" s="656" t="s">
        <v>8664</v>
      </c>
      <c r="K87" s="656"/>
      <c r="L87" s="656"/>
      <c r="M87" s="657" t="s">
        <v>15517</v>
      </c>
      <c r="N87" s="1482">
        <v>241</v>
      </c>
      <c r="O87" s="656" t="s">
        <v>498</v>
      </c>
      <c r="P87" s="656" t="s">
        <v>13052</v>
      </c>
      <c r="Q87" s="656">
        <v>44294.564247685186</v>
      </c>
    </row>
    <row r="88" spans="1:17">
      <c r="A88" s="656" t="s">
        <v>16084</v>
      </c>
      <c r="B88" s="657" t="s">
        <v>202</v>
      </c>
      <c r="C88" s="656" t="s">
        <v>16085</v>
      </c>
      <c r="D88" s="657" t="s">
        <v>14977</v>
      </c>
      <c r="E88" s="657" t="s">
        <v>7435</v>
      </c>
      <c r="F88" s="656" t="s">
        <v>2849</v>
      </c>
      <c r="G88" s="656"/>
      <c r="H88" s="656" t="s">
        <v>2849</v>
      </c>
      <c r="I88" s="656"/>
      <c r="J88" s="656" t="s">
        <v>12822</v>
      </c>
      <c r="K88" s="656"/>
      <c r="L88" s="656"/>
      <c r="M88" s="657" t="s">
        <v>15517</v>
      </c>
      <c r="N88" s="1482">
        <v>239</v>
      </c>
      <c r="O88" s="656" t="s">
        <v>498</v>
      </c>
      <c r="P88" s="656" t="s">
        <v>13052</v>
      </c>
      <c r="Q88" s="656">
        <v>44293.561793981484</v>
      </c>
    </row>
    <row r="89" spans="1:17">
      <c r="A89" s="656" t="s">
        <v>16086</v>
      </c>
      <c r="B89" s="657" t="s">
        <v>504</v>
      </c>
      <c r="C89" s="656" t="s">
        <v>16085</v>
      </c>
      <c r="D89" s="657" t="s">
        <v>14977</v>
      </c>
      <c r="E89" s="657" t="s">
        <v>7435</v>
      </c>
      <c r="F89" s="656" t="s">
        <v>2849</v>
      </c>
      <c r="G89" s="656"/>
      <c r="H89" s="656" t="s">
        <v>2849</v>
      </c>
      <c r="I89" s="656"/>
      <c r="J89" s="656" t="s">
        <v>12822</v>
      </c>
      <c r="K89" s="656"/>
      <c r="L89" s="656"/>
      <c r="M89" s="657" t="s">
        <v>15517</v>
      </c>
      <c r="N89" s="1482">
        <v>239</v>
      </c>
      <c r="O89" s="656" t="s">
        <v>498</v>
      </c>
      <c r="P89" s="656" t="s">
        <v>13052</v>
      </c>
      <c r="Q89" s="656">
        <v>44293.561793981484</v>
      </c>
    </row>
    <row r="90" spans="1:17">
      <c r="A90" s="656" t="s">
        <v>16081</v>
      </c>
      <c r="B90" s="657" t="s">
        <v>202</v>
      </c>
      <c r="C90" s="656" t="s">
        <v>16082</v>
      </c>
      <c r="D90" s="657" t="s">
        <v>13789</v>
      </c>
      <c r="E90" s="657" t="s">
        <v>7435</v>
      </c>
      <c r="F90" s="656" t="s">
        <v>2849</v>
      </c>
      <c r="G90" s="656"/>
      <c r="H90" s="656" t="s">
        <v>2849</v>
      </c>
      <c r="I90" s="656"/>
      <c r="J90" s="656" t="s">
        <v>12822</v>
      </c>
      <c r="K90" s="656"/>
      <c r="L90" s="656"/>
      <c r="M90" s="657" t="s">
        <v>15517</v>
      </c>
      <c r="N90" s="1482">
        <v>238</v>
      </c>
      <c r="O90" s="656" t="s">
        <v>498</v>
      </c>
      <c r="P90" s="656" t="s">
        <v>13052</v>
      </c>
      <c r="Q90" s="656">
        <v>44293.560717592591</v>
      </c>
    </row>
    <row r="91" spans="1:17">
      <c r="A91" s="656" t="s">
        <v>16083</v>
      </c>
      <c r="B91" s="657" t="s">
        <v>504</v>
      </c>
      <c r="C91" s="656" t="s">
        <v>16082</v>
      </c>
      <c r="D91" s="657" t="s">
        <v>13789</v>
      </c>
      <c r="E91" s="657" t="s">
        <v>7435</v>
      </c>
      <c r="F91" s="656" t="s">
        <v>2849</v>
      </c>
      <c r="G91" s="656"/>
      <c r="H91" s="656" t="s">
        <v>2849</v>
      </c>
      <c r="I91" s="656"/>
      <c r="J91" s="656" t="s">
        <v>12822</v>
      </c>
      <c r="K91" s="656"/>
      <c r="L91" s="656"/>
      <c r="M91" s="657" t="s">
        <v>15517</v>
      </c>
      <c r="N91" s="1482">
        <v>238</v>
      </c>
      <c r="O91" s="656" t="s">
        <v>498</v>
      </c>
      <c r="P91" s="656" t="s">
        <v>13052</v>
      </c>
      <c r="Q91" s="656">
        <v>44293.560729166667</v>
      </c>
    </row>
    <row r="92" spans="1:17">
      <c r="A92" s="656" t="s">
        <v>16079</v>
      </c>
      <c r="B92" s="657" t="s">
        <v>504</v>
      </c>
      <c r="C92" s="656" t="s">
        <v>16080</v>
      </c>
      <c r="D92" s="657" t="s">
        <v>13789</v>
      </c>
      <c r="E92" s="657" t="s">
        <v>7435</v>
      </c>
      <c r="F92" s="656"/>
      <c r="G92" s="656" t="s">
        <v>525</v>
      </c>
      <c r="H92" s="656"/>
      <c r="I92" s="656" t="s">
        <v>13334</v>
      </c>
      <c r="J92" s="656"/>
      <c r="K92" s="656"/>
      <c r="L92" s="656"/>
      <c r="M92" s="657"/>
      <c r="N92" s="1482">
        <v>236</v>
      </c>
      <c r="O92" s="656" t="s">
        <v>498</v>
      </c>
      <c r="P92" s="656" t="s">
        <v>13052</v>
      </c>
      <c r="Q92" s="656">
        <v>44292.238599537035</v>
      </c>
    </row>
    <row r="93" spans="1:17">
      <c r="A93" s="656" t="s">
        <v>16077</v>
      </c>
      <c r="B93" s="657" t="s">
        <v>202</v>
      </c>
      <c r="C93" s="656" t="s">
        <v>16078</v>
      </c>
      <c r="D93" s="657" t="s">
        <v>13789</v>
      </c>
      <c r="E93" s="657" t="s">
        <v>7435</v>
      </c>
      <c r="F93" s="656" t="s">
        <v>4052</v>
      </c>
      <c r="G93" s="656"/>
      <c r="H93" s="656" t="s">
        <v>4052</v>
      </c>
      <c r="I93" s="656"/>
      <c r="J93" s="656" t="s">
        <v>451</v>
      </c>
      <c r="K93" s="656"/>
      <c r="L93" s="656"/>
      <c r="M93" s="657" t="s">
        <v>15517</v>
      </c>
      <c r="N93" s="1482">
        <v>237</v>
      </c>
      <c r="O93" s="656" t="s">
        <v>498</v>
      </c>
      <c r="P93" s="656" t="s">
        <v>13052</v>
      </c>
      <c r="Q93" s="656">
        <v>44291.340011574073</v>
      </c>
    </row>
    <row r="94" spans="1:17">
      <c r="A94" s="656" t="s">
        <v>15909</v>
      </c>
      <c r="B94" s="657" t="s">
        <v>504</v>
      </c>
      <c r="C94" s="656" t="s">
        <v>15910</v>
      </c>
      <c r="D94" s="657" t="s">
        <v>13789</v>
      </c>
      <c r="E94" s="657" t="s">
        <v>7435</v>
      </c>
      <c r="F94" s="656"/>
      <c r="G94" s="656" t="s">
        <v>1293</v>
      </c>
      <c r="H94" s="656"/>
      <c r="I94" s="656" t="s">
        <v>13051</v>
      </c>
      <c r="J94" s="656"/>
      <c r="K94" s="656"/>
      <c r="L94" s="656"/>
      <c r="M94" s="657"/>
      <c r="N94" s="1482">
        <v>232</v>
      </c>
      <c r="O94" s="656" t="s">
        <v>498</v>
      </c>
      <c r="P94" s="656" t="s">
        <v>13052</v>
      </c>
      <c r="Q94" s="656">
        <v>44286.187152777777</v>
      </c>
    </row>
    <row r="95" spans="1:17">
      <c r="A95" s="656" t="s">
        <v>15911</v>
      </c>
      <c r="B95" s="657" t="s">
        <v>504</v>
      </c>
      <c r="C95" s="656" t="s">
        <v>15912</v>
      </c>
      <c r="D95" s="657" t="s">
        <v>13789</v>
      </c>
      <c r="E95" s="657" t="s">
        <v>7435</v>
      </c>
      <c r="F95" s="656"/>
      <c r="G95" s="656" t="s">
        <v>1293</v>
      </c>
      <c r="H95" s="656"/>
      <c r="I95" s="656" t="s">
        <v>13051</v>
      </c>
      <c r="J95" s="656"/>
      <c r="K95" s="656"/>
      <c r="L95" s="656"/>
      <c r="M95" s="657"/>
      <c r="N95" s="1482">
        <v>233</v>
      </c>
      <c r="O95" s="656" t="s">
        <v>498</v>
      </c>
      <c r="P95" s="656" t="s">
        <v>13052</v>
      </c>
      <c r="Q95" s="656">
        <v>44286.187152777777</v>
      </c>
    </row>
    <row r="96" spans="1:17">
      <c r="A96" s="656" t="s">
        <v>15913</v>
      </c>
      <c r="B96" s="657" t="s">
        <v>504</v>
      </c>
      <c r="C96" s="656" t="s">
        <v>15914</v>
      </c>
      <c r="D96" s="657" t="s">
        <v>13789</v>
      </c>
      <c r="E96" s="657" t="s">
        <v>7435</v>
      </c>
      <c r="F96" s="656"/>
      <c r="G96" s="656" t="s">
        <v>1293</v>
      </c>
      <c r="H96" s="656"/>
      <c r="I96" s="656" t="s">
        <v>13051</v>
      </c>
      <c r="J96" s="656"/>
      <c r="K96" s="656"/>
      <c r="L96" s="656"/>
      <c r="M96" s="657"/>
      <c r="N96" s="1482">
        <v>234</v>
      </c>
      <c r="O96" s="656" t="s">
        <v>498</v>
      </c>
      <c r="P96" s="656" t="s">
        <v>13052</v>
      </c>
      <c r="Q96" s="656">
        <v>44286.187152777777</v>
      </c>
    </row>
    <row r="97" spans="1:17">
      <c r="A97" s="656" t="s">
        <v>15907</v>
      </c>
      <c r="B97" s="657" t="s">
        <v>504</v>
      </c>
      <c r="C97" s="656" t="s">
        <v>15908</v>
      </c>
      <c r="D97" s="657" t="s">
        <v>14977</v>
      </c>
      <c r="E97" s="657" t="s">
        <v>7437</v>
      </c>
      <c r="F97" s="656"/>
      <c r="G97" s="656" t="s">
        <v>569</v>
      </c>
      <c r="H97" s="656"/>
      <c r="I97" s="656" t="s">
        <v>13051</v>
      </c>
      <c r="J97" s="656"/>
      <c r="K97" s="656"/>
      <c r="L97" s="656"/>
      <c r="M97" s="657"/>
      <c r="N97" s="1482">
        <v>235</v>
      </c>
      <c r="O97" s="656" t="s">
        <v>498</v>
      </c>
      <c r="P97" s="656" t="s">
        <v>13052</v>
      </c>
      <c r="Q97" s="656">
        <v>44286.186666666668</v>
      </c>
    </row>
    <row r="98" spans="1:17">
      <c r="A98" s="656" t="s">
        <v>15905</v>
      </c>
      <c r="B98" s="657" t="s">
        <v>504</v>
      </c>
      <c r="C98" s="656" t="s">
        <v>15906</v>
      </c>
      <c r="D98" s="657" t="s">
        <v>13789</v>
      </c>
      <c r="E98" s="657" t="s">
        <v>7437</v>
      </c>
      <c r="F98" s="656"/>
      <c r="G98" s="656" t="s">
        <v>522</v>
      </c>
      <c r="H98" s="656"/>
      <c r="I98" s="656" t="s">
        <v>13334</v>
      </c>
      <c r="J98" s="656"/>
      <c r="K98" s="656"/>
      <c r="L98" s="656"/>
      <c r="M98" s="657"/>
      <c r="N98" s="1482">
        <v>230</v>
      </c>
      <c r="O98" s="656" t="s">
        <v>498</v>
      </c>
      <c r="P98" s="656" t="s">
        <v>13052</v>
      </c>
      <c r="Q98" s="656">
        <v>44284.208645833336</v>
      </c>
    </row>
    <row r="99" spans="1:17">
      <c r="A99" s="656" t="s">
        <v>15902</v>
      </c>
      <c r="B99" s="657" t="s">
        <v>202</v>
      </c>
      <c r="C99" s="656" t="s">
        <v>15903</v>
      </c>
      <c r="D99" s="657" t="s">
        <v>13789</v>
      </c>
      <c r="E99" s="657" t="s">
        <v>7435</v>
      </c>
      <c r="F99" s="656" t="s">
        <v>4052</v>
      </c>
      <c r="G99" s="656"/>
      <c r="H99" s="656" t="s">
        <v>4052</v>
      </c>
      <c r="I99" s="656"/>
      <c r="J99" s="656"/>
      <c r="K99" s="656"/>
      <c r="L99" s="656"/>
      <c r="M99" s="657" t="s">
        <v>15517</v>
      </c>
      <c r="N99" s="1482">
        <v>229</v>
      </c>
      <c r="O99" s="656" t="s">
        <v>498</v>
      </c>
      <c r="P99" s="656" t="s">
        <v>13052</v>
      </c>
      <c r="Q99" s="656">
        <v>44281.655833333331</v>
      </c>
    </row>
    <row r="100" spans="1:17">
      <c r="A100" s="656" t="s">
        <v>15904</v>
      </c>
      <c r="B100" s="657" t="s">
        <v>504</v>
      </c>
      <c r="C100" s="656" t="s">
        <v>15903</v>
      </c>
      <c r="D100" s="657" t="s">
        <v>13789</v>
      </c>
      <c r="E100" s="657" t="s">
        <v>7435</v>
      </c>
      <c r="F100" s="656" t="s">
        <v>4052</v>
      </c>
      <c r="G100" s="656"/>
      <c r="H100" s="656" t="s">
        <v>4052</v>
      </c>
      <c r="I100" s="656"/>
      <c r="J100" s="656"/>
      <c r="K100" s="656"/>
      <c r="L100" s="656"/>
      <c r="M100" s="657" t="s">
        <v>15517</v>
      </c>
      <c r="N100" s="1482">
        <v>229</v>
      </c>
      <c r="O100" s="656" t="s">
        <v>498</v>
      </c>
      <c r="P100" s="656" t="s">
        <v>13052</v>
      </c>
      <c r="Q100" s="656">
        <v>44281.655844907407</v>
      </c>
    </row>
    <row r="101" spans="1:17">
      <c r="A101" s="656" t="s">
        <v>15892</v>
      </c>
      <c r="B101" s="657" t="s">
        <v>202</v>
      </c>
      <c r="C101" s="656" t="s">
        <v>15893</v>
      </c>
      <c r="D101" s="657" t="s">
        <v>13789</v>
      </c>
      <c r="E101" s="657" t="s">
        <v>7435</v>
      </c>
      <c r="F101" s="656" t="s">
        <v>4052</v>
      </c>
      <c r="G101" s="656"/>
      <c r="H101" s="656" t="s">
        <v>4052</v>
      </c>
      <c r="I101" s="656"/>
      <c r="J101" s="656" t="s">
        <v>451</v>
      </c>
      <c r="K101" s="656"/>
      <c r="L101" s="656"/>
      <c r="M101" s="657" t="s">
        <v>15517</v>
      </c>
      <c r="N101" s="1482">
        <v>226</v>
      </c>
      <c r="O101" s="656" t="s">
        <v>498</v>
      </c>
      <c r="P101" s="656" t="s">
        <v>13052</v>
      </c>
      <c r="Q101" s="656">
        <v>44278.519155092596</v>
      </c>
    </row>
    <row r="102" spans="1:17">
      <c r="A102" s="656" t="s">
        <v>15890</v>
      </c>
      <c r="B102" s="657" t="s">
        <v>504</v>
      </c>
      <c r="C102" s="656" t="s">
        <v>15891</v>
      </c>
      <c r="D102" s="657" t="s">
        <v>14977</v>
      </c>
      <c r="E102" s="657" t="s">
        <v>7435</v>
      </c>
      <c r="F102" s="656"/>
      <c r="G102" s="656" t="s">
        <v>525</v>
      </c>
      <c r="H102" s="656"/>
      <c r="I102" s="656"/>
      <c r="J102" s="656"/>
      <c r="K102" s="656"/>
      <c r="L102" s="656"/>
      <c r="M102" s="657"/>
      <c r="N102" s="1482">
        <v>202</v>
      </c>
      <c r="O102" s="656" t="s">
        <v>498</v>
      </c>
      <c r="P102" s="656" t="s">
        <v>13052</v>
      </c>
      <c r="Q102" s="656">
        <v>44277.396319444444</v>
      </c>
    </row>
    <row r="103" spans="1:17">
      <c r="A103" s="656" t="s">
        <v>15888</v>
      </c>
      <c r="B103" s="657" t="s">
        <v>504</v>
      </c>
      <c r="C103" s="656" t="s">
        <v>15889</v>
      </c>
      <c r="D103" s="657" t="s">
        <v>13789</v>
      </c>
      <c r="E103" s="657" t="s">
        <v>7435</v>
      </c>
      <c r="F103" s="656"/>
      <c r="G103" s="656" t="s">
        <v>1398</v>
      </c>
      <c r="H103" s="656"/>
      <c r="I103" s="656" t="s">
        <v>13051</v>
      </c>
      <c r="J103" s="656"/>
      <c r="K103" s="656"/>
      <c r="L103" s="656"/>
      <c r="M103" s="657"/>
      <c r="N103" s="1482">
        <v>206</v>
      </c>
      <c r="O103" s="656" t="s">
        <v>498</v>
      </c>
      <c r="P103" s="656" t="s">
        <v>13052</v>
      </c>
      <c r="Q103" s="656">
        <v>44277.395937499998</v>
      </c>
    </row>
    <row r="104" spans="1:17">
      <c r="A104" s="656" t="s">
        <v>15894</v>
      </c>
      <c r="B104" s="657" t="s">
        <v>504</v>
      </c>
      <c r="C104" s="656" t="s">
        <v>15895</v>
      </c>
      <c r="D104" s="657" t="s">
        <v>14978</v>
      </c>
      <c r="E104" s="657" t="s">
        <v>7435</v>
      </c>
      <c r="F104" s="656"/>
      <c r="G104" s="656" t="s">
        <v>1293</v>
      </c>
      <c r="H104" s="656"/>
      <c r="I104" s="656" t="s">
        <v>13051</v>
      </c>
      <c r="J104" s="656"/>
      <c r="K104" s="656"/>
      <c r="L104" s="656" t="s">
        <v>15886</v>
      </c>
      <c r="M104" s="657"/>
      <c r="N104" s="1482">
        <v>227</v>
      </c>
      <c r="O104" s="656" t="s">
        <v>498</v>
      </c>
      <c r="P104" s="656" t="s">
        <v>13052</v>
      </c>
      <c r="Q104" s="656">
        <v>44279.513356481482</v>
      </c>
    </row>
    <row r="105" spans="1:17">
      <c r="A105" s="656" t="s">
        <v>15898</v>
      </c>
      <c r="B105" s="657" t="s">
        <v>504</v>
      </c>
      <c r="C105" s="656" t="s">
        <v>15899</v>
      </c>
      <c r="D105" s="657" t="s">
        <v>14978</v>
      </c>
      <c r="E105" s="657" t="s">
        <v>7435</v>
      </c>
      <c r="F105" s="656"/>
      <c r="G105" s="656" t="s">
        <v>1293</v>
      </c>
      <c r="H105" s="656"/>
      <c r="I105" s="656" t="s">
        <v>13051</v>
      </c>
      <c r="J105" s="656"/>
      <c r="K105" s="656"/>
      <c r="L105" s="656" t="s">
        <v>15886</v>
      </c>
      <c r="M105" s="657"/>
      <c r="N105" s="1482">
        <v>228</v>
      </c>
      <c r="O105" s="656" t="s">
        <v>498</v>
      </c>
      <c r="P105" s="656" t="s">
        <v>13052</v>
      </c>
      <c r="Q105" s="656">
        <v>44279.513356481482</v>
      </c>
    </row>
    <row r="106" spans="1:17">
      <c r="A106" s="656" t="s">
        <v>15886</v>
      </c>
      <c r="B106" s="657" t="s">
        <v>504</v>
      </c>
      <c r="C106" s="656" t="s">
        <v>15887</v>
      </c>
      <c r="D106" s="657" t="s">
        <v>14977</v>
      </c>
      <c r="E106" s="657" t="s">
        <v>7435</v>
      </c>
      <c r="F106" s="656"/>
      <c r="G106" s="656" t="s">
        <v>1293</v>
      </c>
      <c r="H106" s="656"/>
      <c r="I106" s="656" t="s">
        <v>13051</v>
      </c>
      <c r="J106" s="656"/>
      <c r="K106" s="656"/>
      <c r="L106" s="656"/>
      <c r="M106" s="657"/>
      <c r="N106" s="1482">
        <v>208</v>
      </c>
      <c r="O106" s="656" t="s">
        <v>498</v>
      </c>
      <c r="P106" s="656" t="s">
        <v>13052</v>
      </c>
      <c r="Q106" s="656">
        <v>44277.395937499998</v>
      </c>
    </row>
    <row r="107" spans="1:17">
      <c r="A107" s="656" t="s">
        <v>15884</v>
      </c>
      <c r="B107" s="657" t="s">
        <v>504</v>
      </c>
      <c r="C107" s="656" t="s">
        <v>15885</v>
      </c>
      <c r="D107" s="657" t="s">
        <v>13789</v>
      </c>
      <c r="E107" s="657" t="s">
        <v>7437</v>
      </c>
      <c r="F107" s="656"/>
      <c r="G107" s="656" t="s">
        <v>660</v>
      </c>
      <c r="H107" s="656"/>
      <c r="I107" s="656" t="s">
        <v>13334</v>
      </c>
      <c r="J107" s="656"/>
      <c r="K107" s="656"/>
      <c r="L107" s="656"/>
      <c r="M107" s="657"/>
      <c r="N107" s="1482">
        <v>209</v>
      </c>
      <c r="O107" s="656" t="s">
        <v>498</v>
      </c>
      <c r="P107" s="656" t="s">
        <v>13052</v>
      </c>
      <c r="Q107" s="656">
        <v>44277.395937499998</v>
      </c>
    </row>
    <row r="108" spans="1:17">
      <c r="A108" s="656" t="s">
        <v>15880</v>
      </c>
      <c r="B108" s="657" t="s">
        <v>504</v>
      </c>
      <c r="C108" s="656" t="s">
        <v>15881</v>
      </c>
      <c r="D108" s="657" t="s">
        <v>13789</v>
      </c>
      <c r="E108" s="657" t="s">
        <v>7435</v>
      </c>
      <c r="F108" s="656"/>
      <c r="G108" s="656" t="s">
        <v>660</v>
      </c>
      <c r="H108" s="656"/>
      <c r="I108" s="656" t="s">
        <v>13334</v>
      </c>
      <c r="J108" s="656"/>
      <c r="K108" s="656"/>
      <c r="L108" s="656"/>
      <c r="M108" s="657"/>
      <c r="N108" s="1482">
        <v>210</v>
      </c>
      <c r="O108" s="656" t="s">
        <v>498</v>
      </c>
      <c r="P108" s="656" t="s">
        <v>13052</v>
      </c>
      <c r="Q108" s="656">
        <v>44277.395474537036</v>
      </c>
    </row>
    <row r="109" spans="1:17">
      <c r="A109" s="656" t="s">
        <v>15882</v>
      </c>
      <c r="B109" s="657" t="s">
        <v>504</v>
      </c>
      <c r="C109" s="656" t="s">
        <v>15883</v>
      </c>
      <c r="D109" s="657" t="s">
        <v>13789</v>
      </c>
      <c r="E109" s="657" t="s">
        <v>7435</v>
      </c>
      <c r="F109" s="656"/>
      <c r="G109" s="656" t="s">
        <v>525</v>
      </c>
      <c r="H109" s="656"/>
      <c r="I109" s="656" t="s">
        <v>13051</v>
      </c>
      <c r="J109" s="656"/>
      <c r="K109" s="656"/>
      <c r="L109" s="656"/>
      <c r="M109" s="657"/>
      <c r="N109" s="1482">
        <v>214</v>
      </c>
      <c r="O109" s="656" t="s">
        <v>498</v>
      </c>
      <c r="P109" s="656" t="s">
        <v>13052</v>
      </c>
      <c r="Q109" s="656">
        <v>44277.395474537036</v>
      </c>
    </row>
    <row r="110" spans="1:17">
      <c r="A110" s="656" t="s">
        <v>15878</v>
      </c>
      <c r="B110" s="657" t="s">
        <v>504</v>
      </c>
      <c r="C110" s="656" t="s">
        <v>15879</v>
      </c>
      <c r="D110" s="657" t="s">
        <v>13789</v>
      </c>
      <c r="E110" s="657" t="s">
        <v>7435</v>
      </c>
      <c r="F110" s="656"/>
      <c r="G110" s="656" t="s">
        <v>525</v>
      </c>
      <c r="H110" s="656"/>
      <c r="I110" s="656" t="s">
        <v>13051</v>
      </c>
      <c r="J110" s="656"/>
      <c r="K110" s="656"/>
      <c r="L110" s="656"/>
      <c r="M110" s="657"/>
      <c r="N110" s="1482">
        <v>215</v>
      </c>
      <c r="O110" s="656" t="s">
        <v>498</v>
      </c>
      <c r="P110" s="656" t="s">
        <v>13052</v>
      </c>
      <c r="Q110" s="656">
        <v>44277.395069444443</v>
      </c>
    </row>
    <row r="111" spans="1:17">
      <c r="A111" s="656" t="s">
        <v>15876</v>
      </c>
      <c r="B111" s="657" t="s">
        <v>504</v>
      </c>
      <c r="C111" s="656" t="s">
        <v>15877</v>
      </c>
      <c r="D111" s="657" t="s">
        <v>13789</v>
      </c>
      <c r="E111" s="657" t="s">
        <v>7435</v>
      </c>
      <c r="F111" s="656"/>
      <c r="G111" s="656" t="s">
        <v>525</v>
      </c>
      <c r="H111" s="656"/>
      <c r="I111" s="656" t="s">
        <v>13051</v>
      </c>
      <c r="J111" s="656"/>
      <c r="K111" s="656"/>
      <c r="L111" s="656"/>
      <c r="M111" s="657"/>
      <c r="N111" s="1482">
        <v>216</v>
      </c>
      <c r="O111" s="656" t="s">
        <v>498</v>
      </c>
      <c r="P111" s="656" t="s">
        <v>13052</v>
      </c>
      <c r="Q111" s="656">
        <v>44277.395069444443</v>
      </c>
    </row>
    <row r="112" spans="1:17">
      <c r="A112" s="656" t="s">
        <v>15874</v>
      </c>
      <c r="B112" s="657" t="s">
        <v>504</v>
      </c>
      <c r="C112" s="656" t="s">
        <v>15875</v>
      </c>
      <c r="D112" s="657" t="s">
        <v>13789</v>
      </c>
      <c r="E112" s="657" t="s">
        <v>7435</v>
      </c>
      <c r="F112" s="656"/>
      <c r="G112" s="656" t="s">
        <v>525</v>
      </c>
      <c r="H112" s="656"/>
      <c r="I112" s="656" t="s">
        <v>13051</v>
      </c>
      <c r="J112" s="656"/>
      <c r="K112" s="656"/>
      <c r="L112" s="656"/>
      <c r="M112" s="657"/>
      <c r="N112" s="1482">
        <v>217</v>
      </c>
      <c r="O112" s="656" t="s">
        <v>498</v>
      </c>
      <c r="P112" s="656" t="s">
        <v>13052</v>
      </c>
      <c r="Q112" s="656">
        <v>44277.39508101852</v>
      </c>
    </row>
    <row r="113" spans="1:17">
      <c r="A113" s="656" t="s">
        <v>15872</v>
      </c>
      <c r="B113" s="657" t="s">
        <v>504</v>
      </c>
      <c r="C113" s="656" t="s">
        <v>15873</v>
      </c>
      <c r="D113" s="657" t="s">
        <v>13789</v>
      </c>
      <c r="E113" s="657" t="s">
        <v>7435</v>
      </c>
      <c r="F113" s="656"/>
      <c r="G113" s="656" t="s">
        <v>525</v>
      </c>
      <c r="H113" s="656"/>
      <c r="I113" s="656" t="s">
        <v>13051</v>
      </c>
      <c r="J113" s="656"/>
      <c r="K113" s="656"/>
      <c r="L113" s="656"/>
      <c r="M113" s="657"/>
      <c r="N113" s="1482">
        <v>218</v>
      </c>
      <c r="O113" s="656" t="s">
        <v>498</v>
      </c>
      <c r="P113" s="656" t="s">
        <v>13052</v>
      </c>
      <c r="Q113" s="656">
        <v>44277.394606481481</v>
      </c>
    </row>
    <row r="114" spans="1:17">
      <c r="A114" s="656" t="s">
        <v>15870</v>
      </c>
      <c r="B114" s="657" t="s">
        <v>504</v>
      </c>
      <c r="C114" s="656" t="s">
        <v>15871</v>
      </c>
      <c r="D114" s="657" t="s">
        <v>13789</v>
      </c>
      <c r="E114" s="657" t="s">
        <v>7435</v>
      </c>
      <c r="F114" s="656"/>
      <c r="G114" s="656" t="s">
        <v>525</v>
      </c>
      <c r="H114" s="656"/>
      <c r="I114" s="656" t="s">
        <v>13051</v>
      </c>
      <c r="J114" s="656"/>
      <c r="K114" s="656"/>
      <c r="L114" s="656"/>
      <c r="M114" s="657"/>
      <c r="N114" s="1482">
        <v>219</v>
      </c>
      <c r="O114" s="656" t="s">
        <v>498</v>
      </c>
      <c r="P114" s="656" t="s">
        <v>13052</v>
      </c>
      <c r="Q114" s="656">
        <v>44277.394606481481</v>
      </c>
    </row>
    <row r="115" spans="1:17">
      <c r="A115" s="656" t="s">
        <v>15866</v>
      </c>
      <c r="B115" s="657" t="s">
        <v>504</v>
      </c>
      <c r="C115" s="656" t="s">
        <v>15867</v>
      </c>
      <c r="D115" s="657" t="s">
        <v>13789</v>
      </c>
      <c r="E115" s="657" t="s">
        <v>7435</v>
      </c>
      <c r="F115" s="656"/>
      <c r="G115" s="656"/>
      <c r="H115" s="656"/>
      <c r="I115" s="656" t="s">
        <v>13051</v>
      </c>
      <c r="J115" s="656"/>
      <c r="K115" s="656"/>
      <c r="L115" s="656"/>
      <c r="M115" s="657"/>
      <c r="N115" s="1482">
        <v>220</v>
      </c>
      <c r="O115" s="656" t="s">
        <v>498</v>
      </c>
      <c r="P115" s="656" t="s">
        <v>13052</v>
      </c>
      <c r="Q115" s="656">
        <v>44277.393854166665</v>
      </c>
    </row>
    <row r="116" spans="1:17">
      <c r="A116" s="656" t="s">
        <v>15864</v>
      </c>
      <c r="B116" s="657" t="s">
        <v>504</v>
      </c>
      <c r="C116" s="656" t="s">
        <v>15865</v>
      </c>
      <c r="D116" s="657" t="s">
        <v>13789</v>
      </c>
      <c r="E116" s="657" t="s">
        <v>7435</v>
      </c>
      <c r="F116" s="656"/>
      <c r="G116" s="656" t="s">
        <v>1293</v>
      </c>
      <c r="H116" s="656"/>
      <c r="I116" s="656" t="s">
        <v>13051</v>
      </c>
      <c r="J116" s="656"/>
      <c r="K116" s="656"/>
      <c r="L116" s="656"/>
      <c r="M116" s="657"/>
      <c r="N116" s="1482">
        <v>221</v>
      </c>
      <c r="O116" s="656" t="s">
        <v>498</v>
      </c>
      <c r="P116" s="656" t="s">
        <v>13052</v>
      </c>
      <c r="Q116" s="656">
        <v>44277.393414351849</v>
      </c>
    </row>
    <row r="117" spans="1:17">
      <c r="A117" s="656" t="s">
        <v>15862</v>
      </c>
      <c r="B117" s="657" t="s">
        <v>504</v>
      </c>
      <c r="C117" s="656" t="s">
        <v>15863</v>
      </c>
      <c r="D117" s="657" t="s">
        <v>13789</v>
      </c>
      <c r="E117" s="657" t="s">
        <v>7435</v>
      </c>
      <c r="F117" s="656"/>
      <c r="G117" s="656" t="s">
        <v>1293</v>
      </c>
      <c r="H117" s="656"/>
      <c r="I117" s="656" t="s">
        <v>13051</v>
      </c>
      <c r="J117" s="656"/>
      <c r="K117" s="656"/>
      <c r="L117" s="656"/>
      <c r="M117" s="657"/>
      <c r="N117" s="1482">
        <v>222</v>
      </c>
      <c r="O117" s="656" t="s">
        <v>498</v>
      </c>
      <c r="P117" s="656" t="s">
        <v>13052</v>
      </c>
      <c r="Q117" s="656">
        <v>44277.393333333333</v>
      </c>
    </row>
    <row r="118" spans="1:17">
      <c r="A118" s="656" t="s">
        <v>15860</v>
      </c>
      <c r="B118" s="657" t="s">
        <v>504</v>
      </c>
      <c r="C118" s="656" t="s">
        <v>15861</v>
      </c>
      <c r="D118" s="657" t="s">
        <v>13789</v>
      </c>
      <c r="E118" s="657" t="s">
        <v>7435</v>
      </c>
      <c r="F118" s="656"/>
      <c r="G118" s="656" t="s">
        <v>522</v>
      </c>
      <c r="H118" s="656"/>
      <c r="I118" s="656"/>
      <c r="J118" s="656"/>
      <c r="K118" s="656"/>
      <c r="L118" s="656"/>
      <c r="M118" s="657"/>
      <c r="N118" s="1482">
        <v>223</v>
      </c>
      <c r="O118" s="656" t="s">
        <v>498</v>
      </c>
      <c r="P118" s="656" t="s">
        <v>13052</v>
      </c>
      <c r="Q118" s="656">
        <v>44277.392962962964</v>
      </c>
    </row>
    <row r="119" spans="1:17">
      <c r="A119" s="656" t="s">
        <v>15855</v>
      </c>
      <c r="B119" s="657" t="s">
        <v>202</v>
      </c>
      <c r="C119" s="656" t="s">
        <v>15856</v>
      </c>
      <c r="D119" s="657" t="s">
        <v>13789</v>
      </c>
      <c r="E119" s="657" t="s">
        <v>7435</v>
      </c>
      <c r="F119" s="656" t="s">
        <v>4052</v>
      </c>
      <c r="G119" s="656"/>
      <c r="H119" s="656" t="s">
        <v>4052</v>
      </c>
      <c r="I119" s="656"/>
      <c r="J119" s="656" t="s">
        <v>451</v>
      </c>
      <c r="K119" s="656"/>
      <c r="L119" s="656"/>
      <c r="M119" s="657" t="s">
        <v>15517</v>
      </c>
      <c r="N119" s="1482">
        <v>213</v>
      </c>
      <c r="O119" s="656" t="s">
        <v>498</v>
      </c>
      <c r="P119" s="656" t="s">
        <v>13052</v>
      </c>
      <c r="Q119" s="656">
        <v>44273.43509259259</v>
      </c>
    </row>
    <row r="120" spans="1:17">
      <c r="A120" s="656" t="s">
        <v>15850</v>
      </c>
      <c r="B120" s="657" t="s">
        <v>202</v>
      </c>
      <c r="C120" s="656" t="s">
        <v>15851</v>
      </c>
      <c r="D120" s="657" t="s">
        <v>13789</v>
      </c>
      <c r="E120" s="657" t="s">
        <v>7435</v>
      </c>
      <c r="F120" s="656" t="s">
        <v>2849</v>
      </c>
      <c r="G120" s="656"/>
      <c r="H120" s="656" t="s">
        <v>2849</v>
      </c>
      <c r="I120" s="656"/>
      <c r="J120" s="656" t="s">
        <v>12822</v>
      </c>
      <c r="K120" s="656"/>
      <c r="L120" s="656"/>
      <c r="M120" s="657" t="s">
        <v>15517</v>
      </c>
      <c r="N120" s="1482">
        <v>207</v>
      </c>
      <c r="O120" s="656" t="s">
        <v>498</v>
      </c>
      <c r="P120" s="656" t="s">
        <v>13052</v>
      </c>
      <c r="Q120" s="656">
        <v>44272.456967592596</v>
      </c>
    </row>
    <row r="121" spans="1:17">
      <c r="A121" s="656" t="s">
        <v>15852</v>
      </c>
      <c r="B121" s="657" t="s">
        <v>504</v>
      </c>
      <c r="C121" s="656" t="s">
        <v>15851</v>
      </c>
      <c r="D121" s="657" t="s">
        <v>13789</v>
      </c>
      <c r="E121" s="657" t="s">
        <v>7435</v>
      </c>
      <c r="F121" s="656" t="s">
        <v>2849</v>
      </c>
      <c r="G121" s="656"/>
      <c r="H121" s="656" t="s">
        <v>2849</v>
      </c>
      <c r="I121" s="656"/>
      <c r="J121" s="656" t="s">
        <v>12822</v>
      </c>
      <c r="K121" s="656"/>
      <c r="L121" s="656"/>
      <c r="M121" s="657" t="s">
        <v>15517</v>
      </c>
      <c r="N121" s="1482">
        <v>207</v>
      </c>
      <c r="O121" s="656" t="s">
        <v>498</v>
      </c>
      <c r="P121" s="656" t="s">
        <v>13052</v>
      </c>
      <c r="Q121" s="656">
        <v>44272.550833333335</v>
      </c>
    </row>
    <row r="122" spans="1:17">
      <c r="A122" s="656" t="s">
        <v>15848</v>
      </c>
      <c r="B122" s="657" t="s">
        <v>202</v>
      </c>
      <c r="C122" s="656" t="s">
        <v>15849</v>
      </c>
      <c r="D122" s="657" t="s">
        <v>13789</v>
      </c>
      <c r="E122" s="657" t="s">
        <v>7435</v>
      </c>
      <c r="F122" s="656" t="s">
        <v>2849</v>
      </c>
      <c r="G122" s="656"/>
      <c r="H122" s="656" t="s">
        <v>2849</v>
      </c>
      <c r="I122" s="656"/>
      <c r="J122" s="656" t="s">
        <v>12822</v>
      </c>
      <c r="K122" s="656"/>
      <c r="L122" s="656"/>
      <c r="M122" s="657" t="s">
        <v>15517</v>
      </c>
      <c r="N122" s="1482">
        <v>205</v>
      </c>
      <c r="O122" s="656" t="s">
        <v>498</v>
      </c>
      <c r="P122" s="656" t="s">
        <v>13052</v>
      </c>
      <c r="Q122" s="656">
        <v>44272.451307870368</v>
      </c>
    </row>
    <row r="123" spans="1:17">
      <c r="A123" s="656" t="s">
        <v>15853</v>
      </c>
      <c r="B123" s="657" t="s">
        <v>504</v>
      </c>
      <c r="C123" s="656" t="s">
        <v>15849</v>
      </c>
      <c r="D123" s="657" t="s">
        <v>13789</v>
      </c>
      <c r="E123" s="657" t="s">
        <v>7435</v>
      </c>
      <c r="F123" s="656" t="s">
        <v>2849</v>
      </c>
      <c r="G123" s="656"/>
      <c r="H123" s="656" t="s">
        <v>2849</v>
      </c>
      <c r="I123" s="656"/>
      <c r="J123" s="656" t="s">
        <v>12822</v>
      </c>
      <c r="K123" s="656"/>
      <c r="L123" s="656"/>
      <c r="M123" s="657" t="s">
        <v>15517</v>
      </c>
      <c r="N123" s="1482">
        <v>205</v>
      </c>
      <c r="O123" s="656" t="s">
        <v>498</v>
      </c>
      <c r="P123" s="656" t="s">
        <v>13052</v>
      </c>
      <c r="Q123" s="656">
        <v>44272.551018518519</v>
      </c>
    </row>
    <row r="124" spans="1:17">
      <c r="A124" s="656" t="s">
        <v>15846</v>
      </c>
      <c r="B124" s="657" t="s">
        <v>202</v>
      </c>
      <c r="C124" s="656" t="s">
        <v>15847</v>
      </c>
      <c r="D124" s="657" t="s">
        <v>13789</v>
      </c>
      <c r="E124" s="657" t="s">
        <v>7435</v>
      </c>
      <c r="F124" s="656" t="s">
        <v>2849</v>
      </c>
      <c r="G124" s="656"/>
      <c r="H124" s="656" t="s">
        <v>2849</v>
      </c>
      <c r="I124" s="656"/>
      <c r="J124" s="656" t="s">
        <v>12822</v>
      </c>
      <c r="K124" s="656"/>
      <c r="L124" s="656"/>
      <c r="M124" s="657" t="s">
        <v>15517</v>
      </c>
      <c r="N124" s="1482">
        <v>204</v>
      </c>
      <c r="O124" s="656" t="s">
        <v>498</v>
      </c>
      <c r="P124" s="656" t="s">
        <v>13052</v>
      </c>
      <c r="Q124" s="656">
        <v>44272.450798611113</v>
      </c>
    </row>
    <row r="125" spans="1:17">
      <c r="A125" s="656" t="s">
        <v>15854</v>
      </c>
      <c r="B125" s="657" t="s">
        <v>504</v>
      </c>
      <c r="C125" s="656" t="s">
        <v>15847</v>
      </c>
      <c r="D125" s="657" t="s">
        <v>13789</v>
      </c>
      <c r="E125" s="657" t="s">
        <v>7435</v>
      </c>
      <c r="F125" s="656" t="s">
        <v>2849</v>
      </c>
      <c r="G125" s="656"/>
      <c r="H125" s="656" t="s">
        <v>2849</v>
      </c>
      <c r="I125" s="656"/>
      <c r="J125" s="656" t="s">
        <v>12822</v>
      </c>
      <c r="K125" s="656"/>
      <c r="L125" s="656"/>
      <c r="M125" s="657" t="s">
        <v>15517</v>
      </c>
      <c r="N125" s="1482">
        <v>204</v>
      </c>
      <c r="O125" s="656" t="s">
        <v>498</v>
      </c>
      <c r="P125" s="656" t="s">
        <v>13052</v>
      </c>
      <c r="Q125" s="656">
        <v>44272.551099537035</v>
      </c>
    </row>
    <row r="126" spans="1:17">
      <c r="A126" s="656" t="s">
        <v>15844</v>
      </c>
      <c r="B126" s="657" t="s">
        <v>504</v>
      </c>
      <c r="C126" s="656" t="s">
        <v>15845</v>
      </c>
      <c r="D126" s="657" t="s">
        <v>14977</v>
      </c>
      <c r="E126" s="657" t="s">
        <v>7435</v>
      </c>
      <c r="F126" s="656"/>
      <c r="G126" s="656" t="s">
        <v>525</v>
      </c>
      <c r="H126" s="656"/>
      <c r="I126" s="656"/>
      <c r="J126" s="656"/>
      <c r="K126" s="656"/>
      <c r="L126" s="656"/>
      <c r="M126" s="657"/>
      <c r="N126" s="1482">
        <v>201</v>
      </c>
      <c r="O126" s="656" t="s">
        <v>498</v>
      </c>
      <c r="P126" s="656" t="s">
        <v>13052</v>
      </c>
      <c r="Q126" s="656">
        <v>44271.293437499997</v>
      </c>
    </row>
    <row r="127" spans="1:17">
      <c r="A127" s="656" t="s">
        <v>15840</v>
      </c>
      <c r="B127" s="657" t="s">
        <v>504</v>
      </c>
      <c r="C127" s="656" t="s">
        <v>15841</v>
      </c>
      <c r="D127" s="657" t="s">
        <v>13789</v>
      </c>
      <c r="E127" s="657" t="s">
        <v>7435</v>
      </c>
      <c r="F127" s="656"/>
      <c r="G127" s="656"/>
      <c r="H127" s="656"/>
      <c r="I127" s="656" t="s">
        <v>13051</v>
      </c>
      <c r="J127" s="656"/>
      <c r="K127" s="656"/>
      <c r="L127" s="656"/>
      <c r="M127" s="657"/>
      <c r="N127" s="1482">
        <v>198</v>
      </c>
      <c r="O127" s="656" t="s">
        <v>498</v>
      </c>
      <c r="P127" s="656" t="s">
        <v>13052</v>
      </c>
      <c r="Q127" s="656">
        <v>44270.356412037036</v>
      </c>
    </row>
    <row r="128" spans="1:17">
      <c r="A128" s="656" t="s">
        <v>15842</v>
      </c>
      <c r="B128" s="657" t="s">
        <v>504</v>
      </c>
      <c r="C128" s="656" t="s">
        <v>15843</v>
      </c>
      <c r="D128" s="657" t="s">
        <v>13789</v>
      </c>
      <c r="E128" s="657" t="s">
        <v>7435</v>
      </c>
      <c r="F128" s="656"/>
      <c r="G128" s="656" t="s">
        <v>506</v>
      </c>
      <c r="H128" s="656"/>
      <c r="I128" s="656" t="s">
        <v>13051</v>
      </c>
      <c r="J128" s="656"/>
      <c r="K128" s="656"/>
      <c r="L128" s="656"/>
      <c r="M128" s="657"/>
      <c r="N128" s="1482">
        <v>199</v>
      </c>
      <c r="O128" s="656" t="s">
        <v>498</v>
      </c>
      <c r="P128" s="656" t="s">
        <v>13052</v>
      </c>
      <c r="Q128" s="656">
        <v>44270.356412037036</v>
      </c>
    </row>
    <row r="129" spans="1:17">
      <c r="A129" s="656" t="s">
        <v>15837</v>
      </c>
      <c r="B129" s="657" t="s">
        <v>202</v>
      </c>
      <c r="C129" s="656" t="s">
        <v>15838</v>
      </c>
      <c r="D129" s="657" t="s">
        <v>13789</v>
      </c>
      <c r="E129" s="657" t="s">
        <v>7435</v>
      </c>
      <c r="F129" s="656" t="s">
        <v>2849</v>
      </c>
      <c r="G129" s="656"/>
      <c r="H129" s="656" t="s">
        <v>2849</v>
      </c>
      <c r="I129" s="656"/>
      <c r="J129" s="656" t="s">
        <v>12373</v>
      </c>
      <c r="K129" s="656"/>
      <c r="L129" s="656"/>
      <c r="M129" s="657" t="s">
        <v>15533</v>
      </c>
      <c r="N129" s="1482">
        <v>200</v>
      </c>
      <c r="O129" s="656" t="s">
        <v>498</v>
      </c>
      <c r="P129" s="656" t="s">
        <v>13052</v>
      </c>
      <c r="Q129" s="656">
        <v>44267.412847222222</v>
      </c>
    </row>
    <row r="130" spans="1:17">
      <c r="A130" s="656" t="s">
        <v>15839</v>
      </c>
      <c r="B130" s="657" t="s">
        <v>504</v>
      </c>
      <c r="C130" s="656" t="s">
        <v>15838</v>
      </c>
      <c r="D130" s="657" t="s">
        <v>13789</v>
      </c>
      <c r="E130" s="657" t="s">
        <v>7435</v>
      </c>
      <c r="F130" s="656" t="s">
        <v>2849</v>
      </c>
      <c r="G130" s="656"/>
      <c r="H130" s="656" t="s">
        <v>2849</v>
      </c>
      <c r="I130" s="656"/>
      <c r="J130" s="656" t="s">
        <v>12373</v>
      </c>
      <c r="K130" s="656"/>
      <c r="L130" s="656"/>
      <c r="M130" s="657" t="s">
        <v>15533</v>
      </c>
      <c r="N130" s="1482">
        <v>200</v>
      </c>
      <c r="O130" s="656" t="s">
        <v>498</v>
      </c>
      <c r="P130" s="656" t="s">
        <v>13052</v>
      </c>
      <c r="Q130" s="656">
        <v>44267.432430555556</v>
      </c>
    </row>
    <row r="131" spans="1:17">
      <c r="A131" s="656" t="s">
        <v>15830</v>
      </c>
      <c r="B131" s="657" t="s">
        <v>504</v>
      </c>
      <c r="C131" s="656" t="s">
        <v>15831</v>
      </c>
      <c r="D131" s="657" t="s">
        <v>13789</v>
      </c>
      <c r="E131" s="657" t="s">
        <v>7435</v>
      </c>
      <c r="F131" s="656"/>
      <c r="G131" s="656"/>
      <c r="H131" s="656"/>
      <c r="I131" s="656" t="s">
        <v>13334</v>
      </c>
      <c r="J131" s="656"/>
      <c r="K131" s="656"/>
      <c r="L131" s="656"/>
      <c r="M131" s="657"/>
      <c r="N131" s="1482">
        <v>158</v>
      </c>
      <c r="O131" s="656" t="s">
        <v>498</v>
      </c>
      <c r="P131" s="656" t="s">
        <v>13052</v>
      </c>
      <c r="Q131" s="656">
        <v>44266.152314814812</v>
      </c>
    </row>
    <row r="132" spans="1:17">
      <c r="A132" s="656" t="s">
        <v>15832</v>
      </c>
      <c r="B132" s="657" t="s">
        <v>504</v>
      </c>
      <c r="C132" s="656" t="s">
        <v>15833</v>
      </c>
      <c r="D132" s="657" t="s">
        <v>13789</v>
      </c>
      <c r="E132" s="657" t="s">
        <v>7435</v>
      </c>
      <c r="F132" s="656"/>
      <c r="G132" s="656"/>
      <c r="H132" s="656"/>
      <c r="I132" s="656" t="s">
        <v>13334</v>
      </c>
      <c r="J132" s="656"/>
      <c r="K132" s="656"/>
      <c r="L132" s="656"/>
      <c r="M132" s="657"/>
      <c r="N132" s="1482">
        <v>159</v>
      </c>
      <c r="O132" s="656" t="s">
        <v>498</v>
      </c>
      <c r="P132" s="656" t="s">
        <v>13052</v>
      </c>
      <c r="Q132" s="656">
        <v>44266.152314814812</v>
      </c>
    </row>
    <row r="133" spans="1:17">
      <c r="A133" s="656" t="s">
        <v>15834</v>
      </c>
      <c r="B133" s="657" t="s">
        <v>504</v>
      </c>
      <c r="C133" s="656" t="s">
        <v>3133</v>
      </c>
      <c r="D133" s="657" t="s">
        <v>13789</v>
      </c>
      <c r="E133" s="657" t="s">
        <v>7435</v>
      </c>
      <c r="F133" s="656"/>
      <c r="G133" s="656" t="s">
        <v>625</v>
      </c>
      <c r="H133" s="656"/>
      <c r="I133" s="656" t="s">
        <v>13051</v>
      </c>
      <c r="J133" s="656"/>
      <c r="K133" s="656"/>
      <c r="L133" s="656"/>
      <c r="M133" s="657"/>
      <c r="N133" s="1482">
        <v>166</v>
      </c>
      <c r="O133" s="656" t="s">
        <v>498</v>
      </c>
      <c r="P133" s="656" t="s">
        <v>13052</v>
      </c>
      <c r="Q133" s="656">
        <v>44266.152314814812</v>
      </c>
    </row>
    <row r="134" spans="1:17">
      <c r="A134" s="656" t="s">
        <v>15828</v>
      </c>
      <c r="B134" s="657" t="s">
        <v>504</v>
      </c>
      <c r="C134" s="656" t="s">
        <v>15829</v>
      </c>
      <c r="D134" s="657" t="s">
        <v>13789</v>
      </c>
      <c r="E134" s="657" t="s">
        <v>7435</v>
      </c>
      <c r="F134" s="656"/>
      <c r="G134" s="656" t="s">
        <v>525</v>
      </c>
      <c r="H134" s="656"/>
      <c r="I134" s="656" t="s">
        <v>13051</v>
      </c>
      <c r="J134" s="656"/>
      <c r="K134" s="656"/>
      <c r="L134" s="656"/>
      <c r="M134" s="657"/>
      <c r="N134" s="1482">
        <v>175</v>
      </c>
      <c r="O134" s="656" t="s">
        <v>498</v>
      </c>
      <c r="P134" s="656" t="s">
        <v>13052</v>
      </c>
      <c r="Q134" s="656">
        <v>44266.151944444442</v>
      </c>
    </row>
    <row r="135" spans="1:17">
      <c r="A135" s="656" t="s">
        <v>15826</v>
      </c>
      <c r="B135" s="657" t="s">
        <v>504</v>
      </c>
      <c r="C135" s="656" t="s">
        <v>15827</v>
      </c>
      <c r="D135" s="657" t="s">
        <v>13789</v>
      </c>
      <c r="E135" s="657" t="s">
        <v>7435</v>
      </c>
      <c r="F135" s="656"/>
      <c r="G135" s="656" t="s">
        <v>509</v>
      </c>
      <c r="H135" s="656"/>
      <c r="I135" s="656" t="s">
        <v>13051</v>
      </c>
      <c r="J135" s="656"/>
      <c r="K135" s="656"/>
      <c r="L135" s="656"/>
      <c r="M135" s="657"/>
      <c r="N135" s="1482">
        <v>193</v>
      </c>
      <c r="O135" s="656" t="s">
        <v>498</v>
      </c>
      <c r="P135" s="656" t="s">
        <v>13052</v>
      </c>
      <c r="Q135" s="656">
        <v>44266.151944444442</v>
      </c>
    </row>
    <row r="136" spans="1:17">
      <c r="A136" s="656" t="s">
        <v>15824</v>
      </c>
      <c r="B136" s="657" t="s">
        <v>504</v>
      </c>
      <c r="C136" s="656" t="s">
        <v>15825</v>
      </c>
      <c r="D136" s="657" t="s">
        <v>13789</v>
      </c>
      <c r="E136" s="657" t="s">
        <v>7435</v>
      </c>
      <c r="F136" s="656"/>
      <c r="G136" s="656" t="s">
        <v>509</v>
      </c>
      <c r="H136" s="656"/>
      <c r="I136" s="656" t="s">
        <v>13051</v>
      </c>
      <c r="J136" s="656"/>
      <c r="K136" s="656"/>
      <c r="L136" s="656"/>
      <c r="M136" s="657"/>
      <c r="N136" s="1482">
        <v>194</v>
      </c>
      <c r="O136" s="656" t="s">
        <v>498</v>
      </c>
      <c r="P136" s="656" t="s">
        <v>13052</v>
      </c>
      <c r="Q136" s="656">
        <v>44266.151956018519</v>
      </c>
    </row>
    <row r="137" spans="1:17">
      <c r="A137" s="656" t="s">
        <v>15817</v>
      </c>
      <c r="B137" s="657" t="s">
        <v>531</v>
      </c>
      <c r="C137" s="656" t="s">
        <v>15818</v>
      </c>
      <c r="D137" s="657" t="s">
        <v>14977</v>
      </c>
      <c r="E137" s="657" t="s">
        <v>7435</v>
      </c>
      <c r="F137" s="656" t="s">
        <v>2849</v>
      </c>
      <c r="G137" s="656"/>
      <c r="H137" s="656" t="s">
        <v>2849</v>
      </c>
      <c r="I137" s="656"/>
      <c r="J137" s="656" t="s">
        <v>532</v>
      </c>
      <c r="K137" s="656"/>
      <c r="L137" s="656"/>
      <c r="M137" s="657" t="s">
        <v>15517</v>
      </c>
      <c r="N137" s="1482">
        <v>191</v>
      </c>
      <c r="O137" s="656" t="s">
        <v>498</v>
      </c>
      <c r="P137" s="656" t="s">
        <v>13052</v>
      </c>
      <c r="Q137" s="656">
        <v>44265.472141203703</v>
      </c>
    </row>
    <row r="138" spans="1:17">
      <c r="A138" s="656" t="s">
        <v>15819</v>
      </c>
      <c r="B138" s="657" t="s">
        <v>531</v>
      </c>
      <c r="C138" s="656" t="s">
        <v>15818</v>
      </c>
      <c r="D138" s="657" t="s">
        <v>14977</v>
      </c>
      <c r="E138" s="657" t="s">
        <v>7435</v>
      </c>
      <c r="F138" s="656" t="s">
        <v>2849</v>
      </c>
      <c r="G138" s="656"/>
      <c r="H138" s="656" t="s">
        <v>2849</v>
      </c>
      <c r="I138" s="656"/>
      <c r="J138" s="656" t="s">
        <v>532</v>
      </c>
      <c r="K138" s="656"/>
      <c r="L138" s="656"/>
      <c r="M138" s="657" t="s">
        <v>15517</v>
      </c>
      <c r="N138" s="1482">
        <v>195</v>
      </c>
      <c r="O138" s="656" t="s">
        <v>498</v>
      </c>
      <c r="P138" s="656" t="s">
        <v>13052</v>
      </c>
      <c r="Q138" s="656">
        <v>44265.47215277778</v>
      </c>
    </row>
    <row r="139" spans="1:17">
      <c r="A139" s="656" t="s">
        <v>15813</v>
      </c>
      <c r="B139" s="657" t="s">
        <v>202</v>
      </c>
      <c r="C139" s="656" t="s">
        <v>15814</v>
      </c>
      <c r="D139" s="657" t="s">
        <v>13789</v>
      </c>
      <c r="E139" s="657" t="s">
        <v>7435</v>
      </c>
      <c r="F139" s="656" t="s">
        <v>4052</v>
      </c>
      <c r="G139" s="656"/>
      <c r="H139" s="656" t="s">
        <v>4052</v>
      </c>
      <c r="I139" s="656"/>
      <c r="J139" s="656" t="s">
        <v>451</v>
      </c>
      <c r="K139" s="656"/>
      <c r="L139" s="656"/>
      <c r="M139" s="657" t="s">
        <v>15517</v>
      </c>
      <c r="N139" s="1482">
        <v>189</v>
      </c>
      <c r="O139" s="656" t="s">
        <v>498</v>
      </c>
      <c r="P139" s="656" t="s">
        <v>13052</v>
      </c>
      <c r="Q139" s="656">
        <v>44264.425439814811</v>
      </c>
    </row>
    <row r="140" spans="1:17">
      <c r="A140" s="656" t="s">
        <v>15791</v>
      </c>
      <c r="B140" s="657" t="s">
        <v>202</v>
      </c>
      <c r="C140" s="656" t="s">
        <v>15792</v>
      </c>
      <c r="D140" s="657" t="s">
        <v>13789</v>
      </c>
      <c r="E140" s="657" t="s">
        <v>7435</v>
      </c>
      <c r="F140" s="656" t="s">
        <v>537</v>
      </c>
      <c r="G140" s="656"/>
      <c r="H140" s="656" t="s">
        <v>537</v>
      </c>
      <c r="I140" s="656"/>
      <c r="J140" s="656" t="s">
        <v>8664</v>
      </c>
      <c r="K140" s="656"/>
      <c r="L140" s="656"/>
      <c r="M140" s="657" t="s">
        <v>15533</v>
      </c>
      <c r="N140" s="1482">
        <v>178</v>
      </c>
      <c r="O140" s="656" t="s">
        <v>498</v>
      </c>
      <c r="P140" s="656" t="s">
        <v>13052</v>
      </c>
      <c r="Q140" s="656">
        <v>44259.62127314815</v>
      </c>
    </row>
    <row r="141" spans="1:17">
      <c r="A141" s="656" t="s">
        <v>15787</v>
      </c>
      <c r="B141" s="657" t="s">
        <v>202</v>
      </c>
      <c r="C141" s="656" t="s">
        <v>15788</v>
      </c>
      <c r="D141" s="657" t="s">
        <v>14977</v>
      </c>
      <c r="E141" s="657" t="s">
        <v>7435</v>
      </c>
      <c r="F141" s="656" t="s">
        <v>537</v>
      </c>
      <c r="G141" s="656"/>
      <c r="H141" s="656" t="s">
        <v>537</v>
      </c>
      <c r="I141" s="656"/>
      <c r="J141" s="656" t="s">
        <v>473</v>
      </c>
      <c r="K141" s="656"/>
      <c r="L141" s="656"/>
      <c r="M141" s="657" t="s">
        <v>15517</v>
      </c>
      <c r="N141" s="1482">
        <v>176</v>
      </c>
      <c r="O141" s="656" t="s">
        <v>498</v>
      </c>
      <c r="P141" s="656" t="s">
        <v>13052</v>
      </c>
      <c r="Q141" s="656">
        <v>44259.493379629632</v>
      </c>
    </row>
    <row r="142" spans="1:17">
      <c r="A142" s="656" t="s">
        <v>15772</v>
      </c>
      <c r="B142" s="657" t="s">
        <v>202</v>
      </c>
      <c r="C142" s="656" t="s">
        <v>15771</v>
      </c>
      <c r="D142" s="657" t="s">
        <v>13789</v>
      </c>
      <c r="E142" s="657" t="s">
        <v>7435</v>
      </c>
      <c r="F142" s="656" t="s">
        <v>2849</v>
      </c>
      <c r="G142" s="656"/>
      <c r="H142" s="656" t="s">
        <v>2849</v>
      </c>
      <c r="I142" s="656"/>
      <c r="J142" s="656" t="s">
        <v>532</v>
      </c>
      <c r="K142" s="656"/>
      <c r="L142" s="656"/>
      <c r="M142" s="657" t="s">
        <v>15517</v>
      </c>
      <c r="N142" s="1482">
        <v>165</v>
      </c>
      <c r="O142" s="656" t="s">
        <v>498</v>
      </c>
      <c r="P142" s="656" t="s">
        <v>13052</v>
      </c>
      <c r="Q142" s="656">
        <v>44258.402395833335</v>
      </c>
    </row>
    <row r="143" spans="1:17">
      <c r="A143" s="656" t="s">
        <v>15770</v>
      </c>
      <c r="B143" s="657" t="s">
        <v>504</v>
      </c>
      <c r="C143" s="656" t="s">
        <v>15771</v>
      </c>
      <c r="D143" s="657" t="s">
        <v>13789</v>
      </c>
      <c r="E143" s="657" t="s">
        <v>7435</v>
      </c>
      <c r="F143" s="656" t="s">
        <v>2849</v>
      </c>
      <c r="G143" s="656"/>
      <c r="H143" s="656" t="s">
        <v>2849</v>
      </c>
      <c r="I143" s="656"/>
      <c r="J143" s="656" t="s">
        <v>532</v>
      </c>
      <c r="K143" s="656"/>
      <c r="L143" s="656"/>
      <c r="M143" s="657" t="s">
        <v>15517</v>
      </c>
      <c r="N143" s="1482">
        <v>167</v>
      </c>
      <c r="O143" s="656" t="s">
        <v>498</v>
      </c>
      <c r="P143" s="656" t="s">
        <v>13052</v>
      </c>
      <c r="Q143" s="656">
        <v>44258.402384259258</v>
      </c>
    </row>
    <row r="144" spans="1:17">
      <c r="A144" s="656" t="s">
        <v>15767</v>
      </c>
      <c r="B144" s="657" t="s">
        <v>202</v>
      </c>
      <c r="C144" s="656" t="s">
        <v>15768</v>
      </c>
      <c r="D144" s="657" t="s">
        <v>13789</v>
      </c>
      <c r="E144" s="657" t="s">
        <v>7435</v>
      </c>
      <c r="F144" s="656" t="s">
        <v>2849</v>
      </c>
      <c r="G144" s="656"/>
      <c r="H144" s="656" t="s">
        <v>2849</v>
      </c>
      <c r="I144" s="656"/>
      <c r="J144" s="656" t="s">
        <v>12373</v>
      </c>
      <c r="K144" s="656"/>
      <c r="L144" s="656"/>
      <c r="M144" s="657" t="s">
        <v>15517</v>
      </c>
      <c r="N144" s="1482">
        <v>163</v>
      </c>
      <c r="O144" s="656" t="s">
        <v>498</v>
      </c>
      <c r="P144" s="656" t="s">
        <v>13052</v>
      </c>
      <c r="Q144" s="656">
        <v>44257.558622685188</v>
      </c>
    </row>
    <row r="145" spans="1:17">
      <c r="A145" s="656" t="s">
        <v>15769</v>
      </c>
      <c r="B145" s="657" t="s">
        <v>504</v>
      </c>
      <c r="C145" s="656" t="s">
        <v>15768</v>
      </c>
      <c r="D145" s="657" t="s">
        <v>13789</v>
      </c>
      <c r="E145" s="657" t="s">
        <v>7435</v>
      </c>
      <c r="F145" s="656" t="s">
        <v>2849</v>
      </c>
      <c r="G145" s="656"/>
      <c r="H145" s="656" t="s">
        <v>2849</v>
      </c>
      <c r="I145" s="656"/>
      <c r="J145" s="656" t="s">
        <v>12373</v>
      </c>
      <c r="K145" s="656"/>
      <c r="L145" s="656"/>
      <c r="M145" s="657" t="s">
        <v>15517</v>
      </c>
      <c r="N145" s="1482">
        <v>164</v>
      </c>
      <c r="O145" s="656" t="s">
        <v>498</v>
      </c>
      <c r="P145" s="656" t="s">
        <v>13052</v>
      </c>
      <c r="Q145" s="656">
        <v>44257.5627662037</v>
      </c>
    </row>
    <row r="146" spans="1:17">
      <c r="A146" s="656" t="s">
        <v>15758</v>
      </c>
      <c r="B146" s="657" t="s">
        <v>202</v>
      </c>
      <c r="C146" s="656" t="s">
        <v>15759</v>
      </c>
      <c r="D146" s="657" t="s">
        <v>13789</v>
      </c>
      <c r="E146" s="657" t="s">
        <v>7437</v>
      </c>
      <c r="F146" s="656" t="s">
        <v>2849</v>
      </c>
      <c r="G146" s="656"/>
      <c r="H146" s="656" t="s">
        <v>2849</v>
      </c>
      <c r="I146" s="656"/>
      <c r="J146" s="656" t="s">
        <v>459</v>
      </c>
      <c r="K146" s="656"/>
      <c r="L146" s="656"/>
      <c r="M146" s="657" t="s">
        <v>15517</v>
      </c>
      <c r="N146" s="1482">
        <v>155</v>
      </c>
      <c r="O146" s="656" t="s">
        <v>498</v>
      </c>
      <c r="P146" s="656" t="s">
        <v>13052</v>
      </c>
      <c r="Q146" s="656">
        <v>44256.595185185186</v>
      </c>
    </row>
    <row r="147" spans="1:17">
      <c r="A147" s="656" t="s">
        <v>16131</v>
      </c>
      <c r="B147" s="657"/>
      <c r="C147" s="656" t="s">
        <v>16132</v>
      </c>
      <c r="D147" s="657" t="s">
        <v>14978</v>
      </c>
      <c r="E147" s="657" t="s">
        <v>7435</v>
      </c>
      <c r="F147" s="656" t="s">
        <v>497</v>
      </c>
      <c r="G147" s="656"/>
      <c r="H147" s="656" t="s">
        <v>497</v>
      </c>
      <c r="I147" s="656"/>
      <c r="J147" s="656" t="s">
        <v>15757</v>
      </c>
      <c r="K147" s="656"/>
      <c r="L147" s="656"/>
      <c r="M147" s="657" t="s">
        <v>15517</v>
      </c>
      <c r="N147" s="1482"/>
      <c r="O147" s="656" t="s">
        <v>498</v>
      </c>
      <c r="P147" s="656" t="s">
        <v>13052</v>
      </c>
      <c r="Q147" s="656">
        <v>44301.670486111114</v>
      </c>
    </row>
    <row r="148" spans="1:17">
      <c r="A148" s="656" t="s">
        <v>16129</v>
      </c>
      <c r="B148" s="657" t="s">
        <v>202</v>
      </c>
      <c r="C148" s="656" t="s">
        <v>16130</v>
      </c>
      <c r="D148" s="657" t="s">
        <v>14978</v>
      </c>
      <c r="E148" s="657" t="s">
        <v>7435</v>
      </c>
      <c r="F148" s="656" t="s">
        <v>497</v>
      </c>
      <c r="G148" s="656"/>
      <c r="H148" s="656" t="s">
        <v>497</v>
      </c>
      <c r="I148" s="656"/>
      <c r="J148" s="656" t="s">
        <v>15757</v>
      </c>
      <c r="K148" s="656"/>
      <c r="L148" s="656"/>
      <c r="M148" s="657" t="s">
        <v>15517</v>
      </c>
      <c r="N148" s="1482"/>
      <c r="O148" s="656" t="s">
        <v>498</v>
      </c>
      <c r="P148" s="656" t="s">
        <v>13052</v>
      </c>
      <c r="Q148" s="656">
        <v>44301.670474537037</v>
      </c>
    </row>
    <row r="149" spans="1:17">
      <c r="A149" s="656" t="s">
        <v>16127</v>
      </c>
      <c r="B149" s="657" t="s">
        <v>202</v>
      </c>
      <c r="C149" s="656" t="s">
        <v>16128</v>
      </c>
      <c r="D149" s="657" t="s">
        <v>14978</v>
      </c>
      <c r="E149" s="657" t="s">
        <v>7435</v>
      </c>
      <c r="F149" s="656" t="s">
        <v>497</v>
      </c>
      <c r="G149" s="656"/>
      <c r="H149" s="656" t="s">
        <v>497</v>
      </c>
      <c r="I149" s="656"/>
      <c r="J149" s="656" t="s">
        <v>15757</v>
      </c>
      <c r="K149" s="656"/>
      <c r="L149" s="656"/>
      <c r="M149" s="657" t="s">
        <v>15517</v>
      </c>
      <c r="N149" s="1482"/>
      <c r="O149" s="656" t="s">
        <v>498</v>
      </c>
      <c r="P149" s="656" t="s">
        <v>13052</v>
      </c>
      <c r="Q149" s="656">
        <v>44301.670474537037</v>
      </c>
    </row>
    <row r="150" spans="1:17">
      <c r="A150" s="656" t="s">
        <v>16125</v>
      </c>
      <c r="B150" s="657" t="s">
        <v>202</v>
      </c>
      <c r="C150" s="656" t="s">
        <v>16126</v>
      </c>
      <c r="D150" s="657" t="s">
        <v>14978</v>
      </c>
      <c r="E150" s="657" t="s">
        <v>7435</v>
      </c>
      <c r="F150" s="656" t="s">
        <v>497</v>
      </c>
      <c r="G150" s="656"/>
      <c r="H150" s="656" t="s">
        <v>497</v>
      </c>
      <c r="I150" s="656"/>
      <c r="J150" s="656" t="s">
        <v>15757</v>
      </c>
      <c r="K150" s="656"/>
      <c r="L150" s="656"/>
      <c r="M150" s="657" t="s">
        <v>15517</v>
      </c>
      <c r="N150" s="1482"/>
      <c r="O150" s="656" t="s">
        <v>498</v>
      </c>
      <c r="P150" s="656" t="s">
        <v>13052</v>
      </c>
      <c r="Q150" s="656">
        <v>44301.67046296296</v>
      </c>
    </row>
    <row r="151" spans="1:17">
      <c r="A151" s="656" t="s">
        <v>16123</v>
      </c>
      <c r="B151" s="657" t="s">
        <v>202</v>
      </c>
      <c r="C151" s="656" t="s">
        <v>16124</v>
      </c>
      <c r="D151" s="657" t="s">
        <v>14978</v>
      </c>
      <c r="E151" s="657" t="s">
        <v>7435</v>
      </c>
      <c r="F151" s="656" t="s">
        <v>497</v>
      </c>
      <c r="G151" s="656"/>
      <c r="H151" s="656" t="s">
        <v>497</v>
      </c>
      <c r="I151" s="656"/>
      <c r="J151" s="656" t="s">
        <v>15757</v>
      </c>
      <c r="K151" s="656"/>
      <c r="L151" s="656"/>
      <c r="M151" s="657" t="s">
        <v>15517</v>
      </c>
      <c r="N151" s="1482"/>
      <c r="O151" s="656" t="s">
        <v>498</v>
      </c>
      <c r="P151" s="656" t="s">
        <v>13052</v>
      </c>
      <c r="Q151" s="656">
        <v>44301.670474537037</v>
      </c>
    </row>
    <row r="152" spans="1:17">
      <c r="A152" s="656" t="s">
        <v>16121</v>
      </c>
      <c r="B152" s="657" t="s">
        <v>202</v>
      </c>
      <c r="C152" s="656" t="s">
        <v>16122</v>
      </c>
      <c r="D152" s="657" t="s">
        <v>14978</v>
      </c>
      <c r="E152" s="657" t="s">
        <v>7435</v>
      </c>
      <c r="F152" s="656" t="s">
        <v>497</v>
      </c>
      <c r="G152" s="656"/>
      <c r="H152" s="656" t="s">
        <v>497</v>
      </c>
      <c r="I152" s="656"/>
      <c r="J152" s="656" t="s">
        <v>15757</v>
      </c>
      <c r="K152" s="656"/>
      <c r="L152" s="656"/>
      <c r="M152" s="657" t="s">
        <v>15517</v>
      </c>
      <c r="N152" s="1482"/>
      <c r="O152" s="656" t="s">
        <v>498</v>
      </c>
      <c r="P152" s="656" t="s">
        <v>13052</v>
      </c>
      <c r="Q152" s="656">
        <v>44301.67046296296</v>
      </c>
    </row>
    <row r="153" spans="1:17">
      <c r="A153" s="656" t="s">
        <v>16119</v>
      </c>
      <c r="B153" s="657" t="s">
        <v>202</v>
      </c>
      <c r="C153" s="656" t="s">
        <v>16120</v>
      </c>
      <c r="D153" s="657" t="s">
        <v>14978</v>
      </c>
      <c r="E153" s="657" t="s">
        <v>7435</v>
      </c>
      <c r="F153" s="656" t="s">
        <v>497</v>
      </c>
      <c r="G153" s="656"/>
      <c r="H153" s="656" t="s">
        <v>497</v>
      </c>
      <c r="I153" s="656"/>
      <c r="J153" s="656" t="s">
        <v>15757</v>
      </c>
      <c r="K153" s="656"/>
      <c r="L153" s="656"/>
      <c r="M153" s="657" t="s">
        <v>15517</v>
      </c>
      <c r="N153" s="1482"/>
      <c r="O153" s="656" t="s">
        <v>498</v>
      </c>
      <c r="P153" s="656" t="s">
        <v>13052</v>
      </c>
      <c r="Q153" s="656">
        <v>44301.670451388891</v>
      </c>
    </row>
    <row r="154" spans="1:17">
      <c r="A154" s="656" t="s">
        <v>16117</v>
      </c>
      <c r="B154" s="657" t="s">
        <v>202</v>
      </c>
      <c r="C154" s="656" t="s">
        <v>16118</v>
      </c>
      <c r="D154" s="657" t="s">
        <v>14978</v>
      </c>
      <c r="E154" s="657" t="s">
        <v>7435</v>
      </c>
      <c r="F154" s="656" t="s">
        <v>497</v>
      </c>
      <c r="G154" s="656"/>
      <c r="H154" s="656" t="s">
        <v>497</v>
      </c>
      <c r="I154" s="656"/>
      <c r="J154" s="656" t="s">
        <v>15757</v>
      </c>
      <c r="K154" s="656"/>
      <c r="L154" s="656"/>
      <c r="M154" s="657" t="s">
        <v>15517</v>
      </c>
      <c r="N154" s="1482"/>
      <c r="O154" s="656" t="s">
        <v>498</v>
      </c>
      <c r="P154" s="656" t="s">
        <v>13052</v>
      </c>
      <c r="Q154" s="656">
        <v>44301.670451388891</v>
      </c>
    </row>
    <row r="155" spans="1:17">
      <c r="A155" s="656" t="s">
        <v>16115</v>
      </c>
      <c r="B155" s="657" t="s">
        <v>202</v>
      </c>
      <c r="C155" s="656" t="s">
        <v>16116</v>
      </c>
      <c r="D155" s="657" t="s">
        <v>14978</v>
      </c>
      <c r="E155" s="657" t="s">
        <v>7435</v>
      </c>
      <c r="F155" s="656" t="s">
        <v>497</v>
      </c>
      <c r="G155" s="656"/>
      <c r="H155" s="656" t="s">
        <v>497</v>
      </c>
      <c r="I155" s="656"/>
      <c r="J155" s="656" t="s">
        <v>15757</v>
      </c>
      <c r="K155" s="656"/>
      <c r="L155" s="656"/>
      <c r="M155" s="657" t="s">
        <v>15517</v>
      </c>
      <c r="N155" s="1482"/>
      <c r="O155" s="656" t="s">
        <v>498</v>
      </c>
      <c r="P155" s="656" t="s">
        <v>13052</v>
      </c>
      <c r="Q155" s="656">
        <v>44301.670439814814</v>
      </c>
    </row>
    <row r="156" spans="1:17">
      <c r="A156" s="656" t="s">
        <v>16113</v>
      </c>
      <c r="B156" s="657"/>
      <c r="C156" s="656" t="s">
        <v>16114</v>
      </c>
      <c r="D156" s="657" t="s">
        <v>14978</v>
      </c>
      <c r="E156" s="657" t="s">
        <v>7435</v>
      </c>
      <c r="F156" s="656" t="s">
        <v>497</v>
      </c>
      <c r="G156" s="656"/>
      <c r="H156" s="656" t="s">
        <v>497</v>
      </c>
      <c r="I156" s="656"/>
      <c r="J156" s="656" t="s">
        <v>15757</v>
      </c>
      <c r="K156" s="656"/>
      <c r="L156" s="656"/>
      <c r="M156" s="657" t="s">
        <v>15517</v>
      </c>
      <c r="N156" s="1482"/>
      <c r="O156" s="656" t="s">
        <v>498</v>
      </c>
      <c r="P156" s="656" t="s">
        <v>13052</v>
      </c>
      <c r="Q156" s="656">
        <v>44301.66679398148</v>
      </c>
    </row>
    <row r="157" spans="1:17">
      <c r="A157" s="656" t="s">
        <v>15755</v>
      </c>
      <c r="B157" s="657" t="s">
        <v>202</v>
      </c>
      <c r="C157" s="656" t="s">
        <v>15756</v>
      </c>
      <c r="D157" s="657" t="s">
        <v>14977</v>
      </c>
      <c r="E157" s="657" t="s">
        <v>7435</v>
      </c>
      <c r="F157" s="656" t="s">
        <v>497</v>
      </c>
      <c r="G157" s="656"/>
      <c r="H157" s="656" t="s">
        <v>497</v>
      </c>
      <c r="I157" s="656"/>
      <c r="J157" s="656" t="s">
        <v>15757</v>
      </c>
      <c r="K157" s="656"/>
      <c r="L157" s="656"/>
      <c r="M157" s="657" t="s">
        <v>15517</v>
      </c>
      <c r="N157" s="1482">
        <v>154</v>
      </c>
      <c r="O157" s="656" t="s">
        <v>498</v>
      </c>
      <c r="P157" s="656" t="s">
        <v>13052</v>
      </c>
      <c r="Q157" s="656">
        <v>44256.579745370371</v>
      </c>
    </row>
    <row r="158" spans="1:17">
      <c r="A158" s="656" t="s">
        <v>15753</v>
      </c>
      <c r="B158" s="657" t="s">
        <v>202</v>
      </c>
      <c r="C158" s="656" t="s">
        <v>15754</v>
      </c>
      <c r="D158" s="657" t="s">
        <v>13789</v>
      </c>
      <c r="E158" s="657" t="s">
        <v>7435</v>
      </c>
      <c r="F158" s="656" t="s">
        <v>537</v>
      </c>
      <c r="G158" s="656"/>
      <c r="H158" s="656" t="s">
        <v>537</v>
      </c>
      <c r="I158" s="656"/>
      <c r="J158" s="656" t="s">
        <v>473</v>
      </c>
      <c r="K158" s="656"/>
      <c r="L158" s="656"/>
      <c r="M158" s="657" t="s">
        <v>15517</v>
      </c>
      <c r="N158" s="1482">
        <v>153</v>
      </c>
      <c r="O158" s="656" t="s">
        <v>498</v>
      </c>
      <c r="P158" s="656" t="s">
        <v>13052</v>
      </c>
      <c r="Q158" s="656">
        <v>44256.474710648145</v>
      </c>
    </row>
    <row r="159" spans="1:17">
      <c r="A159" s="656" t="s">
        <v>15752</v>
      </c>
      <c r="B159" s="657" t="s">
        <v>202</v>
      </c>
      <c r="C159" s="656" t="s">
        <v>15751</v>
      </c>
      <c r="D159" s="657" t="s">
        <v>13789</v>
      </c>
      <c r="E159" s="657" t="s">
        <v>7435</v>
      </c>
      <c r="F159" s="656" t="s">
        <v>2849</v>
      </c>
      <c r="G159" s="656"/>
      <c r="H159" s="656" t="s">
        <v>2849</v>
      </c>
      <c r="I159" s="656"/>
      <c r="J159" s="656" t="s">
        <v>532</v>
      </c>
      <c r="K159" s="656"/>
      <c r="L159" s="656"/>
      <c r="M159" s="657" t="s">
        <v>15533</v>
      </c>
      <c r="N159" s="1482">
        <v>151</v>
      </c>
      <c r="O159" s="656" t="s">
        <v>498</v>
      </c>
      <c r="P159" s="656" t="s">
        <v>13052</v>
      </c>
      <c r="Q159" s="656">
        <v>44253.408229166664</v>
      </c>
    </row>
    <row r="160" spans="1:17">
      <c r="A160" s="656" t="s">
        <v>15750</v>
      </c>
      <c r="B160" s="657" t="s">
        <v>504</v>
      </c>
      <c r="C160" s="656" t="s">
        <v>15751</v>
      </c>
      <c r="D160" s="657" t="s">
        <v>13789</v>
      </c>
      <c r="E160" s="657" t="s">
        <v>7435</v>
      </c>
      <c r="F160" s="656" t="s">
        <v>2849</v>
      </c>
      <c r="G160" s="656"/>
      <c r="H160" s="656" t="s">
        <v>2849</v>
      </c>
      <c r="I160" s="656"/>
      <c r="J160" s="656" t="s">
        <v>532</v>
      </c>
      <c r="K160" s="656"/>
      <c r="L160" s="656"/>
      <c r="M160" s="657" t="s">
        <v>15533</v>
      </c>
      <c r="N160" s="1482">
        <v>152</v>
      </c>
      <c r="O160" s="656" t="s">
        <v>498</v>
      </c>
      <c r="P160" s="656" t="s">
        <v>13052</v>
      </c>
      <c r="Q160" s="656">
        <v>44253.408217592594</v>
      </c>
    </row>
    <row r="161" spans="1:17">
      <c r="A161" s="656" t="s">
        <v>15748</v>
      </c>
      <c r="B161" s="657" t="s">
        <v>202</v>
      </c>
      <c r="C161" s="656" t="s">
        <v>15749</v>
      </c>
      <c r="D161" s="657" t="s">
        <v>14977</v>
      </c>
      <c r="E161" s="657" t="s">
        <v>7435</v>
      </c>
      <c r="F161" s="656" t="s">
        <v>4052</v>
      </c>
      <c r="G161" s="656"/>
      <c r="H161" s="656" t="s">
        <v>4052</v>
      </c>
      <c r="I161" s="656"/>
      <c r="J161" s="656" t="s">
        <v>451</v>
      </c>
      <c r="K161" s="656"/>
      <c r="L161" s="656"/>
      <c r="M161" s="657" t="s">
        <v>15517</v>
      </c>
      <c r="N161" s="1482">
        <v>150</v>
      </c>
      <c r="O161" s="656" t="s">
        <v>498</v>
      </c>
      <c r="P161" s="656" t="s">
        <v>13052</v>
      </c>
      <c r="Q161" s="656">
        <v>44252.646886574075</v>
      </c>
    </row>
    <row r="162" spans="1:17">
      <c r="A162" s="656" t="s">
        <v>15746</v>
      </c>
      <c r="B162" s="657" t="s">
        <v>202</v>
      </c>
      <c r="C162" s="656" t="s">
        <v>15747</v>
      </c>
      <c r="D162" s="657" t="s">
        <v>13789</v>
      </c>
      <c r="E162" s="657" t="s">
        <v>7437</v>
      </c>
      <c r="F162" s="656" t="s">
        <v>537</v>
      </c>
      <c r="G162" s="656"/>
      <c r="H162" s="656" t="s">
        <v>537</v>
      </c>
      <c r="I162" s="656"/>
      <c r="J162" s="656" t="s">
        <v>473</v>
      </c>
      <c r="K162" s="656"/>
      <c r="L162" s="656"/>
      <c r="M162" s="657" t="s">
        <v>3796</v>
      </c>
      <c r="N162" s="1482">
        <v>149</v>
      </c>
      <c r="O162" s="656" t="s">
        <v>498</v>
      </c>
      <c r="P162" s="656" t="s">
        <v>13052</v>
      </c>
      <c r="Q162" s="656">
        <v>44251.562650462962</v>
      </c>
    </row>
    <row r="163" spans="1:17">
      <c r="A163" s="656" t="s">
        <v>15744</v>
      </c>
      <c r="B163" s="657" t="s">
        <v>504</v>
      </c>
      <c r="C163" s="656" t="s">
        <v>15745</v>
      </c>
      <c r="D163" s="657" t="s">
        <v>13789</v>
      </c>
      <c r="E163" s="657" t="s">
        <v>7437</v>
      </c>
      <c r="F163" s="656"/>
      <c r="G163" s="656" t="s">
        <v>625</v>
      </c>
      <c r="H163" s="656"/>
      <c r="I163" s="656" t="s">
        <v>13051</v>
      </c>
      <c r="J163" s="656"/>
      <c r="K163" s="656"/>
      <c r="L163" s="656"/>
      <c r="M163" s="657"/>
      <c r="N163" s="1482">
        <v>148</v>
      </c>
      <c r="O163" s="656" t="s">
        <v>498</v>
      </c>
      <c r="P163" s="656" t="s">
        <v>13052</v>
      </c>
      <c r="Q163" s="656">
        <v>44251.371539351851</v>
      </c>
    </row>
    <row r="164" spans="1:17">
      <c r="A164" s="656" t="s">
        <v>15734</v>
      </c>
      <c r="B164" s="657" t="s">
        <v>202</v>
      </c>
      <c r="C164" s="656" t="s">
        <v>15735</v>
      </c>
      <c r="D164" s="657" t="s">
        <v>14977</v>
      </c>
      <c r="E164" s="657" t="s">
        <v>7435</v>
      </c>
      <c r="F164" s="656" t="s">
        <v>4052</v>
      </c>
      <c r="G164" s="656"/>
      <c r="H164" s="656" t="s">
        <v>4052</v>
      </c>
      <c r="I164" s="656"/>
      <c r="J164" s="656" t="s">
        <v>451</v>
      </c>
      <c r="K164" s="656"/>
      <c r="L164" s="656"/>
      <c r="M164" s="657" t="s">
        <v>15517</v>
      </c>
      <c r="N164" s="1482">
        <v>147</v>
      </c>
      <c r="O164" s="656" t="s">
        <v>498</v>
      </c>
      <c r="P164" s="656" t="s">
        <v>13052</v>
      </c>
      <c r="Q164" s="656">
        <v>44249.727048611108</v>
      </c>
    </row>
    <row r="165" spans="1:17">
      <c r="A165" s="656" t="s">
        <v>15732</v>
      </c>
      <c r="B165" s="657" t="s">
        <v>202</v>
      </c>
      <c r="C165" s="656" t="s">
        <v>15733</v>
      </c>
      <c r="D165" s="657" t="s">
        <v>14977</v>
      </c>
      <c r="E165" s="657" t="s">
        <v>7435</v>
      </c>
      <c r="F165" s="656" t="s">
        <v>462</v>
      </c>
      <c r="G165" s="656"/>
      <c r="H165" s="656" t="s">
        <v>462</v>
      </c>
      <c r="I165" s="656"/>
      <c r="J165" s="656" t="s">
        <v>463</v>
      </c>
      <c r="K165" s="656"/>
      <c r="L165" s="656"/>
      <c r="M165" s="657" t="s">
        <v>15517</v>
      </c>
      <c r="N165" s="1482">
        <v>146</v>
      </c>
      <c r="O165" s="656" t="s">
        <v>498</v>
      </c>
      <c r="P165" s="656" t="s">
        <v>13052</v>
      </c>
      <c r="Q165" s="656">
        <v>44249.695706018516</v>
      </c>
    </row>
    <row r="166" spans="1:17">
      <c r="A166" s="656" t="s">
        <v>15730</v>
      </c>
      <c r="B166" s="657" t="s">
        <v>202</v>
      </c>
      <c r="C166" s="656" t="s">
        <v>15731</v>
      </c>
      <c r="D166" s="657" t="s">
        <v>14977</v>
      </c>
      <c r="E166" s="657" t="s">
        <v>7435</v>
      </c>
      <c r="F166" s="656" t="s">
        <v>462</v>
      </c>
      <c r="G166" s="656"/>
      <c r="H166" s="656" t="s">
        <v>462</v>
      </c>
      <c r="I166" s="656"/>
      <c r="J166" s="656" t="s">
        <v>463</v>
      </c>
      <c r="K166" s="656"/>
      <c r="L166" s="656"/>
      <c r="M166" s="657" t="s">
        <v>15517</v>
      </c>
      <c r="N166" s="1482">
        <v>145</v>
      </c>
      <c r="O166" s="656" t="s">
        <v>498</v>
      </c>
      <c r="P166" s="656" t="s">
        <v>13052</v>
      </c>
      <c r="Q166" s="656">
        <v>44249.695706018516</v>
      </c>
    </row>
    <row r="167" spans="1:17">
      <c r="A167" s="656" t="s">
        <v>15728</v>
      </c>
      <c r="B167" s="657" t="s">
        <v>202</v>
      </c>
      <c r="C167" s="656" t="s">
        <v>15729</v>
      </c>
      <c r="D167" s="657" t="s">
        <v>13789</v>
      </c>
      <c r="E167" s="657" t="s">
        <v>7437</v>
      </c>
      <c r="F167" s="656" t="s">
        <v>537</v>
      </c>
      <c r="G167" s="656"/>
      <c r="H167" s="656" t="s">
        <v>537</v>
      </c>
      <c r="I167" s="656"/>
      <c r="J167" s="656" t="s">
        <v>473</v>
      </c>
      <c r="K167" s="656"/>
      <c r="L167" s="656"/>
      <c r="M167" s="657" t="s">
        <v>15533</v>
      </c>
      <c r="N167" s="1482">
        <v>144</v>
      </c>
      <c r="O167" s="656" t="s">
        <v>498</v>
      </c>
      <c r="P167" s="656" t="s">
        <v>13052</v>
      </c>
      <c r="Q167" s="656">
        <v>44249.624085648145</v>
      </c>
    </row>
    <row r="168" spans="1:17">
      <c r="A168" s="656" t="s">
        <v>15726</v>
      </c>
      <c r="B168" s="657" t="s">
        <v>202</v>
      </c>
      <c r="C168" s="656" t="s">
        <v>15727</v>
      </c>
      <c r="D168" s="657" t="s">
        <v>13789</v>
      </c>
      <c r="E168" s="657" t="s">
        <v>7437</v>
      </c>
      <c r="F168" s="656" t="s">
        <v>537</v>
      </c>
      <c r="G168" s="656"/>
      <c r="H168" s="656" t="s">
        <v>537</v>
      </c>
      <c r="I168" s="656"/>
      <c r="J168" s="656" t="s">
        <v>473</v>
      </c>
      <c r="K168" s="656"/>
      <c r="L168" s="656"/>
      <c r="M168" s="657" t="s">
        <v>15517</v>
      </c>
      <c r="N168" s="1482">
        <v>143</v>
      </c>
      <c r="O168" s="656" t="s">
        <v>498</v>
      </c>
      <c r="P168" s="656" t="s">
        <v>13052</v>
      </c>
      <c r="Q168" s="656">
        <v>44249.603576388887</v>
      </c>
    </row>
    <row r="169" spans="1:17">
      <c r="A169" s="656" t="s">
        <v>15724</v>
      </c>
      <c r="B169" s="657" t="s">
        <v>202</v>
      </c>
      <c r="C169" s="656" t="s">
        <v>15725</v>
      </c>
      <c r="D169" s="657" t="s">
        <v>13789</v>
      </c>
      <c r="E169" s="657" t="s">
        <v>7437</v>
      </c>
      <c r="F169" s="656" t="s">
        <v>8807</v>
      </c>
      <c r="G169" s="656"/>
      <c r="H169" s="656" t="s">
        <v>8807</v>
      </c>
      <c r="I169" s="656"/>
      <c r="J169" s="656" t="s">
        <v>8814</v>
      </c>
      <c r="K169" s="656"/>
      <c r="L169" s="656"/>
      <c r="M169" s="657" t="s">
        <v>15517</v>
      </c>
      <c r="N169" s="1482">
        <v>142</v>
      </c>
      <c r="O169" s="656" t="s">
        <v>498</v>
      </c>
      <c r="P169" s="656" t="s">
        <v>13052</v>
      </c>
      <c r="Q169" s="656">
        <v>44249.455937500003</v>
      </c>
    </row>
    <row r="170" spans="1:17">
      <c r="A170" s="656" t="s">
        <v>15720</v>
      </c>
      <c r="B170" s="657" t="s">
        <v>504</v>
      </c>
      <c r="C170" s="656" t="s">
        <v>15721</v>
      </c>
      <c r="D170" s="657" t="s">
        <v>13789</v>
      </c>
      <c r="E170" s="657" t="s">
        <v>7435</v>
      </c>
      <c r="F170" s="656"/>
      <c r="G170" s="656" t="s">
        <v>541</v>
      </c>
      <c r="H170" s="656"/>
      <c r="I170" s="656" t="s">
        <v>13051</v>
      </c>
      <c r="J170" s="656"/>
      <c r="K170" s="656"/>
      <c r="L170" s="656"/>
      <c r="M170" s="657"/>
      <c r="N170" s="1482">
        <v>26</v>
      </c>
      <c r="O170" s="656" t="s">
        <v>498</v>
      </c>
      <c r="P170" s="656" t="s">
        <v>13052</v>
      </c>
      <c r="Q170" s="656">
        <v>44249.433981481481</v>
      </c>
    </row>
    <row r="171" spans="1:17">
      <c r="A171" s="656" t="s">
        <v>15722</v>
      </c>
      <c r="B171" s="657" t="s">
        <v>504</v>
      </c>
      <c r="C171" s="656" t="s">
        <v>15723</v>
      </c>
      <c r="D171" s="657" t="s">
        <v>13789</v>
      </c>
      <c r="E171" s="657" t="s">
        <v>7435</v>
      </c>
      <c r="F171" s="656"/>
      <c r="G171" s="656" t="s">
        <v>525</v>
      </c>
      <c r="H171" s="656"/>
      <c r="I171" s="656" t="s">
        <v>13051</v>
      </c>
      <c r="J171" s="656"/>
      <c r="K171" s="656"/>
      <c r="L171" s="656"/>
      <c r="M171" s="657"/>
      <c r="N171" s="1482">
        <v>37</v>
      </c>
      <c r="O171" s="656" t="s">
        <v>498</v>
      </c>
      <c r="P171" s="656" t="s">
        <v>13052</v>
      </c>
      <c r="Q171" s="656">
        <v>44249.433969907404</v>
      </c>
    </row>
    <row r="172" spans="1:17">
      <c r="A172" s="656" t="s">
        <v>15714</v>
      </c>
      <c r="B172" s="657" t="s">
        <v>504</v>
      </c>
      <c r="C172" s="656" t="s">
        <v>15715</v>
      </c>
      <c r="D172" s="657" t="s">
        <v>13789</v>
      </c>
      <c r="E172" s="657" t="s">
        <v>7437</v>
      </c>
      <c r="F172" s="656"/>
      <c r="G172" s="656" t="s">
        <v>525</v>
      </c>
      <c r="H172" s="656"/>
      <c r="I172" s="656" t="s">
        <v>13051</v>
      </c>
      <c r="J172" s="656"/>
      <c r="K172" s="656"/>
      <c r="L172" s="656"/>
      <c r="M172" s="657"/>
      <c r="N172" s="1482">
        <v>47</v>
      </c>
      <c r="O172" s="656" t="s">
        <v>498</v>
      </c>
      <c r="P172" s="656" t="s">
        <v>13052</v>
      </c>
      <c r="Q172" s="656">
        <v>44249.433587962965</v>
      </c>
    </row>
    <row r="173" spans="1:17">
      <c r="A173" s="656" t="s">
        <v>15718</v>
      </c>
      <c r="B173" s="657" t="s">
        <v>504</v>
      </c>
      <c r="C173" s="656" t="s">
        <v>15719</v>
      </c>
      <c r="D173" s="657" t="s">
        <v>13789</v>
      </c>
      <c r="E173" s="657" t="s">
        <v>7437</v>
      </c>
      <c r="F173" s="656"/>
      <c r="G173" s="656"/>
      <c r="H173" s="656"/>
      <c r="I173" s="656" t="s">
        <v>13051</v>
      </c>
      <c r="J173" s="656"/>
      <c r="K173" s="656"/>
      <c r="L173" s="656"/>
      <c r="M173" s="657"/>
      <c r="N173" s="1482">
        <v>48</v>
      </c>
      <c r="O173" s="656" t="s">
        <v>498</v>
      </c>
      <c r="P173" s="656" t="s">
        <v>13052</v>
      </c>
      <c r="Q173" s="656">
        <v>44249.433587962965</v>
      </c>
    </row>
    <row r="174" spans="1:17">
      <c r="A174" s="656" t="s">
        <v>15716</v>
      </c>
      <c r="B174" s="657" t="s">
        <v>504</v>
      </c>
      <c r="C174" s="656" t="s">
        <v>15717</v>
      </c>
      <c r="D174" s="657" t="s">
        <v>13789</v>
      </c>
      <c r="E174" s="657" t="s">
        <v>7435</v>
      </c>
      <c r="F174" s="656"/>
      <c r="G174" s="656" t="s">
        <v>625</v>
      </c>
      <c r="H174" s="656"/>
      <c r="I174" s="656" t="s">
        <v>13051</v>
      </c>
      <c r="J174" s="656"/>
      <c r="K174" s="656"/>
      <c r="L174" s="656"/>
      <c r="M174" s="657"/>
      <c r="N174" s="1482">
        <v>78</v>
      </c>
      <c r="O174" s="656" t="s">
        <v>498</v>
      </c>
      <c r="P174" s="656" t="s">
        <v>13052</v>
      </c>
      <c r="Q174" s="656">
        <v>44249.433587962965</v>
      </c>
    </row>
    <row r="175" spans="1:17">
      <c r="A175" s="656" t="s">
        <v>15710</v>
      </c>
      <c r="B175" s="657" t="s">
        <v>504</v>
      </c>
      <c r="C175" s="656" t="s">
        <v>15711</v>
      </c>
      <c r="D175" s="657" t="s">
        <v>13789</v>
      </c>
      <c r="E175" s="657" t="s">
        <v>7435</v>
      </c>
      <c r="F175" s="656"/>
      <c r="G175" s="656" t="s">
        <v>625</v>
      </c>
      <c r="H175" s="656"/>
      <c r="I175" s="656" t="s">
        <v>13334</v>
      </c>
      <c r="J175" s="656"/>
      <c r="K175" s="656"/>
      <c r="L175" s="656"/>
      <c r="M175" s="657"/>
      <c r="N175" s="1482">
        <v>81</v>
      </c>
      <c r="O175" s="656" t="s">
        <v>498</v>
      </c>
      <c r="P175" s="656" t="s">
        <v>13052</v>
      </c>
      <c r="Q175" s="656">
        <v>44249.433194444442</v>
      </c>
    </row>
    <row r="176" spans="1:17">
      <c r="A176" s="656" t="s">
        <v>15712</v>
      </c>
      <c r="B176" s="657" t="s">
        <v>504</v>
      </c>
      <c r="C176" s="656" t="s">
        <v>15713</v>
      </c>
      <c r="D176" s="657" t="s">
        <v>13789</v>
      </c>
      <c r="E176" s="657" t="s">
        <v>7435</v>
      </c>
      <c r="F176" s="656"/>
      <c r="G176" s="656" t="s">
        <v>506</v>
      </c>
      <c r="H176" s="656"/>
      <c r="I176" s="656" t="s">
        <v>13051</v>
      </c>
      <c r="J176" s="656"/>
      <c r="K176" s="656"/>
      <c r="L176" s="656"/>
      <c r="M176" s="657"/>
      <c r="N176" s="1482">
        <v>86</v>
      </c>
      <c r="O176" s="656" t="s">
        <v>498</v>
      </c>
      <c r="P176" s="656" t="s">
        <v>13052</v>
      </c>
      <c r="Q176" s="656">
        <v>44249.433194444442</v>
      </c>
    </row>
    <row r="177" spans="1:17">
      <c r="A177" s="656" t="s">
        <v>15706</v>
      </c>
      <c r="B177" s="657" t="s">
        <v>504</v>
      </c>
      <c r="C177" s="656" t="s">
        <v>15707</v>
      </c>
      <c r="D177" s="657" t="s">
        <v>13789</v>
      </c>
      <c r="E177" s="657" t="s">
        <v>7435</v>
      </c>
      <c r="F177" s="656"/>
      <c r="G177" s="656" t="s">
        <v>525</v>
      </c>
      <c r="H177" s="656"/>
      <c r="I177" s="656" t="s">
        <v>13051</v>
      </c>
      <c r="J177" s="656"/>
      <c r="K177" s="656"/>
      <c r="L177" s="656"/>
      <c r="M177" s="657"/>
      <c r="N177" s="1482">
        <v>129</v>
      </c>
      <c r="O177" s="656" t="s">
        <v>498</v>
      </c>
      <c r="P177" s="656" t="s">
        <v>13052</v>
      </c>
      <c r="Q177" s="656">
        <v>44249.433194444442</v>
      </c>
    </row>
    <row r="178" spans="1:17">
      <c r="A178" s="656" t="s">
        <v>15708</v>
      </c>
      <c r="B178" s="657" t="s">
        <v>504</v>
      </c>
      <c r="C178" s="656" t="s">
        <v>15709</v>
      </c>
      <c r="D178" s="657" t="s">
        <v>13789</v>
      </c>
      <c r="E178" s="657" t="s">
        <v>7437</v>
      </c>
      <c r="F178" s="656"/>
      <c r="G178" s="656" t="s">
        <v>660</v>
      </c>
      <c r="H178" s="656"/>
      <c r="I178" s="656" t="s">
        <v>13051</v>
      </c>
      <c r="J178" s="656"/>
      <c r="K178" s="656"/>
      <c r="L178" s="656"/>
      <c r="M178" s="657"/>
      <c r="N178" s="1482">
        <v>139</v>
      </c>
      <c r="O178" s="656" t="s">
        <v>498</v>
      </c>
      <c r="P178" s="656" t="s">
        <v>13052</v>
      </c>
      <c r="Q178" s="656">
        <v>44249.433194444442</v>
      </c>
    </row>
    <row r="179" spans="1:17">
      <c r="A179" s="656" t="s">
        <v>15704</v>
      </c>
      <c r="B179" s="657" t="s">
        <v>504</v>
      </c>
      <c r="C179" s="656" t="s">
        <v>15705</v>
      </c>
      <c r="D179" s="657" t="s">
        <v>13789</v>
      </c>
      <c r="E179" s="657" t="s">
        <v>7437</v>
      </c>
      <c r="F179" s="656"/>
      <c r="G179" s="656" t="s">
        <v>660</v>
      </c>
      <c r="H179" s="656"/>
      <c r="I179" s="656" t="s">
        <v>13051</v>
      </c>
      <c r="J179" s="656"/>
      <c r="K179" s="656"/>
      <c r="L179" s="656"/>
      <c r="M179" s="657"/>
      <c r="N179" s="1482">
        <v>140</v>
      </c>
      <c r="O179" s="656" t="s">
        <v>498</v>
      </c>
      <c r="P179" s="656" t="s">
        <v>13052</v>
      </c>
      <c r="Q179" s="656">
        <v>44249.432291666664</v>
      </c>
    </row>
    <row r="180" spans="1:17">
      <c r="A180" s="656" t="s">
        <v>15702</v>
      </c>
      <c r="B180" s="657" t="s">
        <v>504</v>
      </c>
      <c r="C180" s="656" t="s">
        <v>15703</v>
      </c>
      <c r="D180" s="657" t="s">
        <v>13789</v>
      </c>
      <c r="E180" s="657" t="s">
        <v>7437</v>
      </c>
      <c r="F180" s="656"/>
      <c r="G180" s="656" t="s">
        <v>525</v>
      </c>
      <c r="H180" s="656"/>
      <c r="I180" s="656"/>
      <c r="J180" s="656"/>
      <c r="K180" s="656"/>
      <c r="L180" s="656"/>
      <c r="M180" s="657"/>
      <c r="N180" s="1482">
        <v>141</v>
      </c>
      <c r="O180" s="656" t="s">
        <v>498</v>
      </c>
      <c r="P180" s="656" t="s">
        <v>13052</v>
      </c>
      <c r="Q180" s="656">
        <v>44249.430868055555</v>
      </c>
    </row>
    <row r="181" spans="1:17">
      <c r="A181" s="656" t="s">
        <v>15693</v>
      </c>
      <c r="B181" s="657" t="s">
        <v>202</v>
      </c>
      <c r="C181" s="656" t="s">
        <v>13926</v>
      </c>
      <c r="D181" s="657" t="s">
        <v>13789</v>
      </c>
      <c r="E181" s="657" t="s">
        <v>7435</v>
      </c>
      <c r="F181" s="656" t="s">
        <v>2849</v>
      </c>
      <c r="G181" s="656" t="s">
        <v>717</v>
      </c>
      <c r="H181" s="656" t="s">
        <v>2849</v>
      </c>
      <c r="I181" s="656" t="s">
        <v>13051</v>
      </c>
      <c r="J181" s="656" t="s">
        <v>12373</v>
      </c>
      <c r="K181" s="656"/>
      <c r="L181" s="656"/>
      <c r="M181" s="657" t="s">
        <v>15517</v>
      </c>
      <c r="N181" s="1482">
        <v>128</v>
      </c>
      <c r="O181" s="656" t="s">
        <v>498</v>
      </c>
      <c r="P181" s="656" t="s">
        <v>13052</v>
      </c>
      <c r="Q181" s="656">
        <v>44245.362766203703</v>
      </c>
    </row>
    <row r="182" spans="1:17">
      <c r="A182" s="656" t="s">
        <v>15694</v>
      </c>
      <c r="B182" s="657" t="s">
        <v>504</v>
      </c>
      <c r="C182" s="656" t="s">
        <v>13926</v>
      </c>
      <c r="D182" s="657" t="s">
        <v>13789</v>
      </c>
      <c r="E182" s="657" t="s">
        <v>7435</v>
      </c>
      <c r="F182" s="656" t="s">
        <v>2849</v>
      </c>
      <c r="G182" s="656"/>
      <c r="H182" s="656" t="s">
        <v>2849</v>
      </c>
      <c r="I182" s="656"/>
      <c r="J182" s="656" t="s">
        <v>12373</v>
      </c>
      <c r="K182" s="656"/>
      <c r="L182" s="656"/>
      <c r="M182" s="657" t="s">
        <v>15517</v>
      </c>
      <c r="N182" s="1482">
        <v>137</v>
      </c>
      <c r="O182" s="656" t="s">
        <v>498</v>
      </c>
      <c r="P182" s="656" t="s">
        <v>13052</v>
      </c>
      <c r="Q182" s="656">
        <v>44245.363391203704</v>
      </c>
    </row>
    <row r="183" spans="1:17">
      <c r="A183" s="656" t="s">
        <v>15690</v>
      </c>
      <c r="B183" s="657" t="s">
        <v>202</v>
      </c>
      <c r="C183" s="656" t="s">
        <v>15691</v>
      </c>
      <c r="D183" s="657" t="s">
        <v>13789</v>
      </c>
      <c r="E183" s="657" t="s">
        <v>7435</v>
      </c>
      <c r="F183" s="656" t="s">
        <v>2849</v>
      </c>
      <c r="G183" s="656" t="s">
        <v>717</v>
      </c>
      <c r="H183" s="656" t="s">
        <v>2849</v>
      </c>
      <c r="I183" s="656" t="s">
        <v>13051</v>
      </c>
      <c r="J183" s="656" t="s">
        <v>12373</v>
      </c>
      <c r="K183" s="656"/>
      <c r="L183" s="656"/>
      <c r="M183" s="657" t="s">
        <v>15517</v>
      </c>
      <c r="N183" s="1482">
        <v>127</v>
      </c>
      <c r="O183" s="656" t="s">
        <v>498</v>
      </c>
      <c r="P183" s="656" t="s">
        <v>13052</v>
      </c>
      <c r="Q183" s="656">
        <v>44245.361122685186</v>
      </c>
    </row>
    <row r="184" spans="1:17">
      <c r="A184" s="656" t="s">
        <v>15692</v>
      </c>
      <c r="B184" s="657" t="s">
        <v>504</v>
      </c>
      <c r="C184" s="656" t="s">
        <v>15691</v>
      </c>
      <c r="D184" s="657" t="s">
        <v>13789</v>
      </c>
      <c r="E184" s="657" t="s">
        <v>7435</v>
      </c>
      <c r="F184" s="656" t="s">
        <v>2849</v>
      </c>
      <c r="G184" s="656"/>
      <c r="H184" s="656" t="s">
        <v>2849</v>
      </c>
      <c r="I184" s="656"/>
      <c r="J184" s="656" t="s">
        <v>12373</v>
      </c>
      <c r="K184" s="656"/>
      <c r="L184" s="656"/>
      <c r="M184" s="657" t="s">
        <v>15517</v>
      </c>
      <c r="N184" s="1482">
        <v>136</v>
      </c>
      <c r="O184" s="656" t="s">
        <v>498</v>
      </c>
      <c r="P184" s="656" t="s">
        <v>13052</v>
      </c>
      <c r="Q184" s="656">
        <v>44245.361898148149</v>
      </c>
    </row>
    <row r="185" spans="1:17">
      <c r="A185" s="656" t="s">
        <v>15688</v>
      </c>
      <c r="B185" s="657" t="s">
        <v>202</v>
      </c>
      <c r="C185" s="656" t="s">
        <v>1414</v>
      </c>
      <c r="D185" s="657" t="s">
        <v>13789</v>
      </c>
      <c r="E185" s="657" t="s">
        <v>7435</v>
      </c>
      <c r="F185" s="656" t="s">
        <v>2849</v>
      </c>
      <c r="G185" s="656" t="s">
        <v>717</v>
      </c>
      <c r="H185" s="656" t="s">
        <v>2849</v>
      </c>
      <c r="I185" s="656" t="s">
        <v>13051</v>
      </c>
      <c r="J185" s="656" t="s">
        <v>12373</v>
      </c>
      <c r="K185" s="656"/>
      <c r="L185" s="656"/>
      <c r="M185" s="657" t="s">
        <v>15517</v>
      </c>
      <c r="N185" s="1482">
        <v>125</v>
      </c>
      <c r="O185" s="656" t="s">
        <v>498</v>
      </c>
      <c r="P185" s="656" t="s">
        <v>13052</v>
      </c>
      <c r="Q185" s="656">
        <v>44245.360671296294</v>
      </c>
    </row>
    <row r="186" spans="1:17">
      <c r="A186" s="656" t="s">
        <v>15689</v>
      </c>
      <c r="B186" s="657" t="s">
        <v>504</v>
      </c>
      <c r="C186" s="656" t="s">
        <v>1414</v>
      </c>
      <c r="D186" s="657" t="s">
        <v>13789</v>
      </c>
      <c r="E186" s="657" t="s">
        <v>7435</v>
      </c>
      <c r="F186" s="656" t="s">
        <v>2849</v>
      </c>
      <c r="G186" s="656"/>
      <c r="H186" s="656" t="s">
        <v>2849</v>
      </c>
      <c r="I186" s="656"/>
      <c r="J186" s="656" t="s">
        <v>12373</v>
      </c>
      <c r="K186" s="656"/>
      <c r="L186" s="656"/>
      <c r="M186" s="657" t="s">
        <v>15517</v>
      </c>
      <c r="N186" s="1482">
        <v>135</v>
      </c>
      <c r="O186" s="656" t="s">
        <v>498</v>
      </c>
      <c r="P186" s="656" t="s">
        <v>13052</v>
      </c>
      <c r="Q186" s="656">
        <v>44245.360671296294</v>
      </c>
    </row>
    <row r="187" spans="1:17">
      <c r="A187" s="656" t="s">
        <v>15685</v>
      </c>
      <c r="B187" s="657" t="s">
        <v>202</v>
      </c>
      <c r="C187" s="656" t="s">
        <v>15686</v>
      </c>
      <c r="D187" s="657" t="s">
        <v>13789</v>
      </c>
      <c r="E187" s="657" t="s">
        <v>7435</v>
      </c>
      <c r="F187" s="656" t="s">
        <v>2849</v>
      </c>
      <c r="G187" s="656" t="s">
        <v>717</v>
      </c>
      <c r="H187" s="656" t="s">
        <v>2849</v>
      </c>
      <c r="I187" s="656" t="s">
        <v>13051</v>
      </c>
      <c r="J187" s="656" t="s">
        <v>12373</v>
      </c>
      <c r="K187" s="656"/>
      <c r="L187" s="656"/>
      <c r="M187" s="657" t="s">
        <v>15517</v>
      </c>
      <c r="N187" s="1482">
        <v>126</v>
      </c>
      <c r="O187" s="656" t="s">
        <v>498</v>
      </c>
      <c r="P187" s="656" t="s">
        <v>13052</v>
      </c>
      <c r="Q187" s="656">
        <v>44245.356759259259</v>
      </c>
    </row>
    <row r="188" spans="1:17">
      <c r="A188" s="656" t="s">
        <v>15687</v>
      </c>
      <c r="B188" s="657" t="s">
        <v>504</v>
      </c>
      <c r="C188" s="656" t="s">
        <v>15686</v>
      </c>
      <c r="D188" s="657" t="s">
        <v>13789</v>
      </c>
      <c r="E188" s="657" t="s">
        <v>7435</v>
      </c>
      <c r="F188" s="656" t="s">
        <v>2849</v>
      </c>
      <c r="G188" s="656"/>
      <c r="H188" s="656" t="s">
        <v>2849</v>
      </c>
      <c r="I188" s="656"/>
      <c r="J188" s="656" t="s">
        <v>12373</v>
      </c>
      <c r="K188" s="656"/>
      <c r="L188" s="656"/>
      <c r="M188" s="657" t="s">
        <v>15517</v>
      </c>
      <c r="N188" s="1482">
        <v>134</v>
      </c>
      <c r="O188" s="656" t="s">
        <v>498</v>
      </c>
      <c r="P188" s="656" t="s">
        <v>13052</v>
      </c>
      <c r="Q188" s="656">
        <v>44245.357222222221</v>
      </c>
    </row>
    <row r="189" spans="1:17">
      <c r="A189" s="656" t="s">
        <v>15682</v>
      </c>
      <c r="B189" s="657" t="s">
        <v>202</v>
      </c>
      <c r="C189" s="656" t="s">
        <v>15683</v>
      </c>
      <c r="D189" s="657" t="s">
        <v>13789</v>
      </c>
      <c r="E189" s="657" t="s">
        <v>7435</v>
      </c>
      <c r="F189" s="656" t="s">
        <v>2849</v>
      </c>
      <c r="G189" s="656" t="s">
        <v>717</v>
      </c>
      <c r="H189" s="656" t="s">
        <v>2849</v>
      </c>
      <c r="I189" s="656" t="s">
        <v>13051</v>
      </c>
      <c r="J189" s="656" t="s">
        <v>12373</v>
      </c>
      <c r="K189" s="656"/>
      <c r="L189" s="656"/>
      <c r="M189" s="657" t="s">
        <v>15517</v>
      </c>
      <c r="N189" s="1482">
        <v>124</v>
      </c>
      <c r="O189" s="656" t="s">
        <v>498</v>
      </c>
      <c r="P189" s="656" t="s">
        <v>13052</v>
      </c>
      <c r="Q189" s="656">
        <v>44245.356111111112</v>
      </c>
    </row>
    <row r="190" spans="1:17">
      <c r="A190" s="656" t="s">
        <v>15684</v>
      </c>
      <c r="B190" s="657" t="s">
        <v>504</v>
      </c>
      <c r="C190" s="656" t="s">
        <v>15683</v>
      </c>
      <c r="D190" s="657" t="s">
        <v>13789</v>
      </c>
      <c r="E190" s="657" t="s">
        <v>7435</v>
      </c>
      <c r="F190" s="656" t="s">
        <v>2849</v>
      </c>
      <c r="G190" s="656"/>
      <c r="H190" s="656" t="s">
        <v>2849</v>
      </c>
      <c r="I190" s="656"/>
      <c r="J190" s="656" t="s">
        <v>12373</v>
      </c>
      <c r="K190" s="656"/>
      <c r="L190" s="656"/>
      <c r="M190" s="657" t="s">
        <v>15517</v>
      </c>
      <c r="N190" s="1482">
        <v>133</v>
      </c>
      <c r="O190" s="656" t="s">
        <v>498</v>
      </c>
      <c r="P190" s="656" t="s">
        <v>13052</v>
      </c>
      <c r="Q190" s="656">
        <v>44245.356111111112</v>
      </c>
    </row>
    <row r="191" spans="1:17">
      <c r="A191" s="656" t="s">
        <v>15681</v>
      </c>
      <c r="B191" s="657"/>
      <c r="C191" s="656" t="s">
        <v>15680</v>
      </c>
      <c r="D191" s="657" t="s">
        <v>13789</v>
      </c>
      <c r="E191" s="657" t="s">
        <v>7435</v>
      </c>
      <c r="F191" s="656" t="s">
        <v>2849</v>
      </c>
      <c r="G191" s="656"/>
      <c r="H191" s="656" t="s">
        <v>2849</v>
      </c>
      <c r="I191" s="656"/>
      <c r="J191" s="656" t="s">
        <v>459</v>
      </c>
      <c r="K191" s="656"/>
      <c r="L191" s="656"/>
      <c r="M191" s="657" t="s">
        <v>15517</v>
      </c>
      <c r="N191" s="1482">
        <v>123</v>
      </c>
      <c r="O191" s="656" t="s">
        <v>498</v>
      </c>
      <c r="P191" s="656" t="s">
        <v>13052</v>
      </c>
      <c r="Q191" s="656">
        <v>44245.345694444448</v>
      </c>
    </row>
    <row r="192" spans="1:17">
      <c r="A192" s="656" t="s">
        <v>15679</v>
      </c>
      <c r="B192" s="657" t="s">
        <v>504</v>
      </c>
      <c r="C192" s="656" t="s">
        <v>15680</v>
      </c>
      <c r="D192" s="657" t="s">
        <v>13789</v>
      </c>
      <c r="E192" s="657" t="s">
        <v>7435</v>
      </c>
      <c r="F192" s="656" t="s">
        <v>2849</v>
      </c>
      <c r="G192" s="656"/>
      <c r="H192" s="656" t="s">
        <v>2849</v>
      </c>
      <c r="I192" s="656"/>
      <c r="J192" s="656" t="s">
        <v>459</v>
      </c>
      <c r="K192" s="656"/>
      <c r="L192" s="656"/>
      <c r="M192" s="657" t="s">
        <v>15517</v>
      </c>
      <c r="N192" s="1482">
        <v>132</v>
      </c>
      <c r="O192" s="656" t="s">
        <v>498</v>
      </c>
      <c r="P192" s="656" t="s">
        <v>13052</v>
      </c>
      <c r="Q192" s="656">
        <v>44245.345682870371</v>
      </c>
    </row>
    <row r="193" spans="1:17">
      <c r="A193" s="656" t="s">
        <v>15677</v>
      </c>
      <c r="B193" s="657" t="s">
        <v>202</v>
      </c>
      <c r="C193" s="656" t="s">
        <v>9685</v>
      </c>
      <c r="D193" s="657" t="s">
        <v>13789</v>
      </c>
      <c r="E193" s="657" t="s">
        <v>7435</v>
      </c>
      <c r="F193" s="656" t="s">
        <v>2849</v>
      </c>
      <c r="G193" s="656"/>
      <c r="H193" s="656" t="s">
        <v>2849</v>
      </c>
      <c r="I193" s="656"/>
      <c r="J193" s="656" t="s">
        <v>459</v>
      </c>
      <c r="K193" s="656"/>
      <c r="L193" s="656"/>
      <c r="M193" s="657" t="s">
        <v>15517</v>
      </c>
      <c r="N193" s="1482">
        <v>122</v>
      </c>
      <c r="O193" s="656" t="s">
        <v>498</v>
      </c>
      <c r="P193" s="656" t="s">
        <v>13052</v>
      </c>
      <c r="Q193" s="656">
        <v>44245.344907407409</v>
      </c>
    </row>
    <row r="194" spans="1:17">
      <c r="A194" s="656" t="s">
        <v>15678</v>
      </c>
      <c r="B194" s="657" t="s">
        <v>504</v>
      </c>
      <c r="C194" s="656" t="s">
        <v>9685</v>
      </c>
      <c r="D194" s="657" t="s">
        <v>13789</v>
      </c>
      <c r="E194" s="657" t="s">
        <v>7435</v>
      </c>
      <c r="F194" s="656" t="s">
        <v>2849</v>
      </c>
      <c r="G194" s="656"/>
      <c r="H194" s="656" t="s">
        <v>2849</v>
      </c>
      <c r="I194" s="656"/>
      <c r="J194" s="656" t="s">
        <v>459</v>
      </c>
      <c r="K194" s="656"/>
      <c r="L194" s="656"/>
      <c r="M194" s="657" t="s">
        <v>15517</v>
      </c>
      <c r="N194" s="1482">
        <v>131</v>
      </c>
      <c r="O194" s="656" t="s">
        <v>498</v>
      </c>
      <c r="P194" s="656" t="s">
        <v>13052</v>
      </c>
      <c r="Q194" s="656">
        <v>44245.344918981478</v>
      </c>
    </row>
    <row r="195" spans="1:17">
      <c r="A195" s="656" t="s">
        <v>15676</v>
      </c>
      <c r="B195" s="657" t="s">
        <v>202</v>
      </c>
      <c r="C195" s="656" t="s">
        <v>15675</v>
      </c>
      <c r="D195" s="657" t="s">
        <v>13789</v>
      </c>
      <c r="E195" s="657" t="s">
        <v>7435</v>
      </c>
      <c r="F195" s="656" t="s">
        <v>2849</v>
      </c>
      <c r="G195" s="656"/>
      <c r="H195" s="656" t="s">
        <v>2849</v>
      </c>
      <c r="I195" s="656"/>
      <c r="J195" s="656" t="s">
        <v>459</v>
      </c>
      <c r="K195" s="656"/>
      <c r="L195" s="656"/>
      <c r="M195" s="657" t="s">
        <v>15517</v>
      </c>
      <c r="N195" s="1482">
        <v>121</v>
      </c>
      <c r="O195" s="656" t="s">
        <v>498</v>
      </c>
      <c r="P195" s="656" t="s">
        <v>13052</v>
      </c>
      <c r="Q195" s="656">
        <v>44245.343923611108</v>
      </c>
    </row>
    <row r="196" spans="1:17">
      <c r="A196" s="656" t="s">
        <v>15674</v>
      </c>
      <c r="B196" s="657" t="s">
        <v>504</v>
      </c>
      <c r="C196" s="656" t="s">
        <v>15675</v>
      </c>
      <c r="D196" s="657" t="s">
        <v>13789</v>
      </c>
      <c r="E196" s="657" t="s">
        <v>7435</v>
      </c>
      <c r="F196" s="656" t="s">
        <v>2849</v>
      </c>
      <c r="G196" s="656"/>
      <c r="H196" s="656" t="s">
        <v>2849</v>
      </c>
      <c r="I196" s="656"/>
      <c r="J196" s="656" t="s">
        <v>459</v>
      </c>
      <c r="K196" s="656"/>
      <c r="L196" s="656"/>
      <c r="M196" s="657" t="s">
        <v>15517</v>
      </c>
      <c r="N196" s="1482">
        <v>130</v>
      </c>
      <c r="O196" s="656" t="s">
        <v>498</v>
      </c>
      <c r="P196" s="656" t="s">
        <v>13052</v>
      </c>
      <c r="Q196" s="656">
        <v>44245.343912037039</v>
      </c>
    </row>
    <row r="197" spans="1:17">
      <c r="A197" s="656" t="s">
        <v>15673</v>
      </c>
      <c r="B197" s="657" t="s">
        <v>202</v>
      </c>
      <c r="C197" s="656" t="s">
        <v>15672</v>
      </c>
      <c r="D197" s="657" t="s">
        <v>13789</v>
      </c>
      <c r="E197" s="657" t="s">
        <v>7435</v>
      </c>
      <c r="F197" s="656" t="s">
        <v>2849</v>
      </c>
      <c r="G197" s="656"/>
      <c r="H197" s="656" t="s">
        <v>2849</v>
      </c>
      <c r="I197" s="656"/>
      <c r="J197" s="656" t="s">
        <v>459</v>
      </c>
      <c r="K197" s="656"/>
      <c r="L197" s="656"/>
      <c r="M197" s="657" t="s">
        <v>15517</v>
      </c>
      <c r="N197" s="1482">
        <v>119</v>
      </c>
      <c r="O197" s="656" t="s">
        <v>498</v>
      </c>
      <c r="P197" s="656" t="s">
        <v>13052</v>
      </c>
      <c r="Q197" s="656">
        <v>44244.698298611111</v>
      </c>
    </row>
    <row r="198" spans="1:17">
      <c r="A198" s="656" t="s">
        <v>15671</v>
      </c>
      <c r="B198" s="657" t="s">
        <v>504</v>
      </c>
      <c r="C198" s="656" t="s">
        <v>15672</v>
      </c>
      <c r="D198" s="657" t="s">
        <v>13789</v>
      </c>
      <c r="E198" s="657" t="s">
        <v>7435</v>
      </c>
      <c r="F198" s="656" t="s">
        <v>2849</v>
      </c>
      <c r="G198" s="656"/>
      <c r="H198" s="656" t="s">
        <v>2849</v>
      </c>
      <c r="I198" s="656"/>
      <c r="J198" s="656" t="s">
        <v>459</v>
      </c>
      <c r="K198" s="656"/>
      <c r="L198" s="656"/>
      <c r="M198" s="657" t="s">
        <v>15517</v>
      </c>
      <c r="N198" s="1482">
        <v>120</v>
      </c>
      <c r="O198" s="656" t="s">
        <v>498</v>
      </c>
      <c r="P198" s="656" t="s">
        <v>13052</v>
      </c>
      <c r="Q198" s="656">
        <v>44244.698287037034</v>
      </c>
    </row>
    <row r="199" spans="1:17">
      <c r="A199" s="656" t="s">
        <v>15669</v>
      </c>
      <c r="B199" s="657" t="s">
        <v>202</v>
      </c>
      <c r="C199" s="656" t="s">
        <v>15670</v>
      </c>
      <c r="D199" s="657" t="s">
        <v>13789</v>
      </c>
      <c r="E199" s="657" t="s">
        <v>7435</v>
      </c>
      <c r="F199" s="656" t="s">
        <v>2849</v>
      </c>
      <c r="G199" s="656" t="s">
        <v>717</v>
      </c>
      <c r="H199" s="656" t="s">
        <v>2849</v>
      </c>
      <c r="I199" s="656" t="s">
        <v>13051</v>
      </c>
      <c r="J199" s="656" t="s">
        <v>12373</v>
      </c>
      <c r="K199" s="656"/>
      <c r="L199" s="656"/>
      <c r="M199" s="657" t="s">
        <v>15533</v>
      </c>
      <c r="N199" s="1482">
        <v>88</v>
      </c>
      <c r="O199" s="656" t="s">
        <v>498</v>
      </c>
      <c r="P199" s="656" t="s">
        <v>13052</v>
      </c>
      <c r="Q199" s="656">
        <v>44244.690046296295</v>
      </c>
    </row>
    <row r="200" spans="1:17">
      <c r="A200" s="656" t="s">
        <v>15662</v>
      </c>
      <c r="B200" s="657" t="s">
        <v>202</v>
      </c>
      <c r="C200" s="656" t="s">
        <v>15663</v>
      </c>
      <c r="D200" s="657" t="s">
        <v>13789</v>
      </c>
      <c r="E200" s="657" t="s">
        <v>7435</v>
      </c>
      <c r="F200" s="656" t="s">
        <v>2849</v>
      </c>
      <c r="G200" s="656"/>
      <c r="H200" s="656" t="s">
        <v>2849</v>
      </c>
      <c r="I200" s="656"/>
      <c r="J200" s="656" t="s">
        <v>459</v>
      </c>
      <c r="K200" s="656"/>
      <c r="L200" s="656"/>
      <c r="M200" s="657" t="s">
        <v>15517</v>
      </c>
      <c r="N200" s="1482">
        <v>102</v>
      </c>
      <c r="O200" s="656" t="s">
        <v>498</v>
      </c>
      <c r="P200" s="656" t="s">
        <v>13052</v>
      </c>
      <c r="Q200" s="656">
        <v>44244.589861111112</v>
      </c>
    </row>
    <row r="201" spans="1:17">
      <c r="A201" s="656" t="s">
        <v>15664</v>
      </c>
      <c r="B201" s="657" t="s">
        <v>504</v>
      </c>
      <c r="C201" s="656" t="s">
        <v>15663</v>
      </c>
      <c r="D201" s="657" t="s">
        <v>13789</v>
      </c>
      <c r="E201" s="657" t="s">
        <v>7435</v>
      </c>
      <c r="F201" s="656" t="s">
        <v>2849</v>
      </c>
      <c r="G201" s="656"/>
      <c r="H201" s="656" t="s">
        <v>2849</v>
      </c>
      <c r="I201" s="656"/>
      <c r="J201" s="656" t="s">
        <v>459</v>
      </c>
      <c r="K201" s="656"/>
      <c r="L201" s="656"/>
      <c r="M201" s="657" t="s">
        <v>15517</v>
      </c>
      <c r="N201" s="1482">
        <v>116</v>
      </c>
      <c r="O201" s="656" t="s">
        <v>498</v>
      </c>
      <c r="P201" s="656" t="s">
        <v>13052</v>
      </c>
      <c r="Q201" s="656">
        <v>44244.589861111112</v>
      </c>
    </row>
    <row r="202" spans="1:17">
      <c r="A202" s="656" t="s">
        <v>15660</v>
      </c>
      <c r="B202" s="657" t="s">
        <v>202</v>
      </c>
      <c r="C202" s="656" t="s">
        <v>12570</v>
      </c>
      <c r="D202" s="657" t="s">
        <v>13789</v>
      </c>
      <c r="E202" s="657" t="s">
        <v>7435</v>
      </c>
      <c r="F202" s="656" t="s">
        <v>2849</v>
      </c>
      <c r="G202" s="656"/>
      <c r="H202" s="656" t="s">
        <v>2849</v>
      </c>
      <c r="I202" s="656"/>
      <c r="J202" s="656" t="s">
        <v>459</v>
      </c>
      <c r="K202" s="656"/>
      <c r="L202" s="656"/>
      <c r="M202" s="657" t="s">
        <v>15517</v>
      </c>
      <c r="N202" s="1482">
        <v>101</v>
      </c>
      <c r="O202" s="656" t="s">
        <v>498</v>
      </c>
      <c r="P202" s="656" t="s">
        <v>13052</v>
      </c>
      <c r="Q202" s="656">
        <v>44244.589016203703</v>
      </c>
    </row>
    <row r="203" spans="1:17">
      <c r="A203" s="656" t="s">
        <v>15661</v>
      </c>
      <c r="B203" s="657" t="s">
        <v>504</v>
      </c>
      <c r="C203" s="656" t="s">
        <v>12570</v>
      </c>
      <c r="D203" s="657" t="s">
        <v>13789</v>
      </c>
      <c r="E203" s="657" t="s">
        <v>7435</v>
      </c>
      <c r="F203" s="656" t="s">
        <v>2849</v>
      </c>
      <c r="G203" s="656"/>
      <c r="H203" s="656" t="s">
        <v>2849</v>
      </c>
      <c r="I203" s="656"/>
      <c r="J203" s="656" t="s">
        <v>459</v>
      </c>
      <c r="K203" s="656"/>
      <c r="L203" s="656"/>
      <c r="M203" s="657" t="s">
        <v>15517</v>
      </c>
      <c r="N203" s="1482">
        <v>115</v>
      </c>
      <c r="O203" s="656" t="s">
        <v>498</v>
      </c>
      <c r="P203" s="656" t="s">
        <v>13052</v>
      </c>
      <c r="Q203" s="656">
        <v>44244.589016203703</v>
      </c>
    </row>
    <row r="204" spans="1:17">
      <c r="A204" s="656" t="s">
        <v>15657</v>
      </c>
      <c r="B204" s="657" t="s">
        <v>202</v>
      </c>
      <c r="C204" s="656" t="s">
        <v>15658</v>
      </c>
      <c r="D204" s="657" t="s">
        <v>13789</v>
      </c>
      <c r="E204" s="657" t="s">
        <v>7435</v>
      </c>
      <c r="F204" s="656" t="s">
        <v>2849</v>
      </c>
      <c r="G204" s="656"/>
      <c r="H204" s="656" t="s">
        <v>2849</v>
      </c>
      <c r="I204" s="656"/>
      <c r="J204" s="656" t="s">
        <v>459</v>
      </c>
      <c r="K204" s="656"/>
      <c r="L204" s="656"/>
      <c r="M204" s="657" t="s">
        <v>15517</v>
      </c>
      <c r="N204" s="1482">
        <v>100</v>
      </c>
      <c r="O204" s="656" t="s">
        <v>498</v>
      </c>
      <c r="P204" s="656" t="s">
        <v>13052</v>
      </c>
      <c r="Q204" s="656">
        <v>44244.58766203704</v>
      </c>
    </row>
    <row r="205" spans="1:17">
      <c r="A205" s="656" t="s">
        <v>15659</v>
      </c>
      <c r="B205" s="657" t="s">
        <v>504</v>
      </c>
      <c r="C205" s="656" t="s">
        <v>15658</v>
      </c>
      <c r="D205" s="657" t="s">
        <v>13789</v>
      </c>
      <c r="E205" s="657" t="s">
        <v>7435</v>
      </c>
      <c r="F205" s="656" t="s">
        <v>2849</v>
      </c>
      <c r="G205" s="656"/>
      <c r="H205" s="656" t="s">
        <v>2849</v>
      </c>
      <c r="I205" s="656"/>
      <c r="J205" s="656" t="s">
        <v>459</v>
      </c>
      <c r="K205" s="656"/>
      <c r="L205" s="656"/>
      <c r="M205" s="657" t="s">
        <v>15517</v>
      </c>
      <c r="N205" s="1482">
        <v>114</v>
      </c>
      <c r="O205" s="656" t="s">
        <v>498</v>
      </c>
      <c r="P205" s="656" t="s">
        <v>13052</v>
      </c>
      <c r="Q205" s="656">
        <v>44244.587743055556</v>
      </c>
    </row>
    <row r="206" spans="1:17">
      <c r="A206" s="656" t="s">
        <v>15654</v>
      </c>
      <c r="B206" s="657" t="s">
        <v>202</v>
      </c>
      <c r="C206" s="656" t="s">
        <v>15655</v>
      </c>
      <c r="D206" s="657" t="s">
        <v>13789</v>
      </c>
      <c r="E206" s="657" t="s">
        <v>7435</v>
      </c>
      <c r="F206" s="656" t="s">
        <v>2849</v>
      </c>
      <c r="G206" s="656"/>
      <c r="H206" s="656" t="s">
        <v>2849</v>
      </c>
      <c r="I206" s="656"/>
      <c r="J206" s="656" t="s">
        <v>459</v>
      </c>
      <c r="K206" s="656"/>
      <c r="L206" s="656"/>
      <c r="M206" s="657" t="s">
        <v>15517</v>
      </c>
      <c r="N206" s="1482">
        <v>99</v>
      </c>
      <c r="O206" s="656" t="s">
        <v>498</v>
      </c>
      <c r="P206" s="656" t="s">
        <v>13052</v>
      </c>
      <c r="Q206" s="656">
        <v>44244.587094907409</v>
      </c>
    </row>
    <row r="207" spans="1:17">
      <c r="A207" s="656" t="s">
        <v>15656</v>
      </c>
      <c r="B207" s="657" t="s">
        <v>504</v>
      </c>
      <c r="C207" s="656" t="s">
        <v>15655</v>
      </c>
      <c r="D207" s="657" t="s">
        <v>13789</v>
      </c>
      <c r="E207" s="657" t="s">
        <v>7435</v>
      </c>
      <c r="F207" s="656" t="s">
        <v>2849</v>
      </c>
      <c r="G207" s="656"/>
      <c r="H207" s="656" t="s">
        <v>2849</v>
      </c>
      <c r="I207" s="656"/>
      <c r="J207" s="656" t="s">
        <v>459</v>
      </c>
      <c r="K207" s="656"/>
      <c r="L207" s="656"/>
      <c r="M207" s="657" t="s">
        <v>15517</v>
      </c>
      <c r="N207" s="1482">
        <v>113</v>
      </c>
      <c r="O207" s="656" t="s">
        <v>498</v>
      </c>
      <c r="P207" s="656" t="s">
        <v>13052</v>
      </c>
      <c r="Q207" s="656">
        <v>44244.587094907409</v>
      </c>
    </row>
    <row r="208" spans="1:17">
      <c r="A208" s="656" t="s">
        <v>15650</v>
      </c>
      <c r="B208" s="657" t="s">
        <v>202</v>
      </c>
      <c r="C208" s="656" t="s">
        <v>15651</v>
      </c>
      <c r="D208" s="657" t="s">
        <v>13789</v>
      </c>
      <c r="E208" s="657" t="s">
        <v>7435</v>
      </c>
      <c r="F208" s="656" t="s">
        <v>2849</v>
      </c>
      <c r="G208" s="656"/>
      <c r="H208" s="656" t="s">
        <v>2849</v>
      </c>
      <c r="I208" s="656"/>
      <c r="J208" s="656" t="s">
        <v>459</v>
      </c>
      <c r="K208" s="656"/>
      <c r="L208" s="656"/>
      <c r="M208" s="657" t="s">
        <v>15517</v>
      </c>
      <c r="N208" s="1482">
        <v>98</v>
      </c>
      <c r="O208" s="656" t="s">
        <v>498</v>
      </c>
      <c r="P208" s="656" t="s">
        <v>13052</v>
      </c>
      <c r="Q208" s="656">
        <v>44244.583599537036</v>
      </c>
    </row>
    <row r="209" spans="1:17">
      <c r="A209" s="656" t="s">
        <v>15653</v>
      </c>
      <c r="B209" s="657" t="s">
        <v>504</v>
      </c>
      <c r="C209" s="656" t="s">
        <v>15651</v>
      </c>
      <c r="D209" s="657" t="s">
        <v>13789</v>
      </c>
      <c r="E209" s="657" t="s">
        <v>7435</v>
      </c>
      <c r="F209" s="656" t="s">
        <v>2849</v>
      </c>
      <c r="G209" s="656"/>
      <c r="H209" s="656" t="s">
        <v>2849</v>
      </c>
      <c r="I209" s="656"/>
      <c r="J209" s="656" t="s">
        <v>459</v>
      </c>
      <c r="K209" s="656"/>
      <c r="L209" s="656"/>
      <c r="M209" s="657" t="s">
        <v>15517</v>
      </c>
      <c r="N209" s="1482">
        <v>112</v>
      </c>
      <c r="O209" s="656" t="s">
        <v>498</v>
      </c>
      <c r="P209" s="656" t="s">
        <v>13052</v>
      </c>
      <c r="Q209" s="656">
        <v>44244.584351851852</v>
      </c>
    </row>
    <row r="210" spans="1:17">
      <c r="A210" s="656" t="s">
        <v>15648</v>
      </c>
      <c r="B210" s="657" t="s">
        <v>202</v>
      </c>
      <c r="C210" s="656" t="s">
        <v>15649</v>
      </c>
      <c r="D210" s="657" t="s">
        <v>13789</v>
      </c>
      <c r="E210" s="657" t="s">
        <v>7435</v>
      </c>
      <c r="F210" s="656" t="s">
        <v>2849</v>
      </c>
      <c r="G210" s="656"/>
      <c r="H210" s="656" t="s">
        <v>2849</v>
      </c>
      <c r="I210" s="656"/>
      <c r="J210" s="656" t="s">
        <v>459</v>
      </c>
      <c r="K210" s="656"/>
      <c r="L210" s="656"/>
      <c r="M210" s="657" t="s">
        <v>15517</v>
      </c>
      <c r="N210" s="1482">
        <v>97</v>
      </c>
      <c r="O210" s="656" t="s">
        <v>498</v>
      </c>
      <c r="P210" s="656" t="s">
        <v>13052</v>
      </c>
      <c r="Q210" s="656">
        <v>44244.583194444444</v>
      </c>
    </row>
    <row r="211" spans="1:17">
      <c r="A211" s="656" t="s">
        <v>15652</v>
      </c>
      <c r="B211" s="657" t="s">
        <v>504</v>
      </c>
      <c r="C211" s="656" t="s">
        <v>15649</v>
      </c>
      <c r="D211" s="657" t="s">
        <v>13789</v>
      </c>
      <c r="E211" s="657" t="s">
        <v>7435</v>
      </c>
      <c r="F211" s="656" t="s">
        <v>2849</v>
      </c>
      <c r="G211" s="656"/>
      <c r="H211" s="656" t="s">
        <v>2849</v>
      </c>
      <c r="I211" s="656"/>
      <c r="J211" s="656" t="s">
        <v>459</v>
      </c>
      <c r="K211" s="656"/>
      <c r="L211" s="656"/>
      <c r="M211" s="657" t="s">
        <v>15517</v>
      </c>
      <c r="N211" s="1482">
        <v>111</v>
      </c>
      <c r="O211" s="656" t="s">
        <v>498</v>
      </c>
      <c r="P211" s="656" t="s">
        <v>13052</v>
      </c>
      <c r="Q211" s="656">
        <v>44244.583599537036</v>
      </c>
    </row>
    <row r="212" spans="1:17">
      <c r="A212" s="656" t="s">
        <v>16075</v>
      </c>
      <c r="B212" s="657" t="s">
        <v>202</v>
      </c>
      <c r="C212" s="656" t="s">
        <v>16076</v>
      </c>
      <c r="D212" s="657" t="s">
        <v>14978</v>
      </c>
      <c r="E212" s="657" t="s">
        <v>7435</v>
      </c>
      <c r="F212" s="656" t="s">
        <v>2849</v>
      </c>
      <c r="G212" s="656"/>
      <c r="H212" s="656" t="s">
        <v>2849</v>
      </c>
      <c r="I212" s="656"/>
      <c r="J212" s="656" t="s">
        <v>463</v>
      </c>
      <c r="K212" s="656"/>
      <c r="L212" s="656" t="s">
        <v>15645</v>
      </c>
      <c r="M212" s="657" t="s">
        <v>15517</v>
      </c>
      <c r="N212" s="1482">
        <v>96</v>
      </c>
      <c r="O212" s="656" t="s">
        <v>498</v>
      </c>
      <c r="P212" s="656" t="s">
        <v>13052</v>
      </c>
      <c r="Q212" s="656">
        <v>44288.726284722223</v>
      </c>
    </row>
    <row r="213" spans="1:17">
      <c r="A213" s="656" t="s">
        <v>15645</v>
      </c>
      <c r="B213" s="657" t="s">
        <v>202</v>
      </c>
      <c r="C213" s="656" t="s">
        <v>16074</v>
      </c>
      <c r="D213" s="657" t="s">
        <v>14977</v>
      </c>
      <c r="E213" s="657" t="s">
        <v>7435</v>
      </c>
      <c r="F213" s="656" t="s">
        <v>2849</v>
      </c>
      <c r="G213" s="656"/>
      <c r="H213" s="656" t="s">
        <v>2849</v>
      </c>
      <c r="I213" s="656"/>
      <c r="J213" s="656" t="s">
        <v>463</v>
      </c>
      <c r="K213" s="656"/>
      <c r="L213" s="656"/>
      <c r="M213" s="657" t="s">
        <v>15517</v>
      </c>
      <c r="N213" s="1482">
        <v>96</v>
      </c>
      <c r="O213" s="656" t="s">
        <v>498</v>
      </c>
      <c r="P213" s="656" t="s">
        <v>13052</v>
      </c>
      <c r="Q213" s="656">
        <v>44244.579571759263</v>
      </c>
    </row>
    <row r="214" spans="1:17">
      <c r="A214" s="656" t="s">
        <v>15647</v>
      </c>
      <c r="B214" s="657" t="s">
        <v>504</v>
      </c>
      <c r="C214" s="656" t="s">
        <v>15646</v>
      </c>
      <c r="D214" s="657" t="s">
        <v>13789</v>
      </c>
      <c r="E214" s="657" t="s">
        <v>7435</v>
      </c>
      <c r="F214" s="656" t="s">
        <v>2849</v>
      </c>
      <c r="G214" s="656"/>
      <c r="H214" s="656" t="s">
        <v>2849</v>
      </c>
      <c r="I214" s="656"/>
      <c r="J214" s="656" t="s">
        <v>463</v>
      </c>
      <c r="K214" s="656"/>
      <c r="L214" s="656"/>
      <c r="M214" s="657" t="s">
        <v>15517</v>
      </c>
      <c r="N214" s="1482">
        <v>110</v>
      </c>
      <c r="O214" s="656" t="s">
        <v>498</v>
      </c>
      <c r="P214" s="656" t="s">
        <v>13052</v>
      </c>
      <c r="Q214" s="656">
        <v>44244.580092592594</v>
      </c>
    </row>
    <row r="215" spans="1:17">
      <c r="A215" s="656" t="s">
        <v>15642</v>
      </c>
      <c r="B215" s="657" t="s">
        <v>202</v>
      </c>
      <c r="C215" s="656" t="s">
        <v>15643</v>
      </c>
      <c r="D215" s="657" t="s">
        <v>13789</v>
      </c>
      <c r="E215" s="657" t="s">
        <v>7435</v>
      </c>
      <c r="F215" s="656" t="s">
        <v>2849</v>
      </c>
      <c r="G215" s="656"/>
      <c r="H215" s="656" t="s">
        <v>2849</v>
      </c>
      <c r="I215" s="656"/>
      <c r="J215" s="656" t="s">
        <v>459</v>
      </c>
      <c r="K215" s="656"/>
      <c r="L215" s="656"/>
      <c r="M215" s="657" t="s">
        <v>15517</v>
      </c>
      <c r="N215" s="1482">
        <v>95</v>
      </c>
      <c r="O215" s="656" t="s">
        <v>498</v>
      </c>
      <c r="P215" s="656" t="s">
        <v>13052</v>
      </c>
      <c r="Q215" s="656">
        <v>44244.578715277778</v>
      </c>
    </row>
    <row r="216" spans="1:17">
      <c r="A216" s="656" t="s">
        <v>15644</v>
      </c>
      <c r="B216" s="657" t="s">
        <v>504</v>
      </c>
      <c r="C216" s="656" t="s">
        <v>15643</v>
      </c>
      <c r="D216" s="657" t="s">
        <v>13789</v>
      </c>
      <c r="E216" s="657" t="s">
        <v>7435</v>
      </c>
      <c r="F216" s="656" t="s">
        <v>2849</v>
      </c>
      <c r="G216" s="656"/>
      <c r="H216" s="656" t="s">
        <v>2849</v>
      </c>
      <c r="I216" s="656"/>
      <c r="J216" s="656" t="s">
        <v>459</v>
      </c>
      <c r="K216" s="656"/>
      <c r="L216" s="656"/>
      <c r="M216" s="657" t="s">
        <v>15517</v>
      </c>
      <c r="N216" s="1482">
        <v>109</v>
      </c>
      <c r="O216" s="656" t="s">
        <v>498</v>
      </c>
      <c r="P216" s="656" t="s">
        <v>13052</v>
      </c>
      <c r="Q216" s="656">
        <v>44244.579189814816</v>
      </c>
    </row>
    <row r="217" spans="1:17">
      <c r="A217" s="656" t="s">
        <v>15639</v>
      </c>
      <c r="B217" s="657" t="s">
        <v>202</v>
      </c>
      <c r="C217" s="656" t="s">
        <v>15640</v>
      </c>
      <c r="D217" s="657" t="s">
        <v>13789</v>
      </c>
      <c r="E217" s="657" t="s">
        <v>7435</v>
      </c>
      <c r="F217" s="656" t="s">
        <v>2849</v>
      </c>
      <c r="G217" s="656"/>
      <c r="H217" s="656" t="s">
        <v>2849</v>
      </c>
      <c r="I217" s="656"/>
      <c r="J217" s="656" t="s">
        <v>459</v>
      </c>
      <c r="K217" s="656"/>
      <c r="L217" s="656"/>
      <c r="M217" s="657" t="s">
        <v>15517</v>
      </c>
      <c r="N217" s="1482">
        <v>94</v>
      </c>
      <c r="O217" s="656" t="s">
        <v>498</v>
      </c>
      <c r="P217" s="656" t="s">
        <v>13052</v>
      </c>
      <c r="Q217" s="656">
        <v>44244.577696759261</v>
      </c>
    </row>
    <row r="218" spans="1:17">
      <c r="A218" s="656" t="s">
        <v>15641</v>
      </c>
      <c r="B218" s="657" t="s">
        <v>504</v>
      </c>
      <c r="C218" s="656" t="s">
        <v>15640</v>
      </c>
      <c r="D218" s="657" t="s">
        <v>13789</v>
      </c>
      <c r="E218" s="657" t="s">
        <v>7435</v>
      </c>
      <c r="F218" s="656" t="s">
        <v>2849</v>
      </c>
      <c r="G218" s="656"/>
      <c r="H218" s="656" t="s">
        <v>2849</v>
      </c>
      <c r="I218" s="656"/>
      <c r="J218" s="656" t="s">
        <v>459</v>
      </c>
      <c r="K218" s="656"/>
      <c r="L218" s="656"/>
      <c r="M218" s="657" t="s">
        <v>15517</v>
      </c>
      <c r="N218" s="1482">
        <v>108</v>
      </c>
      <c r="O218" s="656" t="s">
        <v>498</v>
      </c>
      <c r="P218" s="656" t="s">
        <v>13052</v>
      </c>
      <c r="Q218" s="656">
        <v>44244.578206018516</v>
      </c>
    </row>
    <row r="219" spans="1:17">
      <c r="A219" s="656" t="s">
        <v>15636</v>
      </c>
      <c r="B219" s="657" t="s">
        <v>202</v>
      </c>
      <c r="C219" s="656" t="s">
        <v>15637</v>
      </c>
      <c r="D219" s="657" t="s">
        <v>13789</v>
      </c>
      <c r="E219" s="657" t="s">
        <v>7435</v>
      </c>
      <c r="F219" s="656" t="s">
        <v>2849</v>
      </c>
      <c r="G219" s="656"/>
      <c r="H219" s="656" t="s">
        <v>2849</v>
      </c>
      <c r="I219" s="656"/>
      <c r="J219" s="656" t="s">
        <v>459</v>
      </c>
      <c r="K219" s="656"/>
      <c r="L219" s="656"/>
      <c r="M219" s="657" t="s">
        <v>15517</v>
      </c>
      <c r="N219" s="1482">
        <v>93</v>
      </c>
      <c r="O219" s="656" t="s">
        <v>498</v>
      </c>
      <c r="P219" s="656" t="s">
        <v>13052</v>
      </c>
      <c r="Q219" s="656">
        <v>44244.577199074076</v>
      </c>
    </row>
    <row r="220" spans="1:17">
      <c r="A220" s="656" t="s">
        <v>15638</v>
      </c>
      <c r="B220" s="657" t="s">
        <v>504</v>
      </c>
      <c r="C220" s="656" t="s">
        <v>15637</v>
      </c>
      <c r="D220" s="657" t="s">
        <v>13789</v>
      </c>
      <c r="E220" s="657" t="s">
        <v>7435</v>
      </c>
      <c r="F220" s="656" t="s">
        <v>2849</v>
      </c>
      <c r="G220" s="656"/>
      <c r="H220" s="656" t="s">
        <v>2849</v>
      </c>
      <c r="I220" s="656"/>
      <c r="J220" s="656" t="s">
        <v>459</v>
      </c>
      <c r="K220" s="656"/>
      <c r="L220" s="656"/>
      <c r="M220" s="657" t="s">
        <v>15517</v>
      </c>
      <c r="N220" s="1482">
        <v>107</v>
      </c>
      <c r="O220" s="656" t="s">
        <v>498</v>
      </c>
      <c r="P220" s="656" t="s">
        <v>13052</v>
      </c>
      <c r="Q220" s="656">
        <v>44244.577199074076</v>
      </c>
    </row>
    <row r="221" spans="1:17">
      <c r="A221" s="656" t="s">
        <v>15633</v>
      </c>
      <c r="B221" s="657" t="s">
        <v>202</v>
      </c>
      <c r="C221" s="656" t="s">
        <v>15634</v>
      </c>
      <c r="D221" s="657" t="s">
        <v>13789</v>
      </c>
      <c r="E221" s="657" t="s">
        <v>7435</v>
      </c>
      <c r="F221" s="656" t="s">
        <v>2849</v>
      </c>
      <c r="G221" s="656"/>
      <c r="H221" s="656" t="s">
        <v>2849</v>
      </c>
      <c r="I221" s="656"/>
      <c r="J221" s="656" t="s">
        <v>459</v>
      </c>
      <c r="K221" s="656"/>
      <c r="L221" s="656"/>
      <c r="M221" s="657" t="s">
        <v>15517</v>
      </c>
      <c r="N221" s="1482">
        <v>92</v>
      </c>
      <c r="O221" s="656" t="s">
        <v>498</v>
      </c>
      <c r="P221" s="656" t="s">
        <v>13052</v>
      </c>
      <c r="Q221" s="656">
        <v>44244.57608796296</v>
      </c>
    </row>
    <row r="222" spans="1:17">
      <c r="A222" s="656" t="s">
        <v>15635</v>
      </c>
      <c r="B222" s="657" t="s">
        <v>504</v>
      </c>
      <c r="C222" s="656" t="s">
        <v>15634</v>
      </c>
      <c r="D222" s="657" t="s">
        <v>13789</v>
      </c>
      <c r="E222" s="657" t="s">
        <v>7435</v>
      </c>
      <c r="F222" s="656" t="s">
        <v>2849</v>
      </c>
      <c r="G222" s="656"/>
      <c r="H222" s="656" t="s">
        <v>2849</v>
      </c>
      <c r="I222" s="656"/>
      <c r="J222" s="656" t="s">
        <v>459</v>
      </c>
      <c r="K222" s="656"/>
      <c r="L222" s="656"/>
      <c r="M222" s="657" t="s">
        <v>15517</v>
      </c>
      <c r="N222" s="1482">
        <v>106</v>
      </c>
      <c r="O222" s="656" t="s">
        <v>498</v>
      </c>
      <c r="P222" s="656" t="s">
        <v>13052</v>
      </c>
      <c r="Q222" s="656">
        <v>44244.57608796296</v>
      </c>
    </row>
    <row r="223" spans="1:17">
      <c r="A223" s="656" t="s">
        <v>15632</v>
      </c>
      <c r="B223" s="657" t="s">
        <v>202</v>
      </c>
      <c r="C223" s="656" t="s">
        <v>15631</v>
      </c>
      <c r="D223" s="657" t="s">
        <v>13789</v>
      </c>
      <c r="E223" s="657" t="s">
        <v>7435</v>
      </c>
      <c r="F223" s="656" t="s">
        <v>2849</v>
      </c>
      <c r="G223" s="656"/>
      <c r="H223" s="656" t="s">
        <v>2849</v>
      </c>
      <c r="I223" s="656"/>
      <c r="J223" s="656" t="s">
        <v>459</v>
      </c>
      <c r="K223" s="656"/>
      <c r="L223" s="656"/>
      <c r="M223" s="657" t="s">
        <v>15517</v>
      </c>
      <c r="N223" s="1482">
        <v>91</v>
      </c>
      <c r="O223" s="656" t="s">
        <v>498</v>
      </c>
      <c r="P223" s="656" t="s">
        <v>13052</v>
      </c>
      <c r="Q223" s="656">
        <v>44244.574965277781</v>
      </c>
    </row>
    <row r="224" spans="1:17">
      <c r="A224" s="656" t="s">
        <v>15630</v>
      </c>
      <c r="B224" s="657" t="s">
        <v>504</v>
      </c>
      <c r="C224" s="656" t="s">
        <v>15631</v>
      </c>
      <c r="D224" s="657" t="s">
        <v>13789</v>
      </c>
      <c r="E224" s="657" t="s">
        <v>7435</v>
      </c>
      <c r="F224" s="656" t="s">
        <v>2849</v>
      </c>
      <c r="G224" s="656"/>
      <c r="H224" s="656" t="s">
        <v>2849</v>
      </c>
      <c r="I224" s="656"/>
      <c r="J224" s="656" t="s">
        <v>459</v>
      </c>
      <c r="K224" s="656"/>
      <c r="L224" s="656"/>
      <c r="M224" s="657" t="s">
        <v>15517</v>
      </c>
      <c r="N224" s="1482">
        <v>105</v>
      </c>
      <c r="O224" s="656" t="s">
        <v>498</v>
      </c>
      <c r="P224" s="656" t="s">
        <v>13052</v>
      </c>
      <c r="Q224" s="656">
        <v>44244.574953703705</v>
      </c>
    </row>
    <row r="225" spans="1:17">
      <c r="A225" s="656" t="s">
        <v>15629</v>
      </c>
      <c r="B225" s="657" t="s">
        <v>202</v>
      </c>
      <c r="C225" s="656" t="s">
        <v>15628</v>
      </c>
      <c r="D225" s="657" t="s">
        <v>13789</v>
      </c>
      <c r="E225" s="657" t="s">
        <v>7435</v>
      </c>
      <c r="F225" s="656" t="s">
        <v>2849</v>
      </c>
      <c r="G225" s="656"/>
      <c r="H225" s="656" t="s">
        <v>2849</v>
      </c>
      <c r="I225" s="656"/>
      <c r="J225" s="656" t="s">
        <v>459</v>
      </c>
      <c r="K225" s="656"/>
      <c r="L225" s="656"/>
      <c r="M225" s="657" t="s">
        <v>15517</v>
      </c>
      <c r="N225" s="1482">
        <v>90</v>
      </c>
      <c r="O225" s="656" t="s">
        <v>498</v>
      </c>
      <c r="P225" s="656" t="s">
        <v>13052</v>
      </c>
      <c r="Q225" s="656">
        <v>44244.573946759258</v>
      </c>
    </row>
    <row r="226" spans="1:17">
      <c r="A226" s="656" t="s">
        <v>15627</v>
      </c>
      <c r="B226" s="657" t="s">
        <v>504</v>
      </c>
      <c r="C226" s="656" t="s">
        <v>15628</v>
      </c>
      <c r="D226" s="657" t="s">
        <v>13789</v>
      </c>
      <c r="E226" s="657" t="s">
        <v>7435</v>
      </c>
      <c r="F226" s="656" t="s">
        <v>2849</v>
      </c>
      <c r="G226" s="656"/>
      <c r="H226" s="656" t="s">
        <v>2849</v>
      </c>
      <c r="I226" s="656"/>
      <c r="J226" s="656" t="s">
        <v>459</v>
      </c>
      <c r="K226" s="656"/>
      <c r="L226" s="656"/>
      <c r="M226" s="657" t="s">
        <v>15517</v>
      </c>
      <c r="N226" s="1482">
        <v>104</v>
      </c>
      <c r="O226" s="656" t="s">
        <v>498</v>
      </c>
      <c r="P226" s="656" t="s">
        <v>13052</v>
      </c>
      <c r="Q226" s="656">
        <v>44244.573946759258</v>
      </c>
    </row>
    <row r="227" spans="1:17">
      <c r="A227" s="656" t="s">
        <v>15626</v>
      </c>
      <c r="B227" s="657" t="s">
        <v>202</v>
      </c>
      <c r="C227" s="656" t="s">
        <v>15625</v>
      </c>
      <c r="D227" s="657" t="s">
        <v>13789</v>
      </c>
      <c r="E227" s="657" t="s">
        <v>7435</v>
      </c>
      <c r="F227" s="656" t="s">
        <v>2849</v>
      </c>
      <c r="G227" s="656"/>
      <c r="H227" s="656" t="s">
        <v>2849</v>
      </c>
      <c r="I227" s="656"/>
      <c r="J227" s="656" t="s">
        <v>532</v>
      </c>
      <c r="K227" s="656"/>
      <c r="L227" s="656"/>
      <c r="M227" s="657" t="s">
        <v>15517</v>
      </c>
      <c r="N227" s="1482">
        <v>89</v>
      </c>
      <c r="O227" s="656" t="s">
        <v>498</v>
      </c>
      <c r="P227" s="656" t="s">
        <v>13052</v>
      </c>
      <c r="Q227" s="656">
        <v>44244.516134259262</v>
      </c>
    </row>
    <row r="228" spans="1:17">
      <c r="A228" s="656" t="s">
        <v>15624</v>
      </c>
      <c r="B228" s="657" t="s">
        <v>504</v>
      </c>
      <c r="C228" s="656" t="s">
        <v>15625</v>
      </c>
      <c r="D228" s="657" t="s">
        <v>13789</v>
      </c>
      <c r="E228" s="657" t="s">
        <v>7435</v>
      </c>
      <c r="F228" s="656" t="s">
        <v>2849</v>
      </c>
      <c r="G228" s="656"/>
      <c r="H228" s="656" t="s">
        <v>2849</v>
      </c>
      <c r="I228" s="656"/>
      <c r="J228" s="656" t="s">
        <v>532</v>
      </c>
      <c r="K228" s="656"/>
      <c r="L228" s="656"/>
      <c r="M228" s="657" t="s">
        <v>15517</v>
      </c>
      <c r="N228" s="1482">
        <v>103</v>
      </c>
      <c r="O228" s="656" t="s">
        <v>498</v>
      </c>
      <c r="P228" s="656" t="s">
        <v>13052</v>
      </c>
      <c r="Q228" s="656">
        <v>44244.516134259262</v>
      </c>
    </row>
    <row r="229" spans="1:17">
      <c r="A229" s="656" t="s">
        <v>15622</v>
      </c>
      <c r="B229" s="657" t="s">
        <v>202</v>
      </c>
      <c r="C229" s="656" t="s">
        <v>15623</v>
      </c>
      <c r="D229" s="657" t="s">
        <v>13789</v>
      </c>
      <c r="E229" s="657" t="s">
        <v>7435</v>
      </c>
      <c r="F229" s="656" t="s">
        <v>537</v>
      </c>
      <c r="G229" s="656"/>
      <c r="H229" s="656" t="s">
        <v>537</v>
      </c>
      <c r="I229" s="656"/>
      <c r="J229" s="656" t="s">
        <v>473</v>
      </c>
      <c r="K229" s="656"/>
      <c r="L229" s="656"/>
      <c r="M229" s="657" t="s">
        <v>3796</v>
      </c>
      <c r="N229" s="1482">
        <v>87</v>
      </c>
      <c r="O229" s="656" t="s">
        <v>498</v>
      </c>
      <c r="P229" s="656" t="s">
        <v>13052</v>
      </c>
      <c r="Q229" s="656">
        <v>44244.464756944442</v>
      </c>
    </row>
    <row r="230" spans="1:17">
      <c r="A230" s="656" t="s">
        <v>15620</v>
      </c>
      <c r="B230" s="657" t="s">
        <v>202</v>
      </c>
      <c r="C230" s="656" t="s">
        <v>15621</v>
      </c>
      <c r="D230" s="657" t="s">
        <v>13789</v>
      </c>
      <c r="E230" s="657" t="s">
        <v>7437</v>
      </c>
      <c r="F230" s="656" t="s">
        <v>4052</v>
      </c>
      <c r="G230" s="656" t="s">
        <v>519</v>
      </c>
      <c r="H230" s="656" t="s">
        <v>4052</v>
      </c>
      <c r="I230" s="656" t="s">
        <v>13334</v>
      </c>
      <c r="J230" s="656" t="s">
        <v>8664</v>
      </c>
      <c r="K230" s="656"/>
      <c r="L230" s="656"/>
      <c r="M230" s="657" t="s">
        <v>15517</v>
      </c>
      <c r="N230" s="1482">
        <v>82</v>
      </c>
      <c r="O230" s="656" t="s">
        <v>498</v>
      </c>
      <c r="P230" s="656" t="s">
        <v>13052</v>
      </c>
      <c r="Q230" s="656">
        <v>44243.357719907406</v>
      </c>
    </row>
    <row r="231" spans="1:17">
      <c r="A231" s="656" t="s">
        <v>15617</v>
      </c>
      <c r="B231" s="657" t="s">
        <v>202</v>
      </c>
      <c r="C231" s="656" t="s">
        <v>15618</v>
      </c>
      <c r="D231" s="657" t="s">
        <v>13789</v>
      </c>
      <c r="E231" s="657" t="s">
        <v>7435</v>
      </c>
      <c r="F231" s="656" t="s">
        <v>2849</v>
      </c>
      <c r="G231" s="656"/>
      <c r="H231" s="656" t="s">
        <v>2849</v>
      </c>
      <c r="I231" s="656"/>
      <c r="J231" s="656" t="s">
        <v>12822</v>
      </c>
      <c r="K231" s="656"/>
      <c r="L231" s="656"/>
      <c r="M231" s="657" t="s">
        <v>15517</v>
      </c>
      <c r="N231" s="1482">
        <v>80</v>
      </c>
      <c r="O231" s="656" t="s">
        <v>498</v>
      </c>
      <c r="P231" s="656" t="s">
        <v>13052</v>
      </c>
      <c r="Q231" s="656">
        <v>44243.356574074074</v>
      </c>
    </row>
    <row r="232" spans="1:17">
      <c r="A232" s="656" t="s">
        <v>15619</v>
      </c>
      <c r="B232" s="657" t="s">
        <v>504</v>
      </c>
      <c r="C232" s="656" t="s">
        <v>15618</v>
      </c>
      <c r="D232" s="657" t="s">
        <v>13789</v>
      </c>
      <c r="E232" s="657" t="s">
        <v>7435</v>
      </c>
      <c r="F232" s="656" t="s">
        <v>2849</v>
      </c>
      <c r="G232" s="656"/>
      <c r="H232" s="656" t="s">
        <v>2849</v>
      </c>
      <c r="I232" s="656"/>
      <c r="J232" s="656" t="s">
        <v>12822</v>
      </c>
      <c r="K232" s="656"/>
      <c r="L232" s="656"/>
      <c r="M232" s="657" t="s">
        <v>15517</v>
      </c>
      <c r="N232" s="1482">
        <v>85</v>
      </c>
      <c r="O232" s="656" t="s">
        <v>498</v>
      </c>
      <c r="P232" s="656" t="s">
        <v>13052</v>
      </c>
      <c r="Q232" s="656">
        <v>44243.357025462959</v>
      </c>
    </row>
    <row r="233" spans="1:17">
      <c r="A233" s="656" t="s">
        <v>15614</v>
      </c>
      <c r="B233" s="657" t="s">
        <v>202</v>
      </c>
      <c r="C233" s="656" t="s">
        <v>15615</v>
      </c>
      <c r="D233" s="657" t="s">
        <v>13789</v>
      </c>
      <c r="E233" s="657" t="s">
        <v>7435</v>
      </c>
      <c r="F233" s="656" t="s">
        <v>2849</v>
      </c>
      <c r="G233" s="656"/>
      <c r="H233" s="656" t="s">
        <v>2849</v>
      </c>
      <c r="I233" s="656"/>
      <c r="J233" s="656" t="s">
        <v>12822</v>
      </c>
      <c r="K233" s="656"/>
      <c r="L233" s="656"/>
      <c r="M233" s="657" t="s">
        <v>15517</v>
      </c>
      <c r="N233" s="1482">
        <v>79</v>
      </c>
      <c r="O233" s="656" t="s">
        <v>498</v>
      </c>
      <c r="P233" s="656" t="s">
        <v>13052</v>
      </c>
      <c r="Q233" s="656">
        <v>44243.355347222219</v>
      </c>
    </row>
    <row r="234" spans="1:17">
      <c r="A234" s="656" t="s">
        <v>15616</v>
      </c>
      <c r="B234" s="657" t="s">
        <v>504</v>
      </c>
      <c r="C234" s="656" t="s">
        <v>15615</v>
      </c>
      <c r="D234" s="657" t="s">
        <v>13789</v>
      </c>
      <c r="E234" s="657" t="s">
        <v>7435</v>
      </c>
      <c r="F234" s="656" t="s">
        <v>2849</v>
      </c>
      <c r="G234" s="656"/>
      <c r="H234" s="656" t="s">
        <v>2849</v>
      </c>
      <c r="I234" s="656"/>
      <c r="J234" s="656" t="s">
        <v>12822</v>
      </c>
      <c r="K234" s="656"/>
      <c r="L234" s="656"/>
      <c r="M234" s="657" t="s">
        <v>15517</v>
      </c>
      <c r="N234" s="1482">
        <v>84</v>
      </c>
      <c r="O234" s="656" t="s">
        <v>498</v>
      </c>
      <c r="P234" s="656" t="s">
        <v>13052</v>
      </c>
      <c r="Q234" s="656">
        <v>44243.355868055558</v>
      </c>
    </row>
    <row r="235" spans="1:17">
      <c r="A235" s="656" t="s">
        <v>15611</v>
      </c>
      <c r="B235" s="657"/>
      <c r="C235" s="656" t="s">
        <v>15612</v>
      </c>
      <c r="D235" s="657" t="s">
        <v>13789</v>
      </c>
      <c r="E235" s="657" t="s">
        <v>7435</v>
      </c>
      <c r="F235" s="656" t="s">
        <v>2849</v>
      </c>
      <c r="G235" s="656"/>
      <c r="H235" s="656" t="s">
        <v>2849</v>
      </c>
      <c r="I235" s="656"/>
      <c r="J235" s="656" t="s">
        <v>12822</v>
      </c>
      <c r="K235" s="656"/>
      <c r="L235" s="656"/>
      <c r="M235" s="657" t="s">
        <v>15517</v>
      </c>
      <c r="N235" s="1482">
        <v>77</v>
      </c>
      <c r="O235" s="656" t="s">
        <v>498</v>
      </c>
      <c r="P235" s="656" t="s">
        <v>13052</v>
      </c>
      <c r="Q235" s="656">
        <v>44243.349722222221</v>
      </c>
    </row>
    <row r="236" spans="1:17">
      <c r="A236" s="656" t="s">
        <v>15613</v>
      </c>
      <c r="B236" s="657" t="s">
        <v>504</v>
      </c>
      <c r="C236" s="656" t="s">
        <v>15612</v>
      </c>
      <c r="D236" s="657" t="s">
        <v>13789</v>
      </c>
      <c r="E236" s="657" t="s">
        <v>7435</v>
      </c>
      <c r="F236" s="656" t="s">
        <v>2849</v>
      </c>
      <c r="G236" s="656"/>
      <c r="H236" s="656" t="s">
        <v>2849</v>
      </c>
      <c r="I236" s="656"/>
      <c r="J236" s="656" t="s">
        <v>12822</v>
      </c>
      <c r="K236" s="656"/>
      <c r="L236" s="656"/>
      <c r="M236" s="657" t="s">
        <v>15517</v>
      </c>
      <c r="N236" s="1482">
        <v>83</v>
      </c>
      <c r="O236" s="656" t="s">
        <v>498</v>
      </c>
      <c r="P236" s="656" t="s">
        <v>13052</v>
      </c>
      <c r="Q236" s="656">
        <v>44243.352743055555</v>
      </c>
    </row>
    <row r="237" spans="1:17">
      <c r="A237" s="656" t="s">
        <v>15608</v>
      </c>
      <c r="B237" s="657" t="s">
        <v>202</v>
      </c>
      <c r="C237" s="656" t="s">
        <v>15609</v>
      </c>
      <c r="D237" s="657" t="s">
        <v>13789</v>
      </c>
      <c r="E237" s="657" t="s">
        <v>7435</v>
      </c>
      <c r="F237" s="656" t="s">
        <v>442</v>
      </c>
      <c r="G237" s="656"/>
      <c r="H237" s="656" t="s">
        <v>442</v>
      </c>
      <c r="I237" s="656"/>
      <c r="J237" s="656" t="s">
        <v>12369</v>
      </c>
      <c r="K237" s="656"/>
      <c r="L237" s="656"/>
      <c r="M237" s="657" t="s">
        <v>15533</v>
      </c>
      <c r="N237" s="1482">
        <v>75</v>
      </c>
      <c r="O237" s="656" t="s">
        <v>498</v>
      </c>
      <c r="P237" s="656" t="s">
        <v>13052</v>
      </c>
      <c r="Q237" s="656">
        <v>44243.345289351855</v>
      </c>
    </row>
    <row r="238" spans="1:17">
      <c r="A238" s="656" t="s">
        <v>15896</v>
      </c>
      <c r="B238" s="657" t="s">
        <v>504</v>
      </c>
      <c r="C238" s="656" t="s">
        <v>15897</v>
      </c>
      <c r="D238" s="657" t="s">
        <v>13789</v>
      </c>
      <c r="E238" s="657" t="s">
        <v>7435</v>
      </c>
      <c r="F238" s="656"/>
      <c r="G238" s="656" t="s">
        <v>522</v>
      </c>
      <c r="H238" s="656"/>
      <c r="I238" s="656" t="s">
        <v>13051</v>
      </c>
      <c r="J238" s="656"/>
      <c r="K238" s="656"/>
      <c r="L238" s="656"/>
      <c r="M238" s="657"/>
      <c r="N238" s="1482">
        <v>225</v>
      </c>
      <c r="O238" s="656" t="s">
        <v>498</v>
      </c>
      <c r="P238" s="656" t="s">
        <v>13052</v>
      </c>
      <c r="Q238" s="656">
        <v>44279.513356481482</v>
      </c>
    </row>
    <row r="239" spans="1:17">
      <c r="A239" s="656" t="s">
        <v>15610</v>
      </c>
      <c r="B239" s="657" t="s">
        <v>202</v>
      </c>
      <c r="C239" s="656" t="s">
        <v>475</v>
      </c>
      <c r="D239" s="657" t="s">
        <v>13789</v>
      </c>
      <c r="E239" s="657" t="s">
        <v>7435</v>
      </c>
      <c r="F239" s="656" t="s">
        <v>442</v>
      </c>
      <c r="G239" s="656"/>
      <c r="H239" s="656" t="s">
        <v>442</v>
      </c>
      <c r="I239" s="656"/>
      <c r="J239" s="656" t="s">
        <v>12369</v>
      </c>
      <c r="K239" s="656"/>
      <c r="L239" s="656"/>
      <c r="M239" s="657" t="s">
        <v>15533</v>
      </c>
      <c r="N239" s="1482">
        <v>74</v>
      </c>
      <c r="O239" s="656" t="s">
        <v>498</v>
      </c>
      <c r="P239" s="656" t="s">
        <v>13052</v>
      </c>
      <c r="Q239" s="656">
        <v>44243.345300925925</v>
      </c>
    </row>
    <row r="240" spans="1:17">
      <c r="A240" s="656" t="s">
        <v>15595</v>
      </c>
      <c r="B240" s="657" t="s">
        <v>202</v>
      </c>
      <c r="C240" s="656" t="s">
        <v>15596</v>
      </c>
      <c r="D240" s="657" t="s">
        <v>13789</v>
      </c>
      <c r="E240" s="657" t="s">
        <v>7435</v>
      </c>
      <c r="F240" s="656" t="s">
        <v>2849</v>
      </c>
      <c r="G240" s="656"/>
      <c r="H240" s="656" t="s">
        <v>2849</v>
      </c>
      <c r="I240" s="656"/>
      <c r="J240" s="656" t="s">
        <v>532</v>
      </c>
      <c r="K240" s="656"/>
      <c r="L240" s="656"/>
      <c r="M240" s="657" t="s">
        <v>15517</v>
      </c>
      <c r="N240" s="1482">
        <v>65</v>
      </c>
      <c r="O240" s="656" t="s">
        <v>498</v>
      </c>
      <c r="P240" s="656" t="s">
        <v>13052</v>
      </c>
      <c r="Q240" s="656">
        <v>44239.661319444444</v>
      </c>
    </row>
    <row r="241" spans="1:17">
      <c r="A241" s="656" t="s">
        <v>15597</v>
      </c>
      <c r="B241" s="657" t="s">
        <v>504</v>
      </c>
      <c r="C241" s="656" t="s">
        <v>15596</v>
      </c>
      <c r="D241" s="657" t="s">
        <v>13789</v>
      </c>
      <c r="E241" s="657" t="s">
        <v>7435</v>
      </c>
      <c r="F241" s="656" t="s">
        <v>2849</v>
      </c>
      <c r="G241" s="656"/>
      <c r="H241" s="656" t="s">
        <v>2849</v>
      </c>
      <c r="I241" s="656"/>
      <c r="J241" s="656" t="s">
        <v>532</v>
      </c>
      <c r="K241" s="656"/>
      <c r="L241" s="656"/>
      <c r="M241" s="657" t="s">
        <v>15517</v>
      </c>
      <c r="N241" s="1482">
        <v>71</v>
      </c>
      <c r="O241" s="656" t="s">
        <v>498</v>
      </c>
      <c r="P241" s="656" t="s">
        <v>13052</v>
      </c>
      <c r="Q241" s="656">
        <v>44239.661840277775</v>
      </c>
    </row>
    <row r="242" spans="1:17">
      <c r="A242" s="656" t="s">
        <v>15592</v>
      </c>
      <c r="B242" s="657" t="s">
        <v>202</v>
      </c>
      <c r="C242" s="656" t="s">
        <v>15593</v>
      </c>
      <c r="D242" s="657" t="s">
        <v>13789</v>
      </c>
      <c r="E242" s="657" t="s">
        <v>7435</v>
      </c>
      <c r="F242" s="656" t="s">
        <v>2849</v>
      </c>
      <c r="G242" s="656"/>
      <c r="H242" s="656" t="s">
        <v>2849</v>
      </c>
      <c r="I242" s="656"/>
      <c r="J242" s="656" t="s">
        <v>532</v>
      </c>
      <c r="K242" s="656"/>
      <c r="L242" s="656"/>
      <c r="M242" s="657" t="s">
        <v>15517</v>
      </c>
      <c r="N242" s="1482">
        <v>64</v>
      </c>
      <c r="O242" s="656" t="s">
        <v>498</v>
      </c>
      <c r="P242" s="656" t="s">
        <v>13052</v>
      </c>
      <c r="Q242" s="656">
        <v>44239.65996527778</v>
      </c>
    </row>
    <row r="243" spans="1:17">
      <c r="A243" s="656" t="s">
        <v>15594</v>
      </c>
      <c r="B243" s="657" t="s">
        <v>504</v>
      </c>
      <c r="C243" s="656" t="s">
        <v>15593</v>
      </c>
      <c r="D243" s="657" t="s">
        <v>13789</v>
      </c>
      <c r="E243" s="657" t="s">
        <v>7435</v>
      </c>
      <c r="F243" s="656" t="s">
        <v>2849</v>
      </c>
      <c r="G243" s="656"/>
      <c r="H243" s="656" t="s">
        <v>2849</v>
      </c>
      <c r="I243" s="656"/>
      <c r="J243" s="656" t="s">
        <v>532</v>
      </c>
      <c r="K243" s="656"/>
      <c r="L243" s="656"/>
      <c r="M243" s="657" t="s">
        <v>15517</v>
      </c>
      <c r="N243" s="1482">
        <v>70</v>
      </c>
      <c r="O243" s="656" t="s">
        <v>498</v>
      </c>
      <c r="P243" s="656" t="s">
        <v>13052</v>
      </c>
      <c r="Q243" s="656">
        <v>44239.660532407404</v>
      </c>
    </row>
    <row r="244" spans="1:17">
      <c r="A244" s="656" t="s">
        <v>15588</v>
      </c>
      <c r="B244" s="657" t="s">
        <v>202</v>
      </c>
      <c r="C244" s="656" t="s">
        <v>15589</v>
      </c>
      <c r="D244" s="657" t="s">
        <v>13789</v>
      </c>
      <c r="E244" s="657" t="s">
        <v>7435</v>
      </c>
      <c r="F244" s="656" t="s">
        <v>2849</v>
      </c>
      <c r="G244" s="656"/>
      <c r="H244" s="656" t="s">
        <v>2849</v>
      </c>
      <c r="I244" s="656"/>
      <c r="J244" s="656" t="s">
        <v>532</v>
      </c>
      <c r="K244" s="656"/>
      <c r="L244" s="656"/>
      <c r="M244" s="657" t="s">
        <v>15517</v>
      </c>
      <c r="N244" s="1482">
        <v>63</v>
      </c>
      <c r="O244" s="656" t="s">
        <v>498</v>
      </c>
      <c r="P244" s="656" t="s">
        <v>13052</v>
      </c>
      <c r="Q244" s="656">
        <v>44239.655578703707</v>
      </c>
    </row>
    <row r="245" spans="1:17">
      <c r="A245" s="656" t="s">
        <v>15591</v>
      </c>
      <c r="B245" s="657" t="s">
        <v>504</v>
      </c>
      <c r="C245" s="656" t="s">
        <v>15589</v>
      </c>
      <c r="D245" s="657" t="s">
        <v>13789</v>
      </c>
      <c r="E245" s="657" t="s">
        <v>7435</v>
      </c>
      <c r="F245" s="656" t="s">
        <v>2849</v>
      </c>
      <c r="G245" s="656"/>
      <c r="H245" s="656" t="s">
        <v>2849</v>
      </c>
      <c r="I245" s="656"/>
      <c r="J245" s="656" t="s">
        <v>532</v>
      </c>
      <c r="K245" s="656"/>
      <c r="L245" s="656"/>
      <c r="M245" s="657" t="s">
        <v>15517</v>
      </c>
      <c r="N245" s="1482">
        <v>69</v>
      </c>
      <c r="O245" s="656" t="s">
        <v>498</v>
      </c>
      <c r="P245" s="656" t="s">
        <v>13052</v>
      </c>
      <c r="Q245" s="656">
        <v>44239.655949074076</v>
      </c>
    </row>
    <row r="246" spans="1:17">
      <c r="A246" s="656" t="s">
        <v>15586</v>
      </c>
      <c r="B246" s="657" t="s">
        <v>202</v>
      </c>
      <c r="C246" s="656" t="s">
        <v>15587</v>
      </c>
      <c r="D246" s="657" t="s">
        <v>13789</v>
      </c>
      <c r="E246" s="657" t="s">
        <v>7435</v>
      </c>
      <c r="F246" s="656" t="s">
        <v>2849</v>
      </c>
      <c r="G246" s="656"/>
      <c r="H246" s="656" t="s">
        <v>2849</v>
      </c>
      <c r="I246" s="656"/>
      <c r="J246" s="656" t="s">
        <v>12822</v>
      </c>
      <c r="K246" s="656"/>
      <c r="L246" s="656"/>
      <c r="M246" s="657" t="s">
        <v>15517</v>
      </c>
      <c r="N246" s="1482">
        <v>55</v>
      </c>
      <c r="O246" s="656" t="s">
        <v>498</v>
      </c>
      <c r="P246" s="656" t="s">
        <v>13052</v>
      </c>
      <c r="Q246" s="656">
        <v>44239.655578703707</v>
      </c>
    </row>
    <row r="247" spans="1:17">
      <c r="A247" s="656" t="s">
        <v>15590</v>
      </c>
      <c r="B247" s="657" t="s">
        <v>504</v>
      </c>
      <c r="C247" s="656" t="s">
        <v>15587</v>
      </c>
      <c r="D247" s="657" t="s">
        <v>13789</v>
      </c>
      <c r="E247" s="657" t="s">
        <v>7435</v>
      </c>
      <c r="F247" s="656" t="s">
        <v>2849</v>
      </c>
      <c r="G247" s="656"/>
      <c r="H247" s="656" t="s">
        <v>2849</v>
      </c>
      <c r="I247" s="656"/>
      <c r="J247" s="656" t="s">
        <v>12822</v>
      </c>
      <c r="K247" s="656"/>
      <c r="L247" s="656"/>
      <c r="M247" s="657" t="s">
        <v>15517</v>
      </c>
      <c r="N247" s="1482">
        <v>68</v>
      </c>
      <c r="O247" s="656" t="s">
        <v>498</v>
      </c>
      <c r="P247" s="656" t="s">
        <v>13052</v>
      </c>
      <c r="Q247" s="656">
        <v>44239.655949074076</v>
      </c>
    </row>
    <row r="248" spans="1:17">
      <c r="A248" s="656" t="s">
        <v>15584</v>
      </c>
      <c r="B248" s="657" t="s">
        <v>202</v>
      </c>
      <c r="C248" s="656" t="s">
        <v>14982</v>
      </c>
      <c r="D248" s="657" t="s">
        <v>13789</v>
      </c>
      <c r="E248" s="657" t="s">
        <v>7435</v>
      </c>
      <c r="F248" s="656" t="s">
        <v>2849</v>
      </c>
      <c r="G248" s="656"/>
      <c r="H248" s="656" t="s">
        <v>2849</v>
      </c>
      <c r="I248" s="656"/>
      <c r="J248" s="656" t="s">
        <v>12822</v>
      </c>
      <c r="K248" s="656"/>
      <c r="L248" s="656"/>
      <c r="M248" s="657" t="s">
        <v>15517</v>
      </c>
      <c r="N248" s="1482">
        <v>54</v>
      </c>
      <c r="O248" s="656" t="s">
        <v>498</v>
      </c>
      <c r="P248" s="656" t="s">
        <v>13052</v>
      </c>
      <c r="Q248" s="656">
        <v>44239.653136574074</v>
      </c>
    </row>
    <row r="249" spans="1:17">
      <c r="A249" s="656" t="s">
        <v>15585</v>
      </c>
      <c r="B249" s="657" t="s">
        <v>504</v>
      </c>
      <c r="C249" s="656" t="s">
        <v>14982</v>
      </c>
      <c r="D249" s="657" t="s">
        <v>13789</v>
      </c>
      <c r="E249" s="657" t="s">
        <v>7435</v>
      </c>
      <c r="F249" s="656" t="s">
        <v>2849</v>
      </c>
      <c r="G249" s="656"/>
      <c r="H249" s="656" t="s">
        <v>2849</v>
      </c>
      <c r="I249" s="656"/>
      <c r="J249" s="656" t="s">
        <v>12822</v>
      </c>
      <c r="K249" s="656"/>
      <c r="L249" s="656"/>
      <c r="M249" s="657" t="s">
        <v>15517</v>
      </c>
      <c r="N249" s="1482">
        <v>67</v>
      </c>
      <c r="O249" s="656" t="s">
        <v>498</v>
      </c>
      <c r="P249" s="656" t="s">
        <v>13052</v>
      </c>
      <c r="Q249" s="656">
        <v>44239.654479166667</v>
      </c>
    </row>
    <row r="250" spans="1:17">
      <c r="A250" s="656" t="s">
        <v>15581</v>
      </c>
      <c r="B250" s="657" t="s">
        <v>202</v>
      </c>
      <c r="C250" s="656" t="s">
        <v>15582</v>
      </c>
      <c r="D250" s="657" t="s">
        <v>13789</v>
      </c>
      <c r="E250" s="657" t="s">
        <v>7435</v>
      </c>
      <c r="F250" s="656" t="s">
        <v>2849</v>
      </c>
      <c r="G250" s="656"/>
      <c r="H250" s="656" t="s">
        <v>2849</v>
      </c>
      <c r="I250" s="656"/>
      <c r="J250" s="656" t="s">
        <v>12822</v>
      </c>
      <c r="K250" s="656"/>
      <c r="L250" s="656"/>
      <c r="M250" s="657" t="s">
        <v>15517</v>
      </c>
      <c r="N250" s="1482">
        <v>53</v>
      </c>
      <c r="O250" s="656" t="s">
        <v>498</v>
      </c>
      <c r="P250" s="656" t="s">
        <v>13052</v>
      </c>
      <c r="Q250" s="656">
        <v>44239.650740740741</v>
      </c>
    </row>
    <row r="251" spans="1:17">
      <c r="A251" s="656" t="s">
        <v>15583</v>
      </c>
      <c r="B251" s="657" t="s">
        <v>504</v>
      </c>
      <c r="C251" s="656" t="s">
        <v>15582</v>
      </c>
      <c r="D251" s="657" t="s">
        <v>13789</v>
      </c>
      <c r="E251" s="657" t="s">
        <v>7435</v>
      </c>
      <c r="F251" s="656" t="s">
        <v>2849</v>
      </c>
      <c r="G251" s="656"/>
      <c r="H251" s="656" t="s">
        <v>2849</v>
      </c>
      <c r="I251" s="656"/>
      <c r="J251" s="656" t="s">
        <v>12822</v>
      </c>
      <c r="K251" s="656"/>
      <c r="L251" s="656"/>
      <c r="M251" s="657" t="s">
        <v>15517</v>
      </c>
      <c r="N251" s="1482">
        <v>66</v>
      </c>
      <c r="O251" s="656" t="s">
        <v>498</v>
      </c>
      <c r="P251" s="656" t="s">
        <v>13052</v>
      </c>
      <c r="Q251" s="656">
        <v>44239.650752314818</v>
      </c>
    </row>
    <row r="252" spans="1:17">
      <c r="A252" s="656" t="s">
        <v>15579</v>
      </c>
      <c r="B252" s="657" t="s">
        <v>202</v>
      </c>
      <c r="C252" s="656" t="s">
        <v>15580</v>
      </c>
      <c r="D252" s="657" t="s">
        <v>13789</v>
      </c>
      <c r="E252" s="657" t="s">
        <v>7435</v>
      </c>
      <c r="F252" s="656" t="s">
        <v>2849</v>
      </c>
      <c r="G252" s="656"/>
      <c r="H252" s="656" t="s">
        <v>2849</v>
      </c>
      <c r="I252" s="656"/>
      <c r="J252" s="656" t="s">
        <v>459</v>
      </c>
      <c r="K252" s="656"/>
      <c r="L252" s="656"/>
      <c r="M252" s="657" t="s">
        <v>15517</v>
      </c>
      <c r="N252" s="1482">
        <v>62</v>
      </c>
      <c r="O252" s="656" t="s">
        <v>498</v>
      </c>
      <c r="P252" s="656" t="s">
        <v>13052</v>
      </c>
      <c r="Q252" s="656">
        <v>44239.648680555554</v>
      </c>
    </row>
    <row r="253" spans="1:17">
      <c r="A253" s="656" t="s">
        <v>15575</v>
      </c>
      <c r="B253" s="657" t="s">
        <v>202</v>
      </c>
      <c r="C253" s="656" t="s">
        <v>15576</v>
      </c>
      <c r="D253" s="657" t="s">
        <v>13789</v>
      </c>
      <c r="E253" s="657" t="s">
        <v>7435</v>
      </c>
      <c r="F253" s="656" t="s">
        <v>2849</v>
      </c>
      <c r="G253" s="656"/>
      <c r="H253" s="656" t="s">
        <v>2849</v>
      </c>
      <c r="I253" s="656"/>
      <c r="J253" s="656" t="s">
        <v>459</v>
      </c>
      <c r="K253" s="656"/>
      <c r="L253" s="656"/>
      <c r="M253" s="657" t="s">
        <v>15533</v>
      </c>
      <c r="N253" s="1482">
        <v>61</v>
      </c>
      <c r="O253" s="656" t="s">
        <v>498</v>
      </c>
      <c r="P253" s="656" t="s">
        <v>13052</v>
      </c>
      <c r="Q253" s="656">
        <v>44239.64130787037</v>
      </c>
    </row>
    <row r="254" spans="1:17">
      <c r="A254" s="656" t="s">
        <v>15577</v>
      </c>
      <c r="B254" s="657" t="s">
        <v>202</v>
      </c>
      <c r="C254" s="656" t="s">
        <v>15578</v>
      </c>
      <c r="D254" s="657" t="s">
        <v>13789</v>
      </c>
      <c r="E254" s="657" t="s">
        <v>7435</v>
      </c>
      <c r="F254" s="656" t="s">
        <v>2849</v>
      </c>
      <c r="G254" s="656"/>
      <c r="H254" s="656" t="s">
        <v>2849</v>
      </c>
      <c r="I254" s="656"/>
      <c r="J254" s="656" t="s">
        <v>459</v>
      </c>
      <c r="K254" s="656"/>
      <c r="L254" s="656"/>
      <c r="M254" s="657" t="s">
        <v>15533</v>
      </c>
      <c r="N254" s="1482">
        <v>60</v>
      </c>
      <c r="O254" s="656" t="s">
        <v>498</v>
      </c>
      <c r="P254" s="656" t="s">
        <v>13052</v>
      </c>
      <c r="Q254" s="656">
        <v>44239.641342592593</v>
      </c>
    </row>
    <row r="255" spans="1:17">
      <c r="A255" s="656" t="s">
        <v>15573</v>
      </c>
      <c r="B255" s="657" t="s">
        <v>202</v>
      </c>
      <c r="C255" s="656" t="s">
        <v>15574</v>
      </c>
      <c r="D255" s="657" t="s">
        <v>13789</v>
      </c>
      <c r="E255" s="657" t="s">
        <v>7435</v>
      </c>
      <c r="F255" s="656" t="s">
        <v>2849</v>
      </c>
      <c r="G255" s="656"/>
      <c r="H255" s="656" t="s">
        <v>2849</v>
      </c>
      <c r="I255" s="656"/>
      <c r="J255" s="656" t="s">
        <v>459</v>
      </c>
      <c r="K255" s="656"/>
      <c r="L255" s="656"/>
      <c r="M255" s="657" t="s">
        <v>15533</v>
      </c>
      <c r="N255" s="1482">
        <v>59</v>
      </c>
      <c r="O255" s="656" t="s">
        <v>498</v>
      </c>
      <c r="P255" s="656" t="s">
        <v>13052</v>
      </c>
      <c r="Q255" s="656">
        <v>44239.640925925924</v>
      </c>
    </row>
    <row r="256" spans="1:17">
      <c r="A256" s="656" t="s">
        <v>15571</v>
      </c>
      <c r="B256" s="657" t="s">
        <v>202</v>
      </c>
      <c r="C256" s="656" t="s">
        <v>15572</v>
      </c>
      <c r="D256" s="657" t="s">
        <v>13789</v>
      </c>
      <c r="E256" s="657" t="s">
        <v>7435</v>
      </c>
      <c r="F256" s="656" t="s">
        <v>2849</v>
      </c>
      <c r="G256" s="656"/>
      <c r="H256" s="656" t="s">
        <v>2849</v>
      </c>
      <c r="I256" s="656"/>
      <c r="J256" s="656" t="s">
        <v>459</v>
      </c>
      <c r="K256" s="656"/>
      <c r="L256" s="656"/>
      <c r="M256" s="657" t="s">
        <v>15517</v>
      </c>
      <c r="N256" s="1482">
        <v>58</v>
      </c>
      <c r="O256" s="656" t="s">
        <v>498</v>
      </c>
      <c r="P256" s="656" t="s">
        <v>13052</v>
      </c>
      <c r="Q256" s="656">
        <v>44239.640925925924</v>
      </c>
    </row>
    <row r="257" spans="1:17">
      <c r="A257" s="656" t="s">
        <v>15567</v>
      </c>
      <c r="B257" s="657" t="s">
        <v>202</v>
      </c>
      <c r="C257" s="656" t="s">
        <v>15568</v>
      </c>
      <c r="D257" s="657" t="s">
        <v>13789</v>
      </c>
      <c r="E257" s="657" t="s">
        <v>7435</v>
      </c>
      <c r="F257" s="656" t="s">
        <v>2849</v>
      </c>
      <c r="G257" s="656"/>
      <c r="H257" s="656" t="s">
        <v>2849</v>
      </c>
      <c r="I257" s="656"/>
      <c r="J257" s="656" t="s">
        <v>459</v>
      </c>
      <c r="K257" s="656"/>
      <c r="L257" s="656"/>
      <c r="M257" s="657" t="s">
        <v>15517</v>
      </c>
      <c r="N257" s="1482">
        <v>57</v>
      </c>
      <c r="O257" s="656" t="s">
        <v>498</v>
      </c>
      <c r="P257" s="656" t="s">
        <v>13052</v>
      </c>
      <c r="Q257" s="656">
        <v>44239.640474537038</v>
      </c>
    </row>
    <row r="258" spans="1:17">
      <c r="A258" s="656" t="s">
        <v>15569</v>
      </c>
      <c r="B258" s="657" t="s">
        <v>202</v>
      </c>
      <c r="C258" s="656" t="s">
        <v>15570</v>
      </c>
      <c r="D258" s="657" t="s">
        <v>13789</v>
      </c>
      <c r="E258" s="657" t="s">
        <v>7435</v>
      </c>
      <c r="F258" s="656" t="s">
        <v>2849</v>
      </c>
      <c r="G258" s="656"/>
      <c r="H258" s="656" t="s">
        <v>2849</v>
      </c>
      <c r="I258" s="656"/>
      <c r="J258" s="656" t="s">
        <v>459</v>
      </c>
      <c r="K258" s="656"/>
      <c r="L258" s="656"/>
      <c r="M258" s="657" t="s">
        <v>15533</v>
      </c>
      <c r="N258" s="1482">
        <v>56</v>
      </c>
      <c r="O258" s="656" t="s">
        <v>498</v>
      </c>
      <c r="P258" s="656" t="s">
        <v>13052</v>
      </c>
      <c r="Q258" s="656">
        <v>44239.640486111108</v>
      </c>
    </row>
    <row r="259" spans="1:17">
      <c r="A259" s="656" t="s">
        <v>15562</v>
      </c>
      <c r="B259" s="657" t="s">
        <v>202</v>
      </c>
      <c r="C259" s="656" t="s">
        <v>12962</v>
      </c>
      <c r="D259" s="657" t="s">
        <v>13789</v>
      </c>
      <c r="E259" s="657" t="s">
        <v>7435</v>
      </c>
      <c r="F259" s="656" t="s">
        <v>537</v>
      </c>
      <c r="G259" s="656"/>
      <c r="H259" s="656" t="s">
        <v>537</v>
      </c>
      <c r="I259" s="656"/>
      <c r="J259" s="656" t="s">
        <v>473</v>
      </c>
      <c r="K259" s="656"/>
      <c r="L259" s="656"/>
      <c r="M259" s="657" t="s">
        <v>15517</v>
      </c>
      <c r="N259" s="1482">
        <v>45</v>
      </c>
      <c r="O259" s="656" t="s">
        <v>498</v>
      </c>
      <c r="P259" s="656" t="s">
        <v>13052</v>
      </c>
      <c r="Q259" s="656">
        <v>44238.580034722225</v>
      </c>
    </row>
    <row r="260" spans="1:17">
      <c r="A260" s="656" t="s">
        <v>15558</v>
      </c>
      <c r="B260" s="657" t="s">
        <v>202</v>
      </c>
      <c r="C260" s="656" t="s">
        <v>15559</v>
      </c>
      <c r="D260" s="657" t="s">
        <v>13789</v>
      </c>
      <c r="E260" s="657" t="s">
        <v>7435</v>
      </c>
      <c r="F260" s="656" t="s">
        <v>537</v>
      </c>
      <c r="G260" s="656"/>
      <c r="H260" s="656" t="s">
        <v>537</v>
      </c>
      <c r="I260" s="656"/>
      <c r="J260" s="656" t="s">
        <v>473</v>
      </c>
      <c r="K260" s="656"/>
      <c r="L260" s="656"/>
      <c r="M260" s="657" t="s">
        <v>15533</v>
      </c>
      <c r="N260" s="1482">
        <v>44</v>
      </c>
      <c r="O260" s="656" t="s">
        <v>498</v>
      </c>
      <c r="P260" s="656" t="s">
        <v>13052</v>
      </c>
      <c r="Q260" s="656">
        <v>44238.574305555558</v>
      </c>
    </row>
    <row r="261" spans="1:17">
      <c r="A261" s="656" t="s">
        <v>15560</v>
      </c>
      <c r="B261" s="657" t="s">
        <v>202</v>
      </c>
      <c r="C261" s="656" t="s">
        <v>15561</v>
      </c>
      <c r="D261" s="657" t="s">
        <v>13789</v>
      </c>
      <c r="E261" s="657" t="s">
        <v>7435</v>
      </c>
      <c r="F261" s="656" t="s">
        <v>445</v>
      </c>
      <c r="G261" s="656"/>
      <c r="H261" s="656" t="s">
        <v>445</v>
      </c>
      <c r="I261" s="656"/>
      <c r="J261" s="656" t="s">
        <v>8814</v>
      </c>
      <c r="K261" s="656"/>
      <c r="L261" s="656"/>
      <c r="M261" s="657" t="s">
        <v>15517</v>
      </c>
      <c r="N261" s="1482">
        <v>43</v>
      </c>
      <c r="O261" s="656" t="s">
        <v>498</v>
      </c>
      <c r="P261" s="656" t="s">
        <v>13052</v>
      </c>
      <c r="Q261" s="656">
        <v>44238.574293981481</v>
      </c>
    </row>
    <row r="262" spans="1:17">
      <c r="A262" s="656" t="s">
        <v>15548</v>
      </c>
      <c r="B262" s="657" t="s">
        <v>202</v>
      </c>
      <c r="C262" s="656" t="s">
        <v>15549</v>
      </c>
      <c r="D262" s="657" t="s">
        <v>13789</v>
      </c>
      <c r="E262" s="657" t="s">
        <v>7437</v>
      </c>
      <c r="F262" s="656" t="s">
        <v>4052</v>
      </c>
      <c r="G262" s="656"/>
      <c r="H262" s="656" t="s">
        <v>4052</v>
      </c>
      <c r="I262" s="656"/>
      <c r="J262" s="656" t="s">
        <v>8814</v>
      </c>
      <c r="K262" s="656"/>
      <c r="L262" s="656"/>
      <c r="M262" s="657" t="s">
        <v>15517</v>
      </c>
      <c r="N262" s="1482">
        <v>35</v>
      </c>
      <c r="O262" s="656" t="s">
        <v>498</v>
      </c>
      <c r="P262" s="656" t="s">
        <v>13052</v>
      </c>
      <c r="Q262" s="656">
        <v>44237.446655092594</v>
      </c>
    </row>
    <row r="263" spans="1:17">
      <c r="A263" s="656" t="s">
        <v>15547</v>
      </c>
      <c r="B263" s="657" t="s">
        <v>202</v>
      </c>
      <c r="C263" s="656" t="s">
        <v>15546</v>
      </c>
      <c r="D263" s="657" t="s">
        <v>13789</v>
      </c>
      <c r="E263" s="657" t="s">
        <v>7435</v>
      </c>
      <c r="F263" s="656" t="s">
        <v>2849</v>
      </c>
      <c r="G263" s="656"/>
      <c r="H263" s="656" t="s">
        <v>2849</v>
      </c>
      <c r="I263" s="656"/>
      <c r="J263" s="656" t="s">
        <v>459</v>
      </c>
      <c r="K263" s="656"/>
      <c r="L263" s="656"/>
      <c r="M263" s="657" t="s">
        <v>15517</v>
      </c>
      <c r="N263" s="1482">
        <v>29</v>
      </c>
      <c r="O263" s="656" t="s">
        <v>498</v>
      </c>
      <c r="P263" s="656" t="s">
        <v>13052</v>
      </c>
      <c r="Q263" s="656">
        <v>44236.569803240738</v>
      </c>
    </row>
    <row r="264" spans="1:17">
      <c r="A264" s="656" t="s">
        <v>15545</v>
      </c>
      <c r="B264" s="657" t="s">
        <v>504</v>
      </c>
      <c r="C264" s="656" t="s">
        <v>15546</v>
      </c>
      <c r="D264" s="657" t="s">
        <v>13789</v>
      </c>
      <c r="E264" s="657" t="s">
        <v>7435</v>
      </c>
      <c r="F264" s="656" t="s">
        <v>2849</v>
      </c>
      <c r="G264" s="656"/>
      <c r="H264" s="656" t="s">
        <v>2849</v>
      </c>
      <c r="I264" s="656"/>
      <c r="J264" s="656" t="s">
        <v>459</v>
      </c>
      <c r="K264" s="656"/>
      <c r="L264" s="656"/>
      <c r="M264" s="657" t="s">
        <v>15517</v>
      </c>
      <c r="N264" s="1482">
        <v>34</v>
      </c>
      <c r="O264" s="656" t="s">
        <v>498</v>
      </c>
      <c r="P264" s="656" t="s">
        <v>13052</v>
      </c>
      <c r="Q264" s="656">
        <v>44236.569791666669</v>
      </c>
    </row>
    <row r="265" spans="1:17">
      <c r="A265" s="656" t="s">
        <v>15544</v>
      </c>
      <c r="B265" s="657" t="s">
        <v>202</v>
      </c>
      <c r="C265" s="656" t="s">
        <v>15543</v>
      </c>
      <c r="D265" s="657" t="s">
        <v>13789</v>
      </c>
      <c r="E265" s="657" t="s">
        <v>7435</v>
      </c>
      <c r="F265" s="656" t="s">
        <v>2849</v>
      </c>
      <c r="G265" s="656"/>
      <c r="H265" s="656" t="s">
        <v>2849</v>
      </c>
      <c r="I265" s="656"/>
      <c r="J265" s="656" t="s">
        <v>532</v>
      </c>
      <c r="K265" s="656"/>
      <c r="L265" s="656"/>
      <c r="M265" s="657" t="s">
        <v>15517</v>
      </c>
      <c r="N265" s="1482">
        <v>25</v>
      </c>
      <c r="O265" s="656" t="s">
        <v>498</v>
      </c>
      <c r="P265" s="656" t="s">
        <v>13052</v>
      </c>
      <c r="Q265" s="656">
        <v>44236.567569444444</v>
      </c>
    </row>
    <row r="266" spans="1:17">
      <c r="A266" s="656" t="s">
        <v>15542</v>
      </c>
      <c r="B266" s="657" t="s">
        <v>504</v>
      </c>
      <c r="C266" s="656" t="s">
        <v>15543</v>
      </c>
      <c r="D266" s="657" t="s">
        <v>13789</v>
      </c>
      <c r="E266" s="657" t="s">
        <v>7435</v>
      </c>
      <c r="F266" s="656" t="s">
        <v>2849</v>
      </c>
      <c r="G266" s="656"/>
      <c r="H266" s="656" t="s">
        <v>2849</v>
      </c>
      <c r="I266" s="656"/>
      <c r="J266" s="656" t="s">
        <v>532</v>
      </c>
      <c r="K266" s="656"/>
      <c r="L266" s="656"/>
      <c r="M266" s="657" t="s">
        <v>15517</v>
      </c>
      <c r="N266" s="1482">
        <v>33</v>
      </c>
      <c r="O266" s="656" t="s">
        <v>498</v>
      </c>
      <c r="P266" s="656" t="s">
        <v>13052</v>
      </c>
      <c r="Q266" s="656">
        <v>44236.567569444444</v>
      </c>
    </row>
    <row r="267" spans="1:17">
      <c r="A267" s="656" t="s">
        <v>15536</v>
      </c>
      <c r="B267" s="657" t="s">
        <v>202</v>
      </c>
      <c r="C267" s="656" t="s">
        <v>15537</v>
      </c>
      <c r="D267" s="657" t="s">
        <v>14977</v>
      </c>
      <c r="E267" s="657" t="s">
        <v>7435</v>
      </c>
      <c r="F267" s="656" t="s">
        <v>497</v>
      </c>
      <c r="G267" s="656"/>
      <c r="H267" s="656" t="s">
        <v>497</v>
      </c>
      <c r="I267" s="656"/>
      <c r="J267" s="656" t="s">
        <v>451</v>
      </c>
      <c r="K267" s="656"/>
      <c r="L267" s="656"/>
      <c r="M267" s="657" t="s">
        <v>3796</v>
      </c>
      <c r="N267" s="1482">
        <v>10</v>
      </c>
      <c r="O267" s="656" t="s">
        <v>498</v>
      </c>
      <c r="P267" s="656" t="s">
        <v>13052</v>
      </c>
      <c r="Q267" s="656">
        <v>44232.385659722226</v>
      </c>
    </row>
    <row r="268" spans="1:17">
      <c r="A268" s="656" t="s">
        <v>15534</v>
      </c>
      <c r="B268" s="657" t="s">
        <v>202</v>
      </c>
      <c r="C268" s="656" t="s">
        <v>15535</v>
      </c>
      <c r="D268" s="657" t="s">
        <v>13789</v>
      </c>
      <c r="E268" s="657" t="s">
        <v>7435</v>
      </c>
      <c r="F268" s="656" t="s">
        <v>472</v>
      </c>
      <c r="G268" s="656"/>
      <c r="H268" s="656" t="s">
        <v>541</v>
      </c>
      <c r="I268" s="656"/>
      <c r="J268" s="656" t="s">
        <v>12368</v>
      </c>
      <c r="K268" s="656"/>
      <c r="L268" s="656"/>
      <c r="M268" s="657" t="s">
        <v>15533</v>
      </c>
      <c r="N268" s="1482">
        <v>24</v>
      </c>
      <c r="O268" s="656" t="s">
        <v>498</v>
      </c>
      <c r="P268" s="656" t="s">
        <v>13052</v>
      </c>
      <c r="Q268" s="656">
        <v>44232.38559027778</v>
      </c>
    </row>
    <row r="269" spans="1:17">
      <c r="A269" s="656" t="s">
        <v>15531</v>
      </c>
      <c r="B269" s="657" t="s">
        <v>202</v>
      </c>
      <c r="C269" s="656" t="s">
        <v>15532</v>
      </c>
      <c r="D269" s="657" t="s">
        <v>13789</v>
      </c>
      <c r="E269" s="657" t="s">
        <v>7435</v>
      </c>
      <c r="F269" s="656" t="s">
        <v>445</v>
      </c>
      <c r="G269" s="656"/>
      <c r="H269" s="656" t="s">
        <v>445</v>
      </c>
      <c r="I269" s="656"/>
      <c r="J269" s="656" t="s">
        <v>446</v>
      </c>
      <c r="K269" s="656"/>
      <c r="L269" s="656"/>
      <c r="M269" s="657" t="s">
        <v>15533</v>
      </c>
      <c r="N269" s="1482">
        <v>23</v>
      </c>
      <c r="O269" s="656" t="s">
        <v>498</v>
      </c>
      <c r="P269" s="656" t="s">
        <v>13052</v>
      </c>
      <c r="Q269" s="656">
        <v>44231.381111111114</v>
      </c>
    </row>
    <row r="270" spans="1:17">
      <c r="A270" s="656" t="s">
        <v>15565</v>
      </c>
      <c r="B270" s="657" t="s">
        <v>202</v>
      </c>
      <c r="C270" s="656" t="s">
        <v>15566</v>
      </c>
      <c r="D270" s="657" t="s">
        <v>13789</v>
      </c>
      <c r="E270" s="657" t="s">
        <v>7435</v>
      </c>
      <c r="F270" s="656" t="s">
        <v>2849</v>
      </c>
      <c r="G270" s="656"/>
      <c r="H270" s="656" t="s">
        <v>2849</v>
      </c>
      <c r="I270" s="656"/>
      <c r="J270" s="656" t="s">
        <v>459</v>
      </c>
      <c r="K270" s="656"/>
      <c r="L270" s="656"/>
      <c r="M270" s="657" t="s">
        <v>15517</v>
      </c>
      <c r="N270" s="1482">
        <v>50</v>
      </c>
      <c r="O270" s="656" t="s">
        <v>498</v>
      </c>
      <c r="P270" s="656" t="s">
        <v>13052</v>
      </c>
      <c r="Q270" s="656">
        <v>44239.499513888892</v>
      </c>
    </row>
    <row r="271" spans="1:17">
      <c r="A271" s="656" t="s">
        <v>15463</v>
      </c>
      <c r="B271" s="657" t="s">
        <v>202</v>
      </c>
      <c r="C271" s="656" t="s">
        <v>15464</v>
      </c>
      <c r="D271" s="657" t="s">
        <v>13789</v>
      </c>
      <c r="E271" s="657" t="s">
        <v>7435</v>
      </c>
      <c r="F271" s="656" t="s">
        <v>462</v>
      </c>
      <c r="G271" s="656" t="s">
        <v>512</v>
      </c>
      <c r="H271" s="656" t="s">
        <v>462</v>
      </c>
      <c r="I271" s="656"/>
      <c r="J271" s="656" t="s">
        <v>463</v>
      </c>
      <c r="K271" s="656"/>
      <c r="L271" s="656"/>
      <c r="M271" s="657"/>
      <c r="N271" s="1482"/>
      <c r="O271" s="656" t="s">
        <v>498</v>
      </c>
      <c r="P271" s="656" t="s">
        <v>13052</v>
      </c>
      <c r="Q271" s="656">
        <v>44236.622199074074</v>
      </c>
    </row>
    <row r="272" spans="1:17">
      <c r="A272" s="656" t="s">
        <v>15466</v>
      </c>
      <c r="B272" s="657" t="s">
        <v>202</v>
      </c>
      <c r="C272" s="656" t="s">
        <v>15467</v>
      </c>
      <c r="D272" s="657" t="s">
        <v>13789</v>
      </c>
      <c r="E272" s="657" t="s">
        <v>7435</v>
      </c>
      <c r="F272" s="656" t="s">
        <v>462</v>
      </c>
      <c r="G272" s="656" t="s">
        <v>512</v>
      </c>
      <c r="H272" s="656" t="s">
        <v>462</v>
      </c>
      <c r="I272" s="656"/>
      <c r="J272" s="656" t="s">
        <v>463</v>
      </c>
      <c r="K272" s="656" t="s">
        <v>15529</v>
      </c>
      <c r="L272" s="656"/>
      <c r="M272" s="657" t="s">
        <v>15517</v>
      </c>
      <c r="N272" s="1482"/>
      <c r="O272" s="656" t="s">
        <v>498</v>
      </c>
      <c r="P272" s="656" t="s">
        <v>13052</v>
      </c>
      <c r="Q272" s="656">
        <v>44228.681400462963</v>
      </c>
    </row>
    <row r="273" spans="1:17">
      <c r="A273" s="656" t="s">
        <v>15524</v>
      </c>
      <c r="B273" s="657" t="s">
        <v>504</v>
      </c>
      <c r="C273" s="656" t="s">
        <v>15525</v>
      </c>
      <c r="D273" s="657" t="s">
        <v>13789</v>
      </c>
      <c r="E273" s="657" t="s">
        <v>7437</v>
      </c>
      <c r="F273" s="656" t="s">
        <v>15526</v>
      </c>
      <c r="G273" s="656" t="s">
        <v>506</v>
      </c>
      <c r="H273" s="656" t="s">
        <v>15526</v>
      </c>
      <c r="I273" s="656"/>
      <c r="J273" s="656"/>
      <c r="K273" s="656"/>
      <c r="L273" s="656"/>
      <c r="M273" s="657" t="s">
        <v>15517</v>
      </c>
      <c r="N273" s="1482"/>
      <c r="O273" s="656" t="s">
        <v>498</v>
      </c>
      <c r="P273" s="656" t="s">
        <v>13052</v>
      </c>
      <c r="Q273" s="656">
        <v>44228.678437499999</v>
      </c>
    </row>
    <row r="274" spans="1:17">
      <c r="A274" s="656" t="s">
        <v>15522</v>
      </c>
      <c r="B274" s="657" t="s">
        <v>202</v>
      </c>
      <c r="C274" s="656" t="s">
        <v>15523</v>
      </c>
      <c r="D274" s="657" t="s">
        <v>13789</v>
      </c>
      <c r="E274" s="657" t="s">
        <v>7435</v>
      </c>
      <c r="F274" s="656" t="s">
        <v>462</v>
      </c>
      <c r="G274" s="656" t="s">
        <v>512</v>
      </c>
      <c r="H274" s="656" t="s">
        <v>462</v>
      </c>
      <c r="I274" s="656"/>
      <c r="J274" s="656" t="s">
        <v>463</v>
      </c>
      <c r="K274" s="656"/>
      <c r="L274" s="656"/>
      <c r="M274" s="657" t="s">
        <v>15517</v>
      </c>
      <c r="N274" s="1482"/>
      <c r="O274" s="656" t="s">
        <v>498</v>
      </c>
      <c r="P274" s="656" t="s">
        <v>13052</v>
      </c>
      <c r="Q274" s="656">
        <v>44228.677685185183</v>
      </c>
    </row>
    <row r="275" spans="1:17">
      <c r="A275" s="656" t="s">
        <v>15520</v>
      </c>
      <c r="B275" s="657" t="s">
        <v>504</v>
      </c>
      <c r="C275" s="656" t="s">
        <v>15521</v>
      </c>
      <c r="D275" s="657" t="s">
        <v>14977</v>
      </c>
      <c r="E275" s="657" t="s">
        <v>7437</v>
      </c>
      <c r="F275" s="656" t="s">
        <v>522</v>
      </c>
      <c r="G275" s="656" t="s">
        <v>522</v>
      </c>
      <c r="H275" s="656" t="s">
        <v>522</v>
      </c>
      <c r="I275" s="656"/>
      <c r="J275" s="656"/>
      <c r="K275" s="656"/>
      <c r="L275" s="656"/>
      <c r="M275" s="657" t="s">
        <v>15517</v>
      </c>
      <c r="N275" s="1482"/>
      <c r="O275" s="656" t="s">
        <v>498</v>
      </c>
      <c r="P275" s="656" t="s">
        <v>13052</v>
      </c>
      <c r="Q275" s="656">
        <v>44228.676770833335</v>
      </c>
    </row>
    <row r="276" spans="1:17">
      <c r="A276" s="656" t="s">
        <v>15868</v>
      </c>
      <c r="B276" s="657" t="s">
        <v>504</v>
      </c>
      <c r="C276" s="656" t="s">
        <v>15869</v>
      </c>
      <c r="D276" s="657" t="s">
        <v>14977</v>
      </c>
      <c r="E276" s="657" t="s">
        <v>7435</v>
      </c>
      <c r="F276" s="656"/>
      <c r="G276" s="656" t="s">
        <v>522</v>
      </c>
      <c r="H276" s="656"/>
      <c r="I276" s="656"/>
      <c r="J276" s="656"/>
      <c r="K276" s="656"/>
      <c r="L276" s="656"/>
      <c r="M276" s="657"/>
      <c r="N276" s="1482">
        <v>212</v>
      </c>
      <c r="O276" s="656" t="s">
        <v>498</v>
      </c>
      <c r="P276" s="656" t="s">
        <v>13052</v>
      </c>
      <c r="Q276" s="656">
        <v>44277.394571759258</v>
      </c>
    </row>
    <row r="277" spans="1:17">
      <c r="A277" s="656" t="s">
        <v>15518</v>
      </c>
      <c r="B277" s="657" t="s">
        <v>504</v>
      </c>
      <c r="C277" s="656" t="s">
        <v>15519</v>
      </c>
      <c r="D277" s="657" t="s">
        <v>14977</v>
      </c>
      <c r="E277" s="657" t="s">
        <v>7437</v>
      </c>
      <c r="F277" s="656" t="s">
        <v>522</v>
      </c>
      <c r="G277" s="656" t="s">
        <v>522</v>
      </c>
      <c r="H277" s="656" t="s">
        <v>522</v>
      </c>
      <c r="I277" s="656"/>
      <c r="J277" s="656"/>
      <c r="K277" s="656"/>
      <c r="L277" s="656"/>
      <c r="M277" s="657" t="s">
        <v>15517</v>
      </c>
      <c r="N277" s="1482"/>
      <c r="O277" s="656" t="s">
        <v>498</v>
      </c>
      <c r="P277" s="656" t="s">
        <v>13052</v>
      </c>
      <c r="Q277" s="656">
        <v>44228.675937499997</v>
      </c>
    </row>
    <row r="278" spans="1:17">
      <c r="A278" s="656" t="s">
        <v>15515</v>
      </c>
      <c r="B278" s="657" t="s">
        <v>202</v>
      </c>
      <c r="C278" s="656" t="s">
        <v>15516</v>
      </c>
      <c r="D278" s="657" t="s">
        <v>13789</v>
      </c>
      <c r="E278" s="657" t="s">
        <v>7435</v>
      </c>
      <c r="F278" s="656" t="s">
        <v>537</v>
      </c>
      <c r="G278" s="656" t="s">
        <v>512</v>
      </c>
      <c r="H278" s="656" t="s">
        <v>537</v>
      </c>
      <c r="I278" s="656"/>
      <c r="J278" s="656" t="s">
        <v>473</v>
      </c>
      <c r="K278" s="656"/>
      <c r="L278" s="656"/>
      <c r="M278" s="657" t="s">
        <v>15517</v>
      </c>
      <c r="N278" s="1482"/>
      <c r="O278" s="656" t="s">
        <v>498</v>
      </c>
      <c r="P278" s="656" t="s">
        <v>13052</v>
      </c>
      <c r="Q278" s="656">
        <v>44228.675127314818</v>
      </c>
    </row>
    <row r="279" spans="1:17">
      <c r="A279" s="656" t="s">
        <v>15513</v>
      </c>
      <c r="B279" s="657" t="s">
        <v>504</v>
      </c>
      <c r="C279" s="656" t="s">
        <v>15514</v>
      </c>
      <c r="D279" s="657" t="s">
        <v>13789</v>
      </c>
      <c r="E279" s="657" t="s">
        <v>7437</v>
      </c>
      <c r="F279" s="656" t="s">
        <v>505</v>
      </c>
      <c r="G279" s="656" t="s">
        <v>660</v>
      </c>
      <c r="H279" s="656"/>
      <c r="I279" s="656" t="s">
        <v>13334</v>
      </c>
      <c r="J279" s="656"/>
      <c r="K279" s="656"/>
      <c r="L279" s="656"/>
      <c r="M279" s="657"/>
      <c r="N279" s="1482"/>
      <c r="O279" s="656" t="s">
        <v>498</v>
      </c>
      <c r="P279" s="656" t="s">
        <v>13052</v>
      </c>
      <c r="Q279" s="656">
        <v>44225.456793981481</v>
      </c>
    </row>
    <row r="280" spans="1:17">
      <c r="A280" s="656" t="s">
        <v>15510</v>
      </c>
      <c r="B280" s="657" t="s">
        <v>504</v>
      </c>
      <c r="C280" s="656" t="s">
        <v>15511</v>
      </c>
      <c r="D280" s="657" t="s">
        <v>15491</v>
      </c>
      <c r="E280" s="657" t="s">
        <v>7435</v>
      </c>
      <c r="F280" s="656" t="s">
        <v>505</v>
      </c>
      <c r="G280" s="656" t="s">
        <v>506</v>
      </c>
      <c r="H280" s="656"/>
      <c r="I280" s="656" t="s">
        <v>13334</v>
      </c>
      <c r="J280" s="656"/>
      <c r="K280" s="656"/>
      <c r="L280" s="656" t="s">
        <v>15512</v>
      </c>
      <c r="M280" s="657"/>
      <c r="N280" s="1482"/>
      <c r="O280" s="656" t="s">
        <v>498</v>
      </c>
      <c r="P280" s="656" t="s">
        <v>13052</v>
      </c>
      <c r="Q280" s="656">
        <v>44225.455960648149</v>
      </c>
    </row>
    <row r="281" spans="1:17">
      <c r="A281" s="656" t="s">
        <v>15509</v>
      </c>
      <c r="B281" s="657" t="s">
        <v>202</v>
      </c>
      <c r="C281" s="656" t="s">
        <v>15508</v>
      </c>
      <c r="D281" s="657" t="s">
        <v>14977</v>
      </c>
      <c r="E281" s="657" t="s">
        <v>7435</v>
      </c>
      <c r="F281" s="656" t="s">
        <v>442</v>
      </c>
      <c r="G281" s="656" t="s">
        <v>561</v>
      </c>
      <c r="H281" s="656"/>
      <c r="I281" s="656"/>
      <c r="J281" s="656" t="s">
        <v>12369</v>
      </c>
      <c r="K281" s="656" t="s">
        <v>1058</v>
      </c>
      <c r="L281" s="656"/>
      <c r="M281" s="657"/>
      <c r="N281" s="1482"/>
      <c r="O281" s="656" t="s">
        <v>498</v>
      </c>
      <c r="P281" s="656" t="s">
        <v>13052</v>
      </c>
      <c r="Q281" s="656">
        <v>44223.661666666667</v>
      </c>
    </row>
    <row r="282" spans="1:17">
      <c r="A282" s="656" t="s">
        <v>15507</v>
      </c>
      <c r="B282" s="657" t="s">
        <v>202</v>
      </c>
      <c r="C282" s="656" t="s">
        <v>15508</v>
      </c>
      <c r="D282" s="657" t="s">
        <v>14977</v>
      </c>
      <c r="E282" s="657" t="s">
        <v>7435</v>
      </c>
      <c r="F282" s="656" t="s">
        <v>442</v>
      </c>
      <c r="G282" s="656" t="s">
        <v>561</v>
      </c>
      <c r="H282" s="656"/>
      <c r="I282" s="656" t="s">
        <v>13334</v>
      </c>
      <c r="J282" s="656" t="s">
        <v>12369</v>
      </c>
      <c r="K282" s="656" t="s">
        <v>1058</v>
      </c>
      <c r="L282" s="656"/>
      <c r="M282" s="657"/>
      <c r="N282" s="1482"/>
      <c r="O282" s="656" t="s">
        <v>498</v>
      </c>
      <c r="P282" s="656" t="s">
        <v>13052</v>
      </c>
      <c r="Q282" s="656">
        <v>44223.661099537036</v>
      </c>
    </row>
    <row r="283" spans="1:17">
      <c r="A283" s="656" t="s">
        <v>15502</v>
      </c>
      <c r="B283" s="657" t="s">
        <v>202</v>
      </c>
      <c r="C283" s="656" t="s">
        <v>15503</v>
      </c>
      <c r="D283" s="657" t="s">
        <v>14977</v>
      </c>
      <c r="E283" s="657" t="s">
        <v>7435</v>
      </c>
      <c r="F283" s="656" t="s">
        <v>442</v>
      </c>
      <c r="G283" s="656" t="s">
        <v>561</v>
      </c>
      <c r="H283" s="656"/>
      <c r="I283" s="656"/>
      <c r="J283" s="656" t="s">
        <v>12369</v>
      </c>
      <c r="K283" s="656" t="s">
        <v>1058</v>
      </c>
      <c r="L283" s="656"/>
      <c r="M283" s="657"/>
      <c r="N283" s="1482"/>
      <c r="O283" s="656" t="s">
        <v>498</v>
      </c>
      <c r="P283" s="656" t="s">
        <v>13052</v>
      </c>
      <c r="Q283" s="656">
        <v>44223.654560185183</v>
      </c>
    </row>
    <row r="284" spans="1:17">
      <c r="A284" s="656" t="s">
        <v>15504</v>
      </c>
      <c r="B284" s="657" t="s">
        <v>202</v>
      </c>
      <c r="C284" s="656" t="s">
        <v>15503</v>
      </c>
      <c r="D284" s="657" t="s">
        <v>14977</v>
      </c>
      <c r="E284" s="657" t="s">
        <v>7435</v>
      </c>
      <c r="F284" s="656" t="s">
        <v>442</v>
      </c>
      <c r="G284" s="656" t="s">
        <v>561</v>
      </c>
      <c r="H284" s="656"/>
      <c r="I284" s="656"/>
      <c r="J284" s="656" t="s">
        <v>12369</v>
      </c>
      <c r="K284" s="656" t="s">
        <v>1058</v>
      </c>
      <c r="L284" s="656"/>
      <c r="M284" s="657"/>
      <c r="N284" s="1482"/>
      <c r="O284" s="656" t="s">
        <v>498</v>
      </c>
      <c r="P284" s="656" t="s">
        <v>13052</v>
      </c>
      <c r="Q284" s="656">
        <v>44223.659050925926</v>
      </c>
    </row>
    <row r="285" spans="1:17">
      <c r="A285" s="656" t="s">
        <v>15254</v>
      </c>
      <c r="B285" s="657" t="s">
        <v>202</v>
      </c>
      <c r="C285" s="656" t="s">
        <v>15255</v>
      </c>
      <c r="D285" s="657" t="s">
        <v>14977</v>
      </c>
      <c r="E285" s="657" t="s">
        <v>7437</v>
      </c>
      <c r="F285" s="656" t="s">
        <v>2849</v>
      </c>
      <c r="G285" s="656" t="s">
        <v>552</v>
      </c>
      <c r="H285" s="656" t="s">
        <v>469</v>
      </c>
      <c r="I285" s="656"/>
      <c r="J285" s="656" t="s">
        <v>459</v>
      </c>
      <c r="K285" s="656" t="s">
        <v>477</v>
      </c>
      <c r="L285" s="656"/>
      <c r="M285" s="657"/>
      <c r="N285" s="1482"/>
      <c r="O285" s="656" t="s">
        <v>498</v>
      </c>
      <c r="P285" s="656" t="s">
        <v>13052</v>
      </c>
      <c r="Q285" s="656">
        <v>44218.491747685184</v>
      </c>
    </row>
    <row r="286" spans="1:17">
      <c r="A286" s="656" t="s">
        <v>15256</v>
      </c>
      <c r="B286" s="657" t="s">
        <v>504</v>
      </c>
      <c r="C286" s="656" t="s">
        <v>15257</v>
      </c>
      <c r="D286" s="657" t="s">
        <v>13789</v>
      </c>
      <c r="E286" s="657" t="s">
        <v>7437</v>
      </c>
      <c r="F286" s="656" t="s">
        <v>505</v>
      </c>
      <c r="G286" s="656" t="s">
        <v>525</v>
      </c>
      <c r="H286" s="656" t="s">
        <v>505</v>
      </c>
      <c r="I286" s="656" t="s">
        <v>13051</v>
      </c>
      <c r="J286" s="656"/>
      <c r="K286" s="656"/>
      <c r="L286" s="656"/>
      <c r="M286" s="657"/>
      <c r="N286" s="1482"/>
      <c r="O286" s="656" t="s">
        <v>498</v>
      </c>
      <c r="P286" s="656" t="s">
        <v>13052</v>
      </c>
      <c r="Q286" s="656">
        <v>44218.491967592592</v>
      </c>
    </row>
    <row r="287" spans="1:17">
      <c r="A287" s="656" t="s">
        <v>15258</v>
      </c>
      <c r="B287" s="657" t="s">
        <v>504</v>
      </c>
      <c r="C287" s="656" t="s">
        <v>15259</v>
      </c>
      <c r="D287" s="657" t="s">
        <v>13789</v>
      </c>
      <c r="E287" s="657" t="s">
        <v>7437</v>
      </c>
      <c r="F287" s="656" t="s">
        <v>505</v>
      </c>
      <c r="G287" s="656" t="s">
        <v>525</v>
      </c>
      <c r="H287" s="656" t="s">
        <v>505</v>
      </c>
      <c r="I287" s="656" t="s">
        <v>13051</v>
      </c>
      <c r="J287" s="656"/>
      <c r="K287" s="656"/>
      <c r="L287" s="656"/>
      <c r="M287" s="657"/>
      <c r="N287" s="1482"/>
      <c r="O287" s="656" t="s">
        <v>498</v>
      </c>
      <c r="P287" s="656" t="s">
        <v>13052</v>
      </c>
      <c r="Q287" s="656">
        <v>44218.492199074077</v>
      </c>
    </row>
    <row r="288" spans="1:17">
      <c r="A288" s="656" t="s">
        <v>15260</v>
      </c>
      <c r="B288" s="657" t="s">
        <v>202</v>
      </c>
      <c r="C288" s="656" t="s">
        <v>15261</v>
      </c>
      <c r="D288" s="657" t="s">
        <v>13789</v>
      </c>
      <c r="E288" s="657" t="s">
        <v>7437</v>
      </c>
      <c r="F288" s="656" t="s">
        <v>537</v>
      </c>
      <c r="G288" s="656" t="s">
        <v>552</v>
      </c>
      <c r="H288" s="656" t="s">
        <v>537</v>
      </c>
      <c r="I288" s="656"/>
      <c r="J288" s="656" t="s">
        <v>8664</v>
      </c>
      <c r="K288" s="656" t="s">
        <v>4161</v>
      </c>
      <c r="L288" s="656"/>
      <c r="M288" s="657"/>
      <c r="N288" s="1482"/>
      <c r="O288" s="656" t="s">
        <v>498</v>
      </c>
      <c r="P288" s="656" t="s">
        <v>13052</v>
      </c>
      <c r="Q288" s="656">
        <v>44218.492337962962</v>
      </c>
    </row>
    <row r="289" spans="1:17">
      <c r="A289" s="656" t="s">
        <v>15262</v>
      </c>
      <c r="B289" s="657" t="s">
        <v>202</v>
      </c>
      <c r="C289" s="656" t="s">
        <v>15263</v>
      </c>
      <c r="D289" s="657" t="s">
        <v>13789</v>
      </c>
      <c r="E289" s="657" t="s">
        <v>7437</v>
      </c>
      <c r="F289" s="656" t="s">
        <v>537</v>
      </c>
      <c r="G289" s="656" t="s">
        <v>512</v>
      </c>
      <c r="H289" s="656" t="s">
        <v>537</v>
      </c>
      <c r="I289" s="656"/>
      <c r="J289" s="656" t="s">
        <v>473</v>
      </c>
      <c r="K289" s="656" t="s">
        <v>4161</v>
      </c>
      <c r="L289" s="656"/>
      <c r="M289" s="657"/>
      <c r="N289" s="1482"/>
      <c r="O289" s="656" t="s">
        <v>498</v>
      </c>
      <c r="P289" s="656" t="s">
        <v>13052</v>
      </c>
      <c r="Q289" s="656">
        <v>44218.4924537037</v>
      </c>
    </row>
    <row r="290" spans="1:17">
      <c r="A290" s="656" t="s">
        <v>15264</v>
      </c>
      <c r="B290" s="657" t="s">
        <v>202</v>
      </c>
      <c r="C290" s="656" t="s">
        <v>15265</v>
      </c>
      <c r="D290" s="657" t="s">
        <v>13789</v>
      </c>
      <c r="E290" s="657" t="s">
        <v>7437</v>
      </c>
      <c r="F290" s="656" t="s">
        <v>537</v>
      </c>
      <c r="G290" s="656" t="s">
        <v>512</v>
      </c>
      <c r="H290" s="656" t="s">
        <v>537</v>
      </c>
      <c r="I290" s="656"/>
      <c r="J290" s="656" t="s">
        <v>473</v>
      </c>
      <c r="K290" s="656" t="s">
        <v>4161</v>
      </c>
      <c r="L290" s="656"/>
      <c r="M290" s="657"/>
      <c r="N290" s="1482"/>
      <c r="O290" s="656" t="s">
        <v>498</v>
      </c>
      <c r="P290" s="656" t="s">
        <v>13052</v>
      </c>
      <c r="Q290" s="656">
        <v>44218.492569444446</v>
      </c>
    </row>
    <row r="291" spans="1:17">
      <c r="A291" s="656" t="s">
        <v>15266</v>
      </c>
      <c r="B291" s="657" t="s">
        <v>504</v>
      </c>
      <c r="C291" s="656" t="s">
        <v>15267</v>
      </c>
      <c r="D291" s="657" t="s">
        <v>13789</v>
      </c>
      <c r="E291" s="657" t="s">
        <v>7437</v>
      </c>
      <c r="F291" s="656" t="s">
        <v>540</v>
      </c>
      <c r="G291" s="656" t="s">
        <v>541</v>
      </c>
      <c r="H291" s="656" t="s">
        <v>540</v>
      </c>
      <c r="I291" s="656" t="s">
        <v>13334</v>
      </c>
      <c r="J291" s="656"/>
      <c r="K291" s="656"/>
      <c r="L291" s="656"/>
      <c r="M291" s="657"/>
      <c r="N291" s="1482"/>
      <c r="O291" s="656" t="s">
        <v>498</v>
      </c>
      <c r="P291" s="656" t="s">
        <v>13052</v>
      </c>
      <c r="Q291" s="656">
        <v>44218.492685185185</v>
      </c>
    </row>
    <row r="292" spans="1:17">
      <c r="A292" s="656" t="s">
        <v>15268</v>
      </c>
      <c r="B292" s="657" t="s">
        <v>504</v>
      </c>
      <c r="C292" s="656" t="s">
        <v>15269</v>
      </c>
      <c r="D292" s="657" t="s">
        <v>13789</v>
      </c>
      <c r="E292" s="657" t="s">
        <v>7437</v>
      </c>
      <c r="F292" s="656" t="s">
        <v>540</v>
      </c>
      <c r="G292" s="656" t="s">
        <v>625</v>
      </c>
      <c r="H292" s="656" t="s">
        <v>540</v>
      </c>
      <c r="I292" s="656" t="s">
        <v>13334</v>
      </c>
      <c r="J292" s="656"/>
      <c r="K292" s="656"/>
      <c r="L292" s="656"/>
      <c r="M292" s="657"/>
      <c r="N292" s="1482"/>
      <c r="O292" s="656" t="s">
        <v>498</v>
      </c>
      <c r="P292" s="656" t="s">
        <v>13052</v>
      </c>
      <c r="Q292" s="656">
        <v>44218.492800925924</v>
      </c>
    </row>
    <row r="293" spans="1:17">
      <c r="A293" s="656" t="s">
        <v>15270</v>
      </c>
      <c r="B293" s="657" t="s">
        <v>504</v>
      </c>
      <c r="C293" s="656" t="s">
        <v>15271</v>
      </c>
      <c r="D293" s="657" t="s">
        <v>13789</v>
      </c>
      <c r="E293" s="657" t="s">
        <v>7437</v>
      </c>
      <c r="F293" s="656" t="s">
        <v>505</v>
      </c>
      <c r="G293" s="656" t="s">
        <v>506</v>
      </c>
      <c r="H293" s="656" t="s">
        <v>505</v>
      </c>
      <c r="I293" s="656" t="s">
        <v>13051</v>
      </c>
      <c r="J293" s="656"/>
      <c r="K293" s="656"/>
      <c r="L293" s="656"/>
      <c r="M293" s="657"/>
      <c r="N293" s="1482"/>
      <c r="O293" s="656" t="s">
        <v>498</v>
      </c>
      <c r="P293" s="656" t="s">
        <v>13052</v>
      </c>
      <c r="Q293" s="656">
        <v>44218.49291666667</v>
      </c>
    </row>
    <row r="294" spans="1:17">
      <c r="A294" s="656" t="s">
        <v>15272</v>
      </c>
      <c r="B294" s="657" t="s">
        <v>202</v>
      </c>
      <c r="C294" s="656" t="s">
        <v>15273</v>
      </c>
      <c r="D294" s="657" t="s">
        <v>13789</v>
      </c>
      <c r="E294" s="657" t="s">
        <v>7435</v>
      </c>
      <c r="F294" s="656" t="s">
        <v>472</v>
      </c>
      <c r="G294" s="656" t="s">
        <v>519</v>
      </c>
      <c r="H294" s="656" t="s">
        <v>472</v>
      </c>
      <c r="I294" s="656"/>
      <c r="J294" s="656" t="s">
        <v>12368</v>
      </c>
      <c r="K294" s="656" t="s">
        <v>1058</v>
      </c>
      <c r="L294" s="656"/>
      <c r="M294" s="657"/>
      <c r="N294" s="1482"/>
      <c r="O294" s="656" t="s">
        <v>498</v>
      </c>
      <c r="P294" s="656" t="s">
        <v>13052</v>
      </c>
      <c r="Q294" s="656">
        <v>44218.493020833332</v>
      </c>
    </row>
    <row r="295" spans="1:17">
      <c r="A295" s="656" t="s">
        <v>15274</v>
      </c>
      <c r="B295" s="657" t="s">
        <v>202</v>
      </c>
      <c r="C295" s="656" t="s">
        <v>15275</v>
      </c>
      <c r="D295" s="657" t="s">
        <v>13789</v>
      </c>
      <c r="E295" s="657" t="s">
        <v>7435</v>
      </c>
      <c r="F295" s="656" t="s">
        <v>472</v>
      </c>
      <c r="G295" s="656" t="s">
        <v>519</v>
      </c>
      <c r="H295" s="656" t="s">
        <v>472</v>
      </c>
      <c r="I295" s="656"/>
      <c r="J295" s="656" t="s">
        <v>12368</v>
      </c>
      <c r="K295" s="656" t="s">
        <v>1058</v>
      </c>
      <c r="L295" s="656"/>
      <c r="M295" s="657"/>
      <c r="N295" s="1482"/>
      <c r="O295" s="656" t="s">
        <v>498</v>
      </c>
      <c r="P295" s="656" t="s">
        <v>13052</v>
      </c>
      <c r="Q295" s="656">
        <v>44218.493136574078</v>
      </c>
    </row>
    <row r="296" spans="1:17">
      <c r="A296" s="656" t="s">
        <v>15276</v>
      </c>
      <c r="B296" s="657" t="s">
        <v>202</v>
      </c>
      <c r="C296" s="656" t="s">
        <v>15277</v>
      </c>
      <c r="D296" s="657" t="s">
        <v>13789</v>
      </c>
      <c r="E296" s="657" t="s">
        <v>7435</v>
      </c>
      <c r="F296" s="656" t="s">
        <v>472</v>
      </c>
      <c r="G296" s="656" t="s">
        <v>519</v>
      </c>
      <c r="H296" s="656" t="s">
        <v>472</v>
      </c>
      <c r="I296" s="656"/>
      <c r="J296" s="656" t="s">
        <v>12368</v>
      </c>
      <c r="K296" s="656" t="s">
        <v>1058</v>
      </c>
      <c r="L296" s="656"/>
      <c r="M296" s="657"/>
      <c r="N296" s="1482"/>
      <c r="O296" s="656" t="s">
        <v>498</v>
      </c>
      <c r="P296" s="656" t="s">
        <v>13052</v>
      </c>
      <c r="Q296" s="656">
        <v>44218.493263888886</v>
      </c>
    </row>
    <row r="297" spans="1:17">
      <c r="A297" s="656" t="s">
        <v>15278</v>
      </c>
      <c r="B297" s="657" t="s">
        <v>202</v>
      </c>
      <c r="C297" s="656" t="s">
        <v>15279</v>
      </c>
      <c r="D297" s="657" t="s">
        <v>13789</v>
      </c>
      <c r="E297" s="657" t="s">
        <v>7435</v>
      </c>
      <c r="F297" s="656" t="s">
        <v>472</v>
      </c>
      <c r="G297" s="656" t="s">
        <v>519</v>
      </c>
      <c r="H297" s="656" t="s">
        <v>472</v>
      </c>
      <c r="I297" s="656"/>
      <c r="J297" s="656" t="s">
        <v>12368</v>
      </c>
      <c r="K297" s="656" t="s">
        <v>1058</v>
      </c>
      <c r="L297" s="656"/>
      <c r="M297" s="657"/>
      <c r="N297" s="1482"/>
      <c r="O297" s="656" t="s">
        <v>498</v>
      </c>
      <c r="P297" s="656" t="s">
        <v>13052</v>
      </c>
      <c r="Q297" s="656">
        <v>44218.493391203701</v>
      </c>
    </row>
    <row r="298" spans="1:17">
      <c r="A298" s="656" t="s">
        <v>15252</v>
      </c>
      <c r="B298" s="657" t="s">
        <v>202</v>
      </c>
      <c r="C298" s="656" t="s">
        <v>15253</v>
      </c>
      <c r="D298" s="657" t="s">
        <v>13789</v>
      </c>
      <c r="E298" s="657" t="s">
        <v>7435</v>
      </c>
      <c r="F298" s="656" t="s">
        <v>472</v>
      </c>
      <c r="G298" s="656" t="s">
        <v>519</v>
      </c>
      <c r="H298" s="656" t="s">
        <v>472</v>
      </c>
      <c r="I298" s="656"/>
      <c r="J298" s="656" t="s">
        <v>12368</v>
      </c>
      <c r="K298" s="656" t="s">
        <v>1058</v>
      </c>
      <c r="L298" s="656"/>
      <c r="M298" s="657"/>
      <c r="N298" s="1482"/>
      <c r="O298" s="656" t="s">
        <v>498</v>
      </c>
      <c r="P298" s="656" t="s">
        <v>13052</v>
      </c>
      <c r="Q298" s="656">
        <v>44218.481006944443</v>
      </c>
    </row>
    <row r="299" spans="1:17">
      <c r="A299" s="656" t="s">
        <v>15489</v>
      </c>
      <c r="B299" s="657" t="s">
        <v>504</v>
      </c>
      <c r="C299" s="656" t="s">
        <v>15490</v>
      </c>
      <c r="D299" s="657" t="s">
        <v>15491</v>
      </c>
      <c r="E299" s="657" t="s">
        <v>7437</v>
      </c>
      <c r="F299" s="656" t="s">
        <v>505</v>
      </c>
      <c r="G299" s="656" t="s">
        <v>2769</v>
      </c>
      <c r="H299" s="656" t="s">
        <v>505</v>
      </c>
      <c r="I299" s="656" t="s">
        <v>13334</v>
      </c>
      <c r="J299" s="656"/>
      <c r="K299" s="656"/>
      <c r="L299" s="656"/>
      <c r="M299" s="657"/>
      <c r="N299" s="1482"/>
      <c r="O299" s="656" t="s">
        <v>498</v>
      </c>
      <c r="P299" s="656" t="s">
        <v>13052</v>
      </c>
      <c r="Q299" s="656">
        <v>44218.554884259262</v>
      </c>
    </row>
    <row r="300" spans="1:17">
      <c r="A300" s="656" t="s">
        <v>15492</v>
      </c>
      <c r="B300" s="657" t="s">
        <v>504</v>
      </c>
      <c r="C300" s="656" t="s">
        <v>15493</v>
      </c>
      <c r="D300" s="657" t="s">
        <v>15491</v>
      </c>
      <c r="E300" s="657" t="s">
        <v>7437</v>
      </c>
      <c r="F300" s="656" t="s">
        <v>505</v>
      </c>
      <c r="G300" s="656" t="s">
        <v>2769</v>
      </c>
      <c r="H300" s="656" t="s">
        <v>505</v>
      </c>
      <c r="I300" s="656" t="s">
        <v>13334</v>
      </c>
      <c r="J300" s="656"/>
      <c r="K300" s="656"/>
      <c r="L300" s="656"/>
      <c r="M300" s="657"/>
      <c r="N300" s="1482"/>
      <c r="O300" s="656" t="s">
        <v>498</v>
      </c>
      <c r="P300" s="656" t="s">
        <v>13052</v>
      </c>
      <c r="Q300" s="656">
        <v>44218.554895833331</v>
      </c>
    </row>
    <row r="301" spans="1:17">
      <c r="A301" s="656" t="s">
        <v>15494</v>
      </c>
      <c r="B301" s="657" t="s">
        <v>504</v>
      </c>
      <c r="C301" s="656" t="s">
        <v>15495</v>
      </c>
      <c r="D301" s="657" t="s">
        <v>15491</v>
      </c>
      <c r="E301" s="657" t="s">
        <v>7437</v>
      </c>
      <c r="F301" s="656" t="s">
        <v>505</v>
      </c>
      <c r="G301" s="656" t="s">
        <v>2769</v>
      </c>
      <c r="H301" s="656" t="s">
        <v>505</v>
      </c>
      <c r="I301" s="656" t="s">
        <v>13334</v>
      </c>
      <c r="J301" s="656"/>
      <c r="K301" s="656"/>
      <c r="L301" s="656"/>
      <c r="M301" s="657"/>
      <c r="N301" s="1482"/>
      <c r="O301" s="656" t="s">
        <v>498</v>
      </c>
      <c r="P301" s="656" t="s">
        <v>13052</v>
      </c>
      <c r="Q301" s="656">
        <v>44218.554895833331</v>
      </c>
    </row>
    <row r="302" spans="1:17">
      <c r="A302" s="656" t="s">
        <v>15171</v>
      </c>
      <c r="B302" s="657" t="s">
        <v>531</v>
      </c>
      <c r="C302" s="656" t="s">
        <v>15170</v>
      </c>
      <c r="D302" s="657" t="s">
        <v>13789</v>
      </c>
      <c r="E302" s="657" t="s">
        <v>7435</v>
      </c>
      <c r="F302" s="656" t="s">
        <v>2849</v>
      </c>
      <c r="G302" s="656"/>
      <c r="H302" s="656" t="s">
        <v>469</v>
      </c>
      <c r="I302" s="656" t="s">
        <v>14976</v>
      </c>
      <c r="J302" s="656" t="s">
        <v>532</v>
      </c>
      <c r="K302" s="656"/>
      <c r="L302" s="656"/>
      <c r="M302" s="657"/>
      <c r="N302" s="1482"/>
      <c r="O302" s="656" t="s">
        <v>498</v>
      </c>
      <c r="P302" s="656" t="s">
        <v>13052</v>
      </c>
      <c r="Q302" s="656">
        <v>44216.787291666667</v>
      </c>
    </row>
    <row r="303" spans="1:17">
      <c r="A303" s="656" t="s">
        <v>15169</v>
      </c>
      <c r="B303" s="657" t="s">
        <v>531</v>
      </c>
      <c r="C303" s="656" t="s">
        <v>15170</v>
      </c>
      <c r="D303" s="657" t="s">
        <v>13789</v>
      </c>
      <c r="E303" s="657" t="s">
        <v>7435</v>
      </c>
      <c r="F303" s="656" t="s">
        <v>2849</v>
      </c>
      <c r="G303" s="656"/>
      <c r="H303" s="656" t="s">
        <v>469</v>
      </c>
      <c r="I303" s="656" t="s">
        <v>14976</v>
      </c>
      <c r="J303" s="656" t="s">
        <v>532</v>
      </c>
      <c r="K303" s="656"/>
      <c r="L303" s="656"/>
      <c r="M303" s="657"/>
      <c r="N303" s="1482"/>
      <c r="O303" s="656" t="s">
        <v>498</v>
      </c>
      <c r="P303" s="656" t="s">
        <v>13052</v>
      </c>
      <c r="Q303" s="656">
        <v>44216.787280092591</v>
      </c>
    </row>
    <row r="304" spans="1:17">
      <c r="A304" s="656" t="s">
        <v>15168</v>
      </c>
      <c r="B304" s="657" t="s">
        <v>531</v>
      </c>
      <c r="C304" s="656" t="s">
        <v>15167</v>
      </c>
      <c r="D304" s="657" t="s">
        <v>13789</v>
      </c>
      <c r="E304" s="657" t="s">
        <v>7435</v>
      </c>
      <c r="F304" s="656" t="s">
        <v>2849</v>
      </c>
      <c r="G304" s="656"/>
      <c r="H304" s="656" t="s">
        <v>469</v>
      </c>
      <c r="I304" s="656" t="s">
        <v>14976</v>
      </c>
      <c r="J304" s="656" t="s">
        <v>532</v>
      </c>
      <c r="K304" s="656"/>
      <c r="L304" s="656"/>
      <c r="M304" s="657"/>
      <c r="N304" s="1482"/>
      <c r="O304" s="656" t="s">
        <v>498</v>
      </c>
      <c r="P304" s="656" t="s">
        <v>13052</v>
      </c>
      <c r="Q304" s="656">
        <v>44216.787280092591</v>
      </c>
    </row>
    <row r="305" spans="1:17">
      <c r="A305" s="656" t="s">
        <v>15166</v>
      </c>
      <c r="B305" s="657" t="s">
        <v>531</v>
      </c>
      <c r="C305" s="656" t="s">
        <v>15167</v>
      </c>
      <c r="D305" s="657" t="s">
        <v>13789</v>
      </c>
      <c r="E305" s="657" t="s">
        <v>7435</v>
      </c>
      <c r="F305" s="656" t="s">
        <v>2849</v>
      </c>
      <c r="G305" s="656"/>
      <c r="H305" s="656" t="s">
        <v>469</v>
      </c>
      <c r="I305" s="656" t="s">
        <v>14976</v>
      </c>
      <c r="J305" s="656" t="s">
        <v>532</v>
      </c>
      <c r="K305" s="656"/>
      <c r="L305" s="656"/>
      <c r="M305" s="657"/>
      <c r="N305" s="1482"/>
      <c r="O305" s="656" t="s">
        <v>498</v>
      </c>
      <c r="P305" s="656" t="s">
        <v>13052</v>
      </c>
      <c r="Q305" s="656">
        <v>44216.787268518521</v>
      </c>
    </row>
    <row r="306" spans="1:17">
      <c r="A306" s="656" t="s">
        <v>15165</v>
      </c>
      <c r="B306" s="657" t="s">
        <v>531</v>
      </c>
      <c r="C306" s="656" t="s">
        <v>15164</v>
      </c>
      <c r="D306" s="657" t="s">
        <v>13789</v>
      </c>
      <c r="E306" s="657" t="s">
        <v>7433</v>
      </c>
      <c r="F306" s="656" t="s">
        <v>2849</v>
      </c>
      <c r="G306" s="656"/>
      <c r="H306" s="656" t="s">
        <v>469</v>
      </c>
      <c r="I306" s="656" t="s">
        <v>14976</v>
      </c>
      <c r="J306" s="656" t="s">
        <v>532</v>
      </c>
      <c r="K306" s="656"/>
      <c r="L306" s="656"/>
      <c r="M306" s="657"/>
      <c r="N306" s="1482"/>
      <c r="O306" s="656" t="s">
        <v>498</v>
      </c>
      <c r="P306" s="656" t="s">
        <v>13052</v>
      </c>
      <c r="Q306" s="656">
        <v>44216.787268518521</v>
      </c>
    </row>
    <row r="307" spans="1:17">
      <c r="A307" s="656" t="s">
        <v>15163</v>
      </c>
      <c r="B307" s="657" t="s">
        <v>531</v>
      </c>
      <c r="C307" s="656" t="s">
        <v>15164</v>
      </c>
      <c r="D307" s="657" t="s">
        <v>13789</v>
      </c>
      <c r="E307" s="657" t="s">
        <v>7433</v>
      </c>
      <c r="F307" s="656" t="s">
        <v>2849</v>
      </c>
      <c r="G307" s="656"/>
      <c r="H307" s="656" t="s">
        <v>469</v>
      </c>
      <c r="I307" s="656" t="s">
        <v>14976</v>
      </c>
      <c r="J307" s="656" t="s">
        <v>532</v>
      </c>
      <c r="K307" s="656"/>
      <c r="L307" s="656"/>
      <c r="M307" s="657"/>
      <c r="N307" s="1482"/>
      <c r="O307" s="656" t="s">
        <v>498</v>
      </c>
      <c r="P307" s="656" t="s">
        <v>13052</v>
      </c>
      <c r="Q307" s="656">
        <v>44216.787256944444</v>
      </c>
    </row>
    <row r="308" spans="1:17">
      <c r="A308" s="656" t="s">
        <v>15162</v>
      </c>
      <c r="B308" s="657" t="s">
        <v>531</v>
      </c>
      <c r="C308" s="656" t="s">
        <v>15127</v>
      </c>
      <c r="D308" s="657" t="s">
        <v>13789</v>
      </c>
      <c r="E308" s="657" t="s">
        <v>7437</v>
      </c>
      <c r="F308" s="656" t="s">
        <v>2849</v>
      </c>
      <c r="G308" s="656" t="s">
        <v>512</v>
      </c>
      <c r="H308" s="656" t="s">
        <v>469</v>
      </c>
      <c r="I308" s="656" t="s">
        <v>14976</v>
      </c>
      <c r="J308" s="656" t="s">
        <v>459</v>
      </c>
      <c r="K308" s="656" t="s">
        <v>2849</v>
      </c>
      <c r="L308" s="656"/>
      <c r="M308" s="657"/>
      <c r="N308" s="1482"/>
      <c r="O308" s="656" t="s">
        <v>498</v>
      </c>
      <c r="P308" s="656" t="s">
        <v>13052</v>
      </c>
      <c r="Q308" s="656">
        <v>44216.787256944444</v>
      </c>
    </row>
    <row r="309" spans="1:17">
      <c r="A309" s="656" t="s">
        <v>15161</v>
      </c>
      <c r="B309" s="657" t="s">
        <v>531</v>
      </c>
      <c r="C309" s="656" t="s">
        <v>15127</v>
      </c>
      <c r="D309" s="657" t="s">
        <v>13789</v>
      </c>
      <c r="E309" s="657" t="s">
        <v>7437</v>
      </c>
      <c r="F309" s="656" t="s">
        <v>2849</v>
      </c>
      <c r="G309" s="656" t="s">
        <v>512</v>
      </c>
      <c r="H309" s="656" t="s">
        <v>469</v>
      </c>
      <c r="I309" s="656" t="s">
        <v>14976</v>
      </c>
      <c r="J309" s="656" t="s">
        <v>459</v>
      </c>
      <c r="K309" s="656" t="s">
        <v>2849</v>
      </c>
      <c r="L309" s="656"/>
      <c r="M309" s="657"/>
      <c r="N309" s="1482"/>
      <c r="O309" s="656" t="s">
        <v>498</v>
      </c>
      <c r="P309" s="656" t="s">
        <v>13052</v>
      </c>
      <c r="Q309" s="656">
        <v>44216.787256944444</v>
      </c>
    </row>
    <row r="310" spans="1:17">
      <c r="A310" s="656" t="s">
        <v>15160</v>
      </c>
      <c r="B310" s="657" t="s">
        <v>531</v>
      </c>
      <c r="C310" s="656" t="s">
        <v>15159</v>
      </c>
      <c r="D310" s="657" t="s">
        <v>13789</v>
      </c>
      <c r="E310" s="657" t="s">
        <v>7437</v>
      </c>
      <c r="F310" s="656" t="s">
        <v>2849</v>
      </c>
      <c r="G310" s="656" t="s">
        <v>512</v>
      </c>
      <c r="H310" s="656" t="s">
        <v>469</v>
      </c>
      <c r="I310" s="656" t="s">
        <v>14976</v>
      </c>
      <c r="J310" s="656" t="s">
        <v>532</v>
      </c>
      <c r="K310" s="656" t="s">
        <v>2849</v>
      </c>
      <c r="L310" s="656"/>
      <c r="M310" s="657"/>
      <c r="N310" s="1482"/>
      <c r="O310" s="656" t="s">
        <v>498</v>
      </c>
      <c r="P310" s="656" t="s">
        <v>13052</v>
      </c>
      <c r="Q310" s="656">
        <v>44216.787245370368</v>
      </c>
    </row>
    <row r="311" spans="1:17">
      <c r="A311" s="656" t="s">
        <v>15158</v>
      </c>
      <c r="B311" s="657" t="s">
        <v>531</v>
      </c>
      <c r="C311" s="656" t="s">
        <v>15159</v>
      </c>
      <c r="D311" s="657" t="s">
        <v>13789</v>
      </c>
      <c r="E311" s="657" t="s">
        <v>7437</v>
      </c>
      <c r="F311" s="656" t="s">
        <v>2849</v>
      </c>
      <c r="G311" s="656"/>
      <c r="H311" s="656" t="s">
        <v>469</v>
      </c>
      <c r="I311" s="656" t="s">
        <v>14976</v>
      </c>
      <c r="J311" s="656" t="s">
        <v>532</v>
      </c>
      <c r="K311" s="656"/>
      <c r="L311" s="656"/>
      <c r="M311" s="657"/>
      <c r="N311" s="1482"/>
      <c r="O311" s="656" t="s">
        <v>498</v>
      </c>
      <c r="P311" s="656" t="s">
        <v>13052</v>
      </c>
      <c r="Q311" s="656">
        <v>44216.787245370368</v>
      </c>
    </row>
    <row r="312" spans="1:17">
      <c r="A312" s="656" t="s">
        <v>15157</v>
      </c>
      <c r="B312" s="657" t="s">
        <v>531</v>
      </c>
      <c r="C312" s="656" t="s">
        <v>15156</v>
      </c>
      <c r="D312" s="657" t="s">
        <v>13789</v>
      </c>
      <c r="E312" s="657" t="s">
        <v>7435</v>
      </c>
      <c r="F312" s="656" t="s">
        <v>2849</v>
      </c>
      <c r="G312" s="656" t="s">
        <v>512</v>
      </c>
      <c r="H312" s="656" t="s">
        <v>469</v>
      </c>
      <c r="I312" s="656" t="s">
        <v>14976</v>
      </c>
      <c r="J312" s="656" t="s">
        <v>12373</v>
      </c>
      <c r="K312" s="656" t="s">
        <v>2849</v>
      </c>
      <c r="L312" s="656"/>
      <c r="M312" s="657"/>
      <c r="N312" s="1482"/>
      <c r="O312" s="656" t="s">
        <v>498</v>
      </c>
      <c r="P312" s="656" t="s">
        <v>13052</v>
      </c>
      <c r="Q312" s="656">
        <v>44216.787233796298</v>
      </c>
    </row>
    <row r="313" spans="1:17">
      <c r="A313" s="656" t="s">
        <v>15155</v>
      </c>
      <c r="B313" s="657" t="s">
        <v>531</v>
      </c>
      <c r="C313" s="656" t="s">
        <v>15156</v>
      </c>
      <c r="D313" s="657" t="s">
        <v>13789</v>
      </c>
      <c r="E313" s="657" t="s">
        <v>7435</v>
      </c>
      <c r="F313" s="656" t="s">
        <v>2849</v>
      </c>
      <c r="G313" s="656" t="s">
        <v>512</v>
      </c>
      <c r="H313" s="656" t="s">
        <v>469</v>
      </c>
      <c r="I313" s="656" t="s">
        <v>14976</v>
      </c>
      <c r="J313" s="656" t="s">
        <v>12373</v>
      </c>
      <c r="K313" s="656" t="s">
        <v>2849</v>
      </c>
      <c r="L313" s="656"/>
      <c r="M313" s="657"/>
      <c r="N313" s="1482"/>
      <c r="O313" s="656" t="s">
        <v>498</v>
      </c>
      <c r="P313" s="656" t="s">
        <v>13052</v>
      </c>
      <c r="Q313" s="656">
        <v>44216.787233796298</v>
      </c>
    </row>
    <row r="314" spans="1:17">
      <c r="A314" s="656" t="s">
        <v>15154</v>
      </c>
      <c r="B314" s="657" t="s">
        <v>531</v>
      </c>
      <c r="C314" s="656" t="s">
        <v>12645</v>
      </c>
      <c r="D314" s="657" t="s">
        <v>13789</v>
      </c>
      <c r="E314" s="657" t="s">
        <v>7437</v>
      </c>
      <c r="F314" s="656" t="s">
        <v>2849</v>
      </c>
      <c r="G314" s="656" t="s">
        <v>512</v>
      </c>
      <c r="H314" s="656" t="s">
        <v>469</v>
      </c>
      <c r="I314" s="656" t="s">
        <v>14976</v>
      </c>
      <c r="J314" s="656" t="s">
        <v>12373</v>
      </c>
      <c r="K314" s="656" t="s">
        <v>2849</v>
      </c>
      <c r="L314" s="656"/>
      <c r="M314" s="657"/>
      <c r="N314" s="1482"/>
      <c r="O314" s="656" t="s">
        <v>498</v>
      </c>
      <c r="P314" s="656" t="s">
        <v>13052</v>
      </c>
      <c r="Q314" s="656">
        <v>44216.787222222221</v>
      </c>
    </row>
    <row r="315" spans="1:17">
      <c r="A315" s="656" t="s">
        <v>15153</v>
      </c>
      <c r="B315" s="657" t="s">
        <v>531</v>
      </c>
      <c r="C315" s="656" t="s">
        <v>12645</v>
      </c>
      <c r="D315" s="657" t="s">
        <v>13789</v>
      </c>
      <c r="E315" s="657" t="s">
        <v>7437</v>
      </c>
      <c r="F315" s="656" t="s">
        <v>2849</v>
      </c>
      <c r="G315" s="656" t="s">
        <v>512</v>
      </c>
      <c r="H315" s="656" t="s">
        <v>469</v>
      </c>
      <c r="I315" s="656" t="s">
        <v>14976</v>
      </c>
      <c r="J315" s="656" t="s">
        <v>12373</v>
      </c>
      <c r="K315" s="656" t="s">
        <v>2849</v>
      </c>
      <c r="L315" s="656"/>
      <c r="M315" s="657"/>
      <c r="N315" s="1482"/>
      <c r="O315" s="656" t="s">
        <v>498</v>
      </c>
      <c r="P315" s="656" t="s">
        <v>13052</v>
      </c>
      <c r="Q315" s="656">
        <v>44216.787222222221</v>
      </c>
    </row>
    <row r="316" spans="1:17">
      <c r="A316" s="656" t="s">
        <v>15152</v>
      </c>
      <c r="B316" s="657" t="s">
        <v>531</v>
      </c>
      <c r="C316" s="656" t="s">
        <v>15151</v>
      </c>
      <c r="D316" s="657" t="s">
        <v>13789</v>
      </c>
      <c r="E316" s="657" t="s">
        <v>7435</v>
      </c>
      <c r="F316" s="656" t="s">
        <v>2849</v>
      </c>
      <c r="G316" s="656" t="s">
        <v>512</v>
      </c>
      <c r="H316" s="656" t="s">
        <v>469</v>
      </c>
      <c r="I316" s="656" t="s">
        <v>14976</v>
      </c>
      <c r="J316" s="656" t="s">
        <v>12373</v>
      </c>
      <c r="K316" s="656" t="s">
        <v>2849</v>
      </c>
      <c r="L316" s="656"/>
      <c r="M316" s="657"/>
      <c r="N316" s="1482"/>
      <c r="O316" s="656" t="s">
        <v>498</v>
      </c>
      <c r="P316" s="656" t="s">
        <v>13052</v>
      </c>
      <c r="Q316" s="656">
        <v>44216.787210648145</v>
      </c>
    </row>
    <row r="317" spans="1:17">
      <c r="A317" s="656" t="s">
        <v>15150</v>
      </c>
      <c r="B317" s="657" t="s">
        <v>531</v>
      </c>
      <c r="C317" s="656" t="s">
        <v>15151</v>
      </c>
      <c r="D317" s="657" t="s">
        <v>13789</v>
      </c>
      <c r="E317" s="657" t="s">
        <v>7435</v>
      </c>
      <c r="F317" s="656" t="s">
        <v>2849</v>
      </c>
      <c r="G317" s="656" t="s">
        <v>512</v>
      </c>
      <c r="H317" s="656" t="s">
        <v>469</v>
      </c>
      <c r="I317" s="656" t="s">
        <v>14976</v>
      </c>
      <c r="J317" s="656" t="s">
        <v>12373</v>
      </c>
      <c r="K317" s="656" t="s">
        <v>2849</v>
      </c>
      <c r="L317" s="656"/>
      <c r="M317" s="657"/>
      <c r="N317" s="1482"/>
      <c r="O317" s="656" t="s">
        <v>498</v>
      </c>
      <c r="P317" s="656" t="s">
        <v>13052</v>
      </c>
      <c r="Q317" s="656">
        <v>44216.787210648145</v>
      </c>
    </row>
    <row r="318" spans="1:17">
      <c r="A318" s="656" t="s">
        <v>15149</v>
      </c>
      <c r="B318" s="657" t="s">
        <v>531</v>
      </c>
      <c r="C318" s="656" t="s">
        <v>15148</v>
      </c>
      <c r="D318" s="657" t="s">
        <v>13789</v>
      </c>
      <c r="E318" s="657" t="s">
        <v>7435</v>
      </c>
      <c r="F318" s="656" t="s">
        <v>2849</v>
      </c>
      <c r="G318" s="656" t="s">
        <v>512</v>
      </c>
      <c r="H318" s="656" t="s">
        <v>469</v>
      </c>
      <c r="I318" s="656" t="s">
        <v>14976</v>
      </c>
      <c r="J318" s="656" t="s">
        <v>12373</v>
      </c>
      <c r="K318" s="656" t="s">
        <v>2849</v>
      </c>
      <c r="L318" s="656"/>
      <c r="M318" s="657"/>
      <c r="N318" s="1482"/>
      <c r="O318" s="656" t="s">
        <v>498</v>
      </c>
      <c r="P318" s="656" t="s">
        <v>13052</v>
      </c>
      <c r="Q318" s="656">
        <v>44216.787210648145</v>
      </c>
    </row>
    <row r="319" spans="1:17">
      <c r="A319" s="656" t="s">
        <v>15147</v>
      </c>
      <c r="B319" s="657" t="s">
        <v>531</v>
      </c>
      <c r="C319" s="656" t="s">
        <v>15148</v>
      </c>
      <c r="D319" s="657" t="s">
        <v>13789</v>
      </c>
      <c r="E319" s="657" t="s">
        <v>7435</v>
      </c>
      <c r="F319" s="656" t="s">
        <v>2849</v>
      </c>
      <c r="G319" s="656" t="s">
        <v>512</v>
      </c>
      <c r="H319" s="656" t="s">
        <v>469</v>
      </c>
      <c r="I319" s="656" t="s">
        <v>14976</v>
      </c>
      <c r="J319" s="656" t="s">
        <v>12373</v>
      </c>
      <c r="K319" s="656" t="s">
        <v>2849</v>
      </c>
      <c r="L319" s="656"/>
      <c r="M319" s="657"/>
      <c r="N319" s="1482"/>
      <c r="O319" s="656" t="s">
        <v>498</v>
      </c>
      <c r="P319" s="656" t="s">
        <v>13052</v>
      </c>
      <c r="Q319" s="656">
        <v>44216.787199074075</v>
      </c>
    </row>
    <row r="320" spans="1:17">
      <c r="A320" s="656" t="s">
        <v>15146</v>
      </c>
      <c r="B320" s="657" t="s">
        <v>531</v>
      </c>
      <c r="C320" s="656" t="s">
        <v>15145</v>
      </c>
      <c r="D320" s="657" t="s">
        <v>13789</v>
      </c>
      <c r="E320" s="657" t="s">
        <v>7435</v>
      </c>
      <c r="F320" s="656" t="s">
        <v>2849</v>
      </c>
      <c r="G320" s="656" t="s">
        <v>512</v>
      </c>
      <c r="H320" s="656" t="s">
        <v>469</v>
      </c>
      <c r="I320" s="656" t="s">
        <v>14976</v>
      </c>
      <c r="J320" s="656" t="s">
        <v>12373</v>
      </c>
      <c r="K320" s="656" t="s">
        <v>2849</v>
      </c>
      <c r="L320" s="656"/>
      <c r="M320" s="657"/>
      <c r="N320" s="1482"/>
      <c r="O320" s="656" t="s">
        <v>498</v>
      </c>
      <c r="P320" s="656" t="s">
        <v>13052</v>
      </c>
      <c r="Q320" s="656">
        <v>44216.787187499998</v>
      </c>
    </row>
    <row r="321" spans="1:17">
      <c r="A321" s="656" t="s">
        <v>15144</v>
      </c>
      <c r="B321" s="657" t="s">
        <v>531</v>
      </c>
      <c r="C321" s="656" t="s">
        <v>15145</v>
      </c>
      <c r="D321" s="657" t="s">
        <v>13789</v>
      </c>
      <c r="E321" s="657" t="s">
        <v>7435</v>
      </c>
      <c r="F321" s="656" t="s">
        <v>2849</v>
      </c>
      <c r="G321" s="656" t="s">
        <v>512</v>
      </c>
      <c r="H321" s="656" t="s">
        <v>469</v>
      </c>
      <c r="I321" s="656" t="s">
        <v>14976</v>
      </c>
      <c r="J321" s="656" t="s">
        <v>12373</v>
      </c>
      <c r="K321" s="656" t="s">
        <v>2849</v>
      </c>
      <c r="L321" s="656"/>
      <c r="M321" s="657"/>
      <c r="N321" s="1482"/>
      <c r="O321" s="656" t="s">
        <v>498</v>
      </c>
      <c r="P321" s="656" t="s">
        <v>13052</v>
      </c>
      <c r="Q321" s="656">
        <v>44216.787187499998</v>
      </c>
    </row>
    <row r="322" spans="1:17">
      <c r="A322" s="656" t="s">
        <v>15143</v>
      </c>
      <c r="B322" s="657" t="s">
        <v>531</v>
      </c>
      <c r="C322" s="656" t="s">
        <v>15142</v>
      </c>
      <c r="D322" s="657" t="s">
        <v>13789</v>
      </c>
      <c r="E322" s="657" t="s">
        <v>7435</v>
      </c>
      <c r="F322" s="656" t="s">
        <v>2849</v>
      </c>
      <c r="G322" s="656" t="s">
        <v>512</v>
      </c>
      <c r="H322" s="656" t="s">
        <v>469</v>
      </c>
      <c r="I322" s="656" t="s">
        <v>14976</v>
      </c>
      <c r="J322" s="656" t="s">
        <v>12373</v>
      </c>
      <c r="K322" s="656" t="s">
        <v>2849</v>
      </c>
      <c r="L322" s="656"/>
      <c r="M322" s="657"/>
      <c r="N322" s="1482"/>
      <c r="O322" s="656" t="s">
        <v>498</v>
      </c>
      <c r="P322" s="656" t="s">
        <v>13052</v>
      </c>
      <c r="Q322" s="656">
        <v>44216.787164351852</v>
      </c>
    </row>
    <row r="323" spans="1:17">
      <c r="A323" s="656" t="s">
        <v>15141</v>
      </c>
      <c r="B323" s="657" t="s">
        <v>531</v>
      </c>
      <c r="C323" s="656" t="s">
        <v>15142</v>
      </c>
      <c r="D323" s="657" t="s">
        <v>13789</v>
      </c>
      <c r="E323" s="657" t="s">
        <v>7435</v>
      </c>
      <c r="F323" s="656" t="s">
        <v>2849</v>
      </c>
      <c r="G323" s="656" t="s">
        <v>512</v>
      </c>
      <c r="H323" s="656" t="s">
        <v>469</v>
      </c>
      <c r="I323" s="656" t="s">
        <v>14976</v>
      </c>
      <c r="J323" s="656" t="s">
        <v>12373</v>
      </c>
      <c r="K323" s="656" t="s">
        <v>2849</v>
      </c>
      <c r="L323" s="656"/>
      <c r="M323" s="657"/>
      <c r="N323" s="1482"/>
      <c r="O323" s="656" t="s">
        <v>498</v>
      </c>
      <c r="P323" s="656" t="s">
        <v>13052</v>
      </c>
      <c r="Q323" s="656">
        <v>44216.787164351852</v>
      </c>
    </row>
    <row r="324" spans="1:17">
      <c r="A324" s="656" t="s">
        <v>15140</v>
      </c>
      <c r="B324" s="657" t="s">
        <v>531</v>
      </c>
      <c r="C324" s="656" t="s">
        <v>15139</v>
      </c>
      <c r="D324" s="657" t="s">
        <v>13789</v>
      </c>
      <c r="E324" s="657" t="s">
        <v>7435</v>
      </c>
      <c r="F324" s="656" t="s">
        <v>2849</v>
      </c>
      <c r="G324" s="656" t="s">
        <v>512</v>
      </c>
      <c r="H324" s="656" t="s">
        <v>469</v>
      </c>
      <c r="I324" s="656" t="s">
        <v>14976</v>
      </c>
      <c r="J324" s="656" t="s">
        <v>12373</v>
      </c>
      <c r="K324" s="656" t="s">
        <v>2849</v>
      </c>
      <c r="L324" s="656"/>
      <c r="M324" s="657"/>
      <c r="N324" s="1482"/>
      <c r="O324" s="656" t="s">
        <v>498</v>
      </c>
      <c r="P324" s="656" t="s">
        <v>13052</v>
      </c>
      <c r="Q324" s="656">
        <v>44216.787152777775</v>
      </c>
    </row>
    <row r="325" spans="1:17">
      <c r="A325" s="656" t="s">
        <v>15138</v>
      </c>
      <c r="B325" s="657" t="s">
        <v>531</v>
      </c>
      <c r="C325" s="656" t="s">
        <v>15139</v>
      </c>
      <c r="D325" s="657" t="s">
        <v>13789</v>
      </c>
      <c r="E325" s="657" t="s">
        <v>7435</v>
      </c>
      <c r="F325" s="656" t="s">
        <v>2849</v>
      </c>
      <c r="G325" s="656" t="s">
        <v>512</v>
      </c>
      <c r="H325" s="656" t="s">
        <v>469</v>
      </c>
      <c r="I325" s="656" t="s">
        <v>14976</v>
      </c>
      <c r="J325" s="656" t="s">
        <v>12373</v>
      </c>
      <c r="K325" s="656" t="s">
        <v>2849</v>
      </c>
      <c r="L325" s="656"/>
      <c r="M325" s="657"/>
      <c r="N325" s="1482"/>
      <c r="O325" s="656" t="s">
        <v>498</v>
      </c>
      <c r="P325" s="656" t="s">
        <v>13052</v>
      </c>
      <c r="Q325" s="656">
        <v>44216.787141203706</v>
      </c>
    </row>
    <row r="326" spans="1:17">
      <c r="A326" s="656" t="s">
        <v>15137</v>
      </c>
      <c r="B326" s="657" t="s">
        <v>531</v>
      </c>
      <c r="C326" s="656" t="s">
        <v>15136</v>
      </c>
      <c r="D326" s="657" t="s">
        <v>13789</v>
      </c>
      <c r="E326" s="657" t="s">
        <v>7435</v>
      </c>
      <c r="F326" s="656" t="s">
        <v>2849</v>
      </c>
      <c r="G326" s="656" t="s">
        <v>512</v>
      </c>
      <c r="H326" s="656" t="s">
        <v>469</v>
      </c>
      <c r="I326" s="656" t="s">
        <v>14976</v>
      </c>
      <c r="J326" s="656" t="s">
        <v>12373</v>
      </c>
      <c r="K326" s="656" t="s">
        <v>2849</v>
      </c>
      <c r="L326" s="656"/>
      <c r="M326" s="657"/>
      <c r="N326" s="1482"/>
      <c r="O326" s="656" t="s">
        <v>498</v>
      </c>
      <c r="P326" s="656" t="s">
        <v>13052</v>
      </c>
      <c r="Q326" s="656">
        <v>44216.787141203706</v>
      </c>
    </row>
    <row r="327" spans="1:17">
      <c r="A327" s="656" t="s">
        <v>15135</v>
      </c>
      <c r="B327" s="657" t="s">
        <v>531</v>
      </c>
      <c r="C327" s="656" t="s">
        <v>15136</v>
      </c>
      <c r="D327" s="657" t="s">
        <v>13789</v>
      </c>
      <c r="E327" s="657" t="s">
        <v>7435</v>
      </c>
      <c r="F327" s="656" t="s">
        <v>2849</v>
      </c>
      <c r="G327" s="656" t="s">
        <v>512</v>
      </c>
      <c r="H327" s="656" t="s">
        <v>469</v>
      </c>
      <c r="I327" s="656" t="s">
        <v>14976</v>
      </c>
      <c r="J327" s="656" t="s">
        <v>12373</v>
      </c>
      <c r="K327" s="656" t="s">
        <v>2849</v>
      </c>
      <c r="L327" s="656"/>
      <c r="M327" s="657"/>
      <c r="N327" s="1482"/>
      <c r="O327" s="656" t="s">
        <v>498</v>
      </c>
      <c r="P327" s="656" t="s">
        <v>13052</v>
      </c>
      <c r="Q327" s="656">
        <v>44216.787141203706</v>
      </c>
    </row>
    <row r="328" spans="1:17">
      <c r="A328" s="656" t="s">
        <v>15134</v>
      </c>
      <c r="B328" s="657" t="s">
        <v>531</v>
      </c>
      <c r="C328" s="656" t="s">
        <v>15133</v>
      </c>
      <c r="D328" s="657" t="s">
        <v>13789</v>
      </c>
      <c r="E328" s="657" t="s">
        <v>7435</v>
      </c>
      <c r="F328" s="656" t="s">
        <v>2849</v>
      </c>
      <c r="G328" s="656" t="s">
        <v>512</v>
      </c>
      <c r="H328" s="656" t="s">
        <v>469</v>
      </c>
      <c r="I328" s="656" t="s">
        <v>14976</v>
      </c>
      <c r="J328" s="656" t="s">
        <v>12373</v>
      </c>
      <c r="K328" s="656" t="s">
        <v>2849</v>
      </c>
      <c r="L328" s="656"/>
      <c r="M328" s="657"/>
      <c r="N328" s="1482"/>
      <c r="O328" s="656" t="s">
        <v>498</v>
      </c>
      <c r="P328" s="656" t="s">
        <v>13052</v>
      </c>
      <c r="Q328" s="656">
        <v>44216.787129629629</v>
      </c>
    </row>
    <row r="329" spans="1:17">
      <c r="A329" s="656" t="s">
        <v>15132</v>
      </c>
      <c r="B329" s="657" t="s">
        <v>531</v>
      </c>
      <c r="C329" s="656" t="s">
        <v>15133</v>
      </c>
      <c r="D329" s="657" t="s">
        <v>13789</v>
      </c>
      <c r="E329" s="657" t="s">
        <v>7435</v>
      </c>
      <c r="F329" s="656" t="s">
        <v>2849</v>
      </c>
      <c r="G329" s="656" t="s">
        <v>512</v>
      </c>
      <c r="H329" s="656" t="s">
        <v>469</v>
      </c>
      <c r="I329" s="656" t="s">
        <v>14976</v>
      </c>
      <c r="J329" s="656" t="s">
        <v>12373</v>
      </c>
      <c r="K329" s="656" t="s">
        <v>2849</v>
      </c>
      <c r="L329" s="656"/>
      <c r="M329" s="657"/>
      <c r="N329" s="1482"/>
      <c r="O329" s="656" t="s">
        <v>498</v>
      </c>
      <c r="P329" s="656" t="s">
        <v>13052</v>
      </c>
      <c r="Q329" s="656">
        <v>44216.787129629629</v>
      </c>
    </row>
    <row r="330" spans="1:17">
      <c r="A330" s="656" t="s">
        <v>15130</v>
      </c>
      <c r="B330" s="657" t="s">
        <v>504</v>
      </c>
      <c r="C330" s="656" t="s">
        <v>15131</v>
      </c>
      <c r="D330" s="657" t="s">
        <v>13789</v>
      </c>
      <c r="E330" s="657" t="s">
        <v>7437</v>
      </c>
      <c r="F330" s="656" t="s">
        <v>505</v>
      </c>
      <c r="G330" s="656" t="s">
        <v>522</v>
      </c>
      <c r="H330" s="656" t="s">
        <v>505</v>
      </c>
      <c r="I330" s="656"/>
      <c r="J330" s="656"/>
      <c r="K330" s="656"/>
      <c r="L330" s="656"/>
      <c r="M330" s="657"/>
      <c r="N330" s="1482"/>
      <c r="O330" s="656" t="s">
        <v>498</v>
      </c>
      <c r="P330" s="656" t="s">
        <v>13052</v>
      </c>
      <c r="Q330" s="656">
        <v>44216.787118055552</v>
      </c>
    </row>
    <row r="331" spans="1:17">
      <c r="A331" s="656" t="s">
        <v>15128</v>
      </c>
      <c r="B331" s="657" t="s">
        <v>202</v>
      </c>
      <c r="C331" s="656" t="s">
        <v>15129</v>
      </c>
      <c r="D331" s="657" t="s">
        <v>14977</v>
      </c>
      <c r="E331" s="657" t="s">
        <v>7435</v>
      </c>
      <c r="F331" s="656" t="s">
        <v>4052</v>
      </c>
      <c r="G331" s="656" t="s">
        <v>512</v>
      </c>
      <c r="H331" s="656" t="s">
        <v>455</v>
      </c>
      <c r="I331" s="656" t="s">
        <v>14976</v>
      </c>
      <c r="J331" s="656" t="s">
        <v>451</v>
      </c>
      <c r="K331" s="656" t="s">
        <v>1058</v>
      </c>
      <c r="L331" s="656"/>
      <c r="M331" s="657"/>
      <c r="N331" s="1482"/>
      <c r="O331" s="656" t="s">
        <v>498</v>
      </c>
      <c r="P331" s="656" t="s">
        <v>13052</v>
      </c>
      <c r="Q331" s="656">
        <v>44216.787106481483</v>
      </c>
    </row>
    <row r="332" spans="1:17">
      <c r="A332" s="656" t="s">
        <v>15126</v>
      </c>
      <c r="B332" s="657" t="s">
        <v>504</v>
      </c>
      <c r="C332" s="656" t="s">
        <v>15127</v>
      </c>
      <c r="D332" s="657" t="s">
        <v>13789</v>
      </c>
      <c r="E332" s="657" t="s">
        <v>7437</v>
      </c>
      <c r="F332" s="656" t="s">
        <v>505</v>
      </c>
      <c r="G332" s="656" t="s">
        <v>2769</v>
      </c>
      <c r="H332" s="656" t="s">
        <v>505</v>
      </c>
      <c r="I332" s="656" t="s">
        <v>14976</v>
      </c>
      <c r="J332" s="656"/>
      <c r="K332" s="656"/>
      <c r="L332" s="656"/>
      <c r="M332" s="657"/>
      <c r="N332" s="1482"/>
      <c r="O332" s="656" t="s">
        <v>498</v>
      </c>
      <c r="P332" s="656" t="s">
        <v>13052</v>
      </c>
      <c r="Q332" s="656">
        <v>44216.787106481483</v>
      </c>
    </row>
    <row r="333" spans="1:17">
      <c r="A333" s="656" t="s">
        <v>12997</v>
      </c>
      <c r="B333" s="657" t="s">
        <v>504</v>
      </c>
      <c r="C333" s="656" t="s">
        <v>12996</v>
      </c>
      <c r="D333" s="657" t="s">
        <v>13789</v>
      </c>
      <c r="E333" s="657" t="s">
        <v>7437</v>
      </c>
      <c r="F333" s="656" t="s">
        <v>505</v>
      </c>
      <c r="G333" s="656" t="s">
        <v>525</v>
      </c>
      <c r="H333" s="656" t="s">
        <v>505</v>
      </c>
      <c r="I333" s="656" t="s">
        <v>14976</v>
      </c>
      <c r="J333" s="656"/>
      <c r="K333" s="656"/>
      <c r="L333" s="656" t="s">
        <v>15125</v>
      </c>
      <c r="M333" s="657"/>
      <c r="N333" s="1482"/>
      <c r="O333" s="656" t="s">
        <v>498</v>
      </c>
      <c r="P333" s="656" t="s">
        <v>13052</v>
      </c>
      <c r="Q333" s="656">
        <v>44216.787106481483</v>
      </c>
    </row>
    <row r="334" spans="1:17">
      <c r="A334" s="656" t="s">
        <v>12999</v>
      </c>
      <c r="B334" s="657" t="s">
        <v>504</v>
      </c>
      <c r="C334" s="656" t="s">
        <v>12998</v>
      </c>
      <c r="D334" s="657" t="s">
        <v>13789</v>
      </c>
      <c r="E334" s="657" t="s">
        <v>7437</v>
      </c>
      <c r="F334" s="656" t="s">
        <v>540</v>
      </c>
      <c r="G334" s="656" t="s">
        <v>625</v>
      </c>
      <c r="H334" s="656" t="s">
        <v>540</v>
      </c>
      <c r="I334" s="656" t="s">
        <v>14976</v>
      </c>
      <c r="J334" s="656"/>
      <c r="K334" s="656"/>
      <c r="L334" s="656"/>
      <c r="M334" s="657"/>
      <c r="N334" s="1482"/>
      <c r="O334" s="656" t="s">
        <v>498</v>
      </c>
      <c r="P334" s="656" t="s">
        <v>13052</v>
      </c>
      <c r="Q334" s="656">
        <v>44216.787094907406</v>
      </c>
    </row>
    <row r="335" spans="1:17">
      <c r="A335" s="656" t="s">
        <v>13000</v>
      </c>
      <c r="B335" s="657" t="s">
        <v>504</v>
      </c>
      <c r="C335" s="656" t="s">
        <v>14067</v>
      </c>
      <c r="D335" s="657" t="s">
        <v>13789</v>
      </c>
      <c r="E335" s="657" t="s">
        <v>7437</v>
      </c>
      <c r="F335" s="656" t="s">
        <v>540</v>
      </c>
      <c r="G335" s="656" t="s">
        <v>541</v>
      </c>
      <c r="H335" s="656" t="s">
        <v>540</v>
      </c>
      <c r="I335" s="656" t="s">
        <v>14976</v>
      </c>
      <c r="J335" s="656"/>
      <c r="K335" s="656"/>
      <c r="L335" s="656"/>
      <c r="M335" s="657"/>
      <c r="N335" s="1482"/>
      <c r="O335" s="656" t="s">
        <v>498</v>
      </c>
      <c r="P335" s="656" t="s">
        <v>13052</v>
      </c>
      <c r="Q335" s="656">
        <v>44216.787083333336</v>
      </c>
    </row>
    <row r="336" spans="1:17">
      <c r="A336" s="656" t="s">
        <v>13002</v>
      </c>
      <c r="B336" s="657" t="s">
        <v>504</v>
      </c>
      <c r="C336" s="656" t="s">
        <v>13001</v>
      </c>
      <c r="D336" s="657" t="s">
        <v>13789</v>
      </c>
      <c r="E336" s="657" t="s">
        <v>7437</v>
      </c>
      <c r="F336" s="656" t="s">
        <v>505</v>
      </c>
      <c r="G336" s="656" t="s">
        <v>660</v>
      </c>
      <c r="H336" s="656" t="s">
        <v>505</v>
      </c>
      <c r="I336" s="656" t="s">
        <v>14976</v>
      </c>
      <c r="J336" s="656"/>
      <c r="K336" s="656"/>
      <c r="L336" s="656"/>
      <c r="M336" s="657"/>
      <c r="N336" s="1482"/>
      <c r="O336" s="656" t="s">
        <v>498</v>
      </c>
      <c r="P336" s="656" t="s">
        <v>13052</v>
      </c>
      <c r="Q336" s="656">
        <v>44216.78707175926</v>
      </c>
    </row>
    <row r="337" spans="1:17">
      <c r="A337" s="656" t="s">
        <v>13004</v>
      </c>
      <c r="B337" s="657" t="s">
        <v>504</v>
      </c>
      <c r="C337" s="656" t="s">
        <v>13003</v>
      </c>
      <c r="D337" s="657" t="s">
        <v>13789</v>
      </c>
      <c r="E337" s="657" t="s">
        <v>7437</v>
      </c>
      <c r="F337" s="656" t="s">
        <v>505</v>
      </c>
      <c r="G337" s="656" t="s">
        <v>525</v>
      </c>
      <c r="H337" s="656" t="s">
        <v>505</v>
      </c>
      <c r="I337" s="656" t="s">
        <v>14976</v>
      </c>
      <c r="J337" s="656"/>
      <c r="K337" s="656"/>
      <c r="L337" s="656"/>
      <c r="M337" s="657"/>
      <c r="N337" s="1482"/>
      <c r="O337" s="656" t="s">
        <v>498</v>
      </c>
      <c r="P337" s="656" t="s">
        <v>13052</v>
      </c>
      <c r="Q337" s="656">
        <v>44216.78707175926</v>
      </c>
    </row>
    <row r="338" spans="1:17">
      <c r="A338" s="656" t="s">
        <v>13006</v>
      </c>
      <c r="B338" s="657" t="s">
        <v>504</v>
      </c>
      <c r="C338" s="656" t="s">
        <v>13005</v>
      </c>
      <c r="D338" s="657" t="s">
        <v>13789</v>
      </c>
      <c r="E338" s="657" t="s">
        <v>7437</v>
      </c>
      <c r="F338" s="656" t="s">
        <v>505</v>
      </c>
      <c r="G338" s="656" t="s">
        <v>506</v>
      </c>
      <c r="H338" s="656" t="s">
        <v>505</v>
      </c>
      <c r="I338" s="656" t="s">
        <v>14976</v>
      </c>
      <c r="J338" s="656"/>
      <c r="K338" s="656"/>
      <c r="L338" s="656"/>
      <c r="M338" s="657"/>
      <c r="N338" s="1482"/>
      <c r="O338" s="656" t="s">
        <v>498</v>
      </c>
      <c r="P338" s="656" t="s">
        <v>13052</v>
      </c>
      <c r="Q338" s="656">
        <v>44216.787060185183</v>
      </c>
    </row>
    <row r="339" spans="1:17">
      <c r="A339" s="656" t="s">
        <v>13008</v>
      </c>
      <c r="B339" s="657" t="s">
        <v>504</v>
      </c>
      <c r="C339" s="656" t="s">
        <v>13007</v>
      </c>
      <c r="D339" s="657" t="s">
        <v>13789</v>
      </c>
      <c r="E339" s="657" t="s">
        <v>7437</v>
      </c>
      <c r="F339" s="656" t="s">
        <v>540</v>
      </c>
      <c r="G339" s="656"/>
      <c r="H339" s="656" t="s">
        <v>540</v>
      </c>
      <c r="I339" s="656" t="s">
        <v>14976</v>
      </c>
      <c r="J339" s="656"/>
      <c r="K339" s="656"/>
      <c r="L339" s="656"/>
      <c r="M339" s="657"/>
      <c r="N339" s="1482"/>
      <c r="O339" s="656" t="s">
        <v>498</v>
      </c>
      <c r="P339" s="656" t="s">
        <v>13052</v>
      </c>
      <c r="Q339" s="656">
        <v>44216.787060185183</v>
      </c>
    </row>
    <row r="340" spans="1:17">
      <c r="A340" s="656" t="s">
        <v>13010</v>
      </c>
      <c r="B340" s="657" t="s">
        <v>504</v>
      </c>
      <c r="C340" s="656" t="s">
        <v>13009</v>
      </c>
      <c r="D340" s="657" t="s">
        <v>13789</v>
      </c>
      <c r="E340" s="657" t="s">
        <v>7437</v>
      </c>
      <c r="F340" s="656" t="s">
        <v>540</v>
      </c>
      <c r="G340" s="656" t="s">
        <v>541</v>
      </c>
      <c r="H340" s="656" t="s">
        <v>540</v>
      </c>
      <c r="I340" s="656" t="s">
        <v>14976</v>
      </c>
      <c r="J340" s="656"/>
      <c r="K340" s="656"/>
      <c r="L340" s="656"/>
      <c r="M340" s="657"/>
      <c r="N340" s="1482"/>
      <c r="O340" s="656" t="s">
        <v>498</v>
      </c>
      <c r="P340" s="656" t="s">
        <v>13052</v>
      </c>
      <c r="Q340" s="656">
        <v>44216.787048611113</v>
      </c>
    </row>
    <row r="341" spans="1:17">
      <c r="A341" s="656" t="s">
        <v>13012</v>
      </c>
      <c r="B341" s="657" t="s">
        <v>504</v>
      </c>
      <c r="C341" s="656" t="s">
        <v>13011</v>
      </c>
      <c r="D341" s="657" t="s">
        <v>13789</v>
      </c>
      <c r="E341" s="657" t="s">
        <v>7437</v>
      </c>
      <c r="F341" s="656" t="s">
        <v>505</v>
      </c>
      <c r="G341" s="656" t="s">
        <v>525</v>
      </c>
      <c r="H341" s="656" t="s">
        <v>505</v>
      </c>
      <c r="I341" s="656" t="s">
        <v>14976</v>
      </c>
      <c r="J341" s="656"/>
      <c r="K341" s="656"/>
      <c r="L341" s="656"/>
      <c r="M341" s="657"/>
      <c r="N341" s="1482"/>
      <c r="O341" s="656" t="s">
        <v>498</v>
      </c>
      <c r="P341" s="656" t="s">
        <v>13052</v>
      </c>
      <c r="Q341" s="656">
        <v>44216.787037037036</v>
      </c>
    </row>
    <row r="342" spans="1:17">
      <c r="A342" s="656" t="s">
        <v>13014</v>
      </c>
      <c r="B342" s="657" t="s">
        <v>504</v>
      </c>
      <c r="C342" s="656" t="s">
        <v>13013</v>
      </c>
      <c r="D342" s="657" t="s">
        <v>13789</v>
      </c>
      <c r="E342" s="657" t="s">
        <v>7437</v>
      </c>
      <c r="F342" s="656" t="s">
        <v>505</v>
      </c>
      <c r="G342" s="656" t="s">
        <v>525</v>
      </c>
      <c r="H342" s="656" t="s">
        <v>505</v>
      </c>
      <c r="I342" s="656" t="s">
        <v>14976</v>
      </c>
      <c r="J342" s="656"/>
      <c r="K342" s="656"/>
      <c r="L342" s="656"/>
      <c r="M342" s="657"/>
      <c r="N342" s="1482"/>
      <c r="O342" s="656" t="s">
        <v>498</v>
      </c>
      <c r="P342" s="656" t="s">
        <v>13052</v>
      </c>
      <c r="Q342" s="656">
        <v>44216.787037037036</v>
      </c>
    </row>
    <row r="343" spans="1:17">
      <c r="A343" s="656" t="s">
        <v>12901</v>
      </c>
      <c r="B343" s="657" t="s">
        <v>504</v>
      </c>
      <c r="C343" s="656" t="s">
        <v>14066</v>
      </c>
      <c r="D343" s="657" t="s">
        <v>13789</v>
      </c>
      <c r="E343" s="657" t="s">
        <v>7437</v>
      </c>
      <c r="F343" s="656" t="s">
        <v>505</v>
      </c>
      <c r="G343" s="656" t="s">
        <v>522</v>
      </c>
      <c r="H343" s="656" t="s">
        <v>505</v>
      </c>
      <c r="I343" s="656" t="s">
        <v>14976</v>
      </c>
      <c r="J343" s="656"/>
      <c r="K343" s="656"/>
      <c r="L343" s="656"/>
      <c r="M343" s="657"/>
      <c r="N343" s="1482"/>
      <c r="O343" s="656" t="s">
        <v>498</v>
      </c>
      <c r="P343" s="656" t="s">
        <v>13052</v>
      </c>
      <c r="Q343" s="656">
        <v>44216.787037037036</v>
      </c>
    </row>
    <row r="344" spans="1:17">
      <c r="A344" s="656" t="s">
        <v>12903</v>
      </c>
      <c r="B344" s="657" t="s">
        <v>504</v>
      </c>
      <c r="C344" s="656" t="s">
        <v>12902</v>
      </c>
      <c r="D344" s="657" t="s">
        <v>13789</v>
      </c>
      <c r="E344" s="657" t="s">
        <v>7435</v>
      </c>
      <c r="F344" s="656" t="s">
        <v>505</v>
      </c>
      <c r="G344" s="656" t="s">
        <v>525</v>
      </c>
      <c r="H344" s="656" t="s">
        <v>505</v>
      </c>
      <c r="I344" s="656" t="s">
        <v>14976</v>
      </c>
      <c r="J344" s="656"/>
      <c r="K344" s="656"/>
      <c r="L344" s="656"/>
      <c r="M344" s="657"/>
      <c r="N344" s="1482"/>
      <c r="O344" s="656" t="s">
        <v>498</v>
      </c>
      <c r="P344" s="656" t="s">
        <v>13052</v>
      </c>
      <c r="Q344" s="656">
        <v>44216.78702546296</v>
      </c>
    </row>
    <row r="345" spans="1:17">
      <c r="A345" s="656" t="s">
        <v>12905</v>
      </c>
      <c r="B345" s="657" t="s">
        <v>202</v>
      </c>
      <c r="C345" s="656" t="s">
        <v>12904</v>
      </c>
      <c r="D345" s="657" t="s">
        <v>13789</v>
      </c>
      <c r="E345" s="657" t="s">
        <v>7437</v>
      </c>
      <c r="F345" s="656" t="s">
        <v>4052</v>
      </c>
      <c r="G345" s="656" t="s">
        <v>512</v>
      </c>
      <c r="H345" s="656" t="s">
        <v>455</v>
      </c>
      <c r="I345" s="656" t="s">
        <v>14976</v>
      </c>
      <c r="J345" s="656" t="s">
        <v>451</v>
      </c>
      <c r="K345" s="656" t="s">
        <v>4052</v>
      </c>
      <c r="L345" s="656"/>
      <c r="M345" s="657"/>
      <c r="N345" s="1482"/>
      <c r="O345" s="656" t="s">
        <v>498</v>
      </c>
      <c r="P345" s="656" t="s">
        <v>13052</v>
      </c>
      <c r="Q345" s="656">
        <v>44216.78702546296</v>
      </c>
    </row>
    <row r="346" spans="1:17">
      <c r="A346" s="656" t="s">
        <v>12907</v>
      </c>
      <c r="B346" s="657" t="s">
        <v>504</v>
      </c>
      <c r="C346" s="656" t="s">
        <v>12906</v>
      </c>
      <c r="D346" s="657" t="s">
        <v>13789</v>
      </c>
      <c r="E346" s="657" t="s">
        <v>7435</v>
      </c>
      <c r="F346" s="656" t="s">
        <v>540</v>
      </c>
      <c r="G346" s="656" t="s">
        <v>1398</v>
      </c>
      <c r="H346" s="656" t="s">
        <v>540</v>
      </c>
      <c r="I346" s="656" t="s">
        <v>14976</v>
      </c>
      <c r="J346" s="656"/>
      <c r="K346" s="656"/>
      <c r="L346" s="656"/>
      <c r="M346" s="657"/>
      <c r="N346" s="1482"/>
      <c r="O346" s="656" t="s">
        <v>498</v>
      </c>
      <c r="P346" s="656" t="s">
        <v>13052</v>
      </c>
      <c r="Q346" s="656">
        <v>44216.78701388889</v>
      </c>
    </row>
    <row r="347" spans="1:17">
      <c r="A347" s="656" t="s">
        <v>12909</v>
      </c>
      <c r="B347" s="657" t="s">
        <v>504</v>
      </c>
      <c r="C347" s="656" t="s">
        <v>12908</v>
      </c>
      <c r="D347" s="657" t="s">
        <v>14977</v>
      </c>
      <c r="E347" s="657" t="s">
        <v>7437</v>
      </c>
      <c r="F347" s="656" t="s">
        <v>505</v>
      </c>
      <c r="G347" s="656" t="s">
        <v>525</v>
      </c>
      <c r="H347" s="656" t="s">
        <v>505</v>
      </c>
      <c r="I347" s="656" t="s">
        <v>14976</v>
      </c>
      <c r="J347" s="656"/>
      <c r="K347" s="656"/>
      <c r="L347" s="656" t="s">
        <v>15122</v>
      </c>
      <c r="M347" s="657"/>
      <c r="N347" s="1482"/>
      <c r="O347" s="656" t="s">
        <v>498</v>
      </c>
      <c r="P347" s="656" t="s">
        <v>13052</v>
      </c>
      <c r="Q347" s="656">
        <v>44216.78701388889</v>
      </c>
    </row>
    <row r="348" spans="1:17">
      <c r="A348" s="656" t="s">
        <v>12911</v>
      </c>
      <c r="B348" s="657" t="s">
        <v>504</v>
      </c>
      <c r="C348" s="656" t="s">
        <v>12910</v>
      </c>
      <c r="D348" s="657" t="s">
        <v>13789</v>
      </c>
      <c r="E348" s="657" t="s">
        <v>7435</v>
      </c>
      <c r="F348" s="656" t="s">
        <v>505</v>
      </c>
      <c r="G348" s="656" t="s">
        <v>525</v>
      </c>
      <c r="H348" s="656" t="s">
        <v>505</v>
      </c>
      <c r="I348" s="656"/>
      <c r="J348" s="656"/>
      <c r="K348" s="656"/>
      <c r="L348" s="656"/>
      <c r="M348" s="657"/>
      <c r="N348" s="1482"/>
      <c r="O348" s="656" t="s">
        <v>498</v>
      </c>
      <c r="P348" s="656" t="s">
        <v>13052</v>
      </c>
      <c r="Q348" s="656">
        <v>44216.78701388889</v>
      </c>
    </row>
    <row r="349" spans="1:17">
      <c r="A349" s="656" t="s">
        <v>12913</v>
      </c>
      <c r="B349" s="657" t="s">
        <v>504</v>
      </c>
      <c r="C349" s="656" t="s">
        <v>12912</v>
      </c>
      <c r="D349" s="657" t="s">
        <v>13789</v>
      </c>
      <c r="E349" s="657" t="s">
        <v>7437</v>
      </c>
      <c r="F349" s="656" t="s">
        <v>505</v>
      </c>
      <c r="G349" s="656" t="s">
        <v>525</v>
      </c>
      <c r="H349" s="656" t="s">
        <v>505</v>
      </c>
      <c r="I349" s="656"/>
      <c r="J349" s="656"/>
      <c r="K349" s="656"/>
      <c r="L349" s="656"/>
      <c r="M349" s="657"/>
      <c r="N349" s="1482"/>
      <c r="O349" s="656" t="s">
        <v>498</v>
      </c>
      <c r="P349" s="656" t="s">
        <v>13052</v>
      </c>
      <c r="Q349" s="656">
        <v>44216.787002314813</v>
      </c>
    </row>
    <row r="350" spans="1:17">
      <c r="A350" s="656" t="s">
        <v>12915</v>
      </c>
      <c r="B350" s="657" t="s">
        <v>202</v>
      </c>
      <c r="C350" s="656" t="s">
        <v>12914</v>
      </c>
      <c r="D350" s="657" t="s">
        <v>13789</v>
      </c>
      <c r="E350" s="657" t="s">
        <v>7437</v>
      </c>
      <c r="F350" s="656" t="s">
        <v>497</v>
      </c>
      <c r="G350" s="656" t="s">
        <v>497</v>
      </c>
      <c r="H350" s="656" t="s">
        <v>497</v>
      </c>
      <c r="I350" s="656" t="s">
        <v>14976</v>
      </c>
      <c r="J350" s="656" t="s">
        <v>12371</v>
      </c>
      <c r="K350" s="656" t="s">
        <v>497</v>
      </c>
      <c r="L350" s="656"/>
      <c r="M350" s="657"/>
      <c r="N350" s="1482"/>
      <c r="O350" s="656" t="s">
        <v>498</v>
      </c>
      <c r="P350" s="656" t="s">
        <v>13052</v>
      </c>
      <c r="Q350" s="656">
        <v>44216.787002314813</v>
      </c>
    </row>
    <row r="351" spans="1:17">
      <c r="A351" s="656" t="s">
        <v>12917</v>
      </c>
      <c r="B351" s="657" t="s">
        <v>504</v>
      </c>
      <c r="C351" s="656" t="s">
        <v>12916</v>
      </c>
      <c r="D351" s="657" t="s">
        <v>13789</v>
      </c>
      <c r="E351" s="657" t="s">
        <v>7437</v>
      </c>
      <c r="F351" s="656" t="s">
        <v>505</v>
      </c>
      <c r="G351" s="656" t="s">
        <v>509</v>
      </c>
      <c r="H351" s="656" t="s">
        <v>505</v>
      </c>
      <c r="I351" s="656" t="s">
        <v>14976</v>
      </c>
      <c r="J351" s="656"/>
      <c r="K351" s="656"/>
      <c r="L351" s="656" t="s">
        <v>13862</v>
      </c>
      <c r="M351" s="657"/>
      <c r="N351" s="1482"/>
      <c r="O351" s="656" t="s">
        <v>498</v>
      </c>
      <c r="P351" s="656" t="s">
        <v>13052</v>
      </c>
      <c r="Q351" s="656">
        <v>44216.786990740744</v>
      </c>
    </row>
    <row r="352" spans="1:17">
      <c r="A352" s="656" t="s">
        <v>12919</v>
      </c>
      <c r="B352" s="657" t="s">
        <v>504</v>
      </c>
      <c r="C352" s="656" t="s">
        <v>12918</v>
      </c>
      <c r="D352" s="657" t="s">
        <v>13789</v>
      </c>
      <c r="E352" s="657" t="s">
        <v>7437</v>
      </c>
      <c r="F352" s="656" t="s">
        <v>505</v>
      </c>
      <c r="G352" s="656" t="s">
        <v>525</v>
      </c>
      <c r="H352" s="656" t="s">
        <v>505</v>
      </c>
      <c r="I352" s="656" t="s">
        <v>14976</v>
      </c>
      <c r="J352" s="656"/>
      <c r="K352" s="656"/>
      <c r="L352" s="656"/>
      <c r="M352" s="657"/>
      <c r="N352" s="1482"/>
      <c r="O352" s="656" t="s">
        <v>498</v>
      </c>
      <c r="P352" s="656" t="s">
        <v>13052</v>
      </c>
      <c r="Q352" s="656">
        <v>44216.786990740744</v>
      </c>
    </row>
    <row r="353" spans="1:17">
      <c r="A353" s="656" t="s">
        <v>12921</v>
      </c>
      <c r="B353" s="657" t="s">
        <v>504</v>
      </c>
      <c r="C353" s="656" t="s">
        <v>12920</v>
      </c>
      <c r="D353" s="657" t="s">
        <v>14977</v>
      </c>
      <c r="E353" s="657" t="s">
        <v>7437</v>
      </c>
      <c r="F353" s="656" t="s">
        <v>540</v>
      </c>
      <c r="G353" s="656" t="s">
        <v>541</v>
      </c>
      <c r="H353" s="656" t="s">
        <v>540</v>
      </c>
      <c r="I353" s="656"/>
      <c r="J353" s="656"/>
      <c r="K353" s="656"/>
      <c r="L353" s="656"/>
      <c r="M353" s="657"/>
      <c r="N353" s="1482"/>
      <c r="O353" s="656" t="s">
        <v>498</v>
      </c>
      <c r="P353" s="656" t="s">
        <v>13052</v>
      </c>
      <c r="Q353" s="656">
        <v>44216.786990740744</v>
      </c>
    </row>
    <row r="354" spans="1:17">
      <c r="A354" s="656" t="s">
        <v>12923</v>
      </c>
      <c r="B354" s="657" t="s">
        <v>504</v>
      </c>
      <c r="C354" s="656" t="s">
        <v>12922</v>
      </c>
      <c r="D354" s="657" t="s">
        <v>14977</v>
      </c>
      <c r="E354" s="657" t="s">
        <v>7437</v>
      </c>
      <c r="F354" s="656" t="s">
        <v>540</v>
      </c>
      <c r="G354" s="656" t="s">
        <v>541</v>
      </c>
      <c r="H354" s="656" t="s">
        <v>540</v>
      </c>
      <c r="I354" s="656"/>
      <c r="J354" s="656"/>
      <c r="K354" s="656"/>
      <c r="L354" s="656"/>
      <c r="M354" s="657"/>
      <c r="N354" s="1482"/>
      <c r="O354" s="656" t="s">
        <v>498</v>
      </c>
      <c r="P354" s="656" t="s">
        <v>13052</v>
      </c>
      <c r="Q354" s="656">
        <v>44216.786979166667</v>
      </c>
    </row>
    <row r="355" spans="1:17">
      <c r="A355" s="656" t="s">
        <v>12925</v>
      </c>
      <c r="B355" s="657" t="s">
        <v>504</v>
      </c>
      <c r="C355" s="656" t="s">
        <v>12924</v>
      </c>
      <c r="D355" s="657" t="s">
        <v>14977</v>
      </c>
      <c r="E355" s="657" t="s">
        <v>7435</v>
      </c>
      <c r="F355" s="656" t="s">
        <v>540</v>
      </c>
      <c r="G355" s="656" t="s">
        <v>541</v>
      </c>
      <c r="H355" s="656" t="s">
        <v>540</v>
      </c>
      <c r="I355" s="656"/>
      <c r="J355" s="656"/>
      <c r="K355" s="656"/>
      <c r="L355" s="656"/>
      <c r="M355" s="657"/>
      <c r="N355" s="1482"/>
      <c r="O355" s="656" t="s">
        <v>498</v>
      </c>
      <c r="P355" s="656" t="s">
        <v>13052</v>
      </c>
      <c r="Q355" s="656">
        <v>44216.786979166667</v>
      </c>
    </row>
    <row r="356" spans="1:17">
      <c r="A356" s="656" t="s">
        <v>12927</v>
      </c>
      <c r="B356" s="657" t="s">
        <v>504</v>
      </c>
      <c r="C356" s="656" t="s">
        <v>12926</v>
      </c>
      <c r="D356" s="657" t="s">
        <v>14977</v>
      </c>
      <c r="E356" s="657" t="s">
        <v>7435</v>
      </c>
      <c r="F356" s="656" t="s">
        <v>540</v>
      </c>
      <c r="G356" s="656" t="s">
        <v>541</v>
      </c>
      <c r="H356" s="656" t="s">
        <v>540</v>
      </c>
      <c r="I356" s="656"/>
      <c r="J356" s="656"/>
      <c r="K356" s="656"/>
      <c r="L356" s="656"/>
      <c r="M356" s="657"/>
      <c r="N356" s="1482"/>
      <c r="O356" s="656" t="s">
        <v>498</v>
      </c>
      <c r="P356" s="656" t="s">
        <v>13052</v>
      </c>
      <c r="Q356" s="656">
        <v>44216.78696759259</v>
      </c>
    </row>
    <row r="357" spans="1:17">
      <c r="A357" s="656" t="s">
        <v>12929</v>
      </c>
      <c r="B357" s="657" t="s">
        <v>504</v>
      </c>
      <c r="C357" s="656" t="s">
        <v>12928</v>
      </c>
      <c r="D357" s="657" t="s">
        <v>14977</v>
      </c>
      <c r="E357" s="657" t="s">
        <v>7435</v>
      </c>
      <c r="F357" s="656" t="s">
        <v>540</v>
      </c>
      <c r="G357" s="656" t="s">
        <v>541</v>
      </c>
      <c r="H357" s="656" t="s">
        <v>540</v>
      </c>
      <c r="I357" s="656"/>
      <c r="J357" s="656"/>
      <c r="K357" s="656"/>
      <c r="L357" s="656"/>
      <c r="M357" s="657"/>
      <c r="N357" s="1482"/>
      <c r="O357" s="656" t="s">
        <v>498</v>
      </c>
      <c r="P357" s="656" t="s">
        <v>13052</v>
      </c>
      <c r="Q357" s="656">
        <v>44216.78696759259</v>
      </c>
    </row>
    <row r="358" spans="1:17">
      <c r="A358" s="656" t="s">
        <v>12931</v>
      </c>
      <c r="B358" s="657" t="s">
        <v>504</v>
      </c>
      <c r="C358" s="656" t="s">
        <v>12930</v>
      </c>
      <c r="D358" s="657" t="s">
        <v>14977</v>
      </c>
      <c r="E358" s="657" t="s">
        <v>7437</v>
      </c>
      <c r="F358" s="656" t="s">
        <v>540</v>
      </c>
      <c r="G358" s="656" t="s">
        <v>541</v>
      </c>
      <c r="H358" s="656" t="s">
        <v>540</v>
      </c>
      <c r="I358" s="656"/>
      <c r="J358" s="656"/>
      <c r="K358" s="656"/>
      <c r="L358" s="656"/>
      <c r="M358" s="657"/>
      <c r="N358" s="1482"/>
      <c r="O358" s="656" t="s">
        <v>498</v>
      </c>
      <c r="P358" s="656" t="s">
        <v>13052</v>
      </c>
      <c r="Q358" s="656">
        <v>44216.786956018521</v>
      </c>
    </row>
    <row r="359" spans="1:17">
      <c r="A359" s="656" t="s">
        <v>12933</v>
      </c>
      <c r="B359" s="657" t="s">
        <v>504</v>
      </c>
      <c r="C359" s="656" t="s">
        <v>12932</v>
      </c>
      <c r="D359" s="657" t="s">
        <v>14977</v>
      </c>
      <c r="E359" s="657" t="s">
        <v>7437</v>
      </c>
      <c r="F359" s="656" t="s">
        <v>540</v>
      </c>
      <c r="G359" s="656" t="s">
        <v>541</v>
      </c>
      <c r="H359" s="656" t="s">
        <v>540</v>
      </c>
      <c r="I359" s="656"/>
      <c r="J359" s="656"/>
      <c r="K359" s="656"/>
      <c r="L359" s="656"/>
      <c r="M359" s="657"/>
      <c r="N359" s="1482"/>
      <c r="O359" s="656" t="s">
        <v>498</v>
      </c>
      <c r="P359" s="656" t="s">
        <v>13052</v>
      </c>
      <c r="Q359" s="656">
        <v>44216.786956018521</v>
      </c>
    </row>
    <row r="360" spans="1:17">
      <c r="A360" s="656" t="s">
        <v>12935</v>
      </c>
      <c r="B360" s="657" t="s">
        <v>504</v>
      </c>
      <c r="C360" s="656" t="s">
        <v>12934</v>
      </c>
      <c r="D360" s="657" t="s">
        <v>14977</v>
      </c>
      <c r="E360" s="657" t="s">
        <v>7437</v>
      </c>
      <c r="F360" s="656" t="s">
        <v>540</v>
      </c>
      <c r="G360" s="656" t="s">
        <v>541</v>
      </c>
      <c r="H360" s="656" t="s">
        <v>540</v>
      </c>
      <c r="I360" s="656"/>
      <c r="J360" s="656"/>
      <c r="K360" s="656"/>
      <c r="L360" s="656"/>
      <c r="M360" s="657"/>
      <c r="N360" s="1482"/>
      <c r="O360" s="656" t="s">
        <v>498</v>
      </c>
      <c r="P360" s="656" t="s">
        <v>13052</v>
      </c>
      <c r="Q360" s="656">
        <v>44216.786944444444</v>
      </c>
    </row>
    <row r="361" spans="1:17">
      <c r="A361" s="656" t="s">
        <v>12937</v>
      </c>
      <c r="B361" s="657" t="s">
        <v>504</v>
      </c>
      <c r="C361" s="656" t="s">
        <v>12936</v>
      </c>
      <c r="D361" s="657" t="s">
        <v>14977</v>
      </c>
      <c r="E361" s="657" t="s">
        <v>7437</v>
      </c>
      <c r="F361" s="656" t="s">
        <v>540</v>
      </c>
      <c r="G361" s="656" t="s">
        <v>541</v>
      </c>
      <c r="H361" s="656" t="s">
        <v>540</v>
      </c>
      <c r="I361" s="656"/>
      <c r="J361" s="656"/>
      <c r="K361" s="656"/>
      <c r="L361" s="656"/>
      <c r="M361" s="657"/>
      <c r="N361" s="1482"/>
      <c r="O361" s="656" t="s">
        <v>498</v>
      </c>
      <c r="P361" s="656" t="s">
        <v>13052</v>
      </c>
      <c r="Q361" s="656">
        <v>44216.786944444444</v>
      </c>
    </row>
    <row r="362" spans="1:17">
      <c r="A362" s="656" t="s">
        <v>12939</v>
      </c>
      <c r="B362" s="657" t="s">
        <v>504</v>
      </c>
      <c r="C362" s="656" t="s">
        <v>12938</v>
      </c>
      <c r="D362" s="657" t="s">
        <v>14977</v>
      </c>
      <c r="E362" s="657" t="s">
        <v>7437</v>
      </c>
      <c r="F362" s="656" t="s">
        <v>540</v>
      </c>
      <c r="G362" s="656" t="s">
        <v>541</v>
      </c>
      <c r="H362" s="656" t="s">
        <v>540</v>
      </c>
      <c r="I362" s="656"/>
      <c r="J362" s="656"/>
      <c r="K362" s="656"/>
      <c r="L362" s="656"/>
      <c r="M362" s="657"/>
      <c r="N362" s="1482"/>
      <c r="O362" s="656" t="s">
        <v>498</v>
      </c>
      <c r="P362" s="656" t="s">
        <v>13052</v>
      </c>
      <c r="Q362" s="656">
        <v>44216.786932870367</v>
      </c>
    </row>
    <row r="363" spans="1:17">
      <c r="A363" s="656" t="s">
        <v>12941</v>
      </c>
      <c r="B363" s="657" t="s">
        <v>504</v>
      </c>
      <c r="C363" s="656" t="s">
        <v>12940</v>
      </c>
      <c r="D363" s="657" t="s">
        <v>13789</v>
      </c>
      <c r="E363" s="657" t="s">
        <v>7437</v>
      </c>
      <c r="F363" s="656" t="s">
        <v>505</v>
      </c>
      <c r="G363" s="656" t="s">
        <v>522</v>
      </c>
      <c r="H363" s="656" t="s">
        <v>505</v>
      </c>
      <c r="I363" s="656"/>
      <c r="J363" s="656"/>
      <c r="K363" s="656"/>
      <c r="L363" s="656" t="s">
        <v>15124</v>
      </c>
      <c r="M363" s="657"/>
      <c r="N363" s="1482"/>
      <c r="O363" s="656" t="s">
        <v>498</v>
      </c>
      <c r="P363" s="656" t="s">
        <v>13052</v>
      </c>
      <c r="Q363" s="656">
        <v>44216.786921296298</v>
      </c>
    </row>
    <row r="364" spans="1:17">
      <c r="A364" s="656" t="s">
        <v>12943</v>
      </c>
      <c r="B364" s="657" t="s">
        <v>504</v>
      </c>
      <c r="C364" s="656" t="s">
        <v>12942</v>
      </c>
      <c r="D364" s="657" t="s">
        <v>13789</v>
      </c>
      <c r="E364" s="657" t="s">
        <v>9406</v>
      </c>
      <c r="F364" s="656" t="s">
        <v>505</v>
      </c>
      <c r="G364" s="656" t="s">
        <v>522</v>
      </c>
      <c r="H364" s="656" t="s">
        <v>505</v>
      </c>
      <c r="I364" s="656" t="s">
        <v>14976</v>
      </c>
      <c r="J364" s="656"/>
      <c r="K364" s="656"/>
      <c r="L364" s="656" t="s">
        <v>15123</v>
      </c>
      <c r="M364" s="657"/>
      <c r="N364" s="1482"/>
      <c r="O364" s="656" t="s">
        <v>498</v>
      </c>
      <c r="P364" s="656" t="s">
        <v>13052</v>
      </c>
      <c r="Q364" s="656">
        <v>44216.786921296298</v>
      </c>
    </row>
    <row r="365" spans="1:17">
      <c r="A365" s="656" t="s">
        <v>12945</v>
      </c>
      <c r="B365" s="657" t="s">
        <v>504</v>
      </c>
      <c r="C365" s="656" t="s">
        <v>12944</v>
      </c>
      <c r="D365" s="657" t="s">
        <v>14978</v>
      </c>
      <c r="E365" s="657" t="s">
        <v>7437</v>
      </c>
      <c r="F365" s="656" t="s">
        <v>505</v>
      </c>
      <c r="G365" s="656" t="s">
        <v>525</v>
      </c>
      <c r="H365" s="656" t="s">
        <v>505</v>
      </c>
      <c r="I365" s="656" t="s">
        <v>14976</v>
      </c>
      <c r="J365" s="656"/>
      <c r="K365" s="656"/>
      <c r="L365" s="656" t="s">
        <v>15122</v>
      </c>
      <c r="M365" s="657"/>
      <c r="N365" s="1482"/>
      <c r="O365" s="656" t="s">
        <v>498</v>
      </c>
      <c r="P365" s="656" t="s">
        <v>13052</v>
      </c>
      <c r="Q365" s="656">
        <v>44216.786921296298</v>
      </c>
    </row>
    <row r="366" spans="1:17">
      <c r="A366" s="656" t="s">
        <v>12947</v>
      </c>
      <c r="B366" s="657" t="s">
        <v>504</v>
      </c>
      <c r="C366" s="656" t="s">
        <v>12946</v>
      </c>
      <c r="D366" s="657" t="s">
        <v>14978</v>
      </c>
      <c r="E366" s="657" t="s">
        <v>7437</v>
      </c>
      <c r="F366" s="656" t="s">
        <v>505</v>
      </c>
      <c r="G366" s="656" t="s">
        <v>1293</v>
      </c>
      <c r="H366" s="656" t="s">
        <v>505</v>
      </c>
      <c r="I366" s="656"/>
      <c r="J366" s="656"/>
      <c r="K366" s="656"/>
      <c r="L366" s="656" t="s">
        <v>7770</v>
      </c>
      <c r="M366" s="657"/>
      <c r="N366" s="1482"/>
      <c r="O366" s="656" t="s">
        <v>498</v>
      </c>
      <c r="P366" s="656" t="s">
        <v>13052</v>
      </c>
      <c r="Q366" s="656">
        <v>44216.786921296298</v>
      </c>
    </row>
    <row r="367" spans="1:17">
      <c r="A367" s="656" t="s">
        <v>12949</v>
      </c>
      <c r="B367" s="657" t="s">
        <v>504</v>
      </c>
      <c r="C367" s="656" t="s">
        <v>12948</v>
      </c>
      <c r="D367" s="657" t="s">
        <v>13789</v>
      </c>
      <c r="E367" s="657" t="s">
        <v>7437</v>
      </c>
      <c r="F367" s="656" t="s">
        <v>505</v>
      </c>
      <c r="G367" s="656" t="s">
        <v>506</v>
      </c>
      <c r="H367" s="656" t="s">
        <v>505</v>
      </c>
      <c r="I367" s="656" t="s">
        <v>14976</v>
      </c>
      <c r="J367" s="656"/>
      <c r="K367" s="656"/>
      <c r="L367" s="656"/>
      <c r="M367" s="657"/>
      <c r="N367" s="1482"/>
      <c r="O367" s="656" t="s">
        <v>498</v>
      </c>
      <c r="P367" s="656" t="s">
        <v>13052</v>
      </c>
      <c r="Q367" s="656">
        <v>44216.786898148152</v>
      </c>
    </row>
    <row r="368" spans="1:17">
      <c r="A368" s="656" t="s">
        <v>12856</v>
      </c>
      <c r="B368" s="657" t="s">
        <v>504</v>
      </c>
      <c r="C368" s="656" t="s">
        <v>12855</v>
      </c>
      <c r="D368" s="657" t="s">
        <v>14978</v>
      </c>
      <c r="E368" s="657" t="s">
        <v>7435</v>
      </c>
      <c r="F368" s="656" t="s">
        <v>505</v>
      </c>
      <c r="G368" s="656" t="s">
        <v>1579</v>
      </c>
      <c r="H368" s="656" t="s">
        <v>505</v>
      </c>
      <c r="I368" s="656"/>
      <c r="J368" s="656"/>
      <c r="K368" s="656"/>
      <c r="L368" s="656" t="s">
        <v>15121</v>
      </c>
      <c r="M368" s="657"/>
      <c r="N368" s="1482"/>
      <c r="O368" s="656" t="s">
        <v>498</v>
      </c>
      <c r="P368" s="656" t="s">
        <v>13052</v>
      </c>
      <c r="Q368" s="656">
        <v>44216.786898148152</v>
      </c>
    </row>
    <row r="369" spans="1:17">
      <c r="A369" s="656" t="s">
        <v>12858</v>
      </c>
      <c r="B369" s="657" t="s">
        <v>504</v>
      </c>
      <c r="C369" s="656" t="s">
        <v>12857</v>
      </c>
      <c r="D369" s="657" t="s">
        <v>14978</v>
      </c>
      <c r="E369" s="657" t="s">
        <v>9406</v>
      </c>
      <c r="F369" s="656" t="s">
        <v>540</v>
      </c>
      <c r="G369" s="656" t="s">
        <v>541</v>
      </c>
      <c r="H369" s="656" t="s">
        <v>540</v>
      </c>
      <c r="I369" s="656"/>
      <c r="J369" s="656"/>
      <c r="K369" s="656"/>
      <c r="L369" s="656" t="s">
        <v>15120</v>
      </c>
      <c r="M369" s="657"/>
      <c r="N369" s="1482"/>
      <c r="O369" s="656" t="s">
        <v>498</v>
      </c>
      <c r="P369" s="656" t="s">
        <v>13052</v>
      </c>
      <c r="Q369" s="656">
        <v>44216.786898148152</v>
      </c>
    </row>
    <row r="370" spans="1:17">
      <c r="A370" s="656" t="s">
        <v>12860</v>
      </c>
      <c r="B370" s="657" t="s">
        <v>504</v>
      </c>
      <c r="C370" s="656" t="s">
        <v>12859</v>
      </c>
      <c r="D370" s="657" t="s">
        <v>13789</v>
      </c>
      <c r="E370" s="657" t="s">
        <v>7437</v>
      </c>
      <c r="F370" s="656" t="s">
        <v>505</v>
      </c>
      <c r="G370" s="656" t="s">
        <v>660</v>
      </c>
      <c r="H370" s="656" t="s">
        <v>505</v>
      </c>
      <c r="I370" s="656" t="s">
        <v>14976</v>
      </c>
      <c r="J370" s="656"/>
      <c r="K370" s="656"/>
      <c r="L370" s="656"/>
      <c r="M370" s="657"/>
      <c r="N370" s="1482"/>
      <c r="O370" s="656" t="s">
        <v>498</v>
      </c>
      <c r="P370" s="656" t="s">
        <v>13052</v>
      </c>
      <c r="Q370" s="656">
        <v>44216.786886574075</v>
      </c>
    </row>
    <row r="371" spans="1:17">
      <c r="A371" s="656" t="s">
        <v>12861</v>
      </c>
      <c r="B371" s="657" t="s">
        <v>202</v>
      </c>
      <c r="C371" s="656" t="s">
        <v>9264</v>
      </c>
      <c r="D371" s="657" t="s">
        <v>13789</v>
      </c>
      <c r="E371" s="657" t="s">
        <v>9406</v>
      </c>
      <c r="F371" s="656" t="s">
        <v>472</v>
      </c>
      <c r="G371" s="656" t="s">
        <v>519</v>
      </c>
      <c r="H371" s="656" t="s">
        <v>472</v>
      </c>
      <c r="I371" s="656" t="s">
        <v>14976</v>
      </c>
      <c r="J371" s="656" t="s">
        <v>12368</v>
      </c>
      <c r="K371" s="656" t="s">
        <v>1058</v>
      </c>
      <c r="L371" s="656"/>
      <c r="M371" s="657"/>
      <c r="N371" s="1482"/>
      <c r="O371" s="656" t="s">
        <v>498</v>
      </c>
      <c r="P371" s="656" t="s">
        <v>13052</v>
      </c>
      <c r="Q371" s="656">
        <v>44216.786886574075</v>
      </c>
    </row>
    <row r="372" spans="1:17">
      <c r="A372" s="656" t="s">
        <v>12863</v>
      </c>
      <c r="B372" s="657" t="s">
        <v>504</v>
      </c>
      <c r="C372" s="656" t="s">
        <v>12862</v>
      </c>
      <c r="D372" s="657" t="s">
        <v>13789</v>
      </c>
      <c r="E372" s="657" t="s">
        <v>7437</v>
      </c>
      <c r="F372" s="656" t="s">
        <v>505</v>
      </c>
      <c r="G372" s="656" t="s">
        <v>509</v>
      </c>
      <c r="H372" s="656" t="s">
        <v>505</v>
      </c>
      <c r="I372" s="656" t="s">
        <v>14976</v>
      </c>
      <c r="J372" s="656"/>
      <c r="K372" s="656"/>
      <c r="L372" s="656" t="s">
        <v>13862</v>
      </c>
      <c r="M372" s="657"/>
      <c r="N372" s="1482"/>
      <c r="O372" s="656" t="s">
        <v>498</v>
      </c>
      <c r="P372" s="656" t="s">
        <v>13052</v>
      </c>
      <c r="Q372" s="656">
        <v>44216.786886574075</v>
      </c>
    </row>
    <row r="373" spans="1:17">
      <c r="A373" s="656" t="s">
        <v>12865</v>
      </c>
      <c r="B373" s="657" t="s">
        <v>504</v>
      </c>
      <c r="C373" s="656" t="s">
        <v>12864</v>
      </c>
      <c r="D373" s="657" t="s">
        <v>13789</v>
      </c>
      <c r="E373" s="657" t="s">
        <v>7437</v>
      </c>
      <c r="F373" s="656" t="s">
        <v>505</v>
      </c>
      <c r="G373" s="656" t="s">
        <v>1293</v>
      </c>
      <c r="H373" s="656" t="s">
        <v>505</v>
      </c>
      <c r="I373" s="656" t="s">
        <v>14976</v>
      </c>
      <c r="J373" s="656"/>
      <c r="K373" s="656"/>
      <c r="L373" s="656" t="s">
        <v>15119</v>
      </c>
      <c r="M373" s="657"/>
      <c r="N373" s="1482"/>
      <c r="O373" s="656" t="s">
        <v>498</v>
      </c>
      <c r="P373" s="656" t="s">
        <v>13052</v>
      </c>
      <c r="Q373" s="656">
        <v>44216.786874999998</v>
      </c>
    </row>
    <row r="374" spans="1:17">
      <c r="A374" s="656" t="s">
        <v>12867</v>
      </c>
      <c r="B374" s="657" t="s">
        <v>504</v>
      </c>
      <c r="C374" s="656" t="s">
        <v>12866</v>
      </c>
      <c r="D374" s="657" t="s">
        <v>13789</v>
      </c>
      <c r="E374" s="657" t="s">
        <v>7437</v>
      </c>
      <c r="F374" s="656" t="s">
        <v>505</v>
      </c>
      <c r="G374" s="656" t="s">
        <v>506</v>
      </c>
      <c r="H374" s="656" t="s">
        <v>505</v>
      </c>
      <c r="I374" s="656" t="s">
        <v>14976</v>
      </c>
      <c r="J374" s="656"/>
      <c r="K374" s="656"/>
      <c r="L374" s="656" t="s">
        <v>13862</v>
      </c>
      <c r="M374" s="657"/>
      <c r="N374" s="1482"/>
      <c r="O374" s="656" t="s">
        <v>498</v>
      </c>
      <c r="P374" s="656" t="s">
        <v>13052</v>
      </c>
      <c r="Q374" s="656">
        <v>44216.786874999998</v>
      </c>
    </row>
    <row r="375" spans="1:17">
      <c r="A375" s="656" t="s">
        <v>12834</v>
      </c>
      <c r="B375" s="657" t="s">
        <v>531</v>
      </c>
      <c r="C375" s="656" t="s">
        <v>12832</v>
      </c>
      <c r="D375" s="657" t="s">
        <v>13789</v>
      </c>
      <c r="E375" s="657" t="s">
        <v>7437</v>
      </c>
      <c r="F375" s="656" t="s">
        <v>2849</v>
      </c>
      <c r="G375" s="656" t="s">
        <v>512</v>
      </c>
      <c r="H375" s="656" t="s">
        <v>469</v>
      </c>
      <c r="I375" s="656" t="s">
        <v>14976</v>
      </c>
      <c r="J375" s="656" t="s">
        <v>532</v>
      </c>
      <c r="K375" s="656" t="s">
        <v>2849</v>
      </c>
      <c r="L375" s="656"/>
      <c r="M375" s="657"/>
      <c r="N375" s="1482"/>
      <c r="O375" s="656" t="s">
        <v>498</v>
      </c>
      <c r="P375" s="656" t="s">
        <v>13052</v>
      </c>
      <c r="Q375" s="656">
        <v>44216.786863425928</v>
      </c>
    </row>
    <row r="376" spans="1:17">
      <c r="A376" s="656" t="s">
        <v>12835</v>
      </c>
      <c r="B376" s="657" t="s">
        <v>531</v>
      </c>
      <c r="C376" s="656" t="s">
        <v>12832</v>
      </c>
      <c r="D376" s="657" t="s">
        <v>13789</v>
      </c>
      <c r="E376" s="657" t="s">
        <v>7437</v>
      </c>
      <c r="F376" s="656" t="s">
        <v>2849</v>
      </c>
      <c r="G376" s="656"/>
      <c r="H376" s="656" t="s">
        <v>469</v>
      </c>
      <c r="I376" s="656" t="s">
        <v>14976</v>
      </c>
      <c r="J376" s="656" t="s">
        <v>532</v>
      </c>
      <c r="K376" s="656"/>
      <c r="L376" s="656"/>
      <c r="M376" s="657"/>
      <c r="N376" s="1482"/>
      <c r="O376" s="656" t="s">
        <v>498</v>
      </c>
      <c r="P376" s="656" t="s">
        <v>13052</v>
      </c>
      <c r="Q376" s="656">
        <v>44216.786863425928</v>
      </c>
    </row>
    <row r="377" spans="1:17">
      <c r="A377" s="656" t="s">
        <v>12836</v>
      </c>
      <c r="B377" s="657" t="s">
        <v>531</v>
      </c>
      <c r="C377" s="656" t="s">
        <v>12645</v>
      </c>
      <c r="D377" s="657" t="s">
        <v>13789</v>
      </c>
      <c r="E377" s="657" t="s">
        <v>7437</v>
      </c>
      <c r="F377" s="656" t="s">
        <v>2849</v>
      </c>
      <c r="G377" s="656" t="s">
        <v>512</v>
      </c>
      <c r="H377" s="656" t="s">
        <v>469</v>
      </c>
      <c r="I377" s="656" t="s">
        <v>14976</v>
      </c>
      <c r="J377" s="656" t="s">
        <v>12373</v>
      </c>
      <c r="K377" s="656" t="s">
        <v>2849</v>
      </c>
      <c r="L377" s="656"/>
      <c r="M377" s="657"/>
      <c r="N377" s="1482"/>
      <c r="O377" s="656" t="s">
        <v>498</v>
      </c>
      <c r="P377" s="656" t="s">
        <v>13052</v>
      </c>
      <c r="Q377" s="656">
        <v>44216.786863425928</v>
      </c>
    </row>
    <row r="378" spans="1:17">
      <c r="A378" s="656" t="s">
        <v>12837</v>
      </c>
      <c r="B378" s="657" t="s">
        <v>531</v>
      </c>
      <c r="C378" s="656" t="s">
        <v>12645</v>
      </c>
      <c r="D378" s="657" t="s">
        <v>13789</v>
      </c>
      <c r="E378" s="657" t="s">
        <v>7437</v>
      </c>
      <c r="F378" s="656" t="s">
        <v>2849</v>
      </c>
      <c r="G378" s="656" t="s">
        <v>512</v>
      </c>
      <c r="H378" s="656" t="s">
        <v>469</v>
      </c>
      <c r="I378" s="656" t="s">
        <v>14976</v>
      </c>
      <c r="J378" s="656" t="s">
        <v>12373</v>
      </c>
      <c r="K378" s="656" t="s">
        <v>2849</v>
      </c>
      <c r="L378" s="656"/>
      <c r="M378" s="657"/>
      <c r="N378" s="1482"/>
      <c r="O378" s="656" t="s">
        <v>498</v>
      </c>
      <c r="P378" s="656" t="s">
        <v>13052</v>
      </c>
      <c r="Q378" s="656">
        <v>44216.786851851852</v>
      </c>
    </row>
    <row r="379" spans="1:17">
      <c r="A379" s="656" t="s">
        <v>12839</v>
      </c>
      <c r="B379" s="657" t="s">
        <v>504</v>
      </c>
      <c r="C379" s="656" t="s">
        <v>12838</v>
      </c>
      <c r="D379" s="657" t="s">
        <v>13789</v>
      </c>
      <c r="E379" s="657" t="s">
        <v>7437</v>
      </c>
      <c r="F379" s="656" t="s">
        <v>505</v>
      </c>
      <c r="G379" s="656" t="s">
        <v>506</v>
      </c>
      <c r="H379" s="656" t="s">
        <v>505</v>
      </c>
      <c r="I379" s="656" t="s">
        <v>14976</v>
      </c>
      <c r="J379" s="656"/>
      <c r="K379" s="656"/>
      <c r="L379" s="656"/>
      <c r="M379" s="657"/>
      <c r="N379" s="1482"/>
      <c r="O379" s="656" t="s">
        <v>498</v>
      </c>
      <c r="P379" s="656" t="s">
        <v>13052</v>
      </c>
      <c r="Q379" s="656">
        <v>44216.786851851852</v>
      </c>
    </row>
    <row r="380" spans="1:17">
      <c r="A380" s="656" t="s">
        <v>12831</v>
      </c>
      <c r="B380" s="657" t="s">
        <v>504</v>
      </c>
      <c r="C380" s="656" t="s">
        <v>12827</v>
      </c>
      <c r="D380" s="657" t="s">
        <v>13789</v>
      </c>
      <c r="E380" s="657" t="s">
        <v>7437</v>
      </c>
      <c r="F380" s="656" t="s">
        <v>505</v>
      </c>
      <c r="G380" s="656" t="s">
        <v>660</v>
      </c>
      <c r="H380" s="656" t="s">
        <v>505</v>
      </c>
      <c r="I380" s="656" t="s">
        <v>14976</v>
      </c>
      <c r="J380" s="656"/>
      <c r="K380" s="656"/>
      <c r="L380" s="656" t="s">
        <v>12847</v>
      </c>
      <c r="M380" s="657"/>
      <c r="N380" s="1482"/>
      <c r="O380" s="656" t="s">
        <v>498</v>
      </c>
      <c r="P380" s="656" t="s">
        <v>13052</v>
      </c>
      <c r="Q380" s="656">
        <v>44216.786840277775</v>
      </c>
    </row>
    <row r="381" spans="1:17">
      <c r="A381" s="656" t="s">
        <v>12695</v>
      </c>
      <c r="B381" s="657" t="s">
        <v>504</v>
      </c>
      <c r="C381" s="656" t="s">
        <v>12694</v>
      </c>
      <c r="D381" s="657" t="s">
        <v>13789</v>
      </c>
      <c r="E381" s="657" t="s">
        <v>7437</v>
      </c>
      <c r="F381" s="656" t="s">
        <v>505</v>
      </c>
      <c r="G381" s="656" t="s">
        <v>506</v>
      </c>
      <c r="H381" s="656" t="s">
        <v>505</v>
      </c>
      <c r="I381" s="656" t="s">
        <v>14976</v>
      </c>
      <c r="J381" s="656"/>
      <c r="K381" s="656"/>
      <c r="L381" s="656" t="s">
        <v>12847</v>
      </c>
      <c r="M381" s="657"/>
      <c r="N381" s="1482"/>
      <c r="O381" s="656" t="s">
        <v>498</v>
      </c>
      <c r="P381" s="656" t="s">
        <v>13052</v>
      </c>
      <c r="Q381" s="656">
        <v>44216.786851851852</v>
      </c>
    </row>
    <row r="382" spans="1:17">
      <c r="A382" s="656" t="s">
        <v>12697</v>
      </c>
      <c r="B382" s="657" t="s">
        <v>504</v>
      </c>
      <c r="C382" s="656" t="s">
        <v>12696</v>
      </c>
      <c r="D382" s="657" t="s">
        <v>14977</v>
      </c>
      <c r="E382" s="657" t="s">
        <v>7437</v>
      </c>
      <c r="F382" s="656" t="s">
        <v>505</v>
      </c>
      <c r="G382" s="656" t="s">
        <v>525</v>
      </c>
      <c r="H382" s="656" t="s">
        <v>505</v>
      </c>
      <c r="I382" s="656" t="s">
        <v>14976</v>
      </c>
      <c r="J382" s="656"/>
      <c r="K382" s="656"/>
      <c r="L382" s="656" t="s">
        <v>12696</v>
      </c>
      <c r="M382" s="657"/>
      <c r="N382" s="1482"/>
      <c r="O382" s="656" t="s">
        <v>498</v>
      </c>
      <c r="P382" s="656" t="s">
        <v>13052</v>
      </c>
      <c r="Q382" s="656">
        <v>44216.786840277775</v>
      </c>
    </row>
    <row r="383" spans="1:17">
      <c r="A383" s="656" t="s">
        <v>12699</v>
      </c>
      <c r="B383" s="657" t="s">
        <v>504</v>
      </c>
      <c r="C383" s="656" t="s">
        <v>12698</v>
      </c>
      <c r="D383" s="657" t="s">
        <v>13789</v>
      </c>
      <c r="E383" s="657" t="s">
        <v>7437</v>
      </c>
      <c r="F383" s="656" t="s">
        <v>505</v>
      </c>
      <c r="G383" s="656" t="s">
        <v>660</v>
      </c>
      <c r="H383" s="656" t="s">
        <v>505</v>
      </c>
      <c r="I383" s="656" t="s">
        <v>14976</v>
      </c>
      <c r="J383" s="656"/>
      <c r="K383" s="656"/>
      <c r="L383" s="656"/>
      <c r="M383" s="657"/>
      <c r="N383" s="1482"/>
      <c r="O383" s="656" t="s">
        <v>498</v>
      </c>
      <c r="P383" s="656" t="s">
        <v>13052</v>
      </c>
      <c r="Q383" s="656">
        <v>44216.786828703705</v>
      </c>
    </row>
    <row r="384" spans="1:17">
      <c r="A384" s="656" t="s">
        <v>12701</v>
      </c>
      <c r="B384" s="657" t="s">
        <v>504</v>
      </c>
      <c r="C384" s="656" t="s">
        <v>12700</v>
      </c>
      <c r="D384" s="657" t="s">
        <v>14977</v>
      </c>
      <c r="E384" s="657" t="s">
        <v>7437</v>
      </c>
      <c r="F384" s="656" t="s">
        <v>540</v>
      </c>
      <c r="G384" s="656" t="s">
        <v>541</v>
      </c>
      <c r="H384" s="656" t="s">
        <v>540</v>
      </c>
      <c r="I384" s="656" t="s">
        <v>14976</v>
      </c>
      <c r="J384" s="656" t="s">
        <v>12368</v>
      </c>
      <c r="K384" s="656"/>
      <c r="L384" s="656"/>
      <c r="M384" s="657"/>
      <c r="N384" s="1482"/>
      <c r="O384" s="656" t="s">
        <v>498</v>
      </c>
      <c r="P384" s="656" t="s">
        <v>13052</v>
      </c>
      <c r="Q384" s="656">
        <v>44216.786828703705</v>
      </c>
    </row>
    <row r="385" spans="1:17">
      <c r="A385" s="656" t="s">
        <v>12702</v>
      </c>
      <c r="B385" s="657" t="s">
        <v>504</v>
      </c>
      <c r="C385" s="656" t="s">
        <v>12646</v>
      </c>
      <c r="D385" s="657" t="s">
        <v>13789</v>
      </c>
      <c r="E385" s="657" t="s">
        <v>7437</v>
      </c>
      <c r="F385" s="656" t="s">
        <v>540</v>
      </c>
      <c r="G385" s="656" t="s">
        <v>541</v>
      </c>
      <c r="H385" s="656" t="s">
        <v>540</v>
      </c>
      <c r="I385" s="656" t="s">
        <v>14976</v>
      </c>
      <c r="J385" s="656"/>
      <c r="K385" s="656"/>
      <c r="L385" s="656" t="s">
        <v>15116</v>
      </c>
      <c r="M385" s="657"/>
      <c r="N385" s="1482"/>
      <c r="O385" s="656" t="s">
        <v>498</v>
      </c>
      <c r="P385" s="656" t="s">
        <v>13052</v>
      </c>
      <c r="Q385" s="656">
        <v>44216.786817129629</v>
      </c>
    </row>
    <row r="386" spans="1:17">
      <c r="A386" s="656" t="s">
        <v>12547</v>
      </c>
      <c r="B386" s="657" t="s">
        <v>504</v>
      </c>
      <c r="C386" s="656" t="s">
        <v>12546</v>
      </c>
      <c r="D386" s="657" t="s">
        <v>13789</v>
      </c>
      <c r="E386" s="657" t="s">
        <v>7437</v>
      </c>
      <c r="F386" s="656" t="s">
        <v>540</v>
      </c>
      <c r="G386" s="656" t="s">
        <v>541</v>
      </c>
      <c r="H386" s="656" t="s">
        <v>540</v>
      </c>
      <c r="I386" s="656" t="s">
        <v>14976</v>
      </c>
      <c r="J386" s="656"/>
      <c r="K386" s="656"/>
      <c r="L386" s="656"/>
      <c r="M386" s="657"/>
      <c r="N386" s="1482"/>
      <c r="O386" s="656" t="s">
        <v>498</v>
      </c>
      <c r="P386" s="656" t="s">
        <v>13052</v>
      </c>
      <c r="Q386" s="656">
        <v>44216.786817129629</v>
      </c>
    </row>
    <row r="387" spans="1:17">
      <c r="A387" s="656" t="s">
        <v>12549</v>
      </c>
      <c r="B387" s="657" t="s">
        <v>504</v>
      </c>
      <c r="C387" s="656" t="s">
        <v>12548</v>
      </c>
      <c r="D387" s="657" t="s">
        <v>13789</v>
      </c>
      <c r="E387" s="657" t="s">
        <v>7437</v>
      </c>
      <c r="F387" s="656" t="s">
        <v>540</v>
      </c>
      <c r="G387" s="656" t="s">
        <v>541</v>
      </c>
      <c r="H387" s="656" t="s">
        <v>540</v>
      </c>
      <c r="I387" s="656" t="s">
        <v>14976</v>
      </c>
      <c r="J387" s="656"/>
      <c r="K387" s="656"/>
      <c r="L387" s="656"/>
      <c r="M387" s="657"/>
      <c r="N387" s="1482"/>
      <c r="O387" s="656" t="s">
        <v>498</v>
      </c>
      <c r="P387" s="656" t="s">
        <v>13052</v>
      </c>
      <c r="Q387" s="656">
        <v>44216.786805555559</v>
      </c>
    </row>
    <row r="388" spans="1:17">
      <c r="A388" s="656" t="s">
        <v>12550</v>
      </c>
      <c r="B388" s="657" t="s">
        <v>504</v>
      </c>
      <c r="C388" s="656" t="s">
        <v>14065</v>
      </c>
      <c r="D388" s="657" t="s">
        <v>13789</v>
      </c>
      <c r="E388" s="657" t="s">
        <v>7437</v>
      </c>
      <c r="F388" s="656" t="s">
        <v>540</v>
      </c>
      <c r="G388" s="656" t="s">
        <v>541</v>
      </c>
      <c r="H388" s="656" t="s">
        <v>540</v>
      </c>
      <c r="I388" s="656" t="s">
        <v>14976</v>
      </c>
      <c r="J388" s="656"/>
      <c r="K388" s="656"/>
      <c r="L388" s="656"/>
      <c r="M388" s="657"/>
      <c r="N388" s="1482"/>
      <c r="O388" s="656" t="s">
        <v>498</v>
      </c>
      <c r="P388" s="656" t="s">
        <v>13052</v>
      </c>
      <c r="Q388" s="656">
        <v>44216.786805555559</v>
      </c>
    </row>
    <row r="389" spans="1:17">
      <c r="A389" s="656" t="s">
        <v>12552</v>
      </c>
      <c r="B389" s="657" t="s">
        <v>504</v>
      </c>
      <c r="C389" s="656" t="s">
        <v>12551</v>
      </c>
      <c r="D389" s="657" t="s">
        <v>13789</v>
      </c>
      <c r="E389" s="657" t="s">
        <v>7437</v>
      </c>
      <c r="F389" s="656" t="s">
        <v>540</v>
      </c>
      <c r="G389" s="656" t="s">
        <v>541</v>
      </c>
      <c r="H389" s="656" t="s">
        <v>540</v>
      </c>
      <c r="I389" s="656" t="s">
        <v>14976</v>
      </c>
      <c r="J389" s="656"/>
      <c r="K389" s="656"/>
      <c r="L389" s="656"/>
      <c r="M389" s="657"/>
      <c r="N389" s="1482"/>
      <c r="O389" s="656" t="s">
        <v>498</v>
      </c>
      <c r="P389" s="656" t="s">
        <v>13052</v>
      </c>
      <c r="Q389" s="656">
        <v>44216.786793981482</v>
      </c>
    </row>
    <row r="390" spans="1:17">
      <c r="A390" s="656" t="s">
        <v>12554</v>
      </c>
      <c r="B390" s="657" t="s">
        <v>504</v>
      </c>
      <c r="C390" s="656" t="s">
        <v>12553</v>
      </c>
      <c r="D390" s="657" t="s">
        <v>13789</v>
      </c>
      <c r="E390" s="657" t="s">
        <v>7437</v>
      </c>
      <c r="F390" s="656" t="s">
        <v>540</v>
      </c>
      <c r="G390" s="656" t="s">
        <v>541</v>
      </c>
      <c r="H390" s="656" t="s">
        <v>540</v>
      </c>
      <c r="I390" s="656" t="s">
        <v>14976</v>
      </c>
      <c r="J390" s="656"/>
      <c r="K390" s="656"/>
      <c r="L390" s="656" t="s">
        <v>15116</v>
      </c>
      <c r="M390" s="657"/>
      <c r="N390" s="1482"/>
      <c r="O390" s="656" t="s">
        <v>498</v>
      </c>
      <c r="P390" s="656" t="s">
        <v>13052</v>
      </c>
      <c r="Q390" s="656">
        <v>44216.786793981482</v>
      </c>
    </row>
    <row r="391" spans="1:17">
      <c r="A391" s="656" t="s">
        <v>12556</v>
      </c>
      <c r="B391" s="657" t="s">
        <v>202</v>
      </c>
      <c r="C391" s="656" t="s">
        <v>12555</v>
      </c>
      <c r="D391" s="657" t="s">
        <v>13789</v>
      </c>
      <c r="E391" s="657" t="s">
        <v>7437</v>
      </c>
      <c r="F391" s="656" t="s">
        <v>472</v>
      </c>
      <c r="G391" s="656" t="s">
        <v>519</v>
      </c>
      <c r="H391" s="656" t="s">
        <v>472</v>
      </c>
      <c r="I391" s="656" t="s">
        <v>14976</v>
      </c>
      <c r="J391" s="656" t="s">
        <v>12368</v>
      </c>
      <c r="K391" s="656" t="s">
        <v>1058</v>
      </c>
      <c r="L391" s="656"/>
      <c r="M391" s="657"/>
      <c r="N391" s="1482"/>
      <c r="O391" s="656" t="s">
        <v>498</v>
      </c>
      <c r="P391" s="656" t="s">
        <v>13052</v>
      </c>
      <c r="Q391" s="656">
        <v>44216.786793981482</v>
      </c>
    </row>
    <row r="392" spans="1:17">
      <c r="A392" s="656" t="s">
        <v>12558</v>
      </c>
      <c r="B392" s="657" t="s">
        <v>202</v>
      </c>
      <c r="C392" s="656" t="s">
        <v>12557</v>
      </c>
      <c r="D392" s="657" t="s">
        <v>13789</v>
      </c>
      <c r="E392" s="657" t="s">
        <v>7437</v>
      </c>
      <c r="F392" s="656" t="s">
        <v>537</v>
      </c>
      <c r="G392" s="656" t="s">
        <v>512</v>
      </c>
      <c r="H392" s="656" t="s">
        <v>537</v>
      </c>
      <c r="I392" s="656" t="s">
        <v>14976</v>
      </c>
      <c r="J392" s="656" t="s">
        <v>473</v>
      </c>
      <c r="K392" s="656" t="s">
        <v>4161</v>
      </c>
      <c r="L392" s="656"/>
      <c r="M392" s="657"/>
      <c r="N392" s="1482"/>
      <c r="O392" s="656" t="s">
        <v>498</v>
      </c>
      <c r="P392" s="656" t="s">
        <v>13052</v>
      </c>
      <c r="Q392" s="656">
        <v>44216.786782407406</v>
      </c>
    </row>
    <row r="393" spans="1:17">
      <c r="A393" s="656" t="s">
        <v>12560</v>
      </c>
      <c r="B393" s="657" t="s">
        <v>202</v>
      </c>
      <c r="C393" s="656" t="s">
        <v>12559</v>
      </c>
      <c r="D393" s="657" t="s">
        <v>13789</v>
      </c>
      <c r="E393" s="657" t="s">
        <v>7437</v>
      </c>
      <c r="F393" s="656" t="s">
        <v>537</v>
      </c>
      <c r="G393" s="656" t="s">
        <v>512</v>
      </c>
      <c r="H393" s="656" t="s">
        <v>537</v>
      </c>
      <c r="I393" s="656" t="s">
        <v>14976</v>
      </c>
      <c r="J393" s="656" t="s">
        <v>473</v>
      </c>
      <c r="K393" s="656" t="s">
        <v>4161</v>
      </c>
      <c r="L393" s="656"/>
      <c r="M393" s="657"/>
      <c r="N393" s="1482"/>
      <c r="O393" s="656" t="s">
        <v>498</v>
      </c>
      <c r="P393" s="656" t="s">
        <v>13052</v>
      </c>
      <c r="Q393" s="656">
        <v>44216.786782407406</v>
      </c>
    </row>
    <row r="394" spans="1:17">
      <c r="A394" s="656" t="s">
        <v>12562</v>
      </c>
      <c r="B394" s="657" t="s">
        <v>202</v>
      </c>
      <c r="C394" s="656" t="s">
        <v>12561</v>
      </c>
      <c r="D394" s="657" t="s">
        <v>13789</v>
      </c>
      <c r="E394" s="657" t="s">
        <v>7437</v>
      </c>
      <c r="F394" s="656" t="s">
        <v>472</v>
      </c>
      <c r="G394" s="656" t="s">
        <v>519</v>
      </c>
      <c r="H394" s="656" t="s">
        <v>472</v>
      </c>
      <c r="I394" s="656" t="s">
        <v>14976</v>
      </c>
      <c r="J394" s="656" t="s">
        <v>12368</v>
      </c>
      <c r="K394" s="656" t="s">
        <v>1058</v>
      </c>
      <c r="L394" s="656"/>
      <c r="M394" s="657"/>
      <c r="N394" s="1482"/>
      <c r="O394" s="656" t="s">
        <v>498</v>
      </c>
      <c r="P394" s="656" t="s">
        <v>13052</v>
      </c>
      <c r="Q394" s="656">
        <v>44216.786782407406</v>
      </c>
    </row>
    <row r="395" spans="1:17">
      <c r="A395" s="656" t="s">
        <v>12564</v>
      </c>
      <c r="B395" s="657" t="s">
        <v>504</v>
      </c>
      <c r="C395" s="656" t="s">
        <v>12563</v>
      </c>
      <c r="D395" s="657" t="s">
        <v>13789</v>
      </c>
      <c r="E395" s="657" t="s">
        <v>7437</v>
      </c>
      <c r="F395" s="656" t="s">
        <v>505</v>
      </c>
      <c r="G395" s="656" t="s">
        <v>525</v>
      </c>
      <c r="H395" s="656" t="s">
        <v>505</v>
      </c>
      <c r="I395" s="656" t="s">
        <v>14976</v>
      </c>
      <c r="J395" s="656"/>
      <c r="K395" s="656"/>
      <c r="L395" s="656" t="s">
        <v>15118</v>
      </c>
      <c r="M395" s="657"/>
      <c r="N395" s="1482"/>
      <c r="O395" s="656" t="s">
        <v>498</v>
      </c>
      <c r="P395" s="656" t="s">
        <v>13052</v>
      </c>
      <c r="Q395" s="656">
        <v>44216.786770833336</v>
      </c>
    </row>
    <row r="396" spans="1:17">
      <c r="A396" s="656" t="s">
        <v>12565</v>
      </c>
      <c r="B396" s="657" t="s">
        <v>202</v>
      </c>
      <c r="C396" s="656" t="s">
        <v>12852</v>
      </c>
      <c r="D396" s="657" t="s">
        <v>13789</v>
      </c>
      <c r="E396" s="657" t="s">
        <v>7437</v>
      </c>
      <c r="F396" s="656" t="s">
        <v>537</v>
      </c>
      <c r="G396" s="656"/>
      <c r="H396" s="656" t="s">
        <v>537</v>
      </c>
      <c r="I396" s="656" t="s">
        <v>14976</v>
      </c>
      <c r="J396" s="656" t="s">
        <v>448</v>
      </c>
      <c r="K396" s="656" t="s">
        <v>4161</v>
      </c>
      <c r="L396" s="656"/>
      <c r="M396" s="657"/>
      <c r="N396" s="1482"/>
      <c r="O396" s="656" t="s">
        <v>498</v>
      </c>
      <c r="P396" s="656" t="s">
        <v>13052</v>
      </c>
      <c r="Q396" s="656">
        <v>44216.786759259259</v>
      </c>
    </row>
    <row r="397" spans="1:17">
      <c r="A397" s="656" t="s">
        <v>12567</v>
      </c>
      <c r="B397" s="657" t="s">
        <v>202</v>
      </c>
      <c r="C397" s="656" t="s">
        <v>12566</v>
      </c>
      <c r="D397" s="657" t="s">
        <v>13789</v>
      </c>
      <c r="E397" s="657" t="s">
        <v>7437</v>
      </c>
      <c r="F397" s="656" t="s">
        <v>537</v>
      </c>
      <c r="G397" s="656"/>
      <c r="H397" s="656" t="s">
        <v>537</v>
      </c>
      <c r="I397" s="656" t="s">
        <v>14976</v>
      </c>
      <c r="J397" s="656" t="s">
        <v>448</v>
      </c>
      <c r="K397" s="656" t="s">
        <v>4161</v>
      </c>
      <c r="L397" s="656"/>
      <c r="M397" s="657"/>
      <c r="N397" s="1482"/>
      <c r="O397" s="656" t="s">
        <v>498</v>
      </c>
      <c r="P397" s="656" t="s">
        <v>13052</v>
      </c>
      <c r="Q397" s="656">
        <v>44216.786759259259</v>
      </c>
    </row>
    <row r="398" spans="1:17">
      <c r="A398" s="656" t="s">
        <v>12569</v>
      </c>
      <c r="B398" s="657" t="s">
        <v>202</v>
      </c>
      <c r="C398" s="656" t="s">
        <v>12568</v>
      </c>
      <c r="D398" s="657" t="s">
        <v>14977</v>
      </c>
      <c r="E398" s="657" t="s">
        <v>7437</v>
      </c>
      <c r="F398" s="656" t="s">
        <v>2849</v>
      </c>
      <c r="G398" s="656"/>
      <c r="H398" s="656" t="s">
        <v>469</v>
      </c>
      <c r="I398" s="656" t="s">
        <v>14976</v>
      </c>
      <c r="J398" s="656" t="s">
        <v>459</v>
      </c>
      <c r="K398" s="656" t="s">
        <v>2849</v>
      </c>
      <c r="L398" s="656"/>
      <c r="M398" s="657"/>
      <c r="N398" s="1482"/>
      <c r="O398" s="656" t="s">
        <v>498</v>
      </c>
      <c r="P398" s="656" t="s">
        <v>13052</v>
      </c>
      <c r="Q398" s="656">
        <v>44216.786759259259</v>
      </c>
    </row>
    <row r="399" spans="1:17">
      <c r="A399" s="656" t="s">
        <v>12571</v>
      </c>
      <c r="B399" s="657" t="s">
        <v>202</v>
      </c>
      <c r="C399" s="656" t="s">
        <v>12570</v>
      </c>
      <c r="D399" s="657" t="s">
        <v>14977</v>
      </c>
      <c r="E399" s="657" t="s">
        <v>7437</v>
      </c>
      <c r="F399" s="656" t="s">
        <v>2849</v>
      </c>
      <c r="G399" s="656"/>
      <c r="H399" s="656" t="s">
        <v>469</v>
      </c>
      <c r="I399" s="656" t="s">
        <v>14976</v>
      </c>
      <c r="J399" s="656" t="s">
        <v>459</v>
      </c>
      <c r="K399" s="656" t="s">
        <v>2849</v>
      </c>
      <c r="L399" s="656"/>
      <c r="M399" s="657"/>
      <c r="N399" s="1482"/>
      <c r="O399" s="656" t="s">
        <v>498</v>
      </c>
      <c r="P399" s="656" t="s">
        <v>13052</v>
      </c>
      <c r="Q399" s="656">
        <v>44216.786747685182</v>
      </c>
    </row>
    <row r="400" spans="1:17">
      <c r="A400" s="656" t="s">
        <v>12573</v>
      </c>
      <c r="B400" s="657" t="s">
        <v>202</v>
      </c>
      <c r="C400" s="656" t="s">
        <v>12572</v>
      </c>
      <c r="D400" s="657" t="s">
        <v>13789</v>
      </c>
      <c r="E400" s="657" t="s">
        <v>7437</v>
      </c>
      <c r="F400" s="656" t="s">
        <v>472</v>
      </c>
      <c r="G400" s="656" t="s">
        <v>519</v>
      </c>
      <c r="H400" s="656" t="s">
        <v>472</v>
      </c>
      <c r="I400" s="656" t="s">
        <v>14976</v>
      </c>
      <c r="J400" s="656" t="s">
        <v>12368</v>
      </c>
      <c r="K400" s="656" t="s">
        <v>1058</v>
      </c>
      <c r="L400" s="656"/>
      <c r="M400" s="657"/>
      <c r="N400" s="1482"/>
      <c r="O400" s="656" t="s">
        <v>498</v>
      </c>
      <c r="P400" s="656" t="s">
        <v>13052</v>
      </c>
      <c r="Q400" s="656">
        <v>44216.786736111113</v>
      </c>
    </row>
    <row r="401" spans="1:17">
      <c r="A401" s="656" t="s">
        <v>12575</v>
      </c>
      <c r="B401" s="657" t="s">
        <v>202</v>
      </c>
      <c r="C401" s="656" t="s">
        <v>12574</v>
      </c>
      <c r="D401" s="657" t="s">
        <v>14977</v>
      </c>
      <c r="E401" s="657" t="s">
        <v>7437</v>
      </c>
      <c r="F401" s="656" t="s">
        <v>537</v>
      </c>
      <c r="G401" s="656" t="s">
        <v>512</v>
      </c>
      <c r="H401" s="656" t="s">
        <v>537</v>
      </c>
      <c r="I401" s="656" t="s">
        <v>14976</v>
      </c>
      <c r="J401" s="656" t="s">
        <v>473</v>
      </c>
      <c r="K401" s="656" t="s">
        <v>4161</v>
      </c>
      <c r="L401" s="656"/>
      <c r="M401" s="657"/>
      <c r="N401" s="1482"/>
      <c r="O401" s="656" t="s">
        <v>498</v>
      </c>
      <c r="P401" s="656" t="s">
        <v>13052</v>
      </c>
      <c r="Q401" s="656">
        <v>44216.786747685182</v>
      </c>
    </row>
    <row r="402" spans="1:17">
      <c r="A402" s="656" t="s">
        <v>12577</v>
      </c>
      <c r="B402" s="657" t="s">
        <v>202</v>
      </c>
      <c r="C402" s="656" t="s">
        <v>12576</v>
      </c>
      <c r="D402" s="657" t="s">
        <v>13789</v>
      </c>
      <c r="E402" s="657" t="s">
        <v>7437</v>
      </c>
      <c r="F402" s="656" t="s">
        <v>472</v>
      </c>
      <c r="G402" s="656" t="s">
        <v>519</v>
      </c>
      <c r="H402" s="656" t="s">
        <v>472</v>
      </c>
      <c r="I402" s="656" t="s">
        <v>14976</v>
      </c>
      <c r="J402" s="656" t="s">
        <v>12368</v>
      </c>
      <c r="K402" s="656" t="s">
        <v>1058</v>
      </c>
      <c r="L402" s="656"/>
      <c r="M402" s="657"/>
      <c r="N402" s="1482"/>
      <c r="O402" s="656" t="s">
        <v>498</v>
      </c>
      <c r="P402" s="656" t="s">
        <v>13052</v>
      </c>
      <c r="Q402" s="656">
        <v>44216.786724537036</v>
      </c>
    </row>
    <row r="403" spans="1:17">
      <c r="A403" s="656" t="s">
        <v>12579</v>
      </c>
      <c r="B403" s="657" t="s">
        <v>202</v>
      </c>
      <c r="C403" s="656" t="s">
        <v>12578</v>
      </c>
      <c r="D403" s="657" t="s">
        <v>13789</v>
      </c>
      <c r="E403" s="657" t="s">
        <v>7437</v>
      </c>
      <c r="F403" s="656" t="s">
        <v>472</v>
      </c>
      <c r="G403" s="656" t="s">
        <v>519</v>
      </c>
      <c r="H403" s="656" t="s">
        <v>472</v>
      </c>
      <c r="I403" s="656" t="s">
        <v>14976</v>
      </c>
      <c r="J403" s="656" t="s">
        <v>12368</v>
      </c>
      <c r="K403" s="656" t="s">
        <v>1058</v>
      </c>
      <c r="L403" s="656"/>
      <c r="M403" s="657"/>
      <c r="N403" s="1482"/>
      <c r="O403" s="656" t="s">
        <v>498</v>
      </c>
      <c r="P403" s="656" t="s">
        <v>13052</v>
      </c>
      <c r="Q403" s="656">
        <v>44216.786724537036</v>
      </c>
    </row>
    <row r="404" spans="1:17">
      <c r="A404" s="656" t="s">
        <v>12581</v>
      </c>
      <c r="B404" s="657" t="s">
        <v>504</v>
      </c>
      <c r="C404" s="656" t="s">
        <v>12580</v>
      </c>
      <c r="D404" s="657" t="s">
        <v>13789</v>
      </c>
      <c r="E404" s="657" t="s">
        <v>7437</v>
      </c>
      <c r="F404" s="656" t="s">
        <v>505</v>
      </c>
      <c r="G404" s="656" t="s">
        <v>525</v>
      </c>
      <c r="H404" s="656" t="s">
        <v>505</v>
      </c>
      <c r="I404" s="656" t="s">
        <v>14976</v>
      </c>
      <c r="J404" s="656"/>
      <c r="K404" s="656"/>
      <c r="L404" s="656" t="s">
        <v>15117</v>
      </c>
      <c r="M404" s="657"/>
      <c r="N404" s="1482"/>
      <c r="O404" s="656" t="s">
        <v>498</v>
      </c>
      <c r="P404" s="656" t="s">
        <v>13052</v>
      </c>
      <c r="Q404" s="656">
        <v>44216.786724537036</v>
      </c>
    </row>
    <row r="405" spans="1:17">
      <c r="A405" s="656" t="s">
        <v>12583</v>
      </c>
      <c r="B405" s="657" t="s">
        <v>504</v>
      </c>
      <c r="C405" s="656" t="s">
        <v>12582</v>
      </c>
      <c r="D405" s="657" t="s">
        <v>13789</v>
      </c>
      <c r="E405" s="657" t="s">
        <v>7437</v>
      </c>
      <c r="F405" s="656" t="s">
        <v>540</v>
      </c>
      <c r="G405" s="656" t="s">
        <v>625</v>
      </c>
      <c r="H405" s="656" t="s">
        <v>540</v>
      </c>
      <c r="I405" s="656" t="s">
        <v>14976</v>
      </c>
      <c r="J405" s="656"/>
      <c r="K405" s="656"/>
      <c r="L405" s="656"/>
      <c r="M405" s="657"/>
      <c r="N405" s="1482"/>
      <c r="O405" s="656" t="s">
        <v>498</v>
      </c>
      <c r="P405" s="656" t="s">
        <v>13052</v>
      </c>
      <c r="Q405" s="656">
        <v>44216.786712962959</v>
      </c>
    </row>
    <row r="406" spans="1:17">
      <c r="A406" s="656" t="s">
        <v>12585</v>
      </c>
      <c r="B406" s="657" t="s">
        <v>504</v>
      </c>
      <c r="C406" s="656" t="s">
        <v>12584</v>
      </c>
      <c r="D406" s="657" t="s">
        <v>13789</v>
      </c>
      <c r="E406" s="657" t="s">
        <v>7437</v>
      </c>
      <c r="F406" s="656" t="s">
        <v>505</v>
      </c>
      <c r="G406" s="656" t="s">
        <v>525</v>
      </c>
      <c r="H406" s="656" t="s">
        <v>505</v>
      </c>
      <c r="I406" s="656"/>
      <c r="J406" s="656"/>
      <c r="K406" s="656"/>
      <c r="L406" s="656"/>
      <c r="M406" s="657"/>
      <c r="N406" s="1482"/>
      <c r="O406" s="656" t="s">
        <v>498</v>
      </c>
      <c r="P406" s="656" t="s">
        <v>13052</v>
      </c>
      <c r="Q406" s="656">
        <v>44216.786712962959</v>
      </c>
    </row>
    <row r="407" spans="1:17">
      <c r="A407" s="656" t="s">
        <v>12586</v>
      </c>
      <c r="B407" s="657" t="s">
        <v>202</v>
      </c>
      <c r="C407" s="656" t="s">
        <v>553</v>
      </c>
      <c r="D407" s="657" t="s">
        <v>14977</v>
      </c>
      <c r="E407" s="657" t="s">
        <v>7437</v>
      </c>
      <c r="F407" s="656" t="s">
        <v>537</v>
      </c>
      <c r="G407" s="656" t="s">
        <v>512</v>
      </c>
      <c r="H407" s="656" t="s">
        <v>537</v>
      </c>
      <c r="I407" s="656" t="s">
        <v>14976</v>
      </c>
      <c r="J407" s="656" t="s">
        <v>473</v>
      </c>
      <c r="K407" s="656" t="s">
        <v>4161</v>
      </c>
      <c r="L407" s="656"/>
      <c r="M407" s="657"/>
      <c r="N407" s="1482"/>
      <c r="O407" s="656" t="s">
        <v>498</v>
      </c>
      <c r="P407" s="656" t="s">
        <v>13052</v>
      </c>
      <c r="Q407" s="656">
        <v>44216.78670138889</v>
      </c>
    </row>
    <row r="408" spans="1:17">
      <c r="A408" s="656" t="s">
        <v>12588</v>
      </c>
      <c r="B408" s="657" t="s">
        <v>202</v>
      </c>
      <c r="C408" s="656" t="s">
        <v>12587</v>
      </c>
      <c r="D408" s="657" t="s">
        <v>13789</v>
      </c>
      <c r="E408" s="657" t="s">
        <v>7437</v>
      </c>
      <c r="F408" s="656" t="s">
        <v>4052</v>
      </c>
      <c r="G408" s="656" t="s">
        <v>512</v>
      </c>
      <c r="H408" s="656" t="s">
        <v>455</v>
      </c>
      <c r="I408" s="656" t="s">
        <v>14976</v>
      </c>
      <c r="J408" s="656" t="s">
        <v>451</v>
      </c>
      <c r="K408" s="656" t="s">
        <v>4052</v>
      </c>
      <c r="L408" s="656"/>
      <c r="M408" s="657"/>
      <c r="N408" s="1482"/>
      <c r="O408" s="656" t="s">
        <v>498</v>
      </c>
      <c r="P408" s="656" t="s">
        <v>13052</v>
      </c>
      <c r="Q408" s="656">
        <v>44216.78670138889</v>
      </c>
    </row>
    <row r="409" spans="1:17">
      <c r="A409" s="656" t="s">
        <v>12590</v>
      </c>
      <c r="B409" s="657" t="s">
        <v>202</v>
      </c>
      <c r="C409" s="656" t="s">
        <v>12589</v>
      </c>
      <c r="D409" s="657" t="s">
        <v>13789</v>
      </c>
      <c r="E409" s="657" t="s">
        <v>7437</v>
      </c>
      <c r="F409" s="656" t="s">
        <v>537</v>
      </c>
      <c r="G409" s="656" t="s">
        <v>512</v>
      </c>
      <c r="H409" s="656" t="s">
        <v>537</v>
      </c>
      <c r="I409" s="656" t="s">
        <v>14976</v>
      </c>
      <c r="J409" s="656" t="s">
        <v>473</v>
      </c>
      <c r="K409" s="656" t="s">
        <v>4161</v>
      </c>
      <c r="L409" s="656"/>
      <c r="M409" s="657"/>
      <c r="N409" s="1482"/>
      <c r="O409" s="656" t="s">
        <v>498</v>
      </c>
      <c r="P409" s="656" t="s">
        <v>13052</v>
      </c>
      <c r="Q409" s="656">
        <v>44216.78670138889</v>
      </c>
    </row>
    <row r="410" spans="1:17">
      <c r="A410" s="656" t="s">
        <v>12591</v>
      </c>
      <c r="B410" s="657" t="s">
        <v>202</v>
      </c>
      <c r="C410" s="656" t="s">
        <v>14064</v>
      </c>
      <c r="D410" s="657" t="s">
        <v>13789</v>
      </c>
      <c r="E410" s="657" t="s">
        <v>7437</v>
      </c>
      <c r="F410" s="656" t="s">
        <v>497</v>
      </c>
      <c r="G410" s="656" t="s">
        <v>497</v>
      </c>
      <c r="H410" s="656" t="s">
        <v>497</v>
      </c>
      <c r="I410" s="656" t="s">
        <v>14976</v>
      </c>
      <c r="J410" s="656" t="s">
        <v>473</v>
      </c>
      <c r="K410" s="656" t="s">
        <v>497</v>
      </c>
      <c r="L410" s="656"/>
      <c r="M410" s="657"/>
      <c r="N410" s="1482"/>
      <c r="O410" s="656" t="s">
        <v>498</v>
      </c>
      <c r="P410" s="656" t="s">
        <v>13052</v>
      </c>
      <c r="Q410" s="656">
        <v>44216.786689814813</v>
      </c>
    </row>
    <row r="411" spans="1:17">
      <c r="A411" s="656" t="s">
        <v>12593</v>
      </c>
      <c r="B411" s="657" t="s">
        <v>202</v>
      </c>
      <c r="C411" s="656" t="s">
        <v>12592</v>
      </c>
      <c r="D411" s="657" t="s">
        <v>13789</v>
      </c>
      <c r="E411" s="657" t="s">
        <v>7437</v>
      </c>
      <c r="F411" s="656" t="s">
        <v>472</v>
      </c>
      <c r="G411" s="656" t="s">
        <v>519</v>
      </c>
      <c r="H411" s="656" t="s">
        <v>472</v>
      </c>
      <c r="I411" s="656" t="s">
        <v>14976</v>
      </c>
      <c r="J411" s="656" t="s">
        <v>12368</v>
      </c>
      <c r="K411" s="656" t="s">
        <v>1058</v>
      </c>
      <c r="L411" s="656"/>
      <c r="M411" s="657"/>
      <c r="N411" s="1482"/>
      <c r="O411" s="656" t="s">
        <v>498</v>
      </c>
      <c r="P411" s="656" t="s">
        <v>13052</v>
      </c>
      <c r="Q411" s="656">
        <v>44216.786689814813</v>
      </c>
    </row>
    <row r="412" spans="1:17">
      <c r="A412" s="656" t="s">
        <v>12595</v>
      </c>
      <c r="B412" s="657" t="s">
        <v>504</v>
      </c>
      <c r="C412" s="656" t="s">
        <v>12594</v>
      </c>
      <c r="D412" s="657" t="s">
        <v>13789</v>
      </c>
      <c r="E412" s="657" t="s">
        <v>7437</v>
      </c>
      <c r="F412" s="656" t="s">
        <v>540</v>
      </c>
      <c r="G412" s="656" t="s">
        <v>541</v>
      </c>
      <c r="H412" s="656" t="s">
        <v>540</v>
      </c>
      <c r="I412" s="656" t="s">
        <v>14976</v>
      </c>
      <c r="J412" s="656"/>
      <c r="K412" s="656"/>
      <c r="L412" s="656" t="s">
        <v>15116</v>
      </c>
      <c r="M412" s="657"/>
      <c r="N412" s="1482"/>
      <c r="O412" s="656" t="s">
        <v>498</v>
      </c>
      <c r="P412" s="656" t="s">
        <v>13052</v>
      </c>
      <c r="Q412" s="656">
        <v>44216.786678240744</v>
      </c>
    </row>
    <row r="413" spans="1:17">
      <c r="A413" s="656" t="s">
        <v>12597</v>
      </c>
      <c r="B413" s="657" t="s">
        <v>504</v>
      </c>
      <c r="C413" s="656" t="s">
        <v>12596</v>
      </c>
      <c r="D413" s="657" t="s">
        <v>13789</v>
      </c>
      <c r="E413" s="657" t="s">
        <v>7437</v>
      </c>
      <c r="F413" s="656" t="s">
        <v>540</v>
      </c>
      <c r="G413" s="656" t="s">
        <v>541</v>
      </c>
      <c r="H413" s="656" t="s">
        <v>540</v>
      </c>
      <c r="I413" s="656" t="s">
        <v>14976</v>
      </c>
      <c r="J413" s="656"/>
      <c r="K413" s="656"/>
      <c r="L413" s="656" t="s">
        <v>15115</v>
      </c>
      <c r="M413" s="657"/>
      <c r="N413" s="1482"/>
      <c r="O413" s="656" t="s">
        <v>498</v>
      </c>
      <c r="P413" s="656" t="s">
        <v>13052</v>
      </c>
      <c r="Q413" s="656">
        <v>44216.786678240744</v>
      </c>
    </row>
    <row r="414" spans="1:17">
      <c r="A414" s="656" t="s">
        <v>12599</v>
      </c>
      <c r="B414" s="657" t="s">
        <v>504</v>
      </c>
      <c r="C414" s="656" t="s">
        <v>12598</v>
      </c>
      <c r="D414" s="657" t="s">
        <v>14978</v>
      </c>
      <c r="E414" s="657" t="s">
        <v>9406</v>
      </c>
      <c r="F414" s="656" t="s">
        <v>505</v>
      </c>
      <c r="G414" s="656" t="s">
        <v>525</v>
      </c>
      <c r="H414" s="656" t="s">
        <v>505</v>
      </c>
      <c r="I414" s="656" t="s">
        <v>14976</v>
      </c>
      <c r="J414" s="656"/>
      <c r="K414" s="656"/>
      <c r="L414" s="656" t="s">
        <v>15114</v>
      </c>
      <c r="M414" s="657"/>
      <c r="N414" s="1482"/>
      <c r="O414" s="656" t="s">
        <v>498</v>
      </c>
      <c r="P414" s="656" t="s">
        <v>13052</v>
      </c>
      <c r="Q414" s="656">
        <v>44216.786666666667</v>
      </c>
    </row>
    <row r="415" spans="1:17">
      <c r="A415" s="656" t="s">
        <v>12601</v>
      </c>
      <c r="B415" s="657" t="s">
        <v>202</v>
      </c>
      <c r="C415" s="656" t="s">
        <v>12600</v>
      </c>
      <c r="D415" s="657" t="s">
        <v>13789</v>
      </c>
      <c r="E415" s="657" t="s">
        <v>7437</v>
      </c>
      <c r="F415" s="656" t="s">
        <v>537</v>
      </c>
      <c r="G415" s="656" t="s">
        <v>512</v>
      </c>
      <c r="H415" s="656" t="s">
        <v>537</v>
      </c>
      <c r="I415" s="656" t="s">
        <v>14976</v>
      </c>
      <c r="J415" s="656" t="s">
        <v>473</v>
      </c>
      <c r="K415" s="656" t="s">
        <v>4161</v>
      </c>
      <c r="L415" s="656"/>
      <c r="M415" s="657"/>
      <c r="N415" s="1482"/>
      <c r="O415" s="656" t="s">
        <v>498</v>
      </c>
      <c r="P415" s="656" t="s">
        <v>13052</v>
      </c>
      <c r="Q415" s="656">
        <v>44216.786666666667</v>
      </c>
    </row>
    <row r="416" spans="1:17">
      <c r="A416" s="656" t="s">
        <v>12603</v>
      </c>
      <c r="B416" s="657" t="s">
        <v>202</v>
      </c>
      <c r="C416" s="656" t="s">
        <v>12602</v>
      </c>
      <c r="D416" s="657" t="s">
        <v>13789</v>
      </c>
      <c r="E416" s="657" t="s">
        <v>7437</v>
      </c>
      <c r="F416" s="656" t="s">
        <v>537</v>
      </c>
      <c r="G416" s="656" t="s">
        <v>512</v>
      </c>
      <c r="H416" s="656" t="s">
        <v>537</v>
      </c>
      <c r="I416" s="656" t="s">
        <v>14976</v>
      </c>
      <c r="J416" s="656" t="s">
        <v>473</v>
      </c>
      <c r="K416" s="656" t="s">
        <v>4161</v>
      </c>
      <c r="L416" s="656"/>
      <c r="M416" s="657"/>
      <c r="N416" s="1482"/>
      <c r="O416" s="656" t="s">
        <v>498</v>
      </c>
      <c r="P416" s="656" t="s">
        <v>13052</v>
      </c>
      <c r="Q416" s="656">
        <v>44216.786666666667</v>
      </c>
    </row>
    <row r="417" spans="1:17">
      <c r="A417" s="656" t="s">
        <v>12605</v>
      </c>
      <c r="B417" s="657" t="s">
        <v>202</v>
      </c>
      <c r="C417" s="656" t="s">
        <v>14063</v>
      </c>
      <c r="D417" s="657" t="s">
        <v>13789</v>
      </c>
      <c r="E417" s="657" t="s">
        <v>7437</v>
      </c>
      <c r="F417" s="656" t="s">
        <v>472</v>
      </c>
      <c r="G417" s="656" t="s">
        <v>519</v>
      </c>
      <c r="H417" s="656" t="s">
        <v>472</v>
      </c>
      <c r="I417" s="656" t="s">
        <v>14976</v>
      </c>
      <c r="J417" s="656" t="s">
        <v>12368</v>
      </c>
      <c r="K417" s="656" t="s">
        <v>1058</v>
      </c>
      <c r="L417" s="656"/>
      <c r="M417" s="657"/>
      <c r="N417" s="1482"/>
      <c r="O417" s="656" t="s">
        <v>498</v>
      </c>
      <c r="P417" s="656" t="s">
        <v>13052</v>
      </c>
      <c r="Q417" s="656">
        <v>44216.78665509259</v>
      </c>
    </row>
    <row r="418" spans="1:17">
      <c r="A418" s="656" t="s">
        <v>12527</v>
      </c>
      <c r="B418" s="657" t="s">
        <v>504</v>
      </c>
      <c r="C418" s="656" t="s">
        <v>12526</v>
      </c>
      <c r="D418" s="657" t="s">
        <v>13789</v>
      </c>
      <c r="E418" s="657" t="s">
        <v>7437</v>
      </c>
      <c r="F418" s="656" t="s">
        <v>540</v>
      </c>
      <c r="G418" s="656" t="s">
        <v>625</v>
      </c>
      <c r="H418" s="656" t="s">
        <v>540</v>
      </c>
      <c r="I418" s="656" t="s">
        <v>14976</v>
      </c>
      <c r="J418" s="656"/>
      <c r="K418" s="656"/>
      <c r="L418" s="656"/>
      <c r="M418" s="657"/>
      <c r="N418" s="1482"/>
      <c r="O418" s="656" t="s">
        <v>498</v>
      </c>
      <c r="P418" s="656" t="s">
        <v>13052</v>
      </c>
      <c r="Q418" s="656">
        <v>44216.78665509259</v>
      </c>
    </row>
    <row r="419" spans="1:17">
      <c r="A419" s="656" t="s">
        <v>12500</v>
      </c>
      <c r="B419" s="657" t="s">
        <v>504</v>
      </c>
      <c r="C419" s="656" t="s">
        <v>12499</v>
      </c>
      <c r="D419" s="657" t="s">
        <v>14977</v>
      </c>
      <c r="E419" s="657" t="s">
        <v>7437</v>
      </c>
      <c r="F419" s="656" t="s">
        <v>505</v>
      </c>
      <c r="G419" s="656" t="s">
        <v>525</v>
      </c>
      <c r="H419" s="656" t="s">
        <v>505</v>
      </c>
      <c r="I419" s="656" t="s">
        <v>14976</v>
      </c>
      <c r="J419" s="656"/>
      <c r="K419" s="656"/>
      <c r="L419" s="656"/>
      <c r="M419" s="657"/>
      <c r="N419" s="1482"/>
      <c r="O419" s="656" t="s">
        <v>498</v>
      </c>
      <c r="P419" s="656" t="s">
        <v>13052</v>
      </c>
      <c r="Q419" s="656">
        <v>44216.786643518521</v>
      </c>
    </row>
    <row r="420" spans="1:17">
      <c r="A420" s="656" t="s">
        <v>12502</v>
      </c>
      <c r="B420" s="657" t="s">
        <v>202</v>
      </c>
      <c r="C420" s="656" t="s">
        <v>12501</v>
      </c>
      <c r="D420" s="657" t="s">
        <v>13789</v>
      </c>
      <c r="E420" s="657" t="s">
        <v>7437</v>
      </c>
      <c r="F420" s="656" t="s">
        <v>472</v>
      </c>
      <c r="G420" s="656" t="s">
        <v>519</v>
      </c>
      <c r="H420" s="656" t="s">
        <v>472</v>
      </c>
      <c r="I420" s="656" t="s">
        <v>14976</v>
      </c>
      <c r="J420" s="656" t="s">
        <v>12368</v>
      </c>
      <c r="K420" s="656" t="s">
        <v>1058</v>
      </c>
      <c r="L420" s="656"/>
      <c r="M420" s="657"/>
      <c r="N420" s="1482"/>
      <c r="O420" s="656" t="s">
        <v>498</v>
      </c>
      <c r="P420" s="656" t="s">
        <v>13052</v>
      </c>
      <c r="Q420" s="656">
        <v>44216.786643518521</v>
      </c>
    </row>
    <row r="421" spans="1:17">
      <c r="A421" s="656" t="s">
        <v>12503</v>
      </c>
      <c r="B421" s="657" t="s">
        <v>504</v>
      </c>
      <c r="C421" s="656" t="s">
        <v>12606</v>
      </c>
      <c r="D421" s="657" t="s">
        <v>13789</v>
      </c>
      <c r="E421" s="657" t="s">
        <v>7437</v>
      </c>
      <c r="F421" s="656" t="s">
        <v>540</v>
      </c>
      <c r="G421" s="656" t="s">
        <v>541</v>
      </c>
      <c r="H421" s="656" t="s">
        <v>540</v>
      </c>
      <c r="I421" s="656" t="s">
        <v>14976</v>
      </c>
      <c r="J421" s="656"/>
      <c r="K421" s="656"/>
      <c r="L421" s="656"/>
      <c r="M421" s="657"/>
      <c r="N421" s="1482"/>
      <c r="O421" s="656" t="s">
        <v>498</v>
      </c>
      <c r="P421" s="656" t="s">
        <v>13052</v>
      </c>
      <c r="Q421" s="656">
        <v>44216.786631944444</v>
      </c>
    </row>
    <row r="422" spans="1:17">
      <c r="A422" s="656" t="s">
        <v>12505</v>
      </c>
      <c r="B422" s="657" t="s">
        <v>202</v>
      </c>
      <c r="C422" s="656" t="s">
        <v>12504</v>
      </c>
      <c r="D422" s="657" t="s">
        <v>14977</v>
      </c>
      <c r="E422" s="657" t="s">
        <v>7437</v>
      </c>
      <c r="F422" s="656" t="s">
        <v>2849</v>
      </c>
      <c r="G422" s="656" t="s">
        <v>552</v>
      </c>
      <c r="H422" s="656" t="s">
        <v>469</v>
      </c>
      <c r="I422" s="656" t="s">
        <v>14976</v>
      </c>
      <c r="J422" s="656" t="s">
        <v>8664</v>
      </c>
      <c r="K422" s="656" t="s">
        <v>477</v>
      </c>
      <c r="L422" s="656"/>
      <c r="M422" s="657"/>
      <c r="N422" s="1482"/>
      <c r="O422" s="656" t="s">
        <v>498</v>
      </c>
      <c r="P422" s="656" t="s">
        <v>13052</v>
      </c>
      <c r="Q422" s="656">
        <v>44216.786631944444</v>
      </c>
    </row>
    <row r="423" spans="1:17">
      <c r="A423" s="656" t="s">
        <v>12507</v>
      </c>
      <c r="B423" s="657" t="s">
        <v>504</v>
      </c>
      <c r="C423" s="656" t="s">
        <v>12607</v>
      </c>
      <c r="D423" s="657" t="s">
        <v>13789</v>
      </c>
      <c r="E423" s="657" t="s">
        <v>9406</v>
      </c>
      <c r="F423" s="656" t="s">
        <v>540</v>
      </c>
      <c r="G423" s="656" t="s">
        <v>1398</v>
      </c>
      <c r="H423" s="656" t="s">
        <v>540</v>
      </c>
      <c r="I423" s="656" t="s">
        <v>14976</v>
      </c>
      <c r="J423" s="656"/>
      <c r="K423" s="656"/>
      <c r="L423" s="656"/>
      <c r="M423" s="657"/>
      <c r="N423" s="1482"/>
      <c r="O423" s="656" t="s">
        <v>498</v>
      </c>
      <c r="P423" s="656" t="s">
        <v>13052</v>
      </c>
      <c r="Q423" s="656">
        <v>44216.786620370367</v>
      </c>
    </row>
    <row r="424" spans="1:17">
      <c r="A424" s="656" t="s">
        <v>12508</v>
      </c>
      <c r="B424" s="657" t="s">
        <v>504</v>
      </c>
      <c r="C424" s="656" t="s">
        <v>12494</v>
      </c>
      <c r="D424" s="657" t="s">
        <v>13789</v>
      </c>
      <c r="E424" s="657" t="s">
        <v>7437</v>
      </c>
      <c r="F424" s="656" t="s">
        <v>505</v>
      </c>
      <c r="G424" s="656" t="s">
        <v>660</v>
      </c>
      <c r="H424" s="656" t="s">
        <v>505</v>
      </c>
      <c r="I424" s="656" t="s">
        <v>14976</v>
      </c>
      <c r="J424" s="656"/>
      <c r="K424" s="656"/>
      <c r="L424" s="656"/>
      <c r="M424" s="657"/>
      <c r="N424" s="1482"/>
      <c r="O424" s="656" t="s">
        <v>498</v>
      </c>
      <c r="P424" s="656" t="s">
        <v>13052</v>
      </c>
      <c r="Q424" s="656">
        <v>44216.786620370367</v>
      </c>
    </row>
    <row r="425" spans="1:17">
      <c r="A425" s="656" t="s">
        <v>12509</v>
      </c>
      <c r="B425" s="657" t="s">
        <v>504</v>
      </c>
      <c r="C425" s="656" t="s">
        <v>12493</v>
      </c>
      <c r="D425" s="657" t="s">
        <v>13789</v>
      </c>
      <c r="E425" s="657" t="s">
        <v>7437</v>
      </c>
      <c r="F425" s="656" t="s">
        <v>505</v>
      </c>
      <c r="G425" s="656" t="s">
        <v>660</v>
      </c>
      <c r="H425" s="656" t="s">
        <v>505</v>
      </c>
      <c r="I425" s="656" t="s">
        <v>14976</v>
      </c>
      <c r="J425" s="656"/>
      <c r="K425" s="656"/>
      <c r="L425" s="656"/>
      <c r="M425" s="657"/>
      <c r="N425" s="1482"/>
      <c r="O425" s="656" t="s">
        <v>498</v>
      </c>
      <c r="P425" s="656" t="s">
        <v>13052</v>
      </c>
      <c r="Q425" s="656">
        <v>44216.786620370367</v>
      </c>
    </row>
    <row r="426" spans="1:17">
      <c r="A426" s="656" t="s">
        <v>12458</v>
      </c>
      <c r="B426" s="657" t="s">
        <v>202</v>
      </c>
      <c r="C426" s="656" t="s">
        <v>12457</v>
      </c>
      <c r="D426" s="657" t="s">
        <v>13789</v>
      </c>
      <c r="E426" s="657" t="s">
        <v>7435</v>
      </c>
      <c r="F426" s="656" t="s">
        <v>497</v>
      </c>
      <c r="G426" s="656" t="s">
        <v>497</v>
      </c>
      <c r="H426" s="656" t="s">
        <v>497</v>
      </c>
      <c r="I426" s="656" t="s">
        <v>14976</v>
      </c>
      <c r="J426" s="656" t="s">
        <v>448</v>
      </c>
      <c r="K426" s="656" t="s">
        <v>497</v>
      </c>
      <c r="L426" s="656"/>
      <c r="M426" s="657"/>
      <c r="N426" s="1482"/>
      <c r="O426" s="656" t="s">
        <v>498</v>
      </c>
      <c r="P426" s="656" t="s">
        <v>13052</v>
      </c>
      <c r="Q426" s="656">
        <v>44216.786608796298</v>
      </c>
    </row>
    <row r="427" spans="1:17">
      <c r="A427" s="656" t="s">
        <v>12460</v>
      </c>
      <c r="B427" s="657" t="s">
        <v>202</v>
      </c>
      <c r="C427" s="656" t="s">
        <v>12459</v>
      </c>
      <c r="D427" s="657" t="s">
        <v>13789</v>
      </c>
      <c r="E427" s="657" t="s">
        <v>7437</v>
      </c>
      <c r="F427" s="656" t="s">
        <v>537</v>
      </c>
      <c r="G427" s="656" t="s">
        <v>512</v>
      </c>
      <c r="H427" s="656" t="s">
        <v>537</v>
      </c>
      <c r="I427" s="656" t="s">
        <v>14976</v>
      </c>
      <c r="J427" s="656" t="s">
        <v>473</v>
      </c>
      <c r="K427" s="656" t="s">
        <v>4161</v>
      </c>
      <c r="L427" s="656"/>
      <c r="M427" s="657"/>
      <c r="N427" s="1482"/>
      <c r="O427" s="656" t="s">
        <v>498</v>
      </c>
      <c r="P427" s="656" t="s">
        <v>13052</v>
      </c>
      <c r="Q427" s="656">
        <v>44216.786608796298</v>
      </c>
    </row>
    <row r="428" spans="1:17">
      <c r="A428" s="656" t="s">
        <v>12461</v>
      </c>
      <c r="B428" s="657" t="s">
        <v>202</v>
      </c>
      <c r="C428" s="656" t="s">
        <v>12456</v>
      </c>
      <c r="D428" s="657" t="s">
        <v>13789</v>
      </c>
      <c r="E428" s="657" t="s">
        <v>7437</v>
      </c>
      <c r="F428" s="656" t="s">
        <v>2849</v>
      </c>
      <c r="G428" s="656"/>
      <c r="H428" s="656" t="s">
        <v>469</v>
      </c>
      <c r="I428" s="656" t="s">
        <v>14976</v>
      </c>
      <c r="J428" s="656" t="s">
        <v>459</v>
      </c>
      <c r="K428" s="656" t="s">
        <v>2849</v>
      </c>
      <c r="L428" s="656"/>
      <c r="M428" s="657"/>
      <c r="N428" s="1482"/>
      <c r="O428" s="656" t="s">
        <v>498</v>
      </c>
      <c r="P428" s="656" t="s">
        <v>13052</v>
      </c>
      <c r="Q428" s="656">
        <v>44216.786608796298</v>
      </c>
    </row>
    <row r="429" spans="1:17">
      <c r="A429" s="656" t="s">
        <v>12436</v>
      </c>
      <c r="B429" s="657" t="s">
        <v>504</v>
      </c>
      <c r="C429" s="656" t="s">
        <v>12823</v>
      </c>
      <c r="D429" s="657" t="s">
        <v>14978</v>
      </c>
      <c r="E429" s="657" t="s">
        <v>7437</v>
      </c>
      <c r="F429" s="656" t="s">
        <v>505</v>
      </c>
      <c r="G429" s="656" t="s">
        <v>525</v>
      </c>
      <c r="H429" s="656" t="s">
        <v>505</v>
      </c>
      <c r="I429" s="656"/>
      <c r="J429" s="656"/>
      <c r="K429" s="656"/>
      <c r="L429" s="656" t="s">
        <v>15113</v>
      </c>
      <c r="M429" s="657"/>
      <c r="N429" s="1482"/>
      <c r="O429" s="656" t="s">
        <v>498</v>
      </c>
      <c r="P429" s="656" t="s">
        <v>13052</v>
      </c>
      <c r="Q429" s="656">
        <v>44216.786597222221</v>
      </c>
    </row>
    <row r="430" spans="1:17">
      <c r="A430" s="656" t="s">
        <v>12437</v>
      </c>
      <c r="B430" s="657" t="s">
        <v>504</v>
      </c>
      <c r="C430" s="656" t="s">
        <v>12824</v>
      </c>
      <c r="D430" s="657" t="s">
        <v>14978</v>
      </c>
      <c r="E430" s="657" t="s">
        <v>7437</v>
      </c>
      <c r="F430" s="656" t="s">
        <v>505</v>
      </c>
      <c r="G430" s="656" t="s">
        <v>525</v>
      </c>
      <c r="H430" s="656" t="s">
        <v>505</v>
      </c>
      <c r="I430" s="656"/>
      <c r="J430" s="656"/>
      <c r="K430" s="656"/>
      <c r="L430" s="656" t="s">
        <v>15112</v>
      </c>
      <c r="M430" s="657"/>
      <c r="N430" s="1482"/>
      <c r="O430" s="656" t="s">
        <v>498</v>
      </c>
      <c r="P430" s="656" t="s">
        <v>13052</v>
      </c>
      <c r="Q430" s="656">
        <v>44216.786597222221</v>
      </c>
    </row>
    <row r="431" spans="1:17">
      <c r="A431" s="656" t="s">
        <v>12439</v>
      </c>
      <c r="B431" s="657" t="s">
        <v>504</v>
      </c>
      <c r="C431" s="656" t="s">
        <v>14062</v>
      </c>
      <c r="D431" s="657" t="s">
        <v>14977</v>
      </c>
      <c r="E431" s="657" t="s">
        <v>9406</v>
      </c>
      <c r="F431" s="656" t="s">
        <v>505</v>
      </c>
      <c r="G431" s="656" t="s">
        <v>525</v>
      </c>
      <c r="H431" s="656" t="s">
        <v>505</v>
      </c>
      <c r="I431" s="656"/>
      <c r="J431" s="656"/>
      <c r="K431" s="656"/>
      <c r="L431" s="656" t="s">
        <v>8885</v>
      </c>
      <c r="M431" s="657"/>
      <c r="N431" s="1482"/>
      <c r="O431" s="656" t="s">
        <v>498</v>
      </c>
      <c r="P431" s="656" t="s">
        <v>13052</v>
      </c>
      <c r="Q431" s="656">
        <v>44216.786585648151</v>
      </c>
    </row>
    <row r="432" spans="1:17">
      <c r="A432" s="656" t="s">
        <v>12441</v>
      </c>
      <c r="B432" s="657" t="s">
        <v>202</v>
      </c>
      <c r="C432" s="656" t="s">
        <v>12440</v>
      </c>
      <c r="D432" s="657" t="s">
        <v>13789</v>
      </c>
      <c r="E432" s="657" t="s">
        <v>7437</v>
      </c>
      <c r="F432" s="656" t="s">
        <v>4052</v>
      </c>
      <c r="G432" s="656" t="s">
        <v>512</v>
      </c>
      <c r="H432" s="656" t="s">
        <v>455</v>
      </c>
      <c r="I432" s="656" t="s">
        <v>14976</v>
      </c>
      <c r="J432" s="656" t="s">
        <v>8664</v>
      </c>
      <c r="K432" s="656" t="s">
        <v>4052</v>
      </c>
      <c r="L432" s="656"/>
      <c r="M432" s="657"/>
      <c r="N432" s="1482"/>
      <c r="O432" s="656" t="s">
        <v>498</v>
      </c>
      <c r="P432" s="656" t="s">
        <v>13052</v>
      </c>
      <c r="Q432" s="656">
        <v>44216.786574074074</v>
      </c>
    </row>
    <row r="433" spans="1:17">
      <c r="A433" s="656" t="s">
        <v>12443</v>
      </c>
      <c r="B433" s="657" t="s">
        <v>202</v>
      </c>
      <c r="C433" s="656" t="s">
        <v>12442</v>
      </c>
      <c r="D433" s="657" t="s">
        <v>13789</v>
      </c>
      <c r="E433" s="657" t="s">
        <v>7437</v>
      </c>
      <c r="F433" s="656" t="s">
        <v>4052</v>
      </c>
      <c r="G433" s="656" t="s">
        <v>512</v>
      </c>
      <c r="H433" s="656" t="s">
        <v>455</v>
      </c>
      <c r="I433" s="656" t="s">
        <v>14976</v>
      </c>
      <c r="J433" s="656" t="s">
        <v>8664</v>
      </c>
      <c r="K433" s="656" t="s">
        <v>4052</v>
      </c>
      <c r="L433" s="656"/>
      <c r="M433" s="657"/>
      <c r="N433" s="1482"/>
      <c r="O433" s="656" t="s">
        <v>498</v>
      </c>
      <c r="P433" s="656" t="s">
        <v>13052</v>
      </c>
      <c r="Q433" s="656">
        <v>44216.786574074074</v>
      </c>
    </row>
    <row r="434" spans="1:17">
      <c r="A434" s="656" t="s">
        <v>12396</v>
      </c>
      <c r="B434" s="657" t="s">
        <v>531</v>
      </c>
      <c r="C434" s="656" t="s">
        <v>12395</v>
      </c>
      <c r="D434" s="657" t="s">
        <v>13789</v>
      </c>
      <c r="E434" s="657" t="s">
        <v>7437</v>
      </c>
      <c r="F434" s="656" t="s">
        <v>2849</v>
      </c>
      <c r="G434" s="656" t="s">
        <v>512</v>
      </c>
      <c r="H434" s="656" t="s">
        <v>469</v>
      </c>
      <c r="I434" s="656" t="s">
        <v>14976</v>
      </c>
      <c r="J434" s="656" t="s">
        <v>532</v>
      </c>
      <c r="K434" s="656" t="s">
        <v>2849</v>
      </c>
      <c r="L434" s="656"/>
      <c r="M434" s="657"/>
      <c r="N434" s="1482"/>
      <c r="O434" s="656" t="s">
        <v>498</v>
      </c>
      <c r="P434" s="656" t="s">
        <v>13052</v>
      </c>
      <c r="Q434" s="656">
        <v>44216.786562499998</v>
      </c>
    </row>
    <row r="435" spans="1:17">
      <c r="A435" s="656" t="s">
        <v>12445</v>
      </c>
      <c r="B435" s="657" t="s">
        <v>504</v>
      </c>
      <c r="C435" s="656" t="s">
        <v>12444</v>
      </c>
      <c r="D435" s="657" t="s">
        <v>13789</v>
      </c>
      <c r="E435" s="657" t="s">
        <v>9406</v>
      </c>
      <c r="F435" s="656" t="s">
        <v>505</v>
      </c>
      <c r="G435" s="656" t="s">
        <v>525</v>
      </c>
      <c r="H435" s="656" t="s">
        <v>505</v>
      </c>
      <c r="I435" s="656" t="s">
        <v>14976</v>
      </c>
      <c r="J435" s="656"/>
      <c r="K435" s="656"/>
      <c r="L435" s="656"/>
      <c r="M435" s="657"/>
      <c r="N435" s="1482"/>
      <c r="O435" s="656" t="s">
        <v>498</v>
      </c>
      <c r="P435" s="656" t="s">
        <v>13052</v>
      </c>
      <c r="Q435" s="656">
        <v>44216.786562499998</v>
      </c>
    </row>
    <row r="436" spans="1:17">
      <c r="A436" s="656" t="s">
        <v>12398</v>
      </c>
      <c r="B436" s="657" t="s">
        <v>202</v>
      </c>
      <c r="C436" s="656" t="s">
        <v>12397</v>
      </c>
      <c r="D436" s="657" t="s">
        <v>13789</v>
      </c>
      <c r="E436" s="657" t="s">
        <v>7437</v>
      </c>
      <c r="F436" s="656" t="s">
        <v>4052</v>
      </c>
      <c r="G436" s="656" t="s">
        <v>512</v>
      </c>
      <c r="H436" s="656" t="s">
        <v>455</v>
      </c>
      <c r="I436" s="656" t="s">
        <v>14976</v>
      </c>
      <c r="J436" s="656" t="s">
        <v>8664</v>
      </c>
      <c r="K436" s="656" t="s">
        <v>4052</v>
      </c>
      <c r="L436" s="656"/>
      <c r="M436" s="657"/>
      <c r="N436" s="1482"/>
      <c r="O436" s="656" t="s">
        <v>498</v>
      </c>
      <c r="P436" s="656" t="s">
        <v>13052</v>
      </c>
      <c r="Q436" s="656">
        <v>44216.786562499998</v>
      </c>
    </row>
    <row r="437" spans="1:17">
      <c r="A437" s="656" t="s">
        <v>15501</v>
      </c>
      <c r="B437" s="657" t="s">
        <v>504</v>
      </c>
      <c r="C437" s="656" t="s">
        <v>15490</v>
      </c>
      <c r="D437" s="657" t="s">
        <v>15491</v>
      </c>
      <c r="E437" s="657" t="s">
        <v>7437</v>
      </c>
      <c r="F437" s="656" t="s">
        <v>505</v>
      </c>
      <c r="G437" s="656" t="s">
        <v>505</v>
      </c>
      <c r="H437" s="656"/>
      <c r="I437" s="656" t="s">
        <v>13051</v>
      </c>
      <c r="J437" s="656"/>
      <c r="K437" s="656"/>
      <c r="L437" s="656" t="s">
        <v>15497</v>
      </c>
      <c r="M437" s="657"/>
      <c r="N437" s="1482"/>
      <c r="O437" s="656" t="s">
        <v>498</v>
      </c>
      <c r="P437" s="656" t="s">
        <v>13052</v>
      </c>
      <c r="Q437" s="656">
        <v>44223.653969907406</v>
      </c>
    </row>
    <row r="438" spans="1:17">
      <c r="A438" s="656" t="s">
        <v>12400</v>
      </c>
      <c r="B438" s="657" t="s">
        <v>504</v>
      </c>
      <c r="C438" s="656" t="s">
        <v>12399</v>
      </c>
      <c r="D438" s="657" t="s">
        <v>13789</v>
      </c>
      <c r="E438" s="657" t="s">
        <v>7437</v>
      </c>
      <c r="F438" s="656" t="s">
        <v>505</v>
      </c>
      <c r="G438" s="656" t="s">
        <v>525</v>
      </c>
      <c r="H438" s="656" t="s">
        <v>505</v>
      </c>
      <c r="I438" s="656"/>
      <c r="J438" s="656"/>
      <c r="K438" s="656"/>
      <c r="L438" s="656"/>
      <c r="M438" s="657"/>
      <c r="N438" s="1482"/>
      <c r="O438" s="656" t="s">
        <v>498</v>
      </c>
      <c r="P438" s="656" t="s">
        <v>13052</v>
      </c>
      <c r="Q438" s="656">
        <v>44216.786550925928</v>
      </c>
    </row>
    <row r="439" spans="1:17">
      <c r="A439" s="656" t="s">
        <v>12402</v>
      </c>
      <c r="B439" s="657" t="s">
        <v>504</v>
      </c>
      <c r="C439" s="656" t="s">
        <v>12401</v>
      </c>
      <c r="D439" s="657" t="s">
        <v>13789</v>
      </c>
      <c r="E439" s="657" t="s">
        <v>7437</v>
      </c>
      <c r="F439" s="656" t="s">
        <v>505</v>
      </c>
      <c r="G439" s="656" t="s">
        <v>525</v>
      </c>
      <c r="H439" s="656" t="s">
        <v>505</v>
      </c>
      <c r="I439" s="656"/>
      <c r="J439" s="656"/>
      <c r="K439" s="656"/>
      <c r="L439" s="656"/>
      <c r="M439" s="657"/>
      <c r="N439" s="1482"/>
      <c r="O439" s="656" t="s">
        <v>498</v>
      </c>
      <c r="P439" s="656" t="s">
        <v>13052</v>
      </c>
      <c r="Q439" s="656">
        <v>44216.786550925928</v>
      </c>
    </row>
    <row r="440" spans="1:17">
      <c r="A440" s="656" t="s">
        <v>12403</v>
      </c>
      <c r="B440" s="657" t="s">
        <v>504</v>
      </c>
      <c r="C440" s="656" t="s">
        <v>14061</v>
      </c>
      <c r="D440" s="657" t="s">
        <v>13789</v>
      </c>
      <c r="E440" s="657" t="s">
        <v>7437</v>
      </c>
      <c r="F440" s="656" t="s">
        <v>540</v>
      </c>
      <c r="G440" s="656" t="s">
        <v>541</v>
      </c>
      <c r="H440" s="656" t="s">
        <v>540</v>
      </c>
      <c r="I440" s="656" t="s">
        <v>14976</v>
      </c>
      <c r="J440" s="656"/>
      <c r="K440" s="656"/>
      <c r="L440" s="656"/>
      <c r="M440" s="657"/>
      <c r="N440" s="1482"/>
      <c r="O440" s="656" t="s">
        <v>498</v>
      </c>
      <c r="P440" s="656" t="s">
        <v>13052</v>
      </c>
      <c r="Q440" s="656">
        <v>44216.786539351851</v>
      </c>
    </row>
    <row r="441" spans="1:17">
      <c r="A441" s="656" t="s">
        <v>12404</v>
      </c>
      <c r="B441" s="657" t="s">
        <v>504</v>
      </c>
      <c r="C441" s="656" t="s">
        <v>14060</v>
      </c>
      <c r="D441" s="657" t="s">
        <v>13789</v>
      </c>
      <c r="E441" s="657" t="s">
        <v>7437</v>
      </c>
      <c r="F441" s="656" t="s">
        <v>540</v>
      </c>
      <c r="G441" s="656" t="s">
        <v>541</v>
      </c>
      <c r="H441" s="656" t="s">
        <v>540</v>
      </c>
      <c r="I441" s="656" t="s">
        <v>14976</v>
      </c>
      <c r="J441" s="656"/>
      <c r="K441" s="656"/>
      <c r="L441" s="656"/>
      <c r="M441" s="657"/>
      <c r="N441" s="1482"/>
      <c r="O441" s="656" t="s">
        <v>498</v>
      </c>
      <c r="P441" s="656" t="s">
        <v>13052</v>
      </c>
      <c r="Q441" s="656">
        <v>44216.786539351851</v>
      </c>
    </row>
    <row r="442" spans="1:17">
      <c r="A442" s="656" t="s">
        <v>9672</v>
      </c>
      <c r="B442" s="657" t="s">
        <v>504</v>
      </c>
      <c r="C442" s="656" t="s">
        <v>9671</v>
      </c>
      <c r="D442" s="657" t="s">
        <v>13789</v>
      </c>
      <c r="E442" s="657" t="s">
        <v>7437</v>
      </c>
      <c r="F442" s="656" t="s">
        <v>540</v>
      </c>
      <c r="G442" s="656" t="s">
        <v>541</v>
      </c>
      <c r="H442" s="656" t="s">
        <v>540</v>
      </c>
      <c r="I442" s="656" t="s">
        <v>14976</v>
      </c>
      <c r="J442" s="656"/>
      <c r="K442" s="656"/>
      <c r="L442" s="656"/>
      <c r="M442" s="657"/>
      <c r="N442" s="1482"/>
      <c r="O442" s="656" t="s">
        <v>498</v>
      </c>
      <c r="P442" s="656" t="s">
        <v>13052</v>
      </c>
      <c r="Q442" s="656">
        <v>44216.786527777775</v>
      </c>
    </row>
    <row r="443" spans="1:17">
      <c r="A443" s="656" t="s">
        <v>9673</v>
      </c>
      <c r="B443" s="657" t="s">
        <v>202</v>
      </c>
      <c r="C443" s="656" t="s">
        <v>9393</v>
      </c>
      <c r="D443" s="657" t="s">
        <v>13789</v>
      </c>
      <c r="E443" s="657" t="s">
        <v>7437</v>
      </c>
      <c r="F443" s="656" t="s">
        <v>2849</v>
      </c>
      <c r="G443" s="656"/>
      <c r="H443" s="656" t="s">
        <v>469</v>
      </c>
      <c r="I443" s="656" t="s">
        <v>14976</v>
      </c>
      <c r="J443" s="656" t="s">
        <v>532</v>
      </c>
      <c r="K443" s="656" t="s">
        <v>2849</v>
      </c>
      <c r="L443" s="656"/>
      <c r="M443" s="657"/>
      <c r="N443" s="1482"/>
      <c r="O443" s="656" t="s">
        <v>498</v>
      </c>
      <c r="P443" s="656" t="s">
        <v>13052</v>
      </c>
      <c r="Q443" s="656">
        <v>44216.786527777775</v>
      </c>
    </row>
    <row r="444" spans="1:17">
      <c r="A444" s="656" t="s">
        <v>9674</v>
      </c>
      <c r="B444" s="657" t="s">
        <v>531</v>
      </c>
      <c r="C444" s="656" t="s">
        <v>9393</v>
      </c>
      <c r="D444" s="657" t="s">
        <v>13789</v>
      </c>
      <c r="E444" s="657" t="s">
        <v>7437</v>
      </c>
      <c r="F444" s="656" t="s">
        <v>2849</v>
      </c>
      <c r="G444" s="656"/>
      <c r="H444" s="656" t="s">
        <v>469</v>
      </c>
      <c r="I444" s="656" t="s">
        <v>14976</v>
      </c>
      <c r="J444" s="656" t="s">
        <v>532</v>
      </c>
      <c r="K444" s="656" t="s">
        <v>2849</v>
      </c>
      <c r="L444" s="656"/>
      <c r="M444" s="657"/>
      <c r="N444" s="1482"/>
      <c r="O444" s="656" t="s">
        <v>498</v>
      </c>
      <c r="P444" s="656" t="s">
        <v>13052</v>
      </c>
      <c r="Q444" s="656">
        <v>44216.786516203705</v>
      </c>
    </row>
    <row r="445" spans="1:17">
      <c r="A445" s="656" t="s">
        <v>9676</v>
      </c>
      <c r="B445" s="657" t="s">
        <v>202</v>
      </c>
      <c r="C445" s="656" t="s">
        <v>9675</v>
      </c>
      <c r="D445" s="657" t="s">
        <v>13789</v>
      </c>
      <c r="E445" s="657" t="s">
        <v>7437</v>
      </c>
      <c r="F445" s="656" t="s">
        <v>537</v>
      </c>
      <c r="G445" s="656" t="s">
        <v>512</v>
      </c>
      <c r="H445" s="656" t="s">
        <v>537</v>
      </c>
      <c r="I445" s="656" t="s">
        <v>14976</v>
      </c>
      <c r="J445" s="656" t="s">
        <v>473</v>
      </c>
      <c r="K445" s="656"/>
      <c r="L445" s="656"/>
      <c r="M445" s="657"/>
      <c r="N445" s="1482"/>
      <c r="O445" s="656" t="s">
        <v>498</v>
      </c>
      <c r="P445" s="656" t="s">
        <v>13052</v>
      </c>
      <c r="Q445" s="656">
        <v>44216.786516203705</v>
      </c>
    </row>
    <row r="446" spans="1:17">
      <c r="A446" s="656" t="s">
        <v>12529</v>
      </c>
      <c r="B446" s="657" t="s">
        <v>504</v>
      </c>
      <c r="C446" s="656" t="s">
        <v>12528</v>
      </c>
      <c r="D446" s="657" t="s">
        <v>13789</v>
      </c>
      <c r="E446" s="657" t="s">
        <v>7437</v>
      </c>
      <c r="F446" s="656" t="s">
        <v>540</v>
      </c>
      <c r="G446" s="656" t="s">
        <v>625</v>
      </c>
      <c r="H446" s="656" t="s">
        <v>540</v>
      </c>
      <c r="I446" s="656"/>
      <c r="J446" s="656"/>
      <c r="K446" s="656"/>
      <c r="L446" s="656"/>
      <c r="M446" s="657"/>
      <c r="N446" s="1482"/>
      <c r="O446" s="656" t="s">
        <v>498</v>
      </c>
      <c r="P446" s="656" t="s">
        <v>13052</v>
      </c>
      <c r="Q446" s="656">
        <v>44216.786504629628</v>
      </c>
    </row>
    <row r="447" spans="1:17">
      <c r="A447" s="656" t="s">
        <v>9678</v>
      </c>
      <c r="B447" s="657" t="s">
        <v>504</v>
      </c>
      <c r="C447" s="656" t="s">
        <v>9677</v>
      </c>
      <c r="D447" s="657" t="s">
        <v>13789</v>
      </c>
      <c r="E447" s="657" t="s">
        <v>9406</v>
      </c>
      <c r="F447" s="656" t="s">
        <v>505</v>
      </c>
      <c r="G447" s="656" t="s">
        <v>522</v>
      </c>
      <c r="H447" s="656" t="s">
        <v>505</v>
      </c>
      <c r="I447" s="656" t="s">
        <v>14976</v>
      </c>
      <c r="J447" s="656"/>
      <c r="K447" s="656"/>
      <c r="L447" s="656"/>
      <c r="M447" s="657"/>
      <c r="N447" s="1482"/>
      <c r="O447" s="656" t="s">
        <v>498</v>
      </c>
      <c r="P447" s="656" t="s">
        <v>13052</v>
      </c>
      <c r="Q447" s="656">
        <v>44216.786504629628</v>
      </c>
    </row>
    <row r="448" spans="1:17">
      <c r="A448" s="656" t="s">
        <v>9680</v>
      </c>
      <c r="B448" s="657" t="s">
        <v>202</v>
      </c>
      <c r="C448" s="656" t="s">
        <v>9679</v>
      </c>
      <c r="D448" s="657" t="s">
        <v>13789</v>
      </c>
      <c r="E448" s="657" t="s">
        <v>7437</v>
      </c>
      <c r="F448" s="656" t="s">
        <v>4052</v>
      </c>
      <c r="G448" s="656" t="s">
        <v>512</v>
      </c>
      <c r="H448" s="656" t="s">
        <v>455</v>
      </c>
      <c r="I448" s="656" t="s">
        <v>14976</v>
      </c>
      <c r="J448" s="656" t="s">
        <v>451</v>
      </c>
      <c r="K448" s="656" t="s">
        <v>4052</v>
      </c>
      <c r="L448" s="656"/>
      <c r="M448" s="657"/>
      <c r="N448" s="1482"/>
      <c r="O448" s="656" t="s">
        <v>498</v>
      </c>
      <c r="P448" s="656" t="s">
        <v>13052</v>
      </c>
      <c r="Q448" s="656">
        <v>44216.786504629628</v>
      </c>
    </row>
    <row r="449" spans="1:17">
      <c r="A449" s="656" t="s">
        <v>9682</v>
      </c>
      <c r="B449" s="657" t="s">
        <v>504</v>
      </c>
      <c r="C449" s="656" t="s">
        <v>9681</v>
      </c>
      <c r="D449" s="657" t="s">
        <v>14978</v>
      </c>
      <c r="E449" s="657" t="s">
        <v>9406</v>
      </c>
      <c r="F449" s="656" t="s">
        <v>505</v>
      </c>
      <c r="G449" s="656" t="s">
        <v>525</v>
      </c>
      <c r="H449" s="656" t="s">
        <v>505</v>
      </c>
      <c r="I449" s="656" t="s">
        <v>14976</v>
      </c>
      <c r="J449" s="656"/>
      <c r="K449" s="656"/>
      <c r="L449" s="656" t="s">
        <v>12696</v>
      </c>
      <c r="M449" s="657"/>
      <c r="N449" s="1482"/>
      <c r="O449" s="656" t="s">
        <v>498</v>
      </c>
      <c r="P449" s="656" t="s">
        <v>13052</v>
      </c>
      <c r="Q449" s="656">
        <v>44216.786493055559</v>
      </c>
    </row>
    <row r="450" spans="1:17">
      <c r="A450" s="656" t="s">
        <v>15110</v>
      </c>
      <c r="B450" s="657" t="s">
        <v>504</v>
      </c>
      <c r="C450" s="656" t="s">
        <v>15111</v>
      </c>
      <c r="D450" s="657" t="s">
        <v>13789</v>
      </c>
      <c r="E450" s="657" t="s">
        <v>7437</v>
      </c>
      <c r="F450" s="656" t="s">
        <v>540</v>
      </c>
      <c r="G450" s="656" t="s">
        <v>541</v>
      </c>
      <c r="H450" s="656" t="s">
        <v>540</v>
      </c>
      <c r="I450" s="656" t="s">
        <v>14976</v>
      </c>
      <c r="J450" s="656"/>
      <c r="K450" s="656"/>
      <c r="L450" s="656"/>
      <c r="M450" s="657"/>
      <c r="N450" s="1482"/>
      <c r="O450" s="656" t="s">
        <v>498</v>
      </c>
      <c r="P450" s="656" t="s">
        <v>13052</v>
      </c>
      <c r="Q450" s="656">
        <v>44216.786493055559</v>
      </c>
    </row>
    <row r="451" spans="1:17">
      <c r="A451" s="656" t="s">
        <v>15108</v>
      </c>
      <c r="B451" s="657" t="s">
        <v>504</v>
      </c>
      <c r="C451" s="656" t="s">
        <v>15109</v>
      </c>
      <c r="D451" s="657" t="s">
        <v>13789</v>
      </c>
      <c r="E451" s="657" t="s">
        <v>7437</v>
      </c>
      <c r="F451" s="656" t="s">
        <v>540</v>
      </c>
      <c r="G451" s="656" t="s">
        <v>541</v>
      </c>
      <c r="H451" s="656" t="s">
        <v>540</v>
      </c>
      <c r="I451" s="656" t="s">
        <v>14976</v>
      </c>
      <c r="J451" s="656"/>
      <c r="K451" s="656"/>
      <c r="L451" s="656"/>
      <c r="M451" s="657"/>
      <c r="N451" s="1482"/>
      <c r="O451" s="656" t="s">
        <v>498</v>
      </c>
      <c r="P451" s="656" t="s">
        <v>13052</v>
      </c>
      <c r="Q451" s="656">
        <v>44216.786481481482</v>
      </c>
    </row>
    <row r="452" spans="1:17">
      <c r="A452" s="656" t="s">
        <v>9353</v>
      </c>
      <c r="B452" s="657" t="s">
        <v>531</v>
      </c>
      <c r="C452" s="656" t="s">
        <v>9352</v>
      </c>
      <c r="D452" s="657" t="s">
        <v>13789</v>
      </c>
      <c r="E452" s="657" t="s">
        <v>7437</v>
      </c>
      <c r="F452" s="656" t="s">
        <v>2849</v>
      </c>
      <c r="G452" s="656" t="s">
        <v>512</v>
      </c>
      <c r="H452" s="656" t="s">
        <v>469</v>
      </c>
      <c r="I452" s="656" t="s">
        <v>14976</v>
      </c>
      <c r="J452" s="656" t="s">
        <v>532</v>
      </c>
      <c r="K452" s="656" t="s">
        <v>2849</v>
      </c>
      <c r="L452" s="656"/>
      <c r="M452" s="657"/>
      <c r="N452" s="1482"/>
      <c r="O452" s="656" t="s">
        <v>498</v>
      </c>
      <c r="P452" s="656" t="s">
        <v>13052</v>
      </c>
      <c r="Q452" s="656">
        <v>44216.786481481482</v>
      </c>
    </row>
    <row r="453" spans="1:17">
      <c r="A453" s="656" t="s">
        <v>9354</v>
      </c>
      <c r="B453" s="657" t="s">
        <v>531</v>
      </c>
      <c r="C453" s="656" t="s">
        <v>9352</v>
      </c>
      <c r="D453" s="657" t="s">
        <v>13789</v>
      </c>
      <c r="E453" s="657" t="s">
        <v>7437</v>
      </c>
      <c r="F453" s="656" t="s">
        <v>2849</v>
      </c>
      <c r="G453" s="656" t="s">
        <v>512</v>
      </c>
      <c r="H453" s="656" t="s">
        <v>469</v>
      </c>
      <c r="I453" s="656" t="s">
        <v>14976</v>
      </c>
      <c r="J453" s="656" t="s">
        <v>532</v>
      </c>
      <c r="K453" s="656" t="s">
        <v>2849</v>
      </c>
      <c r="L453" s="656"/>
      <c r="M453" s="657"/>
      <c r="N453" s="1482"/>
      <c r="O453" s="656" t="s">
        <v>498</v>
      </c>
      <c r="P453" s="656" t="s">
        <v>13052</v>
      </c>
      <c r="Q453" s="656">
        <v>44216.786469907405</v>
      </c>
    </row>
    <row r="454" spans="1:17">
      <c r="A454" s="656" t="s">
        <v>15106</v>
      </c>
      <c r="B454" s="657" t="s">
        <v>504</v>
      </c>
      <c r="C454" s="656" t="s">
        <v>15107</v>
      </c>
      <c r="D454" s="657" t="s">
        <v>13789</v>
      </c>
      <c r="E454" s="657" t="s">
        <v>7437</v>
      </c>
      <c r="F454" s="656" t="s">
        <v>540</v>
      </c>
      <c r="G454" s="656" t="s">
        <v>541</v>
      </c>
      <c r="H454" s="656" t="s">
        <v>540</v>
      </c>
      <c r="I454" s="656" t="s">
        <v>14976</v>
      </c>
      <c r="J454" s="656"/>
      <c r="K454" s="656"/>
      <c r="L454" s="656"/>
      <c r="M454" s="657"/>
      <c r="N454" s="1482"/>
      <c r="O454" s="656" t="s">
        <v>498</v>
      </c>
      <c r="P454" s="656" t="s">
        <v>13052</v>
      </c>
      <c r="Q454" s="656">
        <v>44216.786469907405</v>
      </c>
    </row>
    <row r="455" spans="1:17">
      <c r="A455" s="656" t="s">
        <v>14059</v>
      </c>
      <c r="B455" s="657" t="s">
        <v>202</v>
      </c>
      <c r="C455" s="656" t="s">
        <v>9355</v>
      </c>
      <c r="D455" s="657" t="s">
        <v>13789</v>
      </c>
      <c r="E455" s="657"/>
      <c r="F455" s="656" t="s">
        <v>472</v>
      </c>
      <c r="G455" s="656" t="s">
        <v>519</v>
      </c>
      <c r="H455" s="656" t="s">
        <v>472</v>
      </c>
      <c r="I455" s="656" t="s">
        <v>14976</v>
      </c>
      <c r="J455" s="656" t="s">
        <v>8814</v>
      </c>
      <c r="K455" s="656" t="s">
        <v>1058</v>
      </c>
      <c r="L455" s="656"/>
      <c r="M455" s="657"/>
      <c r="N455" s="1482"/>
      <c r="O455" s="656" t="s">
        <v>498</v>
      </c>
      <c r="P455" s="656" t="s">
        <v>13052</v>
      </c>
      <c r="Q455" s="656">
        <v>44216.786458333336</v>
      </c>
    </row>
    <row r="456" spans="1:17">
      <c r="A456" s="656" t="s">
        <v>15104</v>
      </c>
      <c r="B456" s="657" t="s">
        <v>504</v>
      </c>
      <c r="C456" s="656" t="s">
        <v>15105</v>
      </c>
      <c r="D456" s="657" t="s">
        <v>13789</v>
      </c>
      <c r="E456" s="657" t="s">
        <v>7437</v>
      </c>
      <c r="F456" s="656" t="s">
        <v>540</v>
      </c>
      <c r="G456" s="656" t="s">
        <v>1398</v>
      </c>
      <c r="H456" s="656" t="s">
        <v>540</v>
      </c>
      <c r="I456" s="656" t="s">
        <v>14976</v>
      </c>
      <c r="J456" s="656"/>
      <c r="K456" s="656"/>
      <c r="L456" s="656"/>
      <c r="M456" s="657"/>
      <c r="N456" s="1482"/>
      <c r="O456" s="656" t="s">
        <v>498</v>
      </c>
      <c r="P456" s="656" t="s">
        <v>13052</v>
      </c>
      <c r="Q456" s="656">
        <v>44216.786458333336</v>
      </c>
    </row>
    <row r="457" spans="1:17">
      <c r="A457" s="656" t="s">
        <v>15102</v>
      </c>
      <c r="B457" s="657" t="s">
        <v>504</v>
      </c>
      <c r="C457" s="656" t="s">
        <v>15103</v>
      </c>
      <c r="D457" s="657" t="s">
        <v>13789</v>
      </c>
      <c r="E457" s="657" t="s">
        <v>7437</v>
      </c>
      <c r="F457" s="656" t="s">
        <v>540</v>
      </c>
      <c r="G457" s="656" t="s">
        <v>1398</v>
      </c>
      <c r="H457" s="656" t="s">
        <v>540</v>
      </c>
      <c r="I457" s="656" t="s">
        <v>14976</v>
      </c>
      <c r="J457" s="656"/>
      <c r="K457" s="656"/>
      <c r="L457" s="656"/>
      <c r="M457" s="657"/>
      <c r="N457" s="1482"/>
      <c r="O457" s="656" t="s">
        <v>498</v>
      </c>
      <c r="P457" s="656" t="s">
        <v>13052</v>
      </c>
      <c r="Q457" s="656">
        <v>44216.786446759259</v>
      </c>
    </row>
    <row r="458" spans="1:17">
      <c r="A458" s="656" t="s">
        <v>15100</v>
      </c>
      <c r="B458" s="657" t="s">
        <v>504</v>
      </c>
      <c r="C458" s="656" t="s">
        <v>15101</v>
      </c>
      <c r="D458" s="657" t="s">
        <v>13789</v>
      </c>
      <c r="E458" s="657" t="s">
        <v>7437</v>
      </c>
      <c r="F458" s="656" t="s">
        <v>505</v>
      </c>
      <c r="G458" s="656" t="s">
        <v>509</v>
      </c>
      <c r="H458" s="656" t="s">
        <v>505</v>
      </c>
      <c r="I458" s="656" t="s">
        <v>14976</v>
      </c>
      <c r="J458" s="656"/>
      <c r="K458" s="656"/>
      <c r="L458" s="656"/>
      <c r="M458" s="657"/>
      <c r="N458" s="1482"/>
      <c r="O458" s="656" t="s">
        <v>498</v>
      </c>
      <c r="P458" s="656" t="s">
        <v>13052</v>
      </c>
      <c r="Q458" s="656">
        <v>44216.786446759259</v>
      </c>
    </row>
    <row r="459" spans="1:17">
      <c r="A459" s="656" t="s">
        <v>9357</v>
      </c>
      <c r="B459" s="657" t="s">
        <v>202</v>
      </c>
      <c r="C459" s="656" t="s">
        <v>9356</v>
      </c>
      <c r="D459" s="657" t="s">
        <v>13789</v>
      </c>
      <c r="E459" s="657" t="s">
        <v>7437</v>
      </c>
      <c r="F459" s="656" t="s">
        <v>472</v>
      </c>
      <c r="G459" s="656" t="s">
        <v>519</v>
      </c>
      <c r="H459" s="656" t="s">
        <v>472</v>
      </c>
      <c r="I459" s="656" t="s">
        <v>14976</v>
      </c>
      <c r="J459" s="656" t="s">
        <v>12368</v>
      </c>
      <c r="K459" s="656" t="s">
        <v>1058</v>
      </c>
      <c r="L459" s="656"/>
      <c r="M459" s="657"/>
      <c r="N459" s="1482"/>
      <c r="O459" s="656" t="s">
        <v>498</v>
      </c>
      <c r="P459" s="656" t="s">
        <v>13052</v>
      </c>
      <c r="Q459" s="656">
        <v>44216.786446759259</v>
      </c>
    </row>
    <row r="460" spans="1:17">
      <c r="A460" s="656" t="s">
        <v>9359</v>
      </c>
      <c r="B460" s="657" t="s">
        <v>202</v>
      </c>
      <c r="C460" s="656" t="s">
        <v>12453</v>
      </c>
      <c r="D460" s="657" t="s">
        <v>13789</v>
      </c>
      <c r="E460" s="657" t="s">
        <v>7437</v>
      </c>
      <c r="F460" s="656" t="s">
        <v>472</v>
      </c>
      <c r="G460" s="656" t="s">
        <v>519</v>
      </c>
      <c r="H460" s="656" t="s">
        <v>472</v>
      </c>
      <c r="I460" s="656" t="s">
        <v>14976</v>
      </c>
      <c r="J460" s="656" t="s">
        <v>12368</v>
      </c>
      <c r="K460" s="656" t="s">
        <v>1058</v>
      </c>
      <c r="L460" s="656"/>
      <c r="M460" s="657"/>
      <c r="N460" s="1482"/>
      <c r="O460" s="656" t="s">
        <v>498</v>
      </c>
      <c r="P460" s="656" t="s">
        <v>13052</v>
      </c>
      <c r="Q460" s="656">
        <v>44216.786435185182</v>
      </c>
    </row>
    <row r="461" spans="1:17">
      <c r="A461" s="656" t="s">
        <v>9361</v>
      </c>
      <c r="B461" s="657" t="s">
        <v>202</v>
      </c>
      <c r="C461" s="656" t="s">
        <v>9360</v>
      </c>
      <c r="D461" s="657" t="s">
        <v>13789</v>
      </c>
      <c r="E461" s="657" t="s">
        <v>7437</v>
      </c>
      <c r="F461" s="656" t="s">
        <v>4052</v>
      </c>
      <c r="G461" s="656" t="s">
        <v>512</v>
      </c>
      <c r="H461" s="656" t="s">
        <v>455</v>
      </c>
      <c r="I461" s="656" t="s">
        <v>14976</v>
      </c>
      <c r="J461" s="656" t="s">
        <v>451</v>
      </c>
      <c r="K461" s="656" t="s">
        <v>4052</v>
      </c>
      <c r="L461" s="656"/>
      <c r="M461" s="657"/>
      <c r="N461" s="1482"/>
      <c r="O461" s="656" t="s">
        <v>498</v>
      </c>
      <c r="P461" s="656" t="s">
        <v>13052</v>
      </c>
      <c r="Q461" s="656">
        <v>44216.786435185182</v>
      </c>
    </row>
    <row r="462" spans="1:17">
      <c r="A462" s="656" t="s">
        <v>9363</v>
      </c>
      <c r="B462" s="657" t="s">
        <v>202</v>
      </c>
      <c r="C462" s="656" t="s">
        <v>12446</v>
      </c>
      <c r="D462" s="657" t="s">
        <v>13789</v>
      </c>
      <c r="E462" s="657" t="s">
        <v>7437</v>
      </c>
      <c r="F462" s="656" t="s">
        <v>472</v>
      </c>
      <c r="G462" s="656" t="s">
        <v>519</v>
      </c>
      <c r="H462" s="656" t="s">
        <v>472</v>
      </c>
      <c r="I462" s="656" t="s">
        <v>14976</v>
      </c>
      <c r="J462" s="656" t="s">
        <v>12368</v>
      </c>
      <c r="K462" s="656" t="s">
        <v>1058</v>
      </c>
      <c r="L462" s="656"/>
      <c r="M462" s="657"/>
      <c r="N462" s="1482"/>
      <c r="O462" s="656" t="s">
        <v>498</v>
      </c>
      <c r="P462" s="656" t="s">
        <v>13052</v>
      </c>
      <c r="Q462" s="656">
        <v>44216.786423611113</v>
      </c>
    </row>
    <row r="463" spans="1:17">
      <c r="A463" s="656" t="s">
        <v>9365</v>
      </c>
      <c r="B463" s="657" t="s">
        <v>202</v>
      </c>
      <c r="C463" s="656" t="s">
        <v>9364</v>
      </c>
      <c r="D463" s="657" t="s">
        <v>13789</v>
      </c>
      <c r="E463" s="657" t="s">
        <v>7437</v>
      </c>
      <c r="F463" s="656" t="s">
        <v>472</v>
      </c>
      <c r="G463" s="656" t="s">
        <v>519</v>
      </c>
      <c r="H463" s="656" t="s">
        <v>472</v>
      </c>
      <c r="I463" s="656" t="s">
        <v>14976</v>
      </c>
      <c r="J463" s="656" t="s">
        <v>12368</v>
      </c>
      <c r="K463" s="656" t="s">
        <v>1058</v>
      </c>
      <c r="L463" s="656"/>
      <c r="M463" s="657"/>
      <c r="N463" s="1482"/>
      <c r="O463" s="656" t="s">
        <v>498</v>
      </c>
      <c r="P463" s="656" t="s">
        <v>13052</v>
      </c>
      <c r="Q463" s="656">
        <v>44216.786423611113</v>
      </c>
    </row>
    <row r="464" spans="1:17">
      <c r="A464" s="656" t="s">
        <v>15098</v>
      </c>
      <c r="B464" s="657" t="s">
        <v>504</v>
      </c>
      <c r="C464" s="656" t="s">
        <v>15099</v>
      </c>
      <c r="D464" s="657" t="s">
        <v>13789</v>
      </c>
      <c r="E464" s="657" t="s">
        <v>7437</v>
      </c>
      <c r="F464" s="656" t="s">
        <v>540</v>
      </c>
      <c r="G464" s="656" t="s">
        <v>541</v>
      </c>
      <c r="H464" s="656" t="s">
        <v>540</v>
      </c>
      <c r="I464" s="656" t="s">
        <v>14976</v>
      </c>
      <c r="J464" s="656"/>
      <c r="K464" s="656"/>
      <c r="L464" s="656"/>
      <c r="M464" s="657"/>
      <c r="N464" s="1482"/>
      <c r="O464" s="656" t="s">
        <v>498</v>
      </c>
      <c r="P464" s="656" t="s">
        <v>13052</v>
      </c>
      <c r="Q464" s="656">
        <v>44216.786412037036</v>
      </c>
    </row>
    <row r="465" spans="1:17">
      <c r="A465" s="656" t="s">
        <v>12447</v>
      </c>
      <c r="B465" s="657" t="s">
        <v>531</v>
      </c>
      <c r="C465" s="656" t="s">
        <v>12411</v>
      </c>
      <c r="D465" s="657" t="s">
        <v>13789</v>
      </c>
      <c r="E465" s="657" t="s">
        <v>7437</v>
      </c>
      <c r="F465" s="656" t="s">
        <v>2849</v>
      </c>
      <c r="G465" s="656" t="s">
        <v>512</v>
      </c>
      <c r="H465" s="656" t="s">
        <v>469</v>
      </c>
      <c r="I465" s="656" t="s">
        <v>14976</v>
      </c>
      <c r="J465" s="656" t="s">
        <v>532</v>
      </c>
      <c r="K465" s="656" t="s">
        <v>2849</v>
      </c>
      <c r="L465" s="656"/>
      <c r="M465" s="657"/>
      <c r="N465" s="1482"/>
      <c r="O465" s="656" t="s">
        <v>498</v>
      </c>
      <c r="P465" s="656" t="s">
        <v>13052</v>
      </c>
      <c r="Q465" s="656">
        <v>44216.786412037036</v>
      </c>
    </row>
    <row r="466" spans="1:17">
      <c r="A466" s="656" t="s">
        <v>9367</v>
      </c>
      <c r="B466" s="657" t="s">
        <v>531</v>
      </c>
      <c r="C466" s="656" t="s">
        <v>9366</v>
      </c>
      <c r="D466" s="657" t="s">
        <v>14977</v>
      </c>
      <c r="E466" s="657" t="s">
        <v>7437</v>
      </c>
      <c r="F466" s="656" t="s">
        <v>442</v>
      </c>
      <c r="G466" s="656" t="s">
        <v>552</v>
      </c>
      <c r="H466" s="656" t="s">
        <v>442</v>
      </c>
      <c r="I466" s="656" t="s">
        <v>14976</v>
      </c>
      <c r="J466" s="656" t="s">
        <v>12369</v>
      </c>
      <c r="K466" s="656" t="s">
        <v>477</v>
      </c>
      <c r="L466" s="656"/>
      <c r="M466" s="657"/>
      <c r="N466" s="1482"/>
      <c r="O466" s="656" t="s">
        <v>498</v>
      </c>
      <c r="P466" s="656" t="s">
        <v>13052</v>
      </c>
      <c r="Q466" s="656">
        <v>44216.786400462966</v>
      </c>
    </row>
    <row r="467" spans="1:17">
      <c r="A467" s="656" t="s">
        <v>9369</v>
      </c>
      <c r="B467" s="657" t="s">
        <v>202</v>
      </c>
      <c r="C467" s="656" t="s">
        <v>14058</v>
      </c>
      <c r="D467" s="657" t="s">
        <v>13789</v>
      </c>
      <c r="E467" s="657" t="s">
        <v>7437</v>
      </c>
      <c r="F467" s="656" t="s">
        <v>472</v>
      </c>
      <c r="G467" s="656" t="s">
        <v>519</v>
      </c>
      <c r="H467" s="656" t="s">
        <v>472</v>
      </c>
      <c r="I467" s="656" t="s">
        <v>14976</v>
      </c>
      <c r="J467" s="656" t="s">
        <v>12368</v>
      </c>
      <c r="K467" s="656" t="s">
        <v>1058</v>
      </c>
      <c r="L467" s="656"/>
      <c r="M467" s="657"/>
      <c r="N467" s="1482"/>
      <c r="O467" s="656" t="s">
        <v>498</v>
      </c>
      <c r="P467" s="656" t="s">
        <v>13052</v>
      </c>
      <c r="Q467" s="656">
        <v>44216.786400462966</v>
      </c>
    </row>
    <row r="468" spans="1:17">
      <c r="A468" s="656" t="s">
        <v>15096</v>
      </c>
      <c r="B468" s="657" t="s">
        <v>504</v>
      </c>
      <c r="C468" s="656" t="s">
        <v>15097</v>
      </c>
      <c r="D468" s="657" t="s">
        <v>13789</v>
      </c>
      <c r="E468" s="657" t="s">
        <v>7437</v>
      </c>
      <c r="F468" s="656" t="s">
        <v>540</v>
      </c>
      <c r="G468" s="656" t="s">
        <v>541</v>
      </c>
      <c r="H468" s="656" t="s">
        <v>540</v>
      </c>
      <c r="I468" s="656" t="s">
        <v>14976</v>
      </c>
      <c r="J468" s="656"/>
      <c r="K468" s="656"/>
      <c r="L468" s="656"/>
      <c r="M468" s="657"/>
      <c r="N468" s="1482"/>
      <c r="O468" s="656" t="s">
        <v>498</v>
      </c>
      <c r="P468" s="656" t="s">
        <v>13052</v>
      </c>
      <c r="Q468" s="656">
        <v>44216.78638888889</v>
      </c>
    </row>
    <row r="469" spans="1:17">
      <c r="A469" s="656" t="s">
        <v>15094</v>
      </c>
      <c r="B469" s="657" t="s">
        <v>504</v>
      </c>
      <c r="C469" s="656" t="s">
        <v>15095</v>
      </c>
      <c r="D469" s="657" t="s">
        <v>13789</v>
      </c>
      <c r="E469" s="657" t="s">
        <v>7437</v>
      </c>
      <c r="F469" s="656" t="s">
        <v>540</v>
      </c>
      <c r="G469" s="656" t="s">
        <v>569</v>
      </c>
      <c r="H469" s="656" t="s">
        <v>540</v>
      </c>
      <c r="I469" s="656" t="s">
        <v>14976</v>
      </c>
      <c r="J469" s="656"/>
      <c r="K469" s="656"/>
      <c r="L469" s="656"/>
      <c r="M469" s="657"/>
      <c r="N469" s="1482"/>
      <c r="O469" s="656" t="s">
        <v>498</v>
      </c>
      <c r="P469" s="656" t="s">
        <v>13052</v>
      </c>
      <c r="Q469" s="656">
        <v>44216.78638888889</v>
      </c>
    </row>
    <row r="470" spans="1:17">
      <c r="A470" s="656" t="s">
        <v>15487</v>
      </c>
      <c r="B470" s="657" t="s">
        <v>202</v>
      </c>
      <c r="C470" s="656" t="s">
        <v>12611</v>
      </c>
      <c r="D470" s="657" t="s">
        <v>14978</v>
      </c>
      <c r="E470" s="657" t="s">
        <v>12612</v>
      </c>
      <c r="F470" s="656" t="s">
        <v>497</v>
      </c>
      <c r="G470" s="656" t="s">
        <v>497</v>
      </c>
      <c r="H470" s="656" t="s">
        <v>497</v>
      </c>
      <c r="I470" s="656" t="s">
        <v>14976</v>
      </c>
      <c r="J470" s="656" t="s">
        <v>448</v>
      </c>
      <c r="K470" s="656" t="s">
        <v>497</v>
      </c>
      <c r="L470" s="656" t="s">
        <v>9373</v>
      </c>
      <c r="M470" s="657"/>
      <c r="N470" s="1482"/>
      <c r="O470" s="656" t="s">
        <v>498</v>
      </c>
      <c r="P470" s="656" t="s">
        <v>13052</v>
      </c>
      <c r="Q470" s="656">
        <v>44216.786365740743</v>
      </c>
    </row>
    <row r="471" spans="1:17">
      <c r="A471" s="656" t="s">
        <v>15486</v>
      </c>
      <c r="B471" s="657" t="s">
        <v>202</v>
      </c>
      <c r="C471" s="656" t="s">
        <v>12613</v>
      </c>
      <c r="D471" s="657" t="s">
        <v>14978</v>
      </c>
      <c r="E471" s="657" t="s">
        <v>15093</v>
      </c>
      <c r="F471" s="656" t="s">
        <v>497</v>
      </c>
      <c r="G471" s="656" t="s">
        <v>497</v>
      </c>
      <c r="H471" s="656" t="s">
        <v>497</v>
      </c>
      <c r="I471" s="656" t="s">
        <v>14976</v>
      </c>
      <c r="J471" s="656" t="s">
        <v>448</v>
      </c>
      <c r="K471" s="656" t="s">
        <v>497</v>
      </c>
      <c r="L471" s="656" t="s">
        <v>9373</v>
      </c>
      <c r="M471" s="657"/>
      <c r="N471" s="1482"/>
      <c r="O471" s="656" t="s">
        <v>498</v>
      </c>
      <c r="P471" s="656" t="s">
        <v>13052</v>
      </c>
      <c r="Q471" s="656">
        <v>44216.786365740743</v>
      </c>
    </row>
    <row r="472" spans="1:17">
      <c r="A472" s="656" t="s">
        <v>15485</v>
      </c>
      <c r="B472" s="657" t="s">
        <v>202</v>
      </c>
      <c r="C472" s="656" t="s">
        <v>12614</v>
      </c>
      <c r="D472" s="657" t="s">
        <v>14978</v>
      </c>
      <c r="E472" s="657" t="s">
        <v>15092</v>
      </c>
      <c r="F472" s="656" t="s">
        <v>497</v>
      </c>
      <c r="G472" s="656" t="s">
        <v>497</v>
      </c>
      <c r="H472" s="656" t="s">
        <v>497</v>
      </c>
      <c r="I472" s="656" t="s">
        <v>14976</v>
      </c>
      <c r="J472" s="656" t="s">
        <v>448</v>
      </c>
      <c r="K472" s="656" t="s">
        <v>497</v>
      </c>
      <c r="L472" s="656" t="s">
        <v>9373</v>
      </c>
      <c r="M472" s="657"/>
      <c r="N472" s="1482"/>
      <c r="O472" s="656" t="s">
        <v>498</v>
      </c>
      <c r="P472" s="656" t="s">
        <v>13052</v>
      </c>
      <c r="Q472" s="656">
        <v>44216.786365740743</v>
      </c>
    </row>
    <row r="473" spans="1:17">
      <c r="A473" s="656" t="s">
        <v>15484</v>
      </c>
      <c r="B473" s="657" t="s">
        <v>202</v>
      </c>
      <c r="C473" s="656" t="s">
        <v>12615</v>
      </c>
      <c r="D473" s="657"/>
      <c r="E473" s="657" t="s">
        <v>7437</v>
      </c>
      <c r="F473" s="656" t="s">
        <v>497</v>
      </c>
      <c r="G473" s="656" t="s">
        <v>497</v>
      </c>
      <c r="H473" s="656" t="s">
        <v>497</v>
      </c>
      <c r="I473" s="656" t="s">
        <v>14976</v>
      </c>
      <c r="J473" s="656" t="s">
        <v>448</v>
      </c>
      <c r="K473" s="656" t="s">
        <v>497</v>
      </c>
      <c r="L473" s="656" t="s">
        <v>9373</v>
      </c>
      <c r="M473" s="657"/>
      <c r="N473" s="1482"/>
      <c r="O473" s="656" t="s">
        <v>498</v>
      </c>
      <c r="P473" s="656" t="s">
        <v>13052</v>
      </c>
      <c r="Q473" s="656">
        <v>44216.786354166667</v>
      </c>
    </row>
    <row r="474" spans="1:17">
      <c r="A474" s="656" t="s">
        <v>15483</v>
      </c>
      <c r="B474" s="657" t="s">
        <v>202</v>
      </c>
      <c r="C474" s="656" t="s">
        <v>12616</v>
      </c>
      <c r="D474" s="657" t="s">
        <v>14978</v>
      </c>
      <c r="E474" s="657" t="s">
        <v>12617</v>
      </c>
      <c r="F474" s="656" t="s">
        <v>497</v>
      </c>
      <c r="G474" s="656" t="s">
        <v>497</v>
      </c>
      <c r="H474" s="656" t="s">
        <v>497</v>
      </c>
      <c r="I474" s="656" t="s">
        <v>14976</v>
      </c>
      <c r="J474" s="656" t="s">
        <v>448</v>
      </c>
      <c r="K474" s="656" t="s">
        <v>497</v>
      </c>
      <c r="L474" s="656" t="s">
        <v>9373</v>
      </c>
      <c r="M474" s="657"/>
      <c r="N474" s="1482"/>
      <c r="O474" s="656" t="s">
        <v>498</v>
      </c>
      <c r="P474" s="656" t="s">
        <v>13052</v>
      </c>
      <c r="Q474" s="656">
        <v>44216.786354166667</v>
      </c>
    </row>
    <row r="475" spans="1:17">
      <c r="A475" s="656" t="s">
        <v>15482</v>
      </c>
      <c r="B475" s="657" t="s">
        <v>202</v>
      </c>
      <c r="C475" s="656" t="s">
        <v>12618</v>
      </c>
      <c r="D475" s="657" t="s">
        <v>14978</v>
      </c>
      <c r="E475" s="657" t="s">
        <v>15091</v>
      </c>
      <c r="F475" s="656" t="s">
        <v>497</v>
      </c>
      <c r="G475" s="656" t="s">
        <v>497</v>
      </c>
      <c r="H475" s="656" t="s">
        <v>497</v>
      </c>
      <c r="I475" s="656" t="s">
        <v>14976</v>
      </c>
      <c r="J475" s="656" t="s">
        <v>448</v>
      </c>
      <c r="K475" s="656" t="s">
        <v>497</v>
      </c>
      <c r="L475" s="656" t="s">
        <v>9373</v>
      </c>
      <c r="M475" s="657"/>
      <c r="N475" s="1482"/>
      <c r="O475" s="656" t="s">
        <v>498</v>
      </c>
      <c r="P475" s="656" t="s">
        <v>13052</v>
      </c>
      <c r="Q475" s="656">
        <v>44216.78634259259</v>
      </c>
    </row>
    <row r="476" spans="1:17">
      <c r="A476" s="656" t="s">
        <v>15481</v>
      </c>
      <c r="B476" s="657" t="s">
        <v>202</v>
      </c>
      <c r="C476" s="656" t="s">
        <v>12619</v>
      </c>
      <c r="D476" s="657" t="s">
        <v>14978</v>
      </c>
      <c r="E476" s="657" t="s">
        <v>15090</v>
      </c>
      <c r="F476" s="656" t="s">
        <v>497</v>
      </c>
      <c r="G476" s="656" t="s">
        <v>497</v>
      </c>
      <c r="H476" s="656" t="s">
        <v>497</v>
      </c>
      <c r="I476" s="656" t="s">
        <v>14976</v>
      </c>
      <c r="J476" s="656" t="s">
        <v>448</v>
      </c>
      <c r="K476" s="656" t="s">
        <v>497</v>
      </c>
      <c r="L476" s="656" t="s">
        <v>9373</v>
      </c>
      <c r="M476" s="657"/>
      <c r="N476" s="1482"/>
      <c r="O476" s="656" t="s">
        <v>498</v>
      </c>
      <c r="P476" s="656" t="s">
        <v>13052</v>
      </c>
      <c r="Q476" s="656">
        <v>44216.78633101852</v>
      </c>
    </row>
    <row r="477" spans="1:17">
      <c r="A477" s="656" t="s">
        <v>15480</v>
      </c>
      <c r="B477" s="657" t="s">
        <v>202</v>
      </c>
      <c r="C477" s="656" t="s">
        <v>12620</v>
      </c>
      <c r="D477" s="657" t="s">
        <v>14978</v>
      </c>
      <c r="E477" s="657" t="s">
        <v>15089</v>
      </c>
      <c r="F477" s="656" t="s">
        <v>497</v>
      </c>
      <c r="G477" s="656" t="s">
        <v>497</v>
      </c>
      <c r="H477" s="656" t="s">
        <v>497</v>
      </c>
      <c r="I477" s="656" t="s">
        <v>14976</v>
      </c>
      <c r="J477" s="656" t="s">
        <v>448</v>
      </c>
      <c r="K477" s="656" t="s">
        <v>497</v>
      </c>
      <c r="L477" s="656" t="s">
        <v>9373</v>
      </c>
      <c r="M477" s="657"/>
      <c r="N477" s="1482"/>
      <c r="O477" s="656" t="s">
        <v>498</v>
      </c>
      <c r="P477" s="656" t="s">
        <v>13052</v>
      </c>
      <c r="Q477" s="656">
        <v>44216.78633101852</v>
      </c>
    </row>
    <row r="478" spans="1:17">
      <c r="A478" s="656" t="s">
        <v>15479</v>
      </c>
      <c r="B478" s="657" t="s">
        <v>202</v>
      </c>
      <c r="C478" s="656" t="s">
        <v>12455</v>
      </c>
      <c r="D478" s="657" t="s">
        <v>14978</v>
      </c>
      <c r="E478" s="657" t="s">
        <v>7437</v>
      </c>
      <c r="F478" s="656" t="s">
        <v>8807</v>
      </c>
      <c r="G478" s="656"/>
      <c r="H478" s="656" t="s">
        <v>8807</v>
      </c>
      <c r="I478" s="656" t="s">
        <v>14976</v>
      </c>
      <c r="J478" s="656" t="s">
        <v>8814</v>
      </c>
      <c r="K478" s="656" t="s">
        <v>1058</v>
      </c>
      <c r="L478" s="656" t="s">
        <v>9383</v>
      </c>
      <c r="M478" s="657"/>
      <c r="N478" s="1482"/>
      <c r="O478" s="656" t="s">
        <v>498</v>
      </c>
      <c r="P478" s="656" t="s">
        <v>13052</v>
      </c>
      <c r="Q478" s="656">
        <v>44216.78633101852</v>
      </c>
    </row>
    <row r="479" spans="1:17">
      <c r="A479" s="656" t="s">
        <v>15478</v>
      </c>
      <c r="B479" s="657" t="s">
        <v>202</v>
      </c>
      <c r="C479" s="656" t="s">
        <v>9372</v>
      </c>
      <c r="D479" s="657" t="s">
        <v>14978</v>
      </c>
      <c r="E479" s="657" t="s">
        <v>7437</v>
      </c>
      <c r="F479" s="656" t="s">
        <v>497</v>
      </c>
      <c r="G479" s="656" t="s">
        <v>497</v>
      </c>
      <c r="H479" s="656" t="s">
        <v>497</v>
      </c>
      <c r="I479" s="656" t="s">
        <v>14976</v>
      </c>
      <c r="J479" s="656" t="s">
        <v>448</v>
      </c>
      <c r="K479" s="656" t="s">
        <v>497</v>
      </c>
      <c r="L479" s="656" t="s">
        <v>9383</v>
      </c>
      <c r="M479" s="657"/>
      <c r="N479" s="1482"/>
      <c r="O479" s="656" t="s">
        <v>498</v>
      </c>
      <c r="P479" s="656" t="s">
        <v>13052</v>
      </c>
      <c r="Q479" s="656">
        <v>44216.786319444444</v>
      </c>
    </row>
    <row r="480" spans="1:17">
      <c r="A480" s="656" t="s">
        <v>12609</v>
      </c>
      <c r="B480" s="657" t="s">
        <v>202</v>
      </c>
      <c r="C480" s="656" t="s">
        <v>12608</v>
      </c>
      <c r="D480" s="657" t="s">
        <v>14978</v>
      </c>
      <c r="E480" s="657" t="s">
        <v>12610</v>
      </c>
      <c r="F480" s="656" t="s">
        <v>497</v>
      </c>
      <c r="G480" s="656" t="s">
        <v>497</v>
      </c>
      <c r="H480" s="656" t="s">
        <v>497</v>
      </c>
      <c r="I480" s="656" t="s">
        <v>14976</v>
      </c>
      <c r="J480" s="656" t="s">
        <v>448</v>
      </c>
      <c r="K480" s="656" t="s">
        <v>497</v>
      </c>
      <c r="L480" s="656" t="s">
        <v>9371</v>
      </c>
      <c r="M480" s="657"/>
      <c r="N480" s="1482"/>
      <c r="O480" s="656" t="s">
        <v>498</v>
      </c>
      <c r="P480" s="656" t="s">
        <v>13052</v>
      </c>
      <c r="Q480" s="656">
        <v>44216.786377314813</v>
      </c>
    </row>
    <row r="481" spans="1:17">
      <c r="A481" s="656" t="s">
        <v>9371</v>
      </c>
      <c r="B481" s="657" t="s">
        <v>202</v>
      </c>
      <c r="C481" s="656" t="s">
        <v>9370</v>
      </c>
      <c r="D481" s="657" t="s">
        <v>14978</v>
      </c>
      <c r="E481" s="657" t="s">
        <v>7437</v>
      </c>
      <c r="F481" s="656" t="s">
        <v>497</v>
      </c>
      <c r="G481" s="656" t="s">
        <v>497</v>
      </c>
      <c r="H481" s="656" t="s">
        <v>497</v>
      </c>
      <c r="I481" s="656" t="s">
        <v>14976</v>
      </c>
      <c r="J481" s="656" t="s">
        <v>448</v>
      </c>
      <c r="K481" s="656" t="s">
        <v>497</v>
      </c>
      <c r="L481" s="656" t="s">
        <v>9383</v>
      </c>
      <c r="M481" s="657"/>
      <c r="N481" s="1482"/>
      <c r="O481" s="656" t="s">
        <v>498</v>
      </c>
      <c r="P481" s="656" t="s">
        <v>13052</v>
      </c>
      <c r="Q481" s="656">
        <v>44216.786377314813</v>
      </c>
    </row>
    <row r="482" spans="1:17">
      <c r="A482" s="656" t="s">
        <v>9375</v>
      </c>
      <c r="B482" s="657" t="s">
        <v>202</v>
      </c>
      <c r="C482" s="656" t="s">
        <v>9374</v>
      </c>
      <c r="D482" s="657" t="s">
        <v>14978</v>
      </c>
      <c r="E482" s="657" t="s">
        <v>7437</v>
      </c>
      <c r="F482" s="656" t="s">
        <v>497</v>
      </c>
      <c r="G482" s="656" t="s">
        <v>497</v>
      </c>
      <c r="H482" s="656" t="s">
        <v>497</v>
      </c>
      <c r="I482" s="656" t="s">
        <v>14976</v>
      </c>
      <c r="J482" s="656" t="s">
        <v>448</v>
      </c>
      <c r="K482" s="656" t="s">
        <v>497</v>
      </c>
      <c r="L482" s="656" t="s">
        <v>9383</v>
      </c>
      <c r="M482" s="657"/>
      <c r="N482" s="1482"/>
      <c r="O482" s="656" t="s">
        <v>498</v>
      </c>
      <c r="P482" s="656" t="s">
        <v>13052</v>
      </c>
      <c r="Q482" s="656">
        <v>44216.786319444444</v>
      </c>
    </row>
    <row r="483" spans="1:17">
      <c r="A483" s="656" t="s">
        <v>9377</v>
      </c>
      <c r="B483" s="657" t="s">
        <v>202</v>
      </c>
      <c r="C483" s="656" t="s">
        <v>9376</v>
      </c>
      <c r="D483" s="657" t="s">
        <v>14978</v>
      </c>
      <c r="E483" s="657" t="s">
        <v>7437</v>
      </c>
      <c r="F483" s="656" t="s">
        <v>497</v>
      </c>
      <c r="G483" s="656" t="s">
        <v>497</v>
      </c>
      <c r="H483" s="656" t="s">
        <v>497</v>
      </c>
      <c r="I483" s="656" t="s">
        <v>14976</v>
      </c>
      <c r="J483" s="656" t="s">
        <v>448</v>
      </c>
      <c r="K483" s="656" t="s">
        <v>497</v>
      </c>
      <c r="L483" s="656" t="s">
        <v>9383</v>
      </c>
      <c r="M483" s="657"/>
      <c r="N483" s="1482"/>
      <c r="O483" s="656" t="s">
        <v>498</v>
      </c>
      <c r="P483" s="656" t="s">
        <v>13052</v>
      </c>
      <c r="Q483" s="656">
        <v>44216.786307870374</v>
      </c>
    </row>
    <row r="484" spans="1:17">
      <c r="A484" s="656" t="s">
        <v>12621</v>
      </c>
      <c r="B484" s="657" t="s">
        <v>202</v>
      </c>
      <c r="C484" s="656" t="s">
        <v>12840</v>
      </c>
      <c r="D484" s="657" t="s">
        <v>14978</v>
      </c>
      <c r="E484" s="657" t="s">
        <v>7437</v>
      </c>
      <c r="F484" s="656" t="s">
        <v>3077</v>
      </c>
      <c r="G484" s="656" t="s">
        <v>512</v>
      </c>
      <c r="H484" s="656" t="s">
        <v>465</v>
      </c>
      <c r="I484" s="656" t="s">
        <v>14976</v>
      </c>
      <c r="J484" s="656" t="s">
        <v>8814</v>
      </c>
      <c r="K484" s="656" t="s">
        <v>3077</v>
      </c>
      <c r="L484" s="656" t="s">
        <v>9379</v>
      </c>
      <c r="M484" s="657"/>
      <c r="N484" s="1482"/>
      <c r="O484" s="656" t="s">
        <v>498</v>
      </c>
      <c r="P484" s="656" t="s">
        <v>13052</v>
      </c>
      <c r="Q484" s="656">
        <v>44216.786307870374</v>
      </c>
    </row>
    <row r="485" spans="1:17">
      <c r="A485" s="656" t="s">
        <v>12623</v>
      </c>
      <c r="B485" s="657" t="s">
        <v>202</v>
      </c>
      <c r="C485" s="656" t="s">
        <v>12622</v>
      </c>
      <c r="D485" s="657" t="s">
        <v>14978</v>
      </c>
      <c r="E485" s="657" t="s">
        <v>7431</v>
      </c>
      <c r="F485" s="656" t="s">
        <v>497</v>
      </c>
      <c r="G485" s="656" t="s">
        <v>497</v>
      </c>
      <c r="H485" s="656" t="s">
        <v>497</v>
      </c>
      <c r="I485" s="656" t="s">
        <v>14976</v>
      </c>
      <c r="J485" s="656" t="s">
        <v>448</v>
      </c>
      <c r="K485" s="656" t="s">
        <v>497</v>
      </c>
      <c r="L485" s="656" t="s">
        <v>9379</v>
      </c>
      <c r="M485" s="657"/>
      <c r="N485" s="1482"/>
      <c r="O485" s="656" t="s">
        <v>498</v>
      </c>
      <c r="P485" s="656" t="s">
        <v>13052</v>
      </c>
      <c r="Q485" s="656">
        <v>44216.786296296297</v>
      </c>
    </row>
    <row r="486" spans="1:17">
      <c r="A486" s="656" t="s">
        <v>12625</v>
      </c>
      <c r="B486" s="657" t="s">
        <v>202</v>
      </c>
      <c r="C486" s="656" t="s">
        <v>12624</v>
      </c>
      <c r="D486" s="657" t="s">
        <v>14978</v>
      </c>
      <c r="E486" s="657" t="s">
        <v>15088</v>
      </c>
      <c r="F486" s="656" t="s">
        <v>497</v>
      </c>
      <c r="G486" s="656" t="s">
        <v>497</v>
      </c>
      <c r="H486" s="656" t="s">
        <v>497</v>
      </c>
      <c r="I486" s="656" t="s">
        <v>14976</v>
      </c>
      <c r="J486" s="656" t="s">
        <v>448</v>
      </c>
      <c r="K486" s="656" t="s">
        <v>497</v>
      </c>
      <c r="L486" s="656" t="s">
        <v>9379</v>
      </c>
      <c r="M486" s="657"/>
      <c r="N486" s="1482"/>
      <c r="O486" s="656" t="s">
        <v>498</v>
      </c>
      <c r="P486" s="656" t="s">
        <v>13052</v>
      </c>
      <c r="Q486" s="656">
        <v>44216.786296296297</v>
      </c>
    </row>
    <row r="487" spans="1:17">
      <c r="A487" s="656" t="s">
        <v>12627</v>
      </c>
      <c r="B487" s="657" t="s">
        <v>202</v>
      </c>
      <c r="C487" s="656" t="s">
        <v>12626</v>
      </c>
      <c r="D487" s="657" t="s">
        <v>14978</v>
      </c>
      <c r="E487" s="657" t="s">
        <v>15043</v>
      </c>
      <c r="F487" s="656" t="s">
        <v>497</v>
      </c>
      <c r="G487" s="656" t="s">
        <v>497</v>
      </c>
      <c r="H487" s="656" t="s">
        <v>497</v>
      </c>
      <c r="I487" s="656" t="s">
        <v>14976</v>
      </c>
      <c r="J487" s="656" t="s">
        <v>448</v>
      </c>
      <c r="K487" s="656" t="s">
        <v>497</v>
      </c>
      <c r="L487" s="656" t="s">
        <v>9379</v>
      </c>
      <c r="M487" s="657"/>
      <c r="N487" s="1482"/>
      <c r="O487" s="656" t="s">
        <v>498</v>
      </c>
      <c r="P487" s="656" t="s">
        <v>13052</v>
      </c>
      <c r="Q487" s="656">
        <v>44216.786296296297</v>
      </c>
    </row>
    <row r="488" spans="1:17">
      <c r="A488" s="656" t="s">
        <v>12629</v>
      </c>
      <c r="B488" s="657" t="s">
        <v>202</v>
      </c>
      <c r="C488" s="656" t="s">
        <v>12628</v>
      </c>
      <c r="D488" s="657" t="s">
        <v>14978</v>
      </c>
      <c r="E488" s="657" t="s">
        <v>15044</v>
      </c>
      <c r="F488" s="656" t="s">
        <v>497</v>
      </c>
      <c r="G488" s="656" t="s">
        <v>497</v>
      </c>
      <c r="H488" s="656" t="s">
        <v>497</v>
      </c>
      <c r="I488" s="656" t="s">
        <v>14976</v>
      </c>
      <c r="J488" s="656" t="s">
        <v>448</v>
      </c>
      <c r="K488" s="656" t="s">
        <v>497</v>
      </c>
      <c r="L488" s="656" t="s">
        <v>9379</v>
      </c>
      <c r="M488" s="657"/>
      <c r="N488" s="1482"/>
      <c r="O488" s="656" t="s">
        <v>498</v>
      </c>
      <c r="P488" s="656" t="s">
        <v>13052</v>
      </c>
      <c r="Q488" s="656">
        <v>44216.78628472222</v>
      </c>
    </row>
    <row r="489" spans="1:17">
      <c r="A489" s="656" t="s">
        <v>12631</v>
      </c>
      <c r="B489" s="657" t="s">
        <v>202</v>
      </c>
      <c r="C489" s="656" t="s">
        <v>12630</v>
      </c>
      <c r="D489" s="657" t="s">
        <v>14978</v>
      </c>
      <c r="E489" s="657" t="s">
        <v>7433</v>
      </c>
      <c r="F489" s="656" t="s">
        <v>497</v>
      </c>
      <c r="G489" s="656" t="s">
        <v>497</v>
      </c>
      <c r="H489" s="656" t="s">
        <v>497</v>
      </c>
      <c r="I489" s="656" t="s">
        <v>14976</v>
      </c>
      <c r="J489" s="656" t="s">
        <v>448</v>
      </c>
      <c r="K489" s="656" t="s">
        <v>497</v>
      </c>
      <c r="L489" s="656" t="s">
        <v>9379</v>
      </c>
      <c r="M489" s="657"/>
      <c r="N489" s="1482"/>
      <c r="O489" s="656" t="s">
        <v>498</v>
      </c>
      <c r="P489" s="656" t="s">
        <v>13052</v>
      </c>
      <c r="Q489" s="656">
        <v>44216.78628472222</v>
      </c>
    </row>
    <row r="490" spans="1:17">
      <c r="A490" s="656" t="s">
        <v>9379</v>
      </c>
      <c r="B490" s="657" t="s">
        <v>202</v>
      </c>
      <c r="C490" s="656" t="s">
        <v>9378</v>
      </c>
      <c r="D490" s="657" t="s">
        <v>14978</v>
      </c>
      <c r="E490" s="657" t="s">
        <v>7437</v>
      </c>
      <c r="F490" s="656" t="s">
        <v>497</v>
      </c>
      <c r="G490" s="656" t="s">
        <v>497</v>
      </c>
      <c r="H490" s="656" t="s">
        <v>497</v>
      </c>
      <c r="I490" s="656" t="s">
        <v>14976</v>
      </c>
      <c r="J490" s="656" t="s">
        <v>448</v>
      </c>
      <c r="K490" s="656" t="s">
        <v>497</v>
      </c>
      <c r="L490" s="656" t="s">
        <v>9383</v>
      </c>
      <c r="M490" s="657"/>
      <c r="N490" s="1482"/>
      <c r="O490" s="656" t="s">
        <v>498</v>
      </c>
      <c r="P490" s="656" t="s">
        <v>13052</v>
      </c>
      <c r="Q490" s="656">
        <v>44216.78628472222</v>
      </c>
    </row>
    <row r="491" spans="1:17">
      <c r="A491" s="656" t="s">
        <v>12633</v>
      </c>
      <c r="B491" s="657" t="s">
        <v>202</v>
      </c>
      <c r="C491" s="656" t="s">
        <v>12632</v>
      </c>
      <c r="D491" s="657" t="s">
        <v>14978</v>
      </c>
      <c r="E491" s="657" t="s">
        <v>7435</v>
      </c>
      <c r="F491" s="656" t="s">
        <v>497</v>
      </c>
      <c r="G491" s="656" t="s">
        <v>497</v>
      </c>
      <c r="H491" s="656" t="s">
        <v>497</v>
      </c>
      <c r="I491" s="656" t="s">
        <v>14976</v>
      </c>
      <c r="J491" s="656" t="s">
        <v>448</v>
      </c>
      <c r="K491" s="656" t="s">
        <v>497</v>
      </c>
      <c r="L491" s="656" t="s">
        <v>9381</v>
      </c>
      <c r="M491" s="657"/>
      <c r="N491" s="1482"/>
      <c r="O491" s="656" t="s">
        <v>498</v>
      </c>
      <c r="P491" s="656" t="s">
        <v>13052</v>
      </c>
      <c r="Q491" s="656">
        <v>44216.786273148151</v>
      </c>
    </row>
    <row r="492" spans="1:17">
      <c r="A492" s="656" t="s">
        <v>12635</v>
      </c>
      <c r="B492" s="657" t="s">
        <v>202</v>
      </c>
      <c r="C492" s="656" t="s">
        <v>12634</v>
      </c>
      <c r="D492" s="657" t="s">
        <v>14978</v>
      </c>
      <c r="E492" s="657" t="s">
        <v>7437</v>
      </c>
      <c r="F492" s="656" t="s">
        <v>497</v>
      </c>
      <c r="G492" s="656" t="s">
        <v>497</v>
      </c>
      <c r="H492" s="656" t="s">
        <v>497</v>
      </c>
      <c r="I492" s="656" t="s">
        <v>14976</v>
      </c>
      <c r="J492" s="656" t="s">
        <v>448</v>
      </c>
      <c r="K492" s="656" t="s">
        <v>497</v>
      </c>
      <c r="L492" s="656" t="s">
        <v>9381</v>
      </c>
      <c r="M492" s="657"/>
      <c r="N492" s="1482"/>
      <c r="O492" s="656" t="s">
        <v>498</v>
      </c>
      <c r="P492" s="656" t="s">
        <v>13052</v>
      </c>
      <c r="Q492" s="656">
        <v>44216.786273148151</v>
      </c>
    </row>
    <row r="493" spans="1:17">
      <c r="A493" s="656" t="s">
        <v>9381</v>
      </c>
      <c r="B493" s="657" t="s">
        <v>202</v>
      </c>
      <c r="C493" s="656" t="s">
        <v>9380</v>
      </c>
      <c r="D493" s="657" t="s">
        <v>14978</v>
      </c>
      <c r="E493" s="657" t="s">
        <v>7437</v>
      </c>
      <c r="F493" s="656" t="s">
        <v>497</v>
      </c>
      <c r="G493" s="656" t="s">
        <v>497</v>
      </c>
      <c r="H493" s="656" t="s">
        <v>497</v>
      </c>
      <c r="I493" s="656" t="s">
        <v>14976</v>
      </c>
      <c r="J493" s="656" t="s">
        <v>448</v>
      </c>
      <c r="K493" s="656" t="s">
        <v>497</v>
      </c>
      <c r="L493" s="656" t="s">
        <v>9383</v>
      </c>
      <c r="M493" s="657"/>
      <c r="N493" s="1482"/>
      <c r="O493" s="656" t="s">
        <v>498</v>
      </c>
      <c r="P493" s="656" t="s">
        <v>13052</v>
      </c>
      <c r="Q493" s="656">
        <v>44216.786261574074</v>
      </c>
    </row>
    <row r="494" spans="1:17">
      <c r="A494" s="656" t="s">
        <v>9383</v>
      </c>
      <c r="B494" s="657" t="s">
        <v>202</v>
      </c>
      <c r="C494" s="656" t="s">
        <v>9382</v>
      </c>
      <c r="D494" s="657" t="s">
        <v>14977</v>
      </c>
      <c r="E494" s="657" t="s">
        <v>7437</v>
      </c>
      <c r="F494" s="656" t="s">
        <v>497</v>
      </c>
      <c r="G494" s="656" t="s">
        <v>497</v>
      </c>
      <c r="H494" s="656" t="s">
        <v>497</v>
      </c>
      <c r="I494" s="656" t="s">
        <v>14976</v>
      </c>
      <c r="J494" s="656" t="s">
        <v>448</v>
      </c>
      <c r="K494" s="656" t="s">
        <v>497</v>
      </c>
      <c r="L494" s="656"/>
      <c r="M494" s="657"/>
      <c r="N494" s="1482"/>
      <c r="O494" s="656" t="s">
        <v>498</v>
      </c>
      <c r="P494" s="656" t="s">
        <v>13052</v>
      </c>
      <c r="Q494" s="656">
        <v>44216.786261574074</v>
      </c>
    </row>
    <row r="495" spans="1:17">
      <c r="A495" s="656" t="s">
        <v>9385</v>
      </c>
      <c r="B495" s="657" t="s">
        <v>202</v>
      </c>
      <c r="C495" s="656" t="s">
        <v>9384</v>
      </c>
      <c r="D495" s="657" t="s">
        <v>13789</v>
      </c>
      <c r="E495" s="657" t="s">
        <v>7437</v>
      </c>
      <c r="F495" s="656" t="s">
        <v>537</v>
      </c>
      <c r="G495" s="656" t="s">
        <v>512</v>
      </c>
      <c r="H495" s="656" t="s">
        <v>537</v>
      </c>
      <c r="I495" s="656" t="s">
        <v>14976</v>
      </c>
      <c r="J495" s="656" t="s">
        <v>473</v>
      </c>
      <c r="K495" s="656" t="s">
        <v>4161</v>
      </c>
      <c r="L495" s="656"/>
      <c r="M495" s="657"/>
      <c r="N495" s="1482"/>
      <c r="O495" s="656" t="s">
        <v>498</v>
      </c>
      <c r="P495" s="656" t="s">
        <v>13052</v>
      </c>
      <c r="Q495" s="656">
        <v>44216.786249999997</v>
      </c>
    </row>
    <row r="496" spans="1:17">
      <c r="A496" s="656" t="s">
        <v>9386</v>
      </c>
      <c r="B496" s="657" t="s">
        <v>202</v>
      </c>
      <c r="C496" s="656" t="s">
        <v>9524</v>
      </c>
      <c r="D496" s="657" t="s">
        <v>13789</v>
      </c>
      <c r="E496" s="657" t="s">
        <v>7437</v>
      </c>
      <c r="F496" s="656" t="s">
        <v>2849</v>
      </c>
      <c r="G496" s="656" t="s">
        <v>512</v>
      </c>
      <c r="H496" s="656" t="s">
        <v>469</v>
      </c>
      <c r="I496" s="656" t="s">
        <v>14976</v>
      </c>
      <c r="J496" s="656" t="s">
        <v>459</v>
      </c>
      <c r="K496" s="656" t="s">
        <v>2849</v>
      </c>
      <c r="L496" s="656"/>
      <c r="M496" s="657"/>
      <c r="N496" s="1482"/>
      <c r="O496" s="656" t="s">
        <v>498</v>
      </c>
      <c r="P496" s="656" t="s">
        <v>13052</v>
      </c>
      <c r="Q496" s="656">
        <v>44216.786249999997</v>
      </c>
    </row>
    <row r="497" spans="1:17">
      <c r="A497" s="656" t="s">
        <v>9388</v>
      </c>
      <c r="B497" s="657" t="s">
        <v>202</v>
      </c>
      <c r="C497" s="656" t="s">
        <v>9387</v>
      </c>
      <c r="D497" s="657" t="s">
        <v>13789</v>
      </c>
      <c r="E497" s="657" t="s">
        <v>7437</v>
      </c>
      <c r="F497" s="656" t="s">
        <v>537</v>
      </c>
      <c r="G497" s="656" t="s">
        <v>512</v>
      </c>
      <c r="H497" s="656" t="s">
        <v>537</v>
      </c>
      <c r="I497" s="656" t="s">
        <v>14976</v>
      </c>
      <c r="J497" s="656" t="s">
        <v>473</v>
      </c>
      <c r="K497" s="656" t="s">
        <v>4161</v>
      </c>
      <c r="L497" s="656"/>
      <c r="M497" s="657"/>
      <c r="N497" s="1482"/>
      <c r="O497" s="656" t="s">
        <v>498</v>
      </c>
      <c r="P497" s="656" t="s">
        <v>13052</v>
      </c>
      <c r="Q497" s="656">
        <v>44216.786249999997</v>
      </c>
    </row>
    <row r="498" spans="1:17">
      <c r="A498" s="656" t="s">
        <v>15086</v>
      </c>
      <c r="B498" s="657" t="s">
        <v>504</v>
      </c>
      <c r="C498" s="656" t="s">
        <v>15087</v>
      </c>
      <c r="D498" s="657" t="s">
        <v>13789</v>
      </c>
      <c r="E498" s="657" t="s">
        <v>7437</v>
      </c>
      <c r="F498" s="656" t="s">
        <v>540</v>
      </c>
      <c r="G498" s="656" t="s">
        <v>541</v>
      </c>
      <c r="H498" s="656" t="s">
        <v>540</v>
      </c>
      <c r="I498" s="656" t="s">
        <v>14976</v>
      </c>
      <c r="J498" s="656"/>
      <c r="K498" s="656"/>
      <c r="L498" s="656"/>
      <c r="M498" s="657"/>
      <c r="N498" s="1482"/>
      <c r="O498" s="656" t="s">
        <v>498</v>
      </c>
      <c r="P498" s="656" t="s">
        <v>13052</v>
      </c>
      <c r="Q498" s="656">
        <v>44216.786238425928</v>
      </c>
    </row>
    <row r="499" spans="1:17">
      <c r="A499" s="656" t="s">
        <v>15084</v>
      </c>
      <c r="B499" s="657" t="s">
        <v>504</v>
      </c>
      <c r="C499" s="656" t="s">
        <v>15085</v>
      </c>
      <c r="D499" s="657" t="s">
        <v>13789</v>
      </c>
      <c r="E499" s="657" t="s">
        <v>7437</v>
      </c>
      <c r="F499" s="656" t="s">
        <v>505</v>
      </c>
      <c r="G499" s="656" t="s">
        <v>525</v>
      </c>
      <c r="H499" s="656" t="s">
        <v>505</v>
      </c>
      <c r="I499" s="656" t="s">
        <v>14976</v>
      </c>
      <c r="J499" s="656"/>
      <c r="K499" s="656"/>
      <c r="L499" s="656"/>
      <c r="M499" s="657"/>
      <c r="N499" s="1482"/>
      <c r="O499" s="656" t="s">
        <v>498</v>
      </c>
      <c r="P499" s="656" t="s">
        <v>13052</v>
      </c>
      <c r="Q499" s="656">
        <v>44216.786238425928</v>
      </c>
    </row>
    <row r="500" spans="1:17">
      <c r="A500" s="656" t="s">
        <v>9390</v>
      </c>
      <c r="B500" s="657" t="s">
        <v>202</v>
      </c>
      <c r="C500" s="656" t="s">
        <v>9389</v>
      </c>
      <c r="D500" s="657" t="s">
        <v>13789</v>
      </c>
      <c r="E500" s="657" t="s">
        <v>7437</v>
      </c>
      <c r="F500" s="656" t="s">
        <v>472</v>
      </c>
      <c r="G500" s="656" t="s">
        <v>519</v>
      </c>
      <c r="H500" s="656" t="s">
        <v>472</v>
      </c>
      <c r="I500" s="656" t="s">
        <v>14976</v>
      </c>
      <c r="J500" s="656" t="s">
        <v>12368</v>
      </c>
      <c r="K500" s="656" t="s">
        <v>1058</v>
      </c>
      <c r="L500" s="656"/>
      <c r="M500" s="657"/>
      <c r="N500" s="1482"/>
      <c r="O500" s="656" t="s">
        <v>498</v>
      </c>
      <c r="P500" s="656" t="s">
        <v>13052</v>
      </c>
      <c r="Q500" s="656">
        <v>44216.786226851851</v>
      </c>
    </row>
    <row r="501" spans="1:17">
      <c r="A501" s="656" t="s">
        <v>15082</v>
      </c>
      <c r="B501" s="657" t="s">
        <v>504</v>
      </c>
      <c r="C501" s="656" t="s">
        <v>15083</v>
      </c>
      <c r="D501" s="657" t="s">
        <v>13789</v>
      </c>
      <c r="E501" s="657" t="s">
        <v>7437</v>
      </c>
      <c r="F501" s="656" t="s">
        <v>540</v>
      </c>
      <c r="G501" s="656" t="s">
        <v>541</v>
      </c>
      <c r="H501" s="656" t="s">
        <v>540</v>
      </c>
      <c r="I501" s="656" t="s">
        <v>14976</v>
      </c>
      <c r="J501" s="656"/>
      <c r="K501" s="656"/>
      <c r="L501" s="656"/>
      <c r="M501" s="657"/>
      <c r="N501" s="1482"/>
      <c r="O501" s="656" t="s">
        <v>498</v>
      </c>
      <c r="P501" s="656" t="s">
        <v>13052</v>
      </c>
      <c r="Q501" s="656">
        <v>44216.786226851851</v>
      </c>
    </row>
    <row r="502" spans="1:17">
      <c r="A502" s="656" t="s">
        <v>9392</v>
      </c>
      <c r="B502" s="657" t="s">
        <v>504</v>
      </c>
      <c r="C502" s="656" t="s">
        <v>9391</v>
      </c>
      <c r="D502" s="657" t="s">
        <v>13789</v>
      </c>
      <c r="E502" s="657" t="s">
        <v>7437</v>
      </c>
      <c r="F502" s="656" t="s">
        <v>505</v>
      </c>
      <c r="G502" s="656" t="s">
        <v>525</v>
      </c>
      <c r="H502" s="656" t="s">
        <v>505</v>
      </c>
      <c r="I502" s="656" t="s">
        <v>14976</v>
      </c>
      <c r="J502" s="656"/>
      <c r="K502" s="656"/>
      <c r="L502" s="656"/>
      <c r="M502" s="657"/>
      <c r="N502" s="1482"/>
      <c r="O502" s="656" t="s">
        <v>498</v>
      </c>
      <c r="P502" s="656" t="s">
        <v>13052</v>
      </c>
      <c r="Q502" s="656">
        <v>44216.786215277774</v>
      </c>
    </row>
    <row r="503" spans="1:17">
      <c r="A503" s="656" t="s">
        <v>9394</v>
      </c>
      <c r="B503" s="657" t="s">
        <v>531</v>
      </c>
      <c r="C503" s="656" t="s">
        <v>9393</v>
      </c>
      <c r="D503" s="657" t="s">
        <v>14977</v>
      </c>
      <c r="E503" s="657" t="s">
        <v>7437</v>
      </c>
      <c r="F503" s="656" t="s">
        <v>2849</v>
      </c>
      <c r="G503" s="656"/>
      <c r="H503" s="656" t="s">
        <v>469</v>
      </c>
      <c r="I503" s="656" t="s">
        <v>14976</v>
      </c>
      <c r="J503" s="656" t="s">
        <v>532</v>
      </c>
      <c r="K503" s="656" t="s">
        <v>2849</v>
      </c>
      <c r="L503" s="656"/>
      <c r="M503" s="657"/>
      <c r="N503" s="1482"/>
      <c r="O503" s="656" t="s">
        <v>498</v>
      </c>
      <c r="P503" s="656" t="s">
        <v>13052</v>
      </c>
      <c r="Q503" s="656">
        <v>44216.786203703705</v>
      </c>
    </row>
    <row r="504" spans="1:17">
      <c r="A504" s="656" t="s">
        <v>9395</v>
      </c>
      <c r="B504" s="657" t="s">
        <v>504</v>
      </c>
      <c r="C504" s="656" t="s">
        <v>14057</v>
      </c>
      <c r="D504" s="657" t="s">
        <v>13789</v>
      </c>
      <c r="E504" s="657" t="s">
        <v>7437</v>
      </c>
      <c r="F504" s="656" t="s">
        <v>505</v>
      </c>
      <c r="G504" s="656" t="s">
        <v>1293</v>
      </c>
      <c r="H504" s="656" t="s">
        <v>505</v>
      </c>
      <c r="I504" s="656" t="s">
        <v>14976</v>
      </c>
      <c r="J504" s="656"/>
      <c r="K504" s="656"/>
      <c r="L504" s="656"/>
      <c r="M504" s="657"/>
      <c r="N504" s="1482"/>
      <c r="O504" s="656" t="s">
        <v>498</v>
      </c>
      <c r="P504" s="656" t="s">
        <v>13052</v>
      </c>
      <c r="Q504" s="656">
        <v>44216.786203703705</v>
      </c>
    </row>
    <row r="505" spans="1:17">
      <c r="A505" s="656" t="s">
        <v>9397</v>
      </c>
      <c r="B505" s="657" t="s">
        <v>202</v>
      </c>
      <c r="C505" s="656" t="s">
        <v>9396</v>
      </c>
      <c r="D505" s="657" t="s">
        <v>14977</v>
      </c>
      <c r="E505" s="657" t="s">
        <v>7437</v>
      </c>
      <c r="F505" s="656" t="s">
        <v>462</v>
      </c>
      <c r="G505" s="656" t="s">
        <v>552</v>
      </c>
      <c r="H505" s="656" t="s">
        <v>462</v>
      </c>
      <c r="I505" s="656" t="s">
        <v>14976</v>
      </c>
      <c r="J505" s="656" t="s">
        <v>463</v>
      </c>
      <c r="K505" s="656" t="s">
        <v>477</v>
      </c>
      <c r="L505" s="656"/>
      <c r="M505" s="657"/>
      <c r="N505" s="1482"/>
      <c r="O505" s="656" t="s">
        <v>498</v>
      </c>
      <c r="P505" s="656" t="s">
        <v>13052</v>
      </c>
      <c r="Q505" s="656">
        <v>44216.786192129628</v>
      </c>
    </row>
    <row r="506" spans="1:17">
      <c r="A506" s="656" t="s">
        <v>9399</v>
      </c>
      <c r="B506" s="657" t="s">
        <v>202</v>
      </c>
      <c r="C506" s="656" t="s">
        <v>9398</v>
      </c>
      <c r="D506" s="657" t="s">
        <v>13789</v>
      </c>
      <c r="E506" s="657" t="s">
        <v>7437</v>
      </c>
      <c r="F506" s="656" t="s">
        <v>8807</v>
      </c>
      <c r="G506" s="656" t="s">
        <v>1270</v>
      </c>
      <c r="H506" s="656" t="s">
        <v>8807</v>
      </c>
      <c r="I506" s="656" t="s">
        <v>14976</v>
      </c>
      <c r="J506" s="656" t="s">
        <v>8814</v>
      </c>
      <c r="K506" s="656" t="s">
        <v>1058</v>
      </c>
      <c r="L506" s="656"/>
      <c r="M506" s="657"/>
      <c r="N506" s="1482"/>
      <c r="O506" s="656" t="s">
        <v>498</v>
      </c>
      <c r="P506" s="656" t="s">
        <v>13052</v>
      </c>
      <c r="Q506" s="656">
        <v>44216.786192129628</v>
      </c>
    </row>
    <row r="507" spans="1:17">
      <c r="A507" s="656" t="s">
        <v>9401</v>
      </c>
      <c r="B507" s="657" t="s">
        <v>202</v>
      </c>
      <c r="C507" s="656" t="s">
        <v>9400</v>
      </c>
      <c r="D507" s="657" t="s">
        <v>13789</v>
      </c>
      <c r="E507" s="657" t="s">
        <v>7437</v>
      </c>
      <c r="F507" s="656" t="s">
        <v>537</v>
      </c>
      <c r="G507" s="656" t="s">
        <v>512</v>
      </c>
      <c r="H507" s="656" t="s">
        <v>537</v>
      </c>
      <c r="I507" s="656" t="s">
        <v>14976</v>
      </c>
      <c r="J507" s="656" t="s">
        <v>473</v>
      </c>
      <c r="K507" s="656" t="s">
        <v>4161</v>
      </c>
      <c r="L507" s="656"/>
      <c r="M507" s="657"/>
      <c r="N507" s="1482"/>
      <c r="O507" s="656" t="s">
        <v>498</v>
      </c>
      <c r="P507" s="656" t="s">
        <v>13052</v>
      </c>
      <c r="Q507" s="656">
        <v>44216.786180555559</v>
      </c>
    </row>
    <row r="508" spans="1:17">
      <c r="A508" s="656" t="s">
        <v>15080</v>
      </c>
      <c r="B508" s="657" t="s">
        <v>504</v>
      </c>
      <c r="C508" s="656" t="s">
        <v>15081</v>
      </c>
      <c r="D508" s="657" t="s">
        <v>13789</v>
      </c>
      <c r="E508" s="657" t="s">
        <v>7437</v>
      </c>
      <c r="F508" s="656" t="s">
        <v>505</v>
      </c>
      <c r="G508" s="656" t="s">
        <v>509</v>
      </c>
      <c r="H508" s="656" t="s">
        <v>505</v>
      </c>
      <c r="I508" s="656" t="s">
        <v>14976</v>
      </c>
      <c r="J508" s="656"/>
      <c r="K508" s="656"/>
      <c r="L508" s="656"/>
      <c r="M508" s="657"/>
      <c r="N508" s="1482"/>
      <c r="O508" s="656" t="s">
        <v>498</v>
      </c>
      <c r="P508" s="656" t="s">
        <v>13052</v>
      </c>
      <c r="Q508" s="656">
        <v>44216.786180555559</v>
      </c>
    </row>
    <row r="509" spans="1:17">
      <c r="A509" s="656" t="s">
        <v>15078</v>
      </c>
      <c r="B509" s="657" t="s">
        <v>504</v>
      </c>
      <c r="C509" s="656" t="s">
        <v>15079</v>
      </c>
      <c r="D509" s="657" t="s">
        <v>13789</v>
      </c>
      <c r="E509" s="657" t="s">
        <v>7437</v>
      </c>
      <c r="F509" s="656" t="s">
        <v>505</v>
      </c>
      <c r="G509" s="656" t="s">
        <v>509</v>
      </c>
      <c r="H509" s="656" t="s">
        <v>505</v>
      </c>
      <c r="I509" s="656" t="s">
        <v>14976</v>
      </c>
      <c r="J509" s="656"/>
      <c r="K509" s="656"/>
      <c r="L509" s="656"/>
      <c r="M509" s="657"/>
      <c r="N509" s="1482"/>
      <c r="O509" s="656" t="s">
        <v>498</v>
      </c>
      <c r="P509" s="656" t="s">
        <v>13052</v>
      </c>
      <c r="Q509" s="656">
        <v>44216.786168981482</v>
      </c>
    </row>
    <row r="510" spans="1:17">
      <c r="A510" s="656" t="s">
        <v>15076</v>
      </c>
      <c r="B510" s="657" t="s">
        <v>504</v>
      </c>
      <c r="C510" s="656" t="s">
        <v>15077</v>
      </c>
      <c r="D510" s="657" t="s">
        <v>14977</v>
      </c>
      <c r="E510" s="657" t="s">
        <v>7437</v>
      </c>
      <c r="F510" s="656" t="s">
        <v>540</v>
      </c>
      <c r="G510" s="656" t="s">
        <v>541</v>
      </c>
      <c r="H510" s="656" t="s">
        <v>540</v>
      </c>
      <c r="I510" s="656" t="s">
        <v>14976</v>
      </c>
      <c r="J510" s="656"/>
      <c r="K510" s="656"/>
      <c r="L510" s="656"/>
      <c r="M510" s="657"/>
      <c r="N510" s="1482"/>
      <c r="O510" s="656" t="s">
        <v>498</v>
      </c>
      <c r="P510" s="656" t="s">
        <v>13052</v>
      </c>
      <c r="Q510" s="656">
        <v>44216.786168981482</v>
      </c>
    </row>
    <row r="511" spans="1:17">
      <c r="A511" s="656" t="s">
        <v>9403</v>
      </c>
      <c r="B511" s="657" t="s">
        <v>202</v>
      </c>
      <c r="C511" s="656" t="s">
        <v>9402</v>
      </c>
      <c r="D511" s="657" t="s">
        <v>13789</v>
      </c>
      <c r="E511" s="657" t="s">
        <v>7437</v>
      </c>
      <c r="F511" s="656" t="s">
        <v>472</v>
      </c>
      <c r="G511" s="656" t="s">
        <v>519</v>
      </c>
      <c r="H511" s="656" t="s">
        <v>472</v>
      </c>
      <c r="I511" s="656" t="s">
        <v>14976</v>
      </c>
      <c r="J511" s="656" t="s">
        <v>12368</v>
      </c>
      <c r="K511" s="656" t="s">
        <v>1058</v>
      </c>
      <c r="L511" s="656"/>
      <c r="M511" s="657"/>
      <c r="N511" s="1482"/>
      <c r="O511" s="656" t="s">
        <v>498</v>
      </c>
      <c r="P511" s="656" t="s">
        <v>13052</v>
      </c>
      <c r="Q511" s="656">
        <v>44216.786157407405</v>
      </c>
    </row>
    <row r="512" spans="1:17">
      <c r="A512" s="656" t="s">
        <v>12636</v>
      </c>
      <c r="B512" s="657" t="s">
        <v>504</v>
      </c>
      <c r="C512" s="656" t="s">
        <v>12506</v>
      </c>
      <c r="D512" s="657" t="s">
        <v>14978</v>
      </c>
      <c r="E512" s="657" t="s">
        <v>7437</v>
      </c>
      <c r="F512" s="656" t="s">
        <v>540</v>
      </c>
      <c r="G512" s="656" t="s">
        <v>625</v>
      </c>
      <c r="H512" s="656" t="s">
        <v>540</v>
      </c>
      <c r="I512" s="656" t="s">
        <v>14976</v>
      </c>
      <c r="J512" s="656"/>
      <c r="K512" s="656"/>
      <c r="L512" s="656" t="s">
        <v>9405</v>
      </c>
      <c r="M512" s="657"/>
      <c r="N512" s="1482"/>
      <c r="O512" s="656" t="s">
        <v>498</v>
      </c>
      <c r="P512" s="656" t="s">
        <v>13052</v>
      </c>
      <c r="Q512" s="656">
        <v>44216.786157407405</v>
      </c>
    </row>
    <row r="513" spans="1:17">
      <c r="A513" s="656" t="s">
        <v>9405</v>
      </c>
      <c r="B513" s="657" t="s">
        <v>531</v>
      </c>
      <c r="C513" s="656" t="s">
        <v>9404</v>
      </c>
      <c r="D513" s="657" t="s">
        <v>13789</v>
      </c>
      <c r="E513" s="657" t="s">
        <v>7437</v>
      </c>
      <c r="F513" s="656" t="s">
        <v>2849</v>
      </c>
      <c r="G513" s="656"/>
      <c r="H513" s="656" t="s">
        <v>469</v>
      </c>
      <c r="I513" s="656" t="s">
        <v>14976</v>
      </c>
      <c r="J513" s="656" t="s">
        <v>532</v>
      </c>
      <c r="K513" s="656" t="s">
        <v>2849</v>
      </c>
      <c r="L513" s="656"/>
      <c r="M513" s="657"/>
      <c r="N513" s="1482"/>
      <c r="O513" s="656" t="s">
        <v>498</v>
      </c>
      <c r="P513" s="656" t="s">
        <v>13052</v>
      </c>
      <c r="Q513" s="656">
        <v>44216.786145833335</v>
      </c>
    </row>
    <row r="514" spans="1:17">
      <c r="A514" s="656" t="s">
        <v>15074</v>
      </c>
      <c r="B514" s="657" t="s">
        <v>504</v>
      </c>
      <c r="C514" s="656" t="s">
        <v>15075</v>
      </c>
      <c r="D514" s="657" t="s">
        <v>13789</v>
      </c>
      <c r="E514" s="657" t="s">
        <v>7437</v>
      </c>
      <c r="F514" s="656" t="s">
        <v>505</v>
      </c>
      <c r="G514" s="656" t="s">
        <v>525</v>
      </c>
      <c r="H514" s="656" t="s">
        <v>505</v>
      </c>
      <c r="I514" s="656" t="s">
        <v>14976</v>
      </c>
      <c r="J514" s="656"/>
      <c r="K514" s="656"/>
      <c r="L514" s="656"/>
      <c r="M514" s="657"/>
      <c r="N514" s="1482"/>
      <c r="O514" s="656" t="s">
        <v>498</v>
      </c>
      <c r="P514" s="656" t="s">
        <v>13052</v>
      </c>
      <c r="Q514" s="656">
        <v>44216.786145833335</v>
      </c>
    </row>
    <row r="515" spans="1:17">
      <c r="A515" s="656" t="s">
        <v>15072</v>
      </c>
      <c r="B515" s="657" t="s">
        <v>504</v>
      </c>
      <c r="C515" s="656" t="s">
        <v>15073</v>
      </c>
      <c r="D515" s="657" t="s">
        <v>14977</v>
      </c>
      <c r="E515" s="657" t="s">
        <v>7437</v>
      </c>
      <c r="F515" s="656" t="s">
        <v>540</v>
      </c>
      <c r="G515" s="656" t="s">
        <v>541</v>
      </c>
      <c r="H515" s="656" t="s">
        <v>540</v>
      </c>
      <c r="I515" s="656" t="s">
        <v>14976</v>
      </c>
      <c r="J515" s="656"/>
      <c r="K515" s="656"/>
      <c r="L515" s="656"/>
      <c r="M515" s="657"/>
      <c r="N515" s="1482"/>
      <c r="O515" s="656" t="s">
        <v>498</v>
      </c>
      <c r="P515" s="656" t="s">
        <v>13052</v>
      </c>
      <c r="Q515" s="656">
        <v>44216.786145833335</v>
      </c>
    </row>
    <row r="516" spans="1:17">
      <c r="A516" s="656" t="s">
        <v>15069</v>
      </c>
      <c r="B516" s="657" t="s">
        <v>504</v>
      </c>
      <c r="C516" s="656" t="s">
        <v>15070</v>
      </c>
      <c r="D516" s="657" t="s">
        <v>14977</v>
      </c>
      <c r="E516" s="657" t="s">
        <v>9406</v>
      </c>
      <c r="F516" s="656" t="s">
        <v>505</v>
      </c>
      <c r="G516" s="656" t="s">
        <v>509</v>
      </c>
      <c r="H516" s="656" t="s">
        <v>505</v>
      </c>
      <c r="I516" s="656" t="s">
        <v>14976</v>
      </c>
      <c r="J516" s="656"/>
      <c r="K516" s="656"/>
      <c r="L516" s="656" t="s">
        <v>15071</v>
      </c>
      <c r="M516" s="657"/>
      <c r="N516" s="1482"/>
      <c r="O516" s="656" t="s">
        <v>498</v>
      </c>
      <c r="P516" s="656" t="s">
        <v>13052</v>
      </c>
      <c r="Q516" s="656">
        <v>44216.786134259259</v>
      </c>
    </row>
    <row r="517" spans="1:17">
      <c r="A517" s="656" t="s">
        <v>15067</v>
      </c>
      <c r="B517" s="657" t="s">
        <v>504</v>
      </c>
      <c r="C517" s="656" t="s">
        <v>15068</v>
      </c>
      <c r="D517" s="657" t="s">
        <v>13789</v>
      </c>
      <c r="E517" s="657" t="s">
        <v>9406</v>
      </c>
      <c r="F517" s="656" t="s">
        <v>505</v>
      </c>
      <c r="G517" s="656" t="s">
        <v>660</v>
      </c>
      <c r="H517" s="656" t="s">
        <v>505</v>
      </c>
      <c r="I517" s="656" t="s">
        <v>14976</v>
      </c>
      <c r="J517" s="656"/>
      <c r="K517" s="656"/>
      <c r="L517" s="656"/>
      <c r="M517" s="657"/>
      <c r="N517" s="1482"/>
      <c r="O517" s="656" t="s">
        <v>498</v>
      </c>
      <c r="P517" s="656" t="s">
        <v>13052</v>
      </c>
      <c r="Q517" s="656">
        <v>44216.786134259259</v>
      </c>
    </row>
    <row r="518" spans="1:17">
      <c r="A518" s="656" t="s">
        <v>9408</v>
      </c>
      <c r="B518" s="657" t="s">
        <v>202</v>
      </c>
      <c r="C518" s="656" t="s">
        <v>9407</v>
      </c>
      <c r="D518" s="657" t="s">
        <v>13789</v>
      </c>
      <c r="E518" s="657" t="s">
        <v>7437</v>
      </c>
      <c r="F518" s="656" t="s">
        <v>497</v>
      </c>
      <c r="G518" s="656"/>
      <c r="H518" s="656" t="s">
        <v>497</v>
      </c>
      <c r="I518" s="656" t="s">
        <v>14976</v>
      </c>
      <c r="J518" s="656" t="s">
        <v>448</v>
      </c>
      <c r="K518" s="656"/>
      <c r="L518" s="656"/>
      <c r="M518" s="657"/>
      <c r="N518" s="1482"/>
      <c r="O518" s="656" t="s">
        <v>498</v>
      </c>
      <c r="P518" s="656" t="s">
        <v>13052</v>
      </c>
      <c r="Q518" s="656">
        <v>44216.786122685182</v>
      </c>
    </row>
    <row r="519" spans="1:17">
      <c r="A519" s="656" t="s">
        <v>9410</v>
      </c>
      <c r="B519" s="657" t="s">
        <v>202</v>
      </c>
      <c r="C519" s="656" t="s">
        <v>9409</v>
      </c>
      <c r="D519" s="657" t="s">
        <v>13789</v>
      </c>
      <c r="E519" s="657" t="s">
        <v>7437</v>
      </c>
      <c r="F519" s="656" t="s">
        <v>472</v>
      </c>
      <c r="G519" s="656" t="s">
        <v>519</v>
      </c>
      <c r="H519" s="656" t="s">
        <v>472</v>
      </c>
      <c r="I519" s="656" t="s">
        <v>14976</v>
      </c>
      <c r="J519" s="656" t="s">
        <v>12368</v>
      </c>
      <c r="K519" s="656" t="s">
        <v>1058</v>
      </c>
      <c r="L519" s="656"/>
      <c r="M519" s="657"/>
      <c r="N519" s="1482"/>
      <c r="O519" s="656" t="s">
        <v>498</v>
      </c>
      <c r="P519" s="656" t="s">
        <v>13052</v>
      </c>
      <c r="Q519" s="656">
        <v>44216.786122685182</v>
      </c>
    </row>
    <row r="520" spans="1:17">
      <c r="A520" s="656" t="s">
        <v>15065</v>
      </c>
      <c r="B520" s="657" t="s">
        <v>504</v>
      </c>
      <c r="C520" s="656" t="s">
        <v>15066</v>
      </c>
      <c r="D520" s="657" t="s">
        <v>14977</v>
      </c>
      <c r="E520" s="657" t="s">
        <v>7437</v>
      </c>
      <c r="F520" s="656" t="s">
        <v>505</v>
      </c>
      <c r="G520" s="656" t="s">
        <v>509</v>
      </c>
      <c r="H520" s="656" t="s">
        <v>505</v>
      </c>
      <c r="I520" s="656" t="s">
        <v>14976</v>
      </c>
      <c r="J520" s="656"/>
      <c r="K520" s="656"/>
      <c r="L520" s="656" t="s">
        <v>13862</v>
      </c>
      <c r="M520" s="657"/>
      <c r="N520" s="1482"/>
      <c r="O520" s="656" t="s">
        <v>498</v>
      </c>
      <c r="P520" s="656" t="s">
        <v>13052</v>
      </c>
      <c r="Q520" s="656">
        <v>44216.786111111112</v>
      </c>
    </row>
    <row r="521" spans="1:17">
      <c r="A521" s="656" t="s">
        <v>15063</v>
      </c>
      <c r="B521" s="657" t="s">
        <v>504</v>
      </c>
      <c r="C521" s="656" t="s">
        <v>15064</v>
      </c>
      <c r="D521" s="657" t="s">
        <v>13789</v>
      </c>
      <c r="E521" s="657" t="s">
        <v>9406</v>
      </c>
      <c r="F521" s="656" t="s">
        <v>505</v>
      </c>
      <c r="G521" s="656" t="s">
        <v>660</v>
      </c>
      <c r="H521" s="656" t="s">
        <v>505</v>
      </c>
      <c r="I521" s="656" t="s">
        <v>14976</v>
      </c>
      <c r="J521" s="656"/>
      <c r="K521" s="656"/>
      <c r="L521" s="656"/>
      <c r="M521" s="657"/>
      <c r="N521" s="1482"/>
      <c r="O521" s="656" t="s">
        <v>498</v>
      </c>
      <c r="P521" s="656" t="s">
        <v>13052</v>
      </c>
      <c r="Q521" s="656">
        <v>44216.786111111112</v>
      </c>
    </row>
    <row r="522" spans="1:17">
      <c r="A522" s="656" t="s">
        <v>9411</v>
      </c>
      <c r="B522" s="657" t="s">
        <v>504</v>
      </c>
      <c r="C522" s="656" t="s">
        <v>9012</v>
      </c>
      <c r="D522" s="657" t="s">
        <v>14977</v>
      </c>
      <c r="E522" s="657" t="s">
        <v>9406</v>
      </c>
      <c r="F522" s="656" t="s">
        <v>505</v>
      </c>
      <c r="G522" s="656" t="s">
        <v>525</v>
      </c>
      <c r="H522" s="656" t="s">
        <v>505</v>
      </c>
      <c r="I522" s="656"/>
      <c r="J522" s="656"/>
      <c r="K522" s="656"/>
      <c r="L522" s="656" t="s">
        <v>15062</v>
      </c>
      <c r="M522" s="657"/>
      <c r="N522" s="1482"/>
      <c r="O522" s="656" t="s">
        <v>498</v>
      </c>
      <c r="P522" s="656" t="s">
        <v>13052</v>
      </c>
      <c r="Q522" s="656">
        <v>44216.786111111112</v>
      </c>
    </row>
    <row r="523" spans="1:17">
      <c r="A523" s="656" t="s">
        <v>9413</v>
      </c>
      <c r="B523" s="657" t="s">
        <v>202</v>
      </c>
      <c r="C523" s="656" t="s">
        <v>9412</v>
      </c>
      <c r="D523" s="657" t="s">
        <v>13789</v>
      </c>
      <c r="E523" s="657" t="s">
        <v>7437</v>
      </c>
      <c r="F523" s="656" t="s">
        <v>472</v>
      </c>
      <c r="G523" s="656" t="s">
        <v>519</v>
      </c>
      <c r="H523" s="656" t="s">
        <v>472</v>
      </c>
      <c r="I523" s="656" t="s">
        <v>14976</v>
      </c>
      <c r="J523" s="656" t="s">
        <v>12368</v>
      </c>
      <c r="K523" s="656" t="s">
        <v>1058</v>
      </c>
      <c r="L523" s="656"/>
      <c r="M523" s="657"/>
      <c r="N523" s="1482"/>
      <c r="O523" s="656" t="s">
        <v>498</v>
      </c>
      <c r="P523" s="656" t="s">
        <v>13052</v>
      </c>
      <c r="Q523" s="656">
        <v>44216.786099537036</v>
      </c>
    </row>
    <row r="524" spans="1:17">
      <c r="A524" s="656" t="s">
        <v>15060</v>
      </c>
      <c r="B524" s="657" t="s">
        <v>504</v>
      </c>
      <c r="C524" s="656" t="s">
        <v>15061</v>
      </c>
      <c r="D524" s="657" t="s">
        <v>13789</v>
      </c>
      <c r="E524" s="657" t="s">
        <v>7437</v>
      </c>
      <c r="F524" s="656" t="s">
        <v>505</v>
      </c>
      <c r="G524" s="656" t="s">
        <v>525</v>
      </c>
      <c r="H524" s="656" t="s">
        <v>505</v>
      </c>
      <c r="I524" s="656" t="s">
        <v>14976</v>
      </c>
      <c r="J524" s="656"/>
      <c r="K524" s="656"/>
      <c r="L524" s="656"/>
      <c r="M524" s="657"/>
      <c r="N524" s="1482"/>
      <c r="O524" s="656" t="s">
        <v>498</v>
      </c>
      <c r="P524" s="656" t="s">
        <v>13052</v>
      </c>
      <c r="Q524" s="656">
        <v>44216.786099537036</v>
      </c>
    </row>
    <row r="525" spans="1:17">
      <c r="A525" s="656" t="s">
        <v>15058</v>
      </c>
      <c r="B525" s="657" t="s">
        <v>504</v>
      </c>
      <c r="C525" s="656" t="s">
        <v>15059</v>
      </c>
      <c r="D525" s="657" t="s">
        <v>13789</v>
      </c>
      <c r="E525" s="657" t="s">
        <v>7437</v>
      </c>
      <c r="F525" s="656" t="s">
        <v>505</v>
      </c>
      <c r="G525" s="656" t="s">
        <v>1293</v>
      </c>
      <c r="H525" s="656" t="s">
        <v>505</v>
      </c>
      <c r="I525" s="656" t="s">
        <v>14976</v>
      </c>
      <c r="J525" s="656"/>
      <c r="K525" s="656"/>
      <c r="L525" s="656"/>
      <c r="M525" s="657"/>
      <c r="N525" s="1482"/>
      <c r="O525" s="656" t="s">
        <v>498</v>
      </c>
      <c r="P525" s="656" t="s">
        <v>13052</v>
      </c>
      <c r="Q525" s="656">
        <v>44216.786087962966</v>
      </c>
    </row>
    <row r="526" spans="1:17">
      <c r="A526" s="656" t="s">
        <v>9415</v>
      </c>
      <c r="B526" s="657" t="s">
        <v>202</v>
      </c>
      <c r="C526" s="656" t="s">
        <v>9414</v>
      </c>
      <c r="D526" s="657" t="s">
        <v>13789</v>
      </c>
      <c r="E526" s="657" t="s">
        <v>7437</v>
      </c>
      <c r="F526" s="656" t="s">
        <v>4052</v>
      </c>
      <c r="G526" s="656" t="s">
        <v>512</v>
      </c>
      <c r="H526" s="656" t="s">
        <v>455</v>
      </c>
      <c r="I526" s="656" t="s">
        <v>14976</v>
      </c>
      <c r="J526" s="656" t="s">
        <v>451</v>
      </c>
      <c r="K526" s="656" t="s">
        <v>4052</v>
      </c>
      <c r="L526" s="656"/>
      <c r="M526" s="657"/>
      <c r="N526" s="1482"/>
      <c r="O526" s="656" t="s">
        <v>498</v>
      </c>
      <c r="P526" s="656" t="s">
        <v>13052</v>
      </c>
      <c r="Q526" s="656">
        <v>44216.786087962966</v>
      </c>
    </row>
    <row r="527" spans="1:17">
      <c r="A527" s="656" t="s">
        <v>15056</v>
      </c>
      <c r="B527" s="657" t="s">
        <v>504</v>
      </c>
      <c r="C527" s="656" t="s">
        <v>15057</v>
      </c>
      <c r="D527" s="657" t="s">
        <v>13789</v>
      </c>
      <c r="E527" s="657" t="s">
        <v>7437</v>
      </c>
      <c r="F527" s="656" t="s">
        <v>505</v>
      </c>
      <c r="G527" s="656" t="s">
        <v>525</v>
      </c>
      <c r="H527" s="656" t="s">
        <v>505</v>
      </c>
      <c r="I527" s="656"/>
      <c r="J527" s="656"/>
      <c r="K527" s="656"/>
      <c r="L527" s="656"/>
      <c r="M527" s="657"/>
      <c r="N527" s="1482"/>
      <c r="O527" s="656" t="s">
        <v>498</v>
      </c>
      <c r="P527" s="656" t="s">
        <v>13052</v>
      </c>
      <c r="Q527" s="656">
        <v>44216.786076388889</v>
      </c>
    </row>
    <row r="528" spans="1:17">
      <c r="A528" s="656" t="s">
        <v>9417</v>
      </c>
      <c r="B528" s="657" t="s">
        <v>504</v>
      </c>
      <c r="C528" s="656" t="s">
        <v>9416</v>
      </c>
      <c r="D528" s="657" t="s">
        <v>13789</v>
      </c>
      <c r="E528" s="657" t="s">
        <v>7437</v>
      </c>
      <c r="F528" s="656" t="s">
        <v>540</v>
      </c>
      <c r="G528" s="656" t="s">
        <v>625</v>
      </c>
      <c r="H528" s="656" t="s">
        <v>540</v>
      </c>
      <c r="I528" s="656" t="s">
        <v>14976</v>
      </c>
      <c r="J528" s="656"/>
      <c r="K528" s="656"/>
      <c r="L528" s="656"/>
      <c r="M528" s="657"/>
      <c r="N528" s="1482"/>
      <c r="O528" s="656" t="s">
        <v>498</v>
      </c>
      <c r="P528" s="656" t="s">
        <v>13052</v>
      </c>
      <c r="Q528" s="656">
        <v>44216.786076388889</v>
      </c>
    </row>
    <row r="529" spans="1:17">
      <c r="A529" s="656" t="s">
        <v>9419</v>
      </c>
      <c r="B529" s="657" t="s">
        <v>202</v>
      </c>
      <c r="C529" s="656" t="s">
        <v>9418</v>
      </c>
      <c r="D529" s="657" t="s">
        <v>13789</v>
      </c>
      <c r="E529" s="657" t="s">
        <v>7437</v>
      </c>
      <c r="F529" s="656" t="s">
        <v>462</v>
      </c>
      <c r="G529" s="656" t="s">
        <v>512</v>
      </c>
      <c r="H529" s="656" t="s">
        <v>462</v>
      </c>
      <c r="I529" s="656" t="s">
        <v>14976</v>
      </c>
      <c r="J529" s="656" t="s">
        <v>463</v>
      </c>
      <c r="K529" s="656" t="s">
        <v>1924</v>
      </c>
      <c r="L529" s="656"/>
      <c r="M529" s="657"/>
      <c r="N529" s="1482"/>
      <c r="O529" s="656" t="s">
        <v>498</v>
      </c>
      <c r="P529" s="656" t="s">
        <v>13052</v>
      </c>
      <c r="Q529" s="656">
        <v>44216.786064814813</v>
      </c>
    </row>
    <row r="530" spans="1:17">
      <c r="A530" s="656" t="s">
        <v>14055</v>
      </c>
      <c r="B530" s="657" t="s">
        <v>202</v>
      </c>
      <c r="C530" s="656" t="s">
        <v>14056</v>
      </c>
      <c r="D530" s="657" t="s">
        <v>13789</v>
      </c>
      <c r="E530" s="657"/>
      <c r="F530" s="656" t="s">
        <v>497</v>
      </c>
      <c r="G530" s="656" t="s">
        <v>497</v>
      </c>
      <c r="H530" s="656" t="s">
        <v>497</v>
      </c>
      <c r="I530" s="656" t="s">
        <v>14976</v>
      </c>
      <c r="J530" s="656" t="s">
        <v>448</v>
      </c>
      <c r="K530" s="656" t="s">
        <v>497</v>
      </c>
      <c r="L530" s="656"/>
      <c r="M530" s="657"/>
      <c r="N530" s="1482"/>
      <c r="O530" s="656" t="s">
        <v>498</v>
      </c>
      <c r="P530" s="656" t="s">
        <v>13052</v>
      </c>
      <c r="Q530" s="656">
        <v>44216.786064814813</v>
      </c>
    </row>
    <row r="531" spans="1:17">
      <c r="A531" s="656" t="s">
        <v>9421</v>
      </c>
      <c r="B531" s="657" t="s">
        <v>202</v>
      </c>
      <c r="C531" s="656" t="s">
        <v>9420</v>
      </c>
      <c r="D531" s="657" t="s">
        <v>13789</v>
      </c>
      <c r="E531" s="657" t="s">
        <v>7437</v>
      </c>
      <c r="F531" s="656" t="s">
        <v>497</v>
      </c>
      <c r="G531" s="656" t="s">
        <v>497</v>
      </c>
      <c r="H531" s="656" t="s">
        <v>497</v>
      </c>
      <c r="I531" s="656" t="s">
        <v>14976</v>
      </c>
      <c r="J531" s="656" t="s">
        <v>448</v>
      </c>
      <c r="K531" s="656" t="s">
        <v>497</v>
      </c>
      <c r="L531" s="656"/>
      <c r="M531" s="657"/>
      <c r="N531" s="1482"/>
      <c r="O531" s="656" t="s">
        <v>498</v>
      </c>
      <c r="P531" s="656" t="s">
        <v>13052</v>
      </c>
      <c r="Q531" s="656">
        <v>44216.786053240743</v>
      </c>
    </row>
    <row r="532" spans="1:17">
      <c r="A532" s="656" t="s">
        <v>9423</v>
      </c>
      <c r="B532" s="657" t="s">
        <v>202</v>
      </c>
      <c r="C532" s="656" t="s">
        <v>9422</v>
      </c>
      <c r="D532" s="657" t="s">
        <v>13789</v>
      </c>
      <c r="E532" s="657" t="s">
        <v>7437</v>
      </c>
      <c r="F532" s="656" t="s">
        <v>537</v>
      </c>
      <c r="G532" s="656" t="s">
        <v>512</v>
      </c>
      <c r="H532" s="656" t="s">
        <v>537</v>
      </c>
      <c r="I532" s="656" t="s">
        <v>14976</v>
      </c>
      <c r="J532" s="656" t="s">
        <v>473</v>
      </c>
      <c r="K532" s="656" t="s">
        <v>4161</v>
      </c>
      <c r="L532" s="656"/>
      <c r="M532" s="657"/>
      <c r="N532" s="1482"/>
      <c r="O532" s="656" t="s">
        <v>498</v>
      </c>
      <c r="P532" s="656" t="s">
        <v>13052</v>
      </c>
      <c r="Q532" s="656">
        <v>44216.786053240743</v>
      </c>
    </row>
    <row r="533" spans="1:17">
      <c r="A533" s="656" t="s">
        <v>9425</v>
      </c>
      <c r="B533" s="657" t="s">
        <v>202</v>
      </c>
      <c r="C533" s="656" t="s">
        <v>9424</v>
      </c>
      <c r="D533" s="657" t="s">
        <v>13789</v>
      </c>
      <c r="E533" s="657" t="s">
        <v>7437</v>
      </c>
      <c r="F533" s="656" t="s">
        <v>537</v>
      </c>
      <c r="G533" s="656" t="s">
        <v>512</v>
      </c>
      <c r="H533" s="656" t="s">
        <v>537</v>
      </c>
      <c r="I533" s="656" t="s">
        <v>14976</v>
      </c>
      <c r="J533" s="656" t="s">
        <v>473</v>
      </c>
      <c r="K533" s="656" t="s">
        <v>4161</v>
      </c>
      <c r="L533" s="656"/>
      <c r="M533" s="657"/>
      <c r="N533" s="1482"/>
      <c r="O533" s="656" t="s">
        <v>498</v>
      </c>
      <c r="P533" s="656" t="s">
        <v>13052</v>
      </c>
      <c r="Q533" s="656">
        <v>44216.786053240743</v>
      </c>
    </row>
    <row r="534" spans="1:17">
      <c r="A534" s="656" t="s">
        <v>9427</v>
      </c>
      <c r="B534" s="657" t="s">
        <v>202</v>
      </c>
      <c r="C534" s="656" t="s">
        <v>9426</v>
      </c>
      <c r="D534" s="657" t="s">
        <v>13789</v>
      </c>
      <c r="E534" s="657" t="s">
        <v>7437</v>
      </c>
      <c r="F534" s="656" t="s">
        <v>497</v>
      </c>
      <c r="G534" s="656" t="s">
        <v>497</v>
      </c>
      <c r="H534" s="656" t="s">
        <v>497</v>
      </c>
      <c r="I534" s="656" t="s">
        <v>14976</v>
      </c>
      <c r="J534" s="656" t="s">
        <v>459</v>
      </c>
      <c r="K534" s="656" t="s">
        <v>497</v>
      </c>
      <c r="L534" s="656"/>
      <c r="M534" s="657"/>
      <c r="N534" s="1482"/>
      <c r="O534" s="656" t="s">
        <v>498</v>
      </c>
      <c r="P534" s="656" t="s">
        <v>13052</v>
      </c>
      <c r="Q534" s="656">
        <v>44216.786041666666</v>
      </c>
    </row>
    <row r="535" spans="1:17">
      <c r="A535" s="656" t="s">
        <v>9429</v>
      </c>
      <c r="B535" s="657" t="s">
        <v>202</v>
      </c>
      <c r="C535" s="656" t="s">
        <v>9428</v>
      </c>
      <c r="D535" s="657" t="s">
        <v>13789</v>
      </c>
      <c r="E535" s="657" t="s">
        <v>7437</v>
      </c>
      <c r="F535" s="656" t="s">
        <v>497</v>
      </c>
      <c r="G535" s="656" t="s">
        <v>497</v>
      </c>
      <c r="H535" s="656" t="s">
        <v>497</v>
      </c>
      <c r="I535" s="656" t="s">
        <v>14976</v>
      </c>
      <c r="J535" s="656" t="s">
        <v>456</v>
      </c>
      <c r="K535" s="656" t="s">
        <v>497</v>
      </c>
      <c r="L535" s="656"/>
      <c r="M535" s="657"/>
      <c r="N535" s="1482"/>
      <c r="O535" s="656" t="s">
        <v>498</v>
      </c>
      <c r="P535" s="656" t="s">
        <v>13052</v>
      </c>
      <c r="Q535" s="656">
        <v>44216.786041666666</v>
      </c>
    </row>
    <row r="536" spans="1:17">
      <c r="A536" s="656" t="s">
        <v>9431</v>
      </c>
      <c r="B536" s="657" t="s">
        <v>202</v>
      </c>
      <c r="C536" s="656" t="s">
        <v>9430</v>
      </c>
      <c r="D536" s="657" t="s">
        <v>13789</v>
      </c>
      <c r="E536" s="657" t="s">
        <v>7437</v>
      </c>
      <c r="F536" s="656" t="s">
        <v>497</v>
      </c>
      <c r="G536" s="656" t="s">
        <v>497</v>
      </c>
      <c r="H536" s="656" t="s">
        <v>497</v>
      </c>
      <c r="I536" s="656" t="s">
        <v>14976</v>
      </c>
      <c r="J536" s="656" t="s">
        <v>453</v>
      </c>
      <c r="K536" s="656" t="s">
        <v>497</v>
      </c>
      <c r="L536" s="656"/>
      <c r="M536" s="657"/>
      <c r="N536" s="1482"/>
      <c r="O536" s="656" t="s">
        <v>498</v>
      </c>
      <c r="P536" s="656" t="s">
        <v>13052</v>
      </c>
      <c r="Q536" s="656">
        <v>44216.786041666666</v>
      </c>
    </row>
    <row r="537" spans="1:17">
      <c r="A537" s="656" t="s">
        <v>9433</v>
      </c>
      <c r="B537" s="657" t="s">
        <v>202</v>
      </c>
      <c r="C537" s="656" t="s">
        <v>9432</v>
      </c>
      <c r="D537" s="657" t="s">
        <v>13789</v>
      </c>
      <c r="E537" s="657" t="s">
        <v>7437</v>
      </c>
      <c r="F537" s="656" t="s">
        <v>8636</v>
      </c>
      <c r="G537" s="656" t="s">
        <v>552</v>
      </c>
      <c r="H537" s="656" t="s">
        <v>8636</v>
      </c>
      <c r="I537" s="656" t="s">
        <v>14976</v>
      </c>
      <c r="J537" s="656" t="s">
        <v>451</v>
      </c>
      <c r="K537" s="656" t="s">
        <v>1058</v>
      </c>
      <c r="L537" s="656"/>
      <c r="M537" s="657"/>
      <c r="N537" s="1482"/>
      <c r="O537" s="656" t="s">
        <v>498</v>
      </c>
      <c r="P537" s="656" t="s">
        <v>13052</v>
      </c>
      <c r="Q537" s="656">
        <v>44216.786030092589</v>
      </c>
    </row>
    <row r="538" spans="1:17">
      <c r="A538" s="656" t="s">
        <v>9435</v>
      </c>
      <c r="B538" s="657" t="s">
        <v>202</v>
      </c>
      <c r="C538" s="656" t="s">
        <v>9434</v>
      </c>
      <c r="D538" s="657" t="s">
        <v>13789</v>
      </c>
      <c r="E538" s="657" t="s">
        <v>7437</v>
      </c>
      <c r="F538" s="656" t="s">
        <v>604</v>
      </c>
      <c r="G538" s="656" t="s">
        <v>497</v>
      </c>
      <c r="H538" s="656" t="s">
        <v>604</v>
      </c>
      <c r="I538" s="656" t="s">
        <v>14976</v>
      </c>
      <c r="J538" s="656" t="s">
        <v>12369</v>
      </c>
      <c r="K538" s="656" t="s">
        <v>497</v>
      </c>
      <c r="L538" s="656"/>
      <c r="M538" s="657"/>
      <c r="N538" s="1482"/>
      <c r="O538" s="656" t="s">
        <v>498</v>
      </c>
      <c r="P538" s="656" t="s">
        <v>13052</v>
      </c>
      <c r="Q538" s="656">
        <v>44216.786030092589</v>
      </c>
    </row>
    <row r="539" spans="1:17">
      <c r="A539" s="656" t="s">
        <v>9436</v>
      </c>
      <c r="B539" s="657" t="s">
        <v>202</v>
      </c>
      <c r="C539" s="656" t="s">
        <v>12637</v>
      </c>
      <c r="D539" s="657" t="s">
        <v>13789</v>
      </c>
      <c r="E539" s="657" t="s">
        <v>7437</v>
      </c>
      <c r="F539" s="656" t="s">
        <v>604</v>
      </c>
      <c r="G539" s="656" t="s">
        <v>497</v>
      </c>
      <c r="H539" s="656" t="s">
        <v>604</v>
      </c>
      <c r="I539" s="656" t="s">
        <v>14976</v>
      </c>
      <c r="J539" s="656" t="s">
        <v>12368</v>
      </c>
      <c r="K539" s="656" t="s">
        <v>497</v>
      </c>
      <c r="L539" s="656"/>
      <c r="M539" s="657"/>
      <c r="N539" s="1482"/>
      <c r="O539" s="656" t="s">
        <v>498</v>
      </c>
      <c r="P539" s="656" t="s">
        <v>13052</v>
      </c>
      <c r="Q539" s="656">
        <v>44216.78601851852</v>
      </c>
    </row>
    <row r="540" spans="1:17">
      <c r="A540" s="656" t="s">
        <v>9438</v>
      </c>
      <c r="B540" s="657" t="s">
        <v>202</v>
      </c>
      <c r="C540" s="656" t="s">
        <v>9437</v>
      </c>
      <c r="D540" s="657" t="s">
        <v>13789</v>
      </c>
      <c r="E540" s="657" t="s">
        <v>7437</v>
      </c>
      <c r="F540" s="656" t="s">
        <v>604</v>
      </c>
      <c r="G540" s="656" t="s">
        <v>497</v>
      </c>
      <c r="H540" s="656" t="s">
        <v>604</v>
      </c>
      <c r="I540" s="656" t="s">
        <v>14976</v>
      </c>
      <c r="J540" s="656" t="s">
        <v>8664</v>
      </c>
      <c r="K540" s="656" t="s">
        <v>497</v>
      </c>
      <c r="L540" s="656"/>
      <c r="M540" s="657"/>
      <c r="N540" s="1482"/>
      <c r="O540" s="656" t="s">
        <v>498</v>
      </c>
      <c r="P540" s="656" t="s">
        <v>13052</v>
      </c>
      <c r="Q540" s="656">
        <v>44216.786006944443</v>
      </c>
    </row>
    <row r="541" spans="1:17">
      <c r="A541" s="656" t="s">
        <v>9440</v>
      </c>
      <c r="B541" s="657" t="s">
        <v>202</v>
      </c>
      <c r="C541" s="656" t="s">
        <v>9439</v>
      </c>
      <c r="D541" s="657" t="s">
        <v>13789</v>
      </c>
      <c r="E541" s="657" t="s">
        <v>7437</v>
      </c>
      <c r="F541" s="656" t="s">
        <v>604</v>
      </c>
      <c r="G541" s="656" t="s">
        <v>497</v>
      </c>
      <c r="H541" s="656" t="s">
        <v>604</v>
      </c>
      <c r="I541" s="656" t="s">
        <v>14976</v>
      </c>
      <c r="J541" s="656" t="s">
        <v>532</v>
      </c>
      <c r="K541" s="656" t="s">
        <v>497</v>
      </c>
      <c r="L541" s="656"/>
      <c r="M541" s="657"/>
      <c r="N541" s="1482"/>
      <c r="O541" s="656" t="s">
        <v>498</v>
      </c>
      <c r="P541" s="656" t="s">
        <v>13052</v>
      </c>
      <c r="Q541" s="656">
        <v>44216.786006944443</v>
      </c>
    </row>
    <row r="542" spans="1:17">
      <c r="A542" s="656" t="s">
        <v>9442</v>
      </c>
      <c r="B542" s="657" t="s">
        <v>202</v>
      </c>
      <c r="C542" s="656" t="s">
        <v>9441</v>
      </c>
      <c r="D542" s="657" t="s">
        <v>13789</v>
      </c>
      <c r="E542" s="657" t="s">
        <v>7437</v>
      </c>
      <c r="F542" s="656" t="s">
        <v>604</v>
      </c>
      <c r="G542" s="656" t="s">
        <v>497</v>
      </c>
      <c r="H542" s="656" t="s">
        <v>604</v>
      </c>
      <c r="I542" s="656" t="s">
        <v>14976</v>
      </c>
      <c r="J542" s="656" t="s">
        <v>473</v>
      </c>
      <c r="K542" s="656" t="s">
        <v>497</v>
      </c>
      <c r="L542" s="656"/>
      <c r="M542" s="657"/>
      <c r="N542" s="1482"/>
      <c r="O542" s="656" t="s">
        <v>498</v>
      </c>
      <c r="P542" s="656" t="s">
        <v>13052</v>
      </c>
      <c r="Q542" s="656">
        <v>44216.785995370374</v>
      </c>
    </row>
    <row r="543" spans="1:17">
      <c r="A543" s="656" t="s">
        <v>9444</v>
      </c>
      <c r="B543" s="657" t="s">
        <v>202</v>
      </c>
      <c r="C543" s="656" t="s">
        <v>9443</v>
      </c>
      <c r="D543" s="657" t="s">
        <v>13789</v>
      </c>
      <c r="E543" s="657" t="s">
        <v>7437</v>
      </c>
      <c r="F543" s="656" t="s">
        <v>604</v>
      </c>
      <c r="G543" s="656" t="s">
        <v>497</v>
      </c>
      <c r="H543" s="656" t="s">
        <v>604</v>
      </c>
      <c r="I543" s="656" t="s">
        <v>14976</v>
      </c>
      <c r="J543" s="656" t="s">
        <v>459</v>
      </c>
      <c r="K543" s="656" t="s">
        <v>497</v>
      </c>
      <c r="L543" s="656"/>
      <c r="M543" s="657"/>
      <c r="N543" s="1482"/>
      <c r="O543" s="656" t="s">
        <v>498</v>
      </c>
      <c r="P543" s="656" t="s">
        <v>13052</v>
      </c>
      <c r="Q543" s="656">
        <v>44216.785995370374</v>
      </c>
    </row>
    <row r="544" spans="1:17">
      <c r="A544" s="656" t="s">
        <v>9446</v>
      </c>
      <c r="B544" s="657" t="s">
        <v>202</v>
      </c>
      <c r="C544" s="656" t="s">
        <v>9445</v>
      </c>
      <c r="D544" s="657" t="s">
        <v>13789</v>
      </c>
      <c r="E544" s="657" t="s">
        <v>7437</v>
      </c>
      <c r="F544" s="656" t="s">
        <v>604</v>
      </c>
      <c r="G544" s="656" t="s">
        <v>497</v>
      </c>
      <c r="H544" s="656" t="s">
        <v>604</v>
      </c>
      <c r="I544" s="656" t="s">
        <v>14976</v>
      </c>
      <c r="J544" s="656" t="s">
        <v>463</v>
      </c>
      <c r="K544" s="656" t="s">
        <v>497</v>
      </c>
      <c r="L544" s="656"/>
      <c r="M544" s="657"/>
      <c r="N544" s="1482"/>
      <c r="O544" s="656" t="s">
        <v>498</v>
      </c>
      <c r="P544" s="656" t="s">
        <v>13052</v>
      </c>
      <c r="Q544" s="656">
        <v>44216.785983796297</v>
      </c>
    </row>
    <row r="545" spans="1:17">
      <c r="A545" s="656" t="s">
        <v>9448</v>
      </c>
      <c r="B545" s="657" t="s">
        <v>202</v>
      </c>
      <c r="C545" s="656" t="s">
        <v>9447</v>
      </c>
      <c r="D545" s="657" t="s">
        <v>13789</v>
      </c>
      <c r="E545" s="657" t="s">
        <v>7437</v>
      </c>
      <c r="F545" s="656" t="s">
        <v>604</v>
      </c>
      <c r="G545" s="656" t="s">
        <v>497</v>
      </c>
      <c r="H545" s="656" t="s">
        <v>604</v>
      </c>
      <c r="I545" s="656" t="s">
        <v>14976</v>
      </c>
      <c r="J545" s="656" t="s">
        <v>451</v>
      </c>
      <c r="K545" s="656" t="s">
        <v>497</v>
      </c>
      <c r="L545" s="656"/>
      <c r="M545" s="657"/>
      <c r="N545" s="1482"/>
      <c r="O545" s="656" t="s">
        <v>498</v>
      </c>
      <c r="P545" s="656" t="s">
        <v>13052</v>
      </c>
      <c r="Q545" s="656">
        <v>44216.785983796297</v>
      </c>
    </row>
    <row r="546" spans="1:17">
      <c r="A546" s="656" t="s">
        <v>9450</v>
      </c>
      <c r="B546" s="657" t="s">
        <v>202</v>
      </c>
      <c r="C546" s="656" t="s">
        <v>9449</v>
      </c>
      <c r="D546" s="657" t="s">
        <v>13789</v>
      </c>
      <c r="E546" s="657" t="s">
        <v>7437</v>
      </c>
      <c r="F546" s="656" t="s">
        <v>604</v>
      </c>
      <c r="G546" s="656" t="s">
        <v>497</v>
      </c>
      <c r="H546" s="656" t="s">
        <v>604</v>
      </c>
      <c r="I546" s="656" t="s">
        <v>14976</v>
      </c>
      <c r="J546" s="656" t="s">
        <v>446</v>
      </c>
      <c r="K546" s="656" t="s">
        <v>497</v>
      </c>
      <c r="L546" s="656"/>
      <c r="M546" s="657"/>
      <c r="N546" s="1482"/>
      <c r="O546" s="656" t="s">
        <v>498</v>
      </c>
      <c r="P546" s="656" t="s">
        <v>13052</v>
      </c>
      <c r="Q546" s="656">
        <v>44216.78597222222</v>
      </c>
    </row>
    <row r="547" spans="1:17">
      <c r="A547" s="656" t="s">
        <v>9452</v>
      </c>
      <c r="B547" s="657" t="s">
        <v>202</v>
      </c>
      <c r="C547" s="656" t="s">
        <v>9451</v>
      </c>
      <c r="D547" s="657" t="s">
        <v>13789</v>
      </c>
      <c r="E547" s="657" t="s">
        <v>7437</v>
      </c>
      <c r="F547" s="656" t="s">
        <v>604</v>
      </c>
      <c r="G547" s="656" t="s">
        <v>497</v>
      </c>
      <c r="H547" s="656" t="s">
        <v>604</v>
      </c>
      <c r="I547" s="656" t="s">
        <v>14976</v>
      </c>
      <c r="J547" s="656" t="s">
        <v>8814</v>
      </c>
      <c r="K547" s="656" t="s">
        <v>497</v>
      </c>
      <c r="L547" s="656"/>
      <c r="M547" s="657"/>
      <c r="N547" s="1482"/>
      <c r="O547" s="656" t="s">
        <v>498</v>
      </c>
      <c r="P547" s="656" t="s">
        <v>13052</v>
      </c>
      <c r="Q547" s="656">
        <v>44216.78597222222</v>
      </c>
    </row>
    <row r="548" spans="1:17">
      <c r="A548" s="656" t="s">
        <v>15054</v>
      </c>
      <c r="B548" s="657" t="s">
        <v>504</v>
      </c>
      <c r="C548" s="656" t="s">
        <v>15055</v>
      </c>
      <c r="D548" s="657" t="s">
        <v>13789</v>
      </c>
      <c r="E548" s="657" t="s">
        <v>9406</v>
      </c>
      <c r="F548" s="656" t="s">
        <v>505</v>
      </c>
      <c r="G548" s="656" t="s">
        <v>506</v>
      </c>
      <c r="H548" s="656" t="s">
        <v>505</v>
      </c>
      <c r="I548" s="656" t="s">
        <v>14976</v>
      </c>
      <c r="J548" s="656"/>
      <c r="K548" s="656"/>
      <c r="L548" s="656"/>
      <c r="M548" s="657"/>
      <c r="N548" s="1482"/>
      <c r="O548" s="656" t="s">
        <v>498</v>
      </c>
      <c r="P548" s="656" t="s">
        <v>13052</v>
      </c>
      <c r="Q548" s="656">
        <v>44216.785960648151</v>
      </c>
    </row>
    <row r="549" spans="1:17">
      <c r="A549" s="656" t="s">
        <v>9454</v>
      </c>
      <c r="B549" s="657" t="s">
        <v>202</v>
      </c>
      <c r="C549" s="656" t="s">
        <v>9453</v>
      </c>
      <c r="D549" s="657" t="s">
        <v>13789</v>
      </c>
      <c r="E549" s="657" t="s">
        <v>7437</v>
      </c>
      <c r="F549" s="656" t="s">
        <v>537</v>
      </c>
      <c r="G549" s="656" t="s">
        <v>512</v>
      </c>
      <c r="H549" s="656" t="s">
        <v>537</v>
      </c>
      <c r="I549" s="656" t="s">
        <v>14976</v>
      </c>
      <c r="J549" s="656" t="s">
        <v>473</v>
      </c>
      <c r="K549" s="656" t="s">
        <v>4161</v>
      </c>
      <c r="L549" s="656"/>
      <c r="M549" s="657"/>
      <c r="N549" s="1482"/>
      <c r="O549" s="656" t="s">
        <v>498</v>
      </c>
      <c r="P549" s="656" t="s">
        <v>13052</v>
      </c>
      <c r="Q549" s="656">
        <v>44216.785960648151</v>
      </c>
    </row>
    <row r="550" spans="1:17">
      <c r="A550" s="656" t="s">
        <v>9456</v>
      </c>
      <c r="B550" s="657" t="s">
        <v>202</v>
      </c>
      <c r="C550" s="656" t="s">
        <v>9455</v>
      </c>
      <c r="D550" s="657" t="s">
        <v>13789</v>
      </c>
      <c r="E550" s="657" t="s">
        <v>7437</v>
      </c>
      <c r="F550" s="656" t="s">
        <v>462</v>
      </c>
      <c r="G550" s="656" t="s">
        <v>711</v>
      </c>
      <c r="H550" s="656" t="s">
        <v>462</v>
      </c>
      <c r="I550" s="656" t="s">
        <v>14976</v>
      </c>
      <c r="J550" s="656" t="s">
        <v>463</v>
      </c>
      <c r="K550" s="656" t="s">
        <v>1058</v>
      </c>
      <c r="L550" s="656"/>
      <c r="M550" s="657"/>
      <c r="N550" s="1482"/>
      <c r="O550" s="656" t="s">
        <v>498</v>
      </c>
      <c r="P550" s="656" t="s">
        <v>13052</v>
      </c>
      <c r="Q550" s="656">
        <v>44216.785960648151</v>
      </c>
    </row>
    <row r="551" spans="1:17">
      <c r="A551" s="656" t="s">
        <v>9457</v>
      </c>
      <c r="B551" s="657" t="s">
        <v>202</v>
      </c>
      <c r="C551" s="656" t="s">
        <v>2535</v>
      </c>
      <c r="D551" s="657" t="s">
        <v>13789</v>
      </c>
      <c r="E551" s="657" t="s">
        <v>9458</v>
      </c>
      <c r="F551" s="656" t="s">
        <v>1300</v>
      </c>
      <c r="G551" s="656" t="s">
        <v>1301</v>
      </c>
      <c r="H551" s="656" t="s">
        <v>1300</v>
      </c>
      <c r="I551" s="656" t="s">
        <v>14976</v>
      </c>
      <c r="J551" s="656" t="s">
        <v>463</v>
      </c>
      <c r="K551" s="656"/>
      <c r="L551" s="656"/>
      <c r="M551" s="657"/>
      <c r="N551" s="1482"/>
      <c r="O551" s="656" t="s">
        <v>498</v>
      </c>
      <c r="P551" s="656" t="s">
        <v>13052</v>
      </c>
      <c r="Q551" s="656">
        <v>44216.785949074074</v>
      </c>
    </row>
    <row r="552" spans="1:17">
      <c r="A552" s="656" t="s">
        <v>9460</v>
      </c>
      <c r="B552" s="657" t="s">
        <v>504</v>
      </c>
      <c r="C552" s="656" t="s">
        <v>9459</v>
      </c>
      <c r="D552" s="657" t="s">
        <v>13789</v>
      </c>
      <c r="E552" s="657" t="s">
        <v>9406</v>
      </c>
      <c r="F552" s="656" t="s">
        <v>505</v>
      </c>
      <c r="G552" s="656" t="s">
        <v>660</v>
      </c>
      <c r="H552" s="656" t="s">
        <v>505</v>
      </c>
      <c r="I552" s="656" t="s">
        <v>14976</v>
      </c>
      <c r="J552" s="656"/>
      <c r="K552" s="656"/>
      <c r="L552" s="656" t="s">
        <v>12847</v>
      </c>
      <c r="M552" s="657"/>
      <c r="N552" s="1482"/>
      <c r="O552" s="656" t="s">
        <v>498</v>
      </c>
      <c r="P552" s="656" t="s">
        <v>13052</v>
      </c>
      <c r="Q552" s="656">
        <v>44216.785937499997</v>
      </c>
    </row>
    <row r="553" spans="1:17">
      <c r="A553" s="656" t="s">
        <v>9462</v>
      </c>
      <c r="B553" s="657" t="s">
        <v>504</v>
      </c>
      <c r="C553" s="656" t="s">
        <v>9461</v>
      </c>
      <c r="D553" s="657" t="s">
        <v>13789</v>
      </c>
      <c r="E553" s="657" t="s">
        <v>7437</v>
      </c>
      <c r="F553" s="656" t="s">
        <v>540</v>
      </c>
      <c r="G553" s="656" t="s">
        <v>541</v>
      </c>
      <c r="H553" s="656" t="s">
        <v>540</v>
      </c>
      <c r="I553" s="656"/>
      <c r="J553" s="656"/>
      <c r="K553" s="656"/>
      <c r="L553" s="656"/>
      <c r="M553" s="657"/>
      <c r="N553" s="1482"/>
      <c r="O553" s="656" t="s">
        <v>498</v>
      </c>
      <c r="P553" s="656" t="s">
        <v>13052</v>
      </c>
      <c r="Q553" s="656">
        <v>44216.785937499997</v>
      </c>
    </row>
    <row r="554" spans="1:17">
      <c r="A554" s="656" t="s">
        <v>9464</v>
      </c>
      <c r="B554" s="657" t="s">
        <v>202</v>
      </c>
      <c r="C554" s="656" t="s">
        <v>9463</v>
      </c>
      <c r="D554" s="657" t="s">
        <v>13789</v>
      </c>
      <c r="E554" s="657" t="s">
        <v>7437</v>
      </c>
      <c r="F554" s="656" t="s">
        <v>472</v>
      </c>
      <c r="G554" s="656" t="s">
        <v>519</v>
      </c>
      <c r="H554" s="656" t="s">
        <v>472</v>
      </c>
      <c r="I554" s="656" t="s">
        <v>14976</v>
      </c>
      <c r="J554" s="656" t="s">
        <v>12368</v>
      </c>
      <c r="K554" s="656" t="s">
        <v>1058</v>
      </c>
      <c r="L554" s="656"/>
      <c r="M554" s="657"/>
      <c r="N554" s="1482"/>
      <c r="O554" s="656" t="s">
        <v>498</v>
      </c>
      <c r="P554" s="656" t="s">
        <v>13052</v>
      </c>
      <c r="Q554" s="656">
        <v>44216.785937499997</v>
      </c>
    </row>
    <row r="555" spans="1:17">
      <c r="A555" s="656" t="s">
        <v>9465</v>
      </c>
      <c r="B555" s="657" t="s">
        <v>504</v>
      </c>
      <c r="C555" s="656" t="s">
        <v>14054</v>
      </c>
      <c r="D555" s="657" t="s">
        <v>13789</v>
      </c>
      <c r="E555" s="657" t="s">
        <v>7437</v>
      </c>
      <c r="F555" s="656" t="s">
        <v>540</v>
      </c>
      <c r="G555" s="656" t="s">
        <v>541</v>
      </c>
      <c r="H555" s="656" t="s">
        <v>540</v>
      </c>
      <c r="I555" s="656"/>
      <c r="J555" s="656"/>
      <c r="K555" s="656"/>
      <c r="L555" s="656"/>
      <c r="M555" s="657"/>
      <c r="N555" s="1482"/>
      <c r="O555" s="656" t="s">
        <v>498</v>
      </c>
      <c r="P555" s="656" t="s">
        <v>13052</v>
      </c>
      <c r="Q555" s="656">
        <v>44216.785925925928</v>
      </c>
    </row>
    <row r="556" spans="1:17">
      <c r="A556" s="656" t="s">
        <v>9467</v>
      </c>
      <c r="B556" s="657" t="s">
        <v>202</v>
      </c>
      <c r="C556" s="656" t="s">
        <v>9466</v>
      </c>
      <c r="D556" s="657" t="s">
        <v>13789</v>
      </c>
      <c r="E556" s="657" t="s">
        <v>7437</v>
      </c>
      <c r="F556" s="656" t="s">
        <v>1206</v>
      </c>
      <c r="G556" s="656"/>
      <c r="H556" s="656" t="s">
        <v>1206</v>
      </c>
      <c r="I556" s="656" t="s">
        <v>14976</v>
      </c>
      <c r="J556" s="656" t="s">
        <v>459</v>
      </c>
      <c r="K556" s="656"/>
      <c r="L556" s="656"/>
      <c r="M556" s="657"/>
      <c r="N556" s="1482"/>
      <c r="O556" s="656" t="s">
        <v>498</v>
      </c>
      <c r="P556" s="656" t="s">
        <v>13052</v>
      </c>
      <c r="Q556" s="656">
        <v>44216.785925925928</v>
      </c>
    </row>
    <row r="557" spans="1:17">
      <c r="A557" s="656" t="s">
        <v>9469</v>
      </c>
      <c r="B557" s="657" t="s">
        <v>202</v>
      </c>
      <c r="C557" s="656" t="s">
        <v>9468</v>
      </c>
      <c r="D557" s="657" t="s">
        <v>13789</v>
      </c>
      <c r="E557" s="657" t="s">
        <v>7437</v>
      </c>
      <c r="F557" s="656" t="s">
        <v>1206</v>
      </c>
      <c r="G557" s="656"/>
      <c r="H557" s="656" t="s">
        <v>1206</v>
      </c>
      <c r="I557" s="656" t="s">
        <v>14976</v>
      </c>
      <c r="J557" s="656" t="s">
        <v>459</v>
      </c>
      <c r="K557" s="656"/>
      <c r="L557" s="656"/>
      <c r="M557" s="657"/>
      <c r="N557" s="1482"/>
      <c r="O557" s="656" t="s">
        <v>498</v>
      </c>
      <c r="P557" s="656" t="s">
        <v>13052</v>
      </c>
      <c r="Q557" s="656">
        <v>44216.785914351851</v>
      </c>
    </row>
    <row r="558" spans="1:17">
      <c r="A558" s="656" t="s">
        <v>9470</v>
      </c>
      <c r="B558" s="657" t="s">
        <v>202</v>
      </c>
      <c r="C558" s="656" t="s">
        <v>14052</v>
      </c>
      <c r="D558" s="657" t="s">
        <v>13789</v>
      </c>
      <c r="E558" s="657" t="s">
        <v>9406</v>
      </c>
      <c r="F558" s="656" t="s">
        <v>8807</v>
      </c>
      <c r="G558" s="656"/>
      <c r="H558" s="656" t="s">
        <v>8807</v>
      </c>
      <c r="I558" s="656" t="s">
        <v>14976</v>
      </c>
      <c r="J558" s="656" t="s">
        <v>8814</v>
      </c>
      <c r="K558" s="656" t="s">
        <v>1058</v>
      </c>
      <c r="L558" s="656"/>
      <c r="M558" s="657"/>
      <c r="N558" s="1482"/>
      <c r="O558" s="656" t="s">
        <v>498</v>
      </c>
      <c r="P558" s="656" t="s">
        <v>13052</v>
      </c>
      <c r="Q558" s="656">
        <v>44216.785914351851</v>
      </c>
    </row>
    <row r="559" spans="1:17">
      <c r="A559" s="656" t="s">
        <v>9472</v>
      </c>
      <c r="B559" s="657" t="s">
        <v>202</v>
      </c>
      <c r="C559" s="656" t="s">
        <v>9471</v>
      </c>
      <c r="D559" s="657" t="s">
        <v>13789</v>
      </c>
      <c r="E559" s="657" t="s">
        <v>7437</v>
      </c>
      <c r="F559" s="656" t="s">
        <v>8636</v>
      </c>
      <c r="G559" s="656" t="s">
        <v>552</v>
      </c>
      <c r="H559" s="656" t="s">
        <v>8636</v>
      </c>
      <c r="I559" s="656" t="s">
        <v>14976</v>
      </c>
      <c r="J559" s="656" t="s">
        <v>451</v>
      </c>
      <c r="K559" s="656" t="s">
        <v>1058</v>
      </c>
      <c r="L559" s="656"/>
      <c r="M559" s="657"/>
      <c r="N559" s="1482"/>
      <c r="O559" s="656" t="s">
        <v>498</v>
      </c>
      <c r="P559" s="656" t="s">
        <v>13052</v>
      </c>
      <c r="Q559" s="656">
        <v>44216.785914351851</v>
      </c>
    </row>
    <row r="560" spans="1:17">
      <c r="A560" s="656" t="s">
        <v>12950</v>
      </c>
      <c r="B560" s="657" t="s">
        <v>504</v>
      </c>
      <c r="C560" s="656" t="s">
        <v>14051</v>
      </c>
      <c r="D560" s="657" t="s">
        <v>13789</v>
      </c>
      <c r="E560" s="657" t="s">
        <v>9406</v>
      </c>
      <c r="F560" s="656" t="s">
        <v>505</v>
      </c>
      <c r="G560" s="656" t="s">
        <v>660</v>
      </c>
      <c r="H560" s="656" t="s">
        <v>505</v>
      </c>
      <c r="I560" s="656"/>
      <c r="J560" s="656"/>
      <c r="K560" s="656"/>
      <c r="L560" s="656" t="s">
        <v>15053</v>
      </c>
      <c r="M560" s="657"/>
      <c r="N560" s="1482"/>
      <c r="O560" s="656" t="s">
        <v>498</v>
      </c>
      <c r="P560" s="656" t="s">
        <v>13052</v>
      </c>
      <c r="Q560" s="656">
        <v>44216.785902777781</v>
      </c>
    </row>
    <row r="561" spans="1:17">
      <c r="A561" s="656" t="s">
        <v>12951</v>
      </c>
      <c r="B561" s="657" t="s">
        <v>504</v>
      </c>
      <c r="C561" s="656" t="s">
        <v>14050</v>
      </c>
      <c r="D561" s="657" t="s">
        <v>13789</v>
      </c>
      <c r="E561" s="657" t="s">
        <v>9406</v>
      </c>
      <c r="F561" s="656" t="s">
        <v>505</v>
      </c>
      <c r="G561" s="656" t="s">
        <v>660</v>
      </c>
      <c r="H561" s="656" t="s">
        <v>505</v>
      </c>
      <c r="I561" s="656"/>
      <c r="J561" s="656"/>
      <c r="K561" s="656"/>
      <c r="L561" s="656" t="s">
        <v>15053</v>
      </c>
      <c r="M561" s="657"/>
      <c r="N561" s="1482"/>
      <c r="O561" s="656" t="s">
        <v>498</v>
      </c>
      <c r="P561" s="656" t="s">
        <v>13052</v>
      </c>
      <c r="Q561" s="656">
        <v>44216.785902777781</v>
      </c>
    </row>
    <row r="562" spans="1:17">
      <c r="A562" s="656" t="s">
        <v>9474</v>
      </c>
      <c r="B562" s="657" t="s">
        <v>504</v>
      </c>
      <c r="C562" s="656" t="s">
        <v>9473</v>
      </c>
      <c r="D562" s="657" t="s">
        <v>13789</v>
      </c>
      <c r="E562" s="657" t="s">
        <v>9406</v>
      </c>
      <c r="F562" s="656" t="s">
        <v>505</v>
      </c>
      <c r="G562" s="656" t="s">
        <v>660</v>
      </c>
      <c r="H562" s="656" t="s">
        <v>505</v>
      </c>
      <c r="I562" s="656" t="s">
        <v>14976</v>
      </c>
      <c r="J562" s="656"/>
      <c r="K562" s="656"/>
      <c r="L562" s="656"/>
      <c r="M562" s="657"/>
      <c r="N562" s="1482"/>
      <c r="O562" s="656" t="s">
        <v>498</v>
      </c>
      <c r="P562" s="656" t="s">
        <v>13052</v>
      </c>
      <c r="Q562" s="656">
        <v>44216.785891203705</v>
      </c>
    </row>
    <row r="563" spans="1:17">
      <c r="A563" s="656" t="s">
        <v>9476</v>
      </c>
      <c r="B563" s="657" t="s">
        <v>202</v>
      </c>
      <c r="C563" s="656" t="s">
        <v>9475</v>
      </c>
      <c r="D563" s="657" t="s">
        <v>13789</v>
      </c>
      <c r="E563" s="657" t="s">
        <v>9406</v>
      </c>
      <c r="F563" s="656" t="s">
        <v>472</v>
      </c>
      <c r="G563" s="656" t="s">
        <v>519</v>
      </c>
      <c r="H563" s="656" t="s">
        <v>472</v>
      </c>
      <c r="I563" s="656" t="s">
        <v>14976</v>
      </c>
      <c r="J563" s="656" t="s">
        <v>12368</v>
      </c>
      <c r="K563" s="656" t="s">
        <v>1058</v>
      </c>
      <c r="L563" s="656"/>
      <c r="M563" s="657"/>
      <c r="N563" s="1482"/>
      <c r="O563" s="656" t="s">
        <v>498</v>
      </c>
      <c r="P563" s="656" t="s">
        <v>13052</v>
      </c>
      <c r="Q563" s="656">
        <v>44216.785891203705</v>
      </c>
    </row>
    <row r="564" spans="1:17">
      <c r="A564" s="656" t="s">
        <v>9478</v>
      </c>
      <c r="B564" s="657" t="s">
        <v>202</v>
      </c>
      <c r="C564" s="656" t="s">
        <v>14049</v>
      </c>
      <c r="D564" s="657" t="s">
        <v>13789</v>
      </c>
      <c r="E564" s="657" t="s">
        <v>7437</v>
      </c>
      <c r="F564" s="656" t="s">
        <v>445</v>
      </c>
      <c r="G564" s="656"/>
      <c r="H564" s="656" t="s">
        <v>445</v>
      </c>
      <c r="I564" s="656" t="s">
        <v>14976</v>
      </c>
      <c r="J564" s="656" t="s">
        <v>8814</v>
      </c>
      <c r="K564" s="656" t="s">
        <v>445</v>
      </c>
      <c r="L564" s="656"/>
      <c r="M564" s="657"/>
      <c r="N564" s="1482"/>
      <c r="O564" s="656" t="s">
        <v>498</v>
      </c>
      <c r="P564" s="656" t="s">
        <v>13052</v>
      </c>
      <c r="Q564" s="656">
        <v>44216.785879629628</v>
      </c>
    </row>
    <row r="565" spans="1:17">
      <c r="A565" s="656" t="s">
        <v>9480</v>
      </c>
      <c r="B565" s="657" t="s">
        <v>504</v>
      </c>
      <c r="C565" s="656" t="s">
        <v>9479</v>
      </c>
      <c r="D565" s="657" t="s">
        <v>13789</v>
      </c>
      <c r="E565" s="657" t="s">
        <v>9406</v>
      </c>
      <c r="F565" s="656" t="s">
        <v>505</v>
      </c>
      <c r="G565" s="656" t="s">
        <v>525</v>
      </c>
      <c r="H565" s="656" t="s">
        <v>505</v>
      </c>
      <c r="I565" s="656" t="s">
        <v>14976</v>
      </c>
      <c r="J565" s="656"/>
      <c r="K565" s="656"/>
      <c r="L565" s="656"/>
      <c r="M565" s="657"/>
      <c r="N565" s="1482"/>
      <c r="O565" s="656" t="s">
        <v>498</v>
      </c>
      <c r="P565" s="656" t="s">
        <v>13052</v>
      </c>
      <c r="Q565" s="656">
        <v>44216.785879629628</v>
      </c>
    </row>
    <row r="566" spans="1:17">
      <c r="A566" s="656" t="s">
        <v>9482</v>
      </c>
      <c r="B566" s="657" t="s">
        <v>504</v>
      </c>
      <c r="C566" s="656" t="s">
        <v>9481</v>
      </c>
      <c r="D566" s="657" t="s">
        <v>13789</v>
      </c>
      <c r="E566" s="657" t="s">
        <v>9406</v>
      </c>
      <c r="F566" s="656" t="s">
        <v>505</v>
      </c>
      <c r="G566" s="656" t="s">
        <v>525</v>
      </c>
      <c r="H566" s="656" t="s">
        <v>505</v>
      </c>
      <c r="I566" s="656" t="s">
        <v>14976</v>
      </c>
      <c r="J566" s="656"/>
      <c r="K566" s="656"/>
      <c r="L566" s="656"/>
      <c r="M566" s="657"/>
      <c r="N566" s="1482"/>
      <c r="O566" s="656" t="s">
        <v>498</v>
      </c>
      <c r="P566" s="656" t="s">
        <v>13052</v>
      </c>
      <c r="Q566" s="656">
        <v>44216.785879629628</v>
      </c>
    </row>
    <row r="567" spans="1:17">
      <c r="A567" s="656" t="s">
        <v>9484</v>
      </c>
      <c r="B567" s="657" t="s">
        <v>202</v>
      </c>
      <c r="C567" s="656" t="s">
        <v>9483</v>
      </c>
      <c r="D567" s="657" t="s">
        <v>13789</v>
      </c>
      <c r="E567" s="657" t="s">
        <v>7435</v>
      </c>
      <c r="F567" s="656" t="s">
        <v>537</v>
      </c>
      <c r="G567" s="656" t="s">
        <v>512</v>
      </c>
      <c r="H567" s="656" t="s">
        <v>537</v>
      </c>
      <c r="I567" s="656" t="s">
        <v>14976</v>
      </c>
      <c r="J567" s="656" t="s">
        <v>473</v>
      </c>
      <c r="K567" s="656" t="s">
        <v>4161</v>
      </c>
      <c r="L567" s="656"/>
      <c r="M567" s="657"/>
      <c r="N567" s="1482"/>
      <c r="O567" s="656" t="s">
        <v>498</v>
      </c>
      <c r="P567" s="656" t="s">
        <v>13052</v>
      </c>
      <c r="Q567" s="656">
        <v>44216.785868055558</v>
      </c>
    </row>
    <row r="568" spans="1:17">
      <c r="A568" s="656" t="s">
        <v>9486</v>
      </c>
      <c r="B568" s="657" t="s">
        <v>202</v>
      </c>
      <c r="C568" s="656" t="s">
        <v>9485</v>
      </c>
      <c r="D568" s="657" t="s">
        <v>13789</v>
      </c>
      <c r="E568" s="657" t="s">
        <v>9406</v>
      </c>
      <c r="F568" s="656" t="s">
        <v>537</v>
      </c>
      <c r="G568" s="656" t="s">
        <v>512</v>
      </c>
      <c r="H568" s="656" t="s">
        <v>537</v>
      </c>
      <c r="I568" s="656" t="s">
        <v>14976</v>
      </c>
      <c r="J568" s="656" t="s">
        <v>473</v>
      </c>
      <c r="K568" s="656" t="s">
        <v>4161</v>
      </c>
      <c r="L568" s="656"/>
      <c r="M568" s="657"/>
      <c r="N568" s="1482"/>
      <c r="O568" s="656" t="s">
        <v>498</v>
      </c>
      <c r="P568" s="656" t="s">
        <v>13052</v>
      </c>
      <c r="Q568" s="656">
        <v>44216.785868055558</v>
      </c>
    </row>
    <row r="569" spans="1:17">
      <c r="A569" s="656" t="s">
        <v>9488</v>
      </c>
      <c r="B569" s="657" t="s">
        <v>504</v>
      </c>
      <c r="C569" s="656" t="s">
        <v>9487</v>
      </c>
      <c r="D569" s="657" t="s">
        <v>13789</v>
      </c>
      <c r="E569" s="657" t="s">
        <v>9406</v>
      </c>
      <c r="F569" s="656" t="s">
        <v>505</v>
      </c>
      <c r="G569" s="656" t="s">
        <v>525</v>
      </c>
      <c r="H569" s="656" t="s">
        <v>505</v>
      </c>
      <c r="I569" s="656" t="s">
        <v>14976</v>
      </c>
      <c r="J569" s="656"/>
      <c r="K569" s="656"/>
      <c r="L569" s="656"/>
      <c r="M569" s="657"/>
      <c r="N569" s="1482"/>
      <c r="O569" s="656" t="s">
        <v>498</v>
      </c>
      <c r="P569" s="656" t="s">
        <v>13052</v>
      </c>
      <c r="Q569" s="656">
        <v>44216.785868055558</v>
      </c>
    </row>
    <row r="570" spans="1:17">
      <c r="A570" s="656" t="s">
        <v>9489</v>
      </c>
      <c r="B570" s="657" t="s">
        <v>504</v>
      </c>
      <c r="C570" s="656" t="s">
        <v>9064</v>
      </c>
      <c r="D570" s="657" t="s">
        <v>13789</v>
      </c>
      <c r="E570" s="657" t="s">
        <v>9406</v>
      </c>
      <c r="F570" s="656" t="s">
        <v>505</v>
      </c>
      <c r="G570" s="656" t="s">
        <v>660</v>
      </c>
      <c r="H570" s="656" t="s">
        <v>505</v>
      </c>
      <c r="I570" s="656" t="s">
        <v>14976</v>
      </c>
      <c r="J570" s="656"/>
      <c r="K570" s="656"/>
      <c r="L570" s="656"/>
      <c r="M570" s="657"/>
      <c r="N570" s="1482"/>
      <c r="O570" s="656" t="s">
        <v>498</v>
      </c>
      <c r="P570" s="656" t="s">
        <v>13052</v>
      </c>
      <c r="Q570" s="656">
        <v>44216.785856481481</v>
      </c>
    </row>
    <row r="571" spans="1:17">
      <c r="A571" s="656" t="s">
        <v>9491</v>
      </c>
      <c r="B571" s="657" t="s">
        <v>202</v>
      </c>
      <c r="C571" s="656" t="s">
        <v>9490</v>
      </c>
      <c r="D571" s="657" t="s">
        <v>13789</v>
      </c>
      <c r="E571" s="657" t="s">
        <v>9406</v>
      </c>
      <c r="F571" s="656" t="s">
        <v>462</v>
      </c>
      <c r="G571" s="656" t="s">
        <v>512</v>
      </c>
      <c r="H571" s="656" t="s">
        <v>462</v>
      </c>
      <c r="I571" s="656" t="s">
        <v>14976</v>
      </c>
      <c r="J571" s="656" t="s">
        <v>463</v>
      </c>
      <c r="K571" s="656" t="s">
        <v>1924</v>
      </c>
      <c r="L571" s="656"/>
      <c r="M571" s="657"/>
      <c r="N571" s="1482"/>
      <c r="O571" s="656" t="s">
        <v>498</v>
      </c>
      <c r="P571" s="656" t="s">
        <v>13052</v>
      </c>
      <c r="Q571" s="656">
        <v>44216.785856481481</v>
      </c>
    </row>
    <row r="572" spans="1:17">
      <c r="A572" s="656" t="s">
        <v>9493</v>
      </c>
      <c r="B572" s="657" t="s">
        <v>202</v>
      </c>
      <c r="C572" s="656" t="s">
        <v>9492</v>
      </c>
      <c r="D572" s="657" t="s">
        <v>13789</v>
      </c>
      <c r="E572" s="657" t="s">
        <v>9406</v>
      </c>
      <c r="F572" s="656" t="s">
        <v>462</v>
      </c>
      <c r="G572" s="656" t="s">
        <v>512</v>
      </c>
      <c r="H572" s="656" t="s">
        <v>462</v>
      </c>
      <c r="I572" s="656" t="s">
        <v>14976</v>
      </c>
      <c r="J572" s="656" t="s">
        <v>463</v>
      </c>
      <c r="K572" s="656" t="s">
        <v>1924</v>
      </c>
      <c r="L572" s="656"/>
      <c r="M572" s="657"/>
      <c r="N572" s="1482"/>
      <c r="O572" s="656" t="s">
        <v>498</v>
      </c>
      <c r="P572" s="656" t="s">
        <v>13052</v>
      </c>
      <c r="Q572" s="656">
        <v>44216.785844907405</v>
      </c>
    </row>
    <row r="573" spans="1:17">
      <c r="A573" s="656" t="s">
        <v>9495</v>
      </c>
      <c r="B573" s="657" t="s">
        <v>531</v>
      </c>
      <c r="C573" s="656" t="s">
        <v>9494</v>
      </c>
      <c r="D573" s="657" t="s">
        <v>14978</v>
      </c>
      <c r="E573" s="657" t="s">
        <v>7437</v>
      </c>
      <c r="F573" s="656" t="s">
        <v>442</v>
      </c>
      <c r="G573" s="656" t="s">
        <v>561</v>
      </c>
      <c r="H573" s="656" t="s">
        <v>442</v>
      </c>
      <c r="I573" s="656" t="s">
        <v>14976</v>
      </c>
      <c r="J573" s="656" t="s">
        <v>12369</v>
      </c>
      <c r="K573" s="656" t="s">
        <v>1058</v>
      </c>
      <c r="L573" s="656" t="s">
        <v>9497</v>
      </c>
      <c r="M573" s="657"/>
      <c r="N573" s="1482"/>
      <c r="O573" s="656" t="s">
        <v>498</v>
      </c>
      <c r="P573" s="656" t="s">
        <v>13052</v>
      </c>
      <c r="Q573" s="656">
        <v>44216.785844907405</v>
      </c>
    </row>
    <row r="574" spans="1:17">
      <c r="A574" s="656" t="s">
        <v>9497</v>
      </c>
      <c r="B574" s="657" t="s">
        <v>202</v>
      </c>
      <c r="C574" s="656" t="s">
        <v>9496</v>
      </c>
      <c r="D574" s="657" t="s">
        <v>14977</v>
      </c>
      <c r="E574" s="657" t="s">
        <v>7437</v>
      </c>
      <c r="F574" s="656" t="s">
        <v>472</v>
      </c>
      <c r="G574" s="656" t="s">
        <v>519</v>
      </c>
      <c r="H574" s="656" t="s">
        <v>472</v>
      </c>
      <c r="I574" s="656" t="s">
        <v>14976</v>
      </c>
      <c r="J574" s="656" t="s">
        <v>12369</v>
      </c>
      <c r="K574" s="656" t="s">
        <v>1058</v>
      </c>
      <c r="L574" s="656"/>
      <c r="M574" s="657"/>
      <c r="N574" s="1482"/>
      <c r="O574" s="656" t="s">
        <v>498</v>
      </c>
      <c r="P574" s="656" t="s">
        <v>13052</v>
      </c>
      <c r="Q574" s="656">
        <v>44216.785833333335</v>
      </c>
    </row>
    <row r="575" spans="1:17">
      <c r="A575" s="656" t="s">
        <v>9499</v>
      </c>
      <c r="B575" s="657" t="s">
        <v>531</v>
      </c>
      <c r="C575" s="656" t="s">
        <v>9498</v>
      </c>
      <c r="D575" s="657" t="s">
        <v>14978</v>
      </c>
      <c r="E575" s="657" t="s">
        <v>7437</v>
      </c>
      <c r="F575" s="656" t="s">
        <v>442</v>
      </c>
      <c r="G575" s="656" t="s">
        <v>561</v>
      </c>
      <c r="H575" s="656" t="s">
        <v>442</v>
      </c>
      <c r="I575" s="656" t="s">
        <v>14976</v>
      </c>
      <c r="J575" s="656" t="s">
        <v>12369</v>
      </c>
      <c r="K575" s="656" t="s">
        <v>1058</v>
      </c>
      <c r="L575" s="656" t="s">
        <v>14044</v>
      </c>
      <c r="M575" s="657"/>
      <c r="N575" s="1482"/>
      <c r="O575" s="656" t="s">
        <v>498</v>
      </c>
      <c r="P575" s="656" t="s">
        <v>13052</v>
      </c>
      <c r="Q575" s="656">
        <v>44216.785833333335</v>
      </c>
    </row>
    <row r="576" spans="1:17">
      <c r="A576" s="656" t="s">
        <v>14044</v>
      </c>
      <c r="B576" s="657" t="s">
        <v>202</v>
      </c>
      <c r="C576" s="656" t="s">
        <v>9496</v>
      </c>
      <c r="D576" s="657" t="s">
        <v>14977</v>
      </c>
      <c r="E576" s="657"/>
      <c r="F576" s="656" t="s">
        <v>472</v>
      </c>
      <c r="G576" s="656" t="s">
        <v>519</v>
      </c>
      <c r="H576" s="656" t="s">
        <v>472</v>
      </c>
      <c r="I576" s="656" t="s">
        <v>14976</v>
      </c>
      <c r="J576" s="656" t="s">
        <v>12369</v>
      </c>
      <c r="K576" s="656" t="s">
        <v>1058</v>
      </c>
      <c r="L576" s="656"/>
      <c r="M576" s="657"/>
      <c r="N576" s="1482"/>
      <c r="O576" s="656" t="s">
        <v>498</v>
      </c>
      <c r="P576" s="656" t="s">
        <v>13052</v>
      </c>
      <c r="Q576" s="656">
        <v>44216.785821759258</v>
      </c>
    </row>
    <row r="577" spans="1:17">
      <c r="A577" s="656" t="s">
        <v>9501</v>
      </c>
      <c r="B577" s="657" t="s">
        <v>202</v>
      </c>
      <c r="C577" s="656" t="s">
        <v>9500</v>
      </c>
      <c r="D577" s="657" t="s">
        <v>13789</v>
      </c>
      <c r="E577" s="657" t="s">
        <v>9406</v>
      </c>
      <c r="F577" s="656" t="s">
        <v>4052</v>
      </c>
      <c r="G577" s="656" t="s">
        <v>922</v>
      </c>
      <c r="H577" s="656" t="s">
        <v>455</v>
      </c>
      <c r="I577" s="656" t="s">
        <v>14976</v>
      </c>
      <c r="J577" s="656" t="s">
        <v>451</v>
      </c>
      <c r="K577" s="656" t="s">
        <v>1058</v>
      </c>
      <c r="L577" s="656"/>
      <c r="M577" s="657"/>
      <c r="N577" s="1482"/>
      <c r="O577" s="656" t="s">
        <v>498</v>
      </c>
      <c r="P577" s="656" t="s">
        <v>13052</v>
      </c>
      <c r="Q577" s="656">
        <v>44216.785821759258</v>
      </c>
    </row>
    <row r="578" spans="1:17">
      <c r="A578" s="656" t="s">
        <v>9503</v>
      </c>
      <c r="B578" s="657" t="s">
        <v>202</v>
      </c>
      <c r="C578" s="656" t="s">
        <v>9502</v>
      </c>
      <c r="D578" s="657" t="s">
        <v>13789</v>
      </c>
      <c r="E578" s="657" t="s">
        <v>9406</v>
      </c>
      <c r="F578" s="656" t="s">
        <v>8636</v>
      </c>
      <c r="G578" s="656" t="s">
        <v>552</v>
      </c>
      <c r="H578" s="656" t="s">
        <v>8636</v>
      </c>
      <c r="I578" s="656" t="s">
        <v>14976</v>
      </c>
      <c r="J578" s="656" t="s">
        <v>451</v>
      </c>
      <c r="K578" s="656" t="s">
        <v>1058</v>
      </c>
      <c r="L578" s="656"/>
      <c r="M578" s="657"/>
      <c r="N578" s="1482"/>
      <c r="O578" s="656" t="s">
        <v>498</v>
      </c>
      <c r="P578" s="656" t="s">
        <v>13052</v>
      </c>
      <c r="Q578" s="656">
        <v>44216.785821759258</v>
      </c>
    </row>
    <row r="579" spans="1:17">
      <c r="A579" s="656" t="s">
        <v>9505</v>
      </c>
      <c r="B579" s="657" t="s">
        <v>202</v>
      </c>
      <c r="C579" s="656" t="s">
        <v>9504</v>
      </c>
      <c r="D579" s="657" t="s">
        <v>13789</v>
      </c>
      <c r="E579" s="657" t="s">
        <v>9406</v>
      </c>
      <c r="F579" s="656" t="s">
        <v>537</v>
      </c>
      <c r="G579" s="656"/>
      <c r="H579" s="656" t="s">
        <v>537</v>
      </c>
      <c r="I579" s="656" t="s">
        <v>14976</v>
      </c>
      <c r="J579" s="656" t="s">
        <v>473</v>
      </c>
      <c r="K579" s="656" t="s">
        <v>4161</v>
      </c>
      <c r="L579" s="656"/>
      <c r="M579" s="657"/>
      <c r="N579" s="1482"/>
      <c r="O579" s="656" t="s">
        <v>498</v>
      </c>
      <c r="P579" s="656" t="s">
        <v>13052</v>
      </c>
      <c r="Q579" s="656">
        <v>44216.785810185182</v>
      </c>
    </row>
    <row r="580" spans="1:17">
      <c r="A580" s="656" t="s">
        <v>9507</v>
      </c>
      <c r="B580" s="657" t="s">
        <v>531</v>
      </c>
      <c r="C580" s="656" t="s">
        <v>9506</v>
      </c>
      <c r="D580" s="657" t="s">
        <v>13789</v>
      </c>
      <c r="E580" s="657" t="s">
        <v>9406</v>
      </c>
      <c r="F580" s="656" t="s">
        <v>2849</v>
      </c>
      <c r="G580" s="656"/>
      <c r="H580" s="656" t="s">
        <v>469</v>
      </c>
      <c r="I580" s="656" t="s">
        <v>14976</v>
      </c>
      <c r="J580" s="656" t="s">
        <v>532</v>
      </c>
      <c r="K580" s="656"/>
      <c r="L580" s="656"/>
      <c r="M580" s="657"/>
      <c r="N580" s="1482"/>
      <c r="O580" s="656" t="s">
        <v>498</v>
      </c>
      <c r="P580" s="656" t="s">
        <v>13052</v>
      </c>
      <c r="Q580" s="656">
        <v>44216.785810185182</v>
      </c>
    </row>
    <row r="581" spans="1:17">
      <c r="A581" s="656" t="s">
        <v>9509</v>
      </c>
      <c r="B581" s="657" t="s">
        <v>504</v>
      </c>
      <c r="C581" s="656" t="s">
        <v>9508</v>
      </c>
      <c r="D581" s="657" t="s">
        <v>13789</v>
      </c>
      <c r="E581" s="657" t="s">
        <v>7437</v>
      </c>
      <c r="F581" s="656" t="s">
        <v>540</v>
      </c>
      <c r="G581" s="656" t="s">
        <v>625</v>
      </c>
      <c r="H581" s="656" t="s">
        <v>540</v>
      </c>
      <c r="I581" s="656" t="s">
        <v>14976</v>
      </c>
      <c r="J581" s="656"/>
      <c r="K581" s="656"/>
      <c r="L581" s="656"/>
      <c r="M581" s="657"/>
      <c r="N581" s="1482"/>
      <c r="O581" s="656" t="s">
        <v>498</v>
      </c>
      <c r="P581" s="656" t="s">
        <v>13052</v>
      </c>
      <c r="Q581" s="656">
        <v>44216.785798611112</v>
      </c>
    </row>
    <row r="582" spans="1:17">
      <c r="A582" s="656" t="s">
        <v>9327</v>
      </c>
      <c r="B582" s="657" t="s">
        <v>531</v>
      </c>
      <c r="C582" s="656" t="s">
        <v>9326</v>
      </c>
      <c r="D582" s="657" t="s">
        <v>13789</v>
      </c>
      <c r="E582" s="657" t="s">
        <v>7437</v>
      </c>
      <c r="F582" s="656" t="s">
        <v>2849</v>
      </c>
      <c r="G582" s="656"/>
      <c r="H582" s="656" t="s">
        <v>469</v>
      </c>
      <c r="I582" s="656" t="s">
        <v>14976</v>
      </c>
      <c r="J582" s="656" t="s">
        <v>532</v>
      </c>
      <c r="K582" s="656"/>
      <c r="L582" s="656"/>
      <c r="M582" s="657"/>
      <c r="N582" s="1482"/>
      <c r="O582" s="656" t="s">
        <v>498</v>
      </c>
      <c r="P582" s="656" t="s">
        <v>13052</v>
      </c>
      <c r="Q582" s="656">
        <v>44216.785798611112</v>
      </c>
    </row>
    <row r="583" spans="1:17">
      <c r="A583" s="656" t="s">
        <v>9329</v>
      </c>
      <c r="B583" s="657" t="s">
        <v>531</v>
      </c>
      <c r="C583" s="656" t="s">
        <v>9328</v>
      </c>
      <c r="D583" s="657" t="s">
        <v>13789</v>
      </c>
      <c r="E583" s="657" t="s">
        <v>7437</v>
      </c>
      <c r="F583" s="656" t="s">
        <v>2849</v>
      </c>
      <c r="G583" s="656"/>
      <c r="H583" s="656" t="s">
        <v>469</v>
      </c>
      <c r="I583" s="656" t="s">
        <v>14976</v>
      </c>
      <c r="J583" s="656" t="s">
        <v>532</v>
      </c>
      <c r="K583" s="656"/>
      <c r="L583" s="656"/>
      <c r="M583" s="657"/>
      <c r="N583" s="1482"/>
      <c r="O583" s="656" t="s">
        <v>498</v>
      </c>
      <c r="P583" s="656" t="s">
        <v>13052</v>
      </c>
      <c r="Q583" s="656">
        <v>44216.785787037035</v>
      </c>
    </row>
    <row r="584" spans="1:17">
      <c r="A584" s="656" t="s">
        <v>9331</v>
      </c>
      <c r="B584" s="657" t="s">
        <v>202</v>
      </c>
      <c r="C584" s="656" t="s">
        <v>9330</v>
      </c>
      <c r="D584" s="657" t="s">
        <v>13789</v>
      </c>
      <c r="E584" s="657" t="s">
        <v>9406</v>
      </c>
      <c r="F584" s="656" t="s">
        <v>537</v>
      </c>
      <c r="G584" s="656" t="s">
        <v>512</v>
      </c>
      <c r="H584" s="656" t="s">
        <v>537</v>
      </c>
      <c r="I584" s="656" t="s">
        <v>14976</v>
      </c>
      <c r="J584" s="656" t="s">
        <v>473</v>
      </c>
      <c r="K584" s="656" t="s">
        <v>4161</v>
      </c>
      <c r="L584" s="656"/>
      <c r="M584" s="657"/>
      <c r="N584" s="1482"/>
      <c r="O584" s="656" t="s">
        <v>498</v>
      </c>
      <c r="P584" s="656" t="s">
        <v>13052</v>
      </c>
      <c r="Q584" s="656">
        <v>44216.785775462966</v>
      </c>
    </row>
    <row r="585" spans="1:17">
      <c r="A585" s="656" t="s">
        <v>9333</v>
      </c>
      <c r="B585" s="657" t="s">
        <v>504</v>
      </c>
      <c r="C585" s="656" t="s">
        <v>9332</v>
      </c>
      <c r="D585" s="657" t="s">
        <v>13789</v>
      </c>
      <c r="E585" s="657" t="s">
        <v>9406</v>
      </c>
      <c r="F585" s="656" t="s">
        <v>540</v>
      </c>
      <c r="G585" s="656" t="s">
        <v>625</v>
      </c>
      <c r="H585" s="656" t="s">
        <v>540</v>
      </c>
      <c r="I585" s="656" t="s">
        <v>14976</v>
      </c>
      <c r="J585" s="656"/>
      <c r="K585" s="656"/>
      <c r="L585" s="656"/>
      <c r="M585" s="657"/>
      <c r="N585" s="1482"/>
      <c r="O585" s="656" t="s">
        <v>498</v>
      </c>
      <c r="P585" s="656" t="s">
        <v>13052</v>
      </c>
      <c r="Q585" s="656">
        <v>44216.785775462966</v>
      </c>
    </row>
    <row r="586" spans="1:17">
      <c r="A586" s="656" t="s">
        <v>9335</v>
      </c>
      <c r="B586" s="657" t="s">
        <v>504</v>
      </c>
      <c r="C586" s="656" t="s">
        <v>9334</v>
      </c>
      <c r="D586" s="657" t="s">
        <v>13789</v>
      </c>
      <c r="E586" s="657" t="s">
        <v>7437</v>
      </c>
      <c r="F586" s="656" t="s">
        <v>540</v>
      </c>
      <c r="G586" s="656" t="s">
        <v>625</v>
      </c>
      <c r="H586" s="656" t="s">
        <v>540</v>
      </c>
      <c r="I586" s="656" t="s">
        <v>14976</v>
      </c>
      <c r="J586" s="656"/>
      <c r="K586" s="656"/>
      <c r="L586" s="656"/>
      <c r="M586" s="657"/>
      <c r="N586" s="1482"/>
      <c r="O586" s="656" t="s">
        <v>498</v>
      </c>
      <c r="P586" s="656" t="s">
        <v>13052</v>
      </c>
      <c r="Q586" s="656">
        <v>44216.785763888889</v>
      </c>
    </row>
    <row r="587" spans="1:17">
      <c r="A587" s="656" t="s">
        <v>9337</v>
      </c>
      <c r="B587" s="657" t="s">
        <v>504</v>
      </c>
      <c r="C587" s="656" t="s">
        <v>9336</v>
      </c>
      <c r="D587" s="657" t="s">
        <v>13789</v>
      </c>
      <c r="E587" s="657" t="s">
        <v>9406</v>
      </c>
      <c r="F587" s="656" t="s">
        <v>540</v>
      </c>
      <c r="G587" s="656" t="s">
        <v>625</v>
      </c>
      <c r="H587" s="656" t="s">
        <v>540</v>
      </c>
      <c r="I587" s="656" t="s">
        <v>14976</v>
      </c>
      <c r="J587" s="656"/>
      <c r="K587" s="656"/>
      <c r="L587" s="656"/>
      <c r="M587" s="657"/>
      <c r="N587" s="1482"/>
      <c r="O587" s="656" t="s">
        <v>498</v>
      </c>
      <c r="P587" s="656" t="s">
        <v>13052</v>
      </c>
      <c r="Q587" s="656">
        <v>44216.785763888889</v>
      </c>
    </row>
    <row r="588" spans="1:17">
      <c r="A588" s="656" t="s">
        <v>9339</v>
      </c>
      <c r="B588" s="657" t="s">
        <v>504</v>
      </c>
      <c r="C588" s="656" t="s">
        <v>9338</v>
      </c>
      <c r="D588" s="657" t="s">
        <v>13789</v>
      </c>
      <c r="E588" s="657" t="s">
        <v>7437</v>
      </c>
      <c r="F588" s="656" t="s">
        <v>540</v>
      </c>
      <c r="G588" s="656" t="s">
        <v>625</v>
      </c>
      <c r="H588" s="656" t="s">
        <v>540</v>
      </c>
      <c r="I588" s="656" t="s">
        <v>14976</v>
      </c>
      <c r="J588" s="656"/>
      <c r="K588" s="656"/>
      <c r="L588" s="656"/>
      <c r="M588" s="657"/>
      <c r="N588" s="1482"/>
      <c r="O588" s="656" t="s">
        <v>498</v>
      </c>
      <c r="P588" s="656" t="s">
        <v>13052</v>
      </c>
      <c r="Q588" s="656">
        <v>44216.785752314812</v>
      </c>
    </row>
    <row r="589" spans="1:17">
      <c r="A589" s="656" t="s">
        <v>9341</v>
      </c>
      <c r="B589" s="657" t="s">
        <v>504</v>
      </c>
      <c r="C589" s="656" t="s">
        <v>9340</v>
      </c>
      <c r="D589" s="657" t="s">
        <v>13789</v>
      </c>
      <c r="E589" s="657" t="s">
        <v>7437</v>
      </c>
      <c r="F589" s="656" t="s">
        <v>540</v>
      </c>
      <c r="G589" s="656" t="s">
        <v>625</v>
      </c>
      <c r="H589" s="656" t="s">
        <v>540</v>
      </c>
      <c r="I589" s="656" t="s">
        <v>14976</v>
      </c>
      <c r="J589" s="656"/>
      <c r="K589" s="656"/>
      <c r="L589" s="656"/>
      <c r="M589" s="657"/>
      <c r="N589" s="1482"/>
      <c r="O589" s="656" t="s">
        <v>498</v>
      </c>
      <c r="P589" s="656" t="s">
        <v>13052</v>
      </c>
      <c r="Q589" s="656">
        <v>44216.785752314812</v>
      </c>
    </row>
    <row r="590" spans="1:17">
      <c r="A590" s="656" t="s">
        <v>9065</v>
      </c>
      <c r="B590" s="657" t="s">
        <v>504</v>
      </c>
      <c r="C590" s="656" t="s">
        <v>9064</v>
      </c>
      <c r="D590" s="657" t="s">
        <v>13789</v>
      </c>
      <c r="E590" s="657" t="s">
        <v>9406</v>
      </c>
      <c r="F590" s="656" t="s">
        <v>505</v>
      </c>
      <c r="G590" s="656" t="s">
        <v>660</v>
      </c>
      <c r="H590" s="656" t="s">
        <v>505</v>
      </c>
      <c r="I590" s="656" t="s">
        <v>14976</v>
      </c>
      <c r="J590" s="656"/>
      <c r="K590" s="656"/>
      <c r="L590" s="656"/>
      <c r="M590" s="657"/>
      <c r="N590" s="1482"/>
      <c r="O590" s="656" t="s">
        <v>498</v>
      </c>
      <c r="P590" s="656" t="s">
        <v>13052</v>
      </c>
      <c r="Q590" s="656">
        <v>44216.785740740743</v>
      </c>
    </row>
    <row r="591" spans="1:17">
      <c r="A591" s="656" t="s">
        <v>9067</v>
      </c>
      <c r="B591" s="657" t="s">
        <v>504</v>
      </c>
      <c r="C591" s="656" t="s">
        <v>9066</v>
      </c>
      <c r="D591" s="657" t="s">
        <v>13789</v>
      </c>
      <c r="E591" s="657" t="s">
        <v>9406</v>
      </c>
      <c r="F591" s="656" t="s">
        <v>505</v>
      </c>
      <c r="G591" s="656" t="s">
        <v>660</v>
      </c>
      <c r="H591" s="656" t="s">
        <v>505</v>
      </c>
      <c r="I591" s="656" t="s">
        <v>14976</v>
      </c>
      <c r="J591" s="656"/>
      <c r="K591" s="656"/>
      <c r="L591" s="656"/>
      <c r="M591" s="657"/>
      <c r="N591" s="1482"/>
      <c r="O591" s="656" t="s">
        <v>498</v>
      </c>
      <c r="P591" s="656" t="s">
        <v>13052</v>
      </c>
      <c r="Q591" s="656">
        <v>44216.785740740743</v>
      </c>
    </row>
    <row r="592" spans="1:17">
      <c r="A592" s="656" t="s">
        <v>9069</v>
      </c>
      <c r="B592" s="657" t="s">
        <v>504</v>
      </c>
      <c r="C592" s="656" t="s">
        <v>9068</v>
      </c>
      <c r="D592" s="657" t="s">
        <v>13789</v>
      </c>
      <c r="E592" s="657" t="s">
        <v>9406</v>
      </c>
      <c r="F592" s="656" t="s">
        <v>505</v>
      </c>
      <c r="G592" s="656" t="s">
        <v>660</v>
      </c>
      <c r="H592" s="656" t="s">
        <v>505</v>
      </c>
      <c r="I592" s="656" t="s">
        <v>14976</v>
      </c>
      <c r="J592" s="656"/>
      <c r="K592" s="656"/>
      <c r="L592" s="656"/>
      <c r="M592" s="657"/>
      <c r="N592" s="1482"/>
      <c r="O592" s="656" t="s">
        <v>498</v>
      </c>
      <c r="P592" s="656" t="s">
        <v>13052</v>
      </c>
      <c r="Q592" s="656">
        <v>44216.785729166666</v>
      </c>
    </row>
    <row r="593" spans="1:17">
      <c r="A593" s="656" t="s">
        <v>9071</v>
      </c>
      <c r="B593" s="657" t="s">
        <v>504</v>
      </c>
      <c r="C593" s="656" t="s">
        <v>9070</v>
      </c>
      <c r="D593" s="657" t="s">
        <v>13789</v>
      </c>
      <c r="E593" s="657" t="s">
        <v>9406</v>
      </c>
      <c r="F593" s="656" t="s">
        <v>505</v>
      </c>
      <c r="G593" s="656" t="s">
        <v>1293</v>
      </c>
      <c r="H593" s="656" t="s">
        <v>505</v>
      </c>
      <c r="I593" s="656" t="s">
        <v>14976</v>
      </c>
      <c r="J593" s="656"/>
      <c r="K593" s="656"/>
      <c r="L593" s="656"/>
      <c r="M593" s="657"/>
      <c r="N593" s="1482"/>
      <c r="O593" s="656" t="s">
        <v>498</v>
      </c>
      <c r="P593" s="656" t="s">
        <v>13052</v>
      </c>
      <c r="Q593" s="656">
        <v>44216.785717592589</v>
      </c>
    </row>
    <row r="594" spans="1:17">
      <c r="A594" s="656" t="s">
        <v>9073</v>
      </c>
      <c r="B594" s="657" t="s">
        <v>202</v>
      </c>
      <c r="C594" s="656" t="s">
        <v>9072</v>
      </c>
      <c r="D594" s="657" t="s">
        <v>14977</v>
      </c>
      <c r="E594" s="657" t="s">
        <v>7437</v>
      </c>
      <c r="F594" s="656" t="s">
        <v>472</v>
      </c>
      <c r="G594" s="656" t="s">
        <v>519</v>
      </c>
      <c r="H594" s="656" t="s">
        <v>472</v>
      </c>
      <c r="I594" s="656" t="s">
        <v>14976</v>
      </c>
      <c r="J594" s="656" t="s">
        <v>12368</v>
      </c>
      <c r="K594" s="656" t="s">
        <v>1058</v>
      </c>
      <c r="L594" s="656"/>
      <c r="M594" s="657"/>
      <c r="N594" s="1482"/>
      <c r="O594" s="656" t="s">
        <v>498</v>
      </c>
      <c r="P594" s="656" t="s">
        <v>13052</v>
      </c>
      <c r="Q594" s="656">
        <v>44216.785717592589</v>
      </c>
    </row>
    <row r="595" spans="1:17">
      <c r="A595" s="656" t="s">
        <v>9075</v>
      </c>
      <c r="B595" s="657" t="s">
        <v>202</v>
      </c>
      <c r="C595" s="656" t="s">
        <v>9074</v>
      </c>
      <c r="D595" s="657" t="s">
        <v>14977</v>
      </c>
      <c r="E595" s="657" t="s">
        <v>7437</v>
      </c>
      <c r="F595" s="656" t="s">
        <v>472</v>
      </c>
      <c r="G595" s="656" t="s">
        <v>519</v>
      </c>
      <c r="H595" s="656" t="s">
        <v>472</v>
      </c>
      <c r="I595" s="656" t="s">
        <v>14976</v>
      </c>
      <c r="J595" s="656" t="s">
        <v>12368</v>
      </c>
      <c r="K595" s="656" t="s">
        <v>1058</v>
      </c>
      <c r="L595" s="656"/>
      <c r="M595" s="657"/>
      <c r="N595" s="1482"/>
      <c r="O595" s="656" t="s">
        <v>498</v>
      </c>
      <c r="P595" s="656" t="s">
        <v>13052</v>
      </c>
      <c r="Q595" s="656">
        <v>44216.785717592589</v>
      </c>
    </row>
    <row r="596" spans="1:17">
      <c r="A596" s="656" t="s">
        <v>9077</v>
      </c>
      <c r="B596" s="657" t="s">
        <v>202</v>
      </c>
      <c r="C596" s="656" t="s">
        <v>9076</v>
      </c>
      <c r="D596" s="657" t="s">
        <v>14977</v>
      </c>
      <c r="E596" s="657" t="s">
        <v>7437</v>
      </c>
      <c r="F596" s="656" t="s">
        <v>472</v>
      </c>
      <c r="G596" s="656" t="s">
        <v>519</v>
      </c>
      <c r="H596" s="656" t="s">
        <v>472</v>
      </c>
      <c r="I596" s="656" t="s">
        <v>14976</v>
      </c>
      <c r="J596" s="656" t="s">
        <v>12368</v>
      </c>
      <c r="K596" s="656" t="s">
        <v>1058</v>
      </c>
      <c r="L596" s="656"/>
      <c r="M596" s="657"/>
      <c r="N596" s="1482"/>
      <c r="O596" s="656" t="s">
        <v>498</v>
      </c>
      <c r="P596" s="656" t="s">
        <v>13052</v>
      </c>
      <c r="Q596" s="656">
        <v>44216.78570601852</v>
      </c>
    </row>
    <row r="597" spans="1:17">
      <c r="A597" s="656" t="s">
        <v>9079</v>
      </c>
      <c r="B597" s="657" t="s">
        <v>202</v>
      </c>
      <c r="C597" s="656" t="s">
        <v>9078</v>
      </c>
      <c r="D597" s="657" t="s">
        <v>13789</v>
      </c>
      <c r="E597" s="657" t="s">
        <v>9406</v>
      </c>
      <c r="F597" s="656" t="s">
        <v>472</v>
      </c>
      <c r="G597" s="656" t="s">
        <v>519</v>
      </c>
      <c r="H597" s="656" t="s">
        <v>472</v>
      </c>
      <c r="I597" s="656" t="s">
        <v>14976</v>
      </c>
      <c r="J597" s="656" t="s">
        <v>12368</v>
      </c>
      <c r="K597" s="656" t="s">
        <v>1058</v>
      </c>
      <c r="L597" s="656"/>
      <c r="M597" s="657"/>
      <c r="N597" s="1482"/>
      <c r="O597" s="656" t="s">
        <v>498</v>
      </c>
      <c r="P597" s="656" t="s">
        <v>13052</v>
      </c>
      <c r="Q597" s="656">
        <v>44216.78570601852</v>
      </c>
    </row>
    <row r="598" spans="1:17">
      <c r="A598" s="656" t="s">
        <v>9081</v>
      </c>
      <c r="B598" s="657" t="s">
        <v>202</v>
      </c>
      <c r="C598" s="656" t="s">
        <v>9080</v>
      </c>
      <c r="D598" s="657" t="s">
        <v>14977</v>
      </c>
      <c r="E598" s="657" t="s">
        <v>7437</v>
      </c>
      <c r="F598" s="656" t="s">
        <v>537</v>
      </c>
      <c r="G598" s="656" t="s">
        <v>512</v>
      </c>
      <c r="H598" s="656" t="s">
        <v>537</v>
      </c>
      <c r="I598" s="656" t="s">
        <v>14976</v>
      </c>
      <c r="J598" s="656" t="s">
        <v>473</v>
      </c>
      <c r="K598" s="656" t="s">
        <v>4161</v>
      </c>
      <c r="L598" s="656"/>
      <c r="M598" s="657"/>
      <c r="N598" s="1482"/>
      <c r="O598" s="656" t="s">
        <v>498</v>
      </c>
      <c r="P598" s="656" t="s">
        <v>13052</v>
      </c>
      <c r="Q598" s="656">
        <v>44216.785694444443</v>
      </c>
    </row>
    <row r="599" spans="1:17">
      <c r="A599" s="656" t="s">
        <v>9083</v>
      </c>
      <c r="B599" s="657" t="s">
        <v>531</v>
      </c>
      <c r="C599" s="656" t="s">
        <v>9082</v>
      </c>
      <c r="D599" s="657" t="s">
        <v>13789</v>
      </c>
      <c r="E599" s="657" t="s">
        <v>9406</v>
      </c>
      <c r="F599" s="656" t="s">
        <v>442</v>
      </c>
      <c r="G599" s="656" t="s">
        <v>561</v>
      </c>
      <c r="H599" s="656" t="s">
        <v>442</v>
      </c>
      <c r="I599" s="656" t="s">
        <v>14976</v>
      </c>
      <c r="J599" s="656" t="s">
        <v>12369</v>
      </c>
      <c r="K599" s="656" t="s">
        <v>1058</v>
      </c>
      <c r="L599" s="656"/>
      <c r="M599" s="657"/>
      <c r="N599" s="1482"/>
      <c r="O599" s="656" t="s">
        <v>498</v>
      </c>
      <c r="P599" s="656" t="s">
        <v>13052</v>
      </c>
      <c r="Q599" s="656">
        <v>44216.785682870373</v>
      </c>
    </row>
    <row r="600" spans="1:17">
      <c r="A600" s="656" t="s">
        <v>9084</v>
      </c>
      <c r="B600" s="657" t="s">
        <v>504</v>
      </c>
      <c r="C600" s="656" t="s">
        <v>14043</v>
      </c>
      <c r="D600" s="657" t="s">
        <v>13789</v>
      </c>
      <c r="E600" s="657" t="s">
        <v>9406</v>
      </c>
      <c r="F600" s="656" t="s">
        <v>540</v>
      </c>
      <c r="G600" s="656" t="s">
        <v>541</v>
      </c>
      <c r="H600" s="656" t="s">
        <v>540</v>
      </c>
      <c r="I600" s="656" t="s">
        <v>14976</v>
      </c>
      <c r="J600" s="656"/>
      <c r="K600" s="656"/>
      <c r="L600" s="656"/>
      <c r="M600" s="657"/>
      <c r="N600" s="1482"/>
      <c r="O600" s="656" t="s">
        <v>498</v>
      </c>
      <c r="P600" s="656" t="s">
        <v>13052</v>
      </c>
      <c r="Q600" s="656">
        <v>44216.785682870373</v>
      </c>
    </row>
    <row r="601" spans="1:17">
      <c r="A601" s="656" t="s">
        <v>9085</v>
      </c>
      <c r="B601" s="657" t="s">
        <v>504</v>
      </c>
      <c r="C601" s="656" t="s">
        <v>9197</v>
      </c>
      <c r="D601" s="657" t="s">
        <v>13789</v>
      </c>
      <c r="E601" s="657" t="s">
        <v>9406</v>
      </c>
      <c r="F601" s="656" t="s">
        <v>540</v>
      </c>
      <c r="G601" s="656" t="s">
        <v>541</v>
      </c>
      <c r="H601" s="656" t="s">
        <v>540</v>
      </c>
      <c r="I601" s="656" t="s">
        <v>14976</v>
      </c>
      <c r="J601" s="656"/>
      <c r="K601" s="656"/>
      <c r="L601" s="656"/>
      <c r="M601" s="657"/>
      <c r="N601" s="1482"/>
      <c r="O601" s="656" t="s">
        <v>498</v>
      </c>
      <c r="P601" s="656" t="s">
        <v>13052</v>
      </c>
      <c r="Q601" s="656">
        <v>44216.785682870373</v>
      </c>
    </row>
    <row r="602" spans="1:17">
      <c r="A602" s="656" t="s">
        <v>9087</v>
      </c>
      <c r="B602" s="657" t="s">
        <v>504</v>
      </c>
      <c r="C602" s="656" t="s">
        <v>9086</v>
      </c>
      <c r="D602" s="657" t="s">
        <v>13789</v>
      </c>
      <c r="E602" s="657" t="s">
        <v>9406</v>
      </c>
      <c r="F602" s="656" t="s">
        <v>540</v>
      </c>
      <c r="G602" s="656" t="s">
        <v>541</v>
      </c>
      <c r="H602" s="656" t="s">
        <v>540</v>
      </c>
      <c r="I602" s="656" t="s">
        <v>14976</v>
      </c>
      <c r="J602" s="656"/>
      <c r="K602" s="656"/>
      <c r="L602" s="656"/>
      <c r="M602" s="657"/>
      <c r="N602" s="1482"/>
      <c r="O602" s="656" t="s">
        <v>498</v>
      </c>
      <c r="P602" s="656" t="s">
        <v>13052</v>
      </c>
      <c r="Q602" s="656">
        <v>44216.785671296297</v>
      </c>
    </row>
    <row r="603" spans="1:17">
      <c r="A603" s="656" t="s">
        <v>9089</v>
      </c>
      <c r="B603" s="657" t="s">
        <v>504</v>
      </c>
      <c r="C603" s="656" t="s">
        <v>9088</v>
      </c>
      <c r="D603" s="657" t="s">
        <v>13789</v>
      </c>
      <c r="E603" s="657" t="s">
        <v>9510</v>
      </c>
      <c r="F603" s="656" t="s">
        <v>505</v>
      </c>
      <c r="G603" s="656" t="s">
        <v>522</v>
      </c>
      <c r="H603" s="656" t="s">
        <v>505</v>
      </c>
      <c r="I603" s="656" t="s">
        <v>14976</v>
      </c>
      <c r="J603" s="656"/>
      <c r="K603" s="656"/>
      <c r="L603" s="656"/>
      <c r="M603" s="657"/>
      <c r="N603" s="1482"/>
      <c r="O603" s="656" t="s">
        <v>498</v>
      </c>
      <c r="P603" s="656" t="s">
        <v>13052</v>
      </c>
      <c r="Q603" s="656">
        <v>44216.78565972222</v>
      </c>
    </row>
    <row r="604" spans="1:17">
      <c r="A604" s="656" t="s">
        <v>9091</v>
      </c>
      <c r="B604" s="657" t="s">
        <v>202</v>
      </c>
      <c r="C604" s="656" t="s">
        <v>9090</v>
      </c>
      <c r="D604" s="657" t="s">
        <v>13789</v>
      </c>
      <c r="E604" s="657" t="s">
        <v>7437</v>
      </c>
      <c r="F604" s="656" t="s">
        <v>2849</v>
      </c>
      <c r="G604" s="656" t="s">
        <v>1268</v>
      </c>
      <c r="H604" s="656" t="s">
        <v>469</v>
      </c>
      <c r="I604" s="656" t="s">
        <v>14976</v>
      </c>
      <c r="J604" s="656" t="s">
        <v>459</v>
      </c>
      <c r="K604" s="656" t="s">
        <v>477</v>
      </c>
      <c r="L604" s="656"/>
      <c r="M604" s="657"/>
      <c r="N604" s="1482"/>
      <c r="O604" s="656" t="s">
        <v>498</v>
      </c>
      <c r="P604" s="656" t="s">
        <v>13052</v>
      </c>
      <c r="Q604" s="656">
        <v>44216.78565972222</v>
      </c>
    </row>
    <row r="605" spans="1:17">
      <c r="A605" s="656" t="s">
        <v>9093</v>
      </c>
      <c r="B605" s="657" t="s">
        <v>202</v>
      </c>
      <c r="C605" s="656" t="s">
        <v>9092</v>
      </c>
      <c r="D605" s="657" t="s">
        <v>13789</v>
      </c>
      <c r="E605" s="657" t="s">
        <v>9406</v>
      </c>
      <c r="F605" s="656" t="s">
        <v>497</v>
      </c>
      <c r="G605" s="656" t="s">
        <v>497</v>
      </c>
      <c r="H605" s="656" t="s">
        <v>497</v>
      </c>
      <c r="I605" s="656" t="s">
        <v>14976</v>
      </c>
      <c r="J605" s="656" t="s">
        <v>448</v>
      </c>
      <c r="K605" s="656" t="s">
        <v>497</v>
      </c>
      <c r="L605" s="656"/>
      <c r="M605" s="657"/>
      <c r="N605" s="1482"/>
      <c r="O605" s="656" t="s">
        <v>498</v>
      </c>
      <c r="P605" s="656" t="s">
        <v>13052</v>
      </c>
      <c r="Q605" s="656">
        <v>44216.78564814815</v>
      </c>
    </row>
    <row r="606" spans="1:17">
      <c r="A606" s="656" t="s">
        <v>9095</v>
      </c>
      <c r="B606" s="657" t="s">
        <v>202</v>
      </c>
      <c r="C606" s="656" t="s">
        <v>9094</v>
      </c>
      <c r="D606" s="657" t="s">
        <v>14977</v>
      </c>
      <c r="E606" s="657" t="s">
        <v>7437</v>
      </c>
      <c r="F606" s="656" t="s">
        <v>442</v>
      </c>
      <c r="G606" s="656" t="s">
        <v>552</v>
      </c>
      <c r="H606" s="656" t="s">
        <v>442</v>
      </c>
      <c r="I606" s="656" t="s">
        <v>14976</v>
      </c>
      <c r="J606" s="656" t="s">
        <v>12369</v>
      </c>
      <c r="K606" s="656" t="s">
        <v>477</v>
      </c>
      <c r="L606" s="656"/>
      <c r="M606" s="657"/>
      <c r="N606" s="1482"/>
      <c r="O606" s="656" t="s">
        <v>498</v>
      </c>
      <c r="P606" s="656" t="s">
        <v>13052</v>
      </c>
      <c r="Q606" s="656">
        <v>44216.78564814815</v>
      </c>
    </row>
    <row r="607" spans="1:17">
      <c r="A607" s="656" t="s">
        <v>9097</v>
      </c>
      <c r="B607" s="657" t="s">
        <v>202</v>
      </c>
      <c r="C607" s="656" t="s">
        <v>9096</v>
      </c>
      <c r="D607" s="657" t="s">
        <v>13789</v>
      </c>
      <c r="E607" s="657" t="s">
        <v>7437</v>
      </c>
      <c r="F607" s="656" t="s">
        <v>8636</v>
      </c>
      <c r="G607" s="656"/>
      <c r="H607" s="656" t="s">
        <v>8636</v>
      </c>
      <c r="I607" s="656" t="s">
        <v>14976</v>
      </c>
      <c r="J607" s="656" t="s">
        <v>12370</v>
      </c>
      <c r="K607" s="656"/>
      <c r="L607" s="656"/>
      <c r="M607" s="657"/>
      <c r="N607" s="1482"/>
      <c r="O607" s="656" t="s">
        <v>498</v>
      </c>
      <c r="P607" s="656" t="s">
        <v>13052</v>
      </c>
      <c r="Q607" s="656">
        <v>44216.785636574074</v>
      </c>
    </row>
    <row r="608" spans="1:17">
      <c r="A608" s="656" t="s">
        <v>9099</v>
      </c>
      <c r="B608" s="657" t="s">
        <v>504</v>
      </c>
      <c r="C608" s="656" t="s">
        <v>9098</v>
      </c>
      <c r="D608" s="657" t="s">
        <v>13789</v>
      </c>
      <c r="E608" s="657" t="s">
        <v>9406</v>
      </c>
      <c r="F608" s="656" t="s">
        <v>540</v>
      </c>
      <c r="G608" s="656" t="s">
        <v>569</v>
      </c>
      <c r="H608" s="656" t="s">
        <v>540</v>
      </c>
      <c r="I608" s="656" t="s">
        <v>14976</v>
      </c>
      <c r="J608" s="656"/>
      <c r="K608" s="656"/>
      <c r="L608" s="656" t="s">
        <v>12847</v>
      </c>
      <c r="M608" s="657"/>
      <c r="N608" s="1482"/>
      <c r="O608" s="656" t="s">
        <v>498</v>
      </c>
      <c r="P608" s="656" t="s">
        <v>13052</v>
      </c>
      <c r="Q608" s="656">
        <v>44216.785636574074</v>
      </c>
    </row>
    <row r="609" spans="1:17">
      <c r="A609" s="656" t="s">
        <v>9101</v>
      </c>
      <c r="B609" s="657" t="s">
        <v>202</v>
      </c>
      <c r="C609" s="656" t="s">
        <v>9100</v>
      </c>
      <c r="D609" s="657" t="s">
        <v>14977</v>
      </c>
      <c r="E609" s="657" t="s">
        <v>7437</v>
      </c>
      <c r="F609" s="656" t="s">
        <v>462</v>
      </c>
      <c r="G609" s="656" t="s">
        <v>512</v>
      </c>
      <c r="H609" s="656" t="s">
        <v>462</v>
      </c>
      <c r="I609" s="656" t="s">
        <v>14976</v>
      </c>
      <c r="J609" s="656" t="s">
        <v>463</v>
      </c>
      <c r="K609" s="656" t="s">
        <v>1924</v>
      </c>
      <c r="L609" s="656" t="s">
        <v>9101</v>
      </c>
      <c r="M609" s="657"/>
      <c r="N609" s="1482"/>
      <c r="O609" s="656" t="s">
        <v>498</v>
      </c>
      <c r="P609" s="656" t="s">
        <v>13052</v>
      </c>
      <c r="Q609" s="656">
        <v>44216.785636574074</v>
      </c>
    </row>
    <row r="610" spans="1:17">
      <c r="A610" s="656" t="s">
        <v>9103</v>
      </c>
      <c r="B610" s="657" t="s">
        <v>202</v>
      </c>
      <c r="C610" s="656" t="s">
        <v>9102</v>
      </c>
      <c r="D610" s="657" t="s">
        <v>14977</v>
      </c>
      <c r="E610" s="657" t="s">
        <v>7437</v>
      </c>
      <c r="F610" s="656" t="s">
        <v>462</v>
      </c>
      <c r="G610" s="656" t="s">
        <v>512</v>
      </c>
      <c r="H610" s="656" t="s">
        <v>462</v>
      </c>
      <c r="I610" s="656" t="s">
        <v>14976</v>
      </c>
      <c r="J610" s="656" t="s">
        <v>463</v>
      </c>
      <c r="K610" s="656" t="s">
        <v>1924</v>
      </c>
      <c r="L610" s="656" t="s">
        <v>9103</v>
      </c>
      <c r="M610" s="657"/>
      <c r="N610" s="1482"/>
      <c r="O610" s="656" t="s">
        <v>498</v>
      </c>
      <c r="P610" s="656" t="s">
        <v>13052</v>
      </c>
      <c r="Q610" s="656">
        <v>44216.785624999997</v>
      </c>
    </row>
    <row r="611" spans="1:17">
      <c r="A611" s="656" t="s">
        <v>9105</v>
      </c>
      <c r="B611" s="657" t="s">
        <v>202</v>
      </c>
      <c r="C611" s="656" t="s">
        <v>9104</v>
      </c>
      <c r="D611" s="657" t="s">
        <v>14977</v>
      </c>
      <c r="E611" s="657" t="s">
        <v>7437</v>
      </c>
      <c r="F611" s="656" t="s">
        <v>462</v>
      </c>
      <c r="G611" s="656" t="s">
        <v>512</v>
      </c>
      <c r="H611" s="656" t="s">
        <v>462</v>
      </c>
      <c r="I611" s="656" t="s">
        <v>14976</v>
      </c>
      <c r="J611" s="656" t="s">
        <v>463</v>
      </c>
      <c r="K611" s="656" t="s">
        <v>1924</v>
      </c>
      <c r="L611" s="656" t="s">
        <v>9105</v>
      </c>
      <c r="M611" s="657"/>
      <c r="N611" s="1482"/>
      <c r="O611" s="656" t="s">
        <v>498</v>
      </c>
      <c r="P611" s="656" t="s">
        <v>13052</v>
      </c>
      <c r="Q611" s="656">
        <v>44216.785624999997</v>
      </c>
    </row>
    <row r="612" spans="1:17">
      <c r="A612" s="656" t="s">
        <v>9107</v>
      </c>
      <c r="B612" s="657" t="s">
        <v>202</v>
      </c>
      <c r="C612" s="656" t="s">
        <v>9106</v>
      </c>
      <c r="D612" s="657" t="s">
        <v>14977</v>
      </c>
      <c r="E612" s="657" t="s">
        <v>7437</v>
      </c>
      <c r="F612" s="656" t="s">
        <v>462</v>
      </c>
      <c r="G612" s="656" t="s">
        <v>512</v>
      </c>
      <c r="H612" s="656" t="s">
        <v>462</v>
      </c>
      <c r="I612" s="656" t="s">
        <v>14976</v>
      </c>
      <c r="J612" s="656" t="s">
        <v>463</v>
      </c>
      <c r="K612" s="656" t="s">
        <v>1924</v>
      </c>
      <c r="L612" s="656" t="s">
        <v>9107</v>
      </c>
      <c r="M612" s="657"/>
      <c r="N612" s="1482"/>
      <c r="O612" s="656" t="s">
        <v>498</v>
      </c>
      <c r="P612" s="656" t="s">
        <v>13052</v>
      </c>
      <c r="Q612" s="656">
        <v>44216.785613425927</v>
      </c>
    </row>
    <row r="613" spans="1:17">
      <c r="A613" s="656" t="s">
        <v>15762</v>
      </c>
      <c r="B613" s="657" t="s">
        <v>202</v>
      </c>
      <c r="C613" s="656" t="s">
        <v>15763</v>
      </c>
      <c r="D613" s="657" t="s">
        <v>14978</v>
      </c>
      <c r="E613" s="657" t="s">
        <v>7435</v>
      </c>
      <c r="F613" s="656" t="s">
        <v>462</v>
      </c>
      <c r="G613" s="656"/>
      <c r="H613" s="656" t="s">
        <v>462</v>
      </c>
      <c r="I613" s="656"/>
      <c r="J613" s="656" t="s">
        <v>463</v>
      </c>
      <c r="K613" s="656"/>
      <c r="L613" s="656" t="s">
        <v>9109</v>
      </c>
      <c r="M613" s="657" t="s">
        <v>3796</v>
      </c>
      <c r="N613" s="1482">
        <v>161</v>
      </c>
      <c r="O613" s="656" t="s">
        <v>498</v>
      </c>
      <c r="P613" s="656" t="s">
        <v>13052</v>
      </c>
      <c r="Q613" s="656">
        <v>44257.3909375</v>
      </c>
    </row>
    <row r="614" spans="1:17">
      <c r="A614" s="656" t="s">
        <v>15760</v>
      </c>
      <c r="B614" s="657" t="s">
        <v>202</v>
      </c>
      <c r="C614" s="656" t="s">
        <v>15761</v>
      </c>
      <c r="D614" s="657" t="s">
        <v>14978</v>
      </c>
      <c r="E614" s="657" t="s">
        <v>7435</v>
      </c>
      <c r="F614" s="656" t="s">
        <v>462</v>
      </c>
      <c r="G614" s="656"/>
      <c r="H614" s="656" t="s">
        <v>462</v>
      </c>
      <c r="I614" s="656"/>
      <c r="J614" s="656" t="s">
        <v>463</v>
      </c>
      <c r="K614" s="656"/>
      <c r="L614" s="656" t="s">
        <v>9109</v>
      </c>
      <c r="M614" s="657" t="s">
        <v>3796</v>
      </c>
      <c r="N614" s="1482">
        <v>160</v>
      </c>
      <c r="O614" s="656" t="s">
        <v>498</v>
      </c>
      <c r="P614" s="656" t="s">
        <v>13052</v>
      </c>
      <c r="Q614" s="656">
        <v>44257.39025462963</v>
      </c>
    </row>
    <row r="615" spans="1:17">
      <c r="A615" s="656" t="s">
        <v>9109</v>
      </c>
      <c r="B615" s="657" t="s">
        <v>202</v>
      </c>
      <c r="C615" s="656" t="s">
        <v>9108</v>
      </c>
      <c r="D615" s="657" t="s">
        <v>14977</v>
      </c>
      <c r="E615" s="657" t="s">
        <v>7435</v>
      </c>
      <c r="F615" s="656" t="s">
        <v>462</v>
      </c>
      <c r="G615" s="656" t="s">
        <v>512</v>
      </c>
      <c r="H615" s="656" t="s">
        <v>462</v>
      </c>
      <c r="I615" s="656" t="s">
        <v>14976</v>
      </c>
      <c r="J615" s="656" t="s">
        <v>463</v>
      </c>
      <c r="K615" s="656" t="s">
        <v>1924</v>
      </c>
      <c r="L615" s="656" t="s">
        <v>9109</v>
      </c>
      <c r="M615" s="657"/>
      <c r="N615" s="1482"/>
      <c r="O615" s="656" t="s">
        <v>498</v>
      </c>
      <c r="P615" s="656" t="s">
        <v>13052</v>
      </c>
      <c r="Q615" s="656">
        <v>44216.785613425927</v>
      </c>
    </row>
    <row r="616" spans="1:17">
      <c r="A616" s="656" t="s">
        <v>9110</v>
      </c>
      <c r="B616" s="657" t="s">
        <v>202</v>
      </c>
      <c r="C616" s="656" t="s">
        <v>9511</v>
      </c>
      <c r="D616" s="657" t="s">
        <v>14977</v>
      </c>
      <c r="E616" s="657" t="s">
        <v>7437</v>
      </c>
      <c r="F616" s="656" t="s">
        <v>462</v>
      </c>
      <c r="G616" s="656" t="s">
        <v>512</v>
      </c>
      <c r="H616" s="656" t="s">
        <v>462</v>
      </c>
      <c r="I616" s="656" t="s">
        <v>14976</v>
      </c>
      <c r="J616" s="656" t="s">
        <v>463</v>
      </c>
      <c r="K616" s="656" t="s">
        <v>1924</v>
      </c>
      <c r="L616" s="656" t="s">
        <v>9110</v>
      </c>
      <c r="M616" s="657"/>
      <c r="N616" s="1482"/>
      <c r="O616" s="656" t="s">
        <v>498</v>
      </c>
      <c r="P616" s="656" t="s">
        <v>13052</v>
      </c>
      <c r="Q616" s="656">
        <v>44216.785613425927</v>
      </c>
    </row>
    <row r="617" spans="1:17">
      <c r="A617" s="656" t="s">
        <v>9112</v>
      </c>
      <c r="B617" s="657" t="s">
        <v>202</v>
      </c>
      <c r="C617" s="656" t="s">
        <v>9111</v>
      </c>
      <c r="D617" s="657" t="s">
        <v>13789</v>
      </c>
      <c r="E617" s="657" t="s">
        <v>15043</v>
      </c>
      <c r="F617" s="656" t="s">
        <v>462</v>
      </c>
      <c r="G617" s="656" t="s">
        <v>552</v>
      </c>
      <c r="H617" s="656" t="s">
        <v>462</v>
      </c>
      <c r="I617" s="656" t="s">
        <v>14976</v>
      </c>
      <c r="J617" s="656" t="s">
        <v>463</v>
      </c>
      <c r="K617" s="656" t="s">
        <v>477</v>
      </c>
      <c r="L617" s="656"/>
      <c r="M617" s="657"/>
      <c r="N617" s="1482"/>
      <c r="O617" s="656" t="s">
        <v>498</v>
      </c>
      <c r="P617" s="656" t="s">
        <v>13052</v>
      </c>
      <c r="Q617" s="656">
        <v>44216.785601851851</v>
      </c>
    </row>
    <row r="618" spans="1:17">
      <c r="A618" s="656" t="s">
        <v>9114</v>
      </c>
      <c r="B618" s="657" t="s">
        <v>202</v>
      </c>
      <c r="C618" s="656" t="s">
        <v>9113</v>
      </c>
      <c r="D618" s="657" t="s">
        <v>13789</v>
      </c>
      <c r="E618" s="657" t="s">
        <v>15043</v>
      </c>
      <c r="F618" s="656" t="s">
        <v>462</v>
      </c>
      <c r="G618" s="656" t="s">
        <v>552</v>
      </c>
      <c r="H618" s="656" t="s">
        <v>462</v>
      </c>
      <c r="I618" s="656" t="s">
        <v>14976</v>
      </c>
      <c r="J618" s="656" t="s">
        <v>463</v>
      </c>
      <c r="K618" s="656" t="s">
        <v>477</v>
      </c>
      <c r="L618" s="656"/>
      <c r="M618" s="657"/>
      <c r="N618" s="1482"/>
      <c r="O618" s="656" t="s">
        <v>498</v>
      </c>
      <c r="P618" s="656" t="s">
        <v>13052</v>
      </c>
      <c r="Q618" s="656">
        <v>44216.785601851851</v>
      </c>
    </row>
    <row r="619" spans="1:17">
      <c r="A619" s="656" t="s">
        <v>9115</v>
      </c>
      <c r="B619" s="657" t="s">
        <v>202</v>
      </c>
      <c r="C619" s="656" t="s">
        <v>14038</v>
      </c>
      <c r="D619" s="657" t="s">
        <v>13789</v>
      </c>
      <c r="E619" s="657" t="s">
        <v>7437</v>
      </c>
      <c r="F619" s="656" t="s">
        <v>8636</v>
      </c>
      <c r="G619" s="656" t="s">
        <v>552</v>
      </c>
      <c r="H619" s="656" t="s">
        <v>8636</v>
      </c>
      <c r="I619" s="656" t="s">
        <v>14976</v>
      </c>
      <c r="J619" s="656" t="s">
        <v>12370</v>
      </c>
      <c r="K619" s="656" t="s">
        <v>1058</v>
      </c>
      <c r="L619" s="656"/>
      <c r="M619" s="657"/>
      <c r="N619" s="1482"/>
      <c r="O619" s="656" t="s">
        <v>498</v>
      </c>
      <c r="P619" s="656" t="s">
        <v>13052</v>
      </c>
      <c r="Q619" s="656">
        <v>44216.785590277781</v>
      </c>
    </row>
    <row r="620" spans="1:17">
      <c r="A620" s="656" t="s">
        <v>9116</v>
      </c>
      <c r="B620" s="657" t="s">
        <v>202</v>
      </c>
      <c r="C620" s="656" t="s">
        <v>14037</v>
      </c>
      <c r="D620" s="657" t="s">
        <v>13789</v>
      </c>
      <c r="E620" s="657" t="s">
        <v>7437</v>
      </c>
      <c r="F620" s="656" t="s">
        <v>8636</v>
      </c>
      <c r="G620" s="656" t="s">
        <v>552</v>
      </c>
      <c r="H620" s="656" t="s">
        <v>8636</v>
      </c>
      <c r="I620" s="656" t="s">
        <v>14976</v>
      </c>
      <c r="J620" s="656" t="s">
        <v>12370</v>
      </c>
      <c r="K620" s="656" t="s">
        <v>1058</v>
      </c>
      <c r="L620" s="656"/>
      <c r="M620" s="657"/>
      <c r="N620" s="1482"/>
      <c r="O620" s="656" t="s">
        <v>498</v>
      </c>
      <c r="P620" s="656" t="s">
        <v>13052</v>
      </c>
      <c r="Q620" s="656">
        <v>44216.785590277781</v>
      </c>
    </row>
    <row r="621" spans="1:17">
      <c r="A621" s="656" t="s">
        <v>9118</v>
      </c>
      <c r="B621" s="657" t="s">
        <v>202</v>
      </c>
      <c r="C621" s="656" t="s">
        <v>9117</v>
      </c>
      <c r="D621" s="657" t="s">
        <v>13789</v>
      </c>
      <c r="E621" s="657" t="s">
        <v>7437</v>
      </c>
      <c r="F621" s="656" t="s">
        <v>462</v>
      </c>
      <c r="G621" s="656" t="s">
        <v>512</v>
      </c>
      <c r="H621" s="656" t="s">
        <v>462</v>
      </c>
      <c r="I621" s="656" t="s">
        <v>14976</v>
      </c>
      <c r="J621" s="656" t="s">
        <v>463</v>
      </c>
      <c r="K621" s="656" t="s">
        <v>1924</v>
      </c>
      <c r="L621" s="656"/>
      <c r="M621" s="657"/>
      <c r="N621" s="1482"/>
      <c r="O621" s="656" t="s">
        <v>498</v>
      </c>
      <c r="P621" s="656" t="s">
        <v>13052</v>
      </c>
      <c r="Q621" s="656">
        <v>44216.785578703704</v>
      </c>
    </row>
    <row r="622" spans="1:17">
      <c r="A622" s="656" t="s">
        <v>9119</v>
      </c>
      <c r="B622" s="657" t="s">
        <v>202</v>
      </c>
      <c r="C622" s="656" t="s">
        <v>9512</v>
      </c>
      <c r="D622" s="657" t="s">
        <v>13789</v>
      </c>
      <c r="E622" s="657" t="s">
        <v>7437</v>
      </c>
      <c r="F622" s="656" t="s">
        <v>462</v>
      </c>
      <c r="G622" s="656" t="s">
        <v>512</v>
      </c>
      <c r="H622" s="656" t="s">
        <v>462</v>
      </c>
      <c r="I622" s="656" t="s">
        <v>14976</v>
      </c>
      <c r="J622" s="656" t="s">
        <v>463</v>
      </c>
      <c r="K622" s="656" t="s">
        <v>1924</v>
      </c>
      <c r="L622" s="656"/>
      <c r="M622" s="657"/>
      <c r="N622" s="1482"/>
      <c r="O622" s="656" t="s">
        <v>498</v>
      </c>
      <c r="P622" s="656" t="s">
        <v>13052</v>
      </c>
      <c r="Q622" s="656">
        <v>44216.785578703704</v>
      </c>
    </row>
    <row r="623" spans="1:17">
      <c r="A623" s="656" t="s">
        <v>9120</v>
      </c>
      <c r="B623" s="657" t="s">
        <v>202</v>
      </c>
      <c r="C623" s="656" t="s">
        <v>9513</v>
      </c>
      <c r="D623" s="657" t="s">
        <v>13789</v>
      </c>
      <c r="E623" s="657" t="s">
        <v>7437</v>
      </c>
      <c r="F623" s="656" t="s">
        <v>462</v>
      </c>
      <c r="G623" s="656" t="s">
        <v>512</v>
      </c>
      <c r="H623" s="656" t="s">
        <v>462</v>
      </c>
      <c r="I623" s="656" t="s">
        <v>14976</v>
      </c>
      <c r="J623" s="656" t="s">
        <v>463</v>
      </c>
      <c r="K623" s="656" t="s">
        <v>1924</v>
      </c>
      <c r="L623" s="656"/>
      <c r="M623" s="657"/>
      <c r="N623" s="1482"/>
      <c r="O623" s="656" t="s">
        <v>498</v>
      </c>
      <c r="P623" s="656" t="s">
        <v>13052</v>
      </c>
      <c r="Q623" s="656">
        <v>44216.785567129627</v>
      </c>
    </row>
    <row r="624" spans="1:17">
      <c r="A624" s="656" t="s">
        <v>12953</v>
      </c>
      <c r="B624" s="657" t="s">
        <v>202</v>
      </c>
      <c r="C624" s="656" t="s">
        <v>12952</v>
      </c>
      <c r="D624" s="657" t="s">
        <v>14978</v>
      </c>
      <c r="E624" s="657" t="s">
        <v>7437</v>
      </c>
      <c r="F624" s="656" t="s">
        <v>2849</v>
      </c>
      <c r="G624" s="656"/>
      <c r="H624" s="656" t="s">
        <v>469</v>
      </c>
      <c r="I624" s="656" t="s">
        <v>14976</v>
      </c>
      <c r="J624" s="656" t="s">
        <v>459</v>
      </c>
      <c r="K624" s="656"/>
      <c r="L624" s="656" t="s">
        <v>9122</v>
      </c>
      <c r="M624" s="657"/>
      <c r="N624" s="1482"/>
      <c r="O624" s="656" t="s">
        <v>498</v>
      </c>
      <c r="P624" s="656" t="s">
        <v>13052</v>
      </c>
      <c r="Q624" s="656">
        <v>44216.785567129627</v>
      </c>
    </row>
    <row r="625" spans="1:17">
      <c r="A625" s="656" t="s">
        <v>12511</v>
      </c>
      <c r="B625" s="657" t="s">
        <v>202</v>
      </c>
      <c r="C625" s="656" t="s">
        <v>12510</v>
      </c>
      <c r="D625" s="657" t="s">
        <v>14978</v>
      </c>
      <c r="E625" s="657" t="s">
        <v>7437</v>
      </c>
      <c r="F625" s="656" t="s">
        <v>2849</v>
      </c>
      <c r="G625" s="656" t="s">
        <v>512</v>
      </c>
      <c r="H625" s="656" t="s">
        <v>469</v>
      </c>
      <c r="I625" s="656" t="s">
        <v>14976</v>
      </c>
      <c r="J625" s="656" t="s">
        <v>459</v>
      </c>
      <c r="K625" s="656" t="s">
        <v>2849</v>
      </c>
      <c r="L625" s="656" t="s">
        <v>9122</v>
      </c>
      <c r="M625" s="657"/>
      <c r="N625" s="1482"/>
      <c r="O625" s="656" t="s">
        <v>498</v>
      </c>
      <c r="P625" s="656" t="s">
        <v>13052</v>
      </c>
      <c r="Q625" s="656">
        <v>44216.785555555558</v>
      </c>
    </row>
    <row r="626" spans="1:17">
      <c r="A626" s="656" t="s">
        <v>9684</v>
      </c>
      <c r="B626" s="657" t="s">
        <v>202</v>
      </c>
      <c r="C626" s="656" t="s">
        <v>9683</v>
      </c>
      <c r="D626" s="657" t="s">
        <v>14978</v>
      </c>
      <c r="E626" s="657" t="s">
        <v>7437</v>
      </c>
      <c r="F626" s="656" t="s">
        <v>2849</v>
      </c>
      <c r="G626" s="656" t="s">
        <v>512</v>
      </c>
      <c r="H626" s="656" t="s">
        <v>469</v>
      </c>
      <c r="I626" s="656" t="s">
        <v>14976</v>
      </c>
      <c r="J626" s="656" t="s">
        <v>459</v>
      </c>
      <c r="K626" s="656" t="s">
        <v>2849</v>
      </c>
      <c r="L626" s="656" t="s">
        <v>9122</v>
      </c>
      <c r="M626" s="657"/>
      <c r="N626" s="1482"/>
      <c r="O626" s="656" t="s">
        <v>498</v>
      </c>
      <c r="P626" s="656" t="s">
        <v>13052</v>
      </c>
      <c r="Q626" s="656">
        <v>44216.785555555558</v>
      </c>
    </row>
    <row r="627" spans="1:17">
      <c r="A627" s="656" t="s">
        <v>9665</v>
      </c>
      <c r="B627" s="657" t="s">
        <v>202</v>
      </c>
      <c r="C627" s="656" t="s">
        <v>9685</v>
      </c>
      <c r="D627" s="657" t="s">
        <v>14978</v>
      </c>
      <c r="E627" s="657" t="s">
        <v>7437</v>
      </c>
      <c r="F627" s="656" t="s">
        <v>2849</v>
      </c>
      <c r="G627" s="656"/>
      <c r="H627" s="656" t="s">
        <v>469</v>
      </c>
      <c r="I627" s="656" t="s">
        <v>14976</v>
      </c>
      <c r="J627" s="656" t="s">
        <v>459</v>
      </c>
      <c r="K627" s="656" t="s">
        <v>2849</v>
      </c>
      <c r="L627" s="656" t="s">
        <v>9122</v>
      </c>
      <c r="M627" s="657"/>
      <c r="N627" s="1482"/>
      <c r="O627" s="656" t="s">
        <v>498</v>
      </c>
      <c r="P627" s="656" t="s">
        <v>13052</v>
      </c>
      <c r="Q627" s="656">
        <v>44216.785555555558</v>
      </c>
    </row>
    <row r="628" spans="1:17">
      <c r="A628" s="656" t="s">
        <v>9667</v>
      </c>
      <c r="B628" s="657" t="s">
        <v>202</v>
      </c>
      <c r="C628" s="656" t="s">
        <v>9666</v>
      </c>
      <c r="D628" s="657" t="s">
        <v>14978</v>
      </c>
      <c r="E628" s="657" t="s">
        <v>7437</v>
      </c>
      <c r="F628" s="656" t="s">
        <v>2849</v>
      </c>
      <c r="G628" s="656"/>
      <c r="H628" s="656" t="s">
        <v>469</v>
      </c>
      <c r="I628" s="656" t="s">
        <v>14976</v>
      </c>
      <c r="J628" s="656" t="s">
        <v>459</v>
      </c>
      <c r="K628" s="656" t="s">
        <v>2849</v>
      </c>
      <c r="L628" s="656" t="s">
        <v>9122</v>
      </c>
      <c r="M628" s="657"/>
      <c r="N628" s="1482"/>
      <c r="O628" s="656" t="s">
        <v>498</v>
      </c>
      <c r="P628" s="656" t="s">
        <v>13052</v>
      </c>
      <c r="Q628" s="656">
        <v>44216.785543981481</v>
      </c>
    </row>
    <row r="629" spans="1:17">
      <c r="A629" s="656" t="s">
        <v>9122</v>
      </c>
      <c r="B629" s="657" t="s">
        <v>202</v>
      </c>
      <c r="C629" s="656" t="s">
        <v>9121</v>
      </c>
      <c r="D629" s="657" t="s">
        <v>14977</v>
      </c>
      <c r="E629" s="657" t="s">
        <v>7437</v>
      </c>
      <c r="F629" s="656" t="s">
        <v>2849</v>
      </c>
      <c r="G629" s="656" t="s">
        <v>9342</v>
      </c>
      <c r="H629" s="656" t="s">
        <v>469</v>
      </c>
      <c r="I629" s="656" t="s">
        <v>14976</v>
      </c>
      <c r="J629" s="656" t="s">
        <v>459</v>
      </c>
      <c r="K629" s="656" t="s">
        <v>477</v>
      </c>
      <c r="L629" s="656" t="s">
        <v>9122</v>
      </c>
      <c r="M629" s="657"/>
      <c r="N629" s="1482"/>
      <c r="O629" s="656" t="s">
        <v>498</v>
      </c>
      <c r="P629" s="656" t="s">
        <v>13052</v>
      </c>
      <c r="Q629" s="656">
        <v>44216.785543981481</v>
      </c>
    </row>
    <row r="630" spans="1:17">
      <c r="A630" s="656" t="s">
        <v>9124</v>
      </c>
      <c r="B630" s="657" t="s">
        <v>202</v>
      </c>
      <c r="C630" s="656" t="s">
        <v>9123</v>
      </c>
      <c r="D630" s="657" t="s">
        <v>14977</v>
      </c>
      <c r="E630" s="657" t="s">
        <v>7437</v>
      </c>
      <c r="F630" s="656" t="s">
        <v>442</v>
      </c>
      <c r="G630" s="656" t="s">
        <v>552</v>
      </c>
      <c r="H630" s="656" t="s">
        <v>442</v>
      </c>
      <c r="I630" s="656" t="s">
        <v>14976</v>
      </c>
      <c r="J630" s="656" t="s">
        <v>12369</v>
      </c>
      <c r="K630" s="656" t="s">
        <v>477</v>
      </c>
      <c r="L630" s="656"/>
      <c r="M630" s="657"/>
      <c r="N630" s="1482"/>
      <c r="O630" s="656" t="s">
        <v>498</v>
      </c>
      <c r="P630" s="656" t="s">
        <v>13052</v>
      </c>
      <c r="Q630" s="656">
        <v>44216.785532407404</v>
      </c>
    </row>
    <row r="631" spans="1:17">
      <c r="A631" s="656" t="s">
        <v>9126</v>
      </c>
      <c r="B631" s="657" t="s">
        <v>202</v>
      </c>
      <c r="C631" s="656" t="s">
        <v>9125</v>
      </c>
      <c r="D631" s="657" t="s">
        <v>14977</v>
      </c>
      <c r="E631" s="657" t="s">
        <v>7437</v>
      </c>
      <c r="F631" s="656" t="s">
        <v>442</v>
      </c>
      <c r="G631" s="656" t="s">
        <v>922</v>
      </c>
      <c r="H631" s="656" t="s">
        <v>442</v>
      </c>
      <c r="I631" s="656" t="s">
        <v>14976</v>
      </c>
      <c r="J631" s="656" t="s">
        <v>12369</v>
      </c>
      <c r="K631" s="656" t="s">
        <v>477</v>
      </c>
      <c r="L631" s="656"/>
      <c r="M631" s="657"/>
      <c r="N631" s="1482"/>
      <c r="O631" s="656" t="s">
        <v>498</v>
      </c>
      <c r="P631" s="656" t="s">
        <v>13052</v>
      </c>
      <c r="Q631" s="656">
        <v>44216.785520833335</v>
      </c>
    </row>
    <row r="632" spans="1:17">
      <c r="A632" s="656" t="s">
        <v>9128</v>
      </c>
      <c r="B632" s="657" t="s">
        <v>202</v>
      </c>
      <c r="C632" s="656" t="s">
        <v>9127</v>
      </c>
      <c r="D632" s="657" t="s">
        <v>13789</v>
      </c>
      <c r="E632" s="657" t="s">
        <v>7437</v>
      </c>
      <c r="F632" s="656" t="s">
        <v>537</v>
      </c>
      <c r="G632" s="656" t="s">
        <v>512</v>
      </c>
      <c r="H632" s="656" t="s">
        <v>537</v>
      </c>
      <c r="I632" s="656" t="s">
        <v>14976</v>
      </c>
      <c r="J632" s="656" t="s">
        <v>473</v>
      </c>
      <c r="K632" s="656" t="s">
        <v>4161</v>
      </c>
      <c r="L632" s="656"/>
      <c r="M632" s="657"/>
      <c r="N632" s="1482"/>
      <c r="O632" s="656" t="s">
        <v>498</v>
      </c>
      <c r="P632" s="656" t="s">
        <v>13052</v>
      </c>
      <c r="Q632" s="656">
        <v>44216.785520833335</v>
      </c>
    </row>
    <row r="633" spans="1:17">
      <c r="A633" s="656" t="s">
        <v>9130</v>
      </c>
      <c r="B633" s="657" t="s">
        <v>202</v>
      </c>
      <c r="C633" s="656" t="s">
        <v>9129</v>
      </c>
      <c r="D633" s="657" t="s">
        <v>14977</v>
      </c>
      <c r="E633" s="657" t="s">
        <v>7437</v>
      </c>
      <c r="F633" s="656" t="s">
        <v>4052</v>
      </c>
      <c r="G633" s="656" t="s">
        <v>512</v>
      </c>
      <c r="H633" s="656" t="s">
        <v>455</v>
      </c>
      <c r="I633" s="656" t="s">
        <v>14976</v>
      </c>
      <c r="J633" s="656" t="s">
        <v>451</v>
      </c>
      <c r="K633" s="656" t="s">
        <v>4052</v>
      </c>
      <c r="L633" s="656" t="s">
        <v>9130</v>
      </c>
      <c r="M633" s="657"/>
      <c r="N633" s="1482"/>
      <c r="O633" s="656" t="s">
        <v>498</v>
      </c>
      <c r="P633" s="656" t="s">
        <v>13052</v>
      </c>
      <c r="Q633" s="656">
        <v>44216.785520833335</v>
      </c>
    </row>
    <row r="634" spans="1:17">
      <c r="A634" s="656" t="s">
        <v>9132</v>
      </c>
      <c r="B634" s="657" t="s">
        <v>202</v>
      </c>
      <c r="C634" s="656" t="s">
        <v>9131</v>
      </c>
      <c r="D634" s="657" t="s">
        <v>13789</v>
      </c>
      <c r="E634" s="657" t="s">
        <v>9406</v>
      </c>
      <c r="F634" s="656" t="s">
        <v>4052</v>
      </c>
      <c r="G634" s="656" t="s">
        <v>512</v>
      </c>
      <c r="H634" s="656" t="s">
        <v>455</v>
      </c>
      <c r="I634" s="656" t="s">
        <v>14976</v>
      </c>
      <c r="J634" s="656" t="s">
        <v>8664</v>
      </c>
      <c r="K634" s="656" t="s">
        <v>4052</v>
      </c>
      <c r="L634" s="656"/>
      <c r="M634" s="657"/>
      <c r="N634" s="1482"/>
      <c r="O634" s="656" t="s">
        <v>498</v>
      </c>
      <c r="P634" s="656" t="s">
        <v>13052</v>
      </c>
      <c r="Q634" s="656">
        <v>44216.785509259258</v>
      </c>
    </row>
    <row r="635" spans="1:17">
      <c r="A635" s="656" t="s">
        <v>9133</v>
      </c>
      <c r="B635" s="657" t="s">
        <v>504</v>
      </c>
      <c r="C635" s="656" t="s">
        <v>9078</v>
      </c>
      <c r="D635" s="657" t="s">
        <v>13789</v>
      </c>
      <c r="E635" s="657" t="s">
        <v>9510</v>
      </c>
      <c r="F635" s="656" t="s">
        <v>540</v>
      </c>
      <c r="G635" s="656" t="s">
        <v>541</v>
      </c>
      <c r="H635" s="656" t="s">
        <v>540</v>
      </c>
      <c r="I635" s="656" t="s">
        <v>14976</v>
      </c>
      <c r="J635" s="656"/>
      <c r="K635" s="656"/>
      <c r="L635" s="656"/>
      <c r="M635" s="657"/>
      <c r="N635" s="1482"/>
      <c r="O635" s="656" t="s">
        <v>498</v>
      </c>
      <c r="P635" s="656" t="s">
        <v>13052</v>
      </c>
      <c r="Q635" s="656">
        <v>44216.785497685189</v>
      </c>
    </row>
    <row r="636" spans="1:17">
      <c r="A636" s="656" t="s">
        <v>9135</v>
      </c>
      <c r="B636" s="657" t="s">
        <v>531</v>
      </c>
      <c r="C636" s="656" t="s">
        <v>9134</v>
      </c>
      <c r="D636" s="657" t="s">
        <v>14977</v>
      </c>
      <c r="E636" s="657" t="s">
        <v>7437</v>
      </c>
      <c r="F636" s="656" t="s">
        <v>2849</v>
      </c>
      <c r="G636" s="656" t="s">
        <v>512</v>
      </c>
      <c r="H636" s="656" t="s">
        <v>469</v>
      </c>
      <c r="I636" s="656" t="s">
        <v>14976</v>
      </c>
      <c r="J636" s="656" t="s">
        <v>532</v>
      </c>
      <c r="K636" s="656" t="s">
        <v>2849</v>
      </c>
      <c r="L636" s="656" t="s">
        <v>9135</v>
      </c>
      <c r="M636" s="657"/>
      <c r="N636" s="1482"/>
      <c r="O636" s="656" t="s">
        <v>498</v>
      </c>
      <c r="P636" s="656" t="s">
        <v>13052</v>
      </c>
      <c r="Q636" s="656">
        <v>44216.785497685189</v>
      </c>
    </row>
    <row r="637" spans="1:17">
      <c r="A637" s="656" t="s">
        <v>9137</v>
      </c>
      <c r="B637" s="657" t="s">
        <v>531</v>
      </c>
      <c r="C637" s="656" t="s">
        <v>9136</v>
      </c>
      <c r="D637" s="657" t="s">
        <v>14977</v>
      </c>
      <c r="E637" s="657" t="s">
        <v>7437</v>
      </c>
      <c r="F637" s="656" t="s">
        <v>2849</v>
      </c>
      <c r="G637" s="656" t="s">
        <v>512</v>
      </c>
      <c r="H637" s="656" t="s">
        <v>469</v>
      </c>
      <c r="I637" s="656" t="s">
        <v>14976</v>
      </c>
      <c r="J637" s="656" t="s">
        <v>532</v>
      </c>
      <c r="K637" s="656" t="s">
        <v>2849</v>
      </c>
      <c r="L637" s="656" t="s">
        <v>9137</v>
      </c>
      <c r="M637" s="657"/>
      <c r="N637" s="1482"/>
      <c r="O637" s="656" t="s">
        <v>498</v>
      </c>
      <c r="P637" s="656" t="s">
        <v>13052</v>
      </c>
      <c r="Q637" s="656">
        <v>44216.785497685189</v>
      </c>
    </row>
    <row r="638" spans="1:17">
      <c r="A638" s="656" t="s">
        <v>9139</v>
      </c>
      <c r="B638" s="657" t="s">
        <v>531</v>
      </c>
      <c r="C638" s="656" t="s">
        <v>9138</v>
      </c>
      <c r="D638" s="657" t="s">
        <v>14977</v>
      </c>
      <c r="E638" s="657" t="s">
        <v>7437</v>
      </c>
      <c r="F638" s="656" t="s">
        <v>2849</v>
      </c>
      <c r="G638" s="656" t="s">
        <v>512</v>
      </c>
      <c r="H638" s="656" t="s">
        <v>469</v>
      </c>
      <c r="I638" s="656" t="s">
        <v>14976</v>
      </c>
      <c r="J638" s="656" t="s">
        <v>532</v>
      </c>
      <c r="K638" s="656" t="s">
        <v>2849</v>
      </c>
      <c r="L638" s="656" t="s">
        <v>9139</v>
      </c>
      <c r="M638" s="657"/>
      <c r="N638" s="1482"/>
      <c r="O638" s="656" t="s">
        <v>498</v>
      </c>
      <c r="P638" s="656" t="s">
        <v>13052</v>
      </c>
      <c r="Q638" s="656">
        <v>44216.785486111112</v>
      </c>
    </row>
    <row r="639" spans="1:17">
      <c r="A639" s="656" t="s">
        <v>9141</v>
      </c>
      <c r="B639" s="657" t="s">
        <v>202</v>
      </c>
      <c r="C639" s="656" t="s">
        <v>9140</v>
      </c>
      <c r="D639" s="657" t="s">
        <v>14977</v>
      </c>
      <c r="E639" s="657" t="s">
        <v>9406</v>
      </c>
      <c r="F639" s="656" t="s">
        <v>1206</v>
      </c>
      <c r="G639" s="656" t="s">
        <v>519</v>
      </c>
      <c r="H639" s="656" t="s">
        <v>1206</v>
      </c>
      <c r="I639" s="656" t="s">
        <v>14976</v>
      </c>
      <c r="J639" s="656" t="s">
        <v>459</v>
      </c>
      <c r="K639" s="656" t="s">
        <v>1058</v>
      </c>
      <c r="L639" s="656" t="s">
        <v>9141</v>
      </c>
      <c r="M639" s="657"/>
      <c r="N639" s="1482"/>
      <c r="O639" s="656" t="s">
        <v>498</v>
      </c>
      <c r="P639" s="656" t="s">
        <v>13052</v>
      </c>
      <c r="Q639" s="656">
        <v>44216.785486111112</v>
      </c>
    </row>
    <row r="640" spans="1:17">
      <c r="A640" s="656" t="s">
        <v>9143</v>
      </c>
      <c r="B640" s="657" t="s">
        <v>202</v>
      </c>
      <c r="C640" s="656" t="s">
        <v>14034</v>
      </c>
      <c r="D640" s="657" t="s">
        <v>13789</v>
      </c>
      <c r="E640" s="657" t="s">
        <v>9406</v>
      </c>
      <c r="F640" s="656" t="s">
        <v>462</v>
      </c>
      <c r="G640" s="656" t="s">
        <v>512</v>
      </c>
      <c r="H640" s="656" t="s">
        <v>462</v>
      </c>
      <c r="I640" s="656" t="s">
        <v>14976</v>
      </c>
      <c r="J640" s="656" t="s">
        <v>463</v>
      </c>
      <c r="K640" s="656" t="s">
        <v>1924</v>
      </c>
      <c r="L640" s="656"/>
      <c r="M640" s="657"/>
      <c r="N640" s="1482"/>
      <c r="O640" s="656" t="s">
        <v>498</v>
      </c>
      <c r="P640" s="656" t="s">
        <v>13052</v>
      </c>
      <c r="Q640" s="656">
        <v>44216.785474537035</v>
      </c>
    </row>
    <row r="641" spans="1:17">
      <c r="A641" s="656" t="s">
        <v>9145</v>
      </c>
      <c r="B641" s="657" t="s">
        <v>202</v>
      </c>
      <c r="C641" s="656" t="s">
        <v>9144</v>
      </c>
      <c r="D641" s="657" t="s">
        <v>13789</v>
      </c>
      <c r="E641" s="657" t="s">
        <v>9406</v>
      </c>
      <c r="F641" s="656" t="s">
        <v>537</v>
      </c>
      <c r="G641" s="656" t="s">
        <v>512</v>
      </c>
      <c r="H641" s="656" t="s">
        <v>537</v>
      </c>
      <c r="I641" s="656" t="s">
        <v>14976</v>
      </c>
      <c r="J641" s="656" t="s">
        <v>8664</v>
      </c>
      <c r="K641" s="656" t="s">
        <v>4161</v>
      </c>
      <c r="L641" s="656"/>
      <c r="M641" s="657"/>
      <c r="N641" s="1482"/>
      <c r="O641" s="656" t="s">
        <v>498</v>
      </c>
      <c r="P641" s="656" t="s">
        <v>13052</v>
      </c>
      <c r="Q641" s="656">
        <v>44216.785474537035</v>
      </c>
    </row>
    <row r="642" spans="1:17">
      <c r="A642" s="656" t="s">
        <v>9147</v>
      </c>
      <c r="B642" s="657" t="s">
        <v>202</v>
      </c>
      <c r="C642" s="656" t="s">
        <v>9146</v>
      </c>
      <c r="D642" s="657" t="s">
        <v>13789</v>
      </c>
      <c r="E642" s="657" t="s">
        <v>7437</v>
      </c>
      <c r="F642" s="656" t="s">
        <v>537</v>
      </c>
      <c r="G642" s="656" t="s">
        <v>512</v>
      </c>
      <c r="H642" s="656" t="s">
        <v>537</v>
      </c>
      <c r="I642" s="656" t="s">
        <v>14976</v>
      </c>
      <c r="J642" s="656" t="s">
        <v>473</v>
      </c>
      <c r="K642" s="656" t="s">
        <v>4161</v>
      </c>
      <c r="L642" s="656"/>
      <c r="M642" s="657"/>
      <c r="N642" s="1482"/>
      <c r="O642" s="656" t="s">
        <v>498</v>
      </c>
      <c r="P642" s="656" t="s">
        <v>13052</v>
      </c>
      <c r="Q642" s="656">
        <v>44216.785474537035</v>
      </c>
    </row>
    <row r="643" spans="1:17">
      <c r="A643" s="656" t="s">
        <v>9149</v>
      </c>
      <c r="B643" s="657" t="s">
        <v>202</v>
      </c>
      <c r="C643" s="656" t="s">
        <v>9148</v>
      </c>
      <c r="D643" s="657" t="s">
        <v>13789</v>
      </c>
      <c r="E643" s="657" t="s">
        <v>7437</v>
      </c>
      <c r="F643" s="656" t="s">
        <v>537</v>
      </c>
      <c r="G643" s="656" t="s">
        <v>512</v>
      </c>
      <c r="H643" s="656" t="s">
        <v>537</v>
      </c>
      <c r="I643" s="656" t="s">
        <v>14976</v>
      </c>
      <c r="J643" s="656" t="s">
        <v>473</v>
      </c>
      <c r="K643" s="656" t="s">
        <v>4161</v>
      </c>
      <c r="L643" s="656"/>
      <c r="M643" s="657"/>
      <c r="N643" s="1482"/>
      <c r="O643" s="656" t="s">
        <v>498</v>
      </c>
      <c r="P643" s="656" t="s">
        <v>13052</v>
      </c>
      <c r="Q643" s="656">
        <v>44216.785462962966</v>
      </c>
    </row>
    <row r="644" spans="1:17">
      <c r="A644" s="656" t="s">
        <v>9150</v>
      </c>
      <c r="B644" s="657" t="s">
        <v>202</v>
      </c>
      <c r="C644" s="656" t="s">
        <v>9514</v>
      </c>
      <c r="D644" s="657" t="s">
        <v>14977</v>
      </c>
      <c r="E644" s="657" t="s">
        <v>7437</v>
      </c>
      <c r="F644" s="656" t="s">
        <v>462</v>
      </c>
      <c r="G644" s="656" t="s">
        <v>512</v>
      </c>
      <c r="H644" s="656" t="s">
        <v>462</v>
      </c>
      <c r="I644" s="656" t="s">
        <v>14976</v>
      </c>
      <c r="J644" s="656" t="s">
        <v>463</v>
      </c>
      <c r="K644" s="656" t="s">
        <v>1924</v>
      </c>
      <c r="L644" s="656" t="s">
        <v>9150</v>
      </c>
      <c r="M644" s="657"/>
      <c r="N644" s="1482"/>
      <c r="O644" s="656" t="s">
        <v>498</v>
      </c>
      <c r="P644" s="656" t="s">
        <v>13052</v>
      </c>
      <c r="Q644" s="656">
        <v>44216.785462962966</v>
      </c>
    </row>
    <row r="645" spans="1:17">
      <c r="A645" s="656" t="s">
        <v>15499</v>
      </c>
      <c r="B645" s="657" t="s">
        <v>504</v>
      </c>
      <c r="C645" s="656" t="s">
        <v>15500</v>
      </c>
      <c r="D645" s="657" t="s">
        <v>15491</v>
      </c>
      <c r="E645" s="657" t="s">
        <v>7437</v>
      </c>
      <c r="F645" s="656" t="s">
        <v>505</v>
      </c>
      <c r="G645" s="656" t="s">
        <v>505</v>
      </c>
      <c r="H645" s="656"/>
      <c r="I645" s="656" t="s">
        <v>13051</v>
      </c>
      <c r="J645" s="656"/>
      <c r="K645" s="656"/>
      <c r="L645" s="656" t="s">
        <v>15497</v>
      </c>
      <c r="M645" s="657"/>
      <c r="N645" s="1482"/>
      <c r="O645" s="656" t="s">
        <v>498</v>
      </c>
      <c r="P645" s="656" t="s">
        <v>13052</v>
      </c>
      <c r="Q645" s="656">
        <v>44223.653194444443</v>
      </c>
    </row>
    <row r="646" spans="1:17">
      <c r="A646" s="656" t="s">
        <v>15498</v>
      </c>
      <c r="B646" s="657" t="s">
        <v>504</v>
      </c>
      <c r="C646" s="656" t="s">
        <v>15495</v>
      </c>
      <c r="D646" s="657" t="s">
        <v>15491</v>
      </c>
      <c r="E646" s="657" t="s">
        <v>7437</v>
      </c>
      <c r="F646" s="656" t="s">
        <v>505</v>
      </c>
      <c r="G646" s="656" t="s">
        <v>505</v>
      </c>
      <c r="H646" s="656"/>
      <c r="I646" s="656" t="s">
        <v>13051</v>
      </c>
      <c r="J646" s="656"/>
      <c r="K646" s="656"/>
      <c r="L646" s="656" t="s">
        <v>15497</v>
      </c>
      <c r="M646" s="657"/>
      <c r="N646" s="1482"/>
      <c r="O646" s="656" t="s">
        <v>498</v>
      </c>
      <c r="P646" s="656" t="s">
        <v>13052</v>
      </c>
      <c r="Q646" s="656">
        <v>44223.652418981481</v>
      </c>
    </row>
    <row r="647" spans="1:17">
      <c r="A647" s="656" t="s">
        <v>9687</v>
      </c>
      <c r="B647" s="657" t="s">
        <v>202</v>
      </c>
      <c r="C647" s="656" t="s">
        <v>9686</v>
      </c>
      <c r="D647" s="657" t="s">
        <v>14978</v>
      </c>
      <c r="E647" s="657" t="s">
        <v>7437</v>
      </c>
      <c r="F647" s="656" t="s">
        <v>2849</v>
      </c>
      <c r="G647" s="656"/>
      <c r="H647" s="656" t="s">
        <v>469</v>
      </c>
      <c r="I647" s="656" t="s">
        <v>14976</v>
      </c>
      <c r="J647" s="656" t="s">
        <v>459</v>
      </c>
      <c r="K647" s="656" t="s">
        <v>2849</v>
      </c>
      <c r="L647" s="656" t="s">
        <v>9152</v>
      </c>
      <c r="M647" s="657"/>
      <c r="N647" s="1482"/>
      <c r="O647" s="656" t="s">
        <v>498</v>
      </c>
      <c r="P647" s="656" t="s">
        <v>13052</v>
      </c>
      <c r="Q647" s="656">
        <v>44216.785451388889</v>
      </c>
    </row>
    <row r="648" spans="1:17">
      <c r="A648" s="656" t="s">
        <v>9668</v>
      </c>
      <c r="B648" s="657" t="s">
        <v>202</v>
      </c>
      <c r="C648" s="656" t="s">
        <v>9688</v>
      </c>
      <c r="D648" s="657" t="s">
        <v>14978</v>
      </c>
      <c r="E648" s="657" t="s">
        <v>7437</v>
      </c>
      <c r="F648" s="656" t="s">
        <v>2849</v>
      </c>
      <c r="G648" s="656"/>
      <c r="H648" s="656" t="s">
        <v>469</v>
      </c>
      <c r="I648" s="656" t="s">
        <v>14976</v>
      </c>
      <c r="J648" s="656" t="s">
        <v>459</v>
      </c>
      <c r="K648" s="656" t="s">
        <v>2849</v>
      </c>
      <c r="L648" s="656" t="s">
        <v>9152</v>
      </c>
      <c r="M648" s="657"/>
      <c r="N648" s="1482"/>
      <c r="O648" s="656" t="s">
        <v>498</v>
      </c>
      <c r="P648" s="656" t="s">
        <v>13052</v>
      </c>
      <c r="Q648" s="656">
        <v>44216.785451388889</v>
      </c>
    </row>
    <row r="649" spans="1:17">
      <c r="A649" s="656" t="s">
        <v>9516</v>
      </c>
      <c r="B649" s="657" t="s">
        <v>202</v>
      </c>
      <c r="C649" s="656" t="s">
        <v>12448</v>
      </c>
      <c r="D649" s="657" t="s">
        <v>14978</v>
      </c>
      <c r="E649" s="657" t="s">
        <v>7437</v>
      </c>
      <c r="F649" s="656" t="s">
        <v>2849</v>
      </c>
      <c r="G649" s="656" t="s">
        <v>512</v>
      </c>
      <c r="H649" s="656" t="s">
        <v>469</v>
      </c>
      <c r="I649" s="656" t="s">
        <v>14976</v>
      </c>
      <c r="J649" s="656" t="s">
        <v>459</v>
      </c>
      <c r="K649" s="656" t="s">
        <v>2849</v>
      </c>
      <c r="L649" s="656" t="s">
        <v>9152</v>
      </c>
      <c r="M649" s="657"/>
      <c r="N649" s="1482"/>
      <c r="O649" s="656" t="s">
        <v>498</v>
      </c>
      <c r="P649" s="656" t="s">
        <v>13052</v>
      </c>
      <c r="Q649" s="656">
        <v>44216.785439814812</v>
      </c>
    </row>
    <row r="650" spans="1:17">
      <c r="A650" s="656" t="s">
        <v>9518</v>
      </c>
      <c r="B650" s="657" t="s">
        <v>531</v>
      </c>
      <c r="C650" s="656" t="s">
        <v>9517</v>
      </c>
      <c r="D650" s="657" t="s">
        <v>14978</v>
      </c>
      <c r="E650" s="657" t="s">
        <v>7437</v>
      </c>
      <c r="F650" s="656" t="s">
        <v>2849</v>
      </c>
      <c r="G650" s="656" t="s">
        <v>552</v>
      </c>
      <c r="H650" s="656" t="s">
        <v>469</v>
      </c>
      <c r="I650" s="656" t="s">
        <v>14976</v>
      </c>
      <c r="J650" s="656" t="s">
        <v>459</v>
      </c>
      <c r="K650" s="656" t="s">
        <v>477</v>
      </c>
      <c r="L650" s="656" t="s">
        <v>9152</v>
      </c>
      <c r="M650" s="657"/>
      <c r="N650" s="1482"/>
      <c r="O650" s="656" t="s">
        <v>498</v>
      </c>
      <c r="P650" s="656" t="s">
        <v>13052</v>
      </c>
      <c r="Q650" s="656">
        <v>44216.785439814812</v>
      </c>
    </row>
    <row r="651" spans="1:17">
      <c r="A651" s="656" t="s">
        <v>9152</v>
      </c>
      <c r="B651" s="657" t="s">
        <v>202</v>
      </c>
      <c r="C651" s="656" t="s">
        <v>9151</v>
      </c>
      <c r="D651" s="657" t="s">
        <v>14977</v>
      </c>
      <c r="E651" s="657" t="s">
        <v>7437</v>
      </c>
      <c r="F651" s="656" t="s">
        <v>2849</v>
      </c>
      <c r="G651" s="656" t="s">
        <v>1268</v>
      </c>
      <c r="H651" s="656" t="s">
        <v>469</v>
      </c>
      <c r="I651" s="656" t="s">
        <v>14976</v>
      </c>
      <c r="J651" s="656" t="s">
        <v>459</v>
      </c>
      <c r="K651" s="656" t="s">
        <v>477</v>
      </c>
      <c r="L651" s="656" t="s">
        <v>9152</v>
      </c>
      <c r="M651" s="657"/>
      <c r="N651" s="1482"/>
      <c r="O651" s="656" t="s">
        <v>498</v>
      </c>
      <c r="P651" s="656" t="s">
        <v>13052</v>
      </c>
      <c r="Q651" s="656">
        <v>44216.785428240742</v>
      </c>
    </row>
    <row r="652" spans="1:17">
      <c r="A652" s="656" t="s">
        <v>15496</v>
      </c>
      <c r="B652" s="657" t="s">
        <v>504</v>
      </c>
      <c r="C652" s="656" t="s">
        <v>15127</v>
      </c>
      <c r="D652" s="657" t="s">
        <v>15491</v>
      </c>
      <c r="E652" s="657" t="s">
        <v>7437</v>
      </c>
      <c r="F652" s="656" t="s">
        <v>505</v>
      </c>
      <c r="G652" s="656" t="s">
        <v>505</v>
      </c>
      <c r="H652" s="656"/>
      <c r="I652" s="656" t="s">
        <v>13051</v>
      </c>
      <c r="J652" s="656"/>
      <c r="K652" s="656"/>
      <c r="L652" s="656" t="s">
        <v>15497</v>
      </c>
      <c r="M652" s="657"/>
      <c r="N652" s="1482"/>
      <c r="O652" s="656" t="s">
        <v>498</v>
      </c>
      <c r="P652" s="656" t="s">
        <v>13052</v>
      </c>
      <c r="Q652" s="656">
        <v>44223.651423611111</v>
      </c>
    </row>
    <row r="653" spans="1:17">
      <c r="A653" s="656" t="s">
        <v>9520</v>
      </c>
      <c r="B653" s="657" t="s">
        <v>531</v>
      </c>
      <c r="C653" s="656" t="s">
        <v>9519</v>
      </c>
      <c r="D653" s="657" t="s">
        <v>14978</v>
      </c>
      <c r="E653" s="657" t="s">
        <v>7437</v>
      </c>
      <c r="F653" s="656" t="s">
        <v>2849</v>
      </c>
      <c r="G653" s="656" t="s">
        <v>512</v>
      </c>
      <c r="H653" s="656" t="s">
        <v>469</v>
      </c>
      <c r="I653" s="656" t="s">
        <v>14976</v>
      </c>
      <c r="J653" s="656" t="s">
        <v>459</v>
      </c>
      <c r="K653" s="656" t="s">
        <v>2849</v>
      </c>
      <c r="L653" s="656" t="s">
        <v>9154</v>
      </c>
      <c r="M653" s="657"/>
      <c r="N653" s="1482"/>
      <c r="O653" s="656" t="s">
        <v>498</v>
      </c>
      <c r="P653" s="656" t="s">
        <v>13052</v>
      </c>
      <c r="Q653" s="656">
        <v>44216.785428240742</v>
      </c>
    </row>
    <row r="654" spans="1:17">
      <c r="A654" s="656" t="s">
        <v>9154</v>
      </c>
      <c r="B654" s="657" t="s">
        <v>202</v>
      </c>
      <c r="C654" s="656" t="s">
        <v>9153</v>
      </c>
      <c r="D654" s="657" t="s">
        <v>14977</v>
      </c>
      <c r="E654" s="657" t="s">
        <v>7437</v>
      </c>
      <c r="F654" s="656" t="s">
        <v>2849</v>
      </c>
      <c r="G654" s="656" t="s">
        <v>9343</v>
      </c>
      <c r="H654" s="656" t="s">
        <v>469</v>
      </c>
      <c r="I654" s="656" t="s">
        <v>14976</v>
      </c>
      <c r="J654" s="656" t="s">
        <v>459</v>
      </c>
      <c r="K654" s="656" t="s">
        <v>477</v>
      </c>
      <c r="L654" s="656" t="s">
        <v>9154</v>
      </c>
      <c r="M654" s="657"/>
      <c r="N654" s="1482"/>
      <c r="O654" s="656" t="s">
        <v>498</v>
      </c>
      <c r="P654" s="656" t="s">
        <v>13052</v>
      </c>
      <c r="Q654" s="656">
        <v>44216.785416666666</v>
      </c>
    </row>
    <row r="655" spans="1:17">
      <c r="A655" s="656" t="s">
        <v>9521</v>
      </c>
      <c r="B655" s="657" t="s">
        <v>202</v>
      </c>
      <c r="C655" s="656" t="s">
        <v>9689</v>
      </c>
      <c r="D655" s="657" t="s">
        <v>14978</v>
      </c>
      <c r="E655" s="657" t="s">
        <v>7437</v>
      </c>
      <c r="F655" s="656" t="s">
        <v>2849</v>
      </c>
      <c r="G655" s="656" t="s">
        <v>519</v>
      </c>
      <c r="H655" s="656" t="s">
        <v>469</v>
      </c>
      <c r="I655" s="656" t="s">
        <v>14976</v>
      </c>
      <c r="J655" s="656" t="s">
        <v>459</v>
      </c>
      <c r="K655" s="656" t="s">
        <v>2849</v>
      </c>
      <c r="L655" s="656" t="s">
        <v>9156</v>
      </c>
      <c r="M655" s="657"/>
      <c r="N655" s="1482"/>
      <c r="O655" s="656" t="s">
        <v>498</v>
      </c>
      <c r="P655" s="656" t="s">
        <v>13052</v>
      </c>
      <c r="Q655" s="656">
        <v>44216.785416666666</v>
      </c>
    </row>
    <row r="656" spans="1:17">
      <c r="A656" s="656" t="s">
        <v>9156</v>
      </c>
      <c r="B656" s="657" t="s">
        <v>202</v>
      </c>
      <c r="C656" s="656" t="s">
        <v>9155</v>
      </c>
      <c r="D656" s="657" t="s">
        <v>14977</v>
      </c>
      <c r="E656" s="657" t="s">
        <v>7437</v>
      </c>
      <c r="F656" s="656" t="s">
        <v>2849</v>
      </c>
      <c r="G656" s="656" t="s">
        <v>9344</v>
      </c>
      <c r="H656" s="656" t="s">
        <v>469</v>
      </c>
      <c r="I656" s="656" t="s">
        <v>14976</v>
      </c>
      <c r="J656" s="656" t="s">
        <v>459</v>
      </c>
      <c r="K656" s="656" t="s">
        <v>477</v>
      </c>
      <c r="L656" s="656" t="s">
        <v>9156</v>
      </c>
      <c r="M656" s="657"/>
      <c r="N656" s="1482"/>
      <c r="O656" s="656" t="s">
        <v>498</v>
      </c>
      <c r="P656" s="656" t="s">
        <v>13052</v>
      </c>
      <c r="Q656" s="656">
        <v>44216.785416666666</v>
      </c>
    </row>
    <row r="657" spans="1:17">
      <c r="A657" s="656" t="s">
        <v>9158</v>
      </c>
      <c r="B657" s="657" t="s">
        <v>202</v>
      </c>
      <c r="C657" s="656" t="s">
        <v>9157</v>
      </c>
      <c r="D657" s="657" t="s">
        <v>14977</v>
      </c>
      <c r="E657" s="657" t="s">
        <v>7437</v>
      </c>
      <c r="F657" s="656" t="s">
        <v>2849</v>
      </c>
      <c r="G657" s="656" t="s">
        <v>552</v>
      </c>
      <c r="H657" s="656" t="s">
        <v>469</v>
      </c>
      <c r="I657" s="656" t="s">
        <v>14976</v>
      </c>
      <c r="J657" s="656" t="s">
        <v>459</v>
      </c>
      <c r="K657" s="656" t="s">
        <v>477</v>
      </c>
      <c r="L657" s="656" t="s">
        <v>9158</v>
      </c>
      <c r="M657" s="657"/>
      <c r="N657" s="1482"/>
      <c r="O657" s="656" t="s">
        <v>498</v>
      </c>
      <c r="P657" s="656" t="s">
        <v>13052</v>
      </c>
      <c r="Q657" s="656">
        <v>44216.785405092596</v>
      </c>
    </row>
    <row r="658" spans="1:17">
      <c r="A658" s="656" t="s">
        <v>9160</v>
      </c>
      <c r="B658" s="657" t="s">
        <v>202</v>
      </c>
      <c r="C658" s="656" t="s">
        <v>9159</v>
      </c>
      <c r="D658" s="657" t="s">
        <v>14977</v>
      </c>
      <c r="E658" s="657" t="s">
        <v>7437</v>
      </c>
      <c r="F658" s="656" t="s">
        <v>2849</v>
      </c>
      <c r="G658" s="656" t="s">
        <v>552</v>
      </c>
      <c r="H658" s="656" t="s">
        <v>469</v>
      </c>
      <c r="I658" s="656" t="s">
        <v>14976</v>
      </c>
      <c r="J658" s="656" t="s">
        <v>459</v>
      </c>
      <c r="K658" s="656" t="s">
        <v>477</v>
      </c>
      <c r="L658" s="656" t="s">
        <v>9160</v>
      </c>
      <c r="M658" s="657"/>
      <c r="N658" s="1482"/>
      <c r="O658" s="656" t="s">
        <v>498</v>
      </c>
      <c r="P658" s="656" t="s">
        <v>13052</v>
      </c>
      <c r="Q658" s="656">
        <v>44216.785405092596</v>
      </c>
    </row>
    <row r="659" spans="1:17">
      <c r="A659" s="656" t="s">
        <v>12955</v>
      </c>
      <c r="B659" s="657" t="s">
        <v>202</v>
      </c>
      <c r="C659" s="656" t="s">
        <v>12954</v>
      </c>
      <c r="D659" s="657" t="s">
        <v>14978</v>
      </c>
      <c r="E659" s="657" t="s">
        <v>7437</v>
      </c>
      <c r="F659" s="656" t="s">
        <v>2849</v>
      </c>
      <c r="G659" s="656"/>
      <c r="H659" s="656" t="s">
        <v>469</v>
      </c>
      <c r="I659" s="656" t="s">
        <v>14976</v>
      </c>
      <c r="J659" s="656" t="s">
        <v>459</v>
      </c>
      <c r="K659" s="656" t="s">
        <v>2849</v>
      </c>
      <c r="L659" s="656" t="s">
        <v>9162</v>
      </c>
      <c r="M659" s="657"/>
      <c r="N659" s="1482"/>
      <c r="O659" s="656" t="s">
        <v>498</v>
      </c>
      <c r="P659" s="656" t="s">
        <v>13052</v>
      </c>
      <c r="Q659" s="656">
        <v>44216.785405092596</v>
      </c>
    </row>
    <row r="660" spans="1:17">
      <c r="A660" s="656" t="s">
        <v>9523</v>
      </c>
      <c r="B660" s="657" t="s">
        <v>202</v>
      </c>
      <c r="C660" s="656" t="s">
        <v>9522</v>
      </c>
      <c r="D660" s="657" t="s">
        <v>14978</v>
      </c>
      <c r="E660" s="657" t="s">
        <v>7437</v>
      </c>
      <c r="F660" s="656" t="s">
        <v>2849</v>
      </c>
      <c r="G660" s="656" t="s">
        <v>512</v>
      </c>
      <c r="H660" s="656" t="s">
        <v>469</v>
      </c>
      <c r="I660" s="656" t="s">
        <v>14976</v>
      </c>
      <c r="J660" s="656" t="s">
        <v>459</v>
      </c>
      <c r="K660" s="656" t="s">
        <v>2849</v>
      </c>
      <c r="L660" s="656" t="s">
        <v>9162</v>
      </c>
      <c r="M660" s="657"/>
      <c r="N660" s="1482"/>
      <c r="O660" s="656" t="s">
        <v>498</v>
      </c>
      <c r="P660" s="656" t="s">
        <v>13052</v>
      </c>
      <c r="Q660" s="656">
        <v>44216.785393518519</v>
      </c>
    </row>
    <row r="661" spans="1:17">
      <c r="A661" s="656" t="s">
        <v>9525</v>
      </c>
      <c r="B661" s="657" t="s">
        <v>202</v>
      </c>
      <c r="C661" s="656" t="s">
        <v>9524</v>
      </c>
      <c r="D661" s="657" t="s">
        <v>14978</v>
      </c>
      <c r="E661" s="657" t="s">
        <v>7437</v>
      </c>
      <c r="F661" s="656" t="s">
        <v>2849</v>
      </c>
      <c r="G661" s="656" t="s">
        <v>512</v>
      </c>
      <c r="H661" s="656" t="s">
        <v>469</v>
      </c>
      <c r="I661" s="656" t="s">
        <v>14976</v>
      </c>
      <c r="J661" s="656" t="s">
        <v>459</v>
      </c>
      <c r="K661" s="656" t="s">
        <v>2849</v>
      </c>
      <c r="L661" s="656" t="s">
        <v>9162</v>
      </c>
      <c r="M661" s="657"/>
      <c r="N661" s="1482"/>
      <c r="O661" s="656" t="s">
        <v>498</v>
      </c>
      <c r="P661" s="656" t="s">
        <v>13052</v>
      </c>
      <c r="Q661" s="656">
        <v>44216.785393518519</v>
      </c>
    </row>
    <row r="662" spans="1:17">
      <c r="A662" s="656" t="s">
        <v>9527</v>
      </c>
      <c r="B662" s="657" t="s">
        <v>202</v>
      </c>
      <c r="C662" s="656" t="s">
        <v>9526</v>
      </c>
      <c r="D662" s="657" t="s">
        <v>14978</v>
      </c>
      <c r="E662" s="657" t="s">
        <v>7437</v>
      </c>
      <c r="F662" s="656" t="s">
        <v>2849</v>
      </c>
      <c r="G662" s="656" t="s">
        <v>512</v>
      </c>
      <c r="H662" s="656" t="s">
        <v>469</v>
      </c>
      <c r="I662" s="656" t="s">
        <v>14976</v>
      </c>
      <c r="J662" s="656" t="s">
        <v>459</v>
      </c>
      <c r="K662" s="656" t="s">
        <v>2849</v>
      </c>
      <c r="L662" s="656" t="s">
        <v>9162</v>
      </c>
      <c r="M662" s="657"/>
      <c r="N662" s="1482"/>
      <c r="O662" s="656" t="s">
        <v>498</v>
      </c>
      <c r="P662" s="656" t="s">
        <v>13052</v>
      </c>
      <c r="Q662" s="656">
        <v>44216.785381944443</v>
      </c>
    </row>
    <row r="663" spans="1:17">
      <c r="A663" s="656" t="s">
        <v>9162</v>
      </c>
      <c r="B663" s="657" t="s">
        <v>202</v>
      </c>
      <c r="C663" s="656" t="s">
        <v>9161</v>
      </c>
      <c r="D663" s="657" t="s">
        <v>14977</v>
      </c>
      <c r="E663" s="657" t="s">
        <v>7437</v>
      </c>
      <c r="F663" s="656" t="s">
        <v>2849</v>
      </c>
      <c r="G663" s="656"/>
      <c r="H663" s="656" t="s">
        <v>469</v>
      </c>
      <c r="I663" s="656" t="s">
        <v>14976</v>
      </c>
      <c r="J663" s="656" t="s">
        <v>459</v>
      </c>
      <c r="K663" s="656" t="s">
        <v>477</v>
      </c>
      <c r="L663" s="656" t="s">
        <v>9162</v>
      </c>
      <c r="M663" s="657"/>
      <c r="N663" s="1482"/>
      <c r="O663" s="656" t="s">
        <v>498</v>
      </c>
      <c r="P663" s="656" t="s">
        <v>13052</v>
      </c>
      <c r="Q663" s="656">
        <v>44216.785381944443</v>
      </c>
    </row>
    <row r="664" spans="1:17">
      <c r="A664" s="656" t="s">
        <v>9670</v>
      </c>
      <c r="B664" s="657" t="s">
        <v>202</v>
      </c>
      <c r="C664" s="656" t="s">
        <v>9669</v>
      </c>
      <c r="D664" s="657" t="s">
        <v>14978</v>
      </c>
      <c r="E664" s="657" t="s">
        <v>7437</v>
      </c>
      <c r="F664" s="656" t="s">
        <v>2849</v>
      </c>
      <c r="G664" s="656" t="s">
        <v>512</v>
      </c>
      <c r="H664" s="656" t="s">
        <v>469</v>
      </c>
      <c r="I664" s="656" t="s">
        <v>14976</v>
      </c>
      <c r="J664" s="656" t="s">
        <v>459</v>
      </c>
      <c r="K664" s="656" t="s">
        <v>2849</v>
      </c>
      <c r="L664" s="656" t="s">
        <v>9164</v>
      </c>
      <c r="M664" s="657"/>
      <c r="N664" s="1482"/>
      <c r="O664" s="656" t="s">
        <v>498</v>
      </c>
      <c r="P664" s="656" t="s">
        <v>13052</v>
      </c>
      <c r="Q664" s="656">
        <v>44216.785381944443</v>
      </c>
    </row>
    <row r="665" spans="1:17">
      <c r="A665" s="656" t="s">
        <v>9528</v>
      </c>
      <c r="B665" s="657" t="s">
        <v>202</v>
      </c>
      <c r="C665" s="656" t="s">
        <v>9690</v>
      </c>
      <c r="D665" s="657" t="s">
        <v>14978</v>
      </c>
      <c r="E665" s="657" t="s">
        <v>7437</v>
      </c>
      <c r="F665" s="656" t="s">
        <v>2849</v>
      </c>
      <c r="G665" s="656" t="s">
        <v>512</v>
      </c>
      <c r="H665" s="656" t="s">
        <v>469</v>
      </c>
      <c r="I665" s="656" t="s">
        <v>14976</v>
      </c>
      <c r="J665" s="656" t="s">
        <v>459</v>
      </c>
      <c r="K665" s="656" t="s">
        <v>2849</v>
      </c>
      <c r="L665" s="656" t="s">
        <v>9164</v>
      </c>
      <c r="M665" s="657"/>
      <c r="N665" s="1482"/>
      <c r="O665" s="656" t="s">
        <v>498</v>
      </c>
      <c r="P665" s="656" t="s">
        <v>13052</v>
      </c>
      <c r="Q665" s="656">
        <v>44216.785370370373</v>
      </c>
    </row>
    <row r="666" spans="1:17">
      <c r="A666" s="656" t="s">
        <v>9164</v>
      </c>
      <c r="B666" s="657" t="s">
        <v>202</v>
      </c>
      <c r="C666" s="656" t="s">
        <v>9163</v>
      </c>
      <c r="D666" s="657" t="s">
        <v>14977</v>
      </c>
      <c r="E666" s="657" t="s">
        <v>7437</v>
      </c>
      <c r="F666" s="656" t="s">
        <v>2849</v>
      </c>
      <c r="G666" s="656" t="s">
        <v>552</v>
      </c>
      <c r="H666" s="656" t="s">
        <v>469</v>
      </c>
      <c r="I666" s="656" t="s">
        <v>14976</v>
      </c>
      <c r="J666" s="656" t="s">
        <v>459</v>
      </c>
      <c r="K666" s="656" t="s">
        <v>477</v>
      </c>
      <c r="L666" s="656" t="s">
        <v>9164</v>
      </c>
      <c r="M666" s="657"/>
      <c r="N666" s="1482"/>
      <c r="O666" s="656" t="s">
        <v>498</v>
      </c>
      <c r="P666" s="656" t="s">
        <v>13052</v>
      </c>
      <c r="Q666" s="656">
        <v>44216.785370370373</v>
      </c>
    </row>
    <row r="667" spans="1:17">
      <c r="A667" s="656" t="s">
        <v>9166</v>
      </c>
      <c r="B667" s="657" t="s">
        <v>202</v>
      </c>
      <c r="C667" s="656" t="s">
        <v>9165</v>
      </c>
      <c r="D667" s="657" t="s">
        <v>14977</v>
      </c>
      <c r="E667" s="657" t="s">
        <v>7437</v>
      </c>
      <c r="F667" s="656" t="s">
        <v>4052</v>
      </c>
      <c r="G667" s="656" t="s">
        <v>512</v>
      </c>
      <c r="H667" s="656" t="s">
        <v>455</v>
      </c>
      <c r="I667" s="656" t="s">
        <v>14976</v>
      </c>
      <c r="J667" s="656" t="s">
        <v>451</v>
      </c>
      <c r="K667" s="656" t="s">
        <v>4052</v>
      </c>
      <c r="L667" s="656" t="s">
        <v>9166</v>
      </c>
      <c r="M667" s="657"/>
      <c r="N667" s="1482"/>
      <c r="O667" s="656" t="s">
        <v>498</v>
      </c>
      <c r="P667" s="656" t="s">
        <v>13052</v>
      </c>
      <c r="Q667" s="656">
        <v>44216.785370370373</v>
      </c>
    </row>
    <row r="668" spans="1:17">
      <c r="A668" s="656" t="s">
        <v>15785</v>
      </c>
      <c r="B668" s="657" t="s">
        <v>202</v>
      </c>
      <c r="C668" s="656" t="s">
        <v>15786</v>
      </c>
      <c r="D668" s="657" t="s">
        <v>14978</v>
      </c>
      <c r="E668" s="657" t="s">
        <v>7435</v>
      </c>
      <c r="F668" s="656" t="s">
        <v>4052</v>
      </c>
      <c r="G668" s="656"/>
      <c r="H668" s="656" t="s">
        <v>4052</v>
      </c>
      <c r="I668" s="656"/>
      <c r="J668" s="656" t="s">
        <v>451</v>
      </c>
      <c r="K668" s="656"/>
      <c r="L668" s="656" t="s">
        <v>9167</v>
      </c>
      <c r="M668" s="657" t="s">
        <v>15517</v>
      </c>
      <c r="N668" s="1482">
        <v>174</v>
      </c>
      <c r="O668" s="656" t="s">
        <v>498</v>
      </c>
      <c r="P668" s="656" t="s">
        <v>13052</v>
      </c>
      <c r="Q668" s="656">
        <v>44259.458587962959</v>
      </c>
    </row>
    <row r="669" spans="1:17">
      <c r="A669" s="656" t="s">
        <v>9167</v>
      </c>
      <c r="B669" s="657" t="s">
        <v>202</v>
      </c>
      <c r="C669" s="656" t="s">
        <v>14031</v>
      </c>
      <c r="D669" s="657" t="s">
        <v>14977</v>
      </c>
      <c r="E669" s="657" t="s">
        <v>7437</v>
      </c>
      <c r="F669" s="656" t="s">
        <v>4052</v>
      </c>
      <c r="G669" s="656" t="s">
        <v>512</v>
      </c>
      <c r="H669" s="656" t="s">
        <v>455</v>
      </c>
      <c r="I669" s="656" t="s">
        <v>14976</v>
      </c>
      <c r="J669" s="656" t="s">
        <v>451</v>
      </c>
      <c r="K669" s="656" t="s">
        <v>4052</v>
      </c>
      <c r="L669" s="656" t="s">
        <v>9167</v>
      </c>
      <c r="M669" s="657"/>
      <c r="N669" s="1482"/>
      <c r="O669" s="656" t="s">
        <v>498</v>
      </c>
      <c r="P669" s="656" t="s">
        <v>13052</v>
      </c>
      <c r="Q669" s="656">
        <v>44216.785358796296</v>
      </c>
    </row>
    <row r="670" spans="1:17">
      <c r="A670" s="656" t="s">
        <v>15779</v>
      </c>
      <c r="B670" s="657" t="s">
        <v>202</v>
      </c>
      <c r="C670" s="656" t="s">
        <v>15780</v>
      </c>
      <c r="D670" s="657" t="s">
        <v>14978</v>
      </c>
      <c r="E670" s="657" t="s">
        <v>7435</v>
      </c>
      <c r="F670" s="656" t="s">
        <v>4052</v>
      </c>
      <c r="G670" s="656"/>
      <c r="H670" s="656" t="s">
        <v>4052</v>
      </c>
      <c r="I670" s="656"/>
      <c r="J670" s="656" t="s">
        <v>451</v>
      </c>
      <c r="K670" s="656"/>
      <c r="L670" s="656" t="s">
        <v>9168</v>
      </c>
      <c r="M670" s="657" t="s">
        <v>15517</v>
      </c>
      <c r="N670" s="1482">
        <v>171</v>
      </c>
      <c r="O670" s="656" t="s">
        <v>498</v>
      </c>
      <c r="P670" s="656" t="s">
        <v>13052</v>
      </c>
      <c r="Q670" s="656">
        <v>44259.444606481484</v>
      </c>
    </row>
    <row r="671" spans="1:17">
      <c r="A671" s="656" t="s">
        <v>15781</v>
      </c>
      <c r="B671" s="657" t="s">
        <v>202</v>
      </c>
      <c r="C671" s="656" t="s">
        <v>15782</v>
      </c>
      <c r="D671" s="657" t="s">
        <v>14978</v>
      </c>
      <c r="E671" s="657" t="s">
        <v>7435</v>
      </c>
      <c r="F671" s="656" t="s">
        <v>4052</v>
      </c>
      <c r="G671" s="656"/>
      <c r="H671" s="656" t="s">
        <v>4052</v>
      </c>
      <c r="I671" s="656"/>
      <c r="J671" s="656" t="s">
        <v>451</v>
      </c>
      <c r="K671" s="656"/>
      <c r="L671" s="656" t="s">
        <v>9168</v>
      </c>
      <c r="M671" s="657" t="s">
        <v>15517</v>
      </c>
      <c r="N671" s="1482">
        <v>172</v>
      </c>
      <c r="O671" s="656" t="s">
        <v>498</v>
      </c>
      <c r="P671" s="656" t="s">
        <v>13052</v>
      </c>
      <c r="Q671" s="656">
        <v>44259.45857638889</v>
      </c>
    </row>
    <row r="672" spans="1:17">
      <c r="A672" s="656" t="s">
        <v>9168</v>
      </c>
      <c r="B672" s="657" t="s">
        <v>202</v>
      </c>
      <c r="C672" s="656" t="s">
        <v>14030</v>
      </c>
      <c r="D672" s="657" t="s">
        <v>14977</v>
      </c>
      <c r="E672" s="657" t="s">
        <v>7437</v>
      </c>
      <c r="F672" s="656" t="s">
        <v>4052</v>
      </c>
      <c r="G672" s="656" t="s">
        <v>512</v>
      </c>
      <c r="H672" s="656" t="s">
        <v>455</v>
      </c>
      <c r="I672" s="656" t="s">
        <v>14976</v>
      </c>
      <c r="J672" s="656" t="s">
        <v>451</v>
      </c>
      <c r="K672" s="656" t="s">
        <v>4052</v>
      </c>
      <c r="L672" s="656" t="s">
        <v>9168</v>
      </c>
      <c r="M672" s="657"/>
      <c r="N672" s="1482"/>
      <c r="O672" s="656" t="s">
        <v>498</v>
      </c>
      <c r="P672" s="656" t="s">
        <v>13052</v>
      </c>
      <c r="Q672" s="656">
        <v>44216.78534722222</v>
      </c>
    </row>
    <row r="673" spans="1:17">
      <c r="A673" s="656" t="s">
        <v>15801</v>
      </c>
      <c r="B673" s="657" t="s">
        <v>202</v>
      </c>
      <c r="C673" s="656" t="s">
        <v>15802</v>
      </c>
      <c r="D673" s="657" t="s">
        <v>14978</v>
      </c>
      <c r="E673" s="657" t="s">
        <v>7435</v>
      </c>
      <c r="F673" s="656" t="s">
        <v>4052</v>
      </c>
      <c r="G673" s="656"/>
      <c r="H673" s="656" t="s">
        <v>4052</v>
      </c>
      <c r="I673" s="656"/>
      <c r="J673" s="656" t="s">
        <v>451</v>
      </c>
      <c r="K673" s="656"/>
      <c r="L673" s="656" t="s">
        <v>9169</v>
      </c>
      <c r="M673" s="657" t="s">
        <v>15517</v>
      </c>
      <c r="N673" s="1482">
        <v>182</v>
      </c>
      <c r="O673" s="656" t="s">
        <v>498</v>
      </c>
      <c r="P673" s="656" t="s">
        <v>13052</v>
      </c>
      <c r="Q673" s="656">
        <v>44260.681203703702</v>
      </c>
    </row>
    <row r="674" spans="1:17">
      <c r="A674" s="656" t="s">
        <v>15803</v>
      </c>
      <c r="B674" s="657" t="s">
        <v>202</v>
      </c>
      <c r="C674" s="656" t="s">
        <v>15804</v>
      </c>
      <c r="D674" s="657" t="s">
        <v>14978</v>
      </c>
      <c r="E674" s="657" t="s">
        <v>7435</v>
      </c>
      <c r="F674" s="656" t="s">
        <v>4052</v>
      </c>
      <c r="G674" s="656"/>
      <c r="H674" s="656" t="s">
        <v>4052</v>
      </c>
      <c r="I674" s="656"/>
      <c r="J674" s="656" t="s">
        <v>451</v>
      </c>
      <c r="K674" s="656"/>
      <c r="L674" s="656" t="s">
        <v>9169</v>
      </c>
      <c r="M674" s="657" t="s">
        <v>15517</v>
      </c>
      <c r="N674" s="1482">
        <v>184</v>
      </c>
      <c r="O674" s="656" t="s">
        <v>498</v>
      </c>
      <c r="P674" s="656" t="s">
        <v>13052</v>
      </c>
      <c r="Q674" s="656">
        <v>44260.68204861111</v>
      </c>
    </row>
    <row r="675" spans="1:17">
      <c r="A675" s="656" t="s">
        <v>15799</v>
      </c>
      <c r="B675" s="657"/>
      <c r="C675" s="656" t="s">
        <v>15800</v>
      </c>
      <c r="D675" s="657" t="s">
        <v>14978</v>
      </c>
      <c r="E675" s="657" t="s">
        <v>7435</v>
      </c>
      <c r="F675" s="656" t="s">
        <v>4052</v>
      </c>
      <c r="G675" s="656"/>
      <c r="H675" s="656" t="s">
        <v>4052</v>
      </c>
      <c r="I675" s="656"/>
      <c r="J675" s="656" t="s">
        <v>451</v>
      </c>
      <c r="K675" s="656"/>
      <c r="L675" s="656" t="s">
        <v>9169</v>
      </c>
      <c r="M675" s="657" t="s">
        <v>15517</v>
      </c>
      <c r="N675" s="1482">
        <v>183</v>
      </c>
      <c r="O675" s="656" t="s">
        <v>498</v>
      </c>
      <c r="P675" s="656" t="s">
        <v>13052</v>
      </c>
      <c r="Q675" s="656">
        <v>44260.681192129632</v>
      </c>
    </row>
    <row r="676" spans="1:17">
      <c r="A676" s="656" t="s">
        <v>15777</v>
      </c>
      <c r="B676" s="657" t="s">
        <v>202</v>
      </c>
      <c r="C676" s="656" t="s">
        <v>15778</v>
      </c>
      <c r="D676" s="657" t="s">
        <v>14978</v>
      </c>
      <c r="E676" s="657" t="s">
        <v>7435</v>
      </c>
      <c r="F676" s="656" t="s">
        <v>4052</v>
      </c>
      <c r="G676" s="656"/>
      <c r="H676" s="656" t="s">
        <v>4052</v>
      </c>
      <c r="I676" s="656"/>
      <c r="J676" s="656" t="s">
        <v>451</v>
      </c>
      <c r="K676" s="656"/>
      <c r="L676" s="656" t="s">
        <v>9169</v>
      </c>
      <c r="M676" s="657" t="s">
        <v>15517</v>
      </c>
      <c r="N676" s="1482">
        <v>170</v>
      </c>
      <c r="O676" s="656" t="s">
        <v>498</v>
      </c>
      <c r="P676" s="656" t="s">
        <v>13052</v>
      </c>
      <c r="Q676" s="656">
        <v>44259.443993055553</v>
      </c>
    </row>
    <row r="677" spans="1:17">
      <c r="A677" s="656" t="s">
        <v>15695</v>
      </c>
      <c r="B677" s="657" t="s">
        <v>202</v>
      </c>
      <c r="C677" s="656" t="s">
        <v>15696</v>
      </c>
      <c r="D677" s="657"/>
      <c r="E677" s="657" t="s">
        <v>7435</v>
      </c>
      <c r="F677" s="656" t="s">
        <v>4052</v>
      </c>
      <c r="G677" s="656"/>
      <c r="H677" s="656" t="s">
        <v>4052</v>
      </c>
      <c r="I677" s="656"/>
      <c r="J677" s="656" t="s">
        <v>451</v>
      </c>
      <c r="K677" s="656"/>
      <c r="L677" s="656" t="s">
        <v>9169</v>
      </c>
      <c r="M677" s="657" t="s">
        <v>15533</v>
      </c>
      <c r="N677" s="1482">
        <v>138</v>
      </c>
      <c r="O677" s="656" t="s">
        <v>498</v>
      </c>
      <c r="P677" s="656" t="s">
        <v>13052</v>
      </c>
      <c r="Q677" s="656">
        <v>44245.434374999997</v>
      </c>
    </row>
    <row r="678" spans="1:17">
      <c r="A678" s="656" t="s">
        <v>9692</v>
      </c>
      <c r="B678" s="657" t="s">
        <v>202</v>
      </c>
      <c r="C678" s="656" t="s">
        <v>9691</v>
      </c>
      <c r="D678" s="657" t="s">
        <v>14978</v>
      </c>
      <c r="E678" s="657" t="s">
        <v>7437</v>
      </c>
      <c r="F678" s="656" t="s">
        <v>4052</v>
      </c>
      <c r="G678" s="656" t="s">
        <v>512</v>
      </c>
      <c r="H678" s="656" t="s">
        <v>455</v>
      </c>
      <c r="I678" s="656" t="s">
        <v>14976</v>
      </c>
      <c r="J678" s="656" t="s">
        <v>451</v>
      </c>
      <c r="K678" s="656" t="s">
        <v>4052</v>
      </c>
      <c r="L678" s="656" t="s">
        <v>9169</v>
      </c>
      <c r="M678" s="657"/>
      <c r="N678" s="1482"/>
      <c r="O678" s="656" t="s">
        <v>498</v>
      </c>
      <c r="P678" s="656" t="s">
        <v>13052</v>
      </c>
      <c r="Q678" s="656">
        <v>44216.785358796296</v>
      </c>
    </row>
    <row r="679" spans="1:17">
      <c r="A679" s="656" t="s">
        <v>9530</v>
      </c>
      <c r="B679" s="657" t="s">
        <v>202</v>
      </c>
      <c r="C679" s="656" t="s">
        <v>9529</v>
      </c>
      <c r="D679" s="657" t="s">
        <v>14978</v>
      </c>
      <c r="E679" s="657" t="s">
        <v>7437</v>
      </c>
      <c r="F679" s="656" t="s">
        <v>4052</v>
      </c>
      <c r="G679" s="656" t="s">
        <v>512</v>
      </c>
      <c r="H679" s="656" t="s">
        <v>455</v>
      </c>
      <c r="I679" s="656" t="s">
        <v>14976</v>
      </c>
      <c r="J679" s="656" t="s">
        <v>451</v>
      </c>
      <c r="K679" s="656" t="s">
        <v>4052</v>
      </c>
      <c r="L679" s="656" t="s">
        <v>9169</v>
      </c>
      <c r="M679" s="657"/>
      <c r="N679" s="1482"/>
      <c r="O679" s="656" t="s">
        <v>498</v>
      </c>
      <c r="P679" s="656" t="s">
        <v>13052</v>
      </c>
      <c r="Q679" s="656">
        <v>44216.78533564815</v>
      </c>
    </row>
    <row r="680" spans="1:17">
      <c r="A680" s="656" t="s">
        <v>9169</v>
      </c>
      <c r="B680" s="657" t="s">
        <v>202</v>
      </c>
      <c r="C680" s="656" t="s">
        <v>14028</v>
      </c>
      <c r="D680" s="657" t="s">
        <v>14977</v>
      </c>
      <c r="E680" s="657" t="s">
        <v>7437</v>
      </c>
      <c r="F680" s="656" t="s">
        <v>4052</v>
      </c>
      <c r="G680" s="656" t="s">
        <v>512</v>
      </c>
      <c r="H680" s="656" t="s">
        <v>455</v>
      </c>
      <c r="I680" s="656" t="s">
        <v>14976</v>
      </c>
      <c r="J680" s="656" t="s">
        <v>451</v>
      </c>
      <c r="K680" s="656" t="s">
        <v>4052</v>
      </c>
      <c r="L680" s="656" t="s">
        <v>9169</v>
      </c>
      <c r="M680" s="657"/>
      <c r="N680" s="1482"/>
      <c r="O680" s="656" t="s">
        <v>498</v>
      </c>
      <c r="P680" s="656" t="s">
        <v>13052</v>
      </c>
      <c r="Q680" s="656">
        <v>44216.78533564815</v>
      </c>
    </row>
    <row r="681" spans="1:17">
      <c r="A681" s="656" t="s">
        <v>15805</v>
      </c>
      <c r="B681" s="657" t="s">
        <v>202</v>
      </c>
      <c r="C681" s="656" t="s">
        <v>15806</v>
      </c>
      <c r="D681" s="657" t="s">
        <v>14978</v>
      </c>
      <c r="E681" s="657" t="s">
        <v>7435</v>
      </c>
      <c r="F681" s="656" t="s">
        <v>4052</v>
      </c>
      <c r="G681" s="656"/>
      <c r="H681" s="656" t="s">
        <v>4052</v>
      </c>
      <c r="I681" s="656"/>
      <c r="J681" s="656" t="s">
        <v>451</v>
      </c>
      <c r="K681" s="656"/>
      <c r="L681" s="656" t="s">
        <v>9171</v>
      </c>
      <c r="M681" s="657" t="s">
        <v>15517</v>
      </c>
      <c r="N681" s="1482">
        <v>185</v>
      </c>
      <c r="O681" s="656" t="s">
        <v>498</v>
      </c>
      <c r="P681" s="656" t="s">
        <v>13052</v>
      </c>
      <c r="Q681" s="656">
        <v>44263.673252314817</v>
      </c>
    </row>
    <row r="682" spans="1:17">
      <c r="A682" s="656" t="s">
        <v>15775</v>
      </c>
      <c r="B682" s="657" t="s">
        <v>202</v>
      </c>
      <c r="C682" s="656" t="s">
        <v>15776</v>
      </c>
      <c r="D682" s="657" t="s">
        <v>14978</v>
      </c>
      <c r="E682" s="657" t="s">
        <v>7435</v>
      </c>
      <c r="F682" s="656" t="s">
        <v>4052</v>
      </c>
      <c r="G682" s="656"/>
      <c r="H682" s="656" t="s">
        <v>4052</v>
      </c>
      <c r="I682" s="656"/>
      <c r="J682" s="656" t="s">
        <v>451</v>
      </c>
      <c r="K682" s="656"/>
      <c r="L682" s="656" t="s">
        <v>9171</v>
      </c>
      <c r="M682" s="657" t="s">
        <v>15517</v>
      </c>
      <c r="N682" s="1482">
        <v>169</v>
      </c>
      <c r="O682" s="656" t="s">
        <v>498</v>
      </c>
      <c r="P682" s="656" t="s">
        <v>13052</v>
      </c>
      <c r="Q682" s="656">
        <v>44258.615335648145</v>
      </c>
    </row>
    <row r="683" spans="1:17">
      <c r="A683" s="656" t="s">
        <v>15773</v>
      </c>
      <c r="B683" s="657" t="s">
        <v>202</v>
      </c>
      <c r="C683" s="656" t="s">
        <v>15774</v>
      </c>
      <c r="D683" s="657" t="s">
        <v>14978</v>
      </c>
      <c r="E683" s="657" t="s">
        <v>7435</v>
      </c>
      <c r="F683" s="656" t="s">
        <v>4052</v>
      </c>
      <c r="G683" s="656"/>
      <c r="H683" s="656" t="s">
        <v>4052</v>
      </c>
      <c r="I683" s="656"/>
      <c r="J683" s="656" t="s">
        <v>451</v>
      </c>
      <c r="K683" s="656"/>
      <c r="L683" s="656" t="s">
        <v>9171</v>
      </c>
      <c r="M683" s="657" t="s">
        <v>15517</v>
      </c>
      <c r="N683" s="1482">
        <v>168</v>
      </c>
      <c r="O683" s="656" t="s">
        <v>498</v>
      </c>
      <c r="P683" s="656" t="s">
        <v>13052</v>
      </c>
      <c r="Q683" s="656">
        <v>44258.615335648145</v>
      </c>
    </row>
    <row r="684" spans="1:17">
      <c r="A684" s="656" t="s">
        <v>9171</v>
      </c>
      <c r="B684" s="657" t="s">
        <v>202</v>
      </c>
      <c r="C684" s="656" t="s">
        <v>9170</v>
      </c>
      <c r="D684" s="657" t="s">
        <v>14977</v>
      </c>
      <c r="E684" s="657" t="s">
        <v>7437</v>
      </c>
      <c r="F684" s="656" t="s">
        <v>4052</v>
      </c>
      <c r="G684" s="656" t="s">
        <v>512</v>
      </c>
      <c r="H684" s="656" t="s">
        <v>455</v>
      </c>
      <c r="I684" s="656" t="s">
        <v>14976</v>
      </c>
      <c r="J684" s="656" t="s">
        <v>451</v>
      </c>
      <c r="K684" s="656" t="s">
        <v>4052</v>
      </c>
      <c r="L684" s="656" t="s">
        <v>9171</v>
      </c>
      <c r="M684" s="657"/>
      <c r="N684" s="1482"/>
      <c r="O684" s="656" t="s">
        <v>498</v>
      </c>
      <c r="P684" s="656" t="s">
        <v>13052</v>
      </c>
      <c r="Q684" s="656">
        <v>44216.785324074073</v>
      </c>
    </row>
    <row r="685" spans="1:17">
      <c r="A685" s="656" t="s">
        <v>15807</v>
      </c>
      <c r="B685" s="657" t="s">
        <v>202</v>
      </c>
      <c r="C685" s="656" t="s">
        <v>15808</v>
      </c>
      <c r="D685" s="657" t="s">
        <v>14978</v>
      </c>
      <c r="E685" s="657" t="s">
        <v>7435</v>
      </c>
      <c r="F685" s="656" t="s">
        <v>4052</v>
      </c>
      <c r="G685" s="656"/>
      <c r="H685" s="656" t="s">
        <v>4052</v>
      </c>
      <c r="I685" s="656"/>
      <c r="J685" s="656" t="s">
        <v>451</v>
      </c>
      <c r="K685" s="656"/>
      <c r="L685" s="656" t="s">
        <v>9173</v>
      </c>
      <c r="M685" s="657" t="s">
        <v>3796</v>
      </c>
      <c r="N685" s="1482">
        <v>186</v>
      </c>
      <c r="O685" s="656" t="s">
        <v>498</v>
      </c>
      <c r="P685" s="656" t="s">
        <v>13052</v>
      </c>
      <c r="Q685" s="656">
        <v>44263.673252314817</v>
      </c>
    </row>
    <row r="686" spans="1:17">
      <c r="A686" s="656" t="s">
        <v>9532</v>
      </c>
      <c r="B686" s="657" t="s">
        <v>202</v>
      </c>
      <c r="C686" s="656" t="s">
        <v>12405</v>
      </c>
      <c r="D686" s="657" t="s">
        <v>14978</v>
      </c>
      <c r="E686" s="657" t="s">
        <v>7437</v>
      </c>
      <c r="F686" s="656" t="s">
        <v>4052</v>
      </c>
      <c r="G686" s="656" t="s">
        <v>512</v>
      </c>
      <c r="H686" s="656" t="s">
        <v>455</v>
      </c>
      <c r="I686" s="656" t="s">
        <v>14976</v>
      </c>
      <c r="J686" s="656" t="s">
        <v>451</v>
      </c>
      <c r="K686" s="656" t="s">
        <v>4052</v>
      </c>
      <c r="L686" s="656" t="s">
        <v>9173</v>
      </c>
      <c r="M686" s="657"/>
      <c r="N686" s="1482"/>
      <c r="O686" s="656" t="s">
        <v>498</v>
      </c>
      <c r="P686" s="656" t="s">
        <v>13052</v>
      </c>
      <c r="Q686" s="656">
        <v>44216.785324074073</v>
      </c>
    </row>
    <row r="687" spans="1:17">
      <c r="A687" s="656" t="s">
        <v>9173</v>
      </c>
      <c r="B687" s="657" t="s">
        <v>202</v>
      </c>
      <c r="C687" s="656" t="s">
        <v>9172</v>
      </c>
      <c r="D687" s="657" t="s">
        <v>14977</v>
      </c>
      <c r="E687" s="657" t="s">
        <v>7437</v>
      </c>
      <c r="F687" s="656" t="s">
        <v>4052</v>
      </c>
      <c r="G687" s="656" t="s">
        <v>512</v>
      </c>
      <c r="H687" s="656" t="s">
        <v>455</v>
      </c>
      <c r="I687" s="656" t="s">
        <v>14976</v>
      </c>
      <c r="J687" s="656" t="s">
        <v>451</v>
      </c>
      <c r="K687" s="656" t="s">
        <v>4052</v>
      </c>
      <c r="L687" s="656" t="s">
        <v>9173</v>
      </c>
      <c r="M687" s="657"/>
      <c r="N687" s="1482"/>
      <c r="O687" s="656" t="s">
        <v>498</v>
      </c>
      <c r="P687" s="656" t="s">
        <v>13052</v>
      </c>
      <c r="Q687" s="656">
        <v>44216.785312499997</v>
      </c>
    </row>
    <row r="688" spans="1:17">
      <c r="A688" s="656" t="s">
        <v>15900</v>
      </c>
      <c r="B688" s="657" t="s">
        <v>202</v>
      </c>
      <c r="C688" s="656" t="s">
        <v>15901</v>
      </c>
      <c r="D688" s="657" t="s">
        <v>14978</v>
      </c>
      <c r="E688" s="657" t="s">
        <v>7435</v>
      </c>
      <c r="F688" s="656" t="s">
        <v>4052</v>
      </c>
      <c r="G688" s="656"/>
      <c r="H688" s="656" t="s">
        <v>4052</v>
      </c>
      <c r="I688" s="656"/>
      <c r="J688" s="656" t="s">
        <v>451</v>
      </c>
      <c r="K688" s="656"/>
      <c r="L688" s="656" t="s">
        <v>9175</v>
      </c>
      <c r="M688" s="657" t="s">
        <v>15517</v>
      </c>
      <c r="N688" s="1482">
        <v>231</v>
      </c>
      <c r="O688" s="656" t="s">
        <v>498</v>
      </c>
      <c r="P688" s="656" t="s">
        <v>13052</v>
      </c>
      <c r="Q688" s="656">
        <v>44281.655833333331</v>
      </c>
    </row>
    <row r="689" spans="1:17">
      <c r="A689" s="656" t="s">
        <v>15789</v>
      </c>
      <c r="B689" s="657" t="s">
        <v>202</v>
      </c>
      <c r="C689" s="656" t="s">
        <v>15790</v>
      </c>
      <c r="D689" s="657" t="s">
        <v>14978</v>
      </c>
      <c r="E689" s="657" t="s">
        <v>7435</v>
      </c>
      <c r="F689" s="656" t="s">
        <v>4052</v>
      </c>
      <c r="G689" s="656"/>
      <c r="H689" s="656" t="s">
        <v>4052</v>
      </c>
      <c r="I689" s="656"/>
      <c r="J689" s="656" t="s">
        <v>451</v>
      </c>
      <c r="K689" s="656"/>
      <c r="L689" s="656" t="s">
        <v>9175</v>
      </c>
      <c r="M689" s="657" t="s">
        <v>15517</v>
      </c>
      <c r="N689" s="1482">
        <v>177</v>
      </c>
      <c r="O689" s="656" t="s">
        <v>498</v>
      </c>
      <c r="P689" s="656" t="s">
        <v>13052</v>
      </c>
      <c r="Q689" s="656">
        <v>44259.620856481481</v>
      </c>
    </row>
    <row r="690" spans="1:17">
      <c r="A690" s="656" t="s">
        <v>9175</v>
      </c>
      <c r="B690" s="657" t="s">
        <v>202</v>
      </c>
      <c r="C690" s="656" t="s">
        <v>9174</v>
      </c>
      <c r="D690" s="657" t="s">
        <v>14977</v>
      </c>
      <c r="E690" s="657" t="s">
        <v>7437</v>
      </c>
      <c r="F690" s="656" t="s">
        <v>4052</v>
      </c>
      <c r="G690" s="656" t="s">
        <v>512</v>
      </c>
      <c r="H690" s="656" t="s">
        <v>455</v>
      </c>
      <c r="I690" s="656" t="s">
        <v>14976</v>
      </c>
      <c r="J690" s="656" t="s">
        <v>451</v>
      </c>
      <c r="K690" s="656" t="s">
        <v>4052</v>
      </c>
      <c r="L690" s="656" t="s">
        <v>9175</v>
      </c>
      <c r="M690" s="657"/>
      <c r="N690" s="1482"/>
      <c r="O690" s="656" t="s">
        <v>498</v>
      </c>
      <c r="P690" s="656" t="s">
        <v>13052</v>
      </c>
      <c r="Q690" s="656">
        <v>44216.785312499997</v>
      </c>
    </row>
    <row r="691" spans="1:17">
      <c r="A691" s="656" t="s">
        <v>15783</v>
      </c>
      <c r="B691" s="657" t="s">
        <v>202</v>
      </c>
      <c r="C691" s="656" t="s">
        <v>15784</v>
      </c>
      <c r="D691" s="657" t="s">
        <v>14978</v>
      </c>
      <c r="E691" s="657" t="s">
        <v>7435</v>
      </c>
      <c r="F691" s="656" t="s">
        <v>4052</v>
      </c>
      <c r="G691" s="656"/>
      <c r="H691" s="656" t="s">
        <v>4052</v>
      </c>
      <c r="I691" s="656"/>
      <c r="J691" s="656" t="s">
        <v>451</v>
      </c>
      <c r="K691" s="656"/>
      <c r="L691" s="656" t="s">
        <v>9177</v>
      </c>
      <c r="M691" s="657" t="s">
        <v>15517</v>
      </c>
      <c r="N691" s="1482">
        <v>173</v>
      </c>
      <c r="O691" s="656" t="s">
        <v>498</v>
      </c>
      <c r="P691" s="656" t="s">
        <v>13052</v>
      </c>
      <c r="Q691" s="656">
        <v>44259.458587962959</v>
      </c>
    </row>
    <row r="692" spans="1:17">
      <c r="A692" s="656" t="s">
        <v>9177</v>
      </c>
      <c r="B692" s="657" t="s">
        <v>202</v>
      </c>
      <c r="C692" s="656" t="s">
        <v>9176</v>
      </c>
      <c r="D692" s="657" t="s">
        <v>14977</v>
      </c>
      <c r="E692" s="657" t="s">
        <v>7437</v>
      </c>
      <c r="F692" s="656" t="s">
        <v>4052</v>
      </c>
      <c r="G692" s="656" t="s">
        <v>512</v>
      </c>
      <c r="H692" s="656" t="s">
        <v>455</v>
      </c>
      <c r="I692" s="656" t="s">
        <v>14976</v>
      </c>
      <c r="J692" s="656" t="s">
        <v>451</v>
      </c>
      <c r="K692" s="656" t="s">
        <v>4052</v>
      </c>
      <c r="L692" s="656" t="s">
        <v>9177</v>
      </c>
      <c r="M692" s="657"/>
      <c r="N692" s="1482"/>
      <c r="O692" s="656" t="s">
        <v>498</v>
      </c>
      <c r="P692" s="656" t="s">
        <v>13052</v>
      </c>
      <c r="Q692" s="656">
        <v>44216.785312499997</v>
      </c>
    </row>
    <row r="693" spans="1:17">
      <c r="A693" s="656" t="s">
        <v>9534</v>
      </c>
      <c r="B693" s="657" t="s">
        <v>202</v>
      </c>
      <c r="C693" s="656" t="s">
        <v>9533</v>
      </c>
      <c r="D693" s="657" t="s">
        <v>14978</v>
      </c>
      <c r="E693" s="657" t="s">
        <v>7437</v>
      </c>
      <c r="F693" s="656" t="s">
        <v>472</v>
      </c>
      <c r="G693" s="656" t="s">
        <v>519</v>
      </c>
      <c r="H693" s="656" t="s">
        <v>472</v>
      </c>
      <c r="I693" s="656" t="s">
        <v>14976</v>
      </c>
      <c r="J693" s="656" t="s">
        <v>12368</v>
      </c>
      <c r="K693" s="656" t="s">
        <v>1058</v>
      </c>
      <c r="L693" s="656" t="s">
        <v>9178</v>
      </c>
      <c r="M693" s="657"/>
      <c r="N693" s="1482"/>
      <c r="O693" s="656" t="s">
        <v>498</v>
      </c>
      <c r="P693" s="656" t="s">
        <v>13052</v>
      </c>
      <c r="Q693" s="656">
        <v>44216.785300925927</v>
      </c>
    </row>
    <row r="694" spans="1:17">
      <c r="A694" s="656" t="s">
        <v>9536</v>
      </c>
      <c r="B694" s="657" t="s">
        <v>202</v>
      </c>
      <c r="C694" s="656" t="s">
        <v>9535</v>
      </c>
      <c r="D694" s="657" t="s">
        <v>14978</v>
      </c>
      <c r="E694" s="657" t="s">
        <v>7437</v>
      </c>
      <c r="F694" s="656" t="s">
        <v>472</v>
      </c>
      <c r="G694" s="656" t="s">
        <v>519</v>
      </c>
      <c r="H694" s="656" t="s">
        <v>472</v>
      </c>
      <c r="I694" s="656" t="s">
        <v>14976</v>
      </c>
      <c r="J694" s="656" t="s">
        <v>12368</v>
      </c>
      <c r="K694" s="656" t="s">
        <v>1058</v>
      </c>
      <c r="L694" s="656" t="s">
        <v>9178</v>
      </c>
      <c r="M694" s="657"/>
      <c r="N694" s="1482"/>
      <c r="O694" s="656" t="s">
        <v>498</v>
      </c>
      <c r="P694" s="656" t="s">
        <v>13052</v>
      </c>
      <c r="Q694" s="656">
        <v>44216.78528935185</v>
      </c>
    </row>
    <row r="695" spans="1:17">
      <c r="A695" s="656" t="s">
        <v>9538</v>
      </c>
      <c r="B695" s="657" t="s">
        <v>202</v>
      </c>
      <c r="C695" s="656" t="s">
        <v>9537</v>
      </c>
      <c r="D695" s="657" t="s">
        <v>14978</v>
      </c>
      <c r="E695" s="657" t="s">
        <v>7437</v>
      </c>
      <c r="F695" s="656" t="s">
        <v>472</v>
      </c>
      <c r="G695" s="656" t="s">
        <v>519</v>
      </c>
      <c r="H695" s="656" t="s">
        <v>472</v>
      </c>
      <c r="I695" s="656" t="s">
        <v>14976</v>
      </c>
      <c r="J695" s="656" t="s">
        <v>12368</v>
      </c>
      <c r="K695" s="656" t="s">
        <v>1058</v>
      </c>
      <c r="L695" s="656" t="s">
        <v>9178</v>
      </c>
      <c r="M695" s="657"/>
      <c r="N695" s="1482"/>
      <c r="O695" s="656" t="s">
        <v>498</v>
      </c>
      <c r="P695" s="656" t="s">
        <v>13052</v>
      </c>
      <c r="Q695" s="656">
        <v>44216.78528935185</v>
      </c>
    </row>
    <row r="696" spans="1:17">
      <c r="A696" s="656" t="s">
        <v>9178</v>
      </c>
      <c r="B696" s="657" t="s">
        <v>202</v>
      </c>
      <c r="C696" s="656" t="s">
        <v>1013</v>
      </c>
      <c r="D696" s="657" t="s">
        <v>14977</v>
      </c>
      <c r="E696" s="657" t="s">
        <v>7437</v>
      </c>
      <c r="F696" s="656" t="s">
        <v>472</v>
      </c>
      <c r="G696" s="656" t="s">
        <v>519</v>
      </c>
      <c r="H696" s="656" t="s">
        <v>472</v>
      </c>
      <c r="I696" s="656" t="s">
        <v>14976</v>
      </c>
      <c r="J696" s="656" t="s">
        <v>12368</v>
      </c>
      <c r="K696" s="656" t="s">
        <v>1058</v>
      </c>
      <c r="L696" s="656"/>
      <c r="M696" s="657"/>
      <c r="N696" s="1482"/>
      <c r="O696" s="656" t="s">
        <v>498</v>
      </c>
      <c r="P696" s="656" t="s">
        <v>13052</v>
      </c>
      <c r="Q696" s="656">
        <v>44216.785277777781</v>
      </c>
    </row>
    <row r="697" spans="1:17">
      <c r="A697" s="656" t="s">
        <v>9179</v>
      </c>
      <c r="B697" s="657" t="s">
        <v>202</v>
      </c>
      <c r="C697" s="656" t="s">
        <v>1019</v>
      </c>
      <c r="D697" s="657" t="s">
        <v>14977</v>
      </c>
      <c r="E697" s="657" t="s">
        <v>7437</v>
      </c>
      <c r="F697" s="656" t="s">
        <v>472</v>
      </c>
      <c r="G697" s="656" t="s">
        <v>519</v>
      </c>
      <c r="H697" s="656" t="s">
        <v>472</v>
      </c>
      <c r="I697" s="656" t="s">
        <v>14976</v>
      </c>
      <c r="J697" s="656" t="s">
        <v>12368</v>
      </c>
      <c r="K697" s="656" t="s">
        <v>1058</v>
      </c>
      <c r="L697" s="656"/>
      <c r="M697" s="657"/>
      <c r="N697" s="1482"/>
      <c r="O697" s="656" t="s">
        <v>498</v>
      </c>
      <c r="P697" s="656" t="s">
        <v>13052</v>
      </c>
      <c r="Q697" s="656">
        <v>44216.785277777781</v>
      </c>
    </row>
    <row r="698" spans="1:17">
      <c r="A698" s="656" t="s">
        <v>9180</v>
      </c>
      <c r="B698" s="657" t="s">
        <v>202</v>
      </c>
      <c r="C698" s="656" t="s">
        <v>14025</v>
      </c>
      <c r="D698" s="657" t="s">
        <v>14977</v>
      </c>
      <c r="E698" s="657" t="s">
        <v>7435</v>
      </c>
      <c r="F698" s="656" t="s">
        <v>462</v>
      </c>
      <c r="G698" s="656" t="s">
        <v>512</v>
      </c>
      <c r="H698" s="656" t="s">
        <v>462</v>
      </c>
      <c r="I698" s="656" t="s">
        <v>14976</v>
      </c>
      <c r="J698" s="656" t="s">
        <v>463</v>
      </c>
      <c r="K698" s="656" t="s">
        <v>1924</v>
      </c>
      <c r="L698" s="656" t="s">
        <v>9180</v>
      </c>
      <c r="M698" s="657"/>
      <c r="N698" s="1482"/>
      <c r="O698" s="656" t="s">
        <v>498</v>
      </c>
      <c r="P698" s="656" t="s">
        <v>13052</v>
      </c>
      <c r="Q698" s="656">
        <v>44216.785277777781</v>
      </c>
    </row>
    <row r="699" spans="1:17">
      <c r="A699" s="656" t="s">
        <v>14023</v>
      </c>
      <c r="B699" s="657" t="s">
        <v>202</v>
      </c>
      <c r="C699" s="656" t="s">
        <v>14024</v>
      </c>
      <c r="D699" s="657" t="s">
        <v>14977</v>
      </c>
      <c r="E699" s="657"/>
      <c r="F699" s="656" t="s">
        <v>462</v>
      </c>
      <c r="G699" s="656" t="s">
        <v>512</v>
      </c>
      <c r="H699" s="656" t="s">
        <v>462</v>
      </c>
      <c r="I699" s="656" t="s">
        <v>14976</v>
      </c>
      <c r="J699" s="656" t="s">
        <v>463</v>
      </c>
      <c r="K699" s="656" t="s">
        <v>1924</v>
      </c>
      <c r="L699" s="656"/>
      <c r="M699" s="657"/>
      <c r="N699" s="1482"/>
      <c r="O699" s="656" t="s">
        <v>498</v>
      </c>
      <c r="P699" s="656" t="s">
        <v>13052</v>
      </c>
      <c r="Q699" s="656">
        <v>44216.785266203704</v>
      </c>
    </row>
    <row r="700" spans="1:17">
      <c r="A700" s="656" t="s">
        <v>9182</v>
      </c>
      <c r="B700" s="657" t="s">
        <v>202</v>
      </c>
      <c r="C700" s="656" t="s">
        <v>9181</v>
      </c>
      <c r="D700" s="657" t="s">
        <v>14977</v>
      </c>
      <c r="E700" s="657" t="s">
        <v>9406</v>
      </c>
      <c r="F700" s="656" t="s">
        <v>462</v>
      </c>
      <c r="G700" s="656" t="s">
        <v>512</v>
      </c>
      <c r="H700" s="656" t="s">
        <v>462</v>
      </c>
      <c r="I700" s="656" t="s">
        <v>14976</v>
      </c>
      <c r="J700" s="656" t="s">
        <v>463</v>
      </c>
      <c r="K700" s="656" t="s">
        <v>1924</v>
      </c>
      <c r="L700" s="656" t="s">
        <v>9182</v>
      </c>
      <c r="M700" s="657"/>
      <c r="N700" s="1482"/>
      <c r="O700" s="656" t="s">
        <v>498</v>
      </c>
      <c r="P700" s="656" t="s">
        <v>13052</v>
      </c>
      <c r="Q700" s="656">
        <v>44216.785266203704</v>
      </c>
    </row>
    <row r="701" spans="1:17">
      <c r="A701" s="656" t="s">
        <v>9184</v>
      </c>
      <c r="B701" s="657" t="s">
        <v>531</v>
      </c>
      <c r="C701" s="656" t="s">
        <v>9183</v>
      </c>
      <c r="D701" s="657" t="s">
        <v>14978</v>
      </c>
      <c r="E701" s="657" t="s">
        <v>7437</v>
      </c>
      <c r="F701" s="656" t="s">
        <v>2849</v>
      </c>
      <c r="G701" s="656"/>
      <c r="H701" s="656" t="s">
        <v>469</v>
      </c>
      <c r="I701" s="656" t="s">
        <v>14976</v>
      </c>
      <c r="J701" s="656" t="s">
        <v>532</v>
      </c>
      <c r="K701" s="656" t="s">
        <v>2849</v>
      </c>
      <c r="L701" s="656" t="s">
        <v>724</v>
      </c>
      <c r="M701" s="657"/>
      <c r="N701" s="1482"/>
      <c r="O701" s="656" t="s">
        <v>498</v>
      </c>
      <c r="P701" s="656" t="s">
        <v>13052</v>
      </c>
      <c r="Q701" s="656">
        <v>44216.785254629627</v>
      </c>
    </row>
    <row r="702" spans="1:17">
      <c r="A702" s="656" t="s">
        <v>9186</v>
      </c>
      <c r="B702" s="657" t="s">
        <v>202</v>
      </c>
      <c r="C702" s="656" t="s">
        <v>9185</v>
      </c>
      <c r="D702" s="657" t="s">
        <v>13789</v>
      </c>
      <c r="E702" s="657" t="s">
        <v>9406</v>
      </c>
      <c r="F702" s="656" t="s">
        <v>2849</v>
      </c>
      <c r="G702" s="656" t="s">
        <v>519</v>
      </c>
      <c r="H702" s="656" t="s">
        <v>469</v>
      </c>
      <c r="I702" s="656" t="s">
        <v>14976</v>
      </c>
      <c r="J702" s="656" t="s">
        <v>459</v>
      </c>
      <c r="K702" s="656" t="s">
        <v>1058</v>
      </c>
      <c r="L702" s="656"/>
      <c r="M702" s="657"/>
      <c r="N702" s="1482"/>
      <c r="O702" s="656" t="s">
        <v>498</v>
      </c>
      <c r="P702" s="656" t="s">
        <v>13052</v>
      </c>
      <c r="Q702" s="656">
        <v>44216.785254629627</v>
      </c>
    </row>
    <row r="703" spans="1:17">
      <c r="A703" s="656" t="s">
        <v>9188</v>
      </c>
      <c r="B703" s="657" t="s">
        <v>202</v>
      </c>
      <c r="C703" s="656" t="s">
        <v>9187</v>
      </c>
      <c r="D703" s="657" t="s">
        <v>13789</v>
      </c>
      <c r="E703" s="657" t="s">
        <v>9406</v>
      </c>
      <c r="F703" s="656" t="s">
        <v>462</v>
      </c>
      <c r="G703" s="656" t="s">
        <v>512</v>
      </c>
      <c r="H703" s="656" t="s">
        <v>462</v>
      </c>
      <c r="I703" s="656" t="s">
        <v>14976</v>
      </c>
      <c r="J703" s="656" t="s">
        <v>463</v>
      </c>
      <c r="K703" s="656" t="s">
        <v>1924</v>
      </c>
      <c r="L703" s="656"/>
      <c r="M703" s="657"/>
      <c r="N703" s="1482"/>
      <c r="O703" s="656" t="s">
        <v>498</v>
      </c>
      <c r="P703" s="656" t="s">
        <v>13052</v>
      </c>
      <c r="Q703" s="656">
        <v>44216.785243055558</v>
      </c>
    </row>
    <row r="704" spans="1:17">
      <c r="A704" s="656" t="s">
        <v>9189</v>
      </c>
      <c r="B704" s="657" t="s">
        <v>202</v>
      </c>
      <c r="C704" s="656" t="s">
        <v>9086</v>
      </c>
      <c r="D704" s="657" t="s">
        <v>13789</v>
      </c>
      <c r="E704" s="657" t="s">
        <v>9406</v>
      </c>
      <c r="F704" s="656" t="s">
        <v>472</v>
      </c>
      <c r="G704" s="656" t="s">
        <v>519</v>
      </c>
      <c r="H704" s="656" t="s">
        <v>472</v>
      </c>
      <c r="I704" s="656" t="s">
        <v>14976</v>
      </c>
      <c r="J704" s="656" t="s">
        <v>12368</v>
      </c>
      <c r="K704" s="656" t="s">
        <v>1058</v>
      </c>
      <c r="L704" s="656"/>
      <c r="M704" s="657"/>
      <c r="N704" s="1482"/>
      <c r="O704" s="656" t="s">
        <v>498</v>
      </c>
      <c r="P704" s="656" t="s">
        <v>13052</v>
      </c>
      <c r="Q704" s="656">
        <v>44216.785243055558</v>
      </c>
    </row>
    <row r="705" spans="1:17">
      <c r="A705" s="656" t="s">
        <v>9539</v>
      </c>
      <c r="B705" s="657" t="s">
        <v>202</v>
      </c>
      <c r="C705" s="656" t="s">
        <v>14020</v>
      </c>
      <c r="D705" s="657" t="s">
        <v>14978</v>
      </c>
      <c r="E705" s="657" t="s">
        <v>7437</v>
      </c>
      <c r="F705" s="656" t="s">
        <v>8807</v>
      </c>
      <c r="G705" s="656"/>
      <c r="H705" s="656" t="s">
        <v>8807</v>
      </c>
      <c r="I705" s="656" t="s">
        <v>14976</v>
      </c>
      <c r="J705" s="656" t="s">
        <v>8814</v>
      </c>
      <c r="K705" s="656" t="s">
        <v>1058</v>
      </c>
      <c r="L705" s="656" t="s">
        <v>9192</v>
      </c>
      <c r="M705" s="657"/>
      <c r="N705" s="1482"/>
      <c r="O705" s="656" t="s">
        <v>498</v>
      </c>
      <c r="P705" s="656" t="s">
        <v>13052</v>
      </c>
      <c r="Q705" s="656">
        <v>44216.785231481481</v>
      </c>
    </row>
    <row r="706" spans="1:17">
      <c r="A706" s="656" t="s">
        <v>9540</v>
      </c>
      <c r="B706" s="657" t="s">
        <v>202</v>
      </c>
      <c r="C706" s="656" t="s">
        <v>14019</v>
      </c>
      <c r="D706" s="657" t="s">
        <v>14978</v>
      </c>
      <c r="E706" s="657" t="s">
        <v>7437</v>
      </c>
      <c r="F706" s="656" t="s">
        <v>8807</v>
      </c>
      <c r="G706" s="656"/>
      <c r="H706" s="656" t="s">
        <v>8807</v>
      </c>
      <c r="I706" s="656" t="s">
        <v>14976</v>
      </c>
      <c r="J706" s="656" t="s">
        <v>8814</v>
      </c>
      <c r="K706" s="656" t="s">
        <v>1058</v>
      </c>
      <c r="L706" s="656" t="s">
        <v>9192</v>
      </c>
      <c r="M706" s="657"/>
      <c r="N706" s="1482"/>
      <c r="O706" s="656" t="s">
        <v>498</v>
      </c>
      <c r="P706" s="656" t="s">
        <v>13052</v>
      </c>
      <c r="Q706" s="656">
        <v>44216.785231481481</v>
      </c>
    </row>
    <row r="707" spans="1:17">
      <c r="A707" s="656" t="s">
        <v>15815</v>
      </c>
      <c r="B707" s="657" t="s">
        <v>202</v>
      </c>
      <c r="C707" s="656" t="s">
        <v>15816</v>
      </c>
      <c r="D707" s="657" t="s">
        <v>14978</v>
      </c>
      <c r="E707" s="657" t="s">
        <v>7435</v>
      </c>
      <c r="F707" s="656" t="s">
        <v>8807</v>
      </c>
      <c r="G707" s="656"/>
      <c r="H707" s="656" t="s">
        <v>8807</v>
      </c>
      <c r="I707" s="656"/>
      <c r="J707" s="656" t="s">
        <v>8814</v>
      </c>
      <c r="K707" s="656"/>
      <c r="L707" s="656" t="s">
        <v>9192</v>
      </c>
      <c r="M707" s="657" t="s">
        <v>15517</v>
      </c>
      <c r="N707" s="1482">
        <v>190</v>
      </c>
      <c r="O707" s="656" t="s">
        <v>498</v>
      </c>
      <c r="P707" s="656" t="s">
        <v>13052</v>
      </c>
      <c r="Q707" s="656">
        <v>44264.569490740738</v>
      </c>
    </row>
    <row r="708" spans="1:17">
      <c r="A708" s="656" t="s">
        <v>9190</v>
      </c>
      <c r="B708" s="657" t="s">
        <v>202</v>
      </c>
      <c r="C708" s="656" t="s">
        <v>528</v>
      </c>
      <c r="D708" s="657" t="s">
        <v>14978</v>
      </c>
      <c r="E708" s="657" t="s">
        <v>7437</v>
      </c>
      <c r="F708" s="656" t="s">
        <v>8807</v>
      </c>
      <c r="G708" s="656" t="s">
        <v>512</v>
      </c>
      <c r="H708" s="656" t="s">
        <v>8807</v>
      </c>
      <c r="I708" s="656" t="s">
        <v>14976</v>
      </c>
      <c r="J708" s="656" t="s">
        <v>8814</v>
      </c>
      <c r="K708" s="656" t="s">
        <v>4057</v>
      </c>
      <c r="L708" s="656" t="s">
        <v>9192</v>
      </c>
      <c r="M708" s="657"/>
      <c r="N708" s="1482"/>
      <c r="O708" s="656" t="s">
        <v>498</v>
      </c>
      <c r="P708" s="656" t="s">
        <v>13052</v>
      </c>
      <c r="Q708" s="656">
        <v>44216.785219907404</v>
      </c>
    </row>
    <row r="709" spans="1:17">
      <c r="A709" s="656" t="s">
        <v>9192</v>
      </c>
      <c r="B709" s="657" t="s">
        <v>202</v>
      </c>
      <c r="C709" s="656" t="s">
        <v>9191</v>
      </c>
      <c r="D709" s="657" t="s">
        <v>14977</v>
      </c>
      <c r="E709" s="657" t="s">
        <v>7437</v>
      </c>
      <c r="F709" s="656" t="s">
        <v>8807</v>
      </c>
      <c r="G709" s="656" t="s">
        <v>512</v>
      </c>
      <c r="H709" s="656" t="s">
        <v>8807</v>
      </c>
      <c r="I709" s="656" t="s">
        <v>14976</v>
      </c>
      <c r="J709" s="656" t="s">
        <v>8814</v>
      </c>
      <c r="K709" s="656" t="s">
        <v>4057</v>
      </c>
      <c r="L709" s="656" t="s">
        <v>9192</v>
      </c>
      <c r="M709" s="657"/>
      <c r="N709" s="1482"/>
      <c r="O709" s="656" t="s">
        <v>498</v>
      </c>
      <c r="P709" s="656" t="s">
        <v>13052</v>
      </c>
      <c r="Q709" s="656">
        <v>44216.785219907404</v>
      </c>
    </row>
    <row r="710" spans="1:17">
      <c r="A710" s="656" t="s">
        <v>9542</v>
      </c>
      <c r="B710" s="657" t="s">
        <v>202</v>
      </c>
      <c r="C710" s="656" t="s">
        <v>9541</v>
      </c>
      <c r="D710" s="657" t="s">
        <v>14978</v>
      </c>
      <c r="E710" s="657" t="s">
        <v>7437</v>
      </c>
      <c r="F710" s="656" t="s">
        <v>472</v>
      </c>
      <c r="G710" s="656" t="s">
        <v>519</v>
      </c>
      <c r="H710" s="656" t="s">
        <v>472</v>
      </c>
      <c r="I710" s="656" t="s">
        <v>14976</v>
      </c>
      <c r="J710" s="656" t="s">
        <v>12368</v>
      </c>
      <c r="K710" s="656" t="s">
        <v>1058</v>
      </c>
      <c r="L710" s="656" t="s">
        <v>9193</v>
      </c>
      <c r="M710" s="657"/>
      <c r="N710" s="1482"/>
      <c r="O710" s="656" t="s">
        <v>498</v>
      </c>
      <c r="P710" s="656" t="s">
        <v>13052</v>
      </c>
      <c r="Q710" s="656">
        <v>44216.785208333335</v>
      </c>
    </row>
    <row r="711" spans="1:17">
      <c r="A711" s="656" t="s">
        <v>9543</v>
      </c>
      <c r="B711" s="657" t="s">
        <v>202</v>
      </c>
      <c r="C711" s="656" t="s">
        <v>9546</v>
      </c>
      <c r="D711" s="657" t="s">
        <v>14978</v>
      </c>
      <c r="E711" s="657" t="s">
        <v>7437</v>
      </c>
      <c r="F711" s="656" t="s">
        <v>472</v>
      </c>
      <c r="G711" s="656" t="s">
        <v>519</v>
      </c>
      <c r="H711" s="656" t="s">
        <v>472</v>
      </c>
      <c r="I711" s="656" t="s">
        <v>14976</v>
      </c>
      <c r="J711" s="656" t="s">
        <v>12368</v>
      </c>
      <c r="K711" s="656" t="s">
        <v>1058</v>
      </c>
      <c r="L711" s="656" t="s">
        <v>9193</v>
      </c>
      <c r="M711" s="657"/>
      <c r="N711" s="1482"/>
      <c r="O711" s="656" t="s">
        <v>498</v>
      </c>
      <c r="P711" s="656" t="s">
        <v>13052</v>
      </c>
      <c r="Q711" s="656">
        <v>44216.785208333335</v>
      </c>
    </row>
    <row r="712" spans="1:17">
      <c r="A712" s="656" t="s">
        <v>9545</v>
      </c>
      <c r="B712" s="657" t="s">
        <v>202</v>
      </c>
      <c r="C712" s="656" t="s">
        <v>9544</v>
      </c>
      <c r="D712" s="657" t="s">
        <v>14978</v>
      </c>
      <c r="E712" s="657" t="s">
        <v>7437</v>
      </c>
      <c r="F712" s="656" t="s">
        <v>472</v>
      </c>
      <c r="G712" s="656" t="s">
        <v>519</v>
      </c>
      <c r="H712" s="656" t="s">
        <v>472</v>
      </c>
      <c r="I712" s="656" t="s">
        <v>14976</v>
      </c>
      <c r="J712" s="656" t="s">
        <v>12368</v>
      </c>
      <c r="K712" s="656" t="s">
        <v>1058</v>
      </c>
      <c r="L712" s="656" t="s">
        <v>9193</v>
      </c>
      <c r="M712" s="657"/>
      <c r="N712" s="1482"/>
      <c r="O712" s="656" t="s">
        <v>498</v>
      </c>
      <c r="P712" s="656" t="s">
        <v>13052</v>
      </c>
      <c r="Q712" s="656">
        <v>44216.785196759258</v>
      </c>
    </row>
    <row r="713" spans="1:17">
      <c r="A713" s="656" t="s">
        <v>9193</v>
      </c>
      <c r="B713" s="657" t="s">
        <v>202</v>
      </c>
      <c r="C713" s="656" t="s">
        <v>9546</v>
      </c>
      <c r="D713" s="657" t="s">
        <v>13789</v>
      </c>
      <c r="E713" s="657" t="s">
        <v>7437</v>
      </c>
      <c r="F713" s="656" t="s">
        <v>472</v>
      </c>
      <c r="G713" s="656" t="s">
        <v>519</v>
      </c>
      <c r="H713" s="656" t="s">
        <v>472</v>
      </c>
      <c r="I713" s="656" t="s">
        <v>14976</v>
      </c>
      <c r="J713" s="656" t="s">
        <v>12368</v>
      </c>
      <c r="K713" s="656" t="s">
        <v>1058</v>
      </c>
      <c r="L713" s="656"/>
      <c r="M713" s="657"/>
      <c r="N713" s="1482"/>
      <c r="O713" s="656" t="s">
        <v>498</v>
      </c>
      <c r="P713" s="656" t="s">
        <v>13052</v>
      </c>
      <c r="Q713" s="656">
        <v>44216.785196759258</v>
      </c>
    </row>
    <row r="714" spans="1:17">
      <c r="A714" s="656" t="s">
        <v>14018</v>
      </c>
      <c r="B714" s="657" t="s">
        <v>202</v>
      </c>
      <c r="C714" s="656" t="s">
        <v>9356</v>
      </c>
      <c r="D714" s="657" t="s">
        <v>14978</v>
      </c>
      <c r="E714" s="657"/>
      <c r="F714" s="656" t="s">
        <v>472</v>
      </c>
      <c r="G714" s="656" t="s">
        <v>519</v>
      </c>
      <c r="H714" s="656" t="s">
        <v>472</v>
      </c>
      <c r="I714" s="656" t="s">
        <v>14976</v>
      </c>
      <c r="J714" s="656" t="s">
        <v>12368</v>
      </c>
      <c r="K714" s="656" t="s">
        <v>1058</v>
      </c>
      <c r="L714" s="656" t="s">
        <v>9194</v>
      </c>
      <c r="M714" s="657"/>
      <c r="N714" s="1482"/>
      <c r="O714" s="656" t="s">
        <v>498</v>
      </c>
      <c r="P714" s="656" t="s">
        <v>13052</v>
      </c>
      <c r="Q714" s="656">
        <v>44216.785196759258</v>
      </c>
    </row>
    <row r="715" spans="1:17">
      <c r="A715" s="656" t="s">
        <v>14017</v>
      </c>
      <c r="B715" s="657" t="s">
        <v>202</v>
      </c>
      <c r="C715" s="656" t="s">
        <v>9364</v>
      </c>
      <c r="D715" s="657" t="s">
        <v>14978</v>
      </c>
      <c r="E715" s="657"/>
      <c r="F715" s="656" t="s">
        <v>472</v>
      </c>
      <c r="G715" s="656" t="s">
        <v>519</v>
      </c>
      <c r="H715" s="656" t="s">
        <v>472</v>
      </c>
      <c r="I715" s="656" t="s">
        <v>14976</v>
      </c>
      <c r="J715" s="656" t="s">
        <v>12368</v>
      </c>
      <c r="K715" s="656" t="s">
        <v>1058</v>
      </c>
      <c r="L715" s="656" t="s">
        <v>9194</v>
      </c>
      <c r="M715" s="657"/>
      <c r="N715" s="1482"/>
      <c r="O715" s="656" t="s">
        <v>498</v>
      </c>
      <c r="P715" s="656" t="s">
        <v>13052</v>
      </c>
      <c r="Q715" s="656">
        <v>44216.785185185188</v>
      </c>
    </row>
    <row r="716" spans="1:17">
      <c r="A716" s="656" t="s">
        <v>14015</v>
      </c>
      <c r="B716" s="657" t="s">
        <v>202</v>
      </c>
      <c r="C716" s="656" t="s">
        <v>14016</v>
      </c>
      <c r="D716" s="657" t="s">
        <v>14978</v>
      </c>
      <c r="E716" s="657"/>
      <c r="F716" s="656" t="s">
        <v>472</v>
      </c>
      <c r="G716" s="656" t="s">
        <v>519</v>
      </c>
      <c r="H716" s="656" t="s">
        <v>472</v>
      </c>
      <c r="I716" s="656" t="s">
        <v>14976</v>
      </c>
      <c r="J716" s="656" t="s">
        <v>12368</v>
      </c>
      <c r="K716" s="656" t="s">
        <v>1058</v>
      </c>
      <c r="L716" s="656" t="s">
        <v>9194</v>
      </c>
      <c r="M716" s="657"/>
      <c r="N716" s="1482"/>
      <c r="O716" s="656" t="s">
        <v>498</v>
      </c>
      <c r="P716" s="656" t="s">
        <v>13052</v>
      </c>
      <c r="Q716" s="656">
        <v>44216.785185185188</v>
      </c>
    </row>
    <row r="717" spans="1:17">
      <c r="A717" s="656" t="s">
        <v>9194</v>
      </c>
      <c r="B717" s="657" t="s">
        <v>202</v>
      </c>
      <c r="C717" s="656" t="s">
        <v>9547</v>
      </c>
      <c r="D717" s="657" t="s">
        <v>14977</v>
      </c>
      <c r="E717" s="657" t="s">
        <v>7437</v>
      </c>
      <c r="F717" s="656" t="s">
        <v>472</v>
      </c>
      <c r="G717" s="656" t="s">
        <v>519</v>
      </c>
      <c r="H717" s="656" t="s">
        <v>472</v>
      </c>
      <c r="I717" s="656" t="s">
        <v>14976</v>
      </c>
      <c r="J717" s="656" t="s">
        <v>12368</v>
      </c>
      <c r="K717" s="656" t="s">
        <v>1058</v>
      </c>
      <c r="L717" s="656"/>
      <c r="M717" s="657"/>
      <c r="N717" s="1482"/>
      <c r="O717" s="656" t="s">
        <v>498</v>
      </c>
      <c r="P717" s="656" t="s">
        <v>13052</v>
      </c>
      <c r="Q717" s="656">
        <v>44216.785173611112</v>
      </c>
    </row>
    <row r="718" spans="1:17">
      <c r="A718" s="656" t="s">
        <v>9195</v>
      </c>
      <c r="B718" s="657" t="s">
        <v>202</v>
      </c>
      <c r="C718" s="656" t="s">
        <v>9548</v>
      </c>
      <c r="D718" s="657" t="s">
        <v>14977</v>
      </c>
      <c r="E718" s="657" t="s">
        <v>7437</v>
      </c>
      <c r="F718" s="656" t="s">
        <v>472</v>
      </c>
      <c r="G718" s="656" t="s">
        <v>519</v>
      </c>
      <c r="H718" s="656" t="s">
        <v>472</v>
      </c>
      <c r="I718" s="656" t="s">
        <v>14976</v>
      </c>
      <c r="J718" s="656" t="s">
        <v>12368</v>
      </c>
      <c r="K718" s="656" t="s">
        <v>1058</v>
      </c>
      <c r="L718" s="656"/>
      <c r="M718" s="657"/>
      <c r="N718" s="1482"/>
      <c r="O718" s="656" t="s">
        <v>498</v>
      </c>
      <c r="P718" s="656" t="s">
        <v>13052</v>
      </c>
      <c r="Q718" s="656">
        <v>44216.785173611112</v>
      </c>
    </row>
    <row r="719" spans="1:17">
      <c r="A719" s="656" t="s">
        <v>9196</v>
      </c>
      <c r="B719" s="657" t="s">
        <v>202</v>
      </c>
      <c r="C719" s="656" t="s">
        <v>9549</v>
      </c>
      <c r="D719" s="657" t="s">
        <v>14977</v>
      </c>
      <c r="E719" s="657" t="s">
        <v>7437</v>
      </c>
      <c r="F719" s="656" t="s">
        <v>472</v>
      </c>
      <c r="G719" s="656" t="s">
        <v>519</v>
      </c>
      <c r="H719" s="656" t="s">
        <v>472</v>
      </c>
      <c r="I719" s="656" t="s">
        <v>14976</v>
      </c>
      <c r="J719" s="656" t="s">
        <v>12368</v>
      </c>
      <c r="K719" s="656" t="s">
        <v>1058</v>
      </c>
      <c r="L719" s="656"/>
      <c r="M719" s="657"/>
      <c r="N719" s="1482"/>
      <c r="O719" s="656" t="s">
        <v>498</v>
      </c>
      <c r="P719" s="656" t="s">
        <v>13052</v>
      </c>
      <c r="Q719" s="656">
        <v>44216.785162037035</v>
      </c>
    </row>
    <row r="720" spans="1:17">
      <c r="A720" s="656" t="s">
        <v>9198</v>
      </c>
      <c r="B720" s="657" t="s">
        <v>531</v>
      </c>
      <c r="C720" s="656" t="s">
        <v>9197</v>
      </c>
      <c r="D720" s="657" t="s">
        <v>13789</v>
      </c>
      <c r="E720" s="657" t="s">
        <v>9406</v>
      </c>
      <c r="F720" s="656" t="s">
        <v>472</v>
      </c>
      <c r="G720" s="656" t="s">
        <v>519</v>
      </c>
      <c r="H720" s="656" t="s">
        <v>472</v>
      </c>
      <c r="I720" s="656" t="s">
        <v>14976</v>
      </c>
      <c r="J720" s="656" t="s">
        <v>12368</v>
      </c>
      <c r="K720" s="656" t="s">
        <v>1058</v>
      </c>
      <c r="L720" s="656"/>
      <c r="M720" s="657"/>
      <c r="N720" s="1482"/>
      <c r="O720" s="656" t="s">
        <v>498</v>
      </c>
      <c r="P720" s="656" t="s">
        <v>13052</v>
      </c>
      <c r="Q720" s="656">
        <v>44216.785162037035</v>
      </c>
    </row>
    <row r="721" spans="1:17">
      <c r="A721" s="656" t="s">
        <v>15811</v>
      </c>
      <c r="B721" s="657" t="s">
        <v>202</v>
      </c>
      <c r="C721" s="656" t="s">
        <v>15812</v>
      </c>
      <c r="D721" s="657" t="s">
        <v>14978</v>
      </c>
      <c r="E721" s="657" t="s">
        <v>7435</v>
      </c>
      <c r="F721" s="656" t="s">
        <v>4052</v>
      </c>
      <c r="G721" s="656"/>
      <c r="H721" s="656" t="s">
        <v>4052</v>
      </c>
      <c r="I721" s="656"/>
      <c r="J721" s="656" t="s">
        <v>451</v>
      </c>
      <c r="K721" s="656"/>
      <c r="L721" s="656" t="s">
        <v>9200</v>
      </c>
      <c r="M721" s="657" t="s">
        <v>3796</v>
      </c>
      <c r="N721" s="1482">
        <v>188</v>
      </c>
      <c r="O721" s="656" t="s">
        <v>498</v>
      </c>
      <c r="P721" s="656" t="s">
        <v>13052</v>
      </c>
      <c r="Q721" s="656">
        <v>44263.673784722225</v>
      </c>
    </row>
    <row r="722" spans="1:17">
      <c r="A722" s="656" t="s">
        <v>15809</v>
      </c>
      <c r="B722" s="657" t="s">
        <v>202</v>
      </c>
      <c r="C722" s="656" t="s">
        <v>15810</v>
      </c>
      <c r="D722" s="657" t="s">
        <v>14978</v>
      </c>
      <c r="E722" s="657" t="s">
        <v>7435</v>
      </c>
      <c r="F722" s="656" t="s">
        <v>4052</v>
      </c>
      <c r="G722" s="656"/>
      <c r="H722" s="656" t="s">
        <v>4052</v>
      </c>
      <c r="I722" s="656"/>
      <c r="J722" s="656" t="s">
        <v>451</v>
      </c>
      <c r="K722" s="656"/>
      <c r="L722" s="656" t="s">
        <v>9200</v>
      </c>
      <c r="M722" s="657" t="s">
        <v>3796</v>
      </c>
      <c r="N722" s="1482">
        <v>187</v>
      </c>
      <c r="O722" s="656" t="s">
        <v>498</v>
      </c>
      <c r="P722" s="656" t="s">
        <v>13052</v>
      </c>
      <c r="Q722" s="656">
        <v>44263.673784722225</v>
      </c>
    </row>
    <row r="723" spans="1:17">
      <c r="A723" s="656" t="s">
        <v>9200</v>
      </c>
      <c r="B723" s="657" t="s">
        <v>202</v>
      </c>
      <c r="C723" s="656" t="s">
        <v>9199</v>
      </c>
      <c r="D723" s="657" t="s">
        <v>14977</v>
      </c>
      <c r="E723" s="657" t="s">
        <v>7437</v>
      </c>
      <c r="F723" s="656" t="s">
        <v>4052</v>
      </c>
      <c r="G723" s="656" t="s">
        <v>512</v>
      </c>
      <c r="H723" s="656" t="s">
        <v>455</v>
      </c>
      <c r="I723" s="656" t="s">
        <v>14976</v>
      </c>
      <c r="J723" s="656" t="s">
        <v>451</v>
      </c>
      <c r="K723" s="656" t="s">
        <v>4052</v>
      </c>
      <c r="L723" s="656" t="s">
        <v>9200</v>
      </c>
      <c r="M723" s="657"/>
      <c r="N723" s="1482"/>
      <c r="O723" s="656" t="s">
        <v>498</v>
      </c>
      <c r="P723" s="656" t="s">
        <v>13052</v>
      </c>
      <c r="Q723" s="656">
        <v>44216.785150462965</v>
      </c>
    </row>
    <row r="724" spans="1:17">
      <c r="A724" s="656" t="s">
        <v>9201</v>
      </c>
      <c r="B724" s="657" t="s">
        <v>531</v>
      </c>
      <c r="C724" s="656" t="s">
        <v>9045</v>
      </c>
      <c r="D724" s="657" t="s">
        <v>14977</v>
      </c>
      <c r="E724" s="657" t="s">
        <v>7437</v>
      </c>
      <c r="F724" s="656" t="s">
        <v>442</v>
      </c>
      <c r="G724" s="656" t="s">
        <v>552</v>
      </c>
      <c r="H724" s="656" t="s">
        <v>442</v>
      </c>
      <c r="I724" s="656" t="s">
        <v>14976</v>
      </c>
      <c r="J724" s="656" t="s">
        <v>12369</v>
      </c>
      <c r="K724" s="656" t="s">
        <v>477</v>
      </c>
      <c r="L724" s="656"/>
      <c r="M724" s="657"/>
      <c r="N724" s="1482"/>
      <c r="O724" s="656" t="s">
        <v>498</v>
      </c>
      <c r="P724" s="656" t="s">
        <v>13052</v>
      </c>
      <c r="Q724" s="656">
        <v>44216.785150462965</v>
      </c>
    </row>
    <row r="725" spans="1:17">
      <c r="A725" s="656" t="s">
        <v>9203</v>
      </c>
      <c r="B725" s="657" t="s">
        <v>202</v>
      </c>
      <c r="C725" s="656" t="s">
        <v>9202</v>
      </c>
      <c r="D725" s="657" t="s">
        <v>13789</v>
      </c>
      <c r="E725" s="657" t="s">
        <v>9406</v>
      </c>
      <c r="F725" s="656" t="s">
        <v>4052</v>
      </c>
      <c r="G725" s="656" t="s">
        <v>512</v>
      </c>
      <c r="H725" s="656" t="s">
        <v>455</v>
      </c>
      <c r="I725" s="656" t="s">
        <v>14976</v>
      </c>
      <c r="J725" s="656" t="s">
        <v>451</v>
      </c>
      <c r="K725" s="656" t="s">
        <v>4052</v>
      </c>
      <c r="L725" s="656"/>
      <c r="M725" s="657"/>
      <c r="N725" s="1482"/>
      <c r="O725" s="656" t="s">
        <v>498</v>
      </c>
      <c r="P725" s="656" t="s">
        <v>13052</v>
      </c>
      <c r="Q725" s="656">
        <v>44216.785138888888</v>
      </c>
    </row>
    <row r="726" spans="1:17">
      <c r="A726" s="656" t="s">
        <v>9551</v>
      </c>
      <c r="B726" s="657" t="s">
        <v>202</v>
      </c>
      <c r="C726" s="656" t="s">
        <v>9550</v>
      </c>
      <c r="D726" s="657" t="s">
        <v>14978</v>
      </c>
      <c r="E726" s="657" t="s">
        <v>7437</v>
      </c>
      <c r="F726" s="656" t="s">
        <v>472</v>
      </c>
      <c r="G726" s="656" t="s">
        <v>519</v>
      </c>
      <c r="H726" s="656" t="s">
        <v>472</v>
      </c>
      <c r="I726" s="656" t="s">
        <v>14976</v>
      </c>
      <c r="J726" s="656" t="s">
        <v>12368</v>
      </c>
      <c r="K726" s="656" t="s">
        <v>1058</v>
      </c>
      <c r="L726" s="656" t="s">
        <v>9204</v>
      </c>
      <c r="M726" s="657"/>
      <c r="N726" s="1482"/>
      <c r="O726" s="656" t="s">
        <v>498</v>
      </c>
      <c r="P726" s="656" t="s">
        <v>13052</v>
      </c>
      <c r="Q726" s="656">
        <v>44216.785138888888</v>
      </c>
    </row>
    <row r="727" spans="1:17">
      <c r="A727" s="656" t="s">
        <v>9204</v>
      </c>
      <c r="B727" s="657" t="s">
        <v>202</v>
      </c>
      <c r="C727" s="656" t="s">
        <v>9552</v>
      </c>
      <c r="D727" s="657" t="s">
        <v>14977</v>
      </c>
      <c r="E727" s="657" t="s">
        <v>7437</v>
      </c>
      <c r="F727" s="656" t="s">
        <v>472</v>
      </c>
      <c r="G727" s="656" t="s">
        <v>519</v>
      </c>
      <c r="H727" s="656" t="s">
        <v>472</v>
      </c>
      <c r="I727" s="656" t="s">
        <v>14976</v>
      </c>
      <c r="J727" s="656" t="s">
        <v>12368</v>
      </c>
      <c r="K727" s="656" t="s">
        <v>1058</v>
      </c>
      <c r="L727" s="656"/>
      <c r="M727" s="657"/>
      <c r="N727" s="1482"/>
      <c r="O727" s="656" t="s">
        <v>498</v>
      </c>
      <c r="P727" s="656" t="s">
        <v>13052</v>
      </c>
      <c r="Q727" s="656">
        <v>44216.785127314812</v>
      </c>
    </row>
    <row r="728" spans="1:17">
      <c r="A728" s="656" t="s">
        <v>9553</v>
      </c>
      <c r="B728" s="657" t="s">
        <v>202</v>
      </c>
      <c r="C728" s="656" t="s">
        <v>12956</v>
      </c>
      <c r="D728" s="657" t="s">
        <v>14978</v>
      </c>
      <c r="E728" s="657" t="s">
        <v>7437</v>
      </c>
      <c r="F728" s="656" t="s">
        <v>472</v>
      </c>
      <c r="G728" s="656" t="s">
        <v>519</v>
      </c>
      <c r="H728" s="656" t="s">
        <v>472</v>
      </c>
      <c r="I728" s="656" t="s">
        <v>14976</v>
      </c>
      <c r="J728" s="656" t="s">
        <v>12368</v>
      </c>
      <c r="K728" s="656" t="s">
        <v>1058</v>
      </c>
      <c r="L728" s="656" t="s">
        <v>9205</v>
      </c>
      <c r="M728" s="657"/>
      <c r="N728" s="1482"/>
      <c r="O728" s="656" t="s">
        <v>498</v>
      </c>
      <c r="P728" s="656" t="s">
        <v>13052</v>
      </c>
      <c r="Q728" s="656">
        <v>44216.785127314812</v>
      </c>
    </row>
    <row r="729" spans="1:17">
      <c r="A729" s="656" t="s">
        <v>9555</v>
      </c>
      <c r="B729" s="657" t="s">
        <v>202</v>
      </c>
      <c r="C729" s="656" t="s">
        <v>9554</v>
      </c>
      <c r="D729" s="657" t="s">
        <v>14978</v>
      </c>
      <c r="E729" s="657" t="s">
        <v>7437</v>
      </c>
      <c r="F729" s="656" t="s">
        <v>472</v>
      </c>
      <c r="G729" s="656" t="s">
        <v>519</v>
      </c>
      <c r="H729" s="656" t="s">
        <v>472</v>
      </c>
      <c r="I729" s="656" t="s">
        <v>14976</v>
      </c>
      <c r="J729" s="656" t="s">
        <v>12368</v>
      </c>
      <c r="K729" s="656" t="s">
        <v>1058</v>
      </c>
      <c r="L729" s="656" t="s">
        <v>9205</v>
      </c>
      <c r="M729" s="657"/>
      <c r="N729" s="1482"/>
      <c r="O729" s="656" t="s">
        <v>498</v>
      </c>
      <c r="P729" s="656" t="s">
        <v>13052</v>
      </c>
      <c r="Q729" s="656">
        <v>44216.785115740742</v>
      </c>
    </row>
    <row r="730" spans="1:17">
      <c r="A730" s="656" t="s">
        <v>9557</v>
      </c>
      <c r="B730" s="657" t="s">
        <v>202</v>
      </c>
      <c r="C730" s="656" t="s">
        <v>9556</v>
      </c>
      <c r="D730" s="657" t="s">
        <v>14978</v>
      </c>
      <c r="E730" s="657" t="s">
        <v>7437</v>
      </c>
      <c r="F730" s="656" t="s">
        <v>472</v>
      </c>
      <c r="G730" s="656" t="s">
        <v>519</v>
      </c>
      <c r="H730" s="656" t="s">
        <v>472</v>
      </c>
      <c r="I730" s="656" t="s">
        <v>14976</v>
      </c>
      <c r="J730" s="656" t="s">
        <v>12368</v>
      </c>
      <c r="K730" s="656" t="s">
        <v>1058</v>
      </c>
      <c r="L730" s="656" t="s">
        <v>9205</v>
      </c>
      <c r="M730" s="657"/>
      <c r="N730" s="1482"/>
      <c r="O730" s="656" t="s">
        <v>498</v>
      </c>
      <c r="P730" s="656" t="s">
        <v>13052</v>
      </c>
      <c r="Q730" s="656">
        <v>44216.785115740742</v>
      </c>
    </row>
    <row r="731" spans="1:17">
      <c r="A731" s="656" t="s">
        <v>9559</v>
      </c>
      <c r="B731" s="657" t="s">
        <v>202</v>
      </c>
      <c r="C731" s="656" t="s">
        <v>9558</v>
      </c>
      <c r="D731" s="657" t="s">
        <v>14978</v>
      </c>
      <c r="E731" s="657" t="s">
        <v>7437</v>
      </c>
      <c r="F731" s="656" t="s">
        <v>472</v>
      </c>
      <c r="G731" s="656" t="s">
        <v>519</v>
      </c>
      <c r="H731" s="656" t="s">
        <v>472</v>
      </c>
      <c r="I731" s="656" t="s">
        <v>14976</v>
      </c>
      <c r="J731" s="656" t="s">
        <v>12368</v>
      </c>
      <c r="K731" s="656" t="s">
        <v>1058</v>
      </c>
      <c r="L731" s="656" t="s">
        <v>9205</v>
      </c>
      <c r="M731" s="657"/>
      <c r="N731" s="1482"/>
      <c r="O731" s="656" t="s">
        <v>498</v>
      </c>
      <c r="P731" s="656" t="s">
        <v>13052</v>
      </c>
      <c r="Q731" s="656">
        <v>44216.785115740742</v>
      </c>
    </row>
    <row r="732" spans="1:17">
      <c r="A732" s="656" t="s">
        <v>9560</v>
      </c>
      <c r="B732" s="657" t="s">
        <v>202</v>
      </c>
      <c r="C732" s="656" t="s">
        <v>13015</v>
      </c>
      <c r="D732" s="657" t="s">
        <v>13789</v>
      </c>
      <c r="E732" s="657" t="s">
        <v>9406</v>
      </c>
      <c r="F732" s="656" t="s">
        <v>472</v>
      </c>
      <c r="G732" s="656" t="s">
        <v>519</v>
      </c>
      <c r="H732" s="656" t="s">
        <v>472</v>
      </c>
      <c r="I732" s="656" t="s">
        <v>14976</v>
      </c>
      <c r="J732" s="656" t="s">
        <v>12368</v>
      </c>
      <c r="K732" s="656" t="s">
        <v>1058</v>
      </c>
      <c r="L732" s="656"/>
      <c r="M732" s="657"/>
      <c r="N732" s="1482"/>
      <c r="O732" s="656" t="s">
        <v>498</v>
      </c>
      <c r="P732" s="656" t="s">
        <v>13052</v>
      </c>
      <c r="Q732" s="656">
        <v>44216.785104166665</v>
      </c>
    </row>
    <row r="733" spans="1:17">
      <c r="A733" s="656" t="s">
        <v>9205</v>
      </c>
      <c r="B733" s="657" t="s">
        <v>202</v>
      </c>
      <c r="C733" s="656" t="s">
        <v>973</v>
      </c>
      <c r="D733" s="657" t="s">
        <v>14977</v>
      </c>
      <c r="E733" s="657" t="s">
        <v>7437</v>
      </c>
      <c r="F733" s="656" t="s">
        <v>472</v>
      </c>
      <c r="G733" s="656" t="s">
        <v>519</v>
      </c>
      <c r="H733" s="656" t="s">
        <v>472</v>
      </c>
      <c r="I733" s="656" t="s">
        <v>14976</v>
      </c>
      <c r="J733" s="656" t="s">
        <v>12368</v>
      </c>
      <c r="K733" s="656" t="s">
        <v>1058</v>
      </c>
      <c r="L733" s="656"/>
      <c r="M733" s="657"/>
      <c r="N733" s="1482"/>
      <c r="O733" s="656" t="s">
        <v>498</v>
      </c>
      <c r="P733" s="656" t="s">
        <v>13052</v>
      </c>
      <c r="Q733" s="656">
        <v>44216.785104166665</v>
      </c>
    </row>
    <row r="734" spans="1:17">
      <c r="A734" s="656" t="s">
        <v>9206</v>
      </c>
      <c r="B734" s="657" t="s">
        <v>504</v>
      </c>
      <c r="C734" s="656" t="s">
        <v>14014</v>
      </c>
      <c r="D734" s="657" t="s">
        <v>14978</v>
      </c>
      <c r="E734" s="657" t="s">
        <v>9406</v>
      </c>
      <c r="F734" s="656" t="s">
        <v>540</v>
      </c>
      <c r="G734" s="656" t="s">
        <v>541</v>
      </c>
      <c r="H734" s="656" t="s">
        <v>540</v>
      </c>
      <c r="I734" s="656" t="s">
        <v>14976</v>
      </c>
      <c r="J734" s="656"/>
      <c r="K734" s="656"/>
      <c r="L734" s="656" t="s">
        <v>2478</v>
      </c>
      <c r="M734" s="657"/>
      <c r="N734" s="1482"/>
      <c r="O734" s="656" t="s">
        <v>498</v>
      </c>
      <c r="P734" s="656" t="s">
        <v>13052</v>
      </c>
      <c r="Q734" s="656">
        <v>44216.785104166665</v>
      </c>
    </row>
    <row r="735" spans="1:17">
      <c r="A735" s="656" t="s">
        <v>9207</v>
      </c>
      <c r="B735" s="657" t="s">
        <v>504</v>
      </c>
      <c r="C735" s="656" t="s">
        <v>14013</v>
      </c>
      <c r="D735" s="657" t="s">
        <v>14978</v>
      </c>
      <c r="E735" s="657" t="s">
        <v>9406</v>
      </c>
      <c r="F735" s="656" t="s">
        <v>540</v>
      </c>
      <c r="G735" s="656" t="s">
        <v>541</v>
      </c>
      <c r="H735" s="656" t="s">
        <v>540</v>
      </c>
      <c r="I735" s="656" t="s">
        <v>14976</v>
      </c>
      <c r="J735" s="656"/>
      <c r="K735" s="656"/>
      <c r="L735" s="656" t="s">
        <v>2478</v>
      </c>
      <c r="M735" s="657"/>
      <c r="N735" s="1482"/>
      <c r="O735" s="656" t="s">
        <v>498</v>
      </c>
      <c r="P735" s="656" t="s">
        <v>13052</v>
      </c>
      <c r="Q735" s="656">
        <v>44216.785092592596</v>
      </c>
    </row>
    <row r="736" spans="1:17">
      <c r="A736" s="656" t="s">
        <v>9208</v>
      </c>
      <c r="B736" s="657" t="s">
        <v>504</v>
      </c>
      <c r="C736" s="656" t="s">
        <v>14012</v>
      </c>
      <c r="D736" s="657" t="s">
        <v>14978</v>
      </c>
      <c r="E736" s="657" t="s">
        <v>9510</v>
      </c>
      <c r="F736" s="656" t="s">
        <v>540</v>
      </c>
      <c r="G736" s="656" t="s">
        <v>541</v>
      </c>
      <c r="H736" s="656" t="s">
        <v>540</v>
      </c>
      <c r="I736" s="656" t="s">
        <v>14976</v>
      </c>
      <c r="J736" s="656"/>
      <c r="K736" s="656"/>
      <c r="L736" s="656" t="s">
        <v>2478</v>
      </c>
      <c r="M736" s="657"/>
      <c r="N736" s="1482"/>
      <c r="O736" s="656" t="s">
        <v>498</v>
      </c>
      <c r="P736" s="656" t="s">
        <v>13052</v>
      </c>
      <c r="Q736" s="656">
        <v>44216.785092592596</v>
      </c>
    </row>
    <row r="737" spans="1:17">
      <c r="A737" s="656" t="s">
        <v>9209</v>
      </c>
      <c r="B737" s="657" t="s">
        <v>504</v>
      </c>
      <c r="C737" s="656" t="s">
        <v>2478</v>
      </c>
      <c r="D737" s="657" t="s">
        <v>14977</v>
      </c>
      <c r="E737" s="657" t="s">
        <v>9510</v>
      </c>
      <c r="F737" s="656" t="s">
        <v>540</v>
      </c>
      <c r="G737" s="656" t="s">
        <v>541</v>
      </c>
      <c r="H737" s="656" t="s">
        <v>540</v>
      </c>
      <c r="I737" s="656" t="s">
        <v>14976</v>
      </c>
      <c r="J737" s="656"/>
      <c r="K737" s="656"/>
      <c r="L737" s="656"/>
      <c r="M737" s="657"/>
      <c r="N737" s="1482"/>
      <c r="O737" s="656" t="s">
        <v>498</v>
      </c>
      <c r="P737" s="656" t="s">
        <v>13052</v>
      </c>
      <c r="Q737" s="656">
        <v>44216.785081018519</v>
      </c>
    </row>
    <row r="738" spans="1:17">
      <c r="A738" s="656" t="s">
        <v>9211</v>
      </c>
      <c r="B738" s="657" t="s">
        <v>202</v>
      </c>
      <c r="C738" s="656" t="s">
        <v>9210</v>
      </c>
      <c r="D738" s="657" t="s">
        <v>14977</v>
      </c>
      <c r="E738" s="657" t="s">
        <v>7437</v>
      </c>
      <c r="F738" s="656" t="s">
        <v>462</v>
      </c>
      <c r="G738" s="656"/>
      <c r="H738" s="656" t="s">
        <v>462</v>
      </c>
      <c r="I738" s="656" t="s">
        <v>14976</v>
      </c>
      <c r="J738" s="656" t="s">
        <v>463</v>
      </c>
      <c r="K738" s="656" t="s">
        <v>1058</v>
      </c>
      <c r="L738" s="656" t="s">
        <v>9211</v>
      </c>
      <c r="M738" s="657"/>
      <c r="N738" s="1482"/>
      <c r="O738" s="656" t="s">
        <v>498</v>
      </c>
      <c r="P738" s="656" t="s">
        <v>13052</v>
      </c>
      <c r="Q738" s="656">
        <v>44216.785081018519</v>
      </c>
    </row>
    <row r="739" spans="1:17">
      <c r="A739" s="656" t="s">
        <v>9212</v>
      </c>
      <c r="B739" s="657" t="s">
        <v>202</v>
      </c>
      <c r="C739" s="656" t="s">
        <v>1219</v>
      </c>
      <c r="D739" s="657" t="s">
        <v>14978</v>
      </c>
      <c r="E739" s="657" t="s">
        <v>9510</v>
      </c>
      <c r="F739" s="656" t="s">
        <v>500</v>
      </c>
      <c r="G739" s="656" t="s">
        <v>500</v>
      </c>
      <c r="H739" s="656" t="s">
        <v>500</v>
      </c>
      <c r="I739" s="656" t="s">
        <v>14976</v>
      </c>
      <c r="J739" s="656" t="s">
        <v>473</v>
      </c>
      <c r="K739" s="656"/>
      <c r="L739" s="656" t="s">
        <v>9214</v>
      </c>
      <c r="M739" s="657"/>
      <c r="N739" s="1482"/>
      <c r="O739" s="656" t="s">
        <v>498</v>
      </c>
      <c r="P739" s="656" t="s">
        <v>13052</v>
      </c>
      <c r="Q739" s="656">
        <v>44216.785069444442</v>
      </c>
    </row>
    <row r="740" spans="1:17">
      <c r="A740" s="656" t="s">
        <v>9214</v>
      </c>
      <c r="B740" s="657" t="s">
        <v>202</v>
      </c>
      <c r="C740" s="656" t="s">
        <v>9213</v>
      </c>
      <c r="D740" s="657" t="s">
        <v>14977</v>
      </c>
      <c r="E740" s="657" t="s">
        <v>7437</v>
      </c>
      <c r="F740" s="656" t="s">
        <v>537</v>
      </c>
      <c r="G740" s="656" t="s">
        <v>512</v>
      </c>
      <c r="H740" s="656" t="s">
        <v>537</v>
      </c>
      <c r="I740" s="656" t="s">
        <v>14976</v>
      </c>
      <c r="J740" s="656" t="s">
        <v>473</v>
      </c>
      <c r="K740" s="656" t="s">
        <v>4161</v>
      </c>
      <c r="L740" s="656"/>
      <c r="M740" s="657"/>
      <c r="N740" s="1482"/>
      <c r="O740" s="656" t="s">
        <v>498</v>
      </c>
      <c r="P740" s="656" t="s">
        <v>13052</v>
      </c>
      <c r="Q740" s="656">
        <v>44216.785069444442</v>
      </c>
    </row>
    <row r="741" spans="1:17">
      <c r="A741" s="656" t="s">
        <v>15361</v>
      </c>
      <c r="B741" s="657" t="s">
        <v>202</v>
      </c>
      <c r="C741" s="656" t="s">
        <v>15362</v>
      </c>
      <c r="D741" s="657" t="s">
        <v>15491</v>
      </c>
      <c r="E741" s="657" t="s">
        <v>7437</v>
      </c>
      <c r="F741" s="656" t="s">
        <v>537</v>
      </c>
      <c r="G741" s="656" t="s">
        <v>512</v>
      </c>
      <c r="H741" s="656" t="s">
        <v>537</v>
      </c>
      <c r="I741" s="656"/>
      <c r="J741" s="656" t="s">
        <v>473</v>
      </c>
      <c r="K741" s="656"/>
      <c r="L741" s="656" t="s">
        <v>9216</v>
      </c>
      <c r="M741" s="657"/>
      <c r="N741" s="1482"/>
      <c r="O741" s="656" t="s">
        <v>498</v>
      </c>
      <c r="P741" s="656" t="s">
        <v>13052</v>
      </c>
      <c r="Q741" s="656">
        <v>44221.696921296294</v>
      </c>
    </row>
    <row r="742" spans="1:17">
      <c r="A742" s="656" t="s">
        <v>12408</v>
      </c>
      <c r="B742" s="657" t="s">
        <v>202</v>
      </c>
      <c r="C742" s="656" t="s">
        <v>12407</v>
      </c>
      <c r="D742" s="657" t="s">
        <v>14978</v>
      </c>
      <c r="E742" s="657" t="s">
        <v>7437</v>
      </c>
      <c r="F742" s="656" t="s">
        <v>537</v>
      </c>
      <c r="G742" s="656" t="s">
        <v>512</v>
      </c>
      <c r="H742" s="656" t="s">
        <v>537</v>
      </c>
      <c r="I742" s="656" t="s">
        <v>14976</v>
      </c>
      <c r="J742" s="656" t="s">
        <v>473</v>
      </c>
      <c r="K742" s="656" t="s">
        <v>4161</v>
      </c>
      <c r="L742" s="656" t="s">
        <v>9216</v>
      </c>
      <c r="M742" s="657"/>
      <c r="N742" s="1482"/>
      <c r="O742" s="656" t="s">
        <v>498</v>
      </c>
      <c r="P742" s="656" t="s">
        <v>13052</v>
      </c>
      <c r="Q742" s="656">
        <v>44216.785057870373</v>
      </c>
    </row>
    <row r="743" spans="1:17">
      <c r="A743" s="656" t="s">
        <v>12410</v>
      </c>
      <c r="B743" s="657" t="s">
        <v>202</v>
      </c>
      <c r="C743" s="656" t="s">
        <v>12409</v>
      </c>
      <c r="D743" s="657" t="s">
        <v>14978</v>
      </c>
      <c r="E743" s="657" t="s">
        <v>7437</v>
      </c>
      <c r="F743" s="656" t="s">
        <v>537</v>
      </c>
      <c r="G743" s="656" t="s">
        <v>512</v>
      </c>
      <c r="H743" s="656" t="s">
        <v>537</v>
      </c>
      <c r="I743" s="656" t="s">
        <v>14976</v>
      </c>
      <c r="J743" s="656" t="s">
        <v>473</v>
      </c>
      <c r="K743" s="656" t="s">
        <v>4161</v>
      </c>
      <c r="L743" s="656" t="s">
        <v>9216</v>
      </c>
      <c r="M743" s="657"/>
      <c r="N743" s="1482"/>
      <c r="O743" s="656" t="s">
        <v>498</v>
      </c>
      <c r="P743" s="656" t="s">
        <v>13052</v>
      </c>
      <c r="Q743" s="656">
        <v>44216.785046296296</v>
      </c>
    </row>
    <row r="744" spans="1:17">
      <c r="A744" s="656" t="s">
        <v>9346</v>
      </c>
      <c r="B744" s="657" t="s">
        <v>202</v>
      </c>
      <c r="C744" s="656" t="s">
        <v>9345</v>
      </c>
      <c r="D744" s="657" t="s">
        <v>14978</v>
      </c>
      <c r="E744" s="657" t="s">
        <v>7437</v>
      </c>
      <c r="F744" s="656" t="s">
        <v>537</v>
      </c>
      <c r="G744" s="656" t="s">
        <v>512</v>
      </c>
      <c r="H744" s="656" t="s">
        <v>537</v>
      </c>
      <c r="I744" s="656" t="s">
        <v>14976</v>
      </c>
      <c r="J744" s="656" t="s">
        <v>473</v>
      </c>
      <c r="K744" s="656" t="s">
        <v>4161</v>
      </c>
      <c r="L744" s="656" t="s">
        <v>9216</v>
      </c>
      <c r="M744" s="657"/>
      <c r="N744" s="1482"/>
      <c r="O744" s="656" t="s">
        <v>498</v>
      </c>
      <c r="P744" s="656" t="s">
        <v>13052</v>
      </c>
      <c r="Q744" s="656">
        <v>44216.785046296296</v>
      </c>
    </row>
    <row r="745" spans="1:17">
      <c r="A745" s="656" t="s">
        <v>9216</v>
      </c>
      <c r="B745" s="657" t="s">
        <v>202</v>
      </c>
      <c r="C745" s="656" t="s">
        <v>9215</v>
      </c>
      <c r="D745" s="657" t="s">
        <v>14977</v>
      </c>
      <c r="E745" s="657" t="s">
        <v>7437</v>
      </c>
      <c r="F745" s="656" t="s">
        <v>537</v>
      </c>
      <c r="G745" s="656" t="s">
        <v>512</v>
      </c>
      <c r="H745" s="656" t="s">
        <v>537</v>
      </c>
      <c r="I745" s="656" t="s">
        <v>14976</v>
      </c>
      <c r="J745" s="656" t="s">
        <v>473</v>
      </c>
      <c r="K745" s="656" t="s">
        <v>4161</v>
      </c>
      <c r="L745" s="656"/>
      <c r="M745" s="657"/>
      <c r="N745" s="1482"/>
      <c r="O745" s="656" t="s">
        <v>498</v>
      </c>
      <c r="P745" s="656" t="s">
        <v>13052</v>
      </c>
      <c r="Q745" s="656">
        <v>44216.785034722219</v>
      </c>
    </row>
    <row r="746" spans="1:17">
      <c r="A746" s="656" t="s">
        <v>9218</v>
      </c>
      <c r="B746" s="657" t="s">
        <v>202</v>
      </c>
      <c r="C746" s="656" t="s">
        <v>9217</v>
      </c>
      <c r="D746" s="657" t="s">
        <v>14977</v>
      </c>
      <c r="E746" s="657" t="s">
        <v>7437</v>
      </c>
      <c r="F746" s="656" t="s">
        <v>537</v>
      </c>
      <c r="G746" s="656" t="s">
        <v>512</v>
      </c>
      <c r="H746" s="656" t="s">
        <v>537</v>
      </c>
      <c r="I746" s="656" t="s">
        <v>14976</v>
      </c>
      <c r="J746" s="656" t="s">
        <v>473</v>
      </c>
      <c r="K746" s="656" t="s">
        <v>4161</v>
      </c>
      <c r="L746" s="656"/>
      <c r="M746" s="657"/>
      <c r="N746" s="1482"/>
      <c r="O746" s="656" t="s">
        <v>498</v>
      </c>
      <c r="P746" s="656" t="s">
        <v>13052</v>
      </c>
      <c r="Q746" s="656">
        <v>44216.785034722219</v>
      </c>
    </row>
    <row r="747" spans="1:17">
      <c r="A747" s="656" t="s">
        <v>9220</v>
      </c>
      <c r="B747" s="657" t="s">
        <v>202</v>
      </c>
      <c r="C747" s="656" t="s">
        <v>9219</v>
      </c>
      <c r="D747" s="657" t="s">
        <v>14977</v>
      </c>
      <c r="E747" s="657" t="s">
        <v>7437</v>
      </c>
      <c r="F747" s="656" t="s">
        <v>537</v>
      </c>
      <c r="G747" s="656" t="s">
        <v>512</v>
      </c>
      <c r="H747" s="656" t="s">
        <v>537</v>
      </c>
      <c r="I747" s="656" t="s">
        <v>14976</v>
      </c>
      <c r="J747" s="656" t="s">
        <v>473</v>
      </c>
      <c r="K747" s="656" t="s">
        <v>4161</v>
      </c>
      <c r="L747" s="656"/>
      <c r="M747" s="657"/>
      <c r="N747" s="1482"/>
      <c r="O747" s="656" t="s">
        <v>498</v>
      </c>
      <c r="P747" s="656" t="s">
        <v>13052</v>
      </c>
      <c r="Q747" s="656">
        <v>44216.785034722219</v>
      </c>
    </row>
    <row r="748" spans="1:17">
      <c r="A748" s="656" t="s">
        <v>9222</v>
      </c>
      <c r="B748" s="657" t="s">
        <v>202</v>
      </c>
      <c r="C748" s="656" t="s">
        <v>9221</v>
      </c>
      <c r="D748" s="657" t="s">
        <v>14977</v>
      </c>
      <c r="E748" s="657" t="s">
        <v>7437</v>
      </c>
      <c r="F748" s="656" t="s">
        <v>537</v>
      </c>
      <c r="G748" s="656" t="s">
        <v>512</v>
      </c>
      <c r="H748" s="656" t="s">
        <v>537</v>
      </c>
      <c r="I748" s="656" t="s">
        <v>14976</v>
      </c>
      <c r="J748" s="656" t="s">
        <v>473</v>
      </c>
      <c r="K748" s="656" t="s">
        <v>4161</v>
      </c>
      <c r="L748" s="656"/>
      <c r="M748" s="657"/>
      <c r="N748" s="1482"/>
      <c r="O748" s="656" t="s">
        <v>498</v>
      </c>
      <c r="P748" s="656" t="s">
        <v>13052</v>
      </c>
      <c r="Q748" s="656">
        <v>44216.78502314815</v>
      </c>
    </row>
    <row r="749" spans="1:17">
      <c r="A749" s="656" t="s">
        <v>15667</v>
      </c>
      <c r="B749" s="657" t="s">
        <v>202</v>
      </c>
      <c r="C749" s="656" t="s">
        <v>15668</v>
      </c>
      <c r="D749" s="657" t="s">
        <v>14978</v>
      </c>
      <c r="E749" s="657" t="s">
        <v>7435</v>
      </c>
      <c r="F749" s="656" t="s">
        <v>537</v>
      </c>
      <c r="G749" s="656"/>
      <c r="H749" s="656" t="s">
        <v>537</v>
      </c>
      <c r="I749" s="656"/>
      <c r="J749" s="656" t="s">
        <v>473</v>
      </c>
      <c r="K749" s="656"/>
      <c r="L749" s="656" t="s">
        <v>9223</v>
      </c>
      <c r="M749" s="657" t="s">
        <v>15517</v>
      </c>
      <c r="N749" s="1482">
        <v>118</v>
      </c>
      <c r="O749" s="656" t="s">
        <v>498</v>
      </c>
      <c r="P749" s="656" t="s">
        <v>13052</v>
      </c>
      <c r="Q749" s="656">
        <v>44244.689201388886</v>
      </c>
    </row>
    <row r="750" spans="1:17">
      <c r="A750" s="656" t="s">
        <v>15665</v>
      </c>
      <c r="B750" s="657" t="s">
        <v>202</v>
      </c>
      <c r="C750" s="656" t="s">
        <v>15666</v>
      </c>
      <c r="D750" s="657" t="s">
        <v>14978</v>
      </c>
      <c r="E750" s="657" t="s">
        <v>7435</v>
      </c>
      <c r="F750" s="656" t="s">
        <v>537</v>
      </c>
      <c r="G750" s="656"/>
      <c r="H750" s="656" t="s">
        <v>537</v>
      </c>
      <c r="I750" s="656"/>
      <c r="J750" s="656" t="s">
        <v>473</v>
      </c>
      <c r="K750" s="656"/>
      <c r="L750" s="656" t="s">
        <v>9223</v>
      </c>
      <c r="M750" s="657" t="s">
        <v>15517</v>
      </c>
      <c r="N750" s="1482">
        <v>117</v>
      </c>
      <c r="O750" s="656" t="s">
        <v>498</v>
      </c>
      <c r="P750" s="656" t="s">
        <v>13052</v>
      </c>
      <c r="Q750" s="656">
        <v>44244.689189814817</v>
      </c>
    </row>
    <row r="751" spans="1:17">
      <c r="A751" s="656" t="s">
        <v>9223</v>
      </c>
      <c r="B751" s="657" t="s">
        <v>202</v>
      </c>
      <c r="C751" s="656" t="s">
        <v>14011</v>
      </c>
      <c r="D751" s="657" t="s">
        <v>14977</v>
      </c>
      <c r="E751" s="657" t="s">
        <v>7437</v>
      </c>
      <c r="F751" s="656" t="s">
        <v>537</v>
      </c>
      <c r="G751" s="656" t="s">
        <v>512</v>
      </c>
      <c r="H751" s="656" t="s">
        <v>537</v>
      </c>
      <c r="I751" s="656" t="s">
        <v>14976</v>
      </c>
      <c r="J751" s="656" t="s">
        <v>473</v>
      </c>
      <c r="K751" s="656" t="s">
        <v>4161</v>
      </c>
      <c r="L751" s="656"/>
      <c r="M751" s="657"/>
      <c r="N751" s="1482"/>
      <c r="O751" s="656" t="s">
        <v>498</v>
      </c>
      <c r="P751" s="656" t="s">
        <v>13052</v>
      </c>
      <c r="Q751" s="656">
        <v>44216.785011574073</v>
      </c>
    </row>
    <row r="752" spans="1:17">
      <c r="A752" s="656" t="s">
        <v>9224</v>
      </c>
      <c r="B752" s="657" t="s">
        <v>202</v>
      </c>
      <c r="C752" s="656" t="s">
        <v>9053</v>
      </c>
      <c r="D752" s="657" t="s">
        <v>13789</v>
      </c>
      <c r="E752" s="657" t="s">
        <v>9406</v>
      </c>
      <c r="F752" s="656" t="s">
        <v>2849</v>
      </c>
      <c r="G752" s="656" t="s">
        <v>512</v>
      </c>
      <c r="H752" s="656" t="s">
        <v>469</v>
      </c>
      <c r="I752" s="656" t="s">
        <v>14976</v>
      </c>
      <c r="J752" s="656" t="s">
        <v>8664</v>
      </c>
      <c r="K752" s="656" t="s">
        <v>2849</v>
      </c>
      <c r="L752" s="656"/>
      <c r="M752" s="657"/>
      <c r="N752" s="1482"/>
      <c r="O752" s="656" t="s">
        <v>498</v>
      </c>
      <c r="P752" s="656" t="s">
        <v>13052</v>
      </c>
      <c r="Q752" s="656">
        <v>44216.785011574073</v>
      </c>
    </row>
    <row r="753" spans="1:17">
      <c r="A753" s="656" t="s">
        <v>15050</v>
      </c>
      <c r="B753" s="657" t="s">
        <v>504</v>
      </c>
      <c r="C753" s="656" t="s">
        <v>15051</v>
      </c>
      <c r="D753" s="657" t="s">
        <v>13789</v>
      </c>
      <c r="E753" s="657" t="s">
        <v>7437</v>
      </c>
      <c r="F753" s="656" t="s">
        <v>505</v>
      </c>
      <c r="G753" s="656" t="s">
        <v>509</v>
      </c>
      <c r="H753" s="656" t="s">
        <v>505</v>
      </c>
      <c r="I753" s="656" t="s">
        <v>14976</v>
      </c>
      <c r="J753" s="656"/>
      <c r="K753" s="656"/>
      <c r="L753" s="656" t="s">
        <v>15052</v>
      </c>
      <c r="M753" s="657"/>
      <c r="N753" s="1482"/>
      <c r="O753" s="656" t="s">
        <v>498</v>
      </c>
      <c r="P753" s="656" t="s">
        <v>13052</v>
      </c>
      <c r="Q753" s="656">
        <v>44216.785000000003</v>
      </c>
    </row>
    <row r="754" spans="1:17">
      <c r="A754" s="656" t="s">
        <v>14010</v>
      </c>
      <c r="B754" s="657" t="s">
        <v>504</v>
      </c>
      <c r="C754" s="656" t="s">
        <v>9561</v>
      </c>
      <c r="D754" s="657" t="s">
        <v>14978</v>
      </c>
      <c r="E754" s="657" t="s">
        <v>9406</v>
      </c>
      <c r="F754" s="656" t="s">
        <v>505</v>
      </c>
      <c r="G754" s="656" t="s">
        <v>506</v>
      </c>
      <c r="H754" s="656" t="s">
        <v>505</v>
      </c>
      <c r="I754" s="656" t="s">
        <v>14976</v>
      </c>
      <c r="J754" s="656"/>
      <c r="K754" s="656"/>
      <c r="L754" s="656" t="s">
        <v>9059</v>
      </c>
      <c r="M754" s="657"/>
      <c r="N754" s="1482"/>
      <c r="O754" s="656" t="s">
        <v>498</v>
      </c>
      <c r="P754" s="656" t="s">
        <v>13052</v>
      </c>
      <c r="Q754" s="656">
        <v>44216.785000000003</v>
      </c>
    </row>
    <row r="755" spans="1:17">
      <c r="A755" s="656" t="s">
        <v>9059</v>
      </c>
      <c r="B755" s="657" t="s">
        <v>504</v>
      </c>
      <c r="C755" s="656" t="s">
        <v>9058</v>
      </c>
      <c r="D755" s="657" t="s">
        <v>13789</v>
      </c>
      <c r="E755" s="657" t="s">
        <v>9406</v>
      </c>
      <c r="F755" s="656" t="s">
        <v>505</v>
      </c>
      <c r="G755" s="656" t="s">
        <v>506</v>
      </c>
      <c r="H755" s="656" t="s">
        <v>505</v>
      </c>
      <c r="I755" s="656" t="s">
        <v>14976</v>
      </c>
      <c r="J755" s="656"/>
      <c r="K755" s="656"/>
      <c r="L755" s="656"/>
      <c r="M755" s="657"/>
      <c r="N755" s="1482"/>
      <c r="O755" s="656" t="s">
        <v>498</v>
      </c>
      <c r="P755" s="656" t="s">
        <v>13052</v>
      </c>
      <c r="Q755" s="656">
        <v>44216.785000000003</v>
      </c>
    </row>
    <row r="756" spans="1:17">
      <c r="A756" s="656" t="s">
        <v>9060</v>
      </c>
      <c r="B756" s="657" t="s">
        <v>202</v>
      </c>
      <c r="C756" s="656" t="s">
        <v>962</v>
      </c>
      <c r="D756" s="657" t="s">
        <v>14977</v>
      </c>
      <c r="E756" s="657" t="s">
        <v>7437</v>
      </c>
      <c r="F756" s="656" t="s">
        <v>472</v>
      </c>
      <c r="G756" s="656" t="s">
        <v>519</v>
      </c>
      <c r="H756" s="656" t="s">
        <v>472</v>
      </c>
      <c r="I756" s="656" t="s">
        <v>14976</v>
      </c>
      <c r="J756" s="656" t="s">
        <v>12368</v>
      </c>
      <c r="K756" s="656" t="s">
        <v>1058</v>
      </c>
      <c r="L756" s="656"/>
      <c r="M756" s="657"/>
      <c r="N756" s="1482"/>
      <c r="O756" s="656" t="s">
        <v>498</v>
      </c>
      <c r="P756" s="656" t="s">
        <v>13052</v>
      </c>
      <c r="Q756" s="656">
        <v>44216.784988425927</v>
      </c>
    </row>
    <row r="757" spans="1:17">
      <c r="A757" s="656" t="s">
        <v>9061</v>
      </c>
      <c r="B757" s="657" t="s">
        <v>202</v>
      </c>
      <c r="C757" s="656" t="s">
        <v>994</v>
      </c>
      <c r="D757" s="657" t="s">
        <v>14977</v>
      </c>
      <c r="E757" s="657" t="s">
        <v>7437</v>
      </c>
      <c r="F757" s="656" t="s">
        <v>472</v>
      </c>
      <c r="G757" s="656" t="s">
        <v>519</v>
      </c>
      <c r="H757" s="656" t="s">
        <v>472</v>
      </c>
      <c r="I757" s="656" t="s">
        <v>14976</v>
      </c>
      <c r="J757" s="656" t="s">
        <v>12368</v>
      </c>
      <c r="K757" s="656" t="s">
        <v>1058</v>
      </c>
      <c r="L757" s="656"/>
      <c r="M757" s="657"/>
      <c r="N757" s="1482"/>
      <c r="O757" s="656" t="s">
        <v>498</v>
      </c>
      <c r="P757" s="656" t="s">
        <v>13052</v>
      </c>
      <c r="Q757" s="656">
        <v>44216.784988425927</v>
      </c>
    </row>
    <row r="758" spans="1:17">
      <c r="A758" s="656" t="s">
        <v>9062</v>
      </c>
      <c r="B758" s="657" t="s">
        <v>531</v>
      </c>
      <c r="C758" s="656" t="s">
        <v>9055</v>
      </c>
      <c r="D758" s="657" t="s">
        <v>13789</v>
      </c>
      <c r="E758" s="657" t="s">
        <v>9406</v>
      </c>
      <c r="F758" s="656" t="s">
        <v>2849</v>
      </c>
      <c r="G758" s="656" t="s">
        <v>512</v>
      </c>
      <c r="H758" s="656" t="s">
        <v>469</v>
      </c>
      <c r="I758" s="656" t="s">
        <v>14976</v>
      </c>
      <c r="J758" s="656" t="s">
        <v>532</v>
      </c>
      <c r="K758" s="656" t="s">
        <v>2849</v>
      </c>
      <c r="L758" s="656"/>
      <c r="M758" s="657"/>
      <c r="N758" s="1482"/>
      <c r="O758" s="656" t="s">
        <v>498</v>
      </c>
      <c r="P758" s="656" t="s">
        <v>13052</v>
      </c>
      <c r="Q758" s="656">
        <v>44216.78497685185</v>
      </c>
    </row>
    <row r="759" spans="1:17">
      <c r="A759" s="656" t="s">
        <v>9056</v>
      </c>
      <c r="B759" s="657" t="s">
        <v>202</v>
      </c>
      <c r="C759" s="656" t="s">
        <v>13990</v>
      </c>
      <c r="D759" s="657" t="s">
        <v>13789</v>
      </c>
      <c r="E759" s="657" t="s">
        <v>7437</v>
      </c>
      <c r="F759" s="656" t="s">
        <v>462</v>
      </c>
      <c r="G759" s="656" t="s">
        <v>512</v>
      </c>
      <c r="H759" s="656" t="s">
        <v>462</v>
      </c>
      <c r="I759" s="656" t="s">
        <v>14976</v>
      </c>
      <c r="J759" s="656" t="s">
        <v>463</v>
      </c>
      <c r="K759" s="656" t="s">
        <v>1924</v>
      </c>
      <c r="L759" s="656"/>
      <c r="M759" s="657"/>
      <c r="N759" s="1482"/>
      <c r="O759" s="656" t="s">
        <v>498</v>
      </c>
      <c r="P759" s="656" t="s">
        <v>13052</v>
      </c>
      <c r="Q759" s="656">
        <v>44216.784988425927</v>
      </c>
    </row>
    <row r="760" spans="1:17">
      <c r="A760" s="656" t="s">
        <v>9054</v>
      </c>
      <c r="B760" s="657" t="s">
        <v>202</v>
      </c>
      <c r="C760" s="656" t="s">
        <v>8939</v>
      </c>
      <c r="D760" s="657" t="s">
        <v>13789</v>
      </c>
      <c r="E760" s="657" t="s">
        <v>7437</v>
      </c>
      <c r="F760" s="656" t="s">
        <v>462</v>
      </c>
      <c r="G760" s="656"/>
      <c r="H760" s="656" t="s">
        <v>462</v>
      </c>
      <c r="I760" s="656" t="s">
        <v>14976</v>
      </c>
      <c r="J760" s="656" t="s">
        <v>463</v>
      </c>
      <c r="K760" s="656" t="s">
        <v>1924</v>
      </c>
      <c r="L760" s="656"/>
      <c r="M760" s="657"/>
      <c r="N760" s="1482"/>
      <c r="O760" s="656" t="s">
        <v>498</v>
      </c>
      <c r="P760" s="656" t="s">
        <v>13052</v>
      </c>
      <c r="Q760" s="656">
        <v>44216.78497685185</v>
      </c>
    </row>
    <row r="761" spans="1:17">
      <c r="A761" s="656" t="s">
        <v>9046</v>
      </c>
      <c r="B761" s="657" t="s">
        <v>531</v>
      </c>
      <c r="C761" s="656" t="s">
        <v>9044</v>
      </c>
      <c r="D761" s="657" t="s">
        <v>14977</v>
      </c>
      <c r="E761" s="657" t="s">
        <v>7437</v>
      </c>
      <c r="F761" s="656" t="s">
        <v>442</v>
      </c>
      <c r="G761" s="656" t="s">
        <v>552</v>
      </c>
      <c r="H761" s="656" t="s">
        <v>442</v>
      </c>
      <c r="I761" s="656" t="s">
        <v>14976</v>
      </c>
      <c r="J761" s="656" t="s">
        <v>12369</v>
      </c>
      <c r="K761" s="656" t="s">
        <v>477</v>
      </c>
      <c r="L761" s="656"/>
      <c r="M761" s="657"/>
      <c r="N761" s="1482"/>
      <c r="O761" s="656" t="s">
        <v>498</v>
      </c>
      <c r="P761" s="656" t="s">
        <v>13052</v>
      </c>
      <c r="Q761" s="656">
        <v>44216.78496527778</v>
      </c>
    </row>
    <row r="762" spans="1:17">
      <c r="A762" s="656" t="s">
        <v>12429</v>
      </c>
      <c r="B762" s="657" t="s">
        <v>202</v>
      </c>
      <c r="C762" s="656" t="s">
        <v>12449</v>
      </c>
      <c r="D762" s="657" t="s">
        <v>14978</v>
      </c>
      <c r="E762" s="657" t="s">
        <v>7437</v>
      </c>
      <c r="F762" s="656" t="s">
        <v>442</v>
      </c>
      <c r="G762" s="656" t="s">
        <v>552</v>
      </c>
      <c r="H762" s="656" t="s">
        <v>442</v>
      </c>
      <c r="I762" s="656" t="s">
        <v>14976</v>
      </c>
      <c r="J762" s="656" t="s">
        <v>12369</v>
      </c>
      <c r="K762" s="656" t="s">
        <v>477</v>
      </c>
      <c r="L762" s="656" t="s">
        <v>12686</v>
      </c>
      <c r="M762" s="657"/>
      <c r="N762" s="1482"/>
      <c r="O762" s="656" t="s">
        <v>498</v>
      </c>
      <c r="P762" s="656" t="s">
        <v>13052</v>
      </c>
      <c r="Q762" s="656">
        <v>44216.78496527778</v>
      </c>
    </row>
    <row r="763" spans="1:17">
      <c r="A763" s="656" t="s">
        <v>9563</v>
      </c>
      <c r="B763" s="657" t="s">
        <v>531</v>
      </c>
      <c r="C763" s="656" t="s">
        <v>9562</v>
      </c>
      <c r="D763" s="657" t="s">
        <v>14978</v>
      </c>
      <c r="E763" s="657" t="s">
        <v>7437</v>
      </c>
      <c r="F763" s="656" t="s">
        <v>442</v>
      </c>
      <c r="G763" s="656" t="s">
        <v>561</v>
      </c>
      <c r="H763" s="656" t="s">
        <v>442</v>
      </c>
      <c r="I763" s="656" t="s">
        <v>14976</v>
      </c>
      <c r="J763" s="656" t="s">
        <v>12369</v>
      </c>
      <c r="K763" s="656" t="s">
        <v>1058</v>
      </c>
      <c r="L763" s="656" t="s">
        <v>9569</v>
      </c>
      <c r="M763" s="657"/>
      <c r="N763" s="1482"/>
      <c r="O763" s="656" t="s">
        <v>498</v>
      </c>
      <c r="P763" s="656" t="s">
        <v>13052</v>
      </c>
      <c r="Q763" s="656">
        <v>44216.784953703704</v>
      </c>
    </row>
    <row r="764" spans="1:17">
      <c r="A764" s="656" t="s">
        <v>9565</v>
      </c>
      <c r="B764" s="657" t="s">
        <v>531</v>
      </c>
      <c r="C764" s="656" t="s">
        <v>9564</v>
      </c>
      <c r="D764" s="657" t="s">
        <v>14978</v>
      </c>
      <c r="E764" s="657" t="s">
        <v>7437</v>
      </c>
      <c r="F764" s="656" t="s">
        <v>442</v>
      </c>
      <c r="G764" s="656" t="s">
        <v>561</v>
      </c>
      <c r="H764" s="656" t="s">
        <v>442</v>
      </c>
      <c r="I764" s="656" t="s">
        <v>14976</v>
      </c>
      <c r="J764" s="656" t="s">
        <v>12369</v>
      </c>
      <c r="K764" s="656" t="s">
        <v>1058</v>
      </c>
      <c r="L764" s="656" t="s">
        <v>9569</v>
      </c>
      <c r="M764" s="657"/>
      <c r="N764" s="1482"/>
      <c r="O764" s="656" t="s">
        <v>498</v>
      </c>
      <c r="P764" s="656" t="s">
        <v>13052</v>
      </c>
      <c r="Q764" s="656">
        <v>44216.784953703704</v>
      </c>
    </row>
    <row r="765" spans="1:17">
      <c r="A765" s="656" t="s">
        <v>9567</v>
      </c>
      <c r="B765" s="657" t="s">
        <v>531</v>
      </c>
      <c r="C765" s="656" t="s">
        <v>9566</v>
      </c>
      <c r="D765" s="657" t="s">
        <v>14978</v>
      </c>
      <c r="E765" s="657" t="s">
        <v>7437</v>
      </c>
      <c r="F765" s="656" t="s">
        <v>442</v>
      </c>
      <c r="G765" s="656" t="s">
        <v>561</v>
      </c>
      <c r="H765" s="656" t="s">
        <v>442</v>
      </c>
      <c r="I765" s="656" t="s">
        <v>14976</v>
      </c>
      <c r="J765" s="656" t="s">
        <v>12369</v>
      </c>
      <c r="K765" s="656" t="s">
        <v>1058</v>
      </c>
      <c r="L765" s="656" t="s">
        <v>9569</v>
      </c>
      <c r="M765" s="657"/>
      <c r="N765" s="1482"/>
      <c r="O765" s="656" t="s">
        <v>498</v>
      </c>
      <c r="P765" s="656" t="s">
        <v>13052</v>
      </c>
      <c r="Q765" s="656">
        <v>44216.784953703704</v>
      </c>
    </row>
    <row r="766" spans="1:17">
      <c r="A766" s="656" t="s">
        <v>9569</v>
      </c>
      <c r="B766" s="657" t="s">
        <v>531</v>
      </c>
      <c r="C766" s="656" t="s">
        <v>9568</v>
      </c>
      <c r="D766" s="657" t="s">
        <v>14977</v>
      </c>
      <c r="E766" s="657" t="s">
        <v>7437</v>
      </c>
      <c r="F766" s="656" t="s">
        <v>442</v>
      </c>
      <c r="G766" s="656" t="s">
        <v>552</v>
      </c>
      <c r="H766" s="656" t="s">
        <v>442</v>
      </c>
      <c r="I766" s="656" t="s">
        <v>14976</v>
      </c>
      <c r="J766" s="656" t="s">
        <v>12369</v>
      </c>
      <c r="K766" s="656" t="s">
        <v>477</v>
      </c>
      <c r="L766" s="656"/>
      <c r="M766" s="657"/>
      <c r="N766" s="1482"/>
      <c r="O766" s="656" t="s">
        <v>498</v>
      </c>
      <c r="P766" s="656" t="s">
        <v>13052</v>
      </c>
      <c r="Q766" s="656">
        <v>44216.784942129627</v>
      </c>
    </row>
    <row r="767" spans="1:17">
      <c r="A767" s="656" t="s">
        <v>9571</v>
      </c>
      <c r="B767" s="657" t="s">
        <v>531</v>
      </c>
      <c r="C767" s="656" t="s">
        <v>9570</v>
      </c>
      <c r="D767" s="657" t="s">
        <v>14978</v>
      </c>
      <c r="E767" s="657" t="s">
        <v>7437</v>
      </c>
      <c r="F767" s="656" t="s">
        <v>442</v>
      </c>
      <c r="G767" s="656" t="s">
        <v>561</v>
      </c>
      <c r="H767" s="656" t="s">
        <v>442</v>
      </c>
      <c r="I767" s="656" t="s">
        <v>14976</v>
      </c>
      <c r="J767" s="656" t="s">
        <v>12369</v>
      </c>
      <c r="K767" s="656" t="s">
        <v>1058</v>
      </c>
      <c r="L767" s="656" t="s">
        <v>9577</v>
      </c>
      <c r="M767" s="657"/>
      <c r="N767" s="1482"/>
      <c r="O767" s="656" t="s">
        <v>498</v>
      </c>
      <c r="P767" s="656" t="s">
        <v>13052</v>
      </c>
      <c r="Q767" s="656">
        <v>44216.784942129627</v>
      </c>
    </row>
    <row r="768" spans="1:17">
      <c r="A768" s="656" t="s">
        <v>9573</v>
      </c>
      <c r="B768" s="657" t="s">
        <v>531</v>
      </c>
      <c r="C768" s="656" t="s">
        <v>9572</v>
      </c>
      <c r="D768" s="657" t="s">
        <v>14978</v>
      </c>
      <c r="E768" s="657" t="s">
        <v>7437</v>
      </c>
      <c r="F768" s="656" t="s">
        <v>442</v>
      </c>
      <c r="G768" s="656" t="s">
        <v>561</v>
      </c>
      <c r="H768" s="656" t="s">
        <v>442</v>
      </c>
      <c r="I768" s="656" t="s">
        <v>14976</v>
      </c>
      <c r="J768" s="656" t="s">
        <v>12369</v>
      </c>
      <c r="K768" s="656" t="s">
        <v>1058</v>
      </c>
      <c r="L768" s="656" t="s">
        <v>9577</v>
      </c>
      <c r="M768" s="657"/>
      <c r="N768" s="1482"/>
      <c r="O768" s="656" t="s">
        <v>498</v>
      </c>
      <c r="P768" s="656" t="s">
        <v>13052</v>
      </c>
      <c r="Q768" s="656">
        <v>44216.784930555557</v>
      </c>
    </row>
    <row r="769" spans="1:17">
      <c r="A769" s="656" t="s">
        <v>9575</v>
      </c>
      <c r="B769" s="657" t="s">
        <v>531</v>
      </c>
      <c r="C769" s="656" t="s">
        <v>9574</v>
      </c>
      <c r="D769" s="657" t="s">
        <v>14978</v>
      </c>
      <c r="E769" s="657" t="s">
        <v>7437</v>
      </c>
      <c r="F769" s="656" t="s">
        <v>442</v>
      </c>
      <c r="G769" s="656" t="s">
        <v>561</v>
      </c>
      <c r="H769" s="656" t="s">
        <v>442</v>
      </c>
      <c r="I769" s="656" t="s">
        <v>14976</v>
      </c>
      <c r="J769" s="656" t="s">
        <v>12369</v>
      </c>
      <c r="K769" s="656" t="s">
        <v>1058</v>
      </c>
      <c r="L769" s="656" t="s">
        <v>9577</v>
      </c>
      <c r="M769" s="657"/>
      <c r="N769" s="1482"/>
      <c r="O769" s="656" t="s">
        <v>498</v>
      </c>
      <c r="P769" s="656" t="s">
        <v>13052</v>
      </c>
      <c r="Q769" s="656">
        <v>44216.784918981481</v>
      </c>
    </row>
    <row r="770" spans="1:17">
      <c r="A770" s="656" t="s">
        <v>9577</v>
      </c>
      <c r="B770" s="657" t="s">
        <v>531</v>
      </c>
      <c r="C770" s="656" t="s">
        <v>9576</v>
      </c>
      <c r="D770" s="657" t="s">
        <v>14977</v>
      </c>
      <c r="E770" s="657" t="s">
        <v>7437</v>
      </c>
      <c r="F770" s="656" t="s">
        <v>442</v>
      </c>
      <c r="G770" s="656" t="s">
        <v>552</v>
      </c>
      <c r="H770" s="656" t="s">
        <v>442</v>
      </c>
      <c r="I770" s="656" t="s">
        <v>14976</v>
      </c>
      <c r="J770" s="656" t="s">
        <v>12369</v>
      </c>
      <c r="K770" s="656" t="s">
        <v>477</v>
      </c>
      <c r="L770" s="656"/>
      <c r="M770" s="657"/>
      <c r="N770" s="1482"/>
      <c r="O770" s="656" t="s">
        <v>498</v>
      </c>
      <c r="P770" s="656" t="s">
        <v>13052</v>
      </c>
      <c r="Q770" s="656">
        <v>44216.784699074073</v>
      </c>
    </row>
    <row r="771" spans="1:17">
      <c r="A771" s="656" t="s">
        <v>12686</v>
      </c>
      <c r="B771" s="657" t="s">
        <v>531</v>
      </c>
      <c r="C771" s="656" t="s">
        <v>4734</v>
      </c>
      <c r="D771" s="657" t="s">
        <v>14977</v>
      </c>
      <c r="E771" s="657"/>
      <c r="F771" s="656" t="s">
        <v>442</v>
      </c>
      <c r="G771" s="656" t="s">
        <v>552</v>
      </c>
      <c r="H771" s="656" t="s">
        <v>442</v>
      </c>
      <c r="I771" s="656" t="s">
        <v>14976</v>
      </c>
      <c r="J771" s="656" t="s">
        <v>12369</v>
      </c>
      <c r="K771" s="656" t="s">
        <v>477</v>
      </c>
      <c r="L771" s="656"/>
      <c r="M771" s="657"/>
      <c r="N771" s="1482"/>
      <c r="O771" s="656" t="s">
        <v>498</v>
      </c>
      <c r="P771" s="656" t="s">
        <v>13052</v>
      </c>
      <c r="Q771" s="656">
        <v>44216.784675925926</v>
      </c>
    </row>
    <row r="772" spans="1:17">
      <c r="A772" s="656" t="s">
        <v>9048</v>
      </c>
      <c r="B772" s="657" t="s">
        <v>531</v>
      </c>
      <c r="C772" s="656" t="s">
        <v>9047</v>
      </c>
      <c r="D772" s="657" t="s">
        <v>14977</v>
      </c>
      <c r="E772" s="657" t="s">
        <v>7437</v>
      </c>
      <c r="F772" s="656" t="s">
        <v>442</v>
      </c>
      <c r="G772" s="656" t="s">
        <v>552</v>
      </c>
      <c r="H772" s="656" t="s">
        <v>442</v>
      </c>
      <c r="I772" s="656" t="s">
        <v>14976</v>
      </c>
      <c r="J772" s="656" t="s">
        <v>12369</v>
      </c>
      <c r="K772" s="656" t="s">
        <v>477</v>
      </c>
      <c r="L772" s="656"/>
      <c r="M772" s="657"/>
      <c r="N772" s="1482"/>
      <c r="O772" s="656" t="s">
        <v>498</v>
      </c>
      <c r="P772" s="656" t="s">
        <v>13052</v>
      </c>
      <c r="Q772" s="656">
        <v>44216.78466435185</v>
      </c>
    </row>
    <row r="773" spans="1:17">
      <c r="A773" s="656" t="s">
        <v>9050</v>
      </c>
      <c r="B773" s="657" t="s">
        <v>531</v>
      </c>
      <c r="C773" s="656" t="s">
        <v>9049</v>
      </c>
      <c r="D773" s="657" t="s">
        <v>14977</v>
      </c>
      <c r="E773" s="657" t="s">
        <v>7437</v>
      </c>
      <c r="F773" s="656" t="s">
        <v>442</v>
      </c>
      <c r="G773" s="656" t="s">
        <v>552</v>
      </c>
      <c r="H773" s="656" t="s">
        <v>442</v>
      </c>
      <c r="I773" s="656" t="s">
        <v>14976</v>
      </c>
      <c r="J773" s="656" t="s">
        <v>12369</v>
      </c>
      <c r="K773" s="656" t="s">
        <v>477</v>
      </c>
      <c r="L773" s="656"/>
      <c r="M773" s="657"/>
      <c r="N773" s="1482"/>
      <c r="O773" s="656" t="s">
        <v>498</v>
      </c>
      <c r="P773" s="656" t="s">
        <v>13052</v>
      </c>
      <c r="Q773" s="656">
        <v>44216.78465277778</v>
      </c>
    </row>
    <row r="774" spans="1:17">
      <c r="A774" s="656" t="s">
        <v>9042</v>
      </c>
      <c r="B774" s="657" t="s">
        <v>202</v>
      </c>
      <c r="C774" s="656" t="s">
        <v>9041</v>
      </c>
      <c r="D774" s="657" t="s">
        <v>13789</v>
      </c>
      <c r="E774" s="657" t="s">
        <v>9406</v>
      </c>
      <c r="F774" s="656" t="s">
        <v>1206</v>
      </c>
      <c r="G774" s="656" t="s">
        <v>519</v>
      </c>
      <c r="H774" s="656" t="s">
        <v>1206</v>
      </c>
      <c r="I774" s="656" t="s">
        <v>14976</v>
      </c>
      <c r="J774" s="656" t="s">
        <v>532</v>
      </c>
      <c r="K774" s="656" t="s">
        <v>1058</v>
      </c>
      <c r="L774" s="656"/>
      <c r="M774" s="657"/>
      <c r="N774" s="1482"/>
      <c r="O774" s="656" t="s">
        <v>498</v>
      </c>
      <c r="P774" s="656" t="s">
        <v>13052</v>
      </c>
      <c r="Q774" s="656">
        <v>44216.78465277778</v>
      </c>
    </row>
    <row r="775" spans="1:17">
      <c r="A775" s="656" t="s">
        <v>9043</v>
      </c>
      <c r="B775" s="657" t="s">
        <v>202</v>
      </c>
      <c r="C775" s="656" t="s">
        <v>9578</v>
      </c>
      <c r="D775" s="657" t="s">
        <v>14977</v>
      </c>
      <c r="E775" s="657" t="s">
        <v>9406</v>
      </c>
      <c r="F775" s="656" t="s">
        <v>472</v>
      </c>
      <c r="G775" s="656" t="s">
        <v>519</v>
      </c>
      <c r="H775" s="656" t="s">
        <v>472</v>
      </c>
      <c r="I775" s="656" t="s">
        <v>14976</v>
      </c>
      <c r="J775" s="656" t="s">
        <v>12368</v>
      </c>
      <c r="K775" s="656" t="s">
        <v>1058</v>
      </c>
      <c r="L775" s="656"/>
      <c r="M775" s="657"/>
      <c r="N775" s="1482"/>
      <c r="O775" s="656" t="s">
        <v>498</v>
      </c>
      <c r="P775" s="656" t="s">
        <v>13052</v>
      </c>
      <c r="Q775" s="656">
        <v>44216.78465277778</v>
      </c>
    </row>
    <row r="776" spans="1:17">
      <c r="A776" s="656" t="s">
        <v>9225</v>
      </c>
      <c r="B776" s="657" t="s">
        <v>202</v>
      </c>
      <c r="C776" s="656" t="s">
        <v>14009</v>
      </c>
      <c r="D776" s="657" t="s">
        <v>14978</v>
      </c>
      <c r="E776" s="657" t="s">
        <v>7437</v>
      </c>
      <c r="F776" s="656" t="s">
        <v>445</v>
      </c>
      <c r="G776" s="656" t="s">
        <v>552</v>
      </c>
      <c r="H776" s="656" t="s">
        <v>445</v>
      </c>
      <c r="I776" s="656" t="s">
        <v>14976</v>
      </c>
      <c r="J776" s="656" t="s">
        <v>8814</v>
      </c>
      <c r="K776" s="656" t="s">
        <v>445</v>
      </c>
      <c r="L776" s="656" t="s">
        <v>9030</v>
      </c>
      <c r="M776" s="657"/>
      <c r="N776" s="1482"/>
      <c r="O776" s="656" t="s">
        <v>498</v>
      </c>
      <c r="P776" s="656" t="s">
        <v>13052</v>
      </c>
      <c r="Q776" s="656">
        <v>44216.784641203703</v>
      </c>
    </row>
    <row r="777" spans="1:17">
      <c r="A777" s="656" t="s">
        <v>14008</v>
      </c>
      <c r="B777" s="657" t="s">
        <v>202</v>
      </c>
      <c r="C777" s="656" t="s">
        <v>2121</v>
      </c>
      <c r="D777" s="657" t="s">
        <v>14978</v>
      </c>
      <c r="E777" s="657"/>
      <c r="F777" s="656" t="s">
        <v>445</v>
      </c>
      <c r="G777" s="656" t="s">
        <v>552</v>
      </c>
      <c r="H777" s="656" t="s">
        <v>445</v>
      </c>
      <c r="I777" s="656" t="s">
        <v>14976</v>
      </c>
      <c r="J777" s="656" t="s">
        <v>8814</v>
      </c>
      <c r="K777" s="656" t="s">
        <v>445</v>
      </c>
      <c r="L777" s="656"/>
      <c r="M777" s="657"/>
      <c r="N777" s="1482"/>
      <c r="O777" s="656" t="s">
        <v>498</v>
      </c>
      <c r="P777" s="656" t="s">
        <v>13052</v>
      </c>
      <c r="Q777" s="656">
        <v>44216.784641203703</v>
      </c>
    </row>
    <row r="778" spans="1:17">
      <c r="A778" s="656" t="s">
        <v>9030</v>
      </c>
      <c r="B778" s="657" t="s">
        <v>202</v>
      </c>
      <c r="C778" s="656" t="s">
        <v>14007</v>
      </c>
      <c r="D778" s="657" t="s">
        <v>14977</v>
      </c>
      <c r="E778" s="657" t="s">
        <v>7437</v>
      </c>
      <c r="F778" s="656" t="s">
        <v>445</v>
      </c>
      <c r="G778" s="656" t="s">
        <v>552</v>
      </c>
      <c r="H778" s="656" t="s">
        <v>445</v>
      </c>
      <c r="I778" s="656" t="s">
        <v>14976</v>
      </c>
      <c r="J778" s="656" t="s">
        <v>8814</v>
      </c>
      <c r="K778" s="656" t="s">
        <v>445</v>
      </c>
      <c r="L778" s="656" t="s">
        <v>9030</v>
      </c>
      <c r="M778" s="657"/>
      <c r="N778" s="1482"/>
      <c r="O778" s="656" t="s">
        <v>498</v>
      </c>
      <c r="P778" s="656" t="s">
        <v>13052</v>
      </c>
      <c r="Q778" s="656">
        <v>44216.784629629627</v>
      </c>
    </row>
    <row r="779" spans="1:17">
      <c r="A779" s="656" t="s">
        <v>9032</v>
      </c>
      <c r="B779" s="657" t="s">
        <v>202</v>
      </c>
      <c r="C779" s="656" t="s">
        <v>9031</v>
      </c>
      <c r="D779" s="657" t="s">
        <v>14977</v>
      </c>
      <c r="E779" s="657" t="s">
        <v>7437</v>
      </c>
      <c r="F779" s="656" t="s">
        <v>462</v>
      </c>
      <c r="G779" s="656" t="s">
        <v>552</v>
      </c>
      <c r="H779" s="656" t="s">
        <v>462</v>
      </c>
      <c r="I779" s="656" t="s">
        <v>14976</v>
      </c>
      <c r="J779" s="656" t="s">
        <v>463</v>
      </c>
      <c r="K779" s="656" t="s">
        <v>477</v>
      </c>
      <c r="L779" s="656" t="s">
        <v>9032</v>
      </c>
      <c r="M779" s="657"/>
      <c r="N779" s="1482"/>
      <c r="O779" s="656" t="s">
        <v>498</v>
      </c>
      <c r="P779" s="656" t="s">
        <v>13052</v>
      </c>
      <c r="Q779" s="656">
        <v>44216.784629629627</v>
      </c>
    </row>
    <row r="780" spans="1:17">
      <c r="A780" s="656" t="s">
        <v>15602</v>
      </c>
      <c r="B780" s="657" t="s">
        <v>202</v>
      </c>
      <c r="C780" s="656" t="s">
        <v>15603</v>
      </c>
      <c r="D780" s="657" t="s">
        <v>14978</v>
      </c>
      <c r="E780" s="657" t="s">
        <v>7435</v>
      </c>
      <c r="F780" s="656" t="s">
        <v>462</v>
      </c>
      <c r="G780" s="656"/>
      <c r="H780" s="656" t="s">
        <v>462</v>
      </c>
      <c r="I780" s="656"/>
      <c r="J780" s="656" t="s">
        <v>463</v>
      </c>
      <c r="K780" s="656"/>
      <c r="L780" s="656" t="s">
        <v>9034</v>
      </c>
      <c r="M780" s="657" t="s">
        <v>15533</v>
      </c>
      <c r="N780" s="1482">
        <v>52</v>
      </c>
      <c r="O780" s="656" t="s">
        <v>498</v>
      </c>
      <c r="P780" s="656" t="s">
        <v>13052</v>
      </c>
      <c r="Q780" s="656">
        <v>44239.663576388892</v>
      </c>
    </row>
    <row r="781" spans="1:17">
      <c r="A781" s="656" t="s">
        <v>15527</v>
      </c>
      <c r="B781" s="657" t="s">
        <v>202</v>
      </c>
      <c r="C781" s="656" t="s">
        <v>15528</v>
      </c>
      <c r="D781" s="657" t="s">
        <v>15491</v>
      </c>
      <c r="E781" s="657" t="s">
        <v>7435</v>
      </c>
      <c r="F781" s="656" t="s">
        <v>462</v>
      </c>
      <c r="G781" s="656" t="s">
        <v>552</v>
      </c>
      <c r="H781" s="656" t="s">
        <v>462</v>
      </c>
      <c r="I781" s="656"/>
      <c r="J781" s="656" t="s">
        <v>463</v>
      </c>
      <c r="K781" s="656"/>
      <c r="L781" s="656" t="s">
        <v>9034</v>
      </c>
      <c r="M781" s="657" t="s">
        <v>15517</v>
      </c>
      <c r="N781" s="1482"/>
      <c r="O781" s="656" t="s">
        <v>498</v>
      </c>
      <c r="P781" s="656" t="s">
        <v>13052</v>
      </c>
      <c r="Q781" s="656">
        <v>44228.680763888886</v>
      </c>
    </row>
    <row r="782" spans="1:17">
      <c r="A782" s="656" t="s">
        <v>12454</v>
      </c>
      <c r="B782" s="657" t="s">
        <v>202</v>
      </c>
      <c r="C782" s="656" t="s">
        <v>12450</v>
      </c>
      <c r="D782" s="657" t="s">
        <v>14978</v>
      </c>
      <c r="E782" s="657" t="s">
        <v>7437</v>
      </c>
      <c r="F782" s="656" t="s">
        <v>462</v>
      </c>
      <c r="G782" s="656" t="s">
        <v>512</v>
      </c>
      <c r="H782" s="656" t="s">
        <v>462</v>
      </c>
      <c r="I782" s="656" t="s">
        <v>14976</v>
      </c>
      <c r="J782" s="656" t="s">
        <v>463</v>
      </c>
      <c r="K782" s="656" t="s">
        <v>1924</v>
      </c>
      <c r="L782" s="656" t="s">
        <v>9034</v>
      </c>
      <c r="M782" s="657"/>
      <c r="N782" s="1482"/>
      <c r="O782" s="656" t="s">
        <v>498</v>
      </c>
      <c r="P782" s="656" t="s">
        <v>13052</v>
      </c>
      <c r="Q782" s="656">
        <v>44216.784629629627</v>
      </c>
    </row>
    <row r="783" spans="1:17">
      <c r="A783" s="656" t="s">
        <v>9580</v>
      </c>
      <c r="B783" s="657" t="s">
        <v>202</v>
      </c>
      <c r="C783" s="656" t="s">
        <v>9579</v>
      </c>
      <c r="D783" s="657" t="s">
        <v>14978</v>
      </c>
      <c r="E783" s="657" t="s">
        <v>9406</v>
      </c>
      <c r="F783" s="656" t="s">
        <v>462</v>
      </c>
      <c r="G783" s="656" t="s">
        <v>512</v>
      </c>
      <c r="H783" s="656" t="s">
        <v>462</v>
      </c>
      <c r="I783" s="656" t="s">
        <v>14976</v>
      </c>
      <c r="J783" s="656" t="s">
        <v>463</v>
      </c>
      <c r="K783" s="656" t="s">
        <v>1924</v>
      </c>
      <c r="L783" s="656" t="s">
        <v>9034</v>
      </c>
      <c r="M783" s="657"/>
      <c r="N783" s="1482"/>
      <c r="O783" s="656" t="s">
        <v>498</v>
      </c>
      <c r="P783" s="656" t="s">
        <v>13052</v>
      </c>
      <c r="Q783" s="656">
        <v>44216.784618055557</v>
      </c>
    </row>
    <row r="784" spans="1:17">
      <c r="A784" s="656" t="s">
        <v>9034</v>
      </c>
      <c r="B784" s="657" t="s">
        <v>202</v>
      </c>
      <c r="C784" s="656" t="s">
        <v>9033</v>
      </c>
      <c r="D784" s="657" t="s">
        <v>14977</v>
      </c>
      <c r="E784" s="657" t="s">
        <v>7437</v>
      </c>
      <c r="F784" s="656" t="s">
        <v>462</v>
      </c>
      <c r="G784" s="656" t="s">
        <v>512</v>
      </c>
      <c r="H784" s="656" t="s">
        <v>462</v>
      </c>
      <c r="I784" s="656" t="s">
        <v>14976</v>
      </c>
      <c r="J784" s="656" t="s">
        <v>463</v>
      </c>
      <c r="K784" s="656" t="s">
        <v>1924</v>
      </c>
      <c r="L784" s="656" t="s">
        <v>9034</v>
      </c>
      <c r="M784" s="657"/>
      <c r="N784" s="1482"/>
      <c r="O784" s="656" t="s">
        <v>498</v>
      </c>
      <c r="P784" s="656" t="s">
        <v>13052</v>
      </c>
      <c r="Q784" s="656">
        <v>44216.784618055557</v>
      </c>
    </row>
    <row r="785" spans="1:17">
      <c r="A785" s="656" t="s">
        <v>12842</v>
      </c>
      <c r="B785" s="657" t="s">
        <v>202</v>
      </c>
      <c r="C785" s="656" t="s">
        <v>12841</v>
      </c>
      <c r="D785" s="657" t="s">
        <v>14978</v>
      </c>
      <c r="E785" s="657" t="s">
        <v>7437</v>
      </c>
      <c r="F785" s="656" t="s">
        <v>462</v>
      </c>
      <c r="G785" s="656" t="s">
        <v>512</v>
      </c>
      <c r="H785" s="656" t="s">
        <v>462</v>
      </c>
      <c r="I785" s="656" t="s">
        <v>14976</v>
      </c>
      <c r="J785" s="656" t="s">
        <v>463</v>
      </c>
      <c r="K785" s="656" t="s">
        <v>1924</v>
      </c>
      <c r="L785" s="656" t="s">
        <v>9036</v>
      </c>
      <c r="M785" s="657"/>
      <c r="N785" s="1482"/>
      <c r="O785" s="656" t="s">
        <v>498</v>
      </c>
      <c r="P785" s="656" t="s">
        <v>13052</v>
      </c>
      <c r="Q785" s="656">
        <v>44216.78460648148</v>
      </c>
    </row>
    <row r="786" spans="1:17">
      <c r="A786" s="656" t="s">
        <v>9582</v>
      </c>
      <c r="B786" s="657" t="s">
        <v>202</v>
      </c>
      <c r="C786" s="656" t="s">
        <v>9581</v>
      </c>
      <c r="D786" s="657" t="s">
        <v>14978</v>
      </c>
      <c r="E786" s="657" t="s">
        <v>7437</v>
      </c>
      <c r="F786" s="656" t="s">
        <v>462</v>
      </c>
      <c r="G786" s="656" t="s">
        <v>512</v>
      </c>
      <c r="H786" s="656" t="s">
        <v>462</v>
      </c>
      <c r="I786" s="656" t="s">
        <v>14976</v>
      </c>
      <c r="J786" s="656" t="s">
        <v>463</v>
      </c>
      <c r="K786" s="656" t="s">
        <v>1924</v>
      </c>
      <c r="L786" s="656" t="s">
        <v>9036</v>
      </c>
      <c r="M786" s="657"/>
      <c r="N786" s="1482"/>
      <c r="O786" s="656" t="s">
        <v>498</v>
      </c>
      <c r="P786" s="656" t="s">
        <v>13052</v>
      </c>
      <c r="Q786" s="656">
        <v>44216.784594907411</v>
      </c>
    </row>
    <row r="787" spans="1:17">
      <c r="A787" s="656" t="s">
        <v>9036</v>
      </c>
      <c r="B787" s="657" t="s">
        <v>202</v>
      </c>
      <c r="C787" s="656" t="s">
        <v>9035</v>
      </c>
      <c r="D787" s="657" t="s">
        <v>14977</v>
      </c>
      <c r="E787" s="657" t="s">
        <v>7437</v>
      </c>
      <c r="F787" s="656" t="s">
        <v>462</v>
      </c>
      <c r="G787" s="656" t="s">
        <v>512</v>
      </c>
      <c r="H787" s="656" t="s">
        <v>462</v>
      </c>
      <c r="I787" s="656" t="s">
        <v>14976</v>
      </c>
      <c r="J787" s="656" t="s">
        <v>463</v>
      </c>
      <c r="K787" s="656" t="s">
        <v>1924</v>
      </c>
      <c r="L787" s="656" t="s">
        <v>9036</v>
      </c>
      <c r="M787" s="657"/>
      <c r="N787" s="1482"/>
      <c r="O787" s="656" t="s">
        <v>498</v>
      </c>
      <c r="P787" s="656" t="s">
        <v>13052</v>
      </c>
      <c r="Q787" s="656">
        <v>44216.784594907411</v>
      </c>
    </row>
    <row r="788" spans="1:17">
      <c r="A788" s="656" t="s">
        <v>15600</v>
      </c>
      <c r="B788" s="657" t="s">
        <v>202</v>
      </c>
      <c r="C788" s="656" t="s">
        <v>15601</v>
      </c>
      <c r="D788" s="657" t="s">
        <v>14978</v>
      </c>
      <c r="E788" s="657" t="s">
        <v>7435</v>
      </c>
      <c r="F788" s="656" t="s">
        <v>462</v>
      </c>
      <c r="G788" s="656"/>
      <c r="H788" s="656" t="s">
        <v>462</v>
      </c>
      <c r="I788" s="656"/>
      <c r="J788" s="656" t="s">
        <v>463</v>
      </c>
      <c r="K788" s="656"/>
      <c r="L788" s="656" t="s">
        <v>9037</v>
      </c>
      <c r="M788" s="657" t="s">
        <v>15517</v>
      </c>
      <c r="N788" s="1482">
        <v>51</v>
      </c>
      <c r="O788" s="656" t="s">
        <v>498</v>
      </c>
      <c r="P788" s="656" t="s">
        <v>13052</v>
      </c>
      <c r="Q788" s="656">
        <v>44239.662928240738</v>
      </c>
    </row>
    <row r="789" spans="1:17">
      <c r="A789" s="656" t="s">
        <v>15598</v>
      </c>
      <c r="B789" s="657" t="s">
        <v>202</v>
      </c>
      <c r="C789" s="656" t="s">
        <v>15599</v>
      </c>
      <c r="D789" s="657" t="s">
        <v>14978</v>
      </c>
      <c r="E789" s="657" t="s">
        <v>7435</v>
      </c>
      <c r="F789" s="656" t="s">
        <v>462</v>
      </c>
      <c r="G789" s="656"/>
      <c r="H789" s="656" t="s">
        <v>462</v>
      </c>
      <c r="I789" s="656"/>
      <c r="J789" s="656" t="s">
        <v>463</v>
      </c>
      <c r="K789" s="656"/>
      <c r="L789" s="656" t="s">
        <v>9037</v>
      </c>
      <c r="M789" s="657" t="s">
        <v>15533</v>
      </c>
      <c r="N789" s="1482">
        <v>49</v>
      </c>
      <c r="O789" s="656" t="s">
        <v>498</v>
      </c>
      <c r="P789" s="656" t="s">
        <v>13052</v>
      </c>
      <c r="Q789" s="656">
        <v>44239.662847222222</v>
      </c>
    </row>
    <row r="790" spans="1:17">
      <c r="A790" s="656" t="s">
        <v>9584</v>
      </c>
      <c r="B790" s="657" t="s">
        <v>202</v>
      </c>
      <c r="C790" s="656" t="s">
        <v>9583</v>
      </c>
      <c r="D790" s="657" t="s">
        <v>14978</v>
      </c>
      <c r="E790" s="657" t="s">
        <v>7437</v>
      </c>
      <c r="F790" s="656" t="s">
        <v>462</v>
      </c>
      <c r="G790" s="656" t="s">
        <v>512</v>
      </c>
      <c r="H790" s="656" t="s">
        <v>462</v>
      </c>
      <c r="I790" s="656" t="s">
        <v>14976</v>
      </c>
      <c r="J790" s="656" t="s">
        <v>463</v>
      </c>
      <c r="K790" s="656" t="s">
        <v>1924</v>
      </c>
      <c r="L790" s="656" t="s">
        <v>9037</v>
      </c>
      <c r="M790" s="657"/>
      <c r="N790" s="1482"/>
      <c r="O790" s="656" t="s">
        <v>498</v>
      </c>
      <c r="P790" s="656" t="s">
        <v>13052</v>
      </c>
      <c r="Q790" s="656">
        <v>44216.784594907411</v>
      </c>
    </row>
    <row r="791" spans="1:17">
      <c r="A791" s="656" t="s">
        <v>9586</v>
      </c>
      <c r="B791" s="657" t="s">
        <v>202</v>
      </c>
      <c r="C791" s="656" t="s">
        <v>9585</v>
      </c>
      <c r="D791" s="657" t="s">
        <v>14978</v>
      </c>
      <c r="E791" s="657" t="s">
        <v>7437</v>
      </c>
      <c r="F791" s="656" t="s">
        <v>462</v>
      </c>
      <c r="G791" s="656" t="s">
        <v>512</v>
      </c>
      <c r="H791" s="656" t="s">
        <v>462</v>
      </c>
      <c r="I791" s="656" t="s">
        <v>14976</v>
      </c>
      <c r="J791" s="656" t="s">
        <v>463</v>
      </c>
      <c r="K791" s="656" t="s">
        <v>1924</v>
      </c>
      <c r="L791" s="656" t="s">
        <v>9037</v>
      </c>
      <c r="M791" s="657"/>
      <c r="N791" s="1482"/>
      <c r="O791" s="656" t="s">
        <v>498</v>
      </c>
      <c r="P791" s="656" t="s">
        <v>13052</v>
      </c>
      <c r="Q791" s="656">
        <v>44216.784583333334</v>
      </c>
    </row>
    <row r="792" spans="1:17">
      <c r="A792" s="656" t="s">
        <v>9037</v>
      </c>
      <c r="B792" s="657" t="s">
        <v>202</v>
      </c>
      <c r="C792" s="656" t="s">
        <v>9587</v>
      </c>
      <c r="D792" s="657" t="s">
        <v>14977</v>
      </c>
      <c r="E792" s="657" t="s">
        <v>7437</v>
      </c>
      <c r="F792" s="656" t="s">
        <v>462</v>
      </c>
      <c r="G792" s="656" t="s">
        <v>512</v>
      </c>
      <c r="H792" s="656" t="s">
        <v>462</v>
      </c>
      <c r="I792" s="656" t="s">
        <v>14976</v>
      </c>
      <c r="J792" s="656" t="s">
        <v>463</v>
      </c>
      <c r="K792" s="656" t="s">
        <v>1924</v>
      </c>
      <c r="L792" s="656" t="s">
        <v>9037</v>
      </c>
      <c r="M792" s="657"/>
      <c r="N792" s="1482"/>
      <c r="O792" s="656" t="s">
        <v>498</v>
      </c>
      <c r="P792" s="656" t="s">
        <v>13052</v>
      </c>
      <c r="Q792" s="656">
        <v>44216.784583333334</v>
      </c>
    </row>
    <row r="793" spans="1:17">
      <c r="A793" s="656" t="s">
        <v>8982</v>
      </c>
      <c r="B793" s="657" t="s">
        <v>504</v>
      </c>
      <c r="C793" s="656" t="s">
        <v>14004</v>
      </c>
      <c r="D793" s="657" t="s">
        <v>13789</v>
      </c>
      <c r="E793" s="657" t="s">
        <v>9406</v>
      </c>
      <c r="F793" s="656" t="s">
        <v>540</v>
      </c>
      <c r="G793" s="656" t="s">
        <v>541</v>
      </c>
      <c r="H793" s="656" t="s">
        <v>540</v>
      </c>
      <c r="I793" s="656" t="s">
        <v>14976</v>
      </c>
      <c r="J793" s="656"/>
      <c r="K793" s="656"/>
      <c r="L793" s="656"/>
      <c r="M793" s="657"/>
      <c r="N793" s="1482"/>
      <c r="O793" s="656" t="s">
        <v>498</v>
      </c>
      <c r="P793" s="656" t="s">
        <v>13052</v>
      </c>
      <c r="Q793" s="656">
        <v>44216.784571759257</v>
      </c>
    </row>
    <row r="794" spans="1:17">
      <c r="A794" s="656" t="s">
        <v>8984</v>
      </c>
      <c r="B794" s="657" t="s">
        <v>504</v>
      </c>
      <c r="C794" s="656" t="s">
        <v>8983</v>
      </c>
      <c r="D794" s="657" t="s">
        <v>13789</v>
      </c>
      <c r="E794" s="657" t="s">
        <v>9406</v>
      </c>
      <c r="F794" s="656" t="s">
        <v>505</v>
      </c>
      <c r="G794" s="656" t="s">
        <v>506</v>
      </c>
      <c r="H794" s="656" t="s">
        <v>505</v>
      </c>
      <c r="I794" s="656" t="s">
        <v>14976</v>
      </c>
      <c r="J794" s="656"/>
      <c r="K794" s="656"/>
      <c r="L794" s="656"/>
      <c r="M794" s="657"/>
      <c r="N794" s="1482"/>
      <c r="O794" s="656" t="s">
        <v>498</v>
      </c>
      <c r="P794" s="656" t="s">
        <v>13052</v>
      </c>
      <c r="Q794" s="656">
        <v>44216.784571759257</v>
      </c>
    </row>
    <row r="795" spans="1:17">
      <c r="A795" s="656" t="s">
        <v>8986</v>
      </c>
      <c r="B795" s="657" t="s">
        <v>202</v>
      </c>
      <c r="C795" s="656" t="s">
        <v>8985</v>
      </c>
      <c r="D795" s="657" t="s">
        <v>13789</v>
      </c>
      <c r="E795" s="657" t="s">
        <v>9406</v>
      </c>
      <c r="F795" s="656" t="s">
        <v>472</v>
      </c>
      <c r="G795" s="656" t="s">
        <v>519</v>
      </c>
      <c r="H795" s="656" t="s">
        <v>472</v>
      </c>
      <c r="I795" s="656" t="s">
        <v>14976</v>
      </c>
      <c r="J795" s="656" t="s">
        <v>12368</v>
      </c>
      <c r="K795" s="656" t="s">
        <v>1058</v>
      </c>
      <c r="L795" s="656"/>
      <c r="M795" s="657"/>
      <c r="N795" s="1482"/>
      <c r="O795" s="656" t="s">
        <v>498</v>
      </c>
      <c r="P795" s="656" t="s">
        <v>13052</v>
      </c>
      <c r="Q795" s="656">
        <v>44216.784560185188</v>
      </c>
    </row>
    <row r="796" spans="1:17">
      <c r="A796" s="656" t="s">
        <v>8988</v>
      </c>
      <c r="B796" s="657" t="s">
        <v>202</v>
      </c>
      <c r="C796" s="656" t="s">
        <v>14001</v>
      </c>
      <c r="D796" s="657" t="s">
        <v>14977</v>
      </c>
      <c r="E796" s="657" t="s">
        <v>9406</v>
      </c>
      <c r="F796" s="656" t="s">
        <v>472</v>
      </c>
      <c r="G796" s="656" t="s">
        <v>519</v>
      </c>
      <c r="H796" s="656" t="s">
        <v>472</v>
      </c>
      <c r="I796" s="656" t="s">
        <v>14976</v>
      </c>
      <c r="J796" s="656" t="s">
        <v>12368</v>
      </c>
      <c r="K796" s="656" t="s">
        <v>1058</v>
      </c>
      <c r="L796" s="656"/>
      <c r="M796" s="657"/>
      <c r="N796" s="1482"/>
      <c r="O796" s="656" t="s">
        <v>498</v>
      </c>
      <c r="P796" s="656" t="s">
        <v>13052</v>
      </c>
      <c r="Q796" s="656">
        <v>44216.784560185188</v>
      </c>
    </row>
    <row r="797" spans="1:17">
      <c r="A797" s="656" t="s">
        <v>14000</v>
      </c>
      <c r="B797" s="657" t="s">
        <v>202</v>
      </c>
      <c r="C797" s="656" t="s">
        <v>15049</v>
      </c>
      <c r="D797" s="657" t="s">
        <v>14978</v>
      </c>
      <c r="E797" s="657"/>
      <c r="F797" s="656" t="s">
        <v>462</v>
      </c>
      <c r="G797" s="656" t="s">
        <v>512</v>
      </c>
      <c r="H797" s="656" t="s">
        <v>462</v>
      </c>
      <c r="I797" s="656" t="s">
        <v>14976</v>
      </c>
      <c r="J797" s="656" t="s">
        <v>463</v>
      </c>
      <c r="K797" s="656" t="s">
        <v>1924</v>
      </c>
      <c r="L797" s="656"/>
      <c r="M797" s="657"/>
      <c r="N797" s="1482"/>
      <c r="O797" s="656" t="s">
        <v>498</v>
      </c>
      <c r="P797" s="656" t="s">
        <v>13052</v>
      </c>
      <c r="Q797" s="656">
        <v>44216.784548611111</v>
      </c>
    </row>
    <row r="798" spans="1:17">
      <c r="A798" s="656" t="s">
        <v>13999</v>
      </c>
      <c r="B798" s="657" t="s">
        <v>202</v>
      </c>
      <c r="C798" s="656" t="s">
        <v>15048</v>
      </c>
      <c r="D798" s="657" t="s">
        <v>14978</v>
      </c>
      <c r="E798" s="657"/>
      <c r="F798" s="656" t="s">
        <v>462</v>
      </c>
      <c r="G798" s="656" t="s">
        <v>711</v>
      </c>
      <c r="H798" s="656" t="s">
        <v>462</v>
      </c>
      <c r="I798" s="656" t="s">
        <v>14976</v>
      </c>
      <c r="J798" s="656" t="s">
        <v>463</v>
      </c>
      <c r="K798" s="656" t="s">
        <v>1058</v>
      </c>
      <c r="L798" s="656" t="s">
        <v>8989</v>
      </c>
      <c r="M798" s="657"/>
      <c r="N798" s="1482"/>
      <c r="O798" s="656" t="s">
        <v>498</v>
      </c>
      <c r="P798" s="656" t="s">
        <v>13052</v>
      </c>
      <c r="Q798" s="656">
        <v>44216.784548611111</v>
      </c>
    </row>
    <row r="799" spans="1:17">
      <c r="A799" s="656" t="s">
        <v>13998</v>
      </c>
      <c r="B799" s="657" t="s">
        <v>202</v>
      </c>
      <c r="C799" s="656" t="s">
        <v>15047</v>
      </c>
      <c r="D799" s="657" t="s">
        <v>14978</v>
      </c>
      <c r="E799" s="657"/>
      <c r="F799" s="656" t="s">
        <v>462</v>
      </c>
      <c r="G799" s="656" t="s">
        <v>512</v>
      </c>
      <c r="H799" s="656" t="s">
        <v>462</v>
      </c>
      <c r="I799" s="656" t="s">
        <v>14976</v>
      </c>
      <c r="J799" s="656" t="s">
        <v>463</v>
      </c>
      <c r="K799" s="656" t="s">
        <v>1924</v>
      </c>
      <c r="L799" s="656" t="s">
        <v>8989</v>
      </c>
      <c r="M799" s="657"/>
      <c r="N799" s="1482"/>
      <c r="O799" s="656" t="s">
        <v>498</v>
      </c>
      <c r="P799" s="656" t="s">
        <v>13052</v>
      </c>
      <c r="Q799" s="656">
        <v>44216.784548611111</v>
      </c>
    </row>
    <row r="800" spans="1:17">
      <c r="A800" s="656" t="s">
        <v>13997</v>
      </c>
      <c r="B800" s="657" t="s">
        <v>202</v>
      </c>
      <c r="C800" s="656" t="s">
        <v>15046</v>
      </c>
      <c r="D800" s="657" t="s">
        <v>14978</v>
      </c>
      <c r="E800" s="657"/>
      <c r="F800" s="656" t="s">
        <v>1300</v>
      </c>
      <c r="G800" s="656" t="s">
        <v>1301</v>
      </c>
      <c r="H800" s="656" t="s">
        <v>1300</v>
      </c>
      <c r="I800" s="656" t="s">
        <v>14976</v>
      </c>
      <c r="J800" s="656" t="s">
        <v>463</v>
      </c>
      <c r="K800" s="656"/>
      <c r="L800" s="656" t="s">
        <v>8989</v>
      </c>
      <c r="M800" s="657"/>
      <c r="N800" s="1482"/>
      <c r="O800" s="656" t="s">
        <v>498</v>
      </c>
      <c r="P800" s="656" t="s">
        <v>13052</v>
      </c>
      <c r="Q800" s="656">
        <v>44216.784525462965</v>
      </c>
    </row>
    <row r="801" spans="1:17">
      <c r="A801" s="656" t="s">
        <v>8989</v>
      </c>
      <c r="B801" s="657" t="s">
        <v>202</v>
      </c>
      <c r="C801" s="656" t="s">
        <v>1307</v>
      </c>
      <c r="D801" s="657" t="s">
        <v>13789</v>
      </c>
      <c r="E801" s="657" t="s">
        <v>7437</v>
      </c>
      <c r="F801" s="656" t="s">
        <v>462</v>
      </c>
      <c r="G801" s="656" t="s">
        <v>512</v>
      </c>
      <c r="H801" s="656" t="s">
        <v>462</v>
      </c>
      <c r="I801" s="656" t="s">
        <v>14976</v>
      </c>
      <c r="J801" s="656" t="s">
        <v>463</v>
      </c>
      <c r="K801" s="656" t="s">
        <v>1924</v>
      </c>
      <c r="L801" s="656"/>
      <c r="M801" s="657"/>
      <c r="N801" s="1482"/>
      <c r="O801" s="656" t="s">
        <v>498</v>
      </c>
      <c r="P801" s="656" t="s">
        <v>13052</v>
      </c>
      <c r="Q801" s="656">
        <v>44216.784525462965</v>
      </c>
    </row>
    <row r="802" spans="1:17">
      <c r="A802" s="656" t="s">
        <v>8991</v>
      </c>
      <c r="B802" s="657" t="s">
        <v>504</v>
      </c>
      <c r="C802" s="656" t="s">
        <v>8990</v>
      </c>
      <c r="D802" s="657" t="s">
        <v>13789</v>
      </c>
      <c r="E802" s="657" t="s">
        <v>9406</v>
      </c>
      <c r="F802" s="656" t="s">
        <v>540</v>
      </c>
      <c r="G802" s="656" t="s">
        <v>625</v>
      </c>
      <c r="H802" s="656" t="s">
        <v>540</v>
      </c>
      <c r="I802" s="656" t="s">
        <v>14976</v>
      </c>
      <c r="J802" s="656"/>
      <c r="K802" s="656"/>
      <c r="L802" s="656"/>
      <c r="M802" s="657"/>
      <c r="N802" s="1482"/>
      <c r="O802" s="656" t="s">
        <v>498</v>
      </c>
      <c r="P802" s="656" t="s">
        <v>13052</v>
      </c>
      <c r="Q802" s="656">
        <v>44216.784513888888</v>
      </c>
    </row>
    <row r="803" spans="1:17">
      <c r="A803" s="656" t="s">
        <v>8993</v>
      </c>
      <c r="B803" s="657" t="s">
        <v>504</v>
      </c>
      <c r="C803" s="656" t="s">
        <v>8992</v>
      </c>
      <c r="D803" s="657" t="s">
        <v>14978</v>
      </c>
      <c r="E803" s="657" t="s">
        <v>7437</v>
      </c>
      <c r="F803" s="656" t="s">
        <v>505</v>
      </c>
      <c r="G803" s="656" t="s">
        <v>525</v>
      </c>
      <c r="H803" s="656" t="s">
        <v>505</v>
      </c>
      <c r="I803" s="656"/>
      <c r="J803" s="656"/>
      <c r="K803" s="656"/>
      <c r="L803" s="656" t="s">
        <v>15030</v>
      </c>
      <c r="M803" s="657"/>
      <c r="N803" s="1482"/>
      <c r="O803" s="656" t="s">
        <v>498</v>
      </c>
      <c r="P803" s="656" t="s">
        <v>13052</v>
      </c>
      <c r="Q803" s="656">
        <v>44216.784502314818</v>
      </c>
    </row>
    <row r="804" spans="1:17">
      <c r="A804" s="656" t="s">
        <v>8995</v>
      </c>
      <c r="B804" s="657" t="s">
        <v>504</v>
      </c>
      <c r="C804" s="656" t="s">
        <v>8994</v>
      </c>
      <c r="D804" s="657" t="s">
        <v>13789</v>
      </c>
      <c r="E804" s="657" t="s">
        <v>7437</v>
      </c>
      <c r="F804" s="656" t="s">
        <v>505</v>
      </c>
      <c r="G804" s="656" t="s">
        <v>525</v>
      </c>
      <c r="H804" s="656" t="s">
        <v>505</v>
      </c>
      <c r="I804" s="656"/>
      <c r="J804" s="656"/>
      <c r="K804" s="656"/>
      <c r="L804" s="656" t="s">
        <v>12847</v>
      </c>
      <c r="M804" s="657"/>
      <c r="N804" s="1482"/>
      <c r="O804" s="656" t="s">
        <v>498</v>
      </c>
      <c r="P804" s="656" t="s">
        <v>13052</v>
      </c>
      <c r="Q804" s="656">
        <v>44216.784502314818</v>
      </c>
    </row>
    <row r="805" spans="1:17">
      <c r="A805" s="656" t="s">
        <v>8997</v>
      </c>
      <c r="B805" s="657" t="s">
        <v>504</v>
      </c>
      <c r="C805" s="656" t="s">
        <v>8996</v>
      </c>
      <c r="D805" s="657" t="s">
        <v>13789</v>
      </c>
      <c r="E805" s="657" t="s">
        <v>7437</v>
      </c>
      <c r="F805" s="656" t="s">
        <v>505</v>
      </c>
      <c r="G805" s="656" t="s">
        <v>525</v>
      </c>
      <c r="H805" s="656" t="s">
        <v>505</v>
      </c>
      <c r="I805" s="656"/>
      <c r="J805" s="656"/>
      <c r="K805" s="656"/>
      <c r="L805" s="656" t="s">
        <v>12847</v>
      </c>
      <c r="M805" s="657"/>
      <c r="N805" s="1482"/>
      <c r="O805" s="656" t="s">
        <v>498</v>
      </c>
      <c r="P805" s="656" t="s">
        <v>13052</v>
      </c>
      <c r="Q805" s="656">
        <v>44216.784490740742</v>
      </c>
    </row>
    <row r="806" spans="1:17">
      <c r="A806" s="656" t="s">
        <v>8999</v>
      </c>
      <c r="B806" s="657" t="s">
        <v>504</v>
      </c>
      <c r="C806" s="656" t="s">
        <v>8998</v>
      </c>
      <c r="D806" s="657" t="s">
        <v>13789</v>
      </c>
      <c r="E806" s="657" t="s">
        <v>7437</v>
      </c>
      <c r="F806" s="656" t="s">
        <v>505</v>
      </c>
      <c r="G806" s="656" t="s">
        <v>525</v>
      </c>
      <c r="H806" s="656" t="s">
        <v>505</v>
      </c>
      <c r="I806" s="656"/>
      <c r="J806" s="656"/>
      <c r="K806" s="656"/>
      <c r="L806" s="656" t="s">
        <v>12847</v>
      </c>
      <c r="M806" s="657"/>
      <c r="N806" s="1482"/>
      <c r="O806" s="656" t="s">
        <v>498</v>
      </c>
      <c r="P806" s="656" t="s">
        <v>13052</v>
      </c>
      <c r="Q806" s="656">
        <v>44216.784490740742</v>
      </c>
    </row>
    <row r="807" spans="1:17">
      <c r="A807" s="656" t="s">
        <v>9588</v>
      </c>
      <c r="B807" s="657" t="s">
        <v>202</v>
      </c>
      <c r="C807" s="656" t="s">
        <v>2121</v>
      </c>
      <c r="D807" s="657" t="s">
        <v>14978</v>
      </c>
      <c r="E807" s="657" t="s">
        <v>7435</v>
      </c>
      <c r="F807" s="656" t="s">
        <v>445</v>
      </c>
      <c r="G807" s="656" t="s">
        <v>552</v>
      </c>
      <c r="H807" s="656" t="s">
        <v>445</v>
      </c>
      <c r="I807" s="656" t="s">
        <v>14976</v>
      </c>
      <c r="J807" s="656" t="s">
        <v>446</v>
      </c>
      <c r="K807" s="656" t="s">
        <v>445</v>
      </c>
      <c r="L807" s="656" t="s">
        <v>9003</v>
      </c>
      <c r="M807" s="657"/>
      <c r="N807" s="1482"/>
      <c r="O807" s="656" t="s">
        <v>498</v>
      </c>
      <c r="P807" s="656" t="s">
        <v>13052</v>
      </c>
      <c r="Q807" s="656">
        <v>44216.784479166665</v>
      </c>
    </row>
    <row r="808" spans="1:17">
      <c r="A808" s="656" t="s">
        <v>9227</v>
      </c>
      <c r="B808" s="657" t="s">
        <v>202</v>
      </c>
      <c r="C808" s="656" t="s">
        <v>9226</v>
      </c>
      <c r="D808" s="657" t="s">
        <v>14978</v>
      </c>
      <c r="E808" s="657" t="s">
        <v>7437</v>
      </c>
      <c r="F808" s="656" t="s">
        <v>445</v>
      </c>
      <c r="G808" s="656" t="s">
        <v>552</v>
      </c>
      <c r="H808" s="656" t="s">
        <v>445</v>
      </c>
      <c r="I808" s="656" t="s">
        <v>14976</v>
      </c>
      <c r="J808" s="656" t="s">
        <v>8814</v>
      </c>
      <c r="K808" s="656" t="s">
        <v>445</v>
      </c>
      <c r="L808" s="656" t="s">
        <v>9003</v>
      </c>
      <c r="M808" s="657"/>
      <c r="N808" s="1482"/>
      <c r="O808" s="656" t="s">
        <v>498</v>
      </c>
      <c r="P808" s="656" t="s">
        <v>13052</v>
      </c>
      <c r="Q808" s="656">
        <v>44216.784479166665</v>
      </c>
    </row>
    <row r="809" spans="1:17">
      <c r="A809" s="656" t="s">
        <v>9229</v>
      </c>
      <c r="B809" s="657" t="s">
        <v>202</v>
      </c>
      <c r="C809" s="656" t="s">
        <v>9228</v>
      </c>
      <c r="D809" s="657" t="s">
        <v>14978</v>
      </c>
      <c r="E809" s="657" t="s">
        <v>7437</v>
      </c>
      <c r="F809" s="656" t="s">
        <v>445</v>
      </c>
      <c r="G809" s="656" t="s">
        <v>552</v>
      </c>
      <c r="H809" s="656" t="s">
        <v>445</v>
      </c>
      <c r="I809" s="656" t="s">
        <v>14976</v>
      </c>
      <c r="J809" s="656" t="s">
        <v>8814</v>
      </c>
      <c r="K809" s="656" t="s">
        <v>445</v>
      </c>
      <c r="L809" s="656" t="s">
        <v>9003</v>
      </c>
      <c r="M809" s="657"/>
      <c r="N809" s="1482"/>
      <c r="O809" s="656" t="s">
        <v>498</v>
      </c>
      <c r="P809" s="656" t="s">
        <v>13052</v>
      </c>
      <c r="Q809" s="656">
        <v>44216.784467592595</v>
      </c>
    </row>
    <row r="810" spans="1:17">
      <c r="A810" s="656" t="s">
        <v>9231</v>
      </c>
      <c r="B810" s="657" t="s">
        <v>202</v>
      </c>
      <c r="C810" s="656" t="s">
        <v>9230</v>
      </c>
      <c r="D810" s="657" t="s">
        <v>14978</v>
      </c>
      <c r="E810" s="657" t="s">
        <v>7437</v>
      </c>
      <c r="F810" s="656" t="s">
        <v>445</v>
      </c>
      <c r="G810" s="656" t="s">
        <v>552</v>
      </c>
      <c r="H810" s="656" t="s">
        <v>445</v>
      </c>
      <c r="I810" s="656" t="s">
        <v>14976</v>
      </c>
      <c r="J810" s="656" t="s">
        <v>8814</v>
      </c>
      <c r="K810" s="656" t="s">
        <v>445</v>
      </c>
      <c r="L810" s="656" t="s">
        <v>9003</v>
      </c>
      <c r="M810" s="657"/>
      <c r="N810" s="1482"/>
      <c r="O810" s="656" t="s">
        <v>498</v>
      </c>
      <c r="P810" s="656" t="s">
        <v>13052</v>
      </c>
      <c r="Q810" s="656">
        <v>44216.784467592595</v>
      </c>
    </row>
    <row r="811" spans="1:17">
      <c r="A811" s="656" t="s">
        <v>9232</v>
      </c>
      <c r="B811" s="657" t="s">
        <v>202</v>
      </c>
      <c r="C811" s="656" t="s">
        <v>15045</v>
      </c>
      <c r="D811" s="657" t="s">
        <v>14978</v>
      </c>
      <c r="E811" s="657" t="s">
        <v>15044</v>
      </c>
      <c r="F811" s="656" t="s">
        <v>445</v>
      </c>
      <c r="G811" s="656" t="s">
        <v>552</v>
      </c>
      <c r="H811" s="656" t="s">
        <v>445</v>
      </c>
      <c r="I811" s="656" t="s">
        <v>14976</v>
      </c>
      <c r="J811" s="656" t="s">
        <v>8814</v>
      </c>
      <c r="K811" s="656" t="s">
        <v>445</v>
      </c>
      <c r="L811" s="656" t="s">
        <v>9231</v>
      </c>
      <c r="M811" s="657"/>
      <c r="N811" s="1482"/>
      <c r="O811" s="656" t="s">
        <v>498</v>
      </c>
      <c r="P811" s="656" t="s">
        <v>13052</v>
      </c>
      <c r="Q811" s="656">
        <v>44216.784456018519</v>
      </c>
    </row>
    <row r="812" spans="1:17">
      <c r="A812" s="656" t="s">
        <v>9234</v>
      </c>
      <c r="B812" s="657" t="s">
        <v>202</v>
      </c>
      <c r="C812" s="656" t="s">
        <v>9233</v>
      </c>
      <c r="D812" s="657" t="s">
        <v>14978</v>
      </c>
      <c r="E812" s="657" t="s">
        <v>15044</v>
      </c>
      <c r="F812" s="656" t="s">
        <v>445</v>
      </c>
      <c r="G812" s="656" t="s">
        <v>552</v>
      </c>
      <c r="H812" s="656" t="s">
        <v>445</v>
      </c>
      <c r="I812" s="656" t="s">
        <v>14976</v>
      </c>
      <c r="J812" s="656" t="s">
        <v>8814</v>
      </c>
      <c r="K812" s="656" t="s">
        <v>445</v>
      </c>
      <c r="L812" s="656" t="s">
        <v>9003</v>
      </c>
      <c r="M812" s="657"/>
      <c r="N812" s="1482"/>
      <c r="O812" s="656" t="s">
        <v>498</v>
      </c>
      <c r="P812" s="656" t="s">
        <v>13052</v>
      </c>
      <c r="Q812" s="656">
        <v>44216.784456018519</v>
      </c>
    </row>
    <row r="813" spans="1:17">
      <c r="A813" s="656" t="s">
        <v>9000</v>
      </c>
      <c r="B813" s="657" t="s">
        <v>202</v>
      </c>
      <c r="C813" s="656" t="s">
        <v>9235</v>
      </c>
      <c r="D813" s="657" t="s">
        <v>14978</v>
      </c>
      <c r="E813" s="657" t="s">
        <v>15043</v>
      </c>
      <c r="F813" s="656" t="s">
        <v>445</v>
      </c>
      <c r="G813" s="656" t="s">
        <v>552</v>
      </c>
      <c r="H813" s="656" t="s">
        <v>445</v>
      </c>
      <c r="I813" s="656" t="s">
        <v>14976</v>
      </c>
      <c r="J813" s="656" t="s">
        <v>8814</v>
      </c>
      <c r="K813" s="656" t="s">
        <v>445</v>
      </c>
      <c r="L813" s="656" t="s">
        <v>9003</v>
      </c>
      <c r="M813" s="657"/>
      <c r="N813" s="1482"/>
      <c r="O813" s="656" t="s">
        <v>498</v>
      </c>
      <c r="P813" s="656" t="s">
        <v>13052</v>
      </c>
      <c r="Q813" s="656">
        <v>44216.784444444442</v>
      </c>
    </row>
    <row r="814" spans="1:17">
      <c r="A814" s="656" t="s">
        <v>9057</v>
      </c>
      <c r="B814" s="657" t="s">
        <v>202</v>
      </c>
      <c r="C814" s="656" t="s">
        <v>1462</v>
      </c>
      <c r="D814" s="657" t="s">
        <v>14978</v>
      </c>
      <c r="E814" s="657" t="s">
        <v>7437</v>
      </c>
      <c r="F814" s="656" t="s">
        <v>445</v>
      </c>
      <c r="G814" s="656" t="s">
        <v>552</v>
      </c>
      <c r="H814" s="656" t="s">
        <v>445</v>
      </c>
      <c r="I814" s="656" t="s">
        <v>14976</v>
      </c>
      <c r="J814" s="656" t="s">
        <v>8814</v>
      </c>
      <c r="K814" s="656" t="s">
        <v>445</v>
      </c>
      <c r="L814" s="656" t="s">
        <v>9003</v>
      </c>
      <c r="M814" s="657"/>
      <c r="N814" s="1482"/>
      <c r="O814" s="656" t="s">
        <v>498</v>
      </c>
      <c r="P814" s="656" t="s">
        <v>13052</v>
      </c>
      <c r="Q814" s="656">
        <v>44216.784444444442</v>
      </c>
    </row>
    <row r="815" spans="1:17">
      <c r="A815" s="656" t="s">
        <v>9001</v>
      </c>
      <c r="B815" s="657" t="s">
        <v>202</v>
      </c>
      <c r="C815" s="656" t="s">
        <v>13996</v>
      </c>
      <c r="D815" s="657" t="s">
        <v>14978</v>
      </c>
      <c r="E815" s="657" t="s">
        <v>7437</v>
      </c>
      <c r="F815" s="656" t="s">
        <v>445</v>
      </c>
      <c r="G815" s="656" t="s">
        <v>552</v>
      </c>
      <c r="H815" s="656" t="s">
        <v>445</v>
      </c>
      <c r="I815" s="656" t="s">
        <v>14976</v>
      </c>
      <c r="J815" s="656" t="s">
        <v>8814</v>
      </c>
      <c r="K815" s="656" t="s">
        <v>445</v>
      </c>
      <c r="L815" s="656" t="s">
        <v>9003</v>
      </c>
      <c r="M815" s="657"/>
      <c r="N815" s="1482"/>
      <c r="O815" s="656" t="s">
        <v>498</v>
      </c>
      <c r="P815" s="656" t="s">
        <v>13052</v>
      </c>
      <c r="Q815" s="656">
        <v>44216.784421296295</v>
      </c>
    </row>
    <row r="816" spans="1:17">
      <c r="A816" s="656" t="s">
        <v>9002</v>
      </c>
      <c r="B816" s="657" t="s">
        <v>202</v>
      </c>
      <c r="C816" s="656" t="s">
        <v>8743</v>
      </c>
      <c r="D816" s="657" t="s">
        <v>14978</v>
      </c>
      <c r="E816" s="657" t="s">
        <v>7437</v>
      </c>
      <c r="F816" s="656" t="s">
        <v>445</v>
      </c>
      <c r="G816" s="656" t="s">
        <v>552</v>
      </c>
      <c r="H816" s="656" t="s">
        <v>445</v>
      </c>
      <c r="I816" s="656" t="s">
        <v>14976</v>
      </c>
      <c r="J816" s="656" t="s">
        <v>8814</v>
      </c>
      <c r="K816" s="656" t="s">
        <v>445</v>
      </c>
      <c r="L816" s="656" t="s">
        <v>9003</v>
      </c>
      <c r="M816" s="657"/>
      <c r="N816" s="1482"/>
      <c r="O816" s="656" t="s">
        <v>498</v>
      </c>
      <c r="P816" s="656" t="s">
        <v>13052</v>
      </c>
      <c r="Q816" s="656">
        <v>44216.784409722219</v>
      </c>
    </row>
    <row r="817" spans="1:17">
      <c r="A817" s="656" t="s">
        <v>9003</v>
      </c>
      <c r="B817" s="657" t="s">
        <v>202</v>
      </c>
      <c r="C817" s="656" t="s">
        <v>13995</v>
      </c>
      <c r="D817" s="657" t="s">
        <v>14977</v>
      </c>
      <c r="E817" s="657" t="s">
        <v>7437</v>
      </c>
      <c r="F817" s="656" t="s">
        <v>445</v>
      </c>
      <c r="G817" s="656" t="s">
        <v>552</v>
      </c>
      <c r="H817" s="656" t="s">
        <v>445</v>
      </c>
      <c r="I817" s="656" t="s">
        <v>14976</v>
      </c>
      <c r="J817" s="656" t="s">
        <v>8814</v>
      </c>
      <c r="K817" s="656" t="s">
        <v>445</v>
      </c>
      <c r="L817" s="656" t="s">
        <v>9003</v>
      </c>
      <c r="M817" s="657"/>
      <c r="N817" s="1482"/>
      <c r="O817" s="656" t="s">
        <v>498</v>
      </c>
      <c r="P817" s="656" t="s">
        <v>13052</v>
      </c>
      <c r="Q817" s="656">
        <v>44216.784421296295</v>
      </c>
    </row>
    <row r="818" spans="1:17">
      <c r="A818" s="656" t="s">
        <v>9004</v>
      </c>
      <c r="B818" s="657" t="s">
        <v>202</v>
      </c>
      <c r="C818" s="656" t="s">
        <v>8977</v>
      </c>
      <c r="D818" s="657" t="s">
        <v>13789</v>
      </c>
      <c r="E818" s="657" t="s">
        <v>7437</v>
      </c>
      <c r="F818" s="656" t="s">
        <v>462</v>
      </c>
      <c r="G818" s="656" t="s">
        <v>512</v>
      </c>
      <c r="H818" s="656" t="s">
        <v>462</v>
      </c>
      <c r="I818" s="656" t="s">
        <v>14976</v>
      </c>
      <c r="J818" s="656" t="s">
        <v>463</v>
      </c>
      <c r="K818" s="656" t="s">
        <v>1924</v>
      </c>
      <c r="L818" s="656"/>
      <c r="M818" s="657"/>
      <c r="N818" s="1482"/>
      <c r="O818" s="656" t="s">
        <v>498</v>
      </c>
      <c r="P818" s="656" t="s">
        <v>13052</v>
      </c>
      <c r="Q818" s="656">
        <v>44216.784409722219</v>
      </c>
    </row>
    <row r="819" spans="1:17">
      <c r="A819" s="656" t="s">
        <v>9005</v>
      </c>
      <c r="B819" s="657" t="s">
        <v>531</v>
      </c>
      <c r="C819" s="656" t="s">
        <v>12449</v>
      </c>
      <c r="D819" s="657" t="s">
        <v>13789</v>
      </c>
      <c r="E819" s="657" t="s">
        <v>9406</v>
      </c>
      <c r="F819" s="656" t="s">
        <v>442</v>
      </c>
      <c r="G819" s="656" t="s">
        <v>561</v>
      </c>
      <c r="H819" s="656" t="s">
        <v>442</v>
      </c>
      <c r="I819" s="656" t="s">
        <v>14976</v>
      </c>
      <c r="J819" s="656" t="s">
        <v>12369</v>
      </c>
      <c r="K819" s="656" t="s">
        <v>1058</v>
      </c>
      <c r="L819" s="656"/>
      <c r="M819" s="657"/>
      <c r="N819" s="1482"/>
      <c r="O819" s="656" t="s">
        <v>498</v>
      </c>
      <c r="P819" s="656" t="s">
        <v>13052</v>
      </c>
      <c r="Q819" s="656">
        <v>44216.784398148149</v>
      </c>
    </row>
    <row r="820" spans="1:17">
      <c r="A820" s="656" t="s">
        <v>9007</v>
      </c>
      <c r="B820" s="657" t="s">
        <v>504</v>
      </c>
      <c r="C820" s="656" t="s">
        <v>9006</v>
      </c>
      <c r="D820" s="657" t="s">
        <v>14977</v>
      </c>
      <c r="E820" s="657" t="s">
        <v>7437</v>
      </c>
      <c r="F820" s="656" t="s">
        <v>505</v>
      </c>
      <c r="G820" s="656" t="s">
        <v>525</v>
      </c>
      <c r="H820" s="656" t="s">
        <v>505</v>
      </c>
      <c r="I820" s="656"/>
      <c r="J820" s="656"/>
      <c r="K820" s="656"/>
      <c r="L820" s="656" t="s">
        <v>15038</v>
      </c>
      <c r="M820" s="657"/>
      <c r="N820" s="1482"/>
      <c r="O820" s="656" t="s">
        <v>498</v>
      </c>
      <c r="P820" s="656" t="s">
        <v>13052</v>
      </c>
      <c r="Q820" s="656">
        <v>44216.784398148149</v>
      </c>
    </row>
    <row r="821" spans="1:17">
      <c r="A821" s="656" t="s">
        <v>9009</v>
      </c>
      <c r="B821" s="657" t="s">
        <v>504</v>
      </c>
      <c r="C821" s="656" t="s">
        <v>9008</v>
      </c>
      <c r="D821" s="657" t="s">
        <v>13789</v>
      </c>
      <c r="E821" s="657" t="s">
        <v>7437</v>
      </c>
      <c r="F821" s="656" t="s">
        <v>505</v>
      </c>
      <c r="G821" s="656" t="s">
        <v>525</v>
      </c>
      <c r="H821" s="656" t="s">
        <v>505</v>
      </c>
      <c r="I821" s="656"/>
      <c r="J821" s="656"/>
      <c r="K821" s="656"/>
      <c r="L821" s="656" t="s">
        <v>12847</v>
      </c>
      <c r="M821" s="657"/>
      <c r="N821" s="1482"/>
      <c r="O821" s="656" t="s">
        <v>498</v>
      </c>
      <c r="P821" s="656" t="s">
        <v>13052</v>
      </c>
      <c r="Q821" s="656">
        <v>44216.784386574072</v>
      </c>
    </row>
    <row r="822" spans="1:17">
      <c r="A822" s="656" t="s">
        <v>9011</v>
      </c>
      <c r="B822" s="657" t="s">
        <v>504</v>
      </c>
      <c r="C822" s="656" t="s">
        <v>9010</v>
      </c>
      <c r="D822" s="657" t="s">
        <v>13789</v>
      </c>
      <c r="E822" s="657" t="s">
        <v>7437</v>
      </c>
      <c r="F822" s="656" t="s">
        <v>505</v>
      </c>
      <c r="G822" s="656" t="s">
        <v>525</v>
      </c>
      <c r="H822" s="656" t="s">
        <v>505</v>
      </c>
      <c r="I822" s="656"/>
      <c r="J822" s="656"/>
      <c r="K822" s="656"/>
      <c r="L822" s="656" t="s">
        <v>12847</v>
      </c>
      <c r="M822" s="657"/>
      <c r="N822" s="1482"/>
      <c r="O822" s="656" t="s">
        <v>498</v>
      </c>
      <c r="P822" s="656" t="s">
        <v>13052</v>
      </c>
      <c r="Q822" s="656">
        <v>44216.784386574072</v>
      </c>
    </row>
    <row r="823" spans="1:17">
      <c r="A823" s="656" t="s">
        <v>9013</v>
      </c>
      <c r="B823" s="657" t="s">
        <v>504</v>
      </c>
      <c r="C823" s="656" t="s">
        <v>9012</v>
      </c>
      <c r="D823" s="657" t="s">
        <v>14977</v>
      </c>
      <c r="E823" s="657" t="s">
        <v>7437</v>
      </c>
      <c r="F823" s="656" t="s">
        <v>505</v>
      </c>
      <c r="G823" s="656" t="s">
        <v>525</v>
      </c>
      <c r="H823" s="656" t="s">
        <v>505</v>
      </c>
      <c r="I823" s="656"/>
      <c r="J823" s="656"/>
      <c r="K823" s="656"/>
      <c r="L823" s="656" t="s">
        <v>15030</v>
      </c>
      <c r="M823" s="657"/>
      <c r="N823" s="1482"/>
      <c r="O823" s="656" t="s">
        <v>498</v>
      </c>
      <c r="P823" s="656" t="s">
        <v>13052</v>
      </c>
      <c r="Q823" s="656">
        <v>44216.784375000003</v>
      </c>
    </row>
    <row r="824" spans="1:17">
      <c r="A824" s="656" t="s">
        <v>9237</v>
      </c>
      <c r="B824" s="657" t="s">
        <v>202</v>
      </c>
      <c r="C824" s="656" t="s">
        <v>9236</v>
      </c>
      <c r="D824" s="657" t="s">
        <v>14978</v>
      </c>
      <c r="E824" s="657" t="s">
        <v>7437</v>
      </c>
      <c r="F824" s="656" t="s">
        <v>8807</v>
      </c>
      <c r="G824" s="656" t="s">
        <v>512</v>
      </c>
      <c r="H824" s="656" t="s">
        <v>8807</v>
      </c>
      <c r="I824" s="656" t="s">
        <v>14976</v>
      </c>
      <c r="J824" s="656" t="s">
        <v>8814</v>
      </c>
      <c r="K824" s="656" t="s">
        <v>4057</v>
      </c>
      <c r="L824" s="656" t="s">
        <v>8967</v>
      </c>
      <c r="M824" s="657"/>
      <c r="N824" s="1482"/>
      <c r="O824" s="656" t="s">
        <v>498</v>
      </c>
      <c r="P824" s="656" t="s">
        <v>13052</v>
      </c>
      <c r="Q824" s="656">
        <v>44216.784375000003</v>
      </c>
    </row>
    <row r="825" spans="1:17">
      <c r="A825" s="656" t="s">
        <v>9238</v>
      </c>
      <c r="B825" s="657" t="s">
        <v>202</v>
      </c>
      <c r="C825" s="656" t="s">
        <v>13937</v>
      </c>
      <c r="D825" s="657" t="s">
        <v>14978</v>
      </c>
      <c r="E825" s="657" t="s">
        <v>7433</v>
      </c>
      <c r="F825" s="656" t="s">
        <v>8807</v>
      </c>
      <c r="G825" s="656" t="s">
        <v>512</v>
      </c>
      <c r="H825" s="656" t="s">
        <v>8807</v>
      </c>
      <c r="I825" s="656" t="s">
        <v>14976</v>
      </c>
      <c r="J825" s="656" t="s">
        <v>8814</v>
      </c>
      <c r="K825" s="656" t="s">
        <v>4057</v>
      </c>
      <c r="L825" s="656" t="s">
        <v>8967</v>
      </c>
      <c r="M825" s="657"/>
      <c r="N825" s="1482"/>
      <c r="O825" s="656" t="s">
        <v>498</v>
      </c>
      <c r="P825" s="656" t="s">
        <v>13052</v>
      </c>
      <c r="Q825" s="656">
        <v>44216.784363425926</v>
      </c>
    </row>
    <row r="826" spans="1:17">
      <c r="A826" s="656" t="s">
        <v>9014</v>
      </c>
      <c r="B826" s="657" t="s">
        <v>202</v>
      </c>
      <c r="C826" s="656" t="s">
        <v>13994</v>
      </c>
      <c r="D826" s="657" t="s">
        <v>14978</v>
      </c>
      <c r="E826" s="657" t="s">
        <v>7437</v>
      </c>
      <c r="F826" s="656" t="s">
        <v>8807</v>
      </c>
      <c r="G826" s="656" t="s">
        <v>512</v>
      </c>
      <c r="H826" s="656" t="s">
        <v>8807</v>
      </c>
      <c r="I826" s="656" t="s">
        <v>14976</v>
      </c>
      <c r="J826" s="656" t="s">
        <v>8814</v>
      </c>
      <c r="K826" s="656" t="s">
        <v>4057</v>
      </c>
      <c r="L826" s="656" t="s">
        <v>8967</v>
      </c>
      <c r="M826" s="657"/>
      <c r="N826" s="1482"/>
      <c r="O826" s="656" t="s">
        <v>498</v>
      </c>
      <c r="P826" s="656" t="s">
        <v>13052</v>
      </c>
      <c r="Q826" s="656">
        <v>44216.784363425926</v>
      </c>
    </row>
    <row r="827" spans="1:17">
      <c r="A827" s="656" t="s">
        <v>9015</v>
      </c>
      <c r="B827" s="657" t="s">
        <v>202</v>
      </c>
      <c r="C827" s="656" t="s">
        <v>13974</v>
      </c>
      <c r="D827" s="657" t="s">
        <v>14978</v>
      </c>
      <c r="E827" s="657" t="s">
        <v>7437</v>
      </c>
      <c r="F827" s="656" t="s">
        <v>8807</v>
      </c>
      <c r="G827" s="656" t="s">
        <v>512</v>
      </c>
      <c r="H827" s="656" t="s">
        <v>8807</v>
      </c>
      <c r="I827" s="656" t="s">
        <v>14976</v>
      </c>
      <c r="J827" s="656" t="s">
        <v>8814</v>
      </c>
      <c r="K827" s="656" t="s">
        <v>4057</v>
      </c>
      <c r="L827" s="656" t="s">
        <v>8967</v>
      </c>
      <c r="M827" s="657"/>
      <c r="N827" s="1482"/>
      <c r="O827" s="656" t="s">
        <v>498</v>
      </c>
      <c r="P827" s="656" t="s">
        <v>13052</v>
      </c>
      <c r="Q827" s="656">
        <v>44216.784351851849</v>
      </c>
    </row>
    <row r="828" spans="1:17">
      <c r="A828" s="656" t="s">
        <v>9016</v>
      </c>
      <c r="B828" s="657" t="s">
        <v>202</v>
      </c>
      <c r="C828" s="656" t="s">
        <v>9239</v>
      </c>
      <c r="D828" s="657" t="s">
        <v>14978</v>
      </c>
      <c r="E828" s="657" t="s">
        <v>9406</v>
      </c>
      <c r="F828" s="656" t="s">
        <v>8807</v>
      </c>
      <c r="G828" s="656" t="s">
        <v>512</v>
      </c>
      <c r="H828" s="656" t="s">
        <v>8807</v>
      </c>
      <c r="I828" s="656" t="s">
        <v>14976</v>
      </c>
      <c r="J828" s="656" t="s">
        <v>8814</v>
      </c>
      <c r="K828" s="656" t="s">
        <v>4057</v>
      </c>
      <c r="L828" s="656" t="s">
        <v>8967</v>
      </c>
      <c r="M828" s="657"/>
      <c r="N828" s="1482"/>
      <c r="O828" s="656" t="s">
        <v>498</v>
      </c>
      <c r="P828" s="656" t="s">
        <v>13052</v>
      </c>
      <c r="Q828" s="656">
        <v>44216.784351851849</v>
      </c>
    </row>
    <row r="829" spans="1:17">
      <c r="A829" s="656" t="s">
        <v>8967</v>
      </c>
      <c r="B829" s="657" t="s">
        <v>202</v>
      </c>
      <c r="C829" s="656" t="s">
        <v>8966</v>
      </c>
      <c r="D829" s="657" t="s">
        <v>14977</v>
      </c>
      <c r="E829" s="657" t="s">
        <v>7437</v>
      </c>
      <c r="F829" s="656" t="s">
        <v>8807</v>
      </c>
      <c r="G829" s="656" t="s">
        <v>512</v>
      </c>
      <c r="H829" s="656" t="s">
        <v>8807</v>
      </c>
      <c r="I829" s="656" t="s">
        <v>14976</v>
      </c>
      <c r="J829" s="656" t="s">
        <v>8814</v>
      </c>
      <c r="K829" s="656" t="s">
        <v>4057</v>
      </c>
      <c r="L829" s="656" t="s">
        <v>8967</v>
      </c>
      <c r="M829" s="657"/>
      <c r="N829" s="1482"/>
      <c r="O829" s="656" t="s">
        <v>498</v>
      </c>
      <c r="P829" s="656" t="s">
        <v>13052</v>
      </c>
      <c r="Q829" s="656">
        <v>44216.784351851849</v>
      </c>
    </row>
    <row r="830" spans="1:17">
      <c r="A830" s="656" t="s">
        <v>9017</v>
      </c>
      <c r="B830" s="657" t="s">
        <v>202</v>
      </c>
      <c r="C830" s="656" t="s">
        <v>12957</v>
      </c>
      <c r="D830" s="657" t="s">
        <v>14978</v>
      </c>
      <c r="E830" s="657" t="s">
        <v>9510</v>
      </c>
      <c r="F830" s="656" t="s">
        <v>8807</v>
      </c>
      <c r="G830" s="656" t="s">
        <v>512</v>
      </c>
      <c r="H830" s="656" t="s">
        <v>8807</v>
      </c>
      <c r="I830" s="656" t="s">
        <v>14976</v>
      </c>
      <c r="J830" s="656" t="s">
        <v>8814</v>
      </c>
      <c r="K830" s="656" t="s">
        <v>4057</v>
      </c>
      <c r="L830" s="656" t="s">
        <v>8969</v>
      </c>
      <c r="M830" s="657"/>
      <c r="N830" s="1482"/>
      <c r="O830" s="656" t="s">
        <v>498</v>
      </c>
      <c r="P830" s="656" t="s">
        <v>13052</v>
      </c>
      <c r="Q830" s="656">
        <v>44216.78434027778</v>
      </c>
    </row>
    <row r="831" spans="1:17">
      <c r="A831" s="656" t="s">
        <v>9018</v>
      </c>
      <c r="B831" s="657" t="s">
        <v>202</v>
      </c>
      <c r="C831" s="656" t="s">
        <v>1216</v>
      </c>
      <c r="D831" s="657" t="s">
        <v>14978</v>
      </c>
      <c r="E831" s="657" t="s">
        <v>7437</v>
      </c>
      <c r="F831" s="656" t="s">
        <v>8807</v>
      </c>
      <c r="G831" s="656" t="s">
        <v>512</v>
      </c>
      <c r="H831" s="656" t="s">
        <v>8807</v>
      </c>
      <c r="I831" s="656" t="s">
        <v>14976</v>
      </c>
      <c r="J831" s="656" t="s">
        <v>8814</v>
      </c>
      <c r="K831" s="656" t="s">
        <v>4057</v>
      </c>
      <c r="L831" s="656" t="s">
        <v>8969</v>
      </c>
      <c r="M831" s="657"/>
      <c r="N831" s="1482"/>
      <c r="O831" s="656" t="s">
        <v>498</v>
      </c>
      <c r="P831" s="656" t="s">
        <v>13052</v>
      </c>
      <c r="Q831" s="656">
        <v>44216.78434027778</v>
      </c>
    </row>
    <row r="832" spans="1:17">
      <c r="A832" s="656" t="s">
        <v>8969</v>
      </c>
      <c r="B832" s="657" t="s">
        <v>202</v>
      </c>
      <c r="C832" s="656" t="s">
        <v>8968</v>
      </c>
      <c r="D832" s="657" t="s">
        <v>14977</v>
      </c>
      <c r="E832" s="657" t="s">
        <v>7437</v>
      </c>
      <c r="F832" s="656" t="s">
        <v>8807</v>
      </c>
      <c r="G832" s="656" t="s">
        <v>512</v>
      </c>
      <c r="H832" s="656" t="s">
        <v>8807</v>
      </c>
      <c r="I832" s="656" t="s">
        <v>14976</v>
      </c>
      <c r="J832" s="656" t="s">
        <v>8814</v>
      </c>
      <c r="K832" s="656" t="s">
        <v>4057</v>
      </c>
      <c r="L832" s="656" t="s">
        <v>8969</v>
      </c>
      <c r="M832" s="657"/>
      <c r="N832" s="1482"/>
      <c r="O832" s="656" t="s">
        <v>498</v>
      </c>
      <c r="P832" s="656" t="s">
        <v>13052</v>
      </c>
      <c r="Q832" s="656">
        <v>44216.784328703703</v>
      </c>
    </row>
    <row r="833" spans="1:17">
      <c r="A833" s="656" t="s">
        <v>8971</v>
      </c>
      <c r="B833" s="657" t="s">
        <v>504</v>
      </c>
      <c r="C833" s="656" t="s">
        <v>8970</v>
      </c>
      <c r="D833" s="657" t="s">
        <v>13789</v>
      </c>
      <c r="E833" s="657" t="s">
        <v>9406</v>
      </c>
      <c r="F833" s="656" t="s">
        <v>540</v>
      </c>
      <c r="G833" s="656" t="s">
        <v>625</v>
      </c>
      <c r="H833" s="656" t="s">
        <v>540</v>
      </c>
      <c r="I833" s="656" t="s">
        <v>14976</v>
      </c>
      <c r="J833" s="656"/>
      <c r="K833" s="656"/>
      <c r="L833" s="656"/>
      <c r="M833" s="657"/>
      <c r="N833" s="1482"/>
      <c r="O833" s="656" t="s">
        <v>498</v>
      </c>
      <c r="P833" s="656" t="s">
        <v>13052</v>
      </c>
      <c r="Q833" s="656">
        <v>44216.784328703703</v>
      </c>
    </row>
    <row r="834" spans="1:17">
      <c r="A834" s="656" t="s">
        <v>8950</v>
      </c>
      <c r="B834" s="657" t="s">
        <v>531</v>
      </c>
      <c r="C834" s="656" t="s">
        <v>8949</v>
      </c>
      <c r="D834" s="657" t="s">
        <v>14977</v>
      </c>
      <c r="E834" s="657" t="s">
        <v>9406</v>
      </c>
      <c r="F834" s="656" t="s">
        <v>442</v>
      </c>
      <c r="G834" s="656" t="s">
        <v>552</v>
      </c>
      <c r="H834" s="656" t="s">
        <v>442</v>
      </c>
      <c r="I834" s="656" t="s">
        <v>14976</v>
      </c>
      <c r="J834" s="656" t="s">
        <v>12369</v>
      </c>
      <c r="K834" s="656" t="s">
        <v>477</v>
      </c>
      <c r="L834" s="656"/>
      <c r="M834" s="657"/>
      <c r="N834" s="1482"/>
      <c r="O834" s="656" t="s">
        <v>498</v>
      </c>
      <c r="P834" s="656" t="s">
        <v>13052</v>
      </c>
      <c r="Q834" s="656">
        <v>44216.784328703703</v>
      </c>
    </row>
    <row r="835" spans="1:17">
      <c r="A835" s="656" t="s">
        <v>13993</v>
      </c>
      <c r="B835" s="657" t="s">
        <v>202</v>
      </c>
      <c r="C835" s="656" t="s">
        <v>15042</v>
      </c>
      <c r="D835" s="657" t="s">
        <v>14978</v>
      </c>
      <c r="E835" s="657"/>
      <c r="F835" s="656" t="s">
        <v>462</v>
      </c>
      <c r="G835" s="656"/>
      <c r="H835" s="656" t="s">
        <v>462</v>
      </c>
      <c r="I835" s="656" t="s">
        <v>14976</v>
      </c>
      <c r="J835" s="656" t="s">
        <v>463</v>
      </c>
      <c r="K835" s="656" t="s">
        <v>1924</v>
      </c>
      <c r="L835" s="656"/>
      <c r="M835" s="657"/>
      <c r="N835" s="1482"/>
      <c r="O835" s="656" t="s">
        <v>498</v>
      </c>
      <c r="P835" s="656" t="s">
        <v>13052</v>
      </c>
      <c r="Q835" s="656">
        <v>44216.784317129626</v>
      </c>
    </row>
    <row r="836" spans="1:17">
      <c r="A836" s="656" t="s">
        <v>13992</v>
      </c>
      <c r="B836" s="657" t="s">
        <v>202</v>
      </c>
      <c r="C836" s="656" t="s">
        <v>15041</v>
      </c>
      <c r="D836" s="657" t="s">
        <v>14978</v>
      </c>
      <c r="E836" s="657"/>
      <c r="F836" s="656" t="s">
        <v>462</v>
      </c>
      <c r="G836" s="656"/>
      <c r="H836" s="656" t="s">
        <v>462</v>
      </c>
      <c r="I836" s="656" t="s">
        <v>14976</v>
      </c>
      <c r="J836" s="656" t="s">
        <v>463</v>
      </c>
      <c r="K836" s="656" t="s">
        <v>1924</v>
      </c>
      <c r="L836" s="656"/>
      <c r="M836" s="657"/>
      <c r="N836" s="1482"/>
      <c r="O836" s="656" t="s">
        <v>498</v>
      </c>
      <c r="P836" s="656" t="s">
        <v>13052</v>
      </c>
      <c r="Q836" s="656">
        <v>44216.784317129626</v>
      </c>
    </row>
    <row r="837" spans="1:17">
      <c r="A837" s="656" t="s">
        <v>13991</v>
      </c>
      <c r="B837" s="657" t="s">
        <v>202</v>
      </c>
      <c r="C837" s="656" t="s">
        <v>15040</v>
      </c>
      <c r="D837" s="657" t="s">
        <v>14978</v>
      </c>
      <c r="E837" s="657"/>
      <c r="F837" s="656" t="s">
        <v>462</v>
      </c>
      <c r="G837" s="656"/>
      <c r="H837" s="656" t="s">
        <v>462</v>
      </c>
      <c r="I837" s="656" t="s">
        <v>14976</v>
      </c>
      <c r="J837" s="656" t="s">
        <v>463</v>
      </c>
      <c r="K837" s="656" t="s">
        <v>1924</v>
      </c>
      <c r="L837" s="656"/>
      <c r="M837" s="657"/>
      <c r="N837" s="1482"/>
      <c r="O837" s="656" t="s">
        <v>498</v>
      </c>
      <c r="P837" s="656" t="s">
        <v>13052</v>
      </c>
      <c r="Q837" s="656">
        <v>44216.784305555557</v>
      </c>
    </row>
    <row r="838" spans="1:17">
      <c r="A838" s="656" t="s">
        <v>13989</v>
      </c>
      <c r="B838" s="657" t="s">
        <v>202</v>
      </c>
      <c r="C838" s="656" t="s">
        <v>15039</v>
      </c>
      <c r="D838" s="657" t="s">
        <v>13789</v>
      </c>
      <c r="E838" s="657"/>
      <c r="F838" s="656" t="s">
        <v>462</v>
      </c>
      <c r="G838" s="656" t="s">
        <v>512</v>
      </c>
      <c r="H838" s="656" t="s">
        <v>462</v>
      </c>
      <c r="I838" s="656" t="s">
        <v>14976</v>
      </c>
      <c r="J838" s="656" t="s">
        <v>463</v>
      </c>
      <c r="K838" s="656" t="s">
        <v>1924</v>
      </c>
      <c r="L838" s="656"/>
      <c r="M838" s="657"/>
      <c r="N838" s="1482"/>
      <c r="O838" s="656" t="s">
        <v>498</v>
      </c>
      <c r="P838" s="656" t="s">
        <v>13052</v>
      </c>
      <c r="Q838" s="656">
        <v>44216.784305555557</v>
      </c>
    </row>
    <row r="839" spans="1:17">
      <c r="A839" s="656" t="s">
        <v>8952</v>
      </c>
      <c r="B839" s="657" t="s">
        <v>504</v>
      </c>
      <c r="C839" s="656" t="s">
        <v>8951</v>
      </c>
      <c r="D839" s="657" t="s">
        <v>13789</v>
      </c>
      <c r="E839" s="657" t="s">
        <v>7437</v>
      </c>
      <c r="F839" s="656" t="s">
        <v>505</v>
      </c>
      <c r="G839" s="656" t="s">
        <v>525</v>
      </c>
      <c r="H839" s="656" t="s">
        <v>505</v>
      </c>
      <c r="I839" s="656"/>
      <c r="J839" s="656"/>
      <c r="K839" s="656"/>
      <c r="L839" s="656" t="s">
        <v>12847</v>
      </c>
      <c r="M839" s="657"/>
      <c r="N839" s="1482"/>
      <c r="O839" s="656" t="s">
        <v>498</v>
      </c>
      <c r="P839" s="656" t="s">
        <v>13052</v>
      </c>
      <c r="Q839" s="656">
        <v>44216.78429398148</v>
      </c>
    </row>
    <row r="840" spans="1:17">
      <c r="A840" s="656" t="s">
        <v>8954</v>
      </c>
      <c r="B840" s="657" t="s">
        <v>504</v>
      </c>
      <c r="C840" s="656" t="s">
        <v>8953</v>
      </c>
      <c r="D840" s="657" t="s">
        <v>13789</v>
      </c>
      <c r="E840" s="657" t="s">
        <v>7437</v>
      </c>
      <c r="F840" s="656" t="s">
        <v>505</v>
      </c>
      <c r="G840" s="656" t="s">
        <v>525</v>
      </c>
      <c r="H840" s="656" t="s">
        <v>505</v>
      </c>
      <c r="I840" s="656" t="s">
        <v>14976</v>
      </c>
      <c r="J840" s="656"/>
      <c r="K840" s="656"/>
      <c r="L840" s="656" t="s">
        <v>12847</v>
      </c>
      <c r="M840" s="657"/>
      <c r="N840" s="1482"/>
      <c r="O840" s="656" t="s">
        <v>498</v>
      </c>
      <c r="P840" s="656" t="s">
        <v>13052</v>
      </c>
      <c r="Q840" s="656">
        <v>44216.78429398148</v>
      </c>
    </row>
    <row r="841" spans="1:17">
      <c r="A841" s="656" t="s">
        <v>8956</v>
      </c>
      <c r="B841" s="657" t="s">
        <v>504</v>
      </c>
      <c r="C841" s="656" t="s">
        <v>8955</v>
      </c>
      <c r="D841" s="657" t="s">
        <v>13789</v>
      </c>
      <c r="E841" s="657" t="s">
        <v>9406</v>
      </c>
      <c r="F841" s="656" t="s">
        <v>505</v>
      </c>
      <c r="G841" s="656" t="s">
        <v>525</v>
      </c>
      <c r="H841" s="656" t="s">
        <v>505</v>
      </c>
      <c r="I841" s="656" t="s">
        <v>14976</v>
      </c>
      <c r="J841" s="656"/>
      <c r="K841" s="656"/>
      <c r="L841" s="656" t="s">
        <v>12847</v>
      </c>
      <c r="M841" s="657"/>
      <c r="N841" s="1482"/>
      <c r="O841" s="656" t="s">
        <v>498</v>
      </c>
      <c r="P841" s="656" t="s">
        <v>13052</v>
      </c>
      <c r="Q841" s="656">
        <v>44216.78429398148</v>
      </c>
    </row>
    <row r="842" spans="1:17">
      <c r="A842" s="656" t="s">
        <v>8958</v>
      </c>
      <c r="B842" s="657" t="s">
        <v>504</v>
      </c>
      <c r="C842" s="656" t="s">
        <v>8957</v>
      </c>
      <c r="D842" s="657" t="s">
        <v>13789</v>
      </c>
      <c r="E842" s="657" t="s">
        <v>7437</v>
      </c>
      <c r="F842" s="656" t="s">
        <v>505</v>
      </c>
      <c r="G842" s="656" t="s">
        <v>525</v>
      </c>
      <c r="H842" s="656" t="s">
        <v>505</v>
      </c>
      <c r="I842" s="656" t="s">
        <v>14976</v>
      </c>
      <c r="J842" s="656"/>
      <c r="K842" s="656"/>
      <c r="L842" s="656" t="s">
        <v>12847</v>
      </c>
      <c r="M842" s="657"/>
      <c r="N842" s="1482"/>
      <c r="O842" s="656" t="s">
        <v>498</v>
      </c>
      <c r="P842" s="656" t="s">
        <v>13052</v>
      </c>
      <c r="Q842" s="656">
        <v>44216.784282407411</v>
      </c>
    </row>
    <row r="843" spans="1:17">
      <c r="A843" s="656" t="s">
        <v>8960</v>
      </c>
      <c r="B843" s="657" t="s">
        <v>504</v>
      </c>
      <c r="C843" s="656" t="s">
        <v>8959</v>
      </c>
      <c r="D843" s="657" t="s">
        <v>13789</v>
      </c>
      <c r="E843" s="657" t="s">
        <v>7437</v>
      </c>
      <c r="F843" s="656" t="s">
        <v>505</v>
      </c>
      <c r="G843" s="656" t="s">
        <v>525</v>
      </c>
      <c r="H843" s="656" t="s">
        <v>505</v>
      </c>
      <c r="I843" s="656" t="s">
        <v>14976</v>
      </c>
      <c r="J843" s="656"/>
      <c r="K843" s="656"/>
      <c r="L843" s="656" t="s">
        <v>12847</v>
      </c>
      <c r="M843" s="657"/>
      <c r="N843" s="1482"/>
      <c r="O843" s="656" t="s">
        <v>498</v>
      </c>
      <c r="P843" s="656" t="s">
        <v>13052</v>
      </c>
      <c r="Q843" s="656">
        <v>44216.784282407411</v>
      </c>
    </row>
    <row r="844" spans="1:17">
      <c r="A844" s="656" t="s">
        <v>8961</v>
      </c>
      <c r="B844" s="657" t="s">
        <v>504</v>
      </c>
      <c r="C844" s="656" t="s">
        <v>8945</v>
      </c>
      <c r="D844" s="657" t="s">
        <v>13789</v>
      </c>
      <c r="E844" s="657" t="s">
        <v>7437</v>
      </c>
      <c r="F844" s="656" t="s">
        <v>505</v>
      </c>
      <c r="G844" s="656" t="s">
        <v>525</v>
      </c>
      <c r="H844" s="656" t="s">
        <v>505</v>
      </c>
      <c r="I844" s="656" t="s">
        <v>14976</v>
      </c>
      <c r="J844" s="656"/>
      <c r="K844" s="656"/>
      <c r="L844" s="656" t="s">
        <v>12847</v>
      </c>
      <c r="M844" s="657"/>
      <c r="N844" s="1482"/>
      <c r="O844" s="656" t="s">
        <v>498</v>
      </c>
      <c r="P844" s="656" t="s">
        <v>13052</v>
      </c>
      <c r="Q844" s="656">
        <v>44216.784270833334</v>
      </c>
    </row>
    <row r="845" spans="1:17">
      <c r="A845" s="656" t="s">
        <v>8962</v>
      </c>
      <c r="B845" s="657" t="s">
        <v>504</v>
      </c>
      <c r="C845" s="656" t="s">
        <v>8941</v>
      </c>
      <c r="D845" s="657" t="s">
        <v>13789</v>
      </c>
      <c r="E845" s="657" t="s">
        <v>7437</v>
      </c>
      <c r="F845" s="656" t="s">
        <v>505</v>
      </c>
      <c r="G845" s="656" t="s">
        <v>525</v>
      </c>
      <c r="H845" s="656" t="s">
        <v>505</v>
      </c>
      <c r="I845" s="656" t="s">
        <v>14976</v>
      </c>
      <c r="J845" s="656"/>
      <c r="K845" s="656"/>
      <c r="L845" s="656" t="s">
        <v>12847</v>
      </c>
      <c r="M845" s="657"/>
      <c r="N845" s="1482"/>
      <c r="O845" s="656" t="s">
        <v>498</v>
      </c>
      <c r="P845" s="656" t="s">
        <v>13052</v>
      </c>
      <c r="Q845" s="656">
        <v>44216.784270833334</v>
      </c>
    </row>
    <row r="846" spans="1:17">
      <c r="A846" s="656" t="s">
        <v>8921</v>
      </c>
      <c r="B846" s="657" t="s">
        <v>504</v>
      </c>
      <c r="C846" s="656" t="s">
        <v>8920</v>
      </c>
      <c r="D846" s="657" t="s">
        <v>13789</v>
      </c>
      <c r="E846" s="657" t="s">
        <v>7437</v>
      </c>
      <c r="F846" s="656" t="s">
        <v>505</v>
      </c>
      <c r="G846" s="656" t="s">
        <v>525</v>
      </c>
      <c r="H846" s="656" t="s">
        <v>505</v>
      </c>
      <c r="I846" s="656" t="s">
        <v>14976</v>
      </c>
      <c r="J846" s="656"/>
      <c r="K846" s="656"/>
      <c r="L846" s="656" t="s">
        <v>12847</v>
      </c>
      <c r="M846" s="657"/>
      <c r="N846" s="1482"/>
      <c r="O846" s="656" t="s">
        <v>498</v>
      </c>
      <c r="P846" s="656" t="s">
        <v>13052</v>
      </c>
      <c r="Q846" s="656">
        <v>44216.784259259257</v>
      </c>
    </row>
    <row r="847" spans="1:17">
      <c r="A847" s="656" t="s">
        <v>8923</v>
      </c>
      <c r="B847" s="657" t="s">
        <v>504</v>
      </c>
      <c r="C847" s="656" t="s">
        <v>8922</v>
      </c>
      <c r="D847" s="657" t="s">
        <v>13789</v>
      </c>
      <c r="E847" s="657" t="s">
        <v>9406</v>
      </c>
      <c r="F847" s="656" t="s">
        <v>505</v>
      </c>
      <c r="G847" s="656" t="s">
        <v>525</v>
      </c>
      <c r="H847" s="656" t="s">
        <v>505</v>
      </c>
      <c r="I847" s="656" t="s">
        <v>14976</v>
      </c>
      <c r="J847" s="656"/>
      <c r="K847" s="656"/>
      <c r="L847" s="656" t="s">
        <v>12847</v>
      </c>
      <c r="M847" s="657"/>
      <c r="N847" s="1482"/>
      <c r="O847" s="656" t="s">
        <v>498</v>
      </c>
      <c r="P847" s="656" t="s">
        <v>13052</v>
      </c>
      <c r="Q847" s="656">
        <v>44216.784247685187</v>
      </c>
    </row>
    <row r="848" spans="1:17">
      <c r="A848" s="656" t="s">
        <v>8925</v>
      </c>
      <c r="B848" s="657" t="s">
        <v>504</v>
      </c>
      <c r="C848" s="656" t="s">
        <v>8924</v>
      </c>
      <c r="D848" s="657" t="s">
        <v>13789</v>
      </c>
      <c r="E848" s="657" t="s">
        <v>7437</v>
      </c>
      <c r="F848" s="656" t="s">
        <v>505</v>
      </c>
      <c r="G848" s="656" t="s">
        <v>525</v>
      </c>
      <c r="H848" s="656" t="s">
        <v>505</v>
      </c>
      <c r="I848" s="656" t="s">
        <v>14976</v>
      </c>
      <c r="J848" s="656"/>
      <c r="K848" s="656"/>
      <c r="L848" s="656" t="s">
        <v>12847</v>
      </c>
      <c r="M848" s="657"/>
      <c r="N848" s="1482"/>
      <c r="O848" s="656" t="s">
        <v>498</v>
      </c>
      <c r="P848" s="656" t="s">
        <v>13052</v>
      </c>
      <c r="Q848" s="656">
        <v>44216.784247685187</v>
      </c>
    </row>
    <row r="849" spans="1:17">
      <c r="A849" s="656" t="s">
        <v>8927</v>
      </c>
      <c r="B849" s="657" t="s">
        <v>504</v>
      </c>
      <c r="C849" s="656" t="s">
        <v>8926</v>
      </c>
      <c r="D849" s="657" t="s">
        <v>13789</v>
      </c>
      <c r="E849" s="657" t="s">
        <v>7437</v>
      </c>
      <c r="F849" s="656" t="s">
        <v>505</v>
      </c>
      <c r="G849" s="656" t="s">
        <v>525</v>
      </c>
      <c r="H849" s="656" t="s">
        <v>505</v>
      </c>
      <c r="I849" s="656" t="s">
        <v>14976</v>
      </c>
      <c r="J849" s="656"/>
      <c r="K849" s="656"/>
      <c r="L849" s="656" t="s">
        <v>12847</v>
      </c>
      <c r="M849" s="657"/>
      <c r="N849" s="1482"/>
      <c r="O849" s="656" t="s">
        <v>498</v>
      </c>
      <c r="P849" s="656" t="s">
        <v>13052</v>
      </c>
      <c r="Q849" s="656">
        <v>44216.784247685187</v>
      </c>
    </row>
    <row r="850" spans="1:17">
      <c r="A850" s="656" t="s">
        <v>8929</v>
      </c>
      <c r="B850" s="657" t="s">
        <v>504</v>
      </c>
      <c r="C850" s="656" t="s">
        <v>8928</v>
      </c>
      <c r="D850" s="657" t="s">
        <v>13789</v>
      </c>
      <c r="E850" s="657" t="s">
        <v>7437</v>
      </c>
      <c r="F850" s="656" t="s">
        <v>505</v>
      </c>
      <c r="G850" s="656" t="s">
        <v>525</v>
      </c>
      <c r="H850" s="656" t="s">
        <v>505</v>
      </c>
      <c r="I850" s="656" t="s">
        <v>14976</v>
      </c>
      <c r="J850" s="656"/>
      <c r="K850" s="656"/>
      <c r="L850" s="656" t="s">
        <v>12847</v>
      </c>
      <c r="M850" s="657"/>
      <c r="N850" s="1482"/>
      <c r="O850" s="656" t="s">
        <v>498</v>
      </c>
      <c r="P850" s="656" t="s">
        <v>13052</v>
      </c>
      <c r="Q850" s="656">
        <v>44216.784236111111</v>
      </c>
    </row>
    <row r="851" spans="1:17">
      <c r="A851" s="656" t="s">
        <v>8931</v>
      </c>
      <c r="B851" s="657" t="s">
        <v>504</v>
      </c>
      <c r="C851" s="656" t="s">
        <v>8930</v>
      </c>
      <c r="D851" s="657" t="s">
        <v>13789</v>
      </c>
      <c r="E851" s="657" t="s">
        <v>7437</v>
      </c>
      <c r="F851" s="656" t="s">
        <v>505</v>
      </c>
      <c r="G851" s="656" t="s">
        <v>525</v>
      </c>
      <c r="H851" s="656" t="s">
        <v>505</v>
      </c>
      <c r="I851" s="656" t="s">
        <v>14976</v>
      </c>
      <c r="J851" s="656"/>
      <c r="K851" s="656"/>
      <c r="L851" s="656" t="s">
        <v>12847</v>
      </c>
      <c r="M851" s="657"/>
      <c r="N851" s="1482"/>
      <c r="O851" s="656" t="s">
        <v>498</v>
      </c>
      <c r="P851" s="656" t="s">
        <v>13052</v>
      </c>
      <c r="Q851" s="656">
        <v>44216.784236111111</v>
      </c>
    </row>
    <row r="852" spans="1:17">
      <c r="A852" s="656" t="s">
        <v>8933</v>
      </c>
      <c r="B852" s="657" t="s">
        <v>504</v>
      </c>
      <c r="C852" s="656" t="s">
        <v>8932</v>
      </c>
      <c r="D852" s="657" t="s">
        <v>13789</v>
      </c>
      <c r="E852" s="657" t="s">
        <v>7437</v>
      </c>
      <c r="F852" s="656" t="s">
        <v>505</v>
      </c>
      <c r="G852" s="656" t="s">
        <v>525</v>
      </c>
      <c r="H852" s="656" t="s">
        <v>505</v>
      </c>
      <c r="I852" s="656" t="s">
        <v>14976</v>
      </c>
      <c r="J852" s="656"/>
      <c r="K852" s="656"/>
      <c r="L852" s="656" t="s">
        <v>12847</v>
      </c>
      <c r="M852" s="657"/>
      <c r="N852" s="1482"/>
      <c r="O852" s="656" t="s">
        <v>498</v>
      </c>
      <c r="P852" s="656" t="s">
        <v>13052</v>
      </c>
      <c r="Q852" s="656">
        <v>44216.784224537034</v>
      </c>
    </row>
    <row r="853" spans="1:17">
      <c r="A853" s="656" t="s">
        <v>8934</v>
      </c>
      <c r="B853" s="657" t="s">
        <v>504</v>
      </c>
      <c r="C853" s="656" t="s">
        <v>8918</v>
      </c>
      <c r="D853" s="657" t="s">
        <v>13789</v>
      </c>
      <c r="E853" s="657" t="s">
        <v>7437</v>
      </c>
      <c r="F853" s="656" t="s">
        <v>505</v>
      </c>
      <c r="G853" s="656" t="s">
        <v>525</v>
      </c>
      <c r="H853" s="656" t="s">
        <v>505</v>
      </c>
      <c r="I853" s="656" t="s">
        <v>14976</v>
      </c>
      <c r="J853" s="656"/>
      <c r="K853" s="656"/>
      <c r="L853" s="656" t="s">
        <v>12847</v>
      </c>
      <c r="M853" s="657"/>
      <c r="N853" s="1482"/>
      <c r="O853" s="656" t="s">
        <v>498</v>
      </c>
      <c r="P853" s="656" t="s">
        <v>13052</v>
      </c>
      <c r="Q853" s="656">
        <v>44216.784224537034</v>
      </c>
    </row>
    <row r="854" spans="1:17">
      <c r="A854" s="656" t="s">
        <v>8935</v>
      </c>
      <c r="B854" s="657" t="s">
        <v>504</v>
      </c>
      <c r="C854" s="656" t="s">
        <v>8917</v>
      </c>
      <c r="D854" s="657" t="s">
        <v>14978</v>
      </c>
      <c r="E854" s="657" t="s">
        <v>7437</v>
      </c>
      <c r="F854" s="656" t="s">
        <v>505</v>
      </c>
      <c r="G854" s="656" t="s">
        <v>525</v>
      </c>
      <c r="H854" s="656" t="s">
        <v>505</v>
      </c>
      <c r="I854" s="656" t="s">
        <v>14976</v>
      </c>
      <c r="J854" s="656"/>
      <c r="K854" s="656"/>
      <c r="L854" s="656" t="s">
        <v>15038</v>
      </c>
      <c r="M854" s="657"/>
      <c r="N854" s="1482"/>
      <c r="O854" s="656" t="s">
        <v>498</v>
      </c>
      <c r="P854" s="656" t="s">
        <v>13052</v>
      </c>
      <c r="Q854" s="656">
        <v>44216.784224537034</v>
      </c>
    </row>
    <row r="855" spans="1:17">
      <c r="A855" s="656" t="s">
        <v>8936</v>
      </c>
      <c r="B855" s="657" t="s">
        <v>504</v>
      </c>
      <c r="C855" s="656" t="s">
        <v>8915</v>
      </c>
      <c r="D855" s="657" t="s">
        <v>14978</v>
      </c>
      <c r="E855" s="657" t="s">
        <v>7437</v>
      </c>
      <c r="F855" s="656" t="s">
        <v>505</v>
      </c>
      <c r="G855" s="656" t="s">
        <v>525</v>
      </c>
      <c r="H855" s="656" t="s">
        <v>505</v>
      </c>
      <c r="I855" s="656" t="s">
        <v>14976</v>
      </c>
      <c r="J855" s="656"/>
      <c r="K855" s="656"/>
      <c r="L855" s="656" t="s">
        <v>15038</v>
      </c>
      <c r="M855" s="657"/>
      <c r="N855" s="1482"/>
      <c r="O855" s="656" t="s">
        <v>498</v>
      </c>
      <c r="P855" s="656" t="s">
        <v>13052</v>
      </c>
      <c r="Q855" s="656">
        <v>44216.784212962964</v>
      </c>
    </row>
    <row r="856" spans="1:17">
      <c r="A856" s="656" t="s">
        <v>8937</v>
      </c>
      <c r="B856" s="657" t="s">
        <v>504</v>
      </c>
      <c r="C856" s="656" t="s">
        <v>8914</v>
      </c>
      <c r="D856" s="657" t="s">
        <v>14978</v>
      </c>
      <c r="E856" s="657" t="s">
        <v>7437</v>
      </c>
      <c r="F856" s="656" t="s">
        <v>505</v>
      </c>
      <c r="G856" s="656" t="s">
        <v>525</v>
      </c>
      <c r="H856" s="656" t="s">
        <v>505</v>
      </c>
      <c r="I856" s="656" t="s">
        <v>14976</v>
      </c>
      <c r="J856" s="656"/>
      <c r="K856" s="656"/>
      <c r="L856" s="656" t="s">
        <v>15038</v>
      </c>
      <c r="M856" s="657"/>
      <c r="N856" s="1482"/>
      <c r="O856" s="656" t="s">
        <v>498</v>
      </c>
      <c r="P856" s="656" t="s">
        <v>13052</v>
      </c>
      <c r="Q856" s="656">
        <v>44216.784212962964</v>
      </c>
    </row>
    <row r="857" spans="1:17">
      <c r="A857" s="656" t="s">
        <v>8938</v>
      </c>
      <c r="B857" s="657" t="s">
        <v>504</v>
      </c>
      <c r="C857" s="656" t="s">
        <v>8913</v>
      </c>
      <c r="D857" s="657" t="s">
        <v>13789</v>
      </c>
      <c r="E857" s="657" t="s">
        <v>9406</v>
      </c>
      <c r="F857" s="656" t="s">
        <v>505</v>
      </c>
      <c r="G857" s="656" t="s">
        <v>525</v>
      </c>
      <c r="H857" s="656" t="s">
        <v>505</v>
      </c>
      <c r="I857" s="656" t="s">
        <v>14976</v>
      </c>
      <c r="J857" s="656"/>
      <c r="K857" s="656"/>
      <c r="L857" s="656" t="s">
        <v>12847</v>
      </c>
      <c r="M857" s="657"/>
      <c r="N857" s="1482"/>
      <c r="O857" s="656" t="s">
        <v>498</v>
      </c>
      <c r="P857" s="656" t="s">
        <v>13052</v>
      </c>
      <c r="Q857" s="656">
        <v>44216.784201388888</v>
      </c>
    </row>
    <row r="858" spans="1:17">
      <c r="A858" s="656" t="s">
        <v>13987</v>
      </c>
      <c r="B858" s="657" t="s">
        <v>202</v>
      </c>
      <c r="C858" s="656" t="s">
        <v>13988</v>
      </c>
      <c r="D858" s="657" t="s">
        <v>14978</v>
      </c>
      <c r="E858" s="657"/>
      <c r="F858" s="656" t="s">
        <v>462</v>
      </c>
      <c r="G858" s="656" t="s">
        <v>512</v>
      </c>
      <c r="H858" s="656" t="s">
        <v>462</v>
      </c>
      <c r="I858" s="656" t="s">
        <v>14976</v>
      </c>
      <c r="J858" s="656" t="s">
        <v>463</v>
      </c>
      <c r="K858" s="656" t="s">
        <v>1924</v>
      </c>
      <c r="L858" s="656"/>
      <c r="M858" s="657"/>
      <c r="N858" s="1482"/>
      <c r="O858" s="656" t="s">
        <v>498</v>
      </c>
      <c r="P858" s="656" t="s">
        <v>13052</v>
      </c>
      <c r="Q858" s="656">
        <v>44216.784189814818</v>
      </c>
    </row>
    <row r="859" spans="1:17">
      <c r="A859" s="656" t="s">
        <v>8963</v>
      </c>
      <c r="B859" s="657" t="s">
        <v>202</v>
      </c>
      <c r="C859" s="656" t="s">
        <v>13986</v>
      </c>
      <c r="D859" s="657" t="s">
        <v>14978</v>
      </c>
      <c r="E859" s="657" t="s">
        <v>7437</v>
      </c>
      <c r="F859" s="656" t="s">
        <v>462</v>
      </c>
      <c r="G859" s="656" t="s">
        <v>512</v>
      </c>
      <c r="H859" s="656" t="s">
        <v>462</v>
      </c>
      <c r="I859" s="656" t="s">
        <v>14976</v>
      </c>
      <c r="J859" s="656" t="s">
        <v>463</v>
      </c>
      <c r="K859" s="656" t="s">
        <v>1924</v>
      </c>
      <c r="L859" s="656" t="s">
        <v>8909</v>
      </c>
      <c r="M859" s="657"/>
      <c r="N859" s="1482"/>
      <c r="O859" s="656" t="s">
        <v>498</v>
      </c>
      <c r="P859" s="656" t="s">
        <v>13052</v>
      </c>
      <c r="Q859" s="656">
        <v>44216.784189814818</v>
      </c>
    </row>
    <row r="860" spans="1:17">
      <c r="A860" s="656" t="s">
        <v>8964</v>
      </c>
      <c r="B860" s="657" t="s">
        <v>202</v>
      </c>
      <c r="C860" s="656" t="s">
        <v>8919</v>
      </c>
      <c r="D860" s="657" t="s">
        <v>14978</v>
      </c>
      <c r="E860" s="657" t="s">
        <v>7437</v>
      </c>
      <c r="F860" s="656" t="s">
        <v>462</v>
      </c>
      <c r="G860" s="656" t="s">
        <v>512</v>
      </c>
      <c r="H860" s="656" t="s">
        <v>462</v>
      </c>
      <c r="I860" s="656" t="s">
        <v>14976</v>
      </c>
      <c r="J860" s="656" t="s">
        <v>463</v>
      </c>
      <c r="K860" s="656" t="s">
        <v>1924</v>
      </c>
      <c r="L860" s="656" t="s">
        <v>8909</v>
      </c>
      <c r="M860" s="657"/>
      <c r="N860" s="1482"/>
      <c r="O860" s="656" t="s">
        <v>498</v>
      </c>
      <c r="P860" s="656" t="s">
        <v>13052</v>
      </c>
      <c r="Q860" s="656">
        <v>44216.784189814818</v>
      </c>
    </row>
    <row r="861" spans="1:17">
      <c r="A861" s="656" t="s">
        <v>8909</v>
      </c>
      <c r="B861" s="657" t="s">
        <v>202</v>
      </c>
      <c r="C861" s="656" t="s">
        <v>9019</v>
      </c>
      <c r="D861" s="657" t="s">
        <v>14977</v>
      </c>
      <c r="E861" s="657" t="s">
        <v>7437</v>
      </c>
      <c r="F861" s="656" t="s">
        <v>462</v>
      </c>
      <c r="G861" s="656" t="s">
        <v>512</v>
      </c>
      <c r="H861" s="656" t="s">
        <v>462</v>
      </c>
      <c r="I861" s="656" t="s">
        <v>14976</v>
      </c>
      <c r="J861" s="656" t="s">
        <v>463</v>
      </c>
      <c r="K861" s="656" t="s">
        <v>1924</v>
      </c>
      <c r="L861" s="656" t="s">
        <v>8909</v>
      </c>
      <c r="M861" s="657"/>
      <c r="N861" s="1482"/>
      <c r="O861" s="656" t="s">
        <v>498</v>
      </c>
      <c r="P861" s="656" t="s">
        <v>13052</v>
      </c>
      <c r="Q861" s="656">
        <v>44216.784178240741</v>
      </c>
    </row>
    <row r="862" spans="1:17">
      <c r="A862" s="656" t="s">
        <v>9589</v>
      </c>
      <c r="B862" s="657" t="s">
        <v>202</v>
      </c>
      <c r="C862" s="656" t="s">
        <v>10309</v>
      </c>
      <c r="D862" s="657" t="s">
        <v>14978</v>
      </c>
      <c r="E862" s="657" t="s">
        <v>7437</v>
      </c>
      <c r="F862" s="656" t="s">
        <v>537</v>
      </c>
      <c r="G862" s="656" t="s">
        <v>512</v>
      </c>
      <c r="H862" s="656" t="s">
        <v>537</v>
      </c>
      <c r="I862" s="656" t="s">
        <v>14976</v>
      </c>
      <c r="J862" s="656" t="s">
        <v>473</v>
      </c>
      <c r="K862" s="656" t="s">
        <v>4161</v>
      </c>
      <c r="L862" s="656" t="s">
        <v>8910</v>
      </c>
      <c r="M862" s="657"/>
      <c r="N862" s="1482"/>
      <c r="O862" s="656" t="s">
        <v>498</v>
      </c>
      <c r="P862" s="656" t="s">
        <v>13052</v>
      </c>
      <c r="Q862" s="656">
        <v>44216.784178240741</v>
      </c>
    </row>
    <row r="863" spans="1:17">
      <c r="A863" s="656" t="s">
        <v>9591</v>
      </c>
      <c r="B863" s="657" t="s">
        <v>202</v>
      </c>
      <c r="C863" s="656" t="s">
        <v>9590</v>
      </c>
      <c r="D863" s="657" t="s">
        <v>13789</v>
      </c>
      <c r="E863" s="657" t="s">
        <v>7437</v>
      </c>
      <c r="F863" s="656" t="s">
        <v>462</v>
      </c>
      <c r="G863" s="656" t="s">
        <v>512</v>
      </c>
      <c r="H863" s="656" t="s">
        <v>462</v>
      </c>
      <c r="I863" s="656" t="s">
        <v>14976</v>
      </c>
      <c r="J863" s="656" t="s">
        <v>463</v>
      </c>
      <c r="K863" s="656" t="s">
        <v>1924</v>
      </c>
      <c r="L863" s="656"/>
      <c r="M863" s="657"/>
      <c r="N863" s="1482"/>
      <c r="O863" s="656" t="s">
        <v>498</v>
      </c>
      <c r="P863" s="656" t="s">
        <v>13052</v>
      </c>
      <c r="Q863" s="656">
        <v>44216.784166666665</v>
      </c>
    </row>
    <row r="864" spans="1:17">
      <c r="A864" s="656" t="s">
        <v>9593</v>
      </c>
      <c r="B864" s="657" t="s">
        <v>202</v>
      </c>
      <c r="C864" s="656" t="s">
        <v>9592</v>
      </c>
      <c r="D864" s="657" t="s">
        <v>14978</v>
      </c>
      <c r="E864" s="657" t="s">
        <v>7437</v>
      </c>
      <c r="F864" s="656" t="s">
        <v>462</v>
      </c>
      <c r="G864" s="656" t="s">
        <v>512</v>
      </c>
      <c r="H864" s="656" t="s">
        <v>462</v>
      </c>
      <c r="I864" s="656" t="s">
        <v>14976</v>
      </c>
      <c r="J864" s="656" t="s">
        <v>463</v>
      </c>
      <c r="K864" s="656" t="s">
        <v>1924</v>
      </c>
      <c r="L864" s="656" t="s">
        <v>8910</v>
      </c>
      <c r="M864" s="657"/>
      <c r="N864" s="1482"/>
      <c r="O864" s="656" t="s">
        <v>498</v>
      </c>
      <c r="P864" s="656" t="s">
        <v>13052</v>
      </c>
      <c r="Q864" s="656">
        <v>44216.784155092595</v>
      </c>
    </row>
    <row r="865" spans="1:17">
      <c r="A865" s="656" t="s">
        <v>9038</v>
      </c>
      <c r="B865" s="657" t="s">
        <v>202</v>
      </c>
      <c r="C865" s="656" t="s">
        <v>9594</v>
      </c>
      <c r="D865" s="657" t="s">
        <v>13789</v>
      </c>
      <c r="E865" s="657" t="s">
        <v>7437</v>
      </c>
      <c r="F865" s="656" t="s">
        <v>462</v>
      </c>
      <c r="G865" s="656" t="s">
        <v>512</v>
      </c>
      <c r="H865" s="656" t="s">
        <v>462</v>
      </c>
      <c r="I865" s="656" t="s">
        <v>14976</v>
      </c>
      <c r="J865" s="656" t="s">
        <v>463</v>
      </c>
      <c r="K865" s="656" t="s">
        <v>1924</v>
      </c>
      <c r="L865" s="656"/>
      <c r="M865" s="657"/>
      <c r="N865" s="1482"/>
      <c r="O865" s="656" t="s">
        <v>498</v>
      </c>
      <c r="P865" s="656" t="s">
        <v>13052</v>
      </c>
      <c r="Q865" s="656">
        <v>44216.784155092595</v>
      </c>
    </row>
    <row r="866" spans="1:17">
      <c r="A866" s="656" t="s">
        <v>9039</v>
      </c>
      <c r="B866" s="657" t="s">
        <v>202</v>
      </c>
      <c r="C866" s="656" t="s">
        <v>13985</v>
      </c>
      <c r="D866" s="657" t="s">
        <v>14978</v>
      </c>
      <c r="E866" s="657" t="s">
        <v>7437</v>
      </c>
      <c r="F866" s="656" t="s">
        <v>462</v>
      </c>
      <c r="G866" s="656"/>
      <c r="H866" s="656" t="s">
        <v>462</v>
      </c>
      <c r="I866" s="656" t="s">
        <v>14976</v>
      </c>
      <c r="J866" s="656" t="s">
        <v>463</v>
      </c>
      <c r="K866" s="656" t="s">
        <v>1924</v>
      </c>
      <c r="L866" s="656" t="s">
        <v>8910</v>
      </c>
      <c r="M866" s="657"/>
      <c r="N866" s="1482"/>
      <c r="O866" s="656" t="s">
        <v>498</v>
      </c>
      <c r="P866" s="656" t="s">
        <v>13052</v>
      </c>
      <c r="Q866" s="656">
        <v>44216.784155092595</v>
      </c>
    </row>
    <row r="867" spans="1:17">
      <c r="A867" s="656" t="s">
        <v>9040</v>
      </c>
      <c r="B867" s="657" t="s">
        <v>202</v>
      </c>
      <c r="C867" s="656" t="s">
        <v>1550</v>
      </c>
      <c r="D867" s="657" t="s">
        <v>14978</v>
      </c>
      <c r="E867" s="657" t="s">
        <v>7437</v>
      </c>
      <c r="F867" s="656" t="s">
        <v>462</v>
      </c>
      <c r="G867" s="656"/>
      <c r="H867" s="656" t="s">
        <v>462</v>
      </c>
      <c r="I867" s="656" t="s">
        <v>14976</v>
      </c>
      <c r="J867" s="656" t="s">
        <v>463</v>
      </c>
      <c r="K867" s="656" t="s">
        <v>1924</v>
      </c>
      <c r="L867" s="656" t="s">
        <v>8910</v>
      </c>
      <c r="M867" s="657"/>
      <c r="N867" s="1482"/>
      <c r="O867" s="656" t="s">
        <v>498</v>
      </c>
      <c r="P867" s="656" t="s">
        <v>13052</v>
      </c>
      <c r="Q867" s="656">
        <v>44216.784143518518</v>
      </c>
    </row>
    <row r="868" spans="1:17">
      <c r="A868" s="656" t="s">
        <v>8965</v>
      </c>
      <c r="B868" s="657" t="s">
        <v>202</v>
      </c>
      <c r="C868" s="656" t="s">
        <v>13984</v>
      </c>
      <c r="D868" s="657" t="s">
        <v>14978</v>
      </c>
      <c r="E868" s="657" t="s">
        <v>7437</v>
      </c>
      <c r="F868" s="656" t="s">
        <v>462</v>
      </c>
      <c r="G868" s="656"/>
      <c r="H868" s="656" t="s">
        <v>462</v>
      </c>
      <c r="I868" s="656" t="s">
        <v>14976</v>
      </c>
      <c r="J868" s="656" t="s">
        <v>463</v>
      </c>
      <c r="K868" s="656" t="s">
        <v>1924</v>
      </c>
      <c r="L868" s="656" t="s">
        <v>8910</v>
      </c>
      <c r="M868" s="657"/>
      <c r="N868" s="1482"/>
      <c r="O868" s="656" t="s">
        <v>498</v>
      </c>
      <c r="P868" s="656" t="s">
        <v>13052</v>
      </c>
      <c r="Q868" s="656">
        <v>44216.784143518518</v>
      </c>
    </row>
    <row r="869" spans="1:17">
      <c r="A869" s="656" t="s">
        <v>9240</v>
      </c>
      <c r="B869" s="657" t="s">
        <v>202</v>
      </c>
      <c r="C869" s="656" t="s">
        <v>8940</v>
      </c>
      <c r="D869" s="657" t="s">
        <v>14978</v>
      </c>
      <c r="E869" s="657" t="s">
        <v>7437</v>
      </c>
      <c r="F869" s="656" t="s">
        <v>462</v>
      </c>
      <c r="G869" s="656"/>
      <c r="H869" s="656" t="s">
        <v>462</v>
      </c>
      <c r="I869" s="656" t="s">
        <v>14976</v>
      </c>
      <c r="J869" s="656" t="s">
        <v>463</v>
      </c>
      <c r="K869" s="656" t="s">
        <v>1924</v>
      </c>
      <c r="L869" s="656" t="s">
        <v>8910</v>
      </c>
      <c r="M869" s="657"/>
      <c r="N869" s="1482"/>
      <c r="O869" s="656" t="s">
        <v>498</v>
      </c>
      <c r="P869" s="656" t="s">
        <v>13052</v>
      </c>
      <c r="Q869" s="656">
        <v>44216.784131944441</v>
      </c>
    </row>
    <row r="870" spans="1:17">
      <c r="A870" s="656" t="s">
        <v>8910</v>
      </c>
      <c r="B870" s="657" t="s">
        <v>202</v>
      </c>
      <c r="C870" s="656" t="s">
        <v>9595</v>
      </c>
      <c r="D870" s="657" t="s">
        <v>14977</v>
      </c>
      <c r="E870" s="657" t="s">
        <v>7437</v>
      </c>
      <c r="F870" s="656" t="s">
        <v>462</v>
      </c>
      <c r="G870" s="656" t="s">
        <v>512</v>
      </c>
      <c r="H870" s="656" t="s">
        <v>462</v>
      </c>
      <c r="I870" s="656" t="s">
        <v>14976</v>
      </c>
      <c r="J870" s="656" t="s">
        <v>463</v>
      </c>
      <c r="K870" s="656" t="s">
        <v>1924</v>
      </c>
      <c r="L870" s="656"/>
      <c r="M870" s="657"/>
      <c r="N870" s="1482"/>
      <c r="O870" s="656" t="s">
        <v>498</v>
      </c>
      <c r="P870" s="656" t="s">
        <v>13052</v>
      </c>
      <c r="Q870" s="656">
        <v>44216.784131944441</v>
      </c>
    </row>
    <row r="871" spans="1:17">
      <c r="A871" s="656" t="s">
        <v>8911</v>
      </c>
      <c r="B871" s="657" t="s">
        <v>504</v>
      </c>
      <c r="C871" s="656" t="s">
        <v>8902</v>
      </c>
      <c r="D871" s="657" t="s">
        <v>13789</v>
      </c>
      <c r="E871" s="657" t="s">
        <v>9406</v>
      </c>
      <c r="F871" s="656" t="s">
        <v>540</v>
      </c>
      <c r="G871" s="656" t="s">
        <v>625</v>
      </c>
      <c r="H871" s="656" t="s">
        <v>540</v>
      </c>
      <c r="I871" s="656" t="s">
        <v>14976</v>
      </c>
      <c r="J871" s="656"/>
      <c r="K871" s="656"/>
      <c r="L871" s="656"/>
      <c r="M871" s="657"/>
      <c r="N871" s="1482"/>
      <c r="O871" s="656" t="s">
        <v>498</v>
      </c>
      <c r="P871" s="656" t="s">
        <v>13052</v>
      </c>
      <c r="Q871" s="656">
        <v>44216.784131944441</v>
      </c>
    </row>
    <row r="872" spans="1:17">
      <c r="A872" s="656" t="s">
        <v>13982</v>
      </c>
      <c r="B872" s="657" t="s">
        <v>202</v>
      </c>
      <c r="C872" s="656" t="s">
        <v>13983</v>
      </c>
      <c r="D872" s="657" t="s">
        <v>13789</v>
      </c>
      <c r="E872" s="657"/>
      <c r="F872" s="656" t="s">
        <v>472</v>
      </c>
      <c r="G872" s="656" t="s">
        <v>519</v>
      </c>
      <c r="H872" s="656" t="s">
        <v>472</v>
      </c>
      <c r="I872" s="656" t="s">
        <v>14976</v>
      </c>
      <c r="J872" s="656" t="s">
        <v>12368</v>
      </c>
      <c r="K872" s="656" t="s">
        <v>1058</v>
      </c>
      <c r="L872" s="656"/>
      <c r="M872" s="657"/>
      <c r="N872" s="1482"/>
      <c r="O872" s="656" t="s">
        <v>498</v>
      </c>
      <c r="P872" s="656" t="s">
        <v>13052</v>
      </c>
      <c r="Q872" s="656">
        <v>44216.784120370372</v>
      </c>
    </row>
    <row r="873" spans="1:17">
      <c r="A873" s="656" t="s">
        <v>8898</v>
      </c>
      <c r="B873" s="657" t="s">
        <v>202</v>
      </c>
      <c r="C873" s="656" t="s">
        <v>8897</v>
      </c>
      <c r="D873" s="657" t="s">
        <v>13789</v>
      </c>
      <c r="E873" s="657" t="s">
        <v>9406</v>
      </c>
      <c r="F873" s="656" t="s">
        <v>2849</v>
      </c>
      <c r="G873" s="656" t="s">
        <v>512</v>
      </c>
      <c r="H873" s="656" t="s">
        <v>469</v>
      </c>
      <c r="I873" s="656" t="s">
        <v>14976</v>
      </c>
      <c r="J873" s="656" t="s">
        <v>446</v>
      </c>
      <c r="K873" s="656" t="s">
        <v>2849</v>
      </c>
      <c r="L873" s="656"/>
      <c r="M873" s="657"/>
      <c r="N873" s="1482"/>
      <c r="O873" s="656" t="s">
        <v>498</v>
      </c>
      <c r="P873" s="656" t="s">
        <v>13052</v>
      </c>
      <c r="Q873" s="656">
        <v>44216.784120370372</v>
      </c>
    </row>
    <row r="874" spans="1:17">
      <c r="A874" s="656" t="s">
        <v>13981</v>
      </c>
      <c r="B874" s="657" t="s">
        <v>202</v>
      </c>
      <c r="C874" s="656" t="s">
        <v>13975</v>
      </c>
      <c r="D874" s="657" t="s">
        <v>13789</v>
      </c>
      <c r="E874" s="657"/>
      <c r="F874" s="656" t="s">
        <v>3077</v>
      </c>
      <c r="G874" s="656" t="s">
        <v>512</v>
      </c>
      <c r="H874" s="656" t="s">
        <v>465</v>
      </c>
      <c r="I874" s="656" t="s">
        <v>14976</v>
      </c>
      <c r="J874" s="656" t="s">
        <v>446</v>
      </c>
      <c r="K874" s="656" t="s">
        <v>3077</v>
      </c>
      <c r="L874" s="656"/>
      <c r="M874" s="657"/>
      <c r="N874" s="1482"/>
      <c r="O874" s="656" t="s">
        <v>498</v>
      </c>
      <c r="P874" s="656" t="s">
        <v>13052</v>
      </c>
      <c r="Q874" s="656">
        <v>44216.784108796295</v>
      </c>
    </row>
    <row r="875" spans="1:17">
      <c r="A875" s="656" t="s">
        <v>15036</v>
      </c>
      <c r="B875" s="657" t="s">
        <v>504</v>
      </c>
      <c r="C875" s="656" t="s">
        <v>15037</v>
      </c>
      <c r="D875" s="657" t="s">
        <v>13789</v>
      </c>
      <c r="E875" s="657" t="s">
        <v>9406</v>
      </c>
      <c r="F875" s="656" t="s">
        <v>540</v>
      </c>
      <c r="G875" s="656" t="s">
        <v>625</v>
      </c>
      <c r="H875" s="656" t="s">
        <v>540</v>
      </c>
      <c r="I875" s="656" t="s">
        <v>14976</v>
      </c>
      <c r="J875" s="656"/>
      <c r="K875" s="656"/>
      <c r="L875" s="656"/>
      <c r="M875" s="657"/>
      <c r="N875" s="1482"/>
      <c r="O875" s="656" t="s">
        <v>498</v>
      </c>
      <c r="P875" s="656" t="s">
        <v>13052</v>
      </c>
      <c r="Q875" s="656">
        <v>44216.784108796295</v>
      </c>
    </row>
    <row r="876" spans="1:17">
      <c r="A876" s="656" t="s">
        <v>15556</v>
      </c>
      <c r="B876" s="657" t="s">
        <v>202</v>
      </c>
      <c r="C876" s="656" t="s">
        <v>15557</v>
      </c>
      <c r="D876" s="657" t="s">
        <v>14978</v>
      </c>
      <c r="E876" s="657" t="s">
        <v>7435</v>
      </c>
      <c r="F876" s="656" t="s">
        <v>3077</v>
      </c>
      <c r="G876" s="656"/>
      <c r="H876" s="656" t="s">
        <v>3077</v>
      </c>
      <c r="I876" s="656"/>
      <c r="J876" s="656" t="s">
        <v>446</v>
      </c>
      <c r="K876" s="656"/>
      <c r="L876" s="656" t="s">
        <v>8880</v>
      </c>
      <c r="M876" s="657" t="s">
        <v>15517</v>
      </c>
      <c r="N876" s="1482">
        <v>42</v>
      </c>
      <c r="O876" s="656" t="s">
        <v>498</v>
      </c>
      <c r="P876" s="656" t="s">
        <v>13052</v>
      </c>
      <c r="Q876" s="656">
        <v>44237.710717592592</v>
      </c>
    </row>
    <row r="877" spans="1:17">
      <c r="A877" s="656" t="s">
        <v>15538</v>
      </c>
      <c r="B877" s="657" t="s">
        <v>202</v>
      </c>
      <c r="C877" s="656" t="s">
        <v>15539</v>
      </c>
      <c r="D877" s="657" t="s">
        <v>14978</v>
      </c>
      <c r="E877" s="657" t="s">
        <v>7435</v>
      </c>
      <c r="F877" s="656" t="s">
        <v>3077</v>
      </c>
      <c r="G877" s="656"/>
      <c r="H877" s="656" t="s">
        <v>3077</v>
      </c>
      <c r="I877" s="656"/>
      <c r="J877" s="656" t="s">
        <v>446</v>
      </c>
      <c r="K877" s="656"/>
      <c r="L877" s="656" t="s">
        <v>8880</v>
      </c>
      <c r="M877" s="657" t="s">
        <v>15517</v>
      </c>
      <c r="N877" s="1482">
        <v>27</v>
      </c>
      <c r="O877" s="656" t="s">
        <v>498</v>
      </c>
      <c r="P877" s="656" t="s">
        <v>13052</v>
      </c>
      <c r="Q877" s="656">
        <v>44235.368703703702</v>
      </c>
    </row>
    <row r="878" spans="1:17">
      <c r="A878" s="656" t="s">
        <v>9597</v>
      </c>
      <c r="B878" s="657" t="s">
        <v>202</v>
      </c>
      <c r="C878" s="656" t="s">
        <v>9596</v>
      </c>
      <c r="D878" s="657" t="s">
        <v>14978</v>
      </c>
      <c r="E878" s="657" t="s">
        <v>7437</v>
      </c>
      <c r="F878" s="656" t="s">
        <v>3077</v>
      </c>
      <c r="G878" s="656" t="s">
        <v>512</v>
      </c>
      <c r="H878" s="656" t="s">
        <v>465</v>
      </c>
      <c r="I878" s="656" t="s">
        <v>14976</v>
      </c>
      <c r="J878" s="656" t="s">
        <v>446</v>
      </c>
      <c r="K878" s="656" t="s">
        <v>3077</v>
      </c>
      <c r="L878" s="656" t="s">
        <v>8880</v>
      </c>
      <c r="M878" s="657"/>
      <c r="N878" s="1482"/>
      <c r="O878" s="656" t="s">
        <v>498</v>
      </c>
      <c r="P878" s="656" t="s">
        <v>13052</v>
      </c>
      <c r="Q878" s="656">
        <v>44216.784097222226</v>
      </c>
    </row>
    <row r="879" spans="1:17">
      <c r="A879" s="656" t="s">
        <v>9599</v>
      </c>
      <c r="B879" s="657" t="s">
        <v>202</v>
      </c>
      <c r="C879" s="656" t="s">
        <v>9598</v>
      </c>
      <c r="D879" s="657" t="s">
        <v>14978</v>
      </c>
      <c r="E879" s="657" t="s">
        <v>7437</v>
      </c>
      <c r="F879" s="656" t="s">
        <v>3077</v>
      </c>
      <c r="G879" s="656" t="s">
        <v>512</v>
      </c>
      <c r="H879" s="656" t="s">
        <v>465</v>
      </c>
      <c r="I879" s="656" t="s">
        <v>14976</v>
      </c>
      <c r="J879" s="656" t="s">
        <v>446</v>
      </c>
      <c r="K879" s="656" t="s">
        <v>3077</v>
      </c>
      <c r="L879" s="656" t="s">
        <v>8880</v>
      </c>
      <c r="M879" s="657"/>
      <c r="N879" s="1482"/>
      <c r="O879" s="656" t="s">
        <v>498</v>
      </c>
      <c r="P879" s="656" t="s">
        <v>13052</v>
      </c>
      <c r="Q879" s="656">
        <v>44216.784097222226</v>
      </c>
    </row>
    <row r="880" spans="1:17">
      <c r="A880" s="656" t="s">
        <v>13980</v>
      </c>
      <c r="B880" s="657" t="s">
        <v>202</v>
      </c>
      <c r="C880" s="656" t="s">
        <v>9622</v>
      </c>
      <c r="D880" s="657" t="s">
        <v>14978</v>
      </c>
      <c r="E880" s="657"/>
      <c r="F880" s="656" t="s">
        <v>3077</v>
      </c>
      <c r="G880" s="656" t="s">
        <v>512</v>
      </c>
      <c r="H880" s="656" t="s">
        <v>465</v>
      </c>
      <c r="I880" s="656" t="s">
        <v>14976</v>
      </c>
      <c r="J880" s="656" t="s">
        <v>446</v>
      </c>
      <c r="K880" s="656" t="s">
        <v>3077</v>
      </c>
      <c r="L880" s="656" t="s">
        <v>8880</v>
      </c>
      <c r="M880" s="657"/>
      <c r="N880" s="1482"/>
      <c r="O880" s="656" t="s">
        <v>498</v>
      </c>
      <c r="P880" s="656" t="s">
        <v>13052</v>
      </c>
      <c r="Q880" s="656">
        <v>44216.784085648149</v>
      </c>
    </row>
    <row r="881" spans="1:17">
      <c r="A881" s="656" t="s">
        <v>8880</v>
      </c>
      <c r="B881" s="657" t="s">
        <v>202</v>
      </c>
      <c r="C881" s="656" t="s">
        <v>9051</v>
      </c>
      <c r="D881" s="657" t="s">
        <v>14977</v>
      </c>
      <c r="E881" s="657" t="s">
        <v>7437</v>
      </c>
      <c r="F881" s="656" t="s">
        <v>3077</v>
      </c>
      <c r="G881" s="656" t="s">
        <v>512</v>
      </c>
      <c r="H881" s="656" t="s">
        <v>465</v>
      </c>
      <c r="I881" s="656" t="s">
        <v>14976</v>
      </c>
      <c r="J881" s="656" t="s">
        <v>446</v>
      </c>
      <c r="K881" s="656" t="s">
        <v>3077</v>
      </c>
      <c r="L881" s="656"/>
      <c r="M881" s="657"/>
      <c r="N881" s="1482"/>
      <c r="O881" s="656" t="s">
        <v>498</v>
      </c>
      <c r="P881" s="656" t="s">
        <v>13052</v>
      </c>
      <c r="Q881" s="656">
        <v>44216.784085648149</v>
      </c>
    </row>
    <row r="882" spans="1:17">
      <c r="A882" s="656" t="s">
        <v>15540</v>
      </c>
      <c r="B882" s="657" t="s">
        <v>202</v>
      </c>
      <c r="C882" s="656" t="s">
        <v>15541</v>
      </c>
      <c r="D882" s="657" t="s">
        <v>14978</v>
      </c>
      <c r="E882" s="657" t="s">
        <v>7435</v>
      </c>
      <c r="F882" s="656" t="s">
        <v>3077</v>
      </c>
      <c r="G882" s="656"/>
      <c r="H882" s="656" t="s">
        <v>3077</v>
      </c>
      <c r="I882" s="656"/>
      <c r="J882" s="656" t="s">
        <v>446</v>
      </c>
      <c r="K882" s="656"/>
      <c r="L882" s="656" t="s">
        <v>8881</v>
      </c>
      <c r="M882" s="657" t="s">
        <v>15533</v>
      </c>
      <c r="N882" s="1482">
        <v>28</v>
      </c>
      <c r="O882" s="656" t="s">
        <v>498</v>
      </c>
      <c r="P882" s="656" t="s">
        <v>13052</v>
      </c>
      <c r="Q882" s="656">
        <v>44236.440509259257</v>
      </c>
    </row>
    <row r="883" spans="1:17">
      <c r="A883" s="656" t="s">
        <v>13979</v>
      </c>
      <c r="B883" s="657" t="s">
        <v>202</v>
      </c>
      <c r="C883" s="656" t="s">
        <v>9607</v>
      </c>
      <c r="D883" s="657" t="s">
        <v>14978</v>
      </c>
      <c r="E883" s="657"/>
      <c r="F883" s="656" t="s">
        <v>3077</v>
      </c>
      <c r="G883" s="656" t="s">
        <v>512</v>
      </c>
      <c r="H883" s="656" t="s">
        <v>465</v>
      </c>
      <c r="I883" s="656" t="s">
        <v>14976</v>
      </c>
      <c r="J883" s="656" t="s">
        <v>446</v>
      </c>
      <c r="K883" s="656" t="s">
        <v>3077</v>
      </c>
      <c r="L883" s="656" t="s">
        <v>8881</v>
      </c>
      <c r="M883" s="657"/>
      <c r="N883" s="1482"/>
      <c r="O883" s="656" t="s">
        <v>498</v>
      </c>
      <c r="P883" s="656" t="s">
        <v>13052</v>
      </c>
      <c r="Q883" s="656">
        <v>44216.784074074072</v>
      </c>
    </row>
    <row r="884" spans="1:17">
      <c r="A884" s="656" t="s">
        <v>13978</v>
      </c>
      <c r="B884" s="657" t="s">
        <v>202</v>
      </c>
      <c r="C884" s="656" t="s">
        <v>9609</v>
      </c>
      <c r="D884" s="657" t="s">
        <v>14978</v>
      </c>
      <c r="E884" s="657"/>
      <c r="F884" s="656" t="s">
        <v>3077</v>
      </c>
      <c r="G884" s="656" t="s">
        <v>512</v>
      </c>
      <c r="H884" s="656" t="s">
        <v>465</v>
      </c>
      <c r="I884" s="656" t="s">
        <v>14976</v>
      </c>
      <c r="J884" s="656" t="s">
        <v>446</v>
      </c>
      <c r="K884" s="656" t="s">
        <v>3077</v>
      </c>
      <c r="L884" s="656" t="s">
        <v>8881</v>
      </c>
      <c r="M884" s="657"/>
      <c r="N884" s="1482"/>
      <c r="O884" s="656" t="s">
        <v>498</v>
      </c>
      <c r="P884" s="656" t="s">
        <v>13052</v>
      </c>
      <c r="Q884" s="656">
        <v>44216.784062500003</v>
      </c>
    </row>
    <row r="885" spans="1:17">
      <c r="A885" s="656" t="s">
        <v>9601</v>
      </c>
      <c r="B885" s="657" t="s">
        <v>202</v>
      </c>
      <c r="C885" s="656" t="s">
        <v>9600</v>
      </c>
      <c r="D885" s="657" t="s">
        <v>14978</v>
      </c>
      <c r="E885" s="657" t="s">
        <v>7437</v>
      </c>
      <c r="F885" s="656" t="s">
        <v>3077</v>
      </c>
      <c r="G885" s="656" t="s">
        <v>512</v>
      </c>
      <c r="H885" s="656" t="s">
        <v>465</v>
      </c>
      <c r="I885" s="656" t="s">
        <v>14976</v>
      </c>
      <c r="J885" s="656" t="s">
        <v>446</v>
      </c>
      <c r="K885" s="656" t="s">
        <v>3077</v>
      </c>
      <c r="L885" s="656" t="s">
        <v>8881</v>
      </c>
      <c r="M885" s="657"/>
      <c r="N885" s="1482"/>
      <c r="O885" s="656" t="s">
        <v>498</v>
      </c>
      <c r="P885" s="656" t="s">
        <v>13052</v>
      </c>
      <c r="Q885" s="656">
        <v>44216.784062500003</v>
      </c>
    </row>
    <row r="886" spans="1:17">
      <c r="A886" s="656" t="s">
        <v>9603</v>
      </c>
      <c r="B886" s="657" t="s">
        <v>202</v>
      </c>
      <c r="C886" s="656" t="s">
        <v>9602</v>
      </c>
      <c r="D886" s="657" t="s">
        <v>14978</v>
      </c>
      <c r="E886" s="657" t="s">
        <v>7437</v>
      </c>
      <c r="F886" s="656" t="s">
        <v>3077</v>
      </c>
      <c r="G886" s="656" t="s">
        <v>512</v>
      </c>
      <c r="H886" s="656" t="s">
        <v>465</v>
      </c>
      <c r="I886" s="656" t="s">
        <v>14976</v>
      </c>
      <c r="J886" s="656" t="s">
        <v>446</v>
      </c>
      <c r="K886" s="656" t="s">
        <v>3077</v>
      </c>
      <c r="L886" s="656" t="s">
        <v>8881</v>
      </c>
      <c r="M886" s="657"/>
      <c r="N886" s="1482"/>
      <c r="O886" s="656" t="s">
        <v>498</v>
      </c>
      <c r="P886" s="656" t="s">
        <v>13052</v>
      </c>
      <c r="Q886" s="656">
        <v>44216.784062500003</v>
      </c>
    </row>
    <row r="887" spans="1:17">
      <c r="A887" s="656" t="s">
        <v>13977</v>
      </c>
      <c r="B887" s="657" t="s">
        <v>202</v>
      </c>
      <c r="C887" s="656" t="s">
        <v>1094</v>
      </c>
      <c r="D887" s="657" t="s">
        <v>14978</v>
      </c>
      <c r="E887" s="657"/>
      <c r="F887" s="656" t="s">
        <v>3077</v>
      </c>
      <c r="G887" s="656" t="s">
        <v>512</v>
      </c>
      <c r="H887" s="656" t="s">
        <v>465</v>
      </c>
      <c r="I887" s="656" t="s">
        <v>14976</v>
      </c>
      <c r="J887" s="656" t="s">
        <v>446</v>
      </c>
      <c r="K887" s="656" t="s">
        <v>3077</v>
      </c>
      <c r="L887" s="656"/>
      <c r="M887" s="657"/>
      <c r="N887" s="1482"/>
      <c r="O887" s="656" t="s">
        <v>498</v>
      </c>
      <c r="P887" s="656" t="s">
        <v>13052</v>
      </c>
      <c r="Q887" s="656">
        <v>44216.784050925926</v>
      </c>
    </row>
    <row r="888" spans="1:17">
      <c r="A888" s="656" t="s">
        <v>9605</v>
      </c>
      <c r="B888" s="657" t="s">
        <v>202</v>
      </c>
      <c r="C888" s="656" t="s">
        <v>9604</v>
      </c>
      <c r="D888" s="657" t="s">
        <v>14978</v>
      </c>
      <c r="E888" s="657" t="s">
        <v>7437</v>
      </c>
      <c r="F888" s="656" t="s">
        <v>3077</v>
      </c>
      <c r="G888" s="656" t="s">
        <v>512</v>
      </c>
      <c r="H888" s="656" t="s">
        <v>465</v>
      </c>
      <c r="I888" s="656" t="s">
        <v>14976</v>
      </c>
      <c r="J888" s="656" t="s">
        <v>446</v>
      </c>
      <c r="K888" s="656" t="s">
        <v>3077</v>
      </c>
      <c r="L888" s="656" t="s">
        <v>8881</v>
      </c>
      <c r="M888" s="657"/>
      <c r="N888" s="1482"/>
      <c r="O888" s="656" t="s">
        <v>498</v>
      </c>
      <c r="P888" s="656" t="s">
        <v>13052</v>
      </c>
      <c r="Q888" s="656">
        <v>44216.784039351849</v>
      </c>
    </row>
    <row r="889" spans="1:17">
      <c r="A889" s="656" t="s">
        <v>8881</v>
      </c>
      <c r="B889" s="657" t="s">
        <v>202</v>
      </c>
      <c r="C889" s="656" t="s">
        <v>9606</v>
      </c>
      <c r="D889" s="657" t="s">
        <v>14977</v>
      </c>
      <c r="E889" s="657" t="s">
        <v>7437</v>
      </c>
      <c r="F889" s="656" t="s">
        <v>3077</v>
      </c>
      <c r="G889" s="656" t="s">
        <v>512</v>
      </c>
      <c r="H889" s="656" t="s">
        <v>465</v>
      </c>
      <c r="I889" s="656" t="s">
        <v>14976</v>
      </c>
      <c r="J889" s="656" t="s">
        <v>446</v>
      </c>
      <c r="K889" s="656" t="s">
        <v>3077</v>
      </c>
      <c r="L889" s="656"/>
      <c r="M889" s="657"/>
      <c r="N889" s="1482"/>
      <c r="O889" s="656" t="s">
        <v>498</v>
      </c>
      <c r="P889" s="656" t="s">
        <v>13052</v>
      </c>
      <c r="Q889" s="656">
        <v>44216.784039351849</v>
      </c>
    </row>
    <row r="890" spans="1:17">
      <c r="A890" s="656" t="s">
        <v>15606</v>
      </c>
      <c r="B890" s="657" t="s">
        <v>202</v>
      </c>
      <c r="C890" s="656" t="s">
        <v>15607</v>
      </c>
      <c r="D890" s="657" t="s">
        <v>14978</v>
      </c>
      <c r="E890" s="657" t="s">
        <v>7435</v>
      </c>
      <c r="F890" s="656" t="s">
        <v>3077</v>
      </c>
      <c r="G890" s="656"/>
      <c r="H890" s="656" t="s">
        <v>3077</v>
      </c>
      <c r="I890" s="656"/>
      <c r="J890" s="656" t="s">
        <v>446</v>
      </c>
      <c r="K890" s="656"/>
      <c r="L890" s="656" t="s">
        <v>8882</v>
      </c>
      <c r="M890" s="657" t="s">
        <v>15517</v>
      </c>
      <c r="N890" s="1482">
        <v>72</v>
      </c>
      <c r="O890" s="656" t="s">
        <v>498</v>
      </c>
      <c r="P890" s="656" t="s">
        <v>13052</v>
      </c>
      <c r="Q890" s="656">
        <v>44239.787430555552</v>
      </c>
    </row>
    <row r="891" spans="1:17">
      <c r="A891" s="656" t="s">
        <v>15563</v>
      </c>
      <c r="B891" s="657" t="s">
        <v>202</v>
      </c>
      <c r="C891" s="656" t="s">
        <v>15564</v>
      </c>
      <c r="D891" s="657" t="s">
        <v>14978</v>
      </c>
      <c r="E891" s="657" t="s">
        <v>7435</v>
      </c>
      <c r="F891" s="656" t="s">
        <v>3077</v>
      </c>
      <c r="G891" s="656"/>
      <c r="H891" s="656" t="s">
        <v>3077</v>
      </c>
      <c r="I891" s="656"/>
      <c r="J891" s="656" t="s">
        <v>446</v>
      </c>
      <c r="K891" s="656"/>
      <c r="L891" s="656" t="s">
        <v>8882</v>
      </c>
      <c r="M891" s="657" t="s">
        <v>15517</v>
      </c>
      <c r="N891" s="1482">
        <v>46</v>
      </c>
      <c r="O891" s="656" t="s">
        <v>498</v>
      </c>
      <c r="P891" s="656" t="s">
        <v>13052</v>
      </c>
      <c r="Q891" s="656">
        <v>44239.37940972222</v>
      </c>
    </row>
    <row r="892" spans="1:17">
      <c r="A892" s="656" t="s">
        <v>15554</v>
      </c>
      <c r="B892" s="657" t="s">
        <v>202</v>
      </c>
      <c r="C892" s="656" t="s">
        <v>15555</v>
      </c>
      <c r="D892" s="657" t="s">
        <v>14978</v>
      </c>
      <c r="E892" s="657" t="s">
        <v>7435</v>
      </c>
      <c r="F892" s="656" t="s">
        <v>3077</v>
      </c>
      <c r="G892" s="656"/>
      <c r="H892" s="656" t="s">
        <v>3077</v>
      </c>
      <c r="I892" s="656"/>
      <c r="J892" s="656" t="s">
        <v>446</v>
      </c>
      <c r="K892" s="656"/>
      <c r="L892" s="656" t="s">
        <v>8882</v>
      </c>
      <c r="M892" s="657" t="s">
        <v>15517</v>
      </c>
      <c r="N892" s="1482">
        <v>41</v>
      </c>
      <c r="O892" s="656" t="s">
        <v>498</v>
      </c>
      <c r="P892" s="656" t="s">
        <v>13052</v>
      </c>
      <c r="Q892" s="656">
        <v>44237.708101851851</v>
      </c>
    </row>
    <row r="893" spans="1:17">
      <c r="A893" s="656" t="s">
        <v>9608</v>
      </c>
      <c r="B893" s="657" t="s">
        <v>202</v>
      </c>
      <c r="C893" s="656" t="s">
        <v>9607</v>
      </c>
      <c r="D893" s="657" t="s">
        <v>14978</v>
      </c>
      <c r="E893" s="657" t="s">
        <v>9406</v>
      </c>
      <c r="F893" s="656" t="s">
        <v>3077</v>
      </c>
      <c r="G893" s="656" t="s">
        <v>512</v>
      </c>
      <c r="H893" s="656" t="s">
        <v>465</v>
      </c>
      <c r="I893" s="656" t="s">
        <v>14976</v>
      </c>
      <c r="J893" s="656" t="s">
        <v>446</v>
      </c>
      <c r="K893" s="656" t="s">
        <v>3077</v>
      </c>
      <c r="L893" s="656" t="s">
        <v>8882</v>
      </c>
      <c r="M893" s="657"/>
      <c r="N893" s="1482"/>
      <c r="O893" s="656" t="s">
        <v>498</v>
      </c>
      <c r="P893" s="656" t="s">
        <v>13052</v>
      </c>
      <c r="Q893" s="656">
        <v>44216.78402777778</v>
      </c>
    </row>
    <row r="894" spans="1:17">
      <c r="A894" s="656" t="s">
        <v>9610</v>
      </c>
      <c r="B894" s="657" t="s">
        <v>202</v>
      </c>
      <c r="C894" s="656" t="s">
        <v>9609</v>
      </c>
      <c r="D894" s="657" t="s">
        <v>14978</v>
      </c>
      <c r="E894" s="657" t="s">
        <v>7437</v>
      </c>
      <c r="F894" s="656" t="s">
        <v>3077</v>
      </c>
      <c r="G894" s="656" t="s">
        <v>512</v>
      </c>
      <c r="H894" s="656" t="s">
        <v>465</v>
      </c>
      <c r="I894" s="656" t="s">
        <v>14976</v>
      </c>
      <c r="J894" s="656" t="s">
        <v>446</v>
      </c>
      <c r="K894" s="656" t="s">
        <v>3077</v>
      </c>
      <c r="L894" s="656" t="s">
        <v>8882</v>
      </c>
      <c r="M894" s="657"/>
      <c r="N894" s="1482"/>
      <c r="O894" s="656" t="s">
        <v>498</v>
      </c>
      <c r="P894" s="656" t="s">
        <v>13052</v>
      </c>
      <c r="Q894" s="656">
        <v>44216.784016203703</v>
      </c>
    </row>
    <row r="895" spans="1:17">
      <c r="A895" s="656" t="s">
        <v>9611</v>
      </c>
      <c r="B895" s="657" t="s">
        <v>202</v>
      </c>
      <c r="C895" s="656" t="s">
        <v>12530</v>
      </c>
      <c r="D895" s="657" t="s">
        <v>14978</v>
      </c>
      <c r="E895" s="657" t="s">
        <v>7437</v>
      </c>
      <c r="F895" s="656" t="s">
        <v>3077</v>
      </c>
      <c r="G895" s="656" t="s">
        <v>512</v>
      </c>
      <c r="H895" s="656" t="s">
        <v>465</v>
      </c>
      <c r="I895" s="656" t="s">
        <v>14976</v>
      </c>
      <c r="J895" s="656" t="s">
        <v>446</v>
      </c>
      <c r="K895" s="656" t="s">
        <v>3077</v>
      </c>
      <c r="L895" s="656" t="s">
        <v>8882</v>
      </c>
      <c r="M895" s="657"/>
      <c r="N895" s="1482"/>
      <c r="O895" s="656" t="s">
        <v>498</v>
      </c>
      <c r="P895" s="656" t="s">
        <v>13052</v>
      </c>
      <c r="Q895" s="656">
        <v>44216.784016203703</v>
      </c>
    </row>
    <row r="896" spans="1:17">
      <c r="A896" s="656" t="s">
        <v>8882</v>
      </c>
      <c r="B896" s="657" t="s">
        <v>202</v>
      </c>
      <c r="C896" s="656" t="s">
        <v>9612</v>
      </c>
      <c r="D896" s="657" t="s">
        <v>14977</v>
      </c>
      <c r="E896" s="657" t="s">
        <v>7437</v>
      </c>
      <c r="F896" s="656" t="s">
        <v>3077</v>
      </c>
      <c r="G896" s="656" t="s">
        <v>512</v>
      </c>
      <c r="H896" s="656" t="s">
        <v>465</v>
      </c>
      <c r="I896" s="656" t="s">
        <v>14976</v>
      </c>
      <c r="J896" s="656" t="s">
        <v>446</v>
      </c>
      <c r="K896" s="656" t="s">
        <v>3077</v>
      </c>
      <c r="L896" s="656"/>
      <c r="M896" s="657"/>
      <c r="N896" s="1482"/>
      <c r="O896" s="656" t="s">
        <v>498</v>
      </c>
      <c r="P896" s="656" t="s">
        <v>13052</v>
      </c>
      <c r="Q896" s="656">
        <v>44216.784004629626</v>
      </c>
    </row>
    <row r="897" spans="1:17">
      <c r="A897" s="656" t="s">
        <v>13976</v>
      </c>
      <c r="B897" s="657" t="s">
        <v>202</v>
      </c>
      <c r="C897" s="656" t="s">
        <v>9620</v>
      </c>
      <c r="D897" s="657" t="s">
        <v>14978</v>
      </c>
      <c r="E897" s="657"/>
      <c r="F897" s="656" t="s">
        <v>3077</v>
      </c>
      <c r="G897" s="656" t="s">
        <v>512</v>
      </c>
      <c r="H897" s="656" t="s">
        <v>465</v>
      </c>
      <c r="I897" s="656" t="s">
        <v>14976</v>
      </c>
      <c r="J897" s="656" t="s">
        <v>446</v>
      </c>
      <c r="K897" s="656" t="s">
        <v>3077</v>
      </c>
      <c r="L897" s="656" t="s">
        <v>8883</v>
      </c>
      <c r="M897" s="657"/>
      <c r="N897" s="1482"/>
      <c r="O897" s="656" t="s">
        <v>498</v>
      </c>
      <c r="P897" s="656" t="s">
        <v>13052</v>
      </c>
      <c r="Q897" s="656">
        <v>44216.784004629626</v>
      </c>
    </row>
    <row r="898" spans="1:17">
      <c r="A898" s="656" t="s">
        <v>8883</v>
      </c>
      <c r="B898" s="657" t="s">
        <v>202</v>
      </c>
      <c r="C898" s="656" t="s">
        <v>9613</v>
      </c>
      <c r="D898" s="657" t="s">
        <v>14977</v>
      </c>
      <c r="E898" s="657" t="s">
        <v>7437</v>
      </c>
      <c r="F898" s="656" t="s">
        <v>3077</v>
      </c>
      <c r="G898" s="656" t="s">
        <v>512</v>
      </c>
      <c r="H898" s="656" t="s">
        <v>465</v>
      </c>
      <c r="I898" s="656" t="s">
        <v>14976</v>
      </c>
      <c r="J898" s="656" t="s">
        <v>446</v>
      </c>
      <c r="K898" s="656" t="s">
        <v>3077</v>
      </c>
      <c r="L898" s="656"/>
      <c r="M898" s="657"/>
      <c r="N898" s="1482"/>
      <c r="O898" s="656" t="s">
        <v>498</v>
      </c>
      <c r="P898" s="656" t="s">
        <v>13052</v>
      </c>
      <c r="Q898" s="656">
        <v>44216.783993055556</v>
      </c>
    </row>
    <row r="899" spans="1:17">
      <c r="A899" s="656" t="s">
        <v>15604</v>
      </c>
      <c r="B899" s="657" t="s">
        <v>202</v>
      </c>
      <c r="C899" s="656" t="s">
        <v>15605</v>
      </c>
      <c r="D899" s="657" t="s">
        <v>14978</v>
      </c>
      <c r="E899" s="657" t="s">
        <v>7435</v>
      </c>
      <c r="F899" s="656" t="s">
        <v>3077</v>
      </c>
      <c r="G899" s="656"/>
      <c r="H899" s="656" t="s">
        <v>3077</v>
      </c>
      <c r="I899" s="656"/>
      <c r="J899" s="656" t="s">
        <v>446</v>
      </c>
      <c r="K899" s="656"/>
      <c r="L899" s="656" t="s">
        <v>8884</v>
      </c>
      <c r="M899" s="657" t="s">
        <v>15517</v>
      </c>
      <c r="N899" s="1482">
        <v>73</v>
      </c>
      <c r="O899" s="656" t="s">
        <v>498</v>
      </c>
      <c r="P899" s="656" t="s">
        <v>13052</v>
      </c>
      <c r="Q899" s="656">
        <v>44239.786898148152</v>
      </c>
    </row>
    <row r="900" spans="1:17">
      <c r="A900" s="656" t="s">
        <v>15552</v>
      </c>
      <c r="B900" s="657" t="s">
        <v>202</v>
      </c>
      <c r="C900" s="656" t="s">
        <v>15553</v>
      </c>
      <c r="D900" s="657" t="s">
        <v>14978</v>
      </c>
      <c r="E900" s="657" t="s">
        <v>7435</v>
      </c>
      <c r="F900" s="656" t="s">
        <v>3077</v>
      </c>
      <c r="G900" s="656"/>
      <c r="H900" s="656" t="s">
        <v>3077</v>
      </c>
      <c r="I900" s="656"/>
      <c r="J900" s="656" t="s">
        <v>446</v>
      </c>
      <c r="K900" s="656"/>
      <c r="L900" s="656" t="s">
        <v>8884</v>
      </c>
      <c r="M900" s="657" t="s">
        <v>15517</v>
      </c>
      <c r="N900" s="1482">
        <v>40</v>
      </c>
      <c r="O900" s="656" t="s">
        <v>498</v>
      </c>
      <c r="P900" s="656" t="s">
        <v>13052</v>
      </c>
      <c r="Q900" s="656">
        <v>44237.706747685188</v>
      </c>
    </row>
    <row r="901" spans="1:17">
      <c r="A901" s="656" t="s">
        <v>15550</v>
      </c>
      <c r="B901" s="657" t="s">
        <v>202</v>
      </c>
      <c r="C901" s="656" t="s">
        <v>15551</v>
      </c>
      <c r="D901" s="657" t="s">
        <v>14978</v>
      </c>
      <c r="E901" s="657" t="s">
        <v>7435</v>
      </c>
      <c r="F901" s="656" t="s">
        <v>3077</v>
      </c>
      <c r="G901" s="656"/>
      <c r="H901" s="656" t="s">
        <v>3077</v>
      </c>
      <c r="I901" s="656"/>
      <c r="J901" s="656" t="s">
        <v>446</v>
      </c>
      <c r="K901" s="656"/>
      <c r="L901" s="656" t="s">
        <v>8884</v>
      </c>
      <c r="M901" s="657" t="s">
        <v>15517</v>
      </c>
      <c r="N901" s="1482">
        <v>39</v>
      </c>
      <c r="O901" s="656" t="s">
        <v>498</v>
      </c>
      <c r="P901" s="656" t="s">
        <v>13052</v>
      </c>
      <c r="Q901" s="656">
        <v>44237.706250000003</v>
      </c>
    </row>
    <row r="902" spans="1:17">
      <c r="A902" s="656" t="s">
        <v>15505</v>
      </c>
      <c r="B902" s="657" t="s">
        <v>202</v>
      </c>
      <c r="C902" s="656" t="s">
        <v>15506</v>
      </c>
      <c r="D902" s="657" t="s">
        <v>15491</v>
      </c>
      <c r="E902" s="657" t="s">
        <v>7437</v>
      </c>
      <c r="F902" s="656" t="s">
        <v>3077</v>
      </c>
      <c r="G902" s="656" t="s">
        <v>512</v>
      </c>
      <c r="H902" s="656"/>
      <c r="I902" s="656"/>
      <c r="J902" s="656" t="s">
        <v>446</v>
      </c>
      <c r="K902" s="656" t="s">
        <v>3077</v>
      </c>
      <c r="L902" s="656" t="s">
        <v>8884</v>
      </c>
      <c r="M902" s="657"/>
      <c r="N902" s="1482"/>
      <c r="O902" s="656" t="s">
        <v>498</v>
      </c>
      <c r="P902" s="656" t="s">
        <v>13052</v>
      </c>
      <c r="Q902" s="656">
        <v>44223.660532407404</v>
      </c>
    </row>
    <row r="903" spans="1:17">
      <c r="A903" s="656" t="s">
        <v>15742</v>
      </c>
      <c r="B903" s="657" t="s">
        <v>202</v>
      </c>
      <c r="C903" s="656" t="s">
        <v>15743</v>
      </c>
      <c r="D903" s="657" t="s">
        <v>15491</v>
      </c>
      <c r="E903" s="657" t="s">
        <v>7437</v>
      </c>
      <c r="F903" s="656" t="s">
        <v>3077</v>
      </c>
      <c r="G903" s="656" t="s">
        <v>512</v>
      </c>
      <c r="H903" s="656" t="s">
        <v>465</v>
      </c>
      <c r="I903" s="656"/>
      <c r="J903" s="656" t="s">
        <v>446</v>
      </c>
      <c r="K903" s="656"/>
      <c r="L903" s="656" t="s">
        <v>8884</v>
      </c>
      <c r="M903" s="657"/>
      <c r="N903" s="1482"/>
      <c r="O903" s="656" t="s">
        <v>498</v>
      </c>
      <c r="P903" s="656" t="s">
        <v>13052</v>
      </c>
      <c r="Q903" s="656">
        <v>44250.462025462963</v>
      </c>
    </row>
    <row r="904" spans="1:17">
      <c r="A904" s="656" t="s">
        <v>15740</v>
      </c>
      <c r="B904" s="657" t="s">
        <v>202</v>
      </c>
      <c r="C904" s="656" t="s">
        <v>15741</v>
      </c>
      <c r="D904" s="657" t="s">
        <v>15491</v>
      </c>
      <c r="E904" s="657" t="s">
        <v>7437</v>
      </c>
      <c r="F904" s="656" t="s">
        <v>3077</v>
      </c>
      <c r="G904" s="656" t="s">
        <v>512</v>
      </c>
      <c r="H904" s="656" t="s">
        <v>465</v>
      </c>
      <c r="I904" s="656"/>
      <c r="J904" s="656" t="s">
        <v>446</v>
      </c>
      <c r="K904" s="656"/>
      <c r="L904" s="656" t="s">
        <v>8884</v>
      </c>
      <c r="M904" s="657"/>
      <c r="N904" s="1482"/>
      <c r="O904" s="656" t="s">
        <v>498</v>
      </c>
      <c r="P904" s="656" t="s">
        <v>13052</v>
      </c>
      <c r="Q904" s="656">
        <v>44250.461446759262</v>
      </c>
    </row>
    <row r="905" spans="1:17">
      <c r="A905" s="656" t="s">
        <v>15738</v>
      </c>
      <c r="B905" s="657" t="s">
        <v>202</v>
      </c>
      <c r="C905" s="656" t="s">
        <v>15739</v>
      </c>
      <c r="D905" s="657" t="s">
        <v>15491</v>
      </c>
      <c r="E905" s="657" t="s">
        <v>7437</v>
      </c>
      <c r="F905" s="656" t="s">
        <v>3077</v>
      </c>
      <c r="G905" s="656" t="s">
        <v>512</v>
      </c>
      <c r="H905" s="656" t="s">
        <v>465</v>
      </c>
      <c r="I905" s="656"/>
      <c r="J905" s="656" t="s">
        <v>446</v>
      </c>
      <c r="K905" s="656"/>
      <c r="L905" s="656" t="s">
        <v>8884</v>
      </c>
      <c r="M905" s="657"/>
      <c r="N905" s="1482"/>
      <c r="O905" s="656" t="s">
        <v>498</v>
      </c>
      <c r="P905" s="656" t="s">
        <v>13052</v>
      </c>
      <c r="Q905" s="656">
        <v>44250.460972222223</v>
      </c>
    </row>
    <row r="906" spans="1:17">
      <c r="A906" s="656" t="s">
        <v>15736</v>
      </c>
      <c r="B906" s="657" t="s">
        <v>202</v>
      </c>
      <c r="C906" s="656" t="s">
        <v>15737</v>
      </c>
      <c r="D906" s="657" t="s">
        <v>15491</v>
      </c>
      <c r="E906" s="657" t="s">
        <v>7437</v>
      </c>
      <c r="F906" s="656" t="s">
        <v>3077</v>
      </c>
      <c r="G906" s="656" t="s">
        <v>512</v>
      </c>
      <c r="H906" s="656" t="s">
        <v>465</v>
      </c>
      <c r="I906" s="656"/>
      <c r="J906" s="656" t="s">
        <v>446</v>
      </c>
      <c r="K906" s="656"/>
      <c r="L906" s="656" t="s">
        <v>8884</v>
      </c>
      <c r="M906" s="657"/>
      <c r="N906" s="1482"/>
      <c r="O906" s="656" t="s">
        <v>498</v>
      </c>
      <c r="P906" s="656" t="s">
        <v>13052</v>
      </c>
      <c r="Q906" s="656">
        <v>44250.460034722222</v>
      </c>
    </row>
    <row r="907" spans="1:17">
      <c r="A907" s="656" t="s">
        <v>15470</v>
      </c>
      <c r="B907" s="657" t="s">
        <v>202</v>
      </c>
      <c r="C907" s="656" t="s">
        <v>15471</v>
      </c>
      <c r="D907" s="657" t="s">
        <v>15491</v>
      </c>
      <c r="E907" s="657" t="s">
        <v>7437</v>
      </c>
      <c r="F907" s="656" t="s">
        <v>3077</v>
      </c>
      <c r="G907" s="656" t="s">
        <v>512</v>
      </c>
      <c r="H907" s="656" t="s">
        <v>465</v>
      </c>
      <c r="I907" s="656"/>
      <c r="J907" s="656" t="s">
        <v>446</v>
      </c>
      <c r="K907" s="656" t="s">
        <v>15530</v>
      </c>
      <c r="L907" s="656" t="s">
        <v>8884</v>
      </c>
      <c r="M907" s="657"/>
      <c r="N907" s="1482"/>
      <c r="O907" s="656" t="s">
        <v>498</v>
      </c>
      <c r="P907" s="656" t="s">
        <v>13052</v>
      </c>
      <c r="Q907" s="656">
        <v>44230.570775462962</v>
      </c>
    </row>
    <row r="908" spans="1:17">
      <c r="A908" s="656" t="s">
        <v>9615</v>
      </c>
      <c r="B908" s="657" t="s">
        <v>202</v>
      </c>
      <c r="C908" s="656" t="s">
        <v>9614</v>
      </c>
      <c r="D908" s="657" t="s">
        <v>14978</v>
      </c>
      <c r="E908" s="657" t="s">
        <v>9510</v>
      </c>
      <c r="F908" s="656" t="s">
        <v>3077</v>
      </c>
      <c r="G908" s="656" t="s">
        <v>552</v>
      </c>
      <c r="H908" s="656" t="s">
        <v>465</v>
      </c>
      <c r="I908" s="656" t="s">
        <v>14976</v>
      </c>
      <c r="J908" s="656" t="s">
        <v>446</v>
      </c>
      <c r="K908" s="656" t="s">
        <v>3077</v>
      </c>
      <c r="L908" s="656" t="s">
        <v>8884</v>
      </c>
      <c r="M908" s="657"/>
      <c r="N908" s="1482"/>
      <c r="O908" s="656" t="s">
        <v>498</v>
      </c>
      <c r="P908" s="656" t="s">
        <v>13052</v>
      </c>
      <c r="Q908" s="656">
        <v>44216.783993055556</v>
      </c>
    </row>
    <row r="909" spans="1:17">
      <c r="A909" s="656" t="s">
        <v>9616</v>
      </c>
      <c r="B909" s="657" t="s">
        <v>202</v>
      </c>
      <c r="C909" s="656" t="s">
        <v>673</v>
      </c>
      <c r="D909" s="657" t="s">
        <v>13789</v>
      </c>
      <c r="E909" s="657" t="s">
        <v>9406</v>
      </c>
      <c r="F909" s="656" t="s">
        <v>477</v>
      </c>
      <c r="G909" s="656" t="s">
        <v>1195</v>
      </c>
      <c r="H909" s="656" t="s">
        <v>477</v>
      </c>
      <c r="I909" s="656" t="s">
        <v>14976</v>
      </c>
      <c r="J909" s="656" t="s">
        <v>446</v>
      </c>
      <c r="K909" s="656" t="s">
        <v>1058</v>
      </c>
      <c r="L909" s="656" t="s">
        <v>8884</v>
      </c>
      <c r="M909" s="657"/>
      <c r="N909" s="1482"/>
      <c r="O909" s="656" t="s">
        <v>498</v>
      </c>
      <c r="P909" s="656" t="s">
        <v>13052</v>
      </c>
      <c r="Q909" s="656">
        <v>44216.78398148148</v>
      </c>
    </row>
    <row r="910" spans="1:17">
      <c r="A910" s="656" t="s">
        <v>9617</v>
      </c>
      <c r="B910" s="657" t="s">
        <v>202</v>
      </c>
      <c r="C910" s="656" t="s">
        <v>13975</v>
      </c>
      <c r="D910" s="657" t="s">
        <v>13789</v>
      </c>
      <c r="E910" s="657" t="s">
        <v>9406</v>
      </c>
      <c r="F910" s="656" t="s">
        <v>3077</v>
      </c>
      <c r="G910" s="656" t="s">
        <v>512</v>
      </c>
      <c r="H910" s="656" t="s">
        <v>465</v>
      </c>
      <c r="I910" s="656" t="s">
        <v>14976</v>
      </c>
      <c r="J910" s="656" t="s">
        <v>446</v>
      </c>
      <c r="K910" s="656" t="s">
        <v>3077</v>
      </c>
      <c r="L910" s="656" t="s">
        <v>8884</v>
      </c>
      <c r="M910" s="657"/>
      <c r="N910" s="1482"/>
      <c r="O910" s="656" t="s">
        <v>498</v>
      </c>
      <c r="P910" s="656" t="s">
        <v>13052</v>
      </c>
      <c r="Q910" s="656">
        <v>44216.78398148148</v>
      </c>
    </row>
    <row r="911" spans="1:17">
      <c r="A911" s="656" t="s">
        <v>9619</v>
      </c>
      <c r="B911" s="657" t="s">
        <v>202</v>
      </c>
      <c r="C911" s="656" t="s">
        <v>9618</v>
      </c>
      <c r="D911" s="657" t="s">
        <v>14978</v>
      </c>
      <c r="E911" s="657" t="s">
        <v>9406</v>
      </c>
      <c r="F911" s="656" t="s">
        <v>3077</v>
      </c>
      <c r="G911" s="656" t="s">
        <v>512</v>
      </c>
      <c r="H911" s="656" t="s">
        <v>465</v>
      </c>
      <c r="I911" s="656" t="s">
        <v>14976</v>
      </c>
      <c r="J911" s="656" t="s">
        <v>446</v>
      </c>
      <c r="K911" s="656" t="s">
        <v>3077</v>
      </c>
      <c r="L911" s="656" t="s">
        <v>8884</v>
      </c>
      <c r="M911" s="657"/>
      <c r="N911" s="1482"/>
      <c r="O911" s="656" t="s">
        <v>498</v>
      </c>
      <c r="P911" s="656" t="s">
        <v>13052</v>
      </c>
      <c r="Q911" s="656">
        <v>44216.78396990741</v>
      </c>
    </row>
    <row r="912" spans="1:17">
      <c r="A912" s="656" t="s">
        <v>9621</v>
      </c>
      <c r="B912" s="657" t="s">
        <v>202</v>
      </c>
      <c r="C912" s="656" t="s">
        <v>9620</v>
      </c>
      <c r="D912" s="657" t="s">
        <v>14978</v>
      </c>
      <c r="E912" s="657" t="s">
        <v>7437</v>
      </c>
      <c r="F912" s="656" t="s">
        <v>3077</v>
      </c>
      <c r="G912" s="656" t="s">
        <v>512</v>
      </c>
      <c r="H912" s="656" t="s">
        <v>465</v>
      </c>
      <c r="I912" s="656" t="s">
        <v>14976</v>
      </c>
      <c r="J912" s="656" t="s">
        <v>446</v>
      </c>
      <c r="K912" s="656" t="s">
        <v>3077</v>
      </c>
      <c r="L912" s="656" t="s">
        <v>8884</v>
      </c>
      <c r="M912" s="657"/>
      <c r="N912" s="1482"/>
      <c r="O912" s="656" t="s">
        <v>498</v>
      </c>
      <c r="P912" s="656" t="s">
        <v>13052</v>
      </c>
      <c r="Q912" s="656">
        <v>44216.78396990741</v>
      </c>
    </row>
    <row r="913" spans="1:17">
      <c r="A913" s="656" t="s">
        <v>9623</v>
      </c>
      <c r="B913" s="657" t="s">
        <v>202</v>
      </c>
      <c r="C913" s="656" t="s">
        <v>9622</v>
      </c>
      <c r="D913" s="657" t="s">
        <v>14978</v>
      </c>
      <c r="E913" s="657" t="s">
        <v>7437</v>
      </c>
      <c r="F913" s="656" t="s">
        <v>3077</v>
      </c>
      <c r="G913" s="656" t="s">
        <v>512</v>
      </c>
      <c r="H913" s="656" t="s">
        <v>465</v>
      </c>
      <c r="I913" s="656" t="s">
        <v>14976</v>
      </c>
      <c r="J913" s="656" t="s">
        <v>446</v>
      </c>
      <c r="K913" s="656" t="s">
        <v>3077</v>
      </c>
      <c r="L913" s="656" t="s">
        <v>8884</v>
      </c>
      <c r="M913" s="657"/>
      <c r="N913" s="1482"/>
      <c r="O913" s="656" t="s">
        <v>498</v>
      </c>
      <c r="P913" s="656" t="s">
        <v>13052</v>
      </c>
      <c r="Q913" s="656">
        <v>44216.783958333333</v>
      </c>
    </row>
    <row r="914" spans="1:17">
      <c r="A914" s="656" t="s">
        <v>9625</v>
      </c>
      <c r="B914" s="657" t="s">
        <v>202</v>
      </c>
      <c r="C914" s="656" t="s">
        <v>9624</v>
      </c>
      <c r="D914" s="657" t="s">
        <v>14978</v>
      </c>
      <c r="E914" s="657" t="s">
        <v>7437</v>
      </c>
      <c r="F914" s="656" t="s">
        <v>3077</v>
      </c>
      <c r="G914" s="656" t="s">
        <v>512</v>
      </c>
      <c r="H914" s="656" t="s">
        <v>465</v>
      </c>
      <c r="I914" s="656" t="s">
        <v>14976</v>
      </c>
      <c r="J914" s="656" t="s">
        <v>446</v>
      </c>
      <c r="K914" s="656" t="s">
        <v>3077</v>
      </c>
      <c r="L914" s="656" t="s">
        <v>8884</v>
      </c>
      <c r="M914" s="657"/>
      <c r="N914" s="1482"/>
      <c r="O914" s="656" t="s">
        <v>498</v>
      </c>
      <c r="P914" s="656" t="s">
        <v>13052</v>
      </c>
      <c r="Q914" s="656">
        <v>44216.783958333333</v>
      </c>
    </row>
    <row r="915" spans="1:17">
      <c r="A915" s="656" t="s">
        <v>9242</v>
      </c>
      <c r="B915" s="657" t="s">
        <v>202</v>
      </c>
      <c r="C915" s="656" t="s">
        <v>9241</v>
      </c>
      <c r="D915" s="657" t="s">
        <v>14978</v>
      </c>
      <c r="E915" s="657" t="s">
        <v>7437</v>
      </c>
      <c r="F915" s="656" t="s">
        <v>3077</v>
      </c>
      <c r="G915" s="656" t="s">
        <v>512</v>
      </c>
      <c r="H915" s="656" t="s">
        <v>465</v>
      </c>
      <c r="I915" s="656" t="s">
        <v>14976</v>
      </c>
      <c r="J915" s="656" t="s">
        <v>446</v>
      </c>
      <c r="K915" s="656" t="s">
        <v>3077</v>
      </c>
      <c r="L915" s="656" t="s">
        <v>8884</v>
      </c>
      <c r="M915" s="657"/>
      <c r="N915" s="1482"/>
      <c r="O915" s="656" t="s">
        <v>498</v>
      </c>
      <c r="P915" s="656" t="s">
        <v>13052</v>
      </c>
      <c r="Q915" s="656">
        <v>44216.783946759257</v>
      </c>
    </row>
    <row r="916" spans="1:17">
      <c r="A916" s="656" t="s">
        <v>8884</v>
      </c>
      <c r="B916" s="657" t="s">
        <v>202</v>
      </c>
      <c r="C916" s="656" t="s">
        <v>9626</v>
      </c>
      <c r="D916" s="657" t="s">
        <v>14977</v>
      </c>
      <c r="E916" s="657" t="s">
        <v>7437</v>
      </c>
      <c r="F916" s="656" t="s">
        <v>3077</v>
      </c>
      <c r="G916" s="656" t="s">
        <v>512</v>
      </c>
      <c r="H916" s="656" t="s">
        <v>465</v>
      </c>
      <c r="I916" s="656" t="s">
        <v>14976</v>
      </c>
      <c r="J916" s="656" t="s">
        <v>446</v>
      </c>
      <c r="K916" s="656" t="s">
        <v>3077</v>
      </c>
      <c r="L916" s="656"/>
      <c r="M916" s="657"/>
      <c r="N916" s="1482"/>
      <c r="O916" s="656" t="s">
        <v>498</v>
      </c>
      <c r="P916" s="656" t="s">
        <v>13052</v>
      </c>
      <c r="Q916" s="656">
        <v>44216.783958333333</v>
      </c>
    </row>
    <row r="917" spans="1:17">
      <c r="A917" s="656" t="s">
        <v>16147</v>
      </c>
      <c r="B917" s="657" t="s">
        <v>504</v>
      </c>
      <c r="C917" s="656" t="s">
        <v>16148</v>
      </c>
      <c r="D917" s="657" t="s">
        <v>13789</v>
      </c>
      <c r="E917" s="657" t="s">
        <v>7435</v>
      </c>
      <c r="F917" s="656"/>
      <c r="G917" s="656"/>
      <c r="H917" s="656"/>
      <c r="I917" s="656"/>
      <c r="J917" s="656"/>
      <c r="K917" s="656"/>
      <c r="L917" s="656"/>
      <c r="M917" s="657"/>
      <c r="N917" s="1482">
        <v>261</v>
      </c>
      <c r="O917" s="656" t="s">
        <v>498</v>
      </c>
      <c r="P917" s="656" t="s">
        <v>13052</v>
      </c>
      <c r="Q917" s="656">
        <v>44309.276076388887</v>
      </c>
    </row>
    <row r="918" spans="1:17">
      <c r="A918" s="656" t="s">
        <v>15034</v>
      </c>
      <c r="B918" s="657" t="s">
        <v>504</v>
      </c>
      <c r="C918" s="656" t="s">
        <v>15035</v>
      </c>
      <c r="D918" s="657" t="s">
        <v>14978</v>
      </c>
      <c r="E918" s="657" t="s">
        <v>7437</v>
      </c>
      <c r="F918" s="656" t="s">
        <v>540</v>
      </c>
      <c r="G918" s="656" t="s">
        <v>541</v>
      </c>
      <c r="H918" s="656" t="s">
        <v>540</v>
      </c>
      <c r="I918" s="656"/>
      <c r="J918" s="656"/>
      <c r="K918" s="656"/>
      <c r="L918" s="656" t="s">
        <v>8885</v>
      </c>
      <c r="M918" s="657"/>
      <c r="N918" s="1482"/>
      <c r="O918" s="656" t="s">
        <v>498</v>
      </c>
      <c r="P918" s="656" t="s">
        <v>13052</v>
      </c>
      <c r="Q918" s="656">
        <v>44216.783946759257</v>
      </c>
    </row>
    <row r="919" spans="1:17">
      <c r="A919" s="656" t="s">
        <v>15032</v>
      </c>
      <c r="B919" s="657" t="s">
        <v>504</v>
      </c>
      <c r="C919" s="656" t="s">
        <v>15033</v>
      </c>
      <c r="D919" s="657" t="s">
        <v>14978</v>
      </c>
      <c r="E919" s="657" t="s">
        <v>7437</v>
      </c>
      <c r="F919" s="656" t="s">
        <v>540</v>
      </c>
      <c r="G919" s="656" t="s">
        <v>541</v>
      </c>
      <c r="H919" s="656" t="s">
        <v>540</v>
      </c>
      <c r="I919" s="656"/>
      <c r="J919" s="656"/>
      <c r="K919" s="656"/>
      <c r="L919" s="656" t="s">
        <v>8885</v>
      </c>
      <c r="M919" s="657"/>
      <c r="N919" s="1482"/>
      <c r="O919" s="656" t="s">
        <v>498</v>
      </c>
      <c r="P919" s="656" t="s">
        <v>13052</v>
      </c>
      <c r="Q919" s="656">
        <v>44216.783935185187</v>
      </c>
    </row>
    <row r="920" spans="1:17">
      <c r="A920" s="656" t="s">
        <v>12826</v>
      </c>
      <c r="B920" s="657" t="s">
        <v>504</v>
      </c>
      <c r="C920" s="656" t="s">
        <v>12825</v>
      </c>
      <c r="D920" s="657" t="s">
        <v>14978</v>
      </c>
      <c r="E920" s="657" t="s">
        <v>7437</v>
      </c>
      <c r="F920" s="656" t="s">
        <v>505</v>
      </c>
      <c r="G920" s="656" t="s">
        <v>525</v>
      </c>
      <c r="H920" s="656" t="s">
        <v>505</v>
      </c>
      <c r="I920" s="656" t="s">
        <v>14976</v>
      </c>
      <c r="J920" s="656"/>
      <c r="K920" s="656"/>
      <c r="L920" s="656" t="s">
        <v>8885</v>
      </c>
      <c r="M920" s="657"/>
      <c r="N920" s="1482"/>
      <c r="O920" s="656" t="s">
        <v>498</v>
      </c>
      <c r="P920" s="656" t="s">
        <v>13052</v>
      </c>
      <c r="Q920" s="656">
        <v>44216.783935185187</v>
      </c>
    </row>
    <row r="921" spans="1:17">
      <c r="A921" s="656" t="s">
        <v>8885</v>
      </c>
      <c r="B921" s="657" t="s">
        <v>504</v>
      </c>
      <c r="C921" s="656" t="s">
        <v>12438</v>
      </c>
      <c r="D921" s="657" t="s">
        <v>13789</v>
      </c>
      <c r="E921" s="657" t="s">
        <v>9406</v>
      </c>
      <c r="F921" s="656" t="s">
        <v>505</v>
      </c>
      <c r="G921" s="656" t="s">
        <v>525</v>
      </c>
      <c r="H921" s="656" t="s">
        <v>505</v>
      </c>
      <c r="I921" s="656" t="s">
        <v>14976</v>
      </c>
      <c r="J921" s="656"/>
      <c r="K921" s="656"/>
      <c r="L921" s="656" t="s">
        <v>12847</v>
      </c>
      <c r="M921" s="657"/>
      <c r="N921" s="1482"/>
      <c r="O921" s="656" t="s">
        <v>498</v>
      </c>
      <c r="P921" s="656" t="s">
        <v>13052</v>
      </c>
      <c r="Q921" s="656">
        <v>44216.78392361111</v>
      </c>
    </row>
    <row r="922" spans="1:17">
      <c r="A922" s="656" t="s">
        <v>8886</v>
      </c>
      <c r="B922" s="657" t="s">
        <v>504</v>
      </c>
      <c r="C922" s="656" t="s">
        <v>8875</v>
      </c>
      <c r="D922" s="657" t="s">
        <v>14978</v>
      </c>
      <c r="E922" s="657" t="s">
        <v>9406</v>
      </c>
      <c r="F922" s="656" t="s">
        <v>505</v>
      </c>
      <c r="G922" s="656" t="s">
        <v>525</v>
      </c>
      <c r="H922" s="656" t="s">
        <v>505</v>
      </c>
      <c r="I922" s="656" t="s">
        <v>14976</v>
      </c>
      <c r="J922" s="656"/>
      <c r="K922" s="656"/>
      <c r="L922" s="656" t="s">
        <v>15031</v>
      </c>
      <c r="M922" s="657"/>
      <c r="N922" s="1482"/>
      <c r="O922" s="656" t="s">
        <v>498</v>
      </c>
      <c r="P922" s="656" t="s">
        <v>13052</v>
      </c>
      <c r="Q922" s="656">
        <v>44216.783912037034</v>
      </c>
    </row>
    <row r="923" spans="1:17">
      <c r="A923" s="656" t="s">
        <v>8887</v>
      </c>
      <c r="B923" s="657" t="s">
        <v>504</v>
      </c>
      <c r="C923" s="656" t="s">
        <v>8876</v>
      </c>
      <c r="D923" s="657" t="s">
        <v>14978</v>
      </c>
      <c r="E923" s="657" t="s">
        <v>9406</v>
      </c>
      <c r="F923" s="656" t="s">
        <v>505</v>
      </c>
      <c r="G923" s="656" t="s">
        <v>525</v>
      </c>
      <c r="H923" s="656" t="s">
        <v>505</v>
      </c>
      <c r="I923" s="656" t="s">
        <v>14976</v>
      </c>
      <c r="J923" s="656"/>
      <c r="K923" s="656"/>
      <c r="L923" s="656" t="s">
        <v>15031</v>
      </c>
      <c r="M923" s="657"/>
      <c r="N923" s="1482"/>
      <c r="O923" s="656" t="s">
        <v>498</v>
      </c>
      <c r="P923" s="656" t="s">
        <v>13052</v>
      </c>
      <c r="Q923" s="656">
        <v>44216.78392361111</v>
      </c>
    </row>
    <row r="924" spans="1:17">
      <c r="A924" s="656" t="s">
        <v>8872</v>
      </c>
      <c r="B924" s="657" t="s">
        <v>202</v>
      </c>
      <c r="C924" s="656" t="s">
        <v>8888</v>
      </c>
      <c r="D924" s="657" t="s">
        <v>13789</v>
      </c>
      <c r="E924" s="657" t="s">
        <v>9406</v>
      </c>
      <c r="F924" s="656" t="s">
        <v>537</v>
      </c>
      <c r="G924" s="656" t="s">
        <v>512</v>
      </c>
      <c r="H924" s="656" t="s">
        <v>537</v>
      </c>
      <c r="I924" s="656" t="s">
        <v>14976</v>
      </c>
      <c r="J924" s="656" t="s">
        <v>473</v>
      </c>
      <c r="K924" s="656" t="s">
        <v>4161</v>
      </c>
      <c r="L924" s="656"/>
      <c r="M924" s="657"/>
      <c r="N924" s="1482"/>
      <c r="O924" s="656" t="s">
        <v>498</v>
      </c>
      <c r="P924" s="656" t="s">
        <v>13052</v>
      </c>
      <c r="Q924" s="656">
        <v>44216.783912037034</v>
      </c>
    </row>
    <row r="925" spans="1:17">
      <c r="A925" s="656" t="s">
        <v>8873</v>
      </c>
      <c r="B925" s="657" t="s">
        <v>504</v>
      </c>
      <c r="C925" s="656" t="s">
        <v>8916</v>
      </c>
      <c r="D925" s="657" t="s">
        <v>14978</v>
      </c>
      <c r="E925" s="657" t="s">
        <v>7437</v>
      </c>
      <c r="F925" s="656" t="s">
        <v>505</v>
      </c>
      <c r="G925" s="656" t="s">
        <v>525</v>
      </c>
      <c r="H925" s="656" t="s">
        <v>505</v>
      </c>
      <c r="I925" s="656" t="s">
        <v>14976</v>
      </c>
      <c r="J925" s="656"/>
      <c r="K925" s="656"/>
      <c r="L925" s="656" t="s">
        <v>15030</v>
      </c>
      <c r="M925" s="657"/>
      <c r="N925" s="1482"/>
      <c r="O925" s="656" t="s">
        <v>498</v>
      </c>
      <c r="P925" s="656" t="s">
        <v>13052</v>
      </c>
      <c r="Q925" s="656">
        <v>44216.783900462964</v>
      </c>
    </row>
    <row r="926" spans="1:17">
      <c r="A926" s="656" t="s">
        <v>13973</v>
      </c>
      <c r="B926" s="657" t="s">
        <v>202</v>
      </c>
      <c r="C926" s="656" t="s">
        <v>15029</v>
      </c>
      <c r="D926" s="657" t="s">
        <v>13789</v>
      </c>
      <c r="E926" s="657"/>
      <c r="F926" s="656" t="s">
        <v>8807</v>
      </c>
      <c r="G926" s="656" t="s">
        <v>1270</v>
      </c>
      <c r="H926" s="656" t="s">
        <v>8807</v>
      </c>
      <c r="I926" s="656" t="s">
        <v>14976</v>
      </c>
      <c r="J926" s="656" t="s">
        <v>8814</v>
      </c>
      <c r="K926" s="656" t="s">
        <v>1058</v>
      </c>
      <c r="L926" s="656"/>
      <c r="M926" s="657"/>
      <c r="N926" s="1482"/>
      <c r="O926" s="656" t="s">
        <v>498</v>
      </c>
      <c r="P926" s="656" t="s">
        <v>13052</v>
      </c>
      <c r="Q926" s="656">
        <v>44216.783900462964</v>
      </c>
    </row>
    <row r="927" spans="1:17">
      <c r="A927" s="656" t="s">
        <v>9244</v>
      </c>
      <c r="B927" s="657" t="s">
        <v>202</v>
      </c>
      <c r="C927" s="656" t="s">
        <v>9243</v>
      </c>
      <c r="D927" s="657" t="s">
        <v>14978</v>
      </c>
      <c r="E927" s="657" t="s">
        <v>9406</v>
      </c>
      <c r="F927" s="656" t="s">
        <v>462</v>
      </c>
      <c r="G927" s="656"/>
      <c r="H927" s="656" t="s">
        <v>462</v>
      </c>
      <c r="I927" s="656" t="s">
        <v>14976</v>
      </c>
      <c r="J927" s="656" t="s">
        <v>463</v>
      </c>
      <c r="K927" s="656" t="s">
        <v>1058</v>
      </c>
      <c r="L927" s="656" t="s">
        <v>8865</v>
      </c>
      <c r="M927" s="657"/>
      <c r="N927" s="1482"/>
      <c r="O927" s="656" t="s">
        <v>498</v>
      </c>
      <c r="P927" s="656" t="s">
        <v>13052</v>
      </c>
      <c r="Q927" s="656">
        <v>44216.783888888887</v>
      </c>
    </row>
    <row r="928" spans="1:17">
      <c r="A928" s="656" t="s">
        <v>9246</v>
      </c>
      <c r="B928" s="657" t="s">
        <v>202</v>
      </c>
      <c r="C928" s="656" t="s">
        <v>9245</v>
      </c>
      <c r="D928" s="657" t="s">
        <v>14978</v>
      </c>
      <c r="E928" s="657" t="s">
        <v>9406</v>
      </c>
      <c r="F928" s="656" t="s">
        <v>462</v>
      </c>
      <c r="G928" s="656"/>
      <c r="H928" s="656" t="s">
        <v>462</v>
      </c>
      <c r="I928" s="656" t="s">
        <v>14976</v>
      </c>
      <c r="J928" s="656" t="s">
        <v>463</v>
      </c>
      <c r="K928" s="656" t="s">
        <v>1058</v>
      </c>
      <c r="L928" s="656" t="s">
        <v>8865</v>
      </c>
      <c r="M928" s="657"/>
      <c r="N928" s="1482"/>
      <c r="O928" s="656" t="s">
        <v>498</v>
      </c>
      <c r="P928" s="656" t="s">
        <v>13052</v>
      </c>
      <c r="Q928" s="656">
        <v>44216.783888888887</v>
      </c>
    </row>
    <row r="929" spans="1:17">
      <c r="A929" s="656" t="s">
        <v>9248</v>
      </c>
      <c r="B929" s="657" t="s">
        <v>202</v>
      </c>
      <c r="C929" s="656" t="s">
        <v>9247</v>
      </c>
      <c r="D929" s="657" t="s">
        <v>14978</v>
      </c>
      <c r="E929" s="657" t="s">
        <v>9406</v>
      </c>
      <c r="F929" s="656" t="s">
        <v>462</v>
      </c>
      <c r="G929" s="656"/>
      <c r="H929" s="656" t="s">
        <v>462</v>
      </c>
      <c r="I929" s="656" t="s">
        <v>14976</v>
      </c>
      <c r="J929" s="656" t="s">
        <v>463</v>
      </c>
      <c r="K929" s="656" t="s">
        <v>1058</v>
      </c>
      <c r="L929" s="656" t="s">
        <v>8865</v>
      </c>
      <c r="M929" s="657"/>
      <c r="N929" s="1482"/>
      <c r="O929" s="656" t="s">
        <v>498</v>
      </c>
      <c r="P929" s="656" t="s">
        <v>13052</v>
      </c>
      <c r="Q929" s="656">
        <v>44216.783877314818</v>
      </c>
    </row>
    <row r="930" spans="1:17">
      <c r="A930" s="656" t="s">
        <v>9249</v>
      </c>
      <c r="B930" s="657" t="s">
        <v>202</v>
      </c>
      <c r="C930" s="656" t="s">
        <v>13972</v>
      </c>
      <c r="D930" s="657" t="s">
        <v>14978</v>
      </c>
      <c r="E930" s="657" t="s">
        <v>9406</v>
      </c>
      <c r="F930" s="656" t="s">
        <v>462</v>
      </c>
      <c r="G930" s="656"/>
      <c r="H930" s="656" t="s">
        <v>462</v>
      </c>
      <c r="I930" s="656" t="s">
        <v>14976</v>
      </c>
      <c r="J930" s="656" t="s">
        <v>463</v>
      </c>
      <c r="K930" s="656" t="s">
        <v>1058</v>
      </c>
      <c r="L930" s="656" t="s">
        <v>8865</v>
      </c>
      <c r="M930" s="657"/>
      <c r="N930" s="1482"/>
      <c r="O930" s="656" t="s">
        <v>498</v>
      </c>
      <c r="P930" s="656" t="s">
        <v>13052</v>
      </c>
      <c r="Q930" s="656">
        <v>44216.783877314818</v>
      </c>
    </row>
    <row r="931" spans="1:17">
      <c r="A931" s="656" t="s">
        <v>9250</v>
      </c>
      <c r="B931" s="657" t="s">
        <v>202</v>
      </c>
      <c r="C931" s="656" t="s">
        <v>13971</v>
      </c>
      <c r="D931" s="657" t="s">
        <v>14978</v>
      </c>
      <c r="E931" s="657" t="s">
        <v>9406</v>
      </c>
      <c r="F931" s="656" t="s">
        <v>462</v>
      </c>
      <c r="G931" s="656"/>
      <c r="H931" s="656" t="s">
        <v>462</v>
      </c>
      <c r="I931" s="656" t="s">
        <v>14976</v>
      </c>
      <c r="J931" s="656" t="s">
        <v>463</v>
      </c>
      <c r="K931" s="656" t="s">
        <v>1058</v>
      </c>
      <c r="L931" s="656" t="s">
        <v>8865</v>
      </c>
      <c r="M931" s="657"/>
      <c r="N931" s="1482"/>
      <c r="O931" s="656" t="s">
        <v>498</v>
      </c>
      <c r="P931" s="656" t="s">
        <v>13052</v>
      </c>
      <c r="Q931" s="656">
        <v>44216.783877314818</v>
      </c>
    </row>
    <row r="932" spans="1:17">
      <c r="A932" s="656" t="s">
        <v>9252</v>
      </c>
      <c r="B932" s="657" t="s">
        <v>202</v>
      </c>
      <c r="C932" s="656" t="s">
        <v>9251</v>
      </c>
      <c r="D932" s="657" t="s">
        <v>14978</v>
      </c>
      <c r="E932" s="657" t="s">
        <v>9406</v>
      </c>
      <c r="F932" s="656" t="s">
        <v>462</v>
      </c>
      <c r="G932" s="656"/>
      <c r="H932" s="656" t="s">
        <v>462</v>
      </c>
      <c r="I932" s="656" t="s">
        <v>14976</v>
      </c>
      <c r="J932" s="656" t="s">
        <v>463</v>
      </c>
      <c r="K932" s="656" t="s">
        <v>1058</v>
      </c>
      <c r="L932" s="656" t="s">
        <v>8865</v>
      </c>
      <c r="M932" s="657"/>
      <c r="N932" s="1482"/>
      <c r="O932" s="656" t="s">
        <v>498</v>
      </c>
      <c r="P932" s="656" t="s">
        <v>13052</v>
      </c>
      <c r="Q932" s="656">
        <v>44216.783865740741</v>
      </c>
    </row>
    <row r="933" spans="1:17">
      <c r="A933" s="656" t="s">
        <v>9254</v>
      </c>
      <c r="B933" s="657" t="s">
        <v>202</v>
      </c>
      <c r="C933" s="656" t="s">
        <v>9253</v>
      </c>
      <c r="D933" s="657" t="s">
        <v>14978</v>
      </c>
      <c r="E933" s="657" t="s">
        <v>9406</v>
      </c>
      <c r="F933" s="656" t="s">
        <v>462</v>
      </c>
      <c r="G933" s="656"/>
      <c r="H933" s="656" t="s">
        <v>462</v>
      </c>
      <c r="I933" s="656" t="s">
        <v>14976</v>
      </c>
      <c r="J933" s="656" t="s">
        <v>463</v>
      </c>
      <c r="K933" s="656" t="s">
        <v>1058</v>
      </c>
      <c r="L933" s="656" t="s">
        <v>8865</v>
      </c>
      <c r="M933" s="657"/>
      <c r="N933" s="1482"/>
      <c r="O933" s="656" t="s">
        <v>498</v>
      </c>
      <c r="P933" s="656" t="s">
        <v>13052</v>
      </c>
      <c r="Q933" s="656">
        <v>44216.783865740741</v>
      </c>
    </row>
    <row r="934" spans="1:17">
      <c r="A934" s="656" t="s">
        <v>9256</v>
      </c>
      <c r="B934" s="657" t="s">
        <v>202</v>
      </c>
      <c r="C934" s="656" t="s">
        <v>9255</v>
      </c>
      <c r="D934" s="657" t="s">
        <v>14978</v>
      </c>
      <c r="E934" s="657" t="s">
        <v>9406</v>
      </c>
      <c r="F934" s="656" t="s">
        <v>462</v>
      </c>
      <c r="G934" s="656"/>
      <c r="H934" s="656" t="s">
        <v>462</v>
      </c>
      <c r="I934" s="656" t="s">
        <v>14976</v>
      </c>
      <c r="J934" s="656" t="s">
        <v>463</v>
      </c>
      <c r="K934" s="656" t="s">
        <v>1058</v>
      </c>
      <c r="L934" s="656" t="s">
        <v>8865</v>
      </c>
      <c r="M934" s="657"/>
      <c r="N934" s="1482"/>
      <c r="O934" s="656" t="s">
        <v>498</v>
      </c>
      <c r="P934" s="656" t="s">
        <v>13052</v>
      </c>
      <c r="Q934" s="656">
        <v>44216.783854166664</v>
      </c>
    </row>
    <row r="935" spans="1:17">
      <c r="A935" s="656" t="s">
        <v>9258</v>
      </c>
      <c r="B935" s="657" t="s">
        <v>202</v>
      </c>
      <c r="C935" s="656" t="s">
        <v>9257</v>
      </c>
      <c r="D935" s="657" t="s">
        <v>14978</v>
      </c>
      <c r="E935" s="657" t="s">
        <v>9406</v>
      </c>
      <c r="F935" s="656" t="s">
        <v>462</v>
      </c>
      <c r="G935" s="656"/>
      <c r="H935" s="656" t="s">
        <v>462</v>
      </c>
      <c r="I935" s="656" t="s">
        <v>14976</v>
      </c>
      <c r="J935" s="656" t="s">
        <v>463</v>
      </c>
      <c r="K935" s="656" t="s">
        <v>1058</v>
      </c>
      <c r="L935" s="656" t="s">
        <v>8865</v>
      </c>
      <c r="M935" s="657"/>
      <c r="N935" s="1482"/>
      <c r="O935" s="656" t="s">
        <v>498</v>
      </c>
      <c r="P935" s="656" t="s">
        <v>13052</v>
      </c>
      <c r="Q935" s="656">
        <v>44216.783854166664</v>
      </c>
    </row>
    <row r="936" spans="1:17">
      <c r="A936" s="656" t="s">
        <v>9260</v>
      </c>
      <c r="B936" s="657" t="s">
        <v>202</v>
      </c>
      <c r="C936" s="656" t="s">
        <v>9259</v>
      </c>
      <c r="D936" s="657" t="s">
        <v>14978</v>
      </c>
      <c r="E936" s="657" t="s">
        <v>9406</v>
      </c>
      <c r="F936" s="656" t="s">
        <v>462</v>
      </c>
      <c r="G936" s="656"/>
      <c r="H936" s="656" t="s">
        <v>462</v>
      </c>
      <c r="I936" s="656" t="s">
        <v>14976</v>
      </c>
      <c r="J936" s="656" t="s">
        <v>463</v>
      </c>
      <c r="K936" s="656" t="s">
        <v>1058</v>
      </c>
      <c r="L936" s="656" t="s">
        <v>8865</v>
      </c>
      <c r="M936" s="657"/>
      <c r="N936" s="1482"/>
      <c r="O936" s="656" t="s">
        <v>498</v>
      </c>
      <c r="P936" s="656" t="s">
        <v>13052</v>
      </c>
      <c r="Q936" s="656">
        <v>44216.783842592595</v>
      </c>
    </row>
    <row r="937" spans="1:17">
      <c r="A937" s="656" t="s">
        <v>9262</v>
      </c>
      <c r="B937" s="657" t="s">
        <v>202</v>
      </c>
      <c r="C937" s="656" t="s">
        <v>9261</v>
      </c>
      <c r="D937" s="657" t="s">
        <v>14978</v>
      </c>
      <c r="E937" s="657" t="s">
        <v>9406</v>
      </c>
      <c r="F937" s="656" t="s">
        <v>462</v>
      </c>
      <c r="G937" s="656"/>
      <c r="H937" s="656" t="s">
        <v>462</v>
      </c>
      <c r="I937" s="656" t="s">
        <v>14976</v>
      </c>
      <c r="J937" s="656" t="s">
        <v>463</v>
      </c>
      <c r="K937" s="656" t="s">
        <v>1058</v>
      </c>
      <c r="L937" s="656" t="s">
        <v>8865</v>
      </c>
      <c r="M937" s="657"/>
      <c r="N937" s="1482"/>
      <c r="O937" s="656" t="s">
        <v>498</v>
      </c>
      <c r="P937" s="656" t="s">
        <v>13052</v>
      </c>
      <c r="Q937" s="656">
        <v>44216.783842592595</v>
      </c>
    </row>
    <row r="938" spans="1:17">
      <c r="A938" s="656" t="s">
        <v>8865</v>
      </c>
      <c r="B938" s="657" t="s">
        <v>202</v>
      </c>
      <c r="C938" s="656" t="s">
        <v>16071</v>
      </c>
      <c r="D938" s="657" t="s">
        <v>14977</v>
      </c>
      <c r="E938" s="657" t="s">
        <v>7435</v>
      </c>
      <c r="F938" s="656" t="s">
        <v>537</v>
      </c>
      <c r="G938" s="656"/>
      <c r="H938" s="656" t="s">
        <v>537</v>
      </c>
      <c r="I938" s="656" t="s">
        <v>14976</v>
      </c>
      <c r="J938" s="656" t="s">
        <v>8664</v>
      </c>
      <c r="K938" s="656" t="s">
        <v>1058</v>
      </c>
      <c r="L938" s="656" t="s">
        <v>8865</v>
      </c>
      <c r="M938" s="657"/>
      <c r="N938" s="1482"/>
      <c r="O938" s="656" t="s">
        <v>498</v>
      </c>
      <c r="P938" s="656" t="s">
        <v>13052</v>
      </c>
      <c r="Q938" s="656">
        <v>44216.783842592595</v>
      </c>
    </row>
    <row r="939" spans="1:17">
      <c r="A939" s="656" t="s">
        <v>8866</v>
      </c>
      <c r="B939" s="657" t="s">
        <v>202</v>
      </c>
      <c r="C939" s="656" t="s">
        <v>8857</v>
      </c>
      <c r="D939" s="657" t="s">
        <v>13789</v>
      </c>
      <c r="E939" s="657" t="s">
        <v>9406</v>
      </c>
      <c r="F939" s="656" t="s">
        <v>2849</v>
      </c>
      <c r="G939" s="656" t="s">
        <v>512</v>
      </c>
      <c r="H939" s="656" t="s">
        <v>469</v>
      </c>
      <c r="I939" s="656" t="s">
        <v>14976</v>
      </c>
      <c r="J939" s="656" t="s">
        <v>459</v>
      </c>
      <c r="K939" s="656" t="s">
        <v>2849</v>
      </c>
      <c r="L939" s="656"/>
      <c r="M939" s="657"/>
      <c r="N939" s="1482"/>
      <c r="O939" s="656" t="s">
        <v>498</v>
      </c>
      <c r="P939" s="656" t="s">
        <v>13052</v>
      </c>
      <c r="Q939" s="656">
        <v>44216.783831018518</v>
      </c>
    </row>
    <row r="940" spans="1:17">
      <c r="A940" s="656" t="s">
        <v>8863</v>
      </c>
      <c r="B940" s="657" t="s">
        <v>504</v>
      </c>
      <c r="C940" s="656" t="s">
        <v>8862</v>
      </c>
      <c r="D940" s="657" t="s">
        <v>13789</v>
      </c>
      <c r="E940" s="657" t="s">
        <v>9406</v>
      </c>
      <c r="F940" s="656" t="s">
        <v>505</v>
      </c>
      <c r="G940" s="656" t="s">
        <v>522</v>
      </c>
      <c r="H940" s="656" t="s">
        <v>505</v>
      </c>
      <c r="I940" s="656" t="s">
        <v>14976</v>
      </c>
      <c r="J940" s="656"/>
      <c r="K940" s="656"/>
      <c r="L940" s="656"/>
      <c r="M940" s="657"/>
      <c r="N940" s="1482"/>
      <c r="O940" s="656" t="s">
        <v>498</v>
      </c>
      <c r="P940" s="656" t="s">
        <v>13052</v>
      </c>
      <c r="Q940" s="656">
        <v>44216.783831018518</v>
      </c>
    </row>
    <row r="941" spans="1:17">
      <c r="A941" s="656" t="s">
        <v>8859</v>
      </c>
      <c r="B941" s="657" t="s">
        <v>202</v>
      </c>
      <c r="C941" s="656" t="s">
        <v>8858</v>
      </c>
      <c r="D941" s="657" t="s">
        <v>13789</v>
      </c>
      <c r="E941" s="657" t="s">
        <v>9406</v>
      </c>
      <c r="F941" s="656" t="s">
        <v>497</v>
      </c>
      <c r="G941" s="656" t="s">
        <v>497</v>
      </c>
      <c r="H941" s="656" t="s">
        <v>497</v>
      </c>
      <c r="I941" s="656" t="s">
        <v>14976</v>
      </c>
      <c r="J941" s="656" t="s">
        <v>12370</v>
      </c>
      <c r="K941" s="656" t="s">
        <v>497</v>
      </c>
      <c r="L941" s="656"/>
      <c r="M941" s="657"/>
      <c r="N941" s="1482"/>
      <c r="O941" s="656" t="s">
        <v>498</v>
      </c>
      <c r="P941" s="656" t="s">
        <v>13052</v>
      </c>
      <c r="Q941" s="656">
        <v>44216.783819444441</v>
      </c>
    </row>
    <row r="942" spans="1:17">
      <c r="A942" s="656" t="s">
        <v>8845</v>
      </c>
      <c r="B942" s="657" t="s">
        <v>202</v>
      </c>
      <c r="C942" s="656" t="s">
        <v>8844</v>
      </c>
      <c r="D942" s="657" t="s">
        <v>14978</v>
      </c>
      <c r="E942" s="657" t="s">
        <v>9406</v>
      </c>
      <c r="F942" s="656" t="s">
        <v>472</v>
      </c>
      <c r="G942" s="656" t="s">
        <v>519</v>
      </c>
      <c r="H942" s="656" t="s">
        <v>472</v>
      </c>
      <c r="I942" s="656" t="s">
        <v>14976</v>
      </c>
      <c r="J942" s="656" t="s">
        <v>12368</v>
      </c>
      <c r="K942" s="656" t="s">
        <v>1058</v>
      </c>
      <c r="L942" s="656" t="s">
        <v>8849</v>
      </c>
      <c r="M942" s="657"/>
      <c r="N942" s="1482"/>
      <c r="O942" s="656" t="s">
        <v>498</v>
      </c>
      <c r="P942" s="656" t="s">
        <v>13052</v>
      </c>
      <c r="Q942" s="656">
        <v>44216.783819444441</v>
      </c>
    </row>
    <row r="943" spans="1:17">
      <c r="A943" s="656" t="s">
        <v>8847</v>
      </c>
      <c r="B943" s="657" t="s">
        <v>202</v>
      </c>
      <c r="C943" s="656" t="s">
        <v>8846</v>
      </c>
      <c r="D943" s="657" t="s">
        <v>14978</v>
      </c>
      <c r="E943" s="657" t="s">
        <v>9406</v>
      </c>
      <c r="F943" s="656" t="s">
        <v>472</v>
      </c>
      <c r="G943" s="656" t="s">
        <v>519</v>
      </c>
      <c r="H943" s="656" t="s">
        <v>472</v>
      </c>
      <c r="I943" s="656" t="s">
        <v>14976</v>
      </c>
      <c r="J943" s="656" t="s">
        <v>12368</v>
      </c>
      <c r="K943" s="656" t="s">
        <v>1058</v>
      </c>
      <c r="L943" s="656" t="s">
        <v>8849</v>
      </c>
      <c r="M943" s="657"/>
      <c r="N943" s="1482"/>
      <c r="O943" s="656" t="s">
        <v>498</v>
      </c>
      <c r="P943" s="656" t="s">
        <v>13052</v>
      </c>
      <c r="Q943" s="656">
        <v>44216.783819444441</v>
      </c>
    </row>
    <row r="944" spans="1:17">
      <c r="A944" s="656" t="s">
        <v>8848</v>
      </c>
      <c r="B944" s="657" t="s">
        <v>202</v>
      </c>
      <c r="C944" s="656" t="s">
        <v>9263</v>
      </c>
      <c r="D944" s="657" t="s">
        <v>14978</v>
      </c>
      <c r="E944" s="657" t="s">
        <v>9406</v>
      </c>
      <c r="F944" s="656" t="s">
        <v>472</v>
      </c>
      <c r="G944" s="656" t="s">
        <v>519</v>
      </c>
      <c r="H944" s="656" t="s">
        <v>472</v>
      </c>
      <c r="I944" s="656" t="s">
        <v>14976</v>
      </c>
      <c r="J944" s="656" t="s">
        <v>12368</v>
      </c>
      <c r="K944" s="656" t="s">
        <v>1058</v>
      </c>
      <c r="L944" s="656" t="s">
        <v>8849</v>
      </c>
      <c r="M944" s="657"/>
      <c r="N944" s="1482"/>
      <c r="O944" s="656" t="s">
        <v>498</v>
      </c>
      <c r="P944" s="656" t="s">
        <v>13052</v>
      </c>
      <c r="Q944" s="656">
        <v>44216.783796296295</v>
      </c>
    </row>
    <row r="945" spans="1:17">
      <c r="A945" s="656" t="s">
        <v>8849</v>
      </c>
      <c r="B945" s="657" t="s">
        <v>202</v>
      </c>
      <c r="C945" s="656" t="s">
        <v>8838</v>
      </c>
      <c r="D945" s="657" t="s">
        <v>14977</v>
      </c>
      <c r="E945" s="657" t="s">
        <v>9406</v>
      </c>
      <c r="F945" s="656" t="s">
        <v>472</v>
      </c>
      <c r="G945" s="656" t="s">
        <v>519</v>
      </c>
      <c r="H945" s="656" t="s">
        <v>472</v>
      </c>
      <c r="I945" s="656" t="s">
        <v>14976</v>
      </c>
      <c r="J945" s="656" t="s">
        <v>12368</v>
      </c>
      <c r="K945" s="656" t="s">
        <v>1058</v>
      </c>
      <c r="L945" s="656"/>
      <c r="M945" s="657"/>
      <c r="N945" s="1482"/>
      <c r="O945" s="656" t="s">
        <v>498</v>
      </c>
      <c r="P945" s="656" t="s">
        <v>13052</v>
      </c>
      <c r="Q945" s="656">
        <v>44216.783796296295</v>
      </c>
    </row>
    <row r="946" spans="1:17">
      <c r="A946" s="656" t="s">
        <v>9628</v>
      </c>
      <c r="B946" s="657" t="s">
        <v>202</v>
      </c>
      <c r="C946" s="656" t="s">
        <v>9627</v>
      </c>
      <c r="D946" s="657" t="s">
        <v>14978</v>
      </c>
      <c r="E946" s="657" t="s">
        <v>7435</v>
      </c>
      <c r="F946" s="656" t="s">
        <v>8807</v>
      </c>
      <c r="G946" s="656"/>
      <c r="H946" s="656" t="s">
        <v>8807</v>
      </c>
      <c r="I946" s="656" t="s">
        <v>14976</v>
      </c>
      <c r="J946" s="656" t="s">
        <v>8814</v>
      </c>
      <c r="K946" s="656"/>
      <c r="L946" s="656" t="s">
        <v>8853</v>
      </c>
      <c r="M946" s="657"/>
      <c r="N946" s="1482"/>
      <c r="O946" s="656" t="s">
        <v>498</v>
      </c>
      <c r="P946" s="656" t="s">
        <v>13052</v>
      </c>
      <c r="Q946" s="656">
        <v>44216.783784722225</v>
      </c>
    </row>
    <row r="947" spans="1:17">
      <c r="A947" s="656" t="s">
        <v>9020</v>
      </c>
      <c r="B947" s="657" t="s">
        <v>202</v>
      </c>
      <c r="C947" s="656" t="s">
        <v>13952</v>
      </c>
      <c r="D947" s="657" t="s">
        <v>14978</v>
      </c>
      <c r="E947" s="657" t="s">
        <v>7435</v>
      </c>
      <c r="F947" s="656" t="s">
        <v>8807</v>
      </c>
      <c r="G947" s="656" t="s">
        <v>512</v>
      </c>
      <c r="H947" s="656" t="s">
        <v>8807</v>
      </c>
      <c r="I947" s="656" t="s">
        <v>14976</v>
      </c>
      <c r="J947" s="656" t="s">
        <v>451</v>
      </c>
      <c r="K947" s="656" t="s">
        <v>4057</v>
      </c>
      <c r="L947" s="656" t="s">
        <v>8853</v>
      </c>
      <c r="M947" s="657"/>
      <c r="N947" s="1482"/>
      <c r="O947" s="656" t="s">
        <v>498</v>
      </c>
      <c r="P947" s="656" t="s">
        <v>13052</v>
      </c>
      <c r="Q947" s="656">
        <v>44216.783784722225</v>
      </c>
    </row>
    <row r="948" spans="1:17">
      <c r="A948" s="656" t="s">
        <v>8850</v>
      </c>
      <c r="B948" s="657" t="s">
        <v>202</v>
      </c>
      <c r="C948" s="656" t="s">
        <v>8801</v>
      </c>
      <c r="D948" s="657" t="s">
        <v>14978</v>
      </c>
      <c r="E948" s="657" t="s">
        <v>7437</v>
      </c>
      <c r="F948" s="656" t="s">
        <v>8807</v>
      </c>
      <c r="G948" s="656" t="s">
        <v>512</v>
      </c>
      <c r="H948" s="656" t="s">
        <v>8807</v>
      </c>
      <c r="I948" s="656" t="s">
        <v>14976</v>
      </c>
      <c r="J948" s="656" t="s">
        <v>8814</v>
      </c>
      <c r="K948" s="656" t="s">
        <v>4057</v>
      </c>
      <c r="L948" s="656" t="s">
        <v>8853</v>
      </c>
      <c r="M948" s="657"/>
      <c r="N948" s="1482"/>
      <c r="O948" s="656" t="s">
        <v>498</v>
      </c>
      <c r="P948" s="656" t="s">
        <v>13052</v>
      </c>
      <c r="Q948" s="656">
        <v>44216.783773148149</v>
      </c>
    </row>
    <row r="949" spans="1:17">
      <c r="A949" s="656" t="s">
        <v>8851</v>
      </c>
      <c r="B949" s="657" t="s">
        <v>202</v>
      </c>
      <c r="C949" s="656" t="s">
        <v>635</v>
      </c>
      <c r="D949" s="657" t="s">
        <v>14978</v>
      </c>
      <c r="E949" s="657" t="s">
        <v>7435</v>
      </c>
      <c r="F949" s="656" t="s">
        <v>8807</v>
      </c>
      <c r="G949" s="656" t="s">
        <v>512</v>
      </c>
      <c r="H949" s="656" t="s">
        <v>8807</v>
      </c>
      <c r="I949" s="656" t="s">
        <v>14976</v>
      </c>
      <c r="J949" s="656" t="s">
        <v>8814</v>
      </c>
      <c r="K949" s="656" t="s">
        <v>4057</v>
      </c>
      <c r="L949" s="656" t="s">
        <v>8853</v>
      </c>
      <c r="M949" s="657"/>
      <c r="N949" s="1482"/>
      <c r="O949" s="656" t="s">
        <v>498</v>
      </c>
      <c r="P949" s="656" t="s">
        <v>13052</v>
      </c>
      <c r="Q949" s="656">
        <v>44216.783773148149</v>
      </c>
    </row>
    <row r="950" spans="1:17">
      <c r="A950" s="656" t="s">
        <v>8852</v>
      </c>
      <c r="B950" s="657" t="s">
        <v>202</v>
      </c>
      <c r="C950" s="656" t="s">
        <v>636</v>
      </c>
      <c r="D950" s="657" t="s">
        <v>14978</v>
      </c>
      <c r="E950" s="657" t="s">
        <v>7437</v>
      </c>
      <c r="F950" s="656" t="s">
        <v>8807</v>
      </c>
      <c r="G950" s="656" t="s">
        <v>512</v>
      </c>
      <c r="H950" s="656" t="s">
        <v>8807</v>
      </c>
      <c r="I950" s="656" t="s">
        <v>14976</v>
      </c>
      <c r="J950" s="656" t="s">
        <v>8814</v>
      </c>
      <c r="K950" s="656" t="s">
        <v>4057</v>
      </c>
      <c r="L950" s="656" t="s">
        <v>8853</v>
      </c>
      <c r="M950" s="657"/>
      <c r="N950" s="1482"/>
      <c r="O950" s="656" t="s">
        <v>498</v>
      </c>
      <c r="P950" s="656" t="s">
        <v>13052</v>
      </c>
      <c r="Q950" s="656">
        <v>44216.783773148149</v>
      </c>
    </row>
    <row r="951" spans="1:17">
      <c r="A951" s="656" t="s">
        <v>8853</v>
      </c>
      <c r="B951" s="657" t="s">
        <v>202</v>
      </c>
      <c r="C951" s="656" t="s">
        <v>8972</v>
      </c>
      <c r="D951" s="657" t="s">
        <v>14977</v>
      </c>
      <c r="E951" s="657" t="s">
        <v>7437</v>
      </c>
      <c r="F951" s="656" t="s">
        <v>8807</v>
      </c>
      <c r="G951" s="656" t="s">
        <v>512</v>
      </c>
      <c r="H951" s="656" t="s">
        <v>8807</v>
      </c>
      <c r="I951" s="656" t="s">
        <v>14976</v>
      </c>
      <c r="J951" s="656" t="s">
        <v>8814</v>
      </c>
      <c r="K951" s="656" t="s">
        <v>4057</v>
      </c>
      <c r="L951" s="656" t="s">
        <v>8853</v>
      </c>
      <c r="M951" s="657"/>
      <c r="N951" s="1482"/>
      <c r="O951" s="656" t="s">
        <v>498</v>
      </c>
      <c r="P951" s="656" t="s">
        <v>13052</v>
      </c>
      <c r="Q951" s="656">
        <v>44216.783761574072</v>
      </c>
    </row>
    <row r="952" spans="1:17">
      <c r="A952" s="656" t="s">
        <v>8854</v>
      </c>
      <c r="B952" s="657" t="s">
        <v>202</v>
      </c>
      <c r="C952" s="656" t="s">
        <v>8832</v>
      </c>
      <c r="D952" s="657" t="s">
        <v>13789</v>
      </c>
      <c r="E952" s="657" t="s">
        <v>9406</v>
      </c>
      <c r="F952" s="656" t="s">
        <v>8807</v>
      </c>
      <c r="G952" s="656" t="s">
        <v>512</v>
      </c>
      <c r="H952" s="656" t="s">
        <v>8807</v>
      </c>
      <c r="I952" s="656" t="s">
        <v>14976</v>
      </c>
      <c r="J952" s="656" t="s">
        <v>8814</v>
      </c>
      <c r="K952" s="656" t="s">
        <v>4057</v>
      </c>
      <c r="L952" s="656"/>
      <c r="M952" s="657"/>
      <c r="N952" s="1482"/>
      <c r="O952" s="656" t="s">
        <v>498</v>
      </c>
      <c r="P952" s="656" t="s">
        <v>13052</v>
      </c>
      <c r="Q952" s="656">
        <v>44216.783761574072</v>
      </c>
    </row>
    <row r="953" spans="1:17">
      <c r="A953" s="656" t="s">
        <v>8839</v>
      </c>
      <c r="B953" s="657" t="s">
        <v>504</v>
      </c>
      <c r="C953" s="656" t="s">
        <v>8837</v>
      </c>
      <c r="D953" s="657" t="s">
        <v>13789</v>
      </c>
      <c r="E953" s="657" t="s">
        <v>9406</v>
      </c>
      <c r="F953" s="656" t="s">
        <v>505</v>
      </c>
      <c r="G953" s="656" t="s">
        <v>506</v>
      </c>
      <c r="H953" s="656" t="s">
        <v>505</v>
      </c>
      <c r="I953" s="656" t="s">
        <v>14976</v>
      </c>
      <c r="J953" s="656"/>
      <c r="K953" s="656"/>
      <c r="L953" s="656" t="s">
        <v>13862</v>
      </c>
      <c r="M953" s="657"/>
      <c r="N953" s="1482"/>
      <c r="O953" s="656" t="s">
        <v>498</v>
      </c>
      <c r="P953" s="656" t="s">
        <v>13052</v>
      </c>
      <c r="Q953" s="656">
        <v>44216.783750000002</v>
      </c>
    </row>
    <row r="954" spans="1:17">
      <c r="A954" s="656" t="s">
        <v>8811</v>
      </c>
      <c r="B954" s="657" t="s">
        <v>202</v>
      </c>
      <c r="C954" s="656" t="s">
        <v>8808</v>
      </c>
      <c r="D954" s="657" t="s">
        <v>13789</v>
      </c>
      <c r="E954" s="657" t="s">
        <v>9406</v>
      </c>
      <c r="F954" s="656" t="s">
        <v>2849</v>
      </c>
      <c r="G954" s="656" t="s">
        <v>512</v>
      </c>
      <c r="H954" s="656" t="s">
        <v>469</v>
      </c>
      <c r="I954" s="656" t="s">
        <v>14976</v>
      </c>
      <c r="J954" s="656" t="s">
        <v>459</v>
      </c>
      <c r="K954" s="656" t="s">
        <v>2849</v>
      </c>
      <c r="L954" s="656"/>
      <c r="M954" s="657"/>
      <c r="N954" s="1482"/>
      <c r="O954" s="656" t="s">
        <v>498</v>
      </c>
      <c r="P954" s="656" t="s">
        <v>13052</v>
      </c>
      <c r="Q954" s="656">
        <v>44216.783750000002</v>
      </c>
    </row>
    <row r="955" spans="1:17">
      <c r="A955" s="656" t="s">
        <v>8805</v>
      </c>
      <c r="B955" s="657" t="s">
        <v>202</v>
      </c>
      <c r="C955" s="656" t="s">
        <v>8804</v>
      </c>
      <c r="D955" s="657" t="s">
        <v>13789</v>
      </c>
      <c r="E955" s="657" t="s">
        <v>9406</v>
      </c>
      <c r="F955" s="656" t="s">
        <v>8807</v>
      </c>
      <c r="G955" s="656" t="s">
        <v>512</v>
      </c>
      <c r="H955" s="656" t="s">
        <v>8807</v>
      </c>
      <c r="I955" s="656" t="s">
        <v>14976</v>
      </c>
      <c r="J955" s="656" t="s">
        <v>8814</v>
      </c>
      <c r="K955" s="656" t="s">
        <v>4057</v>
      </c>
      <c r="L955" s="656"/>
      <c r="M955" s="657"/>
      <c r="N955" s="1482"/>
      <c r="O955" s="656" t="s">
        <v>498</v>
      </c>
      <c r="P955" s="656" t="s">
        <v>13052</v>
      </c>
      <c r="Q955" s="656">
        <v>44216.783738425926</v>
      </c>
    </row>
    <row r="956" spans="1:17">
      <c r="A956" s="656" t="s">
        <v>13970</v>
      </c>
      <c r="B956" s="657" t="s">
        <v>202</v>
      </c>
      <c r="C956" s="656" t="s">
        <v>8801</v>
      </c>
      <c r="D956" s="657" t="s">
        <v>13789</v>
      </c>
      <c r="E956" s="657"/>
      <c r="F956" s="656" t="s">
        <v>478</v>
      </c>
      <c r="G956" s="656"/>
      <c r="H956" s="656" t="s">
        <v>478</v>
      </c>
      <c r="I956" s="656" t="s">
        <v>14976</v>
      </c>
      <c r="J956" s="656" t="s">
        <v>8814</v>
      </c>
      <c r="K956" s="656" t="s">
        <v>1058</v>
      </c>
      <c r="L956" s="656"/>
      <c r="M956" s="657"/>
      <c r="N956" s="1482"/>
      <c r="O956" s="656" t="s">
        <v>498</v>
      </c>
      <c r="P956" s="656" t="s">
        <v>13052</v>
      </c>
      <c r="Q956" s="656">
        <v>44216.783738425926</v>
      </c>
    </row>
    <row r="957" spans="1:17">
      <c r="A957" s="656" t="s">
        <v>8792</v>
      </c>
      <c r="B957" s="657" t="s">
        <v>504</v>
      </c>
      <c r="C957" s="656" t="s">
        <v>8791</v>
      </c>
      <c r="D957" s="657" t="s">
        <v>14978</v>
      </c>
      <c r="E957" s="657" t="s">
        <v>9406</v>
      </c>
      <c r="F957" s="656" t="s">
        <v>505</v>
      </c>
      <c r="G957" s="656" t="s">
        <v>1579</v>
      </c>
      <c r="H957" s="656" t="s">
        <v>505</v>
      </c>
      <c r="I957" s="656" t="s">
        <v>14976</v>
      </c>
      <c r="J957" s="656"/>
      <c r="K957" s="656"/>
      <c r="L957" s="656" t="s">
        <v>15028</v>
      </c>
      <c r="M957" s="657"/>
      <c r="N957" s="1482"/>
      <c r="O957" s="656" t="s">
        <v>498</v>
      </c>
      <c r="P957" s="656" t="s">
        <v>13052</v>
      </c>
      <c r="Q957" s="656">
        <v>44216.783738425926</v>
      </c>
    </row>
    <row r="958" spans="1:17">
      <c r="A958" s="656" t="s">
        <v>8793</v>
      </c>
      <c r="B958" s="657" t="s">
        <v>202</v>
      </c>
      <c r="C958" s="656" t="s">
        <v>8785</v>
      </c>
      <c r="D958" s="657" t="s">
        <v>14977</v>
      </c>
      <c r="E958" s="657" t="s">
        <v>7437</v>
      </c>
      <c r="F958" s="656" t="s">
        <v>462</v>
      </c>
      <c r="G958" s="656" t="s">
        <v>512</v>
      </c>
      <c r="H958" s="656" t="s">
        <v>462</v>
      </c>
      <c r="I958" s="656" t="s">
        <v>14976</v>
      </c>
      <c r="J958" s="656" t="s">
        <v>463</v>
      </c>
      <c r="K958" s="656" t="s">
        <v>1924</v>
      </c>
      <c r="L958" s="656" t="s">
        <v>8793</v>
      </c>
      <c r="M958" s="657"/>
      <c r="N958" s="1482"/>
      <c r="O958" s="656" t="s">
        <v>498</v>
      </c>
      <c r="P958" s="656" t="s">
        <v>13052</v>
      </c>
      <c r="Q958" s="656">
        <v>44216.783726851849</v>
      </c>
    </row>
    <row r="959" spans="1:17">
      <c r="A959" s="656" t="s">
        <v>8794</v>
      </c>
      <c r="B959" s="657" t="s">
        <v>504</v>
      </c>
      <c r="C959" s="656" t="s">
        <v>8789</v>
      </c>
      <c r="D959" s="657"/>
      <c r="E959" s="657" t="s">
        <v>9510</v>
      </c>
      <c r="F959" s="656" t="s">
        <v>505</v>
      </c>
      <c r="G959" s="656" t="s">
        <v>522</v>
      </c>
      <c r="H959" s="656" t="s">
        <v>505</v>
      </c>
      <c r="I959" s="656" t="s">
        <v>14976</v>
      </c>
      <c r="J959" s="656"/>
      <c r="K959" s="656"/>
      <c r="L959" s="656"/>
      <c r="M959" s="657"/>
      <c r="N959" s="1482"/>
      <c r="O959" s="656" t="s">
        <v>498</v>
      </c>
      <c r="P959" s="656" t="s">
        <v>13052</v>
      </c>
      <c r="Q959" s="656">
        <v>44216.783726851849</v>
      </c>
    </row>
    <row r="960" spans="1:17">
      <c r="A960" s="656" t="s">
        <v>8795</v>
      </c>
      <c r="B960" s="657" t="s">
        <v>504</v>
      </c>
      <c r="C960" s="656" t="s">
        <v>8788</v>
      </c>
      <c r="D960" s="657"/>
      <c r="E960" s="657" t="s">
        <v>9510</v>
      </c>
      <c r="F960" s="656" t="s">
        <v>505</v>
      </c>
      <c r="G960" s="656" t="s">
        <v>522</v>
      </c>
      <c r="H960" s="656" t="s">
        <v>505</v>
      </c>
      <c r="I960" s="656" t="s">
        <v>14976</v>
      </c>
      <c r="J960" s="656"/>
      <c r="K960" s="656"/>
      <c r="L960" s="656"/>
      <c r="M960" s="657"/>
      <c r="N960" s="1482"/>
      <c r="O960" s="656" t="s">
        <v>498</v>
      </c>
      <c r="P960" s="656" t="s">
        <v>13052</v>
      </c>
      <c r="Q960" s="656">
        <v>44216.783715277779</v>
      </c>
    </row>
    <row r="961" spans="1:17">
      <c r="A961" s="656" t="s">
        <v>8796</v>
      </c>
      <c r="B961" s="657" t="s">
        <v>504</v>
      </c>
      <c r="C961" s="656" t="s">
        <v>8787</v>
      </c>
      <c r="D961" s="657" t="s">
        <v>13789</v>
      </c>
      <c r="E961" s="657" t="s">
        <v>9510</v>
      </c>
      <c r="F961" s="656" t="s">
        <v>505</v>
      </c>
      <c r="G961" s="656" t="s">
        <v>522</v>
      </c>
      <c r="H961" s="656" t="s">
        <v>505</v>
      </c>
      <c r="I961" s="656" t="s">
        <v>14976</v>
      </c>
      <c r="J961" s="656"/>
      <c r="K961" s="656"/>
      <c r="L961" s="656"/>
      <c r="M961" s="657"/>
      <c r="N961" s="1482"/>
      <c r="O961" s="656" t="s">
        <v>498</v>
      </c>
      <c r="P961" s="656" t="s">
        <v>13052</v>
      </c>
      <c r="Q961" s="656">
        <v>44216.783703703702</v>
      </c>
    </row>
    <row r="962" spans="1:17">
      <c r="A962" s="656" t="s">
        <v>8782</v>
      </c>
      <c r="B962" s="657" t="s">
        <v>202</v>
      </c>
      <c r="C962" s="656" t="s">
        <v>8781</v>
      </c>
      <c r="D962" s="657" t="s">
        <v>13789</v>
      </c>
      <c r="E962" s="657" t="s">
        <v>9406</v>
      </c>
      <c r="F962" s="656" t="s">
        <v>3077</v>
      </c>
      <c r="G962" s="656" t="s">
        <v>512</v>
      </c>
      <c r="H962" s="656" t="s">
        <v>465</v>
      </c>
      <c r="I962" s="656" t="s">
        <v>14976</v>
      </c>
      <c r="J962" s="656" t="s">
        <v>446</v>
      </c>
      <c r="K962" s="656" t="s">
        <v>3077</v>
      </c>
      <c r="L962" s="656"/>
      <c r="M962" s="657"/>
      <c r="N962" s="1482"/>
      <c r="O962" s="656" t="s">
        <v>498</v>
      </c>
      <c r="P962" s="656" t="s">
        <v>13052</v>
      </c>
      <c r="Q962" s="656">
        <v>44216.783680555556</v>
      </c>
    </row>
    <row r="963" spans="1:17">
      <c r="A963" s="656" t="s">
        <v>8780</v>
      </c>
      <c r="B963" s="657" t="s">
        <v>504</v>
      </c>
      <c r="C963" s="656" t="s">
        <v>8779</v>
      </c>
      <c r="D963" s="657" t="s">
        <v>13789</v>
      </c>
      <c r="E963" s="657" t="s">
        <v>7437</v>
      </c>
      <c r="F963" s="656" t="s">
        <v>540</v>
      </c>
      <c r="G963" s="656" t="s">
        <v>1398</v>
      </c>
      <c r="H963" s="656" t="s">
        <v>540</v>
      </c>
      <c r="I963" s="656" t="s">
        <v>14976</v>
      </c>
      <c r="J963" s="656"/>
      <c r="K963" s="656"/>
      <c r="L963" s="656"/>
      <c r="M963" s="657"/>
      <c r="N963" s="1482"/>
      <c r="O963" s="656" t="s">
        <v>498</v>
      </c>
      <c r="P963" s="656" t="s">
        <v>13052</v>
      </c>
      <c r="Q963" s="656">
        <v>44216.783680555556</v>
      </c>
    </row>
    <row r="964" spans="1:17">
      <c r="A964" s="656" t="s">
        <v>8772</v>
      </c>
      <c r="B964" s="657" t="s">
        <v>202</v>
      </c>
      <c r="C964" s="656" t="s">
        <v>8771</v>
      </c>
      <c r="D964" s="657" t="s">
        <v>13789</v>
      </c>
      <c r="E964" s="657" t="s">
        <v>9406</v>
      </c>
      <c r="F964" s="656" t="s">
        <v>475</v>
      </c>
      <c r="G964" s="656" t="s">
        <v>475</v>
      </c>
      <c r="H964" s="656" t="s">
        <v>475</v>
      </c>
      <c r="I964" s="656" t="s">
        <v>14976</v>
      </c>
      <c r="J964" s="656" t="s">
        <v>12371</v>
      </c>
      <c r="K964" s="656" t="s">
        <v>475</v>
      </c>
      <c r="L964" s="656"/>
      <c r="M964" s="657"/>
      <c r="N964" s="1482"/>
      <c r="O964" s="656" t="s">
        <v>498</v>
      </c>
      <c r="P964" s="656" t="s">
        <v>13052</v>
      </c>
      <c r="Q964" s="656">
        <v>44216.783680555556</v>
      </c>
    </row>
    <row r="965" spans="1:17">
      <c r="A965" s="656" t="s">
        <v>8774</v>
      </c>
      <c r="B965" s="657" t="s">
        <v>202</v>
      </c>
      <c r="C965" s="656" t="s">
        <v>8773</v>
      </c>
      <c r="D965" s="657" t="s">
        <v>13789</v>
      </c>
      <c r="E965" s="657" t="s">
        <v>9406</v>
      </c>
      <c r="F965" s="656" t="s">
        <v>472</v>
      </c>
      <c r="G965" s="656" t="s">
        <v>519</v>
      </c>
      <c r="H965" s="656" t="s">
        <v>472</v>
      </c>
      <c r="I965" s="656" t="s">
        <v>14976</v>
      </c>
      <c r="J965" s="656" t="s">
        <v>12368</v>
      </c>
      <c r="K965" s="656" t="s">
        <v>1058</v>
      </c>
      <c r="L965" s="656"/>
      <c r="M965" s="657"/>
      <c r="N965" s="1482"/>
      <c r="O965" s="656" t="s">
        <v>498</v>
      </c>
      <c r="P965" s="656" t="s">
        <v>13052</v>
      </c>
      <c r="Q965" s="656">
        <v>44216.783668981479</v>
      </c>
    </row>
    <row r="966" spans="1:17">
      <c r="A966" s="656" t="s">
        <v>8747</v>
      </c>
      <c r="B966" s="657" t="s">
        <v>202</v>
      </c>
      <c r="C966" s="656" t="s">
        <v>8745</v>
      </c>
      <c r="D966" s="657" t="s">
        <v>13789</v>
      </c>
      <c r="E966" s="657" t="s">
        <v>9406</v>
      </c>
      <c r="F966" s="656" t="s">
        <v>8807</v>
      </c>
      <c r="G966" s="656" t="s">
        <v>1270</v>
      </c>
      <c r="H966" s="656" t="s">
        <v>8807</v>
      </c>
      <c r="I966" s="656" t="s">
        <v>14976</v>
      </c>
      <c r="J966" s="656" t="s">
        <v>8814</v>
      </c>
      <c r="K966" s="656" t="s">
        <v>1058</v>
      </c>
      <c r="L966" s="656"/>
      <c r="M966" s="657"/>
      <c r="N966" s="1482"/>
      <c r="O966" s="656" t="s">
        <v>498</v>
      </c>
      <c r="P966" s="656" t="s">
        <v>13052</v>
      </c>
      <c r="Q966" s="656">
        <v>44216.783668981479</v>
      </c>
    </row>
    <row r="967" spans="1:17">
      <c r="A967" s="656" t="s">
        <v>8748</v>
      </c>
      <c r="B967" s="657" t="s">
        <v>202</v>
      </c>
      <c r="C967" s="656" t="s">
        <v>8744</v>
      </c>
      <c r="D967" s="657" t="s">
        <v>14977</v>
      </c>
      <c r="E967" s="657" t="s">
        <v>9406</v>
      </c>
      <c r="F967" s="656" t="s">
        <v>4052</v>
      </c>
      <c r="G967" s="656" t="s">
        <v>512</v>
      </c>
      <c r="H967" s="656" t="s">
        <v>4052</v>
      </c>
      <c r="I967" s="656" t="s">
        <v>14976</v>
      </c>
      <c r="J967" s="656" t="s">
        <v>8814</v>
      </c>
      <c r="K967" s="656" t="s">
        <v>4057</v>
      </c>
      <c r="L967" s="656"/>
      <c r="M967" s="657"/>
      <c r="N967" s="1482"/>
      <c r="O967" s="656" t="s">
        <v>498</v>
      </c>
      <c r="P967" s="656" t="s">
        <v>13052</v>
      </c>
      <c r="Q967" s="656">
        <v>44216.78365740741</v>
      </c>
    </row>
    <row r="968" spans="1:17">
      <c r="A968" s="656" t="s">
        <v>13969</v>
      </c>
      <c r="B968" s="657" t="s">
        <v>202</v>
      </c>
      <c r="C968" s="656" t="s">
        <v>15027</v>
      </c>
      <c r="D968" s="657" t="s">
        <v>13789</v>
      </c>
      <c r="E968" s="657"/>
      <c r="F968" s="656" t="s">
        <v>445</v>
      </c>
      <c r="G968" s="656" t="s">
        <v>552</v>
      </c>
      <c r="H968" s="656" t="s">
        <v>445</v>
      </c>
      <c r="I968" s="656" t="s">
        <v>14976</v>
      </c>
      <c r="J968" s="656" t="s">
        <v>8814</v>
      </c>
      <c r="K968" s="656" t="s">
        <v>445</v>
      </c>
      <c r="L968" s="656"/>
      <c r="M968" s="657"/>
      <c r="N968" s="1482"/>
      <c r="O968" s="656" t="s">
        <v>498</v>
      </c>
      <c r="P968" s="656" t="s">
        <v>13052</v>
      </c>
      <c r="Q968" s="656">
        <v>44216.78365740741</v>
      </c>
    </row>
    <row r="969" spans="1:17">
      <c r="A969" s="656" t="s">
        <v>8737</v>
      </c>
      <c r="B969" s="657" t="s">
        <v>202</v>
      </c>
      <c r="C969" s="656" t="s">
        <v>988</v>
      </c>
      <c r="D969" s="657" t="s">
        <v>13789</v>
      </c>
      <c r="E969" s="657" t="s">
        <v>9406</v>
      </c>
      <c r="F969" s="656" t="s">
        <v>472</v>
      </c>
      <c r="G969" s="656" t="s">
        <v>519</v>
      </c>
      <c r="H969" s="656" t="s">
        <v>472</v>
      </c>
      <c r="I969" s="656" t="s">
        <v>14976</v>
      </c>
      <c r="J969" s="656" t="s">
        <v>12368</v>
      </c>
      <c r="K969" s="656" t="s">
        <v>1058</v>
      </c>
      <c r="L969" s="656"/>
      <c r="M969" s="657"/>
      <c r="N969" s="1482"/>
      <c r="O969" s="656" t="s">
        <v>498</v>
      </c>
      <c r="P969" s="656" t="s">
        <v>13052</v>
      </c>
      <c r="Q969" s="656">
        <v>44216.783645833333</v>
      </c>
    </row>
    <row r="970" spans="1:17">
      <c r="A970" s="656" t="s">
        <v>8699</v>
      </c>
      <c r="B970" s="657" t="s">
        <v>202</v>
      </c>
      <c r="C970" s="656" t="s">
        <v>8698</v>
      </c>
      <c r="D970" s="657" t="s">
        <v>13789</v>
      </c>
      <c r="E970" s="657" t="s">
        <v>9406</v>
      </c>
      <c r="F970" s="656" t="s">
        <v>462</v>
      </c>
      <c r="G970" s="656" t="s">
        <v>512</v>
      </c>
      <c r="H970" s="656" t="s">
        <v>462</v>
      </c>
      <c r="I970" s="656" t="s">
        <v>14976</v>
      </c>
      <c r="J970" s="656" t="s">
        <v>463</v>
      </c>
      <c r="K970" s="656" t="s">
        <v>1924</v>
      </c>
      <c r="L970" s="656"/>
      <c r="M970" s="657"/>
      <c r="N970" s="1482"/>
      <c r="O970" s="656" t="s">
        <v>498</v>
      </c>
      <c r="P970" s="656" t="s">
        <v>13052</v>
      </c>
      <c r="Q970" s="656">
        <v>44216.783645833333</v>
      </c>
    </row>
    <row r="971" spans="1:17">
      <c r="A971" s="656" t="s">
        <v>13968</v>
      </c>
      <c r="B971" s="657" t="s">
        <v>202</v>
      </c>
      <c r="C971" s="656" t="s">
        <v>15026</v>
      </c>
      <c r="D971" s="657" t="s">
        <v>14978</v>
      </c>
      <c r="E971" s="657"/>
      <c r="F971" s="656" t="s">
        <v>445</v>
      </c>
      <c r="G971" s="656" t="s">
        <v>552</v>
      </c>
      <c r="H971" s="656" t="s">
        <v>445</v>
      </c>
      <c r="I971" s="656" t="s">
        <v>14976</v>
      </c>
      <c r="J971" s="656" t="s">
        <v>8814</v>
      </c>
      <c r="K971" s="656" t="s">
        <v>445</v>
      </c>
      <c r="L971" s="656"/>
      <c r="M971" s="657"/>
      <c r="N971" s="1482"/>
      <c r="O971" s="656" t="s">
        <v>498</v>
      </c>
      <c r="P971" s="656" t="s">
        <v>13052</v>
      </c>
      <c r="Q971" s="656">
        <v>44216.783634259256</v>
      </c>
    </row>
    <row r="972" spans="1:17">
      <c r="A972" s="656" t="s">
        <v>8630</v>
      </c>
      <c r="B972" s="657" t="s">
        <v>504</v>
      </c>
      <c r="C972" s="656" t="s">
        <v>8629</v>
      </c>
      <c r="D972" s="657" t="s">
        <v>13789</v>
      </c>
      <c r="E972" s="657" t="s">
        <v>9406</v>
      </c>
      <c r="F972" s="656" t="s">
        <v>505</v>
      </c>
      <c r="G972" s="656" t="s">
        <v>522</v>
      </c>
      <c r="H972" s="656" t="s">
        <v>505</v>
      </c>
      <c r="I972" s="656" t="s">
        <v>14976</v>
      </c>
      <c r="J972" s="656"/>
      <c r="K972" s="656"/>
      <c r="L972" s="656"/>
      <c r="M972" s="657"/>
      <c r="N972" s="1482"/>
      <c r="O972" s="656" t="s">
        <v>498</v>
      </c>
      <c r="P972" s="656" t="s">
        <v>13052</v>
      </c>
      <c r="Q972" s="656">
        <v>44216.783634259256</v>
      </c>
    </row>
    <row r="973" spans="1:17">
      <c r="A973" s="656" t="s">
        <v>13967</v>
      </c>
      <c r="B973" s="657" t="s">
        <v>202</v>
      </c>
      <c r="C973" s="656" t="s">
        <v>9264</v>
      </c>
      <c r="D973" s="657" t="s">
        <v>14978</v>
      </c>
      <c r="E973" s="657"/>
      <c r="F973" s="656" t="s">
        <v>472</v>
      </c>
      <c r="G973" s="656" t="s">
        <v>519</v>
      </c>
      <c r="H973" s="656" t="s">
        <v>472</v>
      </c>
      <c r="I973" s="656" t="s">
        <v>14976</v>
      </c>
      <c r="J973" s="656" t="s">
        <v>12368</v>
      </c>
      <c r="K973" s="656" t="s">
        <v>1058</v>
      </c>
      <c r="L973" s="656" t="s">
        <v>8632</v>
      </c>
      <c r="M973" s="657"/>
      <c r="N973" s="1482"/>
      <c r="O973" s="656" t="s">
        <v>498</v>
      </c>
      <c r="P973" s="656" t="s">
        <v>13052</v>
      </c>
      <c r="Q973" s="656">
        <v>44216.783622685187</v>
      </c>
    </row>
    <row r="974" spans="1:17">
      <c r="A974" s="656" t="s">
        <v>9266</v>
      </c>
      <c r="B974" s="657" t="s">
        <v>202</v>
      </c>
      <c r="C974" s="656" t="s">
        <v>9265</v>
      </c>
      <c r="D974" s="657" t="s">
        <v>14978</v>
      </c>
      <c r="E974" s="657" t="s">
        <v>9406</v>
      </c>
      <c r="F974" s="656" t="s">
        <v>472</v>
      </c>
      <c r="G974" s="656" t="s">
        <v>519</v>
      </c>
      <c r="H974" s="656" t="s">
        <v>472</v>
      </c>
      <c r="I974" s="656" t="s">
        <v>14976</v>
      </c>
      <c r="J974" s="656" t="s">
        <v>12368</v>
      </c>
      <c r="K974" s="656" t="s">
        <v>1058</v>
      </c>
      <c r="L974" s="656" t="s">
        <v>8632</v>
      </c>
      <c r="M974" s="657"/>
      <c r="N974" s="1482"/>
      <c r="O974" s="656" t="s">
        <v>498</v>
      </c>
      <c r="P974" s="656" t="s">
        <v>13052</v>
      </c>
      <c r="Q974" s="656">
        <v>44216.783599537041</v>
      </c>
    </row>
    <row r="975" spans="1:17">
      <c r="A975" s="656" t="s">
        <v>9268</v>
      </c>
      <c r="B975" s="657" t="s">
        <v>202</v>
      </c>
      <c r="C975" s="656" t="s">
        <v>9267</v>
      </c>
      <c r="D975" s="657" t="s">
        <v>14978</v>
      </c>
      <c r="E975" s="657" t="s">
        <v>9406</v>
      </c>
      <c r="F975" s="656" t="s">
        <v>472</v>
      </c>
      <c r="G975" s="656" t="s">
        <v>519</v>
      </c>
      <c r="H975" s="656" t="s">
        <v>472</v>
      </c>
      <c r="I975" s="656" t="s">
        <v>14976</v>
      </c>
      <c r="J975" s="656" t="s">
        <v>12368</v>
      </c>
      <c r="K975" s="656" t="s">
        <v>1058</v>
      </c>
      <c r="L975" s="656" t="s">
        <v>8632</v>
      </c>
      <c r="M975" s="657"/>
      <c r="N975" s="1482"/>
      <c r="O975" s="656" t="s">
        <v>498</v>
      </c>
      <c r="P975" s="656" t="s">
        <v>13052</v>
      </c>
      <c r="Q975" s="656">
        <v>44216.783599537041</v>
      </c>
    </row>
    <row r="976" spans="1:17">
      <c r="A976" s="656" t="s">
        <v>9270</v>
      </c>
      <c r="B976" s="657" t="s">
        <v>202</v>
      </c>
      <c r="C976" s="656" t="s">
        <v>9269</v>
      </c>
      <c r="D976" s="657" t="s">
        <v>14978</v>
      </c>
      <c r="E976" s="657" t="s">
        <v>9406</v>
      </c>
      <c r="F976" s="656" t="s">
        <v>472</v>
      </c>
      <c r="G976" s="656" t="s">
        <v>519</v>
      </c>
      <c r="H976" s="656" t="s">
        <v>472</v>
      </c>
      <c r="I976" s="656" t="s">
        <v>14976</v>
      </c>
      <c r="J976" s="656" t="s">
        <v>12368</v>
      </c>
      <c r="K976" s="656" t="s">
        <v>1058</v>
      </c>
      <c r="L976" s="656" t="s">
        <v>8632</v>
      </c>
      <c r="M976" s="657"/>
      <c r="N976" s="1482"/>
      <c r="O976" s="656" t="s">
        <v>498</v>
      </c>
      <c r="P976" s="656" t="s">
        <v>13052</v>
      </c>
      <c r="Q976" s="656">
        <v>44216.783599537041</v>
      </c>
    </row>
    <row r="977" spans="1:17">
      <c r="A977" s="656" t="s">
        <v>8632</v>
      </c>
      <c r="B977" s="657" t="s">
        <v>202</v>
      </c>
      <c r="C977" s="656" t="s">
        <v>8631</v>
      </c>
      <c r="D977" s="657" t="s">
        <v>14977</v>
      </c>
      <c r="E977" s="657" t="s">
        <v>9406</v>
      </c>
      <c r="F977" s="656" t="s">
        <v>472</v>
      </c>
      <c r="G977" s="656" t="s">
        <v>519</v>
      </c>
      <c r="H977" s="656" t="s">
        <v>472</v>
      </c>
      <c r="I977" s="656" t="s">
        <v>14976</v>
      </c>
      <c r="J977" s="656" t="s">
        <v>12368</v>
      </c>
      <c r="K977" s="656" t="s">
        <v>1058</v>
      </c>
      <c r="L977" s="656"/>
      <c r="M977" s="657"/>
      <c r="N977" s="1482"/>
      <c r="O977" s="656" t="s">
        <v>498</v>
      </c>
      <c r="P977" s="656" t="s">
        <v>13052</v>
      </c>
      <c r="Q977" s="656">
        <v>44216.783599537041</v>
      </c>
    </row>
    <row r="978" spans="1:17">
      <c r="A978" s="656" t="s">
        <v>8634</v>
      </c>
      <c r="B978" s="657" t="s">
        <v>504</v>
      </c>
      <c r="C978" s="656" t="s">
        <v>8633</v>
      </c>
      <c r="D978" s="657" t="s">
        <v>13789</v>
      </c>
      <c r="E978" s="657" t="s">
        <v>9406</v>
      </c>
      <c r="F978" s="656" t="s">
        <v>505</v>
      </c>
      <c r="G978" s="656" t="s">
        <v>506</v>
      </c>
      <c r="H978" s="656" t="s">
        <v>505</v>
      </c>
      <c r="I978" s="656" t="s">
        <v>14976</v>
      </c>
      <c r="J978" s="656"/>
      <c r="K978" s="656"/>
      <c r="L978" s="656"/>
      <c r="M978" s="657"/>
      <c r="N978" s="1482"/>
      <c r="O978" s="656" t="s">
        <v>498</v>
      </c>
      <c r="P978" s="656" t="s">
        <v>13052</v>
      </c>
      <c r="Q978" s="656">
        <v>44216.783587962964</v>
      </c>
    </row>
    <row r="979" spans="1:17">
      <c r="A979" s="656" t="s">
        <v>15024</v>
      </c>
      <c r="B979" s="657" t="s">
        <v>202</v>
      </c>
      <c r="C979" s="656" t="s">
        <v>15025</v>
      </c>
      <c r="D979" s="657" t="s">
        <v>13789</v>
      </c>
      <c r="E979" s="657" t="s">
        <v>7437</v>
      </c>
      <c r="F979" s="656" t="s">
        <v>475</v>
      </c>
      <c r="G979" s="656" t="s">
        <v>475</v>
      </c>
      <c r="H979" s="656" t="s">
        <v>475</v>
      </c>
      <c r="I979" s="656" t="s">
        <v>14976</v>
      </c>
      <c r="J979" s="656" t="s">
        <v>12369</v>
      </c>
      <c r="K979" s="656" t="s">
        <v>475</v>
      </c>
      <c r="L979" s="656"/>
      <c r="M979" s="657"/>
      <c r="N979" s="1482"/>
      <c r="O979" s="656" t="s">
        <v>498</v>
      </c>
      <c r="P979" s="656" t="s">
        <v>13052</v>
      </c>
      <c r="Q979" s="656">
        <v>44216.783576388887</v>
      </c>
    </row>
    <row r="980" spans="1:17">
      <c r="A980" s="656" t="s">
        <v>8615</v>
      </c>
      <c r="B980" s="657" t="s">
        <v>504</v>
      </c>
      <c r="C980" s="656" t="s">
        <v>13966</v>
      </c>
      <c r="D980" s="657" t="s">
        <v>13789</v>
      </c>
      <c r="E980" s="657" t="s">
        <v>9510</v>
      </c>
      <c r="F980" s="656" t="s">
        <v>505</v>
      </c>
      <c r="G980" s="656" t="s">
        <v>506</v>
      </c>
      <c r="H980" s="656" t="s">
        <v>505</v>
      </c>
      <c r="I980" s="656" t="s">
        <v>14976</v>
      </c>
      <c r="J980" s="656"/>
      <c r="K980" s="656"/>
      <c r="L980" s="656"/>
      <c r="M980" s="657"/>
      <c r="N980" s="1482"/>
      <c r="O980" s="656" t="s">
        <v>498</v>
      </c>
      <c r="P980" s="656" t="s">
        <v>13052</v>
      </c>
      <c r="Q980" s="656">
        <v>44216.783576388887</v>
      </c>
    </row>
    <row r="981" spans="1:17">
      <c r="A981" s="656" t="s">
        <v>15857</v>
      </c>
      <c r="B981" s="657" t="s">
        <v>202</v>
      </c>
      <c r="C981" s="656" t="s">
        <v>15858</v>
      </c>
      <c r="D981" s="657" t="s">
        <v>14978</v>
      </c>
      <c r="E981" s="657" t="s">
        <v>7435</v>
      </c>
      <c r="F981" s="656" t="s">
        <v>497</v>
      </c>
      <c r="G981" s="656"/>
      <c r="H981" s="656" t="s">
        <v>497</v>
      </c>
      <c r="I981" s="656"/>
      <c r="J981" s="656" t="s">
        <v>15859</v>
      </c>
      <c r="K981" s="656"/>
      <c r="L981" s="656" t="s">
        <v>8616</v>
      </c>
      <c r="M981" s="657" t="s">
        <v>15517</v>
      </c>
      <c r="N981" s="1482">
        <v>224</v>
      </c>
      <c r="O981" s="656" t="s">
        <v>498</v>
      </c>
      <c r="P981" s="656" t="s">
        <v>13052</v>
      </c>
      <c r="Q981" s="656">
        <v>44274.571689814817</v>
      </c>
    </row>
    <row r="982" spans="1:17">
      <c r="A982" s="656" t="s">
        <v>15022</v>
      </c>
      <c r="B982" s="657" t="s">
        <v>202</v>
      </c>
      <c r="C982" s="656" t="s">
        <v>15023</v>
      </c>
      <c r="D982" s="657" t="s">
        <v>14978</v>
      </c>
      <c r="E982" s="657" t="s">
        <v>7437</v>
      </c>
      <c r="F982" s="656" t="s">
        <v>3077</v>
      </c>
      <c r="G982" s="656" t="s">
        <v>512</v>
      </c>
      <c r="H982" s="656" t="s">
        <v>465</v>
      </c>
      <c r="I982" s="656" t="s">
        <v>14976</v>
      </c>
      <c r="J982" s="656" t="s">
        <v>466</v>
      </c>
      <c r="K982" s="656" t="s">
        <v>3077</v>
      </c>
      <c r="L982" s="656" t="s">
        <v>8616</v>
      </c>
      <c r="M982" s="657"/>
      <c r="N982" s="1482"/>
      <c r="O982" s="656" t="s">
        <v>498</v>
      </c>
      <c r="P982" s="656" t="s">
        <v>13052</v>
      </c>
      <c r="Q982" s="656">
        <v>44216.783576388887</v>
      </c>
    </row>
    <row r="983" spans="1:17">
      <c r="A983" s="656" t="s">
        <v>15020</v>
      </c>
      <c r="B983" s="657" t="s">
        <v>202</v>
      </c>
      <c r="C983" s="656" t="s">
        <v>15021</v>
      </c>
      <c r="D983" s="657" t="s">
        <v>14978</v>
      </c>
      <c r="E983" s="657" t="s">
        <v>7437</v>
      </c>
      <c r="F983" s="656" t="s">
        <v>3077</v>
      </c>
      <c r="G983" s="656" t="s">
        <v>512</v>
      </c>
      <c r="H983" s="656" t="s">
        <v>465</v>
      </c>
      <c r="I983" s="656" t="s">
        <v>14976</v>
      </c>
      <c r="J983" s="656" t="s">
        <v>466</v>
      </c>
      <c r="K983" s="656" t="s">
        <v>3077</v>
      </c>
      <c r="L983" s="656" t="s">
        <v>8616</v>
      </c>
      <c r="M983" s="657"/>
      <c r="N983" s="1482"/>
      <c r="O983" s="656" t="s">
        <v>498</v>
      </c>
      <c r="P983" s="656" t="s">
        <v>13052</v>
      </c>
      <c r="Q983" s="656">
        <v>44216.783564814818</v>
      </c>
    </row>
    <row r="984" spans="1:17">
      <c r="A984" s="656" t="s">
        <v>15018</v>
      </c>
      <c r="B984" s="657" t="s">
        <v>202</v>
      </c>
      <c r="C984" s="656" t="s">
        <v>15019</v>
      </c>
      <c r="D984" s="657" t="s">
        <v>14978</v>
      </c>
      <c r="E984" s="657" t="s">
        <v>7437</v>
      </c>
      <c r="F984" s="656" t="s">
        <v>3077</v>
      </c>
      <c r="G984" s="656" t="s">
        <v>512</v>
      </c>
      <c r="H984" s="656" t="s">
        <v>465</v>
      </c>
      <c r="I984" s="656" t="s">
        <v>14976</v>
      </c>
      <c r="J984" s="656" t="s">
        <v>466</v>
      </c>
      <c r="K984" s="656" t="s">
        <v>3077</v>
      </c>
      <c r="L984" s="656" t="s">
        <v>8616</v>
      </c>
      <c r="M984" s="657"/>
      <c r="N984" s="1482"/>
      <c r="O984" s="656" t="s">
        <v>498</v>
      </c>
      <c r="P984" s="656" t="s">
        <v>13052</v>
      </c>
      <c r="Q984" s="656">
        <v>44216.783553240741</v>
      </c>
    </row>
    <row r="985" spans="1:17">
      <c r="A985" s="656" t="s">
        <v>15016</v>
      </c>
      <c r="B985" s="657" t="s">
        <v>202</v>
      </c>
      <c r="C985" s="656" t="s">
        <v>15017</v>
      </c>
      <c r="D985" s="657" t="s">
        <v>14978</v>
      </c>
      <c r="E985" s="657" t="s">
        <v>7437</v>
      </c>
      <c r="F985" s="656" t="s">
        <v>3077</v>
      </c>
      <c r="G985" s="656" t="s">
        <v>512</v>
      </c>
      <c r="H985" s="656" t="s">
        <v>465</v>
      </c>
      <c r="I985" s="656" t="s">
        <v>14976</v>
      </c>
      <c r="J985" s="656" t="s">
        <v>466</v>
      </c>
      <c r="K985" s="656" t="s">
        <v>3077</v>
      </c>
      <c r="L985" s="656" t="s">
        <v>8616</v>
      </c>
      <c r="M985" s="657"/>
      <c r="N985" s="1482"/>
      <c r="O985" s="656" t="s">
        <v>498</v>
      </c>
      <c r="P985" s="656" t="s">
        <v>13052</v>
      </c>
      <c r="Q985" s="656">
        <v>44216.783553240741</v>
      </c>
    </row>
    <row r="986" spans="1:17">
      <c r="A986" s="656" t="s">
        <v>15014</v>
      </c>
      <c r="B986" s="657" t="s">
        <v>202</v>
      </c>
      <c r="C986" s="656" t="s">
        <v>15015</v>
      </c>
      <c r="D986" s="657" t="s">
        <v>14978</v>
      </c>
      <c r="E986" s="657" t="s">
        <v>7437</v>
      </c>
      <c r="F986" s="656" t="s">
        <v>3077</v>
      </c>
      <c r="G986" s="656" t="s">
        <v>512</v>
      </c>
      <c r="H986" s="656" t="s">
        <v>465</v>
      </c>
      <c r="I986" s="656" t="s">
        <v>14976</v>
      </c>
      <c r="J986" s="656" t="s">
        <v>466</v>
      </c>
      <c r="K986" s="656" t="s">
        <v>3077</v>
      </c>
      <c r="L986" s="656" t="s">
        <v>8616</v>
      </c>
      <c r="M986" s="657"/>
      <c r="N986" s="1482"/>
      <c r="O986" s="656" t="s">
        <v>498</v>
      </c>
      <c r="P986" s="656" t="s">
        <v>13052</v>
      </c>
      <c r="Q986" s="656">
        <v>44216.783541666664</v>
      </c>
    </row>
    <row r="987" spans="1:17">
      <c r="A987" s="656" t="s">
        <v>12381</v>
      </c>
      <c r="B987" s="657" t="s">
        <v>202</v>
      </c>
      <c r="C987" s="656" t="s">
        <v>13965</v>
      </c>
      <c r="D987" s="657" t="s">
        <v>14978</v>
      </c>
      <c r="E987" s="657" t="s">
        <v>7437</v>
      </c>
      <c r="F987" s="656" t="s">
        <v>3077</v>
      </c>
      <c r="G987" s="656" t="s">
        <v>512</v>
      </c>
      <c r="H987" s="656" t="s">
        <v>465</v>
      </c>
      <c r="I987" s="656" t="s">
        <v>14976</v>
      </c>
      <c r="J987" s="656" t="s">
        <v>466</v>
      </c>
      <c r="K987" s="656" t="s">
        <v>3077</v>
      </c>
      <c r="L987" s="656" t="s">
        <v>8616</v>
      </c>
      <c r="M987" s="657"/>
      <c r="N987" s="1482"/>
      <c r="O987" s="656" t="s">
        <v>498</v>
      </c>
      <c r="P987" s="656" t="s">
        <v>13052</v>
      </c>
      <c r="Q987" s="656">
        <v>44216.783541666664</v>
      </c>
    </row>
    <row r="988" spans="1:17">
      <c r="A988" s="656" t="s">
        <v>9694</v>
      </c>
      <c r="B988" s="657" t="s">
        <v>202</v>
      </c>
      <c r="C988" s="656" t="s">
        <v>9693</v>
      </c>
      <c r="D988" s="657" t="s">
        <v>14978</v>
      </c>
      <c r="E988" s="657" t="s">
        <v>7437</v>
      </c>
      <c r="F988" s="656" t="s">
        <v>3077</v>
      </c>
      <c r="G988" s="656" t="s">
        <v>512</v>
      </c>
      <c r="H988" s="656" t="s">
        <v>465</v>
      </c>
      <c r="I988" s="656" t="s">
        <v>14976</v>
      </c>
      <c r="J988" s="656" t="s">
        <v>466</v>
      </c>
      <c r="K988" s="656" t="s">
        <v>3077</v>
      </c>
      <c r="L988" s="656" t="s">
        <v>8616</v>
      </c>
      <c r="M988" s="657"/>
      <c r="N988" s="1482"/>
      <c r="O988" s="656" t="s">
        <v>498</v>
      </c>
      <c r="P988" s="656" t="s">
        <v>13052</v>
      </c>
      <c r="Q988" s="656">
        <v>44216.783541666664</v>
      </c>
    </row>
    <row r="989" spans="1:17">
      <c r="A989" s="656" t="s">
        <v>8616</v>
      </c>
      <c r="B989" s="657" t="s">
        <v>202</v>
      </c>
      <c r="C989" s="656" t="s">
        <v>9629</v>
      </c>
      <c r="D989" s="657" t="s">
        <v>14977</v>
      </c>
      <c r="E989" s="657" t="s">
        <v>9406</v>
      </c>
      <c r="F989" s="656" t="s">
        <v>3077</v>
      </c>
      <c r="G989" s="656" t="s">
        <v>512</v>
      </c>
      <c r="H989" s="656" t="s">
        <v>465</v>
      </c>
      <c r="I989" s="656" t="s">
        <v>14976</v>
      </c>
      <c r="J989" s="656" t="s">
        <v>466</v>
      </c>
      <c r="K989" s="656" t="s">
        <v>3077</v>
      </c>
      <c r="L989" s="656"/>
      <c r="M989" s="657"/>
      <c r="N989" s="1482"/>
      <c r="O989" s="656" t="s">
        <v>498</v>
      </c>
      <c r="P989" s="656" t="s">
        <v>13052</v>
      </c>
      <c r="Q989" s="656">
        <v>44216.783530092594</v>
      </c>
    </row>
    <row r="990" spans="1:17">
      <c r="A990" s="656" t="s">
        <v>8607</v>
      </c>
      <c r="B990" s="657" t="s">
        <v>202</v>
      </c>
      <c r="C990" s="656" t="s">
        <v>8606</v>
      </c>
      <c r="D990" s="657" t="s">
        <v>13789</v>
      </c>
      <c r="E990" s="657" t="s">
        <v>9406</v>
      </c>
      <c r="F990" s="656" t="s">
        <v>537</v>
      </c>
      <c r="G990" s="656" t="s">
        <v>512</v>
      </c>
      <c r="H990" s="656" t="s">
        <v>537</v>
      </c>
      <c r="I990" s="656" t="s">
        <v>14976</v>
      </c>
      <c r="J990" s="656" t="s">
        <v>473</v>
      </c>
      <c r="K990" s="656" t="s">
        <v>4161</v>
      </c>
      <c r="L990" s="656"/>
      <c r="M990" s="657"/>
      <c r="N990" s="1482"/>
      <c r="O990" s="656" t="s">
        <v>498</v>
      </c>
      <c r="P990" s="656" t="s">
        <v>13052</v>
      </c>
      <c r="Q990" s="656">
        <v>44216.783530092594</v>
      </c>
    </row>
    <row r="991" spans="1:17">
      <c r="A991" s="656" t="s">
        <v>13964</v>
      </c>
      <c r="B991" s="657" t="s">
        <v>202</v>
      </c>
      <c r="C991" s="656" t="s">
        <v>15013</v>
      </c>
      <c r="D991" s="657" t="s">
        <v>13789</v>
      </c>
      <c r="E991" s="657"/>
      <c r="F991" s="656" t="s">
        <v>462</v>
      </c>
      <c r="G991" s="656" t="s">
        <v>512</v>
      </c>
      <c r="H991" s="656" t="s">
        <v>462</v>
      </c>
      <c r="I991" s="656" t="s">
        <v>14976</v>
      </c>
      <c r="J991" s="656" t="s">
        <v>463</v>
      </c>
      <c r="K991" s="656" t="s">
        <v>1924</v>
      </c>
      <c r="L991" s="656"/>
      <c r="M991" s="657"/>
      <c r="N991" s="1482"/>
      <c r="O991" s="656" t="s">
        <v>498</v>
      </c>
      <c r="P991" s="656" t="s">
        <v>13052</v>
      </c>
      <c r="Q991" s="656">
        <v>44216.783518518518</v>
      </c>
    </row>
    <row r="992" spans="1:17">
      <c r="A992" s="656" t="s">
        <v>8608</v>
      </c>
      <c r="B992" s="657" t="s">
        <v>202</v>
      </c>
      <c r="C992" s="656" t="s">
        <v>8797</v>
      </c>
      <c r="D992" s="657" t="s">
        <v>13789</v>
      </c>
      <c r="E992" s="657" t="s">
        <v>9406</v>
      </c>
      <c r="F992" s="656" t="s">
        <v>462</v>
      </c>
      <c r="G992" s="656" t="s">
        <v>512</v>
      </c>
      <c r="H992" s="656" t="s">
        <v>462</v>
      </c>
      <c r="I992" s="656" t="s">
        <v>14976</v>
      </c>
      <c r="J992" s="656" t="s">
        <v>463</v>
      </c>
      <c r="K992" s="656" t="s">
        <v>1924</v>
      </c>
      <c r="L992" s="656"/>
      <c r="M992" s="657"/>
      <c r="N992" s="1482"/>
      <c r="O992" s="656" t="s">
        <v>498</v>
      </c>
      <c r="P992" s="656" t="s">
        <v>13052</v>
      </c>
      <c r="Q992" s="656">
        <v>44216.783518518518</v>
      </c>
    </row>
    <row r="993" spans="1:17">
      <c r="A993" s="656" t="s">
        <v>8610</v>
      </c>
      <c r="B993" s="657" t="s">
        <v>504</v>
      </c>
      <c r="C993" s="656" t="s">
        <v>8609</v>
      </c>
      <c r="D993" s="657" t="s">
        <v>13789</v>
      </c>
      <c r="E993" s="657" t="s">
        <v>9406</v>
      </c>
      <c r="F993" s="656" t="s">
        <v>505</v>
      </c>
      <c r="G993" s="656" t="s">
        <v>525</v>
      </c>
      <c r="H993" s="656" t="s">
        <v>505</v>
      </c>
      <c r="I993" s="656" t="s">
        <v>14976</v>
      </c>
      <c r="J993" s="656"/>
      <c r="K993" s="656"/>
      <c r="L993" s="656" t="s">
        <v>12847</v>
      </c>
      <c r="M993" s="657"/>
      <c r="N993" s="1482"/>
      <c r="O993" s="656" t="s">
        <v>498</v>
      </c>
      <c r="P993" s="656" t="s">
        <v>13052</v>
      </c>
      <c r="Q993" s="656">
        <v>44216.783518518518</v>
      </c>
    </row>
    <row r="994" spans="1:17">
      <c r="A994" s="656" t="s">
        <v>8612</v>
      </c>
      <c r="B994" s="657" t="s">
        <v>504</v>
      </c>
      <c r="C994" s="656" t="s">
        <v>8611</v>
      </c>
      <c r="D994" s="657" t="s">
        <v>13789</v>
      </c>
      <c r="E994" s="657" t="s">
        <v>9406</v>
      </c>
      <c r="F994" s="656" t="s">
        <v>505</v>
      </c>
      <c r="G994" s="656" t="s">
        <v>525</v>
      </c>
      <c r="H994" s="656" t="s">
        <v>505</v>
      </c>
      <c r="I994" s="656" t="s">
        <v>14976</v>
      </c>
      <c r="J994" s="656"/>
      <c r="K994" s="656"/>
      <c r="L994" s="656" t="s">
        <v>12847</v>
      </c>
      <c r="M994" s="657"/>
      <c r="N994" s="1482"/>
      <c r="O994" s="656" t="s">
        <v>498</v>
      </c>
      <c r="P994" s="656" t="s">
        <v>13052</v>
      </c>
      <c r="Q994" s="656">
        <v>44216.783506944441</v>
      </c>
    </row>
    <row r="995" spans="1:17">
      <c r="A995" s="656" t="s">
        <v>8567</v>
      </c>
      <c r="B995" s="657" t="s">
        <v>202</v>
      </c>
      <c r="C995" s="656" t="s">
        <v>8559</v>
      </c>
      <c r="D995" s="657" t="s">
        <v>13789</v>
      </c>
      <c r="E995" s="657" t="s">
        <v>9406</v>
      </c>
      <c r="F995" s="656" t="s">
        <v>4052</v>
      </c>
      <c r="G995" s="656" t="s">
        <v>512</v>
      </c>
      <c r="H995" s="656" t="s">
        <v>455</v>
      </c>
      <c r="I995" s="656" t="s">
        <v>14976</v>
      </c>
      <c r="J995" s="656" t="s">
        <v>451</v>
      </c>
      <c r="K995" s="656" t="s">
        <v>4052</v>
      </c>
      <c r="L995" s="656"/>
      <c r="M995" s="657"/>
      <c r="N995" s="1482"/>
      <c r="O995" s="656" t="s">
        <v>498</v>
      </c>
      <c r="P995" s="656" t="s">
        <v>13052</v>
      </c>
      <c r="Q995" s="656">
        <v>44216.783506944441</v>
      </c>
    </row>
    <row r="996" spans="1:17">
      <c r="A996" s="656" t="s">
        <v>8552</v>
      </c>
      <c r="B996" s="657" t="s">
        <v>504</v>
      </c>
      <c r="C996" s="656" t="s">
        <v>8551</v>
      </c>
      <c r="D996" s="657" t="s">
        <v>13789</v>
      </c>
      <c r="E996" s="657" t="s">
        <v>9510</v>
      </c>
      <c r="F996" s="656" t="s">
        <v>505</v>
      </c>
      <c r="G996" s="656" t="s">
        <v>506</v>
      </c>
      <c r="H996" s="656" t="s">
        <v>505</v>
      </c>
      <c r="I996" s="656" t="s">
        <v>14976</v>
      </c>
      <c r="J996" s="656"/>
      <c r="K996" s="656"/>
      <c r="L996" s="656" t="s">
        <v>13862</v>
      </c>
      <c r="M996" s="657"/>
      <c r="N996" s="1482"/>
      <c r="O996" s="656" t="s">
        <v>498</v>
      </c>
      <c r="P996" s="656" t="s">
        <v>13052</v>
      </c>
      <c r="Q996" s="656">
        <v>44216.783495370371</v>
      </c>
    </row>
    <row r="997" spans="1:17">
      <c r="A997" s="656" t="s">
        <v>8554</v>
      </c>
      <c r="B997" s="657" t="s">
        <v>202</v>
      </c>
      <c r="C997" s="656" t="s">
        <v>8553</v>
      </c>
      <c r="D997" s="657" t="s">
        <v>13789</v>
      </c>
      <c r="E997" s="657" t="s">
        <v>9406</v>
      </c>
      <c r="F997" s="656" t="s">
        <v>472</v>
      </c>
      <c r="G997" s="656" t="s">
        <v>519</v>
      </c>
      <c r="H997" s="656" t="s">
        <v>472</v>
      </c>
      <c r="I997" s="656" t="s">
        <v>14976</v>
      </c>
      <c r="J997" s="656" t="s">
        <v>12368</v>
      </c>
      <c r="K997" s="656" t="s">
        <v>1058</v>
      </c>
      <c r="L997" s="656"/>
      <c r="M997" s="657"/>
      <c r="N997" s="1482"/>
      <c r="O997" s="656" t="s">
        <v>498</v>
      </c>
      <c r="P997" s="656" t="s">
        <v>13052</v>
      </c>
      <c r="Q997" s="656">
        <v>44216.783495370371</v>
      </c>
    </row>
    <row r="998" spans="1:17">
      <c r="A998" s="656" t="s">
        <v>8556</v>
      </c>
      <c r="B998" s="657" t="s">
        <v>202</v>
      </c>
      <c r="C998" s="656" t="s">
        <v>8555</v>
      </c>
      <c r="D998" s="657" t="s">
        <v>13789</v>
      </c>
      <c r="E998" s="657" t="s">
        <v>9406</v>
      </c>
      <c r="F998" s="656" t="s">
        <v>537</v>
      </c>
      <c r="G998" s="656" t="s">
        <v>512</v>
      </c>
      <c r="H998" s="656" t="s">
        <v>537</v>
      </c>
      <c r="I998" s="656" t="s">
        <v>14976</v>
      </c>
      <c r="J998" s="656" t="s">
        <v>473</v>
      </c>
      <c r="K998" s="656" t="s">
        <v>4161</v>
      </c>
      <c r="L998" s="656"/>
      <c r="M998" s="657"/>
      <c r="N998" s="1482"/>
      <c r="O998" s="656" t="s">
        <v>498</v>
      </c>
      <c r="P998" s="656" t="s">
        <v>13052</v>
      </c>
      <c r="Q998" s="656">
        <v>44216.783483796295</v>
      </c>
    </row>
    <row r="999" spans="1:17">
      <c r="A999" s="656" t="s">
        <v>8546</v>
      </c>
      <c r="B999" s="657" t="s">
        <v>202</v>
      </c>
      <c r="C999" s="656" t="s">
        <v>13963</v>
      </c>
      <c r="D999" s="657" t="s">
        <v>14978</v>
      </c>
      <c r="E999" s="657" t="s">
        <v>9406</v>
      </c>
      <c r="F999" s="656" t="s">
        <v>537</v>
      </c>
      <c r="G999" s="656" t="s">
        <v>552</v>
      </c>
      <c r="H999" s="656" t="s">
        <v>537</v>
      </c>
      <c r="I999" s="656" t="s">
        <v>14976</v>
      </c>
      <c r="J999" s="656" t="s">
        <v>473</v>
      </c>
      <c r="K999" s="656" t="s">
        <v>4161</v>
      </c>
      <c r="L999" s="656" t="s">
        <v>1198</v>
      </c>
      <c r="M999" s="657"/>
      <c r="N999" s="1482"/>
      <c r="O999" s="656" t="s">
        <v>498</v>
      </c>
      <c r="P999" s="656" t="s">
        <v>13052</v>
      </c>
      <c r="Q999" s="656">
        <v>44216.783483796295</v>
      </c>
    </row>
    <row r="1000" spans="1:17">
      <c r="A1000" s="656" t="s">
        <v>8523</v>
      </c>
      <c r="B1000" s="657" t="s">
        <v>504</v>
      </c>
      <c r="C1000" s="656" t="s">
        <v>8522</v>
      </c>
      <c r="D1000" s="657" t="s">
        <v>13789</v>
      </c>
      <c r="E1000" s="657" t="s">
        <v>9406</v>
      </c>
      <c r="F1000" s="656" t="s">
        <v>505</v>
      </c>
      <c r="G1000" s="656" t="s">
        <v>2903</v>
      </c>
      <c r="H1000" s="656" t="s">
        <v>505</v>
      </c>
      <c r="I1000" s="656" t="s">
        <v>14976</v>
      </c>
      <c r="J1000" s="656"/>
      <c r="K1000" s="656"/>
      <c r="L1000" s="656"/>
      <c r="M1000" s="657"/>
      <c r="N1000" s="1482"/>
      <c r="O1000" s="656" t="s">
        <v>498</v>
      </c>
      <c r="P1000" s="656" t="s">
        <v>13052</v>
      </c>
      <c r="Q1000" s="656">
        <v>44216.783483796295</v>
      </c>
    </row>
    <row r="1001" spans="1:17">
      <c r="A1001" s="656" t="s">
        <v>8518</v>
      </c>
      <c r="B1001" s="657" t="s">
        <v>202</v>
      </c>
      <c r="C1001" s="656" t="s">
        <v>8517</v>
      </c>
      <c r="D1001" s="657" t="s">
        <v>13789</v>
      </c>
      <c r="E1001" s="657" t="s">
        <v>9406</v>
      </c>
      <c r="F1001" s="656" t="s">
        <v>2849</v>
      </c>
      <c r="G1001" s="656"/>
      <c r="H1001" s="656" t="s">
        <v>469</v>
      </c>
      <c r="I1001" s="656" t="s">
        <v>14976</v>
      </c>
      <c r="J1001" s="656" t="s">
        <v>459</v>
      </c>
      <c r="K1001" s="656" t="s">
        <v>1058</v>
      </c>
      <c r="L1001" s="656"/>
      <c r="M1001" s="657"/>
      <c r="N1001" s="1482"/>
      <c r="O1001" s="656" t="s">
        <v>498</v>
      </c>
      <c r="P1001" s="656" t="s">
        <v>13052</v>
      </c>
      <c r="Q1001" s="656">
        <v>44216.783472222225</v>
      </c>
    </row>
    <row r="1002" spans="1:17">
      <c r="A1002" s="656" t="s">
        <v>8512</v>
      </c>
      <c r="B1002" s="657" t="s">
        <v>504</v>
      </c>
      <c r="C1002" s="656" t="s">
        <v>8511</v>
      </c>
      <c r="D1002" s="657" t="s">
        <v>13789</v>
      </c>
      <c r="E1002" s="657" t="s">
        <v>9406</v>
      </c>
      <c r="F1002" s="656" t="s">
        <v>540</v>
      </c>
      <c r="G1002" s="656" t="s">
        <v>625</v>
      </c>
      <c r="H1002" s="656" t="s">
        <v>540</v>
      </c>
      <c r="I1002" s="656" t="s">
        <v>14976</v>
      </c>
      <c r="J1002" s="656"/>
      <c r="K1002" s="656"/>
      <c r="L1002" s="656"/>
      <c r="M1002" s="657"/>
      <c r="N1002" s="1482"/>
      <c r="O1002" s="656" t="s">
        <v>498</v>
      </c>
      <c r="P1002" s="656" t="s">
        <v>13052</v>
      </c>
      <c r="Q1002" s="656">
        <v>44216.783472222225</v>
      </c>
    </row>
    <row r="1003" spans="1:17">
      <c r="A1003" s="656" t="s">
        <v>8513</v>
      </c>
      <c r="B1003" s="657" t="s">
        <v>504</v>
      </c>
      <c r="C1003" s="656" t="s">
        <v>8502</v>
      </c>
      <c r="D1003" s="657" t="s">
        <v>13789</v>
      </c>
      <c r="E1003" s="657" t="s">
        <v>9406</v>
      </c>
      <c r="F1003" s="656" t="s">
        <v>505</v>
      </c>
      <c r="G1003" s="656" t="s">
        <v>506</v>
      </c>
      <c r="H1003" s="656" t="s">
        <v>505</v>
      </c>
      <c r="I1003" s="656" t="s">
        <v>14976</v>
      </c>
      <c r="J1003" s="656"/>
      <c r="K1003" s="656"/>
      <c r="L1003" s="656"/>
      <c r="M1003" s="657"/>
      <c r="N1003" s="1482"/>
      <c r="O1003" s="656" t="s">
        <v>498</v>
      </c>
      <c r="P1003" s="656" t="s">
        <v>13052</v>
      </c>
      <c r="Q1003" s="656">
        <v>44216.783460648148</v>
      </c>
    </row>
    <row r="1004" spans="1:17">
      <c r="A1004" s="656" t="s">
        <v>8514</v>
      </c>
      <c r="B1004" s="657" t="s">
        <v>504</v>
      </c>
      <c r="C1004" s="656" t="s">
        <v>8490</v>
      </c>
      <c r="D1004" s="657" t="s">
        <v>13789</v>
      </c>
      <c r="E1004" s="657" t="s">
        <v>9406</v>
      </c>
      <c r="F1004" s="656" t="s">
        <v>540</v>
      </c>
      <c r="G1004" s="656" t="s">
        <v>541</v>
      </c>
      <c r="H1004" s="656" t="s">
        <v>540</v>
      </c>
      <c r="I1004" s="656" t="s">
        <v>14976</v>
      </c>
      <c r="J1004" s="656"/>
      <c r="K1004" s="656"/>
      <c r="L1004" s="656" t="s">
        <v>15012</v>
      </c>
      <c r="M1004" s="657"/>
      <c r="N1004" s="1482"/>
      <c r="O1004" s="656" t="s">
        <v>498</v>
      </c>
      <c r="P1004" s="656" t="s">
        <v>13052</v>
      </c>
      <c r="Q1004" s="656">
        <v>44216.783460648148</v>
      </c>
    </row>
    <row r="1005" spans="1:17">
      <c r="A1005" s="656" t="s">
        <v>8465</v>
      </c>
      <c r="B1005" s="657" t="s">
        <v>504</v>
      </c>
      <c r="C1005" s="656" t="s">
        <v>8464</v>
      </c>
      <c r="D1005" s="657" t="s">
        <v>14978</v>
      </c>
      <c r="E1005" s="657" t="s">
        <v>9406</v>
      </c>
      <c r="F1005" s="656" t="s">
        <v>505</v>
      </c>
      <c r="G1005" s="656" t="s">
        <v>525</v>
      </c>
      <c r="H1005" s="656" t="s">
        <v>505</v>
      </c>
      <c r="I1005" s="656" t="s">
        <v>14976</v>
      </c>
      <c r="J1005" s="656"/>
      <c r="K1005" s="656"/>
      <c r="L1005" s="656" t="s">
        <v>681</v>
      </c>
      <c r="M1005" s="657"/>
      <c r="N1005" s="1482"/>
      <c r="O1005" s="656" t="s">
        <v>498</v>
      </c>
      <c r="P1005" s="656" t="s">
        <v>13052</v>
      </c>
      <c r="Q1005" s="656">
        <v>44216.783449074072</v>
      </c>
    </row>
    <row r="1006" spans="1:17">
      <c r="A1006" s="656" t="s">
        <v>8467</v>
      </c>
      <c r="B1006" s="657" t="s">
        <v>504</v>
      </c>
      <c r="C1006" s="656" t="s">
        <v>8466</v>
      </c>
      <c r="D1006" s="657" t="s">
        <v>13789</v>
      </c>
      <c r="E1006" s="657" t="s">
        <v>9406</v>
      </c>
      <c r="F1006" s="656" t="s">
        <v>505</v>
      </c>
      <c r="G1006" s="656" t="s">
        <v>509</v>
      </c>
      <c r="H1006" s="656" t="s">
        <v>505</v>
      </c>
      <c r="I1006" s="656" t="s">
        <v>14976</v>
      </c>
      <c r="J1006" s="656"/>
      <c r="K1006" s="656"/>
      <c r="L1006" s="656"/>
      <c r="M1006" s="657"/>
      <c r="N1006" s="1482"/>
      <c r="O1006" s="656" t="s">
        <v>498</v>
      </c>
      <c r="P1006" s="656" t="s">
        <v>13052</v>
      </c>
      <c r="Q1006" s="656">
        <v>44216.783449074072</v>
      </c>
    </row>
    <row r="1007" spans="1:17">
      <c r="A1007" s="656" t="s">
        <v>8455</v>
      </c>
      <c r="B1007" s="657" t="s">
        <v>202</v>
      </c>
      <c r="C1007" s="656" t="s">
        <v>13962</v>
      </c>
      <c r="D1007" s="657" t="s">
        <v>13789</v>
      </c>
      <c r="E1007" s="657" t="s">
        <v>9406</v>
      </c>
      <c r="F1007" s="656" t="s">
        <v>442</v>
      </c>
      <c r="G1007" s="656" t="s">
        <v>561</v>
      </c>
      <c r="H1007" s="656" t="s">
        <v>442</v>
      </c>
      <c r="I1007" s="656" t="s">
        <v>14976</v>
      </c>
      <c r="J1007" s="656" t="s">
        <v>12369</v>
      </c>
      <c r="K1007" s="656" t="s">
        <v>1058</v>
      </c>
      <c r="L1007" s="656"/>
      <c r="M1007" s="657"/>
      <c r="N1007" s="1482"/>
      <c r="O1007" s="656" t="s">
        <v>498</v>
      </c>
      <c r="P1007" s="656" t="s">
        <v>13052</v>
      </c>
      <c r="Q1007" s="656">
        <v>44216.783449074072</v>
      </c>
    </row>
    <row r="1008" spans="1:17">
      <c r="A1008" s="656" t="s">
        <v>502</v>
      </c>
      <c r="B1008" s="657" t="s">
        <v>504</v>
      </c>
      <c r="C1008" s="656" t="s">
        <v>503</v>
      </c>
      <c r="D1008" s="657" t="s">
        <v>13789</v>
      </c>
      <c r="E1008" s="657" t="s">
        <v>9406</v>
      </c>
      <c r="F1008" s="656" t="s">
        <v>505</v>
      </c>
      <c r="G1008" s="656" t="s">
        <v>506</v>
      </c>
      <c r="H1008" s="656" t="s">
        <v>505</v>
      </c>
      <c r="I1008" s="656" t="s">
        <v>14976</v>
      </c>
      <c r="J1008" s="656"/>
      <c r="K1008" s="656"/>
      <c r="L1008" s="656" t="s">
        <v>13862</v>
      </c>
      <c r="M1008" s="657"/>
      <c r="N1008" s="1482"/>
      <c r="O1008" s="656" t="s">
        <v>498</v>
      </c>
      <c r="P1008" s="656" t="s">
        <v>13052</v>
      </c>
      <c r="Q1008" s="656">
        <v>44216.783437500002</v>
      </c>
    </row>
    <row r="1009" spans="1:17">
      <c r="A1009" s="656" t="s">
        <v>507</v>
      </c>
      <c r="B1009" s="657" t="s">
        <v>504</v>
      </c>
      <c r="C1009" s="656" t="s">
        <v>508</v>
      </c>
      <c r="D1009" s="657" t="s">
        <v>13789</v>
      </c>
      <c r="E1009" s="657" t="s">
        <v>9406</v>
      </c>
      <c r="F1009" s="656" t="s">
        <v>505</v>
      </c>
      <c r="G1009" s="656" t="s">
        <v>509</v>
      </c>
      <c r="H1009" s="656" t="s">
        <v>505</v>
      </c>
      <c r="I1009" s="656" t="s">
        <v>14976</v>
      </c>
      <c r="J1009" s="656"/>
      <c r="K1009" s="656"/>
      <c r="L1009" s="656"/>
      <c r="M1009" s="657"/>
      <c r="N1009" s="1482"/>
      <c r="O1009" s="656" t="s">
        <v>498</v>
      </c>
      <c r="P1009" s="656" t="s">
        <v>13052</v>
      </c>
      <c r="Q1009" s="656">
        <v>44216.783437500002</v>
      </c>
    </row>
    <row r="1010" spans="1:17">
      <c r="A1010" s="656" t="s">
        <v>510</v>
      </c>
      <c r="B1010" s="657" t="s">
        <v>202</v>
      </c>
      <c r="C1010" s="656" t="s">
        <v>511</v>
      </c>
      <c r="D1010" s="657" t="s">
        <v>13789</v>
      </c>
      <c r="E1010" s="657" t="s">
        <v>9406</v>
      </c>
      <c r="F1010" s="656" t="s">
        <v>462</v>
      </c>
      <c r="G1010" s="656" t="s">
        <v>512</v>
      </c>
      <c r="H1010" s="656" t="s">
        <v>462</v>
      </c>
      <c r="I1010" s="656" t="s">
        <v>14976</v>
      </c>
      <c r="J1010" s="656" t="s">
        <v>463</v>
      </c>
      <c r="K1010" s="656" t="s">
        <v>1924</v>
      </c>
      <c r="L1010" s="656"/>
      <c r="M1010" s="657"/>
      <c r="N1010" s="1482"/>
      <c r="O1010" s="656" t="s">
        <v>498</v>
      </c>
      <c r="P1010" s="656" t="s">
        <v>13052</v>
      </c>
      <c r="Q1010" s="656">
        <v>44216.783425925925</v>
      </c>
    </row>
    <row r="1011" spans="1:17">
      <c r="A1011" s="656" t="s">
        <v>513</v>
      </c>
      <c r="B1011" s="657" t="s">
        <v>202</v>
      </c>
      <c r="C1011" s="656" t="s">
        <v>514</v>
      </c>
      <c r="D1011" s="657" t="s">
        <v>13789</v>
      </c>
      <c r="E1011" s="657" t="s">
        <v>9406</v>
      </c>
      <c r="F1011" s="656" t="s">
        <v>462</v>
      </c>
      <c r="G1011" s="656" t="s">
        <v>512</v>
      </c>
      <c r="H1011" s="656" t="s">
        <v>462</v>
      </c>
      <c r="I1011" s="656" t="s">
        <v>14976</v>
      </c>
      <c r="J1011" s="656" t="s">
        <v>463</v>
      </c>
      <c r="K1011" s="656" t="s">
        <v>1924</v>
      </c>
      <c r="L1011" s="656"/>
      <c r="M1011" s="657"/>
      <c r="N1011" s="1482"/>
      <c r="O1011" s="656" t="s">
        <v>498</v>
      </c>
      <c r="P1011" s="656" t="s">
        <v>13052</v>
      </c>
      <c r="Q1011" s="656">
        <v>44216.783425925925</v>
      </c>
    </row>
    <row r="1012" spans="1:17">
      <c r="A1012" s="656" t="s">
        <v>8580</v>
      </c>
      <c r="B1012" s="657" t="s">
        <v>202</v>
      </c>
      <c r="C1012" s="656" t="s">
        <v>8566</v>
      </c>
      <c r="D1012" s="657" t="s">
        <v>14978</v>
      </c>
      <c r="E1012" s="657" t="s">
        <v>9406</v>
      </c>
      <c r="F1012" s="656" t="s">
        <v>462</v>
      </c>
      <c r="G1012" s="656" t="s">
        <v>512</v>
      </c>
      <c r="H1012" s="656" t="s">
        <v>462</v>
      </c>
      <c r="I1012" s="656" t="s">
        <v>14976</v>
      </c>
      <c r="J1012" s="656" t="s">
        <v>463</v>
      </c>
      <c r="K1012" s="656" t="s">
        <v>1924</v>
      </c>
      <c r="L1012" s="656" t="s">
        <v>515</v>
      </c>
      <c r="M1012" s="657"/>
      <c r="N1012" s="1482"/>
      <c r="O1012" s="656" t="s">
        <v>498</v>
      </c>
      <c r="P1012" s="656" t="s">
        <v>13052</v>
      </c>
      <c r="Q1012" s="656">
        <v>44216.783414351848</v>
      </c>
    </row>
    <row r="1013" spans="1:17">
      <c r="A1013" s="656" t="s">
        <v>515</v>
      </c>
      <c r="B1013" s="657" t="s">
        <v>202</v>
      </c>
      <c r="C1013" s="656" t="s">
        <v>9630</v>
      </c>
      <c r="D1013" s="657" t="s">
        <v>13789</v>
      </c>
      <c r="E1013" s="657" t="s">
        <v>9406</v>
      </c>
      <c r="F1013" s="656" t="s">
        <v>462</v>
      </c>
      <c r="G1013" s="656" t="s">
        <v>512</v>
      </c>
      <c r="H1013" s="656" t="s">
        <v>462</v>
      </c>
      <c r="I1013" s="656" t="s">
        <v>14976</v>
      </c>
      <c r="J1013" s="656" t="s">
        <v>463</v>
      </c>
      <c r="K1013" s="656" t="s">
        <v>1924</v>
      </c>
      <c r="L1013" s="656"/>
      <c r="M1013" s="657"/>
      <c r="N1013" s="1482"/>
      <c r="O1013" s="656" t="s">
        <v>498</v>
      </c>
      <c r="P1013" s="656" t="s">
        <v>13052</v>
      </c>
      <c r="Q1013" s="656">
        <v>44216.783414351848</v>
      </c>
    </row>
    <row r="1014" spans="1:17">
      <c r="A1014" s="656" t="s">
        <v>8613</v>
      </c>
      <c r="B1014" s="657" t="s">
        <v>202</v>
      </c>
      <c r="C1014" s="656" t="s">
        <v>8588</v>
      </c>
      <c r="D1014" s="657" t="s">
        <v>14978</v>
      </c>
      <c r="E1014" s="657" t="s">
        <v>9406</v>
      </c>
      <c r="F1014" s="656" t="s">
        <v>462</v>
      </c>
      <c r="G1014" s="656" t="s">
        <v>512</v>
      </c>
      <c r="H1014" s="656" t="s">
        <v>462</v>
      </c>
      <c r="I1014" s="656" t="s">
        <v>14976</v>
      </c>
      <c r="J1014" s="656" t="s">
        <v>463</v>
      </c>
      <c r="K1014" s="656" t="s">
        <v>1924</v>
      </c>
      <c r="L1014" s="656" t="s">
        <v>516</v>
      </c>
      <c r="M1014" s="657"/>
      <c r="N1014" s="1482"/>
      <c r="O1014" s="656" t="s">
        <v>498</v>
      </c>
      <c r="P1014" s="656" t="s">
        <v>13052</v>
      </c>
      <c r="Q1014" s="656">
        <v>44216.783414351848</v>
      </c>
    </row>
    <row r="1015" spans="1:17">
      <c r="A1015" s="656" t="s">
        <v>516</v>
      </c>
      <c r="B1015" s="657" t="s">
        <v>202</v>
      </c>
      <c r="C1015" s="656" t="s">
        <v>9631</v>
      </c>
      <c r="D1015" s="657" t="s">
        <v>13789</v>
      </c>
      <c r="E1015" s="657" t="s">
        <v>9406</v>
      </c>
      <c r="F1015" s="656" t="s">
        <v>462</v>
      </c>
      <c r="G1015" s="656" t="s">
        <v>512</v>
      </c>
      <c r="H1015" s="656" t="s">
        <v>462</v>
      </c>
      <c r="I1015" s="656" t="s">
        <v>14976</v>
      </c>
      <c r="J1015" s="656" t="s">
        <v>463</v>
      </c>
      <c r="K1015" s="656" t="s">
        <v>1924</v>
      </c>
      <c r="L1015" s="656"/>
      <c r="M1015" s="657"/>
      <c r="N1015" s="1482"/>
      <c r="O1015" s="656" t="s">
        <v>498</v>
      </c>
      <c r="P1015" s="656" t="s">
        <v>13052</v>
      </c>
      <c r="Q1015" s="656">
        <v>44216.783402777779</v>
      </c>
    </row>
    <row r="1016" spans="1:17">
      <c r="A1016" s="656" t="s">
        <v>517</v>
      </c>
      <c r="B1016" s="657" t="s">
        <v>202</v>
      </c>
      <c r="C1016" s="656" t="s">
        <v>9632</v>
      </c>
      <c r="D1016" s="657" t="s">
        <v>14977</v>
      </c>
      <c r="E1016" s="657" t="s">
        <v>9406</v>
      </c>
      <c r="F1016" s="656" t="s">
        <v>472</v>
      </c>
      <c r="G1016" s="656" t="s">
        <v>519</v>
      </c>
      <c r="H1016" s="656" t="s">
        <v>472</v>
      </c>
      <c r="I1016" s="656" t="s">
        <v>14976</v>
      </c>
      <c r="J1016" s="656" t="s">
        <v>12368</v>
      </c>
      <c r="K1016" s="656" t="s">
        <v>1058</v>
      </c>
      <c r="L1016" s="656"/>
      <c r="M1016" s="657"/>
      <c r="N1016" s="1482"/>
      <c r="O1016" s="656" t="s">
        <v>498</v>
      </c>
      <c r="P1016" s="656" t="s">
        <v>13052</v>
      </c>
      <c r="Q1016" s="656">
        <v>44216.783402777779</v>
      </c>
    </row>
    <row r="1017" spans="1:17">
      <c r="A1017" s="656" t="s">
        <v>520</v>
      </c>
      <c r="B1017" s="657" t="s">
        <v>504</v>
      </c>
      <c r="C1017" s="656" t="s">
        <v>521</v>
      </c>
      <c r="D1017" s="657" t="s">
        <v>13789</v>
      </c>
      <c r="E1017" s="657" t="s">
        <v>9510</v>
      </c>
      <c r="F1017" s="656" t="s">
        <v>505</v>
      </c>
      <c r="G1017" s="656" t="s">
        <v>522</v>
      </c>
      <c r="H1017" s="656" t="s">
        <v>505</v>
      </c>
      <c r="I1017" s="656" t="s">
        <v>14976</v>
      </c>
      <c r="J1017" s="656"/>
      <c r="K1017" s="656"/>
      <c r="L1017" s="656"/>
      <c r="M1017" s="657"/>
      <c r="N1017" s="1482"/>
      <c r="O1017" s="656" t="s">
        <v>498</v>
      </c>
      <c r="P1017" s="656" t="s">
        <v>13052</v>
      </c>
      <c r="Q1017" s="656">
        <v>44216.783391203702</v>
      </c>
    </row>
    <row r="1018" spans="1:17">
      <c r="A1018" s="656" t="s">
        <v>523</v>
      </c>
      <c r="B1018" s="657" t="s">
        <v>504</v>
      </c>
      <c r="C1018" s="656" t="s">
        <v>524</v>
      </c>
      <c r="D1018" s="657" t="s">
        <v>13789</v>
      </c>
      <c r="E1018" s="657" t="s">
        <v>9406</v>
      </c>
      <c r="F1018" s="656" t="s">
        <v>505</v>
      </c>
      <c r="G1018" s="656" t="s">
        <v>525</v>
      </c>
      <c r="H1018" s="656" t="s">
        <v>505</v>
      </c>
      <c r="I1018" s="656" t="s">
        <v>14976</v>
      </c>
      <c r="J1018" s="656"/>
      <c r="K1018" s="656"/>
      <c r="L1018" s="656"/>
      <c r="M1018" s="657"/>
      <c r="N1018" s="1482"/>
      <c r="O1018" s="656" t="s">
        <v>498</v>
      </c>
      <c r="P1018" s="656" t="s">
        <v>13052</v>
      </c>
      <c r="Q1018" s="656">
        <v>44216.783391203702</v>
      </c>
    </row>
    <row r="1019" spans="1:17">
      <c r="A1019" s="656" t="s">
        <v>526</v>
      </c>
      <c r="B1019" s="657" t="s">
        <v>504</v>
      </c>
      <c r="C1019" s="656" t="s">
        <v>527</v>
      </c>
      <c r="D1019" s="657" t="s">
        <v>14978</v>
      </c>
      <c r="E1019" s="657" t="s">
        <v>9406</v>
      </c>
      <c r="F1019" s="656" t="s">
        <v>505</v>
      </c>
      <c r="G1019" s="656" t="s">
        <v>506</v>
      </c>
      <c r="H1019" s="656" t="s">
        <v>505</v>
      </c>
      <c r="I1019" s="656" t="s">
        <v>14976</v>
      </c>
      <c r="J1019" s="656"/>
      <c r="K1019" s="656"/>
      <c r="L1019" s="656" t="s">
        <v>4057</v>
      </c>
      <c r="M1019" s="657"/>
      <c r="N1019" s="1482"/>
      <c r="O1019" s="656" t="s">
        <v>498</v>
      </c>
      <c r="P1019" s="656" t="s">
        <v>13052</v>
      </c>
      <c r="Q1019" s="656">
        <v>44216.783379629633</v>
      </c>
    </row>
    <row r="1020" spans="1:17">
      <c r="A1020" s="656" t="s">
        <v>13961</v>
      </c>
      <c r="B1020" s="657" t="s">
        <v>202</v>
      </c>
      <c r="C1020" s="656" t="s">
        <v>15011</v>
      </c>
      <c r="D1020" s="657" t="s">
        <v>13789</v>
      </c>
      <c r="E1020" s="657"/>
      <c r="F1020" s="656" t="s">
        <v>458</v>
      </c>
      <c r="G1020" s="656" t="s">
        <v>512</v>
      </c>
      <c r="H1020" s="656" t="s">
        <v>458</v>
      </c>
      <c r="I1020" s="656" t="s">
        <v>14976</v>
      </c>
      <c r="J1020" s="656" t="s">
        <v>8814</v>
      </c>
      <c r="K1020" s="656" t="s">
        <v>4057</v>
      </c>
      <c r="L1020" s="656"/>
      <c r="M1020" s="657"/>
      <c r="N1020" s="1482"/>
      <c r="O1020" s="656" t="s">
        <v>498</v>
      </c>
      <c r="P1020" s="656" t="s">
        <v>13052</v>
      </c>
      <c r="Q1020" s="656">
        <v>44216.783379629633</v>
      </c>
    </row>
    <row r="1021" spans="1:17">
      <c r="A1021" s="656" t="s">
        <v>529</v>
      </c>
      <c r="B1021" s="657" t="s">
        <v>531</v>
      </c>
      <c r="C1021" s="656" t="s">
        <v>530</v>
      </c>
      <c r="D1021" s="657" t="s">
        <v>13789</v>
      </c>
      <c r="E1021" s="657" t="s">
        <v>9406</v>
      </c>
      <c r="F1021" s="656" t="s">
        <v>2849</v>
      </c>
      <c r="G1021" s="656" t="s">
        <v>512</v>
      </c>
      <c r="H1021" s="656" t="s">
        <v>469</v>
      </c>
      <c r="I1021" s="656" t="s">
        <v>14976</v>
      </c>
      <c r="J1021" s="656" t="s">
        <v>532</v>
      </c>
      <c r="K1021" s="656" t="s">
        <v>2849</v>
      </c>
      <c r="L1021" s="656"/>
      <c r="M1021" s="657"/>
      <c r="N1021" s="1482"/>
      <c r="O1021" s="656" t="s">
        <v>498</v>
      </c>
      <c r="P1021" s="656" t="s">
        <v>13052</v>
      </c>
      <c r="Q1021" s="656">
        <v>44216.783379629633</v>
      </c>
    </row>
    <row r="1022" spans="1:17">
      <c r="A1022" s="656" t="s">
        <v>533</v>
      </c>
      <c r="B1022" s="657" t="s">
        <v>531</v>
      </c>
      <c r="C1022" s="656" t="s">
        <v>534</v>
      </c>
      <c r="D1022" s="657" t="s">
        <v>13789</v>
      </c>
      <c r="E1022" s="657" t="s">
        <v>9406</v>
      </c>
      <c r="F1022" s="656" t="s">
        <v>2849</v>
      </c>
      <c r="G1022" s="656" t="s">
        <v>519</v>
      </c>
      <c r="H1022" s="656" t="s">
        <v>469</v>
      </c>
      <c r="I1022" s="656" t="s">
        <v>14976</v>
      </c>
      <c r="J1022" s="656" t="s">
        <v>473</v>
      </c>
      <c r="K1022" s="656" t="s">
        <v>1058</v>
      </c>
      <c r="L1022" s="656"/>
      <c r="M1022" s="657"/>
      <c r="N1022" s="1482"/>
      <c r="O1022" s="656" t="s">
        <v>498</v>
      </c>
      <c r="P1022" s="656" t="s">
        <v>13052</v>
      </c>
      <c r="Q1022" s="656">
        <v>44216.783368055556</v>
      </c>
    </row>
    <row r="1023" spans="1:17">
      <c r="A1023" s="656" t="s">
        <v>535</v>
      </c>
      <c r="B1023" s="657" t="s">
        <v>202</v>
      </c>
      <c r="C1023" s="656" t="s">
        <v>536</v>
      </c>
      <c r="D1023" s="657" t="s">
        <v>13789</v>
      </c>
      <c r="E1023" s="657" t="s">
        <v>9406</v>
      </c>
      <c r="F1023" s="656" t="s">
        <v>537</v>
      </c>
      <c r="G1023" s="656" t="s">
        <v>512</v>
      </c>
      <c r="H1023" s="656" t="s">
        <v>537</v>
      </c>
      <c r="I1023" s="656" t="s">
        <v>14976</v>
      </c>
      <c r="J1023" s="656" t="s">
        <v>473</v>
      </c>
      <c r="K1023" s="656" t="s">
        <v>4161</v>
      </c>
      <c r="L1023" s="656"/>
      <c r="M1023" s="657"/>
      <c r="N1023" s="1482"/>
      <c r="O1023" s="656" t="s">
        <v>498</v>
      </c>
      <c r="P1023" s="656" t="s">
        <v>13052</v>
      </c>
      <c r="Q1023" s="656">
        <v>44216.783368055556</v>
      </c>
    </row>
    <row r="1024" spans="1:17">
      <c r="A1024" s="656" t="s">
        <v>538</v>
      </c>
      <c r="B1024" s="657" t="s">
        <v>504</v>
      </c>
      <c r="C1024" s="656" t="s">
        <v>539</v>
      </c>
      <c r="D1024" s="657" t="s">
        <v>14977</v>
      </c>
      <c r="E1024" s="657" t="s">
        <v>9406</v>
      </c>
      <c r="F1024" s="656" t="s">
        <v>540</v>
      </c>
      <c r="G1024" s="656" t="s">
        <v>541</v>
      </c>
      <c r="H1024" s="656" t="s">
        <v>540</v>
      </c>
      <c r="I1024" s="656"/>
      <c r="J1024" s="656"/>
      <c r="K1024" s="656"/>
      <c r="L1024" s="656"/>
      <c r="M1024" s="657"/>
      <c r="N1024" s="1482"/>
      <c r="O1024" s="656" t="s">
        <v>498</v>
      </c>
      <c r="P1024" s="656" t="s">
        <v>13052</v>
      </c>
      <c r="Q1024" s="656">
        <v>44216.783356481479</v>
      </c>
    </row>
    <row r="1025" spans="1:17">
      <c r="A1025" s="656" t="s">
        <v>542</v>
      </c>
      <c r="B1025" s="657" t="s">
        <v>202</v>
      </c>
      <c r="C1025" s="656" t="s">
        <v>543</v>
      </c>
      <c r="D1025" s="657" t="s">
        <v>14978</v>
      </c>
      <c r="E1025" s="657" t="s">
        <v>9406</v>
      </c>
      <c r="F1025" s="656" t="s">
        <v>462</v>
      </c>
      <c r="G1025" s="656" t="s">
        <v>512</v>
      </c>
      <c r="H1025" s="656" t="s">
        <v>462</v>
      </c>
      <c r="I1025" s="656" t="s">
        <v>14976</v>
      </c>
      <c r="J1025" s="656" t="s">
        <v>463</v>
      </c>
      <c r="K1025" s="656" t="s">
        <v>1924</v>
      </c>
      <c r="L1025" s="656" t="s">
        <v>2848</v>
      </c>
      <c r="M1025" s="657"/>
      <c r="N1025" s="1482"/>
      <c r="O1025" s="656" t="s">
        <v>498</v>
      </c>
      <c r="P1025" s="656" t="s">
        <v>13052</v>
      </c>
      <c r="Q1025" s="656">
        <v>44216.783356481479</v>
      </c>
    </row>
    <row r="1026" spans="1:17">
      <c r="A1026" s="656" t="s">
        <v>544</v>
      </c>
      <c r="B1026" s="657" t="s">
        <v>202</v>
      </c>
      <c r="C1026" s="656" t="s">
        <v>545</v>
      </c>
      <c r="D1026" s="657" t="s">
        <v>13789</v>
      </c>
      <c r="E1026" s="657" t="s">
        <v>9406</v>
      </c>
      <c r="F1026" s="656" t="s">
        <v>537</v>
      </c>
      <c r="G1026" s="656" t="s">
        <v>512</v>
      </c>
      <c r="H1026" s="656" t="s">
        <v>537</v>
      </c>
      <c r="I1026" s="656" t="s">
        <v>14976</v>
      </c>
      <c r="J1026" s="656" t="s">
        <v>473</v>
      </c>
      <c r="K1026" s="656" t="s">
        <v>4161</v>
      </c>
      <c r="L1026" s="656"/>
      <c r="M1026" s="657"/>
      <c r="N1026" s="1482"/>
      <c r="O1026" s="656" t="s">
        <v>498</v>
      </c>
      <c r="P1026" s="656" t="s">
        <v>13052</v>
      </c>
      <c r="Q1026" s="656">
        <v>44216.78334490741</v>
      </c>
    </row>
    <row r="1027" spans="1:17">
      <c r="A1027" s="656" t="s">
        <v>546</v>
      </c>
      <c r="B1027" s="657" t="s">
        <v>202</v>
      </c>
      <c r="C1027" s="656" t="s">
        <v>547</v>
      </c>
      <c r="D1027" s="657" t="s">
        <v>13789</v>
      </c>
      <c r="E1027" s="657" t="s">
        <v>9406</v>
      </c>
      <c r="F1027" s="656" t="s">
        <v>8807</v>
      </c>
      <c r="G1027" s="656" t="s">
        <v>512</v>
      </c>
      <c r="H1027" s="656" t="s">
        <v>8807</v>
      </c>
      <c r="I1027" s="656" t="s">
        <v>14976</v>
      </c>
      <c r="J1027" s="656" t="s">
        <v>8814</v>
      </c>
      <c r="K1027" s="656" t="s">
        <v>4057</v>
      </c>
      <c r="L1027" s="656"/>
      <c r="M1027" s="657"/>
      <c r="N1027" s="1482"/>
      <c r="O1027" s="656" t="s">
        <v>498</v>
      </c>
      <c r="P1027" s="656" t="s">
        <v>13052</v>
      </c>
      <c r="Q1027" s="656">
        <v>44216.78334490741</v>
      </c>
    </row>
    <row r="1028" spans="1:17">
      <c r="A1028" s="656" t="s">
        <v>548</v>
      </c>
      <c r="B1028" s="657" t="s">
        <v>202</v>
      </c>
      <c r="C1028" s="656" t="s">
        <v>13960</v>
      </c>
      <c r="D1028" s="657" t="s">
        <v>13789</v>
      </c>
      <c r="E1028" s="657" t="s">
        <v>9406</v>
      </c>
      <c r="F1028" s="656" t="s">
        <v>8807</v>
      </c>
      <c r="G1028" s="656" t="s">
        <v>512</v>
      </c>
      <c r="H1028" s="656" t="s">
        <v>8807</v>
      </c>
      <c r="I1028" s="656" t="s">
        <v>14976</v>
      </c>
      <c r="J1028" s="656" t="s">
        <v>8814</v>
      </c>
      <c r="K1028" s="656" t="s">
        <v>4057</v>
      </c>
      <c r="L1028" s="656"/>
      <c r="M1028" s="657"/>
      <c r="N1028" s="1482"/>
      <c r="O1028" s="656" t="s">
        <v>498</v>
      </c>
      <c r="P1028" s="656" t="s">
        <v>13052</v>
      </c>
      <c r="Q1028" s="656">
        <v>44216.783333333333</v>
      </c>
    </row>
    <row r="1029" spans="1:17">
      <c r="A1029" s="656" t="s">
        <v>549</v>
      </c>
      <c r="B1029" s="657" t="s">
        <v>202</v>
      </c>
      <c r="C1029" s="656" t="s">
        <v>13959</v>
      </c>
      <c r="D1029" s="657" t="s">
        <v>13789</v>
      </c>
      <c r="E1029" s="657" t="s">
        <v>9406</v>
      </c>
      <c r="F1029" s="656" t="s">
        <v>462</v>
      </c>
      <c r="G1029" s="656" t="s">
        <v>512</v>
      </c>
      <c r="H1029" s="656" t="s">
        <v>462</v>
      </c>
      <c r="I1029" s="656" t="s">
        <v>14976</v>
      </c>
      <c r="J1029" s="656" t="s">
        <v>463</v>
      </c>
      <c r="K1029" s="656" t="s">
        <v>1924</v>
      </c>
      <c r="L1029" s="656"/>
      <c r="M1029" s="657"/>
      <c r="N1029" s="1482"/>
      <c r="O1029" s="656" t="s">
        <v>498</v>
      </c>
      <c r="P1029" s="656" t="s">
        <v>13052</v>
      </c>
      <c r="Q1029" s="656">
        <v>44216.783333333333</v>
      </c>
    </row>
    <row r="1030" spans="1:17">
      <c r="A1030" s="656" t="s">
        <v>15009</v>
      </c>
      <c r="B1030" s="657" t="s">
        <v>504</v>
      </c>
      <c r="C1030" s="656" t="s">
        <v>15010</v>
      </c>
      <c r="D1030" s="657" t="s">
        <v>13789</v>
      </c>
      <c r="E1030" s="657" t="s">
        <v>9510</v>
      </c>
      <c r="F1030" s="656" t="s">
        <v>505</v>
      </c>
      <c r="G1030" s="656" t="s">
        <v>525</v>
      </c>
      <c r="H1030" s="656" t="s">
        <v>505</v>
      </c>
      <c r="I1030" s="656" t="s">
        <v>14976</v>
      </c>
      <c r="J1030" s="656"/>
      <c r="K1030" s="656"/>
      <c r="L1030" s="656"/>
      <c r="M1030" s="657"/>
      <c r="N1030" s="1482"/>
      <c r="O1030" s="656" t="s">
        <v>498</v>
      </c>
      <c r="P1030" s="656" t="s">
        <v>13052</v>
      </c>
      <c r="Q1030" s="656">
        <v>44216.783321759256</v>
      </c>
    </row>
    <row r="1031" spans="1:17">
      <c r="A1031" s="656" t="s">
        <v>15007</v>
      </c>
      <c r="B1031" s="657" t="s">
        <v>504</v>
      </c>
      <c r="C1031" s="656" t="s">
        <v>15008</v>
      </c>
      <c r="D1031" s="657" t="s">
        <v>13789</v>
      </c>
      <c r="E1031" s="657" t="s">
        <v>9406</v>
      </c>
      <c r="F1031" s="656" t="s">
        <v>505</v>
      </c>
      <c r="G1031" s="656" t="s">
        <v>525</v>
      </c>
      <c r="H1031" s="656" t="s">
        <v>505</v>
      </c>
      <c r="I1031" s="656" t="s">
        <v>14976</v>
      </c>
      <c r="J1031" s="656"/>
      <c r="K1031" s="656"/>
      <c r="L1031" s="656"/>
      <c r="M1031" s="657"/>
      <c r="N1031" s="1482"/>
      <c r="O1031" s="656" t="s">
        <v>498</v>
      </c>
      <c r="P1031" s="656" t="s">
        <v>13052</v>
      </c>
      <c r="Q1031" s="656">
        <v>44216.783321759256</v>
      </c>
    </row>
    <row r="1032" spans="1:17">
      <c r="A1032" s="656" t="s">
        <v>550</v>
      </c>
      <c r="B1032" s="657" t="s">
        <v>202</v>
      </c>
      <c r="C1032" s="656" t="s">
        <v>551</v>
      </c>
      <c r="D1032" s="657" t="s">
        <v>14977</v>
      </c>
      <c r="E1032" s="657" t="s">
        <v>9406</v>
      </c>
      <c r="F1032" s="656" t="s">
        <v>537</v>
      </c>
      <c r="G1032" s="656" t="s">
        <v>552</v>
      </c>
      <c r="H1032" s="656" t="s">
        <v>537</v>
      </c>
      <c r="I1032" s="656" t="s">
        <v>14976</v>
      </c>
      <c r="J1032" s="656" t="s">
        <v>473</v>
      </c>
      <c r="K1032" s="656" t="s">
        <v>4161</v>
      </c>
      <c r="L1032" s="656" t="s">
        <v>550</v>
      </c>
      <c r="M1032" s="657"/>
      <c r="N1032" s="1482"/>
      <c r="O1032" s="656" t="s">
        <v>498</v>
      </c>
      <c r="P1032" s="656" t="s">
        <v>13052</v>
      </c>
      <c r="Q1032" s="656">
        <v>44216.783310185187</v>
      </c>
    </row>
    <row r="1033" spans="1:17">
      <c r="A1033" s="656" t="s">
        <v>554</v>
      </c>
      <c r="B1033" s="657" t="s">
        <v>504</v>
      </c>
      <c r="C1033" s="656" t="s">
        <v>9972</v>
      </c>
      <c r="D1033" s="657" t="s">
        <v>14978</v>
      </c>
      <c r="E1033" s="657" t="s">
        <v>9406</v>
      </c>
      <c r="F1033" s="656" t="s">
        <v>540</v>
      </c>
      <c r="G1033" s="656" t="s">
        <v>541</v>
      </c>
      <c r="H1033" s="656" t="s">
        <v>540</v>
      </c>
      <c r="I1033" s="656"/>
      <c r="J1033" s="656"/>
      <c r="K1033" s="656"/>
      <c r="L1033" s="656" t="s">
        <v>15005</v>
      </c>
      <c r="M1033" s="657"/>
      <c r="N1033" s="1482"/>
      <c r="O1033" s="656" t="s">
        <v>498</v>
      </c>
      <c r="P1033" s="656" t="s">
        <v>13052</v>
      </c>
      <c r="Q1033" s="656">
        <v>44216.783310185187</v>
      </c>
    </row>
    <row r="1034" spans="1:17">
      <c r="A1034" s="656" t="s">
        <v>555</v>
      </c>
      <c r="B1034" s="657" t="s">
        <v>504</v>
      </c>
      <c r="C1034" s="656" t="s">
        <v>556</v>
      </c>
      <c r="D1034" s="657" t="s">
        <v>14978</v>
      </c>
      <c r="E1034" s="657" t="s">
        <v>9406</v>
      </c>
      <c r="F1034" s="656" t="s">
        <v>540</v>
      </c>
      <c r="G1034" s="656" t="s">
        <v>541</v>
      </c>
      <c r="H1034" s="656" t="s">
        <v>540</v>
      </c>
      <c r="I1034" s="656"/>
      <c r="J1034" s="656"/>
      <c r="K1034" s="656"/>
      <c r="L1034" s="656" t="s">
        <v>15005</v>
      </c>
      <c r="M1034" s="657"/>
      <c r="N1034" s="1482"/>
      <c r="O1034" s="656" t="s">
        <v>498</v>
      </c>
      <c r="P1034" s="656" t="s">
        <v>13052</v>
      </c>
      <c r="Q1034" s="656">
        <v>44216.78329861111</v>
      </c>
    </row>
    <row r="1035" spans="1:17">
      <c r="A1035" s="656" t="s">
        <v>557</v>
      </c>
      <c r="B1035" s="657" t="s">
        <v>504</v>
      </c>
      <c r="C1035" s="656" t="s">
        <v>12572</v>
      </c>
      <c r="D1035" s="657" t="s">
        <v>14978</v>
      </c>
      <c r="E1035" s="657" t="s">
        <v>9406</v>
      </c>
      <c r="F1035" s="656" t="s">
        <v>540</v>
      </c>
      <c r="G1035" s="656" t="s">
        <v>541</v>
      </c>
      <c r="H1035" s="656" t="s">
        <v>540</v>
      </c>
      <c r="I1035" s="656"/>
      <c r="J1035" s="656"/>
      <c r="K1035" s="656"/>
      <c r="L1035" s="656" t="s">
        <v>15005</v>
      </c>
      <c r="M1035" s="657"/>
      <c r="N1035" s="1482"/>
      <c r="O1035" s="656" t="s">
        <v>498</v>
      </c>
      <c r="P1035" s="656" t="s">
        <v>13052</v>
      </c>
      <c r="Q1035" s="656">
        <v>44216.78329861111</v>
      </c>
    </row>
    <row r="1036" spans="1:17">
      <c r="A1036" s="656" t="s">
        <v>558</v>
      </c>
      <c r="B1036" s="657" t="s">
        <v>504</v>
      </c>
      <c r="C1036" s="656" t="s">
        <v>1044</v>
      </c>
      <c r="D1036" s="657" t="s">
        <v>14978</v>
      </c>
      <c r="E1036" s="657" t="s">
        <v>9406</v>
      </c>
      <c r="F1036" s="656" t="s">
        <v>540</v>
      </c>
      <c r="G1036" s="656" t="s">
        <v>541</v>
      </c>
      <c r="H1036" s="656" t="s">
        <v>540</v>
      </c>
      <c r="I1036" s="656"/>
      <c r="J1036" s="656"/>
      <c r="K1036" s="656"/>
      <c r="L1036" s="656" t="s">
        <v>15005</v>
      </c>
      <c r="M1036" s="657"/>
      <c r="N1036" s="1482"/>
      <c r="O1036" s="656" t="s">
        <v>498</v>
      </c>
      <c r="P1036" s="656" t="s">
        <v>13052</v>
      </c>
      <c r="Q1036" s="656">
        <v>44216.78328703704</v>
      </c>
    </row>
    <row r="1037" spans="1:17">
      <c r="A1037" s="656" t="s">
        <v>15005</v>
      </c>
      <c r="B1037" s="657" t="s">
        <v>504</v>
      </c>
      <c r="C1037" s="656" t="s">
        <v>15006</v>
      </c>
      <c r="D1037" s="657" t="s">
        <v>14977</v>
      </c>
      <c r="E1037" s="657" t="s">
        <v>9406</v>
      </c>
      <c r="F1037" s="656" t="s">
        <v>540</v>
      </c>
      <c r="G1037" s="656" t="s">
        <v>541</v>
      </c>
      <c r="H1037" s="656" t="s">
        <v>540</v>
      </c>
      <c r="I1037" s="656" t="s">
        <v>14976</v>
      </c>
      <c r="J1037" s="656"/>
      <c r="K1037" s="656"/>
      <c r="L1037" s="656"/>
      <c r="M1037" s="657"/>
      <c r="N1037" s="1482"/>
      <c r="O1037" s="656" t="s">
        <v>498</v>
      </c>
      <c r="P1037" s="656" t="s">
        <v>13052</v>
      </c>
      <c r="Q1037" s="656">
        <v>44216.78328703704</v>
      </c>
    </row>
    <row r="1038" spans="1:17">
      <c r="A1038" s="656" t="s">
        <v>15003</v>
      </c>
      <c r="B1038" s="657" t="s">
        <v>504</v>
      </c>
      <c r="C1038" s="656" t="s">
        <v>15004</v>
      </c>
      <c r="D1038" s="657" t="s">
        <v>13789</v>
      </c>
      <c r="E1038" s="657" t="s">
        <v>9406</v>
      </c>
      <c r="F1038" s="656" t="s">
        <v>505</v>
      </c>
      <c r="G1038" s="656" t="s">
        <v>509</v>
      </c>
      <c r="H1038" s="656" t="s">
        <v>505</v>
      </c>
      <c r="I1038" s="656" t="s">
        <v>14976</v>
      </c>
      <c r="J1038" s="656"/>
      <c r="K1038" s="656"/>
      <c r="L1038" s="656"/>
      <c r="M1038" s="657"/>
      <c r="N1038" s="1482"/>
      <c r="O1038" s="656" t="s">
        <v>498</v>
      </c>
      <c r="P1038" s="656" t="s">
        <v>13052</v>
      </c>
      <c r="Q1038" s="656">
        <v>44216.78328703704</v>
      </c>
    </row>
    <row r="1039" spans="1:17">
      <c r="A1039" s="656" t="s">
        <v>559</v>
      </c>
      <c r="B1039" s="657" t="s">
        <v>202</v>
      </c>
      <c r="C1039" s="656" t="s">
        <v>560</v>
      </c>
      <c r="D1039" s="657" t="s">
        <v>14978</v>
      </c>
      <c r="E1039" s="657" t="s">
        <v>9406</v>
      </c>
      <c r="F1039" s="656" t="s">
        <v>442</v>
      </c>
      <c r="G1039" s="656" t="s">
        <v>561</v>
      </c>
      <c r="H1039" s="656" t="s">
        <v>442</v>
      </c>
      <c r="I1039" s="656" t="s">
        <v>14976</v>
      </c>
      <c r="J1039" s="656" t="s">
        <v>12369</v>
      </c>
      <c r="K1039" s="656" t="s">
        <v>1058</v>
      </c>
      <c r="L1039" s="656" t="s">
        <v>566</v>
      </c>
      <c r="M1039" s="657"/>
      <c r="N1039" s="1482"/>
      <c r="O1039" s="656" t="s">
        <v>498</v>
      </c>
      <c r="P1039" s="656" t="s">
        <v>13052</v>
      </c>
      <c r="Q1039" s="656">
        <v>44216.783275462964</v>
      </c>
    </row>
    <row r="1040" spans="1:17">
      <c r="A1040" s="656" t="s">
        <v>562</v>
      </c>
      <c r="B1040" s="657" t="s">
        <v>202</v>
      </c>
      <c r="C1040" s="656" t="s">
        <v>563</v>
      </c>
      <c r="D1040" s="657" t="s">
        <v>14978</v>
      </c>
      <c r="E1040" s="657" t="s">
        <v>9406</v>
      </c>
      <c r="F1040" s="656" t="s">
        <v>442</v>
      </c>
      <c r="G1040" s="656" t="s">
        <v>561</v>
      </c>
      <c r="H1040" s="656" t="s">
        <v>442</v>
      </c>
      <c r="I1040" s="656" t="s">
        <v>14976</v>
      </c>
      <c r="J1040" s="656" t="s">
        <v>12369</v>
      </c>
      <c r="K1040" s="656" t="s">
        <v>1058</v>
      </c>
      <c r="L1040" s="656" t="s">
        <v>566</v>
      </c>
      <c r="M1040" s="657"/>
      <c r="N1040" s="1482"/>
      <c r="O1040" s="656" t="s">
        <v>498</v>
      </c>
      <c r="P1040" s="656" t="s">
        <v>13052</v>
      </c>
      <c r="Q1040" s="656">
        <v>44216.783275462964</v>
      </c>
    </row>
    <row r="1041" spans="1:17">
      <c r="A1041" s="656" t="s">
        <v>564</v>
      </c>
      <c r="B1041" s="657" t="s">
        <v>202</v>
      </c>
      <c r="C1041" s="656" t="s">
        <v>565</v>
      </c>
      <c r="D1041" s="657" t="s">
        <v>14978</v>
      </c>
      <c r="E1041" s="657" t="s">
        <v>9406</v>
      </c>
      <c r="F1041" s="656" t="s">
        <v>442</v>
      </c>
      <c r="G1041" s="656" t="s">
        <v>561</v>
      </c>
      <c r="H1041" s="656" t="s">
        <v>442</v>
      </c>
      <c r="I1041" s="656" t="s">
        <v>14976</v>
      </c>
      <c r="J1041" s="656" t="s">
        <v>12369</v>
      </c>
      <c r="K1041" s="656" t="s">
        <v>1058</v>
      </c>
      <c r="L1041" s="656" t="s">
        <v>566</v>
      </c>
      <c r="M1041" s="657"/>
      <c r="N1041" s="1482"/>
      <c r="O1041" s="656" t="s">
        <v>498</v>
      </c>
      <c r="P1041" s="656" t="s">
        <v>13052</v>
      </c>
      <c r="Q1041" s="656">
        <v>44216.783263888887</v>
      </c>
    </row>
    <row r="1042" spans="1:17">
      <c r="A1042" s="656" t="s">
        <v>566</v>
      </c>
      <c r="B1042" s="657" t="s">
        <v>202</v>
      </c>
      <c r="C1042" s="656" t="s">
        <v>567</v>
      </c>
      <c r="D1042" s="657" t="s">
        <v>14977</v>
      </c>
      <c r="E1042" s="657" t="s">
        <v>9406</v>
      </c>
      <c r="F1042" s="656" t="s">
        <v>442</v>
      </c>
      <c r="G1042" s="656" t="s">
        <v>561</v>
      </c>
      <c r="H1042" s="656" t="s">
        <v>442</v>
      </c>
      <c r="I1042" s="656" t="s">
        <v>14976</v>
      </c>
      <c r="J1042" s="656" t="s">
        <v>12369</v>
      </c>
      <c r="K1042" s="656" t="s">
        <v>1058</v>
      </c>
      <c r="L1042" s="656"/>
      <c r="M1042" s="657"/>
      <c r="N1042" s="1482"/>
      <c r="O1042" s="656" t="s">
        <v>498</v>
      </c>
      <c r="P1042" s="656" t="s">
        <v>13052</v>
      </c>
      <c r="Q1042" s="656">
        <v>44216.783275462964</v>
      </c>
    </row>
    <row r="1043" spans="1:17">
      <c r="A1043" s="656" t="s">
        <v>568</v>
      </c>
      <c r="B1043" s="657" t="s">
        <v>504</v>
      </c>
      <c r="C1043" s="656" t="s">
        <v>560</v>
      </c>
      <c r="D1043" s="657" t="s">
        <v>14978</v>
      </c>
      <c r="E1043" s="657" t="s">
        <v>9406</v>
      </c>
      <c r="F1043" s="656" t="s">
        <v>540</v>
      </c>
      <c r="G1043" s="656" t="s">
        <v>569</v>
      </c>
      <c r="H1043" s="656" t="s">
        <v>540</v>
      </c>
      <c r="I1043" s="656" t="s">
        <v>14976</v>
      </c>
      <c r="J1043" s="656"/>
      <c r="K1043" s="656"/>
      <c r="L1043" s="656" t="s">
        <v>15002</v>
      </c>
      <c r="M1043" s="657"/>
      <c r="N1043" s="1482"/>
      <c r="O1043" s="656" t="s">
        <v>498</v>
      </c>
      <c r="P1043" s="656" t="s">
        <v>13052</v>
      </c>
      <c r="Q1043" s="656">
        <v>44216.783263888887</v>
      </c>
    </row>
    <row r="1044" spans="1:17">
      <c r="A1044" s="656" t="s">
        <v>570</v>
      </c>
      <c r="B1044" s="657" t="s">
        <v>504</v>
      </c>
      <c r="C1044" s="656" t="s">
        <v>563</v>
      </c>
      <c r="D1044" s="657" t="s">
        <v>14978</v>
      </c>
      <c r="E1044" s="657" t="s">
        <v>9406</v>
      </c>
      <c r="F1044" s="656" t="s">
        <v>540</v>
      </c>
      <c r="G1044" s="656" t="s">
        <v>569</v>
      </c>
      <c r="H1044" s="656" t="s">
        <v>540</v>
      </c>
      <c r="I1044" s="656" t="s">
        <v>14976</v>
      </c>
      <c r="J1044" s="656"/>
      <c r="K1044" s="656"/>
      <c r="L1044" s="656" t="s">
        <v>15002</v>
      </c>
      <c r="M1044" s="657"/>
      <c r="N1044" s="1482"/>
      <c r="O1044" s="656" t="s">
        <v>498</v>
      </c>
      <c r="P1044" s="656" t="s">
        <v>13052</v>
      </c>
      <c r="Q1044" s="656">
        <v>44216.783252314817</v>
      </c>
    </row>
    <row r="1045" spans="1:17">
      <c r="A1045" s="656" t="s">
        <v>571</v>
      </c>
      <c r="B1045" s="657" t="s">
        <v>504</v>
      </c>
      <c r="C1045" s="656" t="s">
        <v>565</v>
      </c>
      <c r="D1045" s="657" t="s">
        <v>14978</v>
      </c>
      <c r="E1045" s="657" t="s">
        <v>9406</v>
      </c>
      <c r="F1045" s="656" t="s">
        <v>540</v>
      </c>
      <c r="G1045" s="656" t="s">
        <v>569</v>
      </c>
      <c r="H1045" s="656" t="s">
        <v>540</v>
      </c>
      <c r="I1045" s="656" t="s">
        <v>14976</v>
      </c>
      <c r="J1045" s="656"/>
      <c r="K1045" s="656"/>
      <c r="L1045" s="656" t="s">
        <v>15002</v>
      </c>
      <c r="M1045" s="657"/>
      <c r="N1045" s="1482"/>
      <c r="O1045" s="656" t="s">
        <v>498</v>
      </c>
      <c r="P1045" s="656" t="s">
        <v>13052</v>
      </c>
      <c r="Q1045" s="656">
        <v>44216.783252314817</v>
      </c>
    </row>
    <row r="1046" spans="1:17">
      <c r="A1046" s="656" t="s">
        <v>15002</v>
      </c>
      <c r="B1046" s="657" t="s">
        <v>504</v>
      </c>
      <c r="C1046" s="656" t="s">
        <v>567</v>
      </c>
      <c r="D1046" s="657" t="s">
        <v>14977</v>
      </c>
      <c r="E1046" s="657" t="s">
        <v>9406</v>
      </c>
      <c r="F1046" s="656" t="s">
        <v>540</v>
      </c>
      <c r="G1046" s="656" t="s">
        <v>569</v>
      </c>
      <c r="H1046" s="656" t="s">
        <v>540</v>
      </c>
      <c r="I1046" s="656" t="s">
        <v>14976</v>
      </c>
      <c r="J1046" s="656"/>
      <c r="K1046" s="656"/>
      <c r="L1046" s="656"/>
      <c r="M1046" s="657"/>
      <c r="N1046" s="1482"/>
      <c r="O1046" s="656" t="s">
        <v>498</v>
      </c>
      <c r="P1046" s="656" t="s">
        <v>13052</v>
      </c>
      <c r="Q1046" s="656">
        <v>44216.78324074074</v>
      </c>
    </row>
    <row r="1047" spans="1:17">
      <c r="A1047" s="656" t="s">
        <v>572</v>
      </c>
      <c r="B1047" s="657" t="s">
        <v>202</v>
      </c>
      <c r="C1047" s="656" t="s">
        <v>573</v>
      </c>
      <c r="D1047" s="657" t="s">
        <v>13789</v>
      </c>
      <c r="E1047" s="657" t="s">
        <v>9406</v>
      </c>
      <c r="F1047" s="656" t="s">
        <v>497</v>
      </c>
      <c r="G1047" s="656" t="s">
        <v>497</v>
      </c>
      <c r="H1047" s="656" t="s">
        <v>497</v>
      </c>
      <c r="I1047" s="656" t="s">
        <v>14976</v>
      </c>
      <c r="J1047" s="656" t="s">
        <v>12372</v>
      </c>
      <c r="K1047" s="656" t="s">
        <v>497</v>
      </c>
      <c r="L1047" s="656"/>
      <c r="M1047" s="657"/>
      <c r="N1047" s="1482"/>
      <c r="O1047" s="656" t="s">
        <v>498</v>
      </c>
      <c r="P1047" s="656" t="s">
        <v>13052</v>
      </c>
      <c r="Q1047" s="656">
        <v>44216.78324074074</v>
      </c>
    </row>
    <row r="1048" spans="1:17">
      <c r="A1048" s="656" t="s">
        <v>574</v>
      </c>
      <c r="B1048" s="657" t="s">
        <v>202</v>
      </c>
      <c r="C1048" s="656" t="s">
        <v>575</v>
      </c>
      <c r="D1048" s="657" t="s">
        <v>13789</v>
      </c>
      <c r="E1048" s="657" t="s">
        <v>9406</v>
      </c>
      <c r="F1048" s="656" t="s">
        <v>537</v>
      </c>
      <c r="G1048" s="656" t="s">
        <v>512</v>
      </c>
      <c r="H1048" s="656" t="s">
        <v>537</v>
      </c>
      <c r="I1048" s="656" t="s">
        <v>14976</v>
      </c>
      <c r="J1048" s="656" t="s">
        <v>473</v>
      </c>
      <c r="K1048" s="656" t="s">
        <v>4161</v>
      </c>
      <c r="L1048" s="656"/>
      <c r="M1048" s="657"/>
      <c r="N1048" s="1482"/>
      <c r="O1048" s="656" t="s">
        <v>498</v>
      </c>
      <c r="P1048" s="656" t="s">
        <v>13052</v>
      </c>
      <c r="Q1048" s="656">
        <v>44216.783229166664</v>
      </c>
    </row>
    <row r="1049" spans="1:17">
      <c r="A1049" s="656" t="s">
        <v>576</v>
      </c>
      <c r="B1049" s="657" t="s">
        <v>202</v>
      </c>
      <c r="C1049" s="656" t="s">
        <v>577</v>
      </c>
      <c r="D1049" s="657" t="s">
        <v>13789</v>
      </c>
      <c r="E1049" s="657" t="s">
        <v>9406</v>
      </c>
      <c r="F1049" s="656" t="s">
        <v>497</v>
      </c>
      <c r="G1049" s="656" t="s">
        <v>497</v>
      </c>
      <c r="H1049" s="656" t="s">
        <v>497</v>
      </c>
      <c r="I1049" s="656" t="s">
        <v>14976</v>
      </c>
      <c r="J1049" s="656" t="s">
        <v>12372</v>
      </c>
      <c r="K1049" s="656" t="s">
        <v>497</v>
      </c>
      <c r="L1049" s="656"/>
      <c r="M1049" s="657"/>
      <c r="N1049" s="1482"/>
      <c r="O1049" s="656" t="s">
        <v>498</v>
      </c>
      <c r="P1049" s="656" t="s">
        <v>13052</v>
      </c>
      <c r="Q1049" s="656">
        <v>44216.783229166664</v>
      </c>
    </row>
    <row r="1050" spans="1:17">
      <c r="A1050" s="656" t="s">
        <v>578</v>
      </c>
      <c r="B1050" s="657" t="s">
        <v>202</v>
      </c>
      <c r="C1050" s="656" t="s">
        <v>579</v>
      </c>
      <c r="D1050" s="657" t="s">
        <v>13789</v>
      </c>
      <c r="E1050" s="657" t="s">
        <v>9406</v>
      </c>
      <c r="F1050" s="656" t="s">
        <v>497</v>
      </c>
      <c r="G1050" s="656" t="s">
        <v>497</v>
      </c>
      <c r="H1050" s="656" t="s">
        <v>497</v>
      </c>
      <c r="I1050" s="656" t="s">
        <v>14976</v>
      </c>
      <c r="J1050" s="656" t="s">
        <v>12372</v>
      </c>
      <c r="K1050" s="656" t="s">
        <v>497</v>
      </c>
      <c r="L1050" s="656"/>
      <c r="M1050" s="657"/>
      <c r="N1050" s="1482"/>
      <c r="O1050" s="656" t="s">
        <v>498</v>
      </c>
      <c r="P1050" s="656" t="s">
        <v>13052</v>
      </c>
      <c r="Q1050" s="656">
        <v>44216.783229166664</v>
      </c>
    </row>
    <row r="1051" spans="1:17">
      <c r="A1051" s="656" t="s">
        <v>580</v>
      </c>
      <c r="B1051" s="657" t="s">
        <v>202</v>
      </c>
      <c r="C1051" s="656" t="s">
        <v>581</v>
      </c>
      <c r="D1051" s="657" t="s">
        <v>13789</v>
      </c>
      <c r="E1051" s="657" t="s">
        <v>9406</v>
      </c>
      <c r="F1051" s="656" t="s">
        <v>497</v>
      </c>
      <c r="G1051" s="656" t="s">
        <v>497</v>
      </c>
      <c r="H1051" s="656" t="s">
        <v>497</v>
      </c>
      <c r="I1051" s="656" t="s">
        <v>14976</v>
      </c>
      <c r="J1051" s="656" t="s">
        <v>12372</v>
      </c>
      <c r="K1051" s="656" t="s">
        <v>497</v>
      </c>
      <c r="L1051" s="656"/>
      <c r="M1051" s="657"/>
      <c r="N1051" s="1482"/>
      <c r="O1051" s="656" t="s">
        <v>498</v>
      </c>
      <c r="P1051" s="656" t="s">
        <v>13052</v>
      </c>
      <c r="Q1051" s="656">
        <v>44216.783217592594</v>
      </c>
    </row>
    <row r="1052" spans="1:17">
      <c r="A1052" s="656" t="s">
        <v>15000</v>
      </c>
      <c r="B1052" s="657" t="s">
        <v>504</v>
      </c>
      <c r="C1052" s="656" t="s">
        <v>15001</v>
      </c>
      <c r="D1052" s="657" t="s">
        <v>13789</v>
      </c>
      <c r="E1052" s="657" t="s">
        <v>9406</v>
      </c>
      <c r="F1052" s="656" t="s">
        <v>505</v>
      </c>
      <c r="G1052" s="656" t="s">
        <v>525</v>
      </c>
      <c r="H1052" s="656" t="s">
        <v>505</v>
      </c>
      <c r="I1052" s="656" t="s">
        <v>14976</v>
      </c>
      <c r="J1052" s="656"/>
      <c r="K1052" s="656"/>
      <c r="L1052" s="656"/>
      <c r="M1052" s="657"/>
      <c r="N1052" s="1482"/>
      <c r="O1052" s="656" t="s">
        <v>498</v>
      </c>
      <c r="P1052" s="656" t="s">
        <v>13052</v>
      </c>
      <c r="Q1052" s="656">
        <v>44216.783206018517</v>
      </c>
    </row>
    <row r="1053" spans="1:17">
      <c r="A1053" s="656" t="s">
        <v>14998</v>
      </c>
      <c r="B1053" s="657" t="s">
        <v>504</v>
      </c>
      <c r="C1053" s="656" t="s">
        <v>14999</v>
      </c>
      <c r="D1053" s="657" t="s">
        <v>13789</v>
      </c>
      <c r="E1053" s="657" t="s">
        <v>9406</v>
      </c>
      <c r="F1053" s="656" t="s">
        <v>505</v>
      </c>
      <c r="G1053" s="656" t="s">
        <v>525</v>
      </c>
      <c r="H1053" s="656" t="s">
        <v>505</v>
      </c>
      <c r="I1053" s="656" t="s">
        <v>14976</v>
      </c>
      <c r="J1053" s="656"/>
      <c r="K1053" s="656"/>
      <c r="L1053" s="656"/>
      <c r="M1053" s="657"/>
      <c r="N1053" s="1482"/>
      <c r="O1053" s="656" t="s">
        <v>498</v>
      </c>
      <c r="P1053" s="656" t="s">
        <v>13052</v>
      </c>
      <c r="Q1053" s="656">
        <v>44216.783194444448</v>
      </c>
    </row>
    <row r="1054" spans="1:17">
      <c r="A1054" s="656" t="s">
        <v>582</v>
      </c>
      <c r="B1054" s="657" t="s">
        <v>202</v>
      </c>
      <c r="C1054" s="656" t="s">
        <v>583</v>
      </c>
      <c r="D1054" s="657" t="s">
        <v>13789</v>
      </c>
      <c r="E1054" s="657" t="s">
        <v>9406</v>
      </c>
      <c r="F1054" s="656" t="s">
        <v>462</v>
      </c>
      <c r="G1054" s="656" t="s">
        <v>512</v>
      </c>
      <c r="H1054" s="656" t="s">
        <v>462</v>
      </c>
      <c r="I1054" s="656" t="s">
        <v>14976</v>
      </c>
      <c r="J1054" s="656" t="s">
        <v>463</v>
      </c>
      <c r="K1054" s="656"/>
      <c r="L1054" s="656"/>
      <c r="M1054" s="657"/>
      <c r="N1054" s="1482"/>
      <c r="O1054" s="656" t="s">
        <v>498</v>
      </c>
      <c r="P1054" s="656" t="s">
        <v>13052</v>
      </c>
      <c r="Q1054" s="656">
        <v>44216.783194444448</v>
      </c>
    </row>
    <row r="1055" spans="1:17">
      <c r="A1055" s="656" t="s">
        <v>585</v>
      </c>
      <c r="B1055" s="657" t="s">
        <v>504</v>
      </c>
      <c r="C1055" s="656" t="s">
        <v>586</v>
      </c>
      <c r="D1055" s="657" t="s">
        <v>14978</v>
      </c>
      <c r="E1055" s="657" t="s">
        <v>9406</v>
      </c>
      <c r="F1055" s="656" t="s">
        <v>540</v>
      </c>
      <c r="G1055" s="656" t="s">
        <v>541</v>
      </c>
      <c r="H1055" s="656" t="s">
        <v>540</v>
      </c>
      <c r="I1055" s="656"/>
      <c r="J1055" s="656"/>
      <c r="K1055" s="656"/>
      <c r="L1055" s="656" t="s">
        <v>14995</v>
      </c>
      <c r="M1055" s="657"/>
      <c r="N1055" s="1482"/>
      <c r="O1055" s="656" t="s">
        <v>498</v>
      </c>
      <c r="P1055" s="656" t="s">
        <v>13052</v>
      </c>
      <c r="Q1055" s="656">
        <v>44216.783194444448</v>
      </c>
    </row>
    <row r="1056" spans="1:17">
      <c r="A1056" s="656" t="s">
        <v>587</v>
      </c>
      <c r="B1056" s="657" t="s">
        <v>504</v>
      </c>
      <c r="C1056" s="656" t="s">
        <v>588</v>
      </c>
      <c r="D1056" s="657" t="s">
        <v>14978</v>
      </c>
      <c r="E1056" s="657" t="s">
        <v>9406</v>
      </c>
      <c r="F1056" s="656" t="s">
        <v>540</v>
      </c>
      <c r="G1056" s="656" t="s">
        <v>541</v>
      </c>
      <c r="H1056" s="656" t="s">
        <v>540</v>
      </c>
      <c r="I1056" s="656"/>
      <c r="J1056" s="656"/>
      <c r="K1056" s="656"/>
      <c r="L1056" s="656" t="s">
        <v>14995</v>
      </c>
      <c r="M1056" s="657"/>
      <c r="N1056" s="1482"/>
      <c r="O1056" s="656" t="s">
        <v>498</v>
      </c>
      <c r="P1056" s="656" t="s">
        <v>13052</v>
      </c>
      <c r="Q1056" s="656">
        <v>44216.783182870371</v>
      </c>
    </row>
    <row r="1057" spans="1:17">
      <c r="A1057" s="656" t="s">
        <v>589</v>
      </c>
      <c r="B1057" s="657" t="s">
        <v>504</v>
      </c>
      <c r="C1057" s="656" t="s">
        <v>590</v>
      </c>
      <c r="D1057" s="657" t="s">
        <v>14978</v>
      </c>
      <c r="E1057" s="657" t="s">
        <v>9406</v>
      </c>
      <c r="F1057" s="656" t="s">
        <v>540</v>
      </c>
      <c r="G1057" s="656" t="s">
        <v>541</v>
      </c>
      <c r="H1057" s="656" t="s">
        <v>540</v>
      </c>
      <c r="I1057" s="656" t="s">
        <v>14976</v>
      </c>
      <c r="J1057" s="656"/>
      <c r="K1057" s="656"/>
      <c r="L1057" s="656" t="s">
        <v>14997</v>
      </c>
      <c r="M1057" s="657"/>
      <c r="N1057" s="1482"/>
      <c r="O1057" s="656" t="s">
        <v>498</v>
      </c>
      <c r="P1057" s="656" t="s">
        <v>13052</v>
      </c>
      <c r="Q1057" s="656">
        <v>44216.783182870371</v>
      </c>
    </row>
    <row r="1058" spans="1:17">
      <c r="A1058" s="656" t="s">
        <v>591</v>
      </c>
      <c r="B1058" s="657" t="s">
        <v>504</v>
      </c>
      <c r="C1058" s="656" t="s">
        <v>592</v>
      </c>
      <c r="D1058" s="657" t="s">
        <v>14978</v>
      </c>
      <c r="E1058" s="657" t="s">
        <v>9406</v>
      </c>
      <c r="F1058" s="656" t="s">
        <v>540</v>
      </c>
      <c r="G1058" s="656" t="s">
        <v>541</v>
      </c>
      <c r="H1058" s="656" t="s">
        <v>540</v>
      </c>
      <c r="I1058" s="656" t="s">
        <v>14976</v>
      </c>
      <c r="J1058" s="656"/>
      <c r="K1058" s="656"/>
      <c r="L1058" s="656" t="s">
        <v>14997</v>
      </c>
      <c r="M1058" s="657"/>
      <c r="N1058" s="1482"/>
      <c r="O1058" s="656" t="s">
        <v>498</v>
      </c>
      <c r="P1058" s="656" t="s">
        <v>13052</v>
      </c>
      <c r="Q1058" s="656">
        <v>44216.783171296294</v>
      </c>
    </row>
    <row r="1059" spans="1:17">
      <c r="A1059" s="656" t="s">
        <v>593</v>
      </c>
      <c r="B1059" s="657" t="s">
        <v>504</v>
      </c>
      <c r="C1059" s="656" t="s">
        <v>594</v>
      </c>
      <c r="D1059" s="657" t="s">
        <v>14978</v>
      </c>
      <c r="E1059" s="657" t="s">
        <v>9406</v>
      </c>
      <c r="F1059" s="656" t="s">
        <v>540</v>
      </c>
      <c r="G1059" s="656" t="s">
        <v>541</v>
      </c>
      <c r="H1059" s="656" t="s">
        <v>540</v>
      </c>
      <c r="I1059" s="656" t="s">
        <v>14976</v>
      </c>
      <c r="J1059" s="656"/>
      <c r="K1059" s="656"/>
      <c r="L1059" s="656" t="s">
        <v>14997</v>
      </c>
      <c r="M1059" s="657"/>
      <c r="N1059" s="1482"/>
      <c r="O1059" s="656" t="s">
        <v>498</v>
      </c>
      <c r="P1059" s="656" t="s">
        <v>13052</v>
      </c>
      <c r="Q1059" s="656">
        <v>44216.783171296294</v>
      </c>
    </row>
    <row r="1060" spans="1:17">
      <c r="A1060" s="656" t="s">
        <v>595</v>
      </c>
      <c r="B1060" s="657" t="s">
        <v>504</v>
      </c>
      <c r="C1060" s="656" t="s">
        <v>596</v>
      </c>
      <c r="D1060" s="657" t="s">
        <v>14978</v>
      </c>
      <c r="E1060" s="657" t="s">
        <v>9406</v>
      </c>
      <c r="F1060" s="656" t="s">
        <v>540</v>
      </c>
      <c r="G1060" s="656" t="s">
        <v>541</v>
      </c>
      <c r="H1060" s="656" t="s">
        <v>540</v>
      </c>
      <c r="I1060" s="656" t="s">
        <v>14976</v>
      </c>
      <c r="J1060" s="656"/>
      <c r="K1060" s="656"/>
      <c r="L1060" s="656" t="s">
        <v>14997</v>
      </c>
      <c r="M1060" s="657"/>
      <c r="N1060" s="1482"/>
      <c r="O1060" s="656" t="s">
        <v>498</v>
      </c>
      <c r="P1060" s="656" t="s">
        <v>13052</v>
      </c>
      <c r="Q1060" s="656">
        <v>44216.783159722225</v>
      </c>
    </row>
    <row r="1061" spans="1:17">
      <c r="A1061" s="656" t="s">
        <v>597</v>
      </c>
      <c r="B1061" s="657" t="s">
        <v>504</v>
      </c>
      <c r="C1061" s="656" t="s">
        <v>971</v>
      </c>
      <c r="D1061" s="657" t="s">
        <v>14978</v>
      </c>
      <c r="E1061" s="657" t="s">
        <v>9406</v>
      </c>
      <c r="F1061" s="656" t="s">
        <v>540</v>
      </c>
      <c r="G1061" s="656" t="s">
        <v>541</v>
      </c>
      <c r="H1061" s="656" t="s">
        <v>540</v>
      </c>
      <c r="I1061" s="656" t="s">
        <v>14976</v>
      </c>
      <c r="J1061" s="656"/>
      <c r="K1061" s="656"/>
      <c r="L1061" s="656" t="s">
        <v>14997</v>
      </c>
      <c r="M1061" s="657"/>
      <c r="N1061" s="1482"/>
      <c r="O1061" s="656" t="s">
        <v>498</v>
      </c>
      <c r="P1061" s="656" t="s">
        <v>13052</v>
      </c>
      <c r="Q1061" s="656">
        <v>44216.783159722225</v>
      </c>
    </row>
    <row r="1062" spans="1:17">
      <c r="A1062" s="656" t="s">
        <v>14995</v>
      </c>
      <c r="B1062" s="657" t="s">
        <v>504</v>
      </c>
      <c r="C1062" s="656" t="s">
        <v>14996</v>
      </c>
      <c r="D1062" s="657" t="s">
        <v>14977</v>
      </c>
      <c r="E1062" s="657" t="s">
        <v>9406</v>
      </c>
      <c r="F1062" s="656" t="s">
        <v>540</v>
      </c>
      <c r="G1062" s="656" t="s">
        <v>541</v>
      </c>
      <c r="H1062" s="656" t="s">
        <v>540</v>
      </c>
      <c r="I1062" s="656" t="s">
        <v>14976</v>
      </c>
      <c r="J1062" s="656"/>
      <c r="K1062" s="656"/>
      <c r="L1062" s="656"/>
      <c r="M1062" s="657"/>
      <c r="N1062" s="1482"/>
      <c r="O1062" s="656" t="s">
        <v>498</v>
      </c>
      <c r="P1062" s="656" t="s">
        <v>13052</v>
      </c>
      <c r="Q1062" s="656">
        <v>44216.783148148148</v>
      </c>
    </row>
    <row r="1063" spans="1:17">
      <c r="A1063" s="656" t="s">
        <v>14993</v>
      </c>
      <c r="B1063" s="657" t="s">
        <v>504</v>
      </c>
      <c r="C1063" s="656" t="s">
        <v>14994</v>
      </c>
      <c r="D1063" s="657" t="s">
        <v>13789</v>
      </c>
      <c r="E1063" s="657" t="s">
        <v>9510</v>
      </c>
      <c r="F1063" s="656" t="s">
        <v>505</v>
      </c>
      <c r="G1063" s="656" t="s">
        <v>525</v>
      </c>
      <c r="H1063" s="656" t="s">
        <v>505</v>
      </c>
      <c r="I1063" s="656" t="s">
        <v>14976</v>
      </c>
      <c r="J1063" s="656"/>
      <c r="K1063" s="656"/>
      <c r="L1063" s="656"/>
      <c r="M1063" s="657"/>
      <c r="N1063" s="1482"/>
      <c r="O1063" s="656" t="s">
        <v>498</v>
      </c>
      <c r="P1063" s="656" t="s">
        <v>13052</v>
      </c>
      <c r="Q1063" s="656">
        <v>44216.783148148148</v>
      </c>
    </row>
    <row r="1064" spans="1:17">
      <c r="A1064" s="656" t="s">
        <v>14991</v>
      </c>
      <c r="B1064" s="657" t="s">
        <v>504</v>
      </c>
      <c r="C1064" s="656" t="s">
        <v>14992</v>
      </c>
      <c r="D1064" s="657" t="s">
        <v>13789</v>
      </c>
      <c r="E1064" s="657" t="s">
        <v>9406</v>
      </c>
      <c r="F1064" s="656" t="s">
        <v>505</v>
      </c>
      <c r="G1064" s="656" t="s">
        <v>525</v>
      </c>
      <c r="H1064" s="656" t="s">
        <v>505</v>
      </c>
      <c r="I1064" s="656" t="s">
        <v>14976</v>
      </c>
      <c r="J1064" s="656"/>
      <c r="K1064" s="656"/>
      <c r="L1064" s="656"/>
      <c r="M1064" s="657"/>
      <c r="N1064" s="1482"/>
      <c r="O1064" s="656" t="s">
        <v>498</v>
      </c>
      <c r="P1064" s="656" t="s">
        <v>13052</v>
      </c>
      <c r="Q1064" s="656">
        <v>44216.783136574071</v>
      </c>
    </row>
    <row r="1065" spans="1:17">
      <c r="A1065" s="656" t="s">
        <v>14989</v>
      </c>
      <c r="B1065" s="657" t="s">
        <v>504</v>
      </c>
      <c r="C1065" s="656" t="s">
        <v>14990</v>
      </c>
      <c r="D1065" s="657" t="s">
        <v>13789</v>
      </c>
      <c r="E1065" s="657" t="s">
        <v>9406</v>
      </c>
      <c r="F1065" s="656" t="s">
        <v>505</v>
      </c>
      <c r="G1065" s="656" t="s">
        <v>525</v>
      </c>
      <c r="H1065" s="656" t="s">
        <v>505</v>
      </c>
      <c r="I1065" s="656" t="s">
        <v>14976</v>
      </c>
      <c r="J1065" s="656"/>
      <c r="K1065" s="656"/>
      <c r="L1065" s="656"/>
      <c r="M1065" s="657"/>
      <c r="N1065" s="1482"/>
      <c r="O1065" s="656" t="s">
        <v>498</v>
      </c>
      <c r="P1065" s="656" t="s">
        <v>13052</v>
      </c>
      <c r="Q1065" s="656">
        <v>44216.783125000002</v>
      </c>
    </row>
    <row r="1066" spans="1:17">
      <c r="A1066" s="656" t="s">
        <v>14987</v>
      </c>
      <c r="B1066" s="657" t="s">
        <v>504</v>
      </c>
      <c r="C1066" s="656" t="s">
        <v>14988</v>
      </c>
      <c r="D1066" s="657" t="s">
        <v>13789</v>
      </c>
      <c r="E1066" s="657" t="s">
        <v>9406</v>
      </c>
      <c r="F1066" s="656" t="s">
        <v>505</v>
      </c>
      <c r="G1066" s="656" t="s">
        <v>525</v>
      </c>
      <c r="H1066" s="656" t="s">
        <v>505</v>
      </c>
      <c r="I1066" s="656" t="s">
        <v>14976</v>
      </c>
      <c r="J1066" s="656"/>
      <c r="K1066" s="656"/>
      <c r="L1066" s="656"/>
      <c r="M1066" s="657"/>
      <c r="N1066" s="1482"/>
      <c r="O1066" s="656" t="s">
        <v>498</v>
      </c>
      <c r="P1066" s="656" t="s">
        <v>13052</v>
      </c>
      <c r="Q1066" s="656">
        <v>44216.783125000002</v>
      </c>
    </row>
    <row r="1067" spans="1:17">
      <c r="A1067" s="656" t="s">
        <v>14985</v>
      </c>
      <c r="B1067" s="657" t="s">
        <v>504</v>
      </c>
      <c r="C1067" s="656" t="s">
        <v>14986</v>
      </c>
      <c r="D1067" s="657" t="s">
        <v>13789</v>
      </c>
      <c r="E1067" s="657" t="s">
        <v>9406</v>
      </c>
      <c r="F1067" s="656" t="s">
        <v>505</v>
      </c>
      <c r="G1067" s="656" t="s">
        <v>525</v>
      </c>
      <c r="H1067" s="656" t="s">
        <v>505</v>
      </c>
      <c r="I1067" s="656" t="s">
        <v>14976</v>
      </c>
      <c r="J1067" s="656"/>
      <c r="K1067" s="656"/>
      <c r="L1067" s="656"/>
      <c r="M1067" s="657"/>
      <c r="N1067" s="1482"/>
      <c r="O1067" s="656" t="s">
        <v>498</v>
      </c>
      <c r="P1067" s="656" t="s">
        <v>13052</v>
      </c>
      <c r="Q1067" s="656">
        <v>44216.783113425925</v>
      </c>
    </row>
    <row r="1068" spans="1:17">
      <c r="A1068" s="656" t="s">
        <v>14983</v>
      </c>
      <c r="B1068" s="657" t="s">
        <v>504</v>
      </c>
      <c r="C1068" s="656" t="s">
        <v>14984</v>
      </c>
      <c r="D1068" s="657" t="s">
        <v>13789</v>
      </c>
      <c r="E1068" s="657" t="s">
        <v>9510</v>
      </c>
      <c r="F1068" s="656" t="s">
        <v>505</v>
      </c>
      <c r="G1068" s="656" t="s">
        <v>506</v>
      </c>
      <c r="H1068" s="656" t="s">
        <v>505</v>
      </c>
      <c r="I1068" s="656" t="s">
        <v>14976</v>
      </c>
      <c r="J1068" s="656"/>
      <c r="K1068" s="656"/>
      <c r="L1068" s="656"/>
      <c r="M1068" s="657"/>
      <c r="N1068" s="1482"/>
      <c r="O1068" s="656" t="s">
        <v>498</v>
      </c>
      <c r="P1068" s="656" t="s">
        <v>13052</v>
      </c>
      <c r="Q1068" s="656">
        <v>44216.783113425925</v>
      </c>
    </row>
    <row r="1069" spans="1:17">
      <c r="A1069" s="656" t="s">
        <v>598</v>
      </c>
      <c r="B1069" s="657" t="s">
        <v>202</v>
      </c>
      <c r="C1069" s="656" t="s">
        <v>599</v>
      </c>
      <c r="D1069" s="657" t="s">
        <v>13789</v>
      </c>
      <c r="E1069" s="657" t="s">
        <v>9406</v>
      </c>
      <c r="F1069" s="656" t="s">
        <v>462</v>
      </c>
      <c r="G1069" s="656" t="s">
        <v>512</v>
      </c>
      <c r="H1069" s="656" t="s">
        <v>462</v>
      </c>
      <c r="I1069" s="656" t="s">
        <v>14976</v>
      </c>
      <c r="J1069" s="656" t="s">
        <v>463</v>
      </c>
      <c r="K1069" s="656" t="s">
        <v>1924</v>
      </c>
      <c r="L1069" s="656"/>
      <c r="M1069" s="657"/>
      <c r="N1069" s="1482"/>
      <c r="O1069" s="656" t="s">
        <v>498</v>
      </c>
      <c r="P1069" s="656" t="s">
        <v>13052</v>
      </c>
      <c r="Q1069" s="656">
        <v>44216.783101851855</v>
      </c>
    </row>
    <row r="1070" spans="1:17">
      <c r="A1070" s="656" t="s">
        <v>600</v>
      </c>
      <c r="B1070" s="657" t="s">
        <v>202</v>
      </c>
      <c r="C1070" s="656" t="s">
        <v>601</v>
      </c>
      <c r="D1070" s="657" t="s">
        <v>13789</v>
      </c>
      <c r="E1070" s="657" t="s">
        <v>9406</v>
      </c>
      <c r="F1070" s="656" t="s">
        <v>462</v>
      </c>
      <c r="G1070" s="656" t="s">
        <v>512</v>
      </c>
      <c r="H1070" s="656" t="s">
        <v>462</v>
      </c>
      <c r="I1070" s="656" t="s">
        <v>14976</v>
      </c>
      <c r="J1070" s="656" t="s">
        <v>463</v>
      </c>
      <c r="K1070" s="656" t="s">
        <v>4161</v>
      </c>
      <c r="L1070" s="656"/>
      <c r="M1070" s="657"/>
      <c r="N1070" s="1482"/>
      <c r="O1070" s="656" t="s">
        <v>498</v>
      </c>
      <c r="P1070" s="656" t="s">
        <v>13052</v>
      </c>
      <c r="Q1070" s="656">
        <v>44216.783113425925</v>
      </c>
    </row>
    <row r="1071" spans="1:17">
      <c r="A1071" s="656" t="s">
        <v>602</v>
      </c>
      <c r="B1071" s="657" t="s">
        <v>202</v>
      </c>
      <c r="C1071" s="656" t="s">
        <v>603</v>
      </c>
      <c r="D1071" s="657" t="s">
        <v>13789</v>
      </c>
      <c r="E1071" s="657" t="s">
        <v>9406</v>
      </c>
      <c r="F1071" s="656" t="s">
        <v>604</v>
      </c>
      <c r="G1071" s="656" t="s">
        <v>519</v>
      </c>
      <c r="H1071" s="656" t="s">
        <v>604</v>
      </c>
      <c r="I1071" s="656" t="s">
        <v>14976</v>
      </c>
      <c r="J1071" s="656" t="s">
        <v>451</v>
      </c>
      <c r="K1071" s="656" t="s">
        <v>1058</v>
      </c>
      <c r="L1071" s="656"/>
      <c r="M1071" s="657"/>
      <c r="N1071" s="1482"/>
      <c r="O1071" s="656" t="s">
        <v>498</v>
      </c>
      <c r="P1071" s="656" t="s">
        <v>13052</v>
      </c>
      <c r="Q1071" s="656">
        <v>44216.783101851855</v>
      </c>
    </row>
    <row r="1072" spans="1:17">
      <c r="A1072" s="656" t="s">
        <v>605</v>
      </c>
      <c r="B1072" s="657" t="s">
        <v>202</v>
      </c>
      <c r="C1072" s="656" t="s">
        <v>606</v>
      </c>
      <c r="D1072" s="657" t="s">
        <v>13789</v>
      </c>
      <c r="E1072" s="657" t="s">
        <v>9406</v>
      </c>
      <c r="F1072" s="656" t="s">
        <v>604</v>
      </c>
      <c r="G1072" s="656"/>
      <c r="H1072" s="656" t="s">
        <v>604</v>
      </c>
      <c r="I1072" s="656" t="s">
        <v>14976</v>
      </c>
      <c r="J1072" s="656" t="s">
        <v>12372</v>
      </c>
      <c r="K1072" s="656"/>
      <c r="L1072" s="656"/>
      <c r="M1072" s="657"/>
      <c r="N1072" s="1482"/>
      <c r="O1072" s="656" t="s">
        <v>498</v>
      </c>
      <c r="P1072" s="656" t="s">
        <v>13052</v>
      </c>
      <c r="Q1072" s="656">
        <v>44216.783090277779</v>
      </c>
    </row>
    <row r="1073" spans="1:17">
      <c r="A1073" s="656" t="s">
        <v>607</v>
      </c>
      <c r="B1073" s="657" t="s">
        <v>202</v>
      </c>
      <c r="C1073" s="656" t="s">
        <v>608</v>
      </c>
      <c r="D1073" s="657" t="s">
        <v>13789</v>
      </c>
      <c r="E1073" s="657" t="s">
        <v>9406</v>
      </c>
      <c r="F1073" s="656" t="s">
        <v>462</v>
      </c>
      <c r="G1073" s="656" t="s">
        <v>512</v>
      </c>
      <c r="H1073" s="656" t="s">
        <v>462</v>
      </c>
      <c r="I1073" s="656" t="s">
        <v>14976</v>
      </c>
      <c r="J1073" s="656" t="s">
        <v>463</v>
      </c>
      <c r="K1073" s="656" t="s">
        <v>1924</v>
      </c>
      <c r="L1073" s="656"/>
      <c r="M1073" s="657"/>
      <c r="N1073" s="1482"/>
      <c r="O1073" s="656" t="s">
        <v>498</v>
      </c>
      <c r="P1073" s="656" t="s">
        <v>13052</v>
      </c>
      <c r="Q1073" s="656">
        <v>44216.783090277779</v>
      </c>
    </row>
    <row r="1074" spans="1:17">
      <c r="A1074" s="656" t="s">
        <v>609</v>
      </c>
      <c r="B1074" s="657" t="s">
        <v>531</v>
      </c>
      <c r="C1074" s="656" t="s">
        <v>610</v>
      </c>
      <c r="D1074" s="657" t="s">
        <v>13789</v>
      </c>
      <c r="E1074" s="657" t="s">
        <v>9406</v>
      </c>
      <c r="F1074" s="656" t="s">
        <v>2849</v>
      </c>
      <c r="G1074" s="656" t="s">
        <v>512</v>
      </c>
      <c r="H1074" s="656" t="s">
        <v>469</v>
      </c>
      <c r="I1074" s="656" t="s">
        <v>14976</v>
      </c>
      <c r="J1074" s="656" t="s">
        <v>532</v>
      </c>
      <c r="K1074" s="656" t="s">
        <v>2849</v>
      </c>
      <c r="L1074" s="656"/>
      <c r="M1074" s="657"/>
      <c r="N1074" s="1482"/>
      <c r="O1074" s="656" t="s">
        <v>498</v>
      </c>
      <c r="P1074" s="656" t="s">
        <v>13052</v>
      </c>
      <c r="Q1074" s="656">
        <v>44216.783078703702</v>
      </c>
    </row>
    <row r="1075" spans="1:17">
      <c r="A1075" s="656" t="s">
        <v>611</v>
      </c>
      <c r="B1075" s="657" t="s">
        <v>531</v>
      </c>
      <c r="C1075" s="656" t="s">
        <v>612</v>
      </c>
      <c r="D1075" s="657" t="s">
        <v>13789</v>
      </c>
      <c r="E1075" s="657" t="s">
        <v>9406</v>
      </c>
      <c r="F1075" s="656" t="s">
        <v>472</v>
      </c>
      <c r="G1075" s="656" t="s">
        <v>519</v>
      </c>
      <c r="H1075" s="656" t="s">
        <v>472</v>
      </c>
      <c r="I1075" s="656" t="s">
        <v>14976</v>
      </c>
      <c r="J1075" s="656" t="s">
        <v>12368</v>
      </c>
      <c r="K1075" s="656" t="s">
        <v>1058</v>
      </c>
      <c r="L1075" s="656"/>
      <c r="M1075" s="657"/>
      <c r="N1075" s="1482"/>
      <c r="O1075" s="656" t="s">
        <v>498</v>
      </c>
      <c r="P1075" s="656" t="s">
        <v>13052</v>
      </c>
      <c r="Q1075" s="656">
        <v>44216.783078703702</v>
      </c>
    </row>
    <row r="1076" spans="1:17">
      <c r="A1076" s="656" t="s">
        <v>613</v>
      </c>
      <c r="B1076" s="657" t="s">
        <v>531</v>
      </c>
      <c r="C1076" s="656" t="s">
        <v>614</v>
      </c>
      <c r="D1076" s="657" t="s">
        <v>13789</v>
      </c>
      <c r="E1076" s="657" t="s">
        <v>9406</v>
      </c>
      <c r="F1076" s="656" t="s">
        <v>442</v>
      </c>
      <c r="G1076" s="656" t="s">
        <v>561</v>
      </c>
      <c r="H1076" s="656" t="s">
        <v>442</v>
      </c>
      <c r="I1076" s="656" t="s">
        <v>14976</v>
      </c>
      <c r="J1076" s="656" t="s">
        <v>12369</v>
      </c>
      <c r="K1076" s="656" t="s">
        <v>1058</v>
      </c>
      <c r="L1076" s="656"/>
      <c r="M1076" s="657"/>
      <c r="N1076" s="1482"/>
      <c r="O1076" s="656" t="s">
        <v>498</v>
      </c>
      <c r="P1076" s="656" t="s">
        <v>13052</v>
      </c>
      <c r="Q1076" s="656">
        <v>44216.783078703702</v>
      </c>
    </row>
    <row r="1077" spans="1:17">
      <c r="A1077" s="656" t="s">
        <v>615</v>
      </c>
      <c r="B1077" s="657" t="s">
        <v>202</v>
      </c>
      <c r="C1077" s="656" t="s">
        <v>616</v>
      </c>
      <c r="D1077" s="657" t="s">
        <v>13789</v>
      </c>
      <c r="E1077" s="657" t="s">
        <v>9406</v>
      </c>
      <c r="F1077" s="656" t="s">
        <v>8807</v>
      </c>
      <c r="G1077" s="656" t="s">
        <v>512</v>
      </c>
      <c r="H1077" s="656" t="s">
        <v>8807</v>
      </c>
      <c r="I1077" s="656" t="s">
        <v>14976</v>
      </c>
      <c r="J1077" s="656" t="s">
        <v>8814</v>
      </c>
      <c r="K1077" s="656" t="s">
        <v>4057</v>
      </c>
      <c r="L1077" s="656"/>
      <c r="M1077" s="657"/>
      <c r="N1077" s="1482"/>
      <c r="O1077" s="656" t="s">
        <v>498</v>
      </c>
      <c r="P1077" s="656" t="s">
        <v>13052</v>
      </c>
      <c r="Q1077" s="656">
        <v>44216.783067129632</v>
      </c>
    </row>
    <row r="1078" spans="1:17">
      <c r="A1078" s="656" t="s">
        <v>617</v>
      </c>
      <c r="B1078" s="657" t="s">
        <v>202</v>
      </c>
      <c r="C1078" s="656" t="s">
        <v>618</v>
      </c>
      <c r="D1078" s="657" t="s">
        <v>13789</v>
      </c>
      <c r="E1078" s="657" t="s">
        <v>9406</v>
      </c>
      <c r="F1078" s="656" t="s">
        <v>537</v>
      </c>
      <c r="G1078" s="656" t="s">
        <v>512</v>
      </c>
      <c r="H1078" s="656" t="s">
        <v>537</v>
      </c>
      <c r="I1078" s="656" t="s">
        <v>14976</v>
      </c>
      <c r="J1078" s="656" t="s">
        <v>473</v>
      </c>
      <c r="K1078" s="656" t="s">
        <v>4161</v>
      </c>
      <c r="L1078" s="656"/>
      <c r="M1078" s="657"/>
      <c r="N1078" s="1482"/>
      <c r="O1078" s="656" t="s">
        <v>498</v>
      </c>
      <c r="P1078" s="656" t="s">
        <v>13052</v>
      </c>
      <c r="Q1078" s="656">
        <v>44216.783067129632</v>
      </c>
    </row>
    <row r="1079" spans="1:17">
      <c r="A1079" s="656" t="s">
        <v>619</v>
      </c>
      <c r="B1079" s="657" t="s">
        <v>202</v>
      </c>
      <c r="C1079" s="656" t="s">
        <v>620</v>
      </c>
      <c r="D1079" s="657" t="s">
        <v>13789</v>
      </c>
      <c r="E1079" s="657" t="s">
        <v>9406</v>
      </c>
      <c r="F1079" s="656" t="s">
        <v>3077</v>
      </c>
      <c r="G1079" s="656" t="s">
        <v>512</v>
      </c>
      <c r="H1079" s="656" t="s">
        <v>465</v>
      </c>
      <c r="I1079" s="656" t="s">
        <v>14976</v>
      </c>
      <c r="J1079" s="656" t="s">
        <v>446</v>
      </c>
      <c r="K1079" s="656" t="s">
        <v>3077</v>
      </c>
      <c r="L1079" s="656"/>
      <c r="M1079" s="657"/>
      <c r="N1079" s="1482"/>
      <c r="O1079" s="656" t="s">
        <v>498</v>
      </c>
      <c r="P1079" s="656" t="s">
        <v>13052</v>
      </c>
      <c r="Q1079" s="656">
        <v>44216.783055555556</v>
      </c>
    </row>
    <row r="1080" spans="1:17">
      <c r="A1080" s="656" t="s">
        <v>621</v>
      </c>
      <c r="B1080" s="657" t="s">
        <v>202</v>
      </c>
      <c r="C1080" s="656" t="s">
        <v>622</v>
      </c>
      <c r="D1080" s="657" t="s">
        <v>13789</v>
      </c>
      <c r="E1080" s="657" t="s">
        <v>9406</v>
      </c>
      <c r="F1080" s="656" t="s">
        <v>4052</v>
      </c>
      <c r="G1080" s="656" t="s">
        <v>512</v>
      </c>
      <c r="H1080" s="656" t="s">
        <v>455</v>
      </c>
      <c r="I1080" s="656" t="s">
        <v>14976</v>
      </c>
      <c r="J1080" s="656" t="s">
        <v>451</v>
      </c>
      <c r="K1080" s="656" t="s">
        <v>4052</v>
      </c>
      <c r="L1080" s="656"/>
      <c r="M1080" s="657"/>
      <c r="N1080" s="1482"/>
      <c r="O1080" s="656" t="s">
        <v>498</v>
      </c>
      <c r="P1080" s="656" t="s">
        <v>13052</v>
      </c>
      <c r="Q1080" s="656">
        <v>44216.783055555556</v>
      </c>
    </row>
    <row r="1081" spans="1:17">
      <c r="A1081" s="656" t="s">
        <v>14981</v>
      </c>
      <c r="B1081" s="657" t="s">
        <v>202</v>
      </c>
      <c r="C1081" s="656" t="s">
        <v>14982</v>
      </c>
      <c r="D1081" s="657" t="s">
        <v>13789</v>
      </c>
      <c r="E1081" s="657" t="s">
        <v>7435</v>
      </c>
      <c r="F1081" s="656" t="s">
        <v>1206</v>
      </c>
      <c r="G1081" s="656"/>
      <c r="H1081" s="656" t="s">
        <v>1206</v>
      </c>
      <c r="I1081" s="656" t="s">
        <v>14976</v>
      </c>
      <c r="J1081" s="656" t="s">
        <v>12822</v>
      </c>
      <c r="K1081" s="656"/>
      <c r="L1081" s="656"/>
      <c r="M1081" s="657"/>
      <c r="N1081" s="1482"/>
      <c r="O1081" s="656" t="s">
        <v>498</v>
      </c>
      <c r="P1081" s="656" t="s">
        <v>13052</v>
      </c>
      <c r="Q1081" s="656">
        <v>44216.783055555556</v>
      </c>
    </row>
    <row r="1082" spans="1:17">
      <c r="A1082" s="656" t="s">
        <v>14979</v>
      </c>
      <c r="B1082" s="657" t="s">
        <v>202</v>
      </c>
      <c r="C1082" s="656" t="s">
        <v>14980</v>
      </c>
      <c r="D1082" s="657" t="s">
        <v>13789</v>
      </c>
      <c r="E1082" s="657" t="s">
        <v>7435</v>
      </c>
      <c r="F1082" s="656" t="s">
        <v>537</v>
      </c>
      <c r="G1082" s="656" t="s">
        <v>512</v>
      </c>
      <c r="H1082" s="656" t="s">
        <v>537</v>
      </c>
      <c r="I1082" s="656" t="s">
        <v>14976</v>
      </c>
      <c r="J1082" s="656" t="s">
        <v>8664</v>
      </c>
      <c r="K1082" s="656" t="s">
        <v>4161</v>
      </c>
      <c r="L1082" s="656"/>
      <c r="M1082" s="657"/>
      <c r="N1082" s="1482"/>
      <c r="O1082" s="656" t="s">
        <v>498</v>
      </c>
      <c r="P1082" s="656" t="s">
        <v>13052</v>
      </c>
      <c r="Q1082" s="656">
        <v>44216.783043981479</v>
      </c>
    </row>
    <row r="1083" spans="1:17">
      <c r="A1083" s="656" t="s">
        <v>623</v>
      </c>
      <c r="B1083" s="657" t="s">
        <v>504</v>
      </c>
      <c r="C1083" s="656" t="s">
        <v>624</v>
      </c>
      <c r="D1083" s="657" t="s">
        <v>13789</v>
      </c>
      <c r="E1083" s="657" t="s">
        <v>9406</v>
      </c>
      <c r="F1083" s="656" t="s">
        <v>540</v>
      </c>
      <c r="G1083" s="656" t="s">
        <v>625</v>
      </c>
      <c r="H1083" s="656" t="s">
        <v>540</v>
      </c>
      <c r="I1083" s="656" t="s">
        <v>14976</v>
      </c>
      <c r="J1083" s="656"/>
      <c r="K1083" s="656"/>
      <c r="L1083" s="656"/>
      <c r="M1083" s="657"/>
      <c r="N1083" s="1482"/>
      <c r="O1083" s="656" t="s">
        <v>498</v>
      </c>
      <c r="P1083" s="656" t="s">
        <v>13052</v>
      </c>
      <c r="Q1083" s="656">
        <v>44216.783043981479</v>
      </c>
    </row>
    <row r="1084" spans="1:17">
      <c r="A1084" s="656" t="s">
        <v>626</v>
      </c>
      <c r="B1084" s="657" t="s">
        <v>504</v>
      </c>
      <c r="C1084" s="656" t="s">
        <v>627</v>
      </c>
      <c r="D1084" s="657" t="s">
        <v>13789</v>
      </c>
      <c r="E1084" s="657" t="s">
        <v>9406</v>
      </c>
      <c r="F1084" s="656" t="s">
        <v>540</v>
      </c>
      <c r="G1084" s="656" t="s">
        <v>625</v>
      </c>
      <c r="H1084" s="656" t="s">
        <v>540</v>
      </c>
      <c r="I1084" s="656" t="s">
        <v>14976</v>
      </c>
      <c r="J1084" s="656"/>
      <c r="K1084" s="656"/>
      <c r="L1084" s="656"/>
      <c r="M1084" s="657"/>
      <c r="N1084" s="1482"/>
      <c r="O1084" s="656" t="s">
        <v>498</v>
      </c>
      <c r="P1084" s="656" t="s">
        <v>13052</v>
      </c>
      <c r="Q1084" s="656">
        <v>44216.783032407409</v>
      </c>
    </row>
    <row r="1085" spans="1:17">
      <c r="A1085" s="656" t="s">
        <v>628</v>
      </c>
      <c r="B1085" s="657" t="s">
        <v>504</v>
      </c>
      <c r="C1085" s="656" t="s">
        <v>629</v>
      </c>
      <c r="D1085" s="657" t="s">
        <v>14978</v>
      </c>
      <c r="E1085" s="657" t="s">
        <v>9406</v>
      </c>
      <c r="F1085" s="656" t="s">
        <v>540</v>
      </c>
      <c r="G1085" s="656" t="s">
        <v>541</v>
      </c>
      <c r="H1085" s="656" t="s">
        <v>540</v>
      </c>
      <c r="I1085" s="656" t="s">
        <v>14976</v>
      </c>
      <c r="J1085" s="656"/>
      <c r="K1085" s="656"/>
      <c r="L1085" s="656" t="s">
        <v>631</v>
      </c>
      <c r="M1085" s="657"/>
      <c r="N1085" s="1482"/>
      <c r="O1085" s="656" t="s">
        <v>498</v>
      </c>
      <c r="P1085" s="656" t="s">
        <v>13052</v>
      </c>
      <c r="Q1085" s="656">
        <v>44216.783020833333</v>
      </c>
    </row>
    <row r="1086" spans="1:17">
      <c r="A1086" s="656" t="s">
        <v>630</v>
      </c>
      <c r="B1086" s="657" t="s">
        <v>504</v>
      </c>
      <c r="C1086" s="656" t="s">
        <v>631</v>
      </c>
      <c r="D1086" s="657" t="s">
        <v>14977</v>
      </c>
      <c r="E1086" s="657" t="s">
        <v>9406</v>
      </c>
      <c r="F1086" s="656" t="s">
        <v>540</v>
      </c>
      <c r="G1086" s="656" t="s">
        <v>541</v>
      </c>
      <c r="H1086" s="656" t="s">
        <v>540</v>
      </c>
      <c r="I1086" s="656" t="s">
        <v>14976</v>
      </c>
      <c r="J1086" s="656"/>
      <c r="K1086" s="656"/>
      <c r="L1086" s="656"/>
      <c r="M1086" s="657"/>
      <c r="N1086" s="1482"/>
      <c r="O1086" s="656" t="s">
        <v>498</v>
      </c>
      <c r="P1086" s="656" t="s">
        <v>13052</v>
      </c>
      <c r="Q1086" s="656">
        <v>44216.783020833333</v>
      </c>
    </row>
    <row r="1087" spans="1:17">
      <c r="A1087" s="656" t="s">
        <v>632</v>
      </c>
      <c r="B1087" s="657" t="s">
        <v>202</v>
      </c>
      <c r="C1087" s="656" t="s">
        <v>13958</v>
      </c>
      <c r="D1087" s="657" t="s">
        <v>14978</v>
      </c>
      <c r="E1087" s="657" t="s">
        <v>9406</v>
      </c>
      <c r="F1087" s="656" t="s">
        <v>472</v>
      </c>
      <c r="G1087" s="656" t="s">
        <v>519</v>
      </c>
      <c r="H1087" s="656" t="s">
        <v>472</v>
      </c>
      <c r="I1087" s="656" t="s">
        <v>14976</v>
      </c>
      <c r="J1087" s="656"/>
      <c r="K1087" s="656" t="s">
        <v>1058</v>
      </c>
      <c r="L1087" s="656" t="s">
        <v>13957</v>
      </c>
      <c r="M1087" s="657"/>
      <c r="N1087" s="1482"/>
      <c r="O1087" s="656" t="s">
        <v>498</v>
      </c>
      <c r="P1087" s="656" t="s">
        <v>13052</v>
      </c>
      <c r="Q1087" s="656">
        <v>44216.783020833333</v>
      </c>
    </row>
    <row r="1088" spans="1:17">
      <c r="A1088" s="656" t="s">
        <v>633</v>
      </c>
      <c r="B1088" s="657" t="s">
        <v>504</v>
      </c>
      <c r="C1088" s="656" t="s">
        <v>634</v>
      </c>
      <c r="D1088" s="657" t="s">
        <v>14977</v>
      </c>
      <c r="E1088" s="657" t="s">
        <v>9406</v>
      </c>
      <c r="F1088" s="656" t="s">
        <v>540</v>
      </c>
      <c r="G1088" s="656" t="s">
        <v>541</v>
      </c>
      <c r="H1088" s="656" t="s">
        <v>540</v>
      </c>
      <c r="I1088" s="656" t="s">
        <v>14976</v>
      </c>
      <c r="J1088" s="656"/>
      <c r="K1088" s="656"/>
      <c r="L1088" s="656"/>
      <c r="M1088" s="657"/>
      <c r="N1088" s="1482"/>
      <c r="O1088" s="656" t="s">
        <v>498</v>
      </c>
      <c r="P1088" s="656" t="s">
        <v>13052</v>
      </c>
      <c r="Q1088" s="656">
        <v>44216.783009259256</v>
      </c>
    </row>
    <row r="1089" spans="1:17">
      <c r="A1089" s="656" t="s">
        <v>13957</v>
      </c>
      <c r="B1089" s="657" t="s">
        <v>202</v>
      </c>
      <c r="C1089" s="656" t="s">
        <v>13958</v>
      </c>
      <c r="D1089" s="657" t="s">
        <v>14977</v>
      </c>
      <c r="E1089" s="657"/>
      <c r="F1089" s="656" t="s">
        <v>472</v>
      </c>
      <c r="G1089" s="656" t="s">
        <v>519</v>
      </c>
      <c r="H1089" s="656" t="s">
        <v>472</v>
      </c>
      <c r="I1089" s="656" t="s">
        <v>14976</v>
      </c>
      <c r="J1089" s="656" t="s">
        <v>12368</v>
      </c>
      <c r="K1089" s="656"/>
      <c r="L1089" s="656"/>
      <c r="M1089" s="657"/>
      <c r="N1089" s="1482"/>
      <c r="O1089" s="656" t="s">
        <v>498</v>
      </c>
      <c r="P1089" s="656" t="s">
        <v>13052</v>
      </c>
      <c r="Q1089" s="656">
        <v>44216.783009259256</v>
      </c>
    </row>
    <row r="1090" spans="1:17">
      <c r="A1090" s="656" t="s">
        <v>13956</v>
      </c>
      <c r="B1090" s="657" t="s">
        <v>202</v>
      </c>
      <c r="C1090" s="656" t="s">
        <v>1043</v>
      </c>
      <c r="D1090" s="657" t="s">
        <v>13789</v>
      </c>
      <c r="E1090" s="657"/>
      <c r="F1090" s="656" t="s">
        <v>472</v>
      </c>
      <c r="G1090" s="656" t="s">
        <v>519</v>
      </c>
      <c r="H1090" s="656" t="s">
        <v>472</v>
      </c>
      <c r="I1090" s="656" t="s">
        <v>14976</v>
      </c>
      <c r="J1090" s="656" t="s">
        <v>12368</v>
      </c>
      <c r="K1090" s="656"/>
      <c r="L1090" s="656"/>
      <c r="M1090" s="657"/>
      <c r="N1090" s="1482"/>
      <c r="O1090" s="656" t="s">
        <v>498</v>
      </c>
      <c r="P1090" s="656" t="s">
        <v>13052</v>
      </c>
      <c r="Q1090" s="656">
        <v>44216.783009259256</v>
      </c>
    </row>
    <row r="1091" spans="1:17">
      <c r="A1091" s="656" t="s">
        <v>13955</v>
      </c>
      <c r="B1091" s="657" t="s">
        <v>202</v>
      </c>
      <c r="C1091" s="656" t="s">
        <v>635</v>
      </c>
      <c r="D1091" s="657" t="s">
        <v>13789</v>
      </c>
      <c r="E1091" s="657"/>
      <c r="F1091" s="656" t="s">
        <v>458</v>
      </c>
      <c r="G1091" s="656" t="s">
        <v>458</v>
      </c>
      <c r="H1091" s="656" t="s">
        <v>458</v>
      </c>
      <c r="I1091" s="656" t="s">
        <v>14976</v>
      </c>
      <c r="J1091" s="656" t="s">
        <v>8814</v>
      </c>
      <c r="K1091" s="656"/>
      <c r="L1091" s="656"/>
      <c r="M1091" s="657"/>
      <c r="N1091" s="1482"/>
      <c r="O1091" s="656" t="s">
        <v>498</v>
      </c>
      <c r="P1091" s="656" t="s">
        <v>13052</v>
      </c>
      <c r="Q1091" s="656">
        <v>44216.782997685186</v>
      </c>
    </row>
    <row r="1092" spans="1:17">
      <c r="A1092" s="656" t="s">
        <v>13954</v>
      </c>
      <c r="B1092" s="657" t="s">
        <v>202</v>
      </c>
      <c r="C1092" s="656" t="s">
        <v>636</v>
      </c>
      <c r="D1092" s="657" t="s">
        <v>13789</v>
      </c>
      <c r="E1092" s="657"/>
      <c r="F1092" s="656" t="s">
        <v>458</v>
      </c>
      <c r="G1092" s="656" t="s">
        <v>458</v>
      </c>
      <c r="H1092" s="656" t="s">
        <v>458</v>
      </c>
      <c r="I1092" s="656" t="s">
        <v>14976</v>
      </c>
      <c r="J1092" s="656" t="s">
        <v>8814</v>
      </c>
      <c r="K1092" s="656"/>
      <c r="L1092" s="656"/>
      <c r="M1092" s="657"/>
      <c r="N1092" s="1482"/>
      <c r="O1092" s="656" t="s">
        <v>498</v>
      </c>
      <c r="P1092" s="656" t="s">
        <v>13052</v>
      </c>
      <c r="Q1092" s="656">
        <v>44216.782997685186</v>
      </c>
    </row>
    <row r="1093" spans="1:17">
      <c r="A1093" s="656" t="s">
        <v>637</v>
      </c>
      <c r="B1093" s="657" t="s">
        <v>202</v>
      </c>
      <c r="C1093" s="656" t="s">
        <v>13953</v>
      </c>
      <c r="D1093" s="657" t="s">
        <v>13789</v>
      </c>
      <c r="E1093" s="657" t="s">
        <v>9406</v>
      </c>
      <c r="F1093" s="656" t="s">
        <v>458</v>
      </c>
      <c r="G1093" s="656" t="s">
        <v>458</v>
      </c>
      <c r="H1093" s="656" t="s">
        <v>458</v>
      </c>
      <c r="I1093" s="656" t="s">
        <v>14976</v>
      </c>
      <c r="J1093" s="656" t="s">
        <v>8814</v>
      </c>
      <c r="K1093" s="656"/>
      <c r="L1093" s="656"/>
      <c r="M1093" s="657"/>
      <c r="N1093" s="1482"/>
      <c r="O1093" s="656" t="s">
        <v>498</v>
      </c>
      <c r="P1093" s="656" t="s">
        <v>13052</v>
      </c>
      <c r="Q1093" s="656">
        <v>44216.782986111109</v>
      </c>
    </row>
    <row r="1094" spans="1:17">
      <c r="A1094" s="656" t="s">
        <v>638</v>
      </c>
      <c r="B1094" s="657" t="s">
        <v>202</v>
      </c>
      <c r="C1094" s="656" t="s">
        <v>639</v>
      </c>
      <c r="D1094" s="657" t="s">
        <v>13789</v>
      </c>
      <c r="E1094" s="657" t="s">
        <v>7437</v>
      </c>
      <c r="F1094" s="656" t="s">
        <v>458</v>
      </c>
      <c r="G1094" s="656" t="s">
        <v>458</v>
      </c>
      <c r="H1094" s="656" t="s">
        <v>458</v>
      </c>
      <c r="I1094" s="656" t="s">
        <v>14976</v>
      </c>
      <c r="J1094" s="656" t="s">
        <v>8814</v>
      </c>
      <c r="K1094" s="656"/>
      <c r="L1094" s="656"/>
      <c r="M1094" s="657"/>
      <c r="N1094" s="1482"/>
      <c r="O1094" s="656" t="s">
        <v>498</v>
      </c>
      <c r="P1094" s="656" t="s">
        <v>13052</v>
      </c>
      <c r="Q1094" s="656">
        <v>44216.782986111109</v>
      </c>
    </row>
    <row r="1095" spans="1:17">
      <c r="A1095" s="656" t="s">
        <v>13951</v>
      </c>
      <c r="B1095" s="657" t="s">
        <v>202</v>
      </c>
      <c r="C1095" s="656" t="s">
        <v>15332</v>
      </c>
      <c r="D1095" s="657" t="s">
        <v>13789</v>
      </c>
      <c r="E1095" s="657"/>
      <c r="F1095" s="656" t="s">
        <v>458</v>
      </c>
      <c r="G1095" s="656" t="s">
        <v>458</v>
      </c>
      <c r="H1095" s="656" t="s">
        <v>458</v>
      </c>
      <c r="I1095" s="656" t="s">
        <v>14976</v>
      </c>
      <c r="J1095" s="656" t="s">
        <v>8814</v>
      </c>
      <c r="K1095" s="656"/>
      <c r="L1095" s="656"/>
      <c r="M1095" s="657"/>
      <c r="N1095" s="1482"/>
      <c r="O1095" s="656" t="s">
        <v>498</v>
      </c>
      <c r="P1095" s="656" t="s">
        <v>13052</v>
      </c>
      <c r="Q1095" s="656">
        <v>44216.782986111109</v>
      </c>
    </row>
    <row r="1096" spans="1:17">
      <c r="A1096" s="656" t="s">
        <v>640</v>
      </c>
      <c r="B1096" s="657" t="s">
        <v>202</v>
      </c>
      <c r="C1096" s="656" t="s">
        <v>13950</v>
      </c>
      <c r="D1096" s="657" t="s">
        <v>13789</v>
      </c>
      <c r="E1096" s="657" t="s">
        <v>9406</v>
      </c>
      <c r="F1096" s="656" t="s">
        <v>458</v>
      </c>
      <c r="G1096" s="656" t="s">
        <v>458</v>
      </c>
      <c r="H1096" s="656" t="s">
        <v>458</v>
      </c>
      <c r="I1096" s="656" t="s">
        <v>14976</v>
      </c>
      <c r="J1096" s="656" t="s">
        <v>8814</v>
      </c>
      <c r="K1096" s="656"/>
      <c r="L1096" s="656"/>
      <c r="M1096" s="657"/>
      <c r="N1096" s="1482"/>
      <c r="O1096" s="656" t="s">
        <v>498</v>
      </c>
      <c r="P1096" s="656" t="s">
        <v>13052</v>
      </c>
      <c r="Q1096" s="656">
        <v>44216.78297453704</v>
      </c>
    </row>
    <row r="1097" spans="1:17">
      <c r="A1097" s="656" t="s">
        <v>13949</v>
      </c>
      <c r="B1097" s="657" t="s">
        <v>202</v>
      </c>
      <c r="C1097" s="656" t="s">
        <v>15331</v>
      </c>
      <c r="D1097" s="657" t="s">
        <v>13789</v>
      </c>
      <c r="E1097" s="657"/>
      <c r="F1097" s="656" t="s">
        <v>458</v>
      </c>
      <c r="G1097" s="656" t="s">
        <v>458</v>
      </c>
      <c r="H1097" s="656" t="s">
        <v>458</v>
      </c>
      <c r="I1097" s="656" t="s">
        <v>14976</v>
      </c>
      <c r="J1097" s="656" t="s">
        <v>8814</v>
      </c>
      <c r="K1097" s="656"/>
      <c r="L1097" s="656"/>
      <c r="M1097" s="657"/>
      <c r="N1097" s="1482"/>
      <c r="O1097" s="656" t="s">
        <v>498</v>
      </c>
      <c r="P1097" s="656" t="s">
        <v>13052</v>
      </c>
      <c r="Q1097" s="656">
        <v>44216.782962962963</v>
      </c>
    </row>
    <row r="1098" spans="1:17">
      <c r="A1098" s="656" t="s">
        <v>641</v>
      </c>
      <c r="B1098" s="657" t="s">
        <v>202</v>
      </c>
      <c r="C1098" s="656" t="s">
        <v>642</v>
      </c>
      <c r="D1098" s="657" t="s">
        <v>13789</v>
      </c>
      <c r="E1098" s="657" t="s">
        <v>9406</v>
      </c>
      <c r="F1098" s="656" t="s">
        <v>462</v>
      </c>
      <c r="G1098" s="656" t="s">
        <v>643</v>
      </c>
      <c r="H1098" s="656" t="s">
        <v>462</v>
      </c>
      <c r="I1098" s="656" t="s">
        <v>14976</v>
      </c>
      <c r="J1098" s="656" t="s">
        <v>463</v>
      </c>
      <c r="K1098" s="656"/>
      <c r="L1098" s="656"/>
      <c r="M1098" s="657"/>
      <c r="N1098" s="1482"/>
      <c r="O1098" s="656" t="s">
        <v>498</v>
      </c>
      <c r="P1098" s="656" t="s">
        <v>13052</v>
      </c>
      <c r="Q1098" s="656">
        <v>44216.782962962963</v>
      </c>
    </row>
    <row r="1099" spans="1:17">
      <c r="A1099" s="656" t="s">
        <v>644</v>
      </c>
      <c r="B1099" s="657" t="s">
        <v>531</v>
      </c>
      <c r="C1099" s="656" t="s">
        <v>645</v>
      </c>
      <c r="D1099" s="657"/>
      <c r="E1099" s="657" t="s">
        <v>9406</v>
      </c>
      <c r="F1099" s="656" t="s">
        <v>2849</v>
      </c>
      <c r="G1099" s="656" t="s">
        <v>646</v>
      </c>
      <c r="H1099" s="656" t="s">
        <v>469</v>
      </c>
      <c r="I1099" s="656" t="s">
        <v>14976</v>
      </c>
      <c r="J1099" s="656"/>
      <c r="K1099" s="656"/>
      <c r="L1099" s="656"/>
      <c r="M1099" s="657"/>
      <c r="N1099" s="1482"/>
      <c r="O1099" s="656" t="s">
        <v>498</v>
      </c>
      <c r="P1099" s="656" t="s">
        <v>13052</v>
      </c>
      <c r="Q1099" s="656">
        <v>44216.782951388886</v>
      </c>
    </row>
    <row r="1100" spans="1:17">
      <c r="A1100" s="656" t="s">
        <v>647</v>
      </c>
      <c r="B1100" s="657" t="s">
        <v>202</v>
      </c>
      <c r="C1100" s="656" t="s">
        <v>648</v>
      </c>
      <c r="D1100" s="657" t="s">
        <v>13789</v>
      </c>
      <c r="E1100" s="657" t="s">
        <v>9406</v>
      </c>
      <c r="F1100" s="656" t="s">
        <v>458</v>
      </c>
      <c r="G1100" s="656" t="s">
        <v>458</v>
      </c>
      <c r="H1100" s="656" t="s">
        <v>458</v>
      </c>
      <c r="I1100" s="656" t="s">
        <v>14976</v>
      </c>
      <c r="J1100" s="656" t="s">
        <v>8814</v>
      </c>
      <c r="K1100" s="656"/>
      <c r="L1100" s="656"/>
      <c r="M1100" s="657"/>
      <c r="N1100" s="1482"/>
      <c r="O1100" s="656" t="s">
        <v>498</v>
      </c>
      <c r="P1100" s="656" t="s">
        <v>13052</v>
      </c>
      <c r="Q1100" s="656">
        <v>44216.782939814817</v>
      </c>
    </row>
    <row r="1101" spans="1:17">
      <c r="A1101" s="656" t="s">
        <v>649</v>
      </c>
      <c r="B1101" s="657" t="s">
        <v>504</v>
      </c>
      <c r="C1101" s="656" t="s">
        <v>650</v>
      </c>
      <c r="D1101" s="657" t="s">
        <v>13789</v>
      </c>
      <c r="E1101" s="657" t="s">
        <v>9510</v>
      </c>
      <c r="F1101" s="656" t="s">
        <v>505</v>
      </c>
      <c r="G1101" s="656" t="s">
        <v>506</v>
      </c>
      <c r="H1101" s="656" t="s">
        <v>505</v>
      </c>
      <c r="I1101" s="656" t="s">
        <v>14976</v>
      </c>
      <c r="J1101" s="656"/>
      <c r="K1101" s="656"/>
      <c r="L1101" s="656"/>
      <c r="M1101" s="657"/>
      <c r="N1101" s="1482"/>
      <c r="O1101" s="656" t="s">
        <v>498</v>
      </c>
      <c r="P1101" s="656" t="s">
        <v>13052</v>
      </c>
      <c r="Q1101" s="656">
        <v>44216.782939814817</v>
      </c>
    </row>
    <row r="1102" spans="1:17">
      <c r="A1102" s="656" t="s">
        <v>651</v>
      </c>
      <c r="B1102" s="657" t="s">
        <v>504</v>
      </c>
      <c r="C1102" s="656" t="s">
        <v>652</v>
      </c>
      <c r="D1102" s="657" t="s">
        <v>13789</v>
      </c>
      <c r="E1102" s="657" t="s">
        <v>9510</v>
      </c>
      <c r="F1102" s="656" t="s">
        <v>505</v>
      </c>
      <c r="G1102" s="656" t="s">
        <v>525</v>
      </c>
      <c r="H1102" s="656" t="s">
        <v>505</v>
      </c>
      <c r="I1102" s="656" t="s">
        <v>14976</v>
      </c>
      <c r="J1102" s="656"/>
      <c r="K1102" s="656"/>
      <c r="L1102" s="656"/>
      <c r="M1102" s="657"/>
      <c r="N1102" s="1482"/>
      <c r="O1102" s="656" t="s">
        <v>498</v>
      </c>
      <c r="P1102" s="656" t="s">
        <v>13052</v>
      </c>
      <c r="Q1102" s="656">
        <v>44216.78292824074</v>
      </c>
    </row>
    <row r="1103" spans="1:17">
      <c r="A1103" s="656" t="s">
        <v>653</v>
      </c>
      <c r="B1103" s="657" t="s">
        <v>202</v>
      </c>
      <c r="C1103" s="656" t="s">
        <v>654</v>
      </c>
      <c r="D1103" s="657" t="s">
        <v>13789</v>
      </c>
      <c r="E1103" s="657" t="s">
        <v>9510</v>
      </c>
      <c r="F1103" s="656" t="s">
        <v>4052</v>
      </c>
      <c r="G1103" s="656" t="s">
        <v>655</v>
      </c>
      <c r="H1103" s="656" t="s">
        <v>455</v>
      </c>
      <c r="I1103" s="656" t="s">
        <v>14976</v>
      </c>
      <c r="J1103" s="656" t="s">
        <v>451</v>
      </c>
      <c r="K1103" s="656"/>
      <c r="L1103" s="656"/>
      <c r="M1103" s="657"/>
      <c r="N1103" s="1482"/>
      <c r="O1103" s="656" t="s">
        <v>498</v>
      </c>
      <c r="P1103" s="656" t="s">
        <v>13052</v>
      </c>
      <c r="Q1103" s="656">
        <v>44216.782939814817</v>
      </c>
    </row>
    <row r="1104" spans="1:17">
      <c r="A1104" s="656" t="s">
        <v>8469</v>
      </c>
      <c r="B1104" s="657" t="s">
        <v>202</v>
      </c>
      <c r="C1104" s="656" t="s">
        <v>8468</v>
      </c>
      <c r="D1104" s="657" t="s">
        <v>14978</v>
      </c>
      <c r="E1104" s="657" t="s">
        <v>9406</v>
      </c>
      <c r="F1104" s="656" t="s">
        <v>4052</v>
      </c>
      <c r="G1104" s="656" t="s">
        <v>922</v>
      </c>
      <c r="H1104" s="656" t="s">
        <v>455</v>
      </c>
      <c r="I1104" s="656" t="s">
        <v>14976</v>
      </c>
      <c r="J1104" s="656" t="s">
        <v>451</v>
      </c>
      <c r="K1104" s="656" t="s">
        <v>1058</v>
      </c>
      <c r="L1104" s="656" t="s">
        <v>656</v>
      </c>
      <c r="M1104" s="657"/>
      <c r="N1104" s="1482"/>
      <c r="O1104" s="656" t="s">
        <v>498</v>
      </c>
      <c r="P1104" s="656" t="s">
        <v>13052</v>
      </c>
      <c r="Q1104" s="656">
        <v>44216.782916666663</v>
      </c>
    </row>
    <row r="1105" spans="1:17">
      <c r="A1105" s="656" t="s">
        <v>656</v>
      </c>
      <c r="B1105" s="657" t="s">
        <v>202</v>
      </c>
      <c r="C1105" s="656" t="s">
        <v>13948</v>
      </c>
      <c r="D1105" s="657" t="s">
        <v>14978</v>
      </c>
      <c r="E1105" s="657" t="s">
        <v>9510</v>
      </c>
      <c r="F1105" s="656" t="s">
        <v>4052</v>
      </c>
      <c r="G1105" s="656" t="s">
        <v>922</v>
      </c>
      <c r="H1105" s="656" t="s">
        <v>455</v>
      </c>
      <c r="I1105" s="656" t="s">
        <v>14976</v>
      </c>
      <c r="J1105" s="656" t="s">
        <v>451</v>
      </c>
      <c r="K1105" s="656" t="s">
        <v>1058</v>
      </c>
      <c r="L1105" s="656" t="s">
        <v>1840</v>
      </c>
      <c r="M1105" s="657"/>
      <c r="N1105" s="1482"/>
      <c r="O1105" s="656" t="s">
        <v>498</v>
      </c>
      <c r="P1105" s="656" t="s">
        <v>13052</v>
      </c>
      <c r="Q1105" s="656">
        <v>44216.782916666663</v>
      </c>
    </row>
    <row r="1106" spans="1:17">
      <c r="A1106" s="656" t="s">
        <v>658</v>
      </c>
      <c r="B1106" s="657" t="s">
        <v>504</v>
      </c>
      <c r="C1106" s="656" t="s">
        <v>659</v>
      </c>
      <c r="D1106" s="657" t="s">
        <v>13789</v>
      </c>
      <c r="E1106" s="657" t="s">
        <v>9510</v>
      </c>
      <c r="F1106" s="656" t="s">
        <v>505</v>
      </c>
      <c r="G1106" s="656" t="s">
        <v>660</v>
      </c>
      <c r="H1106" s="656" t="s">
        <v>505</v>
      </c>
      <c r="I1106" s="656" t="s">
        <v>14976</v>
      </c>
      <c r="J1106" s="656"/>
      <c r="K1106" s="656"/>
      <c r="L1106" s="656" t="s">
        <v>15330</v>
      </c>
      <c r="M1106" s="657"/>
      <c r="N1106" s="1482"/>
      <c r="O1106" s="656" t="s">
        <v>498</v>
      </c>
      <c r="P1106" s="656" t="s">
        <v>13052</v>
      </c>
      <c r="Q1106" s="656">
        <v>44216.782905092594</v>
      </c>
    </row>
    <row r="1107" spans="1:17">
      <c r="A1107" s="656" t="s">
        <v>661</v>
      </c>
      <c r="B1107" s="657" t="s">
        <v>202</v>
      </c>
      <c r="C1107" s="656" t="s">
        <v>662</v>
      </c>
      <c r="D1107" s="657" t="s">
        <v>14977</v>
      </c>
      <c r="E1107" s="657" t="s">
        <v>9406</v>
      </c>
      <c r="F1107" s="656" t="s">
        <v>3077</v>
      </c>
      <c r="G1107" s="656" t="s">
        <v>512</v>
      </c>
      <c r="H1107" s="656" t="s">
        <v>465</v>
      </c>
      <c r="I1107" s="656" t="s">
        <v>14976</v>
      </c>
      <c r="J1107" s="656" t="s">
        <v>446</v>
      </c>
      <c r="K1107" s="656" t="s">
        <v>3077</v>
      </c>
      <c r="L1107" s="656" t="s">
        <v>661</v>
      </c>
      <c r="M1107" s="657"/>
      <c r="N1107" s="1482"/>
      <c r="O1107" s="656" t="s">
        <v>498</v>
      </c>
      <c r="P1107" s="656" t="s">
        <v>13052</v>
      </c>
      <c r="Q1107" s="656">
        <v>44216.782905092594</v>
      </c>
    </row>
    <row r="1108" spans="1:17">
      <c r="A1108" s="656" t="s">
        <v>663</v>
      </c>
      <c r="B1108" s="657" t="s">
        <v>202</v>
      </c>
      <c r="C1108" s="656" t="s">
        <v>664</v>
      </c>
      <c r="D1108" s="657" t="s">
        <v>14977</v>
      </c>
      <c r="E1108" s="657" t="s">
        <v>9406</v>
      </c>
      <c r="F1108" s="656" t="s">
        <v>497</v>
      </c>
      <c r="G1108" s="656" t="s">
        <v>497</v>
      </c>
      <c r="H1108" s="656" t="s">
        <v>497</v>
      </c>
      <c r="I1108" s="656" t="s">
        <v>14976</v>
      </c>
      <c r="J1108" s="656" t="s">
        <v>446</v>
      </c>
      <c r="K1108" s="656" t="s">
        <v>497</v>
      </c>
      <c r="L1108" s="656" t="s">
        <v>663</v>
      </c>
      <c r="M1108" s="657"/>
      <c r="N1108" s="1482"/>
      <c r="O1108" s="656" t="s">
        <v>498</v>
      </c>
      <c r="P1108" s="656" t="s">
        <v>13052</v>
      </c>
      <c r="Q1108" s="656">
        <v>44216.782905092594</v>
      </c>
    </row>
    <row r="1109" spans="1:17">
      <c r="A1109" s="656" t="s">
        <v>665</v>
      </c>
      <c r="B1109" s="657" t="s">
        <v>504</v>
      </c>
      <c r="C1109" s="656" t="s">
        <v>666</v>
      </c>
      <c r="D1109" s="657" t="s">
        <v>14978</v>
      </c>
      <c r="E1109" s="657" t="s">
        <v>9510</v>
      </c>
      <c r="F1109" s="656" t="s">
        <v>540</v>
      </c>
      <c r="G1109" s="656" t="s">
        <v>541</v>
      </c>
      <c r="H1109" s="656" t="s">
        <v>540</v>
      </c>
      <c r="I1109" s="656" t="s">
        <v>14976</v>
      </c>
      <c r="J1109" s="656"/>
      <c r="K1109" s="656"/>
      <c r="L1109" s="656" t="s">
        <v>13925</v>
      </c>
      <c r="M1109" s="657"/>
      <c r="N1109" s="1482"/>
      <c r="O1109" s="656" t="s">
        <v>498</v>
      </c>
      <c r="P1109" s="656" t="s">
        <v>13052</v>
      </c>
      <c r="Q1109" s="656">
        <v>44216.782893518517</v>
      </c>
    </row>
    <row r="1110" spans="1:17">
      <c r="A1110" s="656" t="s">
        <v>667</v>
      </c>
      <c r="B1110" s="657" t="s">
        <v>504</v>
      </c>
      <c r="C1110" s="656" t="s">
        <v>668</v>
      </c>
      <c r="D1110" s="657" t="s">
        <v>13789</v>
      </c>
      <c r="E1110" s="657" t="s">
        <v>9510</v>
      </c>
      <c r="F1110" s="656" t="s">
        <v>505</v>
      </c>
      <c r="G1110" s="656" t="s">
        <v>522</v>
      </c>
      <c r="H1110" s="656" t="s">
        <v>505</v>
      </c>
      <c r="I1110" s="656" t="s">
        <v>14976</v>
      </c>
      <c r="J1110" s="656"/>
      <c r="K1110" s="656"/>
      <c r="L1110" s="656"/>
      <c r="M1110" s="657"/>
      <c r="N1110" s="1482"/>
      <c r="O1110" s="656" t="s">
        <v>498</v>
      </c>
      <c r="P1110" s="656" t="s">
        <v>13052</v>
      </c>
      <c r="Q1110" s="656">
        <v>44216.782893518517</v>
      </c>
    </row>
    <row r="1111" spans="1:17">
      <c r="A1111" s="656" t="s">
        <v>669</v>
      </c>
      <c r="B1111" s="657" t="s">
        <v>504</v>
      </c>
      <c r="C1111" s="656" t="s">
        <v>670</v>
      </c>
      <c r="D1111" s="657" t="s">
        <v>13789</v>
      </c>
      <c r="E1111" s="657" t="s">
        <v>9510</v>
      </c>
      <c r="F1111" s="656" t="s">
        <v>505</v>
      </c>
      <c r="G1111" s="656" t="s">
        <v>525</v>
      </c>
      <c r="H1111" s="656" t="s">
        <v>505</v>
      </c>
      <c r="I1111" s="656" t="s">
        <v>14976</v>
      </c>
      <c r="J1111" s="656"/>
      <c r="K1111" s="656"/>
      <c r="L1111" s="656"/>
      <c r="M1111" s="657"/>
      <c r="N1111" s="1482"/>
      <c r="O1111" s="656" t="s">
        <v>498</v>
      </c>
      <c r="P1111" s="656" t="s">
        <v>13052</v>
      </c>
      <c r="Q1111" s="656">
        <v>44216.782858796294</v>
      </c>
    </row>
    <row r="1112" spans="1:17">
      <c r="A1112" s="656" t="s">
        <v>671</v>
      </c>
      <c r="B1112" s="657" t="s">
        <v>202</v>
      </c>
      <c r="C1112" s="656" t="s">
        <v>13947</v>
      </c>
      <c r="D1112" s="657"/>
      <c r="E1112" s="657" t="s">
        <v>9406</v>
      </c>
      <c r="F1112" s="656" t="s">
        <v>462</v>
      </c>
      <c r="G1112" s="656" t="s">
        <v>672</v>
      </c>
      <c r="H1112" s="656" t="s">
        <v>462</v>
      </c>
      <c r="I1112" s="656" t="s">
        <v>14976</v>
      </c>
      <c r="J1112" s="656" t="s">
        <v>463</v>
      </c>
      <c r="K1112" s="656"/>
      <c r="L1112" s="656"/>
      <c r="M1112" s="657"/>
      <c r="N1112" s="1482"/>
      <c r="O1112" s="656" t="s">
        <v>498</v>
      </c>
      <c r="P1112" s="656" t="s">
        <v>13052</v>
      </c>
      <c r="Q1112" s="656">
        <v>44216.782847222225</v>
      </c>
    </row>
    <row r="1113" spans="1:17">
      <c r="A1113" s="656" t="s">
        <v>13946</v>
      </c>
      <c r="B1113" s="657" t="s">
        <v>202</v>
      </c>
      <c r="C1113" s="656" t="s">
        <v>673</v>
      </c>
      <c r="D1113" s="657" t="s">
        <v>13789</v>
      </c>
      <c r="E1113" s="657"/>
      <c r="F1113" s="656" t="s">
        <v>477</v>
      </c>
      <c r="G1113" s="656" t="s">
        <v>1195</v>
      </c>
      <c r="H1113" s="656" t="s">
        <v>477</v>
      </c>
      <c r="I1113" s="656" t="s">
        <v>14976</v>
      </c>
      <c r="J1113" s="656" t="s">
        <v>446</v>
      </c>
      <c r="K1113" s="656" t="s">
        <v>1058</v>
      </c>
      <c r="L1113" s="656"/>
      <c r="M1113" s="657"/>
      <c r="N1113" s="1482"/>
      <c r="O1113" s="656" t="s">
        <v>498</v>
      </c>
      <c r="P1113" s="656" t="s">
        <v>13052</v>
      </c>
      <c r="Q1113" s="656">
        <v>44216.782847222225</v>
      </c>
    </row>
    <row r="1114" spans="1:17">
      <c r="A1114" s="656" t="s">
        <v>674</v>
      </c>
      <c r="B1114" s="657" t="s">
        <v>504</v>
      </c>
      <c r="C1114" s="656" t="s">
        <v>675</v>
      </c>
      <c r="D1114" s="657" t="s">
        <v>13789</v>
      </c>
      <c r="E1114" s="657" t="s">
        <v>9510</v>
      </c>
      <c r="F1114" s="656" t="s">
        <v>505</v>
      </c>
      <c r="G1114" s="656" t="s">
        <v>506</v>
      </c>
      <c r="H1114" s="656" t="s">
        <v>505</v>
      </c>
      <c r="I1114" s="656" t="s">
        <v>14976</v>
      </c>
      <c r="J1114" s="656"/>
      <c r="K1114" s="656"/>
      <c r="L1114" s="656"/>
      <c r="M1114" s="657"/>
      <c r="N1114" s="1482"/>
      <c r="O1114" s="656" t="s">
        <v>498</v>
      </c>
      <c r="P1114" s="656" t="s">
        <v>13052</v>
      </c>
      <c r="Q1114" s="656">
        <v>44216.782835648148</v>
      </c>
    </row>
    <row r="1115" spans="1:17">
      <c r="A1115" s="656" t="s">
        <v>676</v>
      </c>
      <c r="B1115" s="657" t="s">
        <v>504</v>
      </c>
      <c r="C1115" s="656" t="s">
        <v>677</v>
      </c>
      <c r="D1115" s="657" t="s">
        <v>13789</v>
      </c>
      <c r="E1115" s="657" t="s">
        <v>9510</v>
      </c>
      <c r="F1115" s="656" t="s">
        <v>540</v>
      </c>
      <c r="G1115" s="656" t="s">
        <v>541</v>
      </c>
      <c r="H1115" s="656" t="s">
        <v>540</v>
      </c>
      <c r="I1115" s="656" t="s">
        <v>14976</v>
      </c>
      <c r="J1115" s="656"/>
      <c r="K1115" s="656"/>
      <c r="L1115" s="656"/>
      <c r="M1115" s="657"/>
      <c r="N1115" s="1482"/>
      <c r="O1115" s="656" t="s">
        <v>498</v>
      </c>
      <c r="P1115" s="656" t="s">
        <v>13052</v>
      </c>
      <c r="Q1115" s="656">
        <v>44216.782835648148</v>
      </c>
    </row>
    <row r="1116" spans="1:17">
      <c r="A1116" s="656" t="s">
        <v>678</v>
      </c>
      <c r="B1116" s="657" t="s">
        <v>504</v>
      </c>
      <c r="C1116" s="656" t="s">
        <v>679</v>
      </c>
      <c r="D1116" s="657" t="s">
        <v>13789</v>
      </c>
      <c r="E1116" s="657" t="s">
        <v>9510</v>
      </c>
      <c r="F1116" s="656" t="s">
        <v>505</v>
      </c>
      <c r="G1116" s="656" t="s">
        <v>506</v>
      </c>
      <c r="H1116" s="656" t="s">
        <v>505</v>
      </c>
      <c r="I1116" s="656" t="s">
        <v>14976</v>
      </c>
      <c r="J1116" s="656"/>
      <c r="K1116" s="656"/>
      <c r="L1116" s="656"/>
      <c r="M1116" s="657"/>
      <c r="N1116" s="1482"/>
      <c r="O1116" s="656" t="s">
        <v>498</v>
      </c>
      <c r="P1116" s="656" t="s">
        <v>13052</v>
      </c>
      <c r="Q1116" s="656">
        <v>44216.782835648148</v>
      </c>
    </row>
    <row r="1117" spans="1:17">
      <c r="A1117" s="656" t="s">
        <v>680</v>
      </c>
      <c r="B1117" s="657" t="s">
        <v>504</v>
      </c>
      <c r="C1117" s="656" t="s">
        <v>681</v>
      </c>
      <c r="D1117" s="657" t="s">
        <v>13789</v>
      </c>
      <c r="E1117" s="657" t="s">
        <v>9510</v>
      </c>
      <c r="F1117" s="656" t="s">
        <v>505</v>
      </c>
      <c r="G1117" s="656" t="s">
        <v>525</v>
      </c>
      <c r="H1117" s="656" t="s">
        <v>505</v>
      </c>
      <c r="I1117" s="656" t="s">
        <v>14976</v>
      </c>
      <c r="J1117" s="656"/>
      <c r="K1117" s="656"/>
      <c r="L1117" s="656"/>
      <c r="M1117" s="657"/>
      <c r="N1117" s="1482"/>
      <c r="O1117" s="656" t="s">
        <v>498</v>
      </c>
      <c r="P1117" s="656" t="s">
        <v>13052</v>
      </c>
      <c r="Q1117" s="656">
        <v>44216.782824074071</v>
      </c>
    </row>
    <row r="1118" spans="1:17">
      <c r="A1118" s="656" t="s">
        <v>682</v>
      </c>
      <c r="B1118" s="657" t="s">
        <v>504</v>
      </c>
      <c r="C1118" s="656" t="s">
        <v>683</v>
      </c>
      <c r="D1118" s="657" t="s">
        <v>13789</v>
      </c>
      <c r="E1118" s="657" t="s">
        <v>9510</v>
      </c>
      <c r="F1118" s="656" t="s">
        <v>505</v>
      </c>
      <c r="G1118" s="656" t="s">
        <v>525</v>
      </c>
      <c r="H1118" s="656" t="s">
        <v>505</v>
      </c>
      <c r="I1118" s="656" t="s">
        <v>14976</v>
      </c>
      <c r="J1118" s="656"/>
      <c r="K1118" s="656"/>
      <c r="L1118" s="656"/>
      <c r="M1118" s="657"/>
      <c r="N1118" s="1482"/>
      <c r="O1118" s="656" t="s">
        <v>498</v>
      </c>
      <c r="P1118" s="656" t="s">
        <v>13052</v>
      </c>
      <c r="Q1118" s="656">
        <v>44216.782824074071</v>
      </c>
    </row>
    <row r="1119" spans="1:17">
      <c r="A1119" s="656" t="s">
        <v>684</v>
      </c>
      <c r="B1119" s="657" t="s">
        <v>202</v>
      </c>
      <c r="C1119" s="656" t="s">
        <v>685</v>
      </c>
      <c r="D1119" s="657" t="s">
        <v>13789</v>
      </c>
      <c r="E1119" s="657" t="s">
        <v>9510</v>
      </c>
      <c r="F1119" s="656" t="s">
        <v>537</v>
      </c>
      <c r="G1119" s="656" t="s">
        <v>553</v>
      </c>
      <c r="H1119" s="656" t="s">
        <v>537</v>
      </c>
      <c r="I1119" s="656" t="s">
        <v>14976</v>
      </c>
      <c r="J1119" s="656"/>
      <c r="K1119" s="656"/>
      <c r="L1119" s="656"/>
      <c r="M1119" s="657"/>
      <c r="N1119" s="1482"/>
      <c r="O1119" s="656" t="s">
        <v>498</v>
      </c>
      <c r="P1119" s="656" t="s">
        <v>13052</v>
      </c>
      <c r="Q1119" s="656">
        <v>44216.782812500001</v>
      </c>
    </row>
    <row r="1120" spans="1:17">
      <c r="A1120" s="656" t="s">
        <v>686</v>
      </c>
      <c r="B1120" s="657" t="s">
        <v>504</v>
      </c>
      <c r="C1120" s="656" t="s">
        <v>687</v>
      </c>
      <c r="D1120" s="657" t="s">
        <v>13789</v>
      </c>
      <c r="E1120" s="657" t="s">
        <v>9510</v>
      </c>
      <c r="F1120" s="656" t="s">
        <v>540</v>
      </c>
      <c r="G1120" s="656" t="s">
        <v>541</v>
      </c>
      <c r="H1120" s="656" t="s">
        <v>540</v>
      </c>
      <c r="I1120" s="656" t="s">
        <v>14976</v>
      </c>
      <c r="J1120" s="656"/>
      <c r="K1120" s="656"/>
      <c r="L1120" s="656"/>
      <c r="M1120" s="657"/>
      <c r="N1120" s="1482"/>
      <c r="O1120" s="656" t="s">
        <v>498</v>
      </c>
      <c r="P1120" s="656" t="s">
        <v>13052</v>
      </c>
      <c r="Q1120" s="656">
        <v>44216.782812500001</v>
      </c>
    </row>
    <row r="1121" spans="1:17">
      <c r="A1121" s="656" t="s">
        <v>688</v>
      </c>
      <c r="B1121" s="657" t="s">
        <v>504</v>
      </c>
      <c r="C1121" s="656" t="s">
        <v>689</v>
      </c>
      <c r="D1121" s="657" t="s">
        <v>14977</v>
      </c>
      <c r="E1121" s="657" t="s">
        <v>9510</v>
      </c>
      <c r="F1121" s="656" t="s">
        <v>540</v>
      </c>
      <c r="G1121" s="656" t="s">
        <v>569</v>
      </c>
      <c r="H1121" s="656" t="s">
        <v>540</v>
      </c>
      <c r="I1121" s="656" t="s">
        <v>14976</v>
      </c>
      <c r="J1121" s="656"/>
      <c r="K1121" s="656"/>
      <c r="L1121" s="656"/>
      <c r="M1121" s="657"/>
      <c r="N1121" s="1482"/>
      <c r="O1121" s="656" t="s">
        <v>498</v>
      </c>
      <c r="P1121" s="656" t="s">
        <v>13052</v>
      </c>
      <c r="Q1121" s="656">
        <v>44216.782800925925</v>
      </c>
    </row>
    <row r="1122" spans="1:17">
      <c r="A1122" s="656" t="s">
        <v>690</v>
      </c>
      <c r="B1122" s="657" t="s">
        <v>202</v>
      </c>
      <c r="C1122" s="656" t="s">
        <v>691</v>
      </c>
      <c r="D1122" s="657" t="s">
        <v>13789</v>
      </c>
      <c r="E1122" s="657" t="s">
        <v>9510</v>
      </c>
      <c r="F1122" s="656" t="s">
        <v>472</v>
      </c>
      <c r="G1122" s="656" t="s">
        <v>519</v>
      </c>
      <c r="H1122" s="656" t="s">
        <v>472</v>
      </c>
      <c r="I1122" s="656" t="s">
        <v>14976</v>
      </c>
      <c r="J1122" s="656" t="s">
        <v>12368</v>
      </c>
      <c r="K1122" s="656" t="s">
        <v>1058</v>
      </c>
      <c r="L1122" s="656"/>
      <c r="M1122" s="657"/>
      <c r="N1122" s="1482"/>
      <c r="O1122" s="656" t="s">
        <v>498</v>
      </c>
      <c r="P1122" s="656" t="s">
        <v>13052</v>
      </c>
      <c r="Q1122" s="656">
        <v>44216.782800925925</v>
      </c>
    </row>
    <row r="1123" spans="1:17">
      <c r="A1123" s="656" t="s">
        <v>692</v>
      </c>
      <c r="B1123" s="657" t="s">
        <v>202</v>
      </c>
      <c r="C1123" s="656" t="s">
        <v>693</v>
      </c>
      <c r="D1123" s="657" t="s">
        <v>13789</v>
      </c>
      <c r="E1123" s="657" t="s">
        <v>9406</v>
      </c>
      <c r="F1123" s="656" t="s">
        <v>537</v>
      </c>
      <c r="G1123" s="656" t="s">
        <v>694</v>
      </c>
      <c r="H1123" s="656" t="s">
        <v>537</v>
      </c>
      <c r="I1123" s="656" t="s">
        <v>14976</v>
      </c>
      <c r="J1123" s="656"/>
      <c r="K1123" s="656"/>
      <c r="L1123" s="656"/>
      <c r="M1123" s="657"/>
      <c r="N1123" s="1482"/>
      <c r="O1123" s="656" t="s">
        <v>498</v>
      </c>
      <c r="P1123" s="656" t="s">
        <v>13052</v>
      </c>
      <c r="Q1123" s="656">
        <v>44216.782789351855</v>
      </c>
    </row>
    <row r="1124" spans="1:17">
      <c r="A1124" s="656" t="s">
        <v>695</v>
      </c>
      <c r="B1124" s="657" t="s">
        <v>504</v>
      </c>
      <c r="C1124" s="656" t="s">
        <v>696</v>
      </c>
      <c r="D1124" s="657" t="s">
        <v>14978</v>
      </c>
      <c r="E1124" s="657" t="s">
        <v>9510</v>
      </c>
      <c r="F1124" s="656" t="s">
        <v>505</v>
      </c>
      <c r="G1124" s="656" t="s">
        <v>525</v>
      </c>
      <c r="H1124" s="656" t="s">
        <v>505</v>
      </c>
      <c r="I1124" s="656" t="s">
        <v>14976</v>
      </c>
      <c r="J1124" s="656"/>
      <c r="K1124" s="656"/>
      <c r="L1124" s="656" t="s">
        <v>2604</v>
      </c>
      <c r="M1124" s="657"/>
      <c r="N1124" s="1482"/>
      <c r="O1124" s="656" t="s">
        <v>498</v>
      </c>
      <c r="P1124" s="656" t="s">
        <v>13052</v>
      </c>
      <c r="Q1124" s="656">
        <v>44216.782800925925</v>
      </c>
    </row>
    <row r="1125" spans="1:17">
      <c r="A1125" s="656" t="s">
        <v>697</v>
      </c>
      <c r="B1125" s="657" t="s">
        <v>202</v>
      </c>
      <c r="C1125" s="656" t="s">
        <v>698</v>
      </c>
      <c r="D1125" s="657" t="s">
        <v>13789</v>
      </c>
      <c r="E1125" s="657" t="s">
        <v>9510</v>
      </c>
      <c r="F1125" s="656" t="s">
        <v>462</v>
      </c>
      <c r="G1125" s="656"/>
      <c r="H1125" s="656" t="s">
        <v>462</v>
      </c>
      <c r="I1125" s="656" t="s">
        <v>14976</v>
      </c>
      <c r="J1125" s="656" t="s">
        <v>463</v>
      </c>
      <c r="K1125" s="656"/>
      <c r="L1125" s="656"/>
      <c r="M1125" s="657"/>
      <c r="N1125" s="1482"/>
      <c r="O1125" s="656" t="s">
        <v>498</v>
      </c>
      <c r="P1125" s="656" t="s">
        <v>13052</v>
      </c>
      <c r="Q1125" s="656">
        <v>44216.782789351855</v>
      </c>
    </row>
    <row r="1126" spans="1:17">
      <c r="A1126" s="656" t="s">
        <v>699</v>
      </c>
      <c r="B1126" s="657" t="s">
        <v>504</v>
      </c>
      <c r="C1126" s="656" t="s">
        <v>700</v>
      </c>
      <c r="D1126" s="657" t="s">
        <v>13789</v>
      </c>
      <c r="E1126" s="657" t="s">
        <v>9510</v>
      </c>
      <c r="F1126" s="656" t="s">
        <v>505</v>
      </c>
      <c r="G1126" s="656" t="s">
        <v>522</v>
      </c>
      <c r="H1126" s="656" t="s">
        <v>505</v>
      </c>
      <c r="I1126" s="656" t="s">
        <v>14976</v>
      </c>
      <c r="J1126" s="656"/>
      <c r="K1126" s="656"/>
      <c r="L1126" s="656"/>
      <c r="M1126" s="657"/>
      <c r="N1126" s="1482"/>
      <c r="O1126" s="656" t="s">
        <v>498</v>
      </c>
      <c r="P1126" s="656" t="s">
        <v>13052</v>
      </c>
      <c r="Q1126" s="656">
        <v>44216.782777777778</v>
      </c>
    </row>
    <row r="1127" spans="1:17">
      <c r="A1127" s="656" t="s">
        <v>701</v>
      </c>
      <c r="B1127" s="657" t="s">
        <v>202</v>
      </c>
      <c r="C1127" s="656" t="s">
        <v>12531</v>
      </c>
      <c r="D1127" s="657" t="s">
        <v>13789</v>
      </c>
      <c r="E1127" s="657" t="s">
        <v>7437</v>
      </c>
      <c r="F1127" s="656" t="s">
        <v>462</v>
      </c>
      <c r="G1127" s="656" t="s">
        <v>702</v>
      </c>
      <c r="H1127" s="656" t="s">
        <v>462</v>
      </c>
      <c r="I1127" s="656" t="s">
        <v>14976</v>
      </c>
      <c r="J1127" s="656" t="s">
        <v>463</v>
      </c>
      <c r="K1127" s="656" t="s">
        <v>1058</v>
      </c>
      <c r="L1127" s="656"/>
      <c r="M1127" s="657"/>
      <c r="N1127" s="1482"/>
      <c r="O1127" s="656" t="s">
        <v>498</v>
      </c>
      <c r="P1127" s="656" t="s">
        <v>13052</v>
      </c>
      <c r="Q1127" s="656">
        <v>44216.782777777778</v>
      </c>
    </row>
    <row r="1128" spans="1:17">
      <c r="A1128" s="656" t="s">
        <v>703</v>
      </c>
      <c r="B1128" s="657" t="s">
        <v>202</v>
      </c>
      <c r="C1128" s="656" t="s">
        <v>704</v>
      </c>
      <c r="D1128" s="657" t="s">
        <v>14977</v>
      </c>
      <c r="E1128" s="657" t="s">
        <v>7437</v>
      </c>
      <c r="F1128" s="656" t="s">
        <v>462</v>
      </c>
      <c r="G1128" s="656" t="s">
        <v>552</v>
      </c>
      <c r="H1128" s="656" t="s">
        <v>462</v>
      </c>
      <c r="I1128" s="656" t="s">
        <v>14976</v>
      </c>
      <c r="J1128" s="656" t="s">
        <v>463</v>
      </c>
      <c r="K1128" s="656"/>
      <c r="L1128" s="656" t="s">
        <v>703</v>
      </c>
      <c r="M1128" s="657"/>
      <c r="N1128" s="1482"/>
      <c r="O1128" s="656" t="s">
        <v>498</v>
      </c>
      <c r="P1128" s="656" t="s">
        <v>13052</v>
      </c>
      <c r="Q1128" s="656">
        <v>44216.782766203702</v>
      </c>
    </row>
    <row r="1129" spans="1:17">
      <c r="A1129" s="656" t="s">
        <v>705</v>
      </c>
      <c r="B1129" s="657" t="s">
        <v>202</v>
      </c>
      <c r="C1129" s="656" t="s">
        <v>9633</v>
      </c>
      <c r="D1129" s="657" t="s">
        <v>14977</v>
      </c>
      <c r="E1129" s="657" t="s">
        <v>15044</v>
      </c>
      <c r="F1129" s="656" t="s">
        <v>462</v>
      </c>
      <c r="G1129" s="656" t="s">
        <v>584</v>
      </c>
      <c r="H1129" s="656" t="s">
        <v>462</v>
      </c>
      <c r="I1129" s="656" t="s">
        <v>14976</v>
      </c>
      <c r="J1129" s="656" t="s">
        <v>463</v>
      </c>
      <c r="K1129" s="656"/>
      <c r="L1129" s="656" t="s">
        <v>13945</v>
      </c>
      <c r="M1129" s="657"/>
      <c r="N1129" s="1482"/>
      <c r="O1129" s="656" t="s">
        <v>498</v>
      </c>
      <c r="P1129" s="656" t="s">
        <v>13052</v>
      </c>
      <c r="Q1129" s="656">
        <v>44216.782766203702</v>
      </c>
    </row>
    <row r="1130" spans="1:17">
      <c r="A1130" s="656" t="s">
        <v>707</v>
      </c>
      <c r="B1130" s="657" t="s">
        <v>202</v>
      </c>
      <c r="C1130" s="656" t="s">
        <v>9634</v>
      </c>
      <c r="D1130" s="657" t="s">
        <v>14977</v>
      </c>
      <c r="E1130" s="657" t="s">
        <v>7433</v>
      </c>
      <c r="F1130" s="656" t="s">
        <v>462</v>
      </c>
      <c r="G1130" s="656" t="s">
        <v>552</v>
      </c>
      <c r="H1130" s="656" t="s">
        <v>462</v>
      </c>
      <c r="I1130" s="656" t="s">
        <v>14976</v>
      </c>
      <c r="J1130" s="656" t="s">
        <v>463</v>
      </c>
      <c r="K1130" s="656"/>
      <c r="L1130" s="656" t="s">
        <v>13945</v>
      </c>
      <c r="M1130" s="657"/>
      <c r="N1130" s="1482"/>
      <c r="O1130" s="656" t="s">
        <v>498</v>
      </c>
      <c r="P1130" s="656" t="s">
        <v>13052</v>
      </c>
      <c r="Q1130" s="656">
        <v>44216.782754629632</v>
      </c>
    </row>
    <row r="1131" spans="1:17">
      <c r="A1131" s="656" t="s">
        <v>15797</v>
      </c>
      <c r="B1131" s="657" t="s">
        <v>202</v>
      </c>
      <c r="C1131" s="656" t="s">
        <v>15798</v>
      </c>
      <c r="D1131" s="657" t="s">
        <v>14978</v>
      </c>
      <c r="E1131" s="657" t="s">
        <v>7435</v>
      </c>
      <c r="F1131" s="656" t="s">
        <v>537</v>
      </c>
      <c r="G1131" s="656"/>
      <c r="H1131" s="656" t="s">
        <v>537</v>
      </c>
      <c r="I1131" s="656"/>
      <c r="J1131" s="656" t="s">
        <v>463</v>
      </c>
      <c r="K1131" s="656"/>
      <c r="L1131" s="656" t="s">
        <v>708</v>
      </c>
      <c r="M1131" s="657" t="s">
        <v>3796</v>
      </c>
      <c r="N1131" s="1482">
        <v>181</v>
      </c>
      <c r="O1131" s="656" t="s">
        <v>498</v>
      </c>
      <c r="P1131" s="656" t="s">
        <v>13052</v>
      </c>
      <c r="Q1131" s="656">
        <v>44260.390046296299</v>
      </c>
    </row>
    <row r="1132" spans="1:17">
      <c r="A1132" s="656" t="s">
        <v>15793</v>
      </c>
      <c r="B1132" s="657" t="s">
        <v>202</v>
      </c>
      <c r="C1132" s="656" t="s">
        <v>15794</v>
      </c>
      <c r="D1132" s="657" t="s">
        <v>14978</v>
      </c>
      <c r="E1132" s="657" t="s">
        <v>7435</v>
      </c>
      <c r="F1132" s="656" t="s">
        <v>537</v>
      </c>
      <c r="G1132" s="656"/>
      <c r="H1132" s="656" t="s">
        <v>537</v>
      </c>
      <c r="I1132" s="656"/>
      <c r="J1132" s="656" t="s">
        <v>463</v>
      </c>
      <c r="K1132" s="656"/>
      <c r="L1132" s="656" t="s">
        <v>708</v>
      </c>
      <c r="M1132" s="657" t="s">
        <v>3796</v>
      </c>
      <c r="N1132" s="1482">
        <v>180</v>
      </c>
      <c r="O1132" s="656" t="s">
        <v>498</v>
      </c>
      <c r="P1132" s="656" t="s">
        <v>13052</v>
      </c>
      <c r="Q1132" s="656">
        <v>44260.380694444444</v>
      </c>
    </row>
    <row r="1133" spans="1:17">
      <c r="A1133" s="656" t="s">
        <v>15795</v>
      </c>
      <c r="B1133" s="657" t="s">
        <v>202</v>
      </c>
      <c r="C1133" s="656" t="s">
        <v>15796</v>
      </c>
      <c r="D1133" s="657" t="s">
        <v>14978</v>
      </c>
      <c r="E1133" s="657" t="s">
        <v>7435</v>
      </c>
      <c r="F1133" s="656" t="s">
        <v>537</v>
      </c>
      <c r="G1133" s="656"/>
      <c r="H1133" s="656" t="s">
        <v>537</v>
      </c>
      <c r="I1133" s="656"/>
      <c r="J1133" s="656" t="s">
        <v>463</v>
      </c>
      <c r="K1133" s="656"/>
      <c r="L1133" s="656" t="s">
        <v>708</v>
      </c>
      <c r="M1133" s="657" t="s">
        <v>15517</v>
      </c>
      <c r="N1133" s="1482">
        <v>179</v>
      </c>
      <c r="O1133" s="656" t="s">
        <v>498</v>
      </c>
      <c r="P1133" s="656" t="s">
        <v>13052</v>
      </c>
      <c r="Q1133" s="656">
        <v>44260.38071759259</v>
      </c>
    </row>
    <row r="1134" spans="1:17">
      <c r="A1134" s="656" t="s">
        <v>708</v>
      </c>
      <c r="B1134" s="657" t="s">
        <v>202</v>
      </c>
      <c r="C1134" s="656" t="s">
        <v>9635</v>
      </c>
      <c r="D1134" s="657" t="s">
        <v>14977</v>
      </c>
      <c r="E1134" s="657" t="s">
        <v>7435</v>
      </c>
      <c r="F1134" s="656" t="s">
        <v>462</v>
      </c>
      <c r="G1134" s="656" t="s">
        <v>584</v>
      </c>
      <c r="H1134" s="656" t="s">
        <v>462</v>
      </c>
      <c r="I1134" s="656" t="s">
        <v>14976</v>
      </c>
      <c r="J1134" s="656" t="s">
        <v>463</v>
      </c>
      <c r="K1134" s="656"/>
      <c r="L1134" s="656" t="s">
        <v>708</v>
      </c>
      <c r="M1134" s="657"/>
      <c r="N1134" s="1482"/>
      <c r="O1134" s="656" t="s">
        <v>498</v>
      </c>
      <c r="P1134" s="656" t="s">
        <v>13052</v>
      </c>
      <c r="Q1134" s="656">
        <v>44216.782754629632</v>
      </c>
    </row>
    <row r="1135" spans="1:17">
      <c r="A1135" s="656" t="s">
        <v>709</v>
      </c>
      <c r="B1135" s="657" t="s">
        <v>202</v>
      </c>
      <c r="C1135" s="656" t="s">
        <v>706</v>
      </c>
      <c r="D1135" s="657" t="s">
        <v>13789</v>
      </c>
      <c r="E1135" s="657" t="s">
        <v>7437</v>
      </c>
      <c r="F1135" s="656" t="s">
        <v>462</v>
      </c>
      <c r="G1135" s="656"/>
      <c r="H1135" s="656" t="s">
        <v>462</v>
      </c>
      <c r="I1135" s="656" t="s">
        <v>14976</v>
      </c>
      <c r="J1135" s="656" t="s">
        <v>463</v>
      </c>
      <c r="K1135" s="656"/>
      <c r="L1135" s="656"/>
      <c r="M1135" s="657"/>
      <c r="N1135" s="1482"/>
      <c r="O1135" s="656" t="s">
        <v>498</v>
      </c>
      <c r="P1135" s="656" t="s">
        <v>13052</v>
      </c>
      <c r="Q1135" s="656">
        <v>44216.782754629632</v>
      </c>
    </row>
    <row r="1136" spans="1:17">
      <c r="A1136" s="656" t="s">
        <v>710</v>
      </c>
      <c r="B1136" s="657" t="s">
        <v>202</v>
      </c>
      <c r="C1136" s="656" t="s">
        <v>9636</v>
      </c>
      <c r="D1136" s="657" t="s">
        <v>13789</v>
      </c>
      <c r="E1136" s="657" t="s">
        <v>7437</v>
      </c>
      <c r="F1136" s="656" t="s">
        <v>462</v>
      </c>
      <c r="G1136" s="656" t="s">
        <v>552</v>
      </c>
      <c r="H1136" s="656" t="s">
        <v>462</v>
      </c>
      <c r="I1136" s="656" t="s">
        <v>14976</v>
      </c>
      <c r="J1136" s="656" t="s">
        <v>463</v>
      </c>
      <c r="K1136" s="656"/>
      <c r="L1136" s="656"/>
      <c r="M1136" s="657"/>
      <c r="N1136" s="1482"/>
      <c r="O1136" s="656" t="s">
        <v>498</v>
      </c>
      <c r="P1136" s="656" t="s">
        <v>13052</v>
      </c>
      <c r="Q1136" s="656">
        <v>44216.782743055555</v>
      </c>
    </row>
    <row r="1137" spans="1:17">
      <c r="A1137" s="656" t="s">
        <v>13943</v>
      </c>
      <c r="B1137" s="657" t="s">
        <v>202</v>
      </c>
      <c r="C1137" s="656" t="s">
        <v>13944</v>
      </c>
      <c r="D1137" s="657" t="s">
        <v>13789</v>
      </c>
      <c r="E1137" s="657"/>
      <c r="F1137" s="656" t="s">
        <v>462</v>
      </c>
      <c r="G1137" s="656" t="s">
        <v>711</v>
      </c>
      <c r="H1137" s="656" t="s">
        <v>462</v>
      </c>
      <c r="I1137" s="656" t="s">
        <v>14976</v>
      </c>
      <c r="J1137" s="656" t="s">
        <v>463</v>
      </c>
      <c r="K1137" s="656"/>
      <c r="L1137" s="656"/>
      <c r="M1137" s="657"/>
      <c r="N1137" s="1482"/>
      <c r="O1137" s="656" t="s">
        <v>498</v>
      </c>
      <c r="P1137" s="656" t="s">
        <v>13052</v>
      </c>
      <c r="Q1137" s="656">
        <v>44216.782743055555</v>
      </c>
    </row>
    <row r="1138" spans="1:17">
      <c r="A1138" s="656" t="s">
        <v>712</v>
      </c>
      <c r="B1138" s="657" t="s">
        <v>202</v>
      </c>
      <c r="C1138" s="656" t="s">
        <v>9637</v>
      </c>
      <c r="D1138" s="657" t="s">
        <v>13789</v>
      </c>
      <c r="E1138" s="657" t="s">
        <v>7437</v>
      </c>
      <c r="F1138" s="656" t="s">
        <v>462</v>
      </c>
      <c r="G1138" s="656" t="s">
        <v>552</v>
      </c>
      <c r="H1138" s="656" t="s">
        <v>462</v>
      </c>
      <c r="I1138" s="656" t="s">
        <v>14976</v>
      </c>
      <c r="J1138" s="656" t="s">
        <v>463</v>
      </c>
      <c r="K1138" s="656" t="s">
        <v>1058</v>
      </c>
      <c r="L1138" s="656"/>
      <c r="M1138" s="657"/>
      <c r="N1138" s="1482"/>
      <c r="O1138" s="656" t="s">
        <v>498</v>
      </c>
      <c r="P1138" s="656" t="s">
        <v>13052</v>
      </c>
      <c r="Q1138" s="656">
        <v>44216.782731481479</v>
      </c>
    </row>
    <row r="1139" spans="1:17">
      <c r="A1139" s="656" t="s">
        <v>713</v>
      </c>
      <c r="B1139" s="657" t="s">
        <v>202</v>
      </c>
      <c r="C1139" s="656" t="s">
        <v>714</v>
      </c>
      <c r="D1139" s="657" t="s">
        <v>13789</v>
      </c>
      <c r="E1139" s="657" t="s">
        <v>9406</v>
      </c>
      <c r="F1139" s="656" t="s">
        <v>462</v>
      </c>
      <c r="G1139" s="656" t="s">
        <v>552</v>
      </c>
      <c r="H1139" s="656" t="s">
        <v>462</v>
      </c>
      <c r="I1139" s="656" t="s">
        <v>14976</v>
      </c>
      <c r="J1139" s="656" t="s">
        <v>463</v>
      </c>
      <c r="K1139" s="656"/>
      <c r="L1139" s="656"/>
      <c r="M1139" s="657"/>
      <c r="N1139" s="1482"/>
      <c r="O1139" s="656" t="s">
        <v>498</v>
      </c>
      <c r="P1139" s="656" t="s">
        <v>13052</v>
      </c>
      <c r="Q1139" s="656">
        <v>44216.782731481479</v>
      </c>
    </row>
    <row r="1140" spans="1:17">
      <c r="A1140" s="656" t="s">
        <v>715</v>
      </c>
      <c r="B1140" s="657" t="s">
        <v>531</v>
      </c>
      <c r="C1140" s="656" t="s">
        <v>716</v>
      </c>
      <c r="D1140" s="657" t="s">
        <v>14977</v>
      </c>
      <c r="E1140" s="657" t="s">
        <v>7435</v>
      </c>
      <c r="F1140" s="656" t="s">
        <v>2849</v>
      </c>
      <c r="G1140" s="656" t="s">
        <v>717</v>
      </c>
      <c r="H1140" s="656" t="s">
        <v>469</v>
      </c>
      <c r="I1140" s="656" t="s">
        <v>14976</v>
      </c>
      <c r="J1140" s="656"/>
      <c r="K1140" s="656"/>
      <c r="L1140" s="656" t="s">
        <v>715</v>
      </c>
      <c r="M1140" s="657"/>
      <c r="N1140" s="1482"/>
      <c r="O1140" s="656" t="s">
        <v>498</v>
      </c>
      <c r="P1140" s="656" t="s">
        <v>13052</v>
      </c>
      <c r="Q1140" s="656">
        <v>44216.782719907409</v>
      </c>
    </row>
    <row r="1141" spans="1:17">
      <c r="A1141" s="656" t="s">
        <v>718</v>
      </c>
      <c r="B1141" s="657" t="s">
        <v>531</v>
      </c>
      <c r="C1141" s="656" t="s">
        <v>13942</v>
      </c>
      <c r="D1141" s="657" t="s">
        <v>14977</v>
      </c>
      <c r="E1141" s="657" t="s">
        <v>7435</v>
      </c>
      <c r="F1141" s="656" t="s">
        <v>2849</v>
      </c>
      <c r="G1141" s="656" t="s">
        <v>717</v>
      </c>
      <c r="H1141" s="656" t="s">
        <v>469</v>
      </c>
      <c r="I1141" s="656" t="s">
        <v>14976</v>
      </c>
      <c r="J1141" s="656"/>
      <c r="K1141" s="656"/>
      <c r="L1141" s="656" t="s">
        <v>718</v>
      </c>
      <c r="M1141" s="657"/>
      <c r="N1141" s="1482"/>
      <c r="O1141" s="656" t="s">
        <v>498</v>
      </c>
      <c r="P1141" s="656" t="s">
        <v>13052</v>
      </c>
      <c r="Q1141" s="656">
        <v>44216.782719907409</v>
      </c>
    </row>
    <row r="1142" spans="1:17">
      <c r="A1142" s="656" t="s">
        <v>719</v>
      </c>
      <c r="B1142" s="657" t="s">
        <v>531</v>
      </c>
      <c r="C1142" s="656" t="s">
        <v>13941</v>
      </c>
      <c r="D1142" s="657" t="s">
        <v>14977</v>
      </c>
      <c r="E1142" s="657" t="s">
        <v>7435</v>
      </c>
      <c r="F1142" s="656" t="s">
        <v>2849</v>
      </c>
      <c r="G1142" s="656" t="s">
        <v>717</v>
      </c>
      <c r="H1142" s="656" t="s">
        <v>469</v>
      </c>
      <c r="I1142" s="656" t="s">
        <v>14976</v>
      </c>
      <c r="J1142" s="656"/>
      <c r="K1142" s="656"/>
      <c r="L1142" s="656" t="s">
        <v>719</v>
      </c>
      <c r="M1142" s="657"/>
      <c r="N1142" s="1482"/>
      <c r="O1142" s="656" t="s">
        <v>498</v>
      </c>
      <c r="P1142" s="656" t="s">
        <v>13052</v>
      </c>
      <c r="Q1142" s="656">
        <v>44216.782685185186</v>
      </c>
    </row>
    <row r="1143" spans="1:17">
      <c r="A1143" s="656" t="s">
        <v>720</v>
      </c>
      <c r="B1143" s="657" t="s">
        <v>531</v>
      </c>
      <c r="C1143" s="656" t="s">
        <v>721</v>
      </c>
      <c r="D1143" s="657" t="s">
        <v>14977</v>
      </c>
      <c r="E1143" s="657" t="s">
        <v>7435</v>
      </c>
      <c r="F1143" s="656" t="s">
        <v>2849</v>
      </c>
      <c r="G1143" s="656" t="s">
        <v>717</v>
      </c>
      <c r="H1143" s="656" t="s">
        <v>469</v>
      </c>
      <c r="I1143" s="656" t="s">
        <v>14976</v>
      </c>
      <c r="J1143" s="656"/>
      <c r="K1143" s="656"/>
      <c r="L1143" s="656" t="s">
        <v>720</v>
      </c>
      <c r="M1143" s="657"/>
      <c r="N1143" s="1482"/>
      <c r="O1143" s="656" t="s">
        <v>498</v>
      </c>
      <c r="P1143" s="656" t="s">
        <v>13052</v>
      </c>
      <c r="Q1143" s="656">
        <v>44216.782673611109</v>
      </c>
    </row>
    <row r="1144" spans="1:17">
      <c r="A1144" s="656" t="s">
        <v>722</v>
      </c>
      <c r="B1144" s="657" t="s">
        <v>531</v>
      </c>
      <c r="C1144" s="656" t="s">
        <v>1948</v>
      </c>
      <c r="D1144" s="657" t="s">
        <v>14977</v>
      </c>
      <c r="E1144" s="657" t="s">
        <v>7435</v>
      </c>
      <c r="F1144" s="656" t="s">
        <v>2849</v>
      </c>
      <c r="G1144" s="656" t="s">
        <v>717</v>
      </c>
      <c r="H1144" s="656" t="s">
        <v>469</v>
      </c>
      <c r="I1144" s="656" t="s">
        <v>14976</v>
      </c>
      <c r="J1144" s="656"/>
      <c r="K1144" s="656"/>
      <c r="L1144" s="656" t="s">
        <v>722</v>
      </c>
      <c r="M1144" s="657"/>
      <c r="N1144" s="1482"/>
      <c r="O1144" s="656" t="s">
        <v>498</v>
      </c>
      <c r="P1144" s="656" t="s">
        <v>13052</v>
      </c>
      <c r="Q1144" s="656">
        <v>44216.782673611109</v>
      </c>
    </row>
    <row r="1145" spans="1:17">
      <c r="A1145" s="656" t="s">
        <v>723</v>
      </c>
      <c r="B1145" s="657" t="s">
        <v>531</v>
      </c>
      <c r="C1145" s="656" t="s">
        <v>13940</v>
      </c>
      <c r="D1145" s="657" t="s">
        <v>14977</v>
      </c>
      <c r="E1145" s="657" t="s">
        <v>7435</v>
      </c>
      <c r="F1145" s="656" t="s">
        <v>2849</v>
      </c>
      <c r="G1145" s="656" t="s">
        <v>717</v>
      </c>
      <c r="H1145" s="656" t="s">
        <v>469</v>
      </c>
      <c r="I1145" s="656" t="s">
        <v>14976</v>
      </c>
      <c r="J1145" s="656"/>
      <c r="K1145" s="656"/>
      <c r="L1145" s="656" t="s">
        <v>723</v>
      </c>
      <c r="M1145" s="657"/>
      <c r="N1145" s="1482"/>
      <c r="O1145" s="656" t="s">
        <v>498</v>
      </c>
      <c r="P1145" s="656" t="s">
        <v>13052</v>
      </c>
      <c r="Q1145" s="656">
        <v>44216.78266203704</v>
      </c>
    </row>
    <row r="1146" spans="1:17">
      <c r="A1146" s="656" t="s">
        <v>724</v>
      </c>
      <c r="B1146" s="657" t="s">
        <v>531</v>
      </c>
      <c r="C1146" s="656" t="s">
        <v>725</v>
      </c>
      <c r="D1146" s="657" t="s">
        <v>14977</v>
      </c>
      <c r="E1146" s="657" t="s">
        <v>7435</v>
      </c>
      <c r="F1146" s="656" t="s">
        <v>2849</v>
      </c>
      <c r="G1146" s="656" t="s">
        <v>717</v>
      </c>
      <c r="H1146" s="656" t="s">
        <v>469</v>
      </c>
      <c r="I1146" s="656" t="s">
        <v>14976</v>
      </c>
      <c r="J1146" s="656"/>
      <c r="K1146" s="656"/>
      <c r="L1146" s="656" t="s">
        <v>724</v>
      </c>
      <c r="M1146" s="657"/>
      <c r="N1146" s="1482"/>
      <c r="O1146" s="656" t="s">
        <v>498</v>
      </c>
      <c r="P1146" s="656" t="s">
        <v>13052</v>
      </c>
      <c r="Q1146" s="656">
        <v>44216.78266203704</v>
      </c>
    </row>
    <row r="1147" spans="1:17">
      <c r="A1147" s="656" t="s">
        <v>726</v>
      </c>
      <c r="B1147" s="657" t="s">
        <v>531</v>
      </c>
      <c r="C1147" s="656" t="s">
        <v>13939</v>
      </c>
      <c r="D1147" s="657" t="s">
        <v>14977</v>
      </c>
      <c r="E1147" s="657" t="s">
        <v>7435</v>
      </c>
      <c r="F1147" s="656" t="s">
        <v>2849</v>
      </c>
      <c r="G1147" s="656" t="s">
        <v>717</v>
      </c>
      <c r="H1147" s="656" t="s">
        <v>469</v>
      </c>
      <c r="I1147" s="656" t="s">
        <v>14976</v>
      </c>
      <c r="J1147" s="656"/>
      <c r="K1147" s="656"/>
      <c r="L1147" s="656" t="s">
        <v>726</v>
      </c>
      <c r="M1147" s="657"/>
      <c r="N1147" s="1482"/>
      <c r="O1147" s="656" t="s">
        <v>498</v>
      </c>
      <c r="P1147" s="656" t="s">
        <v>13052</v>
      </c>
      <c r="Q1147" s="656">
        <v>44216.782650462963</v>
      </c>
    </row>
    <row r="1148" spans="1:17">
      <c r="A1148" s="656" t="s">
        <v>727</v>
      </c>
      <c r="B1148" s="657" t="s">
        <v>531</v>
      </c>
      <c r="C1148" s="656" t="s">
        <v>13938</v>
      </c>
      <c r="D1148" s="657" t="s">
        <v>14977</v>
      </c>
      <c r="E1148" s="657" t="s">
        <v>7435</v>
      </c>
      <c r="F1148" s="656" t="s">
        <v>2849</v>
      </c>
      <c r="G1148" s="656" t="s">
        <v>717</v>
      </c>
      <c r="H1148" s="656" t="s">
        <v>469</v>
      </c>
      <c r="I1148" s="656" t="s">
        <v>14976</v>
      </c>
      <c r="J1148" s="656"/>
      <c r="K1148" s="656"/>
      <c r="L1148" s="656" t="s">
        <v>727</v>
      </c>
      <c r="M1148" s="657"/>
      <c r="N1148" s="1482"/>
      <c r="O1148" s="656" t="s">
        <v>498</v>
      </c>
      <c r="P1148" s="656" t="s">
        <v>13052</v>
      </c>
      <c r="Q1148" s="656">
        <v>44216.782650462963</v>
      </c>
    </row>
    <row r="1149" spans="1:17">
      <c r="A1149" s="656" t="s">
        <v>728</v>
      </c>
      <c r="B1149" s="657" t="s">
        <v>202</v>
      </c>
      <c r="C1149" s="656" t="s">
        <v>729</v>
      </c>
      <c r="D1149" s="657" t="s">
        <v>13789</v>
      </c>
      <c r="E1149" s="657" t="s">
        <v>15044</v>
      </c>
      <c r="F1149" s="656" t="s">
        <v>462</v>
      </c>
      <c r="G1149" s="656" t="s">
        <v>552</v>
      </c>
      <c r="H1149" s="656" t="s">
        <v>462</v>
      </c>
      <c r="I1149" s="656" t="s">
        <v>14976</v>
      </c>
      <c r="J1149" s="656" t="s">
        <v>463</v>
      </c>
      <c r="K1149" s="656"/>
      <c r="L1149" s="656"/>
      <c r="M1149" s="657"/>
      <c r="N1149" s="1482"/>
      <c r="O1149" s="656" t="s">
        <v>498</v>
      </c>
      <c r="P1149" s="656" t="s">
        <v>13052</v>
      </c>
      <c r="Q1149" s="656">
        <v>44216.782650462963</v>
      </c>
    </row>
    <row r="1150" spans="1:17">
      <c r="A1150" s="656" t="s">
        <v>730</v>
      </c>
      <c r="B1150" s="657" t="s">
        <v>202</v>
      </c>
      <c r="C1150" s="656" t="s">
        <v>731</v>
      </c>
      <c r="D1150" s="657" t="s">
        <v>13789</v>
      </c>
      <c r="E1150" s="657" t="s">
        <v>7433</v>
      </c>
      <c r="F1150" s="656" t="s">
        <v>462</v>
      </c>
      <c r="G1150" s="656" t="s">
        <v>552</v>
      </c>
      <c r="H1150" s="656" t="s">
        <v>462</v>
      </c>
      <c r="I1150" s="656" t="s">
        <v>14976</v>
      </c>
      <c r="J1150" s="656" t="s">
        <v>463</v>
      </c>
      <c r="K1150" s="656"/>
      <c r="L1150" s="656"/>
      <c r="M1150" s="657"/>
      <c r="N1150" s="1482"/>
      <c r="O1150" s="656" t="s">
        <v>498</v>
      </c>
      <c r="P1150" s="656" t="s">
        <v>13052</v>
      </c>
      <c r="Q1150" s="656">
        <v>44216.782638888886</v>
      </c>
    </row>
    <row r="1151" spans="1:17">
      <c r="A1151" s="656" t="s">
        <v>732</v>
      </c>
      <c r="B1151" s="657" t="s">
        <v>202</v>
      </c>
      <c r="C1151" s="656" t="s">
        <v>733</v>
      </c>
      <c r="D1151" s="657" t="s">
        <v>13789</v>
      </c>
      <c r="E1151" s="657" t="s">
        <v>7435</v>
      </c>
      <c r="F1151" s="656" t="s">
        <v>462</v>
      </c>
      <c r="G1151" s="656" t="s">
        <v>552</v>
      </c>
      <c r="H1151" s="656" t="s">
        <v>462</v>
      </c>
      <c r="I1151" s="656" t="s">
        <v>14976</v>
      </c>
      <c r="J1151" s="656" t="s">
        <v>463</v>
      </c>
      <c r="K1151" s="656"/>
      <c r="L1151" s="656"/>
      <c r="M1151" s="657"/>
      <c r="N1151" s="1482"/>
      <c r="O1151" s="656" t="s">
        <v>498</v>
      </c>
      <c r="P1151" s="656" t="s">
        <v>13052</v>
      </c>
      <c r="Q1151" s="656">
        <v>44216.782638888886</v>
      </c>
    </row>
    <row r="1152" spans="1:17">
      <c r="A1152" s="656" t="s">
        <v>734</v>
      </c>
      <c r="B1152" s="657" t="s">
        <v>202</v>
      </c>
      <c r="C1152" s="656" t="s">
        <v>735</v>
      </c>
      <c r="D1152" s="657" t="s">
        <v>13789</v>
      </c>
      <c r="E1152" s="657" t="s">
        <v>7437</v>
      </c>
      <c r="F1152" s="656" t="s">
        <v>462</v>
      </c>
      <c r="G1152" s="656" t="s">
        <v>552</v>
      </c>
      <c r="H1152" s="656" t="s">
        <v>462</v>
      </c>
      <c r="I1152" s="656" t="s">
        <v>14976</v>
      </c>
      <c r="J1152" s="656" t="s">
        <v>463</v>
      </c>
      <c r="K1152" s="656"/>
      <c r="L1152" s="656"/>
      <c r="M1152" s="657"/>
      <c r="N1152" s="1482"/>
      <c r="O1152" s="656" t="s">
        <v>498</v>
      </c>
      <c r="P1152" s="656" t="s">
        <v>13052</v>
      </c>
      <c r="Q1152" s="656">
        <v>44216.782627314817</v>
      </c>
    </row>
    <row r="1153" spans="1:17">
      <c r="A1153" s="656" t="s">
        <v>736</v>
      </c>
      <c r="B1153" s="657" t="s">
        <v>202</v>
      </c>
      <c r="C1153" s="656" t="s">
        <v>737</v>
      </c>
      <c r="D1153" s="657" t="s">
        <v>13789</v>
      </c>
      <c r="E1153" s="657" t="s">
        <v>15044</v>
      </c>
      <c r="F1153" s="656" t="s">
        <v>462</v>
      </c>
      <c r="G1153" s="656" t="s">
        <v>552</v>
      </c>
      <c r="H1153" s="656" t="s">
        <v>462</v>
      </c>
      <c r="I1153" s="656" t="s">
        <v>14976</v>
      </c>
      <c r="J1153" s="656" t="s">
        <v>463</v>
      </c>
      <c r="K1153" s="656"/>
      <c r="L1153" s="656"/>
      <c r="M1153" s="657"/>
      <c r="N1153" s="1482"/>
      <c r="O1153" s="656" t="s">
        <v>498</v>
      </c>
      <c r="P1153" s="656" t="s">
        <v>13052</v>
      </c>
      <c r="Q1153" s="656">
        <v>44216.78261574074</v>
      </c>
    </row>
    <row r="1154" spans="1:17">
      <c r="A1154" s="656" t="s">
        <v>738</v>
      </c>
      <c r="B1154" s="657" t="s">
        <v>202</v>
      </c>
      <c r="C1154" s="656" t="s">
        <v>739</v>
      </c>
      <c r="D1154" s="657" t="s">
        <v>13789</v>
      </c>
      <c r="E1154" s="657" t="s">
        <v>7433</v>
      </c>
      <c r="F1154" s="656" t="s">
        <v>462</v>
      </c>
      <c r="G1154" s="656" t="s">
        <v>552</v>
      </c>
      <c r="H1154" s="656" t="s">
        <v>462</v>
      </c>
      <c r="I1154" s="656" t="s">
        <v>14976</v>
      </c>
      <c r="J1154" s="656" t="s">
        <v>463</v>
      </c>
      <c r="K1154" s="656"/>
      <c r="L1154" s="656"/>
      <c r="M1154" s="657"/>
      <c r="N1154" s="1482"/>
      <c r="O1154" s="656" t="s">
        <v>498</v>
      </c>
      <c r="P1154" s="656" t="s">
        <v>13052</v>
      </c>
      <c r="Q1154" s="656">
        <v>44216.78261574074</v>
      </c>
    </row>
    <row r="1155" spans="1:17">
      <c r="A1155" s="656" t="s">
        <v>740</v>
      </c>
      <c r="B1155" s="657" t="s">
        <v>202</v>
      </c>
      <c r="C1155" s="656" t="s">
        <v>741</v>
      </c>
      <c r="D1155" s="657" t="s">
        <v>13789</v>
      </c>
      <c r="E1155" s="657" t="s">
        <v>7435</v>
      </c>
      <c r="F1155" s="656" t="s">
        <v>462</v>
      </c>
      <c r="G1155" s="656" t="s">
        <v>552</v>
      </c>
      <c r="H1155" s="656" t="s">
        <v>462</v>
      </c>
      <c r="I1155" s="656" t="s">
        <v>14976</v>
      </c>
      <c r="J1155" s="656" t="s">
        <v>463</v>
      </c>
      <c r="K1155" s="656"/>
      <c r="L1155" s="656"/>
      <c r="M1155" s="657"/>
      <c r="N1155" s="1482"/>
      <c r="O1155" s="656" t="s">
        <v>498</v>
      </c>
      <c r="P1155" s="656" t="s">
        <v>13052</v>
      </c>
      <c r="Q1155" s="656">
        <v>44216.782604166663</v>
      </c>
    </row>
    <row r="1156" spans="1:17">
      <c r="A1156" s="656" t="s">
        <v>742</v>
      </c>
      <c r="B1156" s="657" t="s">
        <v>202</v>
      </c>
      <c r="C1156" s="656" t="s">
        <v>743</v>
      </c>
      <c r="D1156" s="657" t="s">
        <v>13789</v>
      </c>
      <c r="E1156" s="657" t="s">
        <v>7437</v>
      </c>
      <c r="F1156" s="656" t="s">
        <v>462</v>
      </c>
      <c r="G1156" s="656" t="s">
        <v>552</v>
      </c>
      <c r="H1156" s="656" t="s">
        <v>462</v>
      </c>
      <c r="I1156" s="656" t="s">
        <v>14976</v>
      </c>
      <c r="J1156" s="656" t="s">
        <v>463</v>
      </c>
      <c r="K1156" s="656"/>
      <c r="L1156" s="656"/>
      <c r="M1156" s="657"/>
      <c r="N1156" s="1482"/>
      <c r="O1156" s="656" t="s">
        <v>498</v>
      </c>
      <c r="P1156" s="656" t="s">
        <v>13052</v>
      </c>
      <c r="Q1156" s="656">
        <v>44216.782604166663</v>
      </c>
    </row>
    <row r="1157" spans="1:17">
      <c r="A1157" s="656" t="s">
        <v>744</v>
      </c>
      <c r="B1157" s="657" t="s">
        <v>504</v>
      </c>
      <c r="C1157" s="656" t="s">
        <v>745</v>
      </c>
      <c r="D1157" s="657" t="s">
        <v>13789</v>
      </c>
      <c r="E1157" s="657" t="s">
        <v>9510</v>
      </c>
      <c r="F1157" s="656" t="s">
        <v>505</v>
      </c>
      <c r="G1157" s="656" t="s">
        <v>525</v>
      </c>
      <c r="H1157" s="656" t="s">
        <v>505</v>
      </c>
      <c r="I1157" s="656" t="s">
        <v>14976</v>
      </c>
      <c r="J1157" s="656"/>
      <c r="K1157" s="656"/>
      <c r="L1157" s="656"/>
      <c r="M1157" s="657"/>
      <c r="N1157" s="1482"/>
      <c r="O1157" s="656" t="s">
        <v>498</v>
      </c>
      <c r="P1157" s="656" t="s">
        <v>13052</v>
      </c>
      <c r="Q1157" s="656">
        <v>44216.782592592594</v>
      </c>
    </row>
    <row r="1158" spans="1:17">
      <c r="A1158" s="656" t="s">
        <v>746</v>
      </c>
      <c r="B1158" s="657" t="s">
        <v>531</v>
      </c>
      <c r="C1158" s="656" t="s">
        <v>747</v>
      </c>
      <c r="D1158" s="657" t="s">
        <v>13789</v>
      </c>
      <c r="E1158" s="657" t="s">
        <v>9510</v>
      </c>
      <c r="F1158" s="656" t="s">
        <v>2849</v>
      </c>
      <c r="G1158" s="656"/>
      <c r="H1158" s="656" t="s">
        <v>469</v>
      </c>
      <c r="I1158" s="656" t="s">
        <v>14976</v>
      </c>
      <c r="J1158" s="656" t="s">
        <v>532</v>
      </c>
      <c r="K1158" s="656"/>
      <c r="L1158" s="656"/>
      <c r="M1158" s="657"/>
      <c r="N1158" s="1482"/>
      <c r="O1158" s="656" t="s">
        <v>498</v>
      </c>
      <c r="P1158" s="656" t="s">
        <v>13052</v>
      </c>
      <c r="Q1158" s="656">
        <v>44216.782592592594</v>
      </c>
    </row>
    <row r="1159" spans="1:17">
      <c r="A1159" s="656" t="s">
        <v>13936</v>
      </c>
      <c r="B1159" s="657" t="s">
        <v>202</v>
      </c>
      <c r="C1159" s="656" t="s">
        <v>15329</v>
      </c>
      <c r="D1159" s="657" t="s">
        <v>13789</v>
      </c>
      <c r="E1159" s="657"/>
      <c r="F1159" s="656" t="s">
        <v>3077</v>
      </c>
      <c r="G1159" s="656" t="s">
        <v>512</v>
      </c>
      <c r="H1159" s="656" t="s">
        <v>465</v>
      </c>
      <c r="I1159" s="656" t="s">
        <v>14976</v>
      </c>
      <c r="J1159" s="656" t="s">
        <v>8814</v>
      </c>
      <c r="K1159" s="656"/>
      <c r="L1159" s="656"/>
      <c r="M1159" s="657"/>
      <c r="N1159" s="1482"/>
      <c r="O1159" s="656" t="s">
        <v>498</v>
      </c>
      <c r="P1159" s="656" t="s">
        <v>13052</v>
      </c>
      <c r="Q1159" s="656">
        <v>44216.782581018517</v>
      </c>
    </row>
    <row r="1160" spans="1:17">
      <c r="A1160" s="656" t="s">
        <v>13934</v>
      </c>
      <c r="B1160" s="657" t="s">
        <v>202</v>
      </c>
      <c r="C1160" s="656" t="s">
        <v>13935</v>
      </c>
      <c r="D1160" s="657" t="s">
        <v>13789</v>
      </c>
      <c r="E1160" s="657"/>
      <c r="F1160" s="656" t="s">
        <v>462</v>
      </c>
      <c r="G1160" s="656" t="s">
        <v>552</v>
      </c>
      <c r="H1160" s="656" t="s">
        <v>462</v>
      </c>
      <c r="I1160" s="656" t="s">
        <v>14976</v>
      </c>
      <c r="J1160" s="656" t="s">
        <v>463</v>
      </c>
      <c r="K1160" s="656"/>
      <c r="L1160" s="656"/>
      <c r="M1160" s="657"/>
      <c r="N1160" s="1482"/>
      <c r="O1160" s="656" t="s">
        <v>498</v>
      </c>
      <c r="P1160" s="656" t="s">
        <v>13052</v>
      </c>
      <c r="Q1160" s="656">
        <v>44216.782581018517</v>
      </c>
    </row>
    <row r="1161" spans="1:17">
      <c r="A1161" s="656" t="s">
        <v>748</v>
      </c>
      <c r="B1161" s="657" t="s">
        <v>202</v>
      </c>
      <c r="C1161" s="656" t="s">
        <v>749</v>
      </c>
      <c r="D1161" s="657" t="s">
        <v>13789</v>
      </c>
      <c r="E1161" s="657" t="s">
        <v>9510</v>
      </c>
      <c r="F1161" s="656" t="s">
        <v>462</v>
      </c>
      <c r="G1161" s="656"/>
      <c r="H1161" s="656" t="s">
        <v>462</v>
      </c>
      <c r="I1161" s="656" t="s">
        <v>14976</v>
      </c>
      <c r="J1161" s="656" t="s">
        <v>463</v>
      </c>
      <c r="K1161" s="656"/>
      <c r="L1161" s="656"/>
      <c r="M1161" s="657"/>
      <c r="N1161" s="1482"/>
      <c r="O1161" s="656" t="s">
        <v>498</v>
      </c>
      <c r="P1161" s="656" t="s">
        <v>13052</v>
      </c>
      <c r="Q1161" s="656">
        <v>44216.782581018517</v>
      </c>
    </row>
    <row r="1162" spans="1:17">
      <c r="A1162" s="656" t="s">
        <v>750</v>
      </c>
      <c r="B1162" s="657" t="s">
        <v>202</v>
      </c>
      <c r="C1162" s="656" t="s">
        <v>751</v>
      </c>
      <c r="D1162" s="657" t="s">
        <v>14977</v>
      </c>
      <c r="E1162" s="657" t="s">
        <v>7437</v>
      </c>
      <c r="F1162" s="656" t="s">
        <v>445</v>
      </c>
      <c r="G1162" s="656" t="s">
        <v>552</v>
      </c>
      <c r="H1162" s="656" t="s">
        <v>445</v>
      </c>
      <c r="I1162" s="656" t="s">
        <v>14976</v>
      </c>
      <c r="J1162" s="656" t="s">
        <v>8814</v>
      </c>
      <c r="K1162" s="656"/>
      <c r="L1162" s="656" t="s">
        <v>750</v>
      </c>
      <c r="M1162" s="657"/>
      <c r="N1162" s="1482"/>
      <c r="O1162" s="656" t="s">
        <v>498</v>
      </c>
      <c r="P1162" s="656" t="s">
        <v>13052</v>
      </c>
      <c r="Q1162" s="656">
        <v>44216.782569444447</v>
      </c>
    </row>
    <row r="1163" spans="1:17">
      <c r="A1163" s="656" t="s">
        <v>8806</v>
      </c>
      <c r="B1163" s="657" t="s">
        <v>202</v>
      </c>
      <c r="C1163" s="656" t="s">
        <v>8635</v>
      </c>
      <c r="D1163" s="657" t="s">
        <v>14978</v>
      </c>
      <c r="E1163" s="657" t="s">
        <v>9406</v>
      </c>
      <c r="F1163" s="656" t="s">
        <v>8636</v>
      </c>
      <c r="G1163" s="656" t="s">
        <v>552</v>
      </c>
      <c r="H1163" s="656" t="s">
        <v>8636</v>
      </c>
      <c r="I1163" s="656" t="s">
        <v>14976</v>
      </c>
      <c r="J1163" s="656" t="s">
        <v>12370</v>
      </c>
      <c r="K1163" s="656" t="s">
        <v>1058</v>
      </c>
      <c r="L1163" s="656" t="s">
        <v>752</v>
      </c>
      <c r="M1163" s="657"/>
      <c r="N1163" s="1482"/>
      <c r="O1163" s="656" t="s">
        <v>498</v>
      </c>
      <c r="P1163" s="656" t="s">
        <v>13052</v>
      </c>
      <c r="Q1163" s="656">
        <v>44216.782569444447</v>
      </c>
    </row>
    <row r="1164" spans="1:17">
      <c r="A1164" s="656" t="s">
        <v>8784</v>
      </c>
      <c r="B1164" s="657" t="s">
        <v>202</v>
      </c>
      <c r="C1164" s="656" t="s">
        <v>8786</v>
      </c>
      <c r="D1164" s="657" t="s">
        <v>14978</v>
      </c>
      <c r="E1164" s="657" t="s">
        <v>9406</v>
      </c>
      <c r="F1164" s="656" t="s">
        <v>3077</v>
      </c>
      <c r="G1164" s="656" t="s">
        <v>512</v>
      </c>
      <c r="H1164" s="656" t="s">
        <v>465</v>
      </c>
      <c r="I1164" s="656" t="s">
        <v>14976</v>
      </c>
      <c r="J1164" s="656" t="s">
        <v>446</v>
      </c>
      <c r="K1164" s="656" t="s">
        <v>3077</v>
      </c>
      <c r="L1164" s="656" t="s">
        <v>13933</v>
      </c>
      <c r="M1164" s="657"/>
      <c r="N1164" s="1482"/>
      <c r="O1164" s="656" t="s">
        <v>498</v>
      </c>
      <c r="P1164" s="656" t="s">
        <v>13052</v>
      </c>
      <c r="Q1164" s="656">
        <v>44216.782557870371</v>
      </c>
    </row>
    <row r="1165" spans="1:17">
      <c r="A1165" s="656" t="s">
        <v>8783</v>
      </c>
      <c r="B1165" s="657" t="s">
        <v>202</v>
      </c>
      <c r="C1165" s="656" t="s">
        <v>13932</v>
      </c>
      <c r="D1165" s="657" t="s">
        <v>14977</v>
      </c>
      <c r="E1165" s="657" t="s">
        <v>9406</v>
      </c>
      <c r="F1165" s="656" t="s">
        <v>3077</v>
      </c>
      <c r="G1165" s="656" t="s">
        <v>512</v>
      </c>
      <c r="H1165" s="656" t="s">
        <v>465</v>
      </c>
      <c r="I1165" s="656" t="s">
        <v>14976</v>
      </c>
      <c r="J1165" s="656" t="s">
        <v>446</v>
      </c>
      <c r="K1165" s="656" t="s">
        <v>3077</v>
      </c>
      <c r="L1165" s="656"/>
      <c r="M1165" s="657"/>
      <c r="N1165" s="1482"/>
      <c r="O1165" s="656" t="s">
        <v>498</v>
      </c>
      <c r="P1165" s="656" t="s">
        <v>13052</v>
      </c>
      <c r="Q1165" s="656">
        <v>44216.782557870371</v>
      </c>
    </row>
    <row r="1166" spans="1:17">
      <c r="A1166" s="656" t="s">
        <v>8776</v>
      </c>
      <c r="B1166" s="657" t="s">
        <v>202</v>
      </c>
      <c r="C1166" s="656" t="s">
        <v>8775</v>
      </c>
      <c r="D1166" s="657" t="s">
        <v>14978</v>
      </c>
      <c r="E1166" s="657" t="s">
        <v>9510</v>
      </c>
      <c r="F1166" s="656" t="s">
        <v>537</v>
      </c>
      <c r="G1166" s="656" t="s">
        <v>512</v>
      </c>
      <c r="H1166" s="656" t="s">
        <v>537</v>
      </c>
      <c r="I1166" s="656" t="s">
        <v>14976</v>
      </c>
      <c r="J1166" s="656" t="s">
        <v>473</v>
      </c>
      <c r="K1166" s="656" t="s">
        <v>4161</v>
      </c>
      <c r="L1166" s="656" t="s">
        <v>752</v>
      </c>
      <c r="M1166" s="657"/>
      <c r="N1166" s="1482"/>
      <c r="O1166" s="656" t="s">
        <v>498</v>
      </c>
      <c r="P1166" s="656" t="s">
        <v>13052</v>
      </c>
      <c r="Q1166" s="656">
        <v>44216.782546296294</v>
      </c>
    </row>
    <row r="1167" spans="1:17">
      <c r="A1167" s="656" t="s">
        <v>752</v>
      </c>
      <c r="B1167" s="657" t="s">
        <v>202</v>
      </c>
      <c r="C1167" s="656" t="s">
        <v>1693</v>
      </c>
      <c r="D1167" s="657" t="s">
        <v>14977</v>
      </c>
      <c r="E1167" s="657" t="s">
        <v>9406</v>
      </c>
      <c r="F1167" s="656" t="s">
        <v>472</v>
      </c>
      <c r="G1167" s="656" t="s">
        <v>519</v>
      </c>
      <c r="H1167" s="656" t="s">
        <v>472</v>
      </c>
      <c r="I1167" s="656" t="s">
        <v>14976</v>
      </c>
      <c r="J1167" s="656" t="s">
        <v>451</v>
      </c>
      <c r="K1167" s="656" t="s">
        <v>1058</v>
      </c>
      <c r="L1167" s="656"/>
      <c r="M1167" s="657"/>
      <c r="N1167" s="1482"/>
      <c r="O1167" s="656" t="s">
        <v>498</v>
      </c>
      <c r="P1167" s="656" t="s">
        <v>13052</v>
      </c>
      <c r="Q1167" s="656">
        <v>44216.782557870371</v>
      </c>
    </row>
    <row r="1168" spans="1:17">
      <c r="A1168" s="656" t="s">
        <v>754</v>
      </c>
      <c r="B1168" s="657" t="s">
        <v>202</v>
      </c>
      <c r="C1168" s="656" t="s">
        <v>755</v>
      </c>
      <c r="D1168" s="657" t="s">
        <v>14977</v>
      </c>
      <c r="E1168" s="657" t="s">
        <v>9406</v>
      </c>
      <c r="F1168" s="656" t="s">
        <v>442</v>
      </c>
      <c r="G1168" s="656" t="s">
        <v>561</v>
      </c>
      <c r="H1168" s="656" t="s">
        <v>442</v>
      </c>
      <c r="I1168" s="656" t="s">
        <v>14976</v>
      </c>
      <c r="J1168" s="656" t="s">
        <v>12369</v>
      </c>
      <c r="K1168" s="656"/>
      <c r="L1168" s="656"/>
      <c r="M1168" s="657"/>
      <c r="N1168" s="1482"/>
      <c r="O1168" s="656" t="s">
        <v>498</v>
      </c>
      <c r="P1168" s="656" t="s">
        <v>13052</v>
      </c>
      <c r="Q1168" s="656">
        <v>44216.782546296294</v>
      </c>
    </row>
    <row r="1169" spans="1:17">
      <c r="A1169" s="656" t="s">
        <v>756</v>
      </c>
      <c r="B1169" s="657" t="s">
        <v>202</v>
      </c>
      <c r="C1169" s="656" t="s">
        <v>757</v>
      </c>
      <c r="D1169" s="657" t="s">
        <v>14977</v>
      </c>
      <c r="E1169" s="657" t="s">
        <v>9406</v>
      </c>
      <c r="F1169" s="656" t="s">
        <v>442</v>
      </c>
      <c r="G1169" s="656" t="s">
        <v>561</v>
      </c>
      <c r="H1169" s="656" t="s">
        <v>442</v>
      </c>
      <c r="I1169" s="656" t="s">
        <v>14976</v>
      </c>
      <c r="J1169" s="656" t="s">
        <v>12369</v>
      </c>
      <c r="K1169" s="656"/>
      <c r="L1169" s="656"/>
      <c r="M1169" s="657"/>
      <c r="N1169" s="1482"/>
      <c r="O1169" s="656" t="s">
        <v>498</v>
      </c>
      <c r="P1169" s="656" t="s">
        <v>13052</v>
      </c>
      <c r="Q1169" s="656">
        <v>44216.782534722224</v>
      </c>
    </row>
    <row r="1170" spans="1:17">
      <c r="A1170" s="656" t="s">
        <v>758</v>
      </c>
      <c r="B1170" s="657" t="s">
        <v>202</v>
      </c>
      <c r="C1170" s="656" t="s">
        <v>759</v>
      </c>
      <c r="D1170" s="657" t="s">
        <v>14977</v>
      </c>
      <c r="E1170" s="657" t="s">
        <v>9406</v>
      </c>
      <c r="F1170" s="656" t="s">
        <v>442</v>
      </c>
      <c r="G1170" s="656" t="s">
        <v>561</v>
      </c>
      <c r="H1170" s="656" t="s">
        <v>442</v>
      </c>
      <c r="I1170" s="656" t="s">
        <v>14976</v>
      </c>
      <c r="J1170" s="656" t="s">
        <v>12369</v>
      </c>
      <c r="K1170" s="656"/>
      <c r="L1170" s="656"/>
      <c r="M1170" s="657"/>
      <c r="N1170" s="1482"/>
      <c r="O1170" s="656" t="s">
        <v>498</v>
      </c>
      <c r="P1170" s="656" t="s">
        <v>13052</v>
      </c>
      <c r="Q1170" s="656">
        <v>44216.782534722224</v>
      </c>
    </row>
    <row r="1171" spans="1:17">
      <c r="A1171" s="656" t="s">
        <v>760</v>
      </c>
      <c r="B1171" s="657" t="s">
        <v>202</v>
      </c>
      <c r="C1171" s="656" t="s">
        <v>761</v>
      </c>
      <c r="D1171" s="657" t="s">
        <v>14977</v>
      </c>
      <c r="E1171" s="657" t="s">
        <v>9406</v>
      </c>
      <c r="F1171" s="656" t="s">
        <v>442</v>
      </c>
      <c r="G1171" s="656" t="s">
        <v>561</v>
      </c>
      <c r="H1171" s="656" t="s">
        <v>442</v>
      </c>
      <c r="I1171" s="656" t="s">
        <v>14976</v>
      </c>
      <c r="J1171" s="656" t="s">
        <v>12369</v>
      </c>
      <c r="K1171" s="656"/>
      <c r="L1171" s="656"/>
      <c r="M1171" s="657"/>
      <c r="N1171" s="1482"/>
      <c r="O1171" s="656" t="s">
        <v>498</v>
      </c>
      <c r="P1171" s="656" t="s">
        <v>13052</v>
      </c>
      <c r="Q1171" s="656">
        <v>44216.782523148147</v>
      </c>
    </row>
    <row r="1172" spans="1:17">
      <c r="A1172" s="656" t="s">
        <v>762</v>
      </c>
      <c r="B1172" s="657" t="s">
        <v>202</v>
      </c>
      <c r="C1172" s="656" t="s">
        <v>763</v>
      </c>
      <c r="D1172" s="657" t="s">
        <v>14977</v>
      </c>
      <c r="E1172" s="657" t="s">
        <v>9406</v>
      </c>
      <c r="F1172" s="656" t="s">
        <v>442</v>
      </c>
      <c r="G1172" s="656" t="s">
        <v>561</v>
      </c>
      <c r="H1172" s="656" t="s">
        <v>442</v>
      </c>
      <c r="I1172" s="656" t="s">
        <v>14976</v>
      </c>
      <c r="J1172" s="656" t="s">
        <v>12369</v>
      </c>
      <c r="K1172" s="656"/>
      <c r="L1172" s="656"/>
      <c r="M1172" s="657"/>
      <c r="N1172" s="1482"/>
      <c r="O1172" s="656" t="s">
        <v>498</v>
      </c>
      <c r="P1172" s="656" t="s">
        <v>13052</v>
      </c>
      <c r="Q1172" s="656">
        <v>44216.782523148147</v>
      </c>
    </row>
    <row r="1173" spans="1:17">
      <c r="A1173" s="656" t="s">
        <v>764</v>
      </c>
      <c r="B1173" s="657" t="s">
        <v>202</v>
      </c>
      <c r="C1173" s="656" t="s">
        <v>765</v>
      </c>
      <c r="D1173" s="657" t="s">
        <v>14977</v>
      </c>
      <c r="E1173" s="657" t="s">
        <v>9406</v>
      </c>
      <c r="F1173" s="656" t="s">
        <v>442</v>
      </c>
      <c r="G1173" s="656" t="s">
        <v>561</v>
      </c>
      <c r="H1173" s="656" t="s">
        <v>442</v>
      </c>
      <c r="I1173" s="656" t="s">
        <v>14976</v>
      </c>
      <c r="J1173" s="656" t="s">
        <v>12369</v>
      </c>
      <c r="K1173" s="656"/>
      <c r="L1173" s="656"/>
      <c r="M1173" s="657"/>
      <c r="N1173" s="1482"/>
      <c r="O1173" s="656" t="s">
        <v>498</v>
      </c>
      <c r="P1173" s="656" t="s">
        <v>13052</v>
      </c>
      <c r="Q1173" s="656">
        <v>44216.782523148147</v>
      </c>
    </row>
    <row r="1174" spans="1:17">
      <c r="A1174" s="656" t="s">
        <v>766</v>
      </c>
      <c r="B1174" s="657" t="s">
        <v>202</v>
      </c>
      <c r="C1174" s="656" t="s">
        <v>767</v>
      </c>
      <c r="D1174" s="657" t="s">
        <v>14977</v>
      </c>
      <c r="E1174" s="657" t="s">
        <v>9406</v>
      </c>
      <c r="F1174" s="656" t="s">
        <v>442</v>
      </c>
      <c r="G1174" s="656" t="s">
        <v>561</v>
      </c>
      <c r="H1174" s="656" t="s">
        <v>442</v>
      </c>
      <c r="I1174" s="656" t="s">
        <v>14976</v>
      </c>
      <c r="J1174" s="656" t="s">
        <v>12369</v>
      </c>
      <c r="K1174" s="656"/>
      <c r="L1174" s="656"/>
      <c r="M1174" s="657"/>
      <c r="N1174" s="1482"/>
      <c r="O1174" s="656" t="s">
        <v>498</v>
      </c>
      <c r="P1174" s="656" t="s">
        <v>13052</v>
      </c>
      <c r="Q1174" s="656">
        <v>44216.782511574071</v>
      </c>
    </row>
    <row r="1175" spans="1:17">
      <c r="A1175" s="656" t="s">
        <v>768</v>
      </c>
      <c r="B1175" s="657" t="s">
        <v>202</v>
      </c>
      <c r="C1175" s="656" t="s">
        <v>13931</v>
      </c>
      <c r="D1175" s="657" t="s">
        <v>14977</v>
      </c>
      <c r="E1175" s="657" t="s">
        <v>7437</v>
      </c>
      <c r="F1175" s="656" t="s">
        <v>3077</v>
      </c>
      <c r="G1175" s="656"/>
      <c r="H1175" s="656" t="s">
        <v>465</v>
      </c>
      <c r="I1175" s="656" t="s">
        <v>14976</v>
      </c>
      <c r="J1175" s="656" t="s">
        <v>446</v>
      </c>
      <c r="K1175" s="656"/>
      <c r="L1175" s="656" t="s">
        <v>768</v>
      </c>
      <c r="M1175" s="657"/>
      <c r="N1175" s="1482"/>
      <c r="O1175" s="656" t="s">
        <v>498</v>
      </c>
      <c r="P1175" s="656" t="s">
        <v>13052</v>
      </c>
      <c r="Q1175" s="656">
        <v>44216.782500000001</v>
      </c>
    </row>
    <row r="1176" spans="1:17">
      <c r="A1176" s="656" t="s">
        <v>769</v>
      </c>
      <c r="B1176" s="657" t="s">
        <v>202</v>
      </c>
      <c r="C1176" s="656" t="s">
        <v>770</v>
      </c>
      <c r="D1176" s="657" t="s">
        <v>14977</v>
      </c>
      <c r="E1176" s="657" t="s">
        <v>7437</v>
      </c>
      <c r="F1176" s="656" t="s">
        <v>3077</v>
      </c>
      <c r="G1176" s="656"/>
      <c r="H1176" s="656" t="s">
        <v>465</v>
      </c>
      <c r="I1176" s="656" t="s">
        <v>14976</v>
      </c>
      <c r="J1176" s="656" t="s">
        <v>446</v>
      </c>
      <c r="K1176" s="656"/>
      <c r="L1176" s="656" t="s">
        <v>769</v>
      </c>
      <c r="M1176" s="657"/>
      <c r="N1176" s="1482"/>
      <c r="O1176" s="656" t="s">
        <v>498</v>
      </c>
      <c r="P1176" s="656" t="s">
        <v>13052</v>
      </c>
      <c r="Q1176" s="656">
        <v>44216.782488425924</v>
      </c>
    </row>
    <row r="1177" spans="1:17">
      <c r="A1177" s="656" t="s">
        <v>771</v>
      </c>
      <c r="B1177" s="657" t="s">
        <v>202</v>
      </c>
      <c r="C1177" s="656" t="s">
        <v>772</v>
      </c>
      <c r="D1177" s="657" t="s">
        <v>14977</v>
      </c>
      <c r="E1177" s="657" t="s">
        <v>7435</v>
      </c>
      <c r="F1177" s="656" t="s">
        <v>3077</v>
      </c>
      <c r="G1177" s="656"/>
      <c r="H1177" s="656" t="s">
        <v>465</v>
      </c>
      <c r="I1177" s="656" t="s">
        <v>14976</v>
      </c>
      <c r="J1177" s="656" t="s">
        <v>446</v>
      </c>
      <c r="K1177" s="656"/>
      <c r="L1177" s="656" t="s">
        <v>771</v>
      </c>
      <c r="M1177" s="657"/>
      <c r="N1177" s="1482"/>
      <c r="O1177" s="656" t="s">
        <v>498</v>
      </c>
      <c r="P1177" s="656" t="s">
        <v>13052</v>
      </c>
      <c r="Q1177" s="656">
        <v>44216.782488425924</v>
      </c>
    </row>
    <row r="1178" spans="1:17">
      <c r="A1178" s="656" t="s">
        <v>13930</v>
      </c>
      <c r="B1178" s="657" t="s">
        <v>202</v>
      </c>
      <c r="C1178" s="656" t="s">
        <v>15328</v>
      </c>
      <c r="D1178" s="657" t="s">
        <v>13789</v>
      </c>
      <c r="E1178" s="657"/>
      <c r="F1178" s="656" t="s">
        <v>462</v>
      </c>
      <c r="G1178" s="656" t="s">
        <v>512</v>
      </c>
      <c r="H1178" s="656" t="s">
        <v>462</v>
      </c>
      <c r="I1178" s="656" t="s">
        <v>14976</v>
      </c>
      <c r="J1178" s="656" t="s">
        <v>463</v>
      </c>
      <c r="K1178" s="656" t="s">
        <v>1924</v>
      </c>
      <c r="L1178" s="656"/>
      <c r="M1178" s="657"/>
      <c r="N1178" s="1482"/>
      <c r="O1178" s="656" t="s">
        <v>498</v>
      </c>
      <c r="P1178" s="656" t="s">
        <v>13052</v>
      </c>
      <c r="Q1178" s="656">
        <v>44216.782476851855</v>
      </c>
    </row>
    <row r="1179" spans="1:17">
      <c r="A1179" s="656" t="s">
        <v>773</v>
      </c>
      <c r="B1179" s="657" t="s">
        <v>531</v>
      </c>
      <c r="C1179" s="656" t="s">
        <v>774</v>
      </c>
      <c r="D1179" s="657" t="s">
        <v>13789</v>
      </c>
      <c r="E1179" s="657" t="s">
        <v>9406</v>
      </c>
      <c r="F1179" s="656" t="s">
        <v>2849</v>
      </c>
      <c r="G1179" s="656"/>
      <c r="H1179" s="656" t="s">
        <v>469</v>
      </c>
      <c r="I1179" s="656" t="s">
        <v>14976</v>
      </c>
      <c r="J1179" s="656" t="s">
        <v>532</v>
      </c>
      <c r="K1179" s="656"/>
      <c r="L1179" s="656"/>
      <c r="M1179" s="657"/>
      <c r="N1179" s="1482"/>
      <c r="O1179" s="656" t="s">
        <v>498</v>
      </c>
      <c r="P1179" s="656" t="s">
        <v>13052</v>
      </c>
      <c r="Q1179" s="656">
        <v>44216.782476851855</v>
      </c>
    </row>
    <row r="1180" spans="1:17">
      <c r="A1180" s="656" t="s">
        <v>775</v>
      </c>
      <c r="B1180" s="657" t="s">
        <v>202</v>
      </c>
      <c r="C1180" s="656" t="s">
        <v>776</v>
      </c>
      <c r="D1180" s="657" t="s">
        <v>13789</v>
      </c>
      <c r="E1180" s="657" t="s">
        <v>9406</v>
      </c>
      <c r="F1180" s="656" t="s">
        <v>462</v>
      </c>
      <c r="G1180" s="656" t="s">
        <v>552</v>
      </c>
      <c r="H1180" s="656" t="s">
        <v>462</v>
      </c>
      <c r="I1180" s="656" t="s">
        <v>14976</v>
      </c>
      <c r="J1180" s="656" t="s">
        <v>463</v>
      </c>
      <c r="K1180" s="656"/>
      <c r="L1180" s="656"/>
      <c r="M1180" s="657"/>
      <c r="N1180" s="1482"/>
      <c r="O1180" s="656" t="s">
        <v>498</v>
      </c>
      <c r="P1180" s="656" t="s">
        <v>13052</v>
      </c>
      <c r="Q1180" s="656">
        <v>44216.782465277778</v>
      </c>
    </row>
    <row r="1181" spans="1:17">
      <c r="A1181" s="656" t="s">
        <v>777</v>
      </c>
      <c r="B1181" s="657" t="s">
        <v>504</v>
      </c>
      <c r="C1181" s="656" t="s">
        <v>778</v>
      </c>
      <c r="D1181" s="657" t="s">
        <v>13789</v>
      </c>
      <c r="E1181" s="657" t="s">
        <v>9406</v>
      </c>
      <c r="F1181" s="656" t="s">
        <v>540</v>
      </c>
      <c r="G1181" s="656" t="s">
        <v>625</v>
      </c>
      <c r="H1181" s="656" t="s">
        <v>540</v>
      </c>
      <c r="I1181" s="656" t="s">
        <v>14976</v>
      </c>
      <c r="J1181" s="656"/>
      <c r="K1181" s="656"/>
      <c r="L1181" s="656"/>
      <c r="M1181" s="657"/>
      <c r="N1181" s="1482"/>
      <c r="O1181" s="656" t="s">
        <v>498</v>
      </c>
      <c r="P1181" s="656" t="s">
        <v>13052</v>
      </c>
      <c r="Q1181" s="656">
        <v>44216.782465277778</v>
      </c>
    </row>
    <row r="1182" spans="1:17">
      <c r="A1182" s="656" t="s">
        <v>779</v>
      </c>
      <c r="B1182" s="657" t="s">
        <v>504</v>
      </c>
      <c r="C1182" s="656" t="s">
        <v>780</v>
      </c>
      <c r="D1182" s="657" t="s">
        <v>13789</v>
      </c>
      <c r="E1182" s="657" t="s">
        <v>9510</v>
      </c>
      <c r="F1182" s="656" t="s">
        <v>505</v>
      </c>
      <c r="G1182" s="656" t="s">
        <v>506</v>
      </c>
      <c r="H1182" s="656" t="s">
        <v>505</v>
      </c>
      <c r="I1182" s="656" t="s">
        <v>14976</v>
      </c>
      <c r="J1182" s="656"/>
      <c r="K1182" s="656"/>
      <c r="L1182" s="656"/>
      <c r="M1182" s="657"/>
      <c r="N1182" s="1482"/>
      <c r="O1182" s="656" t="s">
        <v>498</v>
      </c>
      <c r="P1182" s="656" t="s">
        <v>13052</v>
      </c>
      <c r="Q1182" s="656">
        <v>44216.782453703701</v>
      </c>
    </row>
    <row r="1183" spans="1:17">
      <c r="A1183" s="656" t="s">
        <v>781</v>
      </c>
      <c r="B1183" s="657" t="s">
        <v>202</v>
      </c>
      <c r="C1183" s="656" t="s">
        <v>782</v>
      </c>
      <c r="D1183" s="657" t="s">
        <v>13789</v>
      </c>
      <c r="E1183" s="657" t="s">
        <v>9510</v>
      </c>
      <c r="F1183" s="656" t="s">
        <v>462</v>
      </c>
      <c r="G1183" s="656"/>
      <c r="H1183" s="656" t="s">
        <v>462</v>
      </c>
      <c r="I1183" s="656" t="s">
        <v>15280</v>
      </c>
      <c r="J1183" s="656" t="s">
        <v>459</v>
      </c>
      <c r="K1183" s="656"/>
      <c r="L1183" s="656"/>
      <c r="M1183" s="657"/>
      <c r="N1183" s="1482"/>
      <c r="O1183" s="656" t="s">
        <v>498</v>
      </c>
      <c r="P1183" s="656" t="s">
        <v>13052</v>
      </c>
      <c r="Q1183" s="656">
        <v>44216.782453703701</v>
      </c>
    </row>
    <row r="1184" spans="1:17">
      <c r="A1184" s="656" t="s">
        <v>784</v>
      </c>
      <c r="B1184" s="657" t="s">
        <v>202</v>
      </c>
      <c r="C1184" s="656" t="s">
        <v>785</v>
      </c>
      <c r="D1184" s="657" t="s">
        <v>14977</v>
      </c>
      <c r="E1184" s="657" t="s">
        <v>9406</v>
      </c>
      <c r="F1184" s="656" t="s">
        <v>472</v>
      </c>
      <c r="G1184" s="656" t="s">
        <v>519</v>
      </c>
      <c r="H1184" s="656" t="s">
        <v>472</v>
      </c>
      <c r="I1184" s="656" t="s">
        <v>14976</v>
      </c>
      <c r="J1184" s="656" t="s">
        <v>12368</v>
      </c>
      <c r="K1184" s="656" t="s">
        <v>1058</v>
      </c>
      <c r="L1184" s="656"/>
      <c r="M1184" s="657"/>
      <c r="N1184" s="1482"/>
      <c r="O1184" s="656" t="s">
        <v>498</v>
      </c>
      <c r="P1184" s="656" t="s">
        <v>13052</v>
      </c>
      <c r="Q1184" s="656">
        <v>44216.782453703701</v>
      </c>
    </row>
    <row r="1185" spans="1:17">
      <c r="A1185" s="656" t="s">
        <v>786</v>
      </c>
      <c r="B1185" s="657" t="s">
        <v>202</v>
      </c>
      <c r="C1185" s="656" t="s">
        <v>787</v>
      </c>
      <c r="D1185" s="657" t="s">
        <v>14977</v>
      </c>
      <c r="E1185" s="657" t="s">
        <v>9406</v>
      </c>
      <c r="F1185" s="656" t="s">
        <v>472</v>
      </c>
      <c r="G1185" s="656" t="s">
        <v>519</v>
      </c>
      <c r="H1185" s="656" t="s">
        <v>472</v>
      </c>
      <c r="I1185" s="656" t="s">
        <v>14976</v>
      </c>
      <c r="J1185" s="656" t="s">
        <v>12368</v>
      </c>
      <c r="K1185" s="656" t="s">
        <v>1058</v>
      </c>
      <c r="L1185" s="656"/>
      <c r="M1185" s="657"/>
      <c r="N1185" s="1482"/>
      <c r="O1185" s="656" t="s">
        <v>498</v>
      </c>
      <c r="P1185" s="656" t="s">
        <v>13052</v>
      </c>
      <c r="Q1185" s="656">
        <v>44216.782442129632</v>
      </c>
    </row>
    <row r="1186" spans="1:17">
      <c r="A1186" s="656" t="s">
        <v>788</v>
      </c>
      <c r="B1186" s="657" t="s">
        <v>202</v>
      </c>
      <c r="C1186" s="656" t="s">
        <v>13929</v>
      </c>
      <c r="D1186" s="657" t="s">
        <v>13789</v>
      </c>
      <c r="E1186" s="657" t="s">
        <v>9406</v>
      </c>
      <c r="F1186" s="656" t="s">
        <v>472</v>
      </c>
      <c r="G1186" s="656" t="s">
        <v>519</v>
      </c>
      <c r="H1186" s="656" t="s">
        <v>472</v>
      </c>
      <c r="I1186" s="656" t="s">
        <v>14976</v>
      </c>
      <c r="J1186" s="656" t="s">
        <v>12368</v>
      </c>
      <c r="K1186" s="656" t="s">
        <v>1058</v>
      </c>
      <c r="L1186" s="656"/>
      <c r="M1186" s="657"/>
      <c r="N1186" s="1482"/>
      <c r="O1186" s="656" t="s">
        <v>498</v>
      </c>
      <c r="P1186" s="656" t="s">
        <v>13052</v>
      </c>
      <c r="Q1186" s="656">
        <v>44216.782442129632</v>
      </c>
    </row>
    <row r="1187" spans="1:17">
      <c r="A1187" s="656" t="s">
        <v>790</v>
      </c>
      <c r="B1187" s="657" t="s">
        <v>202</v>
      </c>
      <c r="C1187" s="656" t="s">
        <v>791</v>
      </c>
      <c r="D1187" s="657" t="s">
        <v>14977</v>
      </c>
      <c r="E1187" s="657" t="s">
        <v>9406</v>
      </c>
      <c r="F1187" s="656" t="s">
        <v>4052</v>
      </c>
      <c r="G1187" s="656" t="s">
        <v>702</v>
      </c>
      <c r="H1187" s="656" t="s">
        <v>455</v>
      </c>
      <c r="I1187" s="656" t="s">
        <v>14976</v>
      </c>
      <c r="J1187" s="656" t="s">
        <v>451</v>
      </c>
      <c r="K1187" s="656" t="s">
        <v>1058</v>
      </c>
      <c r="L1187" s="656" t="s">
        <v>790</v>
      </c>
      <c r="M1187" s="657"/>
      <c r="N1187" s="1482"/>
      <c r="O1187" s="656" t="s">
        <v>498</v>
      </c>
      <c r="P1187" s="656" t="s">
        <v>13052</v>
      </c>
      <c r="Q1187" s="656">
        <v>44216.782430555555</v>
      </c>
    </row>
    <row r="1188" spans="1:17">
      <c r="A1188" s="656" t="s">
        <v>792</v>
      </c>
      <c r="B1188" s="657" t="s">
        <v>202</v>
      </c>
      <c r="C1188" s="656" t="s">
        <v>793</v>
      </c>
      <c r="D1188" s="657" t="s">
        <v>14977</v>
      </c>
      <c r="E1188" s="657" t="s">
        <v>9406</v>
      </c>
      <c r="F1188" s="656" t="s">
        <v>4052</v>
      </c>
      <c r="G1188" s="656" t="s">
        <v>702</v>
      </c>
      <c r="H1188" s="656" t="s">
        <v>455</v>
      </c>
      <c r="I1188" s="656" t="s">
        <v>14976</v>
      </c>
      <c r="J1188" s="656" t="s">
        <v>451</v>
      </c>
      <c r="K1188" s="656" t="s">
        <v>1058</v>
      </c>
      <c r="L1188" s="656" t="s">
        <v>792</v>
      </c>
      <c r="M1188" s="657"/>
      <c r="N1188" s="1482"/>
      <c r="O1188" s="656" t="s">
        <v>498</v>
      </c>
      <c r="P1188" s="656" t="s">
        <v>13052</v>
      </c>
      <c r="Q1188" s="656">
        <v>44216.782430555555</v>
      </c>
    </row>
    <row r="1189" spans="1:17">
      <c r="A1189" s="656" t="s">
        <v>794</v>
      </c>
      <c r="B1189" s="657" t="s">
        <v>504</v>
      </c>
      <c r="C1189" s="656" t="s">
        <v>795</v>
      </c>
      <c r="D1189" s="657" t="s">
        <v>14977</v>
      </c>
      <c r="E1189" s="657" t="s">
        <v>9510</v>
      </c>
      <c r="F1189" s="656" t="s">
        <v>540</v>
      </c>
      <c r="G1189" s="656" t="s">
        <v>541</v>
      </c>
      <c r="H1189" s="656" t="s">
        <v>540</v>
      </c>
      <c r="I1189" s="656" t="s">
        <v>14976</v>
      </c>
      <c r="J1189" s="656"/>
      <c r="K1189" s="656"/>
      <c r="L1189" s="656"/>
      <c r="M1189" s="657"/>
      <c r="N1189" s="1482"/>
      <c r="O1189" s="656" t="s">
        <v>498</v>
      </c>
      <c r="P1189" s="656" t="s">
        <v>13052</v>
      </c>
      <c r="Q1189" s="656">
        <v>44216.782430555555</v>
      </c>
    </row>
    <row r="1190" spans="1:17">
      <c r="A1190" s="656" t="s">
        <v>796</v>
      </c>
      <c r="B1190" s="657" t="s">
        <v>504</v>
      </c>
      <c r="C1190" s="656" t="s">
        <v>797</v>
      </c>
      <c r="D1190" s="657" t="s">
        <v>14977</v>
      </c>
      <c r="E1190" s="657" t="s">
        <v>9510</v>
      </c>
      <c r="F1190" s="656" t="s">
        <v>540</v>
      </c>
      <c r="G1190" s="656" t="s">
        <v>541</v>
      </c>
      <c r="H1190" s="656" t="s">
        <v>540</v>
      </c>
      <c r="I1190" s="656" t="s">
        <v>14976</v>
      </c>
      <c r="J1190" s="656"/>
      <c r="K1190" s="656"/>
      <c r="L1190" s="656"/>
      <c r="M1190" s="657"/>
      <c r="N1190" s="1482"/>
      <c r="O1190" s="656" t="s">
        <v>498</v>
      </c>
      <c r="P1190" s="656" t="s">
        <v>13052</v>
      </c>
      <c r="Q1190" s="656">
        <v>44216.782418981478</v>
      </c>
    </row>
    <row r="1191" spans="1:17">
      <c r="A1191" s="656" t="s">
        <v>798</v>
      </c>
      <c r="B1191" s="657" t="s">
        <v>504</v>
      </c>
      <c r="C1191" s="656" t="s">
        <v>799</v>
      </c>
      <c r="D1191" s="657" t="s">
        <v>14977</v>
      </c>
      <c r="E1191" s="657" t="s">
        <v>9510</v>
      </c>
      <c r="F1191" s="656" t="s">
        <v>540</v>
      </c>
      <c r="G1191" s="656" t="s">
        <v>541</v>
      </c>
      <c r="H1191" s="656" t="s">
        <v>540</v>
      </c>
      <c r="I1191" s="656" t="s">
        <v>14976</v>
      </c>
      <c r="J1191" s="656"/>
      <c r="K1191" s="656"/>
      <c r="L1191" s="656"/>
      <c r="M1191" s="657"/>
      <c r="N1191" s="1482"/>
      <c r="O1191" s="656" t="s">
        <v>498</v>
      </c>
      <c r="P1191" s="656" t="s">
        <v>13052</v>
      </c>
      <c r="Q1191" s="656">
        <v>44216.782418981478</v>
      </c>
    </row>
    <row r="1192" spans="1:17">
      <c r="A1192" s="656" t="s">
        <v>800</v>
      </c>
      <c r="B1192" s="657" t="s">
        <v>504</v>
      </c>
      <c r="C1192" s="656" t="s">
        <v>801</v>
      </c>
      <c r="D1192" s="657" t="s">
        <v>14977</v>
      </c>
      <c r="E1192" s="657" t="s">
        <v>9510</v>
      </c>
      <c r="F1192" s="656" t="s">
        <v>540</v>
      </c>
      <c r="G1192" s="656" t="s">
        <v>541</v>
      </c>
      <c r="H1192" s="656" t="s">
        <v>540</v>
      </c>
      <c r="I1192" s="656" t="s">
        <v>14976</v>
      </c>
      <c r="J1192" s="656"/>
      <c r="K1192" s="656"/>
      <c r="L1192" s="656"/>
      <c r="M1192" s="657"/>
      <c r="N1192" s="1482"/>
      <c r="O1192" s="656" t="s">
        <v>498</v>
      </c>
      <c r="P1192" s="656" t="s">
        <v>13052</v>
      </c>
      <c r="Q1192" s="656">
        <v>44216.782418981478</v>
      </c>
    </row>
    <row r="1193" spans="1:17">
      <c r="A1193" s="656" t="s">
        <v>802</v>
      </c>
      <c r="B1193" s="657" t="s">
        <v>504</v>
      </c>
      <c r="C1193" s="656" t="s">
        <v>803</v>
      </c>
      <c r="D1193" s="657" t="s">
        <v>14977</v>
      </c>
      <c r="E1193" s="657" t="s">
        <v>9510</v>
      </c>
      <c r="F1193" s="656" t="s">
        <v>540</v>
      </c>
      <c r="G1193" s="656" t="s">
        <v>541</v>
      </c>
      <c r="H1193" s="656" t="s">
        <v>540</v>
      </c>
      <c r="I1193" s="656" t="s">
        <v>14976</v>
      </c>
      <c r="J1193" s="656"/>
      <c r="K1193" s="656"/>
      <c r="L1193" s="656"/>
      <c r="M1193" s="657"/>
      <c r="N1193" s="1482"/>
      <c r="O1193" s="656" t="s">
        <v>498</v>
      </c>
      <c r="P1193" s="656" t="s">
        <v>13052</v>
      </c>
      <c r="Q1193" s="656">
        <v>44216.782407407409</v>
      </c>
    </row>
    <row r="1194" spans="1:17">
      <c r="A1194" s="656" t="s">
        <v>804</v>
      </c>
      <c r="B1194" s="657" t="s">
        <v>202</v>
      </c>
      <c r="C1194" s="656" t="s">
        <v>805</v>
      </c>
      <c r="D1194" s="657" t="s">
        <v>13789</v>
      </c>
      <c r="E1194" s="657" t="s">
        <v>9510</v>
      </c>
      <c r="F1194" s="656" t="s">
        <v>442</v>
      </c>
      <c r="G1194" s="656" t="s">
        <v>561</v>
      </c>
      <c r="H1194" s="656" t="s">
        <v>442</v>
      </c>
      <c r="I1194" s="656" t="s">
        <v>15280</v>
      </c>
      <c r="J1194" s="656" t="s">
        <v>12369</v>
      </c>
      <c r="K1194" s="656" t="s">
        <v>1058</v>
      </c>
      <c r="L1194" s="656"/>
      <c r="M1194" s="657"/>
      <c r="N1194" s="1482"/>
      <c r="O1194" s="656" t="s">
        <v>498</v>
      </c>
      <c r="P1194" s="656" t="s">
        <v>13052</v>
      </c>
      <c r="Q1194" s="656">
        <v>44216.782407407409</v>
      </c>
    </row>
    <row r="1195" spans="1:17">
      <c r="A1195" s="656" t="s">
        <v>806</v>
      </c>
      <c r="B1195" s="657" t="s">
        <v>202</v>
      </c>
      <c r="C1195" s="656" t="s">
        <v>807</v>
      </c>
      <c r="D1195" s="657" t="s">
        <v>13789</v>
      </c>
      <c r="E1195" s="657" t="s">
        <v>9406</v>
      </c>
      <c r="F1195" s="656" t="s">
        <v>4052</v>
      </c>
      <c r="G1195" s="656" t="s">
        <v>702</v>
      </c>
      <c r="H1195" s="656" t="s">
        <v>455</v>
      </c>
      <c r="I1195" s="656" t="s">
        <v>14976</v>
      </c>
      <c r="J1195" s="656" t="s">
        <v>451</v>
      </c>
      <c r="K1195" s="656" t="s">
        <v>1058</v>
      </c>
      <c r="L1195" s="656"/>
      <c r="M1195" s="657"/>
      <c r="N1195" s="1482"/>
      <c r="O1195" s="656" t="s">
        <v>498</v>
      </c>
      <c r="P1195" s="656" t="s">
        <v>13052</v>
      </c>
      <c r="Q1195" s="656">
        <v>44216.782395833332</v>
      </c>
    </row>
    <row r="1196" spans="1:17">
      <c r="A1196" s="656" t="s">
        <v>13017</v>
      </c>
      <c r="B1196" s="657" t="s">
        <v>504</v>
      </c>
      <c r="C1196" s="656" t="s">
        <v>13016</v>
      </c>
      <c r="D1196" s="657" t="s">
        <v>14978</v>
      </c>
      <c r="E1196" s="657" t="s">
        <v>9406</v>
      </c>
      <c r="F1196" s="656" t="s">
        <v>505</v>
      </c>
      <c r="G1196" s="656" t="s">
        <v>522</v>
      </c>
      <c r="H1196" s="656" t="s">
        <v>505</v>
      </c>
      <c r="I1196" s="656" t="s">
        <v>14976</v>
      </c>
      <c r="J1196" s="656"/>
      <c r="K1196" s="656"/>
      <c r="L1196" s="656" t="s">
        <v>808</v>
      </c>
      <c r="M1196" s="657"/>
      <c r="N1196" s="1482"/>
      <c r="O1196" s="656" t="s">
        <v>498</v>
      </c>
      <c r="P1196" s="656" t="s">
        <v>13052</v>
      </c>
      <c r="Q1196" s="656">
        <v>44216.782395833332</v>
      </c>
    </row>
    <row r="1197" spans="1:17">
      <c r="A1197" s="656" t="s">
        <v>12869</v>
      </c>
      <c r="B1197" s="657" t="s">
        <v>504</v>
      </c>
      <c r="C1197" s="656" t="s">
        <v>12868</v>
      </c>
      <c r="D1197" s="657" t="s">
        <v>14978</v>
      </c>
      <c r="E1197" s="657" t="s">
        <v>7437</v>
      </c>
      <c r="F1197" s="656" t="s">
        <v>505</v>
      </c>
      <c r="G1197" s="656" t="s">
        <v>522</v>
      </c>
      <c r="H1197" s="656" t="s">
        <v>505</v>
      </c>
      <c r="I1197" s="656"/>
      <c r="J1197" s="656"/>
      <c r="K1197" s="656"/>
      <c r="L1197" s="656" t="s">
        <v>808</v>
      </c>
      <c r="M1197" s="657"/>
      <c r="N1197" s="1482"/>
      <c r="O1197" s="656" t="s">
        <v>498</v>
      </c>
      <c r="P1197" s="656" t="s">
        <v>13052</v>
      </c>
      <c r="Q1197" s="656">
        <v>44216.782395833332</v>
      </c>
    </row>
    <row r="1198" spans="1:17">
      <c r="A1198" s="656" t="s">
        <v>12871</v>
      </c>
      <c r="B1198" s="657" t="s">
        <v>504</v>
      </c>
      <c r="C1198" s="656" t="s">
        <v>12870</v>
      </c>
      <c r="D1198" s="657" t="s">
        <v>14978</v>
      </c>
      <c r="E1198" s="657" t="s">
        <v>7437</v>
      </c>
      <c r="F1198" s="656" t="s">
        <v>505</v>
      </c>
      <c r="G1198" s="656" t="s">
        <v>522</v>
      </c>
      <c r="H1198" s="656" t="s">
        <v>505</v>
      </c>
      <c r="I1198" s="656"/>
      <c r="J1198" s="656"/>
      <c r="K1198" s="656"/>
      <c r="L1198" s="656" t="s">
        <v>808</v>
      </c>
      <c r="M1198" s="657"/>
      <c r="N1198" s="1482"/>
      <c r="O1198" s="656" t="s">
        <v>498</v>
      </c>
      <c r="P1198" s="656" t="s">
        <v>13052</v>
      </c>
      <c r="Q1198" s="656">
        <v>44216.782384259262</v>
      </c>
    </row>
    <row r="1199" spans="1:17">
      <c r="A1199" s="656" t="s">
        <v>12533</v>
      </c>
      <c r="B1199" s="657" t="s">
        <v>504</v>
      </c>
      <c r="C1199" s="656" t="s">
        <v>12532</v>
      </c>
      <c r="D1199" s="657" t="s">
        <v>14978</v>
      </c>
      <c r="E1199" s="657" t="s">
        <v>7437</v>
      </c>
      <c r="F1199" s="656" t="s">
        <v>505</v>
      </c>
      <c r="G1199" s="656" t="s">
        <v>522</v>
      </c>
      <c r="H1199" s="656" t="s">
        <v>505</v>
      </c>
      <c r="I1199" s="656" t="s">
        <v>14976</v>
      </c>
      <c r="J1199" s="656"/>
      <c r="K1199" s="656"/>
      <c r="L1199" s="656" t="s">
        <v>808</v>
      </c>
      <c r="M1199" s="657"/>
      <c r="N1199" s="1482"/>
      <c r="O1199" s="656" t="s">
        <v>498</v>
      </c>
      <c r="P1199" s="656" t="s">
        <v>13052</v>
      </c>
      <c r="Q1199" s="656">
        <v>44216.782384259262</v>
      </c>
    </row>
    <row r="1200" spans="1:17">
      <c r="A1200" s="656" t="s">
        <v>12535</v>
      </c>
      <c r="B1200" s="657" t="s">
        <v>504</v>
      </c>
      <c r="C1200" s="656" t="s">
        <v>12534</v>
      </c>
      <c r="D1200" s="657" t="s">
        <v>14978</v>
      </c>
      <c r="E1200" s="657" t="s">
        <v>7437</v>
      </c>
      <c r="F1200" s="656" t="s">
        <v>505</v>
      </c>
      <c r="G1200" s="656" t="s">
        <v>522</v>
      </c>
      <c r="H1200" s="656" t="s">
        <v>505</v>
      </c>
      <c r="I1200" s="656" t="s">
        <v>14976</v>
      </c>
      <c r="J1200" s="656"/>
      <c r="K1200" s="656"/>
      <c r="L1200" s="656" t="s">
        <v>808</v>
      </c>
      <c r="M1200" s="657"/>
      <c r="N1200" s="1482"/>
      <c r="O1200" s="656" t="s">
        <v>498</v>
      </c>
      <c r="P1200" s="656" t="s">
        <v>13052</v>
      </c>
      <c r="Q1200" s="656">
        <v>44216.782372685186</v>
      </c>
    </row>
    <row r="1201" spans="1:17">
      <c r="A1201" s="656" t="s">
        <v>808</v>
      </c>
      <c r="B1201" s="657" t="s">
        <v>504</v>
      </c>
      <c r="C1201" s="656" t="s">
        <v>809</v>
      </c>
      <c r="D1201" s="657" t="s">
        <v>13789</v>
      </c>
      <c r="E1201" s="657" t="s">
        <v>9510</v>
      </c>
      <c r="F1201" s="656" t="s">
        <v>505</v>
      </c>
      <c r="G1201" s="656" t="s">
        <v>522</v>
      </c>
      <c r="H1201" s="656" t="s">
        <v>505</v>
      </c>
      <c r="I1201" s="656" t="s">
        <v>14976</v>
      </c>
      <c r="J1201" s="656"/>
      <c r="K1201" s="656"/>
      <c r="L1201" s="656"/>
      <c r="M1201" s="657"/>
      <c r="N1201" s="1482"/>
      <c r="O1201" s="656" t="s">
        <v>498</v>
      </c>
      <c r="P1201" s="656" t="s">
        <v>13052</v>
      </c>
      <c r="Q1201" s="656">
        <v>44216.782372685186</v>
      </c>
    </row>
    <row r="1202" spans="1:17">
      <c r="A1202" s="656" t="s">
        <v>810</v>
      </c>
      <c r="B1202" s="657" t="s">
        <v>504</v>
      </c>
      <c r="C1202" s="656" t="s">
        <v>811</v>
      </c>
      <c r="D1202" s="657" t="s">
        <v>13789</v>
      </c>
      <c r="E1202" s="657" t="s">
        <v>9510</v>
      </c>
      <c r="F1202" s="656" t="s">
        <v>505</v>
      </c>
      <c r="G1202" s="656" t="s">
        <v>522</v>
      </c>
      <c r="H1202" s="656" t="s">
        <v>505</v>
      </c>
      <c r="I1202" s="656" t="s">
        <v>14976</v>
      </c>
      <c r="J1202" s="656"/>
      <c r="K1202" s="656"/>
      <c r="L1202" s="656"/>
      <c r="M1202" s="657"/>
      <c r="N1202" s="1482"/>
      <c r="O1202" s="656" t="s">
        <v>498</v>
      </c>
      <c r="P1202" s="656" t="s">
        <v>13052</v>
      </c>
      <c r="Q1202" s="656">
        <v>44216.782372685186</v>
      </c>
    </row>
    <row r="1203" spans="1:17">
      <c r="A1203" s="656" t="s">
        <v>9021</v>
      </c>
      <c r="B1203" s="657" t="s">
        <v>504</v>
      </c>
      <c r="C1203" s="656" t="s">
        <v>8944</v>
      </c>
      <c r="D1203" s="657" t="s">
        <v>14978</v>
      </c>
      <c r="E1203" s="657" t="s">
        <v>7437</v>
      </c>
      <c r="F1203" s="656" t="s">
        <v>505</v>
      </c>
      <c r="G1203" s="656" t="s">
        <v>525</v>
      </c>
      <c r="H1203" s="656" t="s">
        <v>505</v>
      </c>
      <c r="I1203" s="656" t="s">
        <v>14976</v>
      </c>
      <c r="J1203" s="656"/>
      <c r="K1203" s="656"/>
      <c r="L1203" s="656" t="s">
        <v>15327</v>
      </c>
      <c r="M1203" s="657"/>
      <c r="N1203" s="1482"/>
      <c r="O1203" s="656" t="s">
        <v>498</v>
      </c>
      <c r="P1203" s="656" t="s">
        <v>13052</v>
      </c>
      <c r="Q1203" s="656">
        <v>44216.782361111109</v>
      </c>
    </row>
    <row r="1204" spans="1:17">
      <c r="A1204" s="656" t="s">
        <v>9022</v>
      </c>
      <c r="B1204" s="657" t="s">
        <v>504</v>
      </c>
      <c r="C1204" s="656" t="s">
        <v>8943</v>
      </c>
      <c r="D1204" s="657" t="s">
        <v>14978</v>
      </c>
      <c r="E1204" s="657" t="s">
        <v>7437</v>
      </c>
      <c r="F1204" s="656" t="s">
        <v>505</v>
      </c>
      <c r="G1204" s="656" t="s">
        <v>525</v>
      </c>
      <c r="H1204" s="656" t="s">
        <v>505</v>
      </c>
      <c r="I1204" s="656" t="s">
        <v>14976</v>
      </c>
      <c r="J1204" s="656"/>
      <c r="K1204" s="656"/>
      <c r="L1204" s="656" t="s">
        <v>15327</v>
      </c>
      <c r="M1204" s="657"/>
      <c r="N1204" s="1482"/>
      <c r="O1204" s="656" t="s">
        <v>498</v>
      </c>
      <c r="P1204" s="656" t="s">
        <v>13052</v>
      </c>
      <c r="Q1204" s="656">
        <v>44216.782361111109</v>
      </c>
    </row>
    <row r="1205" spans="1:17">
      <c r="A1205" s="656" t="s">
        <v>9023</v>
      </c>
      <c r="B1205" s="657" t="s">
        <v>504</v>
      </c>
      <c r="C1205" s="656" t="s">
        <v>8942</v>
      </c>
      <c r="D1205" s="657" t="s">
        <v>14978</v>
      </c>
      <c r="E1205" s="657" t="s">
        <v>7437</v>
      </c>
      <c r="F1205" s="656" t="s">
        <v>505</v>
      </c>
      <c r="G1205" s="656" t="s">
        <v>525</v>
      </c>
      <c r="H1205" s="656" t="s">
        <v>505</v>
      </c>
      <c r="I1205" s="656" t="s">
        <v>14976</v>
      </c>
      <c r="J1205" s="656"/>
      <c r="K1205" s="656"/>
      <c r="L1205" s="656"/>
      <c r="M1205" s="657"/>
      <c r="N1205" s="1482"/>
      <c r="O1205" s="656" t="s">
        <v>498</v>
      </c>
      <c r="P1205" s="656" t="s">
        <v>13052</v>
      </c>
      <c r="Q1205" s="656">
        <v>44216.782361111109</v>
      </c>
    </row>
    <row r="1206" spans="1:17">
      <c r="A1206" s="656" t="s">
        <v>812</v>
      </c>
      <c r="B1206" s="657" t="s">
        <v>504</v>
      </c>
      <c r="C1206" s="656" t="s">
        <v>813</v>
      </c>
      <c r="D1206" s="657" t="s">
        <v>13789</v>
      </c>
      <c r="E1206" s="657" t="s">
        <v>9510</v>
      </c>
      <c r="F1206" s="656" t="s">
        <v>505</v>
      </c>
      <c r="G1206" s="656" t="s">
        <v>525</v>
      </c>
      <c r="H1206" s="656" t="s">
        <v>505</v>
      </c>
      <c r="I1206" s="656" t="s">
        <v>14976</v>
      </c>
      <c r="J1206" s="656"/>
      <c r="K1206" s="656"/>
      <c r="L1206" s="656"/>
      <c r="M1206" s="657"/>
      <c r="N1206" s="1482"/>
      <c r="O1206" s="656" t="s">
        <v>498</v>
      </c>
      <c r="P1206" s="656" t="s">
        <v>13052</v>
      </c>
      <c r="Q1206" s="656">
        <v>44216.782349537039</v>
      </c>
    </row>
    <row r="1207" spans="1:17">
      <c r="A1207" s="656" t="s">
        <v>814</v>
      </c>
      <c r="B1207" s="657" t="s">
        <v>531</v>
      </c>
      <c r="C1207" s="656" t="s">
        <v>815</v>
      </c>
      <c r="D1207" s="657" t="s">
        <v>14977</v>
      </c>
      <c r="E1207" s="657" t="s">
        <v>9406</v>
      </c>
      <c r="F1207" s="656" t="s">
        <v>2849</v>
      </c>
      <c r="G1207" s="656" t="s">
        <v>717</v>
      </c>
      <c r="H1207" s="656" t="s">
        <v>469</v>
      </c>
      <c r="I1207" s="656" t="s">
        <v>14976</v>
      </c>
      <c r="J1207" s="656"/>
      <c r="K1207" s="656"/>
      <c r="L1207" s="656" t="s">
        <v>814</v>
      </c>
      <c r="M1207" s="657"/>
      <c r="N1207" s="1482"/>
      <c r="O1207" s="656" t="s">
        <v>498</v>
      </c>
      <c r="P1207" s="656" t="s">
        <v>13052</v>
      </c>
      <c r="Q1207" s="656">
        <v>44216.782349537039</v>
      </c>
    </row>
    <row r="1208" spans="1:17">
      <c r="A1208" s="656" t="s">
        <v>816</v>
      </c>
      <c r="B1208" s="657" t="s">
        <v>202</v>
      </c>
      <c r="C1208" s="656" t="s">
        <v>13928</v>
      </c>
      <c r="D1208" s="657" t="s">
        <v>13789</v>
      </c>
      <c r="E1208" s="657" t="s">
        <v>9406</v>
      </c>
      <c r="F1208" s="656" t="s">
        <v>462</v>
      </c>
      <c r="G1208" s="656" t="s">
        <v>552</v>
      </c>
      <c r="H1208" s="656" t="s">
        <v>462</v>
      </c>
      <c r="I1208" s="656" t="s">
        <v>14976</v>
      </c>
      <c r="J1208" s="656" t="s">
        <v>463</v>
      </c>
      <c r="K1208" s="656"/>
      <c r="L1208" s="656"/>
      <c r="M1208" s="657"/>
      <c r="N1208" s="1482"/>
      <c r="O1208" s="656" t="s">
        <v>498</v>
      </c>
      <c r="P1208" s="656" t="s">
        <v>13052</v>
      </c>
      <c r="Q1208" s="656">
        <v>44216.782337962963</v>
      </c>
    </row>
    <row r="1209" spans="1:17">
      <c r="A1209" s="656" t="s">
        <v>817</v>
      </c>
      <c r="B1209" s="657" t="s">
        <v>202</v>
      </c>
      <c r="C1209" s="656" t="s">
        <v>818</v>
      </c>
      <c r="D1209" s="657" t="s">
        <v>13789</v>
      </c>
      <c r="E1209" s="657" t="s">
        <v>9406</v>
      </c>
      <c r="F1209" s="656" t="s">
        <v>462</v>
      </c>
      <c r="G1209" s="656" t="s">
        <v>552</v>
      </c>
      <c r="H1209" s="656" t="s">
        <v>462</v>
      </c>
      <c r="I1209" s="656" t="s">
        <v>14976</v>
      </c>
      <c r="J1209" s="656" t="s">
        <v>463</v>
      </c>
      <c r="K1209" s="656"/>
      <c r="L1209" s="656"/>
      <c r="M1209" s="657"/>
      <c r="N1209" s="1482"/>
      <c r="O1209" s="656" t="s">
        <v>498</v>
      </c>
      <c r="P1209" s="656" t="s">
        <v>13052</v>
      </c>
      <c r="Q1209" s="656">
        <v>44216.782326388886</v>
      </c>
    </row>
    <row r="1210" spans="1:17">
      <c r="A1210" s="656" t="s">
        <v>819</v>
      </c>
      <c r="B1210" s="657" t="s">
        <v>504</v>
      </c>
      <c r="C1210" s="656" t="s">
        <v>13927</v>
      </c>
      <c r="D1210" s="657" t="s">
        <v>14978</v>
      </c>
      <c r="E1210" s="657" t="s">
        <v>9510</v>
      </c>
      <c r="F1210" s="656" t="s">
        <v>505</v>
      </c>
      <c r="G1210" s="656" t="s">
        <v>820</v>
      </c>
      <c r="H1210" s="656" t="s">
        <v>505</v>
      </c>
      <c r="I1210" s="656" t="s">
        <v>14976</v>
      </c>
      <c r="J1210" s="656"/>
      <c r="K1210" s="656"/>
      <c r="L1210" s="656" t="s">
        <v>15326</v>
      </c>
      <c r="M1210" s="657"/>
      <c r="N1210" s="1482"/>
      <c r="O1210" s="656" t="s">
        <v>498</v>
      </c>
      <c r="P1210" s="656" t="s">
        <v>13052</v>
      </c>
      <c r="Q1210" s="656">
        <v>44216.782326388886</v>
      </c>
    </row>
    <row r="1211" spans="1:17">
      <c r="A1211" s="656" t="s">
        <v>821</v>
      </c>
      <c r="B1211" s="657" t="s">
        <v>504</v>
      </c>
      <c r="C1211" s="656" t="s">
        <v>822</v>
      </c>
      <c r="D1211" s="657" t="s">
        <v>13789</v>
      </c>
      <c r="E1211" s="657" t="s">
        <v>9510</v>
      </c>
      <c r="F1211" s="656" t="s">
        <v>505</v>
      </c>
      <c r="G1211" s="656" t="s">
        <v>509</v>
      </c>
      <c r="H1211" s="656" t="s">
        <v>505</v>
      </c>
      <c r="I1211" s="656" t="s">
        <v>14976</v>
      </c>
      <c r="J1211" s="656"/>
      <c r="K1211" s="656"/>
      <c r="L1211" s="656" t="s">
        <v>15316</v>
      </c>
      <c r="M1211" s="657"/>
      <c r="N1211" s="1482"/>
      <c r="O1211" s="656" t="s">
        <v>498</v>
      </c>
      <c r="P1211" s="656" t="s">
        <v>13052</v>
      </c>
      <c r="Q1211" s="656">
        <v>44216.782326388886</v>
      </c>
    </row>
    <row r="1212" spans="1:17">
      <c r="A1212" s="656" t="s">
        <v>823</v>
      </c>
      <c r="B1212" s="657" t="s">
        <v>202</v>
      </c>
      <c r="C1212" s="656" t="s">
        <v>824</v>
      </c>
      <c r="D1212" s="657" t="s">
        <v>13789</v>
      </c>
      <c r="E1212" s="657" t="s">
        <v>9510</v>
      </c>
      <c r="F1212" s="656" t="s">
        <v>4052</v>
      </c>
      <c r="G1212" s="656"/>
      <c r="H1212" s="656" t="s">
        <v>455</v>
      </c>
      <c r="I1212" s="656" t="s">
        <v>15280</v>
      </c>
      <c r="J1212" s="656" t="s">
        <v>451</v>
      </c>
      <c r="K1212" s="656"/>
      <c r="L1212" s="656"/>
      <c r="M1212" s="657"/>
      <c r="N1212" s="1482"/>
      <c r="O1212" s="656" t="s">
        <v>498</v>
      </c>
      <c r="P1212" s="656" t="s">
        <v>13052</v>
      </c>
      <c r="Q1212" s="656">
        <v>44216.782314814816</v>
      </c>
    </row>
    <row r="1213" spans="1:17">
      <c r="A1213" s="656" t="s">
        <v>825</v>
      </c>
      <c r="B1213" s="657" t="s">
        <v>202</v>
      </c>
      <c r="C1213" s="656" t="s">
        <v>826</v>
      </c>
      <c r="D1213" s="657" t="s">
        <v>13789</v>
      </c>
      <c r="E1213" s="657" t="s">
        <v>9406</v>
      </c>
      <c r="F1213" s="656" t="s">
        <v>462</v>
      </c>
      <c r="G1213" s="656" t="s">
        <v>827</v>
      </c>
      <c r="H1213" s="656" t="s">
        <v>462</v>
      </c>
      <c r="I1213" s="656" t="s">
        <v>15280</v>
      </c>
      <c r="J1213" s="656" t="s">
        <v>463</v>
      </c>
      <c r="K1213" s="656"/>
      <c r="L1213" s="656"/>
      <c r="M1213" s="657"/>
      <c r="N1213" s="1482"/>
      <c r="O1213" s="656" t="s">
        <v>498</v>
      </c>
      <c r="P1213" s="656" t="s">
        <v>13052</v>
      </c>
      <c r="Q1213" s="656">
        <v>44216.782314814816</v>
      </c>
    </row>
    <row r="1214" spans="1:17">
      <c r="A1214" s="656" t="s">
        <v>828</v>
      </c>
      <c r="B1214" s="657" t="s">
        <v>531</v>
      </c>
      <c r="C1214" s="656" t="s">
        <v>829</v>
      </c>
      <c r="D1214" s="657" t="s">
        <v>13789</v>
      </c>
      <c r="E1214" s="657" t="s">
        <v>9406</v>
      </c>
      <c r="F1214" s="656" t="s">
        <v>2849</v>
      </c>
      <c r="G1214" s="656" t="s">
        <v>552</v>
      </c>
      <c r="H1214" s="656" t="s">
        <v>469</v>
      </c>
      <c r="I1214" s="656" t="s">
        <v>14976</v>
      </c>
      <c r="J1214" s="656" t="s">
        <v>532</v>
      </c>
      <c r="K1214" s="656" t="s">
        <v>477</v>
      </c>
      <c r="L1214" s="656"/>
      <c r="M1214" s="657"/>
      <c r="N1214" s="1482"/>
      <c r="O1214" s="656" t="s">
        <v>498</v>
      </c>
      <c r="P1214" s="656" t="s">
        <v>13052</v>
      </c>
      <c r="Q1214" s="656">
        <v>44216.78230324074</v>
      </c>
    </row>
    <row r="1215" spans="1:17">
      <c r="A1215" s="656" t="s">
        <v>830</v>
      </c>
      <c r="B1215" s="657" t="s">
        <v>504</v>
      </c>
      <c r="C1215" s="656" t="s">
        <v>831</v>
      </c>
      <c r="D1215" s="657" t="s">
        <v>13789</v>
      </c>
      <c r="E1215" s="657" t="s">
        <v>9406</v>
      </c>
      <c r="F1215" s="656" t="s">
        <v>540</v>
      </c>
      <c r="G1215" s="656" t="s">
        <v>625</v>
      </c>
      <c r="H1215" s="656" t="s">
        <v>540</v>
      </c>
      <c r="I1215" s="656" t="s">
        <v>14976</v>
      </c>
      <c r="J1215" s="656"/>
      <c r="K1215" s="656"/>
      <c r="L1215" s="656"/>
      <c r="M1215" s="657"/>
      <c r="N1215" s="1482"/>
      <c r="O1215" s="656" t="s">
        <v>498</v>
      </c>
      <c r="P1215" s="656" t="s">
        <v>13052</v>
      </c>
      <c r="Q1215" s="656">
        <v>44216.78230324074</v>
      </c>
    </row>
    <row r="1216" spans="1:17">
      <c r="A1216" s="656" t="s">
        <v>832</v>
      </c>
      <c r="B1216" s="657" t="s">
        <v>531</v>
      </c>
      <c r="C1216" s="656" t="s">
        <v>833</v>
      </c>
      <c r="D1216" s="657" t="s">
        <v>13789</v>
      </c>
      <c r="E1216" s="657" t="s">
        <v>9406</v>
      </c>
      <c r="F1216" s="656" t="s">
        <v>2849</v>
      </c>
      <c r="G1216" s="656" t="s">
        <v>646</v>
      </c>
      <c r="H1216" s="656" t="s">
        <v>469</v>
      </c>
      <c r="I1216" s="656" t="s">
        <v>14976</v>
      </c>
      <c r="J1216" s="656"/>
      <c r="K1216" s="656"/>
      <c r="L1216" s="656"/>
      <c r="M1216" s="657"/>
      <c r="N1216" s="1482"/>
      <c r="O1216" s="656" t="s">
        <v>498</v>
      </c>
      <c r="P1216" s="656" t="s">
        <v>13052</v>
      </c>
      <c r="Q1216" s="656">
        <v>44216.78230324074</v>
      </c>
    </row>
    <row r="1217" spans="1:17">
      <c r="A1217" s="656" t="s">
        <v>834</v>
      </c>
      <c r="B1217" s="657" t="s">
        <v>202</v>
      </c>
      <c r="C1217" s="656" t="s">
        <v>835</v>
      </c>
      <c r="D1217" s="657" t="s">
        <v>13789</v>
      </c>
      <c r="E1217" s="657" t="s">
        <v>9510</v>
      </c>
      <c r="F1217" s="656" t="s">
        <v>2849</v>
      </c>
      <c r="G1217" s="656" t="s">
        <v>836</v>
      </c>
      <c r="H1217" s="656" t="s">
        <v>469</v>
      </c>
      <c r="I1217" s="656" t="s">
        <v>14976</v>
      </c>
      <c r="J1217" s="656" t="s">
        <v>532</v>
      </c>
      <c r="K1217" s="656"/>
      <c r="L1217" s="656"/>
      <c r="M1217" s="657"/>
      <c r="N1217" s="1482"/>
      <c r="O1217" s="656" t="s">
        <v>498</v>
      </c>
      <c r="P1217" s="656" t="s">
        <v>13052</v>
      </c>
      <c r="Q1217" s="656">
        <v>44216.78229166667</v>
      </c>
    </row>
    <row r="1218" spans="1:17">
      <c r="A1218" s="656" t="s">
        <v>837</v>
      </c>
      <c r="B1218" s="657" t="s">
        <v>202</v>
      </c>
      <c r="C1218" s="656" t="s">
        <v>13926</v>
      </c>
      <c r="D1218" s="657" t="s">
        <v>13789</v>
      </c>
      <c r="E1218" s="657" t="s">
        <v>7435</v>
      </c>
      <c r="F1218" s="656" t="s">
        <v>2849</v>
      </c>
      <c r="G1218" s="656" t="s">
        <v>717</v>
      </c>
      <c r="H1218" s="656" t="s">
        <v>469</v>
      </c>
      <c r="I1218" s="656" t="s">
        <v>14976</v>
      </c>
      <c r="J1218" s="656" t="s">
        <v>12373</v>
      </c>
      <c r="K1218" s="656"/>
      <c r="L1218" s="656"/>
      <c r="M1218" s="657"/>
      <c r="N1218" s="1482"/>
      <c r="O1218" s="656" t="s">
        <v>498</v>
      </c>
      <c r="P1218" s="656" t="s">
        <v>13052</v>
      </c>
      <c r="Q1218" s="656">
        <v>44216.782280092593</v>
      </c>
    </row>
    <row r="1219" spans="1:17">
      <c r="A1219" s="656" t="s">
        <v>838</v>
      </c>
      <c r="B1219" s="657" t="s">
        <v>202</v>
      </c>
      <c r="C1219" s="656" t="s">
        <v>785</v>
      </c>
      <c r="D1219" s="657" t="s">
        <v>14977</v>
      </c>
      <c r="E1219" s="657" t="s">
        <v>9510</v>
      </c>
      <c r="F1219" s="656" t="s">
        <v>472</v>
      </c>
      <c r="G1219" s="656" t="s">
        <v>519</v>
      </c>
      <c r="H1219" s="656" t="s">
        <v>472</v>
      </c>
      <c r="I1219" s="656" t="s">
        <v>15280</v>
      </c>
      <c r="J1219" s="656" t="s">
        <v>12368</v>
      </c>
      <c r="K1219" s="656" t="s">
        <v>1058</v>
      </c>
      <c r="L1219" s="656" t="s">
        <v>13925</v>
      </c>
      <c r="M1219" s="657"/>
      <c r="N1219" s="1482"/>
      <c r="O1219" s="656" t="s">
        <v>498</v>
      </c>
      <c r="P1219" s="656" t="s">
        <v>13052</v>
      </c>
      <c r="Q1219" s="656">
        <v>44216.782280092593</v>
      </c>
    </row>
    <row r="1220" spans="1:17">
      <c r="A1220" s="656" t="s">
        <v>13923</v>
      </c>
      <c r="B1220" s="657" t="s">
        <v>202</v>
      </c>
      <c r="C1220" s="656" t="s">
        <v>13924</v>
      </c>
      <c r="D1220" s="657" t="s">
        <v>13789</v>
      </c>
      <c r="E1220" s="657" t="s">
        <v>9406</v>
      </c>
      <c r="F1220" s="656" t="s">
        <v>462</v>
      </c>
      <c r="G1220" s="656" t="s">
        <v>702</v>
      </c>
      <c r="H1220" s="656" t="s">
        <v>462</v>
      </c>
      <c r="I1220" s="656" t="s">
        <v>14976</v>
      </c>
      <c r="J1220" s="656" t="s">
        <v>463</v>
      </c>
      <c r="K1220" s="656" t="s">
        <v>1058</v>
      </c>
      <c r="L1220" s="656"/>
      <c r="M1220" s="657"/>
      <c r="N1220" s="1482"/>
      <c r="O1220" s="656" t="s">
        <v>498</v>
      </c>
      <c r="P1220" s="656" t="s">
        <v>13052</v>
      </c>
      <c r="Q1220" s="656">
        <v>44216.782268518517</v>
      </c>
    </row>
    <row r="1221" spans="1:17">
      <c r="A1221" s="656" t="s">
        <v>839</v>
      </c>
      <c r="B1221" s="657" t="s">
        <v>202</v>
      </c>
      <c r="C1221" s="656" t="s">
        <v>840</v>
      </c>
      <c r="D1221" s="657"/>
      <c r="E1221" s="657" t="s">
        <v>9406</v>
      </c>
      <c r="F1221" s="656" t="s">
        <v>462</v>
      </c>
      <c r="G1221" s="656" t="s">
        <v>552</v>
      </c>
      <c r="H1221" s="656" t="s">
        <v>462</v>
      </c>
      <c r="I1221" s="656" t="s">
        <v>15280</v>
      </c>
      <c r="J1221" s="656" t="s">
        <v>463</v>
      </c>
      <c r="K1221" s="656"/>
      <c r="L1221" s="656"/>
      <c r="M1221" s="657"/>
      <c r="N1221" s="1482"/>
      <c r="O1221" s="656" t="s">
        <v>498</v>
      </c>
      <c r="P1221" s="656" t="s">
        <v>13052</v>
      </c>
      <c r="Q1221" s="656">
        <v>44216.782268518517</v>
      </c>
    </row>
    <row r="1222" spans="1:17">
      <c r="A1222" s="656" t="s">
        <v>841</v>
      </c>
      <c r="B1222" s="657" t="s">
        <v>202</v>
      </c>
      <c r="C1222" s="656" t="s">
        <v>9347</v>
      </c>
      <c r="D1222" s="657" t="s">
        <v>13789</v>
      </c>
      <c r="E1222" s="657" t="s">
        <v>7435</v>
      </c>
      <c r="F1222" s="656" t="s">
        <v>462</v>
      </c>
      <c r="G1222" s="656"/>
      <c r="H1222" s="656" t="s">
        <v>462</v>
      </c>
      <c r="I1222" s="656" t="s">
        <v>14976</v>
      </c>
      <c r="J1222" s="656" t="s">
        <v>463</v>
      </c>
      <c r="K1222" s="656" t="s">
        <v>1058</v>
      </c>
      <c r="L1222" s="656"/>
      <c r="M1222" s="657"/>
      <c r="N1222" s="1482"/>
      <c r="O1222" s="656" t="s">
        <v>498</v>
      </c>
      <c r="P1222" s="656" t="s">
        <v>13052</v>
      </c>
      <c r="Q1222" s="656">
        <v>44216.782256944447</v>
      </c>
    </row>
    <row r="1223" spans="1:17">
      <c r="A1223" s="656" t="s">
        <v>13921</v>
      </c>
      <c r="B1223" s="657" t="s">
        <v>202</v>
      </c>
      <c r="C1223" s="656" t="s">
        <v>13922</v>
      </c>
      <c r="D1223" s="657" t="s">
        <v>13789</v>
      </c>
      <c r="E1223" s="657"/>
      <c r="F1223" s="656" t="s">
        <v>462</v>
      </c>
      <c r="G1223" s="656"/>
      <c r="H1223" s="656" t="s">
        <v>462</v>
      </c>
      <c r="I1223" s="656" t="s">
        <v>14976</v>
      </c>
      <c r="J1223" s="656" t="s">
        <v>463</v>
      </c>
      <c r="K1223" s="656"/>
      <c r="L1223" s="656"/>
      <c r="M1223" s="657"/>
      <c r="N1223" s="1482"/>
      <c r="O1223" s="656" t="s">
        <v>498</v>
      </c>
      <c r="P1223" s="656" t="s">
        <v>13052</v>
      </c>
      <c r="Q1223" s="656">
        <v>44216.782256944447</v>
      </c>
    </row>
    <row r="1224" spans="1:17">
      <c r="A1224" s="656" t="s">
        <v>13919</v>
      </c>
      <c r="B1224" s="657" t="s">
        <v>202</v>
      </c>
      <c r="C1224" s="656" t="s">
        <v>13920</v>
      </c>
      <c r="D1224" s="657" t="s">
        <v>13789</v>
      </c>
      <c r="E1224" s="657"/>
      <c r="F1224" s="656" t="s">
        <v>462</v>
      </c>
      <c r="G1224" s="656"/>
      <c r="H1224" s="656" t="s">
        <v>462</v>
      </c>
      <c r="I1224" s="656" t="s">
        <v>14976</v>
      </c>
      <c r="J1224" s="656" t="s">
        <v>463</v>
      </c>
      <c r="K1224" s="656"/>
      <c r="L1224" s="656"/>
      <c r="M1224" s="657"/>
      <c r="N1224" s="1482"/>
      <c r="O1224" s="656" t="s">
        <v>498</v>
      </c>
      <c r="P1224" s="656" t="s">
        <v>13052</v>
      </c>
      <c r="Q1224" s="656">
        <v>44216.78224537037</v>
      </c>
    </row>
    <row r="1225" spans="1:17">
      <c r="A1225" s="656" t="s">
        <v>842</v>
      </c>
      <c r="B1225" s="657" t="s">
        <v>202</v>
      </c>
      <c r="C1225" s="656" t="s">
        <v>843</v>
      </c>
      <c r="D1225" s="657" t="s">
        <v>13789</v>
      </c>
      <c r="E1225" s="657" t="s">
        <v>9406</v>
      </c>
      <c r="F1225" s="656" t="s">
        <v>537</v>
      </c>
      <c r="G1225" s="656" t="s">
        <v>519</v>
      </c>
      <c r="H1225" s="656" t="s">
        <v>537</v>
      </c>
      <c r="I1225" s="656" t="s">
        <v>14976</v>
      </c>
      <c r="J1225" s="656"/>
      <c r="K1225" s="656"/>
      <c r="L1225" s="656"/>
      <c r="M1225" s="657"/>
      <c r="N1225" s="1482"/>
      <c r="O1225" s="656" t="s">
        <v>498</v>
      </c>
      <c r="P1225" s="656" t="s">
        <v>13052</v>
      </c>
      <c r="Q1225" s="656">
        <v>44216.782233796293</v>
      </c>
    </row>
    <row r="1226" spans="1:17">
      <c r="A1226" s="656" t="s">
        <v>844</v>
      </c>
      <c r="B1226" s="657" t="s">
        <v>504</v>
      </c>
      <c r="C1226" s="656" t="s">
        <v>845</v>
      </c>
      <c r="D1226" s="657" t="s">
        <v>13789</v>
      </c>
      <c r="E1226" s="657" t="s">
        <v>9510</v>
      </c>
      <c r="F1226" s="656" t="s">
        <v>505</v>
      </c>
      <c r="G1226" s="656" t="s">
        <v>522</v>
      </c>
      <c r="H1226" s="656" t="s">
        <v>505</v>
      </c>
      <c r="I1226" s="656" t="s">
        <v>14976</v>
      </c>
      <c r="J1226" s="656"/>
      <c r="K1226" s="656"/>
      <c r="L1226" s="656"/>
      <c r="M1226" s="657"/>
      <c r="N1226" s="1482"/>
      <c r="O1226" s="656" t="s">
        <v>498</v>
      </c>
      <c r="P1226" s="656" t="s">
        <v>13052</v>
      </c>
      <c r="Q1226" s="656">
        <v>44216.782233796293</v>
      </c>
    </row>
    <row r="1227" spans="1:17">
      <c r="A1227" s="656" t="s">
        <v>846</v>
      </c>
      <c r="B1227" s="657" t="s">
        <v>504</v>
      </c>
      <c r="C1227" s="656" t="s">
        <v>847</v>
      </c>
      <c r="D1227" s="657" t="s">
        <v>13789</v>
      </c>
      <c r="E1227" s="657" t="s">
        <v>9510</v>
      </c>
      <c r="F1227" s="656" t="s">
        <v>505</v>
      </c>
      <c r="G1227" s="656" t="s">
        <v>522</v>
      </c>
      <c r="H1227" s="656" t="s">
        <v>505</v>
      </c>
      <c r="I1227" s="656" t="s">
        <v>14976</v>
      </c>
      <c r="J1227" s="656"/>
      <c r="K1227" s="656"/>
      <c r="L1227" s="656"/>
      <c r="M1227" s="657"/>
      <c r="N1227" s="1482"/>
      <c r="O1227" s="656" t="s">
        <v>498</v>
      </c>
      <c r="P1227" s="656" t="s">
        <v>13052</v>
      </c>
      <c r="Q1227" s="656">
        <v>44216.782222222224</v>
      </c>
    </row>
    <row r="1228" spans="1:17">
      <c r="A1228" s="656" t="s">
        <v>848</v>
      </c>
      <c r="B1228" s="657" t="s">
        <v>202</v>
      </c>
      <c r="C1228" s="656" t="s">
        <v>849</v>
      </c>
      <c r="D1228" s="657" t="s">
        <v>13789</v>
      </c>
      <c r="E1228" s="657" t="s">
        <v>9406</v>
      </c>
      <c r="F1228" s="656" t="s">
        <v>462</v>
      </c>
      <c r="G1228" s="656" t="s">
        <v>512</v>
      </c>
      <c r="H1228" s="656" t="s">
        <v>462</v>
      </c>
      <c r="I1228" s="656" t="s">
        <v>14976</v>
      </c>
      <c r="J1228" s="656" t="s">
        <v>459</v>
      </c>
      <c r="K1228" s="656" t="s">
        <v>2849</v>
      </c>
      <c r="L1228" s="656"/>
      <c r="M1228" s="657"/>
      <c r="N1228" s="1482"/>
      <c r="O1228" s="656" t="s">
        <v>498</v>
      </c>
      <c r="P1228" s="656" t="s">
        <v>13052</v>
      </c>
      <c r="Q1228" s="656">
        <v>44216.782222222224</v>
      </c>
    </row>
    <row r="1229" spans="1:17">
      <c r="A1229" s="656" t="s">
        <v>850</v>
      </c>
      <c r="B1229" s="657" t="s">
        <v>202</v>
      </c>
      <c r="C1229" s="656" t="s">
        <v>851</v>
      </c>
      <c r="D1229" s="657" t="s">
        <v>13789</v>
      </c>
      <c r="E1229" s="657" t="s">
        <v>9406</v>
      </c>
      <c r="F1229" s="656" t="s">
        <v>462</v>
      </c>
      <c r="G1229" s="656" t="s">
        <v>512</v>
      </c>
      <c r="H1229" s="656" t="s">
        <v>462</v>
      </c>
      <c r="I1229" s="656" t="s">
        <v>14976</v>
      </c>
      <c r="J1229" s="656" t="s">
        <v>459</v>
      </c>
      <c r="K1229" s="656" t="s">
        <v>2849</v>
      </c>
      <c r="L1229" s="656"/>
      <c r="M1229" s="657"/>
      <c r="N1229" s="1482"/>
      <c r="O1229" s="656" t="s">
        <v>498</v>
      </c>
      <c r="P1229" s="656" t="s">
        <v>13052</v>
      </c>
      <c r="Q1229" s="656">
        <v>44216.782210648147</v>
      </c>
    </row>
    <row r="1230" spans="1:17">
      <c r="A1230" s="656" t="s">
        <v>852</v>
      </c>
      <c r="B1230" s="657" t="s">
        <v>202</v>
      </c>
      <c r="C1230" s="656" t="s">
        <v>853</v>
      </c>
      <c r="D1230" s="657" t="s">
        <v>13789</v>
      </c>
      <c r="E1230" s="657" t="s">
        <v>9510</v>
      </c>
      <c r="F1230" s="656" t="s">
        <v>462</v>
      </c>
      <c r="G1230" s="656"/>
      <c r="H1230" s="656" t="s">
        <v>462</v>
      </c>
      <c r="I1230" s="656" t="s">
        <v>15280</v>
      </c>
      <c r="J1230" s="656" t="s">
        <v>463</v>
      </c>
      <c r="K1230" s="656"/>
      <c r="L1230" s="656"/>
      <c r="M1230" s="657"/>
      <c r="N1230" s="1482"/>
      <c r="O1230" s="656" t="s">
        <v>498</v>
      </c>
      <c r="P1230" s="656" t="s">
        <v>13052</v>
      </c>
      <c r="Q1230" s="656">
        <v>44216.782199074078</v>
      </c>
    </row>
    <row r="1231" spans="1:17">
      <c r="A1231" s="656" t="s">
        <v>854</v>
      </c>
      <c r="B1231" s="657" t="s">
        <v>531</v>
      </c>
      <c r="C1231" s="656" t="s">
        <v>855</v>
      </c>
      <c r="D1231" s="657" t="s">
        <v>13789</v>
      </c>
      <c r="E1231" s="657" t="s">
        <v>9406</v>
      </c>
      <c r="F1231" s="656" t="s">
        <v>2849</v>
      </c>
      <c r="G1231" s="656" t="s">
        <v>717</v>
      </c>
      <c r="H1231" s="656" t="s">
        <v>469</v>
      </c>
      <c r="I1231" s="656" t="s">
        <v>14976</v>
      </c>
      <c r="J1231" s="656" t="s">
        <v>532</v>
      </c>
      <c r="K1231" s="656"/>
      <c r="L1231" s="656"/>
      <c r="M1231" s="657"/>
      <c r="N1231" s="1482"/>
      <c r="O1231" s="656" t="s">
        <v>498</v>
      </c>
      <c r="P1231" s="656" t="s">
        <v>13052</v>
      </c>
      <c r="Q1231" s="656">
        <v>44216.782199074078</v>
      </c>
    </row>
    <row r="1232" spans="1:17">
      <c r="A1232" s="656" t="s">
        <v>856</v>
      </c>
      <c r="B1232" s="657" t="s">
        <v>202</v>
      </c>
      <c r="C1232" s="656" t="s">
        <v>857</v>
      </c>
      <c r="D1232" s="657" t="s">
        <v>14977</v>
      </c>
      <c r="E1232" s="657" t="s">
        <v>9406</v>
      </c>
      <c r="F1232" s="656" t="s">
        <v>472</v>
      </c>
      <c r="G1232" s="656" t="s">
        <v>519</v>
      </c>
      <c r="H1232" s="656" t="s">
        <v>472</v>
      </c>
      <c r="I1232" s="656" t="s">
        <v>14976</v>
      </c>
      <c r="J1232" s="656" t="s">
        <v>12368</v>
      </c>
      <c r="K1232" s="656" t="s">
        <v>1058</v>
      </c>
      <c r="L1232" s="656"/>
      <c r="M1232" s="657"/>
      <c r="N1232" s="1482"/>
      <c r="O1232" s="656" t="s">
        <v>498</v>
      </c>
      <c r="P1232" s="656" t="s">
        <v>13052</v>
      </c>
      <c r="Q1232" s="656">
        <v>44216.782199074078</v>
      </c>
    </row>
    <row r="1233" spans="1:17">
      <c r="A1233" s="656" t="s">
        <v>858</v>
      </c>
      <c r="B1233" s="657" t="s">
        <v>202</v>
      </c>
      <c r="C1233" s="656" t="s">
        <v>13918</v>
      </c>
      <c r="D1233" s="657" t="s">
        <v>14977</v>
      </c>
      <c r="E1233" s="657" t="s">
        <v>9510</v>
      </c>
      <c r="F1233" s="656" t="s">
        <v>472</v>
      </c>
      <c r="G1233" s="656" t="s">
        <v>519</v>
      </c>
      <c r="H1233" s="656" t="s">
        <v>472</v>
      </c>
      <c r="I1233" s="656" t="s">
        <v>14976</v>
      </c>
      <c r="J1233" s="656" t="s">
        <v>12368</v>
      </c>
      <c r="K1233" s="656" t="s">
        <v>1058</v>
      </c>
      <c r="L1233" s="656"/>
      <c r="M1233" s="657"/>
      <c r="N1233" s="1482"/>
      <c r="O1233" s="656" t="s">
        <v>498</v>
      </c>
      <c r="P1233" s="656" t="s">
        <v>13052</v>
      </c>
      <c r="Q1233" s="656">
        <v>44216.782187500001</v>
      </c>
    </row>
    <row r="1234" spans="1:17">
      <c r="A1234" s="656" t="s">
        <v>860</v>
      </c>
      <c r="B1234" s="657" t="s">
        <v>504</v>
      </c>
      <c r="C1234" s="656" t="s">
        <v>861</v>
      </c>
      <c r="D1234" s="657" t="s">
        <v>13789</v>
      </c>
      <c r="E1234" s="657" t="s">
        <v>9510</v>
      </c>
      <c r="F1234" s="656" t="s">
        <v>505</v>
      </c>
      <c r="G1234" s="656" t="s">
        <v>525</v>
      </c>
      <c r="H1234" s="656" t="s">
        <v>505</v>
      </c>
      <c r="I1234" s="656" t="s">
        <v>14976</v>
      </c>
      <c r="J1234" s="656"/>
      <c r="K1234" s="656"/>
      <c r="L1234" s="656"/>
      <c r="M1234" s="657"/>
      <c r="N1234" s="1482"/>
      <c r="O1234" s="656" t="s">
        <v>498</v>
      </c>
      <c r="P1234" s="656" t="s">
        <v>13052</v>
      </c>
      <c r="Q1234" s="656">
        <v>44216.782187500001</v>
      </c>
    </row>
    <row r="1235" spans="1:17">
      <c r="A1235" s="656" t="s">
        <v>862</v>
      </c>
      <c r="B1235" s="657" t="s">
        <v>504</v>
      </c>
      <c r="C1235" s="656" t="s">
        <v>863</v>
      </c>
      <c r="D1235" s="657" t="s">
        <v>13789</v>
      </c>
      <c r="E1235" s="657" t="s">
        <v>9510</v>
      </c>
      <c r="F1235" s="656" t="s">
        <v>505</v>
      </c>
      <c r="G1235" s="656" t="s">
        <v>525</v>
      </c>
      <c r="H1235" s="656" t="s">
        <v>505</v>
      </c>
      <c r="I1235" s="656" t="s">
        <v>14976</v>
      </c>
      <c r="J1235" s="656"/>
      <c r="K1235" s="656"/>
      <c r="L1235" s="656"/>
      <c r="M1235" s="657"/>
      <c r="N1235" s="1482"/>
      <c r="O1235" s="656" t="s">
        <v>498</v>
      </c>
      <c r="P1235" s="656" t="s">
        <v>13052</v>
      </c>
      <c r="Q1235" s="656">
        <v>44216.782175925924</v>
      </c>
    </row>
    <row r="1236" spans="1:17">
      <c r="A1236" s="656" t="s">
        <v>864</v>
      </c>
      <c r="B1236" s="657" t="s">
        <v>504</v>
      </c>
      <c r="C1236" s="656" t="s">
        <v>865</v>
      </c>
      <c r="D1236" s="657" t="s">
        <v>14978</v>
      </c>
      <c r="E1236" s="657" t="s">
        <v>9510</v>
      </c>
      <c r="F1236" s="656" t="s">
        <v>540</v>
      </c>
      <c r="G1236" s="656" t="s">
        <v>541</v>
      </c>
      <c r="H1236" s="656" t="s">
        <v>540</v>
      </c>
      <c r="I1236" s="656" t="s">
        <v>14976</v>
      </c>
      <c r="J1236" s="656"/>
      <c r="K1236" s="656"/>
      <c r="L1236" s="656" t="s">
        <v>15325</v>
      </c>
      <c r="M1236" s="657"/>
      <c r="N1236" s="1482"/>
      <c r="O1236" s="656" t="s">
        <v>498</v>
      </c>
      <c r="P1236" s="656" t="s">
        <v>13052</v>
      </c>
      <c r="Q1236" s="656">
        <v>44216.782175925924</v>
      </c>
    </row>
    <row r="1237" spans="1:17">
      <c r="A1237" s="656" t="s">
        <v>866</v>
      </c>
      <c r="B1237" s="657" t="s">
        <v>504</v>
      </c>
      <c r="C1237" s="656" t="s">
        <v>867</v>
      </c>
      <c r="D1237" s="657" t="s">
        <v>14978</v>
      </c>
      <c r="E1237" s="657" t="s">
        <v>9406</v>
      </c>
      <c r="F1237" s="656" t="s">
        <v>540</v>
      </c>
      <c r="G1237" s="656" t="s">
        <v>541</v>
      </c>
      <c r="H1237" s="656" t="s">
        <v>540</v>
      </c>
      <c r="I1237" s="656" t="s">
        <v>14976</v>
      </c>
      <c r="J1237" s="656"/>
      <c r="K1237" s="656"/>
      <c r="L1237" s="656" t="s">
        <v>13917</v>
      </c>
      <c r="M1237" s="657"/>
      <c r="N1237" s="1482"/>
      <c r="O1237" s="656" t="s">
        <v>498</v>
      </c>
      <c r="P1237" s="656" t="s">
        <v>13052</v>
      </c>
      <c r="Q1237" s="656">
        <v>44216.782164351855</v>
      </c>
    </row>
    <row r="1238" spans="1:17">
      <c r="A1238" s="656" t="s">
        <v>868</v>
      </c>
      <c r="B1238" s="657" t="s">
        <v>504</v>
      </c>
      <c r="C1238" s="656" t="s">
        <v>869</v>
      </c>
      <c r="D1238" s="657" t="s">
        <v>14978</v>
      </c>
      <c r="E1238" s="657" t="s">
        <v>9406</v>
      </c>
      <c r="F1238" s="656" t="s">
        <v>505</v>
      </c>
      <c r="G1238" s="656" t="s">
        <v>522</v>
      </c>
      <c r="H1238" s="656" t="s">
        <v>505</v>
      </c>
      <c r="I1238" s="656" t="s">
        <v>14976</v>
      </c>
      <c r="J1238" s="656"/>
      <c r="K1238" s="656"/>
      <c r="L1238" s="656" t="s">
        <v>13917</v>
      </c>
      <c r="M1238" s="657"/>
      <c r="N1238" s="1482"/>
      <c r="O1238" s="656" t="s">
        <v>498</v>
      </c>
      <c r="P1238" s="656" t="s">
        <v>13052</v>
      </c>
      <c r="Q1238" s="656">
        <v>44216.782164351855</v>
      </c>
    </row>
    <row r="1239" spans="1:17">
      <c r="A1239" s="656" t="s">
        <v>870</v>
      </c>
      <c r="B1239" s="657" t="s">
        <v>504</v>
      </c>
      <c r="C1239" s="656" t="s">
        <v>594</v>
      </c>
      <c r="D1239" s="657" t="s">
        <v>14978</v>
      </c>
      <c r="E1239" s="657" t="s">
        <v>9406</v>
      </c>
      <c r="F1239" s="656" t="s">
        <v>505</v>
      </c>
      <c r="G1239" s="656" t="s">
        <v>522</v>
      </c>
      <c r="H1239" s="656" t="s">
        <v>505</v>
      </c>
      <c r="I1239" s="656" t="s">
        <v>14976</v>
      </c>
      <c r="J1239" s="656"/>
      <c r="K1239" s="656"/>
      <c r="L1239" s="656" t="s">
        <v>13917</v>
      </c>
      <c r="M1239" s="657"/>
      <c r="N1239" s="1482"/>
      <c r="O1239" s="656" t="s">
        <v>498</v>
      </c>
      <c r="P1239" s="656" t="s">
        <v>13052</v>
      </c>
      <c r="Q1239" s="656">
        <v>44216.782152777778</v>
      </c>
    </row>
    <row r="1240" spans="1:17">
      <c r="A1240" s="656" t="s">
        <v>871</v>
      </c>
      <c r="B1240" s="657" t="s">
        <v>504</v>
      </c>
      <c r="C1240" s="656" t="s">
        <v>872</v>
      </c>
      <c r="D1240" s="657" t="s">
        <v>14978</v>
      </c>
      <c r="E1240" s="657" t="s">
        <v>9406</v>
      </c>
      <c r="F1240" s="656" t="s">
        <v>505</v>
      </c>
      <c r="G1240" s="656" t="s">
        <v>522</v>
      </c>
      <c r="H1240" s="656" t="s">
        <v>505</v>
      </c>
      <c r="I1240" s="656" t="s">
        <v>14976</v>
      </c>
      <c r="J1240" s="656"/>
      <c r="K1240" s="656"/>
      <c r="L1240" s="656" t="s">
        <v>875</v>
      </c>
      <c r="M1240" s="657"/>
      <c r="N1240" s="1482"/>
      <c r="O1240" s="656" t="s">
        <v>498</v>
      </c>
      <c r="P1240" s="656" t="s">
        <v>13052</v>
      </c>
      <c r="Q1240" s="656">
        <v>44216.782141203701</v>
      </c>
    </row>
    <row r="1241" spans="1:17">
      <c r="A1241" s="656" t="s">
        <v>873</v>
      </c>
      <c r="B1241" s="657" t="s">
        <v>504</v>
      </c>
      <c r="C1241" s="656" t="s">
        <v>874</v>
      </c>
      <c r="D1241" s="657" t="s">
        <v>14978</v>
      </c>
      <c r="E1241" s="657" t="s">
        <v>9406</v>
      </c>
      <c r="F1241" s="656" t="s">
        <v>505</v>
      </c>
      <c r="G1241" s="656" t="s">
        <v>522</v>
      </c>
      <c r="H1241" s="656" t="s">
        <v>505</v>
      </c>
      <c r="I1241" s="656" t="s">
        <v>14976</v>
      </c>
      <c r="J1241" s="656"/>
      <c r="K1241" s="656"/>
      <c r="L1241" s="656" t="s">
        <v>13917</v>
      </c>
      <c r="M1241" s="657"/>
      <c r="N1241" s="1482"/>
      <c r="O1241" s="656" t="s">
        <v>498</v>
      </c>
      <c r="P1241" s="656" t="s">
        <v>13052</v>
      </c>
      <c r="Q1241" s="656">
        <v>44216.782141203701</v>
      </c>
    </row>
    <row r="1242" spans="1:17">
      <c r="A1242" s="656" t="s">
        <v>875</v>
      </c>
      <c r="B1242" s="657" t="s">
        <v>504</v>
      </c>
      <c r="C1242" s="656" t="s">
        <v>1164</v>
      </c>
      <c r="D1242" s="657" t="s">
        <v>14978</v>
      </c>
      <c r="E1242" s="657" t="s">
        <v>9406</v>
      </c>
      <c r="F1242" s="656" t="s">
        <v>540</v>
      </c>
      <c r="G1242" s="656" t="s">
        <v>541</v>
      </c>
      <c r="H1242" s="656" t="s">
        <v>540</v>
      </c>
      <c r="I1242" s="656" t="s">
        <v>14976</v>
      </c>
      <c r="J1242" s="656"/>
      <c r="K1242" s="656"/>
      <c r="L1242" s="656" t="s">
        <v>13917</v>
      </c>
      <c r="M1242" s="657"/>
      <c r="N1242" s="1482"/>
      <c r="O1242" s="656" t="s">
        <v>498</v>
      </c>
      <c r="P1242" s="656" t="s">
        <v>13052</v>
      </c>
      <c r="Q1242" s="656">
        <v>44216.782141203701</v>
      </c>
    </row>
    <row r="1243" spans="1:17">
      <c r="A1243" s="656" t="s">
        <v>876</v>
      </c>
      <c r="B1243" s="657" t="s">
        <v>504</v>
      </c>
      <c r="C1243" s="656" t="s">
        <v>13917</v>
      </c>
      <c r="D1243" s="657" t="s">
        <v>14977</v>
      </c>
      <c r="E1243" s="657" t="s">
        <v>9406</v>
      </c>
      <c r="F1243" s="656" t="s">
        <v>540</v>
      </c>
      <c r="G1243" s="656" t="s">
        <v>541</v>
      </c>
      <c r="H1243" s="656" t="s">
        <v>540</v>
      </c>
      <c r="I1243" s="656" t="s">
        <v>14976</v>
      </c>
      <c r="J1243" s="656"/>
      <c r="K1243" s="656"/>
      <c r="L1243" s="656"/>
      <c r="M1243" s="657"/>
      <c r="N1243" s="1482"/>
      <c r="O1243" s="656" t="s">
        <v>498</v>
      </c>
      <c r="P1243" s="656" t="s">
        <v>13052</v>
      </c>
      <c r="Q1243" s="656">
        <v>44216.782129629632</v>
      </c>
    </row>
    <row r="1244" spans="1:17">
      <c r="A1244" s="656" t="s">
        <v>877</v>
      </c>
      <c r="B1244" s="657" t="s">
        <v>504</v>
      </c>
      <c r="C1244" s="656" t="s">
        <v>592</v>
      </c>
      <c r="D1244" s="657" t="s">
        <v>14978</v>
      </c>
      <c r="E1244" s="657" t="s">
        <v>9406</v>
      </c>
      <c r="F1244" s="656" t="s">
        <v>505</v>
      </c>
      <c r="G1244" s="656" t="s">
        <v>522</v>
      </c>
      <c r="H1244" s="656" t="s">
        <v>505</v>
      </c>
      <c r="I1244" s="656" t="s">
        <v>14976</v>
      </c>
      <c r="J1244" s="656"/>
      <c r="K1244" s="656"/>
      <c r="L1244" s="656" t="s">
        <v>13916</v>
      </c>
      <c r="M1244" s="657"/>
      <c r="N1244" s="1482"/>
      <c r="O1244" s="656" t="s">
        <v>498</v>
      </c>
      <c r="P1244" s="656" t="s">
        <v>13052</v>
      </c>
      <c r="Q1244" s="656">
        <v>44216.782129629632</v>
      </c>
    </row>
    <row r="1245" spans="1:17">
      <c r="A1245" s="656" t="s">
        <v>878</v>
      </c>
      <c r="B1245" s="657" t="s">
        <v>504</v>
      </c>
      <c r="C1245" s="656" t="s">
        <v>879</v>
      </c>
      <c r="D1245" s="657" t="s">
        <v>14978</v>
      </c>
      <c r="E1245" s="657" t="s">
        <v>9406</v>
      </c>
      <c r="F1245" s="656" t="s">
        <v>505</v>
      </c>
      <c r="G1245" s="656" t="s">
        <v>522</v>
      </c>
      <c r="H1245" s="656" t="s">
        <v>505</v>
      </c>
      <c r="I1245" s="656" t="s">
        <v>14976</v>
      </c>
      <c r="J1245" s="656"/>
      <c r="K1245" s="656"/>
      <c r="L1245" s="656" t="s">
        <v>13916</v>
      </c>
      <c r="M1245" s="657"/>
      <c r="N1245" s="1482"/>
      <c r="O1245" s="656" t="s">
        <v>498</v>
      </c>
      <c r="P1245" s="656" t="s">
        <v>13052</v>
      </c>
      <c r="Q1245" s="656">
        <v>44216.782118055555</v>
      </c>
    </row>
    <row r="1246" spans="1:17">
      <c r="A1246" s="656" t="s">
        <v>880</v>
      </c>
      <c r="B1246" s="657" t="s">
        <v>504</v>
      </c>
      <c r="C1246" s="656" t="s">
        <v>881</v>
      </c>
      <c r="D1246" s="657" t="s">
        <v>14978</v>
      </c>
      <c r="E1246" s="657" t="s">
        <v>9406</v>
      </c>
      <c r="F1246" s="656" t="s">
        <v>540</v>
      </c>
      <c r="G1246" s="656" t="s">
        <v>541</v>
      </c>
      <c r="H1246" s="656" t="s">
        <v>540</v>
      </c>
      <c r="I1246" s="656" t="s">
        <v>14976</v>
      </c>
      <c r="J1246" s="656"/>
      <c r="K1246" s="656"/>
      <c r="L1246" s="656" t="s">
        <v>13916</v>
      </c>
      <c r="M1246" s="657"/>
      <c r="N1246" s="1482"/>
      <c r="O1246" s="656" t="s">
        <v>498</v>
      </c>
      <c r="P1246" s="656" t="s">
        <v>13052</v>
      </c>
      <c r="Q1246" s="656">
        <v>44216.782118055555</v>
      </c>
    </row>
    <row r="1247" spans="1:17">
      <c r="A1247" s="656" t="s">
        <v>882</v>
      </c>
      <c r="B1247" s="657" t="s">
        <v>504</v>
      </c>
      <c r="C1247" s="656" t="s">
        <v>883</v>
      </c>
      <c r="D1247" s="657" t="s">
        <v>14978</v>
      </c>
      <c r="E1247" s="657" t="s">
        <v>9406</v>
      </c>
      <c r="F1247" s="656" t="s">
        <v>505</v>
      </c>
      <c r="G1247" s="656" t="s">
        <v>522</v>
      </c>
      <c r="H1247" s="656" t="s">
        <v>505</v>
      </c>
      <c r="I1247" s="656" t="s">
        <v>14976</v>
      </c>
      <c r="J1247" s="656"/>
      <c r="K1247" s="656"/>
      <c r="L1247" s="656" t="s">
        <v>13916</v>
      </c>
      <c r="M1247" s="657"/>
      <c r="N1247" s="1482"/>
      <c r="O1247" s="656" t="s">
        <v>498</v>
      </c>
      <c r="P1247" s="656" t="s">
        <v>13052</v>
      </c>
      <c r="Q1247" s="656">
        <v>44216.782106481478</v>
      </c>
    </row>
    <row r="1248" spans="1:17">
      <c r="A1248" s="656" t="s">
        <v>884</v>
      </c>
      <c r="B1248" s="657" t="s">
        <v>504</v>
      </c>
      <c r="C1248" s="656" t="s">
        <v>885</v>
      </c>
      <c r="D1248" s="657" t="s">
        <v>14978</v>
      </c>
      <c r="E1248" s="657" t="s">
        <v>9406</v>
      </c>
      <c r="F1248" s="656" t="s">
        <v>540</v>
      </c>
      <c r="G1248" s="656" t="s">
        <v>541</v>
      </c>
      <c r="H1248" s="656" t="s">
        <v>540</v>
      </c>
      <c r="I1248" s="656" t="s">
        <v>14976</v>
      </c>
      <c r="J1248" s="656"/>
      <c r="K1248" s="656"/>
      <c r="L1248" s="656" t="s">
        <v>13916</v>
      </c>
      <c r="M1248" s="657"/>
      <c r="N1248" s="1482"/>
      <c r="O1248" s="656" t="s">
        <v>498</v>
      </c>
      <c r="P1248" s="656" t="s">
        <v>13052</v>
      </c>
      <c r="Q1248" s="656">
        <v>44216.782106481478</v>
      </c>
    </row>
    <row r="1249" spans="1:17">
      <c r="A1249" s="656" t="s">
        <v>886</v>
      </c>
      <c r="B1249" s="657" t="s">
        <v>504</v>
      </c>
      <c r="C1249" s="656" t="s">
        <v>13916</v>
      </c>
      <c r="D1249" s="657" t="s">
        <v>14977</v>
      </c>
      <c r="E1249" s="657" t="s">
        <v>9406</v>
      </c>
      <c r="F1249" s="656" t="s">
        <v>540</v>
      </c>
      <c r="G1249" s="656" t="s">
        <v>541</v>
      </c>
      <c r="H1249" s="656" t="s">
        <v>540</v>
      </c>
      <c r="I1249" s="656" t="s">
        <v>14976</v>
      </c>
      <c r="J1249" s="656"/>
      <c r="K1249" s="656"/>
      <c r="L1249" s="656"/>
      <c r="M1249" s="657"/>
      <c r="N1249" s="1482"/>
      <c r="O1249" s="656" t="s">
        <v>498</v>
      </c>
      <c r="P1249" s="656" t="s">
        <v>13052</v>
      </c>
      <c r="Q1249" s="656">
        <v>44216.782094907408</v>
      </c>
    </row>
    <row r="1250" spans="1:17">
      <c r="A1250" s="656" t="s">
        <v>887</v>
      </c>
      <c r="B1250" s="657" t="s">
        <v>504</v>
      </c>
      <c r="C1250" s="656" t="s">
        <v>888</v>
      </c>
      <c r="D1250" s="657" t="s">
        <v>14978</v>
      </c>
      <c r="E1250" s="657" t="s">
        <v>9406</v>
      </c>
      <c r="F1250" s="656" t="s">
        <v>540</v>
      </c>
      <c r="G1250" s="656" t="s">
        <v>541</v>
      </c>
      <c r="H1250" s="656" t="s">
        <v>540</v>
      </c>
      <c r="I1250" s="656" t="s">
        <v>14976</v>
      </c>
      <c r="J1250" s="656"/>
      <c r="K1250" s="656"/>
      <c r="L1250" s="656" t="s">
        <v>13915</v>
      </c>
      <c r="M1250" s="657"/>
      <c r="N1250" s="1482"/>
      <c r="O1250" s="656" t="s">
        <v>498</v>
      </c>
      <c r="P1250" s="656" t="s">
        <v>13052</v>
      </c>
      <c r="Q1250" s="656">
        <v>44216.782094907408</v>
      </c>
    </row>
    <row r="1251" spans="1:17">
      <c r="A1251" s="656" t="s">
        <v>889</v>
      </c>
      <c r="B1251" s="657" t="s">
        <v>504</v>
      </c>
      <c r="C1251" s="656" t="s">
        <v>890</v>
      </c>
      <c r="D1251" s="657" t="s">
        <v>14978</v>
      </c>
      <c r="E1251" s="657" t="s">
        <v>9406</v>
      </c>
      <c r="F1251" s="656" t="s">
        <v>505</v>
      </c>
      <c r="G1251" s="656" t="s">
        <v>522</v>
      </c>
      <c r="H1251" s="656" t="s">
        <v>505</v>
      </c>
      <c r="I1251" s="656" t="s">
        <v>14976</v>
      </c>
      <c r="J1251" s="656"/>
      <c r="K1251" s="656"/>
      <c r="L1251" s="656" t="s">
        <v>13915</v>
      </c>
      <c r="M1251" s="657"/>
      <c r="N1251" s="1482"/>
      <c r="O1251" s="656" t="s">
        <v>498</v>
      </c>
      <c r="P1251" s="656" t="s">
        <v>13052</v>
      </c>
      <c r="Q1251" s="656">
        <v>44216.782094907408</v>
      </c>
    </row>
    <row r="1252" spans="1:17">
      <c r="A1252" s="656" t="s">
        <v>891</v>
      </c>
      <c r="B1252" s="657" t="s">
        <v>504</v>
      </c>
      <c r="C1252" s="656" t="s">
        <v>892</v>
      </c>
      <c r="D1252" s="657" t="s">
        <v>14978</v>
      </c>
      <c r="E1252" s="657" t="s">
        <v>9406</v>
      </c>
      <c r="F1252" s="656" t="s">
        <v>540</v>
      </c>
      <c r="G1252" s="656" t="s">
        <v>541</v>
      </c>
      <c r="H1252" s="656" t="s">
        <v>540</v>
      </c>
      <c r="I1252" s="656" t="s">
        <v>14976</v>
      </c>
      <c r="J1252" s="656"/>
      <c r="K1252" s="656"/>
      <c r="L1252" s="656" t="s">
        <v>13915</v>
      </c>
      <c r="M1252" s="657"/>
      <c r="N1252" s="1482"/>
      <c r="O1252" s="656" t="s">
        <v>498</v>
      </c>
      <c r="P1252" s="656" t="s">
        <v>13052</v>
      </c>
      <c r="Q1252" s="656">
        <v>44216.782083333332</v>
      </c>
    </row>
    <row r="1253" spans="1:17">
      <c r="A1253" s="656" t="s">
        <v>893</v>
      </c>
      <c r="B1253" s="657" t="s">
        <v>504</v>
      </c>
      <c r="C1253" s="656" t="s">
        <v>13915</v>
      </c>
      <c r="D1253" s="657" t="s">
        <v>14977</v>
      </c>
      <c r="E1253" s="657" t="s">
        <v>9406</v>
      </c>
      <c r="F1253" s="656" t="s">
        <v>540</v>
      </c>
      <c r="G1253" s="656" t="s">
        <v>541</v>
      </c>
      <c r="H1253" s="656" t="s">
        <v>540</v>
      </c>
      <c r="I1253" s="656" t="s">
        <v>14976</v>
      </c>
      <c r="J1253" s="656"/>
      <c r="K1253" s="656"/>
      <c r="L1253" s="656"/>
      <c r="M1253" s="657"/>
      <c r="N1253" s="1482"/>
      <c r="O1253" s="656" t="s">
        <v>498</v>
      </c>
      <c r="P1253" s="656" t="s">
        <v>13052</v>
      </c>
      <c r="Q1253" s="656">
        <v>44216.782083333332</v>
      </c>
    </row>
    <row r="1254" spans="1:17">
      <c r="A1254" s="656" t="s">
        <v>894</v>
      </c>
      <c r="B1254" s="657" t="s">
        <v>504</v>
      </c>
      <c r="C1254" s="656" t="s">
        <v>895</v>
      </c>
      <c r="D1254" s="657" t="s">
        <v>14978</v>
      </c>
      <c r="E1254" s="657" t="s">
        <v>9406</v>
      </c>
      <c r="F1254" s="656" t="s">
        <v>540</v>
      </c>
      <c r="G1254" s="656" t="s">
        <v>541</v>
      </c>
      <c r="H1254" s="656" t="s">
        <v>540</v>
      </c>
      <c r="I1254" s="656" t="s">
        <v>14976</v>
      </c>
      <c r="J1254" s="656"/>
      <c r="K1254" s="656"/>
      <c r="L1254" s="656" t="s">
        <v>13914</v>
      </c>
      <c r="M1254" s="657"/>
      <c r="N1254" s="1482"/>
      <c r="O1254" s="656" t="s">
        <v>498</v>
      </c>
      <c r="P1254" s="656" t="s">
        <v>13052</v>
      </c>
      <c r="Q1254" s="656">
        <v>44216.782071759262</v>
      </c>
    </row>
    <row r="1255" spans="1:17">
      <c r="A1255" s="656" t="s">
        <v>896</v>
      </c>
      <c r="B1255" s="657" t="s">
        <v>504</v>
      </c>
      <c r="C1255" s="656" t="s">
        <v>897</v>
      </c>
      <c r="D1255" s="657" t="s">
        <v>14978</v>
      </c>
      <c r="E1255" s="657" t="s">
        <v>9406</v>
      </c>
      <c r="F1255" s="656" t="s">
        <v>505</v>
      </c>
      <c r="G1255" s="656" t="s">
        <v>522</v>
      </c>
      <c r="H1255" s="656" t="s">
        <v>505</v>
      </c>
      <c r="I1255" s="656" t="s">
        <v>14976</v>
      </c>
      <c r="J1255" s="656"/>
      <c r="K1255" s="656"/>
      <c r="L1255" s="656" t="s">
        <v>13914</v>
      </c>
      <c r="M1255" s="657"/>
      <c r="N1255" s="1482"/>
      <c r="O1255" s="656" t="s">
        <v>498</v>
      </c>
      <c r="P1255" s="656" t="s">
        <v>13052</v>
      </c>
      <c r="Q1255" s="656">
        <v>44216.782060185185</v>
      </c>
    </row>
    <row r="1256" spans="1:17">
      <c r="A1256" s="656" t="s">
        <v>898</v>
      </c>
      <c r="B1256" s="657" t="s">
        <v>504</v>
      </c>
      <c r="C1256" s="656" t="s">
        <v>899</v>
      </c>
      <c r="D1256" s="657" t="s">
        <v>14978</v>
      </c>
      <c r="E1256" s="657" t="s">
        <v>9406</v>
      </c>
      <c r="F1256" s="656" t="s">
        <v>505</v>
      </c>
      <c r="G1256" s="656" t="s">
        <v>522</v>
      </c>
      <c r="H1256" s="656" t="s">
        <v>505</v>
      </c>
      <c r="I1256" s="656" t="s">
        <v>14976</v>
      </c>
      <c r="J1256" s="656"/>
      <c r="K1256" s="656"/>
      <c r="L1256" s="656" t="s">
        <v>13914</v>
      </c>
      <c r="M1256" s="657"/>
      <c r="N1256" s="1482"/>
      <c r="O1256" s="656" t="s">
        <v>498</v>
      </c>
      <c r="P1256" s="656" t="s">
        <v>13052</v>
      </c>
      <c r="Q1256" s="656">
        <v>44216.782060185185</v>
      </c>
    </row>
    <row r="1257" spans="1:17">
      <c r="A1257" s="656" t="s">
        <v>900</v>
      </c>
      <c r="B1257" s="657" t="s">
        <v>504</v>
      </c>
      <c r="C1257" s="656" t="s">
        <v>901</v>
      </c>
      <c r="D1257" s="657" t="s">
        <v>14978</v>
      </c>
      <c r="E1257" s="657" t="s">
        <v>9406</v>
      </c>
      <c r="F1257" s="656" t="s">
        <v>505</v>
      </c>
      <c r="G1257" s="656" t="s">
        <v>522</v>
      </c>
      <c r="H1257" s="656" t="s">
        <v>505</v>
      </c>
      <c r="I1257" s="656" t="s">
        <v>14976</v>
      </c>
      <c r="J1257" s="656"/>
      <c r="K1257" s="656"/>
      <c r="L1257" s="656" t="s">
        <v>13914</v>
      </c>
      <c r="M1257" s="657"/>
      <c r="N1257" s="1482"/>
      <c r="O1257" s="656" t="s">
        <v>498</v>
      </c>
      <c r="P1257" s="656" t="s">
        <v>13052</v>
      </c>
      <c r="Q1257" s="656">
        <v>44216.782060185185</v>
      </c>
    </row>
    <row r="1258" spans="1:17">
      <c r="A1258" s="656" t="s">
        <v>902</v>
      </c>
      <c r="B1258" s="657" t="s">
        <v>504</v>
      </c>
      <c r="C1258" s="656" t="s">
        <v>903</v>
      </c>
      <c r="D1258" s="657" t="s">
        <v>14978</v>
      </c>
      <c r="E1258" s="657" t="s">
        <v>9406</v>
      </c>
      <c r="F1258" s="656" t="s">
        <v>540</v>
      </c>
      <c r="G1258" s="656" t="s">
        <v>541</v>
      </c>
      <c r="H1258" s="656" t="s">
        <v>540</v>
      </c>
      <c r="I1258" s="656" t="s">
        <v>14976</v>
      </c>
      <c r="J1258" s="656"/>
      <c r="K1258" s="656"/>
      <c r="L1258" s="656" t="s">
        <v>13914</v>
      </c>
      <c r="M1258" s="657"/>
      <c r="N1258" s="1482"/>
      <c r="O1258" s="656" t="s">
        <v>498</v>
      </c>
      <c r="P1258" s="656" t="s">
        <v>13052</v>
      </c>
      <c r="Q1258" s="656">
        <v>44216.782048611109</v>
      </c>
    </row>
    <row r="1259" spans="1:17">
      <c r="A1259" s="656" t="s">
        <v>904</v>
      </c>
      <c r="B1259" s="657" t="s">
        <v>504</v>
      </c>
      <c r="C1259" s="656" t="s">
        <v>13914</v>
      </c>
      <c r="D1259" s="657" t="s">
        <v>14977</v>
      </c>
      <c r="E1259" s="657" t="s">
        <v>9406</v>
      </c>
      <c r="F1259" s="656" t="s">
        <v>540</v>
      </c>
      <c r="G1259" s="656" t="s">
        <v>541</v>
      </c>
      <c r="H1259" s="656" t="s">
        <v>540</v>
      </c>
      <c r="I1259" s="656" t="s">
        <v>14976</v>
      </c>
      <c r="J1259" s="656"/>
      <c r="K1259" s="656"/>
      <c r="L1259" s="656"/>
      <c r="M1259" s="657"/>
      <c r="N1259" s="1482"/>
      <c r="O1259" s="656" t="s">
        <v>498</v>
      </c>
      <c r="P1259" s="656" t="s">
        <v>13052</v>
      </c>
      <c r="Q1259" s="656">
        <v>44216.782048611109</v>
      </c>
    </row>
    <row r="1260" spans="1:17">
      <c r="A1260" s="656" t="s">
        <v>905</v>
      </c>
      <c r="B1260" s="657" t="s">
        <v>504</v>
      </c>
      <c r="C1260" s="656" t="s">
        <v>906</v>
      </c>
      <c r="D1260" s="657" t="s">
        <v>14978</v>
      </c>
      <c r="E1260" s="657" t="s">
        <v>9406</v>
      </c>
      <c r="F1260" s="656" t="s">
        <v>505</v>
      </c>
      <c r="G1260" s="656" t="s">
        <v>522</v>
      </c>
      <c r="H1260" s="656" t="s">
        <v>505</v>
      </c>
      <c r="I1260" s="656" t="s">
        <v>14976</v>
      </c>
      <c r="J1260" s="656"/>
      <c r="K1260" s="656"/>
      <c r="L1260" s="656" t="s">
        <v>916</v>
      </c>
      <c r="M1260" s="657"/>
      <c r="N1260" s="1482"/>
      <c r="O1260" s="656" t="s">
        <v>498</v>
      </c>
      <c r="P1260" s="656" t="s">
        <v>13052</v>
      </c>
      <c r="Q1260" s="656">
        <v>44216.782013888886</v>
      </c>
    </row>
    <row r="1261" spans="1:17">
      <c r="A1261" s="656" t="s">
        <v>907</v>
      </c>
      <c r="B1261" s="657" t="s">
        <v>504</v>
      </c>
      <c r="C1261" s="656" t="s">
        <v>7626</v>
      </c>
      <c r="D1261" s="657" t="s">
        <v>14978</v>
      </c>
      <c r="E1261" s="657" t="s">
        <v>9406</v>
      </c>
      <c r="F1261" s="656" t="s">
        <v>505</v>
      </c>
      <c r="G1261" s="656" t="s">
        <v>522</v>
      </c>
      <c r="H1261" s="656" t="s">
        <v>505</v>
      </c>
      <c r="I1261" s="656" t="s">
        <v>14976</v>
      </c>
      <c r="J1261" s="656"/>
      <c r="K1261" s="656"/>
      <c r="L1261" s="656" t="s">
        <v>916</v>
      </c>
      <c r="M1261" s="657"/>
      <c r="N1261" s="1482"/>
      <c r="O1261" s="656" t="s">
        <v>498</v>
      </c>
      <c r="P1261" s="656" t="s">
        <v>13052</v>
      </c>
      <c r="Q1261" s="656">
        <v>44216.782013888886</v>
      </c>
    </row>
    <row r="1262" spans="1:17">
      <c r="A1262" s="656" t="s">
        <v>908</v>
      </c>
      <c r="B1262" s="657" t="s">
        <v>504</v>
      </c>
      <c r="C1262" s="656" t="s">
        <v>909</v>
      </c>
      <c r="D1262" s="657" t="s">
        <v>14978</v>
      </c>
      <c r="E1262" s="657" t="s">
        <v>9406</v>
      </c>
      <c r="F1262" s="656" t="s">
        <v>540</v>
      </c>
      <c r="G1262" s="656" t="s">
        <v>541</v>
      </c>
      <c r="H1262" s="656" t="s">
        <v>540</v>
      </c>
      <c r="I1262" s="656" t="s">
        <v>14976</v>
      </c>
      <c r="J1262" s="656"/>
      <c r="K1262" s="656"/>
      <c r="L1262" s="656" t="s">
        <v>916</v>
      </c>
      <c r="M1262" s="657"/>
      <c r="N1262" s="1482"/>
      <c r="O1262" s="656" t="s">
        <v>498</v>
      </c>
      <c r="P1262" s="656" t="s">
        <v>13052</v>
      </c>
      <c r="Q1262" s="656">
        <v>44216.782002314816</v>
      </c>
    </row>
    <row r="1263" spans="1:17">
      <c r="A1263" s="656" t="s">
        <v>910</v>
      </c>
      <c r="B1263" s="657" t="s">
        <v>504</v>
      </c>
      <c r="C1263" s="656" t="s">
        <v>13913</v>
      </c>
      <c r="D1263" s="657" t="s">
        <v>14978</v>
      </c>
      <c r="E1263" s="657" t="s">
        <v>9406</v>
      </c>
      <c r="F1263" s="656" t="s">
        <v>505</v>
      </c>
      <c r="G1263" s="656" t="s">
        <v>522</v>
      </c>
      <c r="H1263" s="656" t="s">
        <v>505</v>
      </c>
      <c r="I1263" s="656" t="s">
        <v>14976</v>
      </c>
      <c r="J1263" s="656"/>
      <c r="K1263" s="656"/>
      <c r="L1263" s="656" t="s">
        <v>916</v>
      </c>
      <c r="M1263" s="657"/>
      <c r="N1263" s="1482"/>
      <c r="O1263" s="656" t="s">
        <v>498</v>
      </c>
      <c r="P1263" s="656" t="s">
        <v>13052</v>
      </c>
      <c r="Q1263" s="656">
        <v>44216.782002314816</v>
      </c>
    </row>
    <row r="1264" spans="1:17">
      <c r="A1264" s="656" t="s">
        <v>911</v>
      </c>
      <c r="B1264" s="657" t="s">
        <v>504</v>
      </c>
      <c r="C1264" s="656" t="s">
        <v>912</v>
      </c>
      <c r="D1264" s="657" t="s">
        <v>14978</v>
      </c>
      <c r="E1264" s="657" t="s">
        <v>9406</v>
      </c>
      <c r="F1264" s="656" t="s">
        <v>505</v>
      </c>
      <c r="G1264" s="656" t="s">
        <v>522</v>
      </c>
      <c r="H1264" s="656" t="s">
        <v>505</v>
      </c>
      <c r="I1264" s="656" t="s">
        <v>14976</v>
      </c>
      <c r="J1264" s="656"/>
      <c r="K1264" s="656"/>
      <c r="L1264" s="656" t="s">
        <v>916</v>
      </c>
      <c r="M1264" s="657"/>
      <c r="N1264" s="1482"/>
      <c r="O1264" s="656" t="s">
        <v>498</v>
      </c>
      <c r="P1264" s="656" t="s">
        <v>13052</v>
      </c>
      <c r="Q1264" s="656">
        <v>44216.781990740739</v>
      </c>
    </row>
    <row r="1265" spans="1:17">
      <c r="A1265" s="656" t="s">
        <v>913</v>
      </c>
      <c r="B1265" s="657" t="s">
        <v>504</v>
      </c>
      <c r="C1265" s="656" t="s">
        <v>914</v>
      </c>
      <c r="D1265" s="657" t="s">
        <v>14978</v>
      </c>
      <c r="E1265" s="657" t="s">
        <v>9406</v>
      </c>
      <c r="F1265" s="656" t="s">
        <v>540</v>
      </c>
      <c r="G1265" s="656" t="s">
        <v>541</v>
      </c>
      <c r="H1265" s="656" t="s">
        <v>540</v>
      </c>
      <c r="I1265" s="656" t="s">
        <v>14976</v>
      </c>
      <c r="J1265" s="656"/>
      <c r="K1265" s="656"/>
      <c r="L1265" s="656" t="s">
        <v>916</v>
      </c>
      <c r="M1265" s="657"/>
      <c r="N1265" s="1482"/>
      <c r="O1265" s="656" t="s">
        <v>498</v>
      </c>
      <c r="P1265" s="656" t="s">
        <v>13052</v>
      </c>
      <c r="Q1265" s="656">
        <v>44216.781990740739</v>
      </c>
    </row>
    <row r="1266" spans="1:17">
      <c r="A1266" s="656" t="s">
        <v>915</v>
      </c>
      <c r="B1266" s="657" t="s">
        <v>504</v>
      </c>
      <c r="C1266" s="656" t="s">
        <v>916</v>
      </c>
      <c r="D1266" s="657" t="s">
        <v>14977</v>
      </c>
      <c r="E1266" s="657" t="s">
        <v>9406</v>
      </c>
      <c r="F1266" s="656" t="s">
        <v>540</v>
      </c>
      <c r="G1266" s="656" t="s">
        <v>541</v>
      </c>
      <c r="H1266" s="656" t="s">
        <v>540</v>
      </c>
      <c r="I1266" s="656" t="s">
        <v>14976</v>
      </c>
      <c r="J1266" s="656"/>
      <c r="K1266" s="656"/>
      <c r="L1266" s="656"/>
      <c r="M1266" s="657"/>
      <c r="N1266" s="1482"/>
      <c r="O1266" s="656" t="s">
        <v>498</v>
      </c>
      <c r="P1266" s="656" t="s">
        <v>13052</v>
      </c>
      <c r="Q1266" s="656">
        <v>44216.78197916667</v>
      </c>
    </row>
    <row r="1267" spans="1:17">
      <c r="A1267" s="656" t="s">
        <v>917</v>
      </c>
      <c r="B1267" s="657" t="s">
        <v>202</v>
      </c>
      <c r="C1267" s="656" t="s">
        <v>13912</v>
      </c>
      <c r="D1267" s="657"/>
      <c r="E1267" s="657" t="s">
        <v>9510</v>
      </c>
      <c r="F1267" s="656" t="s">
        <v>3077</v>
      </c>
      <c r="G1267" s="656" t="s">
        <v>512</v>
      </c>
      <c r="H1267" s="656" t="s">
        <v>465</v>
      </c>
      <c r="I1267" s="656" t="s">
        <v>15280</v>
      </c>
      <c r="J1267" s="656" t="s">
        <v>446</v>
      </c>
      <c r="K1267" s="656" t="s">
        <v>3077</v>
      </c>
      <c r="L1267" s="656"/>
      <c r="M1267" s="657"/>
      <c r="N1267" s="1482"/>
      <c r="O1267" s="656" t="s">
        <v>498</v>
      </c>
      <c r="P1267" s="656" t="s">
        <v>13052</v>
      </c>
      <c r="Q1267" s="656">
        <v>44216.78197916667</v>
      </c>
    </row>
    <row r="1268" spans="1:17">
      <c r="A1268" s="656" t="s">
        <v>918</v>
      </c>
      <c r="B1268" s="657" t="s">
        <v>202</v>
      </c>
      <c r="C1268" s="656" t="s">
        <v>919</v>
      </c>
      <c r="D1268" s="657"/>
      <c r="E1268" s="657" t="s">
        <v>9406</v>
      </c>
      <c r="F1268" s="656" t="s">
        <v>462</v>
      </c>
      <c r="G1268" s="656" t="s">
        <v>552</v>
      </c>
      <c r="H1268" s="656" t="s">
        <v>462</v>
      </c>
      <c r="I1268" s="656" t="s">
        <v>14976</v>
      </c>
      <c r="J1268" s="656" t="s">
        <v>463</v>
      </c>
      <c r="K1268" s="656"/>
      <c r="L1268" s="656"/>
      <c r="M1268" s="657"/>
      <c r="N1268" s="1482"/>
      <c r="O1268" s="656" t="s">
        <v>498</v>
      </c>
      <c r="P1268" s="656" t="s">
        <v>13052</v>
      </c>
      <c r="Q1268" s="656">
        <v>44216.781967592593</v>
      </c>
    </row>
    <row r="1269" spans="1:17">
      <c r="A1269" s="656" t="s">
        <v>920</v>
      </c>
      <c r="B1269" s="657" t="s">
        <v>202</v>
      </c>
      <c r="C1269" s="656" t="s">
        <v>921</v>
      </c>
      <c r="D1269" s="657" t="s">
        <v>13789</v>
      </c>
      <c r="E1269" s="657" t="s">
        <v>9406</v>
      </c>
      <c r="F1269" s="656" t="s">
        <v>4052</v>
      </c>
      <c r="G1269" s="656" t="s">
        <v>922</v>
      </c>
      <c r="H1269" s="656" t="s">
        <v>455</v>
      </c>
      <c r="I1269" s="656" t="s">
        <v>14976</v>
      </c>
      <c r="J1269" s="656" t="s">
        <v>451</v>
      </c>
      <c r="K1269" s="656" t="s">
        <v>1058</v>
      </c>
      <c r="L1269" s="656"/>
      <c r="M1269" s="657"/>
      <c r="N1269" s="1482"/>
      <c r="O1269" s="656" t="s">
        <v>498</v>
      </c>
      <c r="P1269" s="656" t="s">
        <v>13052</v>
      </c>
      <c r="Q1269" s="656">
        <v>44216.781967592593</v>
      </c>
    </row>
    <row r="1270" spans="1:17">
      <c r="A1270" s="656" t="s">
        <v>924</v>
      </c>
      <c r="B1270" s="657" t="s">
        <v>202</v>
      </c>
      <c r="C1270" s="656" t="s">
        <v>925</v>
      </c>
      <c r="D1270" s="657" t="s">
        <v>13789</v>
      </c>
      <c r="E1270" s="657" t="s">
        <v>9406</v>
      </c>
      <c r="F1270" s="656" t="s">
        <v>4052</v>
      </c>
      <c r="G1270" s="656" t="s">
        <v>827</v>
      </c>
      <c r="H1270" s="656" t="s">
        <v>455</v>
      </c>
      <c r="I1270" s="656" t="s">
        <v>14976</v>
      </c>
      <c r="J1270" s="656" t="s">
        <v>451</v>
      </c>
      <c r="K1270" s="656"/>
      <c r="L1270" s="656"/>
      <c r="M1270" s="657"/>
      <c r="N1270" s="1482"/>
      <c r="O1270" s="656" t="s">
        <v>498</v>
      </c>
      <c r="P1270" s="656" t="s">
        <v>13052</v>
      </c>
      <c r="Q1270" s="656">
        <v>44216.781956018516</v>
      </c>
    </row>
    <row r="1271" spans="1:17">
      <c r="A1271" s="656" t="s">
        <v>13911</v>
      </c>
      <c r="B1271" s="657" t="s">
        <v>504</v>
      </c>
      <c r="C1271" s="656" t="s">
        <v>926</v>
      </c>
      <c r="D1271" s="657" t="s">
        <v>14978</v>
      </c>
      <c r="E1271" s="657" t="s">
        <v>9510</v>
      </c>
      <c r="F1271" s="656" t="s">
        <v>505</v>
      </c>
      <c r="G1271" s="656" t="s">
        <v>525</v>
      </c>
      <c r="H1271" s="656" t="s">
        <v>505</v>
      </c>
      <c r="I1271" s="656" t="s">
        <v>14976</v>
      </c>
      <c r="J1271" s="656"/>
      <c r="K1271" s="656"/>
      <c r="L1271" s="656" t="s">
        <v>931</v>
      </c>
      <c r="M1271" s="657"/>
      <c r="N1271" s="1482"/>
      <c r="O1271" s="656" t="s">
        <v>498</v>
      </c>
      <c r="P1271" s="656" t="s">
        <v>13052</v>
      </c>
      <c r="Q1271" s="656">
        <v>44216.781956018516</v>
      </c>
    </row>
    <row r="1272" spans="1:17">
      <c r="A1272" s="656" t="s">
        <v>13910</v>
      </c>
      <c r="B1272" s="657" t="s">
        <v>504</v>
      </c>
      <c r="C1272" s="656" t="s">
        <v>927</v>
      </c>
      <c r="D1272" s="657" t="s">
        <v>14978</v>
      </c>
      <c r="E1272" s="657" t="s">
        <v>9510</v>
      </c>
      <c r="F1272" s="656" t="s">
        <v>505</v>
      </c>
      <c r="G1272" s="656" t="s">
        <v>525</v>
      </c>
      <c r="H1272" s="656" t="s">
        <v>505</v>
      </c>
      <c r="I1272" s="656" t="s">
        <v>14976</v>
      </c>
      <c r="J1272" s="656"/>
      <c r="K1272" s="656"/>
      <c r="L1272" s="656" t="s">
        <v>931</v>
      </c>
      <c r="M1272" s="657"/>
      <c r="N1272" s="1482"/>
      <c r="O1272" s="656" t="s">
        <v>498</v>
      </c>
      <c r="P1272" s="656" t="s">
        <v>13052</v>
      </c>
      <c r="Q1272" s="656">
        <v>44216.781956018516</v>
      </c>
    </row>
    <row r="1273" spans="1:17">
      <c r="A1273" s="656" t="s">
        <v>13909</v>
      </c>
      <c r="B1273" s="657" t="s">
        <v>504</v>
      </c>
      <c r="C1273" s="656" t="s">
        <v>928</v>
      </c>
      <c r="D1273" s="657" t="s">
        <v>14978</v>
      </c>
      <c r="E1273" s="657" t="s">
        <v>9510</v>
      </c>
      <c r="F1273" s="656" t="s">
        <v>505</v>
      </c>
      <c r="G1273" s="656" t="s">
        <v>525</v>
      </c>
      <c r="H1273" s="656" t="s">
        <v>505</v>
      </c>
      <c r="I1273" s="656" t="s">
        <v>14976</v>
      </c>
      <c r="J1273" s="656"/>
      <c r="K1273" s="656"/>
      <c r="L1273" s="656" t="s">
        <v>931</v>
      </c>
      <c r="M1273" s="657"/>
      <c r="N1273" s="1482"/>
      <c r="O1273" s="656" t="s">
        <v>498</v>
      </c>
      <c r="P1273" s="656" t="s">
        <v>13052</v>
      </c>
      <c r="Q1273" s="656">
        <v>44216.781944444447</v>
      </c>
    </row>
    <row r="1274" spans="1:17">
      <c r="A1274" s="656" t="s">
        <v>13908</v>
      </c>
      <c r="B1274" s="657" t="s">
        <v>504</v>
      </c>
      <c r="C1274" s="656" t="s">
        <v>929</v>
      </c>
      <c r="D1274" s="657" t="s">
        <v>14978</v>
      </c>
      <c r="E1274" s="657" t="s">
        <v>9510</v>
      </c>
      <c r="F1274" s="656" t="s">
        <v>505</v>
      </c>
      <c r="G1274" s="656" t="s">
        <v>525</v>
      </c>
      <c r="H1274" s="656" t="s">
        <v>505</v>
      </c>
      <c r="I1274" s="656" t="s">
        <v>14976</v>
      </c>
      <c r="J1274" s="656"/>
      <c r="K1274" s="656"/>
      <c r="L1274" s="656" t="s">
        <v>931</v>
      </c>
      <c r="M1274" s="657"/>
      <c r="N1274" s="1482"/>
      <c r="O1274" s="656" t="s">
        <v>498</v>
      </c>
      <c r="P1274" s="656" t="s">
        <v>13052</v>
      </c>
      <c r="Q1274" s="656">
        <v>44216.781944444447</v>
      </c>
    </row>
    <row r="1275" spans="1:17">
      <c r="A1275" s="656" t="s">
        <v>13907</v>
      </c>
      <c r="B1275" s="657" t="s">
        <v>504</v>
      </c>
      <c r="C1275" s="656" t="s">
        <v>930</v>
      </c>
      <c r="D1275" s="657" t="s">
        <v>14978</v>
      </c>
      <c r="E1275" s="657" t="s">
        <v>9510</v>
      </c>
      <c r="F1275" s="656" t="s">
        <v>505</v>
      </c>
      <c r="G1275" s="656" t="s">
        <v>525</v>
      </c>
      <c r="H1275" s="656" t="s">
        <v>505</v>
      </c>
      <c r="I1275" s="656" t="s">
        <v>14976</v>
      </c>
      <c r="J1275" s="656"/>
      <c r="K1275" s="656"/>
      <c r="L1275" s="656" t="s">
        <v>931</v>
      </c>
      <c r="M1275" s="657"/>
      <c r="N1275" s="1482"/>
      <c r="O1275" s="656" t="s">
        <v>498</v>
      </c>
      <c r="P1275" s="656" t="s">
        <v>13052</v>
      </c>
      <c r="Q1275" s="656">
        <v>44216.78193287037</v>
      </c>
    </row>
    <row r="1276" spans="1:17">
      <c r="A1276" s="656" t="s">
        <v>931</v>
      </c>
      <c r="B1276" s="657" t="s">
        <v>504</v>
      </c>
      <c r="C1276" s="656" t="s">
        <v>932</v>
      </c>
      <c r="D1276" s="657" t="s">
        <v>14977</v>
      </c>
      <c r="E1276" s="657" t="s">
        <v>9510</v>
      </c>
      <c r="F1276" s="656" t="s">
        <v>505</v>
      </c>
      <c r="G1276" s="656" t="s">
        <v>525</v>
      </c>
      <c r="H1276" s="656" t="s">
        <v>505</v>
      </c>
      <c r="I1276" s="656" t="s">
        <v>14976</v>
      </c>
      <c r="J1276" s="656"/>
      <c r="K1276" s="656"/>
      <c r="L1276" s="656"/>
      <c r="M1276" s="657"/>
      <c r="N1276" s="1482"/>
      <c r="O1276" s="656" t="s">
        <v>498</v>
      </c>
      <c r="P1276" s="656" t="s">
        <v>13052</v>
      </c>
      <c r="Q1276" s="656">
        <v>44216.781921296293</v>
      </c>
    </row>
    <row r="1277" spans="1:17">
      <c r="A1277" s="656" t="s">
        <v>933</v>
      </c>
      <c r="B1277" s="657" t="s">
        <v>202</v>
      </c>
      <c r="C1277" s="656" t="s">
        <v>934</v>
      </c>
      <c r="D1277" s="657" t="s">
        <v>13789</v>
      </c>
      <c r="E1277" s="657" t="s">
        <v>9406</v>
      </c>
      <c r="F1277" s="656" t="s">
        <v>442</v>
      </c>
      <c r="G1277" s="656" t="s">
        <v>561</v>
      </c>
      <c r="H1277" s="656" t="s">
        <v>442</v>
      </c>
      <c r="I1277" s="656" t="s">
        <v>14976</v>
      </c>
      <c r="J1277" s="656" t="s">
        <v>12369</v>
      </c>
      <c r="K1277" s="656"/>
      <c r="L1277" s="656"/>
      <c r="M1277" s="657"/>
      <c r="N1277" s="1482"/>
      <c r="O1277" s="656" t="s">
        <v>498</v>
      </c>
      <c r="P1277" s="656" t="s">
        <v>13052</v>
      </c>
      <c r="Q1277" s="656">
        <v>44216.781921296293</v>
      </c>
    </row>
    <row r="1278" spans="1:17">
      <c r="A1278" s="656" t="s">
        <v>935</v>
      </c>
      <c r="B1278" s="657" t="s">
        <v>202</v>
      </c>
      <c r="C1278" s="656" t="s">
        <v>936</v>
      </c>
      <c r="D1278" s="657" t="s">
        <v>14977</v>
      </c>
      <c r="E1278" s="657" t="s">
        <v>9406</v>
      </c>
      <c r="F1278" s="656" t="s">
        <v>472</v>
      </c>
      <c r="G1278" s="656" t="s">
        <v>519</v>
      </c>
      <c r="H1278" s="656" t="s">
        <v>472</v>
      </c>
      <c r="I1278" s="656" t="s">
        <v>14976</v>
      </c>
      <c r="J1278" s="656" t="s">
        <v>12368</v>
      </c>
      <c r="K1278" s="656" t="s">
        <v>1058</v>
      </c>
      <c r="L1278" s="656"/>
      <c r="M1278" s="657"/>
      <c r="N1278" s="1482"/>
      <c r="O1278" s="656" t="s">
        <v>498</v>
      </c>
      <c r="P1278" s="656" t="s">
        <v>13052</v>
      </c>
      <c r="Q1278" s="656">
        <v>44216.781909722224</v>
      </c>
    </row>
    <row r="1279" spans="1:17">
      <c r="A1279" s="656" t="s">
        <v>937</v>
      </c>
      <c r="B1279" s="657" t="s">
        <v>202</v>
      </c>
      <c r="C1279" s="656" t="s">
        <v>938</v>
      </c>
      <c r="D1279" s="657" t="s">
        <v>14978</v>
      </c>
      <c r="E1279" s="657" t="s">
        <v>9458</v>
      </c>
      <c r="F1279" s="656" t="s">
        <v>472</v>
      </c>
      <c r="G1279" s="656" t="s">
        <v>519</v>
      </c>
      <c r="H1279" s="656" t="s">
        <v>472</v>
      </c>
      <c r="I1279" s="656" t="s">
        <v>14976</v>
      </c>
      <c r="J1279" s="656"/>
      <c r="K1279" s="656" t="s">
        <v>1058</v>
      </c>
      <c r="L1279" s="656" t="s">
        <v>951</v>
      </c>
      <c r="M1279" s="657"/>
      <c r="N1279" s="1482"/>
      <c r="O1279" s="656" t="s">
        <v>498</v>
      </c>
      <c r="P1279" s="656" t="s">
        <v>13052</v>
      </c>
      <c r="Q1279" s="656">
        <v>44216.781909722224</v>
      </c>
    </row>
    <row r="1280" spans="1:17">
      <c r="A1280" s="656" t="s">
        <v>939</v>
      </c>
      <c r="B1280" s="657" t="s">
        <v>202</v>
      </c>
      <c r="C1280" s="656" t="s">
        <v>940</v>
      </c>
      <c r="D1280" s="657" t="s">
        <v>14978</v>
      </c>
      <c r="E1280" s="657" t="s">
        <v>9406</v>
      </c>
      <c r="F1280" s="656" t="s">
        <v>472</v>
      </c>
      <c r="G1280" s="656" t="s">
        <v>519</v>
      </c>
      <c r="H1280" s="656" t="s">
        <v>472</v>
      </c>
      <c r="I1280" s="656" t="s">
        <v>14976</v>
      </c>
      <c r="J1280" s="656" t="s">
        <v>12368</v>
      </c>
      <c r="K1280" s="656" t="s">
        <v>1058</v>
      </c>
      <c r="L1280" s="656" t="s">
        <v>951</v>
      </c>
      <c r="M1280" s="657"/>
      <c r="N1280" s="1482"/>
      <c r="O1280" s="656" t="s">
        <v>498</v>
      </c>
      <c r="P1280" s="656" t="s">
        <v>13052</v>
      </c>
      <c r="Q1280" s="656">
        <v>44216.781898148147</v>
      </c>
    </row>
    <row r="1281" spans="1:17">
      <c r="A1281" s="656" t="s">
        <v>941</v>
      </c>
      <c r="B1281" s="657" t="s">
        <v>202</v>
      </c>
      <c r="C1281" s="656" t="s">
        <v>942</v>
      </c>
      <c r="D1281" s="657" t="s">
        <v>14978</v>
      </c>
      <c r="E1281" s="657" t="s">
        <v>9406</v>
      </c>
      <c r="F1281" s="656" t="s">
        <v>472</v>
      </c>
      <c r="G1281" s="656" t="s">
        <v>519</v>
      </c>
      <c r="H1281" s="656" t="s">
        <v>472</v>
      </c>
      <c r="I1281" s="656" t="s">
        <v>14976</v>
      </c>
      <c r="J1281" s="656"/>
      <c r="K1281" s="656" t="s">
        <v>1058</v>
      </c>
      <c r="L1281" s="656" t="s">
        <v>951</v>
      </c>
      <c r="M1281" s="657"/>
      <c r="N1281" s="1482"/>
      <c r="O1281" s="656" t="s">
        <v>498</v>
      </c>
      <c r="P1281" s="656" t="s">
        <v>13052</v>
      </c>
      <c r="Q1281" s="656">
        <v>44216.781909722224</v>
      </c>
    </row>
    <row r="1282" spans="1:17">
      <c r="A1282" s="656" t="s">
        <v>943</v>
      </c>
      <c r="B1282" s="657" t="s">
        <v>202</v>
      </c>
      <c r="C1282" s="656" t="s">
        <v>518</v>
      </c>
      <c r="D1282" s="657" t="s">
        <v>14978</v>
      </c>
      <c r="E1282" s="657" t="s">
        <v>9406</v>
      </c>
      <c r="F1282" s="656" t="s">
        <v>472</v>
      </c>
      <c r="G1282" s="656" t="s">
        <v>519</v>
      </c>
      <c r="H1282" s="656" t="s">
        <v>472</v>
      </c>
      <c r="I1282" s="656" t="s">
        <v>14976</v>
      </c>
      <c r="J1282" s="656"/>
      <c r="K1282" s="656" t="s">
        <v>1058</v>
      </c>
      <c r="L1282" s="656" t="s">
        <v>951</v>
      </c>
      <c r="M1282" s="657"/>
      <c r="N1282" s="1482"/>
      <c r="O1282" s="656" t="s">
        <v>498</v>
      </c>
      <c r="P1282" s="656" t="s">
        <v>13052</v>
      </c>
      <c r="Q1282" s="656">
        <v>44216.781886574077</v>
      </c>
    </row>
    <row r="1283" spans="1:17">
      <c r="A1283" s="656" t="s">
        <v>944</v>
      </c>
      <c r="B1283" s="657" t="s">
        <v>202</v>
      </c>
      <c r="C1283" s="656" t="s">
        <v>945</v>
      </c>
      <c r="D1283" s="657" t="s">
        <v>14978</v>
      </c>
      <c r="E1283" s="657" t="s">
        <v>9406</v>
      </c>
      <c r="F1283" s="656" t="s">
        <v>472</v>
      </c>
      <c r="G1283" s="656" t="s">
        <v>519</v>
      </c>
      <c r="H1283" s="656" t="s">
        <v>472</v>
      </c>
      <c r="I1283" s="656" t="s">
        <v>14976</v>
      </c>
      <c r="J1283" s="656" t="s">
        <v>12368</v>
      </c>
      <c r="K1283" s="656" t="s">
        <v>1058</v>
      </c>
      <c r="L1283" s="656" t="s">
        <v>951</v>
      </c>
      <c r="M1283" s="657"/>
      <c r="N1283" s="1482"/>
      <c r="O1283" s="656" t="s">
        <v>498</v>
      </c>
      <c r="P1283" s="656" t="s">
        <v>13052</v>
      </c>
      <c r="Q1283" s="656">
        <v>44216.781886574077</v>
      </c>
    </row>
    <row r="1284" spans="1:17">
      <c r="A1284" s="656" t="s">
        <v>946</v>
      </c>
      <c r="B1284" s="657" t="s">
        <v>202</v>
      </c>
      <c r="C1284" s="656" t="s">
        <v>879</v>
      </c>
      <c r="D1284" s="657" t="s">
        <v>14978</v>
      </c>
      <c r="E1284" s="657" t="s">
        <v>9406</v>
      </c>
      <c r="F1284" s="656" t="s">
        <v>472</v>
      </c>
      <c r="G1284" s="656" t="s">
        <v>519</v>
      </c>
      <c r="H1284" s="656" t="s">
        <v>472</v>
      </c>
      <c r="I1284" s="656" t="s">
        <v>14976</v>
      </c>
      <c r="J1284" s="656"/>
      <c r="K1284" s="656" t="s">
        <v>1058</v>
      </c>
      <c r="L1284" s="656" t="s">
        <v>951</v>
      </c>
      <c r="M1284" s="657"/>
      <c r="N1284" s="1482"/>
      <c r="O1284" s="656" t="s">
        <v>498</v>
      </c>
      <c r="P1284" s="656" t="s">
        <v>13052</v>
      </c>
      <c r="Q1284" s="656">
        <v>44216.781886574077</v>
      </c>
    </row>
    <row r="1285" spans="1:17">
      <c r="A1285" s="656" t="s">
        <v>947</v>
      </c>
      <c r="B1285" s="657" t="s">
        <v>202</v>
      </c>
      <c r="C1285" s="656" t="s">
        <v>948</v>
      </c>
      <c r="D1285" s="657" t="s">
        <v>14978</v>
      </c>
      <c r="E1285" s="657" t="s">
        <v>9458</v>
      </c>
      <c r="F1285" s="656" t="s">
        <v>472</v>
      </c>
      <c r="G1285" s="656" t="s">
        <v>519</v>
      </c>
      <c r="H1285" s="656" t="s">
        <v>472</v>
      </c>
      <c r="I1285" s="656" t="s">
        <v>14976</v>
      </c>
      <c r="J1285" s="656"/>
      <c r="K1285" s="656" t="s">
        <v>1058</v>
      </c>
      <c r="L1285" s="656" t="s">
        <v>951</v>
      </c>
      <c r="M1285" s="657"/>
      <c r="N1285" s="1482"/>
      <c r="O1285" s="656" t="s">
        <v>498</v>
      </c>
      <c r="P1285" s="656" t="s">
        <v>13052</v>
      </c>
      <c r="Q1285" s="656">
        <v>44216.781875000001</v>
      </c>
    </row>
    <row r="1286" spans="1:17">
      <c r="A1286" s="656" t="s">
        <v>949</v>
      </c>
      <c r="B1286" s="657" t="s">
        <v>202</v>
      </c>
      <c r="C1286" s="656" t="s">
        <v>950</v>
      </c>
      <c r="D1286" s="657" t="s">
        <v>14978</v>
      </c>
      <c r="E1286" s="657" t="s">
        <v>9406</v>
      </c>
      <c r="F1286" s="656" t="s">
        <v>472</v>
      </c>
      <c r="G1286" s="656" t="s">
        <v>519</v>
      </c>
      <c r="H1286" s="656" t="s">
        <v>472</v>
      </c>
      <c r="I1286" s="656" t="s">
        <v>14976</v>
      </c>
      <c r="J1286" s="656" t="s">
        <v>12368</v>
      </c>
      <c r="K1286" s="656" t="s">
        <v>1058</v>
      </c>
      <c r="L1286" s="656" t="s">
        <v>951</v>
      </c>
      <c r="M1286" s="657"/>
      <c r="N1286" s="1482"/>
      <c r="O1286" s="656" t="s">
        <v>498</v>
      </c>
      <c r="P1286" s="656" t="s">
        <v>13052</v>
      </c>
      <c r="Q1286" s="656">
        <v>44216.781875000001</v>
      </c>
    </row>
    <row r="1287" spans="1:17">
      <c r="A1287" s="656" t="s">
        <v>951</v>
      </c>
      <c r="B1287" s="657" t="s">
        <v>202</v>
      </c>
      <c r="C1287" s="656" t="s">
        <v>952</v>
      </c>
      <c r="D1287" s="657" t="s">
        <v>14977</v>
      </c>
      <c r="E1287" s="657" t="s">
        <v>9406</v>
      </c>
      <c r="F1287" s="656" t="s">
        <v>472</v>
      </c>
      <c r="G1287" s="656" t="s">
        <v>519</v>
      </c>
      <c r="H1287" s="656" t="s">
        <v>472</v>
      </c>
      <c r="I1287" s="656" t="s">
        <v>14976</v>
      </c>
      <c r="J1287" s="656" t="s">
        <v>12368</v>
      </c>
      <c r="K1287" s="656" t="s">
        <v>1058</v>
      </c>
      <c r="L1287" s="656"/>
      <c r="M1287" s="657"/>
      <c r="N1287" s="1482"/>
      <c r="O1287" s="656" t="s">
        <v>498</v>
      </c>
      <c r="P1287" s="656" t="s">
        <v>13052</v>
      </c>
      <c r="Q1287" s="656">
        <v>44216.781863425924</v>
      </c>
    </row>
    <row r="1288" spans="1:17">
      <c r="A1288" s="656" t="s">
        <v>8890</v>
      </c>
      <c r="B1288" s="657" t="s">
        <v>202</v>
      </c>
      <c r="C1288" s="656" t="s">
        <v>8889</v>
      </c>
      <c r="D1288" s="657" t="s">
        <v>14978</v>
      </c>
      <c r="E1288" s="657" t="s">
        <v>9406</v>
      </c>
      <c r="F1288" s="656" t="s">
        <v>472</v>
      </c>
      <c r="G1288" s="656" t="s">
        <v>519</v>
      </c>
      <c r="H1288" s="656" t="s">
        <v>472</v>
      </c>
      <c r="I1288" s="656" t="s">
        <v>14976</v>
      </c>
      <c r="J1288" s="656" t="s">
        <v>12368</v>
      </c>
      <c r="K1288" s="656" t="s">
        <v>1058</v>
      </c>
      <c r="L1288" s="656" t="s">
        <v>961</v>
      </c>
      <c r="M1288" s="657"/>
      <c r="N1288" s="1482"/>
      <c r="O1288" s="656" t="s">
        <v>498</v>
      </c>
      <c r="P1288" s="656" t="s">
        <v>13052</v>
      </c>
      <c r="Q1288" s="656">
        <v>44216.781863425924</v>
      </c>
    </row>
    <row r="1289" spans="1:17">
      <c r="A1289" s="656" t="s">
        <v>8815</v>
      </c>
      <c r="B1289" s="657" t="s">
        <v>202</v>
      </c>
      <c r="C1289" s="656" t="s">
        <v>8891</v>
      </c>
      <c r="D1289" s="657" t="s">
        <v>14978</v>
      </c>
      <c r="E1289" s="657" t="s">
        <v>9406</v>
      </c>
      <c r="F1289" s="656" t="s">
        <v>472</v>
      </c>
      <c r="G1289" s="656" t="s">
        <v>519</v>
      </c>
      <c r="H1289" s="656" t="s">
        <v>472</v>
      </c>
      <c r="I1289" s="656" t="s">
        <v>14976</v>
      </c>
      <c r="J1289" s="656" t="s">
        <v>12368</v>
      </c>
      <c r="K1289" s="656" t="s">
        <v>1058</v>
      </c>
      <c r="L1289" s="656" t="s">
        <v>961</v>
      </c>
      <c r="M1289" s="657"/>
      <c r="N1289" s="1482"/>
      <c r="O1289" s="656" t="s">
        <v>498</v>
      </c>
      <c r="P1289" s="656" t="s">
        <v>13052</v>
      </c>
      <c r="Q1289" s="656">
        <v>44216.781851851854</v>
      </c>
    </row>
    <row r="1290" spans="1:17">
      <c r="A1290" s="656" t="s">
        <v>8738</v>
      </c>
      <c r="B1290" s="657" t="s">
        <v>202</v>
      </c>
      <c r="C1290" s="656" t="s">
        <v>8735</v>
      </c>
      <c r="D1290" s="657" t="s">
        <v>14978</v>
      </c>
      <c r="E1290" s="657" t="s">
        <v>9406</v>
      </c>
      <c r="F1290" s="656" t="s">
        <v>472</v>
      </c>
      <c r="G1290" s="656" t="s">
        <v>519</v>
      </c>
      <c r="H1290" s="656" t="s">
        <v>472</v>
      </c>
      <c r="I1290" s="656" t="s">
        <v>14976</v>
      </c>
      <c r="J1290" s="656" t="s">
        <v>12368</v>
      </c>
      <c r="K1290" s="656" t="s">
        <v>1058</v>
      </c>
      <c r="L1290" s="656" t="s">
        <v>961</v>
      </c>
      <c r="M1290" s="657"/>
      <c r="N1290" s="1482"/>
      <c r="O1290" s="656" t="s">
        <v>498</v>
      </c>
      <c r="P1290" s="656" t="s">
        <v>13052</v>
      </c>
      <c r="Q1290" s="656">
        <v>44216.781851851854</v>
      </c>
    </row>
    <row r="1291" spans="1:17">
      <c r="A1291" s="656" t="s">
        <v>953</v>
      </c>
      <c r="B1291" s="657" t="s">
        <v>202</v>
      </c>
      <c r="C1291" s="656" t="s">
        <v>890</v>
      </c>
      <c r="D1291" s="657" t="s">
        <v>14978</v>
      </c>
      <c r="E1291" s="657" t="s">
        <v>9406</v>
      </c>
      <c r="F1291" s="656" t="s">
        <v>472</v>
      </c>
      <c r="G1291" s="656" t="s">
        <v>519</v>
      </c>
      <c r="H1291" s="656" t="s">
        <v>472</v>
      </c>
      <c r="I1291" s="656" t="s">
        <v>14976</v>
      </c>
      <c r="J1291" s="656"/>
      <c r="K1291" s="656" t="s">
        <v>1058</v>
      </c>
      <c r="L1291" s="656" t="s">
        <v>961</v>
      </c>
      <c r="M1291" s="657"/>
      <c r="N1291" s="1482"/>
      <c r="O1291" s="656" t="s">
        <v>498</v>
      </c>
      <c r="P1291" s="656" t="s">
        <v>13052</v>
      </c>
      <c r="Q1291" s="656">
        <v>44216.781851851854</v>
      </c>
    </row>
    <row r="1292" spans="1:17">
      <c r="A1292" s="656" t="s">
        <v>954</v>
      </c>
      <c r="B1292" s="657" t="s">
        <v>202</v>
      </c>
      <c r="C1292" s="656" t="s">
        <v>590</v>
      </c>
      <c r="D1292" s="657" t="s">
        <v>14978</v>
      </c>
      <c r="E1292" s="657" t="s">
        <v>9406</v>
      </c>
      <c r="F1292" s="656" t="s">
        <v>472</v>
      </c>
      <c r="G1292" s="656" t="s">
        <v>519</v>
      </c>
      <c r="H1292" s="656" t="s">
        <v>472</v>
      </c>
      <c r="I1292" s="656" t="s">
        <v>14976</v>
      </c>
      <c r="J1292" s="656"/>
      <c r="K1292" s="656" t="s">
        <v>1058</v>
      </c>
      <c r="L1292" s="656" t="s">
        <v>961</v>
      </c>
      <c r="M1292" s="657"/>
      <c r="N1292" s="1482"/>
      <c r="O1292" s="656" t="s">
        <v>498</v>
      </c>
      <c r="P1292" s="656" t="s">
        <v>13052</v>
      </c>
      <c r="Q1292" s="656">
        <v>44216.781840277778</v>
      </c>
    </row>
    <row r="1293" spans="1:17">
      <c r="A1293" s="656" t="s">
        <v>955</v>
      </c>
      <c r="B1293" s="657" t="s">
        <v>202</v>
      </c>
      <c r="C1293" s="656" t="s">
        <v>956</v>
      </c>
      <c r="D1293" s="657" t="s">
        <v>14978</v>
      </c>
      <c r="E1293" s="657" t="s">
        <v>9406</v>
      </c>
      <c r="F1293" s="656" t="s">
        <v>472</v>
      </c>
      <c r="G1293" s="656" t="s">
        <v>519</v>
      </c>
      <c r="H1293" s="656" t="s">
        <v>472</v>
      </c>
      <c r="I1293" s="656" t="s">
        <v>14976</v>
      </c>
      <c r="J1293" s="656"/>
      <c r="K1293" s="656" t="s">
        <v>1058</v>
      </c>
      <c r="L1293" s="656" t="s">
        <v>961</v>
      </c>
      <c r="M1293" s="657"/>
      <c r="N1293" s="1482"/>
      <c r="O1293" s="656" t="s">
        <v>498</v>
      </c>
      <c r="P1293" s="656" t="s">
        <v>13052</v>
      </c>
      <c r="Q1293" s="656">
        <v>44216.781851851854</v>
      </c>
    </row>
    <row r="1294" spans="1:17">
      <c r="A1294" s="656" t="s">
        <v>957</v>
      </c>
      <c r="B1294" s="657" t="s">
        <v>202</v>
      </c>
      <c r="C1294" s="656" t="s">
        <v>960</v>
      </c>
      <c r="D1294" s="657" t="s">
        <v>14978</v>
      </c>
      <c r="E1294" s="657" t="s">
        <v>9406</v>
      </c>
      <c r="F1294" s="656" t="s">
        <v>472</v>
      </c>
      <c r="G1294" s="656" t="s">
        <v>519</v>
      </c>
      <c r="H1294" s="656" t="s">
        <v>472</v>
      </c>
      <c r="I1294" s="656" t="s">
        <v>14976</v>
      </c>
      <c r="J1294" s="656" t="s">
        <v>12368</v>
      </c>
      <c r="K1294" s="656" t="s">
        <v>1058</v>
      </c>
      <c r="L1294" s="656" t="s">
        <v>961</v>
      </c>
      <c r="M1294" s="657"/>
      <c r="N1294" s="1482"/>
      <c r="O1294" s="656" t="s">
        <v>498</v>
      </c>
      <c r="P1294" s="656" t="s">
        <v>13052</v>
      </c>
      <c r="Q1294" s="656">
        <v>44216.781840277778</v>
      </c>
    </row>
    <row r="1295" spans="1:17">
      <c r="A1295" s="656" t="s">
        <v>959</v>
      </c>
      <c r="B1295" s="657" t="s">
        <v>202</v>
      </c>
      <c r="C1295" s="656" t="s">
        <v>958</v>
      </c>
      <c r="D1295" s="657" t="s">
        <v>14978</v>
      </c>
      <c r="E1295" s="657" t="s">
        <v>9406</v>
      </c>
      <c r="F1295" s="656" t="s">
        <v>472</v>
      </c>
      <c r="G1295" s="656" t="s">
        <v>519</v>
      </c>
      <c r="H1295" s="656" t="s">
        <v>472</v>
      </c>
      <c r="I1295" s="656" t="s">
        <v>14976</v>
      </c>
      <c r="J1295" s="656" t="s">
        <v>12368</v>
      </c>
      <c r="K1295" s="656" t="s">
        <v>1058</v>
      </c>
      <c r="L1295" s="656" t="s">
        <v>961</v>
      </c>
      <c r="M1295" s="657"/>
      <c r="N1295" s="1482"/>
      <c r="O1295" s="656" t="s">
        <v>498</v>
      </c>
      <c r="P1295" s="656" t="s">
        <v>13052</v>
      </c>
      <c r="Q1295" s="656">
        <v>44216.781828703701</v>
      </c>
    </row>
    <row r="1296" spans="1:17">
      <c r="A1296" s="656" t="s">
        <v>961</v>
      </c>
      <c r="B1296" s="657" t="s">
        <v>202</v>
      </c>
      <c r="C1296" s="656" t="s">
        <v>962</v>
      </c>
      <c r="D1296" s="657" t="s">
        <v>14977</v>
      </c>
      <c r="E1296" s="657" t="s">
        <v>9406</v>
      </c>
      <c r="F1296" s="656" t="s">
        <v>472</v>
      </c>
      <c r="G1296" s="656" t="s">
        <v>519</v>
      </c>
      <c r="H1296" s="656" t="s">
        <v>472</v>
      </c>
      <c r="I1296" s="656" t="s">
        <v>14976</v>
      </c>
      <c r="J1296" s="656" t="s">
        <v>12368</v>
      </c>
      <c r="K1296" s="656" t="s">
        <v>1058</v>
      </c>
      <c r="L1296" s="656"/>
      <c r="M1296" s="657"/>
      <c r="N1296" s="1482"/>
      <c r="O1296" s="656" t="s">
        <v>498</v>
      </c>
      <c r="P1296" s="656" t="s">
        <v>13052</v>
      </c>
      <c r="Q1296" s="656">
        <v>44216.781828703701</v>
      </c>
    </row>
    <row r="1297" spans="1:17">
      <c r="A1297" s="656" t="s">
        <v>963</v>
      </c>
      <c r="B1297" s="657" t="s">
        <v>202</v>
      </c>
      <c r="C1297" s="656" t="s">
        <v>964</v>
      </c>
      <c r="D1297" s="657" t="s">
        <v>14978</v>
      </c>
      <c r="E1297" s="657" t="s">
        <v>9406</v>
      </c>
      <c r="F1297" s="656" t="s">
        <v>472</v>
      </c>
      <c r="G1297" s="656" t="s">
        <v>519</v>
      </c>
      <c r="H1297" s="656" t="s">
        <v>472</v>
      </c>
      <c r="I1297" s="656" t="s">
        <v>14976</v>
      </c>
      <c r="J1297" s="656"/>
      <c r="K1297" s="656" t="s">
        <v>1058</v>
      </c>
      <c r="L1297" s="656" t="s">
        <v>972</v>
      </c>
      <c r="M1297" s="657"/>
      <c r="N1297" s="1482"/>
      <c r="O1297" s="656" t="s">
        <v>498</v>
      </c>
      <c r="P1297" s="656" t="s">
        <v>13052</v>
      </c>
      <c r="Q1297" s="656">
        <v>44216.781817129631</v>
      </c>
    </row>
    <row r="1298" spans="1:17">
      <c r="A1298" s="656" t="s">
        <v>965</v>
      </c>
      <c r="B1298" s="657" t="s">
        <v>202</v>
      </c>
      <c r="C1298" s="656" t="s">
        <v>901</v>
      </c>
      <c r="D1298" s="657" t="s">
        <v>14978</v>
      </c>
      <c r="E1298" s="657" t="s">
        <v>9406</v>
      </c>
      <c r="F1298" s="656" t="s">
        <v>472</v>
      </c>
      <c r="G1298" s="656" t="s">
        <v>519</v>
      </c>
      <c r="H1298" s="656" t="s">
        <v>472</v>
      </c>
      <c r="I1298" s="656" t="s">
        <v>14976</v>
      </c>
      <c r="J1298" s="656"/>
      <c r="K1298" s="656" t="s">
        <v>1058</v>
      </c>
      <c r="L1298" s="656" t="s">
        <v>972</v>
      </c>
      <c r="M1298" s="657"/>
      <c r="N1298" s="1482"/>
      <c r="O1298" s="656" t="s">
        <v>498</v>
      </c>
      <c r="P1298" s="656" t="s">
        <v>13052</v>
      </c>
      <c r="Q1298" s="656">
        <v>44216.781817129631</v>
      </c>
    </row>
    <row r="1299" spans="1:17">
      <c r="A1299" s="656" t="s">
        <v>966</v>
      </c>
      <c r="B1299" s="657" t="s">
        <v>202</v>
      </c>
      <c r="C1299" s="656" t="s">
        <v>967</v>
      </c>
      <c r="D1299" s="657" t="s">
        <v>14978</v>
      </c>
      <c r="E1299" s="657" t="s">
        <v>9406</v>
      </c>
      <c r="F1299" s="656" t="s">
        <v>472</v>
      </c>
      <c r="G1299" s="656" t="s">
        <v>519</v>
      </c>
      <c r="H1299" s="656" t="s">
        <v>472</v>
      </c>
      <c r="I1299" s="656" t="s">
        <v>14976</v>
      </c>
      <c r="J1299" s="656" t="s">
        <v>12368</v>
      </c>
      <c r="K1299" s="656" t="s">
        <v>1058</v>
      </c>
      <c r="L1299" s="656" t="s">
        <v>972</v>
      </c>
      <c r="M1299" s="657"/>
      <c r="N1299" s="1482"/>
      <c r="O1299" s="656" t="s">
        <v>498</v>
      </c>
      <c r="P1299" s="656" t="s">
        <v>13052</v>
      </c>
      <c r="Q1299" s="656">
        <v>44216.781817129631</v>
      </c>
    </row>
    <row r="1300" spans="1:17">
      <c r="A1300" s="656" t="s">
        <v>968</v>
      </c>
      <c r="B1300" s="657" t="s">
        <v>202</v>
      </c>
      <c r="C1300" s="656" t="s">
        <v>969</v>
      </c>
      <c r="D1300" s="657" t="s">
        <v>14978</v>
      </c>
      <c r="E1300" s="657" t="s">
        <v>9406</v>
      </c>
      <c r="F1300" s="656" t="s">
        <v>472</v>
      </c>
      <c r="G1300" s="656" t="s">
        <v>519</v>
      </c>
      <c r="H1300" s="656" t="s">
        <v>472</v>
      </c>
      <c r="I1300" s="656" t="s">
        <v>14976</v>
      </c>
      <c r="J1300" s="656" t="s">
        <v>12368</v>
      </c>
      <c r="K1300" s="656" t="s">
        <v>1058</v>
      </c>
      <c r="L1300" s="656" t="s">
        <v>972</v>
      </c>
      <c r="M1300" s="657"/>
      <c r="N1300" s="1482"/>
      <c r="O1300" s="656" t="s">
        <v>498</v>
      </c>
      <c r="P1300" s="656" t="s">
        <v>13052</v>
      </c>
      <c r="Q1300" s="656">
        <v>44216.781805555554</v>
      </c>
    </row>
    <row r="1301" spans="1:17">
      <c r="A1301" s="656" t="s">
        <v>970</v>
      </c>
      <c r="B1301" s="657" t="s">
        <v>202</v>
      </c>
      <c r="C1301" s="656" t="s">
        <v>971</v>
      </c>
      <c r="D1301" s="657" t="s">
        <v>14978</v>
      </c>
      <c r="E1301" s="657" t="s">
        <v>9406</v>
      </c>
      <c r="F1301" s="656" t="s">
        <v>472</v>
      </c>
      <c r="G1301" s="656" t="s">
        <v>519</v>
      </c>
      <c r="H1301" s="656" t="s">
        <v>472</v>
      </c>
      <c r="I1301" s="656" t="s">
        <v>14976</v>
      </c>
      <c r="J1301" s="656" t="s">
        <v>12368</v>
      </c>
      <c r="K1301" s="656" t="s">
        <v>1058</v>
      </c>
      <c r="L1301" s="656" t="s">
        <v>972</v>
      </c>
      <c r="M1301" s="657"/>
      <c r="N1301" s="1482"/>
      <c r="O1301" s="656" t="s">
        <v>498</v>
      </c>
      <c r="P1301" s="656" t="s">
        <v>13052</v>
      </c>
      <c r="Q1301" s="656">
        <v>44216.781805555554</v>
      </c>
    </row>
    <row r="1302" spans="1:17">
      <c r="A1302" s="656" t="s">
        <v>972</v>
      </c>
      <c r="B1302" s="657" t="s">
        <v>202</v>
      </c>
      <c r="C1302" s="656" t="s">
        <v>973</v>
      </c>
      <c r="D1302" s="657" t="s">
        <v>14977</v>
      </c>
      <c r="E1302" s="657" t="s">
        <v>9406</v>
      </c>
      <c r="F1302" s="656" t="s">
        <v>472</v>
      </c>
      <c r="G1302" s="656" t="s">
        <v>519</v>
      </c>
      <c r="H1302" s="656" t="s">
        <v>472</v>
      </c>
      <c r="I1302" s="656" t="s">
        <v>14976</v>
      </c>
      <c r="J1302" s="656" t="s">
        <v>12368</v>
      </c>
      <c r="K1302" s="656" t="s">
        <v>1058</v>
      </c>
      <c r="L1302" s="656"/>
      <c r="M1302" s="657"/>
      <c r="N1302" s="1482"/>
      <c r="O1302" s="656" t="s">
        <v>498</v>
      </c>
      <c r="P1302" s="656" t="s">
        <v>13052</v>
      </c>
      <c r="Q1302" s="656">
        <v>44216.781793981485</v>
      </c>
    </row>
    <row r="1303" spans="1:17">
      <c r="A1303" s="656" t="s">
        <v>974</v>
      </c>
      <c r="B1303" s="657" t="s">
        <v>202</v>
      </c>
      <c r="C1303" s="656" t="s">
        <v>975</v>
      </c>
      <c r="D1303" s="657" t="s">
        <v>14978</v>
      </c>
      <c r="E1303" s="657" t="s">
        <v>9458</v>
      </c>
      <c r="F1303" s="656" t="s">
        <v>472</v>
      </c>
      <c r="G1303" s="656" t="s">
        <v>519</v>
      </c>
      <c r="H1303" s="656" t="s">
        <v>472</v>
      </c>
      <c r="I1303" s="656" t="s">
        <v>14976</v>
      </c>
      <c r="J1303" s="656"/>
      <c r="K1303" s="656" t="s">
        <v>1058</v>
      </c>
      <c r="L1303" s="656" t="s">
        <v>993</v>
      </c>
      <c r="M1303" s="657"/>
      <c r="N1303" s="1482"/>
      <c r="O1303" s="656" t="s">
        <v>498</v>
      </c>
      <c r="P1303" s="656" t="s">
        <v>13052</v>
      </c>
      <c r="Q1303" s="656">
        <v>44216.781793981485</v>
      </c>
    </row>
    <row r="1304" spans="1:17">
      <c r="A1304" s="656" t="s">
        <v>976</v>
      </c>
      <c r="B1304" s="657" t="s">
        <v>202</v>
      </c>
      <c r="C1304" s="656" t="s">
        <v>912</v>
      </c>
      <c r="D1304" s="657" t="s">
        <v>14978</v>
      </c>
      <c r="E1304" s="657" t="s">
        <v>9406</v>
      </c>
      <c r="F1304" s="656" t="s">
        <v>472</v>
      </c>
      <c r="G1304" s="656" t="s">
        <v>519</v>
      </c>
      <c r="H1304" s="656" t="s">
        <v>472</v>
      </c>
      <c r="I1304" s="656" t="s">
        <v>14976</v>
      </c>
      <c r="J1304" s="656"/>
      <c r="K1304" s="656" t="s">
        <v>1058</v>
      </c>
      <c r="L1304" s="656" t="s">
        <v>993</v>
      </c>
      <c r="M1304" s="657"/>
      <c r="N1304" s="1482"/>
      <c r="O1304" s="656" t="s">
        <v>498</v>
      </c>
      <c r="P1304" s="656" t="s">
        <v>13052</v>
      </c>
      <c r="Q1304" s="656">
        <v>44216.781782407408</v>
      </c>
    </row>
    <row r="1305" spans="1:17">
      <c r="A1305" s="656" t="s">
        <v>977</v>
      </c>
      <c r="B1305" s="657" t="s">
        <v>202</v>
      </c>
      <c r="C1305" s="656" t="s">
        <v>978</v>
      </c>
      <c r="D1305" s="657" t="s">
        <v>14978</v>
      </c>
      <c r="E1305" s="657" t="s">
        <v>9458</v>
      </c>
      <c r="F1305" s="656" t="s">
        <v>472</v>
      </c>
      <c r="G1305" s="656" t="s">
        <v>519</v>
      </c>
      <c r="H1305" s="656" t="s">
        <v>472</v>
      </c>
      <c r="I1305" s="656" t="s">
        <v>14976</v>
      </c>
      <c r="J1305" s="656"/>
      <c r="K1305" s="656" t="s">
        <v>1058</v>
      </c>
      <c r="L1305" s="656" t="s">
        <v>993</v>
      </c>
      <c r="M1305" s="657"/>
      <c r="N1305" s="1482"/>
      <c r="O1305" s="656" t="s">
        <v>498</v>
      </c>
      <c r="P1305" s="656" t="s">
        <v>13052</v>
      </c>
      <c r="Q1305" s="656">
        <v>44216.781782407408</v>
      </c>
    </row>
    <row r="1306" spans="1:17">
      <c r="A1306" s="656" t="s">
        <v>979</v>
      </c>
      <c r="B1306" s="657" t="s">
        <v>202</v>
      </c>
      <c r="C1306" s="656" t="s">
        <v>980</v>
      </c>
      <c r="D1306" s="657" t="s">
        <v>14978</v>
      </c>
      <c r="E1306" s="657"/>
      <c r="F1306" s="656" t="s">
        <v>472</v>
      </c>
      <c r="G1306" s="656" t="s">
        <v>519</v>
      </c>
      <c r="H1306" s="656" t="s">
        <v>472</v>
      </c>
      <c r="I1306" s="656" t="s">
        <v>14976</v>
      </c>
      <c r="J1306" s="656"/>
      <c r="K1306" s="656" t="s">
        <v>1058</v>
      </c>
      <c r="L1306" s="656" t="s">
        <v>993</v>
      </c>
      <c r="M1306" s="657"/>
      <c r="N1306" s="1482"/>
      <c r="O1306" s="656" t="s">
        <v>498</v>
      </c>
      <c r="P1306" s="656" t="s">
        <v>13052</v>
      </c>
      <c r="Q1306" s="656">
        <v>44216.781770833331</v>
      </c>
    </row>
    <row r="1307" spans="1:17">
      <c r="A1307" s="656" t="s">
        <v>981</v>
      </c>
      <c r="B1307" s="657" t="s">
        <v>202</v>
      </c>
      <c r="C1307" s="656" t="s">
        <v>982</v>
      </c>
      <c r="D1307" s="657" t="s">
        <v>14978</v>
      </c>
      <c r="E1307" s="657" t="s">
        <v>9406</v>
      </c>
      <c r="F1307" s="656" t="s">
        <v>472</v>
      </c>
      <c r="G1307" s="656" t="s">
        <v>519</v>
      </c>
      <c r="H1307" s="656" t="s">
        <v>472</v>
      </c>
      <c r="I1307" s="656" t="s">
        <v>14976</v>
      </c>
      <c r="J1307" s="656"/>
      <c r="K1307" s="656" t="s">
        <v>1058</v>
      </c>
      <c r="L1307" s="656" t="s">
        <v>993</v>
      </c>
      <c r="M1307" s="657"/>
      <c r="N1307" s="1482"/>
      <c r="O1307" s="656" t="s">
        <v>498</v>
      </c>
      <c r="P1307" s="656" t="s">
        <v>13052</v>
      </c>
      <c r="Q1307" s="656">
        <v>44216.781770833331</v>
      </c>
    </row>
    <row r="1308" spans="1:17">
      <c r="A1308" s="656" t="s">
        <v>983</v>
      </c>
      <c r="B1308" s="657" t="s">
        <v>202</v>
      </c>
      <c r="C1308" s="656" t="s">
        <v>984</v>
      </c>
      <c r="D1308" s="657" t="s">
        <v>14978</v>
      </c>
      <c r="E1308" s="657" t="s">
        <v>9406</v>
      </c>
      <c r="F1308" s="656" t="s">
        <v>472</v>
      </c>
      <c r="G1308" s="656" t="s">
        <v>519</v>
      </c>
      <c r="H1308" s="656" t="s">
        <v>472</v>
      </c>
      <c r="I1308" s="656" t="s">
        <v>14976</v>
      </c>
      <c r="J1308" s="656"/>
      <c r="K1308" s="656" t="s">
        <v>1058</v>
      </c>
      <c r="L1308" s="656" t="s">
        <v>993</v>
      </c>
      <c r="M1308" s="657"/>
      <c r="N1308" s="1482"/>
      <c r="O1308" s="656" t="s">
        <v>498</v>
      </c>
      <c r="P1308" s="656" t="s">
        <v>13052</v>
      </c>
      <c r="Q1308" s="656">
        <v>44216.781759259262</v>
      </c>
    </row>
    <row r="1309" spans="1:17">
      <c r="A1309" s="656" t="s">
        <v>985</v>
      </c>
      <c r="B1309" s="657" t="s">
        <v>202</v>
      </c>
      <c r="C1309" s="656" t="s">
        <v>986</v>
      </c>
      <c r="D1309" s="657" t="s">
        <v>14978</v>
      </c>
      <c r="E1309" s="657" t="s">
        <v>9406</v>
      </c>
      <c r="F1309" s="656" t="s">
        <v>472</v>
      </c>
      <c r="G1309" s="656" t="s">
        <v>519</v>
      </c>
      <c r="H1309" s="656" t="s">
        <v>472</v>
      </c>
      <c r="I1309" s="656" t="s">
        <v>14976</v>
      </c>
      <c r="J1309" s="656" t="s">
        <v>12368</v>
      </c>
      <c r="K1309" s="656" t="s">
        <v>1058</v>
      </c>
      <c r="L1309" s="656" t="s">
        <v>993</v>
      </c>
      <c r="M1309" s="657"/>
      <c r="N1309" s="1482"/>
      <c r="O1309" s="656" t="s">
        <v>498</v>
      </c>
      <c r="P1309" s="656" t="s">
        <v>13052</v>
      </c>
      <c r="Q1309" s="656">
        <v>44216.781759259262</v>
      </c>
    </row>
    <row r="1310" spans="1:17">
      <c r="A1310" s="656" t="s">
        <v>987</v>
      </c>
      <c r="B1310" s="657" t="s">
        <v>202</v>
      </c>
      <c r="C1310" s="656" t="s">
        <v>988</v>
      </c>
      <c r="D1310" s="657" t="s">
        <v>14978</v>
      </c>
      <c r="E1310" s="657" t="s">
        <v>9406</v>
      </c>
      <c r="F1310" s="656" t="s">
        <v>472</v>
      </c>
      <c r="G1310" s="656" t="s">
        <v>519</v>
      </c>
      <c r="H1310" s="656" t="s">
        <v>472</v>
      </c>
      <c r="I1310" s="656" t="s">
        <v>14976</v>
      </c>
      <c r="J1310" s="656" t="s">
        <v>12368</v>
      </c>
      <c r="K1310" s="656" t="s">
        <v>1058</v>
      </c>
      <c r="L1310" s="656" t="s">
        <v>993</v>
      </c>
      <c r="M1310" s="657"/>
      <c r="N1310" s="1482"/>
      <c r="O1310" s="656" t="s">
        <v>498</v>
      </c>
      <c r="P1310" s="656" t="s">
        <v>13052</v>
      </c>
      <c r="Q1310" s="656">
        <v>44216.781747685185</v>
      </c>
    </row>
    <row r="1311" spans="1:17">
      <c r="A1311" s="656" t="s">
        <v>989</v>
      </c>
      <c r="B1311" s="657" t="s">
        <v>202</v>
      </c>
      <c r="C1311" s="656" t="s">
        <v>990</v>
      </c>
      <c r="D1311" s="657" t="s">
        <v>14978</v>
      </c>
      <c r="E1311" s="657" t="s">
        <v>9406</v>
      </c>
      <c r="F1311" s="656" t="s">
        <v>472</v>
      </c>
      <c r="G1311" s="656" t="s">
        <v>519</v>
      </c>
      <c r="H1311" s="656" t="s">
        <v>472</v>
      </c>
      <c r="I1311" s="656" t="s">
        <v>14976</v>
      </c>
      <c r="J1311" s="656" t="s">
        <v>12368</v>
      </c>
      <c r="K1311" s="656" t="s">
        <v>1058</v>
      </c>
      <c r="L1311" s="656" t="s">
        <v>993</v>
      </c>
      <c r="M1311" s="657"/>
      <c r="N1311" s="1482"/>
      <c r="O1311" s="656" t="s">
        <v>498</v>
      </c>
      <c r="P1311" s="656" t="s">
        <v>13052</v>
      </c>
      <c r="Q1311" s="656">
        <v>44216.781747685185</v>
      </c>
    </row>
    <row r="1312" spans="1:17">
      <c r="A1312" s="656" t="s">
        <v>991</v>
      </c>
      <c r="B1312" s="657" t="s">
        <v>202</v>
      </c>
      <c r="C1312" s="656" t="s">
        <v>992</v>
      </c>
      <c r="D1312" s="657" t="s">
        <v>14978</v>
      </c>
      <c r="E1312" s="657" t="s">
        <v>9406</v>
      </c>
      <c r="F1312" s="656" t="s">
        <v>472</v>
      </c>
      <c r="G1312" s="656" t="s">
        <v>519</v>
      </c>
      <c r="H1312" s="656" t="s">
        <v>472</v>
      </c>
      <c r="I1312" s="656" t="s">
        <v>14976</v>
      </c>
      <c r="J1312" s="656" t="s">
        <v>12368</v>
      </c>
      <c r="K1312" s="656" t="s">
        <v>1058</v>
      </c>
      <c r="L1312" s="656" t="s">
        <v>993</v>
      </c>
      <c r="M1312" s="657"/>
      <c r="N1312" s="1482"/>
      <c r="O1312" s="656" t="s">
        <v>498</v>
      </c>
      <c r="P1312" s="656" t="s">
        <v>13052</v>
      </c>
      <c r="Q1312" s="656">
        <v>44216.781736111108</v>
      </c>
    </row>
    <row r="1313" spans="1:17">
      <c r="A1313" s="656" t="s">
        <v>993</v>
      </c>
      <c r="B1313" s="657" t="s">
        <v>202</v>
      </c>
      <c r="C1313" s="656" t="s">
        <v>994</v>
      </c>
      <c r="D1313" s="657" t="s">
        <v>14977</v>
      </c>
      <c r="E1313" s="657" t="s">
        <v>9406</v>
      </c>
      <c r="F1313" s="656" t="s">
        <v>472</v>
      </c>
      <c r="G1313" s="656" t="s">
        <v>519</v>
      </c>
      <c r="H1313" s="656" t="s">
        <v>472</v>
      </c>
      <c r="I1313" s="656" t="s">
        <v>14976</v>
      </c>
      <c r="J1313" s="656" t="s">
        <v>12368</v>
      </c>
      <c r="K1313" s="656" t="s">
        <v>1058</v>
      </c>
      <c r="L1313" s="656"/>
      <c r="M1313" s="657"/>
      <c r="N1313" s="1482"/>
      <c r="O1313" s="656" t="s">
        <v>498</v>
      </c>
      <c r="P1313" s="656" t="s">
        <v>13052</v>
      </c>
      <c r="Q1313" s="656">
        <v>44216.781724537039</v>
      </c>
    </row>
    <row r="1314" spans="1:17">
      <c r="A1314" s="656" t="s">
        <v>995</v>
      </c>
      <c r="B1314" s="657" t="s">
        <v>202</v>
      </c>
      <c r="C1314" s="656" t="s">
        <v>996</v>
      </c>
      <c r="D1314" s="657" t="s">
        <v>13789</v>
      </c>
      <c r="E1314" s="657" t="s">
        <v>9406</v>
      </c>
      <c r="F1314" s="656" t="s">
        <v>472</v>
      </c>
      <c r="G1314" s="656" t="s">
        <v>519</v>
      </c>
      <c r="H1314" s="656" t="s">
        <v>472</v>
      </c>
      <c r="I1314" s="656" t="s">
        <v>14976</v>
      </c>
      <c r="J1314" s="656" t="s">
        <v>12368</v>
      </c>
      <c r="K1314" s="656" t="s">
        <v>1058</v>
      </c>
      <c r="L1314" s="656"/>
      <c r="M1314" s="657"/>
      <c r="N1314" s="1482"/>
      <c r="O1314" s="656" t="s">
        <v>498</v>
      </c>
      <c r="P1314" s="656" t="s">
        <v>13052</v>
      </c>
      <c r="Q1314" s="656">
        <v>44216.781712962962</v>
      </c>
    </row>
    <row r="1315" spans="1:17">
      <c r="A1315" s="656" t="s">
        <v>13906</v>
      </c>
      <c r="B1315" s="657" t="s">
        <v>202</v>
      </c>
      <c r="C1315" s="656" t="s">
        <v>518</v>
      </c>
      <c r="D1315" s="657" t="s">
        <v>14978</v>
      </c>
      <c r="E1315" s="657" t="s">
        <v>9406</v>
      </c>
      <c r="F1315" s="656" t="s">
        <v>472</v>
      </c>
      <c r="G1315" s="656" t="s">
        <v>519</v>
      </c>
      <c r="H1315" s="656" t="s">
        <v>472</v>
      </c>
      <c r="I1315" s="656" t="s">
        <v>14976</v>
      </c>
      <c r="J1315" s="656" t="s">
        <v>12368</v>
      </c>
      <c r="K1315" s="656"/>
      <c r="L1315" s="656"/>
      <c r="M1315" s="657"/>
      <c r="N1315" s="1482"/>
      <c r="O1315" s="656" t="s">
        <v>498</v>
      </c>
      <c r="P1315" s="656" t="s">
        <v>13052</v>
      </c>
      <c r="Q1315" s="656">
        <v>44216.781712962962</v>
      </c>
    </row>
    <row r="1316" spans="1:17">
      <c r="A1316" s="656" t="s">
        <v>13905</v>
      </c>
      <c r="B1316" s="657" t="s">
        <v>202</v>
      </c>
      <c r="C1316" s="656" t="s">
        <v>950</v>
      </c>
      <c r="D1316" s="657" t="s">
        <v>14978</v>
      </c>
      <c r="E1316" s="657" t="s">
        <v>9406</v>
      </c>
      <c r="F1316" s="656" t="s">
        <v>472</v>
      </c>
      <c r="G1316" s="656" t="s">
        <v>519</v>
      </c>
      <c r="H1316" s="656" t="s">
        <v>472</v>
      </c>
      <c r="I1316" s="656" t="s">
        <v>14976</v>
      </c>
      <c r="J1316" s="656" t="s">
        <v>12368</v>
      </c>
      <c r="K1316" s="656"/>
      <c r="L1316" s="656"/>
      <c r="M1316" s="657"/>
      <c r="N1316" s="1482"/>
      <c r="O1316" s="656" t="s">
        <v>498</v>
      </c>
      <c r="P1316" s="656" t="s">
        <v>13052</v>
      </c>
      <c r="Q1316" s="656">
        <v>44216.781701388885</v>
      </c>
    </row>
    <row r="1317" spans="1:17">
      <c r="A1317" s="656" t="s">
        <v>13904</v>
      </c>
      <c r="B1317" s="657" t="s">
        <v>202</v>
      </c>
      <c r="C1317" s="656" t="s">
        <v>956</v>
      </c>
      <c r="D1317" s="657" t="s">
        <v>14978</v>
      </c>
      <c r="E1317" s="657" t="s">
        <v>9406</v>
      </c>
      <c r="F1317" s="656" t="s">
        <v>472</v>
      </c>
      <c r="G1317" s="656" t="s">
        <v>519</v>
      </c>
      <c r="H1317" s="656" t="s">
        <v>472</v>
      </c>
      <c r="I1317" s="656" t="s">
        <v>14976</v>
      </c>
      <c r="J1317" s="656" t="s">
        <v>12368</v>
      </c>
      <c r="K1317" s="656"/>
      <c r="L1317" s="656"/>
      <c r="M1317" s="657"/>
      <c r="N1317" s="1482"/>
      <c r="O1317" s="656" t="s">
        <v>498</v>
      </c>
      <c r="P1317" s="656" t="s">
        <v>13052</v>
      </c>
      <c r="Q1317" s="656">
        <v>44216.781701388885</v>
      </c>
    </row>
    <row r="1318" spans="1:17">
      <c r="A1318" s="656" t="s">
        <v>13902</v>
      </c>
      <c r="B1318" s="657" t="s">
        <v>202</v>
      </c>
      <c r="C1318" s="656" t="s">
        <v>13903</v>
      </c>
      <c r="D1318" s="657" t="s">
        <v>14978</v>
      </c>
      <c r="E1318" s="657" t="s">
        <v>9406</v>
      </c>
      <c r="F1318" s="656" t="s">
        <v>472</v>
      </c>
      <c r="G1318" s="656" t="s">
        <v>519</v>
      </c>
      <c r="H1318" s="656" t="s">
        <v>472</v>
      </c>
      <c r="I1318" s="656" t="s">
        <v>14976</v>
      </c>
      <c r="J1318" s="656" t="s">
        <v>12368</v>
      </c>
      <c r="K1318" s="656"/>
      <c r="L1318" s="656"/>
      <c r="M1318" s="657"/>
      <c r="N1318" s="1482"/>
      <c r="O1318" s="656" t="s">
        <v>498</v>
      </c>
      <c r="P1318" s="656" t="s">
        <v>13052</v>
      </c>
      <c r="Q1318" s="656">
        <v>44216.781689814816</v>
      </c>
    </row>
    <row r="1319" spans="1:17">
      <c r="A1319" s="656" t="s">
        <v>13901</v>
      </c>
      <c r="B1319" s="657" t="s">
        <v>202</v>
      </c>
      <c r="C1319" s="656" t="s">
        <v>960</v>
      </c>
      <c r="D1319" s="657" t="s">
        <v>14978</v>
      </c>
      <c r="E1319" s="657" t="s">
        <v>9406</v>
      </c>
      <c r="F1319" s="656" t="s">
        <v>472</v>
      </c>
      <c r="G1319" s="656" t="s">
        <v>519</v>
      </c>
      <c r="H1319" s="656" t="s">
        <v>472</v>
      </c>
      <c r="I1319" s="656" t="s">
        <v>14976</v>
      </c>
      <c r="J1319" s="656" t="s">
        <v>12368</v>
      </c>
      <c r="K1319" s="656"/>
      <c r="L1319" s="656"/>
      <c r="M1319" s="657"/>
      <c r="N1319" s="1482"/>
      <c r="O1319" s="656" t="s">
        <v>498</v>
      </c>
      <c r="P1319" s="656" t="s">
        <v>13052</v>
      </c>
      <c r="Q1319" s="656">
        <v>44216.781701388885</v>
      </c>
    </row>
    <row r="1320" spans="1:17">
      <c r="A1320" s="656" t="s">
        <v>13900</v>
      </c>
      <c r="B1320" s="657" t="s">
        <v>202</v>
      </c>
      <c r="C1320" s="656" t="s">
        <v>901</v>
      </c>
      <c r="D1320" s="657" t="s">
        <v>14978</v>
      </c>
      <c r="E1320" s="657" t="s">
        <v>9406</v>
      </c>
      <c r="F1320" s="656" t="s">
        <v>472</v>
      </c>
      <c r="G1320" s="656" t="s">
        <v>519</v>
      </c>
      <c r="H1320" s="656" t="s">
        <v>472</v>
      </c>
      <c r="I1320" s="656" t="s">
        <v>14976</v>
      </c>
      <c r="J1320" s="656" t="s">
        <v>12368</v>
      </c>
      <c r="K1320" s="656"/>
      <c r="L1320" s="656"/>
      <c r="M1320" s="657"/>
      <c r="N1320" s="1482"/>
      <c r="O1320" s="656" t="s">
        <v>498</v>
      </c>
      <c r="P1320" s="656" t="s">
        <v>13052</v>
      </c>
      <c r="Q1320" s="656">
        <v>44216.781689814816</v>
      </c>
    </row>
    <row r="1321" spans="1:17">
      <c r="A1321" s="656" t="s">
        <v>13899</v>
      </c>
      <c r="B1321" s="657" t="s">
        <v>202</v>
      </c>
      <c r="C1321" s="656" t="s">
        <v>890</v>
      </c>
      <c r="D1321" s="657" t="s">
        <v>14978</v>
      </c>
      <c r="E1321" s="657" t="s">
        <v>9406</v>
      </c>
      <c r="F1321" s="656" t="s">
        <v>472</v>
      </c>
      <c r="G1321" s="656" t="s">
        <v>519</v>
      </c>
      <c r="H1321" s="656" t="s">
        <v>472</v>
      </c>
      <c r="I1321" s="656" t="s">
        <v>14976</v>
      </c>
      <c r="J1321" s="656" t="s">
        <v>12368</v>
      </c>
      <c r="K1321" s="656"/>
      <c r="L1321" s="656"/>
      <c r="M1321" s="657"/>
      <c r="N1321" s="1482"/>
      <c r="O1321" s="656" t="s">
        <v>498</v>
      </c>
      <c r="P1321" s="656" t="s">
        <v>13052</v>
      </c>
      <c r="Q1321" s="656">
        <v>44216.781678240739</v>
      </c>
    </row>
    <row r="1322" spans="1:17">
      <c r="A1322" s="656" t="s">
        <v>13898</v>
      </c>
      <c r="B1322" s="657" t="s">
        <v>202</v>
      </c>
      <c r="C1322" s="656" t="s">
        <v>942</v>
      </c>
      <c r="D1322" s="657" t="s">
        <v>14978</v>
      </c>
      <c r="E1322" s="657" t="s">
        <v>9406</v>
      </c>
      <c r="F1322" s="656" t="s">
        <v>472</v>
      </c>
      <c r="G1322" s="656" t="s">
        <v>519</v>
      </c>
      <c r="H1322" s="656" t="s">
        <v>472</v>
      </c>
      <c r="I1322" s="656" t="s">
        <v>14976</v>
      </c>
      <c r="J1322" s="656" t="s">
        <v>12368</v>
      </c>
      <c r="K1322" s="656"/>
      <c r="L1322" s="656"/>
      <c r="M1322" s="657"/>
      <c r="N1322" s="1482"/>
      <c r="O1322" s="656" t="s">
        <v>498</v>
      </c>
      <c r="P1322" s="656" t="s">
        <v>13052</v>
      </c>
      <c r="Q1322" s="656">
        <v>44216.781666666669</v>
      </c>
    </row>
    <row r="1323" spans="1:17">
      <c r="A1323" s="656" t="s">
        <v>13897</v>
      </c>
      <c r="B1323" s="657" t="s">
        <v>202</v>
      </c>
      <c r="C1323" s="656" t="s">
        <v>912</v>
      </c>
      <c r="D1323" s="657" t="s">
        <v>14978</v>
      </c>
      <c r="E1323" s="657" t="s">
        <v>9406</v>
      </c>
      <c r="F1323" s="656" t="s">
        <v>472</v>
      </c>
      <c r="G1323" s="656" t="s">
        <v>519</v>
      </c>
      <c r="H1323" s="656" t="s">
        <v>472</v>
      </c>
      <c r="I1323" s="656" t="s">
        <v>14976</v>
      </c>
      <c r="J1323" s="656" t="s">
        <v>12368</v>
      </c>
      <c r="K1323" s="656"/>
      <c r="L1323" s="656"/>
      <c r="M1323" s="657"/>
      <c r="N1323" s="1482"/>
      <c r="O1323" s="656" t="s">
        <v>498</v>
      </c>
      <c r="P1323" s="656" t="s">
        <v>13052</v>
      </c>
      <c r="Q1323" s="656">
        <v>44216.781666666669</v>
      </c>
    </row>
    <row r="1324" spans="1:17">
      <c r="A1324" s="656" t="s">
        <v>13896</v>
      </c>
      <c r="B1324" s="657" t="s">
        <v>202</v>
      </c>
      <c r="C1324" s="656" t="s">
        <v>879</v>
      </c>
      <c r="D1324" s="657" t="s">
        <v>14978</v>
      </c>
      <c r="E1324" s="657" t="s">
        <v>9406</v>
      </c>
      <c r="F1324" s="656" t="s">
        <v>472</v>
      </c>
      <c r="G1324" s="656" t="s">
        <v>519</v>
      </c>
      <c r="H1324" s="656" t="s">
        <v>472</v>
      </c>
      <c r="I1324" s="656" t="s">
        <v>14976</v>
      </c>
      <c r="J1324" s="656" t="s">
        <v>12368</v>
      </c>
      <c r="K1324" s="656"/>
      <c r="L1324" s="656"/>
      <c r="M1324" s="657"/>
      <c r="N1324" s="1482"/>
      <c r="O1324" s="656" t="s">
        <v>498</v>
      </c>
      <c r="P1324" s="656" t="s">
        <v>13052</v>
      </c>
      <c r="Q1324" s="656">
        <v>44216.781655092593</v>
      </c>
    </row>
    <row r="1325" spans="1:17">
      <c r="A1325" s="656" t="s">
        <v>13895</v>
      </c>
      <c r="B1325" s="657" t="s">
        <v>202</v>
      </c>
      <c r="C1325" s="656" t="s">
        <v>988</v>
      </c>
      <c r="D1325" s="657" t="s">
        <v>14978</v>
      </c>
      <c r="E1325" s="657" t="s">
        <v>9406</v>
      </c>
      <c r="F1325" s="656" t="s">
        <v>472</v>
      </c>
      <c r="G1325" s="656" t="s">
        <v>519</v>
      </c>
      <c r="H1325" s="656" t="s">
        <v>472</v>
      </c>
      <c r="I1325" s="656" t="s">
        <v>14976</v>
      </c>
      <c r="J1325" s="656" t="s">
        <v>12368</v>
      </c>
      <c r="K1325" s="656"/>
      <c r="L1325" s="656"/>
      <c r="M1325" s="657"/>
      <c r="N1325" s="1482"/>
      <c r="O1325" s="656" t="s">
        <v>498</v>
      </c>
      <c r="P1325" s="656" t="s">
        <v>13052</v>
      </c>
      <c r="Q1325" s="656">
        <v>44216.781655092593</v>
      </c>
    </row>
    <row r="1326" spans="1:17">
      <c r="A1326" s="656" t="s">
        <v>997</v>
      </c>
      <c r="B1326" s="657" t="s">
        <v>202</v>
      </c>
      <c r="C1326" s="656" t="s">
        <v>998</v>
      </c>
      <c r="D1326" s="657" t="s">
        <v>13789</v>
      </c>
      <c r="E1326" s="657" t="s">
        <v>9510</v>
      </c>
      <c r="F1326" s="656" t="s">
        <v>462</v>
      </c>
      <c r="G1326" s="656"/>
      <c r="H1326" s="656" t="s">
        <v>462</v>
      </c>
      <c r="I1326" s="656" t="s">
        <v>15280</v>
      </c>
      <c r="J1326" s="656" t="s">
        <v>463</v>
      </c>
      <c r="K1326" s="656"/>
      <c r="L1326" s="656"/>
      <c r="M1326" s="657"/>
      <c r="N1326" s="1482"/>
      <c r="O1326" s="656" t="s">
        <v>498</v>
      </c>
      <c r="P1326" s="656" t="s">
        <v>13052</v>
      </c>
      <c r="Q1326" s="656">
        <v>44216.781643518516</v>
      </c>
    </row>
    <row r="1327" spans="1:17">
      <c r="A1327" s="656" t="s">
        <v>999</v>
      </c>
      <c r="B1327" s="657" t="s">
        <v>202</v>
      </c>
      <c r="C1327" s="656" t="s">
        <v>1000</v>
      </c>
      <c r="D1327" s="657" t="s">
        <v>13789</v>
      </c>
      <c r="E1327" s="657" t="s">
        <v>9406</v>
      </c>
      <c r="F1327" s="656" t="s">
        <v>462</v>
      </c>
      <c r="G1327" s="656" t="s">
        <v>512</v>
      </c>
      <c r="H1327" s="656" t="s">
        <v>462</v>
      </c>
      <c r="I1327" s="656" t="s">
        <v>14976</v>
      </c>
      <c r="J1327" s="656" t="s">
        <v>459</v>
      </c>
      <c r="K1327" s="656" t="s">
        <v>2849</v>
      </c>
      <c r="L1327" s="656"/>
      <c r="M1327" s="657"/>
      <c r="N1327" s="1482"/>
      <c r="O1327" s="656" t="s">
        <v>498</v>
      </c>
      <c r="P1327" s="656" t="s">
        <v>13052</v>
      </c>
      <c r="Q1327" s="656">
        <v>44216.781643518516</v>
      </c>
    </row>
    <row r="1328" spans="1:17">
      <c r="A1328" s="656" t="s">
        <v>8893</v>
      </c>
      <c r="B1328" s="657" t="s">
        <v>202</v>
      </c>
      <c r="C1328" s="656" t="s">
        <v>8892</v>
      </c>
      <c r="D1328" s="657" t="s">
        <v>14978</v>
      </c>
      <c r="E1328" s="657" t="s">
        <v>9406</v>
      </c>
      <c r="F1328" s="656" t="s">
        <v>2849</v>
      </c>
      <c r="G1328" s="656" t="s">
        <v>519</v>
      </c>
      <c r="H1328" s="656" t="s">
        <v>469</v>
      </c>
      <c r="I1328" s="656" t="s">
        <v>14976</v>
      </c>
      <c r="J1328" s="656" t="s">
        <v>459</v>
      </c>
      <c r="K1328" s="656" t="s">
        <v>1058</v>
      </c>
      <c r="L1328" s="656" t="s">
        <v>1001</v>
      </c>
      <c r="M1328" s="657"/>
      <c r="N1328" s="1482"/>
      <c r="O1328" s="656" t="s">
        <v>498</v>
      </c>
      <c r="P1328" s="656" t="s">
        <v>13052</v>
      </c>
      <c r="Q1328" s="656">
        <v>44216.781631944446</v>
      </c>
    </row>
    <row r="1329" spans="1:17">
      <c r="A1329" s="656" t="s">
        <v>8732</v>
      </c>
      <c r="B1329" s="657" t="s">
        <v>202</v>
      </c>
      <c r="C1329" s="656" t="s">
        <v>8824</v>
      </c>
      <c r="D1329" s="657" t="s">
        <v>14978</v>
      </c>
      <c r="E1329" s="657" t="s">
        <v>9406</v>
      </c>
      <c r="F1329" s="656" t="s">
        <v>472</v>
      </c>
      <c r="G1329" s="656" t="s">
        <v>519</v>
      </c>
      <c r="H1329" s="656" t="s">
        <v>472</v>
      </c>
      <c r="I1329" s="656" t="s">
        <v>14976</v>
      </c>
      <c r="J1329" s="656" t="s">
        <v>459</v>
      </c>
      <c r="K1329" s="656" t="s">
        <v>1058</v>
      </c>
      <c r="L1329" s="656" t="s">
        <v>1001</v>
      </c>
      <c r="M1329" s="657"/>
      <c r="N1329" s="1482"/>
      <c r="O1329" s="656" t="s">
        <v>498</v>
      </c>
      <c r="P1329" s="656" t="s">
        <v>13052</v>
      </c>
      <c r="Q1329" s="656">
        <v>44216.781631944446</v>
      </c>
    </row>
    <row r="1330" spans="1:17">
      <c r="A1330" s="656" t="s">
        <v>1001</v>
      </c>
      <c r="B1330" s="657" t="s">
        <v>202</v>
      </c>
      <c r="C1330" s="656" t="s">
        <v>1002</v>
      </c>
      <c r="D1330" s="657" t="s">
        <v>14977</v>
      </c>
      <c r="E1330" s="657" t="s">
        <v>9406</v>
      </c>
      <c r="F1330" s="656" t="s">
        <v>2849</v>
      </c>
      <c r="G1330" s="656" t="s">
        <v>512</v>
      </c>
      <c r="H1330" s="656" t="s">
        <v>469</v>
      </c>
      <c r="I1330" s="656" t="s">
        <v>14976</v>
      </c>
      <c r="J1330" s="656" t="s">
        <v>459</v>
      </c>
      <c r="K1330" s="656" t="s">
        <v>2849</v>
      </c>
      <c r="L1330" s="656"/>
      <c r="M1330" s="657"/>
      <c r="N1330" s="1482"/>
      <c r="O1330" s="656" t="s">
        <v>498</v>
      </c>
      <c r="P1330" s="656" t="s">
        <v>13052</v>
      </c>
      <c r="Q1330" s="656">
        <v>44216.78162037037</v>
      </c>
    </row>
    <row r="1331" spans="1:17">
      <c r="A1331" s="656" t="s">
        <v>8457</v>
      </c>
      <c r="B1331" s="657" t="s">
        <v>202</v>
      </c>
      <c r="C1331" s="656" t="s">
        <v>8456</v>
      </c>
      <c r="D1331" s="657" t="s">
        <v>14978</v>
      </c>
      <c r="E1331" s="657" t="s">
        <v>9406</v>
      </c>
      <c r="F1331" s="656" t="s">
        <v>472</v>
      </c>
      <c r="G1331" s="656" t="s">
        <v>519</v>
      </c>
      <c r="H1331" s="656" t="s">
        <v>472</v>
      </c>
      <c r="I1331" s="656" t="s">
        <v>14976</v>
      </c>
      <c r="J1331" s="656" t="s">
        <v>459</v>
      </c>
      <c r="K1331" s="656" t="s">
        <v>1058</v>
      </c>
      <c r="L1331" s="656" t="s">
        <v>1003</v>
      </c>
      <c r="M1331" s="657"/>
      <c r="N1331" s="1482"/>
      <c r="O1331" s="656" t="s">
        <v>498</v>
      </c>
      <c r="P1331" s="656" t="s">
        <v>13052</v>
      </c>
      <c r="Q1331" s="656">
        <v>44216.78162037037</v>
      </c>
    </row>
    <row r="1332" spans="1:17">
      <c r="A1332" s="656" t="s">
        <v>1003</v>
      </c>
      <c r="B1332" s="657" t="s">
        <v>202</v>
      </c>
      <c r="C1332" s="656" t="s">
        <v>1004</v>
      </c>
      <c r="D1332" s="657" t="s">
        <v>14977</v>
      </c>
      <c r="E1332" s="657" t="s">
        <v>9406</v>
      </c>
      <c r="F1332" s="656" t="s">
        <v>2849</v>
      </c>
      <c r="G1332" s="656" t="s">
        <v>519</v>
      </c>
      <c r="H1332" s="656" t="s">
        <v>469</v>
      </c>
      <c r="I1332" s="656" t="s">
        <v>14976</v>
      </c>
      <c r="J1332" s="656" t="s">
        <v>459</v>
      </c>
      <c r="K1332" s="656" t="s">
        <v>1058</v>
      </c>
      <c r="L1332" s="656"/>
      <c r="M1332" s="657"/>
      <c r="N1332" s="1482"/>
      <c r="O1332" s="656" t="s">
        <v>498</v>
      </c>
      <c r="P1332" s="656" t="s">
        <v>13052</v>
      </c>
      <c r="Q1332" s="656">
        <v>44216.781608796293</v>
      </c>
    </row>
    <row r="1333" spans="1:17">
      <c r="A1333" s="656" t="s">
        <v>1005</v>
      </c>
      <c r="B1333" s="657" t="s">
        <v>504</v>
      </c>
      <c r="C1333" s="656" t="s">
        <v>1006</v>
      </c>
      <c r="D1333" s="657" t="s">
        <v>13789</v>
      </c>
      <c r="E1333" s="657" t="s">
        <v>9458</v>
      </c>
      <c r="F1333" s="656" t="s">
        <v>505</v>
      </c>
      <c r="G1333" s="656" t="s">
        <v>525</v>
      </c>
      <c r="H1333" s="656" t="s">
        <v>505</v>
      </c>
      <c r="I1333" s="656" t="s">
        <v>14976</v>
      </c>
      <c r="J1333" s="656"/>
      <c r="K1333" s="656"/>
      <c r="L1333" s="656"/>
      <c r="M1333" s="657"/>
      <c r="N1333" s="1482"/>
      <c r="O1333" s="656" t="s">
        <v>498</v>
      </c>
      <c r="P1333" s="656" t="s">
        <v>13052</v>
      </c>
      <c r="Q1333" s="656">
        <v>44216.781608796293</v>
      </c>
    </row>
    <row r="1334" spans="1:17">
      <c r="A1334" s="656" t="s">
        <v>8912</v>
      </c>
      <c r="B1334" s="657" t="s">
        <v>202</v>
      </c>
      <c r="C1334" s="656" t="s">
        <v>8901</v>
      </c>
      <c r="D1334" s="657" t="s">
        <v>14978</v>
      </c>
      <c r="E1334" s="657" t="s">
        <v>7437</v>
      </c>
      <c r="F1334" s="656" t="s">
        <v>462</v>
      </c>
      <c r="G1334" s="656" t="s">
        <v>9271</v>
      </c>
      <c r="H1334" s="656" t="s">
        <v>462</v>
      </c>
      <c r="I1334" s="656" t="s">
        <v>14976</v>
      </c>
      <c r="J1334" s="656" t="s">
        <v>463</v>
      </c>
      <c r="K1334" s="656" t="s">
        <v>1058</v>
      </c>
      <c r="L1334" s="656" t="s">
        <v>1007</v>
      </c>
      <c r="M1334" s="657"/>
      <c r="N1334" s="1482"/>
      <c r="O1334" s="656" t="s">
        <v>498</v>
      </c>
      <c r="P1334" s="656" t="s">
        <v>13052</v>
      </c>
      <c r="Q1334" s="656">
        <v>44216.781597222223</v>
      </c>
    </row>
    <row r="1335" spans="1:17">
      <c r="A1335" s="656" t="s">
        <v>8900</v>
      </c>
      <c r="B1335" s="657" t="s">
        <v>202</v>
      </c>
      <c r="C1335" s="656" t="s">
        <v>8899</v>
      </c>
      <c r="D1335" s="657" t="s">
        <v>14978</v>
      </c>
      <c r="E1335" s="657" t="s">
        <v>7437</v>
      </c>
      <c r="F1335" s="656" t="s">
        <v>537</v>
      </c>
      <c r="G1335" s="656" t="s">
        <v>1009</v>
      </c>
      <c r="H1335" s="656" t="s">
        <v>537</v>
      </c>
      <c r="I1335" s="656" t="s">
        <v>14976</v>
      </c>
      <c r="J1335" s="656" t="s">
        <v>473</v>
      </c>
      <c r="K1335" s="656" t="s">
        <v>1058</v>
      </c>
      <c r="L1335" s="656" t="s">
        <v>1007</v>
      </c>
      <c r="M1335" s="657"/>
      <c r="N1335" s="1482"/>
      <c r="O1335" s="656" t="s">
        <v>498</v>
      </c>
      <c r="P1335" s="656" t="s">
        <v>13052</v>
      </c>
      <c r="Q1335" s="656">
        <v>44216.781597222223</v>
      </c>
    </row>
    <row r="1336" spans="1:17">
      <c r="A1336" s="656" t="s">
        <v>1007</v>
      </c>
      <c r="B1336" s="657" t="s">
        <v>202</v>
      </c>
      <c r="C1336" s="656" t="s">
        <v>1008</v>
      </c>
      <c r="D1336" s="657" t="s">
        <v>13789</v>
      </c>
      <c r="E1336" s="657" t="s">
        <v>9406</v>
      </c>
      <c r="F1336" s="656" t="s">
        <v>462</v>
      </c>
      <c r="G1336" s="656" t="s">
        <v>1009</v>
      </c>
      <c r="H1336" s="656" t="s">
        <v>462</v>
      </c>
      <c r="I1336" s="656" t="s">
        <v>14976</v>
      </c>
      <c r="J1336" s="656" t="s">
        <v>463</v>
      </c>
      <c r="K1336" s="656"/>
      <c r="L1336" s="656"/>
      <c r="M1336" s="657"/>
      <c r="N1336" s="1482"/>
      <c r="O1336" s="656" t="s">
        <v>498</v>
      </c>
      <c r="P1336" s="656" t="s">
        <v>13052</v>
      </c>
      <c r="Q1336" s="656">
        <v>44216.781585648147</v>
      </c>
    </row>
    <row r="1337" spans="1:17">
      <c r="A1337" s="656" t="s">
        <v>1010</v>
      </c>
      <c r="B1337" s="657" t="s">
        <v>202</v>
      </c>
      <c r="C1337" s="656" t="s">
        <v>1011</v>
      </c>
      <c r="D1337" s="657" t="s">
        <v>13789</v>
      </c>
      <c r="E1337" s="657" t="s">
        <v>9510</v>
      </c>
      <c r="F1337" s="656" t="s">
        <v>472</v>
      </c>
      <c r="G1337" s="656" t="s">
        <v>519</v>
      </c>
      <c r="H1337" s="656" t="s">
        <v>472</v>
      </c>
      <c r="I1337" s="656" t="s">
        <v>14976</v>
      </c>
      <c r="J1337" s="656" t="s">
        <v>12368</v>
      </c>
      <c r="K1337" s="656"/>
      <c r="L1337" s="656"/>
      <c r="M1337" s="657"/>
      <c r="N1337" s="1482"/>
      <c r="O1337" s="656" t="s">
        <v>498</v>
      </c>
      <c r="P1337" s="656" t="s">
        <v>13052</v>
      </c>
      <c r="Q1337" s="656">
        <v>44216.781574074077</v>
      </c>
    </row>
    <row r="1338" spans="1:17">
      <c r="A1338" s="656" t="s">
        <v>1012</v>
      </c>
      <c r="B1338" s="657" t="s">
        <v>504</v>
      </c>
      <c r="C1338" s="656" t="s">
        <v>1013</v>
      </c>
      <c r="D1338" s="657" t="s">
        <v>14977</v>
      </c>
      <c r="E1338" s="657" t="s">
        <v>9406</v>
      </c>
      <c r="F1338" s="656" t="s">
        <v>540</v>
      </c>
      <c r="G1338" s="656" t="s">
        <v>541</v>
      </c>
      <c r="H1338" s="656" t="s">
        <v>540</v>
      </c>
      <c r="I1338" s="656" t="s">
        <v>14976</v>
      </c>
      <c r="J1338" s="656"/>
      <c r="K1338" s="656"/>
      <c r="L1338" s="656"/>
      <c r="M1338" s="657"/>
      <c r="N1338" s="1482"/>
      <c r="O1338" s="656" t="s">
        <v>498</v>
      </c>
      <c r="P1338" s="656" t="s">
        <v>13052</v>
      </c>
      <c r="Q1338" s="656">
        <v>44216.781585648147</v>
      </c>
    </row>
    <row r="1339" spans="1:17">
      <c r="A1339" s="656" t="s">
        <v>1014</v>
      </c>
      <c r="B1339" s="657" t="s">
        <v>504</v>
      </c>
      <c r="C1339" s="656" t="s">
        <v>1015</v>
      </c>
      <c r="D1339" s="657" t="s">
        <v>14977</v>
      </c>
      <c r="E1339" s="657" t="s">
        <v>9406</v>
      </c>
      <c r="F1339" s="656" t="s">
        <v>540</v>
      </c>
      <c r="G1339" s="656" t="s">
        <v>541</v>
      </c>
      <c r="H1339" s="656" t="s">
        <v>540</v>
      </c>
      <c r="I1339" s="656" t="s">
        <v>14976</v>
      </c>
      <c r="J1339" s="656"/>
      <c r="K1339" s="656"/>
      <c r="L1339" s="656"/>
      <c r="M1339" s="657"/>
      <c r="N1339" s="1482"/>
      <c r="O1339" s="656" t="s">
        <v>498</v>
      </c>
      <c r="P1339" s="656" t="s">
        <v>13052</v>
      </c>
      <c r="Q1339" s="656">
        <v>44216.7815625</v>
      </c>
    </row>
    <row r="1340" spans="1:17">
      <c r="A1340" s="656" t="s">
        <v>1016</v>
      </c>
      <c r="B1340" s="657" t="s">
        <v>504</v>
      </c>
      <c r="C1340" s="656" t="s">
        <v>1017</v>
      </c>
      <c r="D1340" s="657" t="s">
        <v>14977</v>
      </c>
      <c r="E1340" s="657" t="s">
        <v>9406</v>
      </c>
      <c r="F1340" s="656" t="s">
        <v>540</v>
      </c>
      <c r="G1340" s="656" t="s">
        <v>541</v>
      </c>
      <c r="H1340" s="656" t="s">
        <v>540</v>
      </c>
      <c r="I1340" s="656" t="s">
        <v>14976</v>
      </c>
      <c r="J1340" s="656"/>
      <c r="K1340" s="656"/>
      <c r="L1340" s="656"/>
      <c r="M1340" s="657"/>
      <c r="N1340" s="1482"/>
      <c r="O1340" s="656" t="s">
        <v>498</v>
      </c>
      <c r="P1340" s="656" t="s">
        <v>13052</v>
      </c>
      <c r="Q1340" s="656">
        <v>44216.7815625</v>
      </c>
    </row>
    <row r="1341" spans="1:17">
      <c r="A1341" s="656" t="s">
        <v>1018</v>
      </c>
      <c r="B1341" s="657" t="s">
        <v>504</v>
      </c>
      <c r="C1341" s="656" t="s">
        <v>1019</v>
      </c>
      <c r="D1341" s="657" t="s">
        <v>14977</v>
      </c>
      <c r="E1341" s="657" t="s">
        <v>9406</v>
      </c>
      <c r="F1341" s="656" t="s">
        <v>540</v>
      </c>
      <c r="G1341" s="656" t="s">
        <v>541</v>
      </c>
      <c r="H1341" s="656" t="s">
        <v>540</v>
      </c>
      <c r="I1341" s="656" t="s">
        <v>14976</v>
      </c>
      <c r="J1341" s="656"/>
      <c r="K1341" s="656"/>
      <c r="L1341" s="656"/>
      <c r="M1341" s="657"/>
      <c r="N1341" s="1482"/>
      <c r="O1341" s="656" t="s">
        <v>498</v>
      </c>
      <c r="P1341" s="656" t="s">
        <v>13052</v>
      </c>
      <c r="Q1341" s="656">
        <v>44216.781550925924</v>
      </c>
    </row>
    <row r="1342" spans="1:17">
      <c r="A1342" s="656" t="s">
        <v>1020</v>
      </c>
      <c r="B1342" s="657" t="s">
        <v>202</v>
      </c>
      <c r="C1342" s="656" t="s">
        <v>9638</v>
      </c>
      <c r="D1342" s="657" t="s">
        <v>13789</v>
      </c>
      <c r="E1342" s="657" t="s">
        <v>7435</v>
      </c>
      <c r="F1342" s="656" t="s">
        <v>462</v>
      </c>
      <c r="G1342" s="656" t="s">
        <v>512</v>
      </c>
      <c r="H1342" s="656" t="s">
        <v>462</v>
      </c>
      <c r="I1342" s="656" t="s">
        <v>14976</v>
      </c>
      <c r="J1342" s="656" t="s">
        <v>463</v>
      </c>
      <c r="K1342" s="656" t="s">
        <v>1924</v>
      </c>
      <c r="L1342" s="656"/>
      <c r="M1342" s="657"/>
      <c r="N1342" s="1482"/>
      <c r="O1342" s="656" t="s">
        <v>498</v>
      </c>
      <c r="P1342" s="656" t="s">
        <v>13052</v>
      </c>
      <c r="Q1342" s="656">
        <v>44216.781550925924</v>
      </c>
    </row>
    <row r="1343" spans="1:17">
      <c r="A1343" s="656" t="s">
        <v>1021</v>
      </c>
      <c r="B1343" s="657" t="s">
        <v>202</v>
      </c>
      <c r="C1343" s="656" t="s">
        <v>13894</v>
      </c>
      <c r="D1343" s="657" t="s">
        <v>13789</v>
      </c>
      <c r="E1343" s="657" t="s">
        <v>9510</v>
      </c>
      <c r="F1343" s="656" t="s">
        <v>472</v>
      </c>
      <c r="G1343" s="656" t="s">
        <v>519</v>
      </c>
      <c r="H1343" s="656" t="s">
        <v>472</v>
      </c>
      <c r="I1343" s="656" t="s">
        <v>14976</v>
      </c>
      <c r="J1343" s="656" t="s">
        <v>12368</v>
      </c>
      <c r="K1343" s="656"/>
      <c r="L1343" s="656"/>
      <c r="M1343" s="657"/>
      <c r="N1343" s="1482"/>
      <c r="O1343" s="656" t="s">
        <v>498</v>
      </c>
      <c r="P1343" s="656" t="s">
        <v>13052</v>
      </c>
      <c r="Q1343" s="656">
        <v>44216.781539351854</v>
      </c>
    </row>
    <row r="1344" spans="1:17">
      <c r="A1344" s="656" t="s">
        <v>1022</v>
      </c>
      <c r="B1344" s="657" t="s">
        <v>504</v>
      </c>
      <c r="C1344" s="656" t="s">
        <v>1023</v>
      </c>
      <c r="D1344" s="657" t="s">
        <v>13789</v>
      </c>
      <c r="E1344" s="657" t="s">
        <v>9458</v>
      </c>
      <c r="F1344" s="656" t="s">
        <v>505</v>
      </c>
      <c r="G1344" s="656" t="s">
        <v>506</v>
      </c>
      <c r="H1344" s="656" t="s">
        <v>505</v>
      </c>
      <c r="I1344" s="656" t="s">
        <v>14976</v>
      </c>
      <c r="J1344" s="656"/>
      <c r="K1344" s="656"/>
      <c r="L1344" s="656"/>
      <c r="M1344" s="657"/>
      <c r="N1344" s="1482"/>
      <c r="O1344" s="656" t="s">
        <v>498</v>
      </c>
      <c r="P1344" s="656" t="s">
        <v>13052</v>
      </c>
      <c r="Q1344" s="656">
        <v>44216.781527777777</v>
      </c>
    </row>
    <row r="1345" spans="1:17">
      <c r="A1345" s="656" t="s">
        <v>1024</v>
      </c>
      <c r="B1345" s="657" t="s">
        <v>202</v>
      </c>
      <c r="C1345" s="656" t="s">
        <v>1025</v>
      </c>
      <c r="D1345" s="657" t="s">
        <v>13789</v>
      </c>
      <c r="E1345" s="657" t="s">
        <v>9406</v>
      </c>
      <c r="F1345" s="656" t="s">
        <v>537</v>
      </c>
      <c r="G1345" s="656" t="s">
        <v>922</v>
      </c>
      <c r="H1345" s="656" t="s">
        <v>537</v>
      </c>
      <c r="I1345" s="656" t="s">
        <v>14976</v>
      </c>
      <c r="J1345" s="656" t="s">
        <v>473</v>
      </c>
      <c r="K1345" s="656" t="s">
        <v>1058</v>
      </c>
      <c r="L1345" s="656"/>
      <c r="M1345" s="657"/>
      <c r="N1345" s="1482"/>
      <c r="O1345" s="656" t="s">
        <v>498</v>
      </c>
      <c r="P1345" s="656" t="s">
        <v>13052</v>
      </c>
      <c r="Q1345" s="656">
        <v>44216.781527777777</v>
      </c>
    </row>
    <row r="1346" spans="1:17">
      <c r="A1346" s="656" t="s">
        <v>1026</v>
      </c>
      <c r="B1346" s="657" t="s">
        <v>202</v>
      </c>
      <c r="C1346" s="656" t="s">
        <v>1027</v>
      </c>
      <c r="D1346" s="657" t="s">
        <v>13789</v>
      </c>
      <c r="E1346" s="657" t="s">
        <v>9510</v>
      </c>
      <c r="F1346" s="656" t="s">
        <v>472</v>
      </c>
      <c r="G1346" s="656" t="s">
        <v>519</v>
      </c>
      <c r="H1346" s="656" t="s">
        <v>472</v>
      </c>
      <c r="I1346" s="656" t="s">
        <v>15280</v>
      </c>
      <c r="J1346" s="656" t="s">
        <v>12368</v>
      </c>
      <c r="K1346" s="656"/>
      <c r="L1346" s="656"/>
      <c r="M1346" s="657"/>
      <c r="N1346" s="1482"/>
      <c r="O1346" s="656" t="s">
        <v>498</v>
      </c>
      <c r="P1346" s="656" t="s">
        <v>13052</v>
      </c>
      <c r="Q1346" s="656">
        <v>44216.7815162037</v>
      </c>
    </row>
    <row r="1347" spans="1:17">
      <c r="A1347" s="656" t="s">
        <v>1028</v>
      </c>
      <c r="B1347" s="657" t="s">
        <v>202</v>
      </c>
      <c r="C1347" s="656" t="s">
        <v>1029</v>
      </c>
      <c r="D1347" s="657"/>
      <c r="E1347" s="657" t="s">
        <v>9406</v>
      </c>
      <c r="F1347" s="656" t="s">
        <v>3077</v>
      </c>
      <c r="G1347" s="656" t="s">
        <v>512</v>
      </c>
      <c r="H1347" s="656" t="s">
        <v>465</v>
      </c>
      <c r="I1347" s="656" t="s">
        <v>14976</v>
      </c>
      <c r="J1347" s="656" t="s">
        <v>446</v>
      </c>
      <c r="K1347" s="656" t="s">
        <v>3077</v>
      </c>
      <c r="L1347" s="656"/>
      <c r="M1347" s="657"/>
      <c r="N1347" s="1482"/>
      <c r="O1347" s="656" t="s">
        <v>498</v>
      </c>
      <c r="P1347" s="656" t="s">
        <v>13052</v>
      </c>
      <c r="Q1347" s="656">
        <v>44216.7815162037</v>
      </c>
    </row>
    <row r="1348" spans="1:17">
      <c r="A1348" s="656" t="s">
        <v>1030</v>
      </c>
      <c r="B1348" s="657" t="s">
        <v>504</v>
      </c>
      <c r="C1348" s="656" t="s">
        <v>1031</v>
      </c>
      <c r="D1348" s="657" t="s">
        <v>13789</v>
      </c>
      <c r="E1348" s="657" t="s">
        <v>9458</v>
      </c>
      <c r="F1348" s="656" t="s">
        <v>505</v>
      </c>
      <c r="G1348" s="656" t="s">
        <v>506</v>
      </c>
      <c r="H1348" s="656" t="s">
        <v>505</v>
      </c>
      <c r="I1348" s="656" t="s">
        <v>14976</v>
      </c>
      <c r="J1348" s="656"/>
      <c r="K1348" s="656"/>
      <c r="L1348" s="656"/>
      <c r="M1348" s="657"/>
      <c r="N1348" s="1482"/>
      <c r="O1348" s="656" t="s">
        <v>498</v>
      </c>
      <c r="P1348" s="656" t="s">
        <v>13052</v>
      </c>
      <c r="Q1348" s="656">
        <v>44216.7815162037</v>
      </c>
    </row>
    <row r="1349" spans="1:17">
      <c r="A1349" s="656" t="s">
        <v>1032</v>
      </c>
      <c r="B1349" s="657" t="s">
        <v>202</v>
      </c>
      <c r="C1349" s="656" t="s">
        <v>1013</v>
      </c>
      <c r="D1349" s="657" t="s">
        <v>14977</v>
      </c>
      <c r="E1349" s="657" t="s">
        <v>9406</v>
      </c>
      <c r="F1349" s="656" t="s">
        <v>472</v>
      </c>
      <c r="G1349" s="656" t="s">
        <v>519</v>
      </c>
      <c r="H1349" s="656" t="s">
        <v>472</v>
      </c>
      <c r="I1349" s="656" t="s">
        <v>14976</v>
      </c>
      <c r="J1349" s="656" t="s">
        <v>12368</v>
      </c>
      <c r="K1349" s="656" t="s">
        <v>1058</v>
      </c>
      <c r="L1349" s="656"/>
      <c r="M1349" s="657"/>
      <c r="N1349" s="1482"/>
      <c r="O1349" s="656" t="s">
        <v>498</v>
      </c>
      <c r="P1349" s="656" t="s">
        <v>13052</v>
      </c>
      <c r="Q1349" s="656">
        <v>44216.781504629631</v>
      </c>
    </row>
    <row r="1350" spans="1:17">
      <c r="A1350" s="656" t="s">
        <v>9640</v>
      </c>
      <c r="B1350" s="657" t="s">
        <v>531</v>
      </c>
      <c r="C1350" s="656" t="s">
        <v>9639</v>
      </c>
      <c r="D1350" s="657" t="s">
        <v>14978</v>
      </c>
      <c r="E1350" s="657" t="s">
        <v>9406</v>
      </c>
      <c r="F1350" s="656" t="s">
        <v>442</v>
      </c>
      <c r="G1350" s="656" t="s">
        <v>552</v>
      </c>
      <c r="H1350" s="656" t="s">
        <v>442</v>
      </c>
      <c r="I1350" s="656" t="s">
        <v>14976</v>
      </c>
      <c r="J1350" s="656" t="s">
        <v>12369</v>
      </c>
      <c r="K1350" s="656" t="s">
        <v>477</v>
      </c>
      <c r="L1350" s="656" t="s">
        <v>9048</v>
      </c>
      <c r="M1350" s="657"/>
      <c r="N1350" s="1482"/>
      <c r="O1350" s="656" t="s">
        <v>498</v>
      </c>
      <c r="P1350" s="656" t="s">
        <v>13052</v>
      </c>
      <c r="Q1350" s="656">
        <v>44216.781504629631</v>
      </c>
    </row>
    <row r="1351" spans="1:17">
      <c r="A1351" s="656" t="s">
        <v>8638</v>
      </c>
      <c r="B1351" s="657" t="s">
        <v>202</v>
      </c>
      <c r="C1351" s="656" t="s">
        <v>8637</v>
      </c>
      <c r="D1351" s="657" t="s">
        <v>14978</v>
      </c>
      <c r="E1351" s="657" t="s">
        <v>9406</v>
      </c>
      <c r="F1351" s="656" t="s">
        <v>472</v>
      </c>
      <c r="G1351" s="656" t="s">
        <v>519</v>
      </c>
      <c r="H1351" s="656" t="s">
        <v>472</v>
      </c>
      <c r="I1351" s="656" t="s">
        <v>14976</v>
      </c>
      <c r="J1351" s="656" t="s">
        <v>12368</v>
      </c>
      <c r="K1351" s="656" t="s">
        <v>1058</v>
      </c>
      <c r="L1351" s="656" t="s">
        <v>1033</v>
      </c>
      <c r="M1351" s="657"/>
      <c r="N1351" s="1482"/>
      <c r="O1351" s="656" t="s">
        <v>498</v>
      </c>
      <c r="P1351" s="656" t="s">
        <v>13052</v>
      </c>
      <c r="Q1351" s="656">
        <v>44216.781493055554</v>
      </c>
    </row>
    <row r="1352" spans="1:17">
      <c r="A1352" s="656" t="s">
        <v>8640</v>
      </c>
      <c r="B1352" s="657" t="s">
        <v>202</v>
      </c>
      <c r="C1352" s="656" t="s">
        <v>8639</v>
      </c>
      <c r="D1352" s="657" t="s">
        <v>14978</v>
      </c>
      <c r="E1352" s="657" t="s">
        <v>9406</v>
      </c>
      <c r="F1352" s="656" t="s">
        <v>472</v>
      </c>
      <c r="G1352" s="656" t="s">
        <v>519</v>
      </c>
      <c r="H1352" s="656" t="s">
        <v>472</v>
      </c>
      <c r="I1352" s="656" t="s">
        <v>14976</v>
      </c>
      <c r="J1352" s="656" t="s">
        <v>12368</v>
      </c>
      <c r="K1352" s="656" t="s">
        <v>1058</v>
      </c>
      <c r="L1352" s="656" t="s">
        <v>1033</v>
      </c>
      <c r="M1352" s="657"/>
      <c r="N1352" s="1482"/>
      <c r="O1352" s="656" t="s">
        <v>498</v>
      </c>
      <c r="P1352" s="656" t="s">
        <v>13052</v>
      </c>
      <c r="Q1352" s="656">
        <v>44216.781481481485</v>
      </c>
    </row>
    <row r="1353" spans="1:17">
      <c r="A1353" s="656" t="s">
        <v>1033</v>
      </c>
      <c r="B1353" s="657" t="s">
        <v>202</v>
      </c>
      <c r="C1353" s="656" t="s">
        <v>1015</v>
      </c>
      <c r="D1353" s="657" t="s">
        <v>14977</v>
      </c>
      <c r="E1353" s="657" t="s">
        <v>9406</v>
      </c>
      <c r="F1353" s="656" t="s">
        <v>472</v>
      </c>
      <c r="G1353" s="656" t="s">
        <v>519</v>
      </c>
      <c r="H1353" s="656" t="s">
        <v>472</v>
      </c>
      <c r="I1353" s="656" t="s">
        <v>14976</v>
      </c>
      <c r="J1353" s="656" t="s">
        <v>12368</v>
      </c>
      <c r="K1353" s="656" t="s">
        <v>1058</v>
      </c>
      <c r="L1353" s="656"/>
      <c r="M1353" s="657"/>
      <c r="N1353" s="1482"/>
      <c r="O1353" s="656" t="s">
        <v>498</v>
      </c>
      <c r="P1353" s="656" t="s">
        <v>13052</v>
      </c>
      <c r="Q1353" s="656">
        <v>44216.781469907408</v>
      </c>
    </row>
    <row r="1354" spans="1:17">
      <c r="A1354" s="656" t="s">
        <v>1034</v>
      </c>
      <c r="B1354" s="657" t="s">
        <v>202</v>
      </c>
      <c r="C1354" s="656" t="s">
        <v>1017</v>
      </c>
      <c r="D1354" s="657" t="s">
        <v>14977</v>
      </c>
      <c r="E1354" s="657" t="s">
        <v>9406</v>
      </c>
      <c r="F1354" s="656" t="s">
        <v>472</v>
      </c>
      <c r="G1354" s="656" t="s">
        <v>519</v>
      </c>
      <c r="H1354" s="656" t="s">
        <v>472</v>
      </c>
      <c r="I1354" s="656" t="s">
        <v>14976</v>
      </c>
      <c r="J1354" s="656" t="s">
        <v>12368</v>
      </c>
      <c r="K1354" s="656" t="s">
        <v>1058</v>
      </c>
      <c r="L1354" s="656"/>
      <c r="M1354" s="657"/>
      <c r="N1354" s="1482"/>
      <c r="O1354" s="656" t="s">
        <v>498</v>
      </c>
      <c r="P1354" s="656" t="s">
        <v>13052</v>
      </c>
      <c r="Q1354" s="656">
        <v>44216.781469907408</v>
      </c>
    </row>
    <row r="1355" spans="1:17">
      <c r="A1355" s="656" t="s">
        <v>12639</v>
      </c>
      <c r="B1355" s="657" t="s">
        <v>202</v>
      </c>
      <c r="C1355" s="656" t="s">
        <v>12638</v>
      </c>
      <c r="D1355" s="657" t="s">
        <v>14978</v>
      </c>
      <c r="E1355" s="657" t="s">
        <v>7437</v>
      </c>
      <c r="F1355" s="656" t="s">
        <v>472</v>
      </c>
      <c r="G1355" s="656" t="s">
        <v>519</v>
      </c>
      <c r="H1355" s="656" t="s">
        <v>472</v>
      </c>
      <c r="I1355" s="656" t="s">
        <v>14976</v>
      </c>
      <c r="J1355" s="656" t="s">
        <v>12368</v>
      </c>
      <c r="K1355" s="656" t="s">
        <v>1058</v>
      </c>
      <c r="L1355" s="656" t="s">
        <v>1045</v>
      </c>
      <c r="M1355" s="657"/>
      <c r="N1355" s="1482"/>
      <c r="O1355" s="656" t="s">
        <v>498</v>
      </c>
      <c r="P1355" s="656" t="s">
        <v>13052</v>
      </c>
      <c r="Q1355" s="656">
        <v>44216.781458333331</v>
      </c>
    </row>
    <row r="1356" spans="1:17">
      <c r="A1356" s="656" t="s">
        <v>8778</v>
      </c>
      <c r="B1356" s="657" t="s">
        <v>202</v>
      </c>
      <c r="C1356" s="656" t="s">
        <v>8777</v>
      </c>
      <c r="D1356" s="657" t="s">
        <v>14978</v>
      </c>
      <c r="E1356" s="657" t="s">
        <v>9406</v>
      </c>
      <c r="F1356" s="656" t="s">
        <v>472</v>
      </c>
      <c r="G1356" s="656" t="s">
        <v>519</v>
      </c>
      <c r="H1356" s="656" t="s">
        <v>472</v>
      </c>
      <c r="I1356" s="656" t="s">
        <v>14976</v>
      </c>
      <c r="J1356" s="656" t="s">
        <v>12368</v>
      </c>
      <c r="K1356" s="656" t="s">
        <v>1058</v>
      </c>
      <c r="L1356" s="656" t="s">
        <v>1045</v>
      </c>
      <c r="M1356" s="657"/>
      <c r="N1356" s="1482"/>
      <c r="O1356" s="656" t="s">
        <v>498</v>
      </c>
      <c r="P1356" s="656" t="s">
        <v>13052</v>
      </c>
      <c r="Q1356" s="656">
        <v>44216.781446759262</v>
      </c>
    </row>
    <row r="1357" spans="1:17">
      <c r="A1357" s="656" t="s">
        <v>1035</v>
      </c>
      <c r="B1357" s="657" t="s">
        <v>202</v>
      </c>
      <c r="C1357" s="656" t="s">
        <v>1036</v>
      </c>
      <c r="D1357" s="657" t="s">
        <v>14978</v>
      </c>
      <c r="E1357" s="657" t="s">
        <v>9406</v>
      </c>
      <c r="F1357" s="656" t="s">
        <v>472</v>
      </c>
      <c r="G1357" s="656" t="s">
        <v>519</v>
      </c>
      <c r="H1357" s="656" t="s">
        <v>472</v>
      </c>
      <c r="I1357" s="656" t="s">
        <v>14976</v>
      </c>
      <c r="J1357" s="656" t="s">
        <v>12368</v>
      </c>
      <c r="K1357" s="656" t="s">
        <v>1058</v>
      </c>
      <c r="L1357" s="656" t="s">
        <v>1045</v>
      </c>
      <c r="M1357" s="657"/>
      <c r="N1357" s="1482"/>
      <c r="O1357" s="656" t="s">
        <v>498</v>
      </c>
      <c r="P1357" s="656" t="s">
        <v>13052</v>
      </c>
      <c r="Q1357" s="656">
        <v>44216.781446759262</v>
      </c>
    </row>
    <row r="1358" spans="1:17">
      <c r="A1358" s="656" t="s">
        <v>1037</v>
      </c>
      <c r="B1358" s="657" t="s">
        <v>202</v>
      </c>
      <c r="C1358" s="656" t="s">
        <v>8821</v>
      </c>
      <c r="D1358" s="657" t="s">
        <v>14978</v>
      </c>
      <c r="E1358" s="657" t="s">
        <v>9406</v>
      </c>
      <c r="F1358" s="656" t="s">
        <v>472</v>
      </c>
      <c r="G1358" s="656" t="s">
        <v>519</v>
      </c>
      <c r="H1358" s="656" t="s">
        <v>472</v>
      </c>
      <c r="I1358" s="656" t="s">
        <v>14976</v>
      </c>
      <c r="J1358" s="656" t="s">
        <v>12368</v>
      </c>
      <c r="K1358" s="656" t="s">
        <v>1058</v>
      </c>
      <c r="L1358" s="656" t="s">
        <v>1045</v>
      </c>
      <c r="M1358" s="657"/>
      <c r="N1358" s="1482"/>
      <c r="O1358" s="656" t="s">
        <v>498</v>
      </c>
      <c r="P1358" s="656" t="s">
        <v>13052</v>
      </c>
      <c r="Q1358" s="656">
        <v>44216.781446759262</v>
      </c>
    </row>
    <row r="1359" spans="1:17">
      <c r="A1359" s="656" t="s">
        <v>1038</v>
      </c>
      <c r="B1359" s="657" t="s">
        <v>202</v>
      </c>
      <c r="C1359" s="656" t="s">
        <v>1039</v>
      </c>
      <c r="D1359" s="657" t="s">
        <v>14978</v>
      </c>
      <c r="E1359" s="657" t="s">
        <v>9406</v>
      </c>
      <c r="F1359" s="656" t="s">
        <v>472</v>
      </c>
      <c r="G1359" s="656" t="s">
        <v>519</v>
      </c>
      <c r="H1359" s="656" t="s">
        <v>472</v>
      </c>
      <c r="I1359" s="656" t="s">
        <v>14976</v>
      </c>
      <c r="J1359" s="656" t="s">
        <v>12368</v>
      </c>
      <c r="K1359" s="656" t="s">
        <v>1058</v>
      </c>
      <c r="L1359" s="656" t="s">
        <v>1045</v>
      </c>
      <c r="M1359" s="657"/>
      <c r="N1359" s="1482"/>
      <c r="O1359" s="656" t="s">
        <v>498</v>
      </c>
      <c r="P1359" s="656" t="s">
        <v>13052</v>
      </c>
      <c r="Q1359" s="656">
        <v>44216.781435185185</v>
      </c>
    </row>
    <row r="1360" spans="1:17">
      <c r="A1360" s="656" t="s">
        <v>1040</v>
      </c>
      <c r="B1360" s="657" t="s">
        <v>202</v>
      </c>
      <c r="C1360" s="656" t="s">
        <v>1041</v>
      </c>
      <c r="D1360" s="657" t="s">
        <v>14978</v>
      </c>
      <c r="E1360" s="657" t="s">
        <v>9406</v>
      </c>
      <c r="F1360" s="656" t="s">
        <v>472</v>
      </c>
      <c r="G1360" s="656" t="s">
        <v>519</v>
      </c>
      <c r="H1360" s="656" t="s">
        <v>472</v>
      </c>
      <c r="I1360" s="656" t="s">
        <v>14976</v>
      </c>
      <c r="J1360" s="656" t="s">
        <v>12368</v>
      </c>
      <c r="K1360" s="656" t="s">
        <v>1058</v>
      </c>
      <c r="L1360" s="656" t="s">
        <v>1045</v>
      </c>
      <c r="M1360" s="657"/>
      <c r="N1360" s="1482"/>
      <c r="O1360" s="656" t="s">
        <v>498</v>
      </c>
      <c r="P1360" s="656" t="s">
        <v>13052</v>
      </c>
      <c r="Q1360" s="656">
        <v>44216.781423611108</v>
      </c>
    </row>
    <row r="1361" spans="1:17">
      <c r="A1361" s="656" t="s">
        <v>1042</v>
      </c>
      <c r="B1361" s="657" t="s">
        <v>202</v>
      </c>
      <c r="C1361" s="656" t="s">
        <v>1043</v>
      </c>
      <c r="D1361" s="657" t="s">
        <v>14978</v>
      </c>
      <c r="E1361" s="657" t="s">
        <v>9406</v>
      </c>
      <c r="F1361" s="656" t="s">
        <v>472</v>
      </c>
      <c r="G1361" s="656" t="s">
        <v>519</v>
      </c>
      <c r="H1361" s="656" t="s">
        <v>472</v>
      </c>
      <c r="I1361" s="656" t="s">
        <v>14976</v>
      </c>
      <c r="J1361" s="656" t="s">
        <v>12368</v>
      </c>
      <c r="K1361" s="656" t="s">
        <v>1058</v>
      </c>
      <c r="L1361" s="656" t="s">
        <v>1045</v>
      </c>
      <c r="M1361" s="657"/>
      <c r="N1361" s="1482"/>
      <c r="O1361" s="656" t="s">
        <v>498</v>
      </c>
      <c r="P1361" s="656" t="s">
        <v>13052</v>
      </c>
      <c r="Q1361" s="656">
        <v>44216.781435185185</v>
      </c>
    </row>
    <row r="1362" spans="1:17">
      <c r="A1362" s="656" t="s">
        <v>1045</v>
      </c>
      <c r="B1362" s="657" t="s">
        <v>202</v>
      </c>
      <c r="C1362" s="656" t="s">
        <v>1019</v>
      </c>
      <c r="D1362" s="657" t="s">
        <v>14977</v>
      </c>
      <c r="E1362" s="657" t="s">
        <v>9406</v>
      </c>
      <c r="F1362" s="656" t="s">
        <v>472</v>
      </c>
      <c r="G1362" s="656" t="s">
        <v>519</v>
      </c>
      <c r="H1362" s="656" t="s">
        <v>472</v>
      </c>
      <c r="I1362" s="656" t="s">
        <v>14976</v>
      </c>
      <c r="J1362" s="656" t="s">
        <v>12368</v>
      </c>
      <c r="K1362" s="656" t="s">
        <v>1058</v>
      </c>
      <c r="L1362" s="656"/>
      <c r="M1362" s="657"/>
      <c r="N1362" s="1482"/>
      <c r="O1362" s="656" t="s">
        <v>498</v>
      </c>
      <c r="P1362" s="656" t="s">
        <v>13052</v>
      </c>
      <c r="Q1362" s="656">
        <v>44216.781412037039</v>
      </c>
    </row>
    <row r="1363" spans="1:17">
      <c r="A1363" s="656" t="s">
        <v>1046</v>
      </c>
      <c r="B1363" s="657" t="s">
        <v>202</v>
      </c>
      <c r="C1363" s="656" t="s">
        <v>1047</v>
      </c>
      <c r="D1363" s="657" t="s">
        <v>13789</v>
      </c>
      <c r="E1363" s="657" t="s">
        <v>9406</v>
      </c>
      <c r="F1363" s="656" t="s">
        <v>4052</v>
      </c>
      <c r="G1363" s="656" t="s">
        <v>512</v>
      </c>
      <c r="H1363" s="656" t="s">
        <v>455</v>
      </c>
      <c r="I1363" s="656" t="s">
        <v>14976</v>
      </c>
      <c r="J1363" s="656" t="s">
        <v>451</v>
      </c>
      <c r="K1363" s="656" t="s">
        <v>4052</v>
      </c>
      <c r="L1363" s="656"/>
      <c r="M1363" s="657"/>
      <c r="N1363" s="1482"/>
      <c r="O1363" s="656" t="s">
        <v>498</v>
      </c>
      <c r="P1363" s="656" t="s">
        <v>13052</v>
      </c>
      <c r="Q1363" s="656">
        <v>44216.781412037039</v>
      </c>
    </row>
    <row r="1364" spans="1:17">
      <c r="A1364" s="656" t="s">
        <v>1048</v>
      </c>
      <c r="B1364" s="657" t="s">
        <v>202</v>
      </c>
      <c r="C1364" s="656" t="s">
        <v>1049</v>
      </c>
      <c r="D1364" s="657" t="s">
        <v>13789</v>
      </c>
      <c r="E1364" s="657" t="s">
        <v>9406</v>
      </c>
      <c r="F1364" s="656" t="s">
        <v>1050</v>
      </c>
      <c r="G1364" s="656" t="s">
        <v>1051</v>
      </c>
      <c r="H1364" s="656" t="s">
        <v>1050</v>
      </c>
      <c r="I1364" s="656" t="s">
        <v>14976</v>
      </c>
      <c r="J1364" s="656"/>
      <c r="K1364" s="656"/>
      <c r="L1364" s="656"/>
      <c r="M1364" s="657"/>
      <c r="N1364" s="1482"/>
      <c r="O1364" s="656" t="s">
        <v>498</v>
      </c>
      <c r="P1364" s="656" t="s">
        <v>13052</v>
      </c>
      <c r="Q1364" s="656">
        <v>44216.781400462962</v>
      </c>
    </row>
    <row r="1365" spans="1:17">
      <c r="A1365" s="656" t="s">
        <v>1052</v>
      </c>
      <c r="B1365" s="657" t="s">
        <v>202</v>
      </c>
      <c r="C1365" s="656" t="s">
        <v>1053</v>
      </c>
      <c r="D1365" s="657" t="s">
        <v>13789</v>
      </c>
      <c r="E1365" s="657" t="s">
        <v>9406</v>
      </c>
      <c r="F1365" s="656" t="s">
        <v>1050</v>
      </c>
      <c r="G1365" s="656" t="s">
        <v>1051</v>
      </c>
      <c r="H1365" s="656" t="s">
        <v>1050</v>
      </c>
      <c r="I1365" s="656" t="s">
        <v>14976</v>
      </c>
      <c r="J1365" s="656"/>
      <c r="K1365" s="656"/>
      <c r="L1365" s="656"/>
      <c r="M1365" s="657"/>
      <c r="N1365" s="1482"/>
      <c r="O1365" s="656" t="s">
        <v>498</v>
      </c>
      <c r="P1365" s="656" t="s">
        <v>13052</v>
      </c>
      <c r="Q1365" s="656">
        <v>44216.781400462962</v>
      </c>
    </row>
    <row r="1366" spans="1:17">
      <c r="A1366" s="656" t="s">
        <v>1054</v>
      </c>
      <c r="B1366" s="657" t="s">
        <v>202</v>
      </c>
      <c r="C1366" s="656" t="s">
        <v>1055</v>
      </c>
      <c r="D1366" s="657" t="s">
        <v>13789</v>
      </c>
      <c r="E1366" s="657" t="s">
        <v>9406</v>
      </c>
      <c r="F1366" s="656" t="s">
        <v>1050</v>
      </c>
      <c r="G1366" s="656" t="s">
        <v>1051</v>
      </c>
      <c r="H1366" s="656" t="s">
        <v>1050</v>
      </c>
      <c r="I1366" s="656" t="s">
        <v>14976</v>
      </c>
      <c r="J1366" s="656"/>
      <c r="K1366" s="656"/>
      <c r="L1366" s="656"/>
      <c r="M1366" s="657"/>
      <c r="N1366" s="1482"/>
      <c r="O1366" s="656" t="s">
        <v>498</v>
      </c>
      <c r="P1366" s="656" t="s">
        <v>13052</v>
      </c>
      <c r="Q1366" s="656">
        <v>44216.781400462962</v>
      </c>
    </row>
    <row r="1367" spans="1:17">
      <c r="A1367" s="656" t="s">
        <v>1056</v>
      </c>
      <c r="B1367" s="657" t="s">
        <v>202</v>
      </c>
      <c r="C1367" s="656" t="s">
        <v>1057</v>
      </c>
      <c r="D1367" s="657" t="s">
        <v>13789</v>
      </c>
      <c r="E1367" s="657" t="s">
        <v>9406</v>
      </c>
      <c r="F1367" s="656" t="s">
        <v>1058</v>
      </c>
      <c r="G1367" s="656" t="s">
        <v>702</v>
      </c>
      <c r="H1367" s="656" t="s">
        <v>1058</v>
      </c>
      <c r="I1367" s="656" t="s">
        <v>14976</v>
      </c>
      <c r="J1367" s="656" t="s">
        <v>451</v>
      </c>
      <c r="K1367" s="656"/>
      <c r="L1367" s="656"/>
      <c r="M1367" s="657"/>
      <c r="N1367" s="1482"/>
      <c r="O1367" s="656" t="s">
        <v>498</v>
      </c>
      <c r="P1367" s="656" t="s">
        <v>13052</v>
      </c>
      <c r="Q1367" s="656">
        <v>44216.781388888892</v>
      </c>
    </row>
    <row r="1368" spans="1:17">
      <c r="A1368" s="656" t="s">
        <v>1059</v>
      </c>
      <c r="B1368" s="657" t="s">
        <v>202</v>
      </c>
      <c r="C1368" s="656" t="s">
        <v>1060</v>
      </c>
      <c r="D1368" s="657" t="s">
        <v>13789</v>
      </c>
      <c r="E1368" s="657" t="s">
        <v>9406</v>
      </c>
      <c r="F1368" s="656" t="s">
        <v>1058</v>
      </c>
      <c r="G1368" s="656" t="s">
        <v>702</v>
      </c>
      <c r="H1368" s="656" t="s">
        <v>1058</v>
      </c>
      <c r="I1368" s="656" t="s">
        <v>14976</v>
      </c>
      <c r="J1368" s="656" t="s">
        <v>451</v>
      </c>
      <c r="K1368" s="656"/>
      <c r="L1368" s="656"/>
      <c r="M1368" s="657"/>
      <c r="N1368" s="1482"/>
      <c r="O1368" s="656" t="s">
        <v>498</v>
      </c>
      <c r="P1368" s="656" t="s">
        <v>13052</v>
      </c>
      <c r="Q1368" s="656">
        <v>44216.781388888892</v>
      </c>
    </row>
    <row r="1369" spans="1:17">
      <c r="A1369" s="656" t="s">
        <v>1061</v>
      </c>
      <c r="B1369" s="657" t="s">
        <v>202</v>
      </c>
      <c r="C1369" s="656" t="s">
        <v>13893</v>
      </c>
      <c r="D1369" s="657" t="s">
        <v>13789</v>
      </c>
      <c r="E1369" s="657" t="s">
        <v>9406</v>
      </c>
      <c r="F1369" s="656" t="s">
        <v>458</v>
      </c>
      <c r="G1369" s="656" t="s">
        <v>458</v>
      </c>
      <c r="H1369" s="656" t="s">
        <v>458</v>
      </c>
      <c r="I1369" s="656" t="s">
        <v>14976</v>
      </c>
      <c r="J1369" s="656" t="s">
        <v>8814</v>
      </c>
      <c r="K1369" s="656"/>
      <c r="L1369" s="656"/>
      <c r="M1369" s="657"/>
      <c r="N1369" s="1482"/>
      <c r="O1369" s="656" t="s">
        <v>498</v>
      </c>
      <c r="P1369" s="656" t="s">
        <v>13052</v>
      </c>
      <c r="Q1369" s="656">
        <v>44216.781377314815</v>
      </c>
    </row>
    <row r="1370" spans="1:17">
      <c r="A1370" s="656" t="s">
        <v>1062</v>
      </c>
      <c r="B1370" s="657" t="s">
        <v>202</v>
      </c>
      <c r="C1370" s="656" t="s">
        <v>1063</v>
      </c>
      <c r="D1370" s="657" t="s">
        <v>13789</v>
      </c>
      <c r="E1370" s="657" t="s">
        <v>9510</v>
      </c>
      <c r="F1370" s="656" t="s">
        <v>462</v>
      </c>
      <c r="G1370" s="656" t="s">
        <v>711</v>
      </c>
      <c r="H1370" s="656" t="s">
        <v>462</v>
      </c>
      <c r="I1370" s="656" t="s">
        <v>15280</v>
      </c>
      <c r="J1370" s="656" t="s">
        <v>463</v>
      </c>
      <c r="K1370" s="656"/>
      <c r="L1370" s="656"/>
      <c r="M1370" s="657"/>
      <c r="N1370" s="1482"/>
      <c r="O1370" s="656" t="s">
        <v>498</v>
      </c>
      <c r="P1370" s="656" t="s">
        <v>13052</v>
      </c>
      <c r="Q1370" s="656">
        <v>44216.781377314815</v>
      </c>
    </row>
    <row r="1371" spans="1:17">
      <c r="A1371" s="656" t="s">
        <v>1064</v>
      </c>
      <c r="B1371" s="657" t="s">
        <v>202</v>
      </c>
      <c r="C1371" s="656" t="s">
        <v>1065</v>
      </c>
      <c r="D1371" s="657" t="s">
        <v>13789</v>
      </c>
      <c r="E1371" s="657" t="s">
        <v>9406</v>
      </c>
      <c r="F1371" s="656" t="s">
        <v>4052</v>
      </c>
      <c r="G1371" s="656"/>
      <c r="H1371" s="656" t="s">
        <v>455</v>
      </c>
      <c r="I1371" s="656" t="s">
        <v>14976</v>
      </c>
      <c r="J1371" s="656" t="s">
        <v>451</v>
      </c>
      <c r="K1371" s="656"/>
      <c r="L1371" s="656"/>
      <c r="M1371" s="657"/>
      <c r="N1371" s="1482"/>
      <c r="O1371" s="656" t="s">
        <v>498</v>
      </c>
      <c r="P1371" s="656" t="s">
        <v>13052</v>
      </c>
      <c r="Q1371" s="656">
        <v>44216.781365740739</v>
      </c>
    </row>
    <row r="1372" spans="1:17">
      <c r="A1372" s="656" t="s">
        <v>1066</v>
      </c>
      <c r="B1372" s="657" t="s">
        <v>202</v>
      </c>
      <c r="C1372" s="656" t="s">
        <v>1067</v>
      </c>
      <c r="D1372" s="657" t="s">
        <v>13789</v>
      </c>
      <c r="E1372" s="657" t="s">
        <v>9406</v>
      </c>
      <c r="F1372" s="656" t="s">
        <v>462</v>
      </c>
      <c r="G1372" s="656" t="s">
        <v>512</v>
      </c>
      <c r="H1372" s="656" t="s">
        <v>462</v>
      </c>
      <c r="I1372" s="656" t="s">
        <v>14976</v>
      </c>
      <c r="J1372" s="656" t="s">
        <v>459</v>
      </c>
      <c r="K1372" s="656" t="s">
        <v>2849</v>
      </c>
      <c r="L1372" s="656"/>
      <c r="M1372" s="657"/>
      <c r="N1372" s="1482"/>
      <c r="O1372" s="656" t="s">
        <v>498</v>
      </c>
      <c r="P1372" s="656" t="s">
        <v>13052</v>
      </c>
      <c r="Q1372" s="656">
        <v>44216.781365740739</v>
      </c>
    </row>
    <row r="1373" spans="1:17">
      <c r="A1373" s="656" t="s">
        <v>1068</v>
      </c>
      <c r="B1373" s="657" t="s">
        <v>202</v>
      </c>
      <c r="C1373" s="656" t="s">
        <v>1069</v>
      </c>
      <c r="D1373" s="657" t="s">
        <v>13789</v>
      </c>
      <c r="E1373" s="657" t="s">
        <v>9406</v>
      </c>
      <c r="F1373" s="656" t="s">
        <v>462</v>
      </c>
      <c r="G1373" s="656"/>
      <c r="H1373" s="656" t="s">
        <v>462</v>
      </c>
      <c r="I1373" s="656" t="s">
        <v>14976</v>
      </c>
      <c r="J1373" s="656" t="s">
        <v>463</v>
      </c>
      <c r="K1373" s="656"/>
      <c r="L1373" s="656"/>
      <c r="M1373" s="657"/>
      <c r="N1373" s="1482"/>
      <c r="O1373" s="656" t="s">
        <v>498</v>
      </c>
      <c r="P1373" s="656" t="s">
        <v>13052</v>
      </c>
      <c r="Q1373" s="656">
        <v>44216.781354166669</v>
      </c>
    </row>
    <row r="1374" spans="1:17">
      <c r="A1374" s="656" t="s">
        <v>1071</v>
      </c>
      <c r="B1374" s="657" t="s">
        <v>202</v>
      </c>
      <c r="C1374" s="656" t="s">
        <v>1072</v>
      </c>
      <c r="D1374" s="657" t="s">
        <v>13789</v>
      </c>
      <c r="E1374" s="657" t="s">
        <v>9510</v>
      </c>
      <c r="F1374" s="656" t="s">
        <v>604</v>
      </c>
      <c r="G1374" s="656"/>
      <c r="H1374" s="656" t="s">
        <v>604</v>
      </c>
      <c r="I1374" s="656" t="s">
        <v>14976</v>
      </c>
      <c r="J1374" s="656" t="s">
        <v>12372</v>
      </c>
      <c r="K1374" s="656"/>
      <c r="L1374" s="656"/>
      <c r="M1374" s="657"/>
      <c r="N1374" s="1482"/>
      <c r="O1374" s="656" t="s">
        <v>498</v>
      </c>
      <c r="P1374" s="656" t="s">
        <v>13052</v>
      </c>
      <c r="Q1374" s="656">
        <v>44216.781365740739</v>
      </c>
    </row>
    <row r="1375" spans="1:17">
      <c r="A1375" s="656" t="s">
        <v>1074</v>
      </c>
      <c r="B1375" s="657" t="s">
        <v>202</v>
      </c>
      <c r="C1375" s="656" t="s">
        <v>1075</v>
      </c>
      <c r="D1375" s="657" t="s">
        <v>13789</v>
      </c>
      <c r="E1375" s="657" t="s">
        <v>9406</v>
      </c>
      <c r="F1375" s="656" t="s">
        <v>462</v>
      </c>
      <c r="G1375" s="656" t="s">
        <v>512</v>
      </c>
      <c r="H1375" s="656" t="s">
        <v>462</v>
      </c>
      <c r="I1375" s="656" t="s">
        <v>15280</v>
      </c>
      <c r="J1375" s="656" t="s">
        <v>463</v>
      </c>
      <c r="K1375" s="656" t="s">
        <v>1924</v>
      </c>
      <c r="L1375" s="656"/>
      <c r="M1375" s="657"/>
      <c r="N1375" s="1482"/>
      <c r="O1375" s="656" t="s">
        <v>498</v>
      </c>
      <c r="P1375" s="656" t="s">
        <v>13052</v>
      </c>
      <c r="Q1375" s="656">
        <v>44216.781354166669</v>
      </c>
    </row>
    <row r="1376" spans="1:17">
      <c r="A1376" s="656" t="s">
        <v>1076</v>
      </c>
      <c r="B1376" s="657" t="s">
        <v>202</v>
      </c>
      <c r="C1376" s="656" t="s">
        <v>1077</v>
      </c>
      <c r="D1376" s="657" t="s">
        <v>13789</v>
      </c>
      <c r="E1376" s="657" t="s">
        <v>9406</v>
      </c>
      <c r="F1376" s="656" t="s">
        <v>1050</v>
      </c>
      <c r="G1376" s="656" t="s">
        <v>1078</v>
      </c>
      <c r="H1376" s="656" t="s">
        <v>1050</v>
      </c>
      <c r="I1376" s="656" t="s">
        <v>14976</v>
      </c>
      <c r="J1376" s="656"/>
      <c r="K1376" s="656"/>
      <c r="L1376" s="656"/>
      <c r="M1376" s="657"/>
      <c r="N1376" s="1482"/>
      <c r="O1376" s="656" t="s">
        <v>498</v>
      </c>
      <c r="P1376" s="656" t="s">
        <v>13052</v>
      </c>
      <c r="Q1376" s="656">
        <v>44216.781342592592</v>
      </c>
    </row>
    <row r="1377" spans="1:17">
      <c r="A1377" s="656" t="s">
        <v>1079</v>
      </c>
      <c r="B1377" s="657" t="s">
        <v>531</v>
      </c>
      <c r="C1377" s="656" t="s">
        <v>1080</v>
      </c>
      <c r="D1377" s="657" t="s">
        <v>14977</v>
      </c>
      <c r="E1377" s="657" t="s">
        <v>9510</v>
      </c>
      <c r="F1377" s="656" t="s">
        <v>2849</v>
      </c>
      <c r="G1377" s="656" t="s">
        <v>552</v>
      </c>
      <c r="H1377" s="656" t="s">
        <v>469</v>
      </c>
      <c r="I1377" s="656" t="s">
        <v>15280</v>
      </c>
      <c r="J1377" s="656" t="s">
        <v>532</v>
      </c>
      <c r="K1377" s="656" t="s">
        <v>477</v>
      </c>
      <c r="L1377" s="656" t="s">
        <v>1079</v>
      </c>
      <c r="M1377" s="657"/>
      <c r="N1377" s="1482"/>
      <c r="O1377" s="656" t="s">
        <v>498</v>
      </c>
      <c r="P1377" s="656" t="s">
        <v>13052</v>
      </c>
      <c r="Q1377" s="656">
        <v>44216.781331018516</v>
      </c>
    </row>
    <row r="1378" spans="1:17">
      <c r="A1378" s="656" t="s">
        <v>12641</v>
      </c>
      <c r="B1378" s="657" t="s">
        <v>202</v>
      </c>
      <c r="C1378" s="656" t="s">
        <v>12640</v>
      </c>
      <c r="D1378" s="657" t="s">
        <v>14978</v>
      </c>
      <c r="E1378" s="657" t="s">
        <v>7437</v>
      </c>
      <c r="F1378" s="656" t="s">
        <v>4052</v>
      </c>
      <c r="G1378" s="656" t="s">
        <v>922</v>
      </c>
      <c r="H1378" s="656" t="s">
        <v>455</v>
      </c>
      <c r="I1378" s="656" t="s">
        <v>14976</v>
      </c>
      <c r="J1378" s="656" t="s">
        <v>451</v>
      </c>
      <c r="K1378" s="656" t="s">
        <v>1058</v>
      </c>
      <c r="L1378" s="656" t="s">
        <v>1092</v>
      </c>
      <c r="M1378" s="657"/>
      <c r="N1378" s="1482"/>
      <c r="O1378" s="656" t="s">
        <v>498</v>
      </c>
      <c r="P1378" s="656" t="s">
        <v>13052</v>
      </c>
      <c r="Q1378" s="656">
        <v>44216.781331018516</v>
      </c>
    </row>
    <row r="1379" spans="1:17">
      <c r="A1379" s="656" t="s">
        <v>9642</v>
      </c>
      <c r="B1379" s="657" t="s">
        <v>202</v>
      </c>
      <c r="C1379" s="656" t="s">
        <v>9641</v>
      </c>
      <c r="D1379" s="657" t="s">
        <v>14978</v>
      </c>
      <c r="E1379" s="657" t="s">
        <v>7435</v>
      </c>
      <c r="F1379" s="656" t="s">
        <v>4052</v>
      </c>
      <c r="G1379" s="656" t="s">
        <v>922</v>
      </c>
      <c r="H1379" s="656" t="s">
        <v>455</v>
      </c>
      <c r="I1379" s="656" t="s">
        <v>14976</v>
      </c>
      <c r="J1379" s="656" t="s">
        <v>451</v>
      </c>
      <c r="K1379" s="656" t="s">
        <v>1058</v>
      </c>
      <c r="L1379" s="656" t="s">
        <v>1092</v>
      </c>
      <c r="M1379" s="657"/>
      <c r="N1379" s="1482"/>
      <c r="O1379" s="656" t="s">
        <v>498</v>
      </c>
      <c r="P1379" s="656" t="s">
        <v>13052</v>
      </c>
      <c r="Q1379" s="656">
        <v>44216.781331018516</v>
      </c>
    </row>
    <row r="1380" spans="1:17">
      <c r="A1380" s="656" t="s">
        <v>9644</v>
      </c>
      <c r="B1380" s="657" t="s">
        <v>202</v>
      </c>
      <c r="C1380" s="656" t="s">
        <v>9643</v>
      </c>
      <c r="D1380" s="657" t="s">
        <v>14978</v>
      </c>
      <c r="E1380" s="657" t="s">
        <v>7433</v>
      </c>
      <c r="F1380" s="656" t="s">
        <v>4052</v>
      </c>
      <c r="G1380" s="656" t="s">
        <v>922</v>
      </c>
      <c r="H1380" s="656" t="s">
        <v>455</v>
      </c>
      <c r="I1380" s="656" t="s">
        <v>14976</v>
      </c>
      <c r="J1380" s="656" t="s">
        <v>451</v>
      </c>
      <c r="K1380" s="656" t="s">
        <v>1058</v>
      </c>
      <c r="L1380" s="656" t="s">
        <v>1092</v>
      </c>
      <c r="M1380" s="657"/>
      <c r="N1380" s="1482"/>
      <c r="O1380" s="656" t="s">
        <v>498</v>
      </c>
      <c r="P1380" s="656" t="s">
        <v>13052</v>
      </c>
      <c r="Q1380" s="656">
        <v>44216.781319444446</v>
      </c>
    </row>
    <row r="1381" spans="1:17">
      <c r="A1381" s="656" t="s">
        <v>9646</v>
      </c>
      <c r="B1381" s="657" t="s">
        <v>202</v>
      </c>
      <c r="C1381" s="656" t="s">
        <v>9645</v>
      </c>
      <c r="D1381" s="657" t="s">
        <v>14978</v>
      </c>
      <c r="E1381" s="657" t="s">
        <v>7435</v>
      </c>
      <c r="F1381" s="656" t="s">
        <v>4052</v>
      </c>
      <c r="G1381" s="656" t="s">
        <v>922</v>
      </c>
      <c r="H1381" s="656" t="s">
        <v>455</v>
      </c>
      <c r="I1381" s="656" t="s">
        <v>14976</v>
      </c>
      <c r="J1381" s="656" t="s">
        <v>451</v>
      </c>
      <c r="K1381" s="656" t="s">
        <v>1058</v>
      </c>
      <c r="L1381" s="656" t="s">
        <v>1092</v>
      </c>
      <c r="M1381" s="657"/>
      <c r="N1381" s="1482"/>
      <c r="O1381" s="656" t="s">
        <v>498</v>
      </c>
      <c r="P1381" s="656" t="s">
        <v>13052</v>
      </c>
      <c r="Q1381" s="656">
        <v>44216.781307870369</v>
      </c>
    </row>
    <row r="1382" spans="1:17">
      <c r="A1382" s="656" t="s">
        <v>9349</v>
      </c>
      <c r="B1382" s="657" t="s">
        <v>202</v>
      </c>
      <c r="C1382" s="656" t="s">
        <v>9348</v>
      </c>
      <c r="D1382" s="657" t="s">
        <v>14978</v>
      </c>
      <c r="E1382" s="657" t="s">
        <v>7435</v>
      </c>
      <c r="F1382" s="656" t="s">
        <v>4052</v>
      </c>
      <c r="G1382" s="656" t="s">
        <v>922</v>
      </c>
      <c r="H1382" s="656" t="s">
        <v>455</v>
      </c>
      <c r="I1382" s="656" t="s">
        <v>14976</v>
      </c>
      <c r="J1382" s="656" t="s">
        <v>451</v>
      </c>
      <c r="K1382" s="656" t="s">
        <v>1058</v>
      </c>
      <c r="L1382" s="656" t="s">
        <v>1092</v>
      </c>
      <c r="M1382" s="657"/>
      <c r="N1382" s="1482"/>
      <c r="O1382" s="656" t="s">
        <v>498</v>
      </c>
      <c r="P1382" s="656" t="s">
        <v>13052</v>
      </c>
      <c r="Q1382" s="656">
        <v>44216.781307870369</v>
      </c>
    </row>
    <row r="1383" spans="1:17">
      <c r="A1383" s="656" t="s">
        <v>9273</v>
      </c>
      <c r="B1383" s="657" t="s">
        <v>202</v>
      </c>
      <c r="C1383" s="656" t="s">
        <v>9272</v>
      </c>
      <c r="D1383" s="657" t="s">
        <v>14978</v>
      </c>
      <c r="E1383" s="657" t="s">
        <v>7435</v>
      </c>
      <c r="F1383" s="656" t="s">
        <v>4052</v>
      </c>
      <c r="G1383" s="656" t="s">
        <v>922</v>
      </c>
      <c r="H1383" s="656" t="s">
        <v>455</v>
      </c>
      <c r="I1383" s="656" t="s">
        <v>14976</v>
      </c>
      <c r="J1383" s="656" t="s">
        <v>451</v>
      </c>
      <c r="K1383" s="656" t="s">
        <v>1058</v>
      </c>
      <c r="L1383" s="656" t="s">
        <v>1092</v>
      </c>
      <c r="M1383" s="657"/>
      <c r="N1383" s="1482"/>
      <c r="O1383" s="656" t="s">
        <v>498</v>
      </c>
      <c r="P1383" s="656" t="s">
        <v>13052</v>
      </c>
      <c r="Q1383" s="656">
        <v>44216.7812962963</v>
      </c>
    </row>
    <row r="1384" spans="1:17">
      <c r="A1384" s="656" t="s">
        <v>9275</v>
      </c>
      <c r="B1384" s="657" t="s">
        <v>202</v>
      </c>
      <c r="C1384" s="656" t="s">
        <v>9274</v>
      </c>
      <c r="D1384" s="657" t="s">
        <v>14978</v>
      </c>
      <c r="E1384" s="657" t="s">
        <v>7435</v>
      </c>
      <c r="F1384" s="656" t="s">
        <v>4052</v>
      </c>
      <c r="G1384" s="656" t="s">
        <v>922</v>
      </c>
      <c r="H1384" s="656" t="s">
        <v>455</v>
      </c>
      <c r="I1384" s="656" t="s">
        <v>14976</v>
      </c>
      <c r="J1384" s="656" t="s">
        <v>451</v>
      </c>
      <c r="K1384" s="656" t="s">
        <v>1058</v>
      </c>
      <c r="L1384" s="656" t="s">
        <v>1092</v>
      </c>
      <c r="M1384" s="657"/>
      <c r="N1384" s="1482"/>
      <c r="O1384" s="656" t="s">
        <v>498</v>
      </c>
      <c r="P1384" s="656" t="s">
        <v>13052</v>
      </c>
      <c r="Q1384" s="656">
        <v>44216.7812962963</v>
      </c>
    </row>
    <row r="1385" spans="1:17">
      <c r="A1385" s="656" t="s">
        <v>9277</v>
      </c>
      <c r="B1385" s="657" t="s">
        <v>202</v>
      </c>
      <c r="C1385" s="656" t="s">
        <v>9276</v>
      </c>
      <c r="D1385" s="657" t="s">
        <v>14978</v>
      </c>
      <c r="E1385" s="657" t="s">
        <v>7437</v>
      </c>
      <c r="F1385" s="656" t="s">
        <v>4052</v>
      </c>
      <c r="G1385" s="656" t="s">
        <v>922</v>
      </c>
      <c r="H1385" s="656" t="s">
        <v>455</v>
      </c>
      <c r="I1385" s="656" t="s">
        <v>14976</v>
      </c>
      <c r="J1385" s="656" t="s">
        <v>451</v>
      </c>
      <c r="K1385" s="656" t="s">
        <v>1058</v>
      </c>
      <c r="L1385" s="656" t="s">
        <v>1092</v>
      </c>
      <c r="M1385" s="657"/>
      <c r="N1385" s="1482"/>
      <c r="O1385" s="656" t="s">
        <v>498</v>
      </c>
      <c r="P1385" s="656" t="s">
        <v>13052</v>
      </c>
      <c r="Q1385" s="656">
        <v>44216.781284722223</v>
      </c>
    </row>
    <row r="1386" spans="1:17">
      <c r="A1386" s="656" t="s">
        <v>9279</v>
      </c>
      <c r="B1386" s="657" t="s">
        <v>202</v>
      </c>
      <c r="C1386" s="656" t="s">
        <v>9278</v>
      </c>
      <c r="D1386" s="657" t="s">
        <v>14978</v>
      </c>
      <c r="E1386" s="657" t="s">
        <v>7437</v>
      </c>
      <c r="F1386" s="656" t="s">
        <v>4052</v>
      </c>
      <c r="G1386" s="656" t="s">
        <v>922</v>
      </c>
      <c r="H1386" s="656" t="s">
        <v>455</v>
      </c>
      <c r="I1386" s="656" t="s">
        <v>14976</v>
      </c>
      <c r="J1386" s="656" t="s">
        <v>451</v>
      </c>
      <c r="K1386" s="656" t="s">
        <v>1058</v>
      </c>
      <c r="L1386" s="656" t="s">
        <v>1092</v>
      </c>
      <c r="M1386" s="657"/>
      <c r="N1386" s="1482"/>
      <c r="O1386" s="656" t="s">
        <v>498</v>
      </c>
      <c r="P1386" s="656" t="s">
        <v>13052</v>
      </c>
      <c r="Q1386" s="656">
        <v>44216.781284722223</v>
      </c>
    </row>
    <row r="1387" spans="1:17">
      <c r="A1387" s="656" t="s">
        <v>9281</v>
      </c>
      <c r="B1387" s="657" t="s">
        <v>202</v>
      </c>
      <c r="C1387" s="656" t="s">
        <v>9280</v>
      </c>
      <c r="D1387" s="657" t="s">
        <v>14978</v>
      </c>
      <c r="E1387" s="657" t="s">
        <v>7437</v>
      </c>
      <c r="F1387" s="656" t="s">
        <v>4052</v>
      </c>
      <c r="G1387" s="656" t="s">
        <v>922</v>
      </c>
      <c r="H1387" s="656" t="s">
        <v>455</v>
      </c>
      <c r="I1387" s="656" t="s">
        <v>14976</v>
      </c>
      <c r="J1387" s="656" t="s">
        <v>451</v>
      </c>
      <c r="K1387" s="656" t="s">
        <v>1058</v>
      </c>
      <c r="L1387" s="656" t="s">
        <v>1092</v>
      </c>
      <c r="M1387" s="657"/>
      <c r="N1387" s="1482"/>
      <c r="O1387" s="656" t="s">
        <v>498</v>
      </c>
      <c r="P1387" s="656" t="s">
        <v>13052</v>
      </c>
      <c r="Q1387" s="656">
        <v>44216.781273148146</v>
      </c>
    </row>
    <row r="1388" spans="1:17">
      <c r="A1388" s="656" t="s">
        <v>9283</v>
      </c>
      <c r="B1388" s="657" t="s">
        <v>202</v>
      </c>
      <c r="C1388" s="656" t="s">
        <v>9282</v>
      </c>
      <c r="D1388" s="657" t="s">
        <v>14978</v>
      </c>
      <c r="E1388" s="657" t="s">
        <v>7435</v>
      </c>
      <c r="F1388" s="656" t="s">
        <v>4052</v>
      </c>
      <c r="G1388" s="656" t="s">
        <v>922</v>
      </c>
      <c r="H1388" s="656" t="s">
        <v>455</v>
      </c>
      <c r="I1388" s="656" t="s">
        <v>14976</v>
      </c>
      <c r="J1388" s="656" t="s">
        <v>451</v>
      </c>
      <c r="K1388" s="656" t="s">
        <v>1058</v>
      </c>
      <c r="L1388" s="656" t="s">
        <v>1092</v>
      </c>
      <c r="M1388" s="657"/>
      <c r="N1388" s="1482"/>
      <c r="O1388" s="656" t="s">
        <v>498</v>
      </c>
      <c r="P1388" s="656" t="s">
        <v>13052</v>
      </c>
      <c r="Q1388" s="656">
        <v>44216.781273148146</v>
      </c>
    </row>
    <row r="1389" spans="1:17">
      <c r="A1389" s="656" t="s">
        <v>9285</v>
      </c>
      <c r="B1389" s="657" t="s">
        <v>202</v>
      </c>
      <c r="C1389" s="656" t="s">
        <v>9284</v>
      </c>
      <c r="D1389" s="657" t="s">
        <v>14978</v>
      </c>
      <c r="E1389" s="657" t="s">
        <v>7435</v>
      </c>
      <c r="F1389" s="656" t="s">
        <v>4052</v>
      </c>
      <c r="G1389" s="656" t="s">
        <v>922</v>
      </c>
      <c r="H1389" s="656" t="s">
        <v>455</v>
      </c>
      <c r="I1389" s="656" t="s">
        <v>14976</v>
      </c>
      <c r="J1389" s="656" t="s">
        <v>451</v>
      </c>
      <c r="K1389" s="656" t="s">
        <v>1058</v>
      </c>
      <c r="L1389" s="656" t="s">
        <v>1092</v>
      </c>
      <c r="M1389" s="657"/>
      <c r="N1389" s="1482"/>
      <c r="O1389" s="656" t="s">
        <v>498</v>
      </c>
      <c r="P1389" s="656" t="s">
        <v>13052</v>
      </c>
      <c r="Q1389" s="656">
        <v>44216.781273148146</v>
      </c>
    </row>
    <row r="1390" spans="1:17">
      <c r="A1390" s="656" t="s">
        <v>9287</v>
      </c>
      <c r="B1390" s="657" t="s">
        <v>202</v>
      </c>
      <c r="C1390" s="656" t="s">
        <v>9286</v>
      </c>
      <c r="D1390" s="657" t="s">
        <v>14978</v>
      </c>
      <c r="E1390" s="657" t="s">
        <v>7437</v>
      </c>
      <c r="F1390" s="656" t="s">
        <v>4052</v>
      </c>
      <c r="G1390" s="656" t="s">
        <v>922</v>
      </c>
      <c r="H1390" s="656" t="s">
        <v>455</v>
      </c>
      <c r="I1390" s="656" t="s">
        <v>14976</v>
      </c>
      <c r="J1390" s="656" t="s">
        <v>451</v>
      </c>
      <c r="K1390" s="656" t="s">
        <v>1058</v>
      </c>
      <c r="L1390" s="656" t="s">
        <v>1092</v>
      </c>
      <c r="M1390" s="657"/>
      <c r="N1390" s="1482"/>
      <c r="O1390" s="656" t="s">
        <v>498</v>
      </c>
      <c r="P1390" s="656" t="s">
        <v>13052</v>
      </c>
      <c r="Q1390" s="656">
        <v>44216.781261574077</v>
      </c>
    </row>
    <row r="1391" spans="1:17">
      <c r="A1391" s="656" t="s">
        <v>8618</v>
      </c>
      <c r="B1391" s="657" t="s">
        <v>202</v>
      </c>
      <c r="C1391" s="656" t="s">
        <v>8617</v>
      </c>
      <c r="D1391" s="657" t="s">
        <v>14978</v>
      </c>
      <c r="E1391" s="657" t="s">
        <v>9406</v>
      </c>
      <c r="F1391" s="656" t="s">
        <v>4052</v>
      </c>
      <c r="G1391" s="656" t="s">
        <v>922</v>
      </c>
      <c r="H1391" s="656" t="s">
        <v>455</v>
      </c>
      <c r="I1391" s="656" t="s">
        <v>14976</v>
      </c>
      <c r="J1391" s="656" t="s">
        <v>451</v>
      </c>
      <c r="K1391" s="656" t="s">
        <v>1058</v>
      </c>
      <c r="L1391" s="656" t="s">
        <v>1092</v>
      </c>
      <c r="M1391" s="657"/>
      <c r="N1391" s="1482"/>
      <c r="O1391" s="656" t="s">
        <v>498</v>
      </c>
      <c r="P1391" s="656" t="s">
        <v>13052</v>
      </c>
      <c r="Q1391" s="656">
        <v>44216.78125</v>
      </c>
    </row>
    <row r="1392" spans="1:17">
      <c r="A1392" s="656" t="s">
        <v>9289</v>
      </c>
      <c r="B1392" s="657" t="s">
        <v>202</v>
      </c>
      <c r="C1392" s="656" t="s">
        <v>9288</v>
      </c>
      <c r="D1392" s="657" t="s">
        <v>14978</v>
      </c>
      <c r="E1392" s="657" t="s">
        <v>9406</v>
      </c>
      <c r="F1392" s="656" t="s">
        <v>4052</v>
      </c>
      <c r="G1392" s="656" t="s">
        <v>922</v>
      </c>
      <c r="H1392" s="656" t="s">
        <v>455</v>
      </c>
      <c r="I1392" s="656" t="s">
        <v>14976</v>
      </c>
      <c r="J1392" s="656" t="s">
        <v>451</v>
      </c>
      <c r="K1392" s="656" t="s">
        <v>1058</v>
      </c>
      <c r="L1392" s="656" t="s">
        <v>1092</v>
      </c>
      <c r="M1392" s="657"/>
      <c r="N1392" s="1482"/>
      <c r="O1392" s="656" t="s">
        <v>498</v>
      </c>
      <c r="P1392" s="656" t="s">
        <v>13052</v>
      </c>
      <c r="Q1392" s="656">
        <v>44216.781238425923</v>
      </c>
    </row>
    <row r="1393" spans="1:17">
      <c r="A1393" s="656" t="s">
        <v>8619</v>
      </c>
      <c r="B1393" s="657" t="s">
        <v>202</v>
      </c>
      <c r="C1393" s="656" t="s">
        <v>9290</v>
      </c>
      <c r="D1393" s="657" t="s">
        <v>14978</v>
      </c>
      <c r="E1393" s="657" t="s">
        <v>9406</v>
      </c>
      <c r="F1393" s="656" t="s">
        <v>4052</v>
      </c>
      <c r="G1393" s="656" t="s">
        <v>922</v>
      </c>
      <c r="H1393" s="656" t="s">
        <v>455</v>
      </c>
      <c r="I1393" s="656" t="s">
        <v>14976</v>
      </c>
      <c r="J1393" s="656" t="s">
        <v>451</v>
      </c>
      <c r="K1393" s="656" t="s">
        <v>1058</v>
      </c>
      <c r="L1393" s="656" t="s">
        <v>1092</v>
      </c>
      <c r="M1393" s="657"/>
      <c r="N1393" s="1482"/>
      <c r="O1393" s="656" t="s">
        <v>498</v>
      </c>
      <c r="P1393" s="656" t="s">
        <v>13052</v>
      </c>
      <c r="Q1393" s="656">
        <v>44216.781238425923</v>
      </c>
    </row>
    <row r="1394" spans="1:17">
      <c r="A1394" s="656" t="s">
        <v>8525</v>
      </c>
      <c r="B1394" s="657" t="s">
        <v>202</v>
      </c>
      <c r="C1394" s="656" t="s">
        <v>8524</v>
      </c>
      <c r="D1394" s="657" t="s">
        <v>14978</v>
      </c>
      <c r="E1394" s="657" t="s">
        <v>9406</v>
      </c>
      <c r="F1394" s="656" t="s">
        <v>4052</v>
      </c>
      <c r="G1394" s="656" t="s">
        <v>922</v>
      </c>
      <c r="H1394" s="656" t="s">
        <v>455</v>
      </c>
      <c r="I1394" s="656" t="s">
        <v>14976</v>
      </c>
      <c r="J1394" s="656" t="s">
        <v>451</v>
      </c>
      <c r="K1394" s="656" t="s">
        <v>1058</v>
      </c>
      <c r="L1394" s="656" t="s">
        <v>1092</v>
      </c>
      <c r="M1394" s="657"/>
      <c r="N1394" s="1482"/>
      <c r="O1394" s="656" t="s">
        <v>498</v>
      </c>
      <c r="P1394" s="656" t="s">
        <v>13052</v>
      </c>
      <c r="Q1394" s="656">
        <v>44216.781226851854</v>
      </c>
    </row>
    <row r="1395" spans="1:17">
      <c r="A1395" s="656" t="s">
        <v>8527</v>
      </c>
      <c r="B1395" s="657" t="s">
        <v>202</v>
      </c>
      <c r="C1395" s="656" t="s">
        <v>8526</v>
      </c>
      <c r="D1395" s="657" t="s">
        <v>14978</v>
      </c>
      <c r="E1395" s="657" t="s">
        <v>9406</v>
      </c>
      <c r="F1395" s="656" t="s">
        <v>4052</v>
      </c>
      <c r="G1395" s="656" t="s">
        <v>922</v>
      </c>
      <c r="H1395" s="656" t="s">
        <v>455</v>
      </c>
      <c r="I1395" s="656" t="s">
        <v>14976</v>
      </c>
      <c r="J1395" s="656" t="s">
        <v>451</v>
      </c>
      <c r="K1395" s="656" t="s">
        <v>1058</v>
      </c>
      <c r="L1395" s="656" t="s">
        <v>1092</v>
      </c>
      <c r="M1395" s="657"/>
      <c r="N1395" s="1482"/>
      <c r="O1395" s="656" t="s">
        <v>498</v>
      </c>
      <c r="P1395" s="656" t="s">
        <v>13052</v>
      </c>
      <c r="Q1395" s="656">
        <v>44216.781226851854</v>
      </c>
    </row>
    <row r="1396" spans="1:17">
      <c r="A1396" s="656" t="s">
        <v>8529</v>
      </c>
      <c r="B1396" s="657" t="s">
        <v>202</v>
      </c>
      <c r="C1396" s="656" t="s">
        <v>8528</v>
      </c>
      <c r="D1396" s="657" t="s">
        <v>14978</v>
      </c>
      <c r="E1396" s="657" t="s">
        <v>7437</v>
      </c>
      <c r="F1396" s="656" t="s">
        <v>4052</v>
      </c>
      <c r="G1396" s="656" t="s">
        <v>922</v>
      </c>
      <c r="H1396" s="656" t="s">
        <v>455</v>
      </c>
      <c r="I1396" s="656" t="s">
        <v>14976</v>
      </c>
      <c r="J1396" s="656" t="s">
        <v>451</v>
      </c>
      <c r="K1396" s="656" t="s">
        <v>1058</v>
      </c>
      <c r="L1396" s="656" t="s">
        <v>1092</v>
      </c>
      <c r="M1396" s="657"/>
      <c r="N1396" s="1482"/>
      <c r="O1396" s="656" t="s">
        <v>498</v>
      </c>
      <c r="P1396" s="656" t="s">
        <v>13052</v>
      </c>
      <c r="Q1396" s="656">
        <v>44216.781215277777</v>
      </c>
    </row>
    <row r="1397" spans="1:17">
      <c r="A1397" s="656" t="s">
        <v>8520</v>
      </c>
      <c r="B1397" s="657" t="s">
        <v>202</v>
      </c>
      <c r="C1397" s="656" t="s">
        <v>8519</v>
      </c>
      <c r="D1397" s="657" t="s">
        <v>14978</v>
      </c>
      <c r="E1397" s="657" t="s">
        <v>9406</v>
      </c>
      <c r="F1397" s="656" t="s">
        <v>4052</v>
      </c>
      <c r="G1397" s="656" t="s">
        <v>922</v>
      </c>
      <c r="H1397" s="656" t="s">
        <v>455</v>
      </c>
      <c r="I1397" s="656" t="s">
        <v>14976</v>
      </c>
      <c r="J1397" s="656" t="s">
        <v>451</v>
      </c>
      <c r="K1397" s="656" t="s">
        <v>1058</v>
      </c>
      <c r="L1397" s="656" t="s">
        <v>1092</v>
      </c>
      <c r="M1397" s="657"/>
      <c r="N1397" s="1482"/>
      <c r="O1397" s="656" t="s">
        <v>498</v>
      </c>
      <c r="P1397" s="656" t="s">
        <v>13052</v>
      </c>
      <c r="Q1397" s="656">
        <v>44216.781215277777</v>
      </c>
    </row>
    <row r="1398" spans="1:17">
      <c r="A1398" s="656" t="s">
        <v>1081</v>
      </c>
      <c r="B1398" s="657" t="s">
        <v>202</v>
      </c>
      <c r="C1398" s="656" t="s">
        <v>1082</v>
      </c>
      <c r="D1398" s="657" t="s">
        <v>14978</v>
      </c>
      <c r="E1398" s="657" t="s">
        <v>9406</v>
      </c>
      <c r="F1398" s="656" t="s">
        <v>4052</v>
      </c>
      <c r="G1398" s="656" t="s">
        <v>922</v>
      </c>
      <c r="H1398" s="656" t="s">
        <v>455</v>
      </c>
      <c r="I1398" s="656" t="s">
        <v>14976</v>
      </c>
      <c r="J1398" s="656" t="s">
        <v>451</v>
      </c>
      <c r="K1398" s="656" t="s">
        <v>1058</v>
      </c>
      <c r="L1398" s="656" t="s">
        <v>1092</v>
      </c>
      <c r="M1398" s="657"/>
      <c r="N1398" s="1482"/>
      <c r="O1398" s="656" t="s">
        <v>498</v>
      </c>
      <c r="P1398" s="656" t="s">
        <v>13052</v>
      </c>
      <c r="Q1398" s="656">
        <v>44216.7812037037</v>
      </c>
    </row>
    <row r="1399" spans="1:17">
      <c r="A1399" s="656" t="s">
        <v>1083</v>
      </c>
      <c r="B1399" s="657" t="s">
        <v>202</v>
      </c>
      <c r="C1399" s="656" t="s">
        <v>1084</v>
      </c>
      <c r="D1399" s="657" t="s">
        <v>14978</v>
      </c>
      <c r="E1399" s="657" t="s">
        <v>9406</v>
      </c>
      <c r="F1399" s="656" t="s">
        <v>4052</v>
      </c>
      <c r="G1399" s="656" t="s">
        <v>922</v>
      </c>
      <c r="H1399" s="656" t="s">
        <v>455</v>
      </c>
      <c r="I1399" s="656" t="s">
        <v>14976</v>
      </c>
      <c r="J1399" s="656" t="s">
        <v>451</v>
      </c>
      <c r="K1399" s="656" t="s">
        <v>1058</v>
      </c>
      <c r="L1399" s="656" t="s">
        <v>1092</v>
      </c>
      <c r="M1399" s="657"/>
      <c r="N1399" s="1482"/>
      <c r="O1399" s="656" t="s">
        <v>498</v>
      </c>
      <c r="P1399" s="656" t="s">
        <v>13052</v>
      </c>
      <c r="Q1399" s="656">
        <v>44216.7812037037</v>
      </c>
    </row>
    <row r="1400" spans="1:17">
      <c r="A1400" s="656" t="s">
        <v>1085</v>
      </c>
      <c r="B1400" s="657" t="s">
        <v>202</v>
      </c>
      <c r="C1400" s="656" t="s">
        <v>1086</v>
      </c>
      <c r="D1400" s="657" t="s">
        <v>14978</v>
      </c>
      <c r="E1400" s="657" t="s">
        <v>9406</v>
      </c>
      <c r="F1400" s="656" t="s">
        <v>4052</v>
      </c>
      <c r="G1400" s="656" t="s">
        <v>922</v>
      </c>
      <c r="H1400" s="656" t="s">
        <v>455</v>
      </c>
      <c r="I1400" s="656" t="s">
        <v>14976</v>
      </c>
      <c r="J1400" s="656" t="s">
        <v>451</v>
      </c>
      <c r="K1400" s="656" t="s">
        <v>1058</v>
      </c>
      <c r="L1400" s="656" t="s">
        <v>1092</v>
      </c>
      <c r="M1400" s="657"/>
      <c r="N1400" s="1482"/>
      <c r="O1400" s="656" t="s">
        <v>498</v>
      </c>
      <c r="P1400" s="656" t="s">
        <v>13052</v>
      </c>
      <c r="Q1400" s="656">
        <v>44216.781192129631</v>
      </c>
    </row>
    <row r="1401" spans="1:17">
      <c r="A1401" s="656" t="s">
        <v>1087</v>
      </c>
      <c r="B1401" s="657" t="s">
        <v>202</v>
      </c>
      <c r="C1401" s="656" t="s">
        <v>1088</v>
      </c>
      <c r="D1401" s="657" t="s">
        <v>14978</v>
      </c>
      <c r="E1401" s="657" t="s">
        <v>9406</v>
      </c>
      <c r="F1401" s="656" t="s">
        <v>4052</v>
      </c>
      <c r="G1401" s="656" t="s">
        <v>922</v>
      </c>
      <c r="H1401" s="656" t="s">
        <v>455</v>
      </c>
      <c r="I1401" s="656" t="s">
        <v>14976</v>
      </c>
      <c r="J1401" s="656" t="s">
        <v>451</v>
      </c>
      <c r="K1401" s="656" t="s">
        <v>1058</v>
      </c>
      <c r="L1401" s="656" t="s">
        <v>1092</v>
      </c>
      <c r="M1401" s="657"/>
      <c r="N1401" s="1482"/>
      <c r="O1401" s="656" t="s">
        <v>498</v>
      </c>
      <c r="P1401" s="656" t="s">
        <v>13052</v>
      </c>
      <c r="Q1401" s="656">
        <v>44216.781192129631</v>
      </c>
    </row>
    <row r="1402" spans="1:17">
      <c r="A1402" s="656" t="s">
        <v>16172</v>
      </c>
      <c r="B1402" s="657"/>
      <c r="C1402" s="656" t="s">
        <v>16173</v>
      </c>
      <c r="D1402" s="657" t="s">
        <v>14978</v>
      </c>
      <c r="E1402" s="657" t="s">
        <v>7435</v>
      </c>
      <c r="F1402" s="656" t="s">
        <v>4052</v>
      </c>
      <c r="G1402" s="656" t="s">
        <v>922</v>
      </c>
      <c r="H1402" s="656" t="s">
        <v>455</v>
      </c>
      <c r="I1402" s="656" t="s">
        <v>16174</v>
      </c>
      <c r="J1402" s="656" t="s">
        <v>451</v>
      </c>
      <c r="K1402" s="656" t="s">
        <v>15701</v>
      </c>
      <c r="L1402" s="656" t="s">
        <v>1092</v>
      </c>
      <c r="M1402" s="657" t="s">
        <v>15517</v>
      </c>
      <c r="N1402" s="1482"/>
      <c r="O1402" s="656" t="s">
        <v>498</v>
      </c>
      <c r="P1402" s="656" t="s">
        <v>13052</v>
      </c>
      <c r="Q1402" s="656">
        <v>44314.436782407407</v>
      </c>
    </row>
    <row r="1403" spans="1:17">
      <c r="A1403" s="656" t="s">
        <v>15699</v>
      </c>
      <c r="B1403" s="657" t="s">
        <v>202</v>
      </c>
      <c r="C1403" s="656" t="s">
        <v>15700</v>
      </c>
      <c r="D1403" s="657" t="s">
        <v>15491</v>
      </c>
      <c r="E1403" s="657" t="s">
        <v>7435</v>
      </c>
      <c r="F1403" s="656" t="s">
        <v>4052</v>
      </c>
      <c r="G1403" s="656" t="s">
        <v>922</v>
      </c>
      <c r="H1403" s="656" t="s">
        <v>455</v>
      </c>
      <c r="I1403" s="656" t="s">
        <v>14976</v>
      </c>
      <c r="J1403" s="656" t="s">
        <v>451</v>
      </c>
      <c r="K1403" s="656" t="s">
        <v>15701</v>
      </c>
      <c r="L1403" s="656" t="s">
        <v>1092</v>
      </c>
      <c r="M1403" s="657" t="s">
        <v>15517</v>
      </c>
      <c r="N1403" s="1482"/>
      <c r="O1403" s="656" t="s">
        <v>498</v>
      </c>
      <c r="P1403" s="656" t="s">
        <v>13052</v>
      </c>
      <c r="Q1403" s="656">
        <v>44245.472222222219</v>
      </c>
    </row>
    <row r="1404" spans="1:17">
      <c r="A1404" s="656" t="s">
        <v>15697</v>
      </c>
      <c r="B1404" s="657" t="s">
        <v>202</v>
      </c>
      <c r="C1404" s="656" t="s">
        <v>15698</v>
      </c>
      <c r="D1404" s="657" t="s">
        <v>15491</v>
      </c>
      <c r="E1404" s="657" t="s">
        <v>7435</v>
      </c>
      <c r="F1404" s="656" t="s">
        <v>4052</v>
      </c>
      <c r="G1404" s="656" t="s">
        <v>922</v>
      </c>
      <c r="H1404" s="656" t="s">
        <v>455</v>
      </c>
      <c r="I1404" s="656" t="s">
        <v>14976</v>
      </c>
      <c r="J1404" s="656" t="s">
        <v>451</v>
      </c>
      <c r="K1404" s="656" t="s">
        <v>1058</v>
      </c>
      <c r="L1404" s="656" t="s">
        <v>1092</v>
      </c>
      <c r="M1404" s="657" t="s">
        <v>15517</v>
      </c>
      <c r="N1404" s="1482"/>
      <c r="O1404" s="656" t="s">
        <v>498</v>
      </c>
      <c r="P1404" s="656" t="s">
        <v>13052</v>
      </c>
      <c r="Q1404" s="656">
        <v>44245.448888888888</v>
      </c>
    </row>
    <row r="1405" spans="1:17">
      <c r="A1405" s="656" t="s">
        <v>1089</v>
      </c>
      <c r="B1405" s="657" t="s">
        <v>202</v>
      </c>
      <c r="C1405" s="656" t="s">
        <v>15917</v>
      </c>
      <c r="D1405" s="657" t="s">
        <v>15491</v>
      </c>
      <c r="E1405" s="657" t="s">
        <v>7435</v>
      </c>
      <c r="F1405" s="656" t="s">
        <v>4052</v>
      </c>
      <c r="G1405" s="656" t="s">
        <v>922</v>
      </c>
      <c r="H1405" s="656" t="s">
        <v>455</v>
      </c>
      <c r="I1405" s="656" t="s">
        <v>14976</v>
      </c>
      <c r="J1405" s="656" t="s">
        <v>451</v>
      </c>
      <c r="K1405" s="656" t="s">
        <v>1058</v>
      </c>
      <c r="L1405" s="656" t="s">
        <v>1092</v>
      </c>
      <c r="M1405" s="657"/>
      <c r="N1405" s="1482"/>
      <c r="O1405" s="656" t="s">
        <v>498</v>
      </c>
      <c r="P1405" s="656" t="s">
        <v>13052</v>
      </c>
      <c r="Q1405" s="656">
        <v>44216.781180555554</v>
      </c>
    </row>
    <row r="1406" spans="1:17">
      <c r="A1406" s="656" t="s">
        <v>1090</v>
      </c>
      <c r="B1406" s="657" t="s">
        <v>202</v>
      </c>
      <c r="C1406" s="656" t="s">
        <v>1091</v>
      </c>
      <c r="D1406" s="657" t="s">
        <v>14978</v>
      </c>
      <c r="E1406" s="657" t="s">
        <v>9406</v>
      </c>
      <c r="F1406" s="656" t="s">
        <v>4052</v>
      </c>
      <c r="G1406" s="656" t="s">
        <v>922</v>
      </c>
      <c r="H1406" s="656" t="s">
        <v>455</v>
      </c>
      <c r="I1406" s="656" t="s">
        <v>14976</v>
      </c>
      <c r="J1406" s="656" t="s">
        <v>451</v>
      </c>
      <c r="K1406" s="656" t="s">
        <v>1058</v>
      </c>
      <c r="L1406" s="656" t="s">
        <v>1092</v>
      </c>
      <c r="M1406" s="657"/>
      <c r="N1406" s="1482"/>
      <c r="O1406" s="656" t="s">
        <v>498</v>
      </c>
      <c r="P1406" s="656" t="s">
        <v>13052</v>
      </c>
      <c r="Q1406" s="656">
        <v>44216.781180555554</v>
      </c>
    </row>
    <row r="1407" spans="1:17">
      <c r="A1407" s="656" t="s">
        <v>1092</v>
      </c>
      <c r="B1407" s="657" t="s">
        <v>202</v>
      </c>
      <c r="C1407" s="656" t="s">
        <v>1093</v>
      </c>
      <c r="D1407" s="657" t="s">
        <v>14977</v>
      </c>
      <c r="E1407" s="657" t="s">
        <v>9406</v>
      </c>
      <c r="F1407" s="656" t="s">
        <v>1058</v>
      </c>
      <c r="G1407" s="656" t="s">
        <v>922</v>
      </c>
      <c r="H1407" s="656" t="s">
        <v>1058</v>
      </c>
      <c r="I1407" s="656" t="s">
        <v>14976</v>
      </c>
      <c r="J1407" s="656" t="s">
        <v>451</v>
      </c>
      <c r="K1407" s="656" t="s">
        <v>1058</v>
      </c>
      <c r="L1407" s="656"/>
      <c r="M1407" s="657"/>
      <c r="N1407" s="1482"/>
      <c r="O1407" s="656" t="s">
        <v>498</v>
      </c>
      <c r="P1407" s="656" t="s">
        <v>13052</v>
      </c>
      <c r="Q1407" s="656">
        <v>44216.781180555554</v>
      </c>
    </row>
    <row r="1408" spans="1:17">
      <c r="A1408" s="656" t="s">
        <v>13892</v>
      </c>
      <c r="B1408" s="657" t="s">
        <v>202</v>
      </c>
      <c r="C1408" s="656" t="s">
        <v>15324</v>
      </c>
      <c r="D1408" s="657" t="s">
        <v>13789</v>
      </c>
      <c r="E1408" s="657" t="s">
        <v>9406</v>
      </c>
      <c r="F1408" s="656" t="s">
        <v>3077</v>
      </c>
      <c r="G1408" s="656" t="s">
        <v>512</v>
      </c>
      <c r="H1408" s="656" t="s">
        <v>465</v>
      </c>
      <c r="I1408" s="656" t="s">
        <v>14976</v>
      </c>
      <c r="J1408" s="656" t="s">
        <v>446</v>
      </c>
      <c r="K1408" s="656"/>
      <c r="L1408" s="656"/>
      <c r="M1408" s="657"/>
      <c r="N1408" s="1482"/>
      <c r="O1408" s="656" t="s">
        <v>498</v>
      </c>
      <c r="P1408" s="656" t="s">
        <v>13052</v>
      </c>
      <c r="Q1408" s="656">
        <v>44216.781168981484</v>
      </c>
    </row>
    <row r="1409" spans="1:17">
      <c r="A1409" s="656" t="s">
        <v>10075</v>
      </c>
      <c r="B1409" s="657" t="s">
        <v>202</v>
      </c>
      <c r="C1409" s="656" t="s">
        <v>10076</v>
      </c>
      <c r="D1409" s="657" t="s">
        <v>13789</v>
      </c>
      <c r="E1409" s="657" t="s">
        <v>9406</v>
      </c>
      <c r="F1409" s="656" t="s">
        <v>3077</v>
      </c>
      <c r="G1409" s="656" t="s">
        <v>512</v>
      </c>
      <c r="H1409" s="656" t="s">
        <v>465</v>
      </c>
      <c r="I1409" s="656" t="s">
        <v>14976</v>
      </c>
      <c r="J1409" s="656" t="s">
        <v>446</v>
      </c>
      <c r="K1409" s="656" t="s">
        <v>3077</v>
      </c>
      <c r="L1409" s="656"/>
      <c r="M1409" s="657"/>
      <c r="N1409" s="1482"/>
      <c r="O1409" s="656" t="s">
        <v>498</v>
      </c>
      <c r="P1409" s="656" t="s">
        <v>13052</v>
      </c>
      <c r="Q1409" s="656">
        <v>44216.781168981484</v>
      </c>
    </row>
    <row r="1410" spans="1:17">
      <c r="A1410" s="656" t="s">
        <v>1095</v>
      </c>
      <c r="B1410" s="657" t="s">
        <v>202</v>
      </c>
      <c r="C1410" s="656" t="s">
        <v>13891</v>
      </c>
      <c r="D1410" s="657" t="s">
        <v>13789</v>
      </c>
      <c r="E1410" s="657" t="s">
        <v>9406</v>
      </c>
      <c r="F1410" s="656" t="s">
        <v>472</v>
      </c>
      <c r="G1410" s="656" t="s">
        <v>519</v>
      </c>
      <c r="H1410" s="656" t="s">
        <v>472</v>
      </c>
      <c r="I1410" s="656" t="s">
        <v>14976</v>
      </c>
      <c r="J1410" s="656" t="s">
        <v>12368</v>
      </c>
      <c r="K1410" s="656" t="s">
        <v>1058</v>
      </c>
      <c r="L1410" s="656"/>
      <c r="M1410" s="657"/>
      <c r="N1410" s="1482"/>
      <c r="O1410" s="656" t="s">
        <v>498</v>
      </c>
      <c r="P1410" s="656" t="s">
        <v>13052</v>
      </c>
      <c r="Q1410" s="656">
        <v>44216.781157407408</v>
      </c>
    </row>
    <row r="1411" spans="1:17">
      <c r="A1411" s="656" t="s">
        <v>1096</v>
      </c>
      <c r="B1411" s="657" t="s">
        <v>202</v>
      </c>
      <c r="C1411" s="656" t="s">
        <v>1097</v>
      </c>
      <c r="D1411" s="657" t="s">
        <v>13789</v>
      </c>
      <c r="E1411" s="657" t="s">
        <v>9406</v>
      </c>
      <c r="F1411" s="656" t="s">
        <v>472</v>
      </c>
      <c r="G1411" s="656" t="s">
        <v>519</v>
      </c>
      <c r="H1411" s="656" t="s">
        <v>472</v>
      </c>
      <c r="I1411" s="656" t="s">
        <v>14976</v>
      </c>
      <c r="J1411" s="656" t="s">
        <v>12368</v>
      </c>
      <c r="K1411" s="656" t="s">
        <v>1058</v>
      </c>
      <c r="L1411" s="656"/>
      <c r="M1411" s="657"/>
      <c r="N1411" s="1482"/>
      <c r="O1411" s="656" t="s">
        <v>498</v>
      </c>
      <c r="P1411" s="656" t="s">
        <v>13052</v>
      </c>
      <c r="Q1411" s="656">
        <v>44216.781157407408</v>
      </c>
    </row>
    <row r="1412" spans="1:17">
      <c r="A1412" s="656" t="s">
        <v>1098</v>
      </c>
      <c r="B1412" s="657" t="s">
        <v>202</v>
      </c>
      <c r="C1412" s="656" t="s">
        <v>13890</v>
      </c>
      <c r="D1412" s="657" t="s">
        <v>13789</v>
      </c>
      <c r="E1412" s="657" t="s">
        <v>9406</v>
      </c>
      <c r="F1412" s="656" t="s">
        <v>462</v>
      </c>
      <c r="G1412" s="656" t="s">
        <v>512</v>
      </c>
      <c r="H1412" s="656" t="s">
        <v>462</v>
      </c>
      <c r="I1412" s="656" t="s">
        <v>14976</v>
      </c>
      <c r="J1412" s="656" t="s">
        <v>459</v>
      </c>
      <c r="K1412" s="656" t="s">
        <v>2849</v>
      </c>
      <c r="L1412" s="656"/>
      <c r="M1412" s="657"/>
      <c r="N1412" s="1482"/>
      <c r="O1412" s="656" t="s">
        <v>498</v>
      </c>
      <c r="P1412" s="656" t="s">
        <v>13052</v>
      </c>
      <c r="Q1412" s="656">
        <v>44216.781145833331</v>
      </c>
    </row>
    <row r="1413" spans="1:17">
      <c r="A1413" s="656" t="s">
        <v>1100</v>
      </c>
      <c r="B1413" s="657" t="s">
        <v>202</v>
      </c>
      <c r="C1413" s="656" t="s">
        <v>1101</v>
      </c>
      <c r="D1413" s="657" t="s">
        <v>13789</v>
      </c>
      <c r="E1413" s="657" t="s">
        <v>9406</v>
      </c>
      <c r="F1413" s="656" t="s">
        <v>462</v>
      </c>
      <c r="G1413" s="656" t="s">
        <v>552</v>
      </c>
      <c r="H1413" s="656" t="s">
        <v>462</v>
      </c>
      <c r="I1413" s="656" t="s">
        <v>14976</v>
      </c>
      <c r="J1413" s="656" t="s">
        <v>463</v>
      </c>
      <c r="K1413" s="656"/>
      <c r="L1413" s="656"/>
      <c r="M1413" s="657"/>
      <c r="N1413" s="1482"/>
      <c r="O1413" s="656" t="s">
        <v>498</v>
      </c>
      <c r="P1413" s="656" t="s">
        <v>13052</v>
      </c>
      <c r="Q1413" s="656">
        <v>44216.781145833331</v>
      </c>
    </row>
    <row r="1414" spans="1:17">
      <c r="A1414" s="656" t="s">
        <v>1102</v>
      </c>
      <c r="B1414" s="657" t="s">
        <v>202</v>
      </c>
      <c r="C1414" s="656" t="s">
        <v>1103</v>
      </c>
      <c r="D1414" s="657"/>
      <c r="E1414" s="657" t="s">
        <v>9406</v>
      </c>
      <c r="F1414" s="656" t="s">
        <v>462</v>
      </c>
      <c r="G1414" s="656" t="s">
        <v>512</v>
      </c>
      <c r="H1414" s="656" t="s">
        <v>462</v>
      </c>
      <c r="I1414" s="656" t="s">
        <v>14976</v>
      </c>
      <c r="J1414" s="656" t="s">
        <v>459</v>
      </c>
      <c r="K1414" s="656" t="s">
        <v>2849</v>
      </c>
      <c r="L1414" s="656"/>
      <c r="M1414" s="657"/>
      <c r="N1414" s="1482"/>
      <c r="O1414" s="656" t="s">
        <v>498</v>
      </c>
      <c r="P1414" s="656" t="s">
        <v>13052</v>
      </c>
      <c r="Q1414" s="656">
        <v>44216.781134259261</v>
      </c>
    </row>
    <row r="1415" spans="1:17">
      <c r="A1415" s="656" t="s">
        <v>1104</v>
      </c>
      <c r="B1415" s="657" t="s">
        <v>202</v>
      </c>
      <c r="C1415" s="656" t="s">
        <v>1105</v>
      </c>
      <c r="D1415" s="657" t="s">
        <v>14978</v>
      </c>
      <c r="E1415" s="657" t="s">
        <v>9406</v>
      </c>
      <c r="F1415" s="656" t="s">
        <v>462</v>
      </c>
      <c r="G1415" s="656" t="s">
        <v>552</v>
      </c>
      <c r="H1415" s="656" t="s">
        <v>462</v>
      </c>
      <c r="I1415" s="656" t="s">
        <v>14976</v>
      </c>
      <c r="J1415" s="656" t="s">
        <v>463</v>
      </c>
      <c r="K1415" s="656"/>
      <c r="L1415" s="656" t="s">
        <v>1231</v>
      </c>
      <c r="M1415" s="657"/>
      <c r="N1415" s="1482"/>
      <c r="O1415" s="656" t="s">
        <v>498</v>
      </c>
      <c r="P1415" s="656" t="s">
        <v>13052</v>
      </c>
      <c r="Q1415" s="656">
        <v>44216.781134259261</v>
      </c>
    </row>
    <row r="1416" spans="1:17">
      <c r="A1416" s="656" t="s">
        <v>1106</v>
      </c>
      <c r="B1416" s="657" t="s">
        <v>202</v>
      </c>
      <c r="C1416" s="656" t="s">
        <v>1107</v>
      </c>
      <c r="D1416" s="657" t="s">
        <v>13789</v>
      </c>
      <c r="E1416" s="657" t="s">
        <v>9406</v>
      </c>
      <c r="F1416" s="656" t="s">
        <v>462</v>
      </c>
      <c r="G1416" s="656" t="s">
        <v>552</v>
      </c>
      <c r="H1416" s="656" t="s">
        <v>462</v>
      </c>
      <c r="I1416" s="656" t="s">
        <v>14976</v>
      </c>
      <c r="J1416" s="656" t="s">
        <v>463</v>
      </c>
      <c r="K1416" s="656"/>
      <c r="L1416" s="656"/>
      <c r="M1416" s="657"/>
      <c r="N1416" s="1482"/>
      <c r="O1416" s="656" t="s">
        <v>498</v>
      </c>
      <c r="P1416" s="656" t="s">
        <v>13052</v>
      </c>
      <c r="Q1416" s="656">
        <v>44216.781134259261</v>
      </c>
    </row>
    <row r="1417" spans="1:17">
      <c r="A1417" s="656" t="s">
        <v>1108</v>
      </c>
      <c r="B1417" s="657" t="s">
        <v>202</v>
      </c>
      <c r="C1417" s="656" t="s">
        <v>1109</v>
      </c>
      <c r="D1417" s="657" t="s">
        <v>13789</v>
      </c>
      <c r="E1417" s="657" t="s">
        <v>9510</v>
      </c>
      <c r="F1417" s="656" t="s">
        <v>462</v>
      </c>
      <c r="G1417" s="656" t="s">
        <v>552</v>
      </c>
      <c r="H1417" s="656" t="s">
        <v>462</v>
      </c>
      <c r="I1417" s="656" t="s">
        <v>15280</v>
      </c>
      <c r="J1417" s="656" t="s">
        <v>459</v>
      </c>
      <c r="K1417" s="656" t="s">
        <v>477</v>
      </c>
      <c r="L1417" s="656"/>
      <c r="M1417" s="657"/>
      <c r="N1417" s="1482"/>
      <c r="O1417" s="656" t="s">
        <v>498</v>
      </c>
      <c r="P1417" s="656" t="s">
        <v>13052</v>
      </c>
      <c r="Q1417" s="656">
        <v>44216.781122685185</v>
      </c>
    </row>
    <row r="1418" spans="1:17">
      <c r="A1418" s="656" t="s">
        <v>13889</v>
      </c>
      <c r="B1418" s="657" t="s">
        <v>202</v>
      </c>
      <c r="C1418" s="656" t="s">
        <v>899</v>
      </c>
      <c r="D1418" s="657" t="s">
        <v>14978</v>
      </c>
      <c r="E1418" s="657" t="s">
        <v>9406</v>
      </c>
      <c r="F1418" s="656" t="s">
        <v>472</v>
      </c>
      <c r="G1418" s="656" t="s">
        <v>519</v>
      </c>
      <c r="H1418" s="656" t="s">
        <v>472</v>
      </c>
      <c r="I1418" s="656" t="s">
        <v>14976</v>
      </c>
      <c r="J1418" s="656" t="s">
        <v>12368</v>
      </c>
      <c r="K1418" s="656"/>
      <c r="L1418" s="656"/>
      <c r="M1418" s="657"/>
      <c r="N1418" s="1482"/>
      <c r="O1418" s="656" t="s">
        <v>498</v>
      </c>
      <c r="P1418" s="656" t="s">
        <v>13052</v>
      </c>
      <c r="Q1418" s="656">
        <v>44216.781122685185</v>
      </c>
    </row>
    <row r="1419" spans="1:17">
      <c r="A1419" s="656" t="s">
        <v>9647</v>
      </c>
      <c r="B1419" s="657" t="s">
        <v>202</v>
      </c>
      <c r="C1419" s="656" t="s">
        <v>13888</v>
      </c>
      <c r="D1419" s="657" t="s">
        <v>14978</v>
      </c>
      <c r="E1419" s="657" t="s">
        <v>9406</v>
      </c>
      <c r="F1419" s="656" t="s">
        <v>8636</v>
      </c>
      <c r="G1419" s="656" t="s">
        <v>552</v>
      </c>
      <c r="H1419" s="656" t="s">
        <v>8636</v>
      </c>
      <c r="I1419" s="656" t="s">
        <v>14976</v>
      </c>
      <c r="J1419" s="656" t="s">
        <v>451</v>
      </c>
      <c r="K1419" s="656" t="s">
        <v>1058</v>
      </c>
      <c r="L1419" s="656" t="s">
        <v>1110</v>
      </c>
      <c r="M1419" s="657"/>
      <c r="N1419" s="1482"/>
      <c r="O1419" s="656" t="s">
        <v>498</v>
      </c>
      <c r="P1419" s="656" t="s">
        <v>13052</v>
      </c>
      <c r="Q1419" s="656">
        <v>44216.781122685185</v>
      </c>
    </row>
    <row r="1420" spans="1:17">
      <c r="A1420" s="656" t="s">
        <v>8547</v>
      </c>
      <c r="B1420" s="657" t="s">
        <v>202</v>
      </c>
      <c r="C1420" s="656" t="s">
        <v>8544</v>
      </c>
      <c r="D1420" s="657" t="s">
        <v>14978</v>
      </c>
      <c r="E1420" s="657" t="s">
        <v>9406</v>
      </c>
      <c r="F1420" s="656" t="s">
        <v>537</v>
      </c>
      <c r="G1420" s="656" t="s">
        <v>552</v>
      </c>
      <c r="H1420" s="656" t="s">
        <v>537</v>
      </c>
      <c r="I1420" s="656" t="s">
        <v>14976</v>
      </c>
      <c r="J1420" s="656" t="s">
        <v>451</v>
      </c>
      <c r="K1420" s="656" t="s">
        <v>4161</v>
      </c>
      <c r="L1420" s="656" t="s">
        <v>1110</v>
      </c>
      <c r="M1420" s="657"/>
      <c r="N1420" s="1482"/>
      <c r="O1420" s="656" t="s">
        <v>498</v>
      </c>
      <c r="P1420" s="656" t="s">
        <v>13052</v>
      </c>
      <c r="Q1420" s="656">
        <v>44216.781111111108</v>
      </c>
    </row>
    <row r="1421" spans="1:17">
      <c r="A1421" s="656" t="s">
        <v>1110</v>
      </c>
      <c r="B1421" s="657" t="s">
        <v>202</v>
      </c>
      <c r="C1421" s="656" t="s">
        <v>1111</v>
      </c>
      <c r="D1421" s="657" t="s">
        <v>14977</v>
      </c>
      <c r="E1421" s="657" t="s">
        <v>9406</v>
      </c>
      <c r="F1421" s="656" t="s">
        <v>4052</v>
      </c>
      <c r="G1421" s="656" t="s">
        <v>512</v>
      </c>
      <c r="H1421" s="656" t="s">
        <v>455</v>
      </c>
      <c r="I1421" s="656" t="s">
        <v>14976</v>
      </c>
      <c r="J1421" s="656" t="s">
        <v>451</v>
      </c>
      <c r="K1421" s="656" t="s">
        <v>4052</v>
      </c>
      <c r="L1421" s="656" t="s">
        <v>13887</v>
      </c>
      <c r="M1421" s="657"/>
      <c r="N1421" s="1482"/>
      <c r="O1421" s="656" t="s">
        <v>498</v>
      </c>
      <c r="P1421" s="656" t="s">
        <v>13052</v>
      </c>
      <c r="Q1421" s="656">
        <v>44216.781111111108</v>
      </c>
    </row>
    <row r="1422" spans="1:17">
      <c r="A1422" s="656" t="s">
        <v>1112</v>
      </c>
      <c r="B1422" s="657" t="s">
        <v>202</v>
      </c>
      <c r="C1422" s="656" t="s">
        <v>13886</v>
      </c>
      <c r="D1422" s="657" t="s">
        <v>13789</v>
      </c>
      <c r="E1422" s="657" t="s">
        <v>9406</v>
      </c>
      <c r="F1422" s="656" t="s">
        <v>500</v>
      </c>
      <c r="G1422" s="656" t="s">
        <v>1113</v>
      </c>
      <c r="H1422" s="656" t="s">
        <v>500</v>
      </c>
      <c r="I1422" s="656" t="s">
        <v>14976</v>
      </c>
      <c r="J1422" s="656"/>
      <c r="K1422" s="656"/>
      <c r="L1422" s="656"/>
      <c r="M1422" s="657"/>
      <c r="N1422" s="1482"/>
      <c r="O1422" s="656" t="s">
        <v>498</v>
      </c>
      <c r="P1422" s="656" t="s">
        <v>13052</v>
      </c>
      <c r="Q1422" s="656">
        <v>44216.781099537038</v>
      </c>
    </row>
    <row r="1423" spans="1:17">
      <c r="A1423" s="656" t="s">
        <v>1114</v>
      </c>
      <c r="B1423" s="657" t="s">
        <v>504</v>
      </c>
      <c r="C1423" s="656" t="s">
        <v>945</v>
      </c>
      <c r="D1423" s="657" t="s">
        <v>14978</v>
      </c>
      <c r="E1423" s="657" t="s">
        <v>9406</v>
      </c>
      <c r="F1423" s="656" t="s">
        <v>505</v>
      </c>
      <c r="G1423" s="656" t="s">
        <v>522</v>
      </c>
      <c r="H1423" s="656" t="s">
        <v>505</v>
      </c>
      <c r="I1423" s="656" t="s">
        <v>14976</v>
      </c>
      <c r="J1423" s="656"/>
      <c r="K1423" s="656"/>
      <c r="L1423" s="656" t="s">
        <v>881</v>
      </c>
      <c r="M1423" s="657"/>
      <c r="N1423" s="1482"/>
      <c r="O1423" s="656" t="s">
        <v>498</v>
      </c>
      <c r="P1423" s="656" t="s">
        <v>13052</v>
      </c>
      <c r="Q1423" s="656">
        <v>44216.781111111108</v>
      </c>
    </row>
    <row r="1424" spans="1:17">
      <c r="A1424" s="656" t="s">
        <v>1115</v>
      </c>
      <c r="B1424" s="657" t="s">
        <v>504</v>
      </c>
      <c r="C1424" s="656" t="s">
        <v>590</v>
      </c>
      <c r="D1424" s="657" t="s">
        <v>14978</v>
      </c>
      <c r="E1424" s="657" t="s">
        <v>9406</v>
      </c>
      <c r="F1424" s="656" t="s">
        <v>505</v>
      </c>
      <c r="G1424" s="656" t="s">
        <v>522</v>
      </c>
      <c r="H1424" s="656" t="s">
        <v>505</v>
      </c>
      <c r="I1424" s="656" t="s">
        <v>14976</v>
      </c>
      <c r="J1424" s="656"/>
      <c r="K1424" s="656"/>
      <c r="L1424" s="656" t="s">
        <v>914</v>
      </c>
      <c r="M1424" s="657"/>
      <c r="N1424" s="1482"/>
      <c r="O1424" s="656" t="s">
        <v>498</v>
      </c>
      <c r="P1424" s="656" t="s">
        <v>13052</v>
      </c>
      <c r="Q1424" s="656">
        <v>44216.781099537038</v>
      </c>
    </row>
    <row r="1425" spans="1:17">
      <c r="A1425" s="656" t="s">
        <v>1116</v>
      </c>
      <c r="B1425" s="657" t="s">
        <v>504</v>
      </c>
      <c r="C1425" s="656" t="s">
        <v>596</v>
      </c>
      <c r="D1425" s="657" t="s">
        <v>14978</v>
      </c>
      <c r="E1425" s="657" t="s">
        <v>9406</v>
      </c>
      <c r="F1425" s="656" t="s">
        <v>505</v>
      </c>
      <c r="G1425" s="656" t="s">
        <v>522</v>
      </c>
      <c r="H1425" s="656" t="s">
        <v>505</v>
      </c>
      <c r="I1425" s="656" t="s">
        <v>14976</v>
      </c>
      <c r="J1425" s="656"/>
      <c r="K1425" s="656"/>
      <c r="L1425" s="656" t="s">
        <v>888</v>
      </c>
      <c r="M1425" s="657"/>
      <c r="N1425" s="1482"/>
      <c r="O1425" s="656" t="s">
        <v>498</v>
      </c>
      <c r="P1425" s="656" t="s">
        <v>13052</v>
      </c>
      <c r="Q1425" s="656">
        <v>44216.781087962961</v>
      </c>
    </row>
    <row r="1426" spans="1:17">
      <c r="A1426" s="656" t="s">
        <v>1117</v>
      </c>
      <c r="B1426" s="657" t="s">
        <v>504</v>
      </c>
      <c r="C1426" s="656" t="s">
        <v>964</v>
      </c>
      <c r="D1426" s="657" t="s">
        <v>14978</v>
      </c>
      <c r="E1426" s="657" t="s">
        <v>9406</v>
      </c>
      <c r="F1426" s="656" t="s">
        <v>505</v>
      </c>
      <c r="G1426" s="656" t="s">
        <v>522</v>
      </c>
      <c r="H1426" s="656" t="s">
        <v>505</v>
      </c>
      <c r="I1426" s="656" t="s">
        <v>14976</v>
      </c>
      <c r="J1426" s="656"/>
      <c r="K1426" s="656"/>
      <c r="L1426" s="656" t="s">
        <v>903</v>
      </c>
      <c r="M1426" s="657"/>
      <c r="N1426" s="1482"/>
      <c r="O1426" s="656" t="s">
        <v>498</v>
      </c>
      <c r="P1426" s="656" t="s">
        <v>13052</v>
      </c>
      <c r="Q1426" s="656">
        <v>44216.781076388892</v>
      </c>
    </row>
    <row r="1427" spans="1:17">
      <c r="A1427" s="656" t="s">
        <v>1118</v>
      </c>
      <c r="B1427" s="657" t="s">
        <v>504</v>
      </c>
      <c r="C1427" s="656" t="s">
        <v>969</v>
      </c>
      <c r="D1427" s="657" t="s">
        <v>14978</v>
      </c>
      <c r="E1427" s="657" t="s">
        <v>9406</v>
      </c>
      <c r="F1427" s="656" t="s">
        <v>505</v>
      </c>
      <c r="G1427" s="656" t="s">
        <v>522</v>
      </c>
      <c r="H1427" s="656" t="s">
        <v>505</v>
      </c>
      <c r="I1427" s="656" t="s">
        <v>14976</v>
      </c>
      <c r="J1427" s="656"/>
      <c r="K1427" s="656"/>
      <c r="L1427" s="656" t="s">
        <v>895</v>
      </c>
      <c r="M1427" s="657"/>
      <c r="N1427" s="1482"/>
      <c r="O1427" s="656" t="s">
        <v>498</v>
      </c>
      <c r="P1427" s="656" t="s">
        <v>13052</v>
      </c>
      <c r="Q1427" s="656">
        <v>44216.781076388892</v>
      </c>
    </row>
    <row r="1428" spans="1:17">
      <c r="A1428" s="656" t="s">
        <v>1119</v>
      </c>
      <c r="B1428" s="657" t="s">
        <v>504</v>
      </c>
      <c r="C1428" s="656" t="s">
        <v>967</v>
      </c>
      <c r="D1428" s="657" t="s">
        <v>14978</v>
      </c>
      <c r="E1428" s="657" t="s">
        <v>9406</v>
      </c>
      <c r="F1428" s="656" t="s">
        <v>505</v>
      </c>
      <c r="G1428" s="656" t="s">
        <v>522</v>
      </c>
      <c r="H1428" s="656" t="s">
        <v>505</v>
      </c>
      <c r="I1428" s="656" t="s">
        <v>14976</v>
      </c>
      <c r="J1428" s="656"/>
      <c r="K1428" s="656"/>
      <c r="L1428" s="656" t="s">
        <v>903</v>
      </c>
      <c r="M1428" s="657"/>
      <c r="N1428" s="1482"/>
      <c r="O1428" s="656" t="s">
        <v>498</v>
      </c>
      <c r="P1428" s="656" t="s">
        <v>13052</v>
      </c>
      <c r="Q1428" s="656">
        <v>44216.781076388892</v>
      </c>
    </row>
    <row r="1429" spans="1:17">
      <c r="A1429" s="656" t="s">
        <v>1120</v>
      </c>
      <c r="B1429" s="657" t="s">
        <v>504</v>
      </c>
      <c r="C1429" s="656" t="s">
        <v>1121</v>
      </c>
      <c r="D1429" s="657" t="s">
        <v>14978</v>
      </c>
      <c r="E1429" s="657" t="s">
        <v>9406</v>
      </c>
      <c r="F1429" s="656" t="s">
        <v>505</v>
      </c>
      <c r="G1429" s="656" t="s">
        <v>522</v>
      </c>
      <c r="H1429" s="656" t="s">
        <v>505</v>
      </c>
      <c r="I1429" s="656" t="s">
        <v>14976</v>
      </c>
      <c r="J1429" s="656"/>
      <c r="K1429" s="656"/>
      <c r="L1429" s="656" t="s">
        <v>885</v>
      </c>
      <c r="M1429" s="657"/>
      <c r="N1429" s="1482"/>
      <c r="O1429" s="656" t="s">
        <v>498</v>
      </c>
      <c r="P1429" s="656" t="s">
        <v>13052</v>
      </c>
      <c r="Q1429" s="656">
        <v>44216.781064814815</v>
      </c>
    </row>
    <row r="1430" spans="1:17">
      <c r="A1430" s="656" t="s">
        <v>1122</v>
      </c>
      <c r="B1430" s="657" t="s">
        <v>504</v>
      </c>
      <c r="C1430" s="656" t="s">
        <v>1123</v>
      </c>
      <c r="D1430" s="657" t="s">
        <v>14978</v>
      </c>
      <c r="E1430" s="657" t="s">
        <v>9406</v>
      </c>
      <c r="F1430" s="656" t="s">
        <v>505</v>
      </c>
      <c r="G1430" s="656" t="s">
        <v>522</v>
      </c>
      <c r="H1430" s="656" t="s">
        <v>505</v>
      </c>
      <c r="I1430" s="656" t="s">
        <v>14976</v>
      </c>
      <c r="J1430" s="656"/>
      <c r="K1430" s="656"/>
      <c r="L1430" s="656" t="s">
        <v>895</v>
      </c>
      <c r="M1430" s="657"/>
      <c r="N1430" s="1482"/>
      <c r="O1430" s="656" t="s">
        <v>498</v>
      </c>
      <c r="P1430" s="656" t="s">
        <v>13052</v>
      </c>
      <c r="Q1430" s="656">
        <v>44216.781064814815</v>
      </c>
    </row>
    <row r="1431" spans="1:17">
      <c r="A1431" s="656" t="s">
        <v>1124</v>
      </c>
      <c r="B1431" s="657" t="s">
        <v>504</v>
      </c>
      <c r="C1431" s="656" t="s">
        <v>1125</v>
      </c>
      <c r="D1431" s="657" t="s">
        <v>14978</v>
      </c>
      <c r="E1431" s="657" t="s">
        <v>9406</v>
      </c>
      <c r="F1431" s="656" t="s">
        <v>505</v>
      </c>
      <c r="G1431" s="656" t="s">
        <v>522</v>
      </c>
      <c r="H1431" s="656" t="s">
        <v>505</v>
      </c>
      <c r="I1431" s="656" t="s">
        <v>14976</v>
      </c>
      <c r="J1431" s="656"/>
      <c r="K1431" s="656"/>
      <c r="L1431" s="656" t="s">
        <v>895</v>
      </c>
      <c r="M1431" s="657"/>
      <c r="N1431" s="1482"/>
      <c r="O1431" s="656" t="s">
        <v>498</v>
      </c>
      <c r="P1431" s="656" t="s">
        <v>13052</v>
      </c>
      <c r="Q1431" s="656">
        <v>44216.781053240738</v>
      </c>
    </row>
    <row r="1432" spans="1:17">
      <c r="A1432" s="656" t="s">
        <v>1126</v>
      </c>
      <c r="B1432" s="657" t="s">
        <v>504</v>
      </c>
      <c r="C1432" s="656" t="s">
        <v>1127</v>
      </c>
      <c r="D1432" s="657" t="s">
        <v>14978</v>
      </c>
      <c r="E1432" s="657" t="s">
        <v>9406</v>
      </c>
      <c r="F1432" s="656" t="s">
        <v>505</v>
      </c>
      <c r="G1432" s="656" t="s">
        <v>522</v>
      </c>
      <c r="H1432" s="656" t="s">
        <v>505</v>
      </c>
      <c r="I1432" s="656" t="s">
        <v>14976</v>
      </c>
      <c r="J1432" s="656"/>
      <c r="K1432" s="656"/>
      <c r="L1432" s="656" t="s">
        <v>895</v>
      </c>
      <c r="M1432" s="657"/>
      <c r="N1432" s="1482"/>
      <c r="O1432" s="656" t="s">
        <v>498</v>
      </c>
      <c r="P1432" s="656" t="s">
        <v>13052</v>
      </c>
      <c r="Q1432" s="656">
        <v>44216.781053240738</v>
      </c>
    </row>
    <row r="1433" spans="1:17">
      <c r="A1433" s="656" t="s">
        <v>1128</v>
      </c>
      <c r="B1433" s="657" t="s">
        <v>504</v>
      </c>
      <c r="C1433" s="656" t="s">
        <v>1129</v>
      </c>
      <c r="D1433" s="657" t="s">
        <v>14978</v>
      </c>
      <c r="E1433" s="657" t="s">
        <v>9406</v>
      </c>
      <c r="F1433" s="656" t="s">
        <v>505</v>
      </c>
      <c r="G1433" s="656" t="s">
        <v>522</v>
      </c>
      <c r="H1433" s="656" t="s">
        <v>505</v>
      </c>
      <c r="I1433" s="656" t="s">
        <v>14976</v>
      </c>
      <c r="J1433" s="656"/>
      <c r="K1433" s="656"/>
      <c r="L1433" s="656" t="s">
        <v>895</v>
      </c>
      <c r="M1433" s="657"/>
      <c r="N1433" s="1482"/>
      <c r="O1433" s="656" t="s">
        <v>498</v>
      </c>
      <c r="P1433" s="656" t="s">
        <v>13052</v>
      </c>
      <c r="Q1433" s="656">
        <v>44216.781041666669</v>
      </c>
    </row>
    <row r="1434" spans="1:17">
      <c r="A1434" s="656" t="s">
        <v>1130</v>
      </c>
      <c r="B1434" s="657" t="s">
        <v>504</v>
      </c>
      <c r="C1434" s="656" t="s">
        <v>1131</v>
      </c>
      <c r="D1434" s="657" t="s">
        <v>14978</v>
      </c>
      <c r="E1434" s="657" t="s">
        <v>9406</v>
      </c>
      <c r="F1434" s="656" t="s">
        <v>505</v>
      </c>
      <c r="G1434" s="656" t="s">
        <v>522</v>
      </c>
      <c r="H1434" s="656" t="s">
        <v>505</v>
      </c>
      <c r="I1434" s="656" t="s">
        <v>14976</v>
      </c>
      <c r="J1434" s="656"/>
      <c r="K1434" s="656"/>
      <c r="L1434" s="656" t="s">
        <v>909</v>
      </c>
      <c r="M1434" s="657"/>
      <c r="N1434" s="1482"/>
      <c r="O1434" s="656" t="s">
        <v>498</v>
      </c>
      <c r="P1434" s="656" t="s">
        <v>13052</v>
      </c>
      <c r="Q1434" s="656">
        <v>44216.781041666669</v>
      </c>
    </row>
    <row r="1435" spans="1:17">
      <c r="A1435" s="656" t="s">
        <v>1132</v>
      </c>
      <c r="B1435" s="657" t="s">
        <v>504</v>
      </c>
      <c r="C1435" s="656" t="s">
        <v>1133</v>
      </c>
      <c r="D1435" s="657" t="s">
        <v>14978</v>
      </c>
      <c r="E1435" s="657" t="s">
        <v>9406</v>
      </c>
      <c r="F1435" s="656" t="s">
        <v>505</v>
      </c>
      <c r="G1435" s="656" t="s">
        <v>522</v>
      </c>
      <c r="H1435" s="656" t="s">
        <v>505</v>
      </c>
      <c r="I1435" s="656" t="s">
        <v>14976</v>
      </c>
      <c r="J1435" s="656"/>
      <c r="K1435" s="656"/>
      <c r="L1435" s="656" t="s">
        <v>867</v>
      </c>
      <c r="M1435" s="657"/>
      <c r="N1435" s="1482"/>
      <c r="O1435" s="656" t="s">
        <v>498</v>
      </c>
      <c r="P1435" s="656" t="s">
        <v>13052</v>
      </c>
      <c r="Q1435" s="656">
        <v>44216.781030092592</v>
      </c>
    </row>
    <row r="1436" spans="1:17">
      <c r="A1436" s="656" t="s">
        <v>1134</v>
      </c>
      <c r="B1436" s="657" t="s">
        <v>504</v>
      </c>
      <c r="C1436" s="656" t="s">
        <v>1135</v>
      </c>
      <c r="D1436" s="657" t="s">
        <v>14978</v>
      </c>
      <c r="E1436" s="657" t="s">
        <v>9406</v>
      </c>
      <c r="F1436" s="656" t="s">
        <v>505</v>
      </c>
      <c r="G1436" s="656" t="s">
        <v>522</v>
      </c>
      <c r="H1436" s="656" t="s">
        <v>505</v>
      </c>
      <c r="I1436" s="656" t="s">
        <v>14976</v>
      </c>
      <c r="J1436" s="656"/>
      <c r="K1436" s="656"/>
      <c r="L1436" s="656" t="s">
        <v>885</v>
      </c>
      <c r="M1436" s="657"/>
      <c r="N1436" s="1482"/>
      <c r="O1436" s="656" t="s">
        <v>498</v>
      </c>
      <c r="P1436" s="656" t="s">
        <v>13052</v>
      </c>
      <c r="Q1436" s="656">
        <v>44216.781030092592</v>
      </c>
    </row>
    <row r="1437" spans="1:17">
      <c r="A1437" s="656" t="s">
        <v>1136</v>
      </c>
      <c r="B1437" s="657" t="s">
        <v>504</v>
      </c>
      <c r="C1437" s="656" t="s">
        <v>903</v>
      </c>
      <c r="D1437" s="657" t="s">
        <v>14978</v>
      </c>
      <c r="E1437" s="657" t="s">
        <v>9406</v>
      </c>
      <c r="F1437" s="656" t="s">
        <v>505</v>
      </c>
      <c r="G1437" s="656" t="s">
        <v>522</v>
      </c>
      <c r="H1437" s="656" t="s">
        <v>505</v>
      </c>
      <c r="I1437" s="656" t="s">
        <v>14976</v>
      </c>
      <c r="J1437" s="656"/>
      <c r="K1437" s="656"/>
      <c r="L1437" s="656" t="s">
        <v>903</v>
      </c>
      <c r="M1437" s="657"/>
      <c r="N1437" s="1482"/>
      <c r="O1437" s="656" t="s">
        <v>498</v>
      </c>
      <c r="P1437" s="656" t="s">
        <v>13052</v>
      </c>
      <c r="Q1437" s="656">
        <v>44216.781018518515</v>
      </c>
    </row>
    <row r="1438" spans="1:17">
      <c r="A1438" s="656" t="s">
        <v>1137</v>
      </c>
      <c r="B1438" s="657" t="s">
        <v>504</v>
      </c>
      <c r="C1438" s="656" t="s">
        <v>1138</v>
      </c>
      <c r="D1438" s="657" t="s">
        <v>14978</v>
      </c>
      <c r="E1438" s="657" t="s">
        <v>9406</v>
      </c>
      <c r="F1438" s="656" t="s">
        <v>505</v>
      </c>
      <c r="G1438" s="656" t="s">
        <v>522</v>
      </c>
      <c r="H1438" s="656" t="s">
        <v>505</v>
      </c>
      <c r="I1438" s="656" t="s">
        <v>14976</v>
      </c>
      <c r="J1438" s="656"/>
      <c r="K1438" s="656"/>
      <c r="L1438" s="656" t="s">
        <v>914</v>
      </c>
      <c r="M1438" s="657"/>
      <c r="N1438" s="1482"/>
      <c r="O1438" s="656" t="s">
        <v>498</v>
      </c>
      <c r="P1438" s="656" t="s">
        <v>13052</v>
      </c>
      <c r="Q1438" s="656">
        <v>44216.781018518515</v>
      </c>
    </row>
    <row r="1439" spans="1:17">
      <c r="A1439" s="656" t="s">
        <v>1139</v>
      </c>
      <c r="B1439" s="657" t="s">
        <v>504</v>
      </c>
      <c r="C1439" s="656" t="s">
        <v>1140</v>
      </c>
      <c r="D1439" s="657" t="s">
        <v>14978</v>
      </c>
      <c r="E1439" s="657" t="s">
        <v>9406</v>
      </c>
      <c r="F1439" s="656" t="s">
        <v>505</v>
      </c>
      <c r="G1439" s="656" t="s">
        <v>522</v>
      </c>
      <c r="H1439" s="656" t="s">
        <v>505</v>
      </c>
      <c r="I1439" s="656" t="s">
        <v>14976</v>
      </c>
      <c r="J1439" s="656"/>
      <c r="K1439" s="656"/>
      <c r="L1439" s="656" t="s">
        <v>888</v>
      </c>
      <c r="M1439" s="657"/>
      <c r="N1439" s="1482"/>
      <c r="O1439" s="656" t="s">
        <v>498</v>
      </c>
      <c r="P1439" s="656" t="s">
        <v>13052</v>
      </c>
      <c r="Q1439" s="656">
        <v>44216.781006944446</v>
      </c>
    </row>
    <row r="1440" spans="1:17">
      <c r="A1440" s="656" t="s">
        <v>1141</v>
      </c>
      <c r="B1440" s="657" t="s">
        <v>202</v>
      </c>
      <c r="C1440" s="656" t="s">
        <v>867</v>
      </c>
      <c r="D1440" s="657" t="s">
        <v>14977</v>
      </c>
      <c r="E1440" s="657" t="s">
        <v>9406</v>
      </c>
      <c r="F1440" s="656" t="s">
        <v>472</v>
      </c>
      <c r="G1440" s="656" t="s">
        <v>519</v>
      </c>
      <c r="H1440" s="656" t="s">
        <v>472</v>
      </c>
      <c r="I1440" s="656" t="s">
        <v>14976</v>
      </c>
      <c r="J1440" s="656" t="s">
        <v>12368</v>
      </c>
      <c r="K1440" s="656" t="s">
        <v>1058</v>
      </c>
      <c r="L1440" s="656"/>
      <c r="M1440" s="657"/>
      <c r="N1440" s="1482"/>
      <c r="O1440" s="656" t="s">
        <v>498</v>
      </c>
      <c r="P1440" s="656" t="s">
        <v>13052</v>
      </c>
      <c r="Q1440" s="656">
        <v>44216.781006944446</v>
      </c>
    </row>
    <row r="1441" spans="1:17">
      <c r="A1441" s="656" t="s">
        <v>1142</v>
      </c>
      <c r="B1441" s="657" t="s">
        <v>202</v>
      </c>
      <c r="C1441" s="656" t="s">
        <v>1164</v>
      </c>
      <c r="D1441" s="657" t="s">
        <v>14977</v>
      </c>
      <c r="E1441" s="657" t="s">
        <v>9406</v>
      </c>
      <c r="F1441" s="656" t="s">
        <v>472</v>
      </c>
      <c r="G1441" s="656" t="s">
        <v>519</v>
      </c>
      <c r="H1441" s="656" t="s">
        <v>472</v>
      </c>
      <c r="I1441" s="656" t="s">
        <v>14976</v>
      </c>
      <c r="J1441" s="656" t="s">
        <v>12368</v>
      </c>
      <c r="K1441" s="656" t="s">
        <v>1058</v>
      </c>
      <c r="L1441" s="656"/>
      <c r="M1441" s="657"/>
      <c r="N1441" s="1482"/>
      <c r="O1441" s="656" t="s">
        <v>498</v>
      </c>
      <c r="P1441" s="656" t="s">
        <v>13052</v>
      </c>
      <c r="Q1441" s="656">
        <v>44216.780995370369</v>
      </c>
    </row>
    <row r="1442" spans="1:17">
      <c r="A1442" s="656" t="s">
        <v>1143</v>
      </c>
      <c r="B1442" s="657" t="s">
        <v>202</v>
      </c>
      <c r="C1442" s="656" t="s">
        <v>881</v>
      </c>
      <c r="D1442" s="657" t="s">
        <v>14977</v>
      </c>
      <c r="E1442" s="657" t="s">
        <v>9406</v>
      </c>
      <c r="F1442" s="656" t="s">
        <v>472</v>
      </c>
      <c r="G1442" s="656" t="s">
        <v>519</v>
      </c>
      <c r="H1442" s="656" t="s">
        <v>472</v>
      </c>
      <c r="I1442" s="656" t="s">
        <v>14976</v>
      </c>
      <c r="J1442" s="656" t="s">
        <v>12368</v>
      </c>
      <c r="K1442" s="656" t="s">
        <v>1058</v>
      </c>
      <c r="L1442" s="656"/>
      <c r="M1442" s="657"/>
      <c r="N1442" s="1482"/>
      <c r="O1442" s="656" t="s">
        <v>498</v>
      </c>
      <c r="P1442" s="656" t="s">
        <v>13052</v>
      </c>
      <c r="Q1442" s="656">
        <v>44216.780995370369</v>
      </c>
    </row>
    <row r="1443" spans="1:17">
      <c r="A1443" s="656" t="s">
        <v>1144</v>
      </c>
      <c r="B1443" s="657" t="s">
        <v>202</v>
      </c>
      <c r="C1443" s="656" t="s">
        <v>885</v>
      </c>
      <c r="D1443" s="657" t="s">
        <v>14977</v>
      </c>
      <c r="E1443" s="657" t="s">
        <v>9406</v>
      </c>
      <c r="F1443" s="656" t="s">
        <v>472</v>
      </c>
      <c r="G1443" s="656" t="s">
        <v>519</v>
      </c>
      <c r="H1443" s="656" t="s">
        <v>472</v>
      </c>
      <c r="I1443" s="656" t="s">
        <v>14976</v>
      </c>
      <c r="J1443" s="656" t="s">
        <v>12368</v>
      </c>
      <c r="K1443" s="656" t="s">
        <v>1058</v>
      </c>
      <c r="L1443" s="656"/>
      <c r="M1443" s="657"/>
      <c r="N1443" s="1482"/>
      <c r="O1443" s="656" t="s">
        <v>498</v>
      </c>
      <c r="P1443" s="656" t="s">
        <v>13052</v>
      </c>
      <c r="Q1443" s="656">
        <v>44216.780995370369</v>
      </c>
    </row>
    <row r="1444" spans="1:17">
      <c r="A1444" s="656" t="s">
        <v>1145</v>
      </c>
      <c r="B1444" s="657" t="s">
        <v>202</v>
      </c>
      <c r="C1444" s="656" t="s">
        <v>888</v>
      </c>
      <c r="D1444" s="657" t="s">
        <v>14977</v>
      </c>
      <c r="E1444" s="657" t="s">
        <v>9406</v>
      </c>
      <c r="F1444" s="656" t="s">
        <v>472</v>
      </c>
      <c r="G1444" s="656" t="s">
        <v>519</v>
      </c>
      <c r="H1444" s="656" t="s">
        <v>472</v>
      </c>
      <c r="I1444" s="656" t="s">
        <v>14976</v>
      </c>
      <c r="J1444" s="656" t="s">
        <v>12368</v>
      </c>
      <c r="K1444" s="656" t="s">
        <v>1058</v>
      </c>
      <c r="L1444" s="656"/>
      <c r="M1444" s="657"/>
      <c r="N1444" s="1482"/>
      <c r="O1444" s="656" t="s">
        <v>498</v>
      </c>
      <c r="P1444" s="656" t="s">
        <v>13052</v>
      </c>
      <c r="Q1444" s="656">
        <v>44216.7809837963</v>
      </c>
    </row>
    <row r="1445" spans="1:17">
      <c r="A1445" s="656" t="s">
        <v>1146</v>
      </c>
      <c r="B1445" s="657" t="s">
        <v>202</v>
      </c>
      <c r="C1445" s="656" t="s">
        <v>892</v>
      </c>
      <c r="D1445" s="657" t="s">
        <v>14977</v>
      </c>
      <c r="E1445" s="657" t="s">
        <v>9406</v>
      </c>
      <c r="F1445" s="656" t="s">
        <v>472</v>
      </c>
      <c r="G1445" s="656" t="s">
        <v>519</v>
      </c>
      <c r="H1445" s="656" t="s">
        <v>472</v>
      </c>
      <c r="I1445" s="656" t="s">
        <v>14976</v>
      </c>
      <c r="J1445" s="656" t="s">
        <v>12368</v>
      </c>
      <c r="K1445" s="656" t="s">
        <v>1058</v>
      </c>
      <c r="L1445" s="656"/>
      <c r="M1445" s="657"/>
      <c r="N1445" s="1482"/>
      <c r="O1445" s="656" t="s">
        <v>498</v>
      </c>
      <c r="P1445" s="656" t="s">
        <v>13052</v>
      </c>
      <c r="Q1445" s="656">
        <v>44216.7809837963</v>
      </c>
    </row>
    <row r="1446" spans="1:17">
      <c r="A1446" s="656" t="s">
        <v>1147</v>
      </c>
      <c r="B1446" s="657" t="s">
        <v>202</v>
      </c>
      <c r="C1446" s="656" t="s">
        <v>895</v>
      </c>
      <c r="D1446" s="657" t="s">
        <v>14977</v>
      </c>
      <c r="E1446" s="657" t="s">
        <v>9406</v>
      </c>
      <c r="F1446" s="656" t="s">
        <v>472</v>
      </c>
      <c r="G1446" s="656" t="s">
        <v>519</v>
      </c>
      <c r="H1446" s="656" t="s">
        <v>472</v>
      </c>
      <c r="I1446" s="656" t="s">
        <v>14976</v>
      </c>
      <c r="J1446" s="656" t="s">
        <v>12368</v>
      </c>
      <c r="K1446" s="656" t="s">
        <v>1058</v>
      </c>
      <c r="L1446" s="656"/>
      <c r="M1446" s="657"/>
      <c r="N1446" s="1482"/>
      <c r="O1446" s="656" t="s">
        <v>498</v>
      </c>
      <c r="P1446" s="656" t="s">
        <v>13052</v>
      </c>
      <c r="Q1446" s="656">
        <v>44216.780972222223</v>
      </c>
    </row>
    <row r="1447" spans="1:17">
      <c r="A1447" s="656" t="s">
        <v>1148</v>
      </c>
      <c r="B1447" s="657" t="s">
        <v>202</v>
      </c>
      <c r="C1447" s="656" t="s">
        <v>903</v>
      </c>
      <c r="D1447" s="657" t="s">
        <v>14977</v>
      </c>
      <c r="E1447" s="657" t="s">
        <v>9406</v>
      </c>
      <c r="F1447" s="656" t="s">
        <v>472</v>
      </c>
      <c r="G1447" s="656" t="s">
        <v>519</v>
      </c>
      <c r="H1447" s="656" t="s">
        <v>472</v>
      </c>
      <c r="I1447" s="656" t="s">
        <v>14976</v>
      </c>
      <c r="J1447" s="656" t="s">
        <v>12368</v>
      </c>
      <c r="K1447" s="656" t="s">
        <v>1058</v>
      </c>
      <c r="L1447" s="656"/>
      <c r="M1447" s="657"/>
      <c r="N1447" s="1482"/>
      <c r="O1447" s="656" t="s">
        <v>498</v>
      </c>
      <c r="P1447" s="656" t="s">
        <v>13052</v>
      </c>
      <c r="Q1447" s="656">
        <v>44216.780972222223</v>
      </c>
    </row>
    <row r="1448" spans="1:17">
      <c r="A1448" s="656" t="s">
        <v>1149</v>
      </c>
      <c r="B1448" s="657" t="s">
        <v>202</v>
      </c>
      <c r="C1448" s="656" t="s">
        <v>909</v>
      </c>
      <c r="D1448" s="657" t="s">
        <v>14977</v>
      </c>
      <c r="E1448" s="657" t="s">
        <v>9406</v>
      </c>
      <c r="F1448" s="656" t="s">
        <v>472</v>
      </c>
      <c r="G1448" s="656" t="s">
        <v>519</v>
      </c>
      <c r="H1448" s="656" t="s">
        <v>472</v>
      </c>
      <c r="I1448" s="656" t="s">
        <v>14976</v>
      </c>
      <c r="J1448" s="656" t="s">
        <v>12368</v>
      </c>
      <c r="K1448" s="656" t="s">
        <v>1058</v>
      </c>
      <c r="L1448" s="656"/>
      <c r="M1448" s="657"/>
      <c r="N1448" s="1482"/>
      <c r="O1448" s="656" t="s">
        <v>498</v>
      </c>
      <c r="P1448" s="656" t="s">
        <v>13052</v>
      </c>
      <c r="Q1448" s="656">
        <v>44216.780972222223</v>
      </c>
    </row>
    <row r="1449" spans="1:17">
      <c r="A1449" s="656" t="s">
        <v>1150</v>
      </c>
      <c r="B1449" s="657" t="s">
        <v>202</v>
      </c>
      <c r="C1449" s="656" t="s">
        <v>914</v>
      </c>
      <c r="D1449" s="657" t="s">
        <v>14977</v>
      </c>
      <c r="E1449" s="657" t="s">
        <v>9406</v>
      </c>
      <c r="F1449" s="656" t="s">
        <v>472</v>
      </c>
      <c r="G1449" s="656" t="s">
        <v>519</v>
      </c>
      <c r="H1449" s="656" t="s">
        <v>472</v>
      </c>
      <c r="I1449" s="656" t="s">
        <v>14976</v>
      </c>
      <c r="J1449" s="656" t="s">
        <v>12368</v>
      </c>
      <c r="K1449" s="656" t="s">
        <v>1058</v>
      </c>
      <c r="L1449" s="656"/>
      <c r="M1449" s="657"/>
      <c r="N1449" s="1482"/>
      <c r="O1449" s="656" t="s">
        <v>498</v>
      </c>
      <c r="P1449" s="656" t="s">
        <v>13052</v>
      </c>
      <c r="Q1449" s="656">
        <v>44216.780960648146</v>
      </c>
    </row>
    <row r="1450" spans="1:17">
      <c r="A1450" s="656" t="s">
        <v>1151</v>
      </c>
      <c r="B1450" s="657" t="s">
        <v>202</v>
      </c>
      <c r="C1450" s="656" t="s">
        <v>1152</v>
      </c>
      <c r="D1450" s="657" t="s">
        <v>13789</v>
      </c>
      <c r="E1450" s="657" t="s">
        <v>7437</v>
      </c>
      <c r="F1450" s="656" t="s">
        <v>537</v>
      </c>
      <c r="G1450" s="656" t="s">
        <v>512</v>
      </c>
      <c r="H1450" s="656" t="s">
        <v>537</v>
      </c>
      <c r="I1450" s="656" t="s">
        <v>14976</v>
      </c>
      <c r="J1450" s="656" t="s">
        <v>473</v>
      </c>
      <c r="K1450" s="656" t="s">
        <v>4161</v>
      </c>
      <c r="L1450" s="656"/>
      <c r="M1450" s="657"/>
      <c r="N1450" s="1482"/>
      <c r="O1450" s="656" t="s">
        <v>498</v>
      </c>
      <c r="P1450" s="656" t="s">
        <v>13052</v>
      </c>
      <c r="Q1450" s="656">
        <v>44216.780949074076</v>
      </c>
    </row>
    <row r="1451" spans="1:17">
      <c r="A1451" s="656" t="s">
        <v>1153</v>
      </c>
      <c r="B1451" s="657" t="s">
        <v>202</v>
      </c>
      <c r="C1451" s="656" t="s">
        <v>1154</v>
      </c>
      <c r="D1451" s="657"/>
      <c r="E1451" s="657" t="s">
        <v>9406</v>
      </c>
      <c r="F1451" s="656" t="s">
        <v>472</v>
      </c>
      <c r="G1451" s="656" t="s">
        <v>519</v>
      </c>
      <c r="H1451" s="656" t="s">
        <v>472</v>
      </c>
      <c r="I1451" s="656" t="s">
        <v>14976</v>
      </c>
      <c r="J1451" s="656" t="s">
        <v>12368</v>
      </c>
      <c r="K1451" s="656"/>
      <c r="L1451" s="656"/>
      <c r="M1451" s="657"/>
      <c r="N1451" s="1482"/>
      <c r="O1451" s="656" t="s">
        <v>498</v>
      </c>
      <c r="P1451" s="656" t="s">
        <v>13052</v>
      </c>
      <c r="Q1451" s="656">
        <v>44216.780949074076</v>
      </c>
    </row>
    <row r="1452" spans="1:17">
      <c r="A1452" s="656" t="s">
        <v>13885</v>
      </c>
      <c r="B1452" s="657" t="s">
        <v>202</v>
      </c>
      <c r="C1452" s="656" t="s">
        <v>984</v>
      </c>
      <c r="D1452" s="657" t="s">
        <v>14978</v>
      </c>
      <c r="E1452" s="657" t="s">
        <v>9406</v>
      </c>
      <c r="F1452" s="656" t="s">
        <v>472</v>
      </c>
      <c r="G1452" s="656" t="s">
        <v>519</v>
      </c>
      <c r="H1452" s="656" t="s">
        <v>472</v>
      </c>
      <c r="I1452" s="656" t="s">
        <v>14976</v>
      </c>
      <c r="J1452" s="656" t="s">
        <v>12368</v>
      </c>
      <c r="K1452" s="656"/>
      <c r="L1452" s="656"/>
      <c r="M1452" s="657"/>
      <c r="N1452" s="1482"/>
      <c r="O1452" s="656" t="s">
        <v>498</v>
      </c>
      <c r="P1452" s="656" t="s">
        <v>13052</v>
      </c>
      <c r="Q1452" s="656">
        <v>44216.7809375</v>
      </c>
    </row>
    <row r="1453" spans="1:17">
      <c r="A1453" s="656" t="s">
        <v>13884</v>
      </c>
      <c r="B1453" s="657" t="s">
        <v>202</v>
      </c>
      <c r="C1453" s="656" t="s">
        <v>992</v>
      </c>
      <c r="D1453" s="657" t="s">
        <v>14978</v>
      </c>
      <c r="E1453" s="657" t="s">
        <v>9406</v>
      </c>
      <c r="F1453" s="656" t="s">
        <v>472</v>
      </c>
      <c r="G1453" s="656" t="s">
        <v>519</v>
      </c>
      <c r="H1453" s="656" t="s">
        <v>472</v>
      </c>
      <c r="I1453" s="656" t="s">
        <v>14976</v>
      </c>
      <c r="J1453" s="656" t="s">
        <v>12368</v>
      </c>
      <c r="K1453" s="656"/>
      <c r="L1453" s="656"/>
      <c r="M1453" s="657"/>
      <c r="N1453" s="1482"/>
      <c r="O1453" s="656" t="s">
        <v>498</v>
      </c>
      <c r="P1453" s="656" t="s">
        <v>13052</v>
      </c>
      <c r="Q1453" s="656">
        <v>44216.7809375</v>
      </c>
    </row>
    <row r="1454" spans="1:17">
      <c r="A1454" s="656" t="s">
        <v>13883</v>
      </c>
      <c r="B1454" s="657" t="s">
        <v>202</v>
      </c>
      <c r="C1454" s="656" t="s">
        <v>945</v>
      </c>
      <c r="D1454" s="657" t="s">
        <v>14978</v>
      </c>
      <c r="E1454" s="657" t="s">
        <v>9406</v>
      </c>
      <c r="F1454" s="656" t="s">
        <v>472</v>
      </c>
      <c r="G1454" s="656" t="s">
        <v>519</v>
      </c>
      <c r="H1454" s="656" t="s">
        <v>472</v>
      </c>
      <c r="I1454" s="656" t="s">
        <v>14976</v>
      </c>
      <c r="J1454" s="656" t="s">
        <v>12368</v>
      </c>
      <c r="K1454" s="656"/>
      <c r="L1454" s="656"/>
      <c r="M1454" s="657"/>
      <c r="N1454" s="1482"/>
      <c r="O1454" s="656" t="s">
        <v>498</v>
      </c>
      <c r="P1454" s="656" t="s">
        <v>13052</v>
      </c>
      <c r="Q1454" s="656">
        <v>44216.7809375</v>
      </c>
    </row>
    <row r="1455" spans="1:17">
      <c r="A1455" s="656" t="s">
        <v>13882</v>
      </c>
      <c r="B1455" s="657" t="s">
        <v>202</v>
      </c>
      <c r="C1455" s="656" t="s">
        <v>590</v>
      </c>
      <c r="D1455" s="657" t="s">
        <v>14978</v>
      </c>
      <c r="E1455" s="657" t="s">
        <v>9406</v>
      </c>
      <c r="F1455" s="656" t="s">
        <v>472</v>
      </c>
      <c r="G1455" s="656" t="s">
        <v>519</v>
      </c>
      <c r="H1455" s="656" t="s">
        <v>472</v>
      </c>
      <c r="I1455" s="656" t="s">
        <v>14976</v>
      </c>
      <c r="J1455" s="656" t="s">
        <v>12368</v>
      </c>
      <c r="K1455" s="656"/>
      <c r="L1455" s="656"/>
      <c r="M1455" s="657"/>
      <c r="N1455" s="1482"/>
      <c r="O1455" s="656" t="s">
        <v>498</v>
      </c>
      <c r="P1455" s="656" t="s">
        <v>13052</v>
      </c>
      <c r="Q1455" s="656">
        <v>44216.780925925923</v>
      </c>
    </row>
    <row r="1456" spans="1:17">
      <c r="A1456" s="656" t="s">
        <v>1155</v>
      </c>
      <c r="B1456" s="657" t="s">
        <v>202</v>
      </c>
      <c r="C1456" s="656" t="s">
        <v>1156</v>
      </c>
      <c r="D1456" s="657" t="s">
        <v>13789</v>
      </c>
      <c r="E1456" s="657" t="s">
        <v>9406</v>
      </c>
      <c r="F1456" s="656" t="s">
        <v>472</v>
      </c>
      <c r="G1456" s="656" t="s">
        <v>519</v>
      </c>
      <c r="H1456" s="656" t="s">
        <v>472</v>
      </c>
      <c r="I1456" s="656" t="s">
        <v>14976</v>
      </c>
      <c r="J1456" s="656" t="s">
        <v>12368</v>
      </c>
      <c r="K1456" s="656" t="s">
        <v>1058</v>
      </c>
      <c r="L1456" s="656"/>
      <c r="M1456" s="657"/>
      <c r="N1456" s="1482"/>
      <c r="O1456" s="656" t="s">
        <v>498</v>
      </c>
      <c r="P1456" s="656" t="s">
        <v>13052</v>
      </c>
      <c r="Q1456" s="656">
        <v>44216.780925925923</v>
      </c>
    </row>
    <row r="1457" spans="1:17">
      <c r="A1457" s="656" t="s">
        <v>1157</v>
      </c>
      <c r="B1457" s="657" t="s">
        <v>202</v>
      </c>
      <c r="C1457" s="656" t="s">
        <v>1158</v>
      </c>
      <c r="D1457" s="657" t="s">
        <v>13789</v>
      </c>
      <c r="E1457" s="657" t="s">
        <v>9406</v>
      </c>
      <c r="F1457" s="656" t="s">
        <v>472</v>
      </c>
      <c r="G1457" s="656" t="s">
        <v>519</v>
      </c>
      <c r="H1457" s="656" t="s">
        <v>472</v>
      </c>
      <c r="I1457" s="656" t="s">
        <v>14976</v>
      </c>
      <c r="J1457" s="656" t="s">
        <v>12368</v>
      </c>
      <c r="K1457" s="656" t="s">
        <v>1058</v>
      </c>
      <c r="L1457" s="656"/>
      <c r="M1457" s="657"/>
      <c r="N1457" s="1482"/>
      <c r="O1457" s="656" t="s">
        <v>498</v>
      </c>
      <c r="P1457" s="656" t="s">
        <v>13052</v>
      </c>
      <c r="Q1457" s="656">
        <v>44216.780914351853</v>
      </c>
    </row>
    <row r="1458" spans="1:17">
      <c r="A1458" s="656" t="s">
        <v>1159</v>
      </c>
      <c r="B1458" s="657" t="s">
        <v>202</v>
      </c>
      <c r="C1458" s="656" t="s">
        <v>1160</v>
      </c>
      <c r="D1458" s="657" t="s">
        <v>13789</v>
      </c>
      <c r="E1458" s="657" t="s">
        <v>9406</v>
      </c>
      <c r="F1458" s="656" t="s">
        <v>472</v>
      </c>
      <c r="G1458" s="656" t="s">
        <v>519</v>
      </c>
      <c r="H1458" s="656" t="s">
        <v>472</v>
      </c>
      <c r="I1458" s="656" t="s">
        <v>14976</v>
      </c>
      <c r="J1458" s="656" t="s">
        <v>12368</v>
      </c>
      <c r="K1458" s="656" t="s">
        <v>1058</v>
      </c>
      <c r="L1458" s="656"/>
      <c r="M1458" s="657"/>
      <c r="N1458" s="1482"/>
      <c r="O1458" s="656" t="s">
        <v>498</v>
      </c>
      <c r="P1458" s="656" t="s">
        <v>13052</v>
      </c>
      <c r="Q1458" s="656">
        <v>44216.780914351853</v>
      </c>
    </row>
    <row r="1459" spans="1:17">
      <c r="A1459" s="656" t="s">
        <v>1161</v>
      </c>
      <c r="B1459" s="657" t="s">
        <v>202</v>
      </c>
      <c r="C1459" s="656" t="s">
        <v>1162</v>
      </c>
      <c r="D1459" s="657" t="s">
        <v>13789</v>
      </c>
      <c r="E1459" s="657" t="s">
        <v>9406</v>
      </c>
      <c r="F1459" s="656" t="s">
        <v>472</v>
      </c>
      <c r="G1459" s="656" t="s">
        <v>519</v>
      </c>
      <c r="H1459" s="656" t="s">
        <v>472</v>
      </c>
      <c r="I1459" s="656" t="s">
        <v>14976</v>
      </c>
      <c r="J1459" s="656" t="s">
        <v>12368</v>
      </c>
      <c r="K1459" s="656" t="s">
        <v>1058</v>
      </c>
      <c r="L1459" s="656"/>
      <c r="M1459" s="657"/>
      <c r="N1459" s="1482"/>
      <c r="O1459" s="656" t="s">
        <v>498</v>
      </c>
      <c r="P1459" s="656" t="s">
        <v>13052</v>
      </c>
      <c r="Q1459" s="656">
        <v>44216.780902777777</v>
      </c>
    </row>
    <row r="1460" spans="1:17">
      <c r="A1460" s="656" t="s">
        <v>1163</v>
      </c>
      <c r="B1460" s="657" t="s">
        <v>202</v>
      </c>
      <c r="C1460" s="656" t="s">
        <v>1164</v>
      </c>
      <c r="D1460" s="657" t="s">
        <v>13789</v>
      </c>
      <c r="E1460" s="657" t="s">
        <v>9406</v>
      </c>
      <c r="F1460" s="656" t="s">
        <v>472</v>
      </c>
      <c r="G1460" s="656" t="s">
        <v>519</v>
      </c>
      <c r="H1460" s="656" t="s">
        <v>472</v>
      </c>
      <c r="I1460" s="656" t="s">
        <v>14976</v>
      </c>
      <c r="J1460" s="656" t="s">
        <v>12368</v>
      </c>
      <c r="K1460" s="656" t="s">
        <v>1058</v>
      </c>
      <c r="L1460" s="656"/>
      <c r="M1460" s="657"/>
      <c r="N1460" s="1482"/>
      <c r="O1460" s="656" t="s">
        <v>498</v>
      </c>
      <c r="P1460" s="656" t="s">
        <v>13052</v>
      </c>
      <c r="Q1460" s="656">
        <v>44216.780902777777</v>
      </c>
    </row>
    <row r="1461" spans="1:17">
      <c r="A1461" s="656" t="s">
        <v>1165</v>
      </c>
      <c r="B1461" s="657" t="s">
        <v>202</v>
      </c>
      <c r="C1461" s="656" t="s">
        <v>1166</v>
      </c>
      <c r="D1461" s="657" t="s">
        <v>13789</v>
      </c>
      <c r="E1461" s="657" t="s">
        <v>9406</v>
      </c>
      <c r="F1461" s="656" t="s">
        <v>472</v>
      </c>
      <c r="G1461" s="656" t="s">
        <v>519</v>
      </c>
      <c r="H1461" s="656" t="s">
        <v>472</v>
      </c>
      <c r="I1461" s="656" t="s">
        <v>14976</v>
      </c>
      <c r="J1461" s="656" t="s">
        <v>12368</v>
      </c>
      <c r="K1461" s="656" t="s">
        <v>1058</v>
      </c>
      <c r="L1461" s="656"/>
      <c r="M1461" s="657"/>
      <c r="N1461" s="1482"/>
      <c r="O1461" s="656" t="s">
        <v>498</v>
      </c>
      <c r="P1461" s="656" t="s">
        <v>13052</v>
      </c>
      <c r="Q1461" s="656">
        <v>44216.780902777777</v>
      </c>
    </row>
    <row r="1462" spans="1:17">
      <c r="A1462" s="656" t="s">
        <v>1167</v>
      </c>
      <c r="B1462" s="657" t="s">
        <v>202</v>
      </c>
      <c r="C1462" s="656" t="s">
        <v>1168</v>
      </c>
      <c r="D1462" s="657" t="s">
        <v>13789</v>
      </c>
      <c r="E1462" s="657" t="s">
        <v>9406</v>
      </c>
      <c r="F1462" s="656" t="s">
        <v>472</v>
      </c>
      <c r="G1462" s="656" t="s">
        <v>519</v>
      </c>
      <c r="H1462" s="656" t="s">
        <v>472</v>
      </c>
      <c r="I1462" s="656" t="s">
        <v>14976</v>
      </c>
      <c r="J1462" s="656" t="s">
        <v>12368</v>
      </c>
      <c r="K1462" s="656" t="s">
        <v>1058</v>
      </c>
      <c r="L1462" s="656"/>
      <c r="M1462" s="657"/>
      <c r="N1462" s="1482"/>
      <c r="O1462" s="656" t="s">
        <v>498</v>
      </c>
      <c r="P1462" s="656" t="s">
        <v>13052</v>
      </c>
      <c r="Q1462" s="656">
        <v>44216.780891203707</v>
      </c>
    </row>
    <row r="1463" spans="1:17">
      <c r="A1463" s="656" t="s">
        <v>1169</v>
      </c>
      <c r="B1463" s="657" t="s">
        <v>202</v>
      </c>
      <c r="C1463" s="656" t="s">
        <v>1170</v>
      </c>
      <c r="D1463" s="657" t="s">
        <v>13789</v>
      </c>
      <c r="E1463" s="657" t="s">
        <v>9406</v>
      </c>
      <c r="F1463" s="656" t="s">
        <v>472</v>
      </c>
      <c r="G1463" s="656" t="s">
        <v>519</v>
      </c>
      <c r="H1463" s="656" t="s">
        <v>472</v>
      </c>
      <c r="I1463" s="656" t="s">
        <v>14976</v>
      </c>
      <c r="J1463" s="656" t="s">
        <v>12368</v>
      </c>
      <c r="K1463" s="656" t="s">
        <v>1058</v>
      </c>
      <c r="L1463" s="656"/>
      <c r="M1463" s="657"/>
      <c r="N1463" s="1482"/>
      <c r="O1463" s="656" t="s">
        <v>498</v>
      </c>
      <c r="P1463" s="656" t="s">
        <v>13052</v>
      </c>
      <c r="Q1463" s="656">
        <v>44216.780891203707</v>
      </c>
    </row>
    <row r="1464" spans="1:17">
      <c r="A1464" s="656" t="s">
        <v>1171</v>
      </c>
      <c r="B1464" s="657" t="s">
        <v>202</v>
      </c>
      <c r="C1464" s="656" t="s">
        <v>1172</v>
      </c>
      <c r="D1464" s="657" t="s">
        <v>13789</v>
      </c>
      <c r="E1464" s="657" t="s">
        <v>9406</v>
      </c>
      <c r="F1464" s="656" t="s">
        <v>472</v>
      </c>
      <c r="G1464" s="656" t="s">
        <v>519</v>
      </c>
      <c r="H1464" s="656" t="s">
        <v>472</v>
      </c>
      <c r="I1464" s="656" t="s">
        <v>14976</v>
      </c>
      <c r="J1464" s="656" t="s">
        <v>12368</v>
      </c>
      <c r="K1464" s="656" t="s">
        <v>1058</v>
      </c>
      <c r="L1464" s="656"/>
      <c r="M1464" s="657"/>
      <c r="N1464" s="1482"/>
      <c r="O1464" s="656" t="s">
        <v>498</v>
      </c>
      <c r="P1464" s="656" t="s">
        <v>13052</v>
      </c>
      <c r="Q1464" s="656">
        <v>44216.78087962963</v>
      </c>
    </row>
    <row r="1465" spans="1:17">
      <c r="A1465" s="656" t="s">
        <v>13881</v>
      </c>
      <c r="B1465" s="657" t="s">
        <v>202</v>
      </c>
      <c r="C1465" s="656" t="s">
        <v>964</v>
      </c>
      <c r="D1465" s="657" t="s">
        <v>14978</v>
      </c>
      <c r="E1465" s="657" t="s">
        <v>9406</v>
      </c>
      <c r="F1465" s="656" t="s">
        <v>472</v>
      </c>
      <c r="G1465" s="656" t="s">
        <v>519</v>
      </c>
      <c r="H1465" s="656" t="s">
        <v>472</v>
      </c>
      <c r="I1465" s="656" t="s">
        <v>14976</v>
      </c>
      <c r="J1465" s="656" t="s">
        <v>12368</v>
      </c>
      <c r="K1465" s="656"/>
      <c r="L1465" s="656"/>
      <c r="M1465" s="657"/>
      <c r="N1465" s="1482"/>
      <c r="O1465" s="656" t="s">
        <v>498</v>
      </c>
      <c r="P1465" s="656" t="s">
        <v>13052</v>
      </c>
      <c r="Q1465" s="656">
        <v>44216.78087962963</v>
      </c>
    </row>
    <row r="1466" spans="1:17">
      <c r="A1466" s="656" t="s">
        <v>13880</v>
      </c>
      <c r="B1466" s="657" t="s">
        <v>202</v>
      </c>
      <c r="C1466" s="656" t="s">
        <v>969</v>
      </c>
      <c r="D1466" s="657" t="s">
        <v>14978</v>
      </c>
      <c r="E1466" s="657" t="s">
        <v>9406</v>
      </c>
      <c r="F1466" s="656" t="s">
        <v>472</v>
      </c>
      <c r="G1466" s="656" t="s">
        <v>519</v>
      </c>
      <c r="H1466" s="656" t="s">
        <v>472</v>
      </c>
      <c r="I1466" s="656" t="s">
        <v>14976</v>
      </c>
      <c r="J1466" s="656" t="s">
        <v>12368</v>
      </c>
      <c r="K1466" s="656"/>
      <c r="L1466" s="656"/>
      <c r="M1466" s="657"/>
      <c r="N1466" s="1482"/>
      <c r="O1466" s="656" t="s">
        <v>498</v>
      </c>
      <c r="P1466" s="656" t="s">
        <v>13052</v>
      </c>
      <c r="Q1466" s="656">
        <v>44216.780868055554</v>
      </c>
    </row>
    <row r="1467" spans="1:17">
      <c r="A1467" s="656" t="s">
        <v>13879</v>
      </c>
      <c r="B1467" s="657" t="s">
        <v>202</v>
      </c>
      <c r="C1467" s="656" t="s">
        <v>967</v>
      </c>
      <c r="D1467" s="657" t="s">
        <v>14978</v>
      </c>
      <c r="E1467" s="657" t="s">
        <v>9406</v>
      </c>
      <c r="F1467" s="656" t="s">
        <v>472</v>
      </c>
      <c r="G1467" s="656" t="s">
        <v>519</v>
      </c>
      <c r="H1467" s="656" t="s">
        <v>472</v>
      </c>
      <c r="I1467" s="656" t="s">
        <v>14976</v>
      </c>
      <c r="J1467" s="656" t="s">
        <v>12368</v>
      </c>
      <c r="K1467" s="656"/>
      <c r="L1467" s="656"/>
      <c r="M1467" s="657"/>
      <c r="N1467" s="1482"/>
      <c r="O1467" s="656" t="s">
        <v>498</v>
      </c>
      <c r="P1467" s="656" t="s">
        <v>13052</v>
      </c>
      <c r="Q1467" s="656">
        <v>44216.780856481484</v>
      </c>
    </row>
    <row r="1468" spans="1:17">
      <c r="A1468" s="656" t="s">
        <v>13878</v>
      </c>
      <c r="B1468" s="657" t="s">
        <v>202</v>
      </c>
      <c r="C1468" s="656" t="s">
        <v>940</v>
      </c>
      <c r="D1468" s="657" t="s">
        <v>14978</v>
      </c>
      <c r="E1468" s="657" t="s">
        <v>9406</v>
      </c>
      <c r="F1468" s="656" t="s">
        <v>472</v>
      </c>
      <c r="G1468" s="656" t="s">
        <v>519</v>
      </c>
      <c r="H1468" s="656" t="s">
        <v>472</v>
      </c>
      <c r="I1468" s="656" t="s">
        <v>14976</v>
      </c>
      <c r="J1468" s="656" t="s">
        <v>12368</v>
      </c>
      <c r="K1468" s="656"/>
      <c r="L1468" s="656"/>
      <c r="M1468" s="657"/>
      <c r="N1468" s="1482"/>
      <c r="O1468" s="656" t="s">
        <v>498</v>
      </c>
      <c r="P1468" s="656" t="s">
        <v>13052</v>
      </c>
      <c r="Q1468" s="656">
        <v>44216.780856481484</v>
      </c>
    </row>
    <row r="1469" spans="1:17">
      <c r="A1469" s="656" t="s">
        <v>1173</v>
      </c>
      <c r="B1469" s="657" t="s">
        <v>202</v>
      </c>
      <c r="C1469" s="656" t="s">
        <v>1174</v>
      </c>
      <c r="D1469" s="657" t="s">
        <v>13789</v>
      </c>
      <c r="E1469" s="657" t="s">
        <v>9406</v>
      </c>
      <c r="F1469" s="656" t="s">
        <v>472</v>
      </c>
      <c r="G1469" s="656" t="s">
        <v>519</v>
      </c>
      <c r="H1469" s="656" t="s">
        <v>472</v>
      </c>
      <c r="I1469" s="656" t="s">
        <v>14976</v>
      </c>
      <c r="J1469" s="656" t="s">
        <v>12368</v>
      </c>
      <c r="K1469" s="656" t="s">
        <v>1058</v>
      </c>
      <c r="L1469" s="656"/>
      <c r="M1469" s="657"/>
      <c r="N1469" s="1482"/>
      <c r="O1469" s="656" t="s">
        <v>498</v>
      </c>
      <c r="P1469" s="656" t="s">
        <v>13052</v>
      </c>
      <c r="Q1469" s="656">
        <v>44216.780844907407</v>
      </c>
    </row>
    <row r="1470" spans="1:17">
      <c r="A1470" s="656" t="s">
        <v>1175</v>
      </c>
      <c r="B1470" s="657" t="s">
        <v>202</v>
      </c>
      <c r="C1470" s="656" t="s">
        <v>1176</v>
      </c>
      <c r="D1470" s="657" t="s">
        <v>13789</v>
      </c>
      <c r="E1470" s="657" t="s">
        <v>9406</v>
      </c>
      <c r="F1470" s="656" t="s">
        <v>472</v>
      </c>
      <c r="G1470" s="656" t="s">
        <v>519</v>
      </c>
      <c r="H1470" s="656" t="s">
        <v>472</v>
      </c>
      <c r="I1470" s="656" t="s">
        <v>14976</v>
      </c>
      <c r="J1470" s="656" t="s">
        <v>12368</v>
      </c>
      <c r="K1470" s="656" t="s">
        <v>1058</v>
      </c>
      <c r="L1470" s="656"/>
      <c r="M1470" s="657"/>
      <c r="N1470" s="1482"/>
      <c r="O1470" s="656" t="s">
        <v>498</v>
      </c>
      <c r="P1470" s="656" t="s">
        <v>13052</v>
      </c>
      <c r="Q1470" s="656">
        <v>44216.780844907407</v>
      </c>
    </row>
    <row r="1471" spans="1:17">
      <c r="A1471" s="656" t="s">
        <v>1177</v>
      </c>
      <c r="B1471" s="657" t="s">
        <v>202</v>
      </c>
      <c r="C1471" s="656" t="s">
        <v>1178</v>
      </c>
      <c r="D1471" s="657" t="s">
        <v>13789</v>
      </c>
      <c r="E1471" s="657" t="s">
        <v>9406</v>
      </c>
      <c r="F1471" s="656" t="s">
        <v>472</v>
      </c>
      <c r="G1471" s="656" t="s">
        <v>519</v>
      </c>
      <c r="H1471" s="656" t="s">
        <v>472</v>
      </c>
      <c r="I1471" s="656" t="s">
        <v>14976</v>
      </c>
      <c r="J1471" s="656" t="s">
        <v>12368</v>
      </c>
      <c r="K1471" s="656" t="s">
        <v>1058</v>
      </c>
      <c r="L1471" s="656"/>
      <c r="M1471" s="657"/>
      <c r="N1471" s="1482"/>
      <c r="O1471" s="656" t="s">
        <v>498</v>
      </c>
      <c r="P1471" s="656" t="s">
        <v>13052</v>
      </c>
      <c r="Q1471" s="656">
        <v>44216.780833333331</v>
      </c>
    </row>
    <row r="1472" spans="1:17">
      <c r="A1472" s="656" t="s">
        <v>13877</v>
      </c>
      <c r="B1472" s="657" t="s">
        <v>202</v>
      </c>
      <c r="C1472" s="656" t="s">
        <v>982</v>
      </c>
      <c r="D1472" s="657" t="s">
        <v>14978</v>
      </c>
      <c r="E1472" s="657" t="s">
        <v>9406</v>
      </c>
      <c r="F1472" s="656" t="s">
        <v>472</v>
      </c>
      <c r="G1472" s="656" t="s">
        <v>519</v>
      </c>
      <c r="H1472" s="656" t="s">
        <v>472</v>
      </c>
      <c r="I1472" s="656" t="s">
        <v>14976</v>
      </c>
      <c r="J1472" s="656" t="s">
        <v>12368</v>
      </c>
      <c r="K1472" s="656"/>
      <c r="L1472" s="656"/>
      <c r="M1472" s="657"/>
      <c r="N1472" s="1482"/>
      <c r="O1472" s="656" t="s">
        <v>498</v>
      </c>
      <c r="P1472" s="656" t="s">
        <v>13052</v>
      </c>
      <c r="Q1472" s="656">
        <v>44216.780833333331</v>
      </c>
    </row>
    <row r="1473" spans="1:17">
      <c r="A1473" s="656" t="s">
        <v>13876</v>
      </c>
      <c r="B1473" s="657" t="s">
        <v>202</v>
      </c>
      <c r="C1473" s="656" t="s">
        <v>990</v>
      </c>
      <c r="D1473" s="657" t="s">
        <v>14978</v>
      </c>
      <c r="E1473" s="657" t="s">
        <v>9406</v>
      </c>
      <c r="F1473" s="656" t="s">
        <v>472</v>
      </c>
      <c r="G1473" s="656" t="s">
        <v>519</v>
      </c>
      <c r="H1473" s="656" t="s">
        <v>472</v>
      </c>
      <c r="I1473" s="656" t="s">
        <v>14976</v>
      </c>
      <c r="J1473" s="656" t="s">
        <v>12368</v>
      </c>
      <c r="K1473" s="656"/>
      <c r="L1473" s="656"/>
      <c r="M1473" s="657"/>
      <c r="N1473" s="1482"/>
      <c r="O1473" s="656" t="s">
        <v>498</v>
      </c>
      <c r="P1473" s="656" t="s">
        <v>13052</v>
      </c>
      <c r="Q1473" s="656">
        <v>44216.780821759261</v>
      </c>
    </row>
    <row r="1474" spans="1:17">
      <c r="A1474" s="656" t="s">
        <v>13875</v>
      </c>
      <c r="B1474" s="657" t="s">
        <v>202</v>
      </c>
      <c r="C1474" s="656" t="s">
        <v>986</v>
      </c>
      <c r="D1474" s="657" t="s">
        <v>14978</v>
      </c>
      <c r="E1474" s="657" t="s">
        <v>9406</v>
      </c>
      <c r="F1474" s="656" t="s">
        <v>472</v>
      </c>
      <c r="G1474" s="656" t="s">
        <v>519</v>
      </c>
      <c r="H1474" s="656" t="s">
        <v>472</v>
      </c>
      <c r="I1474" s="656" t="s">
        <v>14976</v>
      </c>
      <c r="J1474" s="656" t="s">
        <v>12368</v>
      </c>
      <c r="K1474" s="656"/>
      <c r="L1474" s="656"/>
      <c r="M1474" s="657"/>
      <c r="N1474" s="1482"/>
      <c r="O1474" s="656" t="s">
        <v>498</v>
      </c>
      <c r="P1474" s="656" t="s">
        <v>13052</v>
      </c>
      <c r="Q1474" s="656">
        <v>44216.780821759261</v>
      </c>
    </row>
    <row r="1475" spans="1:17">
      <c r="A1475" s="656" t="s">
        <v>1179</v>
      </c>
      <c r="B1475" s="657" t="s">
        <v>202</v>
      </c>
      <c r="C1475" s="656" t="s">
        <v>1180</v>
      </c>
      <c r="D1475" s="657" t="s">
        <v>13789</v>
      </c>
      <c r="E1475" s="657" t="s">
        <v>9406</v>
      </c>
      <c r="F1475" s="656" t="s">
        <v>472</v>
      </c>
      <c r="G1475" s="656" t="s">
        <v>519</v>
      </c>
      <c r="H1475" s="656" t="s">
        <v>472</v>
      </c>
      <c r="I1475" s="656" t="s">
        <v>14976</v>
      </c>
      <c r="J1475" s="656" t="s">
        <v>12368</v>
      </c>
      <c r="K1475" s="656" t="s">
        <v>1058</v>
      </c>
      <c r="L1475" s="656"/>
      <c r="M1475" s="657"/>
      <c r="N1475" s="1482"/>
      <c r="O1475" s="656" t="s">
        <v>498</v>
      </c>
      <c r="P1475" s="656" t="s">
        <v>13052</v>
      </c>
      <c r="Q1475" s="656">
        <v>44216.780810185184</v>
      </c>
    </row>
    <row r="1476" spans="1:17">
      <c r="A1476" s="656" t="s">
        <v>1181</v>
      </c>
      <c r="B1476" s="657" t="s">
        <v>202</v>
      </c>
      <c r="C1476" s="656" t="s">
        <v>1182</v>
      </c>
      <c r="D1476" s="657" t="s">
        <v>13789</v>
      </c>
      <c r="E1476" s="657" t="s">
        <v>9406</v>
      </c>
      <c r="F1476" s="656" t="s">
        <v>472</v>
      </c>
      <c r="G1476" s="656" t="s">
        <v>519</v>
      </c>
      <c r="H1476" s="656" t="s">
        <v>472</v>
      </c>
      <c r="I1476" s="656" t="s">
        <v>14976</v>
      </c>
      <c r="J1476" s="656" t="s">
        <v>12368</v>
      </c>
      <c r="K1476" s="656" t="s">
        <v>1058</v>
      </c>
      <c r="L1476" s="656"/>
      <c r="M1476" s="657"/>
      <c r="N1476" s="1482"/>
      <c r="O1476" s="656" t="s">
        <v>498</v>
      </c>
      <c r="P1476" s="656" t="s">
        <v>13052</v>
      </c>
      <c r="Q1476" s="656">
        <v>44216.780821759261</v>
      </c>
    </row>
    <row r="1477" spans="1:17">
      <c r="A1477" s="656" t="s">
        <v>1183</v>
      </c>
      <c r="B1477" s="657" t="s">
        <v>202</v>
      </c>
      <c r="C1477" s="656" t="s">
        <v>1184</v>
      </c>
      <c r="D1477" s="657" t="s">
        <v>13789</v>
      </c>
      <c r="E1477" s="657" t="s">
        <v>9406</v>
      </c>
      <c r="F1477" s="656" t="s">
        <v>472</v>
      </c>
      <c r="G1477" s="656" t="s">
        <v>519</v>
      </c>
      <c r="H1477" s="656" t="s">
        <v>472</v>
      </c>
      <c r="I1477" s="656" t="s">
        <v>14976</v>
      </c>
      <c r="J1477" s="656" t="s">
        <v>12368</v>
      </c>
      <c r="K1477" s="656" t="s">
        <v>1058</v>
      </c>
      <c r="L1477" s="656"/>
      <c r="M1477" s="657"/>
      <c r="N1477" s="1482"/>
      <c r="O1477" s="656" t="s">
        <v>498</v>
      </c>
      <c r="P1477" s="656" t="s">
        <v>13052</v>
      </c>
      <c r="Q1477" s="656">
        <v>44216.780798611115</v>
      </c>
    </row>
    <row r="1478" spans="1:17">
      <c r="A1478" s="656" t="s">
        <v>1185</v>
      </c>
      <c r="B1478" s="657" t="s">
        <v>202</v>
      </c>
      <c r="C1478" s="656" t="s">
        <v>1186</v>
      </c>
      <c r="D1478" s="657" t="s">
        <v>13789</v>
      </c>
      <c r="E1478" s="657" t="s">
        <v>9406</v>
      </c>
      <c r="F1478" s="656" t="s">
        <v>472</v>
      </c>
      <c r="G1478" s="656" t="s">
        <v>519</v>
      </c>
      <c r="H1478" s="656" t="s">
        <v>472</v>
      </c>
      <c r="I1478" s="656" t="s">
        <v>14976</v>
      </c>
      <c r="J1478" s="656" t="s">
        <v>12368</v>
      </c>
      <c r="K1478" s="656" t="s">
        <v>1058</v>
      </c>
      <c r="L1478" s="656"/>
      <c r="M1478" s="657"/>
      <c r="N1478" s="1482"/>
      <c r="O1478" s="656" t="s">
        <v>498</v>
      </c>
      <c r="P1478" s="656" t="s">
        <v>13052</v>
      </c>
      <c r="Q1478" s="656">
        <v>44216.780798611115</v>
      </c>
    </row>
    <row r="1479" spans="1:17">
      <c r="A1479" s="656" t="s">
        <v>1187</v>
      </c>
      <c r="B1479" s="657" t="s">
        <v>202</v>
      </c>
      <c r="C1479" s="656" t="s">
        <v>13874</v>
      </c>
      <c r="D1479" s="657" t="s">
        <v>13789</v>
      </c>
      <c r="E1479" s="657" t="s">
        <v>9406</v>
      </c>
      <c r="F1479" s="656" t="s">
        <v>3077</v>
      </c>
      <c r="G1479" s="656" t="s">
        <v>512</v>
      </c>
      <c r="H1479" s="656" t="s">
        <v>465</v>
      </c>
      <c r="I1479" s="656" t="s">
        <v>14976</v>
      </c>
      <c r="J1479" s="656" t="s">
        <v>446</v>
      </c>
      <c r="K1479" s="656" t="s">
        <v>3077</v>
      </c>
      <c r="L1479" s="656"/>
      <c r="M1479" s="657"/>
      <c r="N1479" s="1482"/>
      <c r="O1479" s="656" t="s">
        <v>498</v>
      </c>
      <c r="P1479" s="656" t="s">
        <v>13052</v>
      </c>
      <c r="Q1479" s="656">
        <v>44216.780787037038</v>
      </c>
    </row>
    <row r="1480" spans="1:17">
      <c r="A1480" s="656" t="s">
        <v>1189</v>
      </c>
      <c r="B1480" s="657" t="s">
        <v>202</v>
      </c>
      <c r="C1480" s="656" t="s">
        <v>1190</v>
      </c>
      <c r="D1480" s="657" t="s">
        <v>13789</v>
      </c>
      <c r="E1480" s="657" t="s">
        <v>9406</v>
      </c>
      <c r="F1480" s="656" t="s">
        <v>500</v>
      </c>
      <c r="G1480" s="656" t="s">
        <v>1113</v>
      </c>
      <c r="H1480" s="656" t="s">
        <v>500</v>
      </c>
      <c r="I1480" s="656" t="s">
        <v>14976</v>
      </c>
      <c r="J1480" s="656"/>
      <c r="K1480" s="656"/>
      <c r="L1480" s="656"/>
      <c r="M1480" s="657"/>
      <c r="N1480" s="1482"/>
      <c r="O1480" s="656" t="s">
        <v>498</v>
      </c>
      <c r="P1480" s="656" t="s">
        <v>13052</v>
      </c>
      <c r="Q1480" s="656">
        <v>44216.780775462961</v>
      </c>
    </row>
    <row r="1481" spans="1:17">
      <c r="A1481" s="656" t="s">
        <v>1191</v>
      </c>
      <c r="B1481" s="657" t="s">
        <v>202</v>
      </c>
      <c r="C1481" s="656" t="s">
        <v>1192</v>
      </c>
      <c r="D1481" s="657" t="s">
        <v>14977</v>
      </c>
      <c r="E1481" s="657" t="s">
        <v>7437</v>
      </c>
      <c r="F1481" s="656" t="s">
        <v>500</v>
      </c>
      <c r="G1481" s="656" t="s">
        <v>1113</v>
      </c>
      <c r="H1481" s="656" t="s">
        <v>500</v>
      </c>
      <c r="I1481" s="656" t="s">
        <v>14976</v>
      </c>
      <c r="J1481" s="656"/>
      <c r="K1481" s="656"/>
      <c r="L1481" s="656" t="s">
        <v>1191</v>
      </c>
      <c r="M1481" s="657"/>
      <c r="N1481" s="1482"/>
      <c r="O1481" s="656" t="s">
        <v>498</v>
      </c>
      <c r="P1481" s="656" t="s">
        <v>13052</v>
      </c>
      <c r="Q1481" s="656">
        <v>44216.780775462961</v>
      </c>
    </row>
    <row r="1482" spans="1:17">
      <c r="A1482" s="656" t="s">
        <v>1193</v>
      </c>
      <c r="B1482" s="657" t="s">
        <v>202</v>
      </c>
      <c r="C1482" s="656" t="s">
        <v>1194</v>
      </c>
      <c r="D1482" s="657" t="s">
        <v>13789</v>
      </c>
      <c r="E1482" s="657" t="s">
        <v>9406</v>
      </c>
      <c r="F1482" s="656" t="s">
        <v>537</v>
      </c>
      <c r="G1482" s="656" t="s">
        <v>1195</v>
      </c>
      <c r="H1482" s="656" t="s">
        <v>537</v>
      </c>
      <c r="I1482" s="656" t="s">
        <v>14976</v>
      </c>
      <c r="J1482" s="656" t="s">
        <v>473</v>
      </c>
      <c r="K1482" s="656" t="s">
        <v>1058</v>
      </c>
      <c r="L1482" s="656"/>
      <c r="M1482" s="657"/>
      <c r="N1482" s="1482"/>
      <c r="O1482" s="656" t="s">
        <v>498</v>
      </c>
      <c r="P1482" s="656" t="s">
        <v>13052</v>
      </c>
      <c r="Q1482" s="656">
        <v>44216.780775462961</v>
      </c>
    </row>
    <row r="1483" spans="1:17">
      <c r="A1483" s="656" t="s">
        <v>1196</v>
      </c>
      <c r="B1483" s="657" t="s">
        <v>202</v>
      </c>
      <c r="C1483" s="656" t="s">
        <v>1197</v>
      </c>
      <c r="D1483" s="657" t="s">
        <v>13789</v>
      </c>
      <c r="E1483" s="657" t="s">
        <v>9406</v>
      </c>
      <c r="F1483" s="656" t="s">
        <v>537</v>
      </c>
      <c r="G1483" s="656" t="s">
        <v>512</v>
      </c>
      <c r="H1483" s="656" t="s">
        <v>537</v>
      </c>
      <c r="I1483" s="656" t="s">
        <v>14976</v>
      </c>
      <c r="J1483" s="656" t="s">
        <v>473</v>
      </c>
      <c r="K1483" s="656" t="s">
        <v>4161</v>
      </c>
      <c r="L1483" s="656"/>
      <c r="M1483" s="657"/>
      <c r="N1483" s="1482"/>
      <c r="O1483" s="656" t="s">
        <v>498</v>
      </c>
      <c r="P1483" s="656" t="s">
        <v>13052</v>
      </c>
      <c r="Q1483" s="656">
        <v>44216.780763888892</v>
      </c>
    </row>
    <row r="1484" spans="1:17">
      <c r="A1484" s="656" t="s">
        <v>1198</v>
      </c>
      <c r="B1484" s="657" t="s">
        <v>202</v>
      </c>
      <c r="C1484" s="656" t="s">
        <v>1199</v>
      </c>
      <c r="D1484" s="657" t="s">
        <v>13789</v>
      </c>
      <c r="E1484" s="657" t="s">
        <v>9406</v>
      </c>
      <c r="F1484" s="656" t="s">
        <v>537</v>
      </c>
      <c r="G1484" s="656" t="s">
        <v>512</v>
      </c>
      <c r="H1484" s="656" t="s">
        <v>537</v>
      </c>
      <c r="I1484" s="656" t="s">
        <v>14976</v>
      </c>
      <c r="J1484" s="656" t="s">
        <v>473</v>
      </c>
      <c r="K1484" s="656" t="s">
        <v>4161</v>
      </c>
      <c r="L1484" s="656"/>
      <c r="M1484" s="657"/>
      <c r="N1484" s="1482"/>
      <c r="O1484" s="656" t="s">
        <v>498</v>
      </c>
      <c r="P1484" s="656" t="s">
        <v>13052</v>
      </c>
      <c r="Q1484" s="656">
        <v>44216.780763888892</v>
      </c>
    </row>
    <row r="1485" spans="1:17">
      <c r="A1485" s="656" t="s">
        <v>1200</v>
      </c>
      <c r="B1485" s="657" t="s">
        <v>202</v>
      </c>
      <c r="C1485" s="656" t="s">
        <v>1201</v>
      </c>
      <c r="D1485" s="657" t="s">
        <v>13789</v>
      </c>
      <c r="E1485" s="657" t="s">
        <v>9406</v>
      </c>
      <c r="F1485" s="656" t="s">
        <v>500</v>
      </c>
      <c r="G1485" s="656" t="s">
        <v>1113</v>
      </c>
      <c r="H1485" s="656" t="s">
        <v>500</v>
      </c>
      <c r="I1485" s="656" t="s">
        <v>14976</v>
      </c>
      <c r="J1485" s="656"/>
      <c r="K1485" s="656"/>
      <c r="L1485" s="656"/>
      <c r="M1485" s="657"/>
      <c r="N1485" s="1482"/>
      <c r="O1485" s="656" t="s">
        <v>498</v>
      </c>
      <c r="P1485" s="656" t="s">
        <v>13052</v>
      </c>
      <c r="Q1485" s="656">
        <v>44216.780752314815</v>
      </c>
    </row>
    <row r="1486" spans="1:17">
      <c r="A1486" s="656" t="s">
        <v>1202</v>
      </c>
      <c r="B1486" s="657" t="s">
        <v>202</v>
      </c>
      <c r="C1486" s="656" t="s">
        <v>13873</v>
      </c>
      <c r="D1486" s="657" t="s">
        <v>13789</v>
      </c>
      <c r="E1486" s="657" t="s">
        <v>9406</v>
      </c>
      <c r="F1486" s="656" t="s">
        <v>472</v>
      </c>
      <c r="G1486" s="656" t="s">
        <v>519</v>
      </c>
      <c r="H1486" s="656" t="s">
        <v>472</v>
      </c>
      <c r="I1486" s="656" t="s">
        <v>14976</v>
      </c>
      <c r="J1486" s="656" t="s">
        <v>12368</v>
      </c>
      <c r="K1486" s="656" t="s">
        <v>1058</v>
      </c>
      <c r="L1486" s="656"/>
      <c r="M1486" s="657"/>
      <c r="N1486" s="1482"/>
      <c r="O1486" s="656" t="s">
        <v>498</v>
      </c>
      <c r="P1486" s="656" t="s">
        <v>13052</v>
      </c>
      <c r="Q1486" s="656">
        <v>44216.780752314815</v>
      </c>
    </row>
    <row r="1487" spans="1:17">
      <c r="A1487" s="656" t="s">
        <v>1204</v>
      </c>
      <c r="B1487" s="657" t="s">
        <v>531</v>
      </c>
      <c r="C1487" s="656" t="s">
        <v>1205</v>
      </c>
      <c r="D1487" s="657" t="s">
        <v>13789</v>
      </c>
      <c r="E1487" s="657" t="s">
        <v>9510</v>
      </c>
      <c r="F1487" s="656" t="s">
        <v>1206</v>
      </c>
      <c r="G1487" s="656"/>
      <c r="H1487" s="656" t="s">
        <v>1206</v>
      </c>
      <c r="I1487" s="656" t="s">
        <v>14976</v>
      </c>
      <c r="J1487" s="656" t="s">
        <v>532</v>
      </c>
      <c r="K1487" s="656"/>
      <c r="L1487" s="656"/>
      <c r="M1487" s="657"/>
      <c r="N1487" s="1482"/>
      <c r="O1487" s="656" t="s">
        <v>498</v>
      </c>
      <c r="P1487" s="656" t="s">
        <v>13052</v>
      </c>
      <c r="Q1487" s="656">
        <v>44216.780752314815</v>
      </c>
    </row>
    <row r="1488" spans="1:17">
      <c r="A1488" s="656" t="s">
        <v>1208</v>
      </c>
      <c r="B1488" s="657" t="s">
        <v>202</v>
      </c>
      <c r="C1488" s="656" t="s">
        <v>1209</v>
      </c>
      <c r="D1488" s="657" t="s">
        <v>14978</v>
      </c>
      <c r="E1488" s="657" t="s">
        <v>9406</v>
      </c>
      <c r="F1488" s="656" t="s">
        <v>462</v>
      </c>
      <c r="G1488" s="656" t="s">
        <v>512</v>
      </c>
      <c r="H1488" s="656" t="s">
        <v>462</v>
      </c>
      <c r="I1488" s="656" t="s">
        <v>14976</v>
      </c>
      <c r="J1488" s="656" t="s">
        <v>463</v>
      </c>
      <c r="K1488" s="656" t="s">
        <v>2849</v>
      </c>
      <c r="L1488" s="656" t="s">
        <v>1231</v>
      </c>
      <c r="M1488" s="657"/>
      <c r="N1488" s="1482"/>
      <c r="O1488" s="656" t="s">
        <v>498</v>
      </c>
      <c r="P1488" s="656" t="s">
        <v>13052</v>
      </c>
      <c r="Q1488" s="656">
        <v>44216.780740740738</v>
      </c>
    </row>
    <row r="1489" spans="1:17">
      <c r="A1489" s="656" t="s">
        <v>1210</v>
      </c>
      <c r="B1489" s="657" t="s">
        <v>504</v>
      </c>
      <c r="C1489" s="656" t="s">
        <v>1211</v>
      </c>
      <c r="D1489" s="657" t="s">
        <v>13789</v>
      </c>
      <c r="E1489" s="657" t="s">
        <v>9458</v>
      </c>
      <c r="F1489" s="656" t="s">
        <v>505</v>
      </c>
      <c r="G1489" s="656" t="s">
        <v>522</v>
      </c>
      <c r="H1489" s="656" t="s">
        <v>505</v>
      </c>
      <c r="I1489" s="656" t="s">
        <v>14976</v>
      </c>
      <c r="J1489" s="656"/>
      <c r="K1489" s="656"/>
      <c r="L1489" s="656"/>
      <c r="M1489" s="657"/>
      <c r="N1489" s="1482"/>
      <c r="O1489" s="656" t="s">
        <v>498</v>
      </c>
      <c r="P1489" s="656" t="s">
        <v>13052</v>
      </c>
      <c r="Q1489" s="656">
        <v>44216.780740740738</v>
      </c>
    </row>
    <row r="1490" spans="1:17">
      <c r="A1490" s="656" t="s">
        <v>1212</v>
      </c>
      <c r="B1490" s="657" t="s">
        <v>504</v>
      </c>
      <c r="C1490" s="656" t="s">
        <v>1213</v>
      </c>
      <c r="D1490" s="657" t="s">
        <v>14978</v>
      </c>
      <c r="E1490" s="657" t="s">
        <v>9458</v>
      </c>
      <c r="F1490" s="656" t="s">
        <v>540</v>
      </c>
      <c r="G1490" s="656" t="s">
        <v>541</v>
      </c>
      <c r="H1490" s="656" t="s">
        <v>540</v>
      </c>
      <c r="I1490" s="656" t="s">
        <v>14976</v>
      </c>
      <c r="J1490" s="656"/>
      <c r="K1490" s="656"/>
      <c r="L1490" s="656" t="s">
        <v>15323</v>
      </c>
      <c r="M1490" s="657"/>
      <c r="N1490" s="1482"/>
      <c r="O1490" s="656" t="s">
        <v>498</v>
      </c>
      <c r="P1490" s="656" t="s">
        <v>13052</v>
      </c>
      <c r="Q1490" s="656">
        <v>44216.780729166669</v>
      </c>
    </row>
    <row r="1491" spans="1:17">
      <c r="A1491" s="656" t="s">
        <v>1214</v>
      </c>
      <c r="B1491" s="657" t="s">
        <v>504</v>
      </c>
      <c r="C1491" s="656" t="s">
        <v>1215</v>
      </c>
      <c r="D1491" s="657" t="s">
        <v>14978</v>
      </c>
      <c r="E1491" s="657" t="s">
        <v>9458</v>
      </c>
      <c r="F1491" s="656" t="s">
        <v>540</v>
      </c>
      <c r="G1491" s="656" t="s">
        <v>541</v>
      </c>
      <c r="H1491" s="656" t="s">
        <v>540</v>
      </c>
      <c r="I1491" s="656" t="s">
        <v>14976</v>
      </c>
      <c r="J1491" s="656"/>
      <c r="K1491" s="656"/>
      <c r="L1491" s="656" t="s">
        <v>15323</v>
      </c>
      <c r="M1491" s="657"/>
      <c r="N1491" s="1482"/>
      <c r="O1491" s="656" t="s">
        <v>498</v>
      </c>
      <c r="P1491" s="656" t="s">
        <v>13052</v>
      </c>
      <c r="Q1491" s="656">
        <v>44216.780717592592</v>
      </c>
    </row>
    <row r="1492" spans="1:17">
      <c r="A1492" s="656" t="s">
        <v>13872</v>
      </c>
      <c r="B1492" s="657" t="s">
        <v>202</v>
      </c>
      <c r="C1492" s="656" t="s">
        <v>15322</v>
      </c>
      <c r="D1492" s="657" t="s">
        <v>14978</v>
      </c>
      <c r="E1492" s="657" t="s">
        <v>9406</v>
      </c>
      <c r="F1492" s="656" t="s">
        <v>458</v>
      </c>
      <c r="G1492" s="656" t="s">
        <v>458</v>
      </c>
      <c r="H1492" s="656" t="s">
        <v>458</v>
      </c>
      <c r="I1492" s="656" t="s">
        <v>14976</v>
      </c>
      <c r="J1492" s="656" t="s">
        <v>8814</v>
      </c>
      <c r="K1492" s="656" t="s">
        <v>4057</v>
      </c>
      <c r="L1492" s="656"/>
      <c r="M1492" s="657"/>
      <c r="N1492" s="1482"/>
      <c r="O1492" s="656" t="s">
        <v>498</v>
      </c>
      <c r="P1492" s="656" t="s">
        <v>13052</v>
      </c>
      <c r="Q1492" s="656">
        <v>44216.780717592592</v>
      </c>
    </row>
    <row r="1493" spans="1:17">
      <c r="A1493" s="656" t="s">
        <v>1217</v>
      </c>
      <c r="B1493" s="657" t="s">
        <v>202</v>
      </c>
      <c r="C1493" s="656" t="s">
        <v>1218</v>
      </c>
      <c r="D1493" s="657" t="s">
        <v>13789</v>
      </c>
      <c r="E1493" s="657" t="s">
        <v>9406</v>
      </c>
      <c r="F1493" s="656" t="s">
        <v>462</v>
      </c>
      <c r="G1493" s="656" t="s">
        <v>512</v>
      </c>
      <c r="H1493" s="656" t="s">
        <v>462</v>
      </c>
      <c r="I1493" s="656" t="s">
        <v>15280</v>
      </c>
      <c r="J1493" s="656" t="s">
        <v>463</v>
      </c>
      <c r="K1493" s="656" t="s">
        <v>1924</v>
      </c>
      <c r="L1493" s="656"/>
      <c r="M1493" s="657"/>
      <c r="N1493" s="1482"/>
      <c r="O1493" s="656" t="s">
        <v>498</v>
      </c>
      <c r="P1493" s="656" t="s">
        <v>13052</v>
      </c>
      <c r="Q1493" s="656">
        <v>44216.780717592592</v>
      </c>
    </row>
    <row r="1494" spans="1:17">
      <c r="A1494" s="656" t="s">
        <v>13871</v>
      </c>
      <c r="B1494" s="657" t="s">
        <v>202</v>
      </c>
      <c r="C1494" s="656" t="s">
        <v>1219</v>
      </c>
      <c r="D1494" s="657" t="s">
        <v>13789</v>
      </c>
      <c r="E1494" s="657" t="s">
        <v>9510</v>
      </c>
      <c r="F1494" s="656" t="s">
        <v>500</v>
      </c>
      <c r="G1494" s="656" t="s">
        <v>500</v>
      </c>
      <c r="H1494" s="656" t="s">
        <v>500</v>
      </c>
      <c r="I1494" s="656" t="s">
        <v>15280</v>
      </c>
      <c r="J1494" s="656"/>
      <c r="K1494" s="656"/>
      <c r="L1494" s="656"/>
      <c r="M1494" s="657"/>
      <c r="N1494" s="1482"/>
      <c r="O1494" s="656" t="s">
        <v>498</v>
      </c>
      <c r="P1494" s="656" t="s">
        <v>13052</v>
      </c>
      <c r="Q1494" s="656">
        <v>44216.780706018515</v>
      </c>
    </row>
    <row r="1495" spans="1:17">
      <c r="A1495" s="656" t="s">
        <v>1220</v>
      </c>
      <c r="B1495" s="657" t="s">
        <v>202</v>
      </c>
      <c r="C1495" s="656" t="s">
        <v>13870</v>
      </c>
      <c r="D1495" s="657" t="s">
        <v>13789</v>
      </c>
      <c r="E1495" s="657" t="s">
        <v>9406</v>
      </c>
      <c r="F1495" s="656" t="s">
        <v>4052</v>
      </c>
      <c r="G1495" s="656" t="s">
        <v>702</v>
      </c>
      <c r="H1495" s="656" t="s">
        <v>455</v>
      </c>
      <c r="I1495" s="656" t="s">
        <v>14976</v>
      </c>
      <c r="J1495" s="656" t="s">
        <v>451</v>
      </c>
      <c r="K1495" s="656"/>
      <c r="L1495" s="656"/>
      <c r="M1495" s="657"/>
      <c r="N1495" s="1482"/>
      <c r="O1495" s="656" t="s">
        <v>498</v>
      </c>
      <c r="P1495" s="656" t="s">
        <v>13052</v>
      </c>
      <c r="Q1495" s="656">
        <v>44216.780706018515</v>
      </c>
    </row>
    <row r="1496" spans="1:17">
      <c r="A1496" s="656" t="s">
        <v>1221</v>
      </c>
      <c r="B1496" s="657" t="s">
        <v>202</v>
      </c>
      <c r="C1496" s="656" t="s">
        <v>1222</v>
      </c>
      <c r="D1496" s="657" t="s">
        <v>13789</v>
      </c>
      <c r="E1496" s="657" t="s">
        <v>9406</v>
      </c>
      <c r="F1496" s="656" t="s">
        <v>4052</v>
      </c>
      <c r="G1496" s="656" t="s">
        <v>512</v>
      </c>
      <c r="H1496" s="656" t="s">
        <v>455</v>
      </c>
      <c r="I1496" s="656" t="s">
        <v>14976</v>
      </c>
      <c r="J1496" s="656" t="s">
        <v>451</v>
      </c>
      <c r="K1496" s="656" t="s">
        <v>4052</v>
      </c>
      <c r="L1496" s="656"/>
      <c r="M1496" s="657"/>
      <c r="N1496" s="1482"/>
      <c r="O1496" s="656" t="s">
        <v>498</v>
      </c>
      <c r="P1496" s="656" t="s">
        <v>13052</v>
      </c>
      <c r="Q1496" s="656">
        <v>44216.780694444446</v>
      </c>
    </row>
    <row r="1497" spans="1:17">
      <c r="A1497" s="656" t="s">
        <v>1223</v>
      </c>
      <c r="B1497" s="657" t="s">
        <v>202</v>
      </c>
      <c r="C1497" s="656" t="s">
        <v>1224</v>
      </c>
      <c r="D1497" s="657" t="s">
        <v>13789</v>
      </c>
      <c r="E1497" s="657" t="s">
        <v>9406</v>
      </c>
      <c r="F1497" s="656" t="s">
        <v>537</v>
      </c>
      <c r="G1497" s="656" t="s">
        <v>512</v>
      </c>
      <c r="H1497" s="656" t="s">
        <v>537</v>
      </c>
      <c r="I1497" s="656" t="s">
        <v>14976</v>
      </c>
      <c r="J1497" s="656" t="s">
        <v>473</v>
      </c>
      <c r="K1497" s="656" t="s">
        <v>4161</v>
      </c>
      <c r="L1497" s="656"/>
      <c r="M1497" s="657"/>
      <c r="N1497" s="1482"/>
      <c r="O1497" s="656" t="s">
        <v>498</v>
      </c>
      <c r="P1497" s="656" t="s">
        <v>13052</v>
      </c>
      <c r="Q1497" s="656">
        <v>44216.780694444446</v>
      </c>
    </row>
    <row r="1498" spans="1:17">
      <c r="A1498" s="656" t="s">
        <v>1225</v>
      </c>
      <c r="B1498" s="657" t="s">
        <v>504</v>
      </c>
      <c r="C1498" s="656" t="s">
        <v>1226</v>
      </c>
      <c r="D1498" s="657" t="s">
        <v>13789</v>
      </c>
      <c r="E1498" s="657" t="s">
        <v>9406</v>
      </c>
      <c r="F1498" s="656" t="s">
        <v>540</v>
      </c>
      <c r="G1498" s="656" t="s">
        <v>569</v>
      </c>
      <c r="H1498" s="656" t="s">
        <v>540</v>
      </c>
      <c r="I1498" s="656" t="s">
        <v>14976</v>
      </c>
      <c r="J1498" s="656"/>
      <c r="K1498" s="656"/>
      <c r="L1498" s="656"/>
      <c r="M1498" s="657"/>
      <c r="N1498" s="1482"/>
      <c r="O1498" s="656" t="s">
        <v>498</v>
      </c>
      <c r="P1498" s="656" t="s">
        <v>13052</v>
      </c>
      <c r="Q1498" s="656">
        <v>44216.780682870369</v>
      </c>
    </row>
    <row r="1499" spans="1:17">
      <c r="A1499" s="656" t="s">
        <v>1227</v>
      </c>
      <c r="B1499" s="657" t="s">
        <v>504</v>
      </c>
      <c r="C1499" s="656" t="s">
        <v>1228</v>
      </c>
      <c r="D1499" s="657" t="s">
        <v>14978</v>
      </c>
      <c r="E1499" s="657" t="s">
        <v>9458</v>
      </c>
      <c r="F1499" s="656" t="s">
        <v>540</v>
      </c>
      <c r="G1499" s="656" t="s">
        <v>625</v>
      </c>
      <c r="H1499" s="656" t="s">
        <v>540</v>
      </c>
      <c r="I1499" s="656" t="s">
        <v>14976</v>
      </c>
      <c r="J1499" s="656"/>
      <c r="K1499" s="656"/>
      <c r="L1499" s="656" t="s">
        <v>15321</v>
      </c>
      <c r="M1499" s="657"/>
      <c r="N1499" s="1482"/>
      <c r="O1499" s="656" t="s">
        <v>498</v>
      </c>
      <c r="P1499" s="656" t="s">
        <v>13052</v>
      </c>
      <c r="Q1499" s="656">
        <v>44216.780694444446</v>
      </c>
    </row>
    <row r="1500" spans="1:17">
      <c r="A1500" s="656" t="s">
        <v>9649</v>
      </c>
      <c r="B1500" s="657" t="s">
        <v>202</v>
      </c>
      <c r="C1500" s="656" t="s">
        <v>9648</v>
      </c>
      <c r="D1500" s="657" t="s">
        <v>14978</v>
      </c>
      <c r="E1500" s="657" t="s">
        <v>9406</v>
      </c>
      <c r="F1500" s="656" t="s">
        <v>462</v>
      </c>
      <c r="G1500" s="656" t="s">
        <v>552</v>
      </c>
      <c r="H1500" s="656" t="s">
        <v>462</v>
      </c>
      <c r="I1500" s="656" t="s">
        <v>14976</v>
      </c>
      <c r="J1500" s="656" t="s">
        <v>463</v>
      </c>
      <c r="K1500" s="656" t="s">
        <v>1924</v>
      </c>
      <c r="L1500" s="656" t="s">
        <v>1231</v>
      </c>
      <c r="M1500" s="657"/>
      <c r="N1500" s="1482"/>
      <c r="O1500" s="656" t="s">
        <v>498</v>
      </c>
      <c r="P1500" s="656" t="s">
        <v>13052</v>
      </c>
      <c r="Q1500" s="656">
        <v>44216.780682870369</v>
      </c>
    </row>
    <row r="1501" spans="1:17">
      <c r="A1501" s="656" t="s">
        <v>1229</v>
      </c>
      <c r="B1501" s="657" t="s">
        <v>202</v>
      </c>
      <c r="C1501" s="656" t="s">
        <v>1230</v>
      </c>
      <c r="D1501" s="657" t="s">
        <v>14978</v>
      </c>
      <c r="E1501" s="657" t="s">
        <v>9406</v>
      </c>
      <c r="F1501" s="656" t="s">
        <v>462</v>
      </c>
      <c r="G1501" s="656" t="s">
        <v>552</v>
      </c>
      <c r="H1501" s="656" t="s">
        <v>462</v>
      </c>
      <c r="I1501" s="656" t="s">
        <v>14976</v>
      </c>
      <c r="J1501" s="656" t="s">
        <v>463</v>
      </c>
      <c r="K1501" s="656" t="s">
        <v>1924</v>
      </c>
      <c r="L1501" s="656" t="s">
        <v>1231</v>
      </c>
      <c r="M1501" s="657"/>
      <c r="N1501" s="1482"/>
      <c r="O1501" s="656" t="s">
        <v>498</v>
      </c>
      <c r="P1501" s="656" t="s">
        <v>13052</v>
      </c>
      <c r="Q1501" s="656">
        <v>44216.780671296299</v>
      </c>
    </row>
    <row r="1502" spans="1:17">
      <c r="A1502" s="656" t="s">
        <v>1231</v>
      </c>
      <c r="B1502" s="657" t="s">
        <v>202</v>
      </c>
      <c r="C1502" s="656" t="s">
        <v>1232</v>
      </c>
      <c r="D1502" s="657" t="s">
        <v>14977</v>
      </c>
      <c r="E1502" s="657" t="s">
        <v>9406</v>
      </c>
      <c r="F1502" s="656" t="s">
        <v>462</v>
      </c>
      <c r="G1502" s="656" t="s">
        <v>552</v>
      </c>
      <c r="H1502" s="656" t="s">
        <v>462</v>
      </c>
      <c r="I1502" s="656" t="s">
        <v>14976</v>
      </c>
      <c r="J1502" s="656" t="s">
        <v>463</v>
      </c>
      <c r="K1502" s="656" t="s">
        <v>1924</v>
      </c>
      <c r="L1502" s="656"/>
      <c r="M1502" s="657"/>
      <c r="N1502" s="1482"/>
      <c r="O1502" s="656" t="s">
        <v>498</v>
      </c>
      <c r="P1502" s="656" t="s">
        <v>13052</v>
      </c>
      <c r="Q1502" s="656">
        <v>44216.780671296299</v>
      </c>
    </row>
    <row r="1503" spans="1:17">
      <c r="A1503" s="656" t="s">
        <v>1233</v>
      </c>
      <c r="B1503" s="657" t="s">
        <v>202</v>
      </c>
      <c r="C1503" s="656" t="s">
        <v>1234</v>
      </c>
      <c r="D1503" s="657" t="s">
        <v>13789</v>
      </c>
      <c r="E1503" s="657" t="s">
        <v>9406</v>
      </c>
      <c r="F1503" s="656" t="s">
        <v>462</v>
      </c>
      <c r="G1503" s="656" t="s">
        <v>512</v>
      </c>
      <c r="H1503" s="656" t="s">
        <v>462</v>
      </c>
      <c r="I1503" s="656" t="s">
        <v>15280</v>
      </c>
      <c r="J1503" s="656" t="s">
        <v>463</v>
      </c>
      <c r="K1503" s="656" t="s">
        <v>1924</v>
      </c>
      <c r="L1503" s="656"/>
      <c r="M1503" s="657"/>
      <c r="N1503" s="1482"/>
      <c r="O1503" s="656" t="s">
        <v>498</v>
      </c>
      <c r="P1503" s="656" t="s">
        <v>13052</v>
      </c>
      <c r="Q1503" s="656">
        <v>44216.780659722222</v>
      </c>
    </row>
    <row r="1504" spans="1:17">
      <c r="A1504" s="656" t="s">
        <v>1235</v>
      </c>
      <c r="B1504" s="657" t="s">
        <v>202</v>
      </c>
      <c r="C1504" s="656" t="s">
        <v>1236</v>
      </c>
      <c r="D1504" s="657" t="s">
        <v>13789</v>
      </c>
      <c r="E1504" s="657" t="s">
        <v>9406</v>
      </c>
      <c r="F1504" s="656" t="s">
        <v>462</v>
      </c>
      <c r="G1504" s="656" t="s">
        <v>512</v>
      </c>
      <c r="H1504" s="656" t="s">
        <v>462</v>
      </c>
      <c r="I1504" s="656" t="s">
        <v>14976</v>
      </c>
      <c r="J1504" s="656" t="s">
        <v>463</v>
      </c>
      <c r="K1504" s="656" t="s">
        <v>2849</v>
      </c>
      <c r="L1504" s="656"/>
      <c r="M1504" s="657"/>
      <c r="N1504" s="1482"/>
      <c r="O1504" s="656" t="s">
        <v>498</v>
      </c>
      <c r="P1504" s="656" t="s">
        <v>13052</v>
      </c>
      <c r="Q1504" s="656">
        <v>44216.780659722222</v>
      </c>
    </row>
    <row r="1505" spans="1:17">
      <c r="A1505" s="656" t="s">
        <v>1237</v>
      </c>
      <c r="B1505" s="657" t="s">
        <v>202</v>
      </c>
      <c r="C1505" s="656" t="s">
        <v>1238</v>
      </c>
      <c r="D1505" s="657" t="s">
        <v>13789</v>
      </c>
      <c r="E1505" s="657" t="s">
        <v>9406</v>
      </c>
      <c r="F1505" s="656" t="s">
        <v>462</v>
      </c>
      <c r="G1505" s="656" t="s">
        <v>711</v>
      </c>
      <c r="H1505" s="656" t="s">
        <v>462</v>
      </c>
      <c r="I1505" s="656" t="s">
        <v>14976</v>
      </c>
      <c r="J1505" s="656" t="s">
        <v>463</v>
      </c>
      <c r="K1505" s="656"/>
      <c r="L1505" s="656"/>
      <c r="M1505" s="657"/>
      <c r="N1505" s="1482"/>
      <c r="O1505" s="656" t="s">
        <v>498</v>
      </c>
      <c r="P1505" s="656" t="s">
        <v>13052</v>
      </c>
      <c r="Q1505" s="656">
        <v>44216.780648148146</v>
      </c>
    </row>
    <row r="1506" spans="1:17">
      <c r="A1506" s="656" t="s">
        <v>1240</v>
      </c>
      <c r="B1506" s="657" t="s">
        <v>202</v>
      </c>
      <c r="C1506" s="656" t="s">
        <v>1241</v>
      </c>
      <c r="D1506" s="657" t="s">
        <v>13789</v>
      </c>
      <c r="E1506" s="657" t="s">
        <v>9406</v>
      </c>
      <c r="F1506" s="656" t="s">
        <v>462</v>
      </c>
      <c r="G1506" s="656" t="s">
        <v>512</v>
      </c>
      <c r="H1506" s="656" t="s">
        <v>462</v>
      </c>
      <c r="I1506" s="656" t="s">
        <v>14976</v>
      </c>
      <c r="J1506" s="656" t="s">
        <v>463</v>
      </c>
      <c r="K1506" s="656" t="s">
        <v>2849</v>
      </c>
      <c r="L1506" s="656"/>
      <c r="M1506" s="657"/>
      <c r="N1506" s="1482"/>
      <c r="O1506" s="656" t="s">
        <v>498</v>
      </c>
      <c r="P1506" s="656" t="s">
        <v>13052</v>
      </c>
      <c r="Q1506" s="656">
        <v>44216.780648148146</v>
      </c>
    </row>
    <row r="1507" spans="1:17">
      <c r="A1507" s="656" t="s">
        <v>1242</v>
      </c>
      <c r="B1507" s="657" t="s">
        <v>202</v>
      </c>
      <c r="C1507" s="656" t="s">
        <v>1243</v>
      </c>
      <c r="D1507" s="657" t="s">
        <v>13789</v>
      </c>
      <c r="E1507" s="657" t="s">
        <v>9406</v>
      </c>
      <c r="F1507" s="656" t="s">
        <v>462</v>
      </c>
      <c r="G1507" s="656" t="s">
        <v>512</v>
      </c>
      <c r="H1507" s="656" t="s">
        <v>462</v>
      </c>
      <c r="I1507" s="656" t="s">
        <v>14976</v>
      </c>
      <c r="J1507" s="656" t="s">
        <v>463</v>
      </c>
      <c r="K1507" s="656" t="s">
        <v>1924</v>
      </c>
      <c r="L1507" s="656"/>
      <c r="M1507" s="657"/>
      <c r="N1507" s="1482"/>
      <c r="O1507" s="656" t="s">
        <v>498</v>
      </c>
      <c r="P1507" s="656" t="s">
        <v>13052</v>
      </c>
      <c r="Q1507" s="656">
        <v>44216.780636574076</v>
      </c>
    </row>
    <row r="1508" spans="1:17">
      <c r="A1508" s="656" t="s">
        <v>1244</v>
      </c>
      <c r="B1508" s="657" t="s">
        <v>202</v>
      </c>
      <c r="C1508" s="656" t="s">
        <v>1245</v>
      </c>
      <c r="D1508" s="657" t="s">
        <v>13789</v>
      </c>
      <c r="E1508" s="657" t="s">
        <v>9406</v>
      </c>
      <c r="F1508" s="656" t="s">
        <v>3077</v>
      </c>
      <c r="G1508" s="656" t="s">
        <v>512</v>
      </c>
      <c r="H1508" s="656" t="s">
        <v>465</v>
      </c>
      <c r="I1508" s="656" t="s">
        <v>14976</v>
      </c>
      <c r="J1508" s="656" t="s">
        <v>446</v>
      </c>
      <c r="K1508" s="656" t="s">
        <v>3077</v>
      </c>
      <c r="L1508" s="656"/>
      <c r="M1508" s="657"/>
      <c r="N1508" s="1482"/>
      <c r="O1508" s="656" t="s">
        <v>498</v>
      </c>
      <c r="P1508" s="656" t="s">
        <v>13052</v>
      </c>
      <c r="Q1508" s="656">
        <v>44216.780636574076</v>
      </c>
    </row>
    <row r="1509" spans="1:17">
      <c r="A1509" s="656" t="s">
        <v>1246</v>
      </c>
      <c r="B1509" s="657" t="s">
        <v>202</v>
      </c>
      <c r="C1509" s="656" t="s">
        <v>1247</v>
      </c>
      <c r="D1509" s="657" t="s">
        <v>13789</v>
      </c>
      <c r="E1509" s="657" t="s">
        <v>9406</v>
      </c>
      <c r="F1509" s="656" t="s">
        <v>442</v>
      </c>
      <c r="G1509" s="656" t="s">
        <v>561</v>
      </c>
      <c r="H1509" s="656" t="s">
        <v>442</v>
      </c>
      <c r="I1509" s="656" t="s">
        <v>14976</v>
      </c>
      <c r="J1509" s="656" t="s">
        <v>12369</v>
      </c>
      <c r="K1509" s="656" t="s">
        <v>1058</v>
      </c>
      <c r="L1509" s="656"/>
      <c r="M1509" s="657"/>
      <c r="N1509" s="1482"/>
      <c r="O1509" s="656" t="s">
        <v>498</v>
      </c>
      <c r="P1509" s="656" t="s">
        <v>13052</v>
      </c>
      <c r="Q1509" s="656">
        <v>44216.780624999999</v>
      </c>
    </row>
    <row r="1510" spans="1:17">
      <c r="A1510" s="656" t="s">
        <v>1248</v>
      </c>
      <c r="B1510" s="657" t="s">
        <v>202</v>
      </c>
      <c r="C1510" s="656" t="s">
        <v>1249</v>
      </c>
      <c r="D1510" s="657" t="s">
        <v>13789</v>
      </c>
      <c r="E1510" s="657" t="s">
        <v>9406</v>
      </c>
      <c r="F1510" s="656" t="s">
        <v>4052</v>
      </c>
      <c r="G1510" s="656" t="s">
        <v>512</v>
      </c>
      <c r="H1510" s="656" t="s">
        <v>455</v>
      </c>
      <c r="I1510" s="656" t="s">
        <v>14976</v>
      </c>
      <c r="J1510" s="656" t="s">
        <v>451</v>
      </c>
      <c r="K1510" s="656" t="s">
        <v>4052</v>
      </c>
      <c r="L1510" s="656"/>
      <c r="M1510" s="657"/>
      <c r="N1510" s="1482"/>
      <c r="O1510" s="656" t="s">
        <v>498</v>
      </c>
      <c r="P1510" s="656" t="s">
        <v>13052</v>
      </c>
      <c r="Q1510" s="656">
        <v>44216.780624999999</v>
      </c>
    </row>
    <row r="1511" spans="1:17">
      <c r="A1511" s="656" t="s">
        <v>1250</v>
      </c>
      <c r="B1511" s="657" t="s">
        <v>202</v>
      </c>
      <c r="C1511" s="656" t="s">
        <v>1251</v>
      </c>
      <c r="D1511" s="657" t="s">
        <v>13789</v>
      </c>
      <c r="E1511" s="657" t="s">
        <v>9406</v>
      </c>
      <c r="F1511" s="656" t="s">
        <v>500</v>
      </c>
      <c r="G1511" s="656" t="s">
        <v>500</v>
      </c>
      <c r="H1511" s="656" t="s">
        <v>500</v>
      </c>
      <c r="I1511" s="656" t="s">
        <v>15280</v>
      </c>
      <c r="J1511" s="656"/>
      <c r="K1511" s="656"/>
      <c r="L1511" s="656"/>
      <c r="M1511" s="657"/>
      <c r="N1511" s="1482"/>
      <c r="O1511" s="656" t="s">
        <v>498</v>
      </c>
      <c r="P1511" s="656" t="s">
        <v>13052</v>
      </c>
      <c r="Q1511" s="656">
        <v>44216.780613425923</v>
      </c>
    </row>
    <row r="1512" spans="1:17">
      <c r="A1512" s="656" t="s">
        <v>1252</v>
      </c>
      <c r="B1512" s="657" t="s">
        <v>202</v>
      </c>
      <c r="C1512" s="656" t="s">
        <v>1253</v>
      </c>
      <c r="D1512" s="657" t="s">
        <v>13789</v>
      </c>
      <c r="E1512" s="657" t="s">
        <v>9510</v>
      </c>
      <c r="F1512" s="656" t="s">
        <v>4052</v>
      </c>
      <c r="G1512" s="656"/>
      <c r="H1512" s="656" t="s">
        <v>455</v>
      </c>
      <c r="I1512" s="656" t="s">
        <v>15280</v>
      </c>
      <c r="J1512" s="656" t="s">
        <v>451</v>
      </c>
      <c r="K1512" s="656"/>
      <c r="L1512" s="656"/>
      <c r="M1512" s="657"/>
      <c r="N1512" s="1482"/>
      <c r="O1512" s="656" t="s">
        <v>498</v>
      </c>
      <c r="P1512" s="656" t="s">
        <v>13052</v>
      </c>
      <c r="Q1512" s="656">
        <v>44216.780613425923</v>
      </c>
    </row>
    <row r="1513" spans="1:17">
      <c r="A1513" s="656" t="s">
        <v>1254</v>
      </c>
      <c r="B1513" s="657" t="s">
        <v>202</v>
      </c>
      <c r="C1513" s="656" t="s">
        <v>1255</v>
      </c>
      <c r="D1513" s="657" t="s">
        <v>13789</v>
      </c>
      <c r="E1513" s="657" t="s">
        <v>9406</v>
      </c>
      <c r="F1513" s="656" t="s">
        <v>783</v>
      </c>
      <c r="G1513" s="656" t="s">
        <v>783</v>
      </c>
      <c r="H1513" s="656" t="s">
        <v>783</v>
      </c>
      <c r="I1513" s="656" t="s">
        <v>14976</v>
      </c>
      <c r="J1513" s="656" t="s">
        <v>451</v>
      </c>
      <c r="K1513" s="656"/>
      <c r="L1513" s="656"/>
      <c r="M1513" s="657"/>
      <c r="N1513" s="1482"/>
      <c r="O1513" s="656" t="s">
        <v>498</v>
      </c>
      <c r="P1513" s="656" t="s">
        <v>13052</v>
      </c>
      <c r="Q1513" s="656">
        <v>44216.780601851853</v>
      </c>
    </row>
    <row r="1514" spans="1:17">
      <c r="A1514" s="656" t="s">
        <v>1256</v>
      </c>
      <c r="B1514" s="657" t="s">
        <v>202</v>
      </c>
      <c r="C1514" s="656" t="s">
        <v>1257</v>
      </c>
      <c r="D1514" s="657" t="s">
        <v>13789</v>
      </c>
      <c r="E1514" s="657" t="s">
        <v>9406</v>
      </c>
      <c r="F1514" s="656" t="s">
        <v>458</v>
      </c>
      <c r="G1514" s="656" t="s">
        <v>458</v>
      </c>
      <c r="H1514" s="656" t="s">
        <v>458</v>
      </c>
      <c r="I1514" s="656" t="s">
        <v>14976</v>
      </c>
      <c r="J1514" s="656" t="s">
        <v>8814</v>
      </c>
      <c r="K1514" s="656"/>
      <c r="L1514" s="656"/>
      <c r="M1514" s="657"/>
      <c r="N1514" s="1482"/>
      <c r="O1514" s="656" t="s">
        <v>498</v>
      </c>
      <c r="P1514" s="656" t="s">
        <v>13052</v>
      </c>
      <c r="Q1514" s="656">
        <v>44216.780601851853</v>
      </c>
    </row>
    <row r="1515" spans="1:17">
      <c r="A1515" s="656" t="s">
        <v>1258</v>
      </c>
      <c r="B1515" s="657" t="s">
        <v>202</v>
      </c>
      <c r="C1515" s="656" t="s">
        <v>1259</v>
      </c>
      <c r="D1515" s="657" t="s">
        <v>13789</v>
      </c>
      <c r="E1515" s="657" t="s">
        <v>9406</v>
      </c>
      <c r="F1515" s="656" t="s">
        <v>8807</v>
      </c>
      <c r="G1515" s="656"/>
      <c r="H1515" s="656" t="s">
        <v>8807</v>
      </c>
      <c r="I1515" s="656" t="s">
        <v>14976</v>
      </c>
      <c r="J1515" s="656" t="s">
        <v>8814</v>
      </c>
      <c r="K1515" s="656" t="s">
        <v>1058</v>
      </c>
      <c r="L1515" s="656"/>
      <c r="M1515" s="657"/>
      <c r="N1515" s="1482"/>
      <c r="O1515" s="656" t="s">
        <v>498</v>
      </c>
      <c r="P1515" s="656" t="s">
        <v>13052</v>
      </c>
      <c r="Q1515" s="656">
        <v>44216.780590277776</v>
      </c>
    </row>
    <row r="1516" spans="1:17">
      <c r="A1516" s="656" t="s">
        <v>1260</v>
      </c>
      <c r="B1516" s="657" t="s">
        <v>202</v>
      </c>
      <c r="C1516" s="656" t="s">
        <v>13869</v>
      </c>
      <c r="D1516" s="657" t="s">
        <v>13789</v>
      </c>
      <c r="E1516" s="657" t="s">
        <v>9406</v>
      </c>
      <c r="F1516" s="656" t="s">
        <v>8807</v>
      </c>
      <c r="G1516" s="656" t="s">
        <v>512</v>
      </c>
      <c r="H1516" s="656" t="s">
        <v>8807</v>
      </c>
      <c r="I1516" s="656" t="s">
        <v>14976</v>
      </c>
      <c r="J1516" s="656" t="s">
        <v>8814</v>
      </c>
      <c r="K1516" s="656" t="s">
        <v>4057</v>
      </c>
      <c r="L1516" s="656"/>
      <c r="M1516" s="657"/>
      <c r="N1516" s="1482"/>
      <c r="O1516" s="656" t="s">
        <v>498</v>
      </c>
      <c r="P1516" s="656" t="s">
        <v>13052</v>
      </c>
      <c r="Q1516" s="656">
        <v>44216.780601851853</v>
      </c>
    </row>
    <row r="1517" spans="1:17">
      <c r="A1517" s="656" t="s">
        <v>1262</v>
      </c>
      <c r="B1517" s="657" t="s">
        <v>504</v>
      </c>
      <c r="C1517" s="656" t="s">
        <v>1263</v>
      </c>
      <c r="D1517" s="657" t="s">
        <v>14978</v>
      </c>
      <c r="E1517" s="657" t="s">
        <v>9458</v>
      </c>
      <c r="F1517" s="656" t="s">
        <v>505</v>
      </c>
      <c r="G1517" s="656" t="s">
        <v>660</v>
      </c>
      <c r="H1517" s="656" t="s">
        <v>505</v>
      </c>
      <c r="I1517" s="656" t="s">
        <v>14976</v>
      </c>
      <c r="J1517" s="656"/>
      <c r="K1517" s="656"/>
      <c r="L1517" s="656"/>
      <c r="M1517" s="657"/>
      <c r="N1517" s="1482"/>
      <c r="O1517" s="656" t="s">
        <v>498</v>
      </c>
      <c r="P1517" s="656" t="s">
        <v>13052</v>
      </c>
      <c r="Q1517" s="656">
        <v>44216.780578703707</v>
      </c>
    </row>
    <row r="1518" spans="1:17">
      <c r="A1518" s="656" t="s">
        <v>1264</v>
      </c>
      <c r="B1518" s="657" t="s">
        <v>531</v>
      </c>
      <c r="C1518" s="656" t="s">
        <v>1265</v>
      </c>
      <c r="D1518" s="657" t="s">
        <v>14978</v>
      </c>
      <c r="E1518" s="657" t="s">
        <v>9510</v>
      </c>
      <c r="F1518" s="656" t="s">
        <v>1206</v>
      </c>
      <c r="G1518" s="656" t="s">
        <v>519</v>
      </c>
      <c r="H1518" s="656" t="s">
        <v>1206</v>
      </c>
      <c r="I1518" s="656" t="s">
        <v>14976</v>
      </c>
      <c r="J1518" s="656" t="s">
        <v>532</v>
      </c>
      <c r="K1518" s="656" t="s">
        <v>1058</v>
      </c>
      <c r="L1518" s="656" t="s">
        <v>1266</v>
      </c>
      <c r="M1518" s="657"/>
      <c r="N1518" s="1482"/>
      <c r="O1518" s="656" t="s">
        <v>498</v>
      </c>
      <c r="P1518" s="656" t="s">
        <v>13052</v>
      </c>
      <c r="Q1518" s="656">
        <v>44216.780578703707</v>
      </c>
    </row>
    <row r="1519" spans="1:17">
      <c r="A1519" s="656" t="s">
        <v>1266</v>
      </c>
      <c r="B1519" s="657" t="s">
        <v>531</v>
      </c>
      <c r="C1519" s="656" t="s">
        <v>1267</v>
      </c>
      <c r="D1519" s="657" t="s">
        <v>13789</v>
      </c>
      <c r="E1519" s="657" t="s">
        <v>9458</v>
      </c>
      <c r="F1519" s="656" t="s">
        <v>2849</v>
      </c>
      <c r="G1519" s="656" t="s">
        <v>552</v>
      </c>
      <c r="H1519" s="656" t="s">
        <v>469</v>
      </c>
      <c r="I1519" s="656" t="s">
        <v>14976</v>
      </c>
      <c r="J1519" s="656" t="s">
        <v>459</v>
      </c>
      <c r="K1519" s="656" t="s">
        <v>477</v>
      </c>
      <c r="L1519" s="656"/>
      <c r="M1519" s="657"/>
      <c r="N1519" s="1482"/>
      <c r="O1519" s="656" t="s">
        <v>498</v>
      </c>
      <c r="P1519" s="656" t="s">
        <v>13052</v>
      </c>
      <c r="Q1519" s="656">
        <v>44216.78056712963</v>
      </c>
    </row>
    <row r="1520" spans="1:17">
      <c r="A1520" s="656" t="s">
        <v>1269</v>
      </c>
      <c r="B1520" s="657" t="s">
        <v>202</v>
      </c>
      <c r="C1520" s="656" t="s">
        <v>13868</v>
      </c>
      <c r="D1520" s="657" t="s">
        <v>13789</v>
      </c>
      <c r="E1520" s="657" t="s">
        <v>9406</v>
      </c>
      <c r="F1520" s="656" t="s">
        <v>8807</v>
      </c>
      <c r="G1520" s="656" t="s">
        <v>1270</v>
      </c>
      <c r="H1520" s="656" t="s">
        <v>8807</v>
      </c>
      <c r="I1520" s="656" t="s">
        <v>14976</v>
      </c>
      <c r="J1520" s="656" t="s">
        <v>8814</v>
      </c>
      <c r="K1520" s="656" t="s">
        <v>1058</v>
      </c>
      <c r="L1520" s="656"/>
      <c r="M1520" s="657"/>
      <c r="N1520" s="1482"/>
      <c r="O1520" s="656" t="s">
        <v>498</v>
      </c>
      <c r="P1520" s="656" t="s">
        <v>13052</v>
      </c>
      <c r="Q1520" s="656">
        <v>44216.78056712963</v>
      </c>
    </row>
    <row r="1521" spans="1:17">
      <c r="A1521" s="656" t="s">
        <v>8974</v>
      </c>
      <c r="B1521" s="657" t="s">
        <v>531</v>
      </c>
      <c r="C1521" s="656" t="s">
        <v>8973</v>
      </c>
      <c r="D1521" s="657" t="s">
        <v>14978</v>
      </c>
      <c r="E1521" s="657" t="s">
        <v>9406</v>
      </c>
      <c r="F1521" s="656" t="s">
        <v>2849</v>
      </c>
      <c r="G1521" s="656" t="s">
        <v>552</v>
      </c>
      <c r="H1521" s="656" t="s">
        <v>469</v>
      </c>
      <c r="I1521" s="656" t="s">
        <v>14976</v>
      </c>
      <c r="J1521" s="656" t="s">
        <v>532</v>
      </c>
      <c r="K1521" s="656" t="s">
        <v>477</v>
      </c>
      <c r="L1521" s="656" t="s">
        <v>1271</v>
      </c>
      <c r="M1521" s="657"/>
      <c r="N1521" s="1482"/>
      <c r="O1521" s="656" t="s">
        <v>498</v>
      </c>
      <c r="P1521" s="656" t="s">
        <v>13052</v>
      </c>
      <c r="Q1521" s="656">
        <v>44216.78056712963</v>
      </c>
    </row>
    <row r="1522" spans="1:17">
      <c r="A1522" s="656" t="s">
        <v>8489</v>
      </c>
      <c r="B1522" s="657" t="s">
        <v>202</v>
      </c>
      <c r="C1522" s="656" t="s">
        <v>8488</v>
      </c>
      <c r="D1522" s="657" t="s">
        <v>14978</v>
      </c>
      <c r="E1522" s="657" t="s">
        <v>9406</v>
      </c>
      <c r="F1522" s="656" t="s">
        <v>2849</v>
      </c>
      <c r="G1522" s="656" t="s">
        <v>512</v>
      </c>
      <c r="H1522" s="656" t="s">
        <v>469</v>
      </c>
      <c r="I1522" s="656" t="s">
        <v>14976</v>
      </c>
      <c r="J1522" s="656" t="s">
        <v>532</v>
      </c>
      <c r="K1522" s="656" t="s">
        <v>2849</v>
      </c>
      <c r="L1522" s="656" t="s">
        <v>1271</v>
      </c>
      <c r="M1522" s="657"/>
      <c r="N1522" s="1482"/>
      <c r="O1522" s="656" t="s">
        <v>498</v>
      </c>
      <c r="P1522" s="656" t="s">
        <v>13052</v>
      </c>
      <c r="Q1522" s="656">
        <v>44216.78056712963</v>
      </c>
    </row>
    <row r="1523" spans="1:17">
      <c r="A1523" s="656" t="s">
        <v>1271</v>
      </c>
      <c r="B1523" s="657" t="s">
        <v>531</v>
      </c>
      <c r="C1523" s="656" t="s">
        <v>1272</v>
      </c>
      <c r="D1523" s="657" t="s">
        <v>14977</v>
      </c>
      <c r="E1523" s="657" t="s">
        <v>9406</v>
      </c>
      <c r="F1523" s="656" t="s">
        <v>2849</v>
      </c>
      <c r="G1523" s="656" t="s">
        <v>552</v>
      </c>
      <c r="H1523" s="656" t="s">
        <v>469</v>
      </c>
      <c r="I1523" s="656" t="s">
        <v>14976</v>
      </c>
      <c r="J1523" s="656" t="s">
        <v>532</v>
      </c>
      <c r="K1523" s="656" t="s">
        <v>477</v>
      </c>
      <c r="L1523" s="656" t="s">
        <v>1271</v>
      </c>
      <c r="M1523" s="657"/>
      <c r="N1523" s="1482"/>
      <c r="O1523" s="656" t="s">
        <v>498</v>
      </c>
      <c r="P1523" s="656" t="s">
        <v>13052</v>
      </c>
      <c r="Q1523" s="656">
        <v>44216.780555555553</v>
      </c>
    </row>
    <row r="1524" spans="1:17">
      <c r="A1524" s="656" t="s">
        <v>1273</v>
      </c>
      <c r="B1524" s="657" t="s">
        <v>202</v>
      </c>
      <c r="C1524" s="656" t="s">
        <v>1257</v>
      </c>
      <c r="D1524" s="657" t="s">
        <v>13789</v>
      </c>
      <c r="E1524" s="657" t="s">
        <v>9406</v>
      </c>
      <c r="F1524" s="656" t="s">
        <v>8807</v>
      </c>
      <c r="G1524" s="656"/>
      <c r="H1524" s="656" t="s">
        <v>8807</v>
      </c>
      <c r="I1524" s="656" t="s">
        <v>14976</v>
      </c>
      <c r="J1524" s="656" t="s">
        <v>8814</v>
      </c>
      <c r="K1524" s="656" t="s">
        <v>1058</v>
      </c>
      <c r="L1524" s="656"/>
      <c r="M1524" s="657"/>
      <c r="N1524" s="1482"/>
      <c r="O1524" s="656" t="s">
        <v>498</v>
      </c>
      <c r="P1524" s="656" t="s">
        <v>13052</v>
      </c>
      <c r="Q1524" s="656">
        <v>44216.780543981484</v>
      </c>
    </row>
    <row r="1525" spans="1:17">
      <c r="A1525" s="656" t="s">
        <v>1274</v>
      </c>
      <c r="B1525" s="657" t="s">
        <v>202</v>
      </c>
      <c r="C1525" s="656" t="s">
        <v>1275</v>
      </c>
      <c r="D1525" s="657" t="s">
        <v>13789</v>
      </c>
      <c r="E1525" s="657" t="s">
        <v>9510</v>
      </c>
      <c r="F1525" s="656" t="s">
        <v>462</v>
      </c>
      <c r="G1525" s="656" t="s">
        <v>512</v>
      </c>
      <c r="H1525" s="656" t="s">
        <v>462</v>
      </c>
      <c r="I1525" s="656" t="s">
        <v>15280</v>
      </c>
      <c r="J1525" s="656" t="s">
        <v>463</v>
      </c>
      <c r="K1525" s="656" t="s">
        <v>1924</v>
      </c>
      <c r="L1525" s="656"/>
      <c r="M1525" s="657"/>
      <c r="N1525" s="1482"/>
      <c r="O1525" s="656" t="s">
        <v>498</v>
      </c>
      <c r="P1525" s="656" t="s">
        <v>13052</v>
      </c>
      <c r="Q1525" s="656">
        <v>44216.780532407407</v>
      </c>
    </row>
    <row r="1526" spans="1:17">
      <c r="A1526" s="656" t="s">
        <v>1276</v>
      </c>
      <c r="B1526" s="657" t="s">
        <v>202</v>
      </c>
      <c r="C1526" s="656" t="s">
        <v>1277</v>
      </c>
      <c r="D1526" s="657" t="s">
        <v>13789</v>
      </c>
      <c r="E1526" s="657" t="s">
        <v>9406</v>
      </c>
      <c r="F1526" s="656" t="s">
        <v>1050</v>
      </c>
      <c r="G1526" s="656" t="s">
        <v>1078</v>
      </c>
      <c r="H1526" s="656" t="s">
        <v>1050</v>
      </c>
      <c r="I1526" s="656" t="s">
        <v>15280</v>
      </c>
      <c r="J1526" s="656"/>
      <c r="K1526" s="656"/>
      <c r="L1526" s="656"/>
      <c r="M1526" s="657"/>
      <c r="N1526" s="1482"/>
      <c r="O1526" s="656" t="s">
        <v>498</v>
      </c>
      <c r="P1526" s="656" t="s">
        <v>13052</v>
      </c>
      <c r="Q1526" s="656">
        <v>44216.780532407407</v>
      </c>
    </row>
    <row r="1527" spans="1:17">
      <c r="A1527" s="656" t="s">
        <v>1278</v>
      </c>
      <c r="B1527" s="657" t="s">
        <v>202</v>
      </c>
      <c r="C1527" s="656" t="s">
        <v>13867</v>
      </c>
      <c r="D1527" s="657" t="s">
        <v>14978</v>
      </c>
      <c r="E1527" s="657" t="s">
        <v>9406</v>
      </c>
      <c r="F1527" s="656" t="s">
        <v>8807</v>
      </c>
      <c r="G1527" s="656" t="s">
        <v>512</v>
      </c>
      <c r="H1527" s="656" t="s">
        <v>8807</v>
      </c>
      <c r="I1527" s="656" t="s">
        <v>14976</v>
      </c>
      <c r="J1527" s="656" t="s">
        <v>8814</v>
      </c>
      <c r="K1527" s="656" t="s">
        <v>4057</v>
      </c>
      <c r="L1527" s="656" t="s">
        <v>1279</v>
      </c>
      <c r="M1527" s="657"/>
      <c r="N1527" s="1482"/>
      <c r="O1527" s="656" t="s">
        <v>498</v>
      </c>
      <c r="P1527" s="656" t="s">
        <v>13052</v>
      </c>
      <c r="Q1527" s="656">
        <v>44216.78052083333</v>
      </c>
    </row>
    <row r="1528" spans="1:17">
      <c r="A1528" s="656" t="s">
        <v>1279</v>
      </c>
      <c r="B1528" s="657" t="s">
        <v>202</v>
      </c>
      <c r="C1528" s="656" t="s">
        <v>15320</v>
      </c>
      <c r="D1528" s="657" t="s">
        <v>14977</v>
      </c>
      <c r="E1528" s="657" t="s">
        <v>9406</v>
      </c>
      <c r="F1528" s="656" t="s">
        <v>8807</v>
      </c>
      <c r="G1528" s="656" t="s">
        <v>1270</v>
      </c>
      <c r="H1528" s="656" t="s">
        <v>8807</v>
      </c>
      <c r="I1528" s="656" t="s">
        <v>14976</v>
      </c>
      <c r="J1528" s="656" t="s">
        <v>8814</v>
      </c>
      <c r="K1528" s="656" t="s">
        <v>1058</v>
      </c>
      <c r="L1528" s="656" t="s">
        <v>1279</v>
      </c>
      <c r="M1528" s="657"/>
      <c r="N1528" s="1482"/>
      <c r="O1528" s="656" t="s">
        <v>498</v>
      </c>
      <c r="P1528" s="656" t="s">
        <v>13052</v>
      </c>
      <c r="Q1528" s="656">
        <v>44216.78052083333</v>
      </c>
    </row>
    <row r="1529" spans="1:17">
      <c r="A1529" s="656" t="s">
        <v>1280</v>
      </c>
      <c r="B1529" s="657" t="s">
        <v>504</v>
      </c>
      <c r="C1529" s="656" t="s">
        <v>1281</v>
      </c>
      <c r="D1529" s="657" t="s">
        <v>14978</v>
      </c>
      <c r="E1529" s="657" t="s">
        <v>9458</v>
      </c>
      <c r="F1529" s="656" t="s">
        <v>505</v>
      </c>
      <c r="G1529" s="656" t="s">
        <v>660</v>
      </c>
      <c r="H1529" s="656" t="s">
        <v>505</v>
      </c>
      <c r="I1529" s="656" t="s">
        <v>14976</v>
      </c>
      <c r="J1529" s="656"/>
      <c r="K1529" s="656"/>
      <c r="L1529" s="656" t="s">
        <v>15319</v>
      </c>
      <c r="M1529" s="657"/>
      <c r="N1529" s="1482"/>
      <c r="O1529" s="656" t="s">
        <v>498</v>
      </c>
      <c r="P1529" s="656" t="s">
        <v>13052</v>
      </c>
      <c r="Q1529" s="656">
        <v>44216.78052083333</v>
      </c>
    </row>
    <row r="1530" spans="1:17">
      <c r="A1530" s="656" t="s">
        <v>1282</v>
      </c>
      <c r="B1530" s="657" t="s">
        <v>202</v>
      </c>
      <c r="C1530" s="656" t="s">
        <v>1283</v>
      </c>
      <c r="D1530" s="657" t="s">
        <v>13789</v>
      </c>
      <c r="E1530" s="657" t="s">
        <v>9406</v>
      </c>
      <c r="F1530" s="656" t="s">
        <v>783</v>
      </c>
      <c r="G1530" s="656" t="s">
        <v>783</v>
      </c>
      <c r="H1530" s="656" t="s">
        <v>783</v>
      </c>
      <c r="I1530" s="656" t="s">
        <v>14976</v>
      </c>
      <c r="J1530" s="656" t="s">
        <v>451</v>
      </c>
      <c r="K1530" s="656"/>
      <c r="L1530" s="656"/>
      <c r="M1530" s="657"/>
      <c r="N1530" s="1482"/>
      <c r="O1530" s="656" t="s">
        <v>498</v>
      </c>
      <c r="P1530" s="656" t="s">
        <v>13052</v>
      </c>
      <c r="Q1530" s="656">
        <v>44216.780509259261</v>
      </c>
    </row>
    <row r="1531" spans="1:17">
      <c r="A1531" s="656" t="s">
        <v>1284</v>
      </c>
      <c r="B1531" s="657" t="s">
        <v>202</v>
      </c>
      <c r="C1531" s="656" t="s">
        <v>1285</v>
      </c>
      <c r="D1531" s="657" t="s">
        <v>13789</v>
      </c>
      <c r="E1531" s="657" t="s">
        <v>9406</v>
      </c>
      <c r="F1531" s="656" t="s">
        <v>3077</v>
      </c>
      <c r="G1531" s="656" t="s">
        <v>512</v>
      </c>
      <c r="H1531" s="656" t="s">
        <v>465</v>
      </c>
      <c r="I1531" s="656" t="s">
        <v>14976</v>
      </c>
      <c r="J1531" s="656" t="s">
        <v>446</v>
      </c>
      <c r="K1531" s="656" t="s">
        <v>3077</v>
      </c>
      <c r="L1531" s="656"/>
      <c r="M1531" s="657"/>
      <c r="N1531" s="1482"/>
      <c r="O1531" s="656" t="s">
        <v>498</v>
      </c>
      <c r="P1531" s="656" t="s">
        <v>13052</v>
      </c>
      <c r="Q1531" s="656">
        <v>44216.780509259261</v>
      </c>
    </row>
    <row r="1532" spans="1:17">
      <c r="A1532" s="656" t="s">
        <v>1286</v>
      </c>
      <c r="B1532" s="657" t="s">
        <v>202</v>
      </c>
      <c r="C1532" s="656" t="s">
        <v>1287</v>
      </c>
      <c r="D1532" s="657" t="s">
        <v>13789</v>
      </c>
      <c r="E1532" s="657" t="s">
        <v>9510</v>
      </c>
      <c r="F1532" s="656" t="s">
        <v>472</v>
      </c>
      <c r="G1532" s="656" t="s">
        <v>519</v>
      </c>
      <c r="H1532" s="656" t="s">
        <v>472</v>
      </c>
      <c r="I1532" s="656" t="s">
        <v>15280</v>
      </c>
      <c r="J1532" s="656" t="s">
        <v>12368</v>
      </c>
      <c r="K1532" s="656" t="s">
        <v>1058</v>
      </c>
      <c r="L1532" s="656"/>
      <c r="M1532" s="657"/>
      <c r="N1532" s="1482"/>
      <c r="O1532" s="656" t="s">
        <v>498</v>
      </c>
      <c r="P1532" s="656" t="s">
        <v>13052</v>
      </c>
      <c r="Q1532" s="656">
        <v>44216.780509259261</v>
      </c>
    </row>
    <row r="1533" spans="1:17">
      <c r="A1533" s="656" t="s">
        <v>1288</v>
      </c>
      <c r="B1533" s="657" t="s">
        <v>202</v>
      </c>
      <c r="C1533" s="656" t="s">
        <v>1289</v>
      </c>
      <c r="D1533" s="657" t="s">
        <v>13789</v>
      </c>
      <c r="E1533" s="657" t="s">
        <v>9406</v>
      </c>
      <c r="F1533" s="656" t="s">
        <v>537</v>
      </c>
      <c r="G1533" s="656" t="s">
        <v>512</v>
      </c>
      <c r="H1533" s="656" t="s">
        <v>537</v>
      </c>
      <c r="I1533" s="656" t="s">
        <v>15280</v>
      </c>
      <c r="J1533" s="656" t="s">
        <v>473</v>
      </c>
      <c r="K1533" s="656"/>
      <c r="L1533" s="656"/>
      <c r="M1533" s="657"/>
      <c r="N1533" s="1482"/>
      <c r="O1533" s="656" t="s">
        <v>498</v>
      </c>
      <c r="P1533" s="656" t="s">
        <v>13052</v>
      </c>
      <c r="Q1533" s="656">
        <v>44216.780486111114</v>
      </c>
    </row>
    <row r="1534" spans="1:17">
      <c r="A1534" s="656" t="s">
        <v>1290</v>
      </c>
      <c r="B1534" s="657" t="s">
        <v>202</v>
      </c>
      <c r="C1534" s="656" t="s">
        <v>13863</v>
      </c>
      <c r="D1534" s="657" t="s">
        <v>14977</v>
      </c>
      <c r="E1534" s="657" t="s">
        <v>9406</v>
      </c>
      <c r="F1534" s="656" t="s">
        <v>458</v>
      </c>
      <c r="G1534" s="656" t="s">
        <v>458</v>
      </c>
      <c r="H1534" s="656" t="s">
        <v>458</v>
      </c>
      <c r="I1534" s="656" t="s">
        <v>14976</v>
      </c>
      <c r="J1534" s="656" t="s">
        <v>8814</v>
      </c>
      <c r="K1534" s="656"/>
      <c r="L1534" s="656"/>
      <c r="M1534" s="657"/>
      <c r="N1534" s="1482"/>
      <c r="O1534" s="656" t="s">
        <v>498</v>
      </c>
      <c r="P1534" s="656" t="s">
        <v>13052</v>
      </c>
      <c r="Q1534" s="656">
        <v>44216.780486111114</v>
      </c>
    </row>
    <row r="1535" spans="1:17">
      <c r="A1535" s="656" t="s">
        <v>1291</v>
      </c>
      <c r="B1535" s="657" t="s">
        <v>504</v>
      </c>
      <c r="C1535" s="656" t="s">
        <v>1292</v>
      </c>
      <c r="D1535" s="657" t="s">
        <v>13789</v>
      </c>
      <c r="E1535" s="657" t="s">
        <v>9458</v>
      </c>
      <c r="F1535" s="656" t="s">
        <v>505</v>
      </c>
      <c r="G1535" s="656" t="s">
        <v>1293</v>
      </c>
      <c r="H1535" s="656" t="s">
        <v>505</v>
      </c>
      <c r="I1535" s="656" t="s">
        <v>14976</v>
      </c>
      <c r="J1535" s="656"/>
      <c r="K1535" s="656"/>
      <c r="L1535" s="656" t="s">
        <v>15116</v>
      </c>
      <c r="M1535" s="657"/>
      <c r="N1535" s="1482"/>
      <c r="O1535" s="656" t="s">
        <v>498</v>
      </c>
      <c r="P1535" s="656" t="s">
        <v>13052</v>
      </c>
      <c r="Q1535" s="656">
        <v>44216.780486111114</v>
      </c>
    </row>
    <row r="1536" spans="1:17">
      <c r="A1536" s="656" t="s">
        <v>1294</v>
      </c>
      <c r="B1536" s="657" t="s">
        <v>202</v>
      </c>
      <c r="C1536" s="656" t="s">
        <v>1295</v>
      </c>
      <c r="D1536" s="657" t="s">
        <v>13789</v>
      </c>
      <c r="E1536" s="657" t="s">
        <v>9510</v>
      </c>
      <c r="F1536" s="656" t="s">
        <v>8807</v>
      </c>
      <c r="G1536" s="656" t="s">
        <v>1270</v>
      </c>
      <c r="H1536" s="656" t="s">
        <v>8807</v>
      </c>
      <c r="I1536" s="656" t="s">
        <v>15280</v>
      </c>
      <c r="J1536" s="656" t="s">
        <v>8814</v>
      </c>
      <c r="K1536" s="656" t="s">
        <v>1058</v>
      </c>
      <c r="L1536" s="656"/>
      <c r="M1536" s="657"/>
      <c r="N1536" s="1482"/>
      <c r="O1536" s="656" t="s">
        <v>498</v>
      </c>
      <c r="P1536" s="656" t="s">
        <v>13052</v>
      </c>
      <c r="Q1536" s="656">
        <v>44216.780474537038</v>
      </c>
    </row>
    <row r="1537" spans="1:17">
      <c r="A1537" s="656" t="s">
        <v>1296</v>
      </c>
      <c r="B1537" s="657" t="s">
        <v>202</v>
      </c>
      <c r="C1537" s="656" t="s">
        <v>1297</v>
      </c>
      <c r="D1537" s="657" t="s">
        <v>13789</v>
      </c>
      <c r="E1537" s="657" t="s">
        <v>9510</v>
      </c>
      <c r="F1537" s="656" t="s">
        <v>472</v>
      </c>
      <c r="G1537" s="656" t="s">
        <v>519</v>
      </c>
      <c r="H1537" s="656" t="s">
        <v>472</v>
      </c>
      <c r="I1537" s="656" t="s">
        <v>15280</v>
      </c>
      <c r="J1537" s="656" t="s">
        <v>12368</v>
      </c>
      <c r="K1537" s="656"/>
      <c r="L1537" s="656" t="s">
        <v>13862</v>
      </c>
      <c r="M1537" s="657"/>
      <c r="N1537" s="1482"/>
      <c r="O1537" s="656" t="s">
        <v>498</v>
      </c>
      <c r="P1537" s="656" t="s">
        <v>13052</v>
      </c>
      <c r="Q1537" s="656">
        <v>44216.780474537038</v>
      </c>
    </row>
    <row r="1538" spans="1:17">
      <c r="A1538" s="656" t="s">
        <v>1298</v>
      </c>
      <c r="B1538" s="657" t="s">
        <v>202</v>
      </c>
      <c r="C1538" s="656" t="s">
        <v>1299</v>
      </c>
      <c r="D1538" s="657" t="s">
        <v>13789</v>
      </c>
      <c r="E1538" s="657" t="s">
        <v>9406</v>
      </c>
      <c r="F1538" s="656" t="s">
        <v>1300</v>
      </c>
      <c r="G1538" s="656" t="s">
        <v>1301</v>
      </c>
      <c r="H1538" s="656" t="s">
        <v>1300</v>
      </c>
      <c r="I1538" s="656" t="s">
        <v>14976</v>
      </c>
      <c r="J1538" s="656"/>
      <c r="K1538" s="656"/>
      <c r="L1538" s="656"/>
      <c r="M1538" s="657"/>
      <c r="N1538" s="1482"/>
      <c r="O1538" s="656" t="s">
        <v>498</v>
      </c>
      <c r="P1538" s="656" t="s">
        <v>13052</v>
      </c>
      <c r="Q1538" s="656">
        <v>44216.780462962961</v>
      </c>
    </row>
    <row r="1539" spans="1:17">
      <c r="A1539" s="656" t="s">
        <v>1303</v>
      </c>
      <c r="B1539" s="657" t="s">
        <v>202</v>
      </c>
      <c r="C1539" s="656" t="s">
        <v>1304</v>
      </c>
      <c r="D1539" s="657" t="s">
        <v>13789</v>
      </c>
      <c r="E1539" s="657" t="s">
        <v>9510</v>
      </c>
      <c r="F1539" s="656" t="s">
        <v>472</v>
      </c>
      <c r="G1539" s="656" t="s">
        <v>519</v>
      </c>
      <c r="H1539" s="656" t="s">
        <v>472</v>
      </c>
      <c r="I1539" s="656" t="s">
        <v>14976</v>
      </c>
      <c r="J1539" s="656" t="s">
        <v>12368</v>
      </c>
      <c r="K1539" s="656"/>
      <c r="L1539" s="656"/>
      <c r="M1539" s="657"/>
      <c r="N1539" s="1482"/>
      <c r="O1539" s="656" t="s">
        <v>498</v>
      </c>
      <c r="P1539" s="656" t="s">
        <v>13052</v>
      </c>
      <c r="Q1539" s="656">
        <v>44216.780462962961</v>
      </c>
    </row>
    <row r="1540" spans="1:17">
      <c r="A1540" s="656" t="s">
        <v>1305</v>
      </c>
      <c r="B1540" s="657" t="s">
        <v>202</v>
      </c>
      <c r="C1540" s="656" t="s">
        <v>1306</v>
      </c>
      <c r="D1540" s="657" t="s">
        <v>13789</v>
      </c>
      <c r="E1540" s="657" t="s">
        <v>9510</v>
      </c>
      <c r="F1540" s="656" t="s">
        <v>1300</v>
      </c>
      <c r="G1540" s="656" t="s">
        <v>1301</v>
      </c>
      <c r="H1540" s="656" t="s">
        <v>1300</v>
      </c>
      <c r="I1540" s="656" t="s">
        <v>15280</v>
      </c>
      <c r="J1540" s="656"/>
      <c r="K1540" s="656"/>
      <c r="L1540" s="656"/>
      <c r="M1540" s="657"/>
      <c r="N1540" s="1482"/>
      <c r="O1540" s="656" t="s">
        <v>498</v>
      </c>
      <c r="P1540" s="656" t="s">
        <v>13052</v>
      </c>
      <c r="Q1540" s="656">
        <v>44216.780451388891</v>
      </c>
    </row>
    <row r="1541" spans="1:17">
      <c r="A1541" s="656" t="s">
        <v>13861</v>
      </c>
      <c r="B1541" s="657" t="s">
        <v>202</v>
      </c>
      <c r="C1541" s="656" t="s">
        <v>1307</v>
      </c>
      <c r="D1541" s="657" t="s">
        <v>13789</v>
      </c>
      <c r="E1541" s="657"/>
      <c r="F1541" s="656" t="s">
        <v>462</v>
      </c>
      <c r="G1541" s="656" t="s">
        <v>512</v>
      </c>
      <c r="H1541" s="656" t="s">
        <v>462</v>
      </c>
      <c r="I1541" s="656" t="s">
        <v>14976</v>
      </c>
      <c r="J1541" s="656" t="s">
        <v>463</v>
      </c>
      <c r="K1541" s="656" t="s">
        <v>1924</v>
      </c>
      <c r="L1541" s="656"/>
      <c r="M1541" s="657"/>
      <c r="N1541" s="1482"/>
      <c r="O1541" s="656" t="s">
        <v>498</v>
      </c>
      <c r="P1541" s="656" t="s">
        <v>13052</v>
      </c>
      <c r="Q1541" s="656">
        <v>44216.780451388891</v>
      </c>
    </row>
    <row r="1542" spans="1:17">
      <c r="A1542" s="656" t="s">
        <v>13859</v>
      </c>
      <c r="B1542" s="657" t="s">
        <v>202</v>
      </c>
      <c r="C1542" s="656" t="s">
        <v>13860</v>
      </c>
      <c r="D1542" s="657" t="s">
        <v>13789</v>
      </c>
      <c r="E1542" s="657"/>
      <c r="F1542" s="656" t="s">
        <v>462</v>
      </c>
      <c r="G1542" s="656" t="s">
        <v>512</v>
      </c>
      <c r="H1542" s="656" t="s">
        <v>462</v>
      </c>
      <c r="I1542" s="656" t="s">
        <v>14976</v>
      </c>
      <c r="J1542" s="656" t="s">
        <v>463</v>
      </c>
      <c r="K1542" s="656" t="s">
        <v>1924</v>
      </c>
      <c r="L1542" s="656"/>
      <c r="M1542" s="657"/>
      <c r="N1542" s="1482"/>
      <c r="O1542" s="656" t="s">
        <v>498</v>
      </c>
      <c r="P1542" s="656" t="s">
        <v>13052</v>
      </c>
      <c r="Q1542" s="656">
        <v>44216.780439814815</v>
      </c>
    </row>
    <row r="1543" spans="1:17">
      <c r="A1543" s="656" t="s">
        <v>8895</v>
      </c>
      <c r="B1543" s="657" t="s">
        <v>202</v>
      </c>
      <c r="C1543" s="656" t="s">
        <v>8894</v>
      </c>
      <c r="D1543" s="657" t="s">
        <v>14978</v>
      </c>
      <c r="E1543" s="657" t="s">
        <v>9406</v>
      </c>
      <c r="F1543" s="656" t="s">
        <v>462</v>
      </c>
      <c r="G1543" s="656" t="s">
        <v>512</v>
      </c>
      <c r="H1543" s="656" t="s">
        <v>462</v>
      </c>
      <c r="I1543" s="656" t="s">
        <v>14976</v>
      </c>
      <c r="J1543" s="656" t="s">
        <v>463</v>
      </c>
      <c r="K1543" s="656" t="s">
        <v>1924</v>
      </c>
      <c r="L1543" s="656" t="s">
        <v>1310</v>
      </c>
      <c r="M1543" s="657"/>
      <c r="N1543" s="1482"/>
      <c r="O1543" s="656" t="s">
        <v>498</v>
      </c>
      <c r="P1543" s="656" t="s">
        <v>13052</v>
      </c>
      <c r="Q1543" s="656">
        <v>44216.780439814815</v>
      </c>
    </row>
    <row r="1544" spans="1:17">
      <c r="A1544" s="656" t="s">
        <v>1308</v>
      </c>
      <c r="B1544" s="657" t="s">
        <v>202</v>
      </c>
      <c r="C1544" s="656" t="s">
        <v>1309</v>
      </c>
      <c r="D1544" s="657" t="s">
        <v>14978</v>
      </c>
      <c r="E1544" s="657" t="s">
        <v>9406</v>
      </c>
      <c r="F1544" s="656" t="s">
        <v>462</v>
      </c>
      <c r="G1544" s="656" t="s">
        <v>512</v>
      </c>
      <c r="H1544" s="656" t="s">
        <v>462</v>
      </c>
      <c r="I1544" s="656" t="s">
        <v>14976</v>
      </c>
      <c r="J1544" s="656" t="s">
        <v>463</v>
      </c>
      <c r="K1544" s="656" t="s">
        <v>477</v>
      </c>
      <c r="L1544" s="656" t="s">
        <v>1310</v>
      </c>
      <c r="M1544" s="657"/>
      <c r="N1544" s="1482"/>
      <c r="O1544" s="656" t="s">
        <v>498</v>
      </c>
      <c r="P1544" s="656" t="s">
        <v>13052</v>
      </c>
      <c r="Q1544" s="656">
        <v>44216.780428240738</v>
      </c>
    </row>
    <row r="1545" spans="1:17">
      <c r="A1545" s="656" t="s">
        <v>1310</v>
      </c>
      <c r="B1545" s="657" t="s">
        <v>202</v>
      </c>
      <c r="C1545" s="656" t="s">
        <v>1311</v>
      </c>
      <c r="D1545" s="657" t="s">
        <v>13789</v>
      </c>
      <c r="E1545" s="657" t="s">
        <v>9406</v>
      </c>
      <c r="F1545" s="656" t="s">
        <v>462</v>
      </c>
      <c r="G1545" s="656" t="s">
        <v>512</v>
      </c>
      <c r="H1545" s="656" t="s">
        <v>462</v>
      </c>
      <c r="I1545" s="656" t="s">
        <v>14976</v>
      </c>
      <c r="J1545" s="656" t="s">
        <v>463</v>
      </c>
      <c r="K1545" s="656" t="s">
        <v>1924</v>
      </c>
      <c r="L1545" s="656"/>
      <c r="M1545" s="657"/>
      <c r="N1545" s="1482"/>
      <c r="O1545" s="656" t="s">
        <v>498</v>
      </c>
      <c r="P1545" s="656" t="s">
        <v>13052</v>
      </c>
      <c r="Q1545" s="656">
        <v>44216.780428240738</v>
      </c>
    </row>
    <row r="1546" spans="1:17">
      <c r="A1546" s="656" t="s">
        <v>1312</v>
      </c>
      <c r="B1546" s="657" t="s">
        <v>202</v>
      </c>
      <c r="C1546" s="656" t="s">
        <v>1313</v>
      </c>
      <c r="D1546" s="657" t="s">
        <v>13789</v>
      </c>
      <c r="E1546" s="657" t="s">
        <v>9406</v>
      </c>
      <c r="F1546" s="656" t="s">
        <v>462</v>
      </c>
      <c r="G1546" s="656" t="s">
        <v>552</v>
      </c>
      <c r="H1546" s="656" t="s">
        <v>462</v>
      </c>
      <c r="I1546" s="656" t="s">
        <v>14976</v>
      </c>
      <c r="J1546" s="656" t="s">
        <v>463</v>
      </c>
      <c r="K1546" s="656"/>
      <c r="L1546" s="656"/>
      <c r="M1546" s="657"/>
      <c r="N1546" s="1482"/>
      <c r="O1546" s="656" t="s">
        <v>498</v>
      </c>
      <c r="P1546" s="656" t="s">
        <v>13052</v>
      </c>
      <c r="Q1546" s="656">
        <v>44216.780416666668</v>
      </c>
    </row>
    <row r="1547" spans="1:17">
      <c r="A1547" s="656" t="s">
        <v>1314</v>
      </c>
      <c r="B1547" s="657" t="s">
        <v>202</v>
      </c>
      <c r="C1547" s="656" t="s">
        <v>1315</v>
      </c>
      <c r="D1547" s="657" t="s">
        <v>13789</v>
      </c>
      <c r="E1547" s="657" t="s">
        <v>9406</v>
      </c>
      <c r="F1547" s="656" t="s">
        <v>462</v>
      </c>
      <c r="G1547" s="656" t="s">
        <v>512</v>
      </c>
      <c r="H1547" s="656" t="s">
        <v>462</v>
      </c>
      <c r="I1547" s="656" t="s">
        <v>15280</v>
      </c>
      <c r="J1547" s="656" t="s">
        <v>463</v>
      </c>
      <c r="K1547" s="656" t="s">
        <v>1924</v>
      </c>
      <c r="L1547" s="656"/>
      <c r="M1547" s="657"/>
      <c r="N1547" s="1482"/>
      <c r="O1547" s="656" t="s">
        <v>498</v>
      </c>
      <c r="P1547" s="656" t="s">
        <v>13052</v>
      </c>
      <c r="Q1547" s="656">
        <v>44216.780416666668</v>
      </c>
    </row>
    <row r="1548" spans="1:17">
      <c r="A1548" s="656" t="s">
        <v>1316</v>
      </c>
      <c r="B1548" s="657" t="s">
        <v>202</v>
      </c>
      <c r="C1548" s="656" t="s">
        <v>1317</v>
      </c>
      <c r="D1548" s="657" t="s">
        <v>14978</v>
      </c>
      <c r="E1548" s="657" t="s">
        <v>9406</v>
      </c>
      <c r="F1548" s="656" t="s">
        <v>1300</v>
      </c>
      <c r="G1548" s="656" t="s">
        <v>1301</v>
      </c>
      <c r="H1548" s="656" t="s">
        <v>1300</v>
      </c>
      <c r="I1548" s="656" t="s">
        <v>14976</v>
      </c>
      <c r="J1548" s="656"/>
      <c r="K1548" s="656"/>
      <c r="L1548" s="656"/>
      <c r="M1548" s="657"/>
      <c r="N1548" s="1482"/>
      <c r="O1548" s="656" t="s">
        <v>498</v>
      </c>
      <c r="P1548" s="656" t="s">
        <v>13052</v>
      </c>
      <c r="Q1548" s="656">
        <v>44216.780405092592</v>
      </c>
    </row>
    <row r="1549" spans="1:17">
      <c r="A1549" s="656" t="s">
        <v>1318</v>
      </c>
      <c r="B1549" s="657" t="s">
        <v>202</v>
      </c>
      <c r="C1549" s="656" t="s">
        <v>13858</v>
      </c>
      <c r="D1549" s="657" t="s">
        <v>14978</v>
      </c>
      <c r="E1549" s="657" t="s">
        <v>9406</v>
      </c>
      <c r="F1549" s="656" t="s">
        <v>1300</v>
      </c>
      <c r="G1549" s="656" t="s">
        <v>1301</v>
      </c>
      <c r="H1549" s="656" t="s">
        <v>1300</v>
      </c>
      <c r="I1549" s="656" t="s">
        <v>14976</v>
      </c>
      <c r="J1549" s="656"/>
      <c r="K1549" s="656"/>
      <c r="L1549" s="656"/>
      <c r="M1549" s="657"/>
      <c r="N1549" s="1482"/>
      <c r="O1549" s="656" t="s">
        <v>498</v>
      </c>
      <c r="P1549" s="656" t="s">
        <v>13052</v>
      </c>
      <c r="Q1549" s="656">
        <v>44216.780405092592</v>
      </c>
    </row>
    <row r="1550" spans="1:17">
      <c r="A1550" s="656" t="s">
        <v>1319</v>
      </c>
      <c r="B1550" s="657" t="s">
        <v>202</v>
      </c>
      <c r="C1550" s="656" t="s">
        <v>1320</v>
      </c>
      <c r="D1550" s="657" t="s">
        <v>14978</v>
      </c>
      <c r="E1550" s="657" t="s">
        <v>9406</v>
      </c>
      <c r="F1550" s="656" t="s">
        <v>462</v>
      </c>
      <c r="G1550" s="656" t="s">
        <v>512</v>
      </c>
      <c r="H1550" s="656" t="s">
        <v>462</v>
      </c>
      <c r="I1550" s="656" t="s">
        <v>14976</v>
      </c>
      <c r="J1550" s="656" t="s">
        <v>463</v>
      </c>
      <c r="K1550" s="656" t="s">
        <v>1924</v>
      </c>
      <c r="L1550" s="656" t="s">
        <v>1325</v>
      </c>
      <c r="M1550" s="657"/>
      <c r="N1550" s="1482"/>
      <c r="O1550" s="656" t="s">
        <v>498</v>
      </c>
      <c r="P1550" s="656" t="s">
        <v>13052</v>
      </c>
      <c r="Q1550" s="656">
        <v>44216.780405092592</v>
      </c>
    </row>
    <row r="1551" spans="1:17">
      <c r="A1551" s="656" t="s">
        <v>1321</v>
      </c>
      <c r="B1551" s="657" t="s">
        <v>202</v>
      </c>
      <c r="C1551" s="656" t="s">
        <v>1322</v>
      </c>
      <c r="D1551" s="657" t="s">
        <v>14978</v>
      </c>
      <c r="E1551" s="657" t="s">
        <v>9406</v>
      </c>
      <c r="F1551" s="656" t="s">
        <v>462</v>
      </c>
      <c r="G1551" s="656" t="s">
        <v>512</v>
      </c>
      <c r="H1551" s="656" t="s">
        <v>462</v>
      </c>
      <c r="I1551" s="656" t="s">
        <v>15280</v>
      </c>
      <c r="J1551" s="656" t="s">
        <v>463</v>
      </c>
      <c r="K1551" s="656" t="s">
        <v>1924</v>
      </c>
      <c r="L1551" s="656" t="s">
        <v>1325</v>
      </c>
      <c r="M1551" s="657"/>
      <c r="N1551" s="1482"/>
      <c r="O1551" s="656" t="s">
        <v>498</v>
      </c>
      <c r="P1551" s="656" t="s">
        <v>13052</v>
      </c>
      <c r="Q1551" s="656">
        <v>44216.780393518522</v>
      </c>
    </row>
    <row r="1552" spans="1:17">
      <c r="A1552" s="656" t="s">
        <v>1323</v>
      </c>
      <c r="B1552" s="657" t="s">
        <v>202</v>
      </c>
      <c r="C1552" s="656" t="s">
        <v>1324</v>
      </c>
      <c r="D1552" s="657" t="s">
        <v>14978</v>
      </c>
      <c r="E1552" s="657" t="s">
        <v>9406</v>
      </c>
      <c r="F1552" s="656" t="s">
        <v>462</v>
      </c>
      <c r="G1552" s="656" t="s">
        <v>512</v>
      </c>
      <c r="H1552" s="656" t="s">
        <v>462</v>
      </c>
      <c r="I1552" s="656" t="s">
        <v>14976</v>
      </c>
      <c r="J1552" s="656" t="s">
        <v>463</v>
      </c>
      <c r="K1552" s="656" t="s">
        <v>1924</v>
      </c>
      <c r="L1552" s="656" t="s">
        <v>1325</v>
      </c>
      <c r="M1552" s="657"/>
      <c r="N1552" s="1482"/>
      <c r="O1552" s="656" t="s">
        <v>498</v>
      </c>
      <c r="P1552" s="656" t="s">
        <v>13052</v>
      </c>
      <c r="Q1552" s="656">
        <v>44216.780393518522</v>
      </c>
    </row>
    <row r="1553" spans="1:17">
      <c r="A1553" s="656" t="s">
        <v>1325</v>
      </c>
      <c r="B1553" s="657" t="s">
        <v>202</v>
      </c>
      <c r="C1553" s="656" t="s">
        <v>1326</v>
      </c>
      <c r="D1553" s="657" t="s">
        <v>14978</v>
      </c>
      <c r="E1553" s="657" t="s">
        <v>9406</v>
      </c>
      <c r="F1553" s="656" t="s">
        <v>462</v>
      </c>
      <c r="G1553" s="656" t="s">
        <v>512</v>
      </c>
      <c r="H1553" s="656" t="s">
        <v>462</v>
      </c>
      <c r="I1553" s="656" t="s">
        <v>14976</v>
      </c>
      <c r="J1553" s="656" t="s">
        <v>463</v>
      </c>
      <c r="K1553" s="656" t="s">
        <v>1924</v>
      </c>
      <c r="L1553" s="656"/>
      <c r="M1553" s="657"/>
      <c r="N1553" s="1482"/>
      <c r="O1553" s="656" t="s">
        <v>498</v>
      </c>
      <c r="P1553" s="656" t="s">
        <v>13052</v>
      </c>
      <c r="Q1553" s="656">
        <v>44216.780381944445</v>
      </c>
    </row>
    <row r="1554" spans="1:17">
      <c r="A1554" s="656" t="s">
        <v>1327</v>
      </c>
      <c r="B1554" s="657" t="s">
        <v>202</v>
      </c>
      <c r="C1554" s="656" t="s">
        <v>1328</v>
      </c>
      <c r="D1554" s="657" t="s">
        <v>13789</v>
      </c>
      <c r="E1554" s="657" t="s">
        <v>9406</v>
      </c>
      <c r="F1554" s="656" t="s">
        <v>1300</v>
      </c>
      <c r="G1554" s="656" t="s">
        <v>1301</v>
      </c>
      <c r="H1554" s="656" t="s">
        <v>1300</v>
      </c>
      <c r="I1554" s="656" t="s">
        <v>14976</v>
      </c>
      <c r="J1554" s="656"/>
      <c r="K1554" s="656"/>
      <c r="L1554" s="656"/>
      <c r="M1554" s="657"/>
      <c r="N1554" s="1482"/>
      <c r="O1554" s="656" t="s">
        <v>498</v>
      </c>
      <c r="P1554" s="656" t="s">
        <v>13052</v>
      </c>
      <c r="Q1554" s="656">
        <v>44216.780381944445</v>
      </c>
    </row>
    <row r="1555" spans="1:17">
      <c r="A1555" s="656" t="s">
        <v>1329</v>
      </c>
      <c r="B1555" s="657" t="s">
        <v>531</v>
      </c>
      <c r="C1555" s="656" t="s">
        <v>1330</v>
      </c>
      <c r="D1555" s="657" t="s">
        <v>14978</v>
      </c>
      <c r="E1555" s="657" t="s">
        <v>9510</v>
      </c>
      <c r="F1555" s="656" t="s">
        <v>472</v>
      </c>
      <c r="G1555" s="656" t="s">
        <v>519</v>
      </c>
      <c r="H1555" s="656" t="s">
        <v>472</v>
      </c>
      <c r="I1555" s="656" t="s">
        <v>14976</v>
      </c>
      <c r="J1555" s="656" t="s">
        <v>12368</v>
      </c>
      <c r="K1555" s="656"/>
      <c r="L1555" s="656" t="s">
        <v>13855</v>
      </c>
      <c r="M1555" s="657"/>
      <c r="N1555" s="1482"/>
      <c r="O1555" s="656" t="s">
        <v>498</v>
      </c>
      <c r="P1555" s="656" t="s">
        <v>13052</v>
      </c>
      <c r="Q1555" s="656">
        <v>44216.780381944445</v>
      </c>
    </row>
    <row r="1556" spans="1:17">
      <c r="A1556" s="656" t="s">
        <v>1331</v>
      </c>
      <c r="B1556" s="657" t="s">
        <v>504</v>
      </c>
      <c r="C1556" s="656" t="s">
        <v>1332</v>
      </c>
      <c r="D1556" s="657" t="s">
        <v>13789</v>
      </c>
      <c r="E1556" s="657" t="s">
        <v>9458</v>
      </c>
      <c r="F1556" s="656" t="s">
        <v>505</v>
      </c>
      <c r="G1556" s="656" t="s">
        <v>509</v>
      </c>
      <c r="H1556" s="656" t="s">
        <v>505</v>
      </c>
      <c r="I1556" s="656" t="s">
        <v>14976</v>
      </c>
      <c r="J1556" s="656"/>
      <c r="K1556" s="656"/>
      <c r="L1556" s="656"/>
      <c r="M1556" s="657"/>
      <c r="N1556" s="1482"/>
      <c r="O1556" s="656" t="s">
        <v>498</v>
      </c>
      <c r="P1556" s="656" t="s">
        <v>13052</v>
      </c>
      <c r="Q1556" s="656">
        <v>44216.780370370368</v>
      </c>
    </row>
    <row r="1557" spans="1:17">
      <c r="A1557" s="656" t="s">
        <v>1333</v>
      </c>
      <c r="B1557" s="657" t="s">
        <v>504</v>
      </c>
      <c r="C1557" s="656" t="s">
        <v>13854</v>
      </c>
      <c r="D1557" s="657" t="s">
        <v>13789</v>
      </c>
      <c r="E1557" s="657" t="s">
        <v>7435</v>
      </c>
      <c r="F1557" s="656" t="s">
        <v>540</v>
      </c>
      <c r="G1557" s="656" t="s">
        <v>541</v>
      </c>
      <c r="H1557" s="656" t="s">
        <v>540</v>
      </c>
      <c r="I1557" s="656" t="s">
        <v>14976</v>
      </c>
      <c r="J1557" s="656"/>
      <c r="K1557" s="656"/>
      <c r="L1557" s="656"/>
      <c r="M1557" s="657"/>
      <c r="N1557" s="1482"/>
      <c r="O1557" s="656" t="s">
        <v>498</v>
      </c>
      <c r="P1557" s="656" t="s">
        <v>13052</v>
      </c>
      <c r="Q1557" s="656">
        <v>44216.780370370368</v>
      </c>
    </row>
    <row r="1558" spans="1:17">
      <c r="A1558" s="656" t="s">
        <v>1334</v>
      </c>
      <c r="B1558" s="657" t="s">
        <v>531</v>
      </c>
      <c r="C1558" s="656" t="s">
        <v>1335</v>
      </c>
      <c r="D1558" s="657" t="s">
        <v>14978</v>
      </c>
      <c r="E1558" s="657" t="s">
        <v>9510</v>
      </c>
      <c r="F1558" s="656" t="s">
        <v>472</v>
      </c>
      <c r="G1558" s="656" t="s">
        <v>519</v>
      </c>
      <c r="H1558" s="656" t="s">
        <v>472</v>
      </c>
      <c r="I1558" s="656" t="s">
        <v>15280</v>
      </c>
      <c r="J1558" s="656" t="s">
        <v>12368</v>
      </c>
      <c r="K1558" s="656"/>
      <c r="L1558" s="656" t="s">
        <v>1389</v>
      </c>
      <c r="M1558" s="657"/>
      <c r="N1558" s="1482"/>
      <c r="O1558" s="656" t="s">
        <v>498</v>
      </c>
      <c r="P1558" s="656" t="s">
        <v>13052</v>
      </c>
      <c r="Q1558" s="656">
        <v>44216.780358796299</v>
      </c>
    </row>
    <row r="1559" spans="1:17">
      <c r="A1559" s="656" t="s">
        <v>1336</v>
      </c>
      <c r="B1559" s="657" t="s">
        <v>531</v>
      </c>
      <c r="C1559" s="656" t="s">
        <v>1337</v>
      </c>
      <c r="D1559" s="657" t="s">
        <v>14977</v>
      </c>
      <c r="E1559" s="657"/>
      <c r="F1559" s="656" t="s">
        <v>2849</v>
      </c>
      <c r="G1559" s="656" t="s">
        <v>1207</v>
      </c>
      <c r="H1559" s="656" t="s">
        <v>1338</v>
      </c>
      <c r="I1559" s="656" t="s">
        <v>14976</v>
      </c>
      <c r="J1559" s="656"/>
      <c r="K1559" s="656"/>
      <c r="L1559" s="656" t="s">
        <v>1336</v>
      </c>
      <c r="M1559" s="657"/>
      <c r="N1559" s="1482"/>
      <c r="O1559" s="656" t="s">
        <v>498</v>
      </c>
      <c r="P1559" s="656" t="s">
        <v>13052</v>
      </c>
      <c r="Q1559" s="656">
        <v>44216.780347222222</v>
      </c>
    </row>
    <row r="1560" spans="1:17">
      <c r="A1560" s="656" t="s">
        <v>1339</v>
      </c>
      <c r="B1560" s="657" t="s">
        <v>202</v>
      </c>
      <c r="C1560" s="656" t="s">
        <v>1340</v>
      </c>
      <c r="D1560" s="657" t="s">
        <v>13789</v>
      </c>
      <c r="E1560" s="657" t="s">
        <v>9510</v>
      </c>
      <c r="F1560" s="656" t="s">
        <v>462</v>
      </c>
      <c r="G1560" s="656" t="s">
        <v>512</v>
      </c>
      <c r="H1560" s="656" t="s">
        <v>462</v>
      </c>
      <c r="I1560" s="656" t="s">
        <v>15280</v>
      </c>
      <c r="J1560" s="656" t="s">
        <v>463</v>
      </c>
      <c r="K1560" s="656" t="s">
        <v>1924</v>
      </c>
      <c r="L1560" s="656"/>
      <c r="M1560" s="657"/>
      <c r="N1560" s="1482"/>
      <c r="O1560" s="656" t="s">
        <v>498</v>
      </c>
      <c r="P1560" s="656" t="s">
        <v>13052</v>
      </c>
      <c r="Q1560" s="656">
        <v>44216.780347222222</v>
      </c>
    </row>
    <row r="1561" spans="1:17">
      <c r="A1561" s="656" t="s">
        <v>1341</v>
      </c>
      <c r="B1561" s="657" t="s">
        <v>504</v>
      </c>
      <c r="C1561" s="656" t="s">
        <v>1342</v>
      </c>
      <c r="D1561" s="657" t="s">
        <v>13789</v>
      </c>
      <c r="E1561" s="657" t="s">
        <v>9458</v>
      </c>
      <c r="F1561" s="656" t="s">
        <v>505</v>
      </c>
      <c r="G1561" s="656" t="s">
        <v>506</v>
      </c>
      <c r="H1561" s="656" t="s">
        <v>505</v>
      </c>
      <c r="I1561" s="656" t="s">
        <v>14976</v>
      </c>
      <c r="J1561" s="656"/>
      <c r="K1561" s="656"/>
      <c r="L1561" s="656"/>
      <c r="M1561" s="657"/>
      <c r="N1561" s="1482"/>
      <c r="O1561" s="656" t="s">
        <v>498</v>
      </c>
      <c r="P1561" s="656" t="s">
        <v>13052</v>
      </c>
      <c r="Q1561" s="656">
        <v>44216.780347222222</v>
      </c>
    </row>
    <row r="1562" spans="1:17">
      <c r="A1562" s="656" t="s">
        <v>1343</v>
      </c>
      <c r="B1562" s="657" t="s">
        <v>202</v>
      </c>
      <c r="C1562" s="656" t="s">
        <v>1344</v>
      </c>
      <c r="D1562" s="657" t="s">
        <v>13789</v>
      </c>
      <c r="E1562" s="657" t="s">
        <v>9406</v>
      </c>
      <c r="F1562" s="656" t="s">
        <v>783</v>
      </c>
      <c r="G1562" s="656" t="s">
        <v>783</v>
      </c>
      <c r="H1562" s="656" t="s">
        <v>783</v>
      </c>
      <c r="I1562" s="656" t="s">
        <v>14976</v>
      </c>
      <c r="J1562" s="656"/>
      <c r="K1562" s="656"/>
      <c r="L1562" s="656"/>
      <c r="M1562" s="657"/>
      <c r="N1562" s="1482"/>
      <c r="O1562" s="656" t="s">
        <v>498</v>
      </c>
      <c r="P1562" s="656" t="s">
        <v>13052</v>
      </c>
      <c r="Q1562" s="656">
        <v>44216.780335648145</v>
      </c>
    </row>
    <row r="1563" spans="1:17">
      <c r="A1563" s="656" t="s">
        <v>1345</v>
      </c>
      <c r="B1563" s="657" t="s">
        <v>504</v>
      </c>
      <c r="C1563" s="656" t="s">
        <v>1346</v>
      </c>
      <c r="D1563" s="657" t="s">
        <v>14978</v>
      </c>
      <c r="E1563" s="657" t="s">
        <v>9510</v>
      </c>
      <c r="F1563" s="656" t="s">
        <v>540</v>
      </c>
      <c r="G1563" s="656" t="s">
        <v>541</v>
      </c>
      <c r="H1563" s="656" t="s">
        <v>540</v>
      </c>
      <c r="I1563" s="656" t="s">
        <v>14976</v>
      </c>
      <c r="J1563" s="656"/>
      <c r="K1563" s="656"/>
      <c r="L1563" s="656" t="s">
        <v>15318</v>
      </c>
      <c r="M1563" s="657"/>
      <c r="N1563" s="1482"/>
      <c r="O1563" s="656" t="s">
        <v>498</v>
      </c>
      <c r="P1563" s="656" t="s">
        <v>13052</v>
      </c>
      <c r="Q1563" s="656">
        <v>44216.780335648145</v>
      </c>
    </row>
    <row r="1564" spans="1:17">
      <c r="A1564" s="656" t="s">
        <v>1347</v>
      </c>
      <c r="B1564" s="657" t="s">
        <v>504</v>
      </c>
      <c r="C1564" s="656" t="s">
        <v>1348</v>
      </c>
      <c r="D1564" s="657" t="s">
        <v>13789</v>
      </c>
      <c r="E1564" s="657" t="s">
        <v>9458</v>
      </c>
      <c r="F1564" s="656" t="s">
        <v>505</v>
      </c>
      <c r="G1564" s="656" t="s">
        <v>525</v>
      </c>
      <c r="H1564" s="656" t="s">
        <v>505</v>
      </c>
      <c r="I1564" s="656" t="s">
        <v>14976</v>
      </c>
      <c r="J1564" s="656"/>
      <c r="K1564" s="656"/>
      <c r="L1564" s="656"/>
      <c r="M1564" s="657"/>
      <c r="N1564" s="1482"/>
      <c r="O1564" s="656" t="s">
        <v>498</v>
      </c>
      <c r="P1564" s="656" t="s">
        <v>13052</v>
      </c>
      <c r="Q1564" s="656">
        <v>44216.780324074076</v>
      </c>
    </row>
    <row r="1565" spans="1:17">
      <c r="A1565" s="656" t="s">
        <v>1349</v>
      </c>
      <c r="B1565" s="657" t="s">
        <v>202</v>
      </c>
      <c r="C1565" s="656" t="s">
        <v>1350</v>
      </c>
      <c r="D1565" s="657" t="s">
        <v>13789</v>
      </c>
      <c r="E1565" s="657" t="s">
        <v>9510</v>
      </c>
      <c r="F1565" s="656" t="s">
        <v>4052</v>
      </c>
      <c r="G1565" s="656" t="s">
        <v>922</v>
      </c>
      <c r="H1565" s="656" t="s">
        <v>455</v>
      </c>
      <c r="I1565" s="656" t="s">
        <v>15280</v>
      </c>
      <c r="J1565" s="656" t="s">
        <v>451</v>
      </c>
      <c r="K1565" s="656" t="s">
        <v>1058</v>
      </c>
      <c r="L1565" s="656"/>
      <c r="M1565" s="657"/>
      <c r="N1565" s="1482"/>
      <c r="O1565" s="656" t="s">
        <v>498</v>
      </c>
      <c r="P1565" s="656" t="s">
        <v>13052</v>
      </c>
      <c r="Q1565" s="656">
        <v>44216.780335648145</v>
      </c>
    </row>
    <row r="1566" spans="1:17">
      <c r="A1566" s="656" t="s">
        <v>1351</v>
      </c>
      <c r="B1566" s="657" t="s">
        <v>504</v>
      </c>
      <c r="C1566" s="656" t="s">
        <v>1352</v>
      </c>
      <c r="D1566" s="657" t="s">
        <v>13789</v>
      </c>
      <c r="E1566" s="657" t="s">
        <v>9458</v>
      </c>
      <c r="F1566" s="656" t="s">
        <v>505</v>
      </c>
      <c r="G1566" s="656" t="s">
        <v>525</v>
      </c>
      <c r="H1566" s="656" t="s">
        <v>505</v>
      </c>
      <c r="I1566" s="656" t="s">
        <v>14976</v>
      </c>
      <c r="J1566" s="656"/>
      <c r="K1566" s="656"/>
      <c r="L1566" s="656"/>
      <c r="M1566" s="657"/>
      <c r="N1566" s="1482"/>
      <c r="O1566" s="656" t="s">
        <v>498</v>
      </c>
      <c r="P1566" s="656" t="s">
        <v>13052</v>
      </c>
      <c r="Q1566" s="656">
        <v>44216.780312499999</v>
      </c>
    </row>
    <row r="1567" spans="1:17">
      <c r="A1567" s="656" t="s">
        <v>1353</v>
      </c>
      <c r="B1567" s="657" t="s">
        <v>504</v>
      </c>
      <c r="C1567" s="656" t="s">
        <v>1354</v>
      </c>
      <c r="D1567" s="657" t="s">
        <v>14977</v>
      </c>
      <c r="E1567" s="657" t="s">
        <v>9458</v>
      </c>
      <c r="F1567" s="656" t="s">
        <v>540</v>
      </c>
      <c r="G1567" s="656" t="s">
        <v>569</v>
      </c>
      <c r="H1567" s="656" t="s">
        <v>540</v>
      </c>
      <c r="I1567" s="656" t="s">
        <v>14976</v>
      </c>
      <c r="J1567" s="656"/>
      <c r="K1567" s="656"/>
      <c r="L1567" s="656" t="s">
        <v>15317</v>
      </c>
      <c r="M1567" s="657"/>
      <c r="N1567" s="1482"/>
      <c r="O1567" s="656" t="s">
        <v>498</v>
      </c>
      <c r="P1567" s="656" t="s">
        <v>13052</v>
      </c>
      <c r="Q1567" s="656">
        <v>44216.780312499999</v>
      </c>
    </row>
    <row r="1568" spans="1:17">
      <c r="A1568" s="656" t="s">
        <v>1355</v>
      </c>
      <c r="B1568" s="657" t="s">
        <v>202</v>
      </c>
      <c r="C1568" s="656" t="s">
        <v>13853</v>
      </c>
      <c r="D1568" s="657" t="s">
        <v>13789</v>
      </c>
      <c r="E1568" s="657" t="s">
        <v>9510</v>
      </c>
      <c r="F1568" s="656" t="s">
        <v>472</v>
      </c>
      <c r="G1568" s="656" t="s">
        <v>519</v>
      </c>
      <c r="H1568" s="656" t="s">
        <v>472</v>
      </c>
      <c r="I1568" s="656" t="s">
        <v>15280</v>
      </c>
      <c r="J1568" s="656" t="s">
        <v>12368</v>
      </c>
      <c r="K1568" s="656"/>
      <c r="L1568" s="656"/>
      <c r="M1568" s="657"/>
      <c r="N1568" s="1482"/>
      <c r="O1568" s="656" t="s">
        <v>498</v>
      </c>
      <c r="P1568" s="656" t="s">
        <v>13052</v>
      </c>
      <c r="Q1568" s="656">
        <v>44216.780312499999</v>
      </c>
    </row>
    <row r="1569" spans="1:17">
      <c r="A1569" s="656" t="s">
        <v>1357</v>
      </c>
      <c r="B1569" s="657" t="s">
        <v>202</v>
      </c>
      <c r="C1569" s="656" t="s">
        <v>13852</v>
      </c>
      <c r="D1569" s="657" t="s">
        <v>13789</v>
      </c>
      <c r="E1569" s="657" t="s">
        <v>7437</v>
      </c>
      <c r="F1569" s="656" t="s">
        <v>1050</v>
      </c>
      <c r="G1569" s="656" t="s">
        <v>1078</v>
      </c>
      <c r="H1569" s="656" t="s">
        <v>1050</v>
      </c>
      <c r="I1569" s="656" t="s">
        <v>14976</v>
      </c>
      <c r="J1569" s="656"/>
      <c r="K1569" s="656"/>
      <c r="L1569" s="656"/>
      <c r="M1569" s="657"/>
      <c r="N1569" s="1482"/>
      <c r="O1569" s="656" t="s">
        <v>498</v>
      </c>
      <c r="P1569" s="656" t="s">
        <v>13052</v>
      </c>
      <c r="Q1569" s="656">
        <v>44216.780300925922</v>
      </c>
    </row>
    <row r="1570" spans="1:17">
      <c r="A1570" s="656" t="s">
        <v>1358</v>
      </c>
      <c r="B1570" s="657" t="s">
        <v>504</v>
      </c>
      <c r="C1570" s="656" t="s">
        <v>1359</v>
      </c>
      <c r="D1570" s="657" t="s">
        <v>13789</v>
      </c>
      <c r="E1570" s="657" t="s">
        <v>9458</v>
      </c>
      <c r="F1570" s="656" t="s">
        <v>505</v>
      </c>
      <c r="G1570" s="656" t="s">
        <v>525</v>
      </c>
      <c r="H1570" s="656" t="s">
        <v>505</v>
      </c>
      <c r="I1570" s="656" t="s">
        <v>14976</v>
      </c>
      <c r="J1570" s="656"/>
      <c r="K1570" s="656"/>
      <c r="L1570" s="656"/>
      <c r="M1570" s="657"/>
      <c r="N1570" s="1482"/>
      <c r="O1570" s="656" t="s">
        <v>498</v>
      </c>
      <c r="P1570" s="656" t="s">
        <v>13052</v>
      </c>
      <c r="Q1570" s="656">
        <v>44216.780300925922</v>
      </c>
    </row>
    <row r="1571" spans="1:17">
      <c r="A1571" s="656" t="s">
        <v>1360</v>
      </c>
      <c r="B1571" s="657" t="s">
        <v>504</v>
      </c>
      <c r="C1571" s="656" t="s">
        <v>1361</v>
      </c>
      <c r="D1571" s="657" t="s">
        <v>13789</v>
      </c>
      <c r="E1571" s="657" t="s">
        <v>9458</v>
      </c>
      <c r="F1571" s="656" t="s">
        <v>505</v>
      </c>
      <c r="G1571" s="656" t="s">
        <v>1293</v>
      </c>
      <c r="H1571" s="656" t="s">
        <v>505</v>
      </c>
      <c r="I1571" s="656" t="s">
        <v>14976</v>
      </c>
      <c r="J1571" s="656"/>
      <c r="K1571" s="656"/>
      <c r="L1571" s="656" t="s">
        <v>15116</v>
      </c>
      <c r="M1571" s="657"/>
      <c r="N1571" s="1482"/>
      <c r="O1571" s="656" t="s">
        <v>498</v>
      </c>
      <c r="P1571" s="656" t="s">
        <v>13052</v>
      </c>
      <c r="Q1571" s="656">
        <v>44216.780300925922</v>
      </c>
    </row>
    <row r="1572" spans="1:17">
      <c r="A1572" s="656" t="s">
        <v>1362</v>
      </c>
      <c r="B1572" s="657" t="s">
        <v>504</v>
      </c>
      <c r="C1572" s="656" t="s">
        <v>1363</v>
      </c>
      <c r="D1572" s="657" t="s">
        <v>14977</v>
      </c>
      <c r="E1572" s="657" t="s">
        <v>9458</v>
      </c>
      <c r="F1572" s="656" t="s">
        <v>505</v>
      </c>
      <c r="G1572" s="656" t="s">
        <v>509</v>
      </c>
      <c r="H1572" s="656" t="s">
        <v>505</v>
      </c>
      <c r="I1572" s="656" t="s">
        <v>14976</v>
      </c>
      <c r="J1572" s="656"/>
      <c r="K1572" s="656"/>
      <c r="L1572" s="656"/>
      <c r="M1572" s="657"/>
      <c r="N1572" s="1482"/>
      <c r="O1572" s="656" t="s">
        <v>498</v>
      </c>
      <c r="P1572" s="656" t="s">
        <v>13052</v>
      </c>
      <c r="Q1572" s="656">
        <v>44216.780289351853</v>
      </c>
    </row>
    <row r="1573" spans="1:17">
      <c r="A1573" s="656" t="s">
        <v>1364</v>
      </c>
      <c r="B1573" s="657" t="s">
        <v>504</v>
      </c>
      <c r="C1573" s="656" t="s">
        <v>1365</v>
      </c>
      <c r="D1573" s="657" t="s">
        <v>13789</v>
      </c>
      <c r="E1573" s="657" t="s">
        <v>9458</v>
      </c>
      <c r="F1573" s="656" t="s">
        <v>505</v>
      </c>
      <c r="G1573" s="656" t="s">
        <v>509</v>
      </c>
      <c r="H1573" s="656" t="s">
        <v>505</v>
      </c>
      <c r="I1573" s="656" t="s">
        <v>14976</v>
      </c>
      <c r="J1573" s="656"/>
      <c r="K1573" s="656"/>
      <c r="L1573" s="656"/>
      <c r="M1573" s="657"/>
      <c r="N1573" s="1482"/>
      <c r="O1573" s="656" t="s">
        <v>498</v>
      </c>
      <c r="P1573" s="656" t="s">
        <v>13052</v>
      </c>
      <c r="Q1573" s="656">
        <v>44216.780289351853</v>
      </c>
    </row>
    <row r="1574" spans="1:17">
      <c r="A1574" s="656" t="s">
        <v>1366</v>
      </c>
      <c r="B1574" s="657" t="s">
        <v>504</v>
      </c>
      <c r="C1574" s="656" t="s">
        <v>1367</v>
      </c>
      <c r="D1574" s="657" t="s">
        <v>13789</v>
      </c>
      <c r="E1574" s="657" t="s">
        <v>9458</v>
      </c>
      <c r="F1574" s="656" t="s">
        <v>505</v>
      </c>
      <c r="G1574" s="656" t="s">
        <v>509</v>
      </c>
      <c r="H1574" s="656" t="s">
        <v>505</v>
      </c>
      <c r="I1574" s="656" t="s">
        <v>14976</v>
      </c>
      <c r="J1574" s="656"/>
      <c r="K1574" s="656"/>
      <c r="L1574" s="656"/>
      <c r="M1574" s="657"/>
      <c r="N1574" s="1482"/>
      <c r="O1574" s="656" t="s">
        <v>498</v>
      </c>
      <c r="P1574" s="656" t="s">
        <v>13052</v>
      </c>
      <c r="Q1574" s="656">
        <v>44216.780277777776</v>
      </c>
    </row>
    <row r="1575" spans="1:17">
      <c r="A1575" s="656" t="s">
        <v>1368</v>
      </c>
      <c r="B1575" s="657" t="s">
        <v>504</v>
      </c>
      <c r="C1575" s="656" t="s">
        <v>1369</v>
      </c>
      <c r="D1575" s="657" t="s">
        <v>13789</v>
      </c>
      <c r="E1575" s="657" t="s">
        <v>9458</v>
      </c>
      <c r="F1575" s="656" t="s">
        <v>540</v>
      </c>
      <c r="G1575" s="656" t="s">
        <v>541</v>
      </c>
      <c r="H1575" s="656" t="s">
        <v>540</v>
      </c>
      <c r="I1575" s="656" t="s">
        <v>14976</v>
      </c>
      <c r="J1575" s="656"/>
      <c r="K1575" s="656"/>
      <c r="L1575" s="656"/>
      <c r="M1575" s="657"/>
      <c r="N1575" s="1482"/>
      <c r="O1575" s="656" t="s">
        <v>498</v>
      </c>
      <c r="P1575" s="656" t="s">
        <v>13052</v>
      </c>
      <c r="Q1575" s="656">
        <v>44216.780277777776</v>
      </c>
    </row>
    <row r="1576" spans="1:17">
      <c r="A1576" s="656" t="s">
        <v>1370</v>
      </c>
      <c r="B1576" s="657" t="s">
        <v>531</v>
      </c>
      <c r="C1576" s="656" t="s">
        <v>1371</v>
      </c>
      <c r="D1576" s="657" t="s">
        <v>14978</v>
      </c>
      <c r="E1576" s="657" t="s">
        <v>9510</v>
      </c>
      <c r="F1576" s="656" t="s">
        <v>2849</v>
      </c>
      <c r="G1576" s="656" t="s">
        <v>1372</v>
      </c>
      <c r="H1576" s="656" t="s">
        <v>469</v>
      </c>
      <c r="I1576" s="656" t="s">
        <v>15280</v>
      </c>
      <c r="J1576" s="656" t="s">
        <v>12822</v>
      </c>
      <c r="K1576" s="656"/>
      <c r="L1576" s="656"/>
      <c r="M1576" s="657"/>
      <c r="N1576" s="1482"/>
      <c r="O1576" s="656" t="s">
        <v>498</v>
      </c>
      <c r="P1576" s="656" t="s">
        <v>13052</v>
      </c>
      <c r="Q1576" s="656">
        <v>44216.780266203707</v>
      </c>
    </row>
    <row r="1577" spans="1:17">
      <c r="A1577" s="656" t="s">
        <v>1373</v>
      </c>
      <c r="B1577" s="657" t="s">
        <v>202</v>
      </c>
      <c r="C1577" s="656" t="s">
        <v>1374</v>
      </c>
      <c r="D1577" s="657" t="s">
        <v>13789</v>
      </c>
      <c r="E1577" s="657" t="s">
        <v>9510</v>
      </c>
      <c r="F1577" s="656" t="s">
        <v>472</v>
      </c>
      <c r="G1577" s="656" t="s">
        <v>519</v>
      </c>
      <c r="H1577" s="656" t="s">
        <v>472</v>
      </c>
      <c r="I1577" s="656" t="s">
        <v>15280</v>
      </c>
      <c r="J1577" s="656" t="s">
        <v>12368</v>
      </c>
      <c r="K1577" s="656"/>
      <c r="L1577" s="656"/>
      <c r="M1577" s="657"/>
      <c r="N1577" s="1482"/>
      <c r="O1577" s="656" t="s">
        <v>498</v>
      </c>
      <c r="P1577" s="656" t="s">
        <v>13052</v>
      </c>
      <c r="Q1577" s="656">
        <v>44216.780266203707</v>
      </c>
    </row>
    <row r="1578" spans="1:17">
      <c r="A1578" s="656" t="s">
        <v>1375</v>
      </c>
      <c r="B1578" s="657" t="s">
        <v>202</v>
      </c>
      <c r="C1578" s="656" t="s">
        <v>1376</v>
      </c>
      <c r="D1578" s="657" t="s">
        <v>13789</v>
      </c>
      <c r="E1578" s="657" t="s">
        <v>9406</v>
      </c>
      <c r="F1578" s="656" t="s">
        <v>783</v>
      </c>
      <c r="G1578" s="656" t="s">
        <v>783</v>
      </c>
      <c r="H1578" s="656" t="s">
        <v>783</v>
      </c>
      <c r="I1578" s="656" t="s">
        <v>14976</v>
      </c>
      <c r="J1578" s="656"/>
      <c r="K1578" s="656"/>
      <c r="L1578" s="656"/>
      <c r="M1578" s="657"/>
      <c r="N1578" s="1482"/>
      <c r="O1578" s="656" t="s">
        <v>498</v>
      </c>
      <c r="P1578" s="656" t="s">
        <v>13052</v>
      </c>
      <c r="Q1578" s="656">
        <v>44216.78025462963</v>
      </c>
    </row>
    <row r="1579" spans="1:17">
      <c r="A1579" s="656" t="s">
        <v>1377</v>
      </c>
      <c r="B1579" s="657" t="s">
        <v>531</v>
      </c>
      <c r="C1579" s="656" t="s">
        <v>1378</v>
      </c>
      <c r="D1579" s="657" t="s">
        <v>14978</v>
      </c>
      <c r="E1579" s="657" t="s">
        <v>9510</v>
      </c>
      <c r="F1579" s="656" t="s">
        <v>472</v>
      </c>
      <c r="G1579" s="656" t="s">
        <v>519</v>
      </c>
      <c r="H1579" s="656" t="s">
        <v>472</v>
      </c>
      <c r="I1579" s="656" t="s">
        <v>15280</v>
      </c>
      <c r="J1579" s="656" t="s">
        <v>12368</v>
      </c>
      <c r="K1579" s="656" t="s">
        <v>1058</v>
      </c>
      <c r="L1579" s="656" t="s">
        <v>1389</v>
      </c>
      <c r="M1579" s="657"/>
      <c r="N1579" s="1482"/>
      <c r="O1579" s="656" t="s">
        <v>498</v>
      </c>
      <c r="P1579" s="656" t="s">
        <v>13052</v>
      </c>
      <c r="Q1579" s="656">
        <v>44216.78025462963</v>
      </c>
    </row>
    <row r="1580" spans="1:17">
      <c r="A1580" s="656" t="s">
        <v>1379</v>
      </c>
      <c r="B1580" s="657" t="s">
        <v>531</v>
      </c>
      <c r="C1580" s="656" t="s">
        <v>1380</v>
      </c>
      <c r="D1580" s="657" t="s">
        <v>14978</v>
      </c>
      <c r="E1580" s="657" t="s">
        <v>9510</v>
      </c>
      <c r="F1580" s="656" t="s">
        <v>472</v>
      </c>
      <c r="G1580" s="656" t="s">
        <v>519</v>
      </c>
      <c r="H1580" s="656" t="s">
        <v>472</v>
      </c>
      <c r="I1580" s="656" t="s">
        <v>15280</v>
      </c>
      <c r="J1580" s="656" t="s">
        <v>12368</v>
      </c>
      <c r="K1580" s="656" t="s">
        <v>1058</v>
      </c>
      <c r="L1580" s="656" t="s">
        <v>1389</v>
      </c>
      <c r="M1580" s="657"/>
      <c r="N1580" s="1482"/>
      <c r="O1580" s="656" t="s">
        <v>498</v>
      </c>
      <c r="P1580" s="656" t="s">
        <v>13052</v>
      </c>
      <c r="Q1580" s="656">
        <v>44216.780243055553</v>
      </c>
    </row>
    <row r="1581" spans="1:17">
      <c r="A1581" s="656" t="s">
        <v>1381</v>
      </c>
      <c r="B1581" s="657" t="s">
        <v>531</v>
      </c>
      <c r="C1581" s="656" t="s">
        <v>1382</v>
      </c>
      <c r="D1581" s="657" t="s">
        <v>14978</v>
      </c>
      <c r="E1581" s="657" t="s">
        <v>9510</v>
      </c>
      <c r="F1581" s="656" t="s">
        <v>472</v>
      </c>
      <c r="G1581" s="656" t="s">
        <v>519</v>
      </c>
      <c r="H1581" s="656" t="s">
        <v>472</v>
      </c>
      <c r="I1581" s="656" t="s">
        <v>15280</v>
      </c>
      <c r="J1581" s="656" t="s">
        <v>12368</v>
      </c>
      <c r="K1581" s="656" t="s">
        <v>1058</v>
      </c>
      <c r="L1581" s="656" t="s">
        <v>1389</v>
      </c>
      <c r="M1581" s="657"/>
      <c r="N1581" s="1482"/>
      <c r="O1581" s="656" t="s">
        <v>498</v>
      </c>
      <c r="P1581" s="656" t="s">
        <v>13052</v>
      </c>
      <c r="Q1581" s="656">
        <v>44216.780243055553</v>
      </c>
    </row>
    <row r="1582" spans="1:17">
      <c r="A1582" s="656" t="s">
        <v>1383</v>
      </c>
      <c r="B1582" s="657" t="s">
        <v>531</v>
      </c>
      <c r="C1582" s="656" t="s">
        <v>1384</v>
      </c>
      <c r="D1582" s="657" t="s">
        <v>14978</v>
      </c>
      <c r="E1582" s="657" t="s">
        <v>9510</v>
      </c>
      <c r="F1582" s="656" t="s">
        <v>472</v>
      </c>
      <c r="G1582" s="656" t="s">
        <v>519</v>
      </c>
      <c r="H1582" s="656" t="s">
        <v>472</v>
      </c>
      <c r="I1582" s="656" t="s">
        <v>15280</v>
      </c>
      <c r="J1582" s="656" t="s">
        <v>12368</v>
      </c>
      <c r="K1582" s="656" t="s">
        <v>1058</v>
      </c>
      <c r="L1582" s="656" t="s">
        <v>1389</v>
      </c>
      <c r="M1582" s="657"/>
      <c r="N1582" s="1482"/>
      <c r="O1582" s="656" t="s">
        <v>498</v>
      </c>
      <c r="P1582" s="656" t="s">
        <v>13052</v>
      </c>
      <c r="Q1582" s="656">
        <v>44216.780243055553</v>
      </c>
    </row>
    <row r="1583" spans="1:17">
      <c r="A1583" s="656" t="s">
        <v>1385</v>
      </c>
      <c r="B1583" s="657" t="s">
        <v>531</v>
      </c>
      <c r="C1583" s="656" t="s">
        <v>13851</v>
      </c>
      <c r="D1583" s="657" t="s">
        <v>14978</v>
      </c>
      <c r="E1583" s="657" t="s">
        <v>9510</v>
      </c>
      <c r="F1583" s="656" t="s">
        <v>472</v>
      </c>
      <c r="G1583" s="656" t="s">
        <v>519</v>
      </c>
      <c r="H1583" s="656" t="s">
        <v>472</v>
      </c>
      <c r="I1583" s="656" t="s">
        <v>15280</v>
      </c>
      <c r="J1583" s="656" t="s">
        <v>12368</v>
      </c>
      <c r="K1583" s="656" t="s">
        <v>1058</v>
      </c>
      <c r="L1583" s="656" t="s">
        <v>1389</v>
      </c>
      <c r="M1583" s="657"/>
      <c r="N1583" s="1482"/>
      <c r="O1583" s="656" t="s">
        <v>498</v>
      </c>
      <c r="P1583" s="656" t="s">
        <v>13052</v>
      </c>
      <c r="Q1583" s="656">
        <v>44216.780243055553</v>
      </c>
    </row>
    <row r="1584" spans="1:17">
      <c r="A1584" s="656" t="s">
        <v>1387</v>
      </c>
      <c r="B1584" s="657" t="s">
        <v>504</v>
      </c>
      <c r="C1584" s="656" t="s">
        <v>1388</v>
      </c>
      <c r="D1584" s="657" t="s">
        <v>14978</v>
      </c>
      <c r="E1584" s="657" t="s">
        <v>9510</v>
      </c>
      <c r="F1584" s="656" t="s">
        <v>540</v>
      </c>
      <c r="G1584" s="656" t="s">
        <v>541</v>
      </c>
      <c r="H1584" s="656" t="s">
        <v>540</v>
      </c>
      <c r="I1584" s="656" t="s">
        <v>14976</v>
      </c>
      <c r="J1584" s="656"/>
      <c r="K1584" s="656"/>
      <c r="L1584" s="656" t="s">
        <v>13925</v>
      </c>
      <c r="M1584" s="657"/>
      <c r="N1584" s="1482"/>
      <c r="O1584" s="656" t="s">
        <v>498</v>
      </c>
      <c r="P1584" s="656" t="s">
        <v>13052</v>
      </c>
      <c r="Q1584" s="656">
        <v>44216.780231481483</v>
      </c>
    </row>
    <row r="1585" spans="1:17">
      <c r="A1585" s="656" t="s">
        <v>13848</v>
      </c>
      <c r="B1585" s="657" t="s">
        <v>504</v>
      </c>
      <c r="C1585" s="656" t="s">
        <v>1346</v>
      </c>
      <c r="D1585" s="657"/>
      <c r="E1585" s="657"/>
      <c r="F1585" s="656" t="s">
        <v>540</v>
      </c>
      <c r="G1585" s="656" t="s">
        <v>541</v>
      </c>
      <c r="H1585" s="656" t="s">
        <v>540</v>
      </c>
      <c r="I1585" s="656"/>
      <c r="J1585" s="656"/>
      <c r="K1585" s="656"/>
      <c r="L1585" s="656"/>
      <c r="M1585" s="657"/>
      <c r="N1585" s="1482"/>
      <c r="O1585" s="656" t="s">
        <v>498</v>
      </c>
      <c r="P1585" s="656" t="s">
        <v>13052</v>
      </c>
      <c r="Q1585" s="656">
        <v>44216.780219907407</v>
      </c>
    </row>
    <row r="1586" spans="1:17">
      <c r="A1586" s="656" t="s">
        <v>1389</v>
      </c>
      <c r="B1586" s="657" t="s">
        <v>531</v>
      </c>
      <c r="C1586" s="656" t="s">
        <v>1390</v>
      </c>
      <c r="D1586" s="657" t="s">
        <v>14977</v>
      </c>
      <c r="E1586" s="657" t="s">
        <v>9510</v>
      </c>
      <c r="F1586" s="656" t="s">
        <v>472</v>
      </c>
      <c r="G1586" s="656" t="s">
        <v>1391</v>
      </c>
      <c r="H1586" s="656" t="s">
        <v>472</v>
      </c>
      <c r="I1586" s="656" t="s">
        <v>15280</v>
      </c>
      <c r="J1586" s="656" t="s">
        <v>12368</v>
      </c>
      <c r="K1586" s="656"/>
      <c r="L1586" s="656"/>
      <c r="M1586" s="657"/>
      <c r="N1586" s="1482"/>
      <c r="O1586" s="656" t="s">
        <v>498</v>
      </c>
      <c r="P1586" s="656" t="s">
        <v>13052</v>
      </c>
      <c r="Q1586" s="656">
        <v>44216.780219907407</v>
      </c>
    </row>
    <row r="1587" spans="1:17">
      <c r="A1587" s="656" t="s">
        <v>1392</v>
      </c>
      <c r="B1587" s="657" t="s">
        <v>202</v>
      </c>
      <c r="C1587" s="656" t="s">
        <v>1393</v>
      </c>
      <c r="D1587" s="657" t="s">
        <v>13789</v>
      </c>
      <c r="E1587" s="657" t="s">
        <v>9510</v>
      </c>
      <c r="F1587" s="656" t="s">
        <v>1394</v>
      </c>
      <c r="G1587" s="656" t="s">
        <v>1395</v>
      </c>
      <c r="H1587" s="656" t="s">
        <v>1394</v>
      </c>
      <c r="I1587" s="656" t="s">
        <v>15280</v>
      </c>
      <c r="J1587" s="656"/>
      <c r="K1587" s="656"/>
      <c r="L1587" s="656"/>
      <c r="M1587" s="657"/>
      <c r="N1587" s="1482"/>
      <c r="O1587" s="656" t="s">
        <v>498</v>
      </c>
      <c r="P1587" s="656" t="s">
        <v>13052</v>
      </c>
      <c r="Q1587" s="656">
        <v>44216.78020833333</v>
      </c>
    </row>
    <row r="1588" spans="1:17">
      <c r="A1588" s="656" t="s">
        <v>1396</v>
      </c>
      <c r="B1588" s="657" t="s">
        <v>504</v>
      </c>
      <c r="C1588" s="656" t="s">
        <v>1397</v>
      </c>
      <c r="D1588" s="657" t="s">
        <v>14977</v>
      </c>
      <c r="E1588" s="657" t="s">
        <v>9458</v>
      </c>
      <c r="F1588" s="656" t="s">
        <v>540</v>
      </c>
      <c r="G1588" s="656" t="s">
        <v>1398</v>
      </c>
      <c r="H1588" s="656" t="s">
        <v>540</v>
      </c>
      <c r="I1588" s="656" t="s">
        <v>14976</v>
      </c>
      <c r="J1588" s="656"/>
      <c r="K1588" s="656"/>
      <c r="L1588" s="656"/>
      <c r="M1588" s="657"/>
      <c r="N1588" s="1482"/>
      <c r="O1588" s="656" t="s">
        <v>498</v>
      </c>
      <c r="P1588" s="656" t="s">
        <v>13052</v>
      </c>
      <c r="Q1588" s="656">
        <v>44216.78020833333</v>
      </c>
    </row>
    <row r="1589" spans="1:17">
      <c r="A1589" s="656" t="s">
        <v>1399</v>
      </c>
      <c r="B1589" s="657" t="s">
        <v>202</v>
      </c>
      <c r="C1589" s="656" t="s">
        <v>1400</v>
      </c>
      <c r="D1589" s="657" t="s">
        <v>13789</v>
      </c>
      <c r="E1589" s="657" t="s">
        <v>9510</v>
      </c>
      <c r="F1589" s="656" t="s">
        <v>3077</v>
      </c>
      <c r="G1589" s="656" t="s">
        <v>512</v>
      </c>
      <c r="H1589" s="656" t="s">
        <v>465</v>
      </c>
      <c r="I1589" s="656" t="s">
        <v>15280</v>
      </c>
      <c r="J1589" s="656" t="s">
        <v>446</v>
      </c>
      <c r="K1589" s="656" t="s">
        <v>3077</v>
      </c>
      <c r="L1589" s="656"/>
      <c r="M1589" s="657"/>
      <c r="N1589" s="1482"/>
      <c r="O1589" s="656" t="s">
        <v>498</v>
      </c>
      <c r="P1589" s="656" t="s">
        <v>13052</v>
      </c>
      <c r="Q1589" s="656">
        <v>44216.78019675926</v>
      </c>
    </row>
    <row r="1590" spans="1:17">
      <c r="A1590" s="656" t="s">
        <v>1401</v>
      </c>
      <c r="B1590" s="657" t="s">
        <v>504</v>
      </c>
      <c r="C1590" s="656" t="s">
        <v>1402</v>
      </c>
      <c r="D1590" s="657" t="s">
        <v>13789</v>
      </c>
      <c r="E1590" s="657" t="s">
        <v>9458</v>
      </c>
      <c r="F1590" s="656" t="s">
        <v>505</v>
      </c>
      <c r="G1590" s="656" t="s">
        <v>522</v>
      </c>
      <c r="H1590" s="656" t="s">
        <v>505</v>
      </c>
      <c r="I1590" s="656" t="s">
        <v>14976</v>
      </c>
      <c r="J1590" s="656"/>
      <c r="K1590" s="656"/>
      <c r="L1590" s="656"/>
      <c r="M1590" s="657"/>
      <c r="N1590" s="1482"/>
      <c r="O1590" s="656" t="s">
        <v>498</v>
      </c>
      <c r="P1590" s="656" t="s">
        <v>13052</v>
      </c>
      <c r="Q1590" s="656">
        <v>44216.78019675926</v>
      </c>
    </row>
    <row r="1591" spans="1:17">
      <c r="A1591" s="656" t="s">
        <v>1403</v>
      </c>
      <c r="B1591" s="657" t="s">
        <v>202</v>
      </c>
      <c r="C1591" s="656" t="s">
        <v>1404</v>
      </c>
      <c r="D1591" s="657" t="s">
        <v>13789</v>
      </c>
      <c r="E1591" s="657" t="s">
        <v>9510</v>
      </c>
      <c r="F1591" s="656" t="s">
        <v>1394</v>
      </c>
      <c r="G1591" s="656" t="s">
        <v>1395</v>
      </c>
      <c r="H1591" s="656" t="s">
        <v>1394</v>
      </c>
      <c r="I1591" s="656" t="s">
        <v>15280</v>
      </c>
      <c r="J1591" s="656"/>
      <c r="K1591" s="656"/>
      <c r="L1591" s="656"/>
      <c r="M1591" s="657"/>
      <c r="N1591" s="1482"/>
      <c r="O1591" s="656" t="s">
        <v>498</v>
      </c>
      <c r="P1591" s="656" t="s">
        <v>13052</v>
      </c>
      <c r="Q1591" s="656">
        <v>44216.780185185184</v>
      </c>
    </row>
    <row r="1592" spans="1:17">
      <c r="A1592" s="656" t="s">
        <v>1405</v>
      </c>
      <c r="B1592" s="657" t="s">
        <v>202</v>
      </c>
      <c r="C1592" s="656" t="s">
        <v>1406</v>
      </c>
      <c r="D1592" s="657" t="s">
        <v>13789</v>
      </c>
      <c r="E1592" s="657" t="s">
        <v>9510</v>
      </c>
      <c r="F1592" s="656" t="s">
        <v>1394</v>
      </c>
      <c r="G1592" s="656" t="s">
        <v>1395</v>
      </c>
      <c r="H1592" s="656" t="s">
        <v>1394</v>
      </c>
      <c r="I1592" s="656" t="s">
        <v>15280</v>
      </c>
      <c r="J1592" s="656"/>
      <c r="K1592" s="656"/>
      <c r="L1592" s="656"/>
      <c r="M1592" s="657"/>
      <c r="N1592" s="1482"/>
      <c r="O1592" s="656" t="s">
        <v>498</v>
      </c>
      <c r="P1592" s="656" t="s">
        <v>13052</v>
      </c>
      <c r="Q1592" s="656">
        <v>44216.780185185184</v>
      </c>
    </row>
    <row r="1593" spans="1:17">
      <c r="A1593" s="656" t="s">
        <v>1407</v>
      </c>
      <c r="B1593" s="657" t="s">
        <v>202</v>
      </c>
      <c r="C1593" s="656" t="s">
        <v>1408</v>
      </c>
      <c r="D1593" s="657" t="s">
        <v>13789</v>
      </c>
      <c r="E1593" s="657" t="s">
        <v>9510</v>
      </c>
      <c r="F1593" s="656" t="s">
        <v>1394</v>
      </c>
      <c r="G1593" s="656" t="s">
        <v>1395</v>
      </c>
      <c r="H1593" s="656" t="s">
        <v>1394</v>
      </c>
      <c r="I1593" s="656" t="s">
        <v>15280</v>
      </c>
      <c r="J1593" s="656"/>
      <c r="K1593" s="656"/>
      <c r="L1593" s="656"/>
      <c r="M1593" s="657"/>
      <c r="N1593" s="1482"/>
      <c r="O1593" s="656" t="s">
        <v>498</v>
      </c>
      <c r="P1593" s="656" t="s">
        <v>13052</v>
      </c>
      <c r="Q1593" s="656">
        <v>44216.780185185184</v>
      </c>
    </row>
    <row r="1594" spans="1:17">
      <c r="A1594" s="656" t="s">
        <v>1409</v>
      </c>
      <c r="B1594" s="657" t="s">
        <v>504</v>
      </c>
      <c r="C1594" s="656" t="s">
        <v>1408</v>
      </c>
      <c r="D1594" s="657" t="s">
        <v>13789</v>
      </c>
      <c r="E1594" s="657" t="s">
        <v>9458</v>
      </c>
      <c r="F1594" s="656" t="s">
        <v>540</v>
      </c>
      <c r="G1594" s="656" t="s">
        <v>541</v>
      </c>
      <c r="H1594" s="656" t="s">
        <v>540</v>
      </c>
      <c r="I1594" s="656" t="s">
        <v>14976</v>
      </c>
      <c r="J1594" s="656"/>
      <c r="K1594" s="656"/>
      <c r="L1594" s="656"/>
      <c r="M1594" s="657"/>
      <c r="N1594" s="1482"/>
      <c r="O1594" s="656" t="s">
        <v>498</v>
      </c>
      <c r="P1594" s="656" t="s">
        <v>13052</v>
      </c>
      <c r="Q1594" s="656">
        <v>44216.780173611114</v>
      </c>
    </row>
    <row r="1595" spans="1:17">
      <c r="A1595" s="656" t="s">
        <v>1410</v>
      </c>
      <c r="B1595" s="657" t="s">
        <v>504</v>
      </c>
      <c r="C1595" s="656" t="s">
        <v>1406</v>
      </c>
      <c r="D1595" s="657" t="s">
        <v>13789</v>
      </c>
      <c r="E1595" s="657" t="s">
        <v>9458</v>
      </c>
      <c r="F1595" s="656" t="s">
        <v>540</v>
      </c>
      <c r="G1595" s="656" t="s">
        <v>541</v>
      </c>
      <c r="H1595" s="656" t="s">
        <v>540</v>
      </c>
      <c r="I1595" s="656" t="s">
        <v>14976</v>
      </c>
      <c r="J1595" s="656"/>
      <c r="K1595" s="656"/>
      <c r="L1595" s="656"/>
      <c r="M1595" s="657"/>
      <c r="N1595" s="1482"/>
      <c r="O1595" s="656" t="s">
        <v>498</v>
      </c>
      <c r="P1595" s="656" t="s">
        <v>13052</v>
      </c>
      <c r="Q1595" s="656">
        <v>44216.780162037037</v>
      </c>
    </row>
    <row r="1596" spans="1:17">
      <c r="A1596" s="656" t="s">
        <v>1411</v>
      </c>
      <c r="B1596" s="657" t="s">
        <v>504</v>
      </c>
      <c r="C1596" s="656" t="s">
        <v>1412</v>
      </c>
      <c r="D1596" s="657" t="s">
        <v>13789</v>
      </c>
      <c r="E1596" s="657" t="s">
        <v>9458</v>
      </c>
      <c r="F1596" s="656" t="s">
        <v>540</v>
      </c>
      <c r="G1596" s="656" t="s">
        <v>541</v>
      </c>
      <c r="H1596" s="656" t="s">
        <v>540</v>
      </c>
      <c r="I1596" s="656" t="s">
        <v>14976</v>
      </c>
      <c r="J1596" s="656"/>
      <c r="K1596" s="656"/>
      <c r="L1596" s="656"/>
      <c r="M1596" s="657"/>
      <c r="N1596" s="1482"/>
      <c r="O1596" s="656" t="s">
        <v>498</v>
      </c>
      <c r="P1596" s="656" t="s">
        <v>13052</v>
      </c>
      <c r="Q1596" s="656">
        <v>44216.780162037037</v>
      </c>
    </row>
    <row r="1597" spans="1:17">
      <c r="A1597" s="656" t="s">
        <v>1413</v>
      </c>
      <c r="B1597" s="657" t="s">
        <v>531</v>
      </c>
      <c r="C1597" s="656" t="s">
        <v>1414</v>
      </c>
      <c r="D1597" s="657" t="s">
        <v>13789</v>
      </c>
      <c r="E1597" s="657" t="s">
        <v>9458</v>
      </c>
      <c r="F1597" s="656" t="s">
        <v>2849</v>
      </c>
      <c r="G1597" s="656" t="s">
        <v>836</v>
      </c>
      <c r="H1597" s="656" t="s">
        <v>1338</v>
      </c>
      <c r="I1597" s="656" t="s">
        <v>15280</v>
      </c>
      <c r="J1597" s="656"/>
      <c r="K1597" s="656"/>
      <c r="L1597" s="656"/>
      <c r="M1597" s="657"/>
      <c r="N1597" s="1482"/>
      <c r="O1597" s="656" t="s">
        <v>498</v>
      </c>
      <c r="P1597" s="656" t="s">
        <v>13052</v>
      </c>
      <c r="Q1597" s="656">
        <v>44216.780150462961</v>
      </c>
    </row>
    <row r="1598" spans="1:17">
      <c r="A1598" s="656" t="s">
        <v>1415</v>
      </c>
      <c r="B1598" s="657" t="s">
        <v>504</v>
      </c>
      <c r="C1598" s="656" t="s">
        <v>1421</v>
      </c>
      <c r="D1598" s="657" t="s">
        <v>13789</v>
      </c>
      <c r="E1598" s="657" t="s">
        <v>9458</v>
      </c>
      <c r="F1598" s="656" t="s">
        <v>540</v>
      </c>
      <c r="G1598" s="656" t="s">
        <v>541</v>
      </c>
      <c r="H1598" s="656" t="s">
        <v>540</v>
      </c>
      <c r="I1598" s="656" t="s">
        <v>14976</v>
      </c>
      <c r="J1598" s="656"/>
      <c r="K1598" s="656"/>
      <c r="L1598" s="656"/>
      <c r="M1598" s="657"/>
      <c r="N1598" s="1482"/>
      <c r="O1598" s="656" t="s">
        <v>498</v>
      </c>
      <c r="P1598" s="656" t="s">
        <v>13052</v>
      </c>
      <c r="Q1598" s="656">
        <v>44216.780150462961</v>
      </c>
    </row>
    <row r="1599" spans="1:17">
      <c r="A1599" s="656" t="s">
        <v>1416</v>
      </c>
      <c r="B1599" s="657" t="s">
        <v>504</v>
      </c>
      <c r="C1599" s="656" t="s">
        <v>13845</v>
      </c>
      <c r="D1599" s="657" t="s">
        <v>13789</v>
      </c>
      <c r="E1599" s="657" t="s">
        <v>9458</v>
      </c>
      <c r="F1599" s="656" t="s">
        <v>540</v>
      </c>
      <c r="G1599" s="656" t="s">
        <v>541</v>
      </c>
      <c r="H1599" s="656" t="s">
        <v>540</v>
      </c>
      <c r="I1599" s="656" t="s">
        <v>14976</v>
      </c>
      <c r="J1599" s="656"/>
      <c r="K1599" s="656"/>
      <c r="L1599" s="656"/>
      <c r="M1599" s="657"/>
      <c r="N1599" s="1482"/>
      <c r="O1599" s="656" t="s">
        <v>498</v>
      </c>
      <c r="P1599" s="656" t="s">
        <v>13052</v>
      </c>
      <c r="Q1599" s="656">
        <v>44216.780150462961</v>
      </c>
    </row>
    <row r="1600" spans="1:17">
      <c r="A1600" s="656" t="s">
        <v>1417</v>
      </c>
      <c r="B1600" s="657" t="s">
        <v>504</v>
      </c>
      <c r="C1600" s="656" t="s">
        <v>13844</v>
      </c>
      <c r="D1600" s="657" t="s">
        <v>13789</v>
      </c>
      <c r="E1600" s="657" t="s">
        <v>9458</v>
      </c>
      <c r="F1600" s="656" t="s">
        <v>540</v>
      </c>
      <c r="G1600" s="656" t="s">
        <v>541</v>
      </c>
      <c r="H1600" s="656" t="s">
        <v>540</v>
      </c>
      <c r="I1600" s="656" t="s">
        <v>14976</v>
      </c>
      <c r="J1600" s="656"/>
      <c r="K1600" s="656"/>
      <c r="L1600" s="656"/>
      <c r="M1600" s="657"/>
      <c r="N1600" s="1482"/>
      <c r="O1600" s="656" t="s">
        <v>498</v>
      </c>
      <c r="P1600" s="656" t="s">
        <v>13052</v>
      </c>
      <c r="Q1600" s="656">
        <v>44216.780138888891</v>
      </c>
    </row>
    <row r="1601" spans="1:17">
      <c r="A1601" s="656" t="s">
        <v>1418</v>
      </c>
      <c r="B1601" s="657" t="s">
        <v>504</v>
      </c>
      <c r="C1601" s="656" t="s">
        <v>1419</v>
      </c>
      <c r="D1601" s="657" t="s">
        <v>13789</v>
      </c>
      <c r="E1601" s="657" t="s">
        <v>9458</v>
      </c>
      <c r="F1601" s="656" t="s">
        <v>540</v>
      </c>
      <c r="G1601" s="656" t="s">
        <v>541</v>
      </c>
      <c r="H1601" s="656" t="s">
        <v>540</v>
      </c>
      <c r="I1601" s="656" t="s">
        <v>14976</v>
      </c>
      <c r="J1601" s="656"/>
      <c r="K1601" s="656"/>
      <c r="L1601" s="656"/>
      <c r="M1601" s="657"/>
      <c r="N1601" s="1482"/>
      <c r="O1601" s="656" t="s">
        <v>498</v>
      </c>
      <c r="P1601" s="656" t="s">
        <v>13052</v>
      </c>
      <c r="Q1601" s="656">
        <v>44216.780138888891</v>
      </c>
    </row>
    <row r="1602" spans="1:17">
      <c r="A1602" s="656" t="s">
        <v>1420</v>
      </c>
      <c r="B1602" s="657" t="s">
        <v>202</v>
      </c>
      <c r="C1602" s="656" t="s">
        <v>1421</v>
      </c>
      <c r="D1602" s="657" t="s">
        <v>13789</v>
      </c>
      <c r="E1602" s="657" t="s">
        <v>9510</v>
      </c>
      <c r="F1602" s="656" t="s">
        <v>1394</v>
      </c>
      <c r="G1602" s="656" t="s">
        <v>1395</v>
      </c>
      <c r="H1602" s="656" t="s">
        <v>1394</v>
      </c>
      <c r="I1602" s="656" t="s">
        <v>15280</v>
      </c>
      <c r="J1602" s="656"/>
      <c r="K1602" s="656"/>
      <c r="L1602" s="656"/>
      <c r="M1602" s="657"/>
      <c r="N1602" s="1482"/>
      <c r="O1602" s="656" t="s">
        <v>498</v>
      </c>
      <c r="P1602" s="656" t="s">
        <v>13052</v>
      </c>
      <c r="Q1602" s="656">
        <v>44216.780127314814</v>
      </c>
    </row>
    <row r="1603" spans="1:17">
      <c r="A1603" s="656" t="s">
        <v>1422</v>
      </c>
      <c r="B1603" s="657" t="s">
        <v>202</v>
      </c>
      <c r="C1603" s="656" t="s">
        <v>1423</v>
      </c>
      <c r="D1603" s="657" t="s">
        <v>13789</v>
      </c>
      <c r="E1603" s="657" t="s">
        <v>9510</v>
      </c>
      <c r="F1603" s="656" t="s">
        <v>1394</v>
      </c>
      <c r="G1603" s="656" t="s">
        <v>1395</v>
      </c>
      <c r="H1603" s="656" t="s">
        <v>1394</v>
      </c>
      <c r="I1603" s="656" t="s">
        <v>15280</v>
      </c>
      <c r="J1603" s="656"/>
      <c r="K1603" s="656"/>
      <c r="L1603" s="656"/>
      <c r="M1603" s="657"/>
      <c r="N1603" s="1482"/>
      <c r="O1603" s="656" t="s">
        <v>498</v>
      </c>
      <c r="P1603" s="656" t="s">
        <v>13052</v>
      </c>
      <c r="Q1603" s="656">
        <v>44216.780115740738</v>
      </c>
    </row>
    <row r="1604" spans="1:17">
      <c r="A1604" s="656" t="s">
        <v>1425</v>
      </c>
      <c r="B1604" s="657" t="s">
        <v>202</v>
      </c>
      <c r="C1604" s="656" t="s">
        <v>13843</v>
      </c>
      <c r="D1604" s="657" t="s">
        <v>13789</v>
      </c>
      <c r="E1604" s="657" t="s">
        <v>9510</v>
      </c>
      <c r="F1604" s="656" t="s">
        <v>1394</v>
      </c>
      <c r="G1604" s="656" t="s">
        <v>1395</v>
      </c>
      <c r="H1604" s="656" t="s">
        <v>1394</v>
      </c>
      <c r="I1604" s="656" t="s">
        <v>15280</v>
      </c>
      <c r="J1604" s="656"/>
      <c r="K1604" s="656"/>
      <c r="L1604" s="656"/>
      <c r="M1604" s="657"/>
      <c r="N1604" s="1482"/>
      <c r="O1604" s="656" t="s">
        <v>498</v>
      </c>
      <c r="P1604" s="656" t="s">
        <v>13052</v>
      </c>
      <c r="Q1604" s="656">
        <v>44216.780115740738</v>
      </c>
    </row>
    <row r="1605" spans="1:17">
      <c r="A1605" s="656" t="s">
        <v>1426</v>
      </c>
      <c r="B1605" s="657" t="s">
        <v>202</v>
      </c>
      <c r="C1605" s="656" t="s">
        <v>1419</v>
      </c>
      <c r="D1605" s="657" t="s">
        <v>13789</v>
      </c>
      <c r="E1605" s="657" t="s">
        <v>9510</v>
      </c>
      <c r="F1605" s="656" t="s">
        <v>1394</v>
      </c>
      <c r="G1605" s="656" t="s">
        <v>1395</v>
      </c>
      <c r="H1605" s="656" t="s">
        <v>1394</v>
      </c>
      <c r="I1605" s="656" t="s">
        <v>15280</v>
      </c>
      <c r="J1605" s="656"/>
      <c r="K1605" s="656"/>
      <c r="L1605" s="656"/>
      <c r="M1605" s="657"/>
      <c r="N1605" s="1482"/>
      <c r="O1605" s="656" t="s">
        <v>498</v>
      </c>
      <c r="P1605" s="656" t="s">
        <v>13052</v>
      </c>
      <c r="Q1605" s="656">
        <v>44216.780115740738</v>
      </c>
    </row>
    <row r="1606" spans="1:17">
      <c r="A1606" s="656" t="s">
        <v>1427</v>
      </c>
      <c r="B1606" s="657" t="s">
        <v>531</v>
      </c>
      <c r="C1606" s="656" t="s">
        <v>1428</v>
      </c>
      <c r="D1606" s="657" t="s">
        <v>13789</v>
      </c>
      <c r="E1606" s="657" t="s">
        <v>9510</v>
      </c>
      <c r="F1606" s="656" t="s">
        <v>2849</v>
      </c>
      <c r="G1606" s="656" t="s">
        <v>836</v>
      </c>
      <c r="H1606" s="656" t="s">
        <v>469</v>
      </c>
      <c r="I1606" s="656" t="s">
        <v>15280</v>
      </c>
      <c r="J1606" s="656" t="s">
        <v>532</v>
      </c>
      <c r="K1606" s="656"/>
      <c r="L1606" s="656"/>
      <c r="M1606" s="657"/>
      <c r="N1606" s="1482"/>
      <c r="O1606" s="656" t="s">
        <v>498</v>
      </c>
      <c r="P1606" s="656" t="s">
        <v>13052</v>
      </c>
      <c r="Q1606" s="656">
        <v>44216.780104166668</v>
      </c>
    </row>
    <row r="1607" spans="1:17">
      <c r="A1607" s="656" t="s">
        <v>1429</v>
      </c>
      <c r="B1607" s="657" t="s">
        <v>504</v>
      </c>
      <c r="C1607" s="656" t="s">
        <v>1430</v>
      </c>
      <c r="D1607" s="657" t="s">
        <v>13789</v>
      </c>
      <c r="E1607" s="657" t="s">
        <v>9458</v>
      </c>
      <c r="F1607" s="656" t="s">
        <v>505</v>
      </c>
      <c r="G1607" s="656" t="s">
        <v>506</v>
      </c>
      <c r="H1607" s="656" t="s">
        <v>505</v>
      </c>
      <c r="I1607" s="656" t="s">
        <v>14976</v>
      </c>
      <c r="J1607" s="656"/>
      <c r="K1607" s="656"/>
      <c r="L1607" s="656"/>
      <c r="M1607" s="657"/>
      <c r="N1607" s="1482"/>
      <c r="O1607" s="656" t="s">
        <v>498</v>
      </c>
      <c r="P1607" s="656" t="s">
        <v>13052</v>
      </c>
      <c r="Q1607" s="656">
        <v>44216.780104166668</v>
      </c>
    </row>
    <row r="1608" spans="1:17">
      <c r="A1608" s="656" t="s">
        <v>1431</v>
      </c>
      <c r="B1608" s="657" t="s">
        <v>504</v>
      </c>
      <c r="C1608" s="656" t="s">
        <v>1432</v>
      </c>
      <c r="D1608" s="657" t="s">
        <v>13789</v>
      </c>
      <c r="E1608" s="657" t="s">
        <v>9458</v>
      </c>
      <c r="F1608" s="656" t="s">
        <v>505</v>
      </c>
      <c r="G1608" s="656" t="s">
        <v>509</v>
      </c>
      <c r="H1608" s="656" t="s">
        <v>505</v>
      </c>
      <c r="I1608" s="656" t="s">
        <v>14976</v>
      </c>
      <c r="J1608" s="656"/>
      <c r="K1608" s="656"/>
      <c r="L1608" s="656" t="s">
        <v>15316</v>
      </c>
      <c r="M1608" s="657"/>
      <c r="N1608" s="1482"/>
      <c r="O1608" s="656" t="s">
        <v>498</v>
      </c>
      <c r="P1608" s="656" t="s">
        <v>13052</v>
      </c>
      <c r="Q1608" s="656">
        <v>44216.780092592591</v>
      </c>
    </row>
    <row r="1609" spans="1:17">
      <c r="A1609" s="656" t="s">
        <v>1433</v>
      </c>
      <c r="B1609" s="657" t="s">
        <v>504</v>
      </c>
      <c r="C1609" s="656" t="s">
        <v>1434</v>
      </c>
      <c r="D1609" s="657" t="s">
        <v>13789</v>
      </c>
      <c r="E1609" s="657" t="s">
        <v>9458</v>
      </c>
      <c r="F1609" s="656" t="s">
        <v>505</v>
      </c>
      <c r="G1609" s="656" t="s">
        <v>525</v>
      </c>
      <c r="H1609" s="656" t="s">
        <v>505</v>
      </c>
      <c r="I1609" s="656" t="s">
        <v>14976</v>
      </c>
      <c r="J1609" s="656"/>
      <c r="K1609" s="656"/>
      <c r="L1609" s="656"/>
      <c r="M1609" s="657"/>
      <c r="N1609" s="1482"/>
      <c r="O1609" s="656" t="s">
        <v>498</v>
      </c>
      <c r="P1609" s="656" t="s">
        <v>13052</v>
      </c>
      <c r="Q1609" s="656">
        <v>44216.780092592591</v>
      </c>
    </row>
    <row r="1610" spans="1:17">
      <c r="A1610" s="656" t="s">
        <v>1435</v>
      </c>
      <c r="B1610" s="657" t="s">
        <v>504</v>
      </c>
      <c r="C1610" s="656" t="s">
        <v>1436</v>
      </c>
      <c r="D1610" s="657" t="s">
        <v>13789</v>
      </c>
      <c r="E1610" s="657" t="s">
        <v>9458</v>
      </c>
      <c r="F1610" s="656" t="s">
        <v>505</v>
      </c>
      <c r="G1610" s="656" t="s">
        <v>506</v>
      </c>
      <c r="H1610" s="656" t="s">
        <v>505</v>
      </c>
      <c r="I1610" s="656" t="s">
        <v>14976</v>
      </c>
      <c r="J1610" s="656"/>
      <c r="K1610" s="656"/>
      <c r="L1610" s="656" t="s">
        <v>13862</v>
      </c>
      <c r="M1610" s="657"/>
      <c r="N1610" s="1482"/>
      <c r="O1610" s="656" t="s">
        <v>498</v>
      </c>
      <c r="P1610" s="656" t="s">
        <v>13052</v>
      </c>
      <c r="Q1610" s="656">
        <v>44216.780081018522</v>
      </c>
    </row>
    <row r="1611" spans="1:17">
      <c r="A1611" s="656" t="s">
        <v>1437</v>
      </c>
      <c r="B1611" s="657" t="s">
        <v>504</v>
      </c>
      <c r="C1611" s="656" t="s">
        <v>1438</v>
      </c>
      <c r="D1611" s="657" t="s">
        <v>13789</v>
      </c>
      <c r="E1611" s="657" t="s">
        <v>9458</v>
      </c>
      <c r="F1611" s="656" t="s">
        <v>505</v>
      </c>
      <c r="G1611" s="656" t="s">
        <v>506</v>
      </c>
      <c r="H1611" s="656" t="s">
        <v>505</v>
      </c>
      <c r="I1611" s="656" t="s">
        <v>14976</v>
      </c>
      <c r="J1611" s="656"/>
      <c r="K1611" s="656"/>
      <c r="L1611" s="656"/>
      <c r="M1611" s="657"/>
      <c r="N1611" s="1482"/>
      <c r="O1611" s="656" t="s">
        <v>498</v>
      </c>
      <c r="P1611" s="656" t="s">
        <v>13052</v>
      </c>
      <c r="Q1611" s="656">
        <v>44216.780081018522</v>
      </c>
    </row>
    <row r="1612" spans="1:17">
      <c r="A1612" s="656" t="s">
        <v>1439</v>
      </c>
      <c r="B1612" s="657" t="s">
        <v>202</v>
      </c>
      <c r="C1612" s="656" t="s">
        <v>1440</v>
      </c>
      <c r="D1612" s="657" t="s">
        <v>13789</v>
      </c>
      <c r="E1612" s="657" t="s">
        <v>7437</v>
      </c>
      <c r="F1612" s="656" t="s">
        <v>1050</v>
      </c>
      <c r="G1612" s="656" t="s">
        <v>1078</v>
      </c>
      <c r="H1612" s="656" t="s">
        <v>1050</v>
      </c>
      <c r="I1612" s="656" t="s">
        <v>14976</v>
      </c>
      <c r="J1612" s="656"/>
      <c r="K1612" s="656"/>
      <c r="L1612" s="656"/>
      <c r="M1612" s="657"/>
      <c r="N1612" s="1482"/>
      <c r="O1612" s="656" t="s">
        <v>498</v>
      </c>
      <c r="P1612" s="656" t="s">
        <v>13052</v>
      </c>
      <c r="Q1612" s="656">
        <v>44216.780069444445</v>
      </c>
    </row>
    <row r="1613" spans="1:17">
      <c r="A1613" s="656" t="s">
        <v>1441</v>
      </c>
      <c r="B1613" s="657" t="s">
        <v>504</v>
      </c>
      <c r="C1613" s="656" t="s">
        <v>1442</v>
      </c>
      <c r="D1613" s="657" t="s">
        <v>13789</v>
      </c>
      <c r="E1613" s="657" t="s">
        <v>9458</v>
      </c>
      <c r="F1613" s="656" t="s">
        <v>505</v>
      </c>
      <c r="G1613" s="656" t="s">
        <v>506</v>
      </c>
      <c r="H1613" s="656" t="s">
        <v>505</v>
      </c>
      <c r="I1613" s="656" t="s">
        <v>14976</v>
      </c>
      <c r="J1613" s="656"/>
      <c r="K1613" s="656"/>
      <c r="L1613" s="656"/>
      <c r="M1613" s="657"/>
      <c r="N1613" s="1482"/>
      <c r="O1613" s="656" t="s">
        <v>498</v>
      </c>
      <c r="P1613" s="656" t="s">
        <v>13052</v>
      </c>
      <c r="Q1613" s="656">
        <v>44216.780069444445</v>
      </c>
    </row>
    <row r="1614" spans="1:17">
      <c r="A1614" s="656" t="s">
        <v>1443</v>
      </c>
      <c r="B1614" s="657" t="s">
        <v>202</v>
      </c>
      <c r="C1614" s="656" t="s">
        <v>1444</v>
      </c>
      <c r="D1614" s="657" t="s">
        <v>13789</v>
      </c>
      <c r="E1614" s="657" t="s">
        <v>9510</v>
      </c>
      <c r="F1614" s="656" t="s">
        <v>472</v>
      </c>
      <c r="G1614" s="656" t="s">
        <v>1395</v>
      </c>
      <c r="H1614" s="656" t="s">
        <v>472</v>
      </c>
      <c r="I1614" s="656" t="s">
        <v>15280</v>
      </c>
      <c r="J1614" s="656" t="s">
        <v>12368</v>
      </c>
      <c r="K1614" s="656"/>
      <c r="L1614" s="656"/>
      <c r="M1614" s="657"/>
      <c r="N1614" s="1482"/>
      <c r="O1614" s="656" t="s">
        <v>498</v>
      </c>
      <c r="P1614" s="656" t="s">
        <v>13052</v>
      </c>
      <c r="Q1614" s="656">
        <v>44216.780057870368</v>
      </c>
    </row>
    <row r="1615" spans="1:17">
      <c r="A1615" s="656" t="s">
        <v>1445</v>
      </c>
      <c r="B1615" s="657" t="s">
        <v>202</v>
      </c>
      <c r="C1615" s="656" t="s">
        <v>1446</v>
      </c>
      <c r="D1615" s="657" t="s">
        <v>13789</v>
      </c>
      <c r="E1615" s="657" t="s">
        <v>9510</v>
      </c>
      <c r="F1615" s="656" t="s">
        <v>472</v>
      </c>
      <c r="G1615" s="656" t="s">
        <v>1395</v>
      </c>
      <c r="H1615" s="656" t="s">
        <v>472</v>
      </c>
      <c r="I1615" s="656" t="s">
        <v>15280</v>
      </c>
      <c r="J1615" s="656" t="s">
        <v>12368</v>
      </c>
      <c r="K1615" s="656"/>
      <c r="L1615" s="656"/>
      <c r="M1615" s="657"/>
      <c r="N1615" s="1482"/>
      <c r="O1615" s="656" t="s">
        <v>498</v>
      </c>
      <c r="P1615" s="656" t="s">
        <v>13052</v>
      </c>
      <c r="Q1615" s="656">
        <v>44216.780057870368</v>
      </c>
    </row>
    <row r="1616" spans="1:17">
      <c r="A1616" s="656" t="s">
        <v>1447</v>
      </c>
      <c r="B1616" s="657" t="s">
        <v>504</v>
      </c>
      <c r="C1616" s="656" t="s">
        <v>1448</v>
      </c>
      <c r="D1616" s="657" t="s">
        <v>14978</v>
      </c>
      <c r="E1616" s="657" t="s">
        <v>9510</v>
      </c>
      <c r="F1616" s="656" t="s">
        <v>505</v>
      </c>
      <c r="G1616" s="656" t="s">
        <v>660</v>
      </c>
      <c r="H1616" s="656" t="s">
        <v>505</v>
      </c>
      <c r="I1616" s="656" t="s">
        <v>14976</v>
      </c>
      <c r="J1616" s="656"/>
      <c r="K1616" s="656"/>
      <c r="L1616" s="656" t="s">
        <v>15315</v>
      </c>
      <c r="M1616" s="657"/>
      <c r="N1616" s="1482"/>
      <c r="O1616" s="656" t="s">
        <v>498</v>
      </c>
      <c r="P1616" s="656" t="s">
        <v>13052</v>
      </c>
      <c r="Q1616" s="656">
        <v>44216.780046296299</v>
      </c>
    </row>
    <row r="1617" spans="1:17">
      <c r="A1617" s="656" t="s">
        <v>1449</v>
      </c>
      <c r="B1617" s="657" t="s">
        <v>504</v>
      </c>
      <c r="C1617" s="656" t="s">
        <v>1450</v>
      </c>
      <c r="D1617" s="657" t="s">
        <v>14978</v>
      </c>
      <c r="E1617" s="657" t="s">
        <v>9510</v>
      </c>
      <c r="F1617" s="656" t="s">
        <v>505</v>
      </c>
      <c r="G1617" s="656" t="s">
        <v>660</v>
      </c>
      <c r="H1617" s="656" t="s">
        <v>505</v>
      </c>
      <c r="I1617" s="656" t="s">
        <v>14976</v>
      </c>
      <c r="J1617" s="656"/>
      <c r="K1617" s="656"/>
      <c r="L1617" s="656" t="s">
        <v>15315</v>
      </c>
      <c r="M1617" s="657"/>
      <c r="N1617" s="1482"/>
      <c r="O1617" s="656" t="s">
        <v>498</v>
      </c>
      <c r="P1617" s="656" t="s">
        <v>13052</v>
      </c>
      <c r="Q1617" s="656">
        <v>44216.780046296299</v>
      </c>
    </row>
    <row r="1618" spans="1:17">
      <c r="A1618" s="656" t="s">
        <v>1451</v>
      </c>
      <c r="B1618" s="657" t="s">
        <v>504</v>
      </c>
      <c r="C1618" s="656" t="s">
        <v>1452</v>
      </c>
      <c r="D1618" s="657" t="s">
        <v>14978</v>
      </c>
      <c r="E1618" s="657" t="s">
        <v>9510</v>
      </c>
      <c r="F1618" s="656" t="s">
        <v>505</v>
      </c>
      <c r="G1618" s="656" t="s">
        <v>660</v>
      </c>
      <c r="H1618" s="656" t="s">
        <v>505</v>
      </c>
      <c r="I1618" s="656" t="s">
        <v>14976</v>
      </c>
      <c r="J1618" s="656"/>
      <c r="K1618" s="656"/>
      <c r="L1618" s="656" t="s">
        <v>15315</v>
      </c>
      <c r="M1618" s="657"/>
      <c r="N1618" s="1482"/>
      <c r="O1618" s="656" t="s">
        <v>498</v>
      </c>
      <c r="P1618" s="656" t="s">
        <v>13052</v>
      </c>
      <c r="Q1618" s="656">
        <v>44216.780034722222</v>
      </c>
    </row>
    <row r="1619" spans="1:17">
      <c r="A1619" s="656" t="s">
        <v>1453</v>
      </c>
      <c r="B1619" s="657" t="s">
        <v>504</v>
      </c>
      <c r="C1619" s="656" t="s">
        <v>1454</v>
      </c>
      <c r="D1619" s="657" t="s">
        <v>14977</v>
      </c>
      <c r="E1619" s="657" t="s">
        <v>9458</v>
      </c>
      <c r="F1619" s="656" t="s">
        <v>505</v>
      </c>
      <c r="G1619" s="656" t="s">
        <v>660</v>
      </c>
      <c r="H1619" s="656" t="s">
        <v>505</v>
      </c>
      <c r="I1619" s="656" t="s">
        <v>14976</v>
      </c>
      <c r="J1619" s="656"/>
      <c r="K1619" s="656"/>
      <c r="L1619" s="656"/>
      <c r="M1619" s="657"/>
      <c r="N1619" s="1482"/>
      <c r="O1619" s="656" t="s">
        <v>498</v>
      </c>
      <c r="P1619" s="656" t="s">
        <v>13052</v>
      </c>
      <c r="Q1619" s="656">
        <v>44216.780034722222</v>
      </c>
    </row>
    <row r="1620" spans="1:17">
      <c r="A1620" s="656" t="s">
        <v>1455</v>
      </c>
      <c r="B1620" s="657" t="s">
        <v>531</v>
      </c>
      <c r="C1620" s="656" t="s">
        <v>1456</v>
      </c>
      <c r="D1620" s="657" t="s">
        <v>14977</v>
      </c>
      <c r="E1620" s="657" t="s">
        <v>9458</v>
      </c>
      <c r="F1620" s="656" t="s">
        <v>2849</v>
      </c>
      <c r="G1620" s="656" t="s">
        <v>561</v>
      </c>
      <c r="H1620" s="656" t="s">
        <v>469</v>
      </c>
      <c r="I1620" s="656" t="s">
        <v>15280</v>
      </c>
      <c r="J1620" s="656" t="s">
        <v>12369</v>
      </c>
      <c r="K1620" s="656" t="s">
        <v>1058</v>
      </c>
      <c r="L1620" s="656"/>
      <c r="M1620" s="657"/>
      <c r="N1620" s="1482"/>
      <c r="O1620" s="656" t="s">
        <v>498</v>
      </c>
      <c r="P1620" s="656" t="s">
        <v>13052</v>
      </c>
      <c r="Q1620" s="656">
        <v>44216.780023148145</v>
      </c>
    </row>
    <row r="1621" spans="1:17">
      <c r="A1621" s="656" t="s">
        <v>1457</v>
      </c>
      <c r="B1621" s="657" t="s">
        <v>202</v>
      </c>
      <c r="C1621" s="656" t="s">
        <v>1458</v>
      </c>
      <c r="D1621" s="657" t="s">
        <v>13789</v>
      </c>
      <c r="E1621" s="657" t="s">
        <v>9510</v>
      </c>
      <c r="F1621" s="656" t="s">
        <v>1300</v>
      </c>
      <c r="G1621" s="656" t="s">
        <v>1301</v>
      </c>
      <c r="H1621" s="656" t="s">
        <v>1300</v>
      </c>
      <c r="I1621" s="656" t="s">
        <v>15280</v>
      </c>
      <c r="J1621" s="656"/>
      <c r="K1621" s="656"/>
      <c r="L1621" s="656"/>
      <c r="M1621" s="657"/>
      <c r="N1621" s="1482"/>
      <c r="O1621" s="656" t="s">
        <v>498</v>
      </c>
      <c r="P1621" s="656" t="s">
        <v>13052</v>
      </c>
      <c r="Q1621" s="656">
        <v>44216.780023148145</v>
      </c>
    </row>
    <row r="1622" spans="1:17">
      <c r="A1622" s="656" t="s">
        <v>1459</v>
      </c>
      <c r="B1622" s="657" t="s">
        <v>202</v>
      </c>
      <c r="C1622" s="656" t="s">
        <v>1460</v>
      </c>
      <c r="D1622" s="657" t="s">
        <v>13789</v>
      </c>
      <c r="E1622" s="657" t="s">
        <v>9510</v>
      </c>
      <c r="F1622" s="656" t="s">
        <v>1050</v>
      </c>
      <c r="G1622" s="656" t="s">
        <v>1051</v>
      </c>
      <c r="H1622" s="656" t="s">
        <v>1050</v>
      </c>
      <c r="I1622" s="656" t="s">
        <v>15280</v>
      </c>
      <c r="J1622" s="656"/>
      <c r="K1622" s="656"/>
      <c r="L1622" s="656"/>
      <c r="M1622" s="657"/>
      <c r="N1622" s="1482"/>
      <c r="O1622" s="656" t="s">
        <v>498</v>
      </c>
      <c r="P1622" s="656" t="s">
        <v>13052</v>
      </c>
      <c r="Q1622" s="656">
        <v>44216.780011574076</v>
      </c>
    </row>
    <row r="1623" spans="1:17">
      <c r="A1623" s="656" t="s">
        <v>1461</v>
      </c>
      <c r="B1623" s="657" t="s">
        <v>202</v>
      </c>
      <c r="C1623" s="656" t="s">
        <v>1462</v>
      </c>
      <c r="D1623" s="657" t="s">
        <v>13789</v>
      </c>
      <c r="E1623" s="657" t="s">
        <v>9406</v>
      </c>
      <c r="F1623" s="656" t="s">
        <v>445</v>
      </c>
      <c r="G1623" s="656" t="s">
        <v>552</v>
      </c>
      <c r="H1623" s="656" t="s">
        <v>445</v>
      </c>
      <c r="I1623" s="656" t="s">
        <v>14976</v>
      </c>
      <c r="J1623" s="656" t="s">
        <v>8814</v>
      </c>
      <c r="K1623" s="656"/>
      <c r="L1623" s="656"/>
      <c r="M1623" s="657"/>
      <c r="N1623" s="1482"/>
      <c r="O1623" s="656" t="s">
        <v>498</v>
      </c>
      <c r="P1623" s="656" t="s">
        <v>13052</v>
      </c>
      <c r="Q1623" s="656">
        <v>44216.780011574076</v>
      </c>
    </row>
    <row r="1624" spans="1:17">
      <c r="A1624" s="656" t="s">
        <v>9292</v>
      </c>
      <c r="B1624" s="657" t="s">
        <v>202</v>
      </c>
      <c r="C1624" s="656" t="s">
        <v>12642</v>
      </c>
      <c r="D1624" s="657" t="s">
        <v>14978</v>
      </c>
      <c r="E1624" s="657" t="s">
        <v>9406</v>
      </c>
      <c r="F1624" s="656" t="s">
        <v>445</v>
      </c>
      <c r="G1624" s="656" t="s">
        <v>552</v>
      </c>
      <c r="H1624" s="656" t="s">
        <v>445</v>
      </c>
      <c r="I1624" s="656" t="s">
        <v>14976</v>
      </c>
      <c r="J1624" s="656" t="s">
        <v>8814</v>
      </c>
      <c r="K1624" s="656" t="s">
        <v>445</v>
      </c>
      <c r="L1624" s="656" t="s">
        <v>1463</v>
      </c>
      <c r="M1624" s="657"/>
      <c r="N1624" s="1482"/>
      <c r="O1624" s="656" t="s">
        <v>498</v>
      </c>
      <c r="P1624" s="656" t="s">
        <v>13052</v>
      </c>
      <c r="Q1624" s="656">
        <v>44216.78</v>
      </c>
    </row>
    <row r="1625" spans="1:17">
      <c r="A1625" s="656" t="s">
        <v>1463</v>
      </c>
      <c r="B1625" s="657" t="s">
        <v>202</v>
      </c>
      <c r="C1625" s="656" t="s">
        <v>1464</v>
      </c>
      <c r="D1625" s="657" t="s">
        <v>13789</v>
      </c>
      <c r="E1625" s="657" t="s">
        <v>9406</v>
      </c>
      <c r="F1625" s="656" t="s">
        <v>445</v>
      </c>
      <c r="G1625" s="656" t="s">
        <v>552</v>
      </c>
      <c r="H1625" s="656" t="s">
        <v>445</v>
      </c>
      <c r="I1625" s="656" t="s">
        <v>14976</v>
      </c>
      <c r="J1625" s="656" t="s">
        <v>8814</v>
      </c>
      <c r="K1625" s="656" t="s">
        <v>445</v>
      </c>
      <c r="L1625" s="656"/>
      <c r="M1625" s="657"/>
      <c r="N1625" s="1482"/>
      <c r="O1625" s="656" t="s">
        <v>498</v>
      </c>
      <c r="P1625" s="656" t="s">
        <v>13052</v>
      </c>
      <c r="Q1625" s="656">
        <v>44216.78</v>
      </c>
    </row>
    <row r="1626" spans="1:17">
      <c r="A1626" s="656" t="s">
        <v>1465</v>
      </c>
      <c r="B1626" s="657" t="s">
        <v>531</v>
      </c>
      <c r="C1626" s="656" t="s">
        <v>1466</v>
      </c>
      <c r="D1626" s="657" t="s">
        <v>13789</v>
      </c>
      <c r="E1626" s="657" t="s">
        <v>9510</v>
      </c>
      <c r="F1626" s="656" t="s">
        <v>442</v>
      </c>
      <c r="G1626" s="656" t="s">
        <v>561</v>
      </c>
      <c r="H1626" s="656" t="s">
        <v>442</v>
      </c>
      <c r="I1626" s="656" t="s">
        <v>15280</v>
      </c>
      <c r="J1626" s="656" t="s">
        <v>12369</v>
      </c>
      <c r="K1626" s="656"/>
      <c r="L1626" s="656"/>
      <c r="M1626" s="657"/>
      <c r="N1626" s="1482"/>
      <c r="O1626" s="656" t="s">
        <v>498</v>
      </c>
      <c r="P1626" s="656" t="s">
        <v>13052</v>
      </c>
      <c r="Q1626" s="656">
        <v>44216.779988425929</v>
      </c>
    </row>
    <row r="1627" spans="1:17">
      <c r="A1627" s="656" t="s">
        <v>1467</v>
      </c>
      <c r="B1627" s="657" t="s">
        <v>504</v>
      </c>
      <c r="C1627" s="656" t="s">
        <v>1468</v>
      </c>
      <c r="D1627" s="657" t="s">
        <v>13789</v>
      </c>
      <c r="E1627" s="657" t="s">
        <v>9458</v>
      </c>
      <c r="F1627" s="656" t="s">
        <v>540</v>
      </c>
      <c r="G1627" s="656" t="s">
        <v>541</v>
      </c>
      <c r="H1627" s="656" t="s">
        <v>540</v>
      </c>
      <c r="I1627" s="656" t="s">
        <v>14976</v>
      </c>
      <c r="J1627" s="656"/>
      <c r="K1627" s="656"/>
      <c r="L1627" s="656"/>
      <c r="M1627" s="657"/>
      <c r="N1627" s="1482"/>
      <c r="O1627" s="656" t="s">
        <v>498</v>
      </c>
      <c r="P1627" s="656" t="s">
        <v>13052</v>
      </c>
      <c r="Q1627" s="656">
        <v>44216.779988425929</v>
      </c>
    </row>
    <row r="1628" spans="1:17">
      <c r="A1628" s="656" t="s">
        <v>1469</v>
      </c>
      <c r="B1628" s="657" t="s">
        <v>202</v>
      </c>
      <c r="C1628" s="656" t="s">
        <v>1320</v>
      </c>
      <c r="D1628" s="657" t="s">
        <v>13789</v>
      </c>
      <c r="E1628" s="657" t="s">
        <v>9510</v>
      </c>
      <c r="F1628" s="656" t="s">
        <v>462</v>
      </c>
      <c r="G1628" s="656" t="s">
        <v>512</v>
      </c>
      <c r="H1628" s="656" t="s">
        <v>462</v>
      </c>
      <c r="I1628" s="656" t="s">
        <v>15280</v>
      </c>
      <c r="J1628" s="656" t="s">
        <v>463</v>
      </c>
      <c r="K1628" s="656" t="s">
        <v>1924</v>
      </c>
      <c r="L1628" s="656"/>
      <c r="M1628" s="657"/>
      <c r="N1628" s="1482"/>
      <c r="O1628" s="656" t="s">
        <v>498</v>
      </c>
      <c r="P1628" s="656" t="s">
        <v>13052</v>
      </c>
      <c r="Q1628" s="656">
        <v>44216.779976851853</v>
      </c>
    </row>
    <row r="1629" spans="1:17">
      <c r="A1629" s="656" t="s">
        <v>1470</v>
      </c>
      <c r="B1629" s="657" t="s">
        <v>202</v>
      </c>
      <c r="C1629" s="656" t="s">
        <v>1324</v>
      </c>
      <c r="D1629" s="657" t="s">
        <v>13789</v>
      </c>
      <c r="E1629" s="657" t="s">
        <v>9510</v>
      </c>
      <c r="F1629" s="656" t="s">
        <v>1300</v>
      </c>
      <c r="G1629" s="656" t="s">
        <v>1301</v>
      </c>
      <c r="H1629" s="656" t="s">
        <v>1300</v>
      </c>
      <c r="I1629" s="656" t="s">
        <v>15280</v>
      </c>
      <c r="J1629" s="656"/>
      <c r="K1629" s="656"/>
      <c r="L1629" s="656"/>
      <c r="M1629" s="657"/>
      <c r="N1629" s="1482"/>
      <c r="O1629" s="656" t="s">
        <v>498</v>
      </c>
      <c r="P1629" s="656" t="s">
        <v>13052</v>
      </c>
      <c r="Q1629" s="656">
        <v>44216.779976851853</v>
      </c>
    </row>
    <row r="1630" spans="1:17">
      <c r="A1630" s="656" t="s">
        <v>1471</v>
      </c>
      <c r="B1630" s="657" t="s">
        <v>202</v>
      </c>
      <c r="C1630" s="656" t="s">
        <v>1472</v>
      </c>
      <c r="D1630" s="657" t="s">
        <v>13789</v>
      </c>
      <c r="E1630" s="657" t="s">
        <v>9510</v>
      </c>
      <c r="F1630" s="656" t="s">
        <v>4052</v>
      </c>
      <c r="G1630" s="656"/>
      <c r="H1630" s="656" t="s">
        <v>455</v>
      </c>
      <c r="I1630" s="656" t="s">
        <v>15280</v>
      </c>
      <c r="J1630" s="656" t="s">
        <v>451</v>
      </c>
      <c r="K1630" s="656"/>
      <c r="L1630" s="656"/>
      <c r="M1630" s="657"/>
      <c r="N1630" s="1482"/>
      <c r="O1630" s="656" t="s">
        <v>498</v>
      </c>
      <c r="P1630" s="656" t="s">
        <v>13052</v>
      </c>
      <c r="Q1630" s="656">
        <v>44216.779976851853</v>
      </c>
    </row>
    <row r="1631" spans="1:17">
      <c r="A1631" s="656" t="s">
        <v>1473</v>
      </c>
      <c r="B1631" s="657" t="s">
        <v>504</v>
      </c>
      <c r="C1631" s="656" t="s">
        <v>1474</v>
      </c>
      <c r="D1631" s="657" t="s">
        <v>13789</v>
      </c>
      <c r="E1631" s="657" t="s">
        <v>9458</v>
      </c>
      <c r="F1631" s="656" t="s">
        <v>505</v>
      </c>
      <c r="G1631" s="656" t="s">
        <v>506</v>
      </c>
      <c r="H1631" s="656" t="s">
        <v>505</v>
      </c>
      <c r="I1631" s="656" t="s">
        <v>14976</v>
      </c>
      <c r="J1631" s="656"/>
      <c r="K1631" s="656"/>
      <c r="L1631" s="656"/>
      <c r="M1631" s="657"/>
      <c r="N1631" s="1482"/>
      <c r="O1631" s="656" t="s">
        <v>498</v>
      </c>
      <c r="P1631" s="656" t="s">
        <v>13052</v>
      </c>
      <c r="Q1631" s="656">
        <v>44216.779965277776</v>
      </c>
    </row>
    <row r="1632" spans="1:17">
      <c r="A1632" s="656" t="s">
        <v>1475</v>
      </c>
      <c r="B1632" s="657" t="s">
        <v>202</v>
      </c>
      <c r="C1632" s="656" t="s">
        <v>1476</v>
      </c>
      <c r="D1632" s="657" t="s">
        <v>13789</v>
      </c>
      <c r="E1632" s="657" t="s">
        <v>9510</v>
      </c>
      <c r="F1632" s="656" t="s">
        <v>1477</v>
      </c>
      <c r="G1632" s="656"/>
      <c r="H1632" s="656" t="s">
        <v>1477</v>
      </c>
      <c r="I1632" s="656" t="s">
        <v>14976</v>
      </c>
      <c r="J1632" s="656" t="s">
        <v>446</v>
      </c>
      <c r="K1632" s="656"/>
      <c r="L1632" s="656"/>
      <c r="M1632" s="657"/>
      <c r="N1632" s="1482"/>
      <c r="O1632" s="656" t="s">
        <v>498</v>
      </c>
      <c r="P1632" s="656" t="s">
        <v>13052</v>
      </c>
      <c r="Q1632" s="656">
        <v>44216.779965277776</v>
      </c>
    </row>
    <row r="1633" spans="1:17">
      <c r="A1633" s="656" t="s">
        <v>1479</v>
      </c>
      <c r="B1633" s="657" t="s">
        <v>202</v>
      </c>
      <c r="C1633" s="656" t="s">
        <v>1480</v>
      </c>
      <c r="D1633" s="657" t="s">
        <v>13789</v>
      </c>
      <c r="E1633" s="657" t="s">
        <v>9510</v>
      </c>
      <c r="F1633" s="656" t="s">
        <v>4052</v>
      </c>
      <c r="G1633" s="656"/>
      <c r="H1633" s="656" t="s">
        <v>455</v>
      </c>
      <c r="I1633" s="656" t="s">
        <v>15280</v>
      </c>
      <c r="J1633" s="656" t="s">
        <v>451</v>
      </c>
      <c r="K1633" s="656"/>
      <c r="L1633" s="656"/>
      <c r="M1633" s="657"/>
      <c r="N1633" s="1482"/>
      <c r="O1633" s="656" t="s">
        <v>498</v>
      </c>
      <c r="P1633" s="656" t="s">
        <v>13052</v>
      </c>
      <c r="Q1633" s="656">
        <v>44216.779953703706</v>
      </c>
    </row>
    <row r="1634" spans="1:17">
      <c r="A1634" s="656" t="s">
        <v>1481</v>
      </c>
      <c r="B1634" s="657" t="s">
        <v>504</v>
      </c>
      <c r="C1634" s="656" t="s">
        <v>1482</v>
      </c>
      <c r="D1634" s="657" t="s">
        <v>13789</v>
      </c>
      <c r="E1634" s="657" t="s">
        <v>9458</v>
      </c>
      <c r="F1634" s="656" t="s">
        <v>505</v>
      </c>
      <c r="G1634" s="656" t="s">
        <v>660</v>
      </c>
      <c r="H1634" s="656" t="s">
        <v>505</v>
      </c>
      <c r="I1634" s="656" t="s">
        <v>14976</v>
      </c>
      <c r="J1634" s="656"/>
      <c r="K1634" s="656"/>
      <c r="L1634" s="656"/>
      <c r="M1634" s="657"/>
      <c r="N1634" s="1482"/>
      <c r="O1634" s="656" t="s">
        <v>498</v>
      </c>
      <c r="P1634" s="656" t="s">
        <v>13052</v>
      </c>
      <c r="Q1634" s="656">
        <v>44216.779953703706</v>
      </c>
    </row>
    <row r="1635" spans="1:17">
      <c r="A1635" s="656" t="s">
        <v>1483</v>
      </c>
      <c r="B1635" s="657" t="s">
        <v>504</v>
      </c>
      <c r="C1635" s="656" t="s">
        <v>1484</v>
      </c>
      <c r="D1635" s="657" t="s">
        <v>13789</v>
      </c>
      <c r="E1635" s="657" t="s">
        <v>9458</v>
      </c>
      <c r="F1635" s="656" t="s">
        <v>505</v>
      </c>
      <c r="G1635" s="656" t="s">
        <v>525</v>
      </c>
      <c r="H1635" s="656" t="s">
        <v>505</v>
      </c>
      <c r="I1635" s="656" t="s">
        <v>14976</v>
      </c>
      <c r="J1635" s="656"/>
      <c r="K1635" s="656"/>
      <c r="L1635" s="656"/>
      <c r="M1635" s="657"/>
      <c r="N1635" s="1482"/>
      <c r="O1635" s="656" t="s">
        <v>498</v>
      </c>
      <c r="P1635" s="656" t="s">
        <v>13052</v>
      </c>
      <c r="Q1635" s="656">
        <v>44216.779942129629</v>
      </c>
    </row>
    <row r="1636" spans="1:17">
      <c r="A1636" s="656" t="s">
        <v>1485</v>
      </c>
      <c r="B1636" s="657" t="s">
        <v>202</v>
      </c>
      <c r="C1636" s="656" t="s">
        <v>1486</v>
      </c>
      <c r="D1636" s="657" t="s">
        <v>13789</v>
      </c>
      <c r="E1636" s="657" t="s">
        <v>9510</v>
      </c>
      <c r="F1636" s="656" t="s">
        <v>472</v>
      </c>
      <c r="G1636" s="656" t="s">
        <v>500</v>
      </c>
      <c r="H1636" s="656" t="s">
        <v>472</v>
      </c>
      <c r="I1636" s="656" t="s">
        <v>15280</v>
      </c>
      <c r="J1636" s="656" t="s">
        <v>12368</v>
      </c>
      <c r="K1636" s="656"/>
      <c r="L1636" s="656"/>
      <c r="M1636" s="657"/>
      <c r="N1636" s="1482"/>
      <c r="O1636" s="656" t="s">
        <v>498</v>
      </c>
      <c r="P1636" s="656" t="s">
        <v>13052</v>
      </c>
      <c r="Q1636" s="656">
        <v>44216.779942129629</v>
      </c>
    </row>
    <row r="1637" spans="1:17">
      <c r="A1637" s="656" t="s">
        <v>1487</v>
      </c>
      <c r="B1637" s="657" t="s">
        <v>202</v>
      </c>
      <c r="C1637" s="656" t="s">
        <v>1488</v>
      </c>
      <c r="D1637" s="657" t="s">
        <v>13789</v>
      </c>
      <c r="E1637" s="657" t="s">
        <v>9510</v>
      </c>
      <c r="F1637" s="656" t="s">
        <v>442</v>
      </c>
      <c r="G1637" s="656" t="s">
        <v>561</v>
      </c>
      <c r="H1637" s="656" t="s">
        <v>442</v>
      </c>
      <c r="I1637" s="656" t="s">
        <v>15280</v>
      </c>
      <c r="J1637" s="656" t="s">
        <v>12369</v>
      </c>
      <c r="K1637" s="656"/>
      <c r="L1637" s="656"/>
      <c r="M1637" s="657"/>
      <c r="N1637" s="1482"/>
      <c r="O1637" s="656" t="s">
        <v>498</v>
      </c>
      <c r="P1637" s="656" t="s">
        <v>13052</v>
      </c>
      <c r="Q1637" s="656">
        <v>44216.779930555553</v>
      </c>
    </row>
    <row r="1638" spans="1:17">
      <c r="A1638" s="656" t="s">
        <v>1489</v>
      </c>
      <c r="B1638" s="657" t="s">
        <v>202</v>
      </c>
      <c r="C1638" s="656" t="s">
        <v>1490</v>
      </c>
      <c r="D1638" s="657" t="s">
        <v>13789</v>
      </c>
      <c r="E1638" s="657" t="s">
        <v>9510</v>
      </c>
      <c r="F1638" s="656" t="s">
        <v>445</v>
      </c>
      <c r="G1638" s="656" t="s">
        <v>552</v>
      </c>
      <c r="H1638" s="656" t="s">
        <v>445</v>
      </c>
      <c r="I1638" s="656" t="s">
        <v>15280</v>
      </c>
      <c r="J1638" s="656" t="s">
        <v>8814</v>
      </c>
      <c r="K1638" s="656"/>
      <c r="L1638" s="656"/>
      <c r="M1638" s="657"/>
      <c r="N1638" s="1482"/>
      <c r="O1638" s="656" t="s">
        <v>498</v>
      </c>
      <c r="P1638" s="656" t="s">
        <v>13052</v>
      </c>
      <c r="Q1638" s="656">
        <v>44216.779930555553</v>
      </c>
    </row>
    <row r="1639" spans="1:17">
      <c r="A1639" s="656" t="s">
        <v>1491</v>
      </c>
      <c r="B1639" s="657" t="s">
        <v>202</v>
      </c>
      <c r="C1639" s="656" t="s">
        <v>1492</v>
      </c>
      <c r="D1639" s="657" t="s">
        <v>13789</v>
      </c>
      <c r="E1639" s="657" t="s">
        <v>9510</v>
      </c>
      <c r="F1639" s="656" t="s">
        <v>4052</v>
      </c>
      <c r="G1639" s="656" t="s">
        <v>512</v>
      </c>
      <c r="H1639" s="656" t="s">
        <v>455</v>
      </c>
      <c r="I1639" s="656" t="s">
        <v>15280</v>
      </c>
      <c r="J1639" s="656" t="s">
        <v>451</v>
      </c>
      <c r="K1639" s="656" t="s">
        <v>4052</v>
      </c>
      <c r="L1639" s="656"/>
      <c r="M1639" s="657"/>
      <c r="N1639" s="1482"/>
      <c r="O1639" s="656" t="s">
        <v>498</v>
      </c>
      <c r="P1639" s="656" t="s">
        <v>13052</v>
      </c>
      <c r="Q1639" s="656">
        <v>44216.779918981483</v>
      </c>
    </row>
    <row r="1640" spans="1:17">
      <c r="A1640" s="656" t="s">
        <v>1493</v>
      </c>
      <c r="B1640" s="657" t="s">
        <v>504</v>
      </c>
      <c r="C1640" s="656" t="s">
        <v>1494</v>
      </c>
      <c r="D1640" s="657" t="s">
        <v>13789</v>
      </c>
      <c r="E1640" s="657" t="s">
        <v>7437</v>
      </c>
      <c r="F1640" s="656" t="s">
        <v>505</v>
      </c>
      <c r="G1640" s="656" t="s">
        <v>1495</v>
      </c>
      <c r="H1640" s="656" t="s">
        <v>505</v>
      </c>
      <c r="I1640" s="656" t="s">
        <v>14976</v>
      </c>
      <c r="J1640" s="656"/>
      <c r="K1640" s="656"/>
      <c r="L1640" s="656"/>
      <c r="M1640" s="657"/>
      <c r="N1640" s="1482"/>
      <c r="O1640" s="656" t="s">
        <v>498</v>
      </c>
      <c r="P1640" s="656" t="s">
        <v>13052</v>
      </c>
      <c r="Q1640" s="656">
        <v>44216.779918981483</v>
      </c>
    </row>
    <row r="1641" spans="1:17">
      <c r="A1641" s="656" t="s">
        <v>1496</v>
      </c>
      <c r="B1641" s="657" t="s">
        <v>504</v>
      </c>
      <c r="C1641" s="656" t="s">
        <v>1497</v>
      </c>
      <c r="D1641" s="657" t="s">
        <v>13789</v>
      </c>
      <c r="E1641" s="657" t="s">
        <v>7439</v>
      </c>
      <c r="F1641" s="656" t="s">
        <v>505</v>
      </c>
      <c r="G1641" s="656" t="s">
        <v>506</v>
      </c>
      <c r="H1641" s="656" t="s">
        <v>505</v>
      </c>
      <c r="I1641" s="656" t="s">
        <v>14976</v>
      </c>
      <c r="J1641" s="656"/>
      <c r="K1641" s="656"/>
      <c r="L1641" s="656"/>
      <c r="M1641" s="657"/>
      <c r="N1641" s="1482"/>
      <c r="O1641" s="656" t="s">
        <v>498</v>
      </c>
      <c r="P1641" s="656" t="s">
        <v>13052</v>
      </c>
      <c r="Q1641" s="656">
        <v>44216.779907407406</v>
      </c>
    </row>
    <row r="1642" spans="1:17">
      <c r="A1642" s="656" t="s">
        <v>1498</v>
      </c>
      <c r="B1642" s="657" t="s">
        <v>504</v>
      </c>
      <c r="C1642" s="656" t="s">
        <v>1499</v>
      </c>
      <c r="D1642" s="657" t="s">
        <v>13789</v>
      </c>
      <c r="E1642" s="657" t="s">
        <v>7435</v>
      </c>
      <c r="F1642" s="656" t="s">
        <v>540</v>
      </c>
      <c r="G1642" s="656" t="s">
        <v>541</v>
      </c>
      <c r="H1642" s="656" t="s">
        <v>540</v>
      </c>
      <c r="I1642" s="656" t="s">
        <v>14976</v>
      </c>
      <c r="J1642" s="656"/>
      <c r="K1642" s="656"/>
      <c r="L1642" s="656"/>
      <c r="M1642" s="657"/>
      <c r="N1642" s="1482"/>
      <c r="O1642" s="656" t="s">
        <v>498</v>
      </c>
      <c r="P1642" s="656" t="s">
        <v>13052</v>
      </c>
      <c r="Q1642" s="656">
        <v>44216.779918981483</v>
      </c>
    </row>
    <row r="1643" spans="1:17">
      <c r="A1643" s="656" t="s">
        <v>1500</v>
      </c>
      <c r="B1643" s="657" t="s">
        <v>504</v>
      </c>
      <c r="C1643" s="656" t="s">
        <v>1501</v>
      </c>
      <c r="D1643" s="657" t="s">
        <v>13789</v>
      </c>
      <c r="E1643" s="657" t="s">
        <v>7435</v>
      </c>
      <c r="F1643" s="656" t="s">
        <v>540</v>
      </c>
      <c r="G1643" s="656" t="s">
        <v>541</v>
      </c>
      <c r="H1643" s="656" t="s">
        <v>540</v>
      </c>
      <c r="I1643" s="656" t="s">
        <v>14976</v>
      </c>
      <c r="J1643" s="656"/>
      <c r="K1643" s="656"/>
      <c r="L1643" s="656"/>
      <c r="M1643" s="657"/>
      <c r="N1643" s="1482"/>
      <c r="O1643" s="656" t="s">
        <v>498</v>
      </c>
      <c r="P1643" s="656" t="s">
        <v>13052</v>
      </c>
      <c r="Q1643" s="656">
        <v>44216.779907407406</v>
      </c>
    </row>
    <row r="1644" spans="1:17">
      <c r="A1644" s="656" t="s">
        <v>1502</v>
      </c>
      <c r="B1644" s="657" t="s">
        <v>504</v>
      </c>
      <c r="C1644" s="656" t="s">
        <v>13842</v>
      </c>
      <c r="D1644" s="657" t="s">
        <v>13789</v>
      </c>
      <c r="E1644" s="657" t="s">
        <v>7435</v>
      </c>
      <c r="F1644" s="656" t="s">
        <v>540</v>
      </c>
      <c r="G1644" s="656" t="s">
        <v>541</v>
      </c>
      <c r="H1644" s="656" t="s">
        <v>540</v>
      </c>
      <c r="I1644" s="656" t="s">
        <v>14976</v>
      </c>
      <c r="J1644" s="656"/>
      <c r="K1644" s="656"/>
      <c r="L1644" s="656"/>
      <c r="M1644" s="657"/>
      <c r="N1644" s="1482"/>
      <c r="O1644" s="656" t="s">
        <v>498</v>
      </c>
      <c r="P1644" s="656" t="s">
        <v>13052</v>
      </c>
      <c r="Q1644" s="656">
        <v>44216.779895833337</v>
      </c>
    </row>
    <row r="1645" spans="1:17">
      <c r="A1645" s="656" t="s">
        <v>1503</v>
      </c>
      <c r="B1645" s="657" t="s">
        <v>504</v>
      </c>
      <c r="C1645" s="656" t="s">
        <v>1504</v>
      </c>
      <c r="D1645" s="657" t="s">
        <v>13789</v>
      </c>
      <c r="E1645" s="657" t="s">
        <v>7435</v>
      </c>
      <c r="F1645" s="656" t="s">
        <v>540</v>
      </c>
      <c r="G1645" s="656" t="s">
        <v>541</v>
      </c>
      <c r="H1645" s="656" t="s">
        <v>540</v>
      </c>
      <c r="I1645" s="656" t="s">
        <v>14976</v>
      </c>
      <c r="J1645" s="656"/>
      <c r="K1645" s="656"/>
      <c r="L1645" s="656"/>
      <c r="M1645" s="657"/>
      <c r="N1645" s="1482"/>
      <c r="O1645" s="656" t="s">
        <v>498</v>
      </c>
      <c r="P1645" s="656" t="s">
        <v>13052</v>
      </c>
      <c r="Q1645" s="656">
        <v>44216.779895833337</v>
      </c>
    </row>
    <row r="1646" spans="1:17">
      <c r="A1646" s="656" t="s">
        <v>1505</v>
      </c>
      <c r="B1646" s="657" t="s">
        <v>504</v>
      </c>
      <c r="C1646" s="656" t="s">
        <v>13841</v>
      </c>
      <c r="D1646" s="657" t="s">
        <v>13789</v>
      </c>
      <c r="E1646" s="657" t="s">
        <v>7435</v>
      </c>
      <c r="F1646" s="656" t="s">
        <v>540</v>
      </c>
      <c r="G1646" s="656" t="s">
        <v>541</v>
      </c>
      <c r="H1646" s="656" t="s">
        <v>540</v>
      </c>
      <c r="I1646" s="656" t="s">
        <v>14976</v>
      </c>
      <c r="J1646" s="656"/>
      <c r="K1646" s="656"/>
      <c r="L1646" s="656"/>
      <c r="M1646" s="657"/>
      <c r="N1646" s="1482"/>
      <c r="O1646" s="656" t="s">
        <v>498</v>
      </c>
      <c r="P1646" s="656" t="s">
        <v>13052</v>
      </c>
      <c r="Q1646" s="656">
        <v>44216.77988425926</v>
      </c>
    </row>
    <row r="1647" spans="1:17">
      <c r="A1647" s="656" t="s">
        <v>1506</v>
      </c>
      <c r="B1647" s="657" t="s">
        <v>504</v>
      </c>
      <c r="C1647" s="656" t="s">
        <v>13840</v>
      </c>
      <c r="D1647" s="657" t="s">
        <v>13789</v>
      </c>
      <c r="E1647" s="657" t="s">
        <v>7435</v>
      </c>
      <c r="F1647" s="656" t="s">
        <v>540</v>
      </c>
      <c r="G1647" s="656" t="s">
        <v>541</v>
      </c>
      <c r="H1647" s="656" t="s">
        <v>540</v>
      </c>
      <c r="I1647" s="656" t="s">
        <v>14976</v>
      </c>
      <c r="J1647" s="656"/>
      <c r="K1647" s="656"/>
      <c r="L1647" s="656"/>
      <c r="M1647" s="657"/>
      <c r="N1647" s="1482"/>
      <c r="O1647" s="656" t="s">
        <v>498</v>
      </c>
      <c r="P1647" s="656" t="s">
        <v>13052</v>
      </c>
      <c r="Q1647" s="656">
        <v>44216.77988425926</v>
      </c>
    </row>
    <row r="1648" spans="1:17">
      <c r="A1648" s="656" t="s">
        <v>1507</v>
      </c>
      <c r="B1648" s="657" t="s">
        <v>504</v>
      </c>
      <c r="C1648" s="656" t="s">
        <v>13839</v>
      </c>
      <c r="D1648" s="657" t="s">
        <v>13789</v>
      </c>
      <c r="E1648" s="657" t="s">
        <v>7435</v>
      </c>
      <c r="F1648" s="656" t="s">
        <v>540</v>
      </c>
      <c r="G1648" s="656" t="s">
        <v>541</v>
      </c>
      <c r="H1648" s="656" t="s">
        <v>540</v>
      </c>
      <c r="I1648" s="656" t="s">
        <v>14976</v>
      </c>
      <c r="J1648" s="656"/>
      <c r="K1648" s="656"/>
      <c r="L1648" s="656"/>
      <c r="M1648" s="657"/>
      <c r="N1648" s="1482"/>
      <c r="O1648" s="656" t="s">
        <v>498</v>
      </c>
      <c r="P1648" s="656" t="s">
        <v>13052</v>
      </c>
      <c r="Q1648" s="656">
        <v>44216.779872685183</v>
      </c>
    </row>
    <row r="1649" spans="1:17">
      <c r="A1649" s="656" t="s">
        <v>1508</v>
      </c>
      <c r="B1649" s="657" t="s">
        <v>504</v>
      </c>
      <c r="C1649" s="656" t="s">
        <v>1509</v>
      </c>
      <c r="D1649" s="657" t="s">
        <v>13789</v>
      </c>
      <c r="E1649" s="657" t="s">
        <v>7435</v>
      </c>
      <c r="F1649" s="656" t="s">
        <v>540</v>
      </c>
      <c r="G1649" s="656" t="s">
        <v>541</v>
      </c>
      <c r="H1649" s="656" t="s">
        <v>540</v>
      </c>
      <c r="I1649" s="656" t="s">
        <v>14976</v>
      </c>
      <c r="J1649" s="656"/>
      <c r="K1649" s="656"/>
      <c r="L1649" s="656"/>
      <c r="M1649" s="657"/>
      <c r="N1649" s="1482"/>
      <c r="O1649" s="656" t="s">
        <v>498</v>
      </c>
      <c r="P1649" s="656" t="s">
        <v>13052</v>
      </c>
      <c r="Q1649" s="656">
        <v>44216.779872685183</v>
      </c>
    </row>
    <row r="1650" spans="1:17">
      <c r="A1650" s="656" t="s">
        <v>1510</v>
      </c>
      <c r="B1650" s="657" t="s">
        <v>504</v>
      </c>
      <c r="C1650" s="656" t="s">
        <v>13838</v>
      </c>
      <c r="D1650" s="657" t="s">
        <v>13789</v>
      </c>
      <c r="E1650" s="657" t="s">
        <v>7435</v>
      </c>
      <c r="F1650" s="656" t="s">
        <v>540</v>
      </c>
      <c r="G1650" s="656" t="s">
        <v>541</v>
      </c>
      <c r="H1650" s="656" t="s">
        <v>540</v>
      </c>
      <c r="I1650" s="656" t="s">
        <v>14976</v>
      </c>
      <c r="J1650" s="656"/>
      <c r="K1650" s="656"/>
      <c r="L1650" s="656"/>
      <c r="M1650" s="657"/>
      <c r="N1650" s="1482"/>
      <c r="O1650" s="656" t="s">
        <v>498</v>
      </c>
      <c r="P1650" s="656" t="s">
        <v>13052</v>
      </c>
      <c r="Q1650" s="656">
        <v>44216.779872685183</v>
      </c>
    </row>
    <row r="1651" spans="1:17">
      <c r="A1651" s="656" t="s">
        <v>1511</v>
      </c>
      <c r="B1651" s="657" t="s">
        <v>504</v>
      </c>
      <c r="C1651" s="656" t="s">
        <v>1512</v>
      </c>
      <c r="D1651" s="657" t="s">
        <v>13789</v>
      </c>
      <c r="E1651" s="657" t="s">
        <v>7435</v>
      </c>
      <c r="F1651" s="656" t="s">
        <v>540</v>
      </c>
      <c r="G1651" s="656" t="s">
        <v>541</v>
      </c>
      <c r="H1651" s="656" t="s">
        <v>540</v>
      </c>
      <c r="I1651" s="656" t="s">
        <v>14976</v>
      </c>
      <c r="J1651" s="656"/>
      <c r="K1651" s="656"/>
      <c r="L1651" s="656"/>
      <c r="M1651" s="657"/>
      <c r="N1651" s="1482"/>
      <c r="O1651" s="656" t="s">
        <v>498</v>
      </c>
      <c r="P1651" s="656" t="s">
        <v>13052</v>
      </c>
      <c r="Q1651" s="656">
        <v>44216.779849537037</v>
      </c>
    </row>
    <row r="1652" spans="1:17">
      <c r="A1652" s="656" t="s">
        <v>1513</v>
      </c>
      <c r="B1652" s="657" t="s">
        <v>504</v>
      </c>
      <c r="C1652" s="656" t="s">
        <v>1514</v>
      </c>
      <c r="D1652" s="657" t="s">
        <v>13789</v>
      </c>
      <c r="E1652" s="657" t="s">
        <v>7435</v>
      </c>
      <c r="F1652" s="656" t="s">
        <v>540</v>
      </c>
      <c r="G1652" s="656" t="s">
        <v>541</v>
      </c>
      <c r="H1652" s="656" t="s">
        <v>540</v>
      </c>
      <c r="I1652" s="656" t="s">
        <v>14976</v>
      </c>
      <c r="J1652" s="656"/>
      <c r="K1652" s="656"/>
      <c r="L1652" s="656"/>
      <c r="M1652" s="657"/>
      <c r="N1652" s="1482"/>
      <c r="O1652" s="656" t="s">
        <v>498</v>
      </c>
      <c r="P1652" s="656" t="s">
        <v>13052</v>
      </c>
      <c r="Q1652" s="656">
        <v>44216.779849537037</v>
      </c>
    </row>
    <row r="1653" spans="1:17">
      <c r="A1653" s="656" t="s">
        <v>1515</v>
      </c>
      <c r="B1653" s="657" t="s">
        <v>504</v>
      </c>
      <c r="C1653" s="656" t="s">
        <v>1516</v>
      </c>
      <c r="D1653" s="657" t="s">
        <v>13789</v>
      </c>
      <c r="E1653" s="657" t="s">
        <v>7437</v>
      </c>
      <c r="F1653" s="656" t="s">
        <v>540</v>
      </c>
      <c r="G1653" s="656" t="s">
        <v>541</v>
      </c>
      <c r="H1653" s="656" t="s">
        <v>540</v>
      </c>
      <c r="I1653" s="656" t="s">
        <v>14976</v>
      </c>
      <c r="J1653" s="656"/>
      <c r="K1653" s="656"/>
      <c r="L1653" s="656"/>
      <c r="M1653" s="657"/>
      <c r="N1653" s="1482"/>
      <c r="O1653" s="656" t="s">
        <v>498</v>
      </c>
      <c r="P1653" s="656" t="s">
        <v>13052</v>
      </c>
      <c r="Q1653" s="656">
        <v>44216.77983796296</v>
      </c>
    </row>
    <row r="1654" spans="1:17">
      <c r="A1654" s="656" t="s">
        <v>1517</v>
      </c>
      <c r="B1654" s="657" t="s">
        <v>504</v>
      </c>
      <c r="C1654" s="656" t="s">
        <v>1518</v>
      </c>
      <c r="D1654" s="657" t="s">
        <v>13789</v>
      </c>
      <c r="E1654" s="657" t="s">
        <v>9510</v>
      </c>
      <c r="F1654" s="656" t="s">
        <v>540</v>
      </c>
      <c r="G1654" s="656" t="s">
        <v>625</v>
      </c>
      <c r="H1654" s="656" t="s">
        <v>540</v>
      </c>
      <c r="I1654" s="656" t="s">
        <v>14976</v>
      </c>
      <c r="J1654" s="656"/>
      <c r="K1654" s="656"/>
      <c r="L1654" s="656"/>
      <c r="M1654" s="657"/>
      <c r="N1654" s="1482"/>
      <c r="O1654" s="656" t="s">
        <v>498</v>
      </c>
      <c r="P1654" s="656" t="s">
        <v>13052</v>
      </c>
      <c r="Q1654" s="656">
        <v>44216.779849537037</v>
      </c>
    </row>
    <row r="1655" spans="1:17">
      <c r="A1655" s="656" t="s">
        <v>1519</v>
      </c>
      <c r="B1655" s="657" t="s">
        <v>504</v>
      </c>
      <c r="C1655" s="656" t="s">
        <v>1520</v>
      </c>
      <c r="D1655" s="657" t="s">
        <v>13789</v>
      </c>
      <c r="E1655" s="657" t="s">
        <v>9510</v>
      </c>
      <c r="F1655" s="656" t="s">
        <v>540</v>
      </c>
      <c r="G1655" s="656" t="s">
        <v>625</v>
      </c>
      <c r="H1655" s="656" t="s">
        <v>540</v>
      </c>
      <c r="I1655" s="656" t="s">
        <v>14976</v>
      </c>
      <c r="J1655" s="656"/>
      <c r="K1655" s="656"/>
      <c r="L1655" s="656"/>
      <c r="M1655" s="657"/>
      <c r="N1655" s="1482"/>
      <c r="O1655" s="656" t="s">
        <v>498</v>
      </c>
      <c r="P1655" s="656" t="s">
        <v>13052</v>
      </c>
      <c r="Q1655" s="656">
        <v>44216.77983796296</v>
      </c>
    </row>
    <row r="1656" spans="1:17">
      <c r="A1656" s="656" t="s">
        <v>1521</v>
      </c>
      <c r="B1656" s="657" t="s">
        <v>504</v>
      </c>
      <c r="C1656" s="656" t="s">
        <v>1522</v>
      </c>
      <c r="D1656" s="657" t="s">
        <v>13789</v>
      </c>
      <c r="E1656" s="657" t="s">
        <v>9510</v>
      </c>
      <c r="F1656" s="656" t="s">
        <v>540</v>
      </c>
      <c r="G1656" s="656" t="s">
        <v>625</v>
      </c>
      <c r="H1656" s="656" t="s">
        <v>540</v>
      </c>
      <c r="I1656" s="656" t="s">
        <v>14976</v>
      </c>
      <c r="J1656" s="656"/>
      <c r="K1656" s="656"/>
      <c r="L1656" s="656"/>
      <c r="M1656" s="657"/>
      <c r="N1656" s="1482"/>
      <c r="O1656" s="656" t="s">
        <v>498</v>
      </c>
      <c r="P1656" s="656" t="s">
        <v>13052</v>
      </c>
      <c r="Q1656" s="656">
        <v>44216.779826388891</v>
      </c>
    </row>
    <row r="1657" spans="1:17">
      <c r="A1657" s="656" t="s">
        <v>1523</v>
      </c>
      <c r="B1657" s="657" t="s">
        <v>202</v>
      </c>
      <c r="C1657" s="656" t="s">
        <v>1524</v>
      </c>
      <c r="D1657" s="657" t="s">
        <v>13789</v>
      </c>
      <c r="E1657" s="657" t="s">
        <v>9510</v>
      </c>
      <c r="F1657" s="656" t="s">
        <v>4052</v>
      </c>
      <c r="G1657" s="656" t="s">
        <v>512</v>
      </c>
      <c r="H1657" s="656" t="s">
        <v>455</v>
      </c>
      <c r="I1657" s="656" t="s">
        <v>15280</v>
      </c>
      <c r="J1657" s="656" t="s">
        <v>451</v>
      </c>
      <c r="K1657" s="656" t="s">
        <v>4052</v>
      </c>
      <c r="L1657" s="656"/>
      <c r="M1657" s="657"/>
      <c r="N1657" s="1482"/>
      <c r="O1657" s="656" t="s">
        <v>498</v>
      </c>
      <c r="P1657" s="656" t="s">
        <v>13052</v>
      </c>
      <c r="Q1657" s="656">
        <v>44216.779826388891</v>
      </c>
    </row>
    <row r="1658" spans="1:17">
      <c r="A1658" s="656" t="s">
        <v>1525</v>
      </c>
      <c r="B1658" s="657" t="s">
        <v>202</v>
      </c>
      <c r="C1658" s="656" t="s">
        <v>1526</v>
      </c>
      <c r="D1658" s="657" t="s">
        <v>13789</v>
      </c>
      <c r="E1658" s="657" t="s">
        <v>9510</v>
      </c>
      <c r="F1658" s="656" t="s">
        <v>4052</v>
      </c>
      <c r="G1658" s="656" t="s">
        <v>512</v>
      </c>
      <c r="H1658" s="656" t="s">
        <v>455</v>
      </c>
      <c r="I1658" s="656" t="s">
        <v>15280</v>
      </c>
      <c r="J1658" s="656" t="s">
        <v>451</v>
      </c>
      <c r="K1658" s="656" t="s">
        <v>4052</v>
      </c>
      <c r="L1658" s="656"/>
      <c r="M1658" s="657"/>
      <c r="N1658" s="1482"/>
      <c r="O1658" s="656" t="s">
        <v>498</v>
      </c>
      <c r="P1658" s="656" t="s">
        <v>13052</v>
      </c>
      <c r="Q1658" s="656">
        <v>44216.779826388891</v>
      </c>
    </row>
    <row r="1659" spans="1:17">
      <c r="A1659" s="656" t="s">
        <v>1527</v>
      </c>
      <c r="B1659" s="657" t="s">
        <v>202</v>
      </c>
      <c r="C1659" s="656" t="s">
        <v>1528</v>
      </c>
      <c r="D1659" s="657" t="s">
        <v>13789</v>
      </c>
      <c r="E1659" s="657" t="s">
        <v>9510</v>
      </c>
      <c r="F1659" s="656" t="s">
        <v>442</v>
      </c>
      <c r="G1659" s="656" t="s">
        <v>561</v>
      </c>
      <c r="H1659" s="656" t="s">
        <v>442</v>
      </c>
      <c r="I1659" s="656" t="s">
        <v>14976</v>
      </c>
      <c r="J1659" s="656" t="s">
        <v>12369</v>
      </c>
      <c r="K1659" s="656"/>
      <c r="L1659" s="656"/>
      <c r="M1659" s="657"/>
      <c r="N1659" s="1482"/>
      <c r="O1659" s="656" t="s">
        <v>498</v>
      </c>
      <c r="P1659" s="656" t="s">
        <v>13052</v>
      </c>
      <c r="Q1659" s="656">
        <v>44216.779814814814</v>
      </c>
    </row>
    <row r="1660" spans="1:17">
      <c r="A1660" s="656" t="s">
        <v>1529</v>
      </c>
      <c r="B1660" s="657" t="s">
        <v>202</v>
      </c>
      <c r="C1660" s="656" t="s">
        <v>1530</v>
      </c>
      <c r="D1660" s="657" t="s">
        <v>13789</v>
      </c>
      <c r="E1660" s="657" t="s">
        <v>9510</v>
      </c>
      <c r="F1660" s="656" t="s">
        <v>472</v>
      </c>
      <c r="G1660" s="656" t="s">
        <v>1207</v>
      </c>
      <c r="H1660" s="656" t="s">
        <v>472</v>
      </c>
      <c r="I1660" s="656" t="s">
        <v>14976</v>
      </c>
      <c r="J1660" s="656" t="s">
        <v>12368</v>
      </c>
      <c r="K1660" s="656"/>
      <c r="L1660" s="656"/>
      <c r="M1660" s="657"/>
      <c r="N1660" s="1482"/>
      <c r="O1660" s="656" t="s">
        <v>498</v>
      </c>
      <c r="P1660" s="656" t="s">
        <v>13052</v>
      </c>
      <c r="Q1660" s="656">
        <v>44216.779814814814</v>
      </c>
    </row>
    <row r="1661" spans="1:17">
      <c r="A1661" s="656" t="s">
        <v>1531</v>
      </c>
      <c r="B1661" s="657" t="s">
        <v>202</v>
      </c>
      <c r="C1661" s="656" t="s">
        <v>1532</v>
      </c>
      <c r="D1661" s="657" t="s">
        <v>13789</v>
      </c>
      <c r="E1661" s="657" t="s">
        <v>9510</v>
      </c>
      <c r="F1661" s="656" t="s">
        <v>472</v>
      </c>
      <c r="G1661" s="656" t="s">
        <v>1207</v>
      </c>
      <c r="H1661" s="656" t="s">
        <v>472</v>
      </c>
      <c r="I1661" s="656" t="s">
        <v>14976</v>
      </c>
      <c r="J1661" s="656" t="s">
        <v>12368</v>
      </c>
      <c r="K1661" s="656"/>
      <c r="L1661" s="656"/>
      <c r="M1661" s="657"/>
      <c r="N1661" s="1482"/>
      <c r="O1661" s="656" t="s">
        <v>498</v>
      </c>
      <c r="P1661" s="656" t="s">
        <v>13052</v>
      </c>
      <c r="Q1661" s="656">
        <v>44216.779803240737</v>
      </c>
    </row>
    <row r="1662" spans="1:17">
      <c r="A1662" s="656" t="s">
        <v>1533</v>
      </c>
      <c r="B1662" s="657" t="s">
        <v>202</v>
      </c>
      <c r="C1662" s="656" t="s">
        <v>1534</v>
      </c>
      <c r="D1662" s="657" t="s">
        <v>13789</v>
      </c>
      <c r="E1662" s="657" t="s">
        <v>9510</v>
      </c>
      <c r="F1662" s="656" t="s">
        <v>442</v>
      </c>
      <c r="G1662" s="656" t="s">
        <v>561</v>
      </c>
      <c r="H1662" s="656" t="s">
        <v>442</v>
      </c>
      <c r="I1662" s="656" t="s">
        <v>14976</v>
      </c>
      <c r="J1662" s="656" t="s">
        <v>12369</v>
      </c>
      <c r="K1662" s="656"/>
      <c r="L1662" s="656"/>
      <c r="M1662" s="657"/>
      <c r="N1662" s="1482"/>
      <c r="O1662" s="656" t="s">
        <v>498</v>
      </c>
      <c r="P1662" s="656" t="s">
        <v>13052</v>
      </c>
      <c r="Q1662" s="656">
        <v>44216.779803240737</v>
      </c>
    </row>
    <row r="1663" spans="1:17">
      <c r="A1663" s="656" t="s">
        <v>1535</v>
      </c>
      <c r="B1663" s="657" t="s">
        <v>202</v>
      </c>
      <c r="C1663" s="656" t="s">
        <v>1536</v>
      </c>
      <c r="D1663" s="657" t="s">
        <v>13789</v>
      </c>
      <c r="E1663" s="657" t="s">
        <v>9510</v>
      </c>
      <c r="F1663" s="656" t="s">
        <v>472</v>
      </c>
      <c r="G1663" s="656" t="s">
        <v>1207</v>
      </c>
      <c r="H1663" s="656" t="s">
        <v>472</v>
      </c>
      <c r="I1663" s="656" t="s">
        <v>14976</v>
      </c>
      <c r="J1663" s="656" t="s">
        <v>12368</v>
      </c>
      <c r="K1663" s="656"/>
      <c r="L1663" s="656"/>
      <c r="M1663" s="657"/>
      <c r="N1663" s="1482"/>
      <c r="O1663" s="656" t="s">
        <v>498</v>
      </c>
      <c r="P1663" s="656" t="s">
        <v>13052</v>
      </c>
      <c r="Q1663" s="656">
        <v>44216.779791666668</v>
      </c>
    </row>
    <row r="1664" spans="1:17">
      <c r="A1664" s="656" t="s">
        <v>1537</v>
      </c>
      <c r="B1664" s="657" t="s">
        <v>202</v>
      </c>
      <c r="C1664" s="656" t="s">
        <v>1538</v>
      </c>
      <c r="D1664" s="657" t="s">
        <v>13789</v>
      </c>
      <c r="E1664" s="657" t="s">
        <v>9510</v>
      </c>
      <c r="F1664" s="656" t="s">
        <v>472</v>
      </c>
      <c r="G1664" s="656" t="s">
        <v>1207</v>
      </c>
      <c r="H1664" s="656" t="s">
        <v>472</v>
      </c>
      <c r="I1664" s="656" t="s">
        <v>14976</v>
      </c>
      <c r="J1664" s="656" t="s">
        <v>12368</v>
      </c>
      <c r="K1664" s="656"/>
      <c r="L1664" s="656"/>
      <c r="M1664" s="657"/>
      <c r="N1664" s="1482"/>
      <c r="O1664" s="656" t="s">
        <v>498</v>
      </c>
      <c r="P1664" s="656" t="s">
        <v>13052</v>
      </c>
      <c r="Q1664" s="656">
        <v>44216.779780092591</v>
      </c>
    </row>
    <row r="1665" spans="1:17">
      <c r="A1665" s="656" t="s">
        <v>1539</v>
      </c>
      <c r="B1665" s="657" t="s">
        <v>504</v>
      </c>
      <c r="C1665" s="656" t="s">
        <v>1540</v>
      </c>
      <c r="D1665" s="657" t="s">
        <v>13789</v>
      </c>
      <c r="E1665" s="657" t="s">
        <v>9458</v>
      </c>
      <c r="F1665" s="656" t="s">
        <v>505</v>
      </c>
      <c r="G1665" s="656" t="s">
        <v>506</v>
      </c>
      <c r="H1665" s="656" t="s">
        <v>505</v>
      </c>
      <c r="I1665" s="656" t="s">
        <v>14976</v>
      </c>
      <c r="J1665" s="656"/>
      <c r="K1665" s="656"/>
      <c r="L1665" s="656"/>
      <c r="M1665" s="657"/>
      <c r="N1665" s="1482"/>
      <c r="O1665" s="656" t="s">
        <v>498</v>
      </c>
      <c r="P1665" s="656" t="s">
        <v>13052</v>
      </c>
      <c r="Q1665" s="656">
        <v>44216.779780092591</v>
      </c>
    </row>
    <row r="1666" spans="1:17">
      <c r="A1666" s="656" t="s">
        <v>1541</v>
      </c>
      <c r="B1666" s="657" t="s">
        <v>504</v>
      </c>
      <c r="C1666" s="656" t="s">
        <v>13837</v>
      </c>
      <c r="D1666" s="657" t="s">
        <v>13789</v>
      </c>
      <c r="E1666" s="657" t="s">
        <v>9458</v>
      </c>
      <c r="F1666" s="656" t="s">
        <v>540</v>
      </c>
      <c r="G1666" s="656" t="s">
        <v>541</v>
      </c>
      <c r="H1666" s="656" t="s">
        <v>540</v>
      </c>
      <c r="I1666" s="656" t="s">
        <v>14976</v>
      </c>
      <c r="J1666" s="656"/>
      <c r="K1666" s="656"/>
      <c r="L1666" s="656"/>
      <c r="M1666" s="657"/>
      <c r="N1666" s="1482"/>
      <c r="O1666" s="656" t="s">
        <v>498</v>
      </c>
      <c r="P1666" s="656" t="s">
        <v>13052</v>
      </c>
      <c r="Q1666" s="656">
        <v>44216.779768518521</v>
      </c>
    </row>
    <row r="1667" spans="1:17">
      <c r="A1667" s="656" t="s">
        <v>1542</v>
      </c>
      <c r="B1667" s="657" t="s">
        <v>504</v>
      </c>
      <c r="C1667" s="656" t="s">
        <v>13836</v>
      </c>
      <c r="D1667" s="657" t="s">
        <v>13789</v>
      </c>
      <c r="E1667" s="657" t="s">
        <v>9458</v>
      </c>
      <c r="F1667" s="656" t="s">
        <v>540</v>
      </c>
      <c r="G1667" s="656" t="s">
        <v>569</v>
      </c>
      <c r="H1667" s="656" t="s">
        <v>540</v>
      </c>
      <c r="I1667" s="656" t="s">
        <v>14976</v>
      </c>
      <c r="J1667" s="656"/>
      <c r="K1667" s="656"/>
      <c r="L1667" s="656" t="s">
        <v>2064</v>
      </c>
      <c r="M1667" s="657"/>
      <c r="N1667" s="1482"/>
      <c r="O1667" s="656" t="s">
        <v>498</v>
      </c>
      <c r="P1667" s="656" t="s">
        <v>13052</v>
      </c>
      <c r="Q1667" s="656">
        <v>44216.779768518521</v>
      </c>
    </row>
    <row r="1668" spans="1:17">
      <c r="A1668" s="656" t="s">
        <v>1543</v>
      </c>
      <c r="B1668" s="657" t="s">
        <v>504</v>
      </c>
      <c r="C1668" s="656" t="s">
        <v>1544</v>
      </c>
      <c r="D1668" s="657" t="s">
        <v>13789</v>
      </c>
      <c r="E1668" s="657" t="s">
        <v>7439</v>
      </c>
      <c r="F1668" s="656" t="s">
        <v>505</v>
      </c>
      <c r="G1668" s="656" t="s">
        <v>1293</v>
      </c>
      <c r="H1668" s="656" t="s">
        <v>505</v>
      </c>
      <c r="I1668" s="656" t="s">
        <v>14976</v>
      </c>
      <c r="J1668" s="656"/>
      <c r="K1668" s="656"/>
      <c r="L1668" s="656" t="s">
        <v>15116</v>
      </c>
      <c r="M1668" s="657"/>
      <c r="N1668" s="1482"/>
      <c r="O1668" s="656" t="s">
        <v>498</v>
      </c>
      <c r="P1668" s="656" t="s">
        <v>13052</v>
      </c>
      <c r="Q1668" s="656">
        <v>44216.779756944445</v>
      </c>
    </row>
    <row r="1669" spans="1:17">
      <c r="A1669" s="656" t="s">
        <v>1545</v>
      </c>
      <c r="B1669" s="657" t="s">
        <v>504</v>
      </c>
      <c r="C1669" s="656" t="s">
        <v>1546</v>
      </c>
      <c r="D1669" s="657" t="s">
        <v>13789</v>
      </c>
      <c r="E1669" s="657" t="s">
        <v>7439</v>
      </c>
      <c r="F1669" s="656" t="s">
        <v>505</v>
      </c>
      <c r="G1669" s="656" t="s">
        <v>525</v>
      </c>
      <c r="H1669" s="656" t="s">
        <v>505</v>
      </c>
      <c r="I1669" s="656" t="s">
        <v>14976</v>
      </c>
      <c r="J1669" s="656"/>
      <c r="K1669" s="656"/>
      <c r="L1669" s="656"/>
      <c r="M1669" s="657"/>
      <c r="N1669" s="1482"/>
      <c r="O1669" s="656" t="s">
        <v>498</v>
      </c>
      <c r="P1669" s="656" t="s">
        <v>13052</v>
      </c>
      <c r="Q1669" s="656">
        <v>44216.779756944445</v>
      </c>
    </row>
    <row r="1670" spans="1:17">
      <c r="A1670" s="656" t="s">
        <v>1547</v>
      </c>
      <c r="B1670" s="657" t="s">
        <v>202</v>
      </c>
      <c r="C1670" s="656" t="s">
        <v>1548</v>
      </c>
      <c r="D1670" s="657" t="s">
        <v>14978</v>
      </c>
      <c r="E1670" s="657" t="s">
        <v>9458</v>
      </c>
      <c r="F1670" s="656" t="s">
        <v>1050</v>
      </c>
      <c r="G1670" s="656" t="s">
        <v>1051</v>
      </c>
      <c r="H1670" s="656" t="s">
        <v>1050</v>
      </c>
      <c r="I1670" s="656" t="s">
        <v>15280</v>
      </c>
      <c r="J1670" s="656"/>
      <c r="K1670" s="656"/>
      <c r="L1670" s="656" t="s">
        <v>2861</v>
      </c>
      <c r="M1670" s="657"/>
      <c r="N1670" s="1482"/>
      <c r="O1670" s="656" t="s">
        <v>498</v>
      </c>
      <c r="P1670" s="656" t="s">
        <v>13052</v>
      </c>
      <c r="Q1670" s="656">
        <v>44216.779745370368</v>
      </c>
    </row>
    <row r="1671" spans="1:17">
      <c r="A1671" s="656" t="s">
        <v>1549</v>
      </c>
      <c r="B1671" s="657" t="s">
        <v>202</v>
      </c>
      <c r="C1671" s="656" t="s">
        <v>1550</v>
      </c>
      <c r="D1671" s="657" t="s">
        <v>13789</v>
      </c>
      <c r="E1671" s="657" t="s">
        <v>9510</v>
      </c>
      <c r="F1671" s="656" t="s">
        <v>462</v>
      </c>
      <c r="G1671" s="656"/>
      <c r="H1671" s="656" t="s">
        <v>462</v>
      </c>
      <c r="I1671" s="656" t="s">
        <v>15280</v>
      </c>
      <c r="J1671" s="656" t="s">
        <v>463</v>
      </c>
      <c r="K1671" s="656"/>
      <c r="L1671" s="656"/>
      <c r="M1671" s="657"/>
      <c r="N1671" s="1482"/>
      <c r="O1671" s="656" t="s">
        <v>498</v>
      </c>
      <c r="P1671" s="656" t="s">
        <v>13052</v>
      </c>
      <c r="Q1671" s="656">
        <v>44216.779733796298</v>
      </c>
    </row>
    <row r="1672" spans="1:17">
      <c r="A1672" s="656" t="s">
        <v>1551</v>
      </c>
      <c r="B1672" s="657" t="s">
        <v>504</v>
      </c>
      <c r="C1672" s="656" t="s">
        <v>1552</v>
      </c>
      <c r="D1672" s="657" t="s">
        <v>13789</v>
      </c>
      <c r="E1672" s="657" t="s">
        <v>9458</v>
      </c>
      <c r="F1672" s="656" t="s">
        <v>540</v>
      </c>
      <c r="G1672" s="656" t="s">
        <v>541</v>
      </c>
      <c r="H1672" s="656" t="s">
        <v>540</v>
      </c>
      <c r="I1672" s="656" t="s">
        <v>14976</v>
      </c>
      <c r="J1672" s="656"/>
      <c r="K1672" s="656"/>
      <c r="L1672" s="656"/>
      <c r="M1672" s="657"/>
      <c r="N1672" s="1482"/>
      <c r="O1672" s="656" t="s">
        <v>498</v>
      </c>
      <c r="P1672" s="656" t="s">
        <v>13052</v>
      </c>
      <c r="Q1672" s="656">
        <v>44216.779733796298</v>
      </c>
    </row>
    <row r="1673" spans="1:17">
      <c r="A1673" s="656" t="s">
        <v>1553</v>
      </c>
      <c r="B1673" s="657" t="s">
        <v>202</v>
      </c>
      <c r="C1673" s="656" t="s">
        <v>13835</v>
      </c>
      <c r="D1673" s="657" t="s">
        <v>13789</v>
      </c>
      <c r="E1673" s="657" t="s">
        <v>9510</v>
      </c>
      <c r="F1673" s="656" t="s">
        <v>3077</v>
      </c>
      <c r="G1673" s="656" t="s">
        <v>512</v>
      </c>
      <c r="H1673" s="656" t="s">
        <v>465</v>
      </c>
      <c r="I1673" s="656" t="s">
        <v>15280</v>
      </c>
      <c r="J1673" s="656" t="s">
        <v>446</v>
      </c>
      <c r="K1673" s="656" t="s">
        <v>3077</v>
      </c>
      <c r="L1673" s="656"/>
      <c r="M1673" s="657"/>
      <c r="N1673" s="1482"/>
      <c r="O1673" s="656" t="s">
        <v>498</v>
      </c>
      <c r="P1673" s="656" t="s">
        <v>13052</v>
      </c>
      <c r="Q1673" s="656">
        <v>44216.779733796298</v>
      </c>
    </row>
    <row r="1674" spans="1:17">
      <c r="A1674" s="656" t="s">
        <v>1555</v>
      </c>
      <c r="B1674" s="657" t="s">
        <v>504</v>
      </c>
      <c r="C1674" s="656" t="s">
        <v>1556</v>
      </c>
      <c r="D1674" s="657" t="s">
        <v>13789</v>
      </c>
      <c r="E1674" s="657" t="s">
        <v>9458</v>
      </c>
      <c r="F1674" s="656" t="s">
        <v>505</v>
      </c>
      <c r="G1674" s="656" t="s">
        <v>506</v>
      </c>
      <c r="H1674" s="656" t="s">
        <v>505</v>
      </c>
      <c r="I1674" s="656" t="s">
        <v>14976</v>
      </c>
      <c r="J1674" s="656"/>
      <c r="K1674" s="656"/>
      <c r="L1674" s="656"/>
      <c r="M1674" s="657"/>
      <c r="N1674" s="1482"/>
      <c r="O1674" s="656" t="s">
        <v>498</v>
      </c>
      <c r="P1674" s="656" t="s">
        <v>13052</v>
      </c>
      <c r="Q1674" s="656">
        <v>44216.779722222222</v>
      </c>
    </row>
    <row r="1675" spans="1:17">
      <c r="A1675" s="656" t="s">
        <v>1557</v>
      </c>
      <c r="B1675" s="657" t="s">
        <v>504</v>
      </c>
      <c r="C1675" s="656" t="s">
        <v>1558</v>
      </c>
      <c r="D1675" s="657" t="s">
        <v>13789</v>
      </c>
      <c r="E1675" s="657" t="s">
        <v>9458</v>
      </c>
      <c r="F1675" s="656" t="s">
        <v>505</v>
      </c>
      <c r="G1675" s="656" t="s">
        <v>506</v>
      </c>
      <c r="H1675" s="656" t="s">
        <v>505</v>
      </c>
      <c r="I1675" s="656" t="s">
        <v>14976</v>
      </c>
      <c r="J1675" s="656"/>
      <c r="K1675" s="656"/>
      <c r="L1675" s="656"/>
      <c r="M1675" s="657"/>
      <c r="N1675" s="1482"/>
      <c r="O1675" s="656" t="s">
        <v>498</v>
      </c>
      <c r="P1675" s="656" t="s">
        <v>13052</v>
      </c>
      <c r="Q1675" s="656">
        <v>44216.779722222222</v>
      </c>
    </row>
    <row r="1676" spans="1:17">
      <c r="A1676" s="656" t="s">
        <v>1559</v>
      </c>
      <c r="B1676" s="657" t="s">
        <v>202</v>
      </c>
      <c r="C1676" s="656" t="s">
        <v>1560</v>
      </c>
      <c r="D1676" s="657" t="s">
        <v>13789</v>
      </c>
      <c r="E1676" s="657" t="s">
        <v>9510</v>
      </c>
      <c r="F1676" s="656" t="s">
        <v>462</v>
      </c>
      <c r="G1676" s="656" t="s">
        <v>552</v>
      </c>
      <c r="H1676" s="656" t="s">
        <v>462</v>
      </c>
      <c r="I1676" s="656" t="s">
        <v>15280</v>
      </c>
      <c r="J1676" s="656" t="s">
        <v>463</v>
      </c>
      <c r="K1676" s="656" t="s">
        <v>1924</v>
      </c>
      <c r="L1676" s="656"/>
      <c r="M1676" s="657"/>
      <c r="N1676" s="1482"/>
      <c r="O1676" s="656" t="s">
        <v>498</v>
      </c>
      <c r="P1676" s="656" t="s">
        <v>13052</v>
      </c>
      <c r="Q1676" s="656">
        <v>44216.779722222222</v>
      </c>
    </row>
    <row r="1677" spans="1:17">
      <c r="A1677" s="656" t="s">
        <v>1561</v>
      </c>
      <c r="B1677" s="657" t="s">
        <v>504</v>
      </c>
      <c r="C1677" s="656" t="s">
        <v>13834</v>
      </c>
      <c r="D1677" s="657" t="s">
        <v>13789</v>
      </c>
      <c r="E1677" s="657" t="s">
        <v>7439</v>
      </c>
      <c r="F1677" s="656" t="s">
        <v>505</v>
      </c>
      <c r="G1677" s="656" t="s">
        <v>506</v>
      </c>
      <c r="H1677" s="656" t="s">
        <v>505</v>
      </c>
      <c r="I1677" s="656" t="s">
        <v>14976</v>
      </c>
      <c r="J1677" s="656"/>
      <c r="K1677" s="656"/>
      <c r="L1677" s="656"/>
      <c r="M1677" s="657"/>
      <c r="N1677" s="1482"/>
      <c r="O1677" s="656" t="s">
        <v>498</v>
      </c>
      <c r="P1677" s="656" t="s">
        <v>13052</v>
      </c>
      <c r="Q1677" s="656">
        <v>44216.779710648145</v>
      </c>
    </row>
    <row r="1678" spans="1:17">
      <c r="A1678" s="656" t="s">
        <v>1562</v>
      </c>
      <c r="B1678" s="657" t="s">
        <v>504</v>
      </c>
      <c r="C1678" s="656" t="s">
        <v>1563</v>
      </c>
      <c r="D1678" s="657" t="s">
        <v>13789</v>
      </c>
      <c r="E1678" s="657" t="s">
        <v>9458</v>
      </c>
      <c r="F1678" s="656" t="s">
        <v>505</v>
      </c>
      <c r="G1678" s="656" t="s">
        <v>525</v>
      </c>
      <c r="H1678" s="656" t="s">
        <v>505</v>
      </c>
      <c r="I1678" s="656" t="s">
        <v>14976</v>
      </c>
      <c r="J1678" s="656"/>
      <c r="K1678" s="656"/>
      <c r="L1678" s="656"/>
      <c r="M1678" s="657"/>
      <c r="N1678" s="1482"/>
      <c r="O1678" s="656" t="s">
        <v>498</v>
      </c>
      <c r="P1678" s="656" t="s">
        <v>13052</v>
      </c>
      <c r="Q1678" s="656">
        <v>44216.779710648145</v>
      </c>
    </row>
    <row r="1679" spans="1:17">
      <c r="A1679" s="656" t="s">
        <v>1564</v>
      </c>
      <c r="B1679" s="657" t="s">
        <v>504</v>
      </c>
      <c r="C1679" s="656" t="s">
        <v>1565</v>
      </c>
      <c r="D1679" s="657" t="s">
        <v>13789</v>
      </c>
      <c r="E1679" s="657" t="s">
        <v>9458</v>
      </c>
      <c r="F1679" s="656" t="s">
        <v>505</v>
      </c>
      <c r="G1679" s="656" t="s">
        <v>525</v>
      </c>
      <c r="H1679" s="656" t="s">
        <v>505</v>
      </c>
      <c r="I1679" s="656" t="s">
        <v>14976</v>
      </c>
      <c r="J1679" s="656"/>
      <c r="K1679" s="656"/>
      <c r="L1679" s="656"/>
      <c r="M1679" s="657"/>
      <c r="N1679" s="1482"/>
      <c r="O1679" s="656" t="s">
        <v>498</v>
      </c>
      <c r="P1679" s="656" t="s">
        <v>13052</v>
      </c>
      <c r="Q1679" s="656">
        <v>44216.779699074075</v>
      </c>
    </row>
    <row r="1680" spans="1:17">
      <c r="A1680" s="656" t="s">
        <v>1566</v>
      </c>
      <c r="B1680" s="657" t="s">
        <v>504</v>
      </c>
      <c r="C1680" s="656" t="s">
        <v>1567</v>
      </c>
      <c r="D1680" s="657" t="s">
        <v>13789</v>
      </c>
      <c r="E1680" s="657" t="s">
        <v>9458</v>
      </c>
      <c r="F1680" s="656" t="s">
        <v>540</v>
      </c>
      <c r="G1680" s="656" t="s">
        <v>541</v>
      </c>
      <c r="H1680" s="656" t="s">
        <v>540</v>
      </c>
      <c r="I1680" s="656" t="s">
        <v>14976</v>
      </c>
      <c r="J1680" s="656"/>
      <c r="K1680" s="656"/>
      <c r="L1680" s="656"/>
      <c r="M1680" s="657"/>
      <c r="N1680" s="1482"/>
      <c r="O1680" s="656" t="s">
        <v>498</v>
      </c>
      <c r="P1680" s="656" t="s">
        <v>13052</v>
      </c>
      <c r="Q1680" s="656">
        <v>44216.779699074075</v>
      </c>
    </row>
    <row r="1681" spans="1:17">
      <c r="A1681" s="656" t="s">
        <v>1568</v>
      </c>
      <c r="B1681" s="657" t="s">
        <v>504</v>
      </c>
      <c r="C1681" s="656" t="s">
        <v>13833</v>
      </c>
      <c r="D1681" s="657" t="s">
        <v>13789</v>
      </c>
      <c r="E1681" s="657" t="s">
        <v>9510</v>
      </c>
      <c r="F1681" s="656" t="s">
        <v>540</v>
      </c>
      <c r="G1681" s="656" t="s">
        <v>541</v>
      </c>
      <c r="H1681" s="656" t="s">
        <v>540</v>
      </c>
      <c r="I1681" s="656" t="s">
        <v>14976</v>
      </c>
      <c r="J1681" s="656"/>
      <c r="K1681" s="656"/>
      <c r="L1681" s="656"/>
      <c r="M1681" s="657"/>
      <c r="N1681" s="1482"/>
      <c r="O1681" s="656" t="s">
        <v>498</v>
      </c>
      <c r="P1681" s="656" t="s">
        <v>13052</v>
      </c>
      <c r="Q1681" s="656">
        <v>44216.779687499999</v>
      </c>
    </row>
    <row r="1682" spans="1:17">
      <c r="A1682" s="656" t="s">
        <v>1569</v>
      </c>
      <c r="B1682" s="657" t="s">
        <v>202</v>
      </c>
      <c r="C1682" s="656" t="s">
        <v>13832</v>
      </c>
      <c r="D1682" s="657" t="s">
        <v>13789</v>
      </c>
      <c r="E1682" s="657" t="s">
        <v>9510</v>
      </c>
      <c r="F1682" s="656" t="s">
        <v>458</v>
      </c>
      <c r="G1682" s="656" t="s">
        <v>458</v>
      </c>
      <c r="H1682" s="656" t="s">
        <v>458</v>
      </c>
      <c r="I1682" s="656" t="s">
        <v>14976</v>
      </c>
      <c r="J1682" s="656" t="s">
        <v>8814</v>
      </c>
      <c r="K1682" s="656"/>
      <c r="L1682" s="656"/>
      <c r="M1682" s="657"/>
      <c r="N1682" s="1482"/>
      <c r="O1682" s="656" t="s">
        <v>498</v>
      </c>
      <c r="P1682" s="656" t="s">
        <v>13052</v>
      </c>
      <c r="Q1682" s="656">
        <v>44216.779687499999</v>
      </c>
    </row>
    <row r="1683" spans="1:17">
      <c r="A1683" s="656" t="s">
        <v>1570</v>
      </c>
      <c r="B1683" s="657" t="s">
        <v>202</v>
      </c>
      <c r="C1683" s="656" t="s">
        <v>1571</v>
      </c>
      <c r="D1683" s="657" t="s">
        <v>13789</v>
      </c>
      <c r="E1683" s="657" t="s">
        <v>9510</v>
      </c>
      <c r="F1683" s="656" t="s">
        <v>537</v>
      </c>
      <c r="G1683" s="656"/>
      <c r="H1683" s="656" t="s">
        <v>537</v>
      </c>
      <c r="I1683" s="656" t="s">
        <v>14976</v>
      </c>
      <c r="J1683" s="656" t="s">
        <v>473</v>
      </c>
      <c r="K1683" s="656"/>
      <c r="L1683" s="656"/>
      <c r="M1683" s="657"/>
      <c r="N1683" s="1482"/>
      <c r="O1683" s="656" t="s">
        <v>498</v>
      </c>
      <c r="P1683" s="656" t="s">
        <v>13052</v>
      </c>
      <c r="Q1683" s="656">
        <v>44216.779675925929</v>
      </c>
    </row>
    <row r="1684" spans="1:17">
      <c r="A1684" s="656" t="s">
        <v>1572</v>
      </c>
      <c r="B1684" s="657" t="s">
        <v>504</v>
      </c>
      <c r="C1684" s="656" t="s">
        <v>1573</v>
      </c>
      <c r="D1684" s="657" t="s">
        <v>13789</v>
      </c>
      <c r="E1684" s="657" t="s">
        <v>9458</v>
      </c>
      <c r="F1684" s="656" t="s">
        <v>505</v>
      </c>
      <c r="G1684" s="656" t="s">
        <v>506</v>
      </c>
      <c r="H1684" s="656" t="s">
        <v>505</v>
      </c>
      <c r="I1684" s="656" t="s">
        <v>14976</v>
      </c>
      <c r="J1684" s="656"/>
      <c r="K1684" s="656"/>
      <c r="L1684" s="656"/>
      <c r="M1684" s="657"/>
      <c r="N1684" s="1482"/>
      <c r="O1684" s="656" t="s">
        <v>498</v>
      </c>
      <c r="P1684" s="656" t="s">
        <v>13052</v>
      </c>
      <c r="Q1684" s="656">
        <v>44216.779675925929</v>
      </c>
    </row>
    <row r="1685" spans="1:17">
      <c r="A1685" s="656" t="s">
        <v>1574</v>
      </c>
      <c r="B1685" s="657" t="s">
        <v>202</v>
      </c>
      <c r="C1685" s="656" t="s">
        <v>1575</v>
      </c>
      <c r="D1685" s="657" t="s">
        <v>13789</v>
      </c>
      <c r="E1685" s="657" t="s">
        <v>9458</v>
      </c>
      <c r="F1685" s="656" t="s">
        <v>442</v>
      </c>
      <c r="G1685" s="656" t="s">
        <v>477</v>
      </c>
      <c r="H1685" s="656" t="s">
        <v>442</v>
      </c>
      <c r="I1685" s="656" t="s">
        <v>14976</v>
      </c>
      <c r="J1685" s="656" t="s">
        <v>12369</v>
      </c>
      <c r="K1685" s="656"/>
      <c r="L1685" s="656"/>
      <c r="M1685" s="657"/>
      <c r="N1685" s="1482"/>
      <c r="O1685" s="656" t="s">
        <v>498</v>
      </c>
      <c r="P1685" s="656" t="s">
        <v>13052</v>
      </c>
      <c r="Q1685" s="656">
        <v>44216.779664351852</v>
      </c>
    </row>
    <row r="1686" spans="1:17">
      <c r="A1686" s="656" t="s">
        <v>1576</v>
      </c>
      <c r="B1686" s="657" t="s">
        <v>504</v>
      </c>
      <c r="C1686" s="656" t="s">
        <v>1575</v>
      </c>
      <c r="D1686" s="657" t="s">
        <v>13789</v>
      </c>
      <c r="E1686" s="657" t="s">
        <v>9458</v>
      </c>
      <c r="F1686" s="656" t="s">
        <v>540</v>
      </c>
      <c r="G1686" s="656" t="s">
        <v>569</v>
      </c>
      <c r="H1686" s="656" t="s">
        <v>540</v>
      </c>
      <c r="I1686" s="656" t="s">
        <v>14976</v>
      </c>
      <c r="J1686" s="656"/>
      <c r="K1686" s="656"/>
      <c r="L1686" s="656"/>
      <c r="M1686" s="657"/>
      <c r="N1686" s="1482"/>
      <c r="O1686" s="656" t="s">
        <v>498</v>
      </c>
      <c r="P1686" s="656" t="s">
        <v>13052</v>
      </c>
      <c r="Q1686" s="656">
        <v>44216.779664351852</v>
      </c>
    </row>
    <row r="1687" spans="1:17">
      <c r="A1687" s="656" t="s">
        <v>1577</v>
      </c>
      <c r="B1687" s="657" t="s">
        <v>202</v>
      </c>
      <c r="C1687" s="656" t="s">
        <v>1575</v>
      </c>
      <c r="D1687" s="657"/>
      <c r="E1687" s="657"/>
      <c r="F1687" s="656" t="s">
        <v>442</v>
      </c>
      <c r="G1687" s="656" t="s">
        <v>477</v>
      </c>
      <c r="H1687" s="656" t="s">
        <v>442</v>
      </c>
      <c r="I1687" s="656" t="s">
        <v>14976</v>
      </c>
      <c r="J1687" s="656" t="s">
        <v>12369</v>
      </c>
      <c r="K1687" s="656"/>
      <c r="L1687" s="656"/>
      <c r="M1687" s="657"/>
      <c r="N1687" s="1482"/>
      <c r="O1687" s="656" t="s">
        <v>498</v>
      </c>
      <c r="P1687" s="656" t="s">
        <v>13052</v>
      </c>
      <c r="Q1687" s="656">
        <v>44216.779652777775</v>
      </c>
    </row>
    <row r="1688" spans="1:17">
      <c r="A1688" s="656" t="s">
        <v>1578</v>
      </c>
      <c r="B1688" s="657" t="s">
        <v>504</v>
      </c>
      <c r="C1688" s="656" t="s">
        <v>13831</v>
      </c>
      <c r="D1688" s="657" t="s">
        <v>14978</v>
      </c>
      <c r="E1688" s="657" t="s">
        <v>9458</v>
      </c>
      <c r="F1688" s="656" t="s">
        <v>505</v>
      </c>
      <c r="G1688" s="656" t="s">
        <v>1579</v>
      </c>
      <c r="H1688" s="656" t="s">
        <v>505</v>
      </c>
      <c r="I1688" s="656" t="s">
        <v>14976</v>
      </c>
      <c r="J1688" s="656"/>
      <c r="K1688" s="656"/>
      <c r="L1688" s="656" t="s">
        <v>15314</v>
      </c>
      <c r="M1688" s="657"/>
      <c r="N1688" s="1482"/>
      <c r="O1688" s="656" t="s">
        <v>498</v>
      </c>
      <c r="P1688" s="656" t="s">
        <v>13052</v>
      </c>
      <c r="Q1688" s="656">
        <v>44216.779652777775</v>
      </c>
    </row>
    <row r="1689" spans="1:17">
      <c r="A1689" s="656" t="s">
        <v>1580</v>
      </c>
      <c r="B1689" s="657" t="s">
        <v>504</v>
      </c>
      <c r="C1689" s="656" t="s">
        <v>1581</v>
      </c>
      <c r="D1689" s="657" t="s">
        <v>13789</v>
      </c>
      <c r="E1689" s="657" t="s">
        <v>7439</v>
      </c>
      <c r="F1689" s="656" t="s">
        <v>540</v>
      </c>
      <c r="G1689" s="656" t="s">
        <v>569</v>
      </c>
      <c r="H1689" s="656" t="s">
        <v>540</v>
      </c>
      <c r="I1689" s="656" t="s">
        <v>14976</v>
      </c>
      <c r="J1689" s="656"/>
      <c r="K1689" s="656"/>
      <c r="L1689" s="656" t="s">
        <v>15313</v>
      </c>
      <c r="M1689" s="657"/>
      <c r="N1689" s="1482"/>
      <c r="O1689" s="656" t="s">
        <v>498</v>
      </c>
      <c r="P1689" s="656" t="s">
        <v>13052</v>
      </c>
      <c r="Q1689" s="656">
        <v>44216.779641203706</v>
      </c>
    </row>
    <row r="1690" spans="1:17">
      <c r="A1690" s="656" t="s">
        <v>1582</v>
      </c>
      <c r="B1690" s="657" t="s">
        <v>504</v>
      </c>
      <c r="C1690" s="656" t="s">
        <v>1583</v>
      </c>
      <c r="D1690" s="657" t="s">
        <v>13789</v>
      </c>
      <c r="E1690" s="657" t="s">
        <v>7439</v>
      </c>
      <c r="F1690" s="656" t="s">
        <v>540</v>
      </c>
      <c r="G1690" s="656" t="s">
        <v>569</v>
      </c>
      <c r="H1690" s="656" t="s">
        <v>540</v>
      </c>
      <c r="I1690" s="656" t="s">
        <v>14976</v>
      </c>
      <c r="J1690" s="656"/>
      <c r="K1690" s="656"/>
      <c r="L1690" s="656" t="s">
        <v>15313</v>
      </c>
      <c r="M1690" s="657"/>
      <c r="N1690" s="1482"/>
      <c r="O1690" s="656" t="s">
        <v>498</v>
      </c>
      <c r="P1690" s="656" t="s">
        <v>13052</v>
      </c>
      <c r="Q1690" s="656">
        <v>44216.779629629629</v>
      </c>
    </row>
    <row r="1691" spans="1:17">
      <c r="A1691" s="656" t="s">
        <v>1584</v>
      </c>
      <c r="B1691" s="657" t="s">
        <v>504</v>
      </c>
      <c r="C1691" s="656" t="s">
        <v>1585</v>
      </c>
      <c r="D1691" s="657" t="s">
        <v>13789</v>
      </c>
      <c r="E1691" s="657" t="s">
        <v>7439</v>
      </c>
      <c r="F1691" s="656" t="s">
        <v>540</v>
      </c>
      <c r="G1691" s="656" t="s">
        <v>569</v>
      </c>
      <c r="H1691" s="656" t="s">
        <v>540</v>
      </c>
      <c r="I1691" s="656" t="s">
        <v>14976</v>
      </c>
      <c r="J1691" s="656"/>
      <c r="K1691" s="656"/>
      <c r="L1691" s="656" t="s">
        <v>15313</v>
      </c>
      <c r="M1691" s="657"/>
      <c r="N1691" s="1482"/>
      <c r="O1691" s="656" t="s">
        <v>498</v>
      </c>
      <c r="P1691" s="656" t="s">
        <v>13052</v>
      </c>
      <c r="Q1691" s="656">
        <v>44216.779629629629</v>
      </c>
    </row>
    <row r="1692" spans="1:17">
      <c r="A1692" s="656" t="s">
        <v>1586</v>
      </c>
      <c r="B1692" s="657" t="s">
        <v>504</v>
      </c>
      <c r="C1692" s="656" t="s">
        <v>1587</v>
      </c>
      <c r="D1692" s="657" t="s">
        <v>13789</v>
      </c>
      <c r="E1692" s="657" t="s">
        <v>9458</v>
      </c>
      <c r="F1692" s="656" t="s">
        <v>540</v>
      </c>
      <c r="G1692" s="656" t="s">
        <v>569</v>
      </c>
      <c r="H1692" s="656" t="s">
        <v>540</v>
      </c>
      <c r="I1692" s="656" t="s">
        <v>14976</v>
      </c>
      <c r="J1692" s="656"/>
      <c r="K1692" s="656"/>
      <c r="L1692" s="656" t="s">
        <v>15313</v>
      </c>
      <c r="M1692" s="657"/>
      <c r="N1692" s="1482"/>
      <c r="O1692" s="656" t="s">
        <v>498</v>
      </c>
      <c r="P1692" s="656" t="s">
        <v>13052</v>
      </c>
      <c r="Q1692" s="656">
        <v>44216.779618055552</v>
      </c>
    </row>
    <row r="1693" spans="1:17">
      <c r="A1693" s="656" t="s">
        <v>1588</v>
      </c>
      <c r="B1693" s="657" t="s">
        <v>504</v>
      </c>
      <c r="C1693" s="656" t="s">
        <v>1589</v>
      </c>
      <c r="D1693" s="657" t="s">
        <v>13789</v>
      </c>
      <c r="E1693" s="657" t="s">
        <v>7439</v>
      </c>
      <c r="F1693" s="656" t="s">
        <v>540</v>
      </c>
      <c r="G1693" s="656" t="s">
        <v>569</v>
      </c>
      <c r="H1693" s="656" t="s">
        <v>540</v>
      </c>
      <c r="I1693" s="656" t="s">
        <v>14976</v>
      </c>
      <c r="J1693" s="656"/>
      <c r="K1693" s="656"/>
      <c r="L1693" s="656" t="s">
        <v>15313</v>
      </c>
      <c r="M1693" s="657"/>
      <c r="N1693" s="1482"/>
      <c r="O1693" s="656" t="s">
        <v>498</v>
      </c>
      <c r="P1693" s="656" t="s">
        <v>13052</v>
      </c>
      <c r="Q1693" s="656">
        <v>44216.779618055552</v>
      </c>
    </row>
    <row r="1694" spans="1:17">
      <c r="A1694" s="656" t="s">
        <v>1590</v>
      </c>
      <c r="B1694" s="657" t="s">
        <v>504</v>
      </c>
      <c r="C1694" s="656" t="s">
        <v>1591</v>
      </c>
      <c r="D1694" s="657" t="s">
        <v>13789</v>
      </c>
      <c r="E1694" s="657" t="s">
        <v>7439</v>
      </c>
      <c r="F1694" s="656" t="s">
        <v>540</v>
      </c>
      <c r="G1694" s="656" t="s">
        <v>569</v>
      </c>
      <c r="H1694" s="656" t="s">
        <v>540</v>
      </c>
      <c r="I1694" s="656" t="s">
        <v>14976</v>
      </c>
      <c r="J1694" s="656"/>
      <c r="K1694" s="656"/>
      <c r="L1694" s="656" t="s">
        <v>15313</v>
      </c>
      <c r="M1694" s="657"/>
      <c r="N1694" s="1482"/>
      <c r="O1694" s="656" t="s">
        <v>498</v>
      </c>
      <c r="P1694" s="656" t="s">
        <v>13052</v>
      </c>
      <c r="Q1694" s="656">
        <v>44216.779606481483</v>
      </c>
    </row>
    <row r="1695" spans="1:17">
      <c r="A1695" s="656" t="s">
        <v>1592</v>
      </c>
      <c r="B1695" s="657" t="s">
        <v>504</v>
      </c>
      <c r="C1695" s="656" t="s">
        <v>1593</v>
      </c>
      <c r="D1695" s="657" t="s">
        <v>13789</v>
      </c>
      <c r="E1695" s="657" t="s">
        <v>7439</v>
      </c>
      <c r="F1695" s="656" t="s">
        <v>540</v>
      </c>
      <c r="G1695" s="656" t="s">
        <v>569</v>
      </c>
      <c r="H1695" s="656" t="s">
        <v>540</v>
      </c>
      <c r="I1695" s="656" t="s">
        <v>14976</v>
      </c>
      <c r="J1695" s="656"/>
      <c r="K1695" s="656"/>
      <c r="L1695" s="656" t="s">
        <v>15313</v>
      </c>
      <c r="M1695" s="657"/>
      <c r="N1695" s="1482"/>
      <c r="O1695" s="656" t="s">
        <v>498</v>
      </c>
      <c r="P1695" s="656" t="s">
        <v>13052</v>
      </c>
      <c r="Q1695" s="656">
        <v>44216.779606481483</v>
      </c>
    </row>
    <row r="1696" spans="1:17">
      <c r="A1696" s="656" t="s">
        <v>1594</v>
      </c>
      <c r="B1696" s="657" t="s">
        <v>202</v>
      </c>
      <c r="C1696" s="656" t="s">
        <v>1595</v>
      </c>
      <c r="D1696" s="657" t="s">
        <v>14978</v>
      </c>
      <c r="E1696" s="657" t="s">
        <v>7439</v>
      </c>
      <c r="F1696" s="656" t="s">
        <v>1394</v>
      </c>
      <c r="G1696" s="656" t="s">
        <v>282</v>
      </c>
      <c r="H1696" s="656" t="s">
        <v>1394</v>
      </c>
      <c r="I1696" s="656" t="s">
        <v>15280</v>
      </c>
      <c r="J1696" s="656"/>
      <c r="K1696" s="656"/>
      <c r="L1696" s="656"/>
      <c r="M1696" s="657"/>
      <c r="N1696" s="1482"/>
      <c r="O1696" s="656" t="s">
        <v>498</v>
      </c>
      <c r="P1696" s="656" t="s">
        <v>13052</v>
      </c>
      <c r="Q1696" s="656">
        <v>44216.779594907406</v>
      </c>
    </row>
    <row r="1697" spans="1:17">
      <c r="A1697" s="656" t="s">
        <v>1596</v>
      </c>
      <c r="B1697" s="657" t="s">
        <v>202</v>
      </c>
      <c r="C1697" s="656" t="s">
        <v>1597</v>
      </c>
      <c r="D1697" s="657" t="s">
        <v>13789</v>
      </c>
      <c r="E1697" s="657" t="s">
        <v>7439</v>
      </c>
      <c r="F1697" s="656" t="s">
        <v>1394</v>
      </c>
      <c r="G1697" s="656" t="s">
        <v>282</v>
      </c>
      <c r="H1697" s="656" t="s">
        <v>1394</v>
      </c>
      <c r="I1697" s="656" t="s">
        <v>15280</v>
      </c>
      <c r="J1697" s="656"/>
      <c r="K1697" s="656"/>
      <c r="L1697" s="656"/>
      <c r="M1697" s="657"/>
      <c r="N1697" s="1482"/>
      <c r="O1697" s="656" t="s">
        <v>498</v>
      </c>
      <c r="P1697" s="656" t="s">
        <v>13052</v>
      </c>
      <c r="Q1697" s="656">
        <v>44216.779594907406</v>
      </c>
    </row>
    <row r="1698" spans="1:17">
      <c r="A1698" s="656" t="s">
        <v>1598</v>
      </c>
      <c r="B1698" s="657" t="s">
        <v>202</v>
      </c>
      <c r="C1698" s="656" t="s">
        <v>1599</v>
      </c>
      <c r="D1698" s="657" t="s">
        <v>14978</v>
      </c>
      <c r="E1698" s="657" t="s">
        <v>7439</v>
      </c>
      <c r="F1698" s="656" t="s">
        <v>1394</v>
      </c>
      <c r="G1698" s="656" t="s">
        <v>282</v>
      </c>
      <c r="H1698" s="656" t="s">
        <v>1394</v>
      </c>
      <c r="I1698" s="656" t="s">
        <v>15280</v>
      </c>
      <c r="J1698" s="656"/>
      <c r="K1698" s="656"/>
      <c r="L1698" s="656"/>
      <c r="M1698" s="657"/>
      <c r="N1698" s="1482"/>
      <c r="O1698" s="656" t="s">
        <v>498</v>
      </c>
      <c r="P1698" s="656" t="s">
        <v>13052</v>
      </c>
      <c r="Q1698" s="656">
        <v>44216.779583333337</v>
      </c>
    </row>
    <row r="1699" spans="1:17">
      <c r="A1699" s="656" t="s">
        <v>1600</v>
      </c>
      <c r="B1699" s="657" t="s">
        <v>202</v>
      </c>
      <c r="C1699" s="656" t="s">
        <v>1601</v>
      </c>
      <c r="D1699" s="657" t="s">
        <v>14978</v>
      </c>
      <c r="E1699" s="657" t="s">
        <v>7439</v>
      </c>
      <c r="F1699" s="656" t="s">
        <v>1394</v>
      </c>
      <c r="G1699" s="656" t="s">
        <v>282</v>
      </c>
      <c r="H1699" s="656" t="s">
        <v>1394</v>
      </c>
      <c r="I1699" s="656" t="s">
        <v>15280</v>
      </c>
      <c r="J1699" s="656"/>
      <c r="K1699" s="656"/>
      <c r="L1699" s="656"/>
      <c r="M1699" s="657"/>
      <c r="N1699" s="1482"/>
      <c r="O1699" s="656" t="s">
        <v>498</v>
      </c>
      <c r="P1699" s="656" t="s">
        <v>13052</v>
      </c>
      <c r="Q1699" s="656">
        <v>44216.779583333337</v>
      </c>
    </row>
    <row r="1700" spans="1:17">
      <c r="A1700" s="656" t="s">
        <v>1602</v>
      </c>
      <c r="B1700" s="657" t="s">
        <v>202</v>
      </c>
      <c r="C1700" s="656" t="s">
        <v>1603</v>
      </c>
      <c r="D1700" s="657" t="s">
        <v>13789</v>
      </c>
      <c r="E1700" s="657" t="s">
        <v>9510</v>
      </c>
      <c r="F1700" s="656" t="s">
        <v>4052</v>
      </c>
      <c r="G1700" s="656"/>
      <c r="H1700" s="656" t="s">
        <v>455</v>
      </c>
      <c r="I1700" s="656" t="s">
        <v>14976</v>
      </c>
      <c r="J1700" s="656" t="s">
        <v>451</v>
      </c>
      <c r="K1700" s="656"/>
      <c r="L1700" s="656"/>
      <c r="M1700" s="657"/>
      <c r="N1700" s="1482"/>
      <c r="O1700" s="656" t="s">
        <v>498</v>
      </c>
      <c r="P1700" s="656" t="s">
        <v>13052</v>
      </c>
      <c r="Q1700" s="656">
        <v>44216.77957175926</v>
      </c>
    </row>
    <row r="1701" spans="1:17">
      <c r="A1701" s="656" t="s">
        <v>1604</v>
      </c>
      <c r="B1701" s="657" t="s">
        <v>202</v>
      </c>
      <c r="C1701" s="656" t="s">
        <v>1605</v>
      </c>
      <c r="D1701" s="657" t="s">
        <v>13789</v>
      </c>
      <c r="E1701" s="657" t="s">
        <v>9458</v>
      </c>
      <c r="F1701" s="656" t="s">
        <v>472</v>
      </c>
      <c r="G1701" s="656" t="s">
        <v>1395</v>
      </c>
      <c r="H1701" s="656" t="s">
        <v>472</v>
      </c>
      <c r="I1701" s="656" t="s">
        <v>15280</v>
      </c>
      <c r="J1701" s="656" t="s">
        <v>12368</v>
      </c>
      <c r="K1701" s="656"/>
      <c r="L1701" s="656"/>
      <c r="M1701" s="657"/>
      <c r="N1701" s="1482"/>
      <c r="O1701" s="656" t="s">
        <v>498</v>
      </c>
      <c r="P1701" s="656" t="s">
        <v>13052</v>
      </c>
      <c r="Q1701" s="656">
        <v>44216.77957175926</v>
      </c>
    </row>
    <row r="1702" spans="1:17">
      <c r="A1702" s="656" t="s">
        <v>1606</v>
      </c>
      <c r="B1702" s="657" t="s">
        <v>202</v>
      </c>
      <c r="C1702" s="656" t="s">
        <v>1607</v>
      </c>
      <c r="D1702" s="657" t="s">
        <v>13789</v>
      </c>
      <c r="E1702" s="657" t="s">
        <v>9458</v>
      </c>
      <c r="F1702" s="656" t="s">
        <v>472</v>
      </c>
      <c r="G1702" s="656" t="s">
        <v>519</v>
      </c>
      <c r="H1702" s="656" t="s">
        <v>472</v>
      </c>
      <c r="I1702" s="656" t="s">
        <v>15280</v>
      </c>
      <c r="J1702" s="656" t="s">
        <v>12368</v>
      </c>
      <c r="K1702" s="656" t="s">
        <v>1058</v>
      </c>
      <c r="L1702" s="656"/>
      <c r="M1702" s="657"/>
      <c r="N1702" s="1482"/>
      <c r="O1702" s="656" t="s">
        <v>498</v>
      </c>
      <c r="P1702" s="656" t="s">
        <v>13052</v>
      </c>
      <c r="Q1702" s="656">
        <v>44216.779560185183</v>
      </c>
    </row>
    <row r="1703" spans="1:17">
      <c r="A1703" s="656" t="s">
        <v>1608</v>
      </c>
      <c r="B1703" s="657" t="s">
        <v>202</v>
      </c>
      <c r="C1703" s="656" t="s">
        <v>1609</v>
      </c>
      <c r="D1703" s="657" t="s">
        <v>13789</v>
      </c>
      <c r="E1703" s="657"/>
      <c r="F1703" s="656" t="s">
        <v>1394</v>
      </c>
      <c r="G1703" s="656" t="s">
        <v>282</v>
      </c>
      <c r="H1703" s="656" t="s">
        <v>1394</v>
      </c>
      <c r="I1703" s="656" t="s">
        <v>14976</v>
      </c>
      <c r="J1703" s="656"/>
      <c r="K1703" s="656"/>
      <c r="L1703" s="656"/>
      <c r="M1703" s="657"/>
      <c r="N1703" s="1482"/>
      <c r="O1703" s="656" t="s">
        <v>498</v>
      </c>
      <c r="P1703" s="656" t="s">
        <v>13052</v>
      </c>
      <c r="Q1703" s="656">
        <v>44216.779548611114</v>
      </c>
    </row>
    <row r="1704" spans="1:17">
      <c r="A1704" s="656" t="s">
        <v>1610</v>
      </c>
      <c r="B1704" s="657" t="s">
        <v>504</v>
      </c>
      <c r="C1704" s="656" t="s">
        <v>8557</v>
      </c>
      <c r="D1704" s="657" t="s">
        <v>13789</v>
      </c>
      <c r="E1704" s="657" t="s">
        <v>7439</v>
      </c>
      <c r="F1704" s="656" t="s">
        <v>505</v>
      </c>
      <c r="G1704" s="656" t="s">
        <v>522</v>
      </c>
      <c r="H1704" s="656" t="s">
        <v>505</v>
      </c>
      <c r="I1704" s="656" t="s">
        <v>14976</v>
      </c>
      <c r="J1704" s="656"/>
      <c r="K1704" s="656"/>
      <c r="L1704" s="656"/>
      <c r="M1704" s="657"/>
      <c r="N1704" s="1482"/>
      <c r="O1704" s="656" t="s">
        <v>498</v>
      </c>
      <c r="P1704" s="656" t="s">
        <v>13052</v>
      </c>
      <c r="Q1704" s="656">
        <v>44216.779548611114</v>
      </c>
    </row>
    <row r="1705" spans="1:17">
      <c r="A1705" s="656" t="s">
        <v>1612</v>
      </c>
      <c r="B1705" s="657" t="s">
        <v>202</v>
      </c>
      <c r="C1705" s="656" t="s">
        <v>1613</v>
      </c>
      <c r="D1705" s="657" t="s">
        <v>13789</v>
      </c>
      <c r="E1705" s="657" t="s">
        <v>7439</v>
      </c>
      <c r="F1705" s="656" t="s">
        <v>1394</v>
      </c>
      <c r="G1705" s="656" t="s">
        <v>282</v>
      </c>
      <c r="H1705" s="656" t="s">
        <v>1394</v>
      </c>
      <c r="I1705" s="656" t="s">
        <v>15280</v>
      </c>
      <c r="J1705" s="656"/>
      <c r="K1705" s="656"/>
      <c r="L1705" s="656"/>
      <c r="M1705" s="657"/>
      <c r="N1705" s="1482"/>
      <c r="O1705" s="656" t="s">
        <v>498</v>
      </c>
      <c r="P1705" s="656" t="s">
        <v>13052</v>
      </c>
      <c r="Q1705" s="656">
        <v>44216.779537037037</v>
      </c>
    </row>
    <row r="1706" spans="1:17">
      <c r="A1706" s="656" t="s">
        <v>1614</v>
      </c>
      <c r="B1706" s="657" t="s">
        <v>202</v>
      </c>
      <c r="C1706" s="656" t="s">
        <v>1615</v>
      </c>
      <c r="D1706" s="657" t="s">
        <v>13789</v>
      </c>
      <c r="E1706" s="657" t="s">
        <v>7439</v>
      </c>
      <c r="F1706" s="656" t="s">
        <v>1394</v>
      </c>
      <c r="G1706" s="656" t="s">
        <v>282</v>
      </c>
      <c r="H1706" s="656" t="s">
        <v>1394</v>
      </c>
      <c r="I1706" s="656" t="s">
        <v>15280</v>
      </c>
      <c r="J1706" s="656"/>
      <c r="K1706" s="656"/>
      <c r="L1706" s="656"/>
      <c r="M1706" s="657"/>
      <c r="N1706" s="1482"/>
      <c r="O1706" s="656" t="s">
        <v>498</v>
      </c>
      <c r="P1706" s="656" t="s">
        <v>13052</v>
      </c>
      <c r="Q1706" s="656">
        <v>44216.77952546296</v>
      </c>
    </row>
    <row r="1707" spans="1:17">
      <c r="A1707" s="656" t="s">
        <v>1616</v>
      </c>
      <c r="B1707" s="657" t="s">
        <v>202</v>
      </c>
      <c r="C1707" s="656" t="s">
        <v>1617</v>
      </c>
      <c r="D1707" s="657" t="s">
        <v>13789</v>
      </c>
      <c r="E1707" s="657" t="s">
        <v>7439</v>
      </c>
      <c r="F1707" s="656" t="s">
        <v>1394</v>
      </c>
      <c r="G1707" s="656" t="s">
        <v>282</v>
      </c>
      <c r="H1707" s="656" t="s">
        <v>1394</v>
      </c>
      <c r="I1707" s="656" t="s">
        <v>15280</v>
      </c>
      <c r="J1707" s="656"/>
      <c r="K1707" s="656"/>
      <c r="L1707" s="656"/>
      <c r="M1707" s="657"/>
      <c r="N1707" s="1482"/>
      <c r="O1707" s="656" t="s">
        <v>498</v>
      </c>
      <c r="P1707" s="656" t="s">
        <v>13052</v>
      </c>
      <c r="Q1707" s="656">
        <v>44216.779513888891</v>
      </c>
    </row>
    <row r="1708" spans="1:17">
      <c r="A1708" s="656" t="s">
        <v>1618</v>
      </c>
      <c r="B1708" s="657" t="s">
        <v>202</v>
      </c>
      <c r="C1708" s="656" t="s">
        <v>1619</v>
      </c>
      <c r="D1708" s="657" t="s">
        <v>13789</v>
      </c>
      <c r="E1708" s="657" t="s">
        <v>9458</v>
      </c>
      <c r="F1708" s="656" t="s">
        <v>1620</v>
      </c>
      <c r="G1708" s="656" t="s">
        <v>1620</v>
      </c>
      <c r="H1708" s="656" t="s">
        <v>1620</v>
      </c>
      <c r="I1708" s="656" t="s">
        <v>15280</v>
      </c>
      <c r="J1708" s="656"/>
      <c r="K1708" s="656"/>
      <c r="L1708" s="656"/>
      <c r="M1708" s="657"/>
      <c r="N1708" s="1482"/>
      <c r="O1708" s="656" t="s">
        <v>498</v>
      </c>
      <c r="P1708" s="656" t="s">
        <v>13052</v>
      </c>
      <c r="Q1708" s="656">
        <v>44216.779513888891</v>
      </c>
    </row>
    <row r="1709" spans="1:17">
      <c r="A1709" s="656" t="s">
        <v>1621</v>
      </c>
      <c r="B1709" s="657" t="s">
        <v>202</v>
      </c>
      <c r="C1709" s="656" t="s">
        <v>1622</v>
      </c>
      <c r="D1709" s="657" t="s">
        <v>13789</v>
      </c>
      <c r="E1709" s="657" t="s">
        <v>7437</v>
      </c>
      <c r="F1709" s="656" t="s">
        <v>1394</v>
      </c>
      <c r="G1709" s="656" t="s">
        <v>282</v>
      </c>
      <c r="H1709" s="656" t="s">
        <v>1394</v>
      </c>
      <c r="I1709" s="656" t="s">
        <v>14976</v>
      </c>
      <c r="J1709" s="656"/>
      <c r="K1709" s="656"/>
      <c r="L1709" s="656"/>
      <c r="M1709" s="657"/>
      <c r="N1709" s="1482"/>
      <c r="O1709" s="656" t="s">
        <v>498</v>
      </c>
      <c r="P1709" s="656" t="s">
        <v>13052</v>
      </c>
      <c r="Q1709" s="656">
        <v>44216.779502314814</v>
      </c>
    </row>
    <row r="1710" spans="1:17">
      <c r="A1710" s="656" t="s">
        <v>1623</v>
      </c>
      <c r="B1710" s="657" t="s">
        <v>202</v>
      </c>
      <c r="C1710" s="656" t="s">
        <v>1624</v>
      </c>
      <c r="D1710" s="657" t="s">
        <v>13789</v>
      </c>
      <c r="E1710" s="657" t="s">
        <v>9458</v>
      </c>
      <c r="F1710" s="656" t="s">
        <v>1394</v>
      </c>
      <c r="G1710" s="656" t="s">
        <v>282</v>
      </c>
      <c r="H1710" s="656" t="s">
        <v>1394</v>
      </c>
      <c r="I1710" s="656" t="s">
        <v>14976</v>
      </c>
      <c r="J1710" s="656"/>
      <c r="K1710" s="656"/>
      <c r="L1710" s="656"/>
      <c r="M1710" s="657"/>
      <c r="N1710" s="1482"/>
      <c r="O1710" s="656" t="s">
        <v>498</v>
      </c>
      <c r="P1710" s="656" t="s">
        <v>13052</v>
      </c>
      <c r="Q1710" s="656">
        <v>44216.779502314814</v>
      </c>
    </row>
    <row r="1711" spans="1:17">
      <c r="A1711" s="656" t="s">
        <v>1625</v>
      </c>
      <c r="B1711" s="657" t="s">
        <v>202</v>
      </c>
      <c r="C1711" s="656" t="s">
        <v>1626</v>
      </c>
      <c r="D1711" s="657" t="s">
        <v>13789</v>
      </c>
      <c r="E1711" s="657" t="s">
        <v>9458</v>
      </c>
      <c r="F1711" s="656" t="s">
        <v>1394</v>
      </c>
      <c r="G1711" s="656" t="s">
        <v>282</v>
      </c>
      <c r="H1711" s="656" t="s">
        <v>1394</v>
      </c>
      <c r="I1711" s="656" t="s">
        <v>14976</v>
      </c>
      <c r="J1711" s="656"/>
      <c r="K1711" s="656"/>
      <c r="L1711" s="656"/>
      <c r="M1711" s="657"/>
      <c r="N1711" s="1482"/>
      <c r="O1711" s="656" t="s">
        <v>498</v>
      </c>
      <c r="P1711" s="656" t="s">
        <v>13052</v>
      </c>
      <c r="Q1711" s="656">
        <v>44216.779502314814</v>
      </c>
    </row>
    <row r="1712" spans="1:17">
      <c r="A1712" s="656" t="s">
        <v>1627</v>
      </c>
      <c r="B1712" s="657" t="s">
        <v>202</v>
      </c>
      <c r="C1712" s="656" t="s">
        <v>1628</v>
      </c>
      <c r="D1712" s="657" t="s">
        <v>13789</v>
      </c>
      <c r="E1712" s="657" t="s">
        <v>9458</v>
      </c>
      <c r="F1712" s="656" t="s">
        <v>1394</v>
      </c>
      <c r="G1712" s="656" t="s">
        <v>282</v>
      </c>
      <c r="H1712" s="656" t="s">
        <v>1394</v>
      </c>
      <c r="I1712" s="656" t="s">
        <v>14976</v>
      </c>
      <c r="J1712" s="656"/>
      <c r="K1712" s="656"/>
      <c r="L1712" s="656"/>
      <c r="M1712" s="657"/>
      <c r="N1712" s="1482"/>
      <c r="O1712" s="656" t="s">
        <v>498</v>
      </c>
      <c r="P1712" s="656" t="s">
        <v>13052</v>
      </c>
      <c r="Q1712" s="656">
        <v>44216.779490740744</v>
      </c>
    </row>
    <row r="1713" spans="1:17">
      <c r="A1713" s="656" t="s">
        <v>1629</v>
      </c>
      <c r="B1713" s="657" t="s">
        <v>202</v>
      </c>
      <c r="C1713" s="656" t="s">
        <v>1630</v>
      </c>
      <c r="D1713" s="657" t="s">
        <v>13789</v>
      </c>
      <c r="E1713" s="657" t="s">
        <v>9458</v>
      </c>
      <c r="F1713" s="656" t="s">
        <v>1394</v>
      </c>
      <c r="G1713" s="656" t="s">
        <v>282</v>
      </c>
      <c r="H1713" s="656" t="s">
        <v>1394</v>
      </c>
      <c r="I1713" s="656" t="s">
        <v>14976</v>
      </c>
      <c r="J1713" s="656"/>
      <c r="K1713" s="656"/>
      <c r="L1713" s="656"/>
      <c r="M1713" s="657"/>
      <c r="N1713" s="1482"/>
      <c r="O1713" s="656" t="s">
        <v>498</v>
      </c>
      <c r="P1713" s="656" t="s">
        <v>13052</v>
      </c>
      <c r="Q1713" s="656">
        <v>44216.779490740744</v>
      </c>
    </row>
    <row r="1714" spans="1:17">
      <c r="A1714" s="656" t="s">
        <v>1631</v>
      </c>
      <c r="B1714" s="657" t="s">
        <v>202</v>
      </c>
      <c r="C1714" s="656" t="s">
        <v>1632</v>
      </c>
      <c r="D1714" s="657" t="s">
        <v>13789</v>
      </c>
      <c r="E1714" s="657" t="s">
        <v>9458</v>
      </c>
      <c r="F1714" s="656" t="s">
        <v>1394</v>
      </c>
      <c r="G1714" s="656" t="s">
        <v>282</v>
      </c>
      <c r="H1714" s="656" t="s">
        <v>1394</v>
      </c>
      <c r="I1714" s="656" t="s">
        <v>14976</v>
      </c>
      <c r="J1714" s="656"/>
      <c r="K1714" s="656"/>
      <c r="L1714" s="656"/>
      <c r="M1714" s="657"/>
      <c r="N1714" s="1482"/>
      <c r="O1714" s="656" t="s">
        <v>498</v>
      </c>
      <c r="P1714" s="656" t="s">
        <v>13052</v>
      </c>
      <c r="Q1714" s="656">
        <v>44216.779479166667</v>
      </c>
    </row>
    <row r="1715" spans="1:17">
      <c r="A1715" s="656" t="s">
        <v>1633</v>
      </c>
      <c r="B1715" s="657" t="s">
        <v>202</v>
      </c>
      <c r="C1715" s="656" t="s">
        <v>1634</v>
      </c>
      <c r="D1715" s="657" t="s">
        <v>13789</v>
      </c>
      <c r="E1715" s="657" t="s">
        <v>7439</v>
      </c>
      <c r="F1715" s="656" t="s">
        <v>472</v>
      </c>
      <c r="G1715" s="656" t="s">
        <v>1395</v>
      </c>
      <c r="H1715" s="656" t="s">
        <v>472</v>
      </c>
      <c r="I1715" s="656" t="s">
        <v>15280</v>
      </c>
      <c r="J1715" s="656" t="s">
        <v>12368</v>
      </c>
      <c r="K1715" s="656"/>
      <c r="L1715" s="656"/>
      <c r="M1715" s="657"/>
      <c r="N1715" s="1482"/>
      <c r="O1715" s="656" t="s">
        <v>498</v>
      </c>
      <c r="P1715" s="656" t="s">
        <v>13052</v>
      </c>
      <c r="Q1715" s="656">
        <v>44216.779467592591</v>
      </c>
    </row>
    <row r="1716" spans="1:17">
      <c r="A1716" s="656" t="s">
        <v>1635</v>
      </c>
      <c r="B1716" s="657" t="s">
        <v>202</v>
      </c>
      <c r="C1716" s="656" t="s">
        <v>1636</v>
      </c>
      <c r="D1716" s="657" t="s">
        <v>14978</v>
      </c>
      <c r="E1716" s="657" t="s">
        <v>7439</v>
      </c>
      <c r="F1716" s="656" t="s">
        <v>1394</v>
      </c>
      <c r="G1716" s="656" t="s">
        <v>282</v>
      </c>
      <c r="H1716" s="656" t="s">
        <v>1394</v>
      </c>
      <c r="I1716" s="656" t="s">
        <v>14976</v>
      </c>
      <c r="J1716" s="656"/>
      <c r="K1716" s="656"/>
      <c r="L1716" s="656"/>
      <c r="M1716" s="657"/>
      <c r="N1716" s="1482"/>
      <c r="O1716" s="656" t="s">
        <v>498</v>
      </c>
      <c r="P1716" s="656" t="s">
        <v>13052</v>
      </c>
      <c r="Q1716" s="656">
        <v>44216.779467592591</v>
      </c>
    </row>
    <row r="1717" spans="1:17">
      <c r="A1717" s="656" t="s">
        <v>1637</v>
      </c>
      <c r="B1717" s="657" t="s">
        <v>202</v>
      </c>
      <c r="C1717" s="656" t="s">
        <v>1638</v>
      </c>
      <c r="D1717" s="657" t="s">
        <v>13789</v>
      </c>
      <c r="E1717" s="657" t="s">
        <v>9458</v>
      </c>
      <c r="F1717" s="656" t="s">
        <v>783</v>
      </c>
      <c r="G1717" s="656" t="s">
        <v>783</v>
      </c>
      <c r="H1717" s="656" t="s">
        <v>783</v>
      </c>
      <c r="I1717" s="656" t="s">
        <v>15280</v>
      </c>
      <c r="J1717" s="656"/>
      <c r="K1717" s="656"/>
      <c r="L1717" s="656"/>
      <c r="M1717" s="657"/>
      <c r="N1717" s="1482"/>
      <c r="O1717" s="656" t="s">
        <v>498</v>
      </c>
      <c r="P1717" s="656" t="s">
        <v>13052</v>
      </c>
      <c r="Q1717" s="656">
        <v>44216.779456018521</v>
      </c>
    </row>
    <row r="1718" spans="1:17">
      <c r="A1718" s="656" t="s">
        <v>1639</v>
      </c>
      <c r="B1718" s="657" t="s">
        <v>202</v>
      </c>
      <c r="C1718" s="656" t="s">
        <v>1640</v>
      </c>
      <c r="D1718" s="657" t="s">
        <v>13789</v>
      </c>
      <c r="E1718" s="657" t="s">
        <v>9458</v>
      </c>
      <c r="F1718" s="656" t="s">
        <v>1300</v>
      </c>
      <c r="G1718" s="656" t="s">
        <v>1301</v>
      </c>
      <c r="H1718" s="656" t="s">
        <v>1300</v>
      </c>
      <c r="I1718" s="656" t="s">
        <v>15280</v>
      </c>
      <c r="J1718" s="656"/>
      <c r="K1718" s="656"/>
      <c r="L1718" s="656"/>
      <c r="M1718" s="657"/>
      <c r="N1718" s="1482"/>
      <c r="O1718" s="656" t="s">
        <v>498</v>
      </c>
      <c r="P1718" s="656" t="s">
        <v>13052</v>
      </c>
      <c r="Q1718" s="656">
        <v>44216.779456018521</v>
      </c>
    </row>
    <row r="1719" spans="1:17">
      <c r="A1719" s="656" t="s">
        <v>1641</v>
      </c>
      <c r="B1719" s="657" t="s">
        <v>202</v>
      </c>
      <c r="C1719" s="656" t="s">
        <v>1642</v>
      </c>
      <c r="D1719" s="657" t="s">
        <v>13789</v>
      </c>
      <c r="E1719" s="657" t="s">
        <v>9458</v>
      </c>
      <c r="F1719" s="656" t="s">
        <v>1300</v>
      </c>
      <c r="G1719" s="656" t="s">
        <v>1301</v>
      </c>
      <c r="H1719" s="656" t="s">
        <v>1300</v>
      </c>
      <c r="I1719" s="656" t="s">
        <v>15280</v>
      </c>
      <c r="J1719" s="656"/>
      <c r="K1719" s="656"/>
      <c r="L1719" s="656"/>
      <c r="M1719" s="657"/>
      <c r="N1719" s="1482"/>
      <c r="O1719" s="656" t="s">
        <v>498</v>
      </c>
      <c r="P1719" s="656" t="s">
        <v>13052</v>
      </c>
      <c r="Q1719" s="656">
        <v>44216.779444444444</v>
      </c>
    </row>
    <row r="1720" spans="1:17">
      <c r="A1720" s="656" t="s">
        <v>13829</v>
      </c>
      <c r="B1720" s="657" t="s">
        <v>504</v>
      </c>
      <c r="C1720" s="656" t="s">
        <v>13830</v>
      </c>
      <c r="D1720" s="657" t="s">
        <v>13789</v>
      </c>
      <c r="E1720" s="657" t="s">
        <v>9458</v>
      </c>
      <c r="F1720" s="656" t="s">
        <v>505</v>
      </c>
      <c r="G1720" s="656" t="s">
        <v>506</v>
      </c>
      <c r="H1720" s="656" t="s">
        <v>505</v>
      </c>
      <c r="I1720" s="656" t="s">
        <v>14976</v>
      </c>
      <c r="J1720" s="656"/>
      <c r="K1720" s="656"/>
      <c r="L1720" s="656"/>
      <c r="M1720" s="657"/>
      <c r="N1720" s="1482"/>
      <c r="O1720" s="656" t="s">
        <v>498</v>
      </c>
      <c r="P1720" s="656" t="s">
        <v>13052</v>
      </c>
      <c r="Q1720" s="656">
        <v>44216.779456018521</v>
      </c>
    </row>
    <row r="1721" spans="1:17">
      <c r="A1721" s="656" t="s">
        <v>1643</v>
      </c>
      <c r="B1721" s="657" t="s">
        <v>504</v>
      </c>
      <c r="C1721" s="656" t="s">
        <v>1644</v>
      </c>
      <c r="D1721" s="657" t="s">
        <v>14977</v>
      </c>
      <c r="E1721" s="657" t="s">
        <v>9458</v>
      </c>
      <c r="F1721" s="656" t="s">
        <v>505</v>
      </c>
      <c r="G1721" s="656" t="s">
        <v>522</v>
      </c>
      <c r="H1721" s="656" t="s">
        <v>505</v>
      </c>
      <c r="I1721" s="656" t="s">
        <v>14976</v>
      </c>
      <c r="J1721" s="656"/>
      <c r="K1721" s="656"/>
      <c r="L1721" s="656"/>
      <c r="M1721" s="657"/>
      <c r="N1721" s="1482"/>
      <c r="O1721" s="656" t="s">
        <v>498</v>
      </c>
      <c r="P1721" s="656" t="s">
        <v>13052</v>
      </c>
      <c r="Q1721" s="656">
        <v>44216.779444444444</v>
      </c>
    </row>
    <row r="1722" spans="1:17">
      <c r="A1722" s="656" t="s">
        <v>1645</v>
      </c>
      <c r="B1722" s="657" t="s">
        <v>202</v>
      </c>
      <c r="C1722" s="656" t="s">
        <v>1646</v>
      </c>
      <c r="D1722" s="657" t="s">
        <v>13789</v>
      </c>
      <c r="E1722" s="657" t="s">
        <v>9458</v>
      </c>
      <c r="F1722" s="656" t="s">
        <v>462</v>
      </c>
      <c r="G1722" s="656"/>
      <c r="H1722" s="656" t="s">
        <v>462</v>
      </c>
      <c r="I1722" s="656" t="s">
        <v>15280</v>
      </c>
      <c r="J1722" s="656" t="s">
        <v>463</v>
      </c>
      <c r="K1722" s="656"/>
      <c r="L1722" s="656"/>
      <c r="M1722" s="657"/>
      <c r="N1722" s="1482"/>
      <c r="O1722" s="656" t="s">
        <v>498</v>
      </c>
      <c r="P1722" s="656" t="s">
        <v>13052</v>
      </c>
      <c r="Q1722" s="656">
        <v>44216.779432870368</v>
      </c>
    </row>
    <row r="1723" spans="1:17">
      <c r="A1723" s="656" t="s">
        <v>1647</v>
      </c>
      <c r="B1723" s="657" t="s">
        <v>202</v>
      </c>
      <c r="C1723" s="656" t="s">
        <v>1648</v>
      </c>
      <c r="D1723" s="657" t="s">
        <v>13789</v>
      </c>
      <c r="E1723" s="657" t="s">
        <v>9458</v>
      </c>
      <c r="F1723" s="656" t="s">
        <v>1300</v>
      </c>
      <c r="G1723" s="656" t="s">
        <v>1070</v>
      </c>
      <c r="H1723" s="656" t="s">
        <v>1300</v>
      </c>
      <c r="I1723" s="656" t="s">
        <v>15280</v>
      </c>
      <c r="J1723" s="656"/>
      <c r="K1723" s="656"/>
      <c r="L1723" s="656"/>
      <c r="M1723" s="657"/>
      <c r="N1723" s="1482"/>
      <c r="O1723" s="656" t="s">
        <v>498</v>
      </c>
      <c r="P1723" s="656" t="s">
        <v>13052</v>
      </c>
      <c r="Q1723" s="656">
        <v>44216.779432870368</v>
      </c>
    </row>
    <row r="1724" spans="1:17">
      <c r="A1724" s="656" t="s">
        <v>1649</v>
      </c>
      <c r="B1724" s="657" t="s">
        <v>202</v>
      </c>
      <c r="C1724" s="656" t="s">
        <v>1650</v>
      </c>
      <c r="D1724" s="657" t="s">
        <v>13789</v>
      </c>
      <c r="E1724" s="657" t="s">
        <v>9458</v>
      </c>
      <c r="F1724" s="656" t="s">
        <v>8807</v>
      </c>
      <c r="G1724" s="656" t="s">
        <v>512</v>
      </c>
      <c r="H1724" s="656" t="s">
        <v>8807</v>
      </c>
      <c r="I1724" s="656" t="s">
        <v>15280</v>
      </c>
      <c r="J1724" s="656" t="s">
        <v>8814</v>
      </c>
      <c r="K1724" s="656" t="s">
        <v>4057</v>
      </c>
      <c r="L1724" s="656"/>
      <c r="M1724" s="657"/>
      <c r="N1724" s="1482"/>
      <c r="O1724" s="656" t="s">
        <v>498</v>
      </c>
      <c r="P1724" s="656" t="s">
        <v>13052</v>
      </c>
      <c r="Q1724" s="656">
        <v>44216.779421296298</v>
      </c>
    </row>
    <row r="1725" spans="1:17">
      <c r="A1725" s="656" t="s">
        <v>1651</v>
      </c>
      <c r="B1725" s="657" t="s">
        <v>202</v>
      </c>
      <c r="C1725" s="656" t="s">
        <v>9650</v>
      </c>
      <c r="D1725" s="657" t="s">
        <v>13789</v>
      </c>
      <c r="E1725" s="657" t="s">
        <v>9510</v>
      </c>
      <c r="F1725" s="656" t="s">
        <v>462</v>
      </c>
      <c r="G1725" s="656" t="s">
        <v>512</v>
      </c>
      <c r="H1725" s="656" t="s">
        <v>462</v>
      </c>
      <c r="I1725" s="656" t="s">
        <v>15280</v>
      </c>
      <c r="J1725" s="656" t="s">
        <v>463</v>
      </c>
      <c r="K1725" s="656" t="s">
        <v>1924</v>
      </c>
      <c r="L1725" s="656"/>
      <c r="M1725" s="657"/>
      <c r="N1725" s="1482"/>
      <c r="O1725" s="656" t="s">
        <v>498</v>
      </c>
      <c r="P1725" s="656" t="s">
        <v>13052</v>
      </c>
      <c r="Q1725" s="656">
        <v>44216.779421296298</v>
      </c>
    </row>
    <row r="1726" spans="1:17">
      <c r="A1726" s="656" t="s">
        <v>1652</v>
      </c>
      <c r="B1726" s="657" t="s">
        <v>504</v>
      </c>
      <c r="C1726" s="656" t="s">
        <v>1653</v>
      </c>
      <c r="D1726" s="657" t="s">
        <v>14978</v>
      </c>
      <c r="E1726" s="657" t="s">
        <v>7439</v>
      </c>
      <c r="F1726" s="656" t="s">
        <v>505</v>
      </c>
      <c r="G1726" s="656" t="s">
        <v>525</v>
      </c>
      <c r="H1726" s="656" t="s">
        <v>505</v>
      </c>
      <c r="I1726" s="656" t="s">
        <v>14976</v>
      </c>
      <c r="J1726" s="656"/>
      <c r="K1726" s="656"/>
      <c r="L1726" s="656" t="s">
        <v>3630</v>
      </c>
      <c r="M1726" s="657"/>
      <c r="N1726" s="1482"/>
      <c r="O1726" s="656" t="s">
        <v>498</v>
      </c>
      <c r="P1726" s="656" t="s">
        <v>13052</v>
      </c>
      <c r="Q1726" s="656">
        <v>44216.779409722221</v>
      </c>
    </row>
    <row r="1727" spans="1:17">
      <c r="A1727" s="656" t="s">
        <v>1654</v>
      </c>
      <c r="B1727" s="657" t="s">
        <v>202</v>
      </c>
      <c r="C1727" s="656" t="s">
        <v>1655</v>
      </c>
      <c r="D1727" s="657" t="s">
        <v>13789</v>
      </c>
      <c r="E1727" s="657" t="s">
        <v>9510</v>
      </c>
      <c r="F1727" s="656" t="s">
        <v>3077</v>
      </c>
      <c r="G1727" s="656" t="s">
        <v>512</v>
      </c>
      <c r="H1727" s="656" t="s">
        <v>465</v>
      </c>
      <c r="I1727" s="656" t="s">
        <v>14976</v>
      </c>
      <c r="J1727" s="656" t="s">
        <v>446</v>
      </c>
      <c r="K1727" s="656" t="s">
        <v>3077</v>
      </c>
      <c r="L1727" s="656"/>
      <c r="M1727" s="657"/>
      <c r="N1727" s="1482"/>
      <c r="O1727" s="656" t="s">
        <v>498</v>
      </c>
      <c r="P1727" s="656" t="s">
        <v>13052</v>
      </c>
      <c r="Q1727" s="656">
        <v>44216.779409722221</v>
      </c>
    </row>
    <row r="1728" spans="1:17">
      <c r="A1728" s="656" t="s">
        <v>1656</v>
      </c>
      <c r="B1728" s="657" t="s">
        <v>202</v>
      </c>
      <c r="C1728" s="656" t="s">
        <v>1657</v>
      </c>
      <c r="D1728" s="657" t="s">
        <v>13789</v>
      </c>
      <c r="E1728" s="657" t="s">
        <v>9510</v>
      </c>
      <c r="F1728" s="656" t="s">
        <v>458</v>
      </c>
      <c r="G1728" s="656" t="s">
        <v>1113</v>
      </c>
      <c r="H1728" s="656" t="s">
        <v>458</v>
      </c>
      <c r="I1728" s="656" t="s">
        <v>14976</v>
      </c>
      <c r="J1728" s="656" t="s">
        <v>8814</v>
      </c>
      <c r="K1728" s="656"/>
      <c r="L1728" s="656"/>
      <c r="M1728" s="657"/>
      <c r="N1728" s="1482"/>
      <c r="O1728" s="656" t="s">
        <v>498</v>
      </c>
      <c r="P1728" s="656" t="s">
        <v>13052</v>
      </c>
      <c r="Q1728" s="656">
        <v>44216.779398148145</v>
      </c>
    </row>
    <row r="1729" spans="1:17">
      <c r="A1729" s="656" t="s">
        <v>1658</v>
      </c>
      <c r="B1729" s="657" t="s">
        <v>504</v>
      </c>
      <c r="C1729" s="656" t="s">
        <v>1659</v>
      </c>
      <c r="D1729" s="657" t="s">
        <v>13789</v>
      </c>
      <c r="E1729" s="657" t="s">
        <v>7439</v>
      </c>
      <c r="F1729" s="656" t="s">
        <v>505</v>
      </c>
      <c r="G1729" s="656" t="s">
        <v>522</v>
      </c>
      <c r="H1729" s="656" t="s">
        <v>505</v>
      </c>
      <c r="I1729" s="656" t="s">
        <v>14976</v>
      </c>
      <c r="J1729" s="656"/>
      <c r="K1729" s="656"/>
      <c r="L1729" s="656"/>
      <c r="M1729" s="657"/>
      <c r="N1729" s="1482"/>
      <c r="O1729" s="656" t="s">
        <v>498</v>
      </c>
      <c r="P1729" s="656" t="s">
        <v>13052</v>
      </c>
      <c r="Q1729" s="656">
        <v>44216.779409722221</v>
      </c>
    </row>
    <row r="1730" spans="1:17">
      <c r="A1730" s="656" t="s">
        <v>1660</v>
      </c>
      <c r="B1730" s="657" t="s">
        <v>504</v>
      </c>
      <c r="C1730" s="656" t="s">
        <v>1661</v>
      </c>
      <c r="D1730" s="657" t="s">
        <v>13789</v>
      </c>
      <c r="E1730" s="657" t="s">
        <v>7439</v>
      </c>
      <c r="F1730" s="656" t="s">
        <v>505</v>
      </c>
      <c r="G1730" s="656" t="s">
        <v>525</v>
      </c>
      <c r="H1730" s="656" t="s">
        <v>505</v>
      </c>
      <c r="I1730" s="656" t="s">
        <v>14976</v>
      </c>
      <c r="J1730" s="656"/>
      <c r="K1730" s="656"/>
      <c r="L1730" s="656"/>
      <c r="M1730" s="657"/>
      <c r="N1730" s="1482"/>
      <c r="O1730" s="656" t="s">
        <v>498</v>
      </c>
      <c r="P1730" s="656" t="s">
        <v>13052</v>
      </c>
      <c r="Q1730" s="656">
        <v>44216.779398148145</v>
      </c>
    </row>
    <row r="1731" spans="1:17">
      <c r="A1731" s="656" t="s">
        <v>1662</v>
      </c>
      <c r="B1731" s="657" t="s">
        <v>202</v>
      </c>
      <c r="C1731" s="656" t="s">
        <v>1663</v>
      </c>
      <c r="D1731" s="657" t="s">
        <v>13789</v>
      </c>
      <c r="E1731" s="657" t="s">
        <v>9510</v>
      </c>
      <c r="F1731" s="656" t="s">
        <v>472</v>
      </c>
      <c r="G1731" s="656" t="s">
        <v>1395</v>
      </c>
      <c r="H1731" s="656" t="s">
        <v>472</v>
      </c>
      <c r="I1731" s="656" t="s">
        <v>14976</v>
      </c>
      <c r="J1731" s="656" t="s">
        <v>12368</v>
      </c>
      <c r="K1731" s="656"/>
      <c r="L1731" s="656"/>
      <c r="M1731" s="657"/>
      <c r="N1731" s="1482"/>
      <c r="O1731" s="656" t="s">
        <v>498</v>
      </c>
      <c r="P1731" s="656" t="s">
        <v>13052</v>
      </c>
      <c r="Q1731" s="656">
        <v>44216.779386574075</v>
      </c>
    </row>
    <row r="1732" spans="1:17">
      <c r="A1732" s="656" t="s">
        <v>1664</v>
      </c>
      <c r="B1732" s="657" t="s">
        <v>202</v>
      </c>
      <c r="C1732" s="656" t="s">
        <v>1665</v>
      </c>
      <c r="D1732" s="657" t="s">
        <v>13789</v>
      </c>
      <c r="E1732" s="657" t="s">
        <v>9458</v>
      </c>
      <c r="F1732" s="656" t="s">
        <v>472</v>
      </c>
      <c r="G1732" s="656" t="s">
        <v>1395</v>
      </c>
      <c r="H1732" s="656" t="s">
        <v>472</v>
      </c>
      <c r="I1732" s="656" t="s">
        <v>14976</v>
      </c>
      <c r="J1732" s="656" t="s">
        <v>12368</v>
      </c>
      <c r="K1732" s="656"/>
      <c r="L1732" s="656"/>
      <c r="M1732" s="657"/>
      <c r="N1732" s="1482"/>
      <c r="O1732" s="656" t="s">
        <v>498</v>
      </c>
      <c r="P1732" s="656" t="s">
        <v>13052</v>
      </c>
      <c r="Q1732" s="656">
        <v>44216.779386574075</v>
      </c>
    </row>
    <row r="1733" spans="1:17">
      <c r="A1733" s="656" t="s">
        <v>15312</v>
      </c>
      <c r="B1733" s="657" t="s">
        <v>202</v>
      </c>
      <c r="C1733" s="656" t="s">
        <v>14980</v>
      </c>
      <c r="D1733" s="657" t="s">
        <v>13789</v>
      </c>
      <c r="E1733" s="657"/>
      <c r="F1733" s="656" t="s">
        <v>537</v>
      </c>
      <c r="G1733" s="656" t="s">
        <v>512</v>
      </c>
      <c r="H1733" s="656" t="s">
        <v>537</v>
      </c>
      <c r="I1733" s="656" t="s">
        <v>14976</v>
      </c>
      <c r="J1733" s="656" t="s">
        <v>8664</v>
      </c>
      <c r="K1733" s="656" t="s">
        <v>4161</v>
      </c>
      <c r="L1733" s="656"/>
      <c r="M1733" s="657"/>
      <c r="N1733" s="1482"/>
      <c r="O1733" s="656" t="s">
        <v>498</v>
      </c>
      <c r="P1733" s="656" t="s">
        <v>13052</v>
      </c>
      <c r="Q1733" s="656">
        <v>44216.779386574075</v>
      </c>
    </row>
    <row r="1734" spans="1:17">
      <c r="A1734" s="656" t="s">
        <v>1666</v>
      </c>
      <c r="B1734" s="657" t="s">
        <v>202</v>
      </c>
      <c r="C1734" s="656" t="s">
        <v>13828</v>
      </c>
      <c r="D1734" s="657" t="s">
        <v>13789</v>
      </c>
      <c r="E1734" s="657" t="s">
        <v>9458</v>
      </c>
      <c r="F1734" s="656" t="s">
        <v>1667</v>
      </c>
      <c r="G1734" s="656" t="s">
        <v>1668</v>
      </c>
      <c r="H1734" s="656" t="s">
        <v>1667</v>
      </c>
      <c r="I1734" s="656" t="s">
        <v>14976</v>
      </c>
      <c r="J1734" s="656"/>
      <c r="K1734" s="656"/>
      <c r="L1734" s="656"/>
      <c r="M1734" s="657"/>
      <c r="N1734" s="1482"/>
      <c r="O1734" s="656" t="s">
        <v>498</v>
      </c>
      <c r="P1734" s="656" t="s">
        <v>13052</v>
      </c>
      <c r="Q1734" s="656">
        <v>44216.779374999998</v>
      </c>
    </row>
    <row r="1735" spans="1:17">
      <c r="A1735" s="656" t="s">
        <v>1669</v>
      </c>
      <c r="B1735" s="657" t="s">
        <v>202</v>
      </c>
      <c r="C1735" s="656" t="s">
        <v>1670</v>
      </c>
      <c r="D1735" s="657" t="s">
        <v>13789</v>
      </c>
      <c r="E1735" s="657" t="s">
        <v>9458</v>
      </c>
      <c r="F1735" s="656" t="s">
        <v>537</v>
      </c>
      <c r="G1735" s="656"/>
      <c r="H1735" s="656" t="s">
        <v>537</v>
      </c>
      <c r="I1735" s="656" t="s">
        <v>15280</v>
      </c>
      <c r="J1735" s="656" t="s">
        <v>473</v>
      </c>
      <c r="K1735" s="656"/>
      <c r="L1735" s="656"/>
      <c r="M1735" s="657"/>
      <c r="N1735" s="1482"/>
      <c r="O1735" s="656" t="s">
        <v>498</v>
      </c>
      <c r="P1735" s="656" t="s">
        <v>13052</v>
      </c>
      <c r="Q1735" s="656">
        <v>44216.779363425929</v>
      </c>
    </row>
    <row r="1736" spans="1:17">
      <c r="A1736" s="656" t="s">
        <v>1671</v>
      </c>
      <c r="B1736" s="657" t="s">
        <v>202</v>
      </c>
      <c r="C1736" s="656" t="s">
        <v>1672</v>
      </c>
      <c r="D1736" s="657" t="s">
        <v>13789</v>
      </c>
      <c r="E1736" s="657" t="s">
        <v>9510</v>
      </c>
      <c r="F1736" s="656" t="s">
        <v>458</v>
      </c>
      <c r="G1736" s="656" t="s">
        <v>1113</v>
      </c>
      <c r="H1736" s="656" t="s">
        <v>458</v>
      </c>
      <c r="I1736" s="656" t="s">
        <v>14976</v>
      </c>
      <c r="J1736" s="656" t="s">
        <v>8814</v>
      </c>
      <c r="K1736" s="656"/>
      <c r="L1736" s="656"/>
      <c r="M1736" s="657"/>
      <c r="N1736" s="1482"/>
      <c r="O1736" s="656" t="s">
        <v>498</v>
      </c>
      <c r="P1736" s="656" t="s">
        <v>13052</v>
      </c>
      <c r="Q1736" s="656">
        <v>44216.779351851852</v>
      </c>
    </row>
    <row r="1737" spans="1:17">
      <c r="A1737" s="656" t="s">
        <v>1673</v>
      </c>
      <c r="B1737" s="657" t="s">
        <v>202</v>
      </c>
      <c r="C1737" s="656" t="s">
        <v>13827</v>
      </c>
      <c r="D1737" s="657" t="s">
        <v>13789</v>
      </c>
      <c r="E1737" s="657" t="s">
        <v>9510</v>
      </c>
      <c r="F1737" s="656" t="s">
        <v>458</v>
      </c>
      <c r="G1737" s="656" t="s">
        <v>1113</v>
      </c>
      <c r="H1737" s="656" t="s">
        <v>458</v>
      </c>
      <c r="I1737" s="656" t="s">
        <v>14976</v>
      </c>
      <c r="J1737" s="656" t="s">
        <v>8814</v>
      </c>
      <c r="K1737" s="656"/>
      <c r="L1737" s="656"/>
      <c r="M1737" s="657"/>
      <c r="N1737" s="1482"/>
      <c r="O1737" s="656" t="s">
        <v>498</v>
      </c>
      <c r="P1737" s="656" t="s">
        <v>13052</v>
      </c>
      <c r="Q1737" s="656">
        <v>44216.779351851852</v>
      </c>
    </row>
    <row r="1738" spans="1:17">
      <c r="A1738" s="656" t="s">
        <v>1674</v>
      </c>
      <c r="B1738" s="657" t="s">
        <v>202</v>
      </c>
      <c r="C1738" s="656" t="s">
        <v>1675</v>
      </c>
      <c r="D1738" s="657" t="s">
        <v>13789</v>
      </c>
      <c r="E1738" s="657" t="s">
        <v>9510</v>
      </c>
      <c r="F1738" s="656" t="s">
        <v>537</v>
      </c>
      <c r="G1738" s="656" t="s">
        <v>512</v>
      </c>
      <c r="H1738" s="656" t="s">
        <v>537</v>
      </c>
      <c r="I1738" s="656" t="s">
        <v>14976</v>
      </c>
      <c r="J1738" s="656" t="s">
        <v>473</v>
      </c>
      <c r="K1738" s="656" t="s">
        <v>4161</v>
      </c>
      <c r="L1738" s="656"/>
      <c r="M1738" s="657"/>
      <c r="N1738" s="1482"/>
      <c r="O1738" s="656" t="s">
        <v>498</v>
      </c>
      <c r="P1738" s="656" t="s">
        <v>13052</v>
      </c>
      <c r="Q1738" s="656">
        <v>44216.779340277775</v>
      </c>
    </row>
    <row r="1739" spans="1:17">
      <c r="A1739" s="656" t="s">
        <v>1676</v>
      </c>
      <c r="B1739" s="657" t="s">
        <v>202</v>
      </c>
      <c r="C1739" s="656" t="s">
        <v>1677</v>
      </c>
      <c r="D1739" s="657" t="s">
        <v>13789</v>
      </c>
      <c r="E1739" s="657" t="s">
        <v>9510</v>
      </c>
      <c r="F1739" s="656" t="s">
        <v>458</v>
      </c>
      <c r="G1739" s="656" t="s">
        <v>1113</v>
      </c>
      <c r="H1739" s="656" t="s">
        <v>458</v>
      </c>
      <c r="I1739" s="656" t="s">
        <v>14976</v>
      </c>
      <c r="J1739" s="656" t="s">
        <v>8814</v>
      </c>
      <c r="K1739" s="656"/>
      <c r="L1739" s="656"/>
      <c r="M1739" s="657"/>
      <c r="N1739" s="1482"/>
      <c r="O1739" s="656" t="s">
        <v>498</v>
      </c>
      <c r="P1739" s="656" t="s">
        <v>13052</v>
      </c>
      <c r="Q1739" s="656">
        <v>44216.779340277775</v>
      </c>
    </row>
    <row r="1740" spans="1:17">
      <c r="A1740" s="656" t="s">
        <v>1678</v>
      </c>
      <c r="B1740" s="657" t="s">
        <v>202</v>
      </c>
      <c r="C1740" s="656" t="s">
        <v>1679</v>
      </c>
      <c r="D1740" s="657" t="s">
        <v>13789</v>
      </c>
      <c r="E1740" s="657" t="s">
        <v>9510</v>
      </c>
      <c r="F1740" s="656" t="s">
        <v>458</v>
      </c>
      <c r="G1740" s="656" t="s">
        <v>1113</v>
      </c>
      <c r="H1740" s="656" t="s">
        <v>458</v>
      </c>
      <c r="I1740" s="656" t="s">
        <v>14976</v>
      </c>
      <c r="J1740" s="656" t="s">
        <v>8814</v>
      </c>
      <c r="K1740" s="656"/>
      <c r="L1740" s="656"/>
      <c r="M1740" s="657"/>
      <c r="N1740" s="1482"/>
      <c r="O1740" s="656" t="s">
        <v>498</v>
      </c>
      <c r="P1740" s="656" t="s">
        <v>13052</v>
      </c>
      <c r="Q1740" s="656">
        <v>44216.779328703706</v>
      </c>
    </row>
    <row r="1741" spans="1:17">
      <c r="A1741" s="656" t="s">
        <v>13019</v>
      </c>
      <c r="B1741" s="657" t="s">
        <v>202</v>
      </c>
      <c r="C1741" s="656" t="s">
        <v>13018</v>
      </c>
      <c r="D1741" s="657" t="s">
        <v>13789</v>
      </c>
      <c r="E1741" s="657" t="s">
        <v>9510</v>
      </c>
      <c r="F1741" s="656" t="s">
        <v>472</v>
      </c>
      <c r="G1741" s="656" t="s">
        <v>519</v>
      </c>
      <c r="H1741" s="656" t="s">
        <v>472</v>
      </c>
      <c r="I1741" s="656" t="s">
        <v>14976</v>
      </c>
      <c r="J1741" s="656" t="s">
        <v>12368</v>
      </c>
      <c r="K1741" s="656" t="s">
        <v>1058</v>
      </c>
      <c r="L1741" s="656"/>
      <c r="M1741" s="657"/>
      <c r="N1741" s="1482"/>
      <c r="O1741" s="656" t="s">
        <v>498</v>
      </c>
      <c r="P1741" s="656" t="s">
        <v>13052</v>
      </c>
      <c r="Q1741" s="656">
        <v>44216.779328703706</v>
      </c>
    </row>
    <row r="1742" spans="1:17">
      <c r="A1742" s="656" t="s">
        <v>1680</v>
      </c>
      <c r="B1742" s="657" t="s">
        <v>202</v>
      </c>
      <c r="C1742" s="656" t="s">
        <v>9651</v>
      </c>
      <c r="D1742" s="657" t="s">
        <v>13789</v>
      </c>
      <c r="E1742" s="657" t="s">
        <v>9510</v>
      </c>
      <c r="F1742" s="656" t="s">
        <v>462</v>
      </c>
      <c r="G1742" s="656" t="s">
        <v>552</v>
      </c>
      <c r="H1742" s="656" t="s">
        <v>462</v>
      </c>
      <c r="I1742" s="656" t="s">
        <v>15280</v>
      </c>
      <c r="J1742" s="656" t="s">
        <v>463</v>
      </c>
      <c r="K1742" s="656"/>
      <c r="L1742" s="656"/>
      <c r="M1742" s="657"/>
      <c r="N1742" s="1482"/>
      <c r="O1742" s="656" t="s">
        <v>498</v>
      </c>
      <c r="P1742" s="656" t="s">
        <v>13052</v>
      </c>
      <c r="Q1742" s="656">
        <v>44216.779317129629</v>
      </c>
    </row>
    <row r="1743" spans="1:17">
      <c r="A1743" s="656" t="s">
        <v>1681</v>
      </c>
      <c r="B1743" s="657" t="s">
        <v>202</v>
      </c>
      <c r="C1743" s="656" t="s">
        <v>1682</v>
      </c>
      <c r="D1743" s="657" t="s">
        <v>13789</v>
      </c>
      <c r="E1743" s="657" t="s">
        <v>9458</v>
      </c>
      <c r="F1743" s="656" t="s">
        <v>462</v>
      </c>
      <c r="G1743" s="656"/>
      <c r="H1743" s="656" t="s">
        <v>462</v>
      </c>
      <c r="I1743" s="656" t="s">
        <v>15280</v>
      </c>
      <c r="J1743" s="656" t="s">
        <v>463</v>
      </c>
      <c r="K1743" s="656"/>
      <c r="L1743" s="656"/>
      <c r="M1743" s="657"/>
      <c r="N1743" s="1482"/>
      <c r="O1743" s="656" t="s">
        <v>498</v>
      </c>
      <c r="P1743" s="656" t="s">
        <v>13052</v>
      </c>
      <c r="Q1743" s="656">
        <v>44216.779317129629</v>
      </c>
    </row>
    <row r="1744" spans="1:17">
      <c r="A1744" s="656" t="s">
        <v>9024</v>
      </c>
      <c r="B1744" s="657" t="s">
        <v>504</v>
      </c>
      <c r="C1744" s="656" t="s">
        <v>8975</v>
      </c>
      <c r="D1744" s="657" t="s">
        <v>14978</v>
      </c>
      <c r="E1744" s="657" t="s">
        <v>9406</v>
      </c>
      <c r="F1744" s="656" t="s">
        <v>540</v>
      </c>
      <c r="G1744" s="656" t="s">
        <v>625</v>
      </c>
      <c r="H1744" s="656" t="s">
        <v>540</v>
      </c>
      <c r="I1744" s="656" t="s">
        <v>14976</v>
      </c>
      <c r="J1744" s="656"/>
      <c r="K1744" s="656"/>
      <c r="L1744" s="656" t="s">
        <v>1683</v>
      </c>
      <c r="M1744" s="657"/>
      <c r="N1744" s="1482"/>
      <c r="O1744" s="656" t="s">
        <v>498</v>
      </c>
      <c r="P1744" s="656" t="s">
        <v>13052</v>
      </c>
      <c r="Q1744" s="656">
        <v>44216.779305555552</v>
      </c>
    </row>
    <row r="1745" spans="1:17">
      <c r="A1745" s="656" t="s">
        <v>8620</v>
      </c>
      <c r="B1745" s="657" t="s">
        <v>202</v>
      </c>
      <c r="C1745" s="656" t="s">
        <v>15916</v>
      </c>
      <c r="D1745" s="657" t="s">
        <v>15491</v>
      </c>
      <c r="E1745" s="657" t="s">
        <v>7435</v>
      </c>
      <c r="F1745" s="656" t="s">
        <v>2849</v>
      </c>
      <c r="G1745" s="656" t="s">
        <v>512</v>
      </c>
      <c r="H1745" s="656" t="s">
        <v>469</v>
      </c>
      <c r="I1745" s="656" t="s">
        <v>14976</v>
      </c>
      <c r="J1745" s="656" t="s">
        <v>12373</v>
      </c>
      <c r="K1745" s="656" t="s">
        <v>2849</v>
      </c>
      <c r="L1745" s="656" t="s">
        <v>1683</v>
      </c>
      <c r="M1745" s="657" t="s">
        <v>15533</v>
      </c>
      <c r="N1745" s="1482"/>
      <c r="O1745" s="656" t="s">
        <v>498</v>
      </c>
      <c r="P1745" s="656" t="s">
        <v>13052</v>
      </c>
      <c r="Q1745" s="656">
        <v>44216.779293981483</v>
      </c>
    </row>
    <row r="1746" spans="1:17">
      <c r="A1746" s="656" t="s">
        <v>1683</v>
      </c>
      <c r="B1746" s="657" t="s">
        <v>531</v>
      </c>
      <c r="C1746" s="656" t="s">
        <v>9652</v>
      </c>
      <c r="D1746" s="657" t="s">
        <v>13789</v>
      </c>
      <c r="E1746" s="657" t="s">
        <v>9406</v>
      </c>
      <c r="F1746" s="656" t="s">
        <v>2849</v>
      </c>
      <c r="G1746" s="656" t="s">
        <v>512</v>
      </c>
      <c r="H1746" s="656" t="s">
        <v>469</v>
      </c>
      <c r="I1746" s="656" t="s">
        <v>14976</v>
      </c>
      <c r="J1746" s="656" t="s">
        <v>12373</v>
      </c>
      <c r="K1746" s="656" t="s">
        <v>2849</v>
      </c>
      <c r="L1746" s="656"/>
      <c r="M1746" s="657"/>
      <c r="N1746" s="1482"/>
      <c r="O1746" s="656" t="s">
        <v>498</v>
      </c>
      <c r="P1746" s="656" t="s">
        <v>13052</v>
      </c>
      <c r="Q1746" s="656">
        <v>44216.779293981483</v>
      </c>
    </row>
    <row r="1747" spans="1:17">
      <c r="A1747" s="656" t="s">
        <v>1684</v>
      </c>
      <c r="B1747" s="657" t="s">
        <v>202</v>
      </c>
      <c r="C1747" s="656" t="s">
        <v>1685</v>
      </c>
      <c r="D1747" s="657" t="s">
        <v>13789</v>
      </c>
      <c r="E1747" s="657" t="s">
        <v>9510</v>
      </c>
      <c r="F1747" s="656" t="s">
        <v>8807</v>
      </c>
      <c r="G1747" s="656" t="s">
        <v>1270</v>
      </c>
      <c r="H1747" s="656" t="s">
        <v>8807</v>
      </c>
      <c r="I1747" s="656" t="s">
        <v>14976</v>
      </c>
      <c r="J1747" s="656" t="s">
        <v>8814</v>
      </c>
      <c r="K1747" s="656" t="s">
        <v>1058</v>
      </c>
      <c r="L1747" s="656"/>
      <c r="M1747" s="657"/>
      <c r="N1747" s="1482"/>
      <c r="O1747" s="656" t="s">
        <v>498</v>
      </c>
      <c r="P1747" s="656" t="s">
        <v>13052</v>
      </c>
      <c r="Q1747" s="656">
        <v>44216.779293981483</v>
      </c>
    </row>
    <row r="1748" spans="1:17">
      <c r="A1748" s="656" t="s">
        <v>1686</v>
      </c>
      <c r="B1748" s="657" t="s">
        <v>202</v>
      </c>
      <c r="C1748" s="656" t="s">
        <v>1687</v>
      </c>
      <c r="D1748" s="657" t="s">
        <v>13789</v>
      </c>
      <c r="E1748" s="657" t="s">
        <v>9510</v>
      </c>
      <c r="F1748" s="656" t="s">
        <v>462</v>
      </c>
      <c r="G1748" s="656"/>
      <c r="H1748" s="656" t="s">
        <v>462</v>
      </c>
      <c r="I1748" s="656" t="s">
        <v>15280</v>
      </c>
      <c r="J1748" s="656" t="s">
        <v>463</v>
      </c>
      <c r="K1748" s="656"/>
      <c r="L1748" s="656"/>
      <c r="M1748" s="657"/>
      <c r="N1748" s="1482"/>
      <c r="O1748" s="656" t="s">
        <v>498</v>
      </c>
      <c r="P1748" s="656" t="s">
        <v>13052</v>
      </c>
      <c r="Q1748" s="656">
        <v>44216.779282407406</v>
      </c>
    </row>
    <row r="1749" spans="1:17">
      <c r="A1749" s="656" t="s">
        <v>1688</v>
      </c>
      <c r="B1749" s="657" t="s">
        <v>202</v>
      </c>
      <c r="C1749" s="656" t="s">
        <v>1689</v>
      </c>
      <c r="D1749" s="657" t="s">
        <v>13789</v>
      </c>
      <c r="E1749" s="657" t="s">
        <v>9458</v>
      </c>
      <c r="F1749" s="656" t="s">
        <v>472</v>
      </c>
      <c r="G1749" s="656" t="s">
        <v>519</v>
      </c>
      <c r="H1749" s="656" t="s">
        <v>472</v>
      </c>
      <c r="I1749" s="656" t="s">
        <v>14976</v>
      </c>
      <c r="J1749" s="656" t="s">
        <v>12368</v>
      </c>
      <c r="K1749" s="656"/>
      <c r="L1749" s="656"/>
      <c r="M1749" s="657"/>
      <c r="N1749" s="1482"/>
      <c r="O1749" s="656" t="s">
        <v>498</v>
      </c>
      <c r="P1749" s="656" t="s">
        <v>13052</v>
      </c>
      <c r="Q1749" s="656">
        <v>44216.779282407406</v>
      </c>
    </row>
    <row r="1750" spans="1:17">
      <c r="A1750" s="656" t="s">
        <v>1690</v>
      </c>
      <c r="B1750" s="657" t="s">
        <v>202</v>
      </c>
      <c r="C1750" s="656" t="s">
        <v>1691</v>
      </c>
      <c r="D1750" s="657" t="s">
        <v>13789</v>
      </c>
      <c r="E1750" s="657" t="s">
        <v>9458</v>
      </c>
      <c r="F1750" s="656" t="s">
        <v>472</v>
      </c>
      <c r="G1750" s="656" t="s">
        <v>519</v>
      </c>
      <c r="H1750" s="656" t="s">
        <v>472</v>
      </c>
      <c r="I1750" s="656" t="s">
        <v>14976</v>
      </c>
      <c r="J1750" s="656" t="s">
        <v>12368</v>
      </c>
      <c r="K1750" s="656" t="s">
        <v>1058</v>
      </c>
      <c r="L1750" s="656"/>
      <c r="M1750" s="657"/>
      <c r="N1750" s="1482"/>
      <c r="O1750" s="656" t="s">
        <v>498</v>
      </c>
      <c r="P1750" s="656" t="s">
        <v>13052</v>
      </c>
      <c r="Q1750" s="656">
        <v>44216.779270833336</v>
      </c>
    </row>
    <row r="1751" spans="1:17">
      <c r="A1751" s="656" t="s">
        <v>1692</v>
      </c>
      <c r="B1751" s="657" t="s">
        <v>202</v>
      </c>
      <c r="C1751" s="656" t="s">
        <v>1693</v>
      </c>
      <c r="D1751" s="657" t="s">
        <v>13789</v>
      </c>
      <c r="E1751" s="657" t="s">
        <v>9406</v>
      </c>
      <c r="F1751" s="656" t="s">
        <v>1073</v>
      </c>
      <c r="G1751" s="656" t="s">
        <v>1394</v>
      </c>
      <c r="H1751" s="656" t="s">
        <v>1073</v>
      </c>
      <c r="I1751" s="656" t="s">
        <v>14976</v>
      </c>
      <c r="J1751" s="656"/>
      <c r="K1751" s="656"/>
      <c r="L1751" s="656"/>
      <c r="M1751" s="657"/>
      <c r="N1751" s="1482"/>
      <c r="O1751" s="656" t="s">
        <v>498</v>
      </c>
      <c r="P1751" s="656" t="s">
        <v>13052</v>
      </c>
      <c r="Q1751" s="656">
        <v>44216.779270833336</v>
      </c>
    </row>
    <row r="1752" spans="1:17">
      <c r="A1752" s="656" t="s">
        <v>1694</v>
      </c>
      <c r="B1752" s="657" t="s">
        <v>202</v>
      </c>
      <c r="C1752" s="656" t="s">
        <v>1695</v>
      </c>
      <c r="D1752" s="657" t="s">
        <v>13789</v>
      </c>
      <c r="E1752" s="657" t="s">
        <v>9458</v>
      </c>
      <c r="F1752" s="656" t="s">
        <v>472</v>
      </c>
      <c r="G1752" s="656" t="s">
        <v>1078</v>
      </c>
      <c r="H1752" s="656" t="s">
        <v>472</v>
      </c>
      <c r="I1752" s="656" t="s">
        <v>15280</v>
      </c>
      <c r="J1752" s="656" t="s">
        <v>12368</v>
      </c>
      <c r="K1752" s="656"/>
      <c r="L1752" s="656"/>
      <c r="M1752" s="657"/>
      <c r="N1752" s="1482"/>
      <c r="O1752" s="656" t="s">
        <v>498</v>
      </c>
      <c r="P1752" s="656" t="s">
        <v>13052</v>
      </c>
      <c r="Q1752" s="656">
        <v>44216.77925925926</v>
      </c>
    </row>
    <row r="1753" spans="1:17">
      <c r="A1753" s="656" t="s">
        <v>1696</v>
      </c>
      <c r="B1753" s="657" t="s">
        <v>504</v>
      </c>
      <c r="C1753" s="656" t="s">
        <v>1697</v>
      </c>
      <c r="D1753" s="657" t="s">
        <v>13789</v>
      </c>
      <c r="E1753" s="657" t="s">
        <v>7439</v>
      </c>
      <c r="F1753" s="656" t="s">
        <v>505</v>
      </c>
      <c r="G1753" s="656" t="s">
        <v>1293</v>
      </c>
      <c r="H1753" s="656" t="s">
        <v>505</v>
      </c>
      <c r="I1753" s="656" t="s">
        <v>14976</v>
      </c>
      <c r="J1753" s="656"/>
      <c r="K1753" s="656"/>
      <c r="L1753" s="656"/>
      <c r="M1753" s="657"/>
      <c r="N1753" s="1482"/>
      <c r="O1753" s="656" t="s">
        <v>498</v>
      </c>
      <c r="P1753" s="656" t="s">
        <v>13052</v>
      </c>
      <c r="Q1753" s="656">
        <v>44216.77925925926</v>
      </c>
    </row>
    <row r="1754" spans="1:17">
      <c r="A1754" s="656" t="s">
        <v>1698</v>
      </c>
      <c r="B1754" s="657" t="s">
        <v>202</v>
      </c>
      <c r="C1754" s="656" t="s">
        <v>1699</v>
      </c>
      <c r="D1754" s="657" t="s">
        <v>13789</v>
      </c>
      <c r="E1754" s="657" t="s">
        <v>9458</v>
      </c>
      <c r="F1754" s="656" t="s">
        <v>1050</v>
      </c>
      <c r="G1754" s="656" t="s">
        <v>1078</v>
      </c>
      <c r="H1754" s="656" t="s">
        <v>1050</v>
      </c>
      <c r="I1754" s="656" t="s">
        <v>15280</v>
      </c>
      <c r="J1754" s="656"/>
      <c r="K1754" s="656"/>
      <c r="L1754" s="656"/>
      <c r="M1754" s="657"/>
      <c r="N1754" s="1482"/>
      <c r="O1754" s="656" t="s">
        <v>498</v>
      </c>
      <c r="P1754" s="656" t="s">
        <v>13052</v>
      </c>
      <c r="Q1754" s="656">
        <v>44216.779247685183</v>
      </c>
    </row>
    <row r="1755" spans="1:17">
      <c r="A1755" s="656" t="s">
        <v>1700</v>
      </c>
      <c r="B1755" s="657" t="s">
        <v>202</v>
      </c>
      <c r="C1755" s="656" t="s">
        <v>1701</v>
      </c>
      <c r="D1755" s="657" t="s">
        <v>13789</v>
      </c>
      <c r="E1755" s="657" t="s">
        <v>9458</v>
      </c>
      <c r="F1755" s="656" t="s">
        <v>1300</v>
      </c>
      <c r="G1755" s="656" t="s">
        <v>1301</v>
      </c>
      <c r="H1755" s="656" t="s">
        <v>1300</v>
      </c>
      <c r="I1755" s="656" t="s">
        <v>15280</v>
      </c>
      <c r="J1755" s="656"/>
      <c r="K1755" s="656"/>
      <c r="L1755" s="656"/>
      <c r="M1755" s="657"/>
      <c r="N1755" s="1482"/>
      <c r="O1755" s="656" t="s">
        <v>498</v>
      </c>
      <c r="P1755" s="656" t="s">
        <v>13052</v>
      </c>
      <c r="Q1755" s="656">
        <v>44216.779236111113</v>
      </c>
    </row>
    <row r="1756" spans="1:17">
      <c r="A1756" s="656" t="s">
        <v>1702</v>
      </c>
      <c r="B1756" s="657" t="s">
        <v>202</v>
      </c>
      <c r="C1756" s="656" t="s">
        <v>1703</v>
      </c>
      <c r="D1756" s="657" t="s">
        <v>13789</v>
      </c>
      <c r="E1756" s="657" t="s">
        <v>9510</v>
      </c>
      <c r="F1756" s="656" t="s">
        <v>537</v>
      </c>
      <c r="G1756" s="656"/>
      <c r="H1756" s="656" t="s">
        <v>537</v>
      </c>
      <c r="I1756" s="656" t="s">
        <v>14976</v>
      </c>
      <c r="J1756" s="656" t="s">
        <v>473</v>
      </c>
      <c r="K1756" s="656"/>
      <c r="L1756" s="656"/>
      <c r="M1756" s="657"/>
      <c r="N1756" s="1482"/>
      <c r="O1756" s="656" t="s">
        <v>498</v>
      </c>
      <c r="P1756" s="656" t="s">
        <v>13052</v>
      </c>
      <c r="Q1756" s="656">
        <v>44216.779236111113</v>
      </c>
    </row>
    <row r="1757" spans="1:17">
      <c r="A1757" s="656" t="s">
        <v>1704</v>
      </c>
      <c r="B1757" s="657" t="s">
        <v>202</v>
      </c>
      <c r="C1757" s="656" t="s">
        <v>1705</v>
      </c>
      <c r="D1757" s="657" t="s">
        <v>13789</v>
      </c>
      <c r="E1757" s="657" t="s">
        <v>9510</v>
      </c>
      <c r="F1757" s="656" t="s">
        <v>458</v>
      </c>
      <c r="G1757" s="656" t="s">
        <v>1113</v>
      </c>
      <c r="H1757" s="656" t="s">
        <v>458</v>
      </c>
      <c r="I1757" s="656" t="s">
        <v>14976</v>
      </c>
      <c r="J1757" s="656" t="s">
        <v>8814</v>
      </c>
      <c r="K1757" s="656"/>
      <c r="L1757" s="656"/>
      <c r="M1757" s="657"/>
      <c r="N1757" s="1482"/>
      <c r="O1757" s="656" t="s">
        <v>498</v>
      </c>
      <c r="P1757" s="656" t="s">
        <v>13052</v>
      </c>
      <c r="Q1757" s="656">
        <v>44216.779224537036</v>
      </c>
    </row>
    <row r="1758" spans="1:17">
      <c r="A1758" s="656" t="s">
        <v>1706</v>
      </c>
      <c r="B1758" s="657" t="s">
        <v>202</v>
      </c>
      <c r="C1758" s="656" t="s">
        <v>1707</v>
      </c>
      <c r="D1758" s="657" t="s">
        <v>13789</v>
      </c>
      <c r="E1758" s="657" t="s">
        <v>9510</v>
      </c>
      <c r="F1758" s="656" t="s">
        <v>537</v>
      </c>
      <c r="G1758" s="656" t="s">
        <v>512</v>
      </c>
      <c r="H1758" s="656" t="s">
        <v>537</v>
      </c>
      <c r="I1758" s="656" t="s">
        <v>14976</v>
      </c>
      <c r="J1758" s="656" t="s">
        <v>473</v>
      </c>
      <c r="K1758" s="656" t="s">
        <v>4161</v>
      </c>
      <c r="L1758" s="656"/>
      <c r="M1758" s="657"/>
      <c r="N1758" s="1482"/>
      <c r="O1758" s="656" t="s">
        <v>498</v>
      </c>
      <c r="P1758" s="656" t="s">
        <v>13052</v>
      </c>
      <c r="Q1758" s="656">
        <v>44216.77921296296</v>
      </c>
    </row>
    <row r="1759" spans="1:17">
      <c r="A1759" s="656" t="s">
        <v>1708</v>
      </c>
      <c r="B1759" s="657" t="s">
        <v>202</v>
      </c>
      <c r="C1759" s="656" t="s">
        <v>1709</v>
      </c>
      <c r="D1759" s="657" t="s">
        <v>13789</v>
      </c>
      <c r="E1759" s="657" t="s">
        <v>9510</v>
      </c>
      <c r="F1759" s="656" t="s">
        <v>458</v>
      </c>
      <c r="G1759" s="656" t="s">
        <v>1113</v>
      </c>
      <c r="H1759" s="656" t="s">
        <v>458</v>
      </c>
      <c r="I1759" s="656" t="s">
        <v>14976</v>
      </c>
      <c r="J1759" s="656" t="s">
        <v>8814</v>
      </c>
      <c r="K1759" s="656"/>
      <c r="L1759" s="656"/>
      <c r="M1759" s="657"/>
      <c r="N1759" s="1482"/>
      <c r="O1759" s="656" t="s">
        <v>498</v>
      </c>
      <c r="P1759" s="656" t="s">
        <v>13052</v>
      </c>
      <c r="Q1759" s="656">
        <v>44216.77920138889</v>
      </c>
    </row>
    <row r="1760" spans="1:17">
      <c r="A1760" s="656" t="s">
        <v>1710</v>
      </c>
      <c r="B1760" s="657" t="s">
        <v>202</v>
      </c>
      <c r="C1760" s="656" t="s">
        <v>1711</v>
      </c>
      <c r="D1760" s="657" t="s">
        <v>14978</v>
      </c>
      <c r="E1760" s="657"/>
      <c r="F1760" s="656" t="s">
        <v>458</v>
      </c>
      <c r="G1760" s="656" t="s">
        <v>1113</v>
      </c>
      <c r="H1760" s="656" t="s">
        <v>458</v>
      </c>
      <c r="I1760" s="656" t="s">
        <v>14976</v>
      </c>
      <c r="J1760" s="656" t="s">
        <v>8814</v>
      </c>
      <c r="K1760" s="656"/>
      <c r="L1760" s="656" t="s">
        <v>1714</v>
      </c>
      <c r="M1760" s="657"/>
      <c r="N1760" s="1482"/>
      <c r="O1760" s="656" t="s">
        <v>498</v>
      </c>
      <c r="P1760" s="656" t="s">
        <v>13052</v>
      </c>
      <c r="Q1760" s="656">
        <v>44216.77920138889</v>
      </c>
    </row>
    <row r="1761" spans="1:17">
      <c r="A1761" s="656" t="s">
        <v>1712</v>
      </c>
      <c r="B1761" s="657" t="s">
        <v>202</v>
      </c>
      <c r="C1761" s="656" t="s">
        <v>1713</v>
      </c>
      <c r="D1761" s="657" t="s">
        <v>14978</v>
      </c>
      <c r="E1761" s="657"/>
      <c r="F1761" s="656" t="s">
        <v>458</v>
      </c>
      <c r="G1761" s="656" t="s">
        <v>1113</v>
      </c>
      <c r="H1761" s="656" t="s">
        <v>458</v>
      </c>
      <c r="I1761" s="656" t="s">
        <v>14976</v>
      </c>
      <c r="J1761" s="656" t="s">
        <v>8814</v>
      </c>
      <c r="K1761" s="656"/>
      <c r="L1761" s="656" t="s">
        <v>1714</v>
      </c>
      <c r="M1761" s="657"/>
      <c r="N1761" s="1482"/>
      <c r="O1761" s="656" t="s">
        <v>498</v>
      </c>
      <c r="P1761" s="656" t="s">
        <v>13052</v>
      </c>
      <c r="Q1761" s="656">
        <v>44216.779189814813</v>
      </c>
    </row>
    <row r="1762" spans="1:17">
      <c r="A1762" s="656" t="s">
        <v>1714</v>
      </c>
      <c r="B1762" s="657" t="s">
        <v>202</v>
      </c>
      <c r="C1762" s="656" t="s">
        <v>1715</v>
      </c>
      <c r="D1762" s="657" t="s">
        <v>13789</v>
      </c>
      <c r="E1762" s="657" t="s">
        <v>9510</v>
      </c>
      <c r="F1762" s="656" t="s">
        <v>500</v>
      </c>
      <c r="G1762" s="656" t="s">
        <v>1113</v>
      </c>
      <c r="H1762" s="656" t="s">
        <v>500</v>
      </c>
      <c r="I1762" s="656" t="s">
        <v>14976</v>
      </c>
      <c r="J1762" s="656"/>
      <c r="K1762" s="656"/>
      <c r="L1762" s="656"/>
      <c r="M1762" s="657"/>
      <c r="N1762" s="1482"/>
      <c r="O1762" s="656" t="s">
        <v>498</v>
      </c>
      <c r="P1762" s="656" t="s">
        <v>13052</v>
      </c>
      <c r="Q1762" s="656">
        <v>44216.779178240744</v>
      </c>
    </row>
    <row r="1763" spans="1:17">
      <c r="A1763" s="656" t="s">
        <v>1716</v>
      </c>
      <c r="B1763" s="657" t="s">
        <v>202</v>
      </c>
      <c r="C1763" s="656" t="s">
        <v>1717</v>
      </c>
      <c r="D1763" s="657" t="s">
        <v>13789</v>
      </c>
      <c r="E1763" s="657" t="s">
        <v>9510</v>
      </c>
      <c r="F1763" s="656" t="s">
        <v>458</v>
      </c>
      <c r="G1763" s="656" t="s">
        <v>1113</v>
      </c>
      <c r="H1763" s="656" t="s">
        <v>458</v>
      </c>
      <c r="I1763" s="656" t="s">
        <v>14976</v>
      </c>
      <c r="J1763" s="656" t="s">
        <v>8814</v>
      </c>
      <c r="K1763" s="656"/>
      <c r="L1763" s="656"/>
      <c r="M1763" s="657"/>
      <c r="N1763" s="1482"/>
      <c r="O1763" s="656" t="s">
        <v>498</v>
      </c>
      <c r="P1763" s="656" t="s">
        <v>13052</v>
      </c>
      <c r="Q1763" s="656">
        <v>44216.779178240744</v>
      </c>
    </row>
    <row r="1764" spans="1:17">
      <c r="A1764" s="656" t="s">
        <v>1718</v>
      </c>
      <c r="B1764" s="657" t="s">
        <v>202</v>
      </c>
      <c r="C1764" s="656" t="s">
        <v>1719</v>
      </c>
      <c r="D1764" s="657" t="s">
        <v>13789</v>
      </c>
      <c r="E1764" s="657" t="s">
        <v>9510</v>
      </c>
      <c r="F1764" s="656" t="s">
        <v>458</v>
      </c>
      <c r="G1764" s="656" t="s">
        <v>1113</v>
      </c>
      <c r="H1764" s="656" t="s">
        <v>458</v>
      </c>
      <c r="I1764" s="656" t="s">
        <v>14976</v>
      </c>
      <c r="J1764" s="656" t="s">
        <v>8814</v>
      </c>
      <c r="K1764" s="656"/>
      <c r="L1764" s="656"/>
      <c r="M1764" s="657"/>
      <c r="N1764" s="1482"/>
      <c r="O1764" s="656" t="s">
        <v>498</v>
      </c>
      <c r="P1764" s="656" t="s">
        <v>13052</v>
      </c>
      <c r="Q1764" s="656">
        <v>44216.779166666667</v>
      </c>
    </row>
    <row r="1765" spans="1:17">
      <c r="A1765" s="656" t="s">
        <v>1720</v>
      </c>
      <c r="B1765" s="657" t="s">
        <v>202</v>
      </c>
      <c r="C1765" s="656" t="s">
        <v>1721</v>
      </c>
      <c r="D1765" s="657" t="s">
        <v>13789</v>
      </c>
      <c r="E1765" s="657" t="s">
        <v>9510</v>
      </c>
      <c r="F1765" s="656" t="s">
        <v>462</v>
      </c>
      <c r="G1765" s="656" t="s">
        <v>519</v>
      </c>
      <c r="H1765" s="656" t="s">
        <v>462</v>
      </c>
      <c r="I1765" s="656" t="s">
        <v>14976</v>
      </c>
      <c r="J1765" s="656" t="s">
        <v>463</v>
      </c>
      <c r="K1765" s="656"/>
      <c r="L1765" s="656"/>
      <c r="M1765" s="657"/>
      <c r="N1765" s="1482"/>
      <c r="O1765" s="656" t="s">
        <v>498</v>
      </c>
      <c r="P1765" s="656" t="s">
        <v>13052</v>
      </c>
      <c r="Q1765" s="656">
        <v>44216.779166666667</v>
      </c>
    </row>
    <row r="1766" spans="1:17">
      <c r="A1766" s="656" t="s">
        <v>1722</v>
      </c>
      <c r="B1766" s="657" t="s">
        <v>202</v>
      </c>
      <c r="C1766" s="656" t="s">
        <v>13826</v>
      </c>
      <c r="D1766" s="657" t="s">
        <v>13789</v>
      </c>
      <c r="E1766" s="657" t="s">
        <v>9510</v>
      </c>
      <c r="F1766" s="656" t="s">
        <v>8807</v>
      </c>
      <c r="G1766" s="656" t="s">
        <v>711</v>
      </c>
      <c r="H1766" s="656" t="s">
        <v>8807</v>
      </c>
      <c r="I1766" s="656" t="s">
        <v>14976</v>
      </c>
      <c r="J1766" s="656" t="s">
        <v>8814</v>
      </c>
      <c r="K1766" s="656"/>
      <c r="L1766" s="656"/>
      <c r="M1766" s="657"/>
      <c r="N1766" s="1482"/>
      <c r="O1766" s="656" t="s">
        <v>498</v>
      </c>
      <c r="P1766" s="656" t="s">
        <v>13052</v>
      </c>
      <c r="Q1766" s="656">
        <v>44216.77915509259</v>
      </c>
    </row>
    <row r="1767" spans="1:17">
      <c r="A1767" s="656" t="s">
        <v>1723</v>
      </c>
      <c r="B1767" s="657" t="s">
        <v>202</v>
      </c>
      <c r="C1767" s="656" t="s">
        <v>1724</v>
      </c>
      <c r="D1767" s="657" t="s">
        <v>13789</v>
      </c>
      <c r="E1767" s="657" t="s">
        <v>9510</v>
      </c>
      <c r="F1767" s="656" t="s">
        <v>500</v>
      </c>
      <c r="G1767" s="656" t="s">
        <v>500</v>
      </c>
      <c r="H1767" s="656" t="s">
        <v>500</v>
      </c>
      <c r="I1767" s="656" t="s">
        <v>14976</v>
      </c>
      <c r="J1767" s="656"/>
      <c r="K1767" s="656"/>
      <c r="L1767" s="656"/>
      <c r="M1767" s="657"/>
      <c r="N1767" s="1482"/>
      <c r="O1767" s="656" t="s">
        <v>498</v>
      </c>
      <c r="P1767" s="656" t="s">
        <v>13052</v>
      </c>
      <c r="Q1767" s="656">
        <v>44216.77915509259</v>
      </c>
    </row>
    <row r="1768" spans="1:17">
      <c r="A1768" s="656" t="s">
        <v>1725</v>
      </c>
      <c r="B1768" s="657" t="s">
        <v>202</v>
      </c>
      <c r="C1768" s="656" t="s">
        <v>13825</v>
      </c>
      <c r="D1768" s="657" t="s">
        <v>13789</v>
      </c>
      <c r="E1768" s="657" t="s">
        <v>9510</v>
      </c>
      <c r="F1768" s="656" t="s">
        <v>500</v>
      </c>
      <c r="G1768" s="656" t="s">
        <v>500</v>
      </c>
      <c r="H1768" s="656" t="s">
        <v>500</v>
      </c>
      <c r="I1768" s="656" t="s">
        <v>14976</v>
      </c>
      <c r="J1768" s="656"/>
      <c r="K1768" s="656"/>
      <c r="L1768" s="656"/>
      <c r="M1768" s="657"/>
      <c r="N1768" s="1482"/>
      <c r="O1768" s="656" t="s">
        <v>498</v>
      </c>
      <c r="P1768" s="656" t="s">
        <v>13052</v>
      </c>
      <c r="Q1768" s="656">
        <v>44216.779143518521</v>
      </c>
    </row>
    <row r="1769" spans="1:17">
      <c r="A1769" s="656" t="s">
        <v>1726</v>
      </c>
      <c r="B1769" s="657" t="s">
        <v>202</v>
      </c>
      <c r="C1769" s="656" t="s">
        <v>1727</v>
      </c>
      <c r="D1769" s="657" t="s">
        <v>13789</v>
      </c>
      <c r="E1769" s="657" t="s">
        <v>9510</v>
      </c>
      <c r="F1769" s="656" t="s">
        <v>500</v>
      </c>
      <c r="G1769" s="656" t="s">
        <v>500</v>
      </c>
      <c r="H1769" s="656" t="s">
        <v>500</v>
      </c>
      <c r="I1769" s="656" t="s">
        <v>14976</v>
      </c>
      <c r="J1769" s="656"/>
      <c r="K1769" s="656"/>
      <c r="L1769" s="656"/>
      <c r="M1769" s="657"/>
      <c r="N1769" s="1482"/>
      <c r="O1769" s="656" t="s">
        <v>498</v>
      </c>
      <c r="P1769" s="656" t="s">
        <v>13052</v>
      </c>
      <c r="Q1769" s="656">
        <v>44216.779143518521</v>
      </c>
    </row>
    <row r="1770" spans="1:17">
      <c r="A1770" s="656" t="s">
        <v>1728</v>
      </c>
      <c r="B1770" s="657" t="s">
        <v>202</v>
      </c>
      <c r="C1770" s="656" t="s">
        <v>1729</v>
      </c>
      <c r="D1770" s="657" t="s">
        <v>13789</v>
      </c>
      <c r="E1770" s="657" t="s">
        <v>9510</v>
      </c>
      <c r="F1770" s="656" t="s">
        <v>500</v>
      </c>
      <c r="G1770" s="656" t="s">
        <v>500</v>
      </c>
      <c r="H1770" s="656" t="s">
        <v>500</v>
      </c>
      <c r="I1770" s="656" t="s">
        <v>14976</v>
      </c>
      <c r="J1770" s="656"/>
      <c r="K1770" s="656"/>
      <c r="L1770" s="656"/>
      <c r="M1770" s="657"/>
      <c r="N1770" s="1482"/>
      <c r="O1770" s="656" t="s">
        <v>498</v>
      </c>
      <c r="P1770" s="656" t="s">
        <v>13052</v>
      </c>
      <c r="Q1770" s="656">
        <v>44216.779143518521</v>
      </c>
    </row>
    <row r="1771" spans="1:17">
      <c r="A1771" s="656" t="s">
        <v>1730</v>
      </c>
      <c r="B1771" s="657" t="s">
        <v>202</v>
      </c>
      <c r="C1771" s="656" t="s">
        <v>13824</v>
      </c>
      <c r="D1771" s="657" t="s">
        <v>13789</v>
      </c>
      <c r="E1771" s="657" t="s">
        <v>9510</v>
      </c>
      <c r="F1771" s="656" t="s">
        <v>500</v>
      </c>
      <c r="G1771" s="656" t="s">
        <v>500</v>
      </c>
      <c r="H1771" s="656" t="s">
        <v>500</v>
      </c>
      <c r="I1771" s="656" t="s">
        <v>14976</v>
      </c>
      <c r="J1771" s="656"/>
      <c r="K1771" s="656"/>
      <c r="L1771" s="656"/>
      <c r="M1771" s="657"/>
      <c r="N1771" s="1482"/>
      <c r="O1771" s="656" t="s">
        <v>498</v>
      </c>
      <c r="P1771" s="656" t="s">
        <v>13052</v>
      </c>
      <c r="Q1771" s="656">
        <v>44216.779131944444</v>
      </c>
    </row>
    <row r="1772" spans="1:17">
      <c r="A1772" s="656" t="s">
        <v>1731</v>
      </c>
      <c r="B1772" s="657" t="s">
        <v>202</v>
      </c>
      <c r="C1772" s="656" t="s">
        <v>13823</v>
      </c>
      <c r="D1772" s="657" t="s">
        <v>13789</v>
      </c>
      <c r="E1772" s="657" t="s">
        <v>9510</v>
      </c>
      <c r="F1772" s="656" t="s">
        <v>500</v>
      </c>
      <c r="G1772" s="656" t="s">
        <v>500</v>
      </c>
      <c r="H1772" s="656" t="s">
        <v>500</v>
      </c>
      <c r="I1772" s="656" t="s">
        <v>14976</v>
      </c>
      <c r="J1772" s="656"/>
      <c r="K1772" s="656"/>
      <c r="L1772" s="656"/>
      <c r="M1772" s="657"/>
      <c r="N1772" s="1482"/>
      <c r="O1772" s="656" t="s">
        <v>498</v>
      </c>
      <c r="P1772" s="656" t="s">
        <v>13052</v>
      </c>
      <c r="Q1772" s="656">
        <v>44216.779131944444</v>
      </c>
    </row>
    <row r="1773" spans="1:17">
      <c r="A1773" s="656" t="s">
        <v>1732</v>
      </c>
      <c r="B1773" s="657" t="s">
        <v>202</v>
      </c>
      <c r="C1773" s="656" t="s">
        <v>1733</v>
      </c>
      <c r="D1773" s="657" t="s">
        <v>13789</v>
      </c>
      <c r="E1773" s="657" t="s">
        <v>9510</v>
      </c>
      <c r="F1773" s="656" t="s">
        <v>500</v>
      </c>
      <c r="G1773" s="656" t="s">
        <v>500</v>
      </c>
      <c r="H1773" s="656" t="s">
        <v>500</v>
      </c>
      <c r="I1773" s="656" t="s">
        <v>14976</v>
      </c>
      <c r="J1773" s="656"/>
      <c r="K1773" s="656"/>
      <c r="L1773" s="656"/>
      <c r="M1773" s="657"/>
      <c r="N1773" s="1482"/>
      <c r="O1773" s="656" t="s">
        <v>498</v>
      </c>
      <c r="P1773" s="656" t="s">
        <v>13052</v>
      </c>
      <c r="Q1773" s="656">
        <v>44216.779120370367</v>
      </c>
    </row>
    <row r="1774" spans="1:17">
      <c r="A1774" s="656" t="s">
        <v>1734</v>
      </c>
      <c r="B1774" s="657" t="s">
        <v>202</v>
      </c>
      <c r="C1774" s="656" t="s">
        <v>1735</v>
      </c>
      <c r="D1774" s="657" t="s">
        <v>13789</v>
      </c>
      <c r="E1774" s="657" t="s">
        <v>9458</v>
      </c>
      <c r="F1774" s="656" t="s">
        <v>462</v>
      </c>
      <c r="G1774" s="656"/>
      <c r="H1774" s="656" t="s">
        <v>462</v>
      </c>
      <c r="I1774" s="656" t="s">
        <v>15280</v>
      </c>
      <c r="J1774" s="656" t="s">
        <v>463</v>
      </c>
      <c r="K1774" s="656"/>
      <c r="L1774" s="656"/>
      <c r="M1774" s="657"/>
      <c r="N1774" s="1482"/>
      <c r="O1774" s="656" t="s">
        <v>498</v>
      </c>
      <c r="P1774" s="656" t="s">
        <v>13052</v>
      </c>
      <c r="Q1774" s="656">
        <v>44216.779120370367</v>
      </c>
    </row>
    <row r="1775" spans="1:17">
      <c r="A1775" s="656" t="s">
        <v>1736</v>
      </c>
      <c r="B1775" s="657" t="s">
        <v>202</v>
      </c>
      <c r="C1775" s="656" t="s">
        <v>1737</v>
      </c>
      <c r="D1775" s="657" t="s">
        <v>13789</v>
      </c>
      <c r="E1775" s="657" t="s">
        <v>9510</v>
      </c>
      <c r="F1775" s="656" t="s">
        <v>500</v>
      </c>
      <c r="G1775" s="656" t="s">
        <v>500</v>
      </c>
      <c r="H1775" s="656" t="s">
        <v>500</v>
      </c>
      <c r="I1775" s="656" t="s">
        <v>14976</v>
      </c>
      <c r="J1775" s="656"/>
      <c r="K1775" s="656"/>
      <c r="L1775" s="656"/>
      <c r="M1775" s="657"/>
      <c r="N1775" s="1482"/>
      <c r="O1775" s="656" t="s">
        <v>498</v>
      </c>
      <c r="P1775" s="656" t="s">
        <v>13052</v>
      </c>
      <c r="Q1775" s="656">
        <v>44216.779120370367</v>
      </c>
    </row>
    <row r="1776" spans="1:17">
      <c r="A1776" s="656" t="s">
        <v>1738</v>
      </c>
      <c r="B1776" s="657" t="s">
        <v>202</v>
      </c>
      <c r="C1776" s="656" t="s">
        <v>1739</v>
      </c>
      <c r="D1776" s="657" t="s">
        <v>14977</v>
      </c>
      <c r="E1776" s="657" t="s">
        <v>9406</v>
      </c>
      <c r="F1776" s="656" t="s">
        <v>500</v>
      </c>
      <c r="G1776" s="656" t="s">
        <v>500</v>
      </c>
      <c r="H1776" s="656" t="s">
        <v>500</v>
      </c>
      <c r="I1776" s="656" t="s">
        <v>14976</v>
      </c>
      <c r="J1776" s="656"/>
      <c r="K1776" s="656"/>
      <c r="L1776" s="656" t="s">
        <v>1738</v>
      </c>
      <c r="M1776" s="657"/>
      <c r="N1776" s="1482"/>
      <c r="O1776" s="656" t="s">
        <v>498</v>
      </c>
      <c r="P1776" s="656" t="s">
        <v>13052</v>
      </c>
      <c r="Q1776" s="656">
        <v>44216.779108796298</v>
      </c>
    </row>
    <row r="1777" spans="1:17">
      <c r="A1777" s="656" t="s">
        <v>1740</v>
      </c>
      <c r="B1777" s="657" t="s">
        <v>202</v>
      </c>
      <c r="C1777" s="656" t="s">
        <v>1741</v>
      </c>
      <c r="D1777" s="657" t="s">
        <v>14977</v>
      </c>
      <c r="E1777" s="657" t="s">
        <v>9406</v>
      </c>
      <c r="F1777" s="656" t="s">
        <v>500</v>
      </c>
      <c r="G1777" s="656" t="s">
        <v>500</v>
      </c>
      <c r="H1777" s="656" t="s">
        <v>500</v>
      </c>
      <c r="I1777" s="656" t="s">
        <v>15280</v>
      </c>
      <c r="J1777" s="656"/>
      <c r="K1777" s="656"/>
      <c r="L1777" s="656" t="s">
        <v>1740</v>
      </c>
      <c r="M1777" s="657"/>
      <c r="N1777" s="1482"/>
      <c r="O1777" s="656" t="s">
        <v>498</v>
      </c>
      <c r="P1777" s="656" t="s">
        <v>13052</v>
      </c>
      <c r="Q1777" s="656">
        <v>44216.779108796298</v>
      </c>
    </row>
    <row r="1778" spans="1:17">
      <c r="A1778" s="656" t="s">
        <v>1742</v>
      </c>
      <c r="B1778" s="657" t="s">
        <v>202</v>
      </c>
      <c r="C1778" s="656" t="s">
        <v>1743</v>
      </c>
      <c r="D1778" s="657" t="s">
        <v>14977</v>
      </c>
      <c r="E1778" s="657" t="s">
        <v>9406</v>
      </c>
      <c r="F1778" s="656" t="s">
        <v>500</v>
      </c>
      <c r="G1778" s="656" t="s">
        <v>500</v>
      </c>
      <c r="H1778" s="656" t="s">
        <v>500</v>
      </c>
      <c r="I1778" s="656" t="s">
        <v>14976</v>
      </c>
      <c r="J1778" s="656"/>
      <c r="K1778" s="656"/>
      <c r="L1778" s="656" t="s">
        <v>1742</v>
      </c>
      <c r="M1778" s="657"/>
      <c r="N1778" s="1482"/>
      <c r="O1778" s="656" t="s">
        <v>498</v>
      </c>
      <c r="P1778" s="656" t="s">
        <v>13052</v>
      </c>
      <c r="Q1778" s="656">
        <v>44216.779097222221</v>
      </c>
    </row>
    <row r="1779" spans="1:17">
      <c r="A1779" s="656" t="s">
        <v>1744</v>
      </c>
      <c r="B1779" s="657" t="s">
        <v>202</v>
      </c>
      <c r="C1779" s="656" t="s">
        <v>1745</v>
      </c>
      <c r="D1779" s="657" t="s">
        <v>14977</v>
      </c>
      <c r="E1779" s="657" t="s">
        <v>9406</v>
      </c>
      <c r="F1779" s="656" t="s">
        <v>500</v>
      </c>
      <c r="G1779" s="656" t="s">
        <v>500</v>
      </c>
      <c r="H1779" s="656" t="s">
        <v>500</v>
      </c>
      <c r="I1779" s="656" t="s">
        <v>14976</v>
      </c>
      <c r="J1779" s="656"/>
      <c r="K1779" s="656"/>
      <c r="L1779" s="656" t="s">
        <v>1744</v>
      </c>
      <c r="M1779" s="657"/>
      <c r="N1779" s="1482"/>
      <c r="O1779" s="656" t="s">
        <v>498</v>
      </c>
      <c r="P1779" s="656" t="s">
        <v>13052</v>
      </c>
      <c r="Q1779" s="656">
        <v>44216.779097222221</v>
      </c>
    </row>
    <row r="1780" spans="1:17">
      <c r="A1780" s="656" t="s">
        <v>1746</v>
      </c>
      <c r="B1780" s="657" t="s">
        <v>202</v>
      </c>
      <c r="C1780" s="656" t="s">
        <v>1747</v>
      </c>
      <c r="D1780" s="657" t="s">
        <v>13789</v>
      </c>
      <c r="E1780" s="657" t="s">
        <v>9510</v>
      </c>
      <c r="F1780" s="656" t="s">
        <v>500</v>
      </c>
      <c r="G1780" s="656" t="s">
        <v>500</v>
      </c>
      <c r="H1780" s="656" t="s">
        <v>500</v>
      </c>
      <c r="I1780" s="656" t="s">
        <v>14976</v>
      </c>
      <c r="J1780" s="656" t="s">
        <v>473</v>
      </c>
      <c r="K1780" s="656"/>
      <c r="L1780" s="656"/>
      <c r="M1780" s="657"/>
      <c r="N1780" s="1482"/>
      <c r="O1780" s="656" t="s">
        <v>498</v>
      </c>
      <c r="P1780" s="656" t="s">
        <v>13052</v>
      </c>
      <c r="Q1780" s="656">
        <v>44216.779085648152</v>
      </c>
    </row>
    <row r="1781" spans="1:17">
      <c r="A1781" s="656" t="s">
        <v>1748</v>
      </c>
      <c r="B1781" s="657" t="s">
        <v>202</v>
      </c>
      <c r="C1781" s="656" t="s">
        <v>9052</v>
      </c>
      <c r="D1781" s="657" t="s">
        <v>14977</v>
      </c>
      <c r="E1781" s="657" t="s">
        <v>9406</v>
      </c>
      <c r="F1781" s="656" t="s">
        <v>537</v>
      </c>
      <c r="G1781" s="656" t="s">
        <v>512</v>
      </c>
      <c r="H1781" s="656" t="s">
        <v>537</v>
      </c>
      <c r="I1781" s="656" t="s">
        <v>14976</v>
      </c>
      <c r="J1781" s="656" t="s">
        <v>473</v>
      </c>
      <c r="K1781" s="656" t="s">
        <v>4161</v>
      </c>
      <c r="L1781" s="656"/>
      <c r="M1781" s="657"/>
      <c r="N1781" s="1482"/>
      <c r="O1781" s="656" t="s">
        <v>498</v>
      </c>
      <c r="P1781" s="656" t="s">
        <v>13052</v>
      </c>
      <c r="Q1781" s="656">
        <v>44216.779085648152</v>
      </c>
    </row>
    <row r="1782" spans="1:17">
      <c r="A1782" s="656" t="s">
        <v>1749</v>
      </c>
      <c r="B1782" s="657" t="s">
        <v>504</v>
      </c>
      <c r="C1782" s="656" t="s">
        <v>1750</v>
      </c>
      <c r="D1782" s="657" t="s">
        <v>14977</v>
      </c>
      <c r="E1782" s="657" t="s">
        <v>9458</v>
      </c>
      <c r="F1782" s="656" t="s">
        <v>505</v>
      </c>
      <c r="G1782" s="656" t="s">
        <v>660</v>
      </c>
      <c r="H1782" s="656" t="s">
        <v>505</v>
      </c>
      <c r="I1782" s="656" t="s">
        <v>14976</v>
      </c>
      <c r="J1782" s="656"/>
      <c r="K1782" s="656"/>
      <c r="L1782" s="656"/>
      <c r="M1782" s="657"/>
      <c r="N1782" s="1482"/>
      <c r="O1782" s="656" t="s">
        <v>498</v>
      </c>
      <c r="P1782" s="656" t="s">
        <v>13052</v>
      </c>
      <c r="Q1782" s="656">
        <v>44216.779085648152</v>
      </c>
    </row>
    <row r="1783" spans="1:17">
      <c r="A1783" s="656" t="s">
        <v>1751</v>
      </c>
      <c r="B1783" s="657" t="s">
        <v>202</v>
      </c>
      <c r="C1783" s="656" t="s">
        <v>1752</v>
      </c>
      <c r="D1783" s="657" t="s">
        <v>13789</v>
      </c>
      <c r="E1783" s="657" t="s">
        <v>9510</v>
      </c>
      <c r="F1783" s="656" t="s">
        <v>783</v>
      </c>
      <c r="G1783" s="656" t="s">
        <v>783</v>
      </c>
      <c r="H1783" s="656" t="s">
        <v>783</v>
      </c>
      <c r="I1783" s="656" t="s">
        <v>14976</v>
      </c>
      <c r="J1783" s="656"/>
      <c r="K1783" s="656"/>
      <c r="L1783" s="656"/>
      <c r="M1783" s="657"/>
      <c r="N1783" s="1482"/>
      <c r="O1783" s="656" t="s">
        <v>498</v>
      </c>
      <c r="P1783" s="656" t="s">
        <v>13052</v>
      </c>
      <c r="Q1783" s="656">
        <v>44216.779074074075</v>
      </c>
    </row>
    <row r="1784" spans="1:17">
      <c r="A1784" s="656" t="s">
        <v>1753</v>
      </c>
      <c r="B1784" s="657" t="s">
        <v>202</v>
      </c>
      <c r="C1784" s="656" t="s">
        <v>1754</v>
      </c>
      <c r="D1784" s="657" t="s">
        <v>14978</v>
      </c>
      <c r="E1784" s="657" t="s">
        <v>9510</v>
      </c>
      <c r="F1784" s="656" t="s">
        <v>537</v>
      </c>
      <c r="G1784" s="656"/>
      <c r="H1784" s="656" t="s">
        <v>537</v>
      </c>
      <c r="I1784" s="656" t="s">
        <v>15280</v>
      </c>
      <c r="J1784" s="656" t="s">
        <v>473</v>
      </c>
      <c r="K1784" s="656"/>
      <c r="L1784" s="656" t="s">
        <v>1755</v>
      </c>
      <c r="M1784" s="657"/>
      <c r="N1784" s="1482"/>
      <c r="O1784" s="656" t="s">
        <v>498</v>
      </c>
      <c r="P1784" s="656" t="s">
        <v>13052</v>
      </c>
      <c r="Q1784" s="656">
        <v>44216.779062499998</v>
      </c>
    </row>
    <row r="1785" spans="1:17">
      <c r="A1785" s="656" t="s">
        <v>1755</v>
      </c>
      <c r="B1785" s="657" t="s">
        <v>202</v>
      </c>
      <c r="C1785" s="656" t="s">
        <v>1756</v>
      </c>
      <c r="D1785" s="657" t="s">
        <v>13789</v>
      </c>
      <c r="E1785" s="657" t="s">
        <v>9458</v>
      </c>
      <c r="F1785" s="656" t="s">
        <v>537</v>
      </c>
      <c r="G1785" s="656"/>
      <c r="H1785" s="656" t="s">
        <v>537</v>
      </c>
      <c r="I1785" s="656" t="s">
        <v>15280</v>
      </c>
      <c r="J1785" s="656" t="s">
        <v>473</v>
      </c>
      <c r="K1785" s="656"/>
      <c r="L1785" s="656"/>
      <c r="M1785" s="657"/>
      <c r="N1785" s="1482"/>
      <c r="O1785" s="656" t="s">
        <v>498</v>
      </c>
      <c r="P1785" s="656" t="s">
        <v>13052</v>
      </c>
      <c r="Q1785" s="656">
        <v>44216.779062499998</v>
      </c>
    </row>
    <row r="1786" spans="1:17">
      <c r="A1786" s="656" t="s">
        <v>1757</v>
      </c>
      <c r="B1786" s="657" t="s">
        <v>202</v>
      </c>
      <c r="C1786" s="656" t="s">
        <v>1758</v>
      </c>
      <c r="D1786" s="657" t="s">
        <v>13789</v>
      </c>
      <c r="E1786" s="657" t="s">
        <v>9510</v>
      </c>
      <c r="F1786" s="656" t="s">
        <v>783</v>
      </c>
      <c r="G1786" s="656" t="s">
        <v>783</v>
      </c>
      <c r="H1786" s="656" t="s">
        <v>783</v>
      </c>
      <c r="I1786" s="656" t="s">
        <v>14976</v>
      </c>
      <c r="J1786" s="656"/>
      <c r="K1786" s="656"/>
      <c r="L1786" s="656"/>
      <c r="M1786" s="657"/>
      <c r="N1786" s="1482"/>
      <c r="O1786" s="656" t="s">
        <v>498</v>
      </c>
      <c r="P1786" s="656" t="s">
        <v>13052</v>
      </c>
      <c r="Q1786" s="656">
        <v>44216.779062499998</v>
      </c>
    </row>
    <row r="1787" spans="1:17">
      <c r="A1787" s="656" t="s">
        <v>1759</v>
      </c>
      <c r="B1787" s="657" t="s">
        <v>202</v>
      </c>
      <c r="C1787" s="656" t="s">
        <v>1760</v>
      </c>
      <c r="D1787" s="657" t="s">
        <v>13789</v>
      </c>
      <c r="E1787" s="657" t="s">
        <v>9510</v>
      </c>
      <c r="F1787" s="656" t="s">
        <v>4052</v>
      </c>
      <c r="G1787" s="656" t="s">
        <v>512</v>
      </c>
      <c r="H1787" s="656" t="s">
        <v>455</v>
      </c>
      <c r="I1787" s="656" t="s">
        <v>14976</v>
      </c>
      <c r="J1787" s="656" t="s">
        <v>451</v>
      </c>
      <c r="K1787" s="656" t="s">
        <v>4052</v>
      </c>
      <c r="L1787" s="656"/>
      <c r="M1787" s="657"/>
      <c r="N1787" s="1482"/>
      <c r="O1787" s="656" t="s">
        <v>498</v>
      </c>
      <c r="P1787" s="656" t="s">
        <v>13052</v>
      </c>
      <c r="Q1787" s="656">
        <v>44216.779050925928</v>
      </c>
    </row>
    <row r="1788" spans="1:17">
      <c r="A1788" s="656" t="s">
        <v>1761</v>
      </c>
      <c r="B1788" s="657" t="s">
        <v>202</v>
      </c>
      <c r="C1788" s="656" t="s">
        <v>1762</v>
      </c>
      <c r="D1788" s="657" t="s">
        <v>13789</v>
      </c>
      <c r="E1788" s="657" t="s">
        <v>9510</v>
      </c>
      <c r="F1788" s="656" t="s">
        <v>1050</v>
      </c>
      <c r="G1788" s="656" t="s">
        <v>1078</v>
      </c>
      <c r="H1788" s="656" t="s">
        <v>1050</v>
      </c>
      <c r="I1788" s="656" t="s">
        <v>14976</v>
      </c>
      <c r="J1788" s="656"/>
      <c r="K1788" s="656"/>
      <c r="L1788" s="656"/>
      <c r="M1788" s="657"/>
      <c r="N1788" s="1482"/>
      <c r="O1788" s="656" t="s">
        <v>498</v>
      </c>
      <c r="P1788" s="656" t="s">
        <v>13052</v>
      </c>
      <c r="Q1788" s="656">
        <v>44216.779050925928</v>
      </c>
    </row>
    <row r="1789" spans="1:17">
      <c r="A1789" s="656" t="s">
        <v>1763</v>
      </c>
      <c r="B1789" s="657" t="s">
        <v>202</v>
      </c>
      <c r="C1789" s="656" t="s">
        <v>1764</v>
      </c>
      <c r="D1789" s="657" t="s">
        <v>13789</v>
      </c>
      <c r="E1789" s="657" t="s">
        <v>9510</v>
      </c>
      <c r="F1789" s="656" t="s">
        <v>783</v>
      </c>
      <c r="G1789" s="656" t="s">
        <v>783</v>
      </c>
      <c r="H1789" s="656" t="s">
        <v>783</v>
      </c>
      <c r="I1789" s="656" t="s">
        <v>14976</v>
      </c>
      <c r="J1789" s="656"/>
      <c r="K1789" s="656"/>
      <c r="L1789" s="656"/>
      <c r="M1789" s="657"/>
      <c r="N1789" s="1482"/>
      <c r="O1789" s="656" t="s">
        <v>498</v>
      </c>
      <c r="P1789" s="656" t="s">
        <v>13052</v>
      </c>
      <c r="Q1789" s="656">
        <v>44216.779039351852</v>
      </c>
    </row>
    <row r="1790" spans="1:17">
      <c r="A1790" s="656" t="s">
        <v>1765</v>
      </c>
      <c r="B1790" s="657" t="s">
        <v>202</v>
      </c>
      <c r="C1790" s="656" t="s">
        <v>1766</v>
      </c>
      <c r="D1790" s="657" t="s">
        <v>13789</v>
      </c>
      <c r="E1790" s="657" t="s">
        <v>9510</v>
      </c>
      <c r="F1790" s="656" t="s">
        <v>783</v>
      </c>
      <c r="G1790" s="656" t="s">
        <v>783</v>
      </c>
      <c r="H1790" s="656" t="s">
        <v>783</v>
      </c>
      <c r="I1790" s="656" t="s">
        <v>14976</v>
      </c>
      <c r="J1790" s="656"/>
      <c r="K1790" s="656"/>
      <c r="L1790" s="656"/>
      <c r="M1790" s="657"/>
      <c r="N1790" s="1482"/>
      <c r="O1790" s="656" t="s">
        <v>498</v>
      </c>
      <c r="P1790" s="656" t="s">
        <v>13052</v>
      </c>
      <c r="Q1790" s="656">
        <v>44216.779039351852</v>
      </c>
    </row>
    <row r="1791" spans="1:17">
      <c r="A1791" s="656" t="s">
        <v>1767</v>
      </c>
      <c r="B1791" s="657" t="s">
        <v>202</v>
      </c>
      <c r="C1791" s="656" t="s">
        <v>1768</v>
      </c>
      <c r="D1791" s="657" t="s">
        <v>13789</v>
      </c>
      <c r="E1791" s="657" t="s">
        <v>9510</v>
      </c>
      <c r="F1791" s="656" t="s">
        <v>783</v>
      </c>
      <c r="G1791" s="656" t="s">
        <v>783</v>
      </c>
      <c r="H1791" s="656" t="s">
        <v>783</v>
      </c>
      <c r="I1791" s="656" t="s">
        <v>14976</v>
      </c>
      <c r="J1791" s="656"/>
      <c r="K1791" s="656"/>
      <c r="L1791" s="656"/>
      <c r="M1791" s="657"/>
      <c r="N1791" s="1482"/>
      <c r="O1791" s="656" t="s">
        <v>498</v>
      </c>
      <c r="P1791" s="656" t="s">
        <v>13052</v>
      </c>
      <c r="Q1791" s="656">
        <v>44216.779027777775</v>
      </c>
    </row>
    <row r="1792" spans="1:17">
      <c r="A1792" s="656" t="s">
        <v>1769</v>
      </c>
      <c r="B1792" s="657" t="s">
        <v>202</v>
      </c>
      <c r="C1792" s="656" t="s">
        <v>1770</v>
      </c>
      <c r="D1792" s="657" t="s">
        <v>13789</v>
      </c>
      <c r="E1792" s="657" t="s">
        <v>9510</v>
      </c>
      <c r="F1792" s="656" t="s">
        <v>1050</v>
      </c>
      <c r="G1792" s="656" t="s">
        <v>1078</v>
      </c>
      <c r="H1792" s="656" t="s">
        <v>1050</v>
      </c>
      <c r="I1792" s="656" t="s">
        <v>14976</v>
      </c>
      <c r="J1792" s="656"/>
      <c r="K1792" s="656"/>
      <c r="L1792" s="656"/>
      <c r="M1792" s="657"/>
      <c r="N1792" s="1482"/>
      <c r="O1792" s="656" t="s">
        <v>498</v>
      </c>
      <c r="P1792" s="656" t="s">
        <v>13052</v>
      </c>
      <c r="Q1792" s="656">
        <v>44216.779027777775</v>
      </c>
    </row>
    <row r="1793" spans="1:17">
      <c r="A1793" s="656" t="s">
        <v>13020</v>
      </c>
      <c r="B1793" s="657" t="s">
        <v>202</v>
      </c>
      <c r="C1793" s="656" t="s">
        <v>13007</v>
      </c>
      <c r="D1793" s="657" t="s">
        <v>13789</v>
      </c>
      <c r="E1793" s="657" t="s">
        <v>9510</v>
      </c>
      <c r="F1793" s="656" t="s">
        <v>472</v>
      </c>
      <c r="G1793" s="656" t="s">
        <v>519</v>
      </c>
      <c r="H1793" s="656" t="s">
        <v>472</v>
      </c>
      <c r="I1793" s="656" t="s">
        <v>14976</v>
      </c>
      <c r="J1793" s="656" t="s">
        <v>12368</v>
      </c>
      <c r="K1793" s="656" t="s">
        <v>1058</v>
      </c>
      <c r="L1793" s="656"/>
      <c r="M1793" s="657"/>
      <c r="N1793" s="1482"/>
      <c r="O1793" s="656" t="s">
        <v>498</v>
      </c>
      <c r="P1793" s="656" t="s">
        <v>13052</v>
      </c>
      <c r="Q1793" s="656">
        <v>44216.779016203705</v>
      </c>
    </row>
    <row r="1794" spans="1:17">
      <c r="A1794" s="656" t="s">
        <v>1771</v>
      </c>
      <c r="B1794" s="657" t="s">
        <v>202</v>
      </c>
      <c r="C1794" s="656" t="s">
        <v>1772</v>
      </c>
      <c r="D1794" s="657" t="s">
        <v>13789</v>
      </c>
      <c r="E1794" s="657" t="s">
        <v>9458</v>
      </c>
      <c r="F1794" s="656" t="s">
        <v>472</v>
      </c>
      <c r="G1794" s="656" t="s">
        <v>1395</v>
      </c>
      <c r="H1794" s="656" t="s">
        <v>472</v>
      </c>
      <c r="I1794" s="656" t="s">
        <v>14976</v>
      </c>
      <c r="J1794" s="656" t="s">
        <v>12368</v>
      </c>
      <c r="K1794" s="656"/>
      <c r="L1794" s="656"/>
      <c r="M1794" s="657"/>
      <c r="N1794" s="1482"/>
      <c r="O1794" s="656" t="s">
        <v>498</v>
      </c>
      <c r="P1794" s="656" t="s">
        <v>13052</v>
      </c>
      <c r="Q1794" s="656">
        <v>44216.779016203705</v>
      </c>
    </row>
    <row r="1795" spans="1:17">
      <c r="A1795" s="656" t="s">
        <v>1773</v>
      </c>
      <c r="B1795" s="657" t="s">
        <v>202</v>
      </c>
      <c r="C1795" s="656" t="s">
        <v>1774</v>
      </c>
      <c r="D1795" s="657" t="s">
        <v>13789</v>
      </c>
      <c r="E1795" s="657" t="s">
        <v>9458</v>
      </c>
      <c r="F1795" s="656" t="s">
        <v>472</v>
      </c>
      <c r="G1795" s="656" t="s">
        <v>1058</v>
      </c>
      <c r="H1795" s="656" t="s">
        <v>472</v>
      </c>
      <c r="I1795" s="656" t="s">
        <v>14976</v>
      </c>
      <c r="J1795" s="656" t="s">
        <v>12368</v>
      </c>
      <c r="K1795" s="656"/>
      <c r="L1795" s="656"/>
      <c r="M1795" s="657"/>
      <c r="N1795" s="1482"/>
      <c r="O1795" s="656" t="s">
        <v>498</v>
      </c>
      <c r="P1795" s="656" t="s">
        <v>13052</v>
      </c>
      <c r="Q1795" s="656">
        <v>44216.779004629629</v>
      </c>
    </row>
    <row r="1796" spans="1:17">
      <c r="A1796" s="656" t="s">
        <v>1775</v>
      </c>
      <c r="B1796" s="657" t="s">
        <v>202</v>
      </c>
      <c r="C1796" s="656" t="s">
        <v>1776</v>
      </c>
      <c r="D1796" s="657" t="s">
        <v>13789</v>
      </c>
      <c r="E1796" s="657" t="s">
        <v>9458</v>
      </c>
      <c r="F1796" s="656" t="s">
        <v>472</v>
      </c>
      <c r="G1796" s="656" t="s">
        <v>1395</v>
      </c>
      <c r="H1796" s="656" t="s">
        <v>472</v>
      </c>
      <c r="I1796" s="656" t="s">
        <v>14976</v>
      </c>
      <c r="J1796" s="656" t="s">
        <v>12368</v>
      </c>
      <c r="K1796" s="656"/>
      <c r="L1796" s="656"/>
      <c r="M1796" s="657"/>
      <c r="N1796" s="1482"/>
      <c r="O1796" s="656" t="s">
        <v>498</v>
      </c>
      <c r="P1796" s="656" t="s">
        <v>13052</v>
      </c>
      <c r="Q1796" s="656">
        <v>44216.779004629629</v>
      </c>
    </row>
    <row r="1797" spans="1:17">
      <c r="A1797" s="656" t="s">
        <v>1777</v>
      </c>
      <c r="B1797" s="657" t="s">
        <v>202</v>
      </c>
      <c r="C1797" s="656" t="s">
        <v>1778</v>
      </c>
      <c r="D1797" s="657" t="s">
        <v>13789</v>
      </c>
      <c r="E1797" s="657" t="s">
        <v>9510</v>
      </c>
      <c r="F1797" s="656" t="s">
        <v>462</v>
      </c>
      <c r="G1797" s="656" t="s">
        <v>519</v>
      </c>
      <c r="H1797" s="656" t="s">
        <v>462</v>
      </c>
      <c r="I1797" s="656" t="s">
        <v>14976</v>
      </c>
      <c r="J1797" s="656" t="s">
        <v>463</v>
      </c>
      <c r="K1797" s="656"/>
      <c r="L1797" s="656"/>
      <c r="M1797" s="657"/>
      <c r="N1797" s="1482"/>
      <c r="O1797" s="656" t="s">
        <v>498</v>
      </c>
      <c r="P1797" s="656" t="s">
        <v>13052</v>
      </c>
      <c r="Q1797" s="656">
        <v>44216.778993055559</v>
      </c>
    </row>
    <row r="1798" spans="1:17">
      <c r="A1798" s="656" t="s">
        <v>1779</v>
      </c>
      <c r="B1798" s="657" t="s">
        <v>202</v>
      </c>
      <c r="C1798" s="656" t="s">
        <v>1780</v>
      </c>
      <c r="D1798" s="657" t="s">
        <v>13789</v>
      </c>
      <c r="E1798" s="657" t="s">
        <v>9510</v>
      </c>
      <c r="F1798" s="656" t="s">
        <v>500</v>
      </c>
      <c r="G1798" s="656" t="s">
        <v>500</v>
      </c>
      <c r="H1798" s="656" t="s">
        <v>500</v>
      </c>
      <c r="I1798" s="656" t="s">
        <v>14976</v>
      </c>
      <c r="J1798" s="656"/>
      <c r="K1798" s="656"/>
      <c r="L1798" s="656"/>
      <c r="M1798" s="657"/>
      <c r="N1798" s="1482"/>
      <c r="O1798" s="656" t="s">
        <v>498</v>
      </c>
      <c r="P1798" s="656" t="s">
        <v>13052</v>
      </c>
      <c r="Q1798" s="656">
        <v>44216.778993055559</v>
      </c>
    </row>
    <row r="1799" spans="1:17">
      <c r="A1799" s="656" t="s">
        <v>1781</v>
      </c>
      <c r="B1799" s="657" t="s">
        <v>202</v>
      </c>
      <c r="C1799" s="656" t="s">
        <v>1782</v>
      </c>
      <c r="D1799" s="657" t="s">
        <v>13789</v>
      </c>
      <c r="E1799" s="657" t="s">
        <v>9510</v>
      </c>
      <c r="F1799" s="656" t="s">
        <v>8807</v>
      </c>
      <c r="G1799" s="656" t="s">
        <v>500</v>
      </c>
      <c r="H1799" s="656" t="s">
        <v>8807</v>
      </c>
      <c r="I1799" s="656" t="s">
        <v>14976</v>
      </c>
      <c r="J1799" s="656" t="s">
        <v>8814</v>
      </c>
      <c r="K1799" s="656"/>
      <c r="L1799" s="656"/>
      <c r="M1799" s="657"/>
      <c r="N1799" s="1482"/>
      <c r="O1799" s="656" t="s">
        <v>498</v>
      </c>
      <c r="P1799" s="656" t="s">
        <v>13052</v>
      </c>
      <c r="Q1799" s="656">
        <v>44216.778981481482</v>
      </c>
    </row>
    <row r="1800" spans="1:17">
      <c r="A1800" s="656" t="s">
        <v>1783</v>
      </c>
      <c r="B1800" s="657" t="s">
        <v>202</v>
      </c>
      <c r="C1800" s="656" t="s">
        <v>1784</v>
      </c>
      <c r="D1800" s="657" t="s">
        <v>13789</v>
      </c>
      <c r="E1800" s="657" t="s">
        <v>9510</v>
      </c>
      <c r="F1800" s="656" t="s">
        <v>462</v>
      </c>
      <c r="G1800" s="656" t="s">
        <v>519</v>
      </c>
      <c r="H1800" s="656" t="s">
        <v>462</v>
      </c>
      <c r="I1800" s="656" t="s">
        <v>14976</v>
      </c>
      <c r="J1800" s="656" t="s">
        <v>463</v>
      </c>
      <c r="K1800" s="656"/>
      <c r="L1800" s="656"/>
      <c r="M1800" s="657"/>
      <c r="N1800" s="1482"/>
      <c r="O1800" s="656" t="s">
        <v>498</v>
      </c>
      <c r="P1800" s="656" t="s">
        <v>13052</v>
      </c>
      <c r="Q1800" s="656">
        <v>44216.778981481482</v>
      </c>
    </row>
    <row r="1801" spans="1:17">
      <c r="A1801" s="656" t="s">
        <v>1785</v>
      </c>
      <c r="B1801" s="657" t="s">
        <v>202</v>
      </c>
      <c r="C1801" s="656" t="s">
        <v>13822</v>
      </c>
      <c r="D1801" s="657" t="s">
        <v>13789</v>
      </c>
      <c r="E1801" s="657" t="s">
        <v>9510</v>
      </c>
      <c r="F1801" s="656" t="s">
        <v>462</v>
      </c>
      <c r="G1801" s="656" t="s">
        <v>519</v>
      </c>
      <c r="H1801" s="656" t="s">
        <v>462</v>
      </c>
      <c r="I1801" s="656" t="s">
        <v>14976</v>
      </c>
      <c r="J1801" s="656" t="s">
        <v>463</v>
      </c>
      <c r="K1801" s="656"/>
      <c r="L1801" s="656"/>
      <c r="M1801" s="657"/>
      <c r="N1801" s="1482"/>
      <c r="O1801" s="656" t="s">
        <v>498</v>
      </c>
      <c r="P1801" s="656" t="s">
        <v>13052</v>
      </c>
      <c r="Q1801" s="656">
        <v>44216.778969907406</v>
      </c>
    </row>
    <row r="1802" spans="1:17">
      <c r="A1802" s="656" t="s">
        <v>1786</v>
      </c>
      <c r="B1802" s="657" t="s">
        <v>202</v>
      </c>
      <c r="C1802" s="656" t="s">
        <v>1787</v>
      </c>
      <c r="D1802" s="657" t="s">
        <v>13789</v>
      </c>
      <c r="E1802" s="657" t="s">
        <v>9510</v>
      </c>
      <c r="F1802" s="656" t="s">
        <v>462</v>
      </c>
      <c r="G1802" s="656" t="s">
        <v>519</v>
      </c>
      <c r="H1802" s="656" t="s">
        <v>462</v>
      </c>
      <c r="I1802" s="656" t="s">
        <v>14976</v>
      </c>
      <c r="J1802" s="656" t="s">
        <v>463</v>
      </c>
      <c r="K1802" s="656"/>
      <c r="L1802" s="656"/>
      <c r="M1802" s="657"/>
      <c r="N1802" s="1482"/>
      <c r="O1802" s="656" t="s">
        <v>498</v>
      </c>
      <c r="P1802" s="656" t="s">
        <v>13052</v>
      </c>
      <c r="Q1802" s="656">
        <v>44216.778958333336</v>
      </c>
    </row>
    <row r="1803" spans="1:17">
      <c r="A1803" s="656" t="s">
        <v>1788</v>
      </c>
      <c r="B1803" s="657" t="s">
        <v>202</v>
      </c>
      <c r="C1803" s="656" t="s">
        <v>1789</v>
      </c>
      <c r="D1803" s="657" t="s">
        <v>13789</v>
      </c>
      <c r="E1803" s="657" t="s">
        <v>9406</v>
      </c>
      <c r="F1803" s="656" t="s">
        <v>500</v>
      </c>
      <c r="G1803" s="656" t="s">
        <v>500</v>
      </c>
      <c r="H1803" s="656" t="s">
        <v>500</v>
      </c>
      <c r="I1803" s="656" t="s">
        <v>14976</v>
      </c>
      <c r="J1803" s="656"/>
      <c r="K1803" s="656"/>
      <c r="L1803" s="656"/>
      <c r="M1803" s="657"/>
      <c r="N1803" s="1482"/>
      <c r="O1803" s="656" t="s">
        <v>498</v>
      </c>
      <c r="P1803" s="656" t="s">
        <v>13052</v>
      </c>
      <c r="Q1803" s="656">
        <v>44216.778958333336</v>
      </c>
    </row>
    <row r="1804" spans="1:17">
      <c r="A1804" s="656" t="s">
        <v>1790</v>
      </c>
      <c r="B1804" s="657" t="s">
        <v>202</v>
      </c>
      <c r="C1804" s="656" t="s">
        <v>1791</v>
      </c>
      <c r="D1804" s="657" t="s">
        <v>13789</v>
      </c>
      <c r="E1804" s="657" t="s">
        <v>9510</v>
      </c>
      <c r="F1804" s="656" t="s">
        <v>500</v>
      </c>
      <c r="G1804" s="656" t="s">
        <v>500</v>
      </c>
      <c r="H1804" s="656" t="s">
        <v>500</v>
      </c>
      <c r="I1804" s="656" t="s">
        <v>14976</v>
      </c>
      <c r="J1804" s="656"/>
      <c r="K1804" s="656"/>
      <c r="L1804" s="656"/>
      <c r="M1804" s="657"/>
      <c r="N1804" s="1482"/>
      <c r="O1804" s="656" t="s">
        <v>498</v>
      </c>
      <c r="P1804" s="656" t="s">
        <v>13052</v>
      </c>
      <c r="Q1804" s="656">
        <v>44216.778946759259</v>
      </c>
    </row>
    <row r="1805" spans="1:17">
      <c r="A1805" s="656" t="s">
        <v>1792</v>
      </c>
      <c r="B1805" s="657" t="s">
        <v>202</v>
      </c>
      <c r="C1805" s="656" t="s">
        <v>1793</v>
      </c>
      <c r="D1805" s="657" t="s">
        <v>13789</v>
      </c>
      <c r="E1805" s="657" t="s">
        <v>9510</v>
      </c>
      <c r="F1805" s="656" t="s">
        <v>537</v>
      </c>
      <c r="G1805" s="656"/>
      <c r="H1805" s="656" t="s">
        <v>537</v>
      </c>
      <c r="I1805" s="656" t="s">
        <v>14976</v>
      </c>
      <c r="J1805" s="656" t="s">
        <v>473</v>
      </c>
      <c r="K1805" s="656"/>
      <c r="L1805" s="656"/>
      <c r="M1805" s="657"/>
      <c r="N1805" s="1482"/>
      <c r="O1805" s="656" t="s">
        <v>498</v>
      </c>
      <c r="P1805" s="656" t="s">
        <v>13052</v>
      </c>
      <c r="Q1805" s="656">
        <v>44216.778935185182</v>
      </c>
    </row>
    <row r="1806" spans="1:17">
      <c r="A1806" s="656" t="s">
        <v>1794</v>
      </c>
      <c r="B1806" s="657" t="s">
        <v>202</v>
      </c>
      <c r="C1806" s="656" t="s">
        <v>499</v>
      </c>
      <c r="D1806" s="657" t="s">
        <v>13789</v>
      </c>
      <c r="E1806" s="657" t="s">
        <v>9510</v>
      </c>
      <c r="F1806" s="656" t="s">
        <v>500</v>
      </c>
      <c r="G1806" s="656" t="s">
        <v>500</v>
      </c>
      <c r="H1806" s="656" t="s">
        <v>500</v>
      </c>
      <c r="I1806" s="656" t="s">
        <v>14976</v>
      </c>
      <c r="J1806" s="656"/>
      <c r="K1806" s="656"/>
      <c r="L1806" s="656"/>
      <c r="M1806" s="657"/>
      <c r="N1806" s="1482"/>
      <c r="O1806" s="656" t="s">
        <v>498</v>
      </c>
      <c r="P1806" s="656" t="s">
        <v>13052</v>
      </c>
      <c r="Q1806" s="656">
        <v>44216.778923611113</v>
      </c>
    </row>
    <row r="1807" spans="1:17">
      <c r="A1807" s="656" t="s">
        <v>1795</v>
      </c>
      <c r="B1807" s="657" t="s">
        <v>202</v>
      </c>
      <c r="C1807" s="656" t="s">
        <v>501</v>
      </c>
      <c r="D1807" s="657" t="s">
        <v>14977</v>
      </c>
      <c r="E1807" s="657" t="s">
        <v>9510</v>
      </c>
      <c r="F1807" s="656" t="s">
        <v>500</v>
      </c>
      <c r="G1807" s="656" t="s">
        <v>500</v>
      </c>
      <c r="H1807" s="656" t="s">
        <v>500</v>
      </c>
      <c r="I1807" s="656" t="s">
        <v>14976</v>
      </c>
      <c r="J1807" s="656"/>
      <c r="K1807" s="656"/>
      <c r="L1807" s="656" t="s">
        <v>1795</v>
      </c>
      <c r="M1807" s="657"/>
      <c r="N1807" s="1482"/>
      <c r="O1807" s="656" t="s">
        <v>498</v>
      </c>
      <c r="P1807" s="656" t="s">
        <v>13052</v>
      </c>
      <c r="Q1807" s="656">
        <v>44216.778923611113</v>
      </c>
    </row>
    <row r="1808" spans="1:17">
      <c r="A1808" s="656" t="s">
        <v>1796</v>
      </c>
      <c r="B1808" s="657" t="s">
        <v>202</v>
      </c>
      <c r="C1808" s="656" t="s">
        <v>1797</v>
      </c>
      <c r="D1808" s="657" t="s">
        <v>13789</v>
      </c>
      <c r="E1808" s="657" t="s">
        <v>9510</v>
      </c>
      <c r="F1808" s="656" t="s">
        <v>537</v>
      </c>
      <c r="G1808" s="656" t="s">
        <v>512</v>
      </c>
      <c r="H1808" s="656" t="s">
        <v>537</v>
      </c>
      <c r="I1808" s="656" t="s">
        <v>14976</v>
      </c>
      <c r="J1808" s="656" t="s">
        <v>473</v>
      </c>
      <c r="K1808" s="656" t="s">
        <v>4161</v>
      </c>
      <c r="L1808" s="656"/>
      <c r="M1808" s="657"/>
      <c r="N1808" s="1482"/>
      <c r="O1808" s="656" t="s">
        <v>498</v>
      </c>
      <c r="P1808" s="656" t="s">
        <v>13052</v>
      </c>
      <c r="Q1808" s="656">
        <v>44216.778912037036</v>
      </c>
    </row>
    <row r="1809" spans="1:17">
      <c r="A1809" s="656" t="s">
        <v>1798</v>
      </c>
      <c r="B1809" s="657" t="s">
        <v>202</v>
      </c>
      <c r="C1809" s="656" t="s">
        <v>1799</v>
      </c>
      <c r="D1809" s="657" t="s">
        <v>14977</v>
      </c>
      <c r="E1809" s="657" t="s">
        <v>9510</v>
      </c>
      <c r="F1809" s="656" t="s">
        <v>500</v>
      </c>
      <c r="G1809" s="656" t="s">
        <v>500</v>
      </c>
      <c r="H1809" s="656" t="s">
        <v>500</v>
      </c>
      <c r="I1809" s="656" t="s">
        <v>14976</v>
      </c>
      <c r="J1809" s="656"/>
      <c r="K1809" s="656"/>
      <c r="L1809" s="656" t="s">
        <v>1798</v>
      </c>
      <c r="M1809" s="657"/>
      <c r="N1809" s="1482"/>
      <c r="O1809" s="656" t="s">
        <v>498</v>
      </c>
      <c r="P1809" s="656" t="s">
        <v>13052</v>
      </c>
      <c r="Q1809" s="656">
        <v>44216.778912037036</v>
      </c>
    </row>
    <row r="1810" spans="1:17">
      <c r="A1810" s="656" t="s">
        <v>1800</v>
      </c>
      <c r="B1810" s="657" t="s">
        <v>202</v>
      </c>
      <c r="C1810" s="656" t="s">
        <v>1801</v>
      </c>
      <c r="D1810" s="657" t="s">
        <v>13789</v>
      </c>
      <c r="E1810" s="657" t="s">
        <v>9510</v>
      </c>
      <c r="F1810" s="656" t="s">
        <v>500</v>
      </c>
      <c r="G1810" s="656" t="s">
        <v>500</v>
      </c>
      <c r="H1810" s="656" t="s">
        <v>500</v>
      </c>
      <c r="I1810" s="656" t="s">
        <v>14976</v>
      </c>
      <c r="J1810" s="656"/>
      <c r="K1810" s="656"/>
      <c r="L1810" s="656"/>
      <c r="M1810" s="657"/>
      <c r="N1810" s="1482"/>
      <c r="O1810" s="656" t="s">
        <v>498</v>
      </c>
      <c r="P1810" s="656" t="s">
        <v>13052</v>
      </c>
      <c r="Q1810" s="656">
        <v>44216.778900462959</v>
      </c>
    </row>
    <row r="1811" spans="1:17">
      <c r="A1811" s="656" t="s">
        <v>1802</v>
      </c>
      <c r="B1811" s="657" t="s">
        <v>202</v>
      </c>
      <c r="C1811" s="656" t="s">
        <v>1803</v>
      </c>
      <c r="D1811" s="657" t="s">
        <v>13789</v>
      </c>
      <c r="E1811" s="657" t="s">
        <v>9510</v>
      </c>
      <c r="F1811" s="656" t="s">
        <v>537</v>
      </c>
      <c r="G1811" s="656" t="s">
        <v>922</v>
      </c>
      <c r="H1811" s="656" t="s">
        <v>537</v>
      </c>
      <c r="I1811" s="656" t="s">
        <v>14976</v>
      </c>
      <c r="J1811" s="656" t="s">
        <v>473</v>
      </c>
      <c r="K1811" s="656" t="s">
        <v>1058</v>
      </c>
      <c r="L1811" s="656"/>
      <c r="M1811" s="657"/>
      <c r="N1811" s="1482"/>
      <c r="O1811" s="656" t="s">
        <v>498</v>
      </c>
      <c r="P1811" s="656" t="s">
        <v>13052</v>
      </c>
      <c r="Q1811" s="656">
        <v>44216.778912037036</v>
      </c>
    </row>
    <row r="1812" spans="1:17">
      <c r="A1812" s="656" t="s">
        <v>1804</v>
      </c>
      <c r="B1812" s="657" t="s">
        <v>202</v>
      </c>
      <c r="C1812" s="656" t="s">
        <v>1805</v>
      </c>
      <c r="D1812" s="657" t="s">
        <v>13789</v>
      </c>
      <c r="E1812" s="657" t="s">
        <v>9510</v>
      </c>
      <c r="F1812" s="656" t="s">
        <v>537</v>
      </c>
      <c r="G1812" s="656" t="s">
        <v>922</v>
      </c>
      <c r="H1812" s="656" t="s">
        <v>537</v>
      </c>
      <c r="I1812" s="656" t="s">
        <v>14976</v>
      </c>
      <c r="J1812" s="656" t="s">
        <v>473</v>
      </c>
      <c r="K1812" s="656" t="s">
        <v>1058</v>
      </c>
      <c r="L1812" s="656"/>
      <c r="M1812" s="657"/>
      <c r="N1812" s="1482"/>
      <c r="O1812" s="656" t="s">
        <v>498</v>
      </c>
      <c r="P1812" s="656" t="s">
        <v>13052</v>
      </c>
      <c r="Q1812" s="656">
        <v>44216.778900462959</v>
      </c>
    </row>
    <row r="1813" spans="1:17">
      <c r="A1813" s="656" t="s">
        <v>1806</v>
      </c>
      <c r="B1813" s="657" t="s">
        <v>202</v>
      </c>
      <c r="C1813" s="656" t="s">
        <v>1807</v>
      </c>
      <c r="D1813" s="657" t="s">
        <v>13789</v>
      </c>
      <c r="E1813" s="657" t="s">
        <v>9510</v>
      </c>
      <c r="F1813" s="656" t="s">
        <v>500</v>
      </c>
      <c r="G1813" s="656" t="s">
        <v>500</v>
      </c>
      <c r="H1813" s="656" t="s">
        <v>500</v>
      </c>
      <c r="I1813" s="656" t="s">
        <v>14976</v>
      </c>
      <c r="J1813" s="656"/>
      <c r="K1813" s="656"/>
      <c r="L1813" s="656"/>
      <c r="M1813" s="657"/>
      <c r="N1813" s="1482"/>
      <c r="O1813" s="656" t="s">
        <v>498</v>
      </c>
      <c r="P1813" s="656" t="s">
        <v>13052</v>
      </c>
      <c r="Q1813" s="656">
        <v>44216.77888888889</v>
      </c>
    </row>
    <row r="1814" spans="1:17">
      <c r="A1814" s="656" t="s">
        <v>1808</v>
      </c>
      <c r="B1814" s="657" t="s">
        <v>202</v>
      </c>
      <c r="C1814" s="656" t="s">
        <v>1809</v>
      </c>
      <c r="D1814" s="657" t="s">
        <v>13789</v>
      </c>
      <c r="E1814" s="657" t="s">
        <v>9510</v>
      </c>
      <c r="F1814" s="656" t="s">
        <v>1300</v>
      </c>
      <c r="G1814" s="656" t="s">
        <v>1301</v>
      </c>
      <c r="H1814" s="656" t="s">
        <v>1300</v>
      </c>
      <c r="I1814" s="656" t="s">
        <v>15280</v>
      </c>
      <c r="J1814" s="656"/>
      <c r="K1814" s="656"/>
      <c r="L1814" s="656"/>
      <c r="M1814" s="657"/>
      <c r="N1814" s="1482"/>
      <c r="O1814" s="656" t="s">
        <v>498</v>
      </c>
      <c r="P1814" s="656" t="s">
        <v>13052</v>
      </c>
      <c r="Q1814" s="656">
        <v>44216.77888888889</v>
      </c>
    </row>
    <row r="1815" spans="1:17">
      <c r="A1815" s="656" t="s">
        <v>1810</v>
      </c>
      <c r="B1815" s="657" t="s">
        <v>202</v>
      </c>
      <c r="C1815" s="656" t="s">
        <v>1811</v>
      </c>
      <c r="D1815" s="657" t="s">
        <v>13789</v>
      </c>
      <c r="E1815" s="657" t="s">
        <v>9458</v>
      </c>
      <c r="F1815" s="656" t="s">
        <v>472</v>
      </c>
      <c r="G1815" s="656" t="s">
        <v>1395</v>
      </c>
      <c r="H1815" s="656" t="s">
        <v>472</v>
      </c>
      <c r="I1815" s="656" t="s">
        <v>14976</v>
      </c>
      <c r="J1815" s="656" t="s">
        <v>12368</v>
      </c>
      <c r="K1815" s="656"/>
      <c r="L1815" s="656"/>
      <c r="M1815" s="657"/>
      <c r="N1815" s="1482"/>
      <c r="O1815" s="656" t="s">
        <v>498</v>
      </c>
      <c r="P1815" s="656" t="s">
        <v>13052</v>
      </c>
      <c r="Q1815" s="656">
        <v>44216.778877314813</v>
      </c>
    </row>
    <row r="1816" spans="1:17">
      <c r="A1816" s="656" t="s">
        <v>1812</v>
      </c>
      <c r="B1816" s="657" t="s">
        <v>202</v>
      </c>
      <c r="C1816" s="656" t="s">
        <v>1813</v>
      </c>
      <c r="D1816" s="657" t="s">
        <v>13789</v>
      </c>
      <c r="E1816" s="657" t="s">
        <v>9510</v>
      </c>
      <c r="F1816" s="656" t="s">
        <v>1050</v>
      </c>
      <c r="G1816" s="656" t="s">
        <v>1078</v>
      </c>
      <c r="H1816" s="656" t="s">
        <v>1050</v>
      </c>
      <c r="I1816" s="656" t="s">
        <v>14976</v>
      </c>
      <c r="J1816" s="656"/>
      <c r="K1816" s="656"/>
      <c r="L1816" s="656"/>
      <c r="M1816" s="657"/>
      <c r="N1816" s="1482"/>
      <c r="O1816" s="656" t="s">
        <v>498</v>
      </c>
      <c r="P1816" s="656" t="s">
        <v>13052</v>
      </c>
      <c r="Q1816" s="656">
        <v>44216.778877314813</v>
      </c>
    </row>
    <row r="1817" spans="1:17">
      <c r="A1817" s="656" t="s">
        <v>1814</v>
      </c>
      <c r="B1817" s="657" t="s">
        <v>202</v>
      </c>
      <c r="C1817" s="656" t="s">
        <v>1815</v>
      </c>
      <c r="D1817" s="657" t="s">
        <v>13789</v>
      </c>
      <c r="E1817" s="657" t="s">
        <v>7439</v>
      </c>
      <c r="F1817" s="656" t="s">
        <v>472</v>
      </c>
      <c r="G1817" s="656" t="s">
        <v>1395</v>
      </c>
      <c r="H1817" s="656" t="s">
        <v>472</v>
      </c>
      <c r="I1817" s="656" t="s">
        <v>14976</v>
      </c>
      <c r="J1817" s="656" t="s">
        <v>12368</v>
      </c>
      <c r="K1817" s="656"/>
      <c r="L1817" s="656"/>
      <c r="M1817" s="657"/>
      <c r="N1817" s="1482"/>
      <c r="O1817" s="656" t="s">
        <v>498</v>
      </c>
      <c r="P1817" s="656" t="s">
        <v>13052</v>
      </c>
      <c r="Q1817" s="656">
        <v>44216.778865740744</v>
      </c>
    </row>
    <row r="1818" spans="1:17">
      <c r="A1818" s="656" t="s">
        <v>1816</v>
      </c>
      <c r="B1818" s="657" t="s">
        <v>202</v>
      </c>
      <c r="C1818" s="656" t="s">
        <v>1817</v>
      </c>
      <c r="D1818" s="657" t="s">
        <v>13789</v>
      </c>
      <c r="E1818" s="657" t="s">
        <v>7439</v>
      </c>
      <c r="F1818" s="656" t="s">
        <v>472</v>
      </c>
      <c r="G1818" s="656" t="s">
        <v>1058</v>
      </c>
      <c r="H1818" s="656" t="s">
        <v>472</v>
      </c>
      <c r="I1818" s="656" t="s">
        <v>14976</v>
      </c>
      <c r="J1818" s="656" t="s">
        <v>12368</v>
      </c>
      <c r="K1818" s="656"/>
      <c r="L1818" s="656"/>
      <c r="M1818" s="657"/>
      <c r="N1818" s="1482"/>
      <c r="O1818" s="656" t="s">
        <v>498</v>
      </c>
      <c r="P1818" s="656" t="s">
        <v>13052</v>
      </c>
      <c r="Q1818" s="656">
        <v>44216.778865740744</v>
      </c>
    </row>
    <row r="1819" spans="1:17">
      <c r="A1819" s="656" t="s">
        <v>1818</v>
      </c>
      <c r="B1819" s="657" t="s">
        <v>202</v>
      </c>
      <c r="C1819" s="656" t="s">
        <v>1819</v>
      </c>
      <c r="D1819" s="657" t="s">
        <v>13789</v>
      </c>
      <c r="E1819" s="657" t="s">
        <v>7439</v>
      </c>
      <c r="F1819" s="656" t="s">
        <v>472</v>
      </c>
      <c r="G1819" s="656" t="s">
        <v>1395</v>
      </c>
      <c r="H1819" s="656" t="s">
        <v>472</v>
      </c>
      <c r="I1819" s="656" t="s">
        <v>14976</v>
      </c>
      <c r="J1819" s="656" t="s">
        <v>12368</v>
      </c>
      <c r="K1819" s="656"/>
      <c r="L1819" s="656"/>
      <c r="M1819" s="657"/>
      <c r="N1819" s="1482"/>
      <c r="O1819" s="656" t="s">
        <v>498</v>
      </c>
      <c r="P1819" s="656" t="s">
        <v>13052</v>
      </c>
      <c r="Q1819" s="656">
        <v>44216.778854166667</v>
      </c>
    </row>
    <row r="1820" spans="1:17">
      <c r="A1820" s="656" t="s">
        <v>1820</v>
      </c>
      <c r="B1820" s="657" t="s">
        <v>202</v>
      </c>
      <c r="C1820" s="656" t="s">
        <v>1821</v>
      </c>
      <c r="D1820" s="657" t="s">
        <v>13789</v>
      </c>
      <c r="E1820" s="657" t="s">
        <v>7439</v>
      </c>
      <c r="F1820" s="656" t="s">
        <v>472</v>
      </c>
      <c r="G1820" s="656" t="s">
        <v>1395</v>
      </c>
      <c r="H1820" s="656" t="s">
        <v>472</v>
      </c>
      <c r="I1820" s="656" t="s">
        <v>14976</v>
      </c>
      <c r="J1820" s="656" t="s">
        <v>12368</v>
      </c>
      <c r="K1820" s="656"/>
      <c r="L1820" s="656"/>
      <c r="M1820" s="657"/>
      <c r="N1820" s="1482"/>
      <c r="O1820" s="656" t="s">
        <v>498</v>
      </c>
      <c r="P1820" s="656" t="s">
        <v>13052</v>
      </c>
      <c r="Q1820" s="656">
        <v>44216.778854166667</v>
      </c>
    </row>
    <row r="1821" spans="1:17">
      <c r="A1821" s="656" t="s">
        <v>1822</v>
      </c>
      <c r="B1821" s="657" t="s">
        <v>202</v>
      </c>
      <c r="C1821" s="656" t="s">
        <v>1823</v>
      </c>
      <c r="D1821" s="657" t="s">
        <v>13789</v>
      </c>
      <c r="E1821" s="657" t="s">
        <v>7439</v>
      </c>
      <c r="F1821" s="656" t="s">
        <v>472</v>
      </c>
      <c r="G1821" s="656" t="s">
        <v>1395</v>
      </c>
      <c r="H1821" s="656" t="s">
        <v>472</v>
      </c>
      <c r="I1821" s="656" t="s">
        <v>14976</v>
      </c>
      <c r="J1821" s="656" t="s">
        <v>12368</v>
      </c>
      <c r="K1821" s="656"/>
      <c r="L1821" s="656"/>
      <c r="M1821" s="657"/>
      <c r="N1821" s="1482"/>
      <c r="O1821" s="656" t="s">
        <v>498</v>
      </c>
      <c r="P1821" s="656" t="s">
        <v>13052</v>
      </c>
      <c r="Q1821" s="656">
        <v>44216.77884259259</v>
      </c>
    </row>
    <row r="1822" spans="1:17">
      <c r="A1822" s="656" t="s">
        <v>1824</v>
      </c>
      <c r="B1822" s="657" t="s">
        <v>202</v>
      </c>
      <c r="C1822" s="656" t="s">
        <v>1825</v>
      </c>
      <c r="D1822" s="657" t="s">
        <v>13789</v>
      </c>
      <c r="E1822" s="657" t="s">
        <v>7439</v>
      </c>
      <c r="F1822" s="656" t="s">
        <v>472</v>
      </c>
      <c r="G1822" s="656" t="s">
        <v>1395</v>
      </c>
      <c r="H1822" s="656" t="s">
        <v>472</v>
      </c>
      <c r="I1822" s="656" t="s">
        <v>14976</v>
      </c>
      <c r="J1822" s="656" t="s">
        <v>12368</v>
      </c>
      <c r="K1822" s="656"/>
      <c r="L1822" s="656"/>
      <c r="M1822" s="657"/>
      <c r="N1822" s="1482"/>
      <c r="O1822" s="656" t="s">
        <v>498</v>
      </c>
      <c r="P1822" s="656" t="s">
        <v>13052</v>
      </c>
      <c r="Q1822" s="656">
        <v>44216.77884259259</v>
      </c>
    </row>
    <row r="1823" spans="1:17">
      <c r="A1823" s="656" t="s">
        <v>1826</v>
      </c>
      <c r="B1823" s="657" t="s">
        <v>202</v>
      </c>
      <c r="C1823" s="656" t="s">
        <v>1827</v>
      </c>
      <c r="D1823" s="657" t="s">
        <v>13789</v>
      </c>
      <c r="E1823" s="657" t="s">
        <v>9458</v>
      </c>
      <c r="F1823" s="656" t="s">
        <v>1206</v>
      </c>
      <c r="G1823" s="656"/>
      <c r="H1823" s="656" t="s">
        <v>1206</v>
      </c>
      <c r="I1823" s="656" t="s">
        <v>15280</v>
      </c>
      <c r="J1823" s="656" t="s">
        <v>532</v>
      </c>
      <c r="K1823" s="656"/>
      <c r="L1823" s="656"/>
      <c r="M1823" s="657"/>
      <c r="N1823" s="1482"/>
      <c r="O1823" s="656" t="s">
        <v>498</v>
      </c>
      <c r="P1823" s="656" t="s">
        <v>13052</v>
      </c>
      <c r="Q1823" s="656">
        <v>44216.778831018521</v>
      </c>
    </row>
    <row r="1824" spans="1:17">
      <c r="A1824" s="656" t="s">
        <v>1828</v>
      </c>
      <c r="B1824" s="657" t="s">
        <v>504</v>
      </c>
      <c r="C1824" s="656" t="s">
        <v>13821</v>
      </c>
      <c r="D1824" s="657" t="s">
        <v>13789</v>
      </c>
      <c r="E1824" s="657" t="s">
        <v>7439</v>
      </c>
      <c r="F1824" s="656" t="s">
        <v>540</v>
      </c>
      <c r="G1824" s="656" t="s">
        <v>541</v>
      </c>
      <c r="H1824" s="656" t="s">
        <v>540</v>
      </c>
      <c r="I1824" s="656" t="s">
        <v>14976</v>
      </c>
      <c r="J1824" s="656"/>
      <c r="K1824" s="656"/>
      <c r="L1824" s="656"/>
      <c r="M1824" s="657"/>
      <c r="N1824" s="1482"/>
      <c r="O1824" s="656" t="s">
        <v>498</v>
      </c>
      <c r="P1824" s="656" t="s">
        <v>13052</v>
      </c>
      <c r="Q1824" s="656">
        <v>44216.778831018521</v>
      </c>
    </row>
    <row r="1825" spans="1:17">
      <c r="A1825" s="656" t="s">
        <v>1829</v>
      </c>
      <c r="B1825" s="657" t="s">
        <v>202</v>
      </c>
      <c r="C1825" s="656" t="s">
        <v>1830</v>
      </c>
      <c r="D1825" s="657" t="s">
        <v>13789</v>
      </c>
      <c r="E1825" s="657" t="s">
        <v>9458</v>
      </c>
      <c r="F1825" s="656" t="s">
        <v>472</v>
      </c>
      <c r="G1825" s="656" t="s">
        <v>1395</v>
      </c>
      <c r="H1825" s="656" t="s">
        <v>472</v>
      </c>
      <c r="I1825" s="656" t="s">
        <v>14976</v>
      </c>
      <c r="J1825" s="656" t="s">
        <v>12368</v>
      </c>
      <c r="K1825" s="656"/>
      <c r="L1825" s="656"/>
      <c r="M1825" s="657"/>
      <c r="N1825" s="1482"/>
      <c r="O1825" s="656" t="s">
        <v>498</v>
      </c>
      <c r="P1825" s="656" t="s">
        <v>13052</v>
      </c>
      <c r="Q1825" s="656">
        <v>44216.778819444444</v>
      </c>
    </row>
    <row r="1826" spans="1:17">
      <c r="A1826" s="656" t="s">
        <v>1831</v>
      </c>
      <c r="B1826" s="657" t="s">
        <v>202</v>
      </c>
      <c r="C1826" s="656" t="s">
        <v>1832</v>
      </c>
      <c r="D1826" s="657" t="s">
        <v>13789</v>
      </c>
      <c r="E1826" s="657" t="s">
        <v>9458</v>
      </c>
      <c r="F1826" s="656" t="s">
        <v>472</v>
      </c>
      <c r="G1826" s="656" t="s">
        <v>1395</v>
      </c>
      <c r="H1826" s="656" t="s">
        <v>472</v>
      </c>
      <c r="I1826" s="656" t="s">
        <v>14976</v>
      </c>
      <c r="J1826" s="656" t="s">
        <v>12368</v>
      </c>
      <c r="K1826" s="656"/>
      <c r="L1826" s="656"/>
      <c r="M1826" s="657"/>
      <c r="N1826" s="1482"/>
      <c r="O1826" s="656" t="s">
        <v>498</v>
      </c>
      <c r="P1826" s="656" t="s">
        <v>13052</v>
      </c>
      <c r="Q1826" s="656">
        <v>44216.778819444444</v>
      </c>
    </row>
    <row r="1827" spans="1:17">
      <c r="A1827" s="656" t="s">
        <v>1833</v>
      </c>
      <c r="B1827" s="657" t="s">
        <v>202</v>
      </c>
      <c r="C1827" s="656" t="s">
        <v>1834</v>
      </c>
      <c r="D1827" s="657" t="s">
        <v>13789</v>
      </c>
      <c r="E1827" s="657" t="s">
        <v>9458</v>
      </c>
      <c r="F1827" s="656" t="s">
        <v>472</v>
      </c>
      <c r="G1827" s="656" t="s">
        <v>1395</v>
      </c>
      <c r="H1827" s="656" t="s">
        <v>472</v>
      </c>
      <c r="I1827" s="656" t="s">
        <v>14976</v>
      </c>
      <c r="J1827" s="656" t="s">
        <v>12368</v>
      </c>
      <c r="K1827" s="656"/>
      <c r="L1827" s="656"/>
      <c r="M1827" s="657"/>
      <c r="N1827" s="1482"/>
      <c r="O1827" s="656" t="s">
        <v>498</v>
      </c>
      <c r="P1827" s="656" t="s">
        <v>13052</v>
      </c>
      <c r="Q1827" s="656">
        <v>44216.778819444444</v>
      </c>
    </row>
    <row r="1828" spans="1:17">
      <c r="A1828" s="656" t="s">
        <v>1835</v>
      </c>
      <c r="B1828" s="657" t="s">
        <v>202</v>
      </c>
      <c r="C1828" s="656" t="s">
        <v>1836</v>
      </c>
      <c r="D1828" s="657" t="s">
        <v>13789</v>
      </c>
      <c r="E1828" s="657" t="s">
        <v>9458</v>
      </c>
      <c r="F1828" s="656" t="s">
        <v>472</v>
      </c>
      <c r="G1828" s="656" t="s">
        <v>1395</v>
      </c>
      <c r="H1828" s="656" t="s">
        <v>472</v>
      </c>
      <c r="I1828" s="656" t="s">
        <v>14976</v>
      </c>
      <c r="J1828" s="656" t="s">
        <v>12368</v>
      </c>
      <c r="K1828" s="656"/>
      <c r="L1828" s="656"/>
      <c r="M1828" s="657"/>
      <c r="N1828" s="1482"/>
      <c r="O1828" s="656" t="s">
        <v>498</v>
      </c>
      <c r="P1828" s="656" t="s">
        <v>13052</v>
      </c>
      <c r="Q1828" s="656">
        <v>44216.778807870367</v>
      </c>
    </row>
    <row r="1829" spans="1:17">
      <c r="A1829" s="656" t="s">
        <v>1837</v>
      </c>
      <c r="B1829" s="657" t="s">
        <v>202</v>
      </c>
      <c r="C1829" s="656" t="s">
        <v>1838</v>
      </c>
      <c r="D1829" s="657" t="s">
        <v>13789</v>
      </c>
      <c r="E1829" s="657" t="s">
        <v>9458</v>
      </c>
      <c r="F1829" s="656" t="s">
        <v>472</v>
      </c>
      <c r="G1829" s="656" t="s">
        <v>1395</v>
      </c>
      <c r="H1829" s="656" t="s">
        <v>472</v>
      </c>
      <c r="I1829" s="656" t="s">
        <v>14976</v>
      </c>
      <c r="J1829" s="656" t="s">
        <v>12368</v>
      </c>
      <c r="K1829" s="656"/>
      <c r="L1829" s="656"/>
      <c r="M1829" s="657"/>
      <c r="N1829" s="1482"/>
      <c r="O1829" s="656" t="s">
        <v>498</v>
      </c>
      <c r="P1829" s="656" t="s">
        <v>13052</v>
      </c>
      <c r="Q1829" s="656">
        <v>44216.778807870367</v>
      </c>
    </row>
    <row r="1830" spans="1:17">
      <c r="A1830" s="656" t="s">
        <v>1839</v>
      </c>
      <c r="B1830" s="657" t="s">
        <v>504</v>
      </c>
      <c r="C1830" s="656" t="s">
        <v>13820</v>
      </c>
      <c r="D1830" s="657" t="s">
        <v>13789</v>
      </c>
      <c r="E1830" s="657" t="s">
        <v>7439</v>
      </c>
      <c r="F1830" s="656" t="s">
        <v>540</v>
      </c>
      <c r="G1830" s="656" t="s">
        <v>541</v>
      </c>
      <c r="H1830" s="656" t="s">
        <v>540</v>
      </c>
      <c r="I1830" s="656" t="s">
        <v>14976</v>
      </c>
      <c r="J1830" s="656"/>
      <c r="K1830" s="656"/>
      <c r="L1830" s="656"/>
      <c r="M1830" s="657"/>
      <c r="N1830" s="1482"/>
      <c r="O1830" s="656" t="s">
        <v>498</v>
      </c>
      <c r="P1830" s="656" t="s">
        <v>13052</v>
      </c>
      <c r="Q1830" s="656">
        <v>44216.778796296298</v>
      </c>
    </row>
    <row r="1831" spans="1:17">
      <c r="A1831" s="656" t="s">
        <v>1840</v>
      </c>
      <c r="B1831" s="657" t="s">
        <v>202</v>
      </c>
      <c r="C1831" s="656" t="s">
        <v>1841</v>
      </c>
      <c r="D1831" s="657" t="s">
        <v>13789</v>
      </c>
      <c r="E1831" s="657" t="s">
        <v>9510</v>
      </c>
      <c r="F1831" s="656" t="s">
        <v>1058</v>
      </c>
      <c r="G1831" s="656" t="s">
        <v>657</v>
      </c>
      <c r="H1831" s="656" t="s">
        <v>1058</v>
      </c>
      <c r="I1831" s="656" t="s">
        <v>14976</v>
      </c>
      <c r="J1831" s="656" t="s">
        <v>451</v>
      </c>
      <c r="K1831" s="656"/>
      <c r="L1831" s="656"/>
      <c r="M1831" s="657"/>
      <c r="N1831" s="1482"/>
      <c r="O1831" s="656" t="s">
        <v>498</v>
      </c>
      <c r="P1831" s="656" t="s">
        <v>13052</v>
      </c>
      <c r="Q1831" s="656">
        <v>44216.778796296298</v>
      </c>
    </row>
    <row r="1832" spans="1:17">
      <c r="A1832" s="656" t="s">
        <v>1842</v>
      </c>
      <c r="B1832" s="657" t="s">
        <v>202</v>
      </c>
      <c r="C1832" s="656" t="s">
        <v>1843</v>
      </c>
      <c r="D1832" s="657" t="s">
        <v>13789</v>
      </c>
      <c r="E1832" s="657" t="s">
        <v>9510</v>
      </c>
      <c r="F1832" s="656" t="s">
        <v>500</v>
      </c>
      <c r="G1832" s="656" t="s">
        <v>500</v>
      </c>
      <c r="H1832" s="656" t="s">
        <v>500</v>
      </c>
      <c r="I1832" s="656" t="s">
        <v>14976</v>
      </c>
      <c r="J1832" s="656"/>
      <c r="K1832" s="656"/>
      <c r="L1832" s="656"/>
      <c r="M1832" s="657"/>
      <c r="N1832" s="1482"/>
      <c r="O1832" s="656" t="s">
        <v>498</v>
      </c>
      <c r="P1832" s="656" t="s">
        <v>13052</v>
      </c>
      <c r="Q1832" s="656">
        <v>44216.778784722221</v>
      </c>
    </row>
    <row r="1833" spans="1:17">
      <c r="A1833" s="656" t="s">
        <v>1844</v>
      </c>
      <c r="B1833" s="657" t="s">
        <v>202</v>
      </c>
      <c r="C1833" s="656" t="s">
        <v>1845</v>
      </c>
      <c r="D1833" s="657" t="s">
        <v>13789</v>
      </c>
      <c r="E1833" s="657" t="s">
        <v>9510</v>
      </c>
      <c r="F1833" s="656" t="s">
        <v>500</v>
      </c>
      <c r="G1833" s="656" t="s">
        <v>500</v>
      </c>
      <c r="H1833" s="656" t="s">
        <v>500</v>
      </c>
      <c r="I1833" s="656" t="s">
        <v>14976</v>
      </c>
      <c r="J1833" s="656"/>
      <c r="K1833" s="656"/>
      <c r="L1833" s="656"/>
      <c r="M1833" s="657"/>
      <c r="N1833" s="1482"/>
      <c r="O1833" s="656" t="s">
        <v>498</v>
      </c>
      <c r="P1833" s="656" t="s">
        <v>13052</v>
      </c>
      <c r="Q1833" s="656">
        <v>44216.778784722221</v>
      </c>
    </row>
    <row r="1834" spans="1:17">
      <c r="A1834" s="656" t="s">
        <v>1846</v>
      </c>
      <c r="B1834" s="657" t="s">
        <v>202</v>
      </c>
      <c r="C1834" s="656" t="s">
        <v>1847</v>
      </c>
      <c r="D1834" s="657" t="s">
        <v>14977</v>
      </c>
      <c r="E1834" s="657" t="s">
        <v>9510</v>
      </c>
      <c r="F1834" s="656" t="s">
        <v>500</v>
      </c>
      <c r="G1834" s="656" t="s">
        <v>500</v>
      </c>
      <c r="H1834" s="656" t="s">
        <v>500</v>
      </c>
      <c r="I1834" s="656" t="s">
        <v>14976</v>
      </c>
      <c r="J1834" s="656"/>
      <c r="K1834" s="656"/>
      <c r="L1834" s="656" t="s">
        <v>1846</v>
      </c>
      <c r="M1834" s="657"/>
      <c r="N1834" s="1482"/>
      <c r="O1834" s="656" t="s">
        <v>498</v>
      </c>
      <c r="P1834" s="656" t="s">
        <v>13052</v>
      </c>
      <c r="Q1834" s="656">
        <v>44216.778773148151</v>
      </c>
    </row>
    <row r="1835" spans="1:17">
      <c r="A1835" s="656" t="s">
        <v>1848</v>
      </c>
      <c r="B1835" s="657" t="s">
        <v>202</v>
      </c>
      <c r="C1835" s="656" t="s">
        <v>1849</v>
      </c>
      <c r="D1835" s="657" t="s">
        <v>14977</v>
      </c>
      <c r="E1835" s="657" t="s">
        <v>9510</v>
      </c>
      <c r="F1835" s="656" t="s">
        <v>500</v>
      </c>
      <c r="G1835" s="656" t="s">
        <v>500</v>
      </c>
      <c r="H1835" s="656" t="s">
        <v>500</v>
      </c>
      <c r="I1835" s="656" t="s">
        <v>14976</v>
      </c>
      <c r="J1835" s="656"/>
      <c r="K1835" s="656"/>
      <c r="L1835" s="656" t="s">
        <v>1848</v>
      </c>
      <c r="M1835" s="657"/>
      <c r="N1835" s="1482"/>
      <c r="O1835" s="656" t="s">
        <v>498</v>
      </c>
      <c r="P1835" s="656" t="s">
        <v>13052</v>
      </c>
      <c r="Q1835" s="656">
        <v>44216.778773148151</v>
      </c>
    </row>
    <row r="1836" spans="1:17">
      <c r="A1836" s="656" t="s">
        <v>1850</v>
      </c>
      <c r="B1836" s="657" t="s">
        <v>202</v>
      </c>
      <c r="C1836" s="656" t="s">
        <v>1851</v>
      </c>
      <c r="D1836" s="657" t="s">
        <v>13789</v>
      </c>
      <c r="E1836" s="657" t="s">
        <v>9510</v>
      </c>
      <c r="F1836" s="656" t="s">
        <v>500</v>
      </c>
      <c r="G1836" s="656" t="s">
        <v>500</v>
      </c>
      <c r="H1836" s="656" t="s">
        <v>500</v>
      </c>
      <c r="I1836" s="656" t="s">
        <v>14976</v>
      </c>
      <c r="J1836" s="656"/>
      <c r="K1836" s="656"/>
      <c r="L1836" s="656"/>
      <c r="M1836" s="657"/>
      <c r="N1836" s="1482"/>
      <c r="O1836" s="656" t="s">
        <v>498</v>
      </c>
      <c r="P1836" s="656" t="s">
        <v>13052</v>
      </c>
      <c r="Q1836" s="656">
        <v>44216.778761574074</v>
      </c>
    </row>
    <row r="1837" spans="1:17">
      <c r="A1837" s="656" t="s">
        <v>1852</v>
      </c>
      <c r="B1837" s="657" t="s">
        <v>202</v>
      </c>
      <c r="C1837" s="656" t="s">
        <v>1853</v>
      </c>
      <c r="D1837" s="657" t="s">
        <v>14977</v>
      </c>
      <c r="E1837" s="657" t="s">
        <v>9510</v>
      </c>
      <c r="F1837" s="656" t="s">
        <v>500</v>
      </c>
      <c r="G1837" s="656" t="s">
        <v>500</v>
      </c>
      <c r="H1837" s="656" t="s">
        <v>500</v>
      </c>
      <c r="I1837" s="656" t="s">
        <v>14976</v>
      </c>
      <c r="J1837" s="656"/>
      <c r="K1837" s="656"/>
      <c r="L1837" s="656" t="s">
        <v>1852</v>
      </c>
      <c r="M1837" s="657"/>
      <c r="N1837" s="1482"/>
      <c r="O1837" s="656" t="s">
        <v>498</v>
      </c>
      <c r="P1837" s="656" t="s">
        <v>13052</v>
      </c>
      <c r="Q1837" s="656">
        <v>44216.778761574074</v>
      </c>
    </row>
    <row r="1838" spans="1:17">
      <c r="A1838" s="656" t="s">
        <v>1854</v>
      </c>
      <c r="B1838" s="657" t="s">
        <v>202</v>
      </c>
      <c r="C1838" s="656" t="s">
        <v>1855</v>
      </c>
      <c r="D1838" s="657" t="s">
        <v>13789</v>
      </c>
      <c r="E1838" s="657" t="s">
        <v>7435</v>
      </c>
      <c r="F1838" s="656" t="s">
        <v>462</v>
      </c>
      <c r="G1838" s="656" t="s">
        <v>552</v>
      </c>
      <c r="H1838" s="656" t="s">
        <v>462</v>
      </c>
      <c r="I1838" s="656" t="s">
        <v>14976</v>
      </c>
      <c r="J1838" s="656" t="s">
        <v>463</v>
      </c>
      <c r="K1838" s="656" t="s">
        <v>477</v>
      </c>
      <c r="L1838" s="656"/>
      <c r="M1838" s="657"/>
      <c r="N1838" s="1482"/>
      <c r="O1838" s="656" t="s">
        <v>498</v>
      </c>
      <c r="P1838" s="656" t="s">
        <v>13052</v>
      </c>
      <c r="Q1838" s="656">
        <v>44216.778749999998</v>
      </c>
    </row>
    <row r="1839" spans="1:17">
      <c r="A1839" s="656" t="s">
        <v>1856</v>
      </c>
      <c r="B1839" s="657" t="s">
        <v>202</v>
      </c>
      <c r="C1839" s="656" t="s">
        <v>1857</v>
      </c>
      <c r="D1839" s="657" t="s">
        <v>13789</v>
      </c>
      <c r="E1839" s="657" t="s">
        <v>9510</v>
      </c>
      <c r="F1839" s="656" t="s">
        <v>500</v>
      </c>
      <c r="G1839" s="656" t="s">
        <v>500</v>
      </c>
      <c r="H1839" s="656" t="s">
        <v>500</v>
      </c>
      <c r="I1839" s="656" t="s">
        <v>14976</v>
      </c>
      <c r="J1839" s="656"/>
      <c r="K1839" s="656"/>
      <c r="L1839" s="656"/>
      <c r="M1839" s="657"/>
      <c r="N1839" s="1482"/>
      <c r="O1839" s="656" t="s">
        <v>498</v>
      </c>
      <c r="P1839" s="656" t="s">
        <v>13052</v>
      </c>
      <c r="Q1839" s="656">
        <v>44216.778749999998</v>
      </c>
    </row>
    <row r="1840" spans="1:17">
      <c r="A1840" s="656" t="s">
        <v>1858</v>
      </c>
      <c r="B1840" s="657" t="s">
        <v>202</v>
      </c>
      <c r="C1840" s="656" t="s">
        <v>1859</v>
      </c>
      <c r="D1840" s="657" t="s">
        <v>13789</v>
      </c>
      <c r="E1840" s="657" t="s">
        <v>9510</v>
      </c>
      <c r="F1840" s="656" t="s">
        <v>500</v>
      </c>
      <c r="G1840" s="656" t="s">
        <v>500</v>
      </c>
      <c r="H1840" s="656" t="s">
        <v>500</v>
      </c>
      <c r="I1840" s="656" t="s">
        <v>14976</v>
      </c>
      <c r="J1840" s="656"/>
      <c r="K1840" s="656"/>
      <c r="L1840" s="656"/>
      <c r="M1840" s="657"/>
      <c r="N1840" s="1482"/>
      <c r="O1840" s="656" t="s">
        <v>498</v>
      </c>
      <c r="P1840" s="656" t="s">
        <v>13052</v>
      </c>
      <c r="Q1840" s="656">
        <v>44216.778738425928</v>
      </c>
    </row>
    <row r="1841" spans="1:17">
      <c r="A1841" s="656" t="s">
        <v>1860</v>
      </c>
      <c r="B1841" s="657" t="s">
        <v>202</v>
      </c>
      <c r="C1841" s="656" t="s">
        <v>1861</v>
      </c>
      <c r="D1841" s="657" t="s">
        <v>14977</v>
      </c>
      <c r="E1841" s="657" t="s">
        <v>9406</v>
      </c>
      <c r="F1841" s="656" t="s">
        <v>537</v>
      </c>
      <c r="G1841" s="656" t="s">
        <v>552</v>
      </c>
      <c r="H1841" s="656" t="s">
        <v>537</v>
      </c>
      <c r="I1841" s="656" t="s">
        <v>14976</v>
      </c>
      <c r="J1841" s="656" t="s">
        <v>473</v>
      </c>
      <c r="K1841" s="656" t="s">
        <v>4161</v>
      </c>
      <c r="L1841" s="656" t="s">
        <v>1860</v>
      </c>
      <c r="M1841" s="657"/>
      <c r="N1841" s="1482"/>
      <c r="O1841" s="656" t="s">
        <v>498</v>
      </c>
      <c r="P1841" s="656" t="s">
        <v>13052</v>
      </c>
      <c r="Q1841" s="656">
        <v>44216.778738425928</v>
      </c>
    </row>
    <row r="1842" spans="1:17">
      <c r="A1842" s="656" t="s">
        <v>1862</v>
      </c>
      <c r="B1842" s="657" t="s">
        <v>202</v>
      </c>
      <c r="C1842" s="656" t="s">
        <v>1863</v>
      </c>
      <c r="D1842" s="657" t="s">
        <v>13789</v>
      </c>
      <c r="E1842" s="657" t="s">
        <v>9510</v>
      </c>
      <c r="F1842" s="656" t="s">
        <v>500</v>
      </c>
      <c r="G1842" s="656" t="s">
        <v>500</v>
      </c>
      <c r="H1842" s="656" t="s">
        <v>500</v>
      </c>
      <c r="I1842" s="656" t="s">
        <v>14976</v>
      </c>
      <c r="J1842" s="656" t="s">
        <v>473</v>
      </c>
      <c r="K1842" s="656"/>
      <c r="L1842" s="656"/>
      <c r="M1842" s="657"/>
      <c r="N1842" s="1482"/>
      <c r="O1842" s="656" t="s">
        <v>498</v>
      </c>
      <c r="P1842" s="656" t="s">
        <v>13052</v>
      </c>
      <c r="Q1842" s="656">
        <v>44216.778726851851</v>
      </c>
    </row>
    <row r="1843" spans="1:17">
      <c r="A1843" s="656" t="s">
        <v>1864</v>
      </c>
      <c r="B1843" s="657" t="s">
        <v>504</v>
      </c>
      <c r="C1843" s="656" t="s">
        <v>1865</v>
      </c>
      <c r="D1843" s="657" t="s">
        <v>13789</v>
      </c>
      <c r="E1843" s="657" t="s">
        <v>9458</v>
      </c>
      <c r="F1843" s="656" t="s">
        <v>540</v>
      </c>
      <c r="G1843" s="656" t="s">
        <v>541</v>
      </c>
      <c r="H1843" s="656" t="s">
        <v>540</v>
      </c>
      <c r="I1843" s="656" t="s">
        <v>14976</v>
      </c>
      <c r="J1843" s="656"/>
      <c r="K1843" s="656"/>
      <c r="L1843" s="656"/>
      <c r="M1843" s="657"/>
      <c r="N1843" s="1482"/>
      <c r="O1843" s="656" t="s">
        <v>498</v>
      </c>
      <c r="P1843" s="656" t="s">
        <v>13052</v>
      </c>
      <c r="Q1843" s="656">
        <v>44216.778726851851</v>
      </c>
    </row>
    <row r="1844" spans="1:17">
      <c r="A1844" s="656" t="s">
        <v>1866</v>
      </c>
      <c r="B1844" s="657" t="s">
        <v>504</v>
      </c>
      <c r="C1844" s="656" t="s">
        <v>1867</v>
      </c>
      <c r="D1844" s="657" t="s">
        <v>14977</v>
      </c>
      <c r="E1844" s="657" t="s">
        <v>7435</v>
      </c>
      <c r="F1844" s="656" t="s">
        <v>505</v>
      </c>
      <c r="G1844" s="656" t="s">
        <v>506</v>
      </c>
      <c r="H1844" s="656" t="s">
        <v>505</v>
      </c>
      <c r="I1844" s="656" t="s">
        <v>14976</v>
      </c>
      <c r="J1844" s="656"/>
      <c r="K1844" s="656"/>
      <c r="L1844" s="656"/>
      <c r="M1844" s="657"/>
      <c r="N1844" s="1482"/>
      <c r="O1844" s="656" t="s">
        <v>498</v>
      </c>
      <c r="P1844" s="656" t="s">
        <v>13052</v>
      </c>
      <c r="Q1844" s="656">
        <v>44216.778715277775</v>
      </c>
    </row>
    <row r="1845" spans="1:17">
      <c r="A1845" s="656" t="s">
        <v>1868</v>
      </c>
      <c r="B1845" s="657" t="s">
        <v>504</v>
      </c>
      <c r="C1845" s="656" t="s">
        <v>1869</v>
      </c>
      <c r="D1845" s="657" t="s">
        <v>14977</v>
      </c>
      <c r="E1845" s="657" t="s">
        <v>7435</v>
      </c>
      <c r="F1845" s="656" t="s">
        <v>505</v>
      </c>
      <c r="G1845" s="656" t="s">
        <v>506</v>
      </c>
      <c r="H1845" s="656" t="s">
        <v>505</v>
      </c>
      <c r="I1845" s="656" t="s">
        <v>14976</v>
      </c>
      <c r="J1845" s="656"/>
      <c r="K1845" s="656"/>
      <c r="L1845" s="656"/>
      <c r="M1845" s="657"/>
      <c r="N1845" s="1482"/>
      <c r="O1845" s="656" t="s">
        <v>498</v>
      </c>
      <c r="P1845" s="656" t="s">
        <v>13052</v>
      </c>
      <c r="Q1845" s="656">
        <v>44216.778715277775</v>
      </c>
    </row>
    <row r="1846" spans="1:17">
      <c r="A1846" s="656" t="s">
        <v>1870</v>
      </c>
      <c r="B1846" s="657" t="s">
        <v>504</v>
      </c>
      <c r="C1846" s="656" t="s">
        <v>1871</v>
      </c>
      <c r="D1846" s="657" t="s">
        <v>14977</v>
      </c>
      <c r="E1846" s="657" t="s">
        <v>7435</v>
      </c>
      <c r="F1846" s="656" t="s">
        <v>505</v>
      </c>
      <c r="G1846" s="656" t="s">
        <v>506</v>
      </c>
      <c r="H1846" s="656" t="s">
        <v>505</v>
      </c>
      <c r="I1846" s="656" t="s">
        <v>14976</v>
      </c>
      <c r="J1846" s="656"/>
      <c r="K1846" s="656"/>
      <c r="L1846" s="656"/>
      <c r="M1846" s="657"/>
      <c r="N1846" s="1482"/>
      <c r="O1846" s="656" t="s">
        <v>498</v>
      </c>
      <c r="P1846" s="656" t="s">
        <v>13052</v>
      </c>
      <c r="Q1846" s="656">
        <v>44216.778703703705</v>
      </c>
    </row>
    <row r="1847" spans="1:17">
      <c r="A1847" s="656" t="s">
        <v>1872</v>
      </c>
      <c r="B1847" s="657" t="s">
        <v>504</v>
      </c>
      <c r="C1847" s="656" t="s">
        <v>1873</v>
      </c>
      <c r="D1847" s="657" t="s">
        <v>14977</v>
      </c>
      <c r="E1847" s="657" t="s">
        <v>7435</v>
      </c>
      <c r="F1847" s="656" t="s">
        <v>505</v>
      </c>
      <c r="G1847" s="656" t="s">
        <v>506</v>
      </c>
      <c r="H1847" s="656" t="s">
        <v>505</v>
      </c>
      <c r="I1847" s="656" t="s">
        <v>14976</v>
      </c>
      <c r="J1847" s="656"/>
      <c r="K1847" s="656"/>
      <c r="L1847" s="656"/>
      <c r="M1847" s="657"/>
      <c r="N1847" s="1482"/>
      <c r="O1847" s="656" t="s">
        <v>498</v>
      </c>
      <c r="P1847" s="656" t="s">
        <v>13052</v>
      </c>
      <c r="Q1847" s="656">
        <v>44216.778703703705</v>
      </c>
    </row>
    <row r="1848" spans="1:17">
      <c r="A1848" s="656" t="s">
        <v>1874</v>
      </c>
      <c r="B1848" s="657" t="s">
        <v>504</v>
      </c>
      <c r="C1848" s="656" t="s">
        <v>1875</v>
      </c>
      <c r="D1848" s="657" t="s">
        <v>14977</v>
      </c>
      <c r="E1848" s="657" t="s">
        <v>7435</v>
      </c>
      <c r="F1848" s="656" t="s">
        <v>505</v>
      </c>
      <c r="G1848" s="656" t="s">
        <v>506</v>
      </c>
      <c r="H1848" s="656" t="s">
        <v>505</v>
      </c>
      <c r="I1848" s="656" t="s">
        <v>14976</v>
      </c>
      <c r="J1848" s="656"/>
      <c r="K1848" s="656"/>
      <c r="L1848" s="656"/>
      <c r="M1848" s="657"/>
      <c r="N1848" s="1482"/>
      <c r="O1848" s="656" t="s">
        <v>498</v>
      </c>
      <c r="P1848" s="656" t="s">
        <v>13052</v>
      </c>
      <c r="Q1848" s="656">
        <v>44216.778692129628</v>
      </c>
    </row>
    <row r="1849" spans="1:17">
      <c r="A1849" s="656" t="s">
        <v>1876</v>
      </c>
      <c r="B1849" s="657" t="s">
        <v>504</v>
      </c>
      <c r="C1849" s="656" t="s">
        <v>1877</v>
      </c>
      <c r="D1849" s="657" t="s">
        <v>14977</v>
      </c>
      <c r="E1849" s="657" t="s">
        <v>7435</v>
      </c>
      <c r="F1849" s="656" t="s">
        <v>505</v>
      </c>
      <c r="G1849" s="656" t="s">
        <v>506</v>
      </c>
      <c r="H1849" s="656" t="s">
        <v>505</v>
      </c>
      <c r="I1849" s="656" t="s">
        <v>14976</v>
      </c>
      <c r="J1849" s="656"/>
      <c r="K1849" s="656"/>
      <c r="L1849" s="656"/>
      <c r="M1849" s="657"/>
      <c r="N1849" s="1482"/>
      <c r="O1849" s="656" t="s">
        <v>498</v>
      </c>
      <c r="P1849" s="656" t="s">
        <v>13052</v>
      </c>
      <c r="Q1849" s="656">
        <v>44216.778692129628</v>
      </c>
    </row>
    <row r="1850" spans="1:17">
      <c r="A1850" s="656" t="s">
        <v>1878</v>
      </c>
      <c r="B1850" s="657" t="s">
        <v>504</v>
      </c>
      <c r="C1850" s="656" t="s">
        <v>1879</v>
      </c>
      <c r="D1850" s="657" t="s">
        <v>14977</v>
      </c>
      <c r="E1850" s="657" t="s">
        <v>7435</v>
      </c>
      <c r="F1850" s="656" t="s">
        <v>505</v>
      </c>
      <c r="G1850" s="656" t="s">
        <v>506</v>
      </c>
      <c r="H1850" s="656" t="s">
        <v>505</v>
      </c>
      <c r="I1850" s="656" t="s">
        <v>14976</v>
      </c>
      <c r="J1850" s="656"/>
      <c r="K1850" s="656"/>
      <c r="L1850" s="656"/>
      <c r="M1850" s="657"/>
      <c r="N1850" s="1482"/>
      <c r="O1850" s="656" t="s">
        <v>498</v>
      </c>
      <c r="P1850" s="656" t="s">
        <v>13052</v>
      </c>
      <c r="Q1850" s="656">
        <v>44216.778680555559</v>
      </c>
    </row>
    <row r="1851" spans="1:17">
      <c r="A1851" s="656" t="s">
        <v>1880</v>
      </c>
      <c r="B1851" s="657" t="s">
        <v>504</v>
      </c>
      <c r="C1851" s="656" t="s">
        <v>1881</v>
      </c>
      <c r="D1851" s="657" t="s">
        <v>14977</v>
      </c>
      <c r="E1851" s="657" t="s">
        <v>7435</v>
      </c>
      <c r="F1851" s="656" t="s">
        <v>505</v>
      </c>
      <c r="G1851" s="656" t="s">
        <v>506</v>
      </c>
      <c r="H1851" s="656" t="s">
        <v>505</v>
      </c>
      <c r="I1851" s="656" t="s">
        <v>14976</v>
      </c>
      <c r="J1851" s="656"/>
      <c r="K1851" s="656"/>
      <c r="L1851" s="656"/>
      <c r="M1851" s="657"/>
      <c r="N1851" s="1482"/>
      <c r="O1851" s="656" t="s">
        <v>498</v>
      </c>
      <c r="P1851" s="656" t="s">
        <v>13052</v>
      </c>
      <c r="Q1851" s="656">
        <v>44216.778680555559</v>
      </c>
    </row>
    <row r="1852" spans="1:17">
      <c r="A1852" s="656" t="s">
        <v>1882</v>
      </c>
      <c r="B1852" s="657" t="s">
        <v>504</v>
      </c>
      <c r="C1852" s="656" t="s">
        <v>1883</v>
      </c>
      <c r="D1852" s="657" t="s">
        <v>13789</v>
      </c>
      <c r="E1852" s="657" t="s">
        <v>9458</v>
      </c>
      <c r="F1852" s="656" t="s">
        <v>505</v>
      </c>
      <c r="G1852" s="656" t="s">
        <v>522</v>
      </c>
      <c r="H1852" s="656" t="s">
        <v>505</v>
      </c>
      <c r="I1852" s="656" t="s">
        <v>14976</v>
      </c>
      <c r="J1852" s="656"/>
      <c r="K1852" s="656"/>
      <c r="L1852" s="656"/>
      <c r="M1852" s="657"/>
      <c r="N1852" s="1482"/>
      <c r="O1852" s="656" t="s">
        <v>498</v>
      </c>
      <c r="P1852" s="656" t="s">
        <v>13052</v>
      </c>
      <c r="Q1852" s="656">
        <v>44216.778680555559</v>
      </c>
    </row>
    <row r="1853" spans="1:17">
      <c r="A1853" s="656" t="s">
        <v>12959</v>
      </c>
      <c r="B1853" s="657" t="s">
        <v>202</v>
      </c>
      <c r="C1853" s="656" t="s">
        <v>12958</v>
      </c>
      <c r="D1853" s="657" t="s">
        <v>13789</v>
      </c>
      <c r="E1853" s="657" t="s">
        <v>7437</v>
      </c>
      <c r="F1853" s="656" t="s">
        <v>4052</v>
      </c>
      <c r="G1853" s="656" t="s">
        <v>512</v>
      </c>
      <c r="H1853" s="656" t="s">
        <v>455</v>
      </c>
      <c r="I1853" s="656" t="s">
        <v>14976</v>
      </c>
      <c r="J1853" s="656" t="s">
        <v>451</v>
      </c>
      <c r="K1853" s="656" t="s">
        <v>4052</v>
      </c>
      <c r="L1853" s="656"/>
      <c r="M1853" s="657"/>
      <c r="N1853" s="1482"/>
      <c r="O1853" s="656" t="s">
        <v>498</v>
      </c>
      <c r="P1853" s="656" t="s">
        <v>13052</v>
      </c>
      <c r="Q1853" s="656">
        <v>44216.778668981482</v>
      </c>
    </row>
    <row r="1854" spans="1:17">
      <c r="A1854" s="656" t="s">
        <v>1884</v>
      </c>
      <c r="B1854" s="657" t="s">
        <v>504</v>
      </c>
      <c r="C1854" s="656" t="s">
        <v>1885</v>
      </c>
      <c r="D1854" s="657" t="s">
        <v>13789</v>
      </c>
      <c r="E1854" s="657" t="s">
        <v>9458</v>
      </c>
      <c r="F1854" s="656" t="s">
        <v>505</v>
      </c>
      <c r="G1854" s="656" t="s">
        <v>1293</v>
      </c>
      <c r="H1854" s="656" t="s">
        <v>505</v>
      </c>
      <c r="I1854" s="656" t="s">
        <v>14976</v>
      </c>
      <c r="J1854" s="656"/>
      <c r="K1854" s="656"/>
      <c r="L1854" s="656"/>
      <c r="M1854" s="657"/>
      <c r="N1854" s="1482"/>
      <c r="O1854" s="656" t="s">
        <v>498</v>
      </c>
      <c r="P1854" s="656" t="s">
        <v>13052</v>
      </c>
      <c r="Q1854" s="656">
        <v>44216.778668981482</v>
      </c>
    </row>
    <row r="1855" spans="1:17">
      <c r="A1855" s="656" t="s">
        <v>1886</v>
      </c>
      <c r="B1855" s="657" t="s">
        <v>202</v>
      </c>
      <c r="C1855" s="656" t="s">
        <v>1887</v>
      </c>
      <c r="D1855" s="657" t="s">
        <v>13789</v>
      </c>
      <c r="E1855" s="657" t="s">
        <v>9510</v>
      </c>
      <c r="F1855" s="656" t="s">
        <v>462</v>
      </c>
      <c r="G1855" s="656" t="s">
        <v>519</v>
      </c>
      <c r="H1855" s="656" t="s">
        <v>462</v>
      </c>
      <c r="I1855" s="656" t="s">
        <v>15280</v>
      </c>
      <c r="J1855" s="656" t="s">
        <v>463</v>
      </c>
      <c r="K1855" s="656"/>
      <c r="L1855" s="656"/>
      <c r="M1855" s="657"/>
      <c r="N1855" s="1482"/>
      <c r="O1855" s="656" t="s">
        <v>498</v>
      </c>
      <c r="P1855" s="656" t="s">
        <v>13052</v>
      </c>
      <c r="Q1855" s="656">
        <v>44216.778657407405</v>
      </c>
    </row>
    <row r="1856" spans="1:17">
      <c r="A1856" s="656" t="s">
        <v>1888</v>
      </c>
      <c r="B1856" s="657" t="s">
        <v>504</v>
      </c>
      <c r="C1856" s="656" t="s">
        <v>1889</v>
      </c>
      <c r="D1856" s="657" t="s">
        <v>13789</v>
      </c>
      <c r="E1856" s="657" t="s">
        <v>7439</v>
      </c>
      <c r="F1856" s="656" t="s">
        <v>540</v>
      </c>
      <c r="G1856" s="656" t="s">
        <v>541</v>
      </c>
      <c r="H1856" s="656" t="s">
        <v>540</v>
      </c>
      <c r="I1856" s="656" t="s">
        <v>14976</v>
      </c>
      <c r="J1856" s="656"/>
      <c r="K1856" s="656"/>
      <c r="L1856" s="656"/>
      <c r="M1856" s="657"/>
      <c r="N1856" s="1482"/>
      <c r="O1856" s="656" t="s">
        <v>498</v>
      </c>
      <c r="P1856" s="656" t="s">
        <v>13052</v>
      </c>
      <c r="Q1856" s="656">
        <v>44216.778657407405</v>
      </c>
    </row>
    <row r="1857" spans="1:17">
      <c r="A1857" s="656" t="s">
        <v>1890</v>
      </c>
      <c r="B1857" s="657" t="s">
        <v>202</v>
      </c>
      <c r="C1857" s="656" t="s">
        <v>1891</v>
      </c>
      <c r="D1857" s="657" t="s">
        <v>13789</v>
      </c>
      <c r="E1857" s="657" t="s">
        <v>9510</v>
      </c>
      <c r="F1857" s="656" t="s">
        <v>1050</v>
      </c>
      <c r="G1857" s="656" t="s">
        <v>1051</v>
      </c>
      <c r="H1857" s="656" t="s">
        <v>1050</v>
      </c>
      <c r="I1857" s="656" t="s">
        <v>14976</v>
      </c>
      <c r="J1857" s="656"/>
      <c r="K1857" s="656"/>
      <c r="L1857" s="656"/>
      <c r="M1857" s="657"/>
      <c r="N1857" s="1482"/>
      <c r="O1857" s="656" t="s">
        <v>498</v>
      </c>
      <c r="P1857" s="656" t="s">
        <v>13052</v>
      </c>
      <c r="Q1857" s="656">
        <v>44216.778645833336</v>
      </c>
    </row>
    <row r="1858" spans="1:17">
      <c r="A1858" s="656" t="s">
        <v>1892</v>
      </c>
      <c r="B1858" s="657" t="s">
        <v>504</v>
      </c>
      <c r="C1858" s="656" t="s">
        <v>1893</v>
      </c>
      <c r="D1858" s="657" t="s">
        <v>13789</v>
      </c>
      <c r="E1858" s="657" t="s">
        <v>9458</v>
      </c>
      <c r="F1858" s="656" t="s">
        <v>505</v>
      </c>
      <c r="G1858" s="656" t="s">
        <v>1495</v>
      </c>
      <c r="H1858" s="656" t="s">
        <v>505</v>
      </c>
      <c r="I1858" s="656" t="s">
        <v>14976</v>
      </c>
      <c r="J1858" s="656"/>
      <c r="K1858" s="656"/>
      <c r="L1858" s="656"/>
      <c r="M1858" s="657"/>
      <c r="N1858" s="1482"/>
      <c r="O1858" s="656" t="s">
        <v>498</v>
      </c>
      <c r="P1858" s="656" t="s">
        <v>13052</v>
      </c>
      <c r="Q1858" s="656">
        <v>44216.778645833336</v>
      </c>
    </row>
    <row r="1859" spans="1:17">
      <c r="A1859" s="656" t="s">
        <v>1894</v>
      </c>
      <c r="B1859" s="657" t="s">
        <v>504</v>
      </c>
      <c r="C1859" s="656" t="s">
        <v>1895</v>
      </c>
      <c r="D1859" s="657" t="s">
        <v>13789</v>
      </c>
      <c r="E1859" s="657" t="s">
        <v>9458</v>
      </c>
      <c r="F1859" s="656" t="s">
        <v>505</v>
      </c>
      <c r="G1859" s="656" t="s">
        <v>1495</v>
      </c>
      <c r="H1859" s="656" t="s">
        <v>505</v>
      </c>
      <c r="I1859" s="656" t="s">
        <v>14976</v>
      </c>
      <c r="J1859" s="656"/>
      <c r="K1859" s="656"/>
      <c r="L1859" s="656"/>
      <c r="M1859" s="657"/>
      <c r="N1859" s="1482"/>
      <c r="O1859" s="656" t="s">
        <v>498</v>
      </c>
      <c r="P1859" s="656" t="s">
        <v>13052</v>
      </c>
      <c r="Q1859" s="656">
        <v>44216.778634259259</v>
      </c>
    </row>
    <row r="1860" spans="1:17">
      <c r="A1860" s="656" t="s">
        <v>1896</v>
      </c>
      <c r="B1860" s="657" t="s">
        <v>504</v>
      </c>
      <c r="C1860" s="656" t="s">
        <v>1897</v>
      </c>
      <c r="D1860" s="657" t="s">
        <v>13789</v>
      </c>
      <c r="E1860" s="657" t="s">
        <v>9458</v>
      </c>
      <c r="F1860" s="656" t="s">
        <v>505</v>
      </c>
      <c r="G1860" s="656" t="s">
        <v>1495</v>
      </c>
      <c r="H1860" s="656" t="s">
        <v>505</v>
      </c>
      <c r="I1860" s="656" t="s">
        <v>14976</v>
      </c>
      <c r="J1860" s="656"/>
      <c r="K1860" s="656"/>
      <c r="L1860" s="656"/>
      <c r="M1860" s="657"/>
      <c r="N1860" s="1482"/>
      <c r="O1860" s="656" t="s">
        <v>498</v>
      </c>
      <c r="P1860" s="656" t="s">
        <v>13052</v>
      </c>
      <c r="Q1860" s="656">
        <v>44216.778622685182</v>
      </c>
    </row>
    <row r="1861" spans="1:17">
      <c r="A1861" s="656" t="s">
        <v>1898</v>
      </c>
      <c r="B1861" s="657" t="s">
        <v>504</v>
      </c>
      <c r="C1861" s="656" t="s">
        <v>1899</v>
      </c>
      <c r="D1861" s="657" t="s">
        <v>13789</v>
      </c>
      <c r="E1861" s="657" t="s">
        <v>9458</v>
      </c>
      <c r="F1861" s="656" t="s">
        <v>505</v>
      </c>
      <c r="G1861" s="656" t="s">
        <v>1495</v>
      </c>
      <c r="H1861" s="656" t="s">
        <v>505</v>
      </c>
      <c r="I1861" s="656" t="s">
        <v>14976</v>
      </c>
      <c r="J1861" s="656"/>
      <c r="K1861" s="656"/>
      <c r="L1861" s="656"/>
      <c r="M1861" s="657"/>
      <c r="N1861" s="1482"/>
      <c r="O1861" s="656" t="s">
        <v>498</v>
      </c>
      <c r="P1861" s="656" t="s">
        <v>13052</v>
      </c>
      <c r="Q1861" s="656">
        <v>44216.778622685182</v>
      </c>
    </row>
    <row r="1862" spans="1:17">
      <c r="A1862" s="656" t="s">
        <v>1900</v>
      </c>
      <c r="B1862" s="657" t="s">
        <v>504</v>
      </c>
      <c r="C1862" s="656" t="s">
        <v>1901</v>
      </c>
      <c r="D1862" s="657" t="s">
        <v>13789</v>
      </c>
      <c r="E1862" s="657" t="s">
        <v>9458</v>
      </c>
      <c r="F1862" s="656" t="s">
        <v>505</v>
      </c>
      <c r="G1862" s="656" t="s">
        <v>1495</v>
      </c>
      <c r="H1862" s="656" t="s">
        <v>505</v>
      </c>
      <c r="I1862" s="656" t="s">
        <v>14976</v>
      </c>
      <c r="J1862" s="656"/>
      <c r="K1862" s="656"/>
      <c r="L1862" s="656"/>
      <c r="M1862" s="657"/>
      <c r="N1862" s="1482"/>
      <c r="O1862" s="656" t="s">
        <v>498</v>
      </c>
      <c r="P1862" s="656" t="s">
        <v>13052</v>
      </c>
      <c r="Q1862" s="656">
        <v>44216.778611111113</v>
      </c>
    </row>
    <row r="1863" spans="1:17">
      <c r="A1863" s="656" t="s">
        <v>1902</v>
      </c>
      <c r="B1863" s="657" t="s">
        <v>504</v>
      </c>
      <c r="C1863" s="656" t="s">
        <v>1903</v>
      </c>
      <c r="D1863" s="657" t="s">
        <v>13789</v>
      </c>
      <c r="E1863" s="657" t="s">
        <v>9458</v>
      </c>
      <c r="F1863" s="656" t="s">
        <v>505</v>
      </c>
      <c r="G1863" s="656" t="s">
        <v>1495</v>
      </c>
      <c r="H1863" s="656" t="s">
        <v>505</v>
      </c>
      <c r="I1863" s="656" t="s">
        <v>14976</v>
      </c>
      <c r="J1863" s="656"/>
      <c r="K1863" s="656"/>
      <c r="L1863" s="656"/>
      <c r="M1863" s="657"/>
      <c r="N1863" s="1482"/>
      <c r="O1863" s="656" t="s">
        <v>498</v>
      </c>
      <c r="P1863" s="656" t="s">
        <v>13052</v>
      </c>
      <c r="Q1863" s="656">
        <v>44216.778611111113</v>
      </c>
    </row>
    <row r="1864" spans="1:17">
      <c r="A1864" s="656" t="s">
        <v>1904</v>
      </c>
      <c r="B1864" s="657" t="s">
        <v>504</v>
      </c>
      <c r="C1864" s="656" t="s">
        <v>1905</v>
      </c>
      <c r="D1864" s="657" t="s">
        <v>13789</v>
      </c>
      <c r="E1864" s="657" t="s">
        <v>9458</v>
      </c>
      <c r="F1864" s="656" t="s">
        <v>505</v>
      </c>
      <c r="G1864" s="656" t="s">
        <v>1495</v>
      </c>
      <c r="H1864" s="656" t="s">
        <v>505</v>
      </c>
      <c r="I1864" s="656" t="s">
        <v>14976</v>
      </c>
      <c r="J1864" s="656"/>
      <c r="K1864" s="656"/>
      <c r="L1864" s="656"/>
      <c r="M1864" s="657"/>
      <c r="N1864" s="1482"/>
      <c r="O1864" s="656" t="s">
        <v>498</v>
      </c>
      <c r="P1864" s="656" t="s">
        <v>13052</v>
      </c>
      <c r="Q1864" s="656">
        <v>44216.778611111113</v>
      </c>
    </row>
    <row r="1865" spans="1:17">
      <c r="A1865" s="656" t="s">
        <v>1906</v>
      </c>
      <c r="B1865" s="657" t="s">
        <v>202</v>
      </c>
      <c r="C1865" s="656" t="s">
        <v>13818</v>
      </c>
      <c r="D1865" s="657" t="s">
        <v>13789</v>
      </c>
      <c r="E1865" s="657" t="s">
        <v>9510</v>
      </c>
      <c r="F1865" s="656" t="s">
        <v>462</v>
      </c>
      <c r="G1865" s="656" t="s">
        <v>552</v>
      </c>
      <c r="H1865" s="656" t="s">
        <v>462</v>
      </c>
      <c r="I1865" s="656" t="s">
        <v>14976</v>
      </c>
      <c r="J1865" s="656" t="s">
        <v>463</v>
      </c>
      <c r="K1865" s="656"/>
      <c r="L1865" s="656"/>
      <c r="M1865" s="657"/>
      <c r="N1865" s="1482"/>
      <c r="O1865" s="656" t="s">
        <v>498</v>
      </c>
      <c r="P1865" s="656" t="s">
        <v>13052</v>
      </c>
      <c r="Q1865" s="656">
        <v>44216.778599537036</v>
      </c>
    </row>
    <row r="1866" spans="1:17">
      <c r="A1866" s="656" t="s">
        <v>1907</v>
      </c>
      <c r="B1866" s="657" t="s">
        <v>202</v>
      </c>
      <c r="C1866" s="656" t="s">
        <v>13817</v>
      </c>
      <c r="D1866" s="657" t="s">
        <v>13789</v>
      </c>
      <c r="E1866" s="657" t="s">
        <v>9510</v>
      </c>
      <c r="F1866" s="656" t="s">
        <v>462</v>
      </c>
      <c r="G1866" s="656" t="s">
        <v>552</v>
      </c>
      <c r="H1866" s="656" t="s">
        <v>462</v>
      </c>
      <c r="I1866" s="656" t="s">
        <v>14976</v>
      </c>
      <c r="J1866" s="656" t="s">
        <v>463</v>
      </c>
      <c r="K1866" s="656"/>
      <c r="L1866" s="656"/>
      <c r="M1866" s="657"/>
      <c r="N1866" s="1482"/>
      <c r="O1866" s="656" t="s">
        <v>498</v>
      </c>
      <c r="P1866" s="656" t="s">
        <v>13052</v>
      </c>
      <c r="Q1866" s="656">
        <v>44216.778599537036</v>
      </c>
    </row>
    <row r="1867" spans="1:17">
      <c r="A1867" s="656" t="s">
        <v>1908</v>
      </c>
      <c r="B1867" s="657" t="s">
        <v>202</v>
      </c>
      <c r="C1867" s="656" t="s">
        <v>1909</v>
      </c>
      <c r="D1867" s="657" t="s">
        <v>13789</v>
      </c>
      <c r="E1867" s="657" t="s">
        <v>9510</v>
      </c>
      <c r="F1867" s="656" t="s">
        <v>472</v>
      </c>
      <c r="G1867" s="656" t="s">
        <v>1395</v>
      </c>
      <c r="H1867" s="656" t="s">
        <v>472</v>
      </c>
      <c r="I1867" s="656" t="s">
        <v>14976</v>
      </c>
      <c r="J1867" s="656" t="s">
        <v>12368</v>
      </c>
      <c r="K1867" s="656"/>
      <c r="L1867" s="656"/>
      <c r="M1867" s="657"/>
      <c r="N1867" s="1482"/>
      <c r="O1867" s="656" t="s">
        <v>498</v>
      </c>
      <c r="P1867" s="656" t="s">
        <v>13052</v>
      </c>
      <c r="Q1867" s="656">
        <v>44216.778587962966</v>
      </c>
    </row>
    <row r="1868" spans="1:17">
      <c r="A1868" s="656" t="s">
        <v>1910</v>
      </c>
      <c r="B1868" s="657" t="s">
        <v>202</v>
      </c>
      <c r="C1868" s="656" t="s">
        <v>1911</v>
      </c>
      <c r="D1868" s="657" t="s">
        <v>13789</v>
      </c>
      <c r="E1868" s="657" t="s">
        <v>9510</v>
      </c>
      <c r="F1868" s="656" t="s">
        <v>1050</v>
      </c>
      <c r="G1868" s="656" t="s">
        <v>1078</v>
      </c>
      <c r="H1868" s="656" t="s">
        <v>1050</v>
      </c>
      <c r="I1868" s="656" t="s">
        <v>15280</v>
      </c>
      <c r="J1868" s="656"/>
      <c r="K1868" s="656"/>
      <c r="L1868" s="656"/>
      <c r="M1868" s="657"/>
      <c r="N1868" s="1482"/>
      <c r="O1868" s="656" t="s">
        <v>498</v>
      </c>
      <c r="P1868" s="656" t="s">
        <v>13052</v>
      </c>
      <c r="Q1868" s="656">
        <v>44216.778587962966</v>
      </c>
    </row>
    <row r="1869" spans="1:17">
      <c r="A1869" s="656" t="s">
        <v>1912</v>
      </c>
      <c r="B1869" s="657" t="s">
        <v>202</v>
      </c>
      <c r="C1869" s="656" t="s">
        <v>1913</v>
      </c>
      <c r="D1869" s="657" t="s">
        <v>13789</v>
      </c>
      <c r="E1869" s="657" t="s">
        <v>9510</v>
      </c>
      <c r="F1869" s="656" t="s">
        <v>1050</v>
      </c>
      <c r="G1869" s="656" t="s">
        <v>1051</v>
      </c>
      <c r="H1869" s="656" t="s">
        <v>1050</v>
      </c>
      <c r="I1869" s="656" t="s">
        <v>14976</v>
      </c>
      <c r="J1869" s="656"/>
      <c r="K1869" s="656"/>
      <c r="L1869" s="656"/>
      <c r="M1869" s="657"/>
      <c r="N1869" s="1482"/>
      <c r="O1869" s="656" t="s">
        <v>498</v>
      </c>
      <c r="P1869" s="656" t="s">
        <v>13052</v>
      </c>
      <c r="Q1869" s="656">
        <v>44216.77857638889</v>
      </c>
    </row>
    <row r="1870" spans="1:17">
      <c r="A1870" s="656" t="s">
        <v>1914</v>
      </c>
      <c r="B1870" s="657" t="s">
        <v>202</v>
      </c>
      <c r="C1870" s="656" t="s">
        <v>1915</v>
      </c>
      <c r="D1870" s="657" t="s">
        <v>13789</v>
      </c>
      <c r="E1870" s="657" t="s">
        <v>9510</v>
      </c>
      <c r="F1870" s="656" t="s">
        <v>4052</v>
      </c>
      <c r="G1870" s="656" t="s">
        <v>512</v>
      </c>
      <c r="H1870" s="656" t="s">
        <v>455</v>
      </c>
      <c r="I1870" s="656" t="s">
        <v>14976</v>
      </c>
      <c r="J1870" s="656" t="s">
        <v>451</v>
      </c>
      <c r="K1870" s="656" t="s">
        <v>4052</v>
      </c>
      <c r="L1870" s="656"/>
      <c r="M1870" s="657"/>
      <c r="N1870" s="1482"/>
      <c r="O1870" s="656" t="s">
        <v>498</v>
      </c>
      <c r="P1870" s="656" t="s">
        <v>13052</v>
      </c>
      <c r="Q1870" s="656">
        <v>44216.77857638889</v>
      </c>
    </row>
    <row r="1871" spans="1:17">
      <c r="A1871" s="656" t="s">
        <v>1916</v>
      </c>
      <c r="B1871" s="657" t="s">
        <v>202</v>
      </c>
      <c r="C1871" s="656" t="s">
        <v>1917</v>
      </c>
      <c r="D1871" s="657" t="s">
        <v>14977</v>
      </c>
      <c r="E1871" s="657" t="s">
        <v>9510</v>
      </c>
      <c r="F1871" s="656" t="s">
        <v>1050</v>
      </c>
      <c r="G1871" s="656" t="s">
        <v>1078</v>
      </c>
      <c r="H1871" s="656" t="s">
        <v>1050</v>
      </c>
      <c r="I1871" s="656" t="s">
        <v>14976</v>
      </c>
      <c r="J1871" s="656"/>
      <c r="K1871" s="656"/>
      <c r="L1871" s="656" t="s">
        <v>1916</v>
      </c>
      <c r="M1871" s="657"/>
      <c r="N1871" s="1482"/>
      <c r="O1871" s="656" t="s">
        <v>498</v>
      </c>
      <c r="P1871" s="656" t="s">
        <v>13052</v>
      </c>
      <c r="Q1871" s="656">
        <v>44216.778564814813</v>
      </c>
    </row>
    <row r="1872" spans="1:17">
      <c r="A1872" s="656" t="s">
        <v>1918</v>
      </c>
      <c r="B1872" s="657" t="s">
        <v>504</v>
      </c>
      <c r="C1872" s="656" t="s">
        <v>1919</v>
      </c>
      <c r="D1872" s="657" t="s">
        <v>13789</v>
      </c>
      <c r="E1872" s="657" t="s">
        <v>7439</v>
      </c>
      <c r="F1872" s="656" t="s">
        <v>505</v>
      </c>
      <c r="G1872" s="656" t="s">
        <v>525</v>
      </c>
      <c r="H1872" s="656" t="s">
        <v>505</v>
      </c>
      <c r="I1872" s="656" t="s">
        <v>14976</v>
      </c>
      <c r="J1872" s="656"/>
      <c r="K1872" s="656"/>
      <c r="L1872" s="656"/>
      <c r="M1872" s="657"/>
      <c r="N1872" s="1482"/>
      <c r="O1872" s="656" t="s">
        <v>498</v>
      </c>
      <c r="P1872" s="656" t="s">
        <v>13052</v>
      </c>
      <c r="Q1872" s="656">
        <v>44216.778564814813</v>
      </c>
    </row>
    <row r="1873" spans="1:17">
      <c r="A1873" s="656" t="s">
        <v>1920</v>
      </c>
      <c r="B1873" s="657" t="s">
        <v>202</v>
      </c>
      <c r="C1873" s="656" t="s">
        <v>1921</v>
      </c>
      <c r="D1873" s="657" t="s">
        <v>13789</v>
      </c>
      <c r="E1873" s="657" t="s">
        <v>9510</v>
      </c>
      <c r="F1873" s="656" t="s">
        <v>1300</v>
      </c>
      <c r="G1873" s="656" t="s">
        <v>1301</v>
      </c>
      <c r="H1873" s="656" t="s">
        <v>1300</v>
      </c>
      <c r="I1873" s="656" t="s">
        <v>15280</v>
      </c>
      <c r="J1873" s="656"/>
      <c r="K1873" s="656"/>
      <c r="L1873" s="656"/>
      <c r="M1873" s="657"/>
      <c r="N1873" s="1482"/>
      <c r="O1873" s="656" t="s">
        <v>498</v>
      </c>
      <c r="P1873" s="656" t="s">
        <v>13052</v>
      </c>
      <c r="Q1873" s="656">
        <v>44216.778564814813</v>
      </c>
    </row>
    <row r="1874" spans="1:17">
      <c r="A1874" s="656" t="s">
        <v>1922</v>
      </c>
      <c r="B1874" s="657" t="s">
        <v>202</v>
      </c>
      <c r="C1874" s="656" t="s">
        <v>1923</v>
      </c>
      <c r="D1874" s="657" t="s">
        <v>13789</v>
      </c>
      <c r="E1874" s="657" t="s">
        <v>9510</v>
      </c>
      <c r="F1874" s="656" t="s">
        <v>1300</v>
      </c>
      <c r="G1874" s="656" t="s">
        <v>1924</v>
      </c>
      <c r="H1874" s="656" t="s">
        <v>1300</v>
      </c>
      <c r="I1874" s="656" t="s">
        <v>14976</v>
      </c>
      <c r="J1874" s="656"/>
      <c r="K1874" s="656"/>
      <c r="L1874" s="656"/>
      <c r="M1874" s="657"/>
      <c r="N1874" s="1482"/>
      <c r="O1874" s="656" t="s">
        <v>498</v>
      </c>
      <c r="P1874" s="656" t="s">
        <v>13052</v>
      </c>
      <c r="Q1874" s="656">
        <v>44216.778553240743</v>
      </c>
    </row>
    <row r="1875" spans="1:17">
      <c r="A1875" s="656" t="s">
        <v>1925</v>
      </c>
      <c r="B1875" s="657" t="s">
        <v>202</v>
      </c>
      <c r="C1875" s="656" t="s">
        <v>1926</v>
      </c>
      <c r="D1875" s="657" t="s">
        <v>13789</v>
      </c>
      <c r="E1875" s="657" t="s">
        <v>9510</v>
      </c>
      <c r="F1875" s="656" t="s">
        <v>1300</v>
      </c>
      <c r="G1875" s="656" t="s">
        <v>1924</v>
      </c>
      <c r="H1875" s="656" t="s">
        <v>1300</v>
      </c>
      <c r="I1875" s="656" t="s">
        <v>14976</v>
      </c>
      <c r="J1875" s="656"/>
      <c r="K1875" s="656"/>
      <c r="L1875" s="656"/>
      <c r="M1875" s="657"/>
      <c r="N1875" s="1482"/>
      <c r="O1875" s="656" t="s">
        <v>498</v>
      </c>
      <c r="P1875" s="656" t="s">
        <v>13052</v>
      </c>
      <c r="Q1875" s="656">
        <v>44216.778553240743</v>
      </c>
    </row>
    <row r="1876" spans="1:17">
      <c r="A1876" s="656" t="s">
        <v>1927</v>
      </c>
      <c r="B1876" s="657" t="s">
        <v>202</v>
      </c>
      <c r="C1876" s="656" t="s">
        <v>1928</v>
      </c>
      <c r="D1876" s="657" t="s">
        <v>13789</v>
      </c>
      <c r="E1876" s="657" t="s">
        <v>9510</v>
      </c>
      <c r="F1876" s="656" t="s">
        <v>1050</v>
      </c>
      <c r="G1876" s="656" t="s">
        <v>1051</v>
      </c>
      <c r="H1876" s="656" t="s">
        <v>1050</v>
      </c>
      <c r="I1876" s="656" t="s">
        <v>14976</v>
      </c>
      <c r="J1876" s="656"/>
      <c r="K1876" s="656"/>
      <c r="L1876" s="656"/>
      <c r="M1876" s="657"/>
      <c r="N1876" s="1482"/>
      <c r="O1876" s="656" t="s">
        <v>498</v>
      </c>
      <c r="P1876" s="656" t="s">
        <v>13052</v>
      </c>
      <c r="Q1876" s="656">
        <v>44216.778541666667</v>
      </c>
    </row>
    <row r="1877" spans="1:17">
      <c r="A1877" s="656" t="s">
        <v>1929</v>
      </c>
      <c r="B1877" s="657" t="s">
        <v>504</v>
      </c>
      <c r="C1877" s="656" t="s">
        <v>13816</v>
      </c>
      <c r="D1877" s="657" t="s">
        <v>13789</v>
      </c>
      <c r="E1877" s="657" t="s">
        <v>7439</v>
      </c>
      <c r="F1877" s="656" t="s">
        <v>505</v>
      </c>
      <c r="G1877" s="656" t="s">
        <v>525</v>
      </c>
      <c r="H1877" s="656" t="s">
        <v>505</v>
      </c>
      <c r="I1877" s="656" t="s">
        <v>14976</v>
      </c>
      <c r="J1877" s="656"/>
      <c r="K1877" s="656"/>
      <c r="L1877" s="656"/>
      <c r="M1877" s="657"/>
      <c r="N1877" s="1482"/>
      <c r="O1877" s="656" t="s">
        <v>498</v>
      </c>
      <c r="P1877" s="656" t="s">
        <v>13052</v>
      </c>
      <c r="Q1877" s="656">
        <v>44216.778541666667</v>
      </c>
    </row>
    <row r="1878" spans="1:17">
      <c r="A1878" s="656" t="s">
        <v>1930</v>
      </c>
      <c r="B1878" s="657" t="s">
        <v>202</v>
      </c>
      <c r="C1878" s="656" t="s">
        <v>1931</v>
      </c>
      <c r="D1878" s="657" t="s">
        <v>13789</v>
      </c>
      <c r="E1878" s="657" t="s">
        <v>9458</v>
      </c>
      <c r="F1878" s="656" t="s">
        <v>472</v>
      </c>
      <c r="G1878" s="656" t="s">
        <v>1395</v>
      </c>
      <c r="H1878" s="656" t="s">
        <v>472</v>
      </c>
      <c r="I1878" s="656" t="s">
        <v>15280</v>
      </c>
      <c r="J1878" s="656" t="s">
        <v>12368</v>
      </c>
      <c r="K1878" s="656"/>
      <c r="L1878" s="656"/>
      <c r="M1878" s="657"/>
      <c r="N1878" s="1482"/>
      <c r="O1878" s="656" t="s">
        <v>498</v>
      </c>
      <c r="P1878" s="656" t="s">
        <v>13052</v>
      </c>
      <c r="Q1878" s="656">
        <v>44216.778541666667</v>
      </c>
    </row>
    <row r="1879" spans="1:17">
      <c r="A1879" s="656" t="s">
        <v>1932</v>
      </c>
      <c r="B1879" s="657" t="s">
        <v>202</v>
      </c>
      <c r="C1879" s="656" t="s">
        <v>1933</v>
      </c>
      <c r="D1879" s="657" t="s">
        <v>13789</v>
      </c>
      <c r="E1879" s="657" t="s">
        <v>9458</v>
      </c>
      <c r="F1879" s="656" t="s">
        <v>1300</v>
      </c>
      <c r="G1879" s="656" t="s">
        <v>1070</v>
      </c>
      <c r="H1879" s="656" t="s">
        <v>1300</v>
      </c>
      <c r="I1879" s="656" t="s">
        <v>15280</v>
      </c>
      <c r="J1879" s="656"/>
      <c r="K1879" s="656"/>
      <c r="L1879" s="656"/>
      <c r="M1879" s="657"/>
      <c r="N1879" s="1482"/>
      <c r="O1879" s="656" t="s">
        <v>498</v>
      </c>
      <c r="P1879" s="656" t="s">
        <v>13052</v>
      </c>
      <c r="Q1879" s="656">
        <v>44216.77853009259</v>
      </c>
    </row>
    <row r="1880" spans="1:17">
      <c r="A1880" s="656" t="s">
        <v>1934</v>
      </c>
      <c r="B1880" s="657" t="s">
        <v>202</v>
      </c>
      <c r="C1880" s="656" t="s">
        <v>1935</v>
      </c>
      <c r="D1880" s="657" t="s">
        <v>13789</v>
      </c>
      <c r="E1880" s="657" t="s">
        <v>9510</v>
      </c>
      <c r="F1880" s="656" t="s">
        <v>462</v>
      </c>
      <c r="G1880" s="656" t="s">
        <v>827</v>
      </c>
      <c r="H1880" s="656" t="s">
        <v>462</v>
      </c>
      <c r="I1880" s="656" t="s">
        <v>15280</v>
      </c>
      <c r="J1880" s="656" t="s">
        <v>463</v>
      </c>
      <c r="K1880" s="656"/>
      <c r="L1880" s="656"/>
      <c r="M1880" s="657"/>
      <c r="N1880" s="1482"/>
      <c r="O1880" s="656" t="s">
        <v>498</v>
      </c>
      <c r="P1880" s="656" t="s">
        <v>13052</v>
      </c>
      <c r="Q1880" s="656">
        <v>44216.77853009259</v>
      </c>
    </row>
    <row r="1881" spans="1:17">
      <c r="A1881" s="656" t="s">
        <v>1936</v>
      </c>
      <c r="B1881" s="657" t="s">
        <v>202</v>
      </c>
      <c r="C1881" s="656" t="s">
        <v>1937</v>
      </c>
      <c r="D1881" s="657" t="s">
        <v>13789</v>
      </c>
      <c r="E1881" s="657" t="s">
        <v>9510</v>
      </c>
      <c r="F1881" s="656" t="s">
        <v>462</v>
      </c>
      <c r="G1881" s="656"/>
      <c r="H1881" s="656" t="s">
        <v>462</v>
      </c>
      <c r="I1881" s="656" t="s">
        <v>14976</v>
      </c>
      <c r="J1881" s="656" t="s">
        <v>463</v>
      </c>
      <c r="K1881" s="656"/>
      <c r="L1881" s="656"/>
      <c r="M1881" s="657"/>
      <c r="N1881" s="1482"/>
      <c r="O1881" s="656" t="s">
        <v>498</v>
      </c>
      <c r="P1881" s="656" t="s">
        <v>13052</v>
      </c>
      <c r="Q1881" s="656">
        <v>44216.77851851852</v>
      </c>
    </row>
    <row r="1882" spans="1:17">
      <c r="A1882" s="656" t="s">
        <v>1938</v>
      </c>
      <c r="B1882" s="657" t="s">
        <v>202</v>
      </c>
      <c r="C1882" s="656" t="s">
        <v>13815</v>
      </c>
      <c r="D1882" s="657" t="s">
        <v>13789</v>
      </c>
      <c r="E1882" s="657" t="s">
        <v>9510</v>
      </c>
      <c r="F1882" s="656" t="s">
        <v>1300</v>
      </c>
      <c r="G1882" s="656" t="s">
        <v>1070</v>
      </c>
      <c r="H1882" s="656" t="s">
        <v>1300</v>
      </c>
      <c r="I1882" s="656" t="s">
        <v>14976</v>
      </c>
      <c r="J1882" s="656"/>
      <c r="K1882" s="656"/>
      <c r="L1882" s="656"/>
      <c r="M1882" s="657"/>
      <c r="N1882" s="1482"/>
      <c r="O1882" s="656" t="s">
        <v>498</v>
      </c>
      <c r="P1882" s="656" t="s">
        <v>13052</v>
      </c>
      <c r="Q1882" s="656">
        <v>44216.77851851852</v>
      </c>
    </row>
    <row r="1883" spans="1:17">
      <c r="A1883" s="656" t="s">
        <v>1939</v>
      </c>
      <c r="B1883" s="657" t="s">
        <v>202</v>
      </c>
      <c r="C1883" s="656" t="s">
        <v>1940</v>
      </c>
      <c r="D1883" s="657" t="s">
        <v>13789</v>
      </c>
      <c r="E1883" s="657" t="s">
        <v>9510</v>
      </c>
      <c r="F1883" s="656" t="s">
        <v>1300</v>
      </c>
      <c r="G1883" s="656" t="s">
        <v>1070</v>
      </c>
      <c r="H1883" s="656" t="s">
        <v>1300</v>
      </c>
      <c r="I1883" s="656" t="s">
        <v>14976</v>
      </c>
      <c r="J1883" s="656"/>
      <c r="K1883" s="656"/>
      <c r="L1883" s="656"/>
      <c r="M1883" s="657"/>
      <c r="N1883" s="1482"/>
      <c r="O1883" s="656" t="s">
        <v>498</v>
      </c>
      <c r="P1883" s="656" t="s">
        <v>13052</v>
      </c>
      <c r="Q1883" s="656">
        <v>44216.778506944444</v>
      </c>
    </row>
    <row r="1884" spans="1:17">
      <c r="A1884" s="656" t="s">
        <v>1941</v>
      </c>
      <c r="B1884" s="657" t="s">
        <v>202</v>
      </c>
      <c r="C1884" s="656" t="s">
        <v>1942</v>
      </c>
      <c r="D1884" s="657" t="s">
        <v>13789</v>
      </c>
      <c r="E1884" s="657" t="s">
        <v>9510</v>
      </c>
      <c r="F1884" s="656" t="s">
        <v>4052</v>
      </c>
      <c r="G1884" s="656"/>
      <c r="H1884" s="656" t="s">
        <v>455</v>
      </c>
      <c r="I1884" s="656" t="s">
        <v>14976</v>
      </c>
      <c r="J1884" s="656" t="s">
        <v>451</v>
      </c>
      <c r="K1884" s="656"/>
      <c r="L1884" s="656"/>
      <c r="M1884" s="657"/>
      <c r="N1884" s="1482"/>
      <c r="O1884" s="656" t="s">
        <v>498</v>
      </c>
      <c r="P1884" s="656" t="s">
        <v>13052</v>
      </c>
      <c r="Q1884" s="656">
        <v>44216.778506944444</v>
      </c>
    </row>
    <row r="1885" spans="1:17">
      <c r="A1885" s="656" t="s">
        <v>1943</v>
      </c>
      <c r="B1885" s="657" t="s">
        <v>504</v>
      </c>
      <c r="C1885" s="656" t="s">
        <v>1944</v>
      </c>
      <c r="D1885" s="657" t="s">
        <v>13789</v>
      </c>
      <c r="E1885" s="657" t="s">
        <v>9458</v>
      </c>
      <c r="F1885" s="656" t="s">
        <v>505</v>
      </c>
      <c r="G1885" s="656" t="s">
        <v>506</v>
      </c>
      <c r="H1885" s="656" t="s">
        <v>505</v>
      </c>
      <c r="I1885" s="656" t="s">
        <v>14976</v>
      </c>
      <c r="J1885" s="656"/>
      <c r="K1885" s="656"/>
      <c r="L1885" s="656"/>
      <c r="M1885" s="657"/>
      <c r="N1885" s="1482"/>
      <c r="O1885" s="656" t="s">
        <v>498</v>
      </c>
      <c r="P1885" s="656" t="s">
        <v>13052</v>
      </c>
      <c r="Q1885" s="656">
        <v>44216.778495370374</v>
      </c>
    </row>
    <row r="1886" spans="1:17">
      <c r="A1886" s="656" t="s">
        <v>1945</v>
      </c>
      <c r="B1886" s="657" t="s">
        <v>202</v>
      </c>
      <c r="C1886" s="656" t="s">
        <v>1946</v>
      </c>
      <c r="D1886" s="657" t="s">
        <v>13789</v>
      </c>
      <c r="E1886" s="657" t="s">
        <v>9510</v>
      </c>
      <c r="F1886" s="656" t="s">
        <v>1300</v>
      </c>
      <c r="G1886" s="656" t="s">
        <v>1070</v>
      </c>
      <c r="H1886" s="656" t="s">
        <v>1300</v>
      </c>
      <c r="I1886" s="656" t="s">
        <v>14976</v>
      </c>
      <c r="J1886" s="656"/>
      <c r="K1886" s="656"/>
      <c r="L1886" s="656"/>
      <c r="M1886" s="657"/>
      <c r="N1886" s="1482"/>
      <c r="O1886" s="656" t="s">
        <v>498</v>
      </c>
      <c r="P1886" s="656" t="s">
        <v>13052</v>
      </c>
      <c r="Q1886" s="656">
        <v>44216.778495370374</v>
      </c>
    </row>
    <row r="1887" spans="1:17">
      <c r="A1887" s="656" t="s">
        <v>1947</v>
      </c>
      <c r="B1887" s="657" t="s">
        <v>531</v>
      </c>
      <c r="C1887" s="656" t="s">
        <v>1948</v>
      </c>
      <c r="D1887" s="657" t="s">
        <v>13789</v>
      </c>
      <c r="E1887" s="657"/>
      <c r="F1887" s="656" t="s">
        <v>1949</v>
      </c>
      <c r="G1887" s="656" t="s">
        <v>717</v>
      </c>
      <c r="H1887" s="656" t="s">
        <v>1949</v>
      </c>
      <c r="I1887" s="656" t="s">
        <v>14976</v>
      </c>
      <c r="J1887" s="656"/>
      <c r="K1887" s="656"/>
      <c r="L1887" s="656"/>
      <c r="M1887" s="657"/>
      <c r="N1887" s="1482"/>
      <c r="O1887" s="656" t="s">
        <v>498</v>
      </c>
      <c r="P1887" s="656" t="s">
        <v>13052</v>
      </c>
      <c r="Q1887" s="656">
        <v>44216.778483796297</v>
      </c>
    </row>
    <row r="1888" spans="1:17">
      <c r="A1888" s="656" t="s">
        <v>1950</v>
      </c>
      <c r="B1888" s="657" t="s">
        <v>202</v>
      </c>
      <c r="C1888" s="656" t="s">
        <v>1951</v>
      </c>
      <c r="D1888" s="657" t="s">
        <v>13789</v>
      </c>
      <c r="E1888" s="657"/>
      <c r="F1888" s="656" t="s">
        <v>1300</v>
      </c>
      <c r="G1888" s="656" t="s">
        <v>1070</v>
      </c>
      <c r="H1888" s="656" t="s">
        <v>1300</v>
      </c>
      <c r="I1888" s="656" t="s">
        <v>14976</v>
      </c>
      <c r="J1888" s="656"/>
      <c r="K1888" s="656"/>
      <c r="L1888" s="656"/>
      <c r="M1888" s="657"/>
      <c r="N1888" s="1482"/>
      <c r="O1888" s="656" t="s">
        <v>498</v>
      </c>
      <c r="P1888" s="656" t="s">
        <v>13052</v>
      </c>
      <c r="Q1888" s="656">
        <v>44216.778483796297</v>
      </c>
    </row>
    <row r="1889" spans="1:17">
      <c r="A1889" s="656" t="s">
        <v>1952</v>
      </c>
      <c r="B1889" s="657" t="s">
        <v>202</v>
      </c>
      <c r="C1889" s="656" t="s">
        <v>1953</v>
      </c>
      <c r="D1889" s="657" t="s">
        <v>13789</v>
      </c>
      <c r="E1889" s="657" t="s">
        <v>9510</v>
      </c>
      <c r="F1889" s="656" t="s">
        <v>462</v>
      </c>
      <c r="G1889" s="656" t="s">
        <v>552</v>
      </c>
      <c r="H1889" s="656" t="s">
        <v>462</v>
      </c>
      <c r="I1889" s="656" t="s">
        <v>14976</v>
      </c>
      <c r="J1889" s="656" t="s">
        <v>459</v>
      </c>
      <c r="K1889" s="656"/>
      <c r="L1889" s="656"/>
      <c r="M1889" s="657"/>
      <c r="N1889" s="1482"/>
      <c r="O1889" s="656" t="s">
        <v>498</v>
      </c>
      <c r="P1889" s="656" t="s">
        <v>13052</v>
      </c>
      <c r="Q1889" s="656">
        <v>44216.778483796297</v>
      </c>
    </row>
    <row r="1890" spans="1:17">
      <c r="A1890" s="656" t="s">
        <v>1954</v>
      </c>
      <c r="B1890" s="657" t="s">
        <v>202</v>
      </c>
      <c r="C1890" s="656" t="s">
        <v>1955</v>
      </c>
      <c r="D1890" s="657" t="s">
        <v>13789</v>
      </c>
      <c r="E1890" s="657" t="s">
        <v>9510</v>
      </c>
      <c r="F1890" s="656" t="s">
        <v>462</v>
      </c>
      <c r="G1890" s="656" t="s">
        <v>552</v>
      </c>
      <c r="H1890" s="656" t="s">
        <v>462</v>
      </c>
      <c r="I1890" s="656" t="s">
        <v>14976</v>
      </c>
      <c r="J1890" s="656" t="s">
        <v>463</v>
      </c>
      <c r="K1890" s="656"/>
      <c r="L1890" s="656"/>
      <c r="M1890" s="657"/>
      <c r="N1890" s="1482"/>
      <c r="O1890" s="656" t="s">
        <v>498</v>
      </c>
      <c r="P1890" s="656" t="s">
        <v>13052</v>
      </c>
      <c r="Q1890" s="656">
        <v>44216.77847222222</v>
      </c>
    </row>
    <row r="1891" spans="1:17">
      <c r="A1891" s="656" t="s">
        <v>1956</v>
      </c>
      <c r="B1891" s="657" t="s">
        <v>202</v>
      </c>
      <c r="C1891" s="656" t="s">
        <v>1957</v>
      </c>
      <c r="D1891" s="657" t="s">
        <v>13789</v>
      </c>
      <c r="E1891" s="657" t="s">
        <v>9510</v>
      </c>
      <c r="F1891" s="656" t="s">
        <v>1300</v>
      </c>
      <c r="G1891" s="656" t="s">
        <v>1070</v>
      </c>
      <c r="H1891" s="656" t="s">
        <v>1300</v>
      </c>
      <c r="I1891" s="656" t="s">
        <v>14976</v>
      </c>
      <c r="J1891" s="656"/>
      <c r="K1891" s="656"/>
      <c r="L1891" s="656"/>
      <c r="M1891" s="657"/>
      <c r="N1891" s="1482"/>
      <c r="O1891" s="656" t="s">
        <v>498</v>
      </c>
      <c r="P1891" s="656" t="s">
        <v>13052</v>
      </c>
      <c r="Q1891" s="656">
        <v>44216.77847222222</v>
      </c>
    </row>
    <row r="1892" spans="1:17">
      <c r="A1892" s="656" t="s">
        <v>1958</v>
      </c>
      <c r="B1892" s="657" t="s">
        <v>202</v>
      </c>
      <c r="C1892" s="656" t="s">
        <v>1959</v>
      </c>
      <c r="D1892" s="657" t="s">
        <v>13789</v>
      </c>
      <c r="E1892" s="657" t="s">
        <v>9510</v>
      </c>
      <c r="F1892" s="656" t="s">
        <v>1300</v>
      </c>
      <c r="G1892" s="656" t="s">
        <v>1070</v>
      </c>
      <c r="H1892" s="656" t="s">
        <v>1300</v>
      </c>
      <c r="I1892" s="656" t="s">
        <v>14976</v>
      </c>
      <c r="J1892" s="656"/>
      <c r="K1892" s="656"/>
      <c r="L1892" s="656"/>
      <c r="M1892" s="657"/>
      <c r="N1892" s="1482"/>
      <c r="O1892" s="656" t="s">
        <v>498</v>
      </c>
      <c r="P1892" s="656" t="s">
        <v>13052</v>
      </c>
      <c r="Q1892" s="656">
        <v>44216.778460648151</v>
      </c>
    </row>
    <row r="1893" spans="1:17">
      <c r="A1893" s="656" t="s">
        <v>1960</v>
      </c>
      <c r="B1893" s="657" t="s">
        <v>202</v>
      </c>
      <c r="C1893" s="656" t="s">
        <v>1961</v>
      </c>
      <c r="D1893" s="657" t="s">
        <v>13789</v>
      </c>
      <c r="E1893" s="657" t="s">
        <v>9510</v>
      </c>
      <c r="F1893" s="656" t="s">
        <v>1300</v>
      </c>
      <c r="G1893" s="656" t="s">
        <v>1070</v>
      </c>
      <c r="H1893" s="656" t="s">
        <v>1300</v>
      </c>
      <c r="I1893" s="656" t="s">
        <v>14976</v>
      </c>
      <c r="J1893" s="656"/>
      <c r="K1893" s="656"/>
      <c r="L1893" s="656"/>
      <c r="M1893" s="657"/>
      <c r="N1893" s="1482"/>
      <c r="O1893" s="656" t="s">
        <v>498</v>
      </c>
      <c r="P1893" s="656" t="s">
        <v>13052</v>
      </c>
      <c r="Q1893" s="656">
        <v>44216.778460648151</v>
      </c>
    </row>
    <row r="1894" spans="1:17">
      <c r="A1894" s="656" t="s">
        <v>1962</v>
      </c>
      <c r="B1894" s="657" t="s">
        <v>202</v>
      </c>
      <c r="C1894" s="656" t="s">
        <v>1963</v>
      </c>
      <c r="D1894" s="657" t="s">
        <v>13789</v>
      </c>
      <c r="E1894" s="657" t="s">
        <v>9510</v>
      </c>
      <c r="F1894" s="656" t="s">
        <v>1300</v>
      </c>
      <c r="G1894" s="656" t="s">
        <v>1070</v>
      </c>
      <c r="H1894" s="656" t="s">
        <v>1300</v>
      </c>
      <c r="I1894" s="656" t="s">
        <v>14976</v>
      </c>
      <c r="J1894" s="656"/>
      <c r="K1894" s="656"/>
      <c r="L1894" s="656"/>
      <c r="M1894" s="657"/>
      <c r="N1894" s="1482"/>
      <c r="O1894" s="656" t="s">
        <v>498</v>
      </c>
      <c r="P1894" s="656" t="s">
        <v>13052</v>
      </c>
      <c r="Q1894" s="656">
        <v>44216.778460648151</v>
      </c>
    </row>
    <row r="1895" spans="1:17">
      <c r="A1895" s="656" t="s">
        <v>1964</v>
      </c>
      <c r="B1895" s="657" t="s">
        <v>202</v>
      </c>
      <c r="C1895" s="656" t="s">
        <v>1965</v>
      </c>
      <c r="D1895" s="657" t="s">
        <v>13789</v>
      </c>
      <c r="E1895" s="657" t="s">
        <v>9510</v>
      </c>
      <c r="F1895" s="656" t="s">
        <v>1300</v>
      </c>
      <c r="G1895" s="656" t="s">
        <v>1070</v>
      </c>
      <c r="H1895" s="656" t="s">
        <v>1300</v>
      </c>
      <c r="I1895" s="656" t="s">
        <v>14976</v>
      </c>
      <c r="J1895" s="656"/>
      <c r="K1895" s="656"/>
      <c r="L1895" s="656"/>
      <c r="M1895" s="657"/>
      <c r="N1895" s="1482"/>
      <c r="O1895" s="656" t="s">
        <v>498</v>
      </c>
      <c r="P1895" s="656" t="s">
        <v>13052</v>
      </c>
      <c r="Q1895" s="656">
        <v>44216.778449074074</v>
      </c>
    </row>
    <row r="1896" spans="1:17">
      <c r="A1896" s="656" t="s">
        <v>1966</v>
      </c>
      <c r="B1896" s="657" t="s">
        <v>202</v>
      </c>
      <c r="C1896" s="656" t="s">
        <v>1967</v>
      </c>
      <c r="D1896" s="657" t="s">
        <v>13789</v>
      </c>
      <c r="E1896" s="657" t="s">
        <v>9510</v>
      </c>
      <c r="F1896" s="656" t="s">
        <v>1300</v>
      </c>
      <c r="G1896" s="656" t="s">
        <v>1070</v>
      </c>
      <c r="H1896" s="656" t="s">
        <v>1300</v>
      </c>
      <c r="I1896" s="656" t="s">
        <v>14976</v>
      </c>
      <c r="J1896" s="656"/>
      <c r="K1896" s="656"/>
      <c r="L1896" s="656"/>
      <c r="M1896" s="657"/>
      <c r="N1896" s="1482"/>
      <c r="O1896" s="656" t="s">
        <v>498</v>
      </c>
      <c r="P1896" s="656" t="s">
        <v>13052</v>
      </c>
      <c r="Q1896" s="656">
        <v>44216.778449074074</v>
      </c>
    </row>
    <row r="1897" spans="1:17">
      <c r="A1897" s="656" t="s">
        <v>1968</v>
      </c>
      <c r="B1897" s="657" t="s">
        <v>202</v>
      </c>
      <c r="C1897" s="656" t="s">
        <v>1969</v>
      </c>
      <c r="D1897" s="657" t="s">
        <v>13789</v>
      </c>
      <c r="E1897" s="657" t="s">
        <v>9510</v>
      </c>
      <c r="F1897" s="656" t="s">
        <v>1300</v>
      </c>
      <c r="G1897" s="656" t="s">
        <v>1070</v>
      </c>
      <c r="H1897" s="656" t="s">
        <v>1300</v>
      </c>
      <c r="I1897" s="656" t="s">
        <v>14976</v>
      </c>
      <c r="J1897" s="656"/>
      <c r="K1897" s="656"/>
      <c r="L1897" s="656"/>
      <c r="M1897" s="657"/>
      <c r="N1897" s="1482"/>
      <c r="O1897" s="656" t="s">
        <v>498</v>
      </c>
      <c r="P1897" s="656" t="s">
        <v>13052</v>
      </c>
      <c r="Q1897" s="656">
        <v>44216.778437499997</v>
      </c>
    </row>
    <row r="1898" spans="1:17">
      <c r="A1898" s="656" t="s">
        <v>1970</v>
      </c>
      <c r="B1898" s="657" t="s">
        <v>202</v>
      </c>
      <c r="C1898" s="656" t="s">
        <v>1971</v>
      </c>
      <c r="D1898" s="657" t="s">
        <v>13789</v>
      </c>
      <c r="E1898" s="657" t="s">
        <v>9510</v>
      </c>
      <c r="F1898" s="656" t="s">
        <v>1300</v>
      </c>
      <c r="G1898" s="656" t="s">
        <v>1070</v>
      </c>
      <c r="H1898" s="656" t="s">
        <v>1300</v>
      </c>
      <c r="I1898" s="656" t="s">
        <v>14976</v>
      </c>
      <c r="J1898" s="656"/>
      <c r="K1898" s="656"/>
      <c r="L1898" s="656"/>
      <c r="M1898" s="657"/>
      <c r="N1898" s="1482"/>
      <c r="O1898" s="656" t="s">
        <v>498</v>
      </c>
      <c r="P1898" s="656" t="s">
        <v>13052</v>
      </c>
      <c r="Q1898" s="656">
        <v>44216.778437499997</v>
      </c>
    </row>
    <row r="1899" spans="1:17">
      <c r="A1899" s="656" t="s">
        <v>1972</v>
      </c>
      <c r="B1899" s="657" t="s">
        <v>202</v>
      </c>
      <c r="C1899" s="656" t="s">
        <v>13813</v>
      </c>
      <c r="D1899" s="657" t="s">
        <v>13789</v>
      </c>
      <c r="E1899" s="657" t="s">
        <v>9510</v>
      </c>
      <c r="F1899" s="656" t="s">
        <v>1050</v>
      </c>
      <c r="G1899" s="656" t="s">
        <v>1078</v>
      </c>
      <c r="H1899" s="656" t="s">
        <v>1050</v>
      </c>
      <c r="I1899" s="656" t="s">
        <v>14976</v>
      </c>
      <c r="J1899" s="656"/>
      <c r="K1899" s="656"/>
      <c r="L1899" s="656"/>
      <c r="M1899" s="657"/>
      <c r="N1899" s="1482"/>
      <c r="O1899" s="656" t="s">
        <v>498</v>
      </c>
      <c r="P1899" s="656" t="s">
        <v>13052</v>
      </c>
      <c r="Q1899" s="656">
        <v>44216.778425925928</v>
      </c>
    </row>
    <row r="1900" spans="1:17">
      <c r="A1900" s="656" t="s">
        <v>1973</v>
      </c>
      <c r="B1900" s="657" t="s">
        <v>202</v>
      </c>
      <c r="C1900" s="656" t="s">
        <v>1974</v>
      </c>
      <c r="D1900" s="657" t="s">
        <v>13789</v>
      </c>
      <c r="E1900" s="657" t="s">
        <v>9510</v>
      </c>
      <c r="F1900" s="656" t="s">
        <v>1300</v>
      </c>
      <c r="G1900" s="656" t="s">
        <v>1070</v>
      </c>
      <c r="H1900" s="656" t="s">
        <v>1300</v>
      </c>
      <c r="I1900" s="656" t="s">
        <v>14976</v>
      </c>
      <c r="J1900" s="656"/>
      <c r="K1900" s="656"/>
      <c r="L1900" s="656"/>
      <c r="M1900" s="657"/>
      <c r="N1900" s="1482"/>
      <c r="O1900" s="656" t="s">
        <v>498</v>
      </c>
      <c r="P1900" s="656" t="s">
        <v>13052</v>
      </c>
      <c r="Q1900" s="656">
        <v>44216.778425925928</v>
      </c>
    </row>
    <row r="1901" spans="1:17">
      <c r="A1901" s="656" t="s">
        <v>1975</v>
      </c>
      <c r="B1901" s="657" t="s">
        <v>202</v>
      </c>
      <c r="C1901" s="656" t="s">
        <v>1976</v>
      </c>
      <c r="D1901" s="657" t="s">
        <v>13789</v>
      </c>
      <c r="E1901" s="657" t="s">
        <v>9510</v>
      </c>
      <c r="F1901" s="656" t="s">
        <v>1300</v>
      </c>
      <c r="G1901" s="656" t="s">
        <v>1070</v>
      </c>
      <c r="H1901" s="656" t="s">
        <v>1300</v>
      </c>
      <c r="I1901" s="656" t="s">
        <v>14976</v>
      </c>
      <c r="J1901" s="656"/>
      <c r="K1901" s="656"/>
      <c r="L1901" s="656"/>
      <c r="M1901" s="657"/>
      <c r="N1901" s="1482"/>
      <c r="O1901" s="656" t="s">
        <v>498</v>
      </c>
      <c r="P1901" s="656" t="s">
        <v>13052</v>
      </c>
      <c r="Q1901" s="656">
        <v>44216.778414351851</v>
      </c>
    </row>
    <row r="1902" spans="1:17">
      <c r="A1902" s="656" t="s">
        <v>1977</v>
      </c>
      <c r="B1902" s="657" t="s">
        <v>202</v>
      </c>
      <c r="C1902" s="656" t="s">
        <v>1978</v>
      </c>
      <c r="D1902" s="657" t="s">
        <v>13789</v>
      </c>
      <c r="E1902" s="657" t="s">
        <v>9510</v>
      </c>
      <c r="F1902" s="656" t="s">
        <v>1300</v>
      </c>
      <c r="G1902" s="656" t="s">
        <v>1070</v>
      </c>
      <c r="H1902" s="656" t="s">
        <v>1300</v>
      </c>
      <c r="I1902" s="656" t="s">
        <v>14976</v>
      </c>
      <c r="J1902" s="656"/>
      <c r="K1902" s="656"/>
      <c r="L1902" s="656"/>
      <c r="M1902" s="657"/>
      <c r="N1902" s="1482"/>
      <c r="O1902" s="656" t="s">
        <v>498</v>
      </c>
      <c r="P1902" s="656" t="s">
        <v>13052</v>
      </c>
      <c r="Q1902" s="656">
        <v>44216.778414351851</v>
      </c>
    </row>
    <row r="1903" spans="1:17">
      <c r="A1903" s="656" t="s">
        <v>1979</v>
      </c>
      <c r="B1903" s="657" t="s">
        <v>202</v>
      </c>
      <c r="C1903" s="656" t="s">
        <v>13812</v>
      </c>
      <c r="D1903" s="657" t="s">
        <v>13789</v>
      </c>
      <c r="E1903" s="657" t="s">
        <v>9510</v>
      </c>
      <c r="F1903" s="656" t="s">
        <v>1300</v>
      </c>
      <c r="G1903" s="656" t="s">
        <v>1070</v>
      </c>
      <c r="H1903" s="656" t="s">
        <v>1300</v>
      </c>
      <c r="I1903" s="656" t="s">
        <v>14976</v>
      </c>
      <c r="J1903" s="656"/>
      <c r="K1903" s="656"/>
      <c r="L1903" s="656"/>
      <c r="M1903" s="657"/>
      <c r="N1903" s="1482"/>
      <c r="O1903" s="656" t="s">
        <v>498</v>
      </c>
      <c r="P1903" s="656" t="s">
        <v>13052</v>
      </c>
      <c r="Q1903" s="656">
        <v>44216.778402777774</v>
      </c>
    </row>
    <row r="1904" spans="1:17">
      <c r="A1904" s="656" t="s">
        <v>1980</v>
      </c>
      <c r="B1904" s="657" t="s">
        <v>202</v>
      </c>
      <c r="C1904" s="656" t="s">
        <v>1981</v>
      </c>
      <c r="D1904" s="657" t="s">
        <v>13789</v>
      </c>
      <c r="E1904" s="657" t="s">
        <v>9510</v>
      </c>
      <c r="F1904" s="656" t="s">
        <v>1300</v>
      </c>
      <c r="G1904" s="656" t="s">
        <v>1070</v>
      </c>
      <c r="H1904" s="656" t="s">
        <v>1300</v>
      </c>
      <c r="I1904" s="656" t="s">
        <v>14976</v>
      </c>
      <c r="J1904" s="656"/>
      <c r="K1904" s="656"/>
      <c r="L1904" s="656"/>
      <c r="M1904" s="657"/>
      <c r="N1904" s="1482"/>
      <c r="O1904" s="656" t="s">
        <v>498</v>
      </c>
      <c r="P1904" s="656" t="s">
        <v>13052</v>
      </c>
      <c r="Q1904" s="656">
        <v>44216.778402777774</v>
      </c>
    </row>
    <row r="1905" spans="1:17">
      <c r="A1905" s="656" t="s">
        <v>1982</v>
      </c>
      <c r="B1905" s="657" t="s">
        <v>202</v>
      </c>
      <c r="C1905" s="656" t="s">
        <v>1983</v>
      </c>
      <c r="D1905" s="657" t="s">
        <v>13789</v>
      </c>
      <c r="E1905" s="657" t="s">
        <v>9510</v>
      </c>
      <c r="F1905" s="656" t="s">
        <v>1300</v>
      </c>
      <c r="G1905" s="656" t="s">
        <v>1070</v>
      </c>
      <c r="H1905" s="656" t="s">
        <v>1300</v>
      </c>
      <c r="I1905" s="656" t="s">
        <v>14976</v>
      </c>
      <c r="J1905" s="656"/>
      <c r="K1905" s="656"/>
      <c r="L1905" s="656"/>
      <c r="M1905" s="657"/>
      <c r="N1905" s="1482"/>
      <c r="O1905" s="656" t="s">
        <v>498</v>
      </c>
      <c r="P1905" s="656" t="s">
        <v>13052</v>
      </c>
      <c r="Q1905" s="656">
        <v>44216.778402777774</v>
      </c>
    </row>
    <row r="1906" spans="1:17">
      <c r="A1906" s="656" t="s">
        <v>1984</v>
      </c>
      <c r="B1906" s="657" t="s">
        <v>202</v>
      </c>
      <c r="C1906" s="656" t="s">
        <v>1985</v>
      </c>
      <c r="D1906" s="657" t="s">
        <v>13789</v>
      </c>
      <c r="E1906" s="657" t="s">
        <v>9510</v>
      </c>
      <c r="F1906" s="656" t="s">
        <v>1300</v>
      </c>
      <c r="G1906" s="656" t="s">
        <v>1070</v>
      </c>
      <c r="H1906" s="656" t="s">
        <v>1300</v>
      </c>
      <c r="I1906" s="656" t="s">
        <v>14976</v>
      </c>
      <c r="J1906" s="656"/>
      <c r="K1906" s="656"/>
      <c r="L1906" s="656"/>
      <c r="M1906" s="657"/>
      <c r="N1906" s="1482"/>
      <c r="O1906" s="656" t="s">
        <v>498</v>
      </c>
      <c r="P1906" s="656" t="s">
        <v>13052</v>
      </c>
      <c r="Q1906" s="656">
        <v>44216.778391203705</v>
      </c>
    </row>
    <row r="1907" spans="1:17">
      <c r="A1907" s="656" t="s">
        <v>1986</v>
      </c>
      <c r="B1907" s="657" t="s">
        <v>202</v>
      </c>
      <c r="C1907" s="656" t="s">
        <v>13811</v>
      </c>
      <c r="D1907" s="657"/>
      <c r="E1907" s="657" t="s">
        <v>9510</v>
      </c>
      <c r="F1907" s="656" t="s">
        <v>1300</v>
      </c>
      <c r="G1907" s="656" t="s">
        <v>1070</v>
      </c>
      <c r="H1907" s="656" t="s">
        <v>1300</v>
      </c>
      <c r="I1907" s="656" t="s">
        <v>14976</v>
      </c>
      <c r="J1907" s="656"/>
      <c r="K1907" s="656"/>
      <c r="L1907" s="656"/>
      <c r="M1907" s="657"/>
      <c r="N1907" s="1482"/>
      <c r="O1907" s="656" t="s">
        <v>498</v>
      </c>
      <c r="P1907" s="656" t="s">
        <v>13052</v>
      </c>
      <c r="Q1907" s="656">
        <v>44216.778391203705</v>
      </c>
    </row>
    <row r="1908" spans="1:17">
      <c r="A1908" s="656" t="s">
        <v>1987</v>
      </c>
      <c r="B1908" s="657" t="s">
        <v>202</v>
      </c>
      <c r="C1908" s="656" t="s">
        <v>1988</v>
      </c>
      <c r="D1908" s="657" t="s">
        <v>13789</v>
      </c>
      <c r="E1908" s="657" t="s">
        <v>9510</v>
      </c>
      <c r="F1908" s="656" t="s">
        <v>1300</v>
      </c>
      <c r="G1908" s="656" t="s">
        <v>1301</v>
      </c>
      <c r="H1908" s="656" t="s">
        <v>1300</v>
      </c>
      <c r="I1908" s="656" t="s">
        <v>15280</v>
      </c>
      <c r="J1908" s="656"/>
      <c r="K1908" s="656"/>
      <c r="L1908" s="656"/>
      <c r="M1908" s="657"/>
      <c r="N1908" s="1482"/>
      <c r="O1908" s="656" t="s">
        <v>498</v>
      </c>
      <c r="P1908" s="656" t="s">
        <v>13052</v>
      </c>
      <c r="Q1908" s="656">
        <v>44216.778379629628</v>
      </c>
    </row>
    <row r="1909" spans="1:17">
      <c r="A1909" s="656" t="s">
        <v>1989</v>
      </c>
      <c r="B1909" s="657" t="s">
        <v>202</v>
      </c>
      <c r="C1909" s="656" t="s">
        <v>1990</v>
      </c>
      <c r="D1909" s="657" t="s">
        <v>13789</v>
      </c>
      <c r="E1909" s="657" t="s">
        <v>9510</v>
      </c>
      <c r="F1909" s="656" t="s">
        <v>462</v>
      </c>
      <c r="G1909" s="656" t="s">
        <v>512</v>
      </c>
      <c r="H1909" s="656" t="s">
        <v>462</v>
      </c>
      <c r="I1909" s="656" t="s">
        <v>14976</v>
      </c>
      <c r="J1909" s="656" t="s">
        <v>459</v>
      </c>
      <c r="K1909" s="656" t="s">
        <v>2849</v>
      </c>
      <c r="L1909" s="656"/>
      <c r="M1909" s="657"/>
      <c r="N1909" s="1482"/>
      <c r="O1909" s="656" t="s">
        <v>498</v>
      </c>
      <c r="P1909" s="656" t="s">
        <v>13052</v>
      </c>
      <c r="Q1909" s="656">
        <v>44216.778379629628</v>
      </c>
    </row>
    <row r="1910" spans="1:17">
      <c r="A1910" s="656" t="s">
        <v>1991</v>
      </c>
      <c r="B1910" s="657" t="s">
        <v>202</v>
      </c>
      <c r="C1910" s="656" t="s">
        <v>1992</v>
      </c>
      <c r="D1910" s="657" t="s">
        <v>13789</v>
      </c>
      <c r="E1910" s="657" t="s">
        <v>9510</v>
      </c>
      <c r="F1910" s="656" t="s">
        <v>462</v>
      </c>
      <c r="G1910" s="656" t="s">
        <v>552</v>
      </c>
      <c r="H1910" s="656" t="s">
        <v>462</v>
      </c>
      <c r="I1910" s="656" t="s">
        <v>14976</v>
      </c>
      <c r="J1910" s="656" t="s">
        <v>463</v>
      </c>
      <c r="K1910" s="656"/>
      <c r="L1910" s="656"/>
      <c r="M1910" s="657"/>
      <c r="N1910" s="1482"/>
      <c r="O1910" s="656" t="s">
        <v>498</v>
      </c>
      <c r="P1910" s="656" t="s">
        <v>13052</v>
      </c>
      <c r="Q1910" s="656">
        <v>44216.778379629628</v>
      </c>
    </row>
    <row r="1911" spans="1:17">
      <c r="A1911" s="656" t="s">
        <v>1993</v>
      </c>
      <c r="B1911" s="657" t="s">
        <v>202</v>
      </c>
      <c r="C1911" s="656" t="s">
        <v>1994</v>
      </c>
      <c r="D1911" s="657" t="s">
        <v>13789</v>
      </c>
      <c r="E1911" s="657" t="s">
        <v>9458</v>
      </c>
      <c r="F1911" s="656" t="s">
        <v>1300</v>
      </c>
      <c r="G1911" s="656" t="s">
        <v>1301</v>
      </c>
      <c r="H1911" s="656" t="s">
        <v>1300</v>
      </c>
      <c r="I1911" s="656" t="s">
        <v>15280</v>
      </c>
      <c r="J1911" s="656"/>
      <c r="K1911" s="656"/>
      <c r="L1911" s="656"/>
      <c r="M1911" s="657"/>
      <c r="N1911" s="1482"/>
      <c r="O1911" s="656" t="s">
        <v>498</v>
      </c>
      <c r="P1911" s="656" t="s">
        <v>13052</v>
      </c>
      <c r="Q1911" s="656">
        <v>44216.778368055559</v>
      </c>
    </row>
    <row r="1912" spans="1:17">
      <c r="A1912" s="656" t="s">
        <v>1995</v>
      </c>
      <c r="B1912" s="657" t="s">
        <v>202</v>
      </c>
      <c r="C1912" s="656" t="s">
        <v>1996</v>
      </c>
      <c r="D1912" s="657" t="s">
        <v>13789</v>
      </c>
      <c r="E1912" s="657" t="s">
        <v>9510</v>
      </c>
      <c r="F1912" s="656" t="s">
        <v>1050</v>
      </c>
      <c r="G1912" s="656" t="s">
        <v>1051</v>
      </c>
      <c r="H1912" s="656" t="s">
        <v>1050</v>
      </c>
      <c r="I1912" s="656" t="s">
        <v>14976</v>
      </c>
      <c r="J1912" s="656"/>
      <c r="K1912" s="656"/>
      <c r="L1912" s="656"/>
      <c r="M1912" s="657"/>
      <c r="N1912" s="1482"/>
      <c r="O1912" s="656" t="s">
        <v>498</v>
      </c>
      <c r="P1912" s="656" t="s">
        <v>13052</v>
      </c>
      <c r="Q1912" s="656">
        <v>44216.778368055559</v>
      </c>
    </row>
    <row r="1913" spans="1:17">
      <c r="A1913" s="656" t="s">
        <v>1997</v>
      </c>
      <c r="B1913" s="657" t="s">
        <v>202</v>
      </c>
      <c r="C1913" s="656" t="s">
        <v>1998</v>
      </c>
      <c r="D1913" s="657" t="s">
        <v>13789</v>
      </c>
      <c r="E1913" s="657" t="s">
        <v>9510</v>
      </c>
      <c r="F1913" s="656" t="s">
        <v>1050</v>
      </c>
      <c r="G1913" s="656" t="s">
        <v>1051</v>
      </c>
      <c r="H1913" s="656" t="s">
        <v>1050</v>
      </c>
      <c r="I1913" s="656" t="s">
        <v>14976</v>
      </c>
      <c r="J1913" s="656"/>
      <c r="K1913" s="656"/>
      <c r="L1913" s="656"/>
      <c r="M1913" s="657"/>
      <c r="N1913" s="1482"/>
      <c r="O1913" s="656" t="s">
        <v>498</v>
      </c>
      <c r="P1913" s="656" t="s">
        <v>13052</v>
      </c>
      <c r="Q1913" s="656">
        <v>44216.778356481482</v>
      </c>
    </row>
    <row r="1914" spans="1:17">
      <c r="A1914" s="656" t="s">
        <v>1999</v>
      </c>
      <c r="B1914" s="657" t="s">
        <v>202</v>
      </c>
      <c r="C1914" s="656" t="s">
        <v>922</v>
      </c>
      <c r="D1914" s="657" t="s">
        <v>13789</v>
      </c>
      <c r="E1914" s="657" t="s">
        <v>9510</v>
      </c>
      <c r="F1914" s="656" t="s">
        <v>1050</v>
      </c>
      <c r="G1914" s="656" t="s">
        <v>1051</v>
      </c>
      <c r="H1914" s="656" t="s">
        <v>1050</v>
      </c>
      <c r="I1914" s="656" t="s">
        <v>14976</v>
      </c>
      <c r="J1914" s="656"/>
      <c r="K1914" s="656"/>
      <c r="L1914" s="656"/>
      <c r="M1914" s="657"/>
      <c r="N1914" s="1482"/>
      <c r="O1914" s="656" t="s">
        <v>498</v>
      </c>
      <c r="P1914" s="656" t="s">
        <v>13052</v>
      </c>
      <c r="Q1914" s="656">
        <v>44216.778356481482</v>
      </c>
    </row>
    <row r="1915" spans="1:17">
      <c r="A1915" s="656" t="s">
        <v>2000</v>
      </c>
      <c r="B1915" s="657" t="s">
        <v>202</v>
      </c>
      <c r="C1915" s="656" t="s">
        <v>2001</v>
      </c>
      <c r="D1915" s="657" t="s">
        <v>13789</v>
      </c>
      <c r="E1915" s="657" t="s">
        <v>9510</v>
      </c>
      <c r="F1915" s="656" t="s">
        <v>1050</v>
      </c>
      <c r="G1915" s="656" t="s">
        <v>1051</v>
      </c>
      <c r="H1915" s="656" t="s">
        <v>1050</v>
      </c>
      <c r="I1915" s="656" t="s">
        <v>14976</v>
      </c>
      <c r="J1915" s="656"/>
      <c r="K1915" s="656"/>
      <c r="L1915" s="656"/>
      <c r="M1915" s="657"/>
      <c r="N1915" s="1482"/>
      <c r="O1915" s="656" t="s">
        <v>498</v>
      </c>
      <c r="P1915" s="656" t="s">
        <v>13052</v>
      </c>
      <c r="Q1915" s="656">
        <v>44216.778344907405</v>
      </c>
    </row>
    <row r="1916" spans="1:17">
      <c r="A1916" s="656" t="s">
        <v>2002</v>
      </c>
      <c r="B1916" s="657" t="s">
        <v>202</v>
      </c>
      <c r="C1916" s="656" t="s">
        <v>2003</v>
      </c>
      <c r="D1916" s="657" t="s">
        <v>13789</v>
      </c>
      <c r="E1916" s="657" t="s">
        <v>9510</v>
      </c>
      <c r="F1916" s="656" t="s">
        <v>1050</v>
      </c>
      <c r="G1916" s="656" t="s">
        <v>1051</v>
      </c>
      <c r="H1916" s="656" t="s">
        <v>1050</v>
      </c>
      <c r="I1916" s="656" t="s">
        <v>14976</v>
      </c>
      <c r="J1916" s="656"/>
      <c r="K1916" s="656"/>
      <c r="L1916" s="656"/>
      <c r="M1916" s="657"/>
      <c r="N1916" s="1482"/>
      <c r="O1916" s="656" t="s">
        <v>498</v>
      </c>
      <c r="P1916" s="656" t="s">
        <v>13052</v>
      </c>
      <c r="Q1916" s="656">
        <v>44216.778344907405</v>
      </c>
    </row>
    <row r="1917" spans="1:17">
      <c r="A1917" s="656" t="s">
        <v>2004</v>
      </c>
      <c r="B1917" s="657" t="s">
        <v>202</v>
      </c>
      <c r="C1917" s="656" t="s">
        <v>13810</v>
      </c>
      <c r="D1917" s="657" t="s">
        <v>13789</v>
      </c>
      <c r="E1917" s="657" t="s">
        <v>9510</v>
      </c>
      <c r="F1917" s="656" t="s">
        <v>445</v>
      </c>
      <c r="G1917" s="656" t="s">
        <v>552</v>
      </c>
      <c r="H1917" s="656" t="s">
        <v>445</v>
      </c>
      <c r="I1917" s="656" t="s">
        <v>14976</v>
      </c>
      <c r="J1917" s="656" t="s">
        <v>8814</v>
      </c>
      <c r="K1917" s="656" t="s">
        <v>445</v>
      </c>
      <c r="L1917" s="656"/>
      <c r="M1917" s="657"/>
      <c r="N1917" s="1482"/>
      <c r="O1917" s="656" t="s">
        <v>498</v>
      </c>
      <c r="P1917" s="656" t="s">
        <v>13052</v>
      </c>
      <c r="Q1917" s="656">
        <v>44216.778333333335</v>
      </c>
    </row>
    <row r="1918" spans="1:17">
      <c r="A1918" s="656" t="s">
        <v>2006</v>
      </c>
      <c r="B1918" s="657" t="s">
        <v>202</v>
      </c>
      <c r="C1918" s="656" t="s">
        <v>2007</v>
      </c>
      <c r="D1918" s="657" t="s">
        <v>13789</v>
      </c>
      <c r="E1918" s="657" t="s">
        <v>9510</v>
      </c>
      <c r="F1918" s="656" t="s">
        <v>1050</v>
      </c>
      <c r="G1918" s="656" t="s">
        <v>1051</v>
      </c>
      <c r="H1918" s="656" t="s">
        <v>1050</v>
      </c>
      <c r="I1918" s="656" t="s">
        <v>14976</v>
      </c>
      <c r="J1918" s="656"/>
      <c r="K1918" s="656"/>
      <c r="L1918" s="656"/>
      <c r="M1918" s="657"/>
      <c r="N1918" s="1482"/>
      <c r="O1918" s="656" t="s">
        <v>498</v>
      </c>
      <c r="P1918" s="656" t="s">
        <v>13052</v>
      </c>
      <c r="Q1918" s="656">
        <v>44216.778333333335</v>
      </c>
    </row>
    <row r="1919" spans="1:17">
      <c r="A1919" s="656" t="s">
        <v>2008</v>
      </c>
      <c r="B1919" s="657" t="s">
        <v>202</v>
      </c>
      <c r="C1919" s="656" t="s">
        <v>2009</v>
      </c>
      <c r="D1919" s="657" t="s">
        <v>13789</v>
      </c>
      <c r="E1919" s="657" t="s">
        <v>9510</v>
      </c>
      <c r="F1919" s="656" t="s">
        <v>472</v>
      </c>
      <c r="G1919" s="656" t="s">
        <v>1395</v>
      </c>
      <c r="H1919" s="656" t="s">
        <v>472</v>
      </c>
      <c r="I1919" s="656" t="s">
        <v>14976</v>
      </c>
      <c r="J1919" s="656" t="s">
        <v>12368</v>
      </c>
      <c r="K1919" s="656"/>
      <c r="L1919" s="656"/>
      <c r="M1919" s="657"/>
      <c r="N1919" s="1482"/>
      <c r="O1919" s="656" t="s">
        <v>498</v>
      </c>
      <c r="P1919" s="656" t="s">
        <v>13052</v>
      </c>
      <c r="Q1919" s="656">
        <v>44216.778321759259</v>
      </c>
    </row>
    <row r="1920" spans="1:17">
      <c r="A1920" s="656" t="s">
        <v>2010</v>
      </c>
      <c r="B1920" s="657" t="s">
        <v>202</v>
      </c>
      <c r="C1920" s="656" t="s">
        <v>2011</v>
      </c>
      <c r="D1920" s="657" t="s">
        <v>13789</v>
      </c>
      <c r="E1920" s="657" t="s">
        <v>9458</v>
      </c>
      <c r="F1920" s="656" t="s">
        <v>472</v>
      </c>
      <c r="G1920" s="656" t="s">
        <v>519</v>
      </c>
      <c r="H1920" s="656" t="s">
        <v>472</v>
      </c>
      <c r="I1920" s="656" t="s">
        <v>14976</v>
      </c>
      <c r="J1920" s="656" t="s">
        <v>12368</v>
      </c>
      <c r="K1920" s="656" t="s">
        <v>1058</v>
      </c>
      <c r="L1920" s="656"/>
      <c r="M1920" s="657"/>
      <c r="N1920" s="1482"/>
      <c r="O1920" s="656" t="s">
        <v>498</v>
      </c>
      <c r="P1920" s="656" t="s">
        <v>13052</v>
      </c>
      <c r="Q1920" s="656">
        <v>44216.778321759259</v>
      </c>
    </row>
    <row r="1921" spans="1:17">
      <c r="A1921" s="656" t="s">
        <v>2012</v>
      </c>
      <c r="B1921" s="657" t="s">
        <v>202</v>
      </c>
      <c r="C1921" s="656" t="s">
        <v>2013</v>
      </c>
      <c r="D1921" s="657" t="s">
        <v>13789</v>
      </c>
      <c r="E1921" s="657" t="s">
        <v>9510</v>
      </c>
      <c r="F1921" s="656" t="s">
        <v>472</v>
      </c>
      <c r="G1921" s="656" t="s">
        <v>1395</v>
      </c>
      <c r="H1921" s="656" t="s">
        <v>472</v>
      </c>
      <c r="I1921" s="656" t="s">
        <v>14976</v>
      </c>
      <c r="J1921" s="656" t="s">
        <v>12368</v>
      </c>
      <c r="K1921" s="656"/>
      <c r="L1921" s="656"/>
      <c r="M1921" s="657"/>
      <c r="N1921" s="1482"/>
      <c r="O1921" s="656" t="s">
        <v>498</v>
      </c>
      <c r="P1921" s="656" t="s">
        <v>13052</v>
      </c>
      <c r="Q1921" s="656">
        <v>44216.778310185182</v>
      </c>
    </row>
    <row r="1922" spans="1:17">
      <c r="A1922" s="656" t="s">
        <v>2014</v>
      </c>
      <c r="B1922" s="657" t="s">
        <v>202</v>
      </c>
      <c r="C1922" s="656" t="s">
        <v>2015</v>
      </c>
      <c r="D1922" s="657" t="s">
        <v>13789</v>
      </c>
      <c r="E1922" s="657" t="s">
        <v>9510</v>
      </c>
      <c r="F1922" s="656" t="s">
        <v>472</v>
      </c>
      <c r="G1922" s="656" t="s">
        <v>1395</v>
      </c>
      <c r="H1922" s="656" t="s">
        <v>472</v>
      </c>
      <c r="I1922" s="656" t="s">
        <v>14976</v>
      </c>
      <c r="J1922" s="656" t="s">
        <v>12368</v>
      </c>
      <c r="K1922" s="656"/>
      <c r="L1922" s="656"/>
      <c r="M1922" s="657"/>
      <c r="N1922" s="1482"/>
      <c r="O1922" s="656" t="s">
        <v>498</v>
      </c>
      <c r="P1922" s="656" t="s">
        <v>13052</v>
      </c>
      <c r="Q1922" s="656">
        <v>44216.778310185182</v>
      </c>
    </row>
    <row r="1923" spans="1:17">
      <c r="A1923" s="656" t="s">
        <v>2016</v>
      </c>
      <c r="B1923" s="657" t="s">
        <v>202</v>
      </c>
      <c r="C1923" s="656" t="s">
        <v>2017</v>
      </c>
      <c r="D1923" s="657" t="s">
        <v>13789</v>
      </c>
      <c r="E1923" s="657" t="s">
        <v>9510</v>
      </c>
      <c r="F1923" s="656" t="s">
        <v>472</v>
      </c>
      <c r="G1923" s="656" t="s">
        <v>1395</v>
      </c>
      <c r="H1923" s="656" t="s">
        <v>472</v>
      </c>
      <c r="I1923" s="656" t="s">
        <v>14976</v>
      </c>
      <c r="J1923" s="656" t="s">
        <v>12368</v>
      </c>
      <c r="K1923" s="656"/>
      <c r="L1923" s="656"/>
      <c r="M1923" s="657"/>
      <c r="N1923" s="1482"/>
      <c r="O1923" s="656" t="s">
        <v>498</v>
      </c>
      <c r="P1923" s="656" t="s">
        <v>13052</v>
      </c>
      <c r="Q1923" s="656">
        <v>44216.778298611112</v>
      </c>
    </row>
    <row r="1924" spans="1:17">
      <c r="A1924" s="656" t="s">
        <v>2018</v>
      </c>
      <c r="B1924" s="657" t="s">
        <v>202</v>
      </c>
      <c r="C1924" s="656" t="s">
        <v>2019</v>
      </c>
      <c r="D1924" s="657" t="s">
        <v>13789</v>
      </c>
      <c r="E1924" s="657" t="s">
        <v>9510</v>
      </c>
      <c r="F1924" s="656" t="s">
        <v>472</v>
      </c>
      <c r="G1924" s="656" t="s">
        <v>1395</v>
      </c>
      <c r="H1924" s="656" t="s">
        <v>472</v>
      </c>
      <c r="I1924" s="656" t="s">
        <v>14976</v>
      </c>
      <c r="J1924" s="656" t="s">
        <v>12368</v>
      </c>
      <c r="K1924" s="656"/>
      <c r="L1924" s="656"/>
      <c r="M1924" s="657"/>
      <c r="N1924" s="1482"/>
      <c r="O1924" s="656" t="s">
        <v>498</v>
      </c>
      <c r="P1924" s="656" t="s">
        <v>13052</v>
      </c>
      <c r="Q1924" s="656">
        <v>44216.778298611112</v>
      </c>
    </row>
    <row r="1925" spans="1:17">
      <c r="A1925" s="656" t="s">
        <v>2020</v>
      </c>
      <c r="B1925" s="657" t="s">
        <v>202</v>
      </c>
      <c r="C1925" s="656" t="s">
        <v>2021</v>
      </c>
      <c r="D1925" s="657" t="s">
        <v>13789</v>
      </c>
      <c r="E1925" s="657" t="s">
        <v>9510</v>
      </c>
      <c r="F1925" s="656" t="s">
        <v>472</v>
      </c>
      <c r="G1925" s="656" t="s">
        <v>1395</v>
      </c>
      <c r="H1925" s="656" t="s">
        <v>472</v>
      </c>
      <c r="I1925" s="656" t="s">
        <v>14976</v>
      </c>
      <c r="J1925" s="656" t="s">
        <v>12368</v>
      </c>
      <c r="K1925" s="656"/>
      <c r="L1925" s="656"/>
      <c r="M1925" s="657"/>
      <c r="N1925" s="1482"/>
      <c r="O1925" s="656" t="s">
        <v>498</v>
      </c>
      <c r="P1925" s="656" t="s">
        <v>13052</v>
      </c>
      <c r="Q1925" s="656">
        <v>44216.778298611112</v>
      </c>
    </row>
    <row r="1926" spans="1:17">
      <c r="A1926" s="656" t="s">
        <v>2022</v>
      </c>
      <c r="B1926" s="657" t="s">
        <v>202</v>
      </c>
      <c r="C1926" s="656" t="s">
        <v>2023</v>
      </c>
      <c r="D1926" s="657" t="s">
        <v>13789</v>
      </c>
      <c r="E1926" s="657" t="s">
        <v>9458</v>
      </c>
      <c r="F1926" s="656" t="s">
        <v>472</v>
      </c>
      <c r="G1926" s="656" t="s">
        <v>519</v>
      </c>
      <c r="H1926" s="656" t="s">
        <v>472</v>
      </c>
      <c r="I1926" s="656" t="s">
        <v>14976</v>
      </c>
      <c r="J1926" s="656" t="s">
        <v>12368</v>
      </c>
      <c r="K1926" s="656" t="s">
        <v>1058</v>
      </c>
      <c r="L1926" s="656"/>
      <c r="M1926" s="657"/>
      <c r="N1926" s="1482"/>
      <c r="O1926" s="656" t="s">
        <v>498</v>
      </c>
      <c r="P1926" s="656" t="s">
        <v>13052</v>
      </c>
      <c r="Q1926" s="656">
        <v>44216.778287037036</v>
      </c>
    </row>
    <row r="1927" spans="1:17">
      <c r="A1927" s="656" t="s">
        <v>2024</v>
      </c>
      <c r="B1927" s="657" t="s">
        <v>202</v>
      </c>
      <c r="C1927" s="656" t="s">
        <v>2025</v>
      </c>
      <c r="D1927" s="657" t="s">
        <v>13789</v>
      </c>
      <c r="E1927" s="657" t="s">
        <v>9510</v>
      </c>
      <c r="F1927" s="656" t="s">
        <v>472</v>
      </c>
      <c r="G1927" s="656" t="s">
        <v>1395</v>
      </c>
      <c r="H1927" s="656" t="s">
        <v>472</v>
      </c>
      <c r="I1927" s="656" t="s">
        <v>14976</v>
      </c>
      <c r="J1927" s="656" t="s">
        <v>12368</v>
      </c>
      <c r="K1927" s="656"/>
      <c r="L1927" s="656"/>
      <c r="M1927" s="657"/>
      <c r="N1927" s="1482"/>
      <c r="O1927" s="656" t="s">
        <v>498</v>
      </c>
      <c r="P1927" s="656" t="s">
        <v>13052</v>
      </c>
      <c r="Q1927" s="656">
        <v>44216.778287037036</v>
      </c>
    </row>
    <row r="1928" spans="1:17">
      <c r="A1928" s="656" t="s">
        <v>2026</v>
      </c>
      <c r="B1928" s="657" t="s">
        <v>202</v>
      </c>
      <c r="C1928" s="656" t="s">
        <v>2027</v>
      </c>
      <c r="D1928" s="657" t="s">
        <v>13789</v>
      </c>
      <c r="E1928" s="657" t="s">
        <v>9510</v>
      </c>
      <c r="F1928" s="656" t="s">
        <v>1300</v>
      </c>
      <c r="G1928" s="656" t="s">
        <v>1301</v>
      </c>
      <c r="H1928" s="656" t="s">
        <v>1300</v>
      </c>
      <c r="I1928" s="656" t="s">
        <v>15280</v>
      </c>
      <c r="J1928" s="656"/>
      <c r="K1928" s="656"/>
      <c r="L1928" s="656"/>
      <c r="M1928" s="657"/>
      <c r="N1928" s="1482"/>
      <c r="O1928" s="656" t="s">
        <v>498</v>
      </c>
      <c r="P1928" s="656" t="s">
        <v>13052</v>
      </c>
      <c r="Q1928" s="656">
        <v>44216.778275462966</v>
      </c>
    </row>
    <row r="1929" spans="1:17">
      <c r="A1929" s="656" t="s">
        <v>2028</v>
      </c>
      <c r="B1929" s="657" t="s">
        <v>202</v>
      </c>
      <c r="C1929" s="656" t="s">
        <v>2029</v>
      </c>
      <c r="D1929" s="657"/>
      <c r="E1929" s="657" t="s">
        <v>9510</v>
      </c>
      <c r="F1929" s="656" t="s">
        <v>3077</v>
      </c>
      <c r="G1929" s="656" t="s">
        <v>512</v>
      </c>
      <c r="H1929" s="656" t="s">
        <v>465</v>
      </c>
      <c r="I1929" s="656" t="s">
        <v>14976</v>
      </c>
      <c r="J1929" s="656" t="s">
        <v>446</v>
      </c>
      <c r="K1929" s="656" t="s">
        <v>3077</v>
      </c>
      <c r="L1929" s="656"/>
      <c r="M1929" s="657"/>
      <c r="N1929" s="1482"/>
      <c r="O1929" s="656" t="s">
        <v>498</v>
      </c>
      <c r="P1929" s="656" t="s">
        <v>13052</v>
      </c>
      <c r="Q1929" s="656">
        <v>44216.778275462966</v>
      </c>
    </row>
    <row r="1930" spans="1:17">
      <c r="A1930" s="656" t="s">
        <v>2030</v>
      </c>
      <c r="B1930" s="657" t="s">
        <v>202</v>
      </c>
      <c r="C1930" s="656" t="s">
        <v>2031</v>
      </c>
      <c r="D1930" s="657"/>
      <c r="E1930" s="657" t="s">
        <v>9510</v>
      </c>
      <c r="F1930" s="656" t="s">
        <v>1050</v>
      </c>
      <c r="G1930" s="656" t="s">
        <v>1078</v>
      </c>
      <c r="H1930" s="656" t="s">
        <v>1050</v>
      </c>
      <c r="I1930" s="656" t="s">
        <v>14976</v>
      </c>
      <c r="J1930" s="656"/>
      <c r="K1930" s="656"/>
      <c r="L1930" s="656"/>
      <c r="M1930" s="657"/>
      <c r="N1930" s="1482"/>
      <c r="O1930" s="656" t="s">
        <v>498</v>
      </c>
      <c r="P1930" s="656" t="s">
        <v>13052</v>
      </c>
      <c r="Q1930" s="656">
        <v>44216.778263888889</v>
      </c>
    </row>
    <row r="1931" spans="1:17">
      <c r="A1931" s="656" t="s">
        <v>2032</v>
      </c>
      <c r="B1931" s="657" t="s">
        <v>202</v>
      </c>
      <c r="C1931" s="656" t="s">
        <v>13809</v>
      </c>
      <c r="D1931" s="657" t="s">
        <v>13789</v>
      </c>
      <c r="E1931" s="657" t="s">
        <v>9510</v>
      </c>
      <c r="F1931" s="656" t="s">
        <v>1050</v>
      </c>
      <c r="G1931" s="656" t="s">
        <v>1078</v>
      </c>
      <c r="H1931" s="656" t="s">
        <v>1050</v>
      </c>
      <c r="I1931" s="656" t="s">
        <v>14976</v>
      </c>
      <c r="J1931" s="656"/>
      <c r="K1931" s="656"/>
      <c r="L1931" s="656"/>
      <c r="M1931" s="657"/>
      <c r="N1931" s="1482"/>
      <c r="O1931" s="656" t="s">
        <v>498</v>
      </c>
      <c r="P1931" s="656" t="s">
        <v>13052</v>
      </c>
      <c r="Q1931" s="656">
        <v>44216.778263888889</v>
      </c>
    </row>
    <row r="1932" spans="1:17">
      <c r="A1932" s="656" t="s">
        <v>2033</v>
      </c>
      <c r="B1932" s="657" t="s">
        <v>531</v>
      </c>
      <c r="C1932" s="656" t="s">
        <v>2034</v>
      </c>
      <c r="D1932" s="657" t="s">
        <v>14978</v>
      </c>
      <c r="E1932" s="657" t="s">
        <v>9458</v>
      </c>
      <c r="F1932" s="656" t="s">
        <v>442</v>
      </c>
      <c r="G1932" s="656" t="s">
        <v>561</v>
      </c>
      <c r="H1932" s="656" t="s">
        <v>442</v>
      </c>
      <c r="I1932" s="656" t="s">
        <v>14976</v>
      </c>
      <c r="J1932" s="656" t="s">
        <v>12369</v>
      </c>
      <c r="K1932" s="656" t="s">
        <v>1058</v>
      </c>
      <c r="L1932" s="656" t="s">
        <v>2061</v>
      </c>
      <c r="M1932" s="657"/>
      <c r="N1932" s="1482"/>
      <c r="O1932" s="656" t="s">
        <v>498</v>
      </c>
      <c r="P1932" s="656" t="s">
        <v>13052</v>
      </c>
      <c r="Q1932" s="656">
        <v>44216.778252314813</v>
      </c>
    </row>
    <row r="1933" spans="1:17">
      <c r="A1933" s="656" t="s">
        <v>2035</v>
      </c>
      <c r="B1933" s="657" t="s">
        <v>531</v>
      </c>
      <c r="C1933" s="656" t="s">
        <v>2036</v>
      </c>
      <c r="D1933" s="657" t="s">
        <v>14978</v>
      </c>
      <c r="E1933" s="657" t="s">
        <v>9458</v>
      </c>
      <c r="F1933" s="656" t="s">
        <v>442</v>
      </c>
      <c r="G1933" s="656" t="s">
        <v>561</v>
      </c>
      <c r="H1933" s="656" t="s">
        <v>442</v>
      </c>
      <c r="I1933" s="656" t="s">
        <v>14976</v>
      </c>
      <c r="J1933" s="656" t="s">
        <v>12369</v>
      </c>
      <c r="K1933" s="656" t="s">
        <v>1058</v>
      </c>
      <c r="L1933" s="656" t="s">
        <v>2061</v>
      </c>
      <c r="M1933" s="657"/>
      <c r="N1933" s="1482"/>
      <c r="O1933" s="656" t="s">
        <v>498</v>
      </c>
      <c r="P1933" s="656" t="s">
        <v>13052</v>
      </c>
      <c r="Q1933" s="656">
        <v>44216.778252314813</v>
      </c>
    </row>
    <row r="1934" spans="1:17">
      <c r="A1934" s="656" t="s">
        <v>2037</v>
      </c>
      <c r="B1934" s="657" t="s">
        <v>531</v>
      </c>
      <c r="C1934" s="656" t="s">
        <v>2038</v>
      </c>
      <c r="D1934" s="657" t="s">
        <v>14978</v>
      </c>
      <c r="E1934" s="657" t="s">
        <v>9458</v>
      </c>
      <c r="F1934" s="656" t="s">
        <v>442</v>
      </c>
      <c r="G1934" s="656" t="s">
        <v>561</v>
      </c>
      <c r="H1934" s="656" t="s">
        <v>442</v>
      </c>
      <c r="I1934" s="656" t="s">
        <v>14976</v>
      </c>
      <c r="J1934" s="656" t="s">
        <v>12369</v>
      </c>
      <c r="K1934" s="656" t="s">
        <v>1058</v>
      </c>
      <c r="L1934" s="656" t="s">
        <v>2061</v>
      </c>
      <c r="M1934" s="657"/>
      <c r="N1934" s="1482"/>
      <c r="O1934" s="656" t="s">
        <v>498</v>
      </c>
      <c r="P1934" s="656" t="s">
        <v>13052</v>
      </c>
      <c r="Q1934" s="656">
        <v>44216.778240740743</v>
      </c>
    </row>
    <row r="1935" spans="1:17">
      <c r="A1935" s="656" t="s">
        <v>2039</v>
      </c>
      <c r="B1935" s="657" t="s">
        <v>531</v>
      </c>
      <c r="C1935" s="656" t="s">
        <v>2040</v>
      </c>
      <c r="D1935" s="657" t="s">
        <v>14978</v>
      </c>
      <c r="E1935" s="657" t="s">
        <v>9458</v>
      </c>
      <c r="F1935" s="656" t="s">
        <v>442</v>
      </c>
      <c r="G1935" s="656" t="s">
        <v>1058</v>
      </c>
      <c r="H1935" s="656" t="s">
        <v>442</v>
      </c>
      <c r="I1935" s="656" t="s">
        <v>14976</v>
      </c>
      <c r="J1935" s="656" t="s">
        <v>12369</v>
      </c>
      <c r="K1935" s="656"/>
      <c r="L1935" s="656" t="s">
        <v>2061</v>
      </c>
      <c r="M1935" s="657"/>
      <c r="N1935" s="1482"/>
      <c r="O1935" s="656" t="s">
        <v>498</v>
      </c>
      <c r="P1935" s="656" t="s">
        <v>13052</v>
      </c>
      <c r="Q1935" s="656">
        <v>44216.778240740743</v>
      </c>
    </row>
    <row r="1936" spans="1:17">
      <c r="A1936" s="656" t="s">
        <v>2041</v>
      </c>
      <c r="B1936" s="657" t="s">
        <v>531</v>
      </c>
      <c r="C1936" s="656" t="s">
        <v>2042</v>
      </c>
      <c r="D1936" s="657" t="s">
        <v>14978</v>
      </c>
      <c r="E1936" s="657" t="s">
        <v>9458</v>
      </c>
      <c r="F1936" s="656" t="s">
        <v>442</v>
      </c>
      <c r="G1936" s="656" t="s">
        <v>561</v>
      </c>
      <c r="H1936" s="656" t="s">
        <v>442</v>
      </c>
      <c r="I1936" s="656" t="s">
        <v>14976</v>
      </c>
      <c r="J1936" s="656" t="s">
        <v>12369</v>
      </c>
      <c r="K1936" s="656" t="s">
        <v>1058</v>
      </c>
      <c r="L1936" s="656" t="s">
        <v>2061</v>
      </c>
      <c r="M1936" s="657"/>
      <c r="N1936" s="1482"/>
      <c r="O1936" s="656" t="s">
        <v>498</v>
      </c>
      <c r="P1936" s="656" t="s">
        <v>13052</v>
      </c>
      <c r="Q1936" s="656">
        <v>44216.778229166666</v>
      </c>
    </row>
    <row r="1937" spans="1:17">
      <c r="A1937" s="656" t="s">
        <v>2043</v>
      </c>
      <c r="B1937" s="657" t="s">
        <v>531</v>
      </c>
      <c r="C1937" s="656" t="s">
        <v>2044</v>
      </c>
      <c r="D1937" s="657" t="s">
        <v>14978</v>
      </c>
      <c r="E1937" s="657" t="s">
        <v>9458</v>
      </c>
      <c r="F1937" s="656" t="s">
        <v>442</v>
      </c>
      <c r="G1937" s="656" t="s">
        <v>561</v>
      </c>
      <c r="H1937" s="656" t="s">
        <v>442</v>
      </c>
      <c r="I1937" s="656" t="s">
        <v>14976</v>
      </c>
      <c r="J1937" s="656" t="s">
        <v>12369</v>
      </c>
      <c r="K1937" s="656" t="s">
        <v>1058</v>
      </c>
      <c r="L1937" s="656" t="s">
        <v>2061</v>
      </c>
      <c r="M1937" s="657"/>
      <c r="N1937" s="1482"/>
      <c r="O1937" s="656" t="s">
        <v>498</v>
      </c>
      <c r="P1937" s="656" t="s">
        <v>13052</v>
      </c>
      <c r="Q1937" s="656">
        <v>44216.778229166666</v>
      </c>
    </row>
    <row r="1938" spans="1:17">
      <c r="A1938" s="656" t="s">
        <v>2045</v>
      </c>
      <c r="B1938" s="657" t="s">
        <v>531</v>
      </c>
      <c r="C1938" s="656" t="s">
        <v>2046</v>
      </c>
      <c r="D1938" s="657" t="s">
        <v>14978</v>
      </c>
      <c r="E1938" s="657" t="s">
        <v>9458</v>
      </c>
      <c r="F1938" s="656" t="s">
        <v>442</v>
      </c>
      <c r="G1938" s="656" t="s">
        <v>561</v>
      </c>
      <c r="H1938" s="656" t="s">
        <v>442</v>
      </c>
      <c r="I1938" s="656" t="s">
        <v>14976</v>
      </c>
      <c r="J1938" s="656" t="s">
        <v>12369</v>
      </c>
      <c r="K1938" s="656" t="s">
        <v>1058</v>
      </c>
      <c r="L1938" s="656" t="s">
        <v>2061</v>
      </c>
      <c r="M1938" s="657"/>
      <c r="N1938" s="1482"/>
      <c r="O1938" s="656" t="s">
        <v>498</v>
      </c>
      <c r="P1938" s="656" t="s">
        <v>13052</v>
      </c>
      <c r="Q1938" s="656">
        <v>44216.778217592589</v>
      </c>
    </row>
    <row r="1939" spans="1:17">
      <c r="A1939" s="656" t="s">
        <v>2047</v>
      </c>
      <c r="B1939" s="657" t="s">
        <v>531</v>
      </c>
      <c r="C1939" s="656" t="s">
        <v>2034</v>
      </c>
      <c r="D1939" s="657" t="s">
        <v>14978</v>
      </c>
      <c r="E1939" s="657" t="s">
        <v>9458</v>
      </c>
      <c r="F1939" s="656" t="s">
        <v>442</v>
      </c>
      <c r="G1939" s="656" t="s">
        <v>561</v>
      </c>
      <c r="H1939" s="656" t="s">
        <v>442</v>
      </c>
      <c r="I1939" s="656" t="s">
        <v>14976</v>
      </c>
      <c r="J1939" s="656" t="s">
        <v>12369</v>
      </c>
      <c r="K1939" s="656"/>
      <c r="L1939" s="656"/>
      <c r="M1939" s="657"/>
      <c r="N1939" s="1482"/>
      <c r="O1939" s="656" t="s">
        <v>498</v>
      </c>
      <c r="P1939" s="656" t="s">
        <v>13052</v>
      </c>
      <c r="Q1939" s="656">
        <v>44216.778217592589</v>
      </c>
    </row>
    <row r="1940" spans="1:17">
      <c r="A1940" s="656" t="s">
        <v>2048</v>
      </c>
      <c r="B1940" s="657" t="s">
        <v>531</v>
      </c>
      <c r="C1940" s="656" t="s">
        <v>2036</v>
      </c>
      <c r="D1940" s="657" t="s">
        <v>14978</v>
      </c>
      <c r="E1940" s="657" t="s">
        <v>9458</v>
      </c>
      <c r="F1940" s="656" t="s">
        <v>442</v>
      </c>
      <c r="G1940" s="656" t="s">
        <v>561</v>
      </c>
      <c r="H1940" s="656" t="s">
        <v>442</v>
      </c>
      <c r="I1940" s="656" t="s">
        <v>14976</v>
      </c>
      <c r="J1940" s="656" t="s">
        <v>12369</v>
      </c>
      <c r="K1940" s="656"/>
      <c r="L1940" s="656"/>
      <c r="M1940" s="657"/>
      <c r="N1940" s="1482"/>
      <c r="O1940" s="656" t="s">
        <v>498</v>
      </c>
      <c r="P1940" s="656" t="s">
        <v>13052</v>
      </c>
      <c r="Q1940" s="656">
        <v>44216.77820601852</v>
      </c>
    </row>
    <row r="1941" spans="1:17">
      <c r="A1941" s="656" t="s">
        <v>2049</v>
      </c>
      <c r="B1941" s="657" t="s">
        <v>531</v>
      </c>
      <c r="C1941" s="656" t="s">
        <v>2038</v>
      </c>
      <c r="D1941" s="657" t="s">
        <v>14978</v>
      </c>
      <c r="E1941" s="657" t="s">
        <v>9458</v>
      </c>
      <c r="F1941" s="656" t="s">
        <v>442</v>
      </c>
      <c r="G1941" s="656" t="s">
        <v>561</v>
      </c>
      <c r="H1941" s="656" t="s">
        <v>442</v>
      </c>
      <c r="I1941" s="656" t="s">
        <v>14976</v>
      </c>
      <c r="J1941" s="656" t="s">
        <v>12369</v>
      </c>
      <c r="K1941" s="656"/>
      <c r="L1941" s="656"/>
      <c r="M1941" s="657"/>
      <c r="N1941" s="1482"/>
      <c r="O1941" s="656" t="s">
        <v>498</v>
      </c>
      <c r="P1941" s="656" t="s">
        <v>13052</v>
      </c>
      <c r="Q1941" s="656">
        <v>44216.77820601852</v>
      </c>
    </row>
    <row r="1942" spans="1:17">
      <c r="A1942" s="656" t="s">
        <v>2050</v>
      </c>
      <c r="B1942" s="657" t="s">
        <v>531</v>
      </c>
      <c r="C1942" s="656" t="s">
        <v>2040</v>
      </c>
      <c r="D1942" s="657" t="s">
        <v>14978</v>
      </c>
      <c r="E1942" s="657" t="s">
        <v>9458</v>
      </c>
      <c r="F1942" s="656" t="s">
        <v>442</v>
      </c>
      <c r="G1942" s="656" t="s">
        <v>561</v>
      </c>
      <c r="H1942" s="656" t="s">
        <v>442</v>
      </c>
      <c r="I1942" s="656" t="s">
        <v>14976</v>
      </c>
      <c r="J1942" s="656" t="s">
        <v>12369</v>
      </c>
      <c r="K1942" s="656"/>
      <c r="L1942" s="656"/>
      <c r="M1942" s="657"/>
      <c r="N1942" s="1482"/>
      <c r="O1942" s="656" t="s">
        <v>498</v>
      </c>
      <c r="P1942" s="656" t="s">
        <v>13052</v>
      </c>
      <c r="Q1942" s="656">
        <v>44216.778194444443</v>
      </c>
    </row>
    <row r="1943" spans="1:17">
      <c r="A1943" s="656" t="s">
        <v>2051</v>
      </c>
      <c r="B1943" s="657" t="s">
        <v>531</v>
      </c>
      <c r="C1943" s="656" t="s">
        <v>2042</v>
      </c>
      <c r="D1943" s="657" t="s">
        <v>14978</v>
      </c>
      <c r="E1943" s="657" t="s">
        <v>9458</v>
      </c>
      <c r="F1943" s="656" t="s">
        <v>442</v>
      </c>
      <c r="G1943" s="656" t="s">
        <v>561</v>
      </c>
      <c r="H1943" s="656" t="s">
        <v>442</v>
      </c>
      <c r="I1943" s="656" t="s">
        <v>14976</v>
      </c>
      <c r="J1943" s="656" t="s">
        <v>12369</v>
      </c>
      <c r="K1943" s="656"/>
      <c r="L1943" s="656"/>
      <c r="M1943" s="657"/>
      <c r="N1943" s="1482"/>
      <c r="O1943" s="656" t="s">
        <v>498</v>
      </c>
      <c r="P1943" s="656" t="s">
        <v>13052</v>
      </c>
      <c r="Q1943" s="656">
        <v>44216.778194444443</v>
      </c>
    </row>
    <row r="1944" spans="1:17">
      <c r="A1944" s="656" t="s">
        <v>2052</v>
      </c>
      <c r="B1944" s="657" t="s">
        <v>531</v>
      </c>
      <c r="C1944" s="656" t="s">
        <v>2044</v>
      </c>
      <c r="D1944" s="657" t="s">
        <v>14978</v>
      </c>
      <c r="E1944" s="657" t="s">
        <v>9458</v>
      </c>
      <c r="F1944" s="656" t="s">
        <v>442</v>
      </c>
      <c r="G1944" s="656" t="s">
        <v>561</v>
      </c>
      <c r="H1944" s="656" t="s">
        <v>442</v>
      </c>
      <c r="I1944" s="656" t="s">
        <v>14976</v>
      </c>
      <c r="J1944" s="656" t="s">
        <v>12369</v>
      </c>
      <c r="K1944" s="656"/>
      <c r="L1944" s="656"/>
      <c r="M1944" s="657"/>
      <c r="N1944" s="1482"/>
      <c r="O1944" s="656" t="s">
        <v>498</v>
      </c>
      <c r="P1944" s="656" t="s">
        <v>13052</v>
      </c>
      <c r="Q1944" s="656">
        <v>44216.778194444443</v>
      </c>
    </row>
    <row r="1945" spans="1:17">
      <c r="A1945" s="656" t="s">
        <v>2053</v>
      </c>
      <c r="B1945" s="657" t="s">
        <v>531</v>
      </c>
      <c r="C1945" s="656" t="s">
        <v>2046</v>
      </c>
      <c r="D1945" s="657" t="s">
        <v>14978</v>
      </c>
      <c r="E1945" s="657" t="s">
        <v>9458</v>
      </c>
      <c r="F1945" s="656" t="s">
        <v>442</v>
      </c>
      <c r="G1945" s="656" t="s">
        <v>561</v>
      </c>
      <c r="H1945" s="656" t="s">
        <v>442</v>
      </c>
      <c r="I1945" s="656" t="s">
        <v>14976</v>
      </c>
      <c r="J1945" s="656" t="s">
        <v>12369</v>
      </c>
      <c r="K1945" s="656"/>
      <c r="L1945" s="656"/>
      <c r="M1945" s="657"/>
      <c r="N1945" s="1482"/>
      <c r="O1945" s="656" t="s">
        <v>498</v>
      </c>
      <c r="P1945" s="656" t="s">
        <v>13052</v>
      </c>
      <c r="Q1945" s="656">
        <v>44216.778182870374</v>
      </c>
    </row>
    <row r="1946" spans="1:17">
      <c r="A1946" s="656" t="s">
        <v>2054</v>
      </c>
      <c r="B1946" s="657" t="s">
        <v>531</v>
      </c>
      <c r="C1946" s="656" t="s">
        <v>2034</v>
      </c>
      <c r="D1946" s="657" t="s">
        <v>14978</v>
      </c>
      <c r="E1946" s="657" t="s">
        <v>9458</v>
      </c>
      <c r="F1946" s="656" t="s">
        <v>442</v>
      </c>
      <c r="G1946" s="656" t="s">
        <v>561</v>
      </c>
      <c r="H1946" s="656" t="s">
        <v>442</v>
      </c>
      <c r="I1946" s="656" t="s">
        <v>14976</v>
      </c>
      <c r="J1946" s="656" t="s">
        <v>12369</v>
      </c>
      <c r="K1946" s="656"/>
      <c r="L1946" s="656"/>
      <c r="M1946" s="657"/>
      <c r="N1946" s="1482"/>
      <c r="O1946" s="656" t="s">
        <v>498</v>
      </c>
      <c r="P1946" s="656" t="s">
        <v>13052</v>
      </c>
      <c r="Q1946" s="656">
        <v>44216.778182870374</v>
      </c>
    </row>
    <row r="1947" spans="1:17">
      <c r="A1947" s="656" t="s">
        <v>2055</v>
      </c>
      <c r="B1947" s="657" t="s">
        <v>531</v>
      </c>
      <c r="C1947" s="656" t="s">
        <v>2036</v>
      </c>
      <c r="D1947" s="657" t="s">
        <v>14978</v>
      </c>
      <c r="E1947" s="657" t="s">
        <v>9458</v>
      </c>
      <c r="F1947" s="656" t="s">
        <v>442</v>
      </c>
      <c r="G1947" s="656" t="s">
        <v>561</v>
      </c>
      <c r="H1947" s="656" t="s">
        <v>442</v>
      </c>
      <c r="I1947" s="656" t="s">
        <v>14976</v>
      </c>
      <c r="J1947" s="656" t="s">
        <v>12369</v>
      </c>
      <c r="K1947" s="656"/>
      <c r="L1947" s="656"/>
      <c r="M1947" s="657"/>
      <c r="N1947" s="1482"/>
      <c r="O1947" s="656" t="s">
        <v>498</v>
      </c>
      <c r="P1947" s="656" t="s">
        <v>13052</v>
      </c>
      <c r="Q1947" s="656">
        <v>44216.778171296297</v>
      </c>
    </row>
    <row r="1948" spans="1:17">
      <c r="A1948" s="656" t="s">
        <v>2056</v>
      </c>
      <c r="B1948" s="657" t="s">
        <v>531</v>
      </c>
      <c r="C1948" s="656" t="s">
        <v>2038</v>
      </c>
      <c r="D1948" s="657" t="s">
        <v>14978</v>
      </c>
      <c r="E1948" s="657" t="s">
        <v>9458</v>
      </c>
      <c r="F1948" s="656" t="s">
        <v>442</v>
      </c>
      <c r="G1948" s="656" t="s">
        <v>561</v>
      </c>
      <c r="H1948" s="656" t="s">
        <v>442</v>
      </c>
      <c r="I1948" s="656" t="s">
        <v>14976</v>
      </c>
      <c r="J1948" s="656" t="s">
        <v>12369</v>
      </c>
      <c r="K1948" s="656"/>
      <c r="L1948" s="656"/>
      <c r="M1948" s="657"/>
      <c r="N1948" s="1482"/>
      <c r="O1948" s="656" t="s">
        <v>498</v>
      </c>
      <c r="P1948" s="656" t="s">
        <v>13052</v>
      </c>
      <c r="Q1948" s="656">
        <v>44216.778171296297</v>
      </c>
    </row>
    <row r="1949" spans="1:17">
      <c r="A1949" s="656" t="s">
        <v>2057</v>
      </c>
      <c r="B1949" s="657" t="s">
        <v>531</v>
      </c>
      <c r="C1949" s="656" t="s">
        <v>2040</v>
      </c>
      <c r="D1949" s="657" t="s">
        <v>14978</v>
      </c>
      <c r="E1949" s="657" t="s">
        <v>9458</v>
      </c>
      <c r="F1949" s="656" t="s">
        <v>442</v>
      </c>
      <c r="G1949" s="656" t="s">
        <v>561</v>
      </c>
      <c r="H1949" s="656" t="s">
        <v>442</v>
      </c>
      <c r="I1949" s="656" t="s">
        <v>14976</v>
      </c>
      <c r="J1949" s="656" t="s">
        <v>12369</v>
      </c>
      <c r="K1949" s="656"/>
      <c r="L1949" s="656"/>
      <c r="M1949" s="657"/>
      <c r="N1949" s="1482"/>
      <c r="O1949" s="656" t="s">
        <v>498</v>
      </c>
      <c r="P1949" s="656" t="s">
        <v>13052</v>
      </c>
      <c r="Q1949" s="656">
        <v>44216.778171296297</v>
      </c>
    </row>
    <row r="1950" spans="1:17">
      <c r="A1950" s="656" t="s">
        <v>2058</v>
      </c>
      <c r="B1950" s="657" t="s">
        <v>531</v>
      </c>
      <c r="C1950" s="656" t="s">
        <v>2042</v>
      </c>
      <c r="D1950" s="657" t="s">
        <v>14978</v>
      </c>
      <c r="E1950" s="657" t="s">
        <v>9458</v>
      </c>
      <c r="F1950" s="656" t="s">
        <v>442</v>
      </c>
      <c r="G1950" s="656" t="s">
        <v>561</v>
      </c>
      <c r="H1950" s="656" t="s">
        <v>442</v>
      </c>
      <c r="I1950" s="656" t="s">
        <v>14976</v>
      </c>
      <c r="J1950" s="656" t="s">
        <v>12369</v>
      </c>
      <c r="K1950" s="656"/>
      <c r="L1950" s="656"/>
      <c r="M1950" s="657"/>
      <c r="N1950" s="1482"/>
      <c r="O1950" s="656" t="s">
        <v>498</v>
      </c>
      <c r="P1950" s="656" t="s">
        <v>13052</v>
      </c>
      <c r="Q1950" s="656">
        <v>44216.77815972222</v>
      </c>
    </row>
    <row r="1951" spans="1:17">
      <c r="A1951" s="656" t="s">
        <v>2059</v>
      </c>
      <c r="B1951" s="657" t="s">
        <v>531</v>
      </c>
      <c r="C1951" s="656" t="s">
        <v>2044</v>
      </c>
      <c r="D1951" s="657" t="s">
        <v>14978</v>
      </c>
      <c r="E1951" s="657" t="s">
        <v>9458</v>
      </c>
      <c r="F1951" s="656" t="s">
        <v>442</v>
      </c>
      <c r="G1951" s="656" t="s">
        <v>561</v>
      </c>
      <c r="H1951" s="656" t="s">
        <v>442</v>
      </c>
      <c r="I1951" s="656" t="s">
        <v>14976</v>
      </c>
      <c r="J1951" s="656" t="s">
        <v>12369</v>
      </c>
      <c r="K1951" s="656"/>
      <c r="L1951" s="656"/>
      <c r="M1951" s="657"/>
      <c r="N1951" s="1482"/>
      <c r="O1951" s="656" t="s">
        <v>498</v>
      </c>
      <c r="P1951" s="656" t="s">
        <v>13052</v>
      </c>
      <c r="Q1951" s="656">
        <v>44216.77815972222</v>
      </c>
    </row>
    <row r="1952" spans="1:17">
      <c r="A1952" s="656" t="s">
        <v>2060</v>
      </c>
      <c r="B1952" s="657" t="s">
        <v>531</v>
      </c>
      <c r="C1952" s="656" t="s">
        <v>2046</v>
      </c>
      <c r="D1952" s="657" t="s">
        <v>14978</v>
      </c>
      <c r="E1952" s="657" t="s">
        <v>9458</v>
      </c>
      <c r="F1952" s="656" t="s">
        <v>442</v>
      </c>
      <c r="G1952" s="656" t="s">
        <v>561</v>
      </c>
      <c r="H1952" s="656" t="s">
        <v>442</v>
      </c>
      <c r="I1952" s="656" t="s">
        <v>14976</v>
      </c>
      <c r="J1952" s="656" t="s">
        <v>12369</v>
      </c>
      <c r="K1952" s="656"/>
      <c r="L1952" s="656"/>
      <c r="M1952" s="657"/>
      <c r="N1952" s="1482"/>
      <c r="O1952" s="656" t="s">
        <v>498</v>
      </c>
      <c r="P1952" s="656" t="s">
        <v>13052</v>
      </c>
      <c r="Q1952" s="656">
        <v>44216.77815972222</v>
      </c>
    </row>
    <row r="1953" spans="1:17">
      <c r="A1953" s="656" t="s">
        <v>2061</v>
      </c>
      <c r="B1953" s="657" t="s">
        <v>531</v>
      </c>
      <c r="C1953" s="656" t="s">
        <v>2062</v>
      </c>
      <c r="D1953" s="657" t="s">
        <v>14977</v>
      </c>
      <c r="E1953" s="657" t="s">
        <v>9458</v>
      </c>
      <c r="F1953" s="656" t="s">
        <v>442</v>
      </c>
      <c r="G1953" s="656" t="s">
        <v>561</v>
      </c>
      <c r="H1953" s="656" t="s">
        <v>442</v>
      </c>
      <c r="I1953" s="656" t="s">
        <v>14976</v>
      </c>
      <c r="J1953" s="656" t="s">
        <v>12369</v>
      </c>
      <c r="K1953" s="656"/>
      <c r="L1953" s="656" t="s">
        <v>4730</v>
      </c>
      <c r="M1953" s="657"/>
      <c r="N1953" s="1482"/>
      <c r="O1953" s="656" t="s">
        <v>498</v>
      </c>
      <c r="P1953" s="656" t="s">
        <v>13052</v>
      </c>
      <c r="Q1953" s="656">
        <v>44216.778148148151</v>
      </c>
    </row>
    <row r="1954" spans="1:17">
      <c r="A1954" s="656" t="s">
        <v>13808</v>
      </c>
      <c r="B1954" s="657" t="s">
        <v>504</v>
      </c>
      <c r="C1954" s="656" t="s">
        <v>2063</v>
      </c>
      <c r="D1954" s="657" t="s">
        <v>13789</v>
      </c>
      <c r="E1954" s="657" t="s">
        <v>9458</v>
      </c>
      <c r="F1954" s="656" t="s">
        <v>540</v>
      </c>
      <c r="G1954" s="656" t="s">
        <v>569</v>
      </c>
      <c r="H1954" s="656" t="s">
        <v>540</v>
      </c>
      <c r="I1954" s="656" t="s">
        <v>14976</v>
      </c>
      <c r="J1954" s="656"/>
      <c r="K1954" s="656"/>
      <c r="L1954" s="656" t="s">
        <v>2064</v>
      </c>
      <c r="M1954" s="657"/>
      <c r="N1954" s="1482"/>
      <c r="O1954" s="656" t="s">
        <v>498</v>
      </c>
      <c r="P1954" s="656" t="s">
        <v>13052</v>
      </c>
      <c r="Q1954" s="656">
        <v>44216.778148148151</v>
      </c>
    </row>
    <row r="1955" spans="1:17">
      <c r="A1955" s="656" t="s">
        <v>2064</v>
      </c>
      <c r="B1955" s="657" t="s">
        <v>504</v>
      </c>
      <c r="C1955" s="656" t="s">
        <v>2065</v>
      </c>
      <c r="D1955" s="657" t="s">
        <v>13789</v>
      </c>
      <c r="E1955" s="657" t="s">
        <v>7439</v>
      </c>
      <c r="F1955" s="656" t="s">
        <v>505</v>
      </c>
      <c r="G1955" s="656" t="s">
        <v>522</v>
      </c>
      <c r="H1955" s="656" t="s">
        <v>505</v>
      </c>
      <c r="I1955" s="656" t="s">
        <v>14976</v>
      </c>
      <c r="J1955" s="656"/>
      <c r="K1955" s="656"/>
      <c r="L1955" s="656"/>
      <c r="M1955" s="657"/>
      <c r="N1955" s="1482"/>
      <c r="O1955" s="656" t="s">
        <v>498</v>
      </c>
      <c r="P1955" s="656" t="s">
        <v>13052</v>
      </c>
      <c r="Q1955" s="656">
        <v>44216.778136574074</v>
      </c>
    </row>
    <row r="1956" spans="1:17">
      <c r="A1956" s="656" t="s">
        <v>2066</v>
      </c>
      <c r="B1956" s="657" t="s">
        <v>202</v>
      </c>
      <c r="C1956" s="656" t="s">
        <v>2067</v>
      </c>
      <c r="D1956" s="657" t="s">
        <v>13789</v>
      </c>
      <c r="E1956" s="657" t="s">
        <v>9510</v>
      </c>
      <c r="F1956" s="656" t="s">
        <v>1050</v>
      </c>
      <c r="G1956" s="656" t="s">
        <v>1051</v>
      </c>
      <c r="H1956" s="656" t="s">
        <v>1050</v>
      </c>
      <c r="I1956" s="656" t="s">
        <v>14976</v>
      </c>
      <c r="J1956" s="656"/>
      <c r="K1956" s="656"/>
      <c r="L1956" s="656"/>
      <c r="M1956" s="657"/>
      <c r="N1956" s="1482"/>
      <c r="O1956" s="656" t="s">
        <v>498</v>
      </c>
      <c r="P1956" s="656" t="s">
        <v>13052</v>
      </c>
      <c r="Q1956" s="656">
        <v>44216.778136574074</v>
      </c>
    </row>
    <row r="1957" spans="1:17">
      <c r="A1957" s="656" t="s">
        <v>2068</v>
      </c>
      <c r="B1957" s="657" t="s">
        <v>202</v>
      </c>
      <c r="C1957" s="656" t="s">
        <v>2069</v>
      </c>
      <c r="D1957" s="657" t="s">
        <v>13789</v>
      </c>
      <c r="E1957" s="657" t="s">
        <v>9458</v>
      </c>
      <c r="F1957" s="656" t="s">
        <v>445</v>
      </c>
      <c r="G1957" s="656" t="s">
        <v>552</v>
      </c>
      <c r="H1957" s="656" t="s">
        <v>445</v>
      </c>
      <c r="I1957" s="656" t="s">
        <v>15280</v>
      </c>
      <c r="J1957" s="656" t="s">
        <v>8814</v>
      </c>
      <c r="K1957" s="656"/>
      <c r="L1957" s="656"/>
      <c r="M1957" s="657"/>
      <c r="N1957" s="1482"/>
      <c r="O1957" s="656" t="s">
        <v>498</v>
      </c>
      <c r="P1957" s="656" t="s">
        <v>13052</v>
      </c>
      <c r="Q1957" s="656">
        <v>44216.778136574074</v>
      </c>
    </row>
    <row r="1958" spans="1:17">
      <c r="A1958" s="656" t="s">
        <v>2070</v>
      </c>
      <c r="B1958" s="657" t="s">
        <v>202</v>
      </c>
      <c r="C1958" s="656" t="s">
        <v>2071</v>
      </c>
      <c r="D1958" s="657" t="s">
        <v>13789</v>
      </c>
      <c r="E1958" s="657" t="s">
        <v>9510</v>
      </c>
      <c r="F1958" s="656" t="s">
        <v>462</v>
      </c>
      <c r="G1958" s="656"/>
      <c r="H1958" s="656" t="s">
        <v>462</v>
      </c>
      <c r="I1958" s="656" t="s">
        <v>14976</v>
      </c>
      <c r="J1958" s="656" t="s">
        <v>463</v>
      </c>
      <c r="K1958" s="656"/>
      <c r="L1958" s="656"/>
      <c r="M1958" s="657"/>
      <c r="N1958" s="1482"/>
      <c r="O1958" s="656" t="s">
        <v>498</v>
      </c>
      <c r="P1958" s="656" t="s">
        <v>13052</v>
      </c>
      <c r="Q1958" s="656">
        <v>44216.778124999997</v>
      </c>
    </row>
    <row r="1959" spans="1:17">
      <c r="A1959" s="656" t="s">
        <v>2073</v>
      </c>
      <c r="B1959" s="657" t="s">
        <v>202</v>
      </c>
      <c r="C1959" s="656" t="s">
        <v>2074</v>
      </c>
      <c r="D1959" s="657" t="s">
        <v>13789</v>
      </c>
      <c r="E1959" s="657" t="s">
        <v>9510</v>
      </c>
      <c r="F1959" s="656" t="s">
        <v>462</v>
      </c>
      <c r="G1959" s="656" t="s">
        <v>2072</v>
      </c>
      <c r="H1959" s="656" t="s">
        <v>462</v>
      </c>
      <c r="I1959" s="656" t="s">
        <v>14976</v>
      </c>
      <c r="J1959" s="656" t="s">
        <v>463</v>
      </c>
      <c r="K1959" s="656"/>
      <c r="L1959" s="656"/>
      <c r="M1959" s="657"/>
      <c r="N1959" s="1482"/>
      <c r="O1959" s="656" t="s">
        <v>498</v>
      </c>
      <c r="P1959" s="656" t="s">
        <v>13052</v>
      </c>
      <c r="Q1959" s="656">
        <v>44216.778124999997</v>
      </c>
    </row>
    <row r="1960" spans="1:17">
      <c r="A1960" s="656" t="s">
        <v>2075</v>
      </c>
      <c r="B1960" s="657" t="s">
        <v>202</v>
      </c>
      <c r="C1960" s="656" t="s">
        <v>2076</v>
      </c>
      <c r="D1960" s="657" t="s">
        <v>13789</v>
      </c>
      <c r="E1960" s="657" t="s">
        <v>9510</v>
      </c>
      <c r="F1960" s="656" t="s">
        <v>462</v>
      </c>
      <c r="G1960" s="656"/>
      <c r="H1960" s="656" t="s">
        <v>462</v>
      </c>
      <c r="I1960" s="656" t="s">
        <v>14976</v>
      </c>
      <c r="J1960" s="656" t="s">
        <v>463</v>
      </c>
      <c r="K1960" s="656"/>
      <c r="L1960" s="656"/>
      <c r="M1960" s="657"/>
      <c r="N1960" s="1482"/>
      <c r="O1960" s="656" t="s">
        <v>498</v>
      </c>
      <c r="P1960" s="656" t="s">
        <v>13052</v>
      </c>
      <c r="Q1960" s="656">
        <v>44216.778113425928</v>
      </c>
    </row>
    <row r="1961" spans="1:17">
      <c r="A1961" s="656" t="s">
        <v>2077</v>
      </c>
      <c r="B1961" s="657" t="s">
        <v>202</v>
      </c>
      <c r="C1961" s="656" t="s">
        <v>2078</v>
      </c>
      <c r="D1961" s="657" t="s">
        <v>13789</v>
      </c>
      <c r="E1961" s="657" t="s">
        <v>9510</v>
      </c>
      <c r="F1961" s="656" t="s">
        <v>462</v>
      </c>
      <c r="G1961" s="656"/>
      <c r="H1961" s="656" t="s">
        <v>462</v>
      </c>
      <c r="I1961" s="656" t="s">
        <v>14976</v>
      </c>
      <c r="J1961" s="656" t="s">
        <v>463</v>
      </c>
      <c r="K1961" s="656"/>
      <c r="L1961" s="656"/>
      <c r="M1961" s="657"/>
      <c r="N1961" s="1482"/>
      <c r="O1961" s="656" t="s">
        <v>498</v>
      </c>
      <c r="P1961" s="656" t="s">
        <v>13052</v>
      </c>
      <c r="Q1961" s="656">
        <v>44216.778113425928</v>
      </c>
    </row>
    <row r="1962" spans="1:17">
      <c r="A1962" s="656" t="s">
        <v>2079</v>
      </c>
      <c r="B1962" s="657" t="s">
        <v>202</v>
      </c>
      <c r="C1962" s="656" t="s">
        <v>2080</v>
      </c>
      <c r="D1962" s="657" t="s">
        <v>13789</v>
      </c>
      <c r="E1962" s="657" t="s">
        <v>9510</v>
      </c>
      <c r="F1962" s="656" t="s">
        <v>462</v>
      </c>
      <c r="G1962" s="656"/>
      <c r="H1962" s="656" t="s">
        <v>462</v>
      </c>
      <c r="I1962" s="656" t="s">
        <v>14976</v>
      </c>
      <c r="J1962" s="656" t="s">
        <v>463</v>
      </c>
      <c r="K1962" s="656"/>
      <c r="L1962" s="656"/>
      <c r="M1962" s="657"/>
      <c r="N1962" s="1482"/>
      <c r="O1962" s="656" t="s">
        <v>498</v>
      </c>
      <c r="P1962" s="656" t="s">
        <v>13052</v>
      </c>
      <c r="Q1962" s="656">
        <v>44216.778101851851</v>
      </c>
    </row>
    <row r="1963" spans="1:17">
      <c r="A1963" s="656" t="s">
        <v>2081</v>
      </c>
      <c r="B1963" s="657" t="s">
        <v>202</v>
      </c>
      <c r="C1963" s="656" t="s">
        <v>2082</v>
      </c>
      <c r="D1963" s="657" t="s">
        <v>13789</v>
      </c>
      <c r="E1963" s="657" t="s">
        <v>9510</v>
      </c>
      <c r="F1963" s="656" t="s">
        <v>462</v>
      </c>
      <c r="G1963" s="656"/>
      <c r="H1963" s="656" t="s">
        <v>462</v>
      </c>
      <c r="I1963" s="656" t="s">
        <v>14976</v>
      </c>
      <c r="J1963" s="656" t="s">
        <v>463</v>
      </c>
      <c r="K1963" s="656"/>
      <c r="L1963" s="656"/>
      <c r="M1963" s="657"/>
      <c r="N1963" s="1482"/>
      <c r="O1963" s="656" t="s">
        <v>498</v>
      </c>
      <c r="P1963" s="656" t="s">
        <v>13052</v>
      </c>
      <c r="Q1963" s="656">
        <v>44216.778101851851</v>
      </c>
    </row>
    <row r="1964" spans="1:17">
      <c r="A1964" s="656" t="s">
        <v>2083</v>
      </c>
      <c r="B1964" s="657" t="s">
        <v>202</v>
      </c>
      <c r="C1964" s="656" t="s">
        <v>2084</v>
      </c>
      <c r="D1964" s="657" t="s">
        <v>13789</v>
      </c>
      <c r="E1964" s="657" t="s">
        <v>9510</v>
      </c>
      <c r="F1964" s="656" t="s">
        <v>462</v>
      </c>
      <c r="G1964" s="656"/>
      <c r="H1964" s="656" t="s">
        <v>462</v>
      </c>
      <c r="I1964" s="656" t="s">
        <v>14976</v>
      </c>
      <c r="J1964" s="656" t="s">
        <v>463</v>
      </c>
      <c r="K1964" s="656"/>
      <c r="L1964" s="656"/>
      <c r="M1964" s="657"/>
      <c r="N1964" s="1482"/>
      <c r="O1964" s="656" t="s">
        <v>498</v>
      </c>
      <c r="P1964" s="656" t="s">
        <v>13052</v>
      </c>
      <c r="Q1964" s="656">
        <v>44216.778090277781</v>
      </c>
    </row>
    <row r="1965" spans="1:17">
      <c r="A1965" s="656" t="s">
        <v>2085</v>
      </c>
      <c r="B1965" s="657" t="s">
        <v>202</v>
      </c>
      <c r="C1965" s="656" t="s">
        <v>2086</v>
      </c>
      <c r="D1965" s="657" t="s">
        <v>13789</v>
      </c>
      <c r="E1965" s="657" t="s">
        <v>9510</v>
      </c>
      <c r="F1965" s="656" t="s">
        <v>1300</v>
      </c>
      <c r="G1965" s="656" t="s">
        <v>1070</v>
      </c>
      <c r="H1965" s="656" t="s">
        <v>1300</v>
      </c>
      <c r="I1965" s="656" t="s">
        <v>14976</v>
      </c>
      <c r="J1965" s="656"/>
      <c r="K1965" s="656"/>
      <c r="L1965" s="656"/>
      <c r="M1965" s="657"/>
      <c r="N1965" s="1482"/>
      <c r="O1965" s="656" t="s">
        <v>498</v>
      </c>
      <c r="P1965" s="656" t="s">
        <v>13052</v>
      </c>
      <c r="Q1965" s="656">
        <v>44216.778090277781</v>
      </c>
    </row>
    <row r="1966" spans="1:17">
      <c r="A1966" s="656" t="s">
        <v>2087</v>
      </c>
      <c r="B1966" s="657" t="s">
        <v>531</v>
      </c>
      <c r="C1966" s="656" t="s">
        <v>2088</v>
      </c>
      <c r="D1966" s="657" t="s">
        <v>13789</v>
      </c>
      <c r="E1966" s="657" t="s">
        <v>9510</v>
      </c>
      <c r="F1966" s="656" t="s">
        <v>2849</v>
      </c>
      <c r="G1966" s="656" t="s">
        <v>717</v>
      </c>
      <c r="H1966" s="656" t="s">
        <v>1338</v>
      </c>
      <c r="I1966" s="656" t="s">
        <v>14976</v>
      </c>
      <c r="J1966" s="656"/>
      <c r="K1966" s="656"/>
      <c r="L1966" s="656"/>
      <c r="M1966" s="657"/>
      <c r="N1966" s="1482"/>
      <c r="O1966" s="656" t="s">
        <v>498</v>
      </c>
      <c r="P1966" s="656" t="s">
        <v>13052</v>
      </c>
      <c r="Q1966" s="656">
        <v>44216.778078703705</v>
      </c>
    </row>
    <row r="1967" spans="1:17">
      <c r="A1967" s="656" t="s">
        <v>2089</v>
      </c>
      <c r="B1967" s="657" t="s">
        <v>202</v>
      </c>
      <c r="C1967" s="656" t="s">
        <v>13807</v>
      </c>
      <c r="D1967" s="657" t="s">
        <v>13789</v>
      </c>
      <c r="E1967" s="657" t="s">
        <v>9510</v>
      </c>
      <c r="F1967" s="656" t="s">
        <v>1050</v>
      </c>
      <c r="G1967" s="656" t="s">
        <v>1051</v>
      </c>
      <c r="H1967" s="656" t="s">
        <v>1050</v>
      </c>
      <c r="I1967" s="656" t="s">
        <v>14976</v>
      </c>
      <c r="J1967" s="656"/>
      <c r="K1967" s="656"/>
      <c r="L1967" s="656"/>
      <c r="M1967" s="657"/>
      <c r="N1967" s="1482"/>
      <c r="O1967" s="656" t="s">
        <v>498</v>
      </c>
      <c r="P1967" s="656" t="s">
        <v>13052</v>
      </c>
      <c r="Q1967" s="656">
        <v>44216.778078703705</v>
      </c>
    </row>
    <row r="1968" spans="1:17">
      <c r="A1968" s="656" t="s">
        <v>2090</v>
      </c>
      <c r="B1968" s="657" t="s">
        <v>531</v>
      </c>
      <c r="C1968" s="656" t="s">
        <v>2091</v>
      </c>
      <c r="D1968" s="657" t="s">
        <v>13789</v>
      </c>
      <c r="E1968" s="657" t="s">
        <v>9510</v>
      </c>
      <c r="F1968" s="656" t="s">
        <v>2849</v>
      </c>
      <c r="G1968" s="656" t="s">
        <v>717</v>
      </c>
      <c r="H1968" s="656" t="s">
        <v>1338</v>
      </c>
      <c r="I1968" s="656" t="s">
        <v>14976</v>
      </c>
      <c r="J1968" s="656"/>
      <c r="K1968" s="656"/>
      <c r="L1968" s="656"/>
      <c r="M1968" s="657"/>
      <c r="N1968" s="1482"/>
      <c r="O1968" s="656" t="s">
        <v>498</v>
      </c>
      <c r="P1968" s="656" t="s">
        <v>13052</v>
      </c>
      <c r="Q1968" s="656">
        <v>44216.778067129628</v>
      </c>
    </row>
    <row r="1969" spans="1:17">
      <c r="A1969" s="656" t="s">
        <v>2092</v>
      </c>
      <c r="B1969" s="657" t="s">
        <v>202</v>
      </c>
      <c r="C1969" s="656" t="s">
        <v>2093</v>
      </c>
      <c r="D1969" s="657" t="s">
        <v>13789</v>
      </c>
      <c r="E1969" s="657" t="s">
        <v>9510</v>
      </c>
      <c r="F1969" s="656" t="s">
        <v>1300</v>
      </c>
      <c r="G1969" s="656" t="s">
        <v>1924</v>
      </c>
      <c r="H1969" s="656" t="s">
        <v>1300</v>
      </c>
      <c r="I1969" s="656" t="s">
        <v>14976</v>
      </c>
      <c r="J1969" s="656"/>
      <c r="K1969" s="656"/>
      <c r="L1969" s="656"/>
      <c r="M1969" s="657"/>
      <c r="N1969" s="1482"/>
      <c r="O1969" s="656" t="s">
        <v>498</v>
      </c>
      <c r="P1969" s="656" t="s">
        <v>13052</v>
      </c>
      <c r="Q1969" s="656">
        <v>44216.778067129628</v>
      </c>
    </row>
    <row r="1970" spans="1:17">
      <c r="A1970" s="656" t="s">
        <v>2094</v>
      </c>
      <c r="B1970" s="657" t="s">
        <v>202</v>
      </c>
      <c r="C1970" s="656" t="s">
        <v>2095</v>
      </c>
      <c r="D1970" s="657" t="s">
        <v>13789</v>
      </c>
      <c r="E1970" s="657" t="s">
        <v>9510</v>
      </c>
      <c r="F1970" s="656" t="s">
        <v>1300</v>
      </c>
      <c r="G1970" s="656" t="s">
        <v>1924</v>
      </c>
      <c r="H1970" s="656" t="s">
        <v>1300</v>
      </c>
      <c r="I1970" s="656" t="s">
        <v>14976</v>
      </c>
      <c r="J1970" s="656"/>
      <c r="K1970" s="656"/>
      <c r="L1970" s="656"/>
      <c r="M1970" s="657"/>
      <c r="N1970" s="1482"/>
      <c r="O1970" s="656" t="s">
        <v>498</v>
      </c>
      <c r="P1970" s="656" t="s">
        <v>13052</v>
      </c>
      <c r="Q1970" s="656">
        <v>44216.778055555558</v>
      </c>
    </row>
    <row r="1971" spans="1:17">
      <c r="A1971" s="656" t="s">
        <v>2096</v>
      </c>
      <c r="B1971" s="657" t="s">
        <v>202</v>
      </c>
      <c r="C1971" s="656" t="s">
        <v>2097</v>
      </c>
      <c r="D1971" s="657" t="s">
        <v>13789</v>
      </c>
      <c r="E1971" s="657" t="s">
        <v>9510</v>
      </c>
      <c r="F1971" s="656" t="s">
        <v>1300</v>
      </c>
      <c r="G1971" s="656" t="s">
        <v>1924</v>
      </c>
      <c r="H1971" s="656" t="s">
        <v>1300</v>
      </c>
      <c r="I1971" s="656" t="s">
        <v>14976</v>
      </c>
      <c r="J1971" s="656"/>
      <c r="K1971" s="656"/>
      <c r="L1971" s="656"/>
      <c r="M1971" s="657"/>
      <c r="N1971" s="1482"/>
      <c r="O1971" s="656" t="s">
        <v>498</v>
      </c>
      <c r="P1971" s="656" t="s">
        <v>13052</v>
      </c>
      <c r="Q1971" s="656">
        <v>44216.778055555558</v>
      </c>
    </row>
    <row r="1972" spans="1:17">
      <c r="A1972" s="656" t="s">
        <v>2098</v>
      </c>
      <c r="B1972" s="657" t="s">
        <v>202</v>
      </c>
      <c r="C1972" s="656" t="s">
        <v>2099</v>
      </c>
      <c r="D1972" s="657" t="s">
        <v>13789</v>
      </c>
      <c r="E1972" s="657" t="s">
        <v>9510</v>
      </c>
      <c r="F1972" s="656" t="s">
        <v>462</v>
      </c>
      <c r="G1972" s="656" t="s">
        <v>2100</v>
      </c>
      <c r="H1972" s="656" t="s">
        <v>462</v>
      </c>
      <c r="I1972" s="656" t="s">
        <v>14976</v>
      </c>
      <c r="J1972" s="656" t="s">
        <v>463</v>
      </c>
      <c r="K1972" s="656" t="s">
        <v>1058</v>
      </c>
      <c r="L1972" s="656"/>
      <c r="M1972" s="657"/>
      <c r="N1972" s="1482"/>
      <c r="O1972" s="656" t="s">
        <v>498</v>
      </c>
      <c r="P1972" s="656" t="s">
        <v>13052</v>
      </c>
      <c r="Q1972" s="656">
        <v>44216.778043981481</v>
      </c>
    </row>
    <row r="1973" spans="1:17">
      <c r="A1973" s="656" t="s">
        <v>2101</v>
      </c>
      <c r="B1973" s="657" t="s">
        <v>202</v>
      </c>
      <c r="C1973" s="656" t="s">
        <v>2102</v>
      </c>
      <c r="D1973" s="657" t="s">
        <v>13789</v>
      </c>
      <c r="E1973" s="657" t="s">
        <v>9510</v>
      </c>
      <c r="F1973" s="656" t="s">
        <v>3077</v>
      </c>
      <c r="G1973" s="656" t="s">
        <v>512</v>
      </c>
      <c r="H1973" s="656" t="s">
        <v>465</v>
      </c>
      <c r="I1973" s="656" t="s">
        <v>14976</v>
      </c>
      <c r="J1973" s="656" t="s">
        <v>446</v>
      </c>
      <c r="K1973" s="656" t="s">
        <v>3077</v>
      </c>
      <c r="L1973" s="656"/>
      <c r="M1973" s="657"/>
      <c r="N1973" s="1482"/>
      <c r="O1973" s="656" t="s">
        <v>498</v>
      </c>
      <c r="P1973" s="656" t="s">
        <v>13052</v>
      </c>
      <c r="Q1973" s="656">
        <v>44216.778043981481</v>
      </c>
    </row>
    <row r="1974" spans="1:17">
      <c r="A1974" s="656" t="s">
        <v>2103</v>
      </c>
      <c r="B1974" s="657" t="s">
        <v>202</v>
      </c>
      <c r="C1974" s="656" t="s">
        <v>2104</v>
      </c>
      <c r="D1974" s="657" t="s">
        <v>13789</v>
      </c>
      <c r="E1974" s="657" t="s">
        <v>9510</v>
      </c>
      <c r="F1974" s="656" t="s">
        <v>1300</v>
      </c>
      <c r="G1974" s="656" t="s">
        <v>1924</v>
      </c>
      <c r="H1974" s="656" t="s">
        <v>1300</v>
      </c>
      <c r="I1974" s="656" t="s">
        <v>14976</v>
      </c>
      <c r="J1974" s="656"/>
      <c r="K1974" s="656"/>
      <c r="L1974" s="656"/>
      <c r="M1974" s="657"/>
      <c r="N1974" s="1482"/>
      <c r="O1974" s="656" t="s">
        <v>498</v>
      </c>
      <c r="P1974" s="656" t="s">
        <v>13052</v>
      </c>
      <c r="Q1974" s="656">
        <v>44216.778043981481</v>
      </c>
    </row>
    <row r="1975" spans="1:17">
      <c r="A1975" s="656" t="s">
        <v>2105</v>
      </c>
      <c r="B1975" s="657" t="s">
        <v>202</v>
      </c>
      <c r="C1975" s="656" t="s">
        <v>2106</v>
      </c>
      <c r="D1975" s="657" t="s">
        <v>13789</v>
      </c>
      <c r="E1975" s="657" t="s">
        <v>9510</v>
      </c>
      <c r="F1975" s="656" t="s">
        <v>462</v>
      </c>
      <c r="G1975" s="656" t="s">
        <v>552</v>
      </c>
      <c r="H1975" s="656" t="s">
        <v>462</v>
      </c>
      <c r="I1975" s="656" t="s">
        <v>14976</v>
      </c>
      <c r="J1975" s="656" t="s">
        <v>463</v>
      </c>
      <c r="K1975" s="656"/>
      <c r="L1975" s="656"/>
      <c r="M1975" s="657"/>
      <c r="N1975" s="1482"/>
      <c r="O1975" s="656" t="s">
        <v>498</v>
      </c>
      <c r="P1975" s="656" t="s">
        <v>13052</v>
      </c>
      <c r="Q1975" s="656">
        <v>44216.778032407405</v>
      </c>
    </row>
    <row r="1976" spans="1:17">
      <c r="A1976" s="656" t="s">
        <v>2107</v>
      </c>
      <c r="B1976" s="657" t="s">
        <v>202</v>
      </c>
      <c r="C1976" s="656" t="s">
        <v>13805</v>
      </c>
      <c r="D1976" s="657" t="s">
        <v>13789</v>
      </c>
      <c r="E1976" s="657" t="s">
        <v>9510</v>
      </c>
      <c r="F1976" s="656" t="s">
        <v>462</v>
      </c>
      <c r="G1976" s="656" t="s">
        <v>552</v>
      </c>
      <c r="H1976" s="656" t="s">
        <v>462</v>
      </c>
      <c r="I1976" s="656" t="s">
        <v>14976</v>
      </c>
      <c r="J1976" s="656" t="s">
        <v>463</v>
      </c>
      <c r="K1976" s="656"/>
      <c r="L1976" s="656"/>
      <c r="M1976" s="657"/>
      <c r="N1976" s="1482"/>
      <c r="O1976" s="656" t="s">
        <v>498</v>
      </c>
      <c r="P1976" s="656" t="s">
        <v>13052</v>
      </c>
      <c r="Q1976" s="656">
        <v>44216.778032407405</v>
      </c>
    </row>
    <row r="1977" spans="1:17">
      <c r="A1977" s="656" t="s">
        <v>2108</v>
      </c>
      <c r="B1977" s="657" t="s">
        <v>531</v>
      </c>
      <c r="C1977" s="656" t="s">
        <v>2109</v>
      </c>
      <c r="D1977" s="657" t="s">
        <v>13789</v>
      </c>
      <c r="E1977" s="657" t="s">
        <v>9458</v>
      </c>
      <c r="F1977" s="656" t="s">
        <v>1949</v>
      </c>
      <c r="G1977" s="656" t="s">
        <v>717</v>
      </c>
      <c r="H1977" s="656" t="s">
        <v>1949</v>
      </c>
      <c r="I1977" s="656" t="s">
        <v>14976</v>
      </c>
      <c r="J1977" s="656"/>
      <c r="K1977" s="656"/>
      <c r="L1977" s="656"/>
      <c r="M1977" s="657"/>
      <c r="N1977" s="1482"/>
      <c r="O1977" s="656" t="s">
        <v>498</v>
      </c>
      <c r="P1977" s="656" t="s">
        <v>13052</v>
      </c>
      <c r="Q1977" s="656">
        <v>44216.778020833335</v>
      </c>
    </row>
    <row r="1978" spans="1:17">
      <c r="A1978" s="656" t="s">
        <v>2110</v>
      </c>
      <c r="B1978" s="657" t="s">
        <v>202</v>
      </c>
      <c r="C1978" s="656" t="s">
        <v>2111</v>
      </c>
      <c r="D1978" s="657" t="s">
        <v>13789</v>
      </c>
      <c r="E1978" s="657" t="s">
        <v>9510</v>
      </c>
      <c r="F1978" s="656" t="s">
        <v>462</v>
      </c>
      <c r="G1978" s="656" t="s">
        <v>552</v>
      </c>
      <c r="H1978" s="656" t="s">
        <v>462</v>
      </c>
      <c r="I1978" s="656" t="s">
        <v>14976</v>
      </c>
      <c r="J1978" s="656" t="s">
        <v>463</v>
      </c>
      <c r="K1978" s="656"/>
      <c r="L1978" s="656"/>
      <c r="M1978" s="657"/>
      <c r="N1978" s="1482"/>
      <c r="O1978" s="656" t="s">
        <v>498</v>
      </c>
      <c r="P1978" s="656" t="s">
        <v>13052</v>
      </c>
      <c r="Q1978" s="656">
        <v>44216.778020833335</v>
      </c>
    </row>
    <row r="1979" spans="1:17">
      <c r="A1979" s="656" t="s">
        <v>2112</v>
      </c>
      <c r="B1979" s="657" t="s">
        <v>202</v>
      </c>
      <c r="C1979" s="656" t="s">
        <v>2113</v>
      </c>
      <c r="D1979" s="657" t="s">
        <v>13789</v>
      </c>
      <c r="E1979" s="657" t="s">
        <v>9510</v>
      </c>
      <c r="F1979" s="656" t="s">
        <v>1300</v>
      </c>
      <c r="G1979" s="656" t="s">
        <v>1924</v>
      </c>
      <c r="H1979" s="656" t="s">
        <v>1300</v>
      </c>
      <c r="I1979" s="656" t="s">
        <v>14976</v>
      </c>
      <c r="J1979" s="656"/>
      <c r="K1979" s="656"/>
      <c r="L1979" s="656"/>
      <c r="M1979" s="657"/>
      <c r="N1979" s="1482"/>
      <c r="O1979" s="656" t="s">
        <v>498</v>
      </c>
      <c r="P1979" s="656" t="s">
        <v>13052</v>
      </c>
      <c r="Q1979" s="656">
        <v>44216.778009259258</v>
      </c>
    </row>
    <row r="1980" spans="1:17">
      <c r="A1980" s="656" t="s">
        <v>2114</v>
      </c>
      <c r="B1980" s="657" t="s">
        <v>202</v>
      </c>
      <c r="C1980" s="656" t="s">
        <v>2115</v>
      </c>
      <c r="D1980" s="657" t="s">
        <v>13789</v>
      </c>
      <c r="E1980" s="657" t="s">
        <v>9510</v>
      </c>
      <c r="F1980" s="656" t="s">
        <v>1050</v>
      </c>
      <c r="G1980" s="656" t="s">
        <v>1051</v>
      </c>
      <c r="H1980" s="656" t="s">
        <v>1050</v>
      </c>
      <c r="I1980" s="656" t="s">
        <v>14976</v>
      </c>
      <c r="J1980" s="656"/>
      <c r="K1980" s="656"/>
      <c r="L1980" s="656"/>
      <c r="M1980" s="657"/>
      <c r="N1980" s="1482"/>
      <c r="O1980" s="656" t="s">
        <v>498</v>
      </c>
      <c r="P1980" s="656" t="s">
        <v>13052</v>
      </c>
      <c r="Q1980" s="656">
        <v>44216.778009259258</v>
      </c>
    </row>
    <row r="1981" spans="1:17">
      <c r="A1981" s="656" t="s">
        <v>2116</v>
      </c>
      <c r="B1981" s="657" t="s">
        <v>202</v>
      </c>
      <c r="C1981" s="656" t="s">
        <v>2117</v>
      </c>
      <c r="D1981" s="657" t="s">
        <v>13789</v>
      </c>
      <c r="E1981" s="657" t="s">
        <v>9510</v>
      </c>
      <c r="F1981" s="656" t="s">
        <v>1050</v>
      </c>
      <c r="G1981" s="656" t="s">
        <v>1078</v>
      </c>
      <c r="H1981" s="656" t="s">
        <v>1050</v>
      </c>
      <c r="I1981" s="656" t="s">
        <v>14976</v>
      </c>
      <c r="J1981" s="656"/>
      <c r="K1981" s="656"/>
      <c r="L1981" s="656"/>
      <c r="M1981" s="657"/>
      <c r="N1981" s="1482"/>
      <c r="O1981" s="656" t="s">
        <v>498</v>
      </c>
      <c r="P1981" s="656" t="s">
        <v>13052</v>
      </c>
      <c r="Q1981" s="656">
        <v>44216.778009259258</v>
      </c>
    </row>
    <row r="1982" spans="1:17">
      <c r="A1982" s="656" t="s">
        <v>2118</v>
      </c>
      <c r="B1982" s="657" t="s">
        <v>202</v>
      </c>
      <c r="C1982" s="656" t="s">
        <v>2119</v>
      </c>
      <c r="D1982" s="657" t="s">
        <v>13789</v>
      </c>
      <c r="E1982" s="657" t="s">
        <v>9510</v>
      </c>
      <c r="F1982" s="656" t="s">
        <v>4052</v>
      </c>
      <c r="G1982" s="656" t="s">
        <v>702</v>
      </c>
      <c r="H1982" s="656" t="s">
        <v>455</v>
      </c>
      <c r="I1982" s="656" t="s">
        <v>14976</v>
      </c>
      <c r="J1982" s="656" t="s">
        <v>451</v>
      </c>
      <c r="K1982" s="656" t="s">
        <v>1058</v>
      </c>
      <c r="L1982" s="656"/>
      <c r="M1982" s="657"/>
      <c r="N1982" s="1482"/>
      <c r="O1982" s="656" t="s">
        <v>498</v>
      </c>
      <c r="P1982" s="656" t="s">
        <v>13052</v>
      </c>
      <c r="Q1982" s="656">
        <v>44216.777997685182</v>
      </c>
    </row>
    <row r="1983" spans="1:17">
      <c r="A1983" s="656" t="s">
        <v>2120</v>
      </c>
      <c r="B1983" s="657" t="s">
        <v>202</v>
      </c>
      <c r="C1983" s="656" t="s">
        <v>13804</v>
      </c>
      <c r="D1983" s="657" t="s">
        <v>13789</v>
      </c>
      <c r="E1983" s="657" t="s">
        <v>9510</v>
      </c>
      <c r="F1983" s="656" t="s">
        <v>1050</v>
      </c>
      <c r="G1983" s="656" t="s">
        <v>1051</v>
      </c>
      <c r="H1983" s="656" t="s">
        <v>1050</v>
      </c>
      <c r="I1983" s="656" t="s">
        <v>14976</v>
      </c>
      <c r="J1983" s="656"/>
      <c r="K1983" s="656"/>
      <c r="L1983" s="656"/>
      <c r="M1983" s="657"/>
      <c r="N1983" s="1482"/>
      <c r="O1983" s="656" t="s">
        <v>498</v>
      </c>
      <c r="P1983" s="656" t="s">
        <v>13052</v>
      </c>
      <c r="Q1983" s="656">
        <v>44216.777997685182</v>
      </c>
    </row>
    <row r="1984" spans="1:17">
      <c r="A1984" s="656" t="s">
        <v>12961</v>
      </c>
      <c r="B1984" s="657" t="s">
        <v>531</v>
      </c>
      <c r="C1984" s="656" t="s">
        <v>12960</v>
      </c>
      <c r="D1984" s="657" t="s">
        <v>13789</v>
      </c>
      <c r="E1984" s="657" t="s">
        <v>9510</v>
      </c>
      <c r="F1984" s="656" t="s">
        <v>2849</v>
      </c>
      <c r="G1984" s="656"/>
      <c r="H1984" s="656" t="s">
        <v>469</v>
      </c>
      <c r="I1984" s="656" t="s">
        <v>14976</v>
      </c>
      <c r="J1984" s="656" t="s">
        <v>532</v>
      </c>
      <c r="K1984" s="656"/>
      <c r="L1984" s="656"/>
      <c r="M1984" s="657"/>
      <c r="N1984" s="1482"/>
      <c r="O1984" s="656" t="s">
        <v>498</v>
      </c>
      <c r="P1984" s="656" t="s">
        <v>13052</v>
      </c>
      <c r="Q1984" s="656">
        <v>44216.777986111112</v>
      </c>
    </row>
    <row r="1985" spans="1:17">
      <c r="A1985" s="656" t="s">
        <v>2122</v>
      </c>
      <c r="B1985" s="657" t="s">
        <v>202</v>
      </c>
      <c r="C1985" s="656" t="s">
        <v>2123</v>
      </c>
      <c r="D1985" s="657" t="s">
        <v>13789</v>
      </c>
      <c r="E1985" s="657" t="s">
        <v>9510</v>
      </c>
      <c r="F1985" s="656" t="s">
        <v>1050</v>
      </c>
      <c r="G1985" s="656" t="s">
        <v>1051</v>
      </c>
      <c r="H1985" s="656" t="s">
        <v>1050</v>
      </c>
      <c r="I1985" s="656" t="s">
        <v>14976</v>
      </c>
      <c r="J1985" s="656"/>
      <c r="K1985" s="656"/>
      <c r="L1985" s="656"/>
      <c r="M1985" s="657"/>
      <c r="N1985" s="1482"/>
      <c r="O1985" s="656" t="s">
        <v>498</v>
      </c>
      <c r="P1985" s="656" t="s">
        <v>13052</v>
      </c>
      <c r="Q1985" s="656">
        <v>44216.777986111112</v>
      </c>
    </row>
    <row r="1986" spans="1:17">
      <c r="A1986" s="656" t="s">
        <v>2124</v>
      </c>
      <c r="B1986" s="657" t="s">
        <v>202</v>
      </c>
      <c r="C1986" s="656" t="s">
        <v>2125</v>
      </c>
      <c r="D1986" s="657" t="s">
        <v>13789</v>
      </c>
      <c r="E1986" s="657" t="s">
        <v>9510</v>
      </c>
      <c r="F1986" s="656" t="s">
        <v>1050</v>
      </c>
      <c r="G1986" s="656" t="s">
        <v>1078</v>
      </c>
      <c r="H1986" s="656" t="s">
        <v>1050</v>
      </c>
      <c r="I1986" s="656" t="s">
        <v>14976</v>
      </c>
      <c r="J1986" s="656"/>
      <c r="K1986" s="656"/>
      <c r="L1986" s="656"/>
      <c r="M1986" s="657"/>
      <c r="N1986" s="1482"/>
      <c r="O1986" s="656" t="s">
        <v>498</v>
      </c>
      <c r="P1986" s="656" t="s">
        <v>13052</v>
      </c>
      <c r="Q1986" s="656">
        <v>44216.777974537035</v>
      </c>
    </row>
    <row r="1987" spans="1:17">
      <c r="A1987" s="656" t="s">
        <v>2126</v>
      </c>
      <c r="B1987" s="657" t="s">
        <v>202</v>
      </c>
      <c r="C1987" s="656" t="s">
        <v>2127</v>
      </c>
      <c r="D1987" s="657" t="s">
        <v>13789</v>
      </c>
      <c r="E1987" s="657" t="s">
        <v>9510</v>
      </c>
      <c r="F1987" s="656" t="s">
        <v>4052</v>
      </c>
      <c r="G1987" s="656" t="s">
        <v>702</v>
      </c>
      <c r="H1987" s="656" t="s">
        <v>455</v>
      </c>
      <c r="I1987" s="656" t="s">
        <v>14976</v>
      </c>
      <c r="J1987" s="656" t="s">
        <v>451</v>
      </c>
      <c r="K1987" s="656" t="s">
        <v>1058</v>
      </c>
      <c r="L1987" s="656"/>
      <c r="M1987" s="657"/>
      <c r="N1987" s="1482"/>
      <c r="O1987" s="656" t="s">
        <v>498</v>
      </c>
      <c r="P1987" s="656" t="s">
        <v>13052</v>
      </c>
      <c r="Q1987" s="656">
        <v>44216.777974537035</v>
      </c>
    </row>
    <row r="1988" spans="1:17">
      <c r="A1988" s="656" t="s">
        <v>2128</v>
      </c>
      <c r="B1988" s="657" t="s">
        <v>202</v>
      </c>
      <c r="C1988" s="656" t="s">
        <v>2129</v>
      </c>
      <c r="D1988" s="657" t="s">
        <v>13789</v>
      </c>
      <c r="E1988" s="657" t="s">
        <v>9458</v>
      </c>
      <c r="F1988" s="656" t="s">
        <v>462</v>
      </c>
      <c r="G1988" s="656" t="s">
        <v>711</v>
      </c>
      <c r="H1988" s="656" t="s">
        <v>462</v>
      </c>
      <c r="I1988" s="656" t="s">
        <v>15280</v>
      </c>
      <c r="J1988" s="656" t="s">
        <v>463</v>
      </c>
      <c r="K1988" s="656"/>
      <c r="L1988" s="656"/>
      <c r="M1988" s="657"/>
      <c r="N1988" s="1482"/>
      <c r="O1988" s="656" t="s">
        <v>498</v>
      </c>
      <c r="P1988" s="656" t="s">
        <v>13052</v>
      </c>
      <c r="Q1988" s="656">
        <v>44216.777962962966</v>
      </c>
    </row>
    <row r="1989" spans="1:17">
      <c r="A1989" s="656" t="s">
        <v>2130</v>
      </c>
      <c r="B1989" s="657" t="s">
        <v>202</v>
      </c>
      <c r="C1989" s="656" t="s">
        <v>2131</v>
      </c>
      <c r="D1989" s="657" t="s">
        <v>13789</v>
      </c>
      <c r="E1989" s="657" t="s">
        <v>9510</v>
      </c>
      <c r="F1989" s="656" t="s">
        <v>1050</v>
      </c>
      <c r="G1989" s="656" t="s">
        <v>1078</v>
      </c>
      <c r="H1989" s="656" t="s">
        <v>1050</v>
      </c>
      <c r="I1989" s="656" t="s">
        <v>14976</v>
      </c>
      <c r="J1989" s="656"/>
      <c r="K1989" s="656"/>
      <c r="L1989" s="656"/>
      <c r="M1989" s="657"/>
      <c r="N1989" s="1482"/>
      <c r="O1989" s="656" t="s">
        <v>498</v>
      </c>
      <c r="P1989" s="656" t="s">
        <v>13052</v>
      </c>
      <c r="Q1989" s="656">
        <v>44216.777962962966</v>
      </c>
    </row>
    <row r="1990" spans="1:17">
      <c r="A1990" s="656" t="s">
        <v>2132</v>
      </c>
      <c r="B1990" s="657" t="s">
        <v>202</v>
      </c>
      <c r="C1990" s="656" t="s">
        <v>2133</v>
      </c>
      <c r="D1990" s="657" t="s">
        <v>13789</v>
      </c>
      <c r="E1990" s="657" t="s">
        <v>9510</v>
      </c>
      <c r="F1990" s="656" t="s">
        <v>1050</v>
      </c>
      <c r="G1990" s="656" t="s">
        <v>1051</v>
      </c>
      <c r="H1990" s="656" t="s">
        <v>1050</v>
      </c>
      <c r="I1990" s="656" t="s">
        <v>14976</v>
      </c>
      <c r="J1990" s="656"/>
      <c r="K1990" s="656"/>
      <c r="L1990" s="656"/>
      <c r="M1990" s="657"/>
      <c r="N1990" s="1482"/>
      <c r="O1990" s="656" t="s">
        <v>498</v>
      </c>
      <c r="P1990" s="656" t="s">
        <v>13052</v>
      </c>
      <c r="Q1990" s="656">
        <v>44216.777962962966</v>
      </c>
    </row>
    <row r="1991" spans="1:17">
      <c r="A1991" s="656" t="s">
        <v>2134</v>
      </c>
      <c r="B1991" s="657" t="s">
        <v>202</v>
      </c>
      <c r="C1991" s="656" t="s">
        <v>2135</v>
      </c>
      <c r="D1991" s="657" t="s">
        <v>13789</v>
      </c>
      <c r="E1991" s="657" t="s">
        <v>9458</v>
      </c>
      <c r="F1991" s="656" t="s">
        <v>1300</v>
      </c>
      <c r="G1991" s="656" t="s">
        <v>1301</v>
      </c>
      <c r="H1991" s="656" t="s">
        <v>1300</v>
      </c>
      <c r="I1991" s="656" t="s">
        <v>15280</v>
      </c>
      <c r="J1991" s="656"/>
      <c r="K1991" s="656"/>
      <c r="L1991" s="656"/>
      <c r="M1991" s="657"/>
      <c r="N1991" s="1482"/>
      <c r="O1991" s="656" t="s">
        <v>498</v>
      </c>
      <c r="P1991" s="656" t="s">
        <v>13052</v>
      </c>
      <c r="Q1991" s="656">
        <v>44216.777951388889</v>
      </c>
    </row>
    <row r="1992" spans="1:17">
      <c r="A1992" s="656" t="s">
        <v>2136</v>
      </c>
      <c r="B1992" s="657" t="s">
        <v>504</v>
      </c>
      <c r="C1992" s="656" t="s">
        <v>2137</v>
      </c>
      <c r="D1992" s="657" t="s">
        <v>13789</v>
      </c>
      <c r="E1992" s="657" t="s">
        <v>7439</v>
      </c>
      <c r="F1992" s="656" t="s">
        <v>505</v>
      </c>
      <c r="G1992" s="656" t="s">
        <v>522</v>
      </c>
      <c r="H1992" s="656" t="s">
        <v>505</v>
      </c>
      <c r="I1992" s="656" t="s">
        <v>14976</v>
      </c>
      <c r="J1992" s="656"/>
      <c r="K1992" s="656"/>
      <c r="L1992" s="656"/>
      <c r="M1992" s="657"/>
      <c r="N1992" s="1482"/>
      <c r="O1992" s="656" t="s">
        <v>498</v>
      </c>
      <c r="P1992" s="656" t="s">
        <v>13052</v>
      </c>
      <c r="Q1992" s="656">
        <v>44216.777951388889</v>
      </c>
    </row>
    <row r="1993" spans="1:17">
      <c r="A1993" s="656" t="s">
        <v>2138</v>
      </c>
      <c r="B1993" s="657" t="s">
        <v>202</v>
      </c>
      <c r="C1993" s="656" t="s">
        <v>2139</v>
      </c>
      <c r="D1993" s="657" t="s">
        <v>13789</v>
      </c>
      <c r="E1993" s="657" t="s">
        <v>9510</v>
      </c>
      <c r="F1993" s="656" t="s">
        <v>4052</v>
      </c>
      <c r="G1993" s="656" t="s">
        <v>922</v>
      </c>
      <c r="H1993" s="656" t="s">
        <v>455</v>
      </c>
      <c r="I1993" s="656" t="s">
        <v>14976</v>
      </c>
      <c r="J1993" s="656" t="s">
        <v>451</v>
      </c>
      <c r="K1993" s="656"/>
      <c r="L1993" s="656"/>
      <c r="M1993" s="657"/>
      <c r="N1993" s="1482"/>
      <c r="O1993" s="656" t="s">
        <v>498</v>
      </c>
      <c r="P1993" s="656" t="s">
        <v>13052</v>
      </c>
      <c r="Q1993" s="656">
        <v>44216.777951388889</v>
      </c>
    </row>
    <row r="1994" spans="1:17">
      <c r="A1994" s="656" t="s">
        <v>2140</v>
      </c>
      <c r="B1994" s="657" t="s">
        <v>202</v>
      </c>
      <c r="C1994" s="656" t="s">
        <v>2141</v>
      </c>
      <c r="D1994" s="657" t="s">
        <v>13789</v>
      </c>
      <c r="E1994" s="657" t="s">
        <v>9510</v>
      </c>
      <c r="F1994" s="656" t="s">
        <v>1050</v>
      </c>
      <c r="G1994" s="656" t="s">
        <v>1051</v>
      </c>
      <c r="H1994" s="656" t="s">
        <v>1050</v>
      </c>
      <c r="I1994" s="656" t="s">
        <v>14976</v>
      </c>
      <c r="J1994" s="656"/>
      <c r="K1994" s="656"/>
      <c r="L1994" s="656"/>
      <c r="M1994" s="657"/>
      <c r="N1994" s="1482"/>
      <c r="O1994" s="656" t="s">
        <v>498</v>
      </c>
      <c r="P1994" s="656" t="s">
        <v>13052</v>
      </c>
      <c r="Q1994" s="656">
        <v>44216.777939814812</v>
      </c>
    </row>
    <row r="1995" spans="1:17">
      <c r="A1995" s="656" t="s">
        <v>2142</v>
      </c>
      <c r="B1995" s="657" t="s">
        <v>202</v>
      </c>
      <c r="C1995" s="656" t="s">
        <v>2143</v>
      </c>
      <c r="D1995" s="657" t="s">
        <v>13789</v>
      </c>
      <c r="E1995" s="657" t="s">
        <v>9510</v>
      </c>
      <c r="F1995" s="656" t="s">
        <v>4052</v>
      </c>
      <c r="G1995" s="656"/>
      <c r="H1995" s="656" t="s">
        <v>455</v>
      </c>
      <c r="I1995" s="656" t="s">
        <v>14976</v>
      </c>
      <c r="J1995" s="656" t="s">
        <v>451</v>
      </c>
      <c r="K1995" s="656"/>
      <c r="L1995" s="656"/>
      <c r="M1995" s="657"/>
      <c r="N1995" s="1482"/>
      <c r="O1995" s="656" t="s">
        <v>498</v>
      </c>
      <c r="P1995" s="656" t="s">
        <v>13052</v>
      </c>
      <c r="Q1995" s="656">
        <v>44216.777939814812</v>
      </c>
    </row>
    <row r="1996" spans="1:17">
      <c r="A1996" s="656" t="s">
        <v>2144</v>
      </c>
      <c r="B1996" s="657" t="s">
        <v>202</v>
      </c>
      <c r="C1996" s="656" t="s">
        <v>2145</v>
      </c>
      <c r="D1996" s="657" t="s">
        <v>13789</v>
      </c>
      <c r="E1996" s="657" t="s">
        <v>9510</v>
      </c>
      <c r="F1996" s="656" t="s">
        <v>1050</v>
      </c>
      <c r="G1996" s="656" t="s">
        <v>1051</v>
      </c>
      <c r="H1996" s="656" t="s">
        <v>1050</v>
      </c>
      <c r="I1996" s="656" t="s">
        <v>14976</v>
      </c>
      <c r="J1996" s="656"/>
      <c r="K1996" s="656"/>
      <c r="L1996" s="656"/>
      <c r="M1996" s="657"/>
      <c r="N1996" s="1482"/>
      <c r="O1996" s="656" t="s">
        <v>498</v>
      </c>
      <c r="P1996" s="656" t="s">
        <v>13052</v>
      </c>
      <c r="Q1996" s="656">
        <v>44216.777928240743</v>
      </c>
    </row>
    <row r="1997" spans="1:17">
      <c r="A1997" s="656" t="s">
        <v>2146</v>
      </c>
      <c r="B1997" s="657" t="s">
        <v>202</v>
      </c>
      <c r="C1997" s="656" t="s">
        <v>2147</v>
      </c>
      <c r="D1997" s="657" t="s">
        <v>13789</v>
      </c>
      <c r="E1997" s="657" t="s">
        <v>9510</v>
      </c>
      <c r="F1997" s="656" t="s">
        <v>1050</v>
      </c>
      <c r="G1997" s="656" t="s">
        <v>1051</v>
      </c>
      <c r="H1997" s="656" t="s">
        <v>1050</v>
      </c>
      <c r="I1997" s="656" t="s">
        <v>14976</v>
      </c>
      <c r="J1997" s="656"/>
      <c r="K1997" s="656"/>
      <c r="L1997" s="656"/>
      <c r="M1997" s="657"/>
      <c r="N1997" s="1482"/>
      <c r="O1997" s="656" t="s">
        <v>498</v>
      </c>
      <c r="P1997" s="656" t="s">
        <v>13052</v>
      </c>
      <c r="Q1997" s="656">
        <v>44216.777916666666</v>
      </c>
    </row>
    <row r="1998" spans="1:17">
      <c r="A1998" s="656" t="s">
        <v>2148</v>
      </c>
      <c r="B1998" s="657" t="s">
        <v>202</v>
      </c>
      <c r="C1998" s="656" t="s">
        <v>2149</v>
      </c>
      <c r="D1998" s="657" t="s">
        <v>13789</v>
      </c>
      <c r="E1998" s="657" t="s">
        <v>9510</v>
      </c>
      <c r="F1998" s="656" t="s">
        <v>1050</v>
      </c>
      <c r="G1998" s="656" t="s">
        <v>1051</v>
      </c>
      <c r="H1998" s="656" t="s">
        <v>1050</v>
      </c>
      <c r="I1998" s="656" t="s">
        <v>14976</v>
      </c>
      <c r="J1998" s="656"/>
      <c r="K1998" s="656"/>
      <c r="L1998" s="656"/>
      <c r="M1998" s="657"/>
      <c r="N1998" s="1482"/>
      <c r="O1998" s="656" t="s">
        <v>498</v>
      </c>
      <c r="P1998" s="656" t="s">
        <v>13052</v>
      </c>
      <c r="Q1998" s="656">
        <v>44216.777928240743</v>
      </c>
    </row>
    <row r="1999" spans="1:17">
      <c r="A1999" s="656" t="s">
        <v>2150</v>
      </c>
      <c r="B1999" s="657" t="s">
        <v>202</v>
      </c>
      <c r="C1999" s="656" t="s">
        <v>2151</v>
      </c>
      <c r="D1999" s="657" t="s">
        <v>13789</v>
      </c>
      <c r="E1999" s="657" t="s">
        <v>9510</v>
      </c>
      <c r="F1999" s="656" t="s">
        <v>1050</v>
      </c>
      <c r="G1999" s="656" t="s">
        <v>1051</v>
      </c>
      <c r="H1999" s="656" t="s">
        <v>1050</v>
      </c>
      <c r="I1999" s="656" t="s">
        <v>14976</v>
      </c>
      <c r="J1999" s="656"/>
      <c r="K1999" s="656"/>
      <c r="L1999" s="656"/>
      <c r="M1999" s="657"/>
      <c r="N1999" s="1482"/>
      <c r="O1999" s="656" t="s">
        <v>498</v>
      </c>
      <c r="P1999" s="656" t="s">
        <v>13052</v>
      </c>
      <c r="Q1999" s="656">
        <v>44216.777916666666</v>
      </c>
    </row>
    <row r="2000" spans="1:17">
      <c r="A2000" s="656" t="s">
        <v>2152</v>
      </c>
      <c r="B2000" s="657" t="s">
        <v>202</v>
      </c>
      <c r="C2000" s="656" t="s">
        <v>4059</v>
      </c>
      <c r="D2000" s="657" t="s">
        <v>13789</v>
      </c>
      <c r="E2000" s="657" t="s">
        <v>9510</v>
      </c>
      <c r="F2000" s="656" t="s">
        <v>1050</v>
      </c>
      <c r="G2000" s="656" t="s">
        <v>1051</v>
      </c>
      <c r="H2000" s="656" t="s">
        <v>1050</v>
      </c>
      <c r="I2000" s="656" t="s">
        <v>14976</v>
      </c>
      <c r="J2000" s="656"/>
      <c r="K2000" s="656"/>
      <c r="L2000" s="656"/>
      <c r="M2000" s="657"/>
      <c r="N2000" s="1482"/>
      <c r="O2000" s="656" t="s">
        <v>498</v>
      </c>
      <c r="P2000" s="656" t="s">
        <v>13052</v>
      </c>
      <c r="Q2000" s="656">
        <v>44216.777905092589</v>
      </c>
    </row>
    <row r="2001" spans="1:17">
      <c r="A2001" s="656" t="s">
        <v>2153</v>
      </c>
      <c r="B2001" s="657" t="s">
        <v>202</v>
      </c>
      <c r="C2001" s="656" t="s">
        <v>2154</v>
      </c>
      <c r="D2001" s="657" t="s">
        <v>13789</v>
      </c>
      <c r="E2001" s="657" t="s">
        <v>9510</v>
      </c>
      <c r="F2001" s="656" t="s">
        <v>1050</v>
      </c>
      <c r="G2001" s="656" t="s">
        <v>1051</v>
      </c>
      <c r="H2001" s="656" t="s">
        <v>1050</v>
      </c>
      <c r="I2001" s="656" t="s">
        <v>14976</v>
      </c>
      <c r="J2001" s="656"/>
      <c r="K2001" s="656"/>
      <c r="L2001" s="656"/>
      <c r="M2001" s="657"/>
      <c r="N2001" s="1482"/>
      <c r="O2001" s="656" t="s">
        <v>498</v>
      </c>
      <c r="P2001" s="656" t="s">
        <v>13052</v>
      </c>
      <c r="Q2001" s="656">
        <v>44216.777905092589</v>
      </c>
    </row>
    <row r="2002" spans="1:17">
      <c r="A2002" s="656" t="s">
        <v>2155</v>
      </c>
      <c r="B2002" s="657" t="s">
        <v>202</v>
      </c>
      <c r="C2002" s="656" t="s">
        <v>2156</v>
      </c>
      <c r="D2002" s="657" t="s">
        <v>13789</v>
      </c>
      <c r="E2002" s="657" t="s">
        <v>9510</v>
      </c>
      <c r="F2002" s="656" t="s">
        <v>1050</v>
      </c>
      <c r="G2002" s="656" t="s">
        <v>1051</v>
      </c>
      <c r="H2002" s="656" t="s">
        <v>1050</v>
      </c>
      <c r="I2002" s="656" t="s">
        <v>14976</v>
      </c>
      <c r="J2002" s="656"/>
      <c r="K2002" s="656"/>
      <c r="L2002" s="656"/>
      <c r="M2002" s="657"/>
      <c r="N2002" s="1482"/>
      <c r="O2002" s="656" t="s">
        <v>498</v>
      </c>
      <c r="P2002" s="656" t="s">
        <v>13052</v>
      </c>
      <c r="Q2002" s="656">
        <v>44216.77789351852</v>
      </c>
    </row>
    <row r="2003" spans="1:17">
      <c r="A2003" s="656" t="s">
        <v>2157</v>
      </c>
      <c r="B2003" s="657" t="s">
        <v>202</v>
      </c>
      <c r="C2003" s="656" t="s">
        <v>2158</v>
      </c>
      <c r="D2003" s="657" t="s">
        <v>13789</v>
      </c>
      <c r="E2003" s="657" t="s">
        <v>9510</v>
      </c>
      <c r="F2003" s="656" t="s">
        <v>4052</v>
      </c>
      <c r="G2003" s="656" t="s">
        <v>512</v>
      </c>
      <c r="H2003" s="656" t="s">
        <v>455</v>
      </c>
      <c r="I2003" s="656" t="s">
        <v>14976</v>
      </c>
      <c r="J2003" s="656" t="s">
        <v>451</v>
      </c>
      <c r="K2003" s="656" t="s">
        <v>4052</v>
      </c>
      <c r="L2003" s="656"/>
      <c r="M2003" s="657"/>
      <c r="N2003" s="1482"/>
      <c r="O2003" s="656" t="s">
        <v>498</v>
      </c>
      <c r="P2003" s="656" t="s">
        <v>13052</v>
      </c>
      <c r="Q2003" s="656">
        <v>44216.77789351852</v>
      </c>
    </row>
    <row r="2004" spans="1:17">
      <c r="A2004" s="656" t="s">
        <v>2159</v>
      </c>
      <c r="B2004" s="657" t="s">
        <v>202</v>
      </c>
      <c r="C2004" s="656" t="s">
        <v>2160</v>
      </c>
      <c r="D2004" s="657" t="s">
        <v>13789</v>
      </c>
      <c r="E2004" s="657" t="s">
        <v>9510</v>
      </c>
      <c r="F2004" s="656" t="s">
        <v>4052</v>
      </c>
      <c r="G2004" s="656"/>
      <c r="H2004" s="656" t="s">
        <v>455</v>
      </c>
      <c r="I2004" s="656" t="s">
        <v>14976</v>
      </c>
      <c r="J2004" s="656" t="s">
        <v>451</v>
      </c>
      <c r="K2004" s="656"/>
      <c r="L2004" s="656"/>
      <c r="M2004" s="657"/>
      <c r="N2004" s="1482"/>
      <c r="O2004" s="656" t="s">
        <v>498</v>
      </c>
      <c r="P2004" s="656" t="s">
        <v>13052</v>
      </c>
      <c r="Q2004" s="656">
        <v>44216.777881944443</v>
      </c>
    </row>
    <row r="2005" spans="1:17">
      <c r="A2005" s="656" t="s">
        <v>2161</v>
      </c>
      <c r="B2005" s="657" t="s">
        <v>202</v>
      </c>
      <c r="C2005" s="656" t="s">
        <v>2162</v>
      </c>
      <c r="D2005" s="657" t="s">
        <v>13789</v>
      </c>
      <c r="E2005" s="657" t="s">
        <v>9510</v>
      </c>
      <c r="F2005" s="656" t="s">
        <v>1050</v>
      </c>
      <c r="G2005" s="656" t="s">
        <v>1078</v>
      </c>
      <c r="H2005" s="656" t="s">
        <v>1050</v>
      </c>
      <c r="I2005" s="656" t="s">
        <v>14976</v>
      </c>
      <c r="J2005" s="656"/>
      <c r="K2005" s="656"/>
      <c r="L2005" s="656"/>
      <c r="M2005" s="657"/>
      <c r="N2005" s="1482"/>
      <c r="O2005" s="656" t="s">
        <v>498</v>
      </c>
      <c r="P2005" s="656" t="s">
        <v>13052</v>
      </c>
      <c r="Q2005" s="656">
        <v>44216.77789351852</v>
      </c>
    </row>
    <row r="2006" spans="1:17">
      <c r="A2006" s="656" t="s">
        <v>2163</v>
      </c>
      <c r="B2006" s="657" t="s">
        <v>202</v>
      </c>
      <c r="C2006" s="656" t="s">
        <v>2164</v>
      </c>
      <c r="D2006" s="657" t="s">
        <v>13789</v>
      </c>
      <c r="E2006" s="657" t="s">
        <v>9510</v>
      </c>
      <c r="F2006" s="656" t="s">
        <v>4052</v>
      </c>
      <c r="G2006" s="656"/>
      <c r="H2006" s="656" t="s">
        <v>455</v>
      </c>
      <c r="I2006" s="656" t="s">
        <v>14976</v>
      </c>
      <c r="J2006" s="656" t="s">
        <v>451</v>
      </c>
      <c r="K2006" s="656"/>
      <c r="L2006" s="656"/>
      <c r="M2006" s="657"/>
      <c r="N2006" s="1482"/>
      <c r="O2006" s="656" t="s">
        <v>498</v>
      </c>
      <c r="P2006" s="656" t="s">
        <v>13052</v>
      </c>
      <c r="Q2006" s="656">
        <v>44216.777870370373</v>
      </c>
    </row>
    <row r="2007" spans="1:17">
      <c r="A2007" s="656" t="s">
        <v>2165</v>
      </c>
      <c r="B2007" s="657" t="s">
        <v>504</v>
      </c>
      <c r="C2007" s="656" t="s">
        <v>2166</v>
      </c>
      <c r="D2007" s="657" t="s">
        <v>13789</v>
      </c>
      <c r="E2007" s="657" t="s">
        <v>7439</v>
      </c>
      <c r="F2007" s="656" t="s">
        <v>505</v>
      </c>
      <c r="G2007" s="656" t="s">
        <v>506</v>
      </c>
      <c r="H2007" s="656" t="s">
        <v>505</v>
      </c>
      <c r="I2007" s="656" t="s">
        <v>14976</v>
      </c>
      <c r="J2007" s="656"/>
      <c r="K2007" s="656"/>
      <c r="L2007" s="656"/>
      <c r="M2007" s="657"/>
      <c r="N2007" s="1482"/>
      <c r="O2007" s="656" t="s">
        <v>498</v>
      </c>
      <c r="P2007" s="656" t="s">
        <v>13052</v>
      </c>
      <c r="Q2007" s="656">
        <v>44216.777870370373</v>
      </c>
    </row>
    <row r="2008" spans="1:17">
      <c r="A2008" s="656" t="s">
        <v>2167</v>
      </c>
      <c r="B2008" s="657" t="s">
        <v>504</v>
      </c>
      <c r="C2008" s="656" t="s">
        <v>2168</v>
      </c>
      <c r="D2008" s="657" t="s">
        <v>13789</v>
      </c>
      <c r="E2008" s="657" t="s">
        <v>9458</v>
      </c>
      <c r="F2008" s="656" t="s">
        <v>505</v>
      </c>
      <c r="G2008" s="656" t="s">
        <v>506</v>
      </c>
      <c r="H2008" s="656" t="s">
        <v>505</v>
      </c>
      <c r="I2008" s="656" t="s">
        <v>14976</v>
      </c>
      <c r="J2008" s="656"/>
      <c r="K2008" s="656"/>
      <c r="L2008" s="656"/>
      <c r="M2008" s="657"/>
      <c r="N2008" s="1482"/>
      <c r="O2008" s="656" t="s">
        <v>498</v>
      </c>
      <c r="P2008" s="656" t="s">
        <v>13052</v>
      </c>
      <c r="Q2008" s="656">
        <v>44216.777870370373</v>
      </c>
    </row>
    <row r="2009" spans="1:17">
      <c r="A2009" s="656" t="s">
        <v>2169</v>
      </c>
      <c r="B2009" s="657" t="s">
        <v>202</v>
      </c>
      <c r="C2009" s="656" t="s">
        <v>2170</v>
      </c>
      <c r="D2009" s="657" t="s">
        <v>13789</v>
      </c>
      <c r="E2009" s="657" t="s">
        <v>9510</v>
      </c>
      <c r="F2009" s="656" t="s">
        <v>1050</v>
      </c>
      <c r="G2009" s="656" t="s">
        <v>1078</v>
      </c>
      <c r="H2009" s="656" t="s">
        <v>1050</v>
      </c>
      <c r="I2009" s="656" t="s">
        <v>14976</v>
      </c>
      <c r="J2009" s="656"/>
      <c r="K2009" s="656"/>
      <c r="L2009" s="656"/>
      <c r="M2009" s="657"/>
      <c r="N2009" s="1482"/>
      <c r="O2009" s="656" t="s">
        <v>498</v>
      </c>
      <c r="P2009" s="656" t="s">
        <v>13052</v>
      </c>
      <c r="Q2009" s="656">
        <v>44216.777858796297</v>
      </c>
    </row>
    <row r="2010" spans="1:17">
      <c r="A2010" s="656" t="s">
        <v>2171</v>
      </c>
      <c r="B2010" s="657" t="s">
        <v>202</v>
      </c>
      <c r="C2010" s="656" t="s">
        <v>2172</v>
      </c>
      <c r="D2010" s="657" t="s">
        <v>13789</v>
      </c>
      <c r="E2010" s="657" t="s">
        <v>9510</v>
      </c>
      <c r="F2010" s="656" t="s">
        <v>1050</v>
      </c>
      <c r="G2010" s="656" t="s">
        <v>1078</v>
      </c>
      <c r="H2010" s="656" t="s">
        <v>1050</v>
      </c>
      <c r="I2010" s="656" t="s">
        <v>14976</v>
      </c>
      <c r="J2010" s="656"/>
      <c r="K2010" s="656"/>
      <c r="L2010" s="656"/>
      <c r="M2010" s="657"/>
      <c r="N2010" s="1482"/>
      <c r="O2010" s="656" t="s">
        <v>498</v>
      </c>
      <c r="P2010" s="656" t="s">
        <v>13052</v>
      </c>
      <c r="Q2010" s="656">
        <v>44216.777858796297</v>
      </c>
    </row>
    <row r="2011" spans="1:17">
      <c r="A2011" s="656" t="s">
        <v>2173</v>
      </c>
      <c r="B2011" s="657" t="s">
        <v>202</v>
      </c>
      <c r="C2011" s="656" t="s">
        <v>2174</v>
      </c>
      <c r="D2011" s="657"/>
      <c r="E2011" s="657" t="s">
        <v>9510</v>
      </c>
      <c r="F2011" s="656" t="s">
        <v>1050</v>
      </c>
      <c r="G2011" s="656" t="s">
        <v>1078</v>
      </c>
      <c r="H2011" s="656" t="s">
        <v>1050</v>
      </c>
      <c r="I2011" s="656" t="s">
        <v>14976</v>
      </c>
      <c r="J2011" s="656"/>
      <c r="K2011" s="656"/>
      <c r="L2011" s="656"/>
      <c r="M2011" s="657"/>
      <c r="N2011" s="1482"/>
      <c r="O2011" s="656" t="s">
        <v>498</v>
      </c>
      <c r="P2011" s="656" t="s">
        <v>13052</v>
      </c>
      <c r="Q2011" s="656">
        <v>44216.77784722222</v>
      </c>
    </row>
    <row r="2012" spans="1:17">
      <c r="A2012" s="656" t="s">
        <v>2175</v>
      </c>
      <c r="B2012" s="657" t="s">
        <v>202</v>
      </c>
      <c r="C2012" s="656" t="s">
        <v>2176</v>
      </c>
      <c r="D2012" s="657"/>
      <c r="E2012" s="657" t="s">
        <v>9510</v>
      </c>
      <c r="F2012" s="656" t="s">
        <v>1050</v>
      </c>
      <c r="G2012" s="656" t="s">
        <v>1051</v>
      </c>
      <c r="H2012" s="656" t="s">
        <v>1050</v>
      </c>
      <c r="I2012" s="656" t="s">
        <v>14976</v>
      </c>
      <c r="J2012" s="656"/>
      <c r="K2012" s="656"/>
      <c r="L2012" s="656"/>
      <c r="M2012" s="657"/>
      <c r="N2012" s="1482"/>
      <c r="O2012" s="656" t="s">
        <v>498</v>
      </c>
      <c r="P2012" s="656" t="s">
        <v>13052</v>
      </c>
      <c r="Q2012" s="656">
        <v>44216.77784722222</v>
      </c>
    </row>
    <row r="2013" spans="1:17">
      <c r="A2013" s="656" t="s">
        <v>2177</v>
      </c>
      <c r="B2013" s="657" t="s">
        <v>202</v>
      </c>
      <c r="C2013" s="656" t="s">
        <v>2178</v>
      </c>
      <c r="D2013" s="657" t="s">
        <v>13789</v>
      </c>
      <c r="E2013" s="657" t="s">
        <v>9458</v>
      </c>
      <c r="F2013" s="656" t="s">
        <v>3077</v>
      </c>
      <c r="G2013" s="656"/>
      <c r="H2013" s="656" t="s">
        <v>465</v>
      </c>
      <c r="I2013" s="656" t="s">
        <v>15280</v>
      </c>
      <c r="J2013" s="656" t="s">
        <v>446</v>
      </c>
      <c r="K2013" s="656"/>
      <c r="L2013" s="656"/>
      <c r="M2013" s="657"/>
      <c r="N2013" s="1482"/>
      <c r="O2013" s="656" t="s">
        <v>498</v>
      </c>
      <c r="P2013" s="656" t="s">
        <v>13052</v>
      </c>
      <c r="Q2013" s="656">
        <v>44216.77783564815</v>
      </c>
    </row>
    <row r="2014" spans="1:17">
      <c r="A2014" s="656" t="s">
        <v>2179</v>
      </c>
      <c r="B2014" s="657" t="s">
        <v>202</v>
      </c>
      <c r="C2014" s="656" t="s">
        <v>2180</v>
      </c>
      <c r="D2014" s="657" t="s">
        <v>14977</v>
      </c>
      <c r="E2014" s="657" t="s">
        <v>9458</v>
      </c>
      <c r="F2014" s="656" t="s">
        <v>783</v>
      </c>
      <c r="G2014" s="656" t="s">
        <v>783</v>
      </c>
      <c r="H2014" s="656" t="s">
        <v>783</v>
      </c>
      <c r="I2014" s="656" t="s">
        <v>14976</v>
      </c>
      <c r="J2014" s="656"/>
      <c r="K2014" s="656"/>
      <c r="L2014" s="656" t="s">
        <v>2179</v>
      </c>
      <c r="M2014" s="657"/>
      <c r="N2014" s="1482"/>
      <c r="O2014" s="656" t="s">
        <v>498</v>
      </c>
      <c r="P2014" s="656" t="s">
        <v>13052</v>
      </c>
      <c r="Q2014" s="656">
        <v>44216.77783564815</v>
      </c>
    </row>
    <row r="2015" spans="1:17">
      <c r="A2015" s="656" t="s">
        <v>2181</v>
      </c>
      <c r="B2015" s="657" t="s">
        <v>202</v>
      </c>
      <c r="C2015" s="656" t="s">
        <v>2180</v>
      </c>
      <c r="D2015" s="657" t="s">
        <v>14978</v>
      </c>
      <c r="E2015" s="657" t="s">
        <v>9458</v>
      </c>
      <c r="F2015" s="656" t="s">
        <v>4052</v>
      </c>
      <c r="G2015" s="656" t="s">
        <v>512</v>
      </c>
      <c r="H2015" s="656" t="s">
        <v>455</v>
      </c>
      <c r="I2015" s="656" t="s">
        <v>14976</v>
      </c>
      <c r="J2015" s="656" t="s">
        <v>451</v>
      </c>
      <c r="K2015" s="656" t="s">
        <v>4052</v>
      </c>
      <c r="L2015" s="656"/>
      <c r="M2015" s="657"/>
      <c r="N2015" s="1482"/>
      <c r="O2015" s="656" t="s">
        <v>498</v>
      </c>
      <c r="P2015" s="656" t="s">
        <v>13052</v>
      </c>
      <c r="Q2015" s="656">
        <v>44216.777824074074</v>
      </c>
    </row>
    <row r="2016" spans="1:17">
      <c r="A2016" s="656" t="s">
        <v>2182</v>
      </c>
      <c r="B2016" s="657" t="s">
        <v>202</v>
      </c>
      <c r="C2016" s="656" t="s">
        <v>2183</v>
      </c>
      <c r="D2016" s="657" t="s">
        <v>13789</v>
      </c>
      <c r="E2016" s="657" t="s">
        <v>9458</v>
      </c>
      <c r="F2016" s="656" t="s">
        <v>1300</v>
      </c>
      <c r="G2016" s="656" t="s">
        <v>1301</v>
      </c>
      <c r="H2016" s="656" t="s">
        <v>1300</v>
      </c>
      <c r="I2016" s="656" t="s">
        <v>15280</v>
      </c>
      <c r="J2016" s="656"/>
      <c r="K2016" s="656"/>
      <c r="L2016" s="656"/>
      <c r="M2016" s="657"/>
      <c r="N2016" s="1482"/>
      <c r="O2016" s="656" t="s">
        <v>498</v>
      </c>
      <c r="P2016" s="656" t="s">
        <v>13052</v>
      </c>
      <c r="Q2016" s="656">
        <v>44216.777824074074</v>
      </c>
    </row>
    <row r="2017" spans="1:17">
      <c r="A2017" s="656" t="s">
        <v>2184</v>
      </c>
      <c r="B2017" s="657" t="s">
        <v>202</v>
      </c>
      <c r="C2017" s="656" t="s">
        <v>13803</v>
      </c>
      <c r="D2017" s="657" t="s">
        <v>13789</v>
      </c>
      <c r="E2017" s="657" t="s">
        <v>9510</v>
      </c>
      <c r="F2017" s="656" t="s">
        <v>1050</v>
      </c>
      <c r="G2017" s="656" t="s">
        <v>1078</v>
      </c>
      <c r="H2017" s="656" t="s">
        <v>1050</v>
      </c>
      <c r="I2017" s="656" t="s">
        <v>14976</v>
      </c>
      <c r="J2017" s="656"/>
      <c r="K2017" s="656"/>
      <c r="L2017" s="656"/>
      <c r="M2017" s="657"/>
      <c r="N2017" s="1482"/>
      <c r="O2017" s="656" t="s">
        <v>498</v>
      </c>
      <c r="P2017" s="656" t="s">
        <v>13052</v>
      </c>
      <c r="Q2017" s="656">
        <v>44216.777812499997</v>
      </c>
    </row>
    <row r="2018" spans="1:17">
      <c r="A2018" s="656" t="s">
        <v>2185</v>
      </c>
      <c r="B2018" s="657" t="s">
        <v>202</v>
      </c>
      <c r="C2018" s="656" t="s">
        <v>2186</v>
      </c>
      <c r="D2018" s="657" t="s">
        <v>13789</v>
      </c>
      <c r="E2018" s="657" t="s">
        <v>9458</v>
      </c>
      <c r="F2018" s="656" t="s">
        <v>500</v>
      </c>
      <c r="G2018" s="656" t="s">
        <v>500</v>
      </c>
      <c r="H2018" s="656" t="s">
        <v>500</v>
      </c>
      <c r="I2018" s="656" t="s">
        <v>15280</v>
      </c>
      <c r="J2018" s="656"/>
      <c r="K2018" s="656"/>
      <c r="L2018" s="656"/>
      <c r="M2018" s="657"/>
      <c r="N2018" s="1482"/>
      <c r="O2018" s="656" t="s">
        <v>498</v>
      </c>
      <c r="P2018" s="656" t="s">
        <v>13052</v>
      </c>
      <c r="Q2018" s="656">
        <v>44216.777812499997</v>
      </c>
    </row>
    <row r="2019" spans="1:17">
      <c r="A2019" s="656" t="s">
        <v>2187</v>
      </c>
      <c r="B2019" s="657" t="s">
        <v>202</v>
      </c>
      <c r="C2019" s="656" t="s">
        <v>2188</v>
      </c>
      <c r="D2019" s="657" t="s">
        <v>14978</v>
      </c>
      <c r="E2019" s="657" t="s">
        <v>9510</v>
      </c>
      <c r="F2019" s="656" t="s">
        <v>462</v>
      </c>
      <c r="G2019" s="656" t="s">
        <v>512</v>
      </c>
      <c r="H2019" s="656" t="s">
        <v>462</v>
      </c>
      <c r="I2019" s="656" t="s">
        <v>15280</v>
      </c>
      <c r="J2019" s="656" t="s">
        <v>463</v>
      </c>
      <c r="K2019" s="656" t="s">
        <v>1924</v>
      </c>
      <c r="L2019" s="656" t="s">
        <v>2189</v>
      </c>
      <c r="M2019" s="657"/>
      <c r="N2019" s="1482"/>
      <c r="O2019" s="656" t="s">
        <v>498</v>
      </c>
      <c r="P2019" s="656" t="s">
        <v>13052</v>
      </c>
      <c r="Q2019" s="656">
        <v>44216.777800925927</v>
      </c>
    </row>
    <row r="2020" spans="1:17">
      <c r="A2020" s="656" t="s">
        <v>2189</v>
      </c>
      <c r="B2020" s="657" t="s">
        <v>202</v>
      </c>
      <c r="C2020" s="656" t="s">
        <v>2190</v>
      </c>
      <c r="D2020" s="657" t="s">
        <v>14977</v>
      </c>
      <c r="E2020" s="657" t="s">
        <v>9510</v>
      </c>
      <c r="F2020" s="656" t="s">
        <v>462</v>
      </c>
      <c r="G2020" s="656" t="s">
        <v>512</v>
      </c>
      <c r="H2020" s="656" t="s">
        <v>462</v>
      </c>
      <c r="I2020" s="656" t="s">
        <v>14976</v>
      </c>
      <c r="J2020" s="656" t="s">
        <v>463</v>
      </c>
      <c r="K2020" s="656" t="s">
        <v>1924</v>
      </c>
      <c r="L2020" s="656" t="s">
        <v>2189</v>
      </c>
      <c r="M2020" s="657"/>
      <c r="N2020" s="1482"/>
      <c r="O2020" s="656" t="s">
        <v>498</v>
      </c>
      <c r="P2020" s="656" t="s">
        <v>13052</v>
      </c>
      <c r="Q2020" s="656">
        <v>44216.777800925927</v>
      </c>
    </row>
    <row r="2021" spans="1:17">
      <c r="A2021" s="656" t="s">
        <v>2191</v>
      </c>
      <c r="B2021" s="657" t="s">
        <v>202</v>
      </c>
      <c r="C2021" s="656" t="s">
        <v>2192</v>
      </c>
      <c r="D2021" s="657" t="s">
        <v>13789</v>
      </c>
      <c r="E2021" s="657" t="s">
        <v>9510</v>
      </c>
      <c r="F2021" s="656" t="s">
        <v>1300</v>
      </c>
      <c r="G2021" s="656" t="s">
        <v>1301</v>
      </c>
      <c r="H2021" s="656" t="s">
        <v>1300</v>
      </c>
      <c r="I2021" s="656" t="s">
        <v>14976</v>
      </c>
      <c r="J2021" s="656"/>
      <c r="K2021" s="656"/>
      <c r="L2021" s="656"/>
      <c r="M2021" s="657"/>
      <c r="N2021" s="1482"/>
      <c r="O2021" s="656" t="s">
        <v>498</v>
      </c>
      <c r="P2021" s="656" t="s">
        <v>13052</v>
      </c>
      <c r="Q2021" s="656">
        <v>44216.777789351851</v>
      </c>
    </row>
    <row r="2022" spans="1:17">
      <c r="A2022" s="656" t="s">
        <v>2193</v>
      </c>
      <c r="B2022" s="657" t="s">
        <v>202</v>
      </c>
      <c r="C2022" s="656" t="s">
        <v>2194</v>
      </c>
      <c r="D2022" s="657" t="s">
        <v>13789</v>
      </c>
      <c r="E2022" s="657" t="s">
        <v>9510</v>
      </c>
      <c r="F2022" s="656" t="s">
        <v>1300</v>
      </c>
      <c r="G2022" s="656" t="s">
        <v>1301</v>
      </c>
      <c r="H2022" s="656" t="s">
        <v>1300</v>
      </c>
      <c r="I2022" s="656" t="s">
        <v>14976</v>
      </c>
      <c r="J2022" s="656"/>
      <c r="K2022" s="656"/>
      <c r="L2022" s="656"/>
      <c r="M2022" s="657"/>
      <c r="N2022" s="1482"/>
      <c r="O2022" s="656" t="s">
        <v>498</v>
      </c>
      <c r="P2022" s="656" t="s">
        <v>13052</v>
      </c>
      <c r="Q2022" s="656">
        <v>44216.777789351851</v>
      </c>
    </row>
    <row r="2023" spans="1:17">
      <c r="A2023" s="656" t="s">
        <v>2195</v>
      </c>
      <c r="B2023" s="657" t="s">
        <v>202</v>
      </c>
      <c r="C2023" s="656" t="s">
        <v>2196</v>
      </c>
      <c r="D2023" s="657" t="s">
        <v>13789</v>
      </c>
      <c r="E2023" s="657" t="s">
        <v>9510</v>
      </c>
      <c r="F2023" s="656" t="s">
        <v>1300</v>
      </c>
      <c r="G2023" s="656" t="s">
        <v>1301</v>
      </c>
      <c r="H2023" s="656" t="s">
        <v>1300</v>
      </c>
      <c r="I2023" s="656" t="s">
        <v>14976</v>
      </c>
      <c r="J2023" s="656"/>
      <c r="K2023" s="656"/>
      <c r="L2023" s="656"/>
      <c r="M2023" s="657"/>
      <c r="N2023" s="1482"/>
      <c r="O2023" s="656" t="s">
        <v>498</v>
      </c>
      <c r="P2023" s="656" t="s">
        <v>13052</v>
      </c>
      <c r="Q2023" s="656">
        <v>44216.777777777781</v>
      </c>
    </row>
    <row r="2024" spans="1:17">
      <c r="A2024" s="656" t="s">
        <v>2197</v>
      </c>
      <c r="B2024" s="657" t="s">
        <v>202</v>
      </c>
      <c r="C2024" s="656" t="s">
        <v>2198</v>
      </c>
      <c r="D2024" s="657" t="s">
        <v>13789</v>
      </c>
      <c r="E2024" s="657" t="s">
        <v>9458</v>
      </c>
      <c r="F2024" s="656" t="s">
        <v>1667</v>
      </c>
      <c r="G2024" s="656" t="s">
        <v>1668</v>
      </c>
      <c r="H2024" s="656" t="s">
        <v>1667</v>
      </c>
      <c r="I2024" s="656" t="s">
        <v>15280</v>
      </c>
      <c r="J2024" s="656"/>
      <c r="K2024" s="656"/>
      <c r="L2024" s="656"/>
      <c r="M2024" s="657"/>
      <c r="N2024" s="1482"/>
      <c r="O2024" s="656" t="s">
        <v>498</v>
      </c>
      <c r="P2024" s="656" t="s">
        <v>13052</v>
      </c>
      <c r="Q2024" s="656">
        <v>44216.777777777781</v>
      </c>
    </row>
    <row r="2025" spans="1:17">
      <c r="A2025" s="656" t="s">
        <v>2199</v>
      </c>
      <c r="B2025" s="657" t="s">
        <v>202</v>
      </c>
      <c r="C2025" s="656" t="s">
        <v>2200</v>
      </c>
      <c r="D2025" s="657" t="s">
        <v>13789</v>
      </c>
      <c r="E2025" s="657" t="s">
        <v>9510</v>
      </c>
      <c r="F2025" s="656" t="s">
        <v>1300</v>
      </c>
      <c r="G2025" s="656" t="s">
        <v>1301</v>
      </c>
      <c r="H2025" s="656" t="s">
        <v>1300</v>
      </c>
      <c r="I2025" s="656" t="s">
        <v>15280</v>
      </c>
      <c r="J2025" s="656"/>
      <c r="K2025" s="656"/>
      <c r="L2025" s="656"/>
      <c r="M2025" s="657"/>
      <c r="N2025" s="1482"/>
      <c r="O2025" s="656" t="s">
        <v>498</v>
      </c>
      <c r="P2025" s="656" t="s">
        <v>13052</v>
      </c>
      <c r="Q2025" s="656">
        <v>44216.777766203704</v>
      </c>
    </row>
    <row r="2026" spans="1:17">
      <c r="A2026" s="656" t="s">
        <v>2201</v>
      </c>
      <c r="B2026" s="657" t="s">
        <v>202</v>
      </c>
      <c r="C2026" s="656" t="s">
        <v>2202</v>
      </c>
      <c r="D2026" s="657" t="s">
        <v>13789</v>
      </c>
      <c r="E2026" s="657" t="s">
        <v>9510</v>
      </c>
      <c r="F2026" s="656" t="s">
        <v>462</v>
      </c>
      <c r="G2026" s="656" t="s">
        <v>512</v>
      </c>
      <c r="H2026" s="656" t="s">
        <v>462</v>
      </c>
      <c r="I2026" s="656" t="s">
        <v>15280</v>
      </c>
      <c r="J2026" s="656" t="s">
        <v>463</v>
      </c>
      <c r="K2026" s="656" t="s">
        <v>1924</v>
      </c>
      <c r="L2026" s="656"/>
      <c r="M2026" s="657"/>
      <c r="N2026" s="1482"/>
      <c r="O2026" s="656" t="s">
        <v>498</v>
      </c>
      <c r="P2026" s="656" t="s">
        <v>13052</v>
      </c>
      <c r="Q2026" s="656">
        <v>44216.777766203704</v>
      </c>
    </row>
    <row r="2027" spans="1:17">
      <c r="A2027" s="656" t="s">
        <v>2203</v>
      </c>
      <c r="B2027" s="657" t="s">
        <v>202</v>
      </c>
      <c r="C2027" s="656" t="s">
        <v>2204</v>
      </c>
      <c r="D2027" s="657" t="s">
        <v>13789</v>
      </c>
      <c r="E2027" s="657" t="s">
        <v>7439</v>
      </c>
      <c r="F2027" s="656" t="s">
        <v>1050</v>
      </c>
      <c r="G2027" s="656" t="s">
        <v>1051</v>
      </c>
      <c r="H2027" s="656" t="s">
        <v>1050</v>
      </c>
      <c r="I2027" s="656" t="s">
        <v>15280</v>
      </c>
      <c r="J2027" s="656"/>
      <c r="K2027" s="656"/>
      <c r="L2027" s="656"/>
      <c r="M2027" s="657"/>
      <c r="N2027" s="1482"/>
      <c r="O2027" s="656" t="s">
        <v>498</v>
      </c>
      <c r="P2027" s="656" t="s">
        <v>13052</v>
      </c>
      <c r="Q2027" s="656">
        <v>44216.777754629627</v>
      </c>
    </row>
    <row r="2028" spans="1:17">
      <c r="A2028" s="656" t="s">
        <v>2205</v>
      </c>
      <c r="B2028" s="657" t="s">
        <v>504</v>
      </c>
      <c r="C2028" s="656" t="s">
        <v>2206</v>
      </c>
      <c r="D2028" s="657" t="s">
        <v>13789</v>
      </c>
      <c r="E2028" s="657" t="s">
        <v>7439</v>
      </c>
      <c r="F2028" s="656" t="s">
        <v>505</v>
      </c>
      <c r="G2028" s="656" t="s">
        <v>522</v>
      </c>
      <c r="H2028" s="656" t="s">
        <v>505</v>
      </c>
      <c r="I2028" s="656" t="s">
        <v>14976</v>
      </c>
      <c r="J2028" s="656"/>
      <c r="K2028" s="656"/>
      <c r="L2028" s="656"/>
      <c r="M2028" s="657"/>
      <c r="N2028" s="1482"/>
      <c r="O2028" s="656" t="s">
        <v>498</v>
      </c>
      <c r="P2028" s="656" t="s">
        <v>13052</v>
      </c>
      <c r="Q2028" s="656">
        <v>44216.777754629627</v>
      </c>
    </row>
    <row r="2029" spans="1:17">
      <c r="A2029" s="656" t="s">
        <v>2207</v>
      </c>
      <c r="B2029" s="657" t="s">
        <v>531</v>
      </c>
      <c r="C2029" s="656" t="s">
        <v>2208</v>
      </c>
      <c r="D2029" s="657" t="s">
        <v>13789</v>
      </c>
      <c r="E2029" s="657" t="s">
        <v>9510</v>
      </c>
      <c r="F2029" s="656" t="s">
        <v>2849</v>
      </c>
      <c r="G2029" s="656" t="s">
        <v>717</v>
      </c>
      <c r="H2029" s="656" t="s">
        <v>1338</v>
      </c>
      <c r="I2029" s="656" t="s">
        <v>14976</v>
      </c>
      <c r="J2029" s="656"/>
      <c r="K2029" s="656"/>
      <c r="L2029" s="656"/>
      <c r="M2029" s="657"/>
      <c r="N2029" s="1482"/>
      <c r="O2029" s="656" t="s">
        <v>498</v>
      </c>
      <c r="P2029" s="656" t="s">
        <v>13052</v>
      </c>
      <c r="Q2029" s="656">
        <v>44216.777754629627</v>
      </c>
    </row>
    <row r="2030" spans="1:17">
      <c r="A2030" s="656" t="s">
        <v>2209</v>
      </c>
      <c r="B2030" s="657" t="s">
        <v>202</v>
      </c>
      <c r="C2030" s="656" t="s">
        <v>2210</v>
      </c>
      <c r="D2030" s="657" t="s">
        <v>13789</v>
      </c>
      <c r="E2030" s="657" t="s">
        <v>9510</v>
      </c>
      <c r="F2030" s="656" t="s">
        <v>1050</v>
      </c>
      <c r="G2030" s="656" t="s">
        <v>1051</v>
      </c>
      <c r="H2030" s="656" t="s">
        <v>1050</v>
      </c>
      <c r="I2030" s="656" t="s">
        <v>14976</v>
      </c>
      <c r="J2030" s="656"/>
      <c r="K2030" s="656"/>
      <c r="L2030" s="656"/>
      <c r="M2030" s="657"/>
      <c r="N2030" s="1482"/>
      <c r="O2030" s="656" t="s">
        <v>498</v>
      </c>
      <c r="P2030" s="656" t="s">
        <v>13052</v>
      </c>
      <c r="Q2030" s="656">
        <v>44216.777743055558</v>
      </c>
    </row>
    <row r="2031" spans="1:17">
      <c r="A2031" s="656" t="s">
        <v>2211</v>
      </c>
      <c r="B2031" s="657" t="s">
        <v>202</v>
      </c>
      <c r="C2031" s="656" t="s">
        <v>2212</v>
      </c>
      <c r="D2031" s="657" t="s">
        <v>13789</v>
      </c>
      <c r="E2031" s="657" t="s">
        <v>9510</v>
      </c>
      <c r="F2031" s="656" t="s">
        <v>1050</v>
      </c>
      <c r="G2031" s="656" t="s">
        <v>1078</v>
      </c>
      <c r="H2031" s="656" t="s">
        <v>1050</v>
      </c>
      <c r="I2031" s="656" t="s">
        <v>14976</v>
      </c>
      <c r="J2031" s="656"/>
      <c r="K2031" s="656"/>
      <c r="L2031" s="656"/>
      <c r="M2031" s="657"/>
      <c r="N2031" s="1482"/>
      <c r="O2031" s="656" t="s">
        <v>498</v>
      </c>
      <c r="P2031" s="656" t="s">
        <v>13052</v>
      </c>
      <c r="Q2031" s="656">
        <v>44216.777743055558</v>
      </c>
    </row>
    <row r="2032" spans="1:17">
      <c r="A2032" s="656" t="s">
        <v>2213</v>
      </c>
      <c r="B2032" s="657" t="s">
        <v>202</v>
      </c>
      <c r="C2032" s="656" t="s">
        <v>9653</v>
      </c>
      <c r="D2032" s="657" t="s">
        <v>13789</v>
      </c>
      <c r="E2032" s="657" t="s">
        <v>9510</v>
      </c>
      <c r="F2032" s="656" t="s">
        <v>3077</v>
      </c>
      <c r="G2032" s="656" t="s">
        <v>512</v>
      </c>
      <c r="H2032" s="656" t="s">
        <v>465</v>
      </c>
      <c r="I2032" s="656" t="s">
        <v>14976</v>
      </c>
      <c r="J2032" s="656" t="s">
        <v>446</v>
      </c>
      <c r="K2032" s="656" t="s">
        <v>3077</v>
      </c>
      <c r="L2032" s="656"/>
      <c r="M2032" s="657"/>
      <c r="N2032" s="1482"/>
      <c r="O2032" s="656" t="s">
        <v>498</v>
      </c>
      <c r="P2032" s="656" t="s">
        <v>13052</v>
      </c>
      <c r="Q2032" s="656">
        <v>44216.777731481481</v>
      </c>
    </row>
    <row r="2033" spans="1:17">
      <c r="A2033" s="656" t="s">
        <v>2214</v>
      </c>
      <c r="B2033" s="657" t="s">
        <v>504</v>
      </c>
      <c r="C2033" s="656" t="s">
        <v>2215</v>
      </c>
      <c r="D2033" s="657" t="s">
        <v>13789</v>
      </c>
      <c r="E2033" s="657" t="s">
        <v>7439</v>
      </c>
      <c r="F2033" s="656" t="s">
        <v>505</v>
      </c>
      <c r="G2033" s="656" t="s">
        <v>525</v>
      </c>
      <c r="H2033" s="656" t="s">
        <v>505</v>
      </c>
      <c r="I2033" s="656" t="s">
        <v>14976</v>
      </c>
      <c r="J2033" s="656"/>
      <c r="K2033" s="656"/>
      <c r="L2033" s="656"/>
      <c r="M2033" s="657"/>
      <c r="N2033" s="1482"/>
      <c r="O2033" s="656" t="s">
        <v>498</v>
      </c>
      <c r="P2033" s="656" t="s">
        <v>13052</v>
      </c>
      <c r="Q2033" s="656">
        <v>44216.777731481481</v>
      </c>
    </row>
    <row r="2034" spans="1:17">
      <c r="A2034" s="656" t="s">
        <v>2216</v>
      </c>
      <c r="B2034" s="657" t="s">
        <v>504</v>
      </c>
      <c r="C2034" s="656" t="s">
        <v>2217</v>
      </c>
      <c r="D2034" s="657" t="s">
        <v>13789</v>
      </c>
      <c r="E2034" s="657" t="s">
        <v>9458</v>
      </c>
      <c r="F2034" s="656" t="s">
        <v>540</v>
      </c>
      <c r="G2034" s="656" t="s">
        <v>625</v>
      </c>
      <c r="H2034" s="656" t="s">
        <v>540</v>
      </c>
      <c r="I2034" s="656" t="s">
        <v>14976</v>
      </c>
      <c r="J2034" s="656"/>
      <c r="K2034" s="656"/>
      <c r="L2034" s="656"/>
      <c r="M2034" s="657"/>
      <c r="N2034" s="1482"/>
      <c r="O2034" s="656" t="s">
        <v>498</v>
      </c>
      <c r="P2034" s="656" t="s">
        <v>13052</v>
      </c>
      <c r="Q2034" s="656">
        <v>44216.777719907404</v>
      </c>
    </row>
    <row r="2035" spans="1:17">
      <c r="A2035" s="656" t="s">
        <v>2218</v>
      </c>
      <c r="B2035" s="657" t="s">
        <v>504</v>
      </c>
      <c r="C2035" s="656" t="s">
        <v>2219</v>
      </c>
      <c r="D2035" s="657" t="s">
        <v>13789</v>
      </c>
      <c r="E2035" s="657" t="s">
        <v>9458</v>
      </c>
      <c r="F2035" s="656" t="s">
        <v>540</v>
      </c>
      <c r="G2035" s="656" t="s">
        <v>625</v>
      </c>
      <c r="H2035" s="656" t="s">
        <v>540</v>
      </c>
      <c r="I2035" s="656" t="s">
        <v>14976</v>
      </c>
      <c r="J2035" s="656"/>
      <c r="K2035" s="656"/>
      <c r="L2035" s="656"/>
      <c r="M2035" s="657"/>
      <c r="N2035" s="1482"/>
      <c r="O2035" s="656" t="s">
        <v>498</v>
      </c>
      <c r="P2035" s="656" t="s">
        <v>13052</v>
      </c>
      <c r="Q2035" s="656">
        <v>44216.777719907404</v>
      </c>
    </row>
    <row r="2036" spans="1:17">
      <c r="A2036" s="656" t="s">
        <v>2220</v>
      </c>
      <c r="B2036" s="657" t="s">
        <v>504</v>
      </c>
      <c r="C2036" s="656" t="s">
        <v>2221</v>
      </c>
      <c r="D2036" s="657" t="s">
        <v>13789</v>
      </c>
      <c r="E2036" s="657" t="s">
        <v>9458</v>
      </c>
      <c r="F2036" s="656" t="s">
        <v>540</v>
      </c>
      <c r="G2036" s="656" t="s">
        <v>625</v>
      </c>
      <c r="H2036" s="656" t="s">
        <v>540</v>
      </c>
      <c r="I2036" s="656" t="s">
        <v>14976</v>
      </c>
      <c r="J2036" s="656"/>
      <c r="K2036" s="656"/>
      <c r="L2036" s="656"/>
      <c r="M2036" s="657"/>
      <c r="N2036" s="1482"/>
      <c r="O2036" s="656" t="s">
        <v>498</v>
      </c>
      <c r="P2036" s="656" t="s">
        <v>13052</v>
      </c>
      <c r="Q2036" s="656">
        <v>44216.777708333335</v>
      </c>
    </row>
    <row r="2037" spans="1:17">
      <c r="A2037" s="656" t="s">
        <v>2222</v>
      </c>
      <c r="B2037" s="657" t="s">
        <v>531</v>
      </c>
      <c r="C2037" s="656" t="s">
        <v>2223</v>
      </c>
      <c r="D2037" s="657" t="s">
        <v>13789</v>
      </c>
      <c r="E2037" s="657" t="s">
        <v>9458</v>
      </c>
      <c r="F2037" s="656" t="s">
        <v>1949</v>
      </c>
      <c r="G2037" s="656" t="s">
        <v>717</v>
      </c>
      <c r="H2037" s="656" t="s">
        <v>1949</v>
      </c>
      <c r="I2037" s="656" t="s">
        <v>14976</v>
      </c>
      <c r="J2037" s="656"/>
      <c r="K2037" s="656"/>
      <c r="L2037" s="656"/>
      <c r="M2037" s="657"/>
      <c r="N2037" s="1482"/>
      <c r="O2037" s="656" t="s">
        <v>498</v>
      </c>
      <c r="P2037" s="656" t="s">
        <v>13052</v>
      </c>
      <c r="Q2037" s="656">
        <v>44216.777696759258</v>
      </c>
    </row>
    <row r="2038" spans="1:17">
      <c r="A2038" s="656" t="s">
        <v>2224</v>
      </c>
      <c r="B2038" s="657" t="s">
        <v>504</v>
      </c>
      <c r="C2038" s="656" t="s">
        <v>2225</v>
      </c>
      <c r="D2038" s="657" t="s">
        <v>14978</v>
      </c>
      <c r="E2038" s="657" t="s">
        <v>7439</v>
      </c>
      <c r="F2038" s="656" t="s">
        <v>505</v>
      </c>
      <c r="G2038" s="656" t="s">
        <v>506</v>
      </c>
      <c r="H2038" s="656" t="s">
        <v>505</v>
      </c>
      <c r="I2038" s="656" t="s">
        <v>14976</v>
      </c>
      <c r="J2038" s="656"/>
      <c r="K2038" s="656"/>
      <c r="L2038" s="656" t="s">
        <v>15311</v>
      </c>
      <c r="M2038" s="657"/>
      <c r="N2038" s="1482"/>
      <c r="O2038" s="656" t="s">
        <v>498</v>
      </c>
      <c r="P2038" s="656" t="s">
        <v>13052</v>
      </c>
      <c r="Q2038" s="656">
        <v>44216.777696759258</v>
      </c>
    </row>
    <row r="2039" spans="1:17">
      <c r="A2039" s="656" t="s">
        <v>2226</v>
      </c>
      <c r="B2039" s="657" t="s">
        <v>202</v>
      </c>
      <c r="C2039" s="656" t="s">
        <v>2227</v>
      </c>
      <c r="D2039" s="657"/>
      <c r="E2039" s="657" t="s">
        <v>9458</v>
      </c>
      <c r="F2039" s="656" t="s">
        <v>537</v>
      </c>
      <c r="G2039" s="656"/>
      <c r="H2039" s="656" t="s">
        <v>537</v>
      </c>
      <c r="I2039" s="656" t="s">
        <v>15280</v>
      </c>
      <c r="J2039" s="656" t="s">
        <v>473</v>
      </c>
      <c r="K2039" s="656"/>
      <c r="L2039" s="656"/>
      <c r="M2039" s="657"/>
      <c r="N2039" s="1482"/>
      <c r="O2039" s="656" t="s">
        <v>498</v>
      </c>
      <c r="P2039" s="656" t="s">
        <v>13052</v>
      </c>
      <c r="Q2039" s="656">
        <v>44216.777685185189</v>
      </c>
    </row>
    <row r="2040" spans="1:17">
      <c r="A2040" s="656" t="s">
        <v>2228</v>
      </c>
      <c r="B2040" s="657" t="s">
        <v>504</v>
      </c>
      <c r="C2040" s="656" t="s">
        <v>13802</v>
      </c>
      <c r="D2040" s="657" t="s">
        <v>13789</v>
      </c>
      <c r="E2040" s="657" t="s">
        <v>9458</v>
      </c>
      <c r="F2040" s="656" t="s">
        <v>505</v>
      </c>
      <c r="G2040" s="656" t="s">
        <v>506</v>
      </c>
      <c r="H2040" s="656" t="s">
        <v>505</v>
      </c>
      <c r="I2040" s="656" t="s">
        <v>14976</v>
      </c>
      <c r="J2040" s="656"/>
      <c r="K2040" s="656"/>
      <c r="L2040" s="656"/>
      <c r="M2040" s="657"/>
      <c r="N2040" s="1482"/>
      <c r="O2040" s="656" t="s">
        <v>498</v>
      </c>
      <c r="P2040" s="656" t="s">
        <v>13052</v>
      </c>
      <c r="Q2040" s="656">
        <v>44216.777685185189</v>
      </c>
    </row>
    <row r="2041" spans="1:17">
      <c r="A2041" s="656" t="s">
        <v>2229</v>
      </c>
      <c r="B2041" s="657" t="s">
        <v>504</v>
      </c>
      <c r="C2041" s="656" t="s">
        <v>2230</v>
      </c>
      <c r="D2041" s="657" t="s">
        <v>13789</v>
      </c>
      <c r="E2041" s="657" t="s">
        <v>9510</v>
      </c>
      <c r="F2041" s="656" t="s">
        <v>505</v>
      </c>
      <c r="G2041" s="656" t="s">
        <v>506</v>
      </c>
      <c r="H2041" s="656" t="s">
        <v>505</v>
      </c>
      <c r="I2041" s="656" t="s">
        <v>14976</v>
      </c>
      <c r="J2041" s="656"/>
      <c r="K2041" s="656"/>
      <c r="L2041" s="656"/>
      <c r="M2041" s="657"/>
      <c r="N2041" s="1482"/>
      <c r="O2041" s="656" t="s">
        <v>498</v>
      </c>
      <c r="P2041" s="656" t="s">
        <v>13052</v>
      </c>
      <c r="Q2041" s="656">
        <v>44216.777685185189</v>
      </c>
    </row>
    <row r="2042" spans="1:17">
      <c r="A2042" s="656" t="s">
        <v>2231</v>
      </c>
      <c r="B2042" s="657" t="s">
        <v>504</v>
      </c>
      <c r="C2042" s="656" t="s">
        <v>2232</v>
      </c>
      <c r="D2042" s="657" t="s">
        <v>13789</v>
      </c>
      <c r="E2042" s="657" t="s">
        <v>9510</v>
      </c>
      <c r="F2042" s="656" t="s">
        <v>505</v>
      </c>
      <c r="G2042" s="656" t="s">
        <v>506</v>
      </c>
      <c r="H2042" s="656" t="s">
        <v>505</v>
      </c>
      <c r="I2042" s="656" t="s">
        <v>14976</v>
      </c>
      <c r="J2042" s="656"/>
      <c r="K2042" s="656"/>
      <c r="L2042" s="656"/>
      <c r="M2042" s="657"/>
      <c r="N2042" s="1482"/>
      <c r="O2042" s="656" t="s">
        <v>498</v>
      </c>
      <c r="P2042" s="656" t="s">
        <v>13052</v>
      </c>
      <c r="Q2042" s="656">
        <v>44216.777673611112</v>
      </c>
    </row>
    <row r="2043" spans="1:17">
      <c r="A2043" s="656" t="s">
        <v>2233</v>
      </c>
      <c r="B2043" s="657" t="s">
        <v>504</v>
      </c>
      <c r="C2043" s="656" t="s">
        <v>13801</v>
      </c>
      <c r="D2043" s="657" t="s">
        <v>13789</v>
      </c>
      <c r="E2043" s="657" t="s">
        <v>9510</v>
      </c>
      <c r="F2043" s="656" t="s">
        <v>505</v>
      </c>
      <c r="G2043" s="656" t="s">
        <v>506</v>
      </c>
      <c r="H2043" s="656" t="s">
        <v>505</v>
      </c>
      <c r="I2043" s="656" t="s">
        <v>14976</v>
      </c>
      <c r="J2043" s="656"/>
      <c r="K2043" s="656"/>
      <c r="L2043" s="656"/>
      <c r="M2043" s="657"/>
      <c r="N2043" s="1482"/>
      <c r="O2043" s="656" t="s">
        <v>498</v>
      </c>
      <c r="P2043" s="656" t="s">
        <v>13052</v>
      </c>
      <c r="Q2043" s="656">
        <v>44216.777673611112</v>
      </c>
    </row>
    <row r="2044" spans="1:17">
      <c r="A2044" s="656" t="s">
        <v>2234</v>
      </c>
      <c r="B2044" s="657" t="s">
        <v>504</v>
      </c>
      <c r="C2044" s="656" t="s">
        <v>2235</v>
      </c>
      <c r="D2044" s="657" t="s">
        <v>13789</v>
      </c>
      <c r="E2044" s="657" t="s">
        <v>9510</v>
      </c>
      <c r="F2044" s="656" t="s">
        <v>505</v>
      </c>
      <c r="G2044" s="656" t="s">
        <v>506</v>
      </c>
      <c r="H2044" s="656" t="s">
        <v>505</v>
      </c>
      <c r="I2044" s="656" t="s">
        <v>14976</v>
      </c>
      <c r="J2044" s="656"/>
      <c r="K2044" s="656"/>
      <c r="L2044" s="656"/>
      <c r="M2044" s="657"/>
      <c r="N2044" s="1482"/>
      <c r="O2044" s="656" t="s">
        <v>498</v>
      </c>
      <c r="P2044" s="656" t="s">
        <v>13052</v>
      </c>
      <c r="Q2044" s="656">
        <v>44216.777662037035</v>
      </c>
    </row>
    <row r="2045" spans="1:17">
      <c r="A2045" s="656" t="s">
        <v>2236</v>
      </c>
      <c r="B2045" s="657" t="s">
        <v>504</v>
      </c>
      <c r="C2045" s="656" t="s">
        <v>2237</v>
      </c>
      <c r="D2045" s="657" t="s">
        <v>13789</v>
      </c>
      <c r="E2045" s="657" t="s">
        <v>9510</v>
      </c>
      <c r="F2045" s="656" t="s">
        <v>505</v>
      </c>
      <c r="G2045" s="656" t="s">
        <v>506</v>
      </c>
      <c r="H2045" s="656" t="s">
        <v>505</v>
      </c>
      <c r="I2045" s="656" t="s">
        <v>14976</v>
      </c>
      <c r="J2045" s="656"/>
      <c r="K2045" s="656"/>
      <c r="L2045" s="656"/>
      <c r="M2045" s="657"/>
      <c r="N2045" s="1482"/>
      <c r="O2045" s="656" t="s">
        <v>498</v>
      </c>
      <c r="P2045" s="656" t="s">
        <v>13052</v>
      </c>
      <c r="Q2045" s="656">
        <v>44216.777662037035</v>
      </c>
    </row>
    <row r="2046" spans="1:17">
      <c r="A2046" s="656" t="s">
        <v>2238</v>
      </c>
      <c r="B2046" s="657" t="s">
        <v>504</v>
      </c>
      <c r="C2046" s="656" t="s">
        <v>2239</v>
      </c>
      <c r="D2046" s="657" t="s">
        <v>13789</v>
      </c>
      <c r="E2046" s="657" t="s">
        <v>9406</v>
      </c>
      <c r="F2046" s="656" t="s">
        <v>505</v>
      </c>
      <c r="G2046" s="656" t="s">
        <v>506</v>
      </c>
      <c r="H2046" s="656" t="s">
        <v>505</v>
      </c>
      <c r="I2046" s="656" t="s">
        <v>14976</v>
      </c>
      <c r="J2046" s="656"/>
      <c r="K2046" s="656"/>
      <c r="L2046" s="656"/>
      <c r="M2046" s="657"/>
      <c r="N2046" s="1482"/>
      <c r="O2046" s="656" t="s">
        <v>498</v>
      </c>
      <c r="P2046" s="656" t="s">
        <v>13052</v>
      </c>
      <c r="Q2046" s="656">
        <v>44216.777650462966</v>
      </c>
    </row>
    <row r="2047" spans="1:17">
      <c r="A2047" s="656" t="s">
        <v>2240</v>
      </c>
      <c r="B2047" s="657" t="s">
        <v>504</v>
      </c>
      <c r="C2047" s="656" t="s">
        <v>2241</v>
      </c>
      <c r="D2047" s="657" t="s">
        <v>13789</v>
      </c>
      <c r="E2047" s="657" t="s">
        <v>9458</v>
      </c>
      <c r="F2047" s="656" t="s">
        <v>540</v>
      </c>
      <c r="G2047" s="656" t="s">
        <v>541</v>
      </c>
      <c r="H2047" s="656" t="s">
        <v>540</v>
      </c>
      <c r="I2047" s="656"/>
      <c r="J2047" s="656"/>
      <c r="K2047" s="656"/>
      <c r="L2047" s="656"/>
      <c r="M2047" s="657"/>
      <c r="N2047" s="1482"/>
      <c r="O2047" s="656" t="s">
        <v>498</v>
      </c>
      <c r="P2047" s="656" t="s">
        <v>13052</v>
      </c>
      <c r="Q2047" s="656">
        <v>44216.777650462966</v>
      </c>
    </row>
    <row r="2048" spans="1:17">
      <c r="A2048" s="656" t="s">
        <v>2242</v>
      </c>
      <c r="B2048" s="657" t="s">
        <v>504</v>
      </c>
      <c r="C2048" s="656" t="s">
        <v>2243</v>
      </c>
      <c r="D2048" s="657" t="s">
        <v>13789</v>
      </c>
      <c r="E2048" s="657" t="s">
        <v>9458</v>
      </c>
      <c r="F2048" s="656" t="s">
        <v>540</v>
      </c>
      <c r="G2048" s="656" t="s">
        <v>541</v>
      </c>
      <c r="H2048" s="656" t="s">
        <v>540</v>
      </c>
      <c r="I2048" s="656"/>
      <c r="J2048" s="656"/>
      <c r="K2048" s="656"/>
      <c r="L2048" s="656"/>
      <c r="M2048" s="657"/>
      <c r="N2048" s="1482"/>
      <c r="O2048" s="656" t="s">
        <v>498</v>
      </c>
      <c r="P2048" s="656" t="s">
        <v>13052</v>
      </c>
      <c r="Q2048" s="656">
        <v>44216.777638888889</v>
      </c>
    </row>
    <row r="2049" spans="1:17">
      <c r="A2049" s="656" t="s">
        <v>2244</v>
      </c>
      <c r="B2049" s="657" t="s">
        <v>504</v>
      </c>
      <c r="C2049" s="656" t="s">
        <v>2245</v>
      </c>
      <c r="D2049" s="657" t="s">
        <v>13789</v>
      </c>
      <c r="E2049" s="657" t="s">
        <v>9458</v>
      </c>
      <c r="F2049" s="656" t="s">
        <v>540</v>
      </c>
      <c r="G2049" s="656" t="s">
        <v>541</v>
      </c>
      <c r="H2049" s="656" t="s">
        <v>540</v>
      </c>
      <c r="I2049" s="656"/>
      <c r="J2049" s="656"/>
      <c r="K2049" s="656"/>
      <c r="L2049" s="656"/>
      <c r="M2049" s="657"/>
      <c r="N2049" s="1482"/>
      <c r="O2049" s="656" t="s">
        <v>498</v>
      </c>
      <c r="P2049" s="656" t="s">
        <v>13052</v>
      </c>
      <c r="Q2049" s="656">
        <v>44216.777638888889</v>
      </c>
    </row>
    <row r="2050" spans="1:17">
      <c r="A2050" s="656" t="s">
        <v>2246</v>
      </c>
      <c r="B2050" s="657" t="s">
        <v>504</v>
      </c>
      <c r="C2050" s="656" t="s">
        <v>2247</v>
      </c>
      <c r="D2050" s="657" t="s">
        <v>13789</v>
      </c>
      <c r="E2050" s="657" t="s">
        <v>9458</v>
      </c>
      <c r="F2050" s="656" t="s">
        <v>540</v>
      </c>
      <c r="G2050" s="656" t="s">
        <v>541</v>
      </c>
      <c r="H2050" s="656" t="s">
        <v>540</v>
      </c>
      <c r="I2050" s="656"/>
      <c r="J2050" s="656"/>
      <c r="K2050" s="656"/>
      <c r="L2050" s="656"/>
      <c r="M2050" s="657"/>
      <c r="N2050" s="1482"/>
      <c r="O2050" s="656" t="s">
        <v>498</v>
      </c>
      <c r="P2050" s="656" t="s">
        <v>13052</v>
      </c>
      <c r="Q2050" s="656">
        <v>44216.777627314812</v>
      </c>
    </row>
    <row r="2051" spans="1:17">
      <c r="A2051" s="656" t="s">
        <v>2248</v>
      </c>
      <c r="B2051" s="657" t="s">
        <v>504</v>
      </c>
      <c r="C2051" s="656" t="s">
        <v>2249</v>
      </c>
      <c r="D2051" s="657" t="s">
        <v>13789</v>
      </c>
      <c r="E2051" s="657" t="s">
        <v>9458</v>
      </c>
      <c r="F2051" s="656" t="s">
        <v>540</v>
      </c>
      <c r="G2051" s="656" t="s">
        <v>541</v>
      </c>
      <c r="H2051" s="656" t="s">
        <v>540</v>
      </c>
      <c r="I2051" s="656"/>
      <c r="J2051" s="656"/>
      <c r="K2051" s="656"/>
      <c r="L2051" s="656"/>
      <c r="M2051" s="657"/>
      <c r="N2051" s="1482"/>
      <c r="O2051" s="656" t="s">
        <v>498</v>
      </c>
      <c r="P2051" s="656" t="s">
        <v>13052</v>
      </c>
      <c r="Q2051" s="656">
        <v>44216.777627314812</v>
      </c>
    </row>
    <row r="2052" spans="1:17">
      <c r="A2052" s="656" t="s">
        <v>2250</v>
      </c>
      <c r="B2052" s="657" t="s">
        <v>504</v>
      </c>
      <c r="C2052" s="656" t="s">
        <v>2025</v>
      </c>
      <c r="D2052" s="657" t="s">
        <v>13789</v>
      </c>
      <c r="E2052" s="657" t="s">
        <v>9458</v>
      </c>
      <c r="F2052" s="656" t="s">
        <v>540</v>
      </c>
      <c r="G2052" s="656" t="s">
        <v>541</v>
      </c>
      <c r="H2052" s="656" t="s">
        <v>540</v>
      </c>
      <c r="I2052" s="656"/>
      <c r="J2052" s="656"/>
      <c r="K2052" s="656"/>
      <c r="L2052" s="656"/>
      <c r="M2052" s="657"/>
      <c r="N2052" s="1482"/>
      <c r="O2052" s="656" t="s">
        <v>498</v>
      </c>
      <c r="P2052" s="656" t="s">
        <v>13052</v>
      </c>
      <c r="Q2052" s="656">
        <v>44216.777615740742</v>
      </c>
    </row>
    <row r="2053" spans="1:17">
      <c r="A2053" s="656" t="s">
        <v>2251</v>
      </c>
      <c r="B2053" s="657" t="s">
        <v>504</v>
      </c>
      <c r="C2053" s="656" t="s">
        <v>2252</v>
      </c>
      <c r="D2053" s="657" t="s">
        <v>13789</v>
      </c>
      <c r="E2053" s="657" t="s">
        <v>9458</v>
      </c>
      <c r="F2053" s="656" t="s">
        <v>540</v>
      </c>
      <c r="G2053" s="656" t="s">
        <v>541</v>
      </c>
      <c r="H2053" s="656" t="s">
        <v>540</v>
      </c>
      <c r="I2053" s="656"/>
      <c r="J2053" s="656"/>
      <c r="K2053" s="656"/>
      <c r="L2053" s="656"/>
      <c r="M2053" s="657"/>
      <c r="N2053" s="1482"/>
      <c r="O2053" s="656" t="s">
        <v>498</v>
      </c>
      <c r="P2053" s="656" t="s">
        <v>13052</v>
      </c>
      <c r="Q2053" s="656">
        <v>44216.777615740742</v>
      </c>
    </row>
    <row r="2054" spans="1:17">
      <c r="A2054" s="656" t="s">
        <v>2253</v>
      </c>
      <c r="B2054" s="657" t="s">
        <v>504</v>
      </c>
      <c r="C2054" s="656" t="s">
        <v>2254</v>
      </c>
      <c r="D2054" s="657" t="s">
        <v>13789</v>
      </c>
      <c r="E2054" s="657" t="s">
        <v>9458</v>
      </c>
      <c r="F2054" s="656" t="s">
        <v>540</v>
      </c>
      <c r="G2054" s="656" t="s">
        <v>541</v>
      </c>
      <c r="H2054" s="656" t="s">
        <v>540</v>
      </c>
      <c r="I2054" s="656"/>
      <c r="J2054" s="656"/>
      <c r="K2054" s="656"/>
      <c r="L2054" s="656"/>
      <c r="M2054" s="657"/>
      <c r="N2054" s="1482"/>
      <c r="O2054" s="656" t="s">
        <v>498</v>
      </c>
      <c r="P2054" s="656" t="s">
        <v>13052</v>
      </c>
      <c r="Q2054" s="656">
        <v>44216.777604166666</v>
      </c>
    </row>
    <row r="2055" spans="1:17">
      <c r="A2055" s="656" t="s">
        <v>2255</v>
      </c>
      <c r="B2055" s="657" t="s">
        <v>504</v>
      </c>
      <c r="C2055" s="656" t="s">
        <v>2256</v>
      </c>
      <c r="D2055" s="657" t="s">
        <v>13789</v>
      </c>
      <c r="E2055" s="657" t="s">
        <v>9458</v>
      </c>
      <c r="F2055" s="656" t="s">
        <v>540</v>
      </c>
      <c r="G2055" s="656" t="s">
        <v>541</v>
      </c>
      <c r="H2055" s="656" t="s">
        <v>540</v>
      </c>
      <c r="I2055" s="656"/>
      <c r="J2055" s="656"/>
      <c r="K2055" s="656"/>
      <c r="L2055" s="656"/>
      <c r="M2055" s="657"/>
      <c r="N2055" s="1482"/>
      <c r="O2055" s="656" t="s">
        <v>498</v>
      </c>
      <c r="P2055" s="656" t="s">
        <v>13052</v>
      </c>
      <c r="Q2055" s="656">
        <v>44216.777604166666</v>
      </c>
    </row>
    <row r="2056" spans="1:17">
      <c r="A2056" s="656" t="s">
        <v>2257</v>
      </c>
      <c r="B2056" s="657" t="s">
        <v>504</v>
      </c>
      <c r="C2056" s="656" t="s">
        <v>2258</v>
      </c>
      <c r="D2056" s="657" t="s">
        <v>13789</v>
      </c>
      <c r="E2056" s="657" t="s">
        <v>9458</v>
      </c>
      <c r="F2056" s="656" t="s">
        <v>540</v>
      </c>
      <c r="G2056" s="656" t="s">
        <v>541</v>
      </c>
      <c r="H2056" s="656" t="s">
        <v>540</v>
      </c>
      <c r="I2056" s="656"/>
      <c r="J2056" s="656"/>
      <c r="K2056" s="656"/>
      <c r="L2056" s="656"/>
      <c r="M2056" s="657"/>
      <c r="N2056" s="1482"/>
      <c r="O2056" s="656" t="s">
        <v>498</v>
      </c>
      <c r="P2056" s="656" t="s">
        <v>13052</v>
      </c>
      <c r="Q2056" s="656">
        <v>44216.777592592596</v>
      </c>
    </row>
    <row r="2057" spans="1:17">
      <c r="A2057" s="656" t="s">
        <v>2259</v>
      </c>
      <c r="B2057" s="657" t="s">
        <v>504</v>
      </c>
      <c r="C2057" s="656" t="s">
        <v>2260</v>
      </c>
      <c r="D2057" s="657" t="s">
        <v>13789</v>
      </c>
      <c r="E2057" s="657" t="s">
        <v>9458</v>
      </c>
      <c r="F2057" s="656" t="s">
        <v>540</v>
      </c>
      <c r="G2057" s="656" t="s">
        <v>541</v>
      </c>
      <c r="H2057" s="656" t="s">
        <v>540</v>
      </c>
      <c r="I2057" s="656"/>
      <c r="J2057" s="656"/>
      <c r="K2057" s="656"/>
      <c r="L2057" s="656"/>
      <c r="M2057" s="657"/>
      <c r="N2057" s="1482"/>
      <c r="O2057" s="656" t="s">
        <v>498</v>
      </c>
      <c r="P2057" s="656" t="s">
        <v>13052</v>
      </c>
      <c r="Q2057" s="656">
        <v>44216.777592592596</v>
      </c>
    </row>
    <row r="2058" spans="1:17">
      <c r="A2058" s="656" t="s">
        <v>2261</v>
      </c>
      <c r="B2058" s="657" t="s">
        <v>504</v>
      </c>
      <c r="C2058" s="656" t="s">
        <v>2262</v>
      </c>
      <c r="D2058" s="657" t="s">
        <v>13789</v>
      </c>
      <c r="E2058" s="657" t="s">
        <v>9458</v>
      </c>
      <c r="F2058" s="656" t="s">
        <v>540</v>
      </c>
      <c r="G2058" s="656" t="s">
        <v>541</v>
      </c>
      <c r="H2058" s="656" t="s">
        <v>540</v>
      </c>
      <c r="I2058" s="656"/>
      <c r="J2058" s="656"/>
      <c r="K2058" s="656"/>
      <c r="L2058" s="656"/>
      <c r="M2058" s="657"/>
      <c r="N2058" s="1482"/>
      <c r="O2058" s="656" t="s">
        <v>498</v>
      </c>
      <c r="P2058" s="656" t="s">
        <v>13052</v>
      </c>
      <c r="Q2058" s="656">
        <v>44216.777581018519</v>
      </c>
    </row>
    <row r="2059" spans="1:17">
      <c r="A2059" s="656" t="s">
        <v>2263</v>
      </c>
      <c r="B2059" s="657" t="s">
        <v>504</v>
      </c>
      <c r="C2059" s="656" t="s">
        <v>2264</v>
      </c>
      <c r="D2059" s="657" t="s">
        <v>13789</v>
      </c>
      <c r="E2059" s="657" t="s">
        <v>9458</v>
      </c>
      <c r="F2059" s="656" t="s">
        <v>540</v>
      </c>
      <c r="G2059" s="656" t="s">
        <v>541</v>
      </c>
      <c r="H2059" s="656" t="s">
        <v>540</v>
      </c>
      <c r="I2059" s="656"/>
      <c r="J2059" s="656"/>
      <c r="K2059" s="656"/>
      <c r="L2059" s="656"/>
      <c r="M2059" s="657"/>
      <c r="N2059" s="1482"/>
      <c r="O2059" s="656" t="s">
        <v>498</v>
      </c>
      <c r="P2059" s="656" t="s">
        <v>13052</v>
      </c>
      <c r="Q2059" s="656">
        <v>44216.777581018519</v>
      </c>
    </row>
    <row r="2060" spans="1:17">
      <c r="A2060" s="656" t="s">
        <v>2265</v>
      </c>
      <c r="B2060" s="657" t="s">
        <v>504</v>
      </c>
      <c r="C2060" s="656" t="s">
        <v>2266</v>
      </c>
      <c r="D2060" s="657" t="s">
        <v>13789</v>
      </c>
      <c r="E2060" s="657" t="s">
        <v>9458</v>
      </c>
      <c r="F2060" s="656" t="s">
        <v>540</v>
      </c>
      <c r="G2060" s="656" t="s">
        <v>541</v>
      </c>
      <c r="H2060" s="656" t="s">
        <v>540</v>
      </c>
      <c r="I2060" s="656"/>
      <c r="J2060" s="656"/>
      <c r="K2060" s="656"/>
      <c r="L2060" s="656"/>
      <c r="M2060" s="657"/>
      <c r="N2060" s="1482"/>
      <c r="O2060" s="656" t="s">
        <v>498</v>
      </c>
      <c r="P2060" s="656" t="s">
        <v>13052</v>
      </c>
      <c r="Q2060" s="656">
        <v>44216.777569444443</v>
      </c>
    </row>
    <row r="2061" spans="1:17">
      <c r="A2061" s="656" t="s">
        <v>2267</v>
      </c>
      <c r="B2061" s="657" t="s">
        <v>504</v>
      </c>
      <c r="C2061" s="656" t="s">
        <v>2268</v>
      </c>
      <c r="D2061" s="657" t="s">
        <v>13789</v>
      </c>
      <c r="E2061" s="657" t="s">
        <v>9458</v>
      </c>
      <c r="F2061" s="656" t="s">
        <v>540</v>
      </c>
      <c r="G2061" s="656" t="s">
        <v>541</v>
      </c>
      <c r="H2061" s="656" t="s">
        <v>540</v>
      </c>
      <c r="I2061" s="656"/>
      <c r="J2061" s="656"/>
      <c r="K2061" s="656"/>
      <c r="L2061" s="656"/>
      <c r="M2061" s="657"/>
      <c r="N2061" s="1482"/>
      <c r="O2061" s="656" t="s">
        <v>498</v>
      </c>
      <c r="P2061" s="656" t="s">
        <v>13052</v>
      </c>
      <c r="Q2061" s="656">
        <v>44216.777569444443</v>
      </c>
    </row>
    <row r="2062" spans="1:17">
      <c r="A2062" s="656" t="s">
        <v>2269</v>
      </c>
      <c r="B2062" s="657" t="s">
        <v>504</v>
      </c>
      <c r="C2062" s="656" t="s">
        <v>2270</v>
      </c>
      <c r="D2062" s="657" t="s">
        <v>13789</v>
      </c>
      <c r="E2062" s="657" t="s">
        <v>9458</v>
      </c>
      <c r="F2062" s="656" t="s">
        <v>540</v>
      </c>
      <c r="G2062" s="656" t="s">
        <v>541</v>
      </c>
      <c r="H2062" s="656" t="s">
        <v>540</v>
      </c>
      <c r="I2062" s="656"/>
      <c r="J2062" s="656"/>
      <c r="K2062" s="656"/>
      <c r="L2062" s="656"/>
      <c r="M2062" s="657"/>
      <c r="N2062" s="1482"/>
      <c r="O2062" s="656" t="s">
        <v>498</v>
      </c>
      <c r="P2062" s="656" t="s">
        <v>13052</v>
      </c>
      <c r="Q2062" s="656">
        <v>44216.777557870373</v>
      </c>
    </row>
    <row r="2063" spans="1:17">
      <c r="A2063" s="656" t="s">
        <v>2271</v>
      </c>
      <c r="B2063" s="657" t="s">
        <v>504</v>
      </c>
      <c r="C2063" s="656" t="s">
        <v>2272</v>
      </c>
      <c r="D2063" s="657" t="s">
        <v>13789</v>
      </c>
      <c r="E2063" s="657" t="s">
        <v>9458</v>
      </c>
      <c r="F2063" s="656" t="s">
        <v>540</v>
      </c>
      <c r="G2063" s="656" t="s">
        <v>541</v>
      </c>
      <c r="H2063" s="656" t="s">
        <v>540</v>
      </c>
      <c r="I2063" s="656"/>
      <c r="J2063" s="656"/>
      <c r="K2063" s="656"/>
      <c r="L2063" s="656"/>
      <c r="M2063" s="657"/>
      <c r="N2063" s="1482"/>
      <c r="O2063" s="656" t="s">
        <v>498</v>
      </c>
      <c r="P2063" s="656" t="s">
        <v>13052</v>
      </c>
      <c r="Q2063" s="656">
        <v>44216.777546296296</v>
      </c>
    </row>
    <row r="2064" spans="1:17">
      <c r="A2064" s="656" t="s">
        <v>2273</v>
      </c>
      <c r="B2064" s="657" t="s">
        <v>504</v>
      </c>
      <c r="C2064" s="656" t="s">
        <v>2274</v>
      </c>
      <c r="D2064" s="657" t="s">
        <v>13789</v>
      </c>
      <c r="E2064" s="657" t="s">
        <v>9458</v>
      </c>
      <c r="F2064" s="656" t="s">
        <v>540</v>
      </c>
      <c r="G2064" s="656" t="s">
        <v>541</v>
      </c>
      <c r="H2064" s="656" t="s">
        <v>540</v>
      </c>
      <c r="I2064" s="656"/>
      <c r="J2064" s="656"/>
      <c r="K2064" s="656"/>
      <c r="L2064" s="656"/>
      <c r="M2064" s="657"/>
      <c r="N2064" s="1482"/>
      <c r="O2064" s="656" t="s">
        <v>498</v>
      </c>
      <c r="P2064" s="656" t="s">
        <v>13052</v>
      </c>
      <c r="Q2064" s="656">
        <v>44216.777546296296</v>
      </c>
    </row>
    <row r="2065" spans="1:17">
      <c r="A2065" s="656" t="s">
        <v>2275</v>
      </c>
      <c r="B2065" s="657" t="s">
        <v>504</v>
      </c>
      <c r="C2065" s="656" t="s">
        <v>2276</v>
      </c>
      <c r="D2065" s="657" t="s">
        <v>13789</v>
      </c>
      <c r="E2065" s="657" t="s">
        <v>9458</v>
      </c>
      <c r="F2065" s="656" t="s">
        <v>540</v>
      </c>
      <c r="G2065" s="656" t="s">
        <v>541</v>
      </c>
      <c r="H2065" s="656" t="s">
        <v>540</v>
      </c>
      <c r="I2065" s="656"/>
      <c r="J2065" s="656"/>
      <c r="K2065" s="656"/>
      <c r="L2065" s="656"/>
      <c r="M2065" s="657"/>
      <c r="N2065" s="1482"/>
      <c r="O2065" s="656" t="s">
        <v>498</v>
      </c>
      <c r="P2065" s="656" t="s">
        <v>13052</v>
      </c>
      <c r="Q2065" s="656">
        <v>44216.77753472222</v>
      </c>
    </row>
    <row r="2066" spans="1:17">
      <c r="A2066" s="656" t="s">
        <v>2277</v>
      </c>
      <c r="B2066" s="657" t="s">
        <v>504</v>
      </c>
      <c r="C2066" s="656" t="s">
        <v>2278</v>
      </c>
      <c r="D2066" s="657" t="s">
        <v>13789</v>
      </c>
      <c r="E2066" s="657" t="s">
        <v>9458</v>
      </c>
      <c r="F2066" s="656" t="s">
        <v>540</v>
      </c>
      <c r="G2066" s="656" t="s">
        <v>541</v>
      </c>
      <c r="H2066" s="656" t="s">
        <v>540</v>
      </c>
      <c r="I2066" s="656"/>
      <c r="J2066" s="656"/>
      <c r="K2066" s="656"/>
      <c r="L2066" s="656"/>
      <c r="M2066" s="657"/>
      <c r="N2066" s="1482"/>
      <c r="O2066" s="656" t="s">
        <v>498</v>
      </c>
      <c r="P2066" s="656" t="s">
        <v>13052</v>
      </c>
      <c r="Q2066" s="656">
        <v>44216.77753472222</v>
      </c>
    </row>
    <row r="2067" spans="1:17">
      <c r="A2067" s="656" t="s">
        <v>2279</v>
      </c>
      <c r="B2067" s="657" t="s">
        <v>504</v>
      </c>
      <c r="C2067" s="656" t="s">
        <v>2280</v>
      </c>
      <c r="D2067" s="657" t="s">
        <v>13789</v>
      </c>
      <c r="E2067" s="657" t="s">
        <v>9458</v>
      </c>
      <c r="F2067" s="656" t="s">
        <v>540</v>
      </c>
      <c r="G2067" s="656" t="s">
        <v>541</v>
      </c>
      <c r="H2067" s="656" t="s">
        <v>540</v>
      </c>
      <c r="I2067" s="656"/>
      <c r="J2067" s="656"/>
      <c r="K2067" s="656"/>
      <c r="L2067" s="656"/>
      <c r="M2067" s="657"/>
      <c r="N2067" s="1482"/>
      <c r="O2067" s="656" t="s">
        <v>498</v>
      </c>
      <c r="P2067" s="656" t="s">
        <v>13052</v>
      </c>
      <c r="Q2067" s="656">
        <v>44216.77752314815</v>
      </c>
    </row>
    <row r="2068" spans="1:17">
      <c r="A2068" s="656" t="s">
        <v>2281</v>
      </c>
      <c r="B2068" s="657" t="s">
        <v>504</v>
      </c>
      <c r="C2068" s="656" t="s">
        <v>2019</v>
      </c>
      <c r="D2068" s="657" t="s">
        <v>13789</v>
      </c>
      <c r="E2068" s="657" t="s">
        <v>9458</v>
      </c>
      <c r="F2068" s="656" t="s">
        <v>540</v>
      </c>
      <c r="G2068" s="656" t="s">
        <v>541</v>
      </c>
      <c r="H2068" s="656" t="s">
        <v>540</v>
      </c>
      <c r="I2068" s="656"/>
      <c r="J2068" s="656"/>
      <c r="K2068" s="656"/>
      <c r="L2068" s="656"/>
      <c r="M2068" s="657"/>
      <c r="N2068" s="1482"/>
      <c r="O2068" s="656" t="s">
        <v>498</v>
      </c>
      <c r="P2068" s="656" t="s">
        <v>13052</v>
      </c>
      <c r="Q2068" s="656">
        <v>44216.77752314815</v>
      </c>
    </row>
    <row r="2069" spans="1:17">
      <c r="A2069" s="656" t="s">
        <v>2282</v>
      </c>
      <c r="B2069" s="657" t="s">
        <v>504</v>
      </c>
      <c r="C2069" s="656" t="s">
        <v>2283</v>
      </c>
      <c r="D2069" s="657" t="s">
        <v>13789</v>
      </c>
      <c r="E2069" s="657" t="s">
        <v>9458</v>
      </c>
      <c r="F2069" s="656" t="s">
        <v>540</v>
      </c>
      <c r="G2069" s="656" t="s">
        <v>541</v>
      </c>
      <c r="H2069" s="656" t="s">
        <v>540</v>
      </c>
      <c r="I2069" s="656"/>
      <c r="J2069" s="656"/>
      <c r="K2069" s="656"/>
      <c r="L2069" s="656"/>
      <c r="M2069" s="657"/>
      <c r="N2069" s="1482"/>
      <c r="O2069" s="656" t="s">
        <v>498</v>
      </c>
      <c r="P2069" s="656" t="s">
        <v>13052</v>
      </c>
      <c r="Q2069" s="656">
        <v>44216.77752314815</v>
      </c>
    </row>
    <row r="2070" spans="1:17">
      <c r="A2070" s="656" t="s">
        <v>2284</v>
      </c>
      <c r="B2070" s="657" t="s">
        <v>504</v>
      </c>
      <c r="C2070" s="656" t="s">
        <v>2285</v>
      </c>
      <c r="D2070" s="657" t="s">
        <v>13789</v>
      </c>
      <c r="E2070" s="657" t="s">
        <v>9458</v>
      </c>
      <c r="F2070" s="656" t="s">
        <v>540</v>
      </c>
      <c r="G2070" s="656" t="s">
        <v>541</v>
      </c>
      <c r="H2070" s="656" t="s">
        <v>540</v>
      </c>
      <c r="I2070" s="656"/>
      <c r="J2070" s="656"/>
      <c r="K2070" s="656"/>
      <c r="L2070" s="656"/>
      <c r="M2070" s="657"/>
      <c r="N2070" s="1482"/>
      <c r="O2070" s="656" t="s">
        <v>498</v>
      </c>
      <c r="P2070" s="656" t="s">
        <v>13052</v>
      </c>
      <c r="Q2070" s="656">
        <v>44216.777511574073</v>
      </c>
    </row>
    <row r="2071" spans="1:17">
      <c r="A2071" s="656" t="s">
        <v>2286</v>
      </c>
      <c r="B2071" s="657" t="s">
        <v>504</v>
      </c>
      <c r="C2071" s="656" t="s">
        <v>2287</v>
      </c>
      <c r="D2071" s="657" t="s">
        <v>13789</v>
      </c>
      <c r="E2071" s="657" t="s">
        <v>9458</v>
      </c>
      <c r="F2071" s="656" t="s">
        <v>540</v>
      </c>
      <c r="G2071" s="656" t="s">
        <v>541</v>
      </c>
      <c r="H2071" s="656" t="s">
        <v>540</v>
      </c>
      <c r="I2071" s="656"/>
      <c r="J2071" s="656"/>
      <c r="K2071" s="656"/>
      <c r="L2071" s="656"/>
      <c r="M2071" s="657"/>
      <c r="N2071" s="1482"/>
      <c r="O2071" s="656" t="s">
        <v>498</v>
      </c>
      <c r="P2071" s="656" t="s">
        <v>13052</v>
      </c>
      <c r="Q2071" s="656">
        <v>44216.777511574073</v>
      </c>
    </row>
    <row r="2072" spans="1:17">
      <c r="A2072" s="656" t="s">
        <v>2288</v>
      </c>
      <c r="B2072" s="657" t="s">
        <v>504</v>
      </c>
      <c r="C2072" s="656" t="s">
        <v>2289</v>
      </c>
      <c r="D2072" s="657" t="s">
        <v>13789</v>
      </c>
      <c r="E2072" s="657" t="s">
        <v>9458</v>
      </c>
      <c r="F2072" s="656" t="s">
        <v>540</v>
      </c>
      <c r="G2072" s="656" t="s">
        <v>541</v>
      </c>
      <c r="H2072" s="656" t="s">
        <v>540</v>
      </c>
      <c r="I2072" s="656"/>
      <c r="J2072" s="656"/>
      <c r="K2072" s="656"/>
      <c r="L2072" s="656"/>
      <c r="M2072" s="657"/>
      <c r="N2072" s="1482"/>
      <c r="O2072" s="656" t="s">
        <v>498</v>
      </c>
      <c r="P2072" s="656" t="s">
        <v>13052</v>
      </c>
      <c r="Q2072" s="656">
        <v>44216.777499999997</v>
      </c>
    </row>
    <row r="2073" spans="1:17">
      <c r="A2073" s="656" t="s">
        <v>2290</v>
      </c>
      <c r="B2073" s="657" t="s">
        <v>504</v>
      </c>
      <c r="C2073" s="656" t="s">
        <v>2291</v>
      </c>
      <c r="D2073" s="657" t="s">
        <v>13789</v>
      </c>
      <c r="E2073" s="657" t="s">
        <v>9458</v>
      </c>
      <c r="F2073" s="656" t="s">
        <v>540</v>
      </c>
      <c r="G2073" s="656" t="s">
        <v>541</v>
      </c>
      <c r="H2073" s="656" t="s">
        <v>540</v>
      </c>
      <c r="I2073" s="656"/>
      <c r="J2073" s="656"/>
      <c r="K2073" s="656"/>
      <c r="L2073" s="656"/>
      <c r="M2073" s="657"/>
      <c r="N2073" s="1482"/>
      <c r="O2073" s="656" t="s">
        <v>498</v>
      </c>
      <c r="P2073" s="656" t="s">
        <v>13052</v>
      </c>
      <c r="Q2073" s="656">
        <v>44216.777499999997</v>
      </c>
    </row>
    <row r="2074" spans="1:17">
      <c r="A2074" s="656" t="s">
        <v>2292</v>
      </c>
      <c r="B2074" s="657" t="s">
        <v>504</v>
      </c>
      <c r="C2074" s="656" t="s">
        <v>2293</v>
      </c>
      <c r="D2074" s="657" t="s">
        <v>13789</v>
      </c>
      <c r="E2074" s="657" t="s">
        <v>9458</v>
      </c>
      <c r="F2074" s="656" t="s">
        <v>540</v>
      </c>
      <c r="G2074" s="656" t="s">
        <v>541</v>
      </c>
      <c r="H2074" s="656" t="s">
        <v>540</v>
      </c>
      <c r="I2074" s="656"/>
      <c r="J2074" s="656"/>
      <c r="K2074" s="656"/>
      <c r="L2074" s="656"/>
      <c r="M2074" s="657"/>
      <c r="N2074" s="1482"/>
      <c r="O2074" s="656" t="s">
        <v>498</v>
      </c>
      <c r="P2074" s="656" t="s">
        <v>13052</v>
      </c>
      <c r="Q2074" s="656">
        <v>44216.777488425927</v>
      </c>
    </row>
    <row r="2075" spans="1:17">
      <c r="A2075" s="656" t="s">
        <v>2294</v>
      </c>
      <c r="B2075" s="657" t="s">
        <v>504</v>
      </c>
      <c r="C2075" s="656" t="s">
        <v>2295</v>
      </c>
      <c r="D2075" s="657" t="s">
        <v>13789</v>
      </c>
      <c r="E2075" s="657" t="s">
        <v>9458</v>
      </c>
      <c r="F2075" s="656" t="s">
        <v>540</v>
      </c>
      <c r="G2075" s="656" t="s">
        <v>541</v>
      </c>
      <c r="H2075" s="656" t="s">
        <v>540</v>
      </c>
      <c r="I2075" s="656"/>
      <c r="J2075" s="656"/>
      <c r="K2075" s="656"/>
      <c r="L2075" s="656"/>
      <c r="M2075" s="657"/>
      <c r="N2075" s="1482"/>
      <c r="O2075" s="656" t="s">
        <v>498</v>
      </c>
      <c r="P2075" s="656" t="s">
        <v>13052</v>
      </c>
      <c r="Q2075" s="656">
        <v>44216.77747685185</v>
      </c>
    </row>
    <row r="2076" spans="1:17">
      <c r="A2076" s="656" t="s">
        <v>2296</v>
      </c>
      <c r="B2076" s="657" t="s">
        <v>504</v>
      </c>
      <c r="C2076" s="656" t="s">
        <v>2297</v>
      </c>
      <c r="D2076" s="657" t="s">
        <v>13789</v>
      </c>
      <c r="E2076" s="657" t="s">
        <v>9458</v>
      </c>
      <c r="F2076" s="656" t="s">
        <v>540</v>
      </c>
      <c r="G2076" s="656" t="s">
        <v>541</v>
      </c>
      <c r="H2076" s="656" t="s">
        <v>540</v>
      </c>
      <c r="I2076" s="656"/>
      <c r="J2076" s="656"/>
      <c r="K2076" s="656"/>
      <c r="L2076" s="656"/>
      <c r="M2076" s="657"/>
      <c r="N2076" s="1482"/>
      <c r="O2076" s="656" t="s">
        <v>498</v>
      </c>
      <c r="P2076" s="656" t="s">
        <v>13052</v>
      </c>
      <c r="Q2076" s="656">
        <v>44216.77747685185</v>
      </c>
    </row>
    <row r="2077" spans="1:17">
      <c r="A2077" s="656" t="s">
        <v>2298</v>
      </c>
      <c r="B2077" s="657" t="s">
        <v>504</v>
      </c>
      <c r="C2077" s="656" t="s">
        <v>975</v>
      </c>
      <c r="D2077" s="657" t="s">
        <v>13789</v>
      </c>
      <c r="E2077" s="657" t="s">
        <v>9458</v>
      </c>
      <c r="F2077" s="656" t="s">
        <v>540</v>
      </c>
      <c r="G2077" s="656" t="s">
        <v>541</v>
      </c>
      <c r="H2077" s="656" t="s">
        <v>540</v>
      </c>
      <c r="I2077" s="656"/>
      <c r="J2077" s="656"/>
      <c r="K2077" s="656"/>
      <c r="L2077" s="656"/>
      <c r="M2077" s="657"/>
      <c r="N2077" s="1482"/>
      <c r="O2077" s="656" t="s">
        <v>498</v>
      </c>
      <c r="P2077" s="656" t="s">
        <v>13052</v>
      </c>
      <c r="Q2077" s="656">
        <v>44216.777465277781</v>
      </c>
    </row>
    <row r="2078" spans="1:17">
      <c r="A2078" s="656" t="s">
        <v>2299</v>
      </c>
      <c r="B2078" s="657" t="s">
        <v>504</v>
      </c>
      <c r="C2078" s="656" t="s">
        <v>2015</v>
      </c>
      <c r="D2078" s="657" t="s">
        <v>13789</v>
      </c>
      <c r="E2078" s="657" t="s">
        <v>9458</v>
      </c>
      <c r="F2078" s="656" t="s">
        <v>540</v>
      </c>
      <c r="G2078" s="656" t="s">
        <v>541</v>
      </c>
      <c r="H2078" s="656" t="s">
        <v>540</v>
      </c>
      <c r="I2078" s="656" t="s">
        <v>14976</v>
      </c>
      <c r="J2078" s="656"/>
      <c r="K2078" s="656"/>
      <c r="L2078" s="656"/>
      <c r="M2078" s="657"/>
      <c r="N2078" s="1482"/>
      <c r="O2078" s="656" t="s">
        <v>498</v>
      </c>
      <c r="P2078" s="656" t="s">
        <v>13052</v>
      </c>
      <c r="Q2078" s="656">
        <v>44216.777465277781</v>
      </c>
    </row>
    <row r="2079" spans="1:17">
      <c r="A2079" s="656" t="s">
        <v>2300</v>
      </c>
      <c r="B2079" s="657" t="s">
        <v>504</v>
      </c>
      <c r="C2079" s="656" t="s">
        <v>2301</v>
      </c>
      <c r="D2079" s="657" t="s">
        <v>13789</v>
      </c>
      <c r="E2079" s="657" t="s">
        <v>9458</v>
      </c>
      <c r="F2079" s="656" t="s">
        <v>540</v>
      </c>
      <c r="G2079" s="656" t="s">
        <v>541</v>
      </c>
      <c r="H2079" s="656" t="s">
        <v>540</v>
      </c>
      <c r="I2079" s="656" t="s">
        <v>14976</v>
      </c>
      <c r="J2079" s="656"/>
      <c r="K2079" s="656"/>
      <c r="L2079" s="656"/>
      <c r="M2079" s="657"/>
      <c r="N2079" s="1482"/>
      <c r="O2079" s="656" t="s">
        <v>498</v>
      </c>
      <c r="P2079" s="656" t="s">
        <v>13052</v>
      </c>
      <c r="Q2079" s="656">
        <v>44216.777453703704</v>
      </c>
    </row>
    <row r="2080" spans="1:17">
      <c r="A2080" s="656" t="s">
        <v>2302</v>
      </c>
      <c r="B2080" s="657" t="s">
        <v>504</v>
      </c>
      <c r="C2080" s="656" t="s">
        <v>2303</v>
      </c>
      <c r="D2080" s="657" t="s">
        <v>13789</v>
      </c>
      <c r="E2080" s="657" t="s">
        <v>9458</v>
      </c>
      <c r="F2080" s="656" t="s">
        <v>540</v>
      </c>
      <c r="G2080" s="656" t="s">
        <v>541</v>
      </c>
      <c r="H2080" s="656" t="s">
        <v>540</v>
      </c>
      <c r="I2080" s="656" t="s">
        <v>14976</v>
      </c>
      <c r="J2080" s="656"/>
      <c r="K2080" s="656"/>
      <c r="L2080" s="656"/>
      <c r="M2080" s="657"/>
      <c r="N2080" s="1482"/>
      <c r="O2080" s="656" t="s">
        <v>498</v>
      </c>
      <c r="P2080" s="656" t="s">
        <v>13052</v>
      </c>
      <c r="Q2080" s="656">
        <v>44216.777453703704</v>
      </c>
    </row>
    <row r="2081" spans="1:17">
      <c r="A2081" s="656" t="s">
        <v>2304</v>
      </c>
      <c r="B2081" s="657" t="s">
        <v>504</v>
      </c>
      <c r="C2081" s="656" t="s">
        <v>2305</v>
      </c>
      <c r="D2081" s="657" t="s">
        <v>13789</v>
      </c>
      <c r="E2081" s="657" t="s">
        <v>9458</v>
      </c>
      <c r="F2081" s="656" t="s">
        <v>540</v>
      </c>
      <c r="G2081" s="656" t="s">
        <v>541</v>
      </c>
      <c r="H2081" s="656" t="s">
        <v>540</v>
      </c>
      <c r="I2081" s="656" t="s">
        <v>14976</v>
      </c>
      <c r="J2081" s="656"/>
      <c r="K2081" s="656"/>
      <c r="L2081" s="656"/>
      <c r="M2081" s="657"/>
      <c r="N2081" s="1482"/>
      <c r="O2081" s="656" t="s">
        <v>498</v>
      </c>
      <c r="P2081" s="656" t="s">
        <v>13052</v>
      </c>
      <c r="Q2081" s="656">
        <v>44216.777442129627</v>
      </c>
    </row>
    <row r="2082" spans="1:17">
      <c r="A2082" s="656" t="s">
        <v>2306</v>
      </c>
      <c r="B2082" s="657" t="s">
        <v>504</v>
      </c>
      <c r="C2082" s="656" t="s">
        <v>978</v>
      </c>
      <c r="D2082" s="657" t="s">
        <v>13789</v>
      </c>
      <c r="E2082" s="657" t="s">
        <v>9458</v>
      </c>
      <c r="F2082" s="656" t="s">
        <v>540</v>
      </c>
      <c r="G2082" s="656" t="s">
        <v>541</v>
      </c>
      <c r="H2082" s="656" t="s">
        <v>540</v>
      </c>
      <c r="I2082" s="656" t="s">
        <v>14976</v>
      </c>
      <c r="J2082" s="656"/>
      <c r="K2082" s="656"/>
      <c r="L2082" s="656"/>
      <c r="M2082" s="657"/>
      <c r="N2082" s="1482"/>
      <c r="O2082" s="656" t="s">
        <v>498</v>
      </c>
      <c r="P2082" s="656" t="s">
        <v>13052</v>
      </c>
      <c r="Q2082" s="656">
        <v>44216.777442129627</v>
      </c>
    </row>
    <row r="2083" spans="1:17">
      <c r="A2083" s="656" t="s">
        <v>2307</v>
      </c>
      <c r="B2083" s="657" t="s">
        <v>504</v>
      </c>
      <c r="C2083" s="656" t="s">
        <v>2308</v>
      </c>
      <c r="D2083" s="657" t="s">
        <v>13789</v>
      </c>
      <c r="E2083" s="657" t="s">
        <v>9458</v>
      </c>
      <c r="F2083" s="656" t="s">
        <v>540</v>
      </c>
      <c r="G2083" s="656" t="s">
        <v>541</v>
      </c>
      <c r="H2083" s="656" t="s">
        <v>540</v>
      </c>
      <c r="I2083" s="656" t="s">
        <v>14976</v>
      </c>
      <c r="J2083" s="656"/>
      <c r="K2083" s="656"/>
      <c r="L2083" s="656"/>
      <c r="M2083" s="657"/>
      <c r="N2083" s="1482"/>
      <c r="O2083" s="656" t="s">
        <v>498</v>
      </c>
      <c r="P2083" s="656" t="s">
        <v>13052</v>
      </c>
      <c r="Q2083" s="656">
        <v>44216.777442129627</v>
      </c>
    </row>
    <row r="2084" spans="1:17">
      <c r="A2084" s="656" t="s">
        <v>2309</v>
      </c>
      <c r="B2084" s="657" t="s">
        <v>504</v>
      </c>
      <c r="C2084" s="656" t="s">
        <v>2310</v>
      </c>
      <c r="D2084" s="657" t="s">
        <v>13789</v>
      </c>
      <c r="E2084" s="657" t="s">
        <v>9458</v>
      </c>
      <c r="F2084" s="656" t="s">
        <v>505</v>
      </c>
      <c r="G2084" s="656" t="s">
        <v>506</v>
      </c>
      <c r="H2084" s="656" t="s">
        <v>505</v>
      </c>
      <c r="I2084" s="656" t="s">
        <v>14976</v>
      </c>
      <c r="J2084" s="656"/>
      <c r="K2084" s="656"/>
      <c r="L2084" s="656"/>
      <c r="M2084" s="657"/>
      <c r="N2084" s="1482"/>
      <c r="O2084" s="656" t="s">
        <v>498</v>
      </c>
      <c r="P2084" s="656" t="s">
        <v>13052</v>
      </c>
      <c r="Q2084" s="656">
        <v>44216.777430555558</v>
      </c>
    </row>
    <row r="2085" spans="1:17">
      <c r="A2085" s="656" t="s">
        <v>2311</v>
      </c>
      <c r="B2085" s="657" t="s">
        <v>504</v>
      </c>
      <c r="C2085" s="656" t="s">
        <v>2312</v>
      </c>
      <c r="D2085" s="657" t="s">
        <v>13789</v>
      </c>
      <c r="E2085" s="657" t="s">
        <v>7439</v>
      </c>
      <c r="F2085" s="656" t="s">
        <v>540</v>
      </c>
      <c r="G2085" s="656" t="s">
        <v>625</v>
      </c>
      <c r="H2085" s="656" t="s">
        <v>540</v>
      </c>
      <c r="I2085" s="656" t="s">
        <v>14976</v>
      </c>
      <c r="J2085" s="656"/>
      <c r="K2085" s="656"/>
      <c r="L2085" s="656"/>
      <c r="M2085" s="657"/>
      <c r="N2085" s="1482"/>
      <c r="O2085" s="656" t="s">
        <v>498</v>
      </c>
      <c r="P2085" s="656" t="s">
        <v>13052</v>
      </c>
      <c r="Q2085" s="656">
        <v>44216.777430555558</v>
      </c>
    </row>
    <row r="2086" spans="1:17">
      <c r="A2086" s="656" t="s">
        <v>2313</v>
      </c>
      <c r="B2086" s="657" t="s">
        <v>202</v>
      </c>
      <c r="C2086" s="656" t="s">
        <v>2301</v>
      </c>
      <c r="D2086" s="657" t="s">
        <v>13789</v>
      </c>
      <c r="E2086" s="657" t="s">
        <v>9458</v>
      </c>
      <c r="F2086" s="656" t="s">
        <v>472</v>
      </c>
      <c r="G2086" s="656" t="s">
        <v>1058</v>
      </c>
      <c r="H2086" s="656" t="s">
        <v>472</v>
      </c>
      <c r="I2086" s="656" t="s">
        <v>14976</v>
      </c>
      <c r="J2086" s="656" t="s">
        <v>12368</v>
      </c>
      <c r="K2086" s="656"/>
      <c r="L2086" s="656"/>
      <c r="M2086" s="657"/>
      <c r="N2086" s="1482"/>
      <c r="O2086" s="656" t="s">
        <v>498</v>
      </c>
      <c r="P2086" s="656" t="s">
        <v>13052</v>
      </c>
      <c r="Q2086" s="656">
        <v>44216.777418981481</v>
      </c>
    </row>
    <row r="2087" spans="1:17">
      <c r="A2087" s="656" t="s">
        <v>2314</v>
      </c>
      <c r="B2087" s="657" t="s">
        <v>202</v>
      </c>
      <c r="C2087" s="656" t="s">
        <v>2303</v>
      </c>
      <c r="D2087" s="657" t="s">
        <v>13789</v>
      </c>
      <c r="E2087" s="657" t="s">
        <v>9458</v>
      </c>
      <c r="F2087" s="656" t="s">
        <v>472</v>
      </c>
      <c r="G2087" s="656" t="s">
        <v>1058</v>
      </c>
      <c r="H2087" s="656" t="s">
        <v>472</v>
      </c>
      <c r="I2087" s="656" t="s">
        <v>14976</v>
      </c>
      <c r="J2087" s="656" t="s">
        <v>12368</v>
      </c>
      <c r="K2087" s="656"/>
      <c r="L2087" s="656"/>
      <c r="M2087" s="657"/>
      <c r="N2087" s="1482"/>
      <c r="O2087" s="656" t="s">
        <v>498</v>
      </c>
      <c r="P2087" s="656" t="s">
        <v>13052</v>
      </c>
      <c r="Q2087" s="656">
        <v>44216.777418981481</v>
      </c>
    </row>
    <row r="2088" spans="1:17">
      <c r="A2088" s="656" t="s">
        <v>2315</v>
      </c>
      <c r="B2088" s="657" t="s">
        <v>202</v>
      </c>
      <c r="C2088" s="656" t="s">
        <v>2316</v>
      </c>
      <c r="D2088" s="657" t="s">
        <v>13789</v>
      </c>
      <c r="E2088" s="657" t="s">
        <v>9458</v>
      </c>
      <c r="F2088" s="656" t="s">
        <v>472</v>
      </c>
      <c r="G2088" s="656" t="s">
        <v>1395</v>
      </c>
      <c r="H2088" s="656" t="s">
        <v>472</v>
      </c>
      <c r="I2088" s="656" t="s">
        <v>14976</v>
      </c>
      <c r="J2088" s="656" t="s">
        <v>12368</v>
      </c>
      <c r="K2088" s="656"/>
      <c r="L2088" s="656"/>
      <c r="M2088" s="657"/>
      <c r="N2088" s="1482"/>
      <c r="O2088" s="656" t="s">
        <v>498</v>
      </c>
      <c r="P2088" s="656" t="s">
        <v>13052</v>
      </c>
      <c r="Q2088" s="656">
        <v>44216.777407407404</v>
      </c>
    </row>
    <row r="2089" spans="1:17">
      <c r="A2089" s="656" t="s">
        <v>2317</v>
      </c>
      <c r="B2089" s="657" t="s">
        <v>202</v>
      </c>
      <c r="C2089" s="656" t="s">
        <v>2318</v>
      </c>
      <c r="D2089" s="657" t="s">
        <v>13789</v>
      </c>
      <c r="E2089" s="657" t="s">
        <v>9458</v>
      </c>
      <c r="F2089" s="656" t="s">
        <v>472</v>
      </c>
      <c r="G2089" s="656" t="s">
        <v>1395</v>
      </c>
      <c r="H2089" s="656" t="s">
        <v>472</v>
      </c>
      <c r="I2089" s="656" t="s">
        <v>14976</v>
      </c>
      <c r="J2089" s="656" t="s">
        <v>12368</v>
      </c>
      <c r="K2089" s="656"/>
      <c r="L2089" s="656"/>
      <c r="M2089" s="657"/>
      <c r="N2089" s="1482"/>
      <c r="O2089" s="656" t="s">
        <v>498</v>
      </c>
      <c r="P2089" s="656" t="s">
        <v>13052</v>
      </c>
      <c r="Q2089" s="656">
        <v>44216.777407407404</v>
      </c>
    </row>
    <row r="2090" spans="1:17">
      <c r="A2090" s="656" t="s">
        <v>2319</v>
      </c>
      <c r="B2090" s="657" t="s">
        <v>202</v>
      </c>
      <c r="C2090" s="656" t="s">
        <v>2320</v>
      </c>
      <c r="D2090" s="657" t="s">
        <v>13789</v>
      </c>
      <c r="E2090" s="657" t="s">
        <v>9458</v>
      </c>
      <c r="F2090" s="656" t="s">
        <v>472</v>
      </c>
      <c r="G2090" s="656" t="s">
        <v>1395</v>
      </c>
      <c r="H2090" s="656" t="s">
        <v>472</v>
      </c>
      <c r="I2090" s="656" t="s">
        <v>14976</v>
      </c>
      <c r="J2090" s="656" t="s">
        <v>12368</v>
      </c>
      <c r="K2090" s="656"/>
      <c r="L2090" s="656"/>
      <c r="M2090" s="657"/>
      <c r="N2090" s="1482"/>
      <c r="O2090" s="656" t="s">
        <v>498</v>
      </c>
      <c r="P2090" s="656" t="s">
        <v>13052</v>
      </c>
      <c r="Q2090" s="656">
        <v>44216.777395833335</v>
      </c>
    </row>
    <row r="2091" spans="1:17">
      <c r="A2091" s="656" t="s">
        <v>13799</v>
      </c>
      <c r="B2091" s="657" t="s">
        <v>202</v>
      </c>
      <c r="C2091" s="656" t="s">
        <v>12954</v>
      </c>
      <c r="D2091" s="657" t="s">
        <v>14978</v>
      </c>
      <c r="E2091" s="657" t="s">
        <v>9458</v>
      </c>
      <c r="F2091" s="656" t="s">
        <v>2849</v>
      </c>
      <c r="G2091" s="656"/>
      <c r="H2091" s="656" t="s">
        <v>469</v>
      </c>
      <c r="I2091" s="656" t="s">
        <v>14976</v>
      </c>
      <c r="J2091" s="656" t="s">
        <v>459</v>
      </c>
      <c r="K2091" s="656" t="s">
        <v>2849</v>
      </c>
      <c r="L2091" s="656" t="s">
        <v>9162</v>
      </c>
      <c r="M2091" s="657"/>
      <c r="N2091" s="1482"/>
      <c r="O2091" s="656" t="s">
        <v>498</v>
      </c>
      <c r="P2091" s="656" t="s">
        <v>13052</v>
      </c>
      <c r="Q2091" s="656">
        <v>44216.777395833335</v>
      </c>
    </row>
    <row r="2092" spans="1:17">
      <c r="A2092" s="656" t="s">
        <v>2321</v>
      </c>
      <c r="B2092" s="657" t="s">
        <v>202</v>
      </c>
      <c r="C2092" s="656" t="s">
        <v>2260</v>
      </c>
      <c r="D2092" s="657" t="s">
        <v>13789</v>
      </c>
      <c r="E2092" s="657" t="s">
        <v>9458</v>
      </c>
      <c r="F2092" s="656" t="s">
        <v>472</v>
      </c>
      <c r="G2092" s="656" t="s">
        <v>1395</v>
      </c>
      <c r="H2092" s="656" t="s">
        <v>472</v>
      </c>
      <c r="I2092" s="656" t="s">
        <v>14976</v>
      </c>
      <c r="J2092" s="656" t="s">
        <v>12368</v>
      </c>
      <c r="K2092" s="656"/>
      <c r="L2092" s="656"/>
      <c r="M2092" s="657"/>
      <c r="N2092" s="1482"/>
      <c r="O2092" s="656" t="s">
        <v>498</v>
      </c>
      <c r="P2092" s="656" t="s">
        <v>13052</v>
      </c>
      <c r="Q2092" s="656">
        <v>44216.777384259258</v>
      </c>
    </row>
    <row r="2093" spans="1:17">
      <c r="A2093" s="656" t="s">
        <v>2322</v>
      </c>
      <c r="B2093" s="657" t="s">
        <v>202</v>
      </c>
      <c r="C2093" s="656" t="s">
        <v>2305</v>
      </c>
      <c r="D2093" s="657" t="s">
        <v>13789</v>
      </c>
      <c r="E2093" s="657" t="s">
        <v>9458</v>
      </c>
      <c r="F2093" s="656" t="s">
        <v>472</v>
      </c>
      <c r="G2093" s="656" t="s">
        <v>1058</v>
      </c>
      <c r="H2093" s="656" t="s">
        <v>472</v>
      </c>
      <c r="I2093" s="656" t="s">
        <v>14976</v>
      </c>
      <c r="J2093" s="656" t="s">
        <v>12368</v>
      </c>
      <c r="K2093" s="656"/>
      <c r="L2093" s="656"/>
      <c r="M2093" s="657"/>
      <c r="N2093" s="1482"/>
      <c r="O2093" s="656" t="s">
        <v>498</v>
      </c>
      <c r="P2093" s="656" t="s">
        <v>13052</v>
      </c>
      <c r="Q2093" s="656">
        <v>44216.777384259258</v>
      </c>
    </row>
    <row r="2094" spans="1:17">
      <c r="A2094" s="656" t="s">
        <v>12963</v>
      </c>
      <c r="B2094" s="657" t="s">
        <v>202</v>
      </c>
      <c r="C2094" s="656" t="s">
        <v>12962</v>
      </c>
      <c r="D2094" s="657" t="s">
        <v>13789</v>
      </c>
      <c r="E2094" s="657" t="s">
        <v>9458</v>
      </c>
      <c r="F2094" s="656" t="s">
        <v>537</v>
      </c>
      <c r="G2094" s="656" t="s">
        <v>512</v>
      </c>
      <c r="H2094" s="656" t="s">
        <v>537</v>
      </c>
      <c r="I2094" s="656" t="s">
        <v>14976</v>
      </c>
      <c r="J2094" s="656" t="s">
        <v>473</v>
      </c>
      <c r="K2094" s="656" t="s">
        <v>4161</v>
      </c>
      <c r="L2094" s="656"/>
      <c r="M2094" s="657"/>
      <c r="N2094" s="1482"/>
      <c r="O2094" s="656" t="s">
        <v>498</v>
      </c>
      <c r="P2094" s="656" t="s">
        <v>13052</v>
      </c>
      <c r="Q2094" s="656">
        <v>44216.777384259258</v>
      </c>
    </row>
    <row r="2095" spans="1:17">
      <c r="A2095" s="656" t="s">
        <v>12965</v>
      </c>
      <c r="B2095" s="657" t="s">
        <v>202</v>
      </c>
      <c r="C2095" s="656" t="s">
        <v>12964</v>
      </c>
      <c r="D2095" s="657" t="s">
        <v>13789</v>
      </c>
      <c r="E2095" s="657" t="s">
        <v>9458</v>
      </c>
      <c r="F2095" s="656" t="s">
        <v>537</v>
      </c>
      <c r="G2095" s="656" t="s">
        <v>512</v>
      </c>
      <c r="H2095" s="656" t="s">
        <v>537</v>
      </c>
      <c r="I2095" s="656" t="s">
        <v>14976</v>
      </c>
      <c r="J2095" s="656" t="s">
        <v>473</v>
      </c>
      <c r="K2095" s="656" t="s">
        <v>4161</v>
      </c>
      <c r="L2095" s="656"/>
      <c r="M2095" s="657"/>
      <c r="N2095" s="1482"/>
      <c r="O2095" s="656" t="s">
        <v>498</v>
      </c>
      <c r="P2095" s="656" t="s">
        <v>13052</v>
      </c>
      <c r="Q2095" s="656">
        <v>44216.777372685188</v>
      </c>
    </row>
    <row r="2096" spans="1:17">
      <c r="A2096" s="656" t="s">
        <v>2323</v>
      </c>
      <c r="B2096" s="657" t="s">
        <v>202</v>
      </c>
      <c r="C2096" s="656" t="s">
        <v>2324</v>
      </c>
      <c r="D2096" s="657" t="s">
        <v>13789</v>
      </c>
      <c r="E2096" s="657" t="s">
        <v>9458</v>
      </c>
      <c r="F2096" s="656" t="s">
        <v>472</v>
      </c>
      <c r="G2096" s="656" t="s">
        <v>1058</v>
      </c>
      <c r="H2096" s="656" t="s">
        <v>472</v>
      </c>
      <c r="I2096" s="656" t="s">
        <v>14976</v>
      </c>
      <c r="J2096" s="656" t="s">
        <v>12368</v>
      </c>
      <c r="K2096" s="656"/>
      <c r="L2096" s="656"/>
      <c r="M2096" s="657"/>
      <c r="N2096" s="1482"/>
      <c r="O2096" s="656" t="s">
        <v>498</v>
      </c>
      <c r="P2096" s="656" t="s">
        <v>13052</v>
      </c>
      <c r="Q2096" s="656">
        <v>44216.777372685188</v>
      </c>
    </row>
    <row r="2097" spans="1:17">
      <c r="A2097" s="656" t="s">
        <v>2325</v>
      </c>
      <c r="B2097" s="657" t="s">
        <v>202</v>
      </c>
      <c r="C2097" s="656" t="s">
        <v>2326</v>
      </c>
      <c r="D2097" s="657" t="s">
        <v>13789</v>
      </c>
      <c r="E2097" s="657" t="s">
        <v>9458</v>
      </c>
      <c r="F2097" s="656" t="s">
        <v>472</v>
      </c>
      <c r="G2097" s="656" t="s">
        <v>1058</v>
      </c>
      <c r="H2097" s="656" t="s">
        <v>472</v>
      </c>
      <c r="I2097" s="656" t="s">
        <v>14976</v>
      </c>
      <c r="J2097" s="656" t="s">
        <v>12368</v>
      </c>
      <c r="K2097" s="656"/>
      <c r="L2097" s="656"/>
      <c r="M2097" s="657"/>
      <c r="N2097" s="1482"/>
      <c r="O2097" s="656" t="s">
        <v>498</v>
      </c>
      <c r="P2097" s="656" t="s">
        <v>13052</v>
      </c>
      <c r="Q2097" s="656">
        <v>44216.777361111112</v>
      </c>
    </row>
    <row r="2098" spans="1:17">
      <c r="A2098" s="656" t="s">
        <v>12967</v>
      </c>
      <c r="B2098" s="657" t="s">
        <v>202</v>
      </c>
      <c r="C2098" s="656" t="s">
        <v>12966</v>
      </c>
      <c r="D2098" s="657" t="s">
        <v>13789</v>
      </c>
      <c r="E2098" s="657" t="s">
        <v>9458</v>
      </c>
      <c r="F2098" s="656" t="s">
        <v>8807</v>
      </c>
      <c r="G2098" s="656"/>
      <c r="H2098" s="656" t="s">
        <v>8807</v>
      </c>
      <c r="I2098" s="656" t="s">
        <v>14976</v>
      </c>
      <c r="J2098" s="656" t="s">
        <v>8814</v>
      </c>
      <c r="K2098" s="656" t="s">
        <v>1058</v>
      </c>
      <c r="L2098" s="656"/>
      <c r="M2098" s="657"/>
      <c r="N2098" s="1482"/>
      <c r="O2098" s="656" t="s">
        <v>498</v>
      </c>
      <c r="P2098" s="656" t="s">
        <v>13052</v>
      </c>
      <c r="Q2098" s="656">
        <v>44216.777361111112</v>
      </c>
    </row>
    <row r="2099" spans="1:17">
      <c r="A2099" s="656" t="s">
        <v>2327</v>
      </c>
      <c r="B2099" s="657" t="s">
        <v>202</v>
      </c>
      <c r="C2099" s="656" t="s">
        <v>2264</v>
      </c>
      <c r="D2099" s="657" t="s">
        <v>13789</v>
      </c>
      <c r="E2099" s="657" t="s">
        <v>9458</v>
      </c>
      <c r="F2099" s="656" t="s">
        <v>472</v>
      </c>
      <c r="G2099" s="656" t="s">
        <v>1395</v>
      </c>
      <c r="H2099" s="656" t="s">
        <v>472</v>
      </c>
      <c r="I2099" s="656" t="s">
        <v>14976</v>
      </c>
      <c r="J2099" s="656" t="s">
        <v>12368</v>
      </c>
      <c r="K2099" s="656"/>
      <c r="L2099" s="656"/>
      <c r="M2099" s="657"/>
      <c r="N2099" s="1482"/>
      <c r="O2099" s="656" t="s">
        <v>498</v>
      </c>
      <c r="P2099" s="656" t="s">
        <v>13052</v>
      </c>
      <c r="Q2099" s="656">
        <v>44216.777349537035</v>
      </c>
    </row>
    <row r="2100" spans="1:17">
      <c r="A2100" s="656" t="s">
        <v>2328</v>
      </c>
      <c r="B2100" s="657" t="s">
        <v>202</v>
      </c>
      <c r="C2100" s="656" t="s">
        <v>2266</v>
      </c>
      <c r="D2100" s="657" t="s">
        <v>13789</v>
      </c>
      <c r="E2100" s="657" t="s">
        <v>9458</v>
      </c>
      <c r="F2100" s="656" t="s">
        <v>472</v>
      </c>
      <c r="G2100" s="656" t="s">
        <v>1395</v>
      </c>
      <c r="H2100" s="656" t="s">
        <v>472</v>
      </c>
      <c r="I2100" s="656" t="s">
        <v>14976</v>
      </c>
      <c r="J2100" s="656" t="s">
        <v>12368</v>
      </c>
      <c r="K2100" s="656"/>
      <c r="L2100" s="656"/>
      <c r="M2100" s="657"/>
      <c r="N2100" s="1482"/>
      <c r="O2100" s="656" t="s">
        <v>498</v>
      </c>
      <c r="P2100" s="656" t="s">
        <v>13052</v>
      </c>
      <c r="Q2100" s="656">
        <v>44216.777349537035</v>
      </c>
    </row>
    <row r="2101" spans="1:17">
      <c r="A2101" s="656" t="s">
        <v>2329</v>
      </c>
      <c r="B2101" s="657" t="s">
        <v>202</v>
      </c>
      <c r="C2101" s="656" t="s">
        <v>2268</v>
      </c>
      <c r="D2101" s="657" t="s">
        <v>13789</v>
      </c>
      <c r="E2101" s="657" t="s">
        <v>9458</v>
      </c>
      <c r="F2101" s="656" t="s">
        <v>472</v>
      </c>
      <c r="G2101" s="656" t="s">
        <v>1395</v>
      </c>
      <c r="H2101" s="656" t="s">
        <v>472</v>
      </c>
      <c r="I2101" s="656" t="s">
        <v>14976</v>
      </c>
      <c r="J2101" s="656" t="s">
        <v>12368</v>
      </c>
      <c r="K2101" s="656"/>
      <c r="L2101" s="656"/>
      <c r="M2101" s="657"/>
      <c r="N2101" s="1482"/>
      <c r="O2101" s="656" t="s">
        <v>498</v>
      </c>
      <c r="P2101" s="656" t="s">
        <v>13052</v>
      </c>
      <c r="Q2101" s="656">
        <v>44216.777337962965</v>
      </c>
    </row>
    <row r="2102" spans="1:17">
      <c r="A2102" s="656" t="s">
        <v>2330</v>
      </c>
      <c r="B2102" s="657" t="s">
        <v>202</v>
      </c>
      <c r="C2102" s="656" t="s">
        <v>2331</v>
      </c>
      <c r="D2102" s="657" t="s">
        <v>13789</v>
      </c>
      <c r="E2102" s="657" t="s">
        <v>9458</v>
      </c>
      <c r="F2102" s="656" t="s">
        <v>472</v>
      </c>
      <c r="G2102" s="656" t="s">
        <v>1395</v>
      </c>
      <c r="H2102" s="656" t="s">
        <v>472</v>
      </c>
      <c r="I2102" s="656" t="s">
        <v>14976</v>
      </c>
      <c r="J2102" s="656" t="s">
        <v>12368</v>
      </c>
      <c r="K2102" s="656"/>
      <c r="L2102" s="656"/>
      <c r="M2102" s="657"/>
      <c r="N2102" s="1482"/>
      <c r="O2102" s="656" t="s">
        <v>498</v>
      </c>
      <c r="P2102" s="656" t="s">
        <v>13052</v>
      </c>
      <c r="Q2102" s="656">
        <v>44216.777337962965</v>
      </c>
    </row>
    <row r="2103" spans="1:17">
      <c r="A2103" s="656" t="s">
        <v>2332</v>
      </c>
      <c r="B2103" s="657" t="s">
        <v>202</v>
      </c>
      <c r="C2103" s="656" t="s">
        <v>2276</v>
      </c>
      <c r="D2103" s="657" t="s">
        <v>13789</v>
      </c>
      <c r="E2103" s="657" t="s">
        <v>9458</v>
      </c>
      <c r="F2103" s="656" t="s">
        <v>472</v>
      </c>
      <c r="G2103" s="656" t="s">
        <v>1395</v>
      </c>
      <c r="H2103" s="656" t="s">
        <v>472</v>
      </c>
      <c r="I2103" s="656" t="s">
        <v>14976</v>
      </c>
      <c r="J2103" s="656" t="s">
        <v>12368</v>
      </c>
      <c r="K2103" s="656"/>
      <c r="L2103" s="656"/>
      <c r="M2103" s="657"/>
      <c r="N2103" s="1482"/>
      <c r="O2103" s="656" t="s">
        <v>498</v>
      </c>
      <c r="P2103" s="656" t="s">
        <v>13052</v>
      </c>
      <c r="Q2103" s="656">
        <v>44216.777326388888</v>
      </c>
    </row>
    <row r="2104" spans="1:17">
      <c r="A2104" s="656" t="s">
        <v>2333</v>
      </c>
      <c r="B2104" s="657" t="s">
        <v>202</v>
      </c>
      <c r="C2104" s="656" t="s">
        <v>2247</v>
      </c>
      <c r="D2104" s="657" t="s">
        <v>13789</v>
      </c>
      <c r="E2104" s="657" t="s">
        <v>9458</v>
      </c>
      <c r="F2104" s="656" t="s">
        <v>472</v>
      </c>
      <c r="G2104" s="656" t="s">
        <v>1395</v>
      </c>
      <c r="H2104" s="656" t="s">
        <v>472</v>
      </c>
      <c r="I2104" s="656" t="s">
        <v>14976</v>
      </c>
      <c r="J2104" s="656" t="s">
        <v>12368</v>
      </c>
      <c r="K2104" s="656"/>
      <c r="L2104" s="656"/>
      <c r="M2104" s="657"/>
      <c r="N2104" s="1482"/>
      <c r="O2104" s="656" t="s">
        <v>498</v>
      </c>
      <c r="P2104" s="656" t="s">
        <v>13052</v>
      </c>
      <c r="Q2104" s="656">
        <v>44216.777326388888</v>
      </c>
    </row>
    <row r="2105" spans="1:17">
      <c r="A2105" s="656" t="s">
        <v>2334</v>
      </c>
      <c r="B2105" s="657" t="s">
        <v>202</v>
      </c>
      <c r="C2105" s="656" t="s">
        <v>2335</v>
      </c>
      <c r="D2105" s="657" t="s">
        <v>13789</v>
      </c>
      <c r="E2105" s="657" t="s">
        <v>9458</v>
      </c>
      <c r="F2105" s="656" t="s">
        <v>472</v>
      </c>
      <c r="G2105" s="656" t="s">
        <v>1395</v>
      </c>
      <c r="H2105" s="656" t="s">
        <v>472</v>
      </c>
      <c r="I2105" s="656" t="s">
        <v>14976</v>
      </c>
      <c r="J2105" s="656" t="s">
        <v>12368</v>
      </c>
      <c r="K2105" s="656"/>
      <c r="L2105" s="656"/>
      <c r="M2105" s="657"/>
      <c r="N2105" s="1482"/>
      <c r="O2105" s="656" t="s">
        <v>498</v>
      </c>
      <c r="P2105" s="656" t="s">
        <v>13052</v>
      </c>
      <c r="Q2105" s="656">
        <v>44216.777326388888</v>
      </c>
    </row>
    <row r="2106" spans="1:17">
      <c r="A2106" s="656" t="s">
        <v>2336</v>
      </c>
      <c r="B2106" s="657" t="s">
        <v>202</v>
      </c>
      <c r="C2106" s="656" t="s">
        <v>2337</v>
      </c>
      <c r="D2106" s="657" t="s">
        <v>13789</v>
      </c>
      <c r="E2106" s="657" t="s">
        <v>9458</v>
      </c>
      <c r="F2106" s="656" t="s">
        <v>472</v>
      </c>
      <c r="G2106" s="656" t="s">
        <v>1395</v>
      </c>
      <c r="H2106" s="656" t="s">
        <v>472</v>
      </c>
      <c r="I2106" s="656" t="s">
        <v>14976</v>
      </c>
      <c r="J2106" s="656" t="s">
        <v>12368</v>
      </c>
      <c r="K2106" s="656"/>
      <c r="L2106" s="656"/>
      <c r="M2106" s="657"/>
      <c r="N2106" s="1482"/>
      <c r="O2106" s="656" t="s">
        <v>498</v>
      </c>
      <c r="P2106" s="656" t="s">
        <v>13052</v>
      </c>
      <c r="Q2106" s="656">
        <v>44216.777314814812</v>
      </c>
    </row>
    <row r="2107" spans="1:17">
      <c r="A2107" s="656" t="s">
        <v>2338</v>
      </c>
      <c r="B2107" s="657" t="s">
        <v>202</v>
      </c>
      <c r="C2107" s="656" t="s">
        <v>2339</v>
      </c>
      <c r="D2107" s="657" t="s">
        <v>13789</v>
      </c>
      <c r="E2107" s="657" t="s">
        <v>9458</v>
      </c>
      <c r="F2107" s="656" t="s">
        <v>472</v>
      </c>
      <c r="G2107" s="656" t="s">
        <v>1395</v>
      </c>
      <c r="H2107" s="656" t="s">
        <v>472</v>
      </c>
      <c r="I2107" s="656" t="s">
        <v>14976</v>
      </c>
      <c r="J2107" s="656" t="s">
        <v>12368</v>
      </c>
      <c r="K2107" s="656"/>
      <c r="L2107" s="656"/>
      <c r="M2107" s="657"/>
      <c r="N2107" s="1482"/>
      <c r="O2107" s="656" t="s">
        <v>498</v>
      </c>
      <c r="P2107" s="656" t="s">
        <v>13052</v>
      </c>
      <c r="Q2107" s="656">
        <v>44216.777314814812</v>
      </c>
    </row>
    <row r="2108" spans="1:17">
      <c r="A2108" s="656" t="s">
        <v>2340</v>
      </c>
      <c r="B2108" s="657" t="s">
        <v>202</v>
      </c>
      <c r="C2108" s="656" t="s">
        <v>2308</v>
      </c>
      <c r="D2108" s="657" t="s">
        <v>13789</v>
      </c>
      <c r="E2108" s="657" t="s">
        <v>9458</v>
      </c>
      <c r="F2108" s="656" t="s">
        <v>472</v>
      </c>
      <c r="G2108" s="656" t="s">
        <v>1395</v>
      </c>
      <c r="H2108" s="656" t="s">
        <v>472</v>
      </c>
      <c r="I2108" s="656" t="s">
        <v>14976</v>
      </c>
      <c r="J2108" s="656" t="s">
        <v>12368</v>
      </c>
      <c r="K2108" s="656"/>
      <c r="L2108" s="656"/>
      <c r="M2108" s="657"/>
      <c r="N2108" s="1482"/>
      <c r="O2108" s="656" t="s">
        <v>498</v>
      </c>
      <c r="P2108" s="656" t="s">
        <v>13052</v>
      </c>
      <c r="Q2108" s="656">
        <v>44216.777303240742</v>
      </c>
    </row>
    <row r="2109" spans="1:17">
      <c r="A2109" s="656" t="s">
        <v>2341</v>
      </c>
      <c r="B2109" s="657" t="s">
        <v>202</v>
      </c>
      <c r="C2109" s="656" t="s">
        <v>2342</v>
      </c>
      <c r="D2109" s="657" t="s">
        <v>13789</v>
      </c>
      <c r="E2109" s="657" t="s">
        <v>9510</v>
      </c>
      <c r="F2109" s="656" t="s">
        <v>462</v>
      </c>
      <c r="G2109" s="656" t="s">
        <v>512</v>
      </c>
      <c r="H2109" s="656" t="s">
        <v>462</v>
      </c>
      <c r="I2109" s="656" t="s">
        <v>15280</v>
      </c>
      <c r="J2109" s="656" t="s">
        <v>463</v>
      </c>
      <c r="K2109" s="656" t="s">
        <v>1924</v>
      </c>
      <c r="L2109" s="656"/>
      <c r="M2109" s="657"/>
      <c r="N2109" s="1482"/>
      <c r="O2109" s="656" t="s">
        <v>498</v>
      </c>
      <c r="P2109" s="656" t="s">
        <v>13052</v>
      </c>
      <c r="Q2109" s="656">
        <v>44216.777303240742</v>
      </c>
    </row>
    <row r="2110" spans="1:17">
      <c r="A2110" s="656" t="s">
        <v>2343</v>
      </c>
      <c r="B2110" s="657" t="s">
        <v>504</v>
      </c>
      <c r="C2110" s="656" t="s">
        <v>2344</v>
      </c>
      <c r="D2110" s="657" t="s">
        <v>14978</v>
      </c>
      <c r="E2110" s="657" t="s">
        <v>9458</v>
      </c>
      <c r="F2110" s="656" t="s">
        <v>505</v>
      </c>
      <c r="G2110" s="656" t="s">
        <v>525</v>
      </c>
      <c r="H2110" s="656" t="s">
        <v>505</v>
      </c>
      <c r="I2110" s="656" t="s">
        <v>14976</v>
      </c>
      <c r="J2110" s="656"/>
      <c r="K2110" s="656"/>
      <c r="L2110" s="656" t="s">
        <v>2346</v>
      </c>
      <c r="M2110" s="657"/>
      <c r="N2110" s="1482"/>
      <c r="O2110" s="656" t="s">
        <v>498</v>
      </c>
      <c r="P2110" s="656" t="s">
        <v>13052</v>
      </c>
      <c r="Q2110" s="656">
        <v>44216.777291666665</v>
      </c>
    </row>
    <row r="2111" spans="1:17">
      <c r="A2111" s="656" t="s">
        <v>2345</v>
      </c>
      <c r="B2111" s="657" t="s">
        <v>504</v>
      </c>
      <c r="C2111" s="656" t="s">
        <v>2346</v>
      </c>
      <c r="D2111" s="657" t="s">
        <v>13789</v>
      </c>
      <c r="E2111" s="657" t="s">
        <v>9458</v>
      </c>
      <c r="F2111" s="656" t="s">
        <v>505</v>
      </c>
      <c r="G2111" s="656" t="s">
        <v>525</v>
      </c>
      <c r="H2111" s="656" t="s">
        <v>505</v>
      </c>
      <c r="I2111" s="656" t="s">
        <v>14976</v>
      </c>
      <c r="J2111" s="656"/>
      <c r="K2111" s="656"/>
      <c r="L2111" s="656"/>
      <c r="M2111" s="657"/>
      <c r="N2111" s="1482"/>
      <c r="O2111" s="656" t="s">
        <v>498</v>
      </c>
      <c r="P2111" s="656" t="s">
        <v>13052</v>
      </c>
      <c r="Q2111" s="656">
        <v>44216.777291666665</v>
      </c>
    </row>
    <row r="2112" spans="1:17">
      <c r="A2112" s="656" t="s">
        <v>2347</v>
      </c>
      <c r="B2112" s="657" t="s">
        <v>504</v>
      </c>
      <c r="C2112" s="656" t="s">
        <v>2348</v>
      </c>
      <c r="D2112" s="657" t="s">
        <v>14977</v>
      </c>
      <c r="E2112" s="657" t="s">
        <v>7439</v>
      </c>
      <c r="F2112" s="656" t="s">
        <v>505</v>
      </c>
      <c r="G2112" s="656" t="s">
        <v>1579</v>
      </c>
      <c r="H2112" s="656" t="s">
        <v>505</v>
      </c>
      <c r="I2112" s="656" t="s">
        <v>14976</v>
      </c>
      <c r="J2112" s="656"/>
      <c r="K2112" s="656"/>
      <c r="L2112" s="656"/>
      <c r="M2112" s="657"/>
      <c r="N2112" s="1482"/>
      <c r="O2112" s="656" t="s">
        <v>498</v>
      </c>
      <c r="P2112" s="656" t="s">
        <v>13052</v>
      </c>
      <c r="Q2112" s="656">
        <v>44216.777280092596</v>
      </c>
    </row>
    <row r="2113" spans="1:17">
      <c r="A2113" s="656" t="s">
        <v>2349</v>
      </c>
      <c r="B2113" s="657" t="s">
        <v>202</v>
      </c>
      <c r="C2113" s="656" t="s">
        <v>2350</v>
      </c>
      <c r="D2113" s="657" t="s">
        <v>13789</v>
      </c>
      <c r="E2113" s="657" t="s">
        <v>9458</v>
      </c>
      <c r="F2113" s="656" t="s">
        <v>462</v>
      </c>
      <c r="G2113" s="656"/>
      <c r="H2113" s="656" t="s">
        <v>462</v>
      </c>
      <c r="I2113" s="656" t="s">
        <v>15280</v>
      </c>
      <c r="J2113" s="656" t="s">
        <v>463</v>
      </c>
      <c r="K2113" s="656"/>
      <c r="L2113" s="656"/>
      <c r="M2113" s="657"/>
      <c r="N2113" s="1482"/>
      <c r="O2113" s="656" t="s">
        <v>498</v>
      </c>
      <c r="P2113" s="656" t="s">
        <v>13052</v>
      </c>
      <c r="Q2113" s="656">
        <v>44216.777280092596</v>
      </c>
    </row>
    <row r="2114" spans="1:17">
      <c r="A2114" s="656" t="s">
        <v>2351</v>
      </c>
      <c r="B2114" s="657" t="s">
        <v>202</v>
      </c>
      <c r="C2114" s="656" t="s">
        <v>2352</v>
      </c>
      <c r="D2114" s="657" t="s">
        <v>13789</v>
      </c>
      <c r="E2114" s="657" t="s">
        <v>9510</v>
      </c>
      <c r="F2114" s="656" t="s">
        <v>500</v>
      </c>
      <c r="G2114" s="656" t="s">
        <v>500</v>
      </c>
      <c r="H2114" s="656" t="s">
        <v>500</v>
      </c>
      <c r="I2114" s="656" t="s">
        <v>15280</v>
      </c>
      <c r="J2114" s="656" t="s">
        <v>15282</v>
      </c>
      <c r="K2114" s="656"/>
      <c r="L2114" s="656"/>
      <c r="M2114" s="657"/>
      <c r="N2114" s="1482"/>
      <c r="O2114" s="656" t="s">
        <v>498</v>
      </c>
      <c r="P2114" s="656" t="s">
        <v>13052</v>
      </c>
      <c r="Q2114" s="656">
        <v>44216.777280092596</v>
      </c>
    </row>
    <row r="2115" spans="1:17">
      <c r="A2115" s="656" t="s">
        <v>2353</v>
      </c>
      <c r="B2115" s="657" t="s">
        <v>531</v>
      </c>
      <c r="C2115" s="656" t="s">
        <v>2354</v>
      </c>
      <c r="D2115" s="657" t="s">
        <v>13789</v>
      </c>
      <c r="E2115" s="657" t="s">
        <v>9458</v>
      </c>
      <c r="F2115" s="656" t="s">
        <v>2849</v>
      </c>
      <c r="G2115" s="656"/>
      <c r="H2115" s="656" t="s">
        <v>1338</v>
      </c>
      <c r="I2115" s="656" t="s">
        <v>14976</v>
      </c>
      <c r="J2115" s="656" t="s">
        <v>532</v>
      </c>
      <c r="K2115" s="656"/>
      <c r="L2115" s="656"/>
      <c r="M2115" s="657"/>
      <c r="N2115" s="1482"/>
      <c r="O2115" s="656" t="s">
        <v>498</v>
      </c>
      <c r="P2115" s="656" t="s">
        <v>13052</v>
      </c>
      <c r="Q2115" s="656">
        <v>44216.777268518519</v>
      </c>
    </row>
    <row r="2116" spans="1:17">
      <c r="A2116" s="656" t="s">
        <v>2355</v>
      </c>
      <c r="B2116" s="657" t="s">
        <v>504</v>
      </c>
      <c r="C2116" s="656" t="s">
        <v>2356</v>
      </c>
      <c r="D2116" s="657" t="s">
        <v>13789</v>
      </c>
      <c r="E2116" s="657" t="s">
        <v>7439</v>
      </c>
      <c r="F2116" s="656" t="s">
        <v>505</v>
      </c>
      <c r="G2116" s="656" t="s">
        <v>525</v>
      </c>
      <c r="H2116" s="656" t="s">
        <v>505</v>
      </c>
      <c r="I2116" s="656" t="s">
        <v>14976</v>
      </c>
      <c r="J2116" s="656"/>
      <c r="K2116" s="656"/>
      <c r="L2116" s="656"/>
      <c r="M2116" s="657"/>
      <c r="N2116" s="1482"/>
      <c r="O2116" s="656" t="s">
        <v>498</v>
      </c>
      <c r="P2116" s="656" t="s">
        <v>13052</v>
      </c>
      <c r="Q2116" s="656">
        <v>44216.777268518519</v>
      </c>
    </row>
    <row r="2117" spans="1:17">
      <c r="A2117" s="656" t="s">
        <v>2357</v>
      </c>
      <c r="B2117" s="657" t="s">
        <v>531</v>
      </c>
      <c r="C2117" s="656" t="s">
        <v>2358</v>
      </c>
      <c r="D2117" s="657" t="s">
        <v>13789</v>
      </c>
      <c r="E2117" s="657" t="s">
        <v>9458</v>
      </c>
      <c r="F2117" s="656" t="s">
        <v>462</v>
      </c>
      <c r="G2117" s="656" t="s">
        <v>717</v>
      </c>
      <c r="H2117" s="656" t="s">
        <v>462</v>
      </c>
      <c r="I2117" s="656" t="s">
        <v>15280</v>
      </c>
      <c r="J2117" s="656" t="s">
        <v>463</v>
      </c>
      <c r="K2117" s="656"/>
      <c r="L2117" s="656"/>
      <c r="M2117" s="657"/>
      <c r="N2117" s="1482"/>
      <c r="O2117" s="656" t="s">
        <v>498</v>
      </c>
      <c r="P2117" s="656" t="s">
        <v>13052</v>
      </c>
      <c r="Q2117" s="656">
        <v>44216.777222222219</v>
      </c>
    </row>
    <row r="2118" spans="1:17">
      <c r="A2118" s="656" t="s">
        <v>2359</v>
      </c>
      <c r="B2118" s="657" t="s">
        <v>531</v>
      </c>
      <c r="C2118" s="656" t="s">
        <v>2360</v>
      </c>
      <c r="D2118" s="657" t="s">
        <v>13789</v>
      </c>
      <c r="E2118" s="657" t="s">
        <v>9510</v>
      </c>
      <c r="F2118" s="656" t="s">
        <v>2849</v>
      </c>
      <c r="G2118" s="656"/>
      <c r="H2118" s="656" t="s">
        <v>469</v>
      </c>
      <c r="I2118" s="656" t="s">
        <v>14976</v>
      </c>
      <c r="J2118" s="656" t="s">
        <v>532</v>
      </c>
      <c r="K2118" s="656"/>
      <c r="L2118" s="656"/>
      <c r="M2118" s="657"/>
      <c r="N2118" s="1482"/>
      <c r="O2118" s="656" t="s">
        <v>498</v>
      </c>
      <c r="P2118" s="656" t="s">
        <v>13052</v>
      </c>
      <c r="Q2118" s="656">
        <v>44216.777222222219</v>
      </c>
    </row>
    <row r="2119" spans="1:17">
      <c r="A2119" s="656" t="s">
        <v>2361</v>
      </c>
      <c r="B2119" s="657" t="s">
        <v>202</v>
      </c>
      <c r="C2119" s="656" t="s">
        <v>2362</v>
      </c>
      <c r="D2119" s="657" t="s">
        <v>13789</v>
      </c>
      <c r="E2119" s="657" t="s">
        <v>9510</v>
      </c>
      <c r="F2119" s="656" t="s">
        <v>3077</v>
      </c>
      <c r="G2119" s="656" t="s">
        <v>512</v>
      </c>
      <c r="H2119" s="656" t="s">
        <v>465</v>
      </c>
      <c r="I2119" s="656" t="s">
        <v>14976</v>
      </c>
      <c r="J2119" s="656" t="s">
        <v>446</v>
      </c>
      <c r="K2119" s="656" t="s">
        <v>3077</v>
      </c>
      <c r="L2119" s="656"/>
      <c r="M2119" s="657"/>
      <c r="N2119" s="1482"/>
      <c r="O2119" s="656" t="s">
        <v>498</v>
      </c>
      <c r="P2119" s="656" t="s">
        <v>13052</v>
      </c>
      <c r="Q2119" s="656">
        <v>44216.77721064815</v>
      </c>
    </row>
    <row r="2120" spans="1:17">
      <c r="A2120" s="656" t="s">
        <v>2363</v>
      </c>
      <c r="B2120" s="657" t="s">
        <v>202</v>
      </c>
      <c r="C2120" s="656" t="s">
        <v>2364</v>
      </c>
      <c r="D2120" s="657" t="s">
        <v>14978</v>
      </c>
      <c r="E2120" s="657" t="s">
        <v>9458</v>
      </c>
      <c r="F2120" s="656" t="s">
        <v>3077</v>
      </c>
      <c r="G2120" s="656" t="s">
        <v>1051</v>
      </c>
      <c r="H2120" s="656" t="s">
        <v>465</v>
      </c>
      <c r="I2120" s="656" t="s">
        <v>14976</v>
      </c>
      <c r="J2120" s="656" t="s">
        <v>446</v>
      </c>
      <c r="K2120" s="656"/>
      <c r="L2120" s="656" t="s">
        <v>3073</v>
      </c>
      <c r="M2120" s="657"/>
      <c r="N2120" s="1482"/>
      <c r="O2120" s="656" t="s">
        <v>498</v>
      </c>
      <c r="P2120" s="656" t="s">
        <v>13052</v>
      </c>
      <c r="Q2120" s="656">
        <v>44216.77721064815</v>
      </c>
    </row>
    <row r="2121" spans="1:17">
      <c r="A2121" s="656" t="s">
        <v>2365</v>
      </c>
      <c r="B2121" s="657" t="s">
        <v>202</v>
      </c>
      <c r="C2121" s="656" t="s">
        <v>2366</v>
      </c>
      <c r="D2121" s="657" t="s">
        <v>13789</v>
      </c>
      <c r="E2121" s="657" t="s">
        <v>9458</v>
      </c>
      <c r="F2121" s="656" t="s">
        <v>3077</v>
      </c>
      <c r="G2121" s="656"/>
      <c r="H2121" s="656" t="s">
        <v>465</v>
      </c>
      <c r="I2121" s="656" t="s">
        <v>14976</v>
      </c>
      <c r="J2121" s="656" t="s">
        <v>446</v>
      </c>
      <c r="K2121" s="656"/>
      <c r="L2121" s="656"/>
      <c r="M2121" s="657"/>
      <c r="N2121" s="1482"/>
      <c r="O2121" s="656" t="s">
        <v>498</v>
      </c>
      <c r="P2121" s="656" t="s">
        <v>13052</v>
      </c>
      <c r="Q2121" s="656">
        <v>44216.777199074073</v>
      </c>
    </row>
    <row r="2122" spans="1:17">
      <c r="A2122" s="656" t="s">
        <v>2367</v>
      </c>
      <c r="B2122" s="657" t="s">
        <v>504</v>
      </c>
      <c r="C2122" s="656" t="s">
        <v>2368</v>
      </c>
      <c r="D2122" s="657" t="s">
        <v>13789</v>
      </c>
      <c r="E2122" s="657" t="s">
        <v>9458</v>
      </c>
      <c r="F2122" s="656" t="s">
        <v>540</v>
      </c>
      <c r="G2122" s="656" t="s">
        <v>625</v>
      </c>
      <c r="H2122" s="656" t="s">
        <v>540</v>
      </c>
      <c r="I2122" s="656" t="s">
        <v>14976</v>
      </c>
      <c r="J2122" s="656"/>
      <c r="K2122" s="656"/>
      <c r="L2122" s="656"/>
      <c r="M2122" s="657"/>
      <c r="N2122" s="1482"/>
      <c r="O2122" s="656" t="s">
        <v>498</v>
      </c>
      <c r="P2122" s="656" t="s">
        <v>13052</v>
      </c>
      <c r="Q2122" s="656">
        <v>44216.777199074073</v>
      </c>
    </row>
    <row r="2123" spans="1:17">
      <c r="A2123" s="656" t="s">
        <v>2369</v>
      </c>
      <c r="B2123" s="657" t="s">
        <v>531</v>
      </c>
      <c r="C2123" s="656" t="s">
        <v>2370</v>
      </c>
      <c r="D2123" s="657" t="s">
        <v>13789</v>
      </c>
      <c r="E2123" s="657" t="s">
        <v>7435</v>
      </c>
      <c r="F2123" s="656" t="s">
        <v>1949</v>
      </c>
      <c r="G2123" s="656" t="s">
        <v>717</v>
      </c>
      <c r="H2123" s="656" t="s">
        <v>1949</v>
      </c>
      <c r="I2123" s="656" t="s">
        <v>14976</v>
      </c>
      <c r="J2123" s="656"/>
      <c r="K2123" s="656"/>
      <c r="L2123" s="656"/>
      <c r="M2123" s="657"/>
      <c r="N2123" s="1482"/>
      <c r="O2123" s="656" t="s">
        <v>498</v>
      </c>
      <c r="P2123" s="656" t="s">
        <v>13052</v>
      </c>
      <c r="Q2123" s="656">
        <v>44216.777187500003</v>
      </c>
    </row>
    <row r="2124" spans="1:17">
      <c r="A2124" s="656" t="s">
        <v>2371</v>
      </c>
      <c r="B2124" s="657" t="s">
        <v>504</v>
      </c>
      <c r="C2124" s="656" t="s">
        <v>2372</v>
      </c>
      <c r="D2124" s="657" t="s">
        <v>13789</v>
      </c>
      <c r="E2124" s="657" t="s">
        <v>9406</v>
      </c>
      <c r="F2124" s="656" t="s">
        <v>540</v>
      </c>
      <c r="G2124" s="656" t="s">
        <v>625</v>
      </c>
      <c r="H2124" s="656" t="s">
        <v>540</v>
      </c>
      <c r="I2124" s="656" t="s">
        <v>14976</v>
      </c>
      <c r="J2124" s="656"/>
      <c r="K2124" s="656"/>
      <c r="L2124" s="656"/>
      <c r="M2124" s="657"/>
      <c r="N2124" s="1482"/>
      <c r="O2124" s="656" t="s">
        <v>498</v>
      </c>
      <c r="P2124" s="656" t="s">
        <v>13052</v>
      </c>
      <c r="Q2124" s="656">
        <v>44216.777187500003</v>
      </c>
    </row>
    <row r="2125" spans="1:17">
      <c r="A2125" s="656" t="s">
        <v>2373</v>
      </c>
      <c r="B2125" s="657" t="s">
        <v>531</v>
      </c>
      <c r="C2125" s="656" t="s">
        <v>2374</v>
      </c>
      <c r="D2125" s="657" t="s">
        <v>13789</v>
      </c>
      <c r="E2125" s="657" t="s">
        <v>9458</v>
      </c>
      <c r="F2125" s="656" t="s">
        <v>1949</v>
      </c>
      <c r="G2125" s="656" t="s">
        <v>717</v>
      </c>
      <c r="H2125" s="656" t="s">
        <v>1949</v>
      </c>
      <c r="I2125" s="656" t="s">
        <v>15280</v>
      </c>
      <c r="J2125" s="656"/>
      <c r="K2125" s="656"/>
      <c r="L2125" s="656"/>
      <c r="M2125" s="657"/>
      <c r="N2125" s="1482"/>
      <c r="O2125" s="656" t="s">
        <v>498</v>
      </c>
      <c r="P2125" s="656" t="s">
        <v>13052</v>
      </c>
      <c r="Q2125" s="656">
        <v>44216.777187500003</v>
      </c>
    </row>
    <row r="2126" spans="1:17">
      <c r="A2126" s="656" t="s">
        <v>2375</v>
      </c>
      <c r="B2126" s="657" t="s">
        <v>531</v>
      </c>
      <c r="C2126" s="656" t="s">
        <v>2376</v>
      </c>
      <c r="D2126" s="657" t="s">
        <v>13789</v>
      </c>
      <c r="E2126" s="657" t="s">
        <v>9458</v>
      </c>
      <c r="F2126" s="656" t="s">
        <v>2849</v>
      </c>
      <c r="G2126" s="656" t="s">
        <v>717</v>
      </c>
      <c r="H2126" s="656" t="s">
        <v>1338</v>
      </c>
      <c r="I2126" s="656" t="s">
        <v>14976</v>
      </c>
      <c r="J2126" s="656" t="s">
        <v>532</v>
      </c>
      <c r="K2126" s="656"/>
      <c r="L2126" s="656"/>
      <c r="M2126" s="657"/>
      <c r="N2126" s="1482"/>
      <c r="O2126" s="656" t="s">
        <v>498</v>
      </c>
      <c r="P2126" s="656" t="s">
        <v>13052</v>
      </c>
      <c r="Q2126" s="656">
        <v>44216.777175925927</v>
      </c>
    </row>
    <row r="2127" spans="1:17">
      <c r="A2127" s="656" t="s">
        <v>2377</v>
      </c>
      <c r="B2127" s="657" t="s">
        <v>531</v>
      </c>
      <c r="C2127" s="656" t="s">
        <v>2378</v>
      </c>
      <c r="D2127" s="657" t="s">
        <v>13789</v>
      </c>
      <c r="E2127" s="657" t="s">
        <v>9458</v>
      </c>
      <c r="F2127" s="656" t="s">
        <v>2849</v>
      </c>
      <c r="G2127" s="656" t="s">
        <v>717</v>
      </c>
      <c r="H2127" s="656" t="s">
        <v>1338</v>
      </c>
      <c r="I2127" s="656" t="s">
        <v>14976</v>
      </c>
      <c r="J2127" s="656"/>
      <c r="K2127" s="656"/>
      <c r="L2127" s="656"/>
      <c r="M2127" s="657"/>
      <c r="N2127" s="1482"/>
      <c r="O2127" s="656" t="s">
        <v>498</v>
      </c>
      <c r="P2127" s="656" t="s">
        <v>13052</v>
      </c>
      <c r="Q2127" s="656">
        <v>44216.777175925927</v>
      </c>
    </row>
    <row r="2128" spans="1:17">
      <c r="A2128" s="656" t="s">
        <v>2379</v>
      </c>
      <c r="B2128" s="657" t="s">
        <v>202</v>
      </c>
      <c r="C2128" s="656" t="s">
        <v>2380</v>
      </c>
      <c r="D2128" s="657" t="s">
        <v>13789</v>
      </c>
      <c r="E2128" s="657" t="s">
        <v>9458</v>
      </c>
      <c r="F2128" s="656" t="s">
        <v>462</v>
      </c>
      <c r="G2128" s="656" t="s">
        <v>512</v>
      </c>
      <c r="H2128" s="656" t="s">
        <v>462</v>
      </c>
      <c r="I2128" s="656" t="s">
        <v>15280</v>
      </c>
      <c r="J2128" s="656" t="s">
        <v>463</v>
      </c>
      <c r="K2128" s="656" t="s">
        <v>1924</v>
      </c>
      <c r="L2128" s="656"/>
      <c r="M2128" s="657"/>
      <c r="N2128" s="1482"/>
      <c r="O2128" s="656" t="s">
        <v>498</v>
      </c>
      <c r="P2128" s="656" t="s">
        <v>13052</v>
      </c>
      <c r="Q2128" s="656">
        <v>44216.77716435185</v>
      </c>
    </row>
    <row r="2129" spans="1:17">
      <c r="A2129" s="656" t="s">
        <v>2381</v>
      </c>
      <c r="B2129" s="657" t="s">
        <v>504</v>
      </c>
      <c r="C2129" s="656" t="s">
        <v>2382</v>
      </c>
      <c r="D2129" s="657" t="s">
        <v>13789</v>
      </c>
      <c r="E2129" s="657" t="s">
        <v>9458</v>
      </c>
      <c r="F2129" s="656" t="s">
        <v>505</v>
      </c>
      <c r="G2129" s="656" t="s">
        <v>506</v>
      </c>
      <c r="H2129" s="656" t="s">
        <v>505</v>
      </c>
      <c r="I2129" s="656" t="s">
        <v>14976</v>
      </c>
      <c r="J2129" s="656"/>
      <c r="K2129" s="656"/>
      <c r="L2129" s="656"/>
      <c r="M2129" s="657"/>
      <c r="N2129" s="1482"/>
      <c r="O2129" s="656" t="s">
        <v>498</v>
      </c>
      <c r="P2129" s="656" t="s">
        <v>13052</v>
      </c>
      <c r="Q2129" s="656">
        <v>44216.77716435185</v>
      </c>
    </row>
    <row r="2130" spans="1:17">
      <c r="A2130" s="656" t="s">
        <v>2383</v>
      </c>
      <c r="B2130" s="657" t="s">
        <v>504</v>
      </c>
      <c r="C2130" s="656" t="s">
        <v>2384</v>
      </c>
      <c r="D2130" s="657" t="s">
        <v>13789</v>
      </c>
      <c r="E2130" s="657" t="s">
        <v>9458</v>
      </c>
      <c r="F2130" s="656" t="s">
        <v>505</v>
      </c>
      <c r="G2130" s="656" t="s">
        <v>506</v>
      </c>
      <c r="H2130" s="656" t="s">
        <v>505</v>
      </c>
      <c r="I2130" s="656" t="s">
        <v>14976</v>
      </c>
      <c r="J2130" s="656"/>
      <c r="K2130" s="656"/>
      <c r="L2130" s="656"/>
      <c r="M2130" s="657"/>
      <c r="N2130" s="1482"/>
      <c r="O2130" s="656" t="s">
        <v>498</v>
      </c>
      <c r="P2130" s="656" t="s">
        <v>13052</v>
      </c>
      <c r="Q2130" s="656">
        <v>44216.77715277778</v>
      </c>
    </row>
    <row r="2131" spans="1:17">
      <c r="A2131" s="656" t="s">
        <v>2385</v>
      </c>
      <c r="B2131" s="657" t="s">
        <v>504</v>
      </c>
      <c r="C2131" s="656" t="s">
        <v>2386</v>
      </c>
      <c r="D2131" s="657" t="s">
        <v>13789</v>
      </c>
      <c r="E2131" s="657" t="s">
        <v>9458</v>
      </c>
      <c r="F2131" s="656" t="s">
        <v>505</v>
      </c>
      <c r="G2131" s="656" t="s">
        <v>506</v>
      </c>
      <c r="H2131" s="656" t="s">
        <v>505</v>
      </c>
      <c r="I2131" s="656" t="s">
        <v>14976</v>
      </c>
      <c r="J2131" s="656"/>
      <c r="K2131" s="656"/>
      <c r="L2131" s="656"/>
      <c r="M2131" s="657"/>
      <c r="N2131" s="1482"/>
      <c r="O2131" s="656" t="s">
        <v>498</v>
      </c>
      <c r="P2131" s="656" t="s">
        <v>13052</v>
      </c>
      <c r="Q2131" s="656">
        <v>44216.77716435185</v>
      </c>
    </row>
    <row r="2132" spans="1:17">
      <c r="A2132" s="656" t="s">
        <v>2387</v>
      </c>
      <c r="B2132" s="657" t="s">
        <v>504</v>
      </c>
      <c r="C2132" s="656" t="s">
        <v>13795</v>
      </c>
      <c r="D2132" s="657" t="s">
        <v>13789</v>
      </c>
      <c r="E2132" s="657" t="s">
        <v>9458</v>
      </c>
      <c r="F2132" s="656" t="s">
        <v>505</v>
      </c>
      <c r="G2132" s="656" t="s">
        <v>506</v>
      </c>
      <c r="H2132" s="656" t="s">
        <v>505</v>
      </c>
      <c r="I2132" s="656" t="s">
        <v>14976</v>
      </c>
      <c r="J2132" s="656"/>
      <c r="K2132" s="656"/>
      <c r="L2132" s="656"/>
      <c r="M2132" s="657"/>
      <c r="N2132" s="1482"/>
      <c r="O2132" s="656" t="s">
        <v>498</v>
      </c>
      <c r="P2132" s="656" t="s">
        <v>13052</v>
      </c>
      <c r="Q2132" s="656">
        <v>44216.77715277778</v>
      </c>
    </row>
    <row r="2133" spans="1:17">
      <c r="A2133" s="656" t="s">
        <v>2388</v>
      </c>
      <c r="B2133" s="657" t="s">
        <v>504</v>
      </c>
      <c r="C2133" s="656" t="s">
        <v>2389</v>
      </c>
      <c r="D2133" s="657" t="s">
        <v>13789</v>
      </c>
      <c r="E2133" s="657" t="s">
        <v>9458</v>
      </c>
      <c r="F2133" s="656" t="s">
        <v>505</v>
      </c>
      <c r="G2133" s="656" t="s">
        <v>506</v>
      </c>
      <c r="H2133" s="656" t="s">
        <v>505</v>
      </c>
      <c r="I2133" s="656" t="s">
        <v>14976</v>
      </c>
      <c r="J2133" s="656"/>
      <c r="K2133" s="656"/>
      <c r="L2133" s="656"/>
      <c r="M2133" s="657"/>
      <c r="N2133" s="1482"/>
      <c r="O2133" s="656" t="s">
        <v>498</v>
      </c>
      <c r="P2133" s="656" t="s">
        <v>13052</v>
      </c>
      <c r="Q2133" s="656">
        <v>44216.777141203704</v>
      </c>
    </row>
    <row r="2134" spans="1:17">
      <c r="A2134" s="656" t="s">
        <v>2390</v>
      </c>
      <c r="B2134" s="657" t="s">
        <v>504</v>
      </c>
      <c r="C2134" s="656" t="s">
        <v>2391</v>
      </c>
      <c r="D2134" s="657" t="s">
        <v>13789</v>
      </c>
      <c r="E2134" s="657" t="s">
        <v>9458</v>
      </c>
      <c r="F2134" s="656" t="s">
        <v>505</v>
      </c>
      <c r="G2134" s="656" t="s">
        <v>506</v>
      </c>
      <c r="H2134" s="656" t="s">
        <v>505</v>
      </c>
      <c r="I2134" s="656" t="s">
        <v>14976</v>
      </c>
      <c r="J2134" s="656"/>
      <c r="K2134" s="656"/>
      <c r="L2134" s="656"/>
      <c r="M2134" s="657"/>
      <c r="N2134" s="1482"/>
      <c r="O2134" s="656" t="s">
        <v>498</v>
      </c>
      <c r="P2134" s="656" t="s">
        <v>13052</v>
      </c>
      <c r="Q2134" s="656">
        <v>44216.777129629627</v>
      </c>
    </row>
    <row r="2135" spans="1:17">
      <c r="A2135" s="656" t="s">
        <v>2392</v>
      </c>
      <c r="B2135" s="657" t="s">
        <v>504</v>
      </c>
      <c r="C2135" s="656" t="s">
        <v>2393</v>
      </c>
      <c r="D2135" s="657" t="s">
        <v>13789</v>
      </c>
      <c r="E2135" s="657" t="s">
        <v>9458</v>
      </c>
      <c r="F2135" s="656" t="s">
        <v>505</v>
      </c>
      <c r="G2135" s="656" t="s">
        <v>506</v>
      </c>
      <c r="H2135" s="656" t="s">
        <v>505</v>
      </c>
      <c r="I2135" s="656" t="s">
        <v>14976</v>
      </c>
      <c r="J2135" s="656"/>
      <c r="K2135" s="656"/>
      <c r="L2135" s="656"/>
      <c r="M2135" s="657"/>
      <c r="N2135" s="1482"/>
      <c r="O2135" s="656" t="s">
        <v>498</v>
      </c>
      <c r="P2135" s="656" t="s">
        <v>13052</v>
      </c>
      <c r="Q2135" s="656">
        <v>44216.777129629627</v>
      </c>
    </row>
    <row r="2136" spans="1:17">
      <c r="A2136" s="656" t="s">
        <v>2394</v>
      </c>
      <c r="B2136" s="657" t="s">
        <v>504</v>
      </c>
      <c r="C2136" s="656" t="s">
        <v>2395</v>
      </c>
      <c r="D2136" s="657" t="s">
        <v>13789</v>
      </c>
      <c r="E2136" s="657" t="s">
        <v>9458</v>
      </c>
      <c r="F2136" s="656" t="s">
        <v>505</v>
      </c>
      <c r="G2136" s="656" t="s">
        <v>506</v>
      </c>
      <c r="H2136" s="656" t="s">
        <v>505</v>
      </c>
      <c r="I2136" s="656" t="s">
        <v>14976</v>
      </c>
      <c r="J2136" s="656"/>
      <c r="K2136" s="656"/>
      <c r="L2136" s="656"/>
      <c r="M2136" s="657"/>
      <c r="N2136" s="1482"/>
      <c r="O2136" s="656" t="s">
        <v>498</v>
      </c>
      <c r="P2136" s="656" t="s">
        <v>13052</v>
      </c>
      <c r="Q2136" s="656">
        <v>44216.777129629627</v>
      </c>
    </row>
    <row r="2137" spans="1:17">
      <c r="A2137" s="656" t="s">
        <v>2396</v>
      </c>
      <c r="B2137" s="657" t="s">
        <v>504</v>
      </c>
      <c r="C2137" s="656" t="s">
        <v>13794</v>
      </c>
      <c r="D2137" s="657" t="s">
        <v>13789</v>
      </c>
      <c r="E2137" s="657" t="s">
        <v>7439</v>
      </c>
      <c r="F2137" s="656" t="s">
        <v>505</v>
      </c>
      <c r="G2137" s="656" t="s">
        <v>525</v>
      </c>
      <c r="H2137" s="656" t="s">
        <v>505</v>
      </c>
      <c r="I2137" s="656" t="s">
        <v>14976</v>
      </c>
      <c r="J2137" s="656"/>
      <c r="K2137" s="656"/>
      <c r="L2137" s="656" t="s">
        <v>15310</v>
      </c>
      <c r="M2137" s="657"/>
      <c r="N2137" s="1482"/>
      <c r="O2137" s="656" t="s">
        <v>498</v>
      </c>
      <c r="P2137" s="656" t="s">
        <v>13052</v>
      </c>
      <c r="Q2137" s="656">
        <v>44216.777118055557</v>
      </c>
    </row>
    <row r="2138" spans="1:17">
      <c r="A2138" s="656" t="s">
        <v>2397</v>
      </c>
      <c r="B2138" s="657" t="s">
        <v>504</v>
      </c>
      <c r="C2138" s="656" t="s">
        <v>13793</v>
      </c>
      <c r="D2138" s="657" t="s">
        <v>13789</v>
      </c>
      <c r="E2138" s="657" t="s">
        <v>7439</v>
      </c>
      <c r="F2138" s="656" t="s">
        <v>505</v>
      </c>
      <c r="G2138" s="656" t="s">
        <v>525</v>
      </c>
      <c r="H2138" s="656" t="s">
        <v>505</v>
      </c>
      <c r="I2138" s="656" t="s">
        <v>14976</v>
      </c>
      <c r="J2138" s="656"/>
      <c r="K2138" s="656"/>
      <c r="L2138" s="656"/>
      <c r="M2138" s="657"/>
      <c r="N2138" s="1482"/>
      <c r="O2138" s="656" t="s">
        <v>498</v>
      </c>
      <c r="P2138" s="656" t="s">
        <v>13052</v>
      </c>
      <c r="Q2138" s="656">
        <v>44216.777106481481</v>
      </c>
    </row>
    <row r="2139" spans="1:17">
      <c r="A2139" s="656" t="s">
        <v>2398</v>
      </c>
      <c r="B2139" s="657" t="s">
        <v>504</v>
      </c>
      <c r="C2139" s="656" t="s">
        <v>2399</v>
      </c>
      <c r="D2139" s="657" t="s">
        <v>13789</v>
      </c>
      <c r="E2139" s="657" t="s">
        <v>7439</v>
      </c>
      <c r="F2139" s="656" t="s">
        <v>505</v>
      </c>
      <c r="G2139" s="656" t="s">
        <v>506</v>
      </c>
      <c r="H2139" s="656" t="s">
        <v>505</v>
      </c>
      <c r="I2139" s="656" t="s">
        <v>14976</v>
      </c>
      <c r="J2139" s="656"/>
      <c r="K2139" s="656"/>
      <c r="L2139" s="656"/>
      <c r="M2139" s="657"/>
      <c r="N2139" s="1482"/>
      <c r="O2139" s="656" t="s">
        <v>498</v>
      </c>
      <c r="P2139" s="656" t="s">
        <v>13052</v>
      </c>
      <c r="Q2139" s="656">
        <v>44216.777106481481</v>
      </c>
    </row>
    <row r="2140" spans="1:17">
      <c r="A2140" s="656" t="s">
        <v>2400</v>
      </c>
      <c r="B2140" s="657" t="s">
        <v>504</v>
      </c>
      <c r="C2140" s="656" t="s">
        <v>2401</v>
      </c>
      <c r="D2140" s="657" t="s">
        <v>14977</v>
      </c>
      <c r="E2140" s="657" t="s">
        <v>9458</v>
      </c>
      <c r="F2140" s="656" t="s">
        <v>505</v>
      </c>
      <c r="G2140" s="656" t="s">
        <v>660</v>
      </c>
      <c r="H2140" s="656" t="s">
        <v>505</v>
      </c>
      <c r="I2140" s="656" t="s">
        <v>14976</v>
      </c>
      <c r="J2140" s="656"/>
      <c r="K2140" s="656"/>
      <c r="L2140" s="656"/>
      <c r="M2140" s="657"/>
      <c r="N2140" s="1482"/>
      <c r="O2140" s="656" t="s">
        <v>498</v>
      </c>
      <c r="P2140" s="656" t="s">
        <v>13052</v>
      </c>
      <c r="Q2140" s="656">
        <v>44216.777094907404</v>
      </c>
    </row>
    <row r="2141" spans="1:17">
      <c r="A2141" s="656" t="s">
        <v>2402</v>
      </c>
      <c r="B2141" s="657" t="s">
        <v>504</v>
      </c>
      <c r="C2141" s="656" t="s">
        <v>2403</v>
      </c>
      <c r="D2141" s="657" t="s">
        <v>14977</v>
      </c>
      <c r="E2141" s="657" t="s">
        <v>9458</v>
      </c>
      <c r="F2141" s="656" t="s">
        <v>505</v>
      </c>
      <c r="G2141" s="656" t="s">
        <v>660</v>
      </c>
      <c r="H2141" s="656" t="s">
        <v>505</v>
      </c>
      <c r="I2141" s="656" t="s">
        <v>14976</v>
      </c>
      <c r="J2141" s="656"/>
      <c r="K2141" s="656"/>
      <c r="L2141" s="656"/>
      <c r="M2141" s="657"/>
      <c r="N2141" s="1482"/>
      <c r="O2141" s="656" t="s">
        <v>498</v>
      </c>
      <c r="P2141" s="656" t="s">
        <v>13052</v>
      </c>
      <c r="Q2141" s="656">
        <v>44216.777094907404</v>
      </c>
    </row>
    <row r="2142" spans="1:17">
      <c r="A2142" s="656" t="s">
        <v>2404</v>
      </c>
      <c r="B2142" s="657" t="s">
        <v>504</v>
      </c>
      <c r="C2142" s="656" t="s">
        <v>2405</v>
      </c>
      <c r="D2142" s="657" t="s">
        <v>14977</v>
      </c>
      <c r="E2142" s="657" t="s">
        <v>9458</v>
      </c>
      <c r="F2142" s="656" t="s">
        <v>505</v>
      </c>
      <c r="G2142" s="656" t="s">
        <v>660</v>
      </c>
      <c r="H2142" s="656" t="s">
        <v>505</v>
      </c>
      <c r="I2142" s="656" t="s">
        <v>14976</v>
      </c>
      <c r="J2142" s="656"/>
      <c r="K2142" s="656"/>
      <c r="L2142" s="656"/>
      <c r="M2142" s="657"/>
      <c r="N2142" s="1482"/>
      <c r="O2142" s="656" t="s">
        <v>498</v>
      </c>
      <c r="P2142" s="656" t="s">
        <v>13052</v>
      </c>
      <c r="Q2142" s="656">
        <v>44216.777094907404</v>
      </c>
    </row>
    <row r="2143" spans="1:17">
      <c r="A2143" s="656" t="s">
        <v>2406</v>
      </c>
      <c r="B2143" s="657" t="s">
        <v>504</v>
      </c>
      <c r="C2143" s="656" t="s">
        <v>2407</v>
      </c>
      <c r="D2143" s="657" t="s">
        <v>14977</v>
      </c>
      <c r="E2143" s="657" t="s">
        <v>9458</v>
      </c>
      <c r="F2143" s="656" t="s">
        <v>505</v>
      </c>
      <c r="G2143" s="656" t="s">
        <v>660</v>
      </c>
      <c r="H2143" s="656" t="s">
        <v>505</v>
      </c>
      <c r="I2143" s="656" t="s">
        <v>14976</v>
      </c>
      <c r="J2143" s="656"/>
      <c r="K2143" s="656"/>
      <c r="L2143" s="656"/>
      <c r="M2143" s="657"/>
      <c r="N2143" s="1482"/>
      <c r="O2143" s="656" t="s">
        <v>498</v>
      </c>
      <c r="P2143" s="656" t="s">
        <v>13052</v>
      </c>
      <c r="Q2143" s="656">
        <v>44216.777083333334</v>
      </c>
    </row>
    <row r="2144" spans="1:17">
      <c r="A2144" s="656" t="s">
        <v>2408</v>
      </c>
      <c r="B2144" s="657" t="s">
        <v>504</v>
      </c>
      <c r="C2144" s="656" t="s">
        <v>2409</v>
      </c>
      <c r="D2144" s="657" t="s">
        <v>14977</v>
      </c>
      <c r="E2144" s="657" t="s">
        <v>9458</v>
      </c>
      <c r="F2144" s="656" t="s">
        <v>505</v>
      </c>
      <c r="G2144" s="656" t="s">
        <v>660</v>
      </c>
      <c r="H2144" s="656" t="s">
        <v>505</v>
      </c>
      <c r="I2144" s="656" t="s">
        <v>14976</v>
      </c>
      <c r="J2144" s="656"/>
      <c r="K2144" s="656"/>
      <c r="L2144" s="656"/>
      <c r="M2144" s="657"/>
      <c r="N2144" s="1482"/>
      <c r="O2144" s="656" t="s">
        <v>498</v>
      </c>
      <c r="P2144" s="656" t="s">
        <v>13052</v>
      </c>
      <c r="Q2144" s="656">
        <v>44216.777083333334</v>
      </c>
    </row>
    <row r="2145" spans="1:17">
      <c r="A2145" s="656" t="s">
        <v>2410</v>
      </c>
      <c r="B2145" s="657" t="s">
        <v>504</v>
      </c>
      <c r="C2145" s="656" t="s">
        <v>2411</v>
      </c>
      <c r="D2145" s="657" t="s">
        <v>14977</v>
      </c>
      <c r="E2145" s="657" t="s">
        <v>9458</v>
      </c>
      <c r="F2145" s="656" t="s">
        <v>505</v>
      </c>
      <c r="G2145" s="656" t="s">
        <v>660</v>
      </c>
      <c r="H2145" s="656" t="s">
        <v>505</v>
      </c>
      <c r="I2145" s="656" t="s">
        <v>14976</v>
      </c>
      <c r="J2145" s="656"/>
      <c r="K2145" s="656"/>
      <c r="L2145" s="656"/>
      <c r="M2145" s="657"/>
      <c r="N2145" s="1482"/>
      <c r="O2145" s="656" t="s">
        <v>498</v>
      </c>
      <c r="P2145" s="656" t="s">
        <v>13052</v>
      </c>
      <c r="Q2145" s="656">
        <v>44216.777071759258</v>
      </c>
    </row>
    <row r="2146" spans="1:17">
      <c r="A2146" s="656" t="s">
        <v>2412</v>
      </c>
      <c r="B2146" s="657" t="s">
        <v>504</v>
      </c>
      <c r="C2146" s="656" t="s">
        <v>2413</v>
      </c>
      <c r="D2146" s="657" t="s">
        <v>14977</v>
      </c>
      <c r="E2146" s="657" t="s">
        <v>9458</v>
      </c>
      <c r="F2146" s="656" t="s">
        <v>505</v>
      </c>
      <c r="G2146" s="656" t="s">
        <v>660</v>
      </c>
      <c r="H2146" s="656" t="s">
        <v>505</v>
      </c>
      <c r="I2146" s="656" t="s">
        <v>14976</v>
      </c>
      <c r="J2146" s="656"/>
      <c r="K2146" s="656"/>
      <c r="L2146" s="656"/>
      <c r="M2146" s="657"/>
      <c r="N2146" s="1482"/>
      <c r="O2146" s="656" t="s">
        <v>498</v>
      </c>
      <c r="P2146" s="656" t="s">
        <v>13052</v>
      </c>
      <c r="Q2146" s="656">
        <v>44216.777071759258</v>
      </c>
    </row>
    <row r="2147" spans="1:17">
      <c r="A2147" s="656" t="s">
        <v>2414</v>
      </c>
      <c r="B2147" s="657" t="s">
        <v>202</v>
      </c>
      <c r="C2147" s="656" t="s">
        <v>2415</v>
      </c>
      <c r="D2147" s="657" t="s">
        <v>13789</v>
      </c>
      <c r="E2147" s="657" t="s">
        <v>9458</v>
      </c>
      <c r="F2147" s="656" t="s">
        <v>472</v>
      </c>
      <c r="G2147" s="656" t="s">
        <v>1395</v>
      </c>
      <c r="H2147" s="656" t="s">
        <v>472</v>
      </c>
      <c r="I2147" s="656" t="s">
        <v>14976</v>
      </c>
      <c r="J2147" s="656" t="s">
        <v>12368</v>
      </c>
      <c r="K2147" s="656"/>
      <c r="L2147" s="656"/>
      <c r="M2147" s="657"/>
      <c r="N2147" s="1482"/>
      <c r="O2147" s="656" t="s">
        <v>498</v>
      </c>
      <c r="P2147" s="656" t="s">
        <v>13052</v>
      </c>
      <c r="Q2147" s="656">
        <v>44216.777060185188</v>
      </c>
    </row>
    <row r="2148" spans="1:17">
      <c r="A2148" s="656" t="s">
        <v>2416</v>
      </c>
      <c r="B2148" s="657" t="s">
        <v>504</v>
      </c>
      <c r="C2148" s="656" t="s">
        <v>2417</v>
      </c>
      <c r="D2148" s="657" t="s">
        <v>13789</v>
      </c>
      <c r="E2148" s="657" t="s">
        <v>7439</v>
      </c>
      <c r="F2148" s="656" t="s">
        <v>540</v>
      </c>
      <c r="G2148" s="656" t="s">
        <v>541</v>
      </c>
      <c r="H2148" s="656" t="s">
        <v>540</v>
      </c>
      <c r="I2148" s="656" t="s">
        <v>14976</v>
      </c>
      <c r="J2148" s="656"/>
      <c r="K2148" s="656"/>
      <c r="L2148" s="656" t="s">
        <v>12847</v>
      </c>
      <c r="M2148" s="657"/>
      <c r="N2148" s="1482"/>
      <c r="O2148" s="656" t="s">
        <v>498</v>
      </c>
      <c r="P2148" s="656" t="s">
        <v>13052</v>
      </c>
      <c r="Q2148" s="656">
        <v>44216.777060185188</v>
      </c>
    </row>
    <row r="2149" spans="1:17">
      <c r="A2149" s="656" t="s">
        <v>2418</v>
      </c>
      <c r="B2149" s="657" t="s">
        <v>504</v>
      </c>
      <c r="C2149" s="656" t="s">
        <v>2419</v>
      </c>
      <c r="D2149" s="657" t="s">
        <v>14977</v>
      </c>
      <c r="E2149" s="657" t="s">
        <v>7439</v>
      </c>
      <c r="F2149" s="656" t="s">
        <v>505</v>
      </c>
      <c r="G2149" s="656" t="s">
        <v>1579</v>
      </c>
      <c r="H2149" s="656" t="s">
        <v>505</v>
      </c>
      <c r="I2149" s="656" t="s">
        <v>14976</v>
      </c>
      <c r="J2149" s="656"/>
      <c r="K2149" s="656"/>
      <c r="L2149" s="656"/>
      <c r="M2149" s="657"/>
      <c r="N2149" s="1482"/>
      <c r="O2149" s="656" t="s">
        <v>498</v>
      </c>
      <c r="P2149" s="656" t="s">
        <v>13052</v>
      </c>
      <c r="Q2149" s="656">
        <v>44216.777048611111</v>
      </c>
    </row>
    <row r="2150" spans="1:17">
      <c r="A2150" s="656" t="s">
        <v>2420</v>
      </c>
      <c r="B2150" s="657" t="s">
        <v>202</v>
      </c>
      <c r="C2150" s="656" t="s">
        <v>13792</v>
      </c>
      <c r="D2150" s="657" t="s">
        <v>13789</v>
      </c>
      <c r="E2150" s="657" t="s">
        <v>9458</v>
      </c>
      <c r="F2150" s="656" t="s">
        <v>1300</v>
      </c>
      <c r="G2150" s="656" t="s">
        <v>1301</v>
      </c>
      <c r="H2150" s="656" t="s">
        <v>1300</v>
      </c>
      <c r="I2150" s="656" t="s">
        <v>15280</v>
      </c>
      <c r="J2150" s="656"/>
      <c r="K2150" s="656"/>
      <c r="L2150" s="656"/>
      <c r="M2150" s="657"/>
      <c r="N2150" s="1482"/>
      <c r="O2150" s="656" t="s">
        <v>498</v>
      </c>
      <c r="P2150" s="656" t="s">
        <v>13052</v>
      </c>
      <c r="Q2150" s="656">
        <v>44216.777048611111</v>
      </c>
    </row>
    <row r="2151" spans="1:17">
      <c r="A2151" s="656" t="s">
        <v>2421</v>
      </c>
      <c r="B2151" s="657" t="s">
        <v>202</v>
      </c>
      <c r="C2151" s="656" t="s">
        <v>2422</v>
      </c>
      <c r="D2151" s="657" t="s">
        <v>13789</v>
      </c>
      <c r="E2151" s="657" t="s">
        <v>9458</v>
      </c>
      <c r="F2151" s="656" t="s">
        <v>462</v>
      </c>
      <c r="G2151" s="656" t="s">
        <v>2072</v>
      </c>
      <c r="H2151" s="656" t="s">
        <v>462</v>
      </c>
      <c r="I2151" s="656" t="s">
        <v>15280</v>
      </c>
      <c r="J2151" s="656" t="s">
        <v>463</v>
      </c>
      <c r="K2151" s="656"/>
      <c r="L2151" s="656"/>
      <c r="M2151" s="657"/>
      <c r="N2151" s="1482"/>
      <c r="O2151" s="656" t="s">
        <v>498</v>
      </c>
      <c r="P2151" s="656" t="s">
        <v>13052</v>
      </c>
      <c r="Q2151" s="656">
        <v>44216.777037037034</v>
      </c>
    </row>
    <row r="2152" spans="1:17">
      <c r="A2152" s="656" t="s">
        <v>2423</v>
      </c>
      <c r="B2152" s="657" t="s">
        <v>202</v>
      </c>
      <c r="C2152" s="656" t="s">
        <v>2424</v>
      </c>
      <c r="D2152" s="657" t="s">
        <v>13789</v>
      </c>
      <c r="E2152" s="657" t="s">
        <v>9458</v>
      </c>
      <c r="F2152" s="656" t="s">
        <v>472</v>
      </c>
      <c r="G2152" s="656" t="s">
        <v>1395</v>
      </c>
      <c r="H2152" s="656" t="s">
        <v>472</v>
      </c>
      <c r="I2152" s="656" t="s">
        <v>15280</v>
      </c>
      <c r="J2152" s="656" t="s">
        <v>12368</v>
      </c>
      <c r="K2152" s="656"/>
      <c r="L2152" s="656"/>
      <c r="M2152" s="657"/>
      <c r="N2152" s="1482"/>
      <c r="O2152" s="656" t="s">
        <v>498</v>
      </c>
      <c r="P2152" s="656" t="s">
        <v>13052</v>
      </c>
      <c r="Q2152" s="656">
        <v>44216.777037037034</v>
      </c>
    </row>
    <row r="2153" spans="1:17">
      <c r="A2153" s="656" t="s">
        <v>2425</v>
      </c>
      <c r="B2153" s="657" t="s">
        <v>202</v>
      </c>
      <c r="C2153" s="656" t="s">
        <v>2426</v>
      </c>
      <c r="D2153" s="657" t="s">
        <v>13789</v>
      </c>
      <c r="E2153" s="657" t="s">
        <v>9458</v>
      </c>
      <c r="F2153" s="656" t="s">
        <v>1050</v>
      </c>
      <c r="G2153" s="656" t="s">
        <v>1078</v>
      </c>
      <c r="H2153" s="656" t="s">
        <v>1050</v>
      </c>
      <c r="I2153" s="656" t="s">
        <v>15280</v>
      </c>
      <c r="J2153" s="656"/>
      <c r="K2153" s="656"/>
      <c r="L2153" s="656"/>
      <c r="M2153" s="657"/>
      <c r="N2153" s="1482"/>
      <c r="O2153" s="656" t="s">
        <v>498</v>
      </c>
      <c r="P2153" s="656" t="s">
        <v>13052</v>
      </c>
      <c r="Q2153" s="656">
        <v>44216.777025462965</v>
      </c>
    </row>
    <row r="2154" spans="1:17">
      <c r="A2154" s="656" t="s">
        <v>2427</v>
      </c>
      <c r="B2154" s="657" t="s">
        <v>504</v>
      </c>
      <c r="C2154" s="656" t="s">
        <v>2428</v>
      </c>
      <c r="D2154" s="657" t="s">
        <v>14978</v>
      </c>
      <c r="E2154" s="657" t="s">
        <v>7439</v>
      </c>
      <c r="F2154" s="656" t="s">
        <v>505</v>
      </c>
      <c r="G2154" s="656" t="s">
        <v>660</v>
      </c>
      <c r="H2154" s="656" t="s">
        <v>505</v>
      </c>
      <c r="I2154" s="656" t="s">
        <v>14976</v>
      </c>
      <c r="J2154" s="656"/>
      <c r="K2154" s="656"/>
      <c r="L2154" s="656" t="s">
        <v>15309</v>
      </c>
      <c r="M2154" s="657"/>
      <c r="N2154" s="1482"/>
      <c r="O2154" s="656" t="s">
        <v>498</v>
      </c>
      <c r="P2154" s="656" t="s">
        <v>13052</v>
      </c>
      <c r="Q2154" s="656">
        <v>44216.777037037034</v>
      </c>
    </row>
    <row r="2155" spans="1:17">
      <c r="A2155" s="656" t="s">
        <v>2429</v>
      </c>
      <c r="B2155" s="657" t="s">
        <v>531</v>
      </c>
      <c r="C2155" s="656" t="s">
        <v>2430</v>
      </c>
      <c r="D2155" s="657" t="s">
        <v>14977</v>
      </c>
      <c r="E2155" s="657" t="s">
        <v>9458</v>
      </c>
      <c r="F2155" s="656" t="s">
        <v>1949</v>
      </c>
      <c r="G2155" s="656" t="s">
        <v>717</v>
      </c>
      <c r="H2155" s="656" t="s">
        <v>1949</v>
      </c>
      <c r="I2155" s="656" t="s">
        <v>14976</v>
      </c>
      <c r="J2155" s="656"/>
      <c r="K2155" s="656"/>
      <c r="L2155" s="656" t="s">
        <v>2429</v>
      </c>
      <c r="M2155" s="657"/>
      <c r="N2155" s="1482"/>
      <c r="O2155" s="656" t="s">
        <v>498</v>
      </c>
      <c r="P2155" s="656" t="s">
        <v>13052</v>
      </c>
      <c r="Q2155" s="656">
        <v>44216.777025462965</v>
      </c>
    </row>
    <row r="2156" spans="1:17">
      <c r="A2156" s="656" t="s">
        <v>2431</v>
      </c>
      <c r="B2156" s="657" t="s">
        <v>504</v>
      </c>
      <c r="C2156" s="656" t="s">
        <v>2432</v>
      </c>
      <c r="D2156" s="657" t="s">
        <v>14977</v>
      </c>
      <c r="E2156" s="657" t="s">
        <v>7439</v>
      </c>
      <c r="F2156" s="656" t="s">
        <v>505</v>
      </c>
      <c r="G2156" s="656" t="s">
        <v>525</v>
      </c>
      <c r="H2156" s="656" t="s">
        <v>505</v>
      </c>
      <c r="I2156" s="656" t="s">
        <v>14976</v>
      </c>
      <c r="J2156" s="656"/>
      <c r="K2156" s="656"/>
      <c r="L2156" s="656"/>
      <c r="M2156" s="657"/>
      <c r="N2156" s="1482"/>
      <c r="O2156" s="656" t="s">
        <v>498</v>
      </c>
      <c r="P2156" s="656" t="s">
        <v>13052</v>
      </c>
      <c r="Q2156" s="656">
        <v>44216.777013888888</v>
      </c>
    </row>
    <row r="2157" spans="1:17">
      <c r="A2157" s="656" t="s">
        <v>2433</v>
      </c>
      <c r="B2157" s="657" t="s">
        <v>504</v>
      </c>
      <c r="C2157" s="656" t="s">
        <v>2434</v>
      </c>
      <c r="D2157" s="657" t="s">
        <v>13789</v>
      </c>
      <c r="E2157" s="657" t="s">
        <v>7439</v>
      </c>
      <c r="F2157" s="656" t="s">
        <v>505</v>
      </c>
      <c r="G2157" s="656" t="s">
        <v>1495</v>
      </c>
      <c r="H2157" s="656" t="s">
        <v>505</v>
      </c>
      <c r="I2157" s="656" t="s">
        <v>14976</v>
      </c>
      <c r="J2157" s="656"/>
      <c r="K2157" s="656"/>
      <c r="L2157" s="656"/>
      <c r="M2157" s="657"/>
      <c r="N2157" s="1482"/>
      <c r="O2157" s="656" t="s">
        <v>498</v>
      </c>
      <c r="P2157" s="656" t="s">
        <v>13052</v>
      </c>
      <c r="Q2157" s="656">
        <v>44216.777002314811</v>
      </c>
    </row>
    <row r="2158" spans="1:17">
      <c r="A2158" s="656" t="s">
        <v>2435</v>
      </c>
      <c r="B2158" s="657" t="s">
        <v>202</v>
      </c>
      <c r="C2158" s="656" t="s">
        <v>2436</v>
      </c>
      <c r="D2158" s="657" t="s">
        <v>13789</v>
      </c>
      <c r="E2158" s="657" t="s">
        <v>9458</v>
      </c>
      <c r="F2158" s="656" t="s">
        <v>1050</v>
      </c>
      <c r="G2158" s="656" t="s">
        <v>1078</v>
      </c>
      <c r="H2158" s="656" t="s">
        <v>1050</v>
      </c>
      <c r="I2158" s="656" t="s">
        <v>15280</v>
      </c>
      <c r="J2158" s="656"/>
      <c r="K2158" s="656"/>
      <c r="L2158" s="656"/>
      <c r="M2158" s="657"/>
      <c r="N2158" s="1482"/>
      <c r="O2158" s="656" t="s">
        <v>498</v>
      </c>
      <c r="P2158" s="656" t="s">
        <v>13052</v>
      </c>
      <c r="Q2158" s="656">
        <v>44216.777002314811</v>
      </c>
    </row>
    <row r="2159" spans="1:17">
      <c r="A2159" s="656" t="s">
        <v>2437</v>
      </c>
      <c r="B2159" s="657" t="s">
        <v>202</v>
      </c>
      <c r="C2159" s="656" t="s">
        <v>2438</v>
      </c>
      <c r="D2159" s="657" t="s">
        <v>14978</v>
      </c>
      <c r="E2159" s="657" t="s">
        <v>9458</v>
      </c>
      <c r="F2159" s="656" t="s">
        <v>445</v>
      </c>
      <c r="G2159" s="656" t="s">
        <v>445</v>
      </c>
      <c r="H2159" s="656" t="s">
        <v>445</v>
      </c>
      <c r="I2159" s="656" t="s">
        <v>15280</v>
      </c>
      <c r="J2159" s="656" t="s">
        <v>8814</v>
      </c>
      <c r="K2159" s="656"/>
      <c r="L2159" s="656" t="s">
        <v>2445</v>
      </c>
      <c r="M2159" s="657"/>
      <c r="N2159" s="1482"/>
      <c r="O2159" s="656" t="s">
        <v>498</v>
      </c>
      <c r="P2159" s="656" t="s">
        <v>13052</v>
      </c>
      <c r="Q2159" s="656">
        <v>44216.777002314811</v>
      </c>
    </row>
    <row r="2160" spans="1:17">
      <c r="A2160" s="656" t="s">
        <v>2439</v>
      </c>
      <c r="B2160" s="657" t="s">
        <v>202</v>
      </c>
      <c r="C2160" s="656" t="s">
        <v>2440</v>
      </c>
      <c r="D2160" s="657" t="s">
        <v>14978</v>
      </c>
      <c r="E2160" s="657" t="s">
        <v>9458</v>
      </c>
      <c r="F2160" s="656" t="s">
        <v>445</v>
      </c>
      <c r="G2160" s="656" t="s">
        <v>445</v>
      </c>
      <c r="H2160" s="656" t="s">
        <v>445</v>
      </c>
      <c r="I2160" s="656" t="s">
        <v>15280</v>
      </c>
      <c r="J2160" s="656" t="s">
        <v>8814</v>
      </c>
      <c r="K2160" s="656"/>
      <c r="L2160" s="656" t="s">
        <v>2445</v>
      </c>
      <c r="M2160" s="657"/>
      <c r="N2160" s="1482"/>
      <c r="O2160" s="656" t="s">
        <v>498</v>
      </c>
      <c r="P2160" s="656" t="s">
        <v>13052</v>
      </c>
      <c r="Q2160" s="656">
        <v>44216.776990740742</v>
      </c>
    </row>
    <row r="2161" spans="1:17">
      <c r="A2161" s="656" t="s">
        <v>2441</v>
      </c>
      <c r="B2161" s="657" t="s">
        <v>202</v>
      </c>
      <c r="C2161" s="656" t="s">
        <v>2442</v>
      </c>
      <c r="D2161" s="657" t="s">
        <v>14978</v>
      </c>
      <c r="E2161" s="657" t="s">
        <v>9458</v>
      </c>
      <c r="F2161" s="656" t="s">
        <v>445</v>
      </c>
      <c r="G2161" s="656" t="s">
        <v>552</v>
      </c>
      <c r="H2161" s="656" t="s">
        <v>445</v>
      </c>
      <c r="I2161" s="656" t="s">
        <v>15280</v>
      </c>
      <c r="J2161" s="656" t="s">
        <v>8814</v>
      </c>
      <c r="K2161" s="656" t="s">
        <v>445</v>
      </c>
      <c r="L2161" s="656" t="s">
        <v>2445</v>
      </c>
      <c r="M2161" s="657"/>
      <c r="N2161" s="1482"/>
      <c r="O2161" s="656" t="s">
        <v>498</v>
      </c>
      <c r="P2161" s="656" t="s">
        <v>13052</v>
      </c>
      <c r="Q2161" s="656">
        <v>44216.776990740742</v>
      </c>
    </row>
    <row r="2162" spans="1:17">
      <c r="A2162" s="656" t="s">
        <v>2443</v>
      </c>
      <c r="B2162" s="657" t="s">
        <v>202</v>
      </c>
      <c r="C2162" s="656" t="s">
        <v>2444</v>
      </c>
      <c r="D2162" s="657" t="s">
        <v>14978</v>
      </c>
      <c r="E2162" s="657" t="s">
        <v>9458</v>
      </c>
      <c r="F2162" s="656" t="s">
        <v>445</v>
      </c>
      <c r="G2162" s="656" t="s">
        <v>552</v>
      </c>
      <c r="H2162" s="656" t="s">
        <v>445</v>
      </c>
      <c r="I2162" s="656" t="s">
        <v>15280</v>
      </c>
      <c r="J2162" s="656" t="s">
        <v>8814</v>
      </c>
      <c r="K2162" s="656" t="s">
        <v>445</v>
      </c>
      <c r="L2162" s="656" t="s">
        <v>2445</v>
      </c>
      <c r="M2162" s="657"/>
      <c r="N2162" s="1482"/>
      <c r="O2162" s="656" t="s">
        <v>498</v>
      </c>
      <c r="P2162" s="656" t="s">
        <v>13052</v>
      </c>
      <c r="Q2162" s="656">
        <v>44216.776979166665</v>
      </c>
    </row>
    <row r="2163" spans="1:17">
      <c r="A2163" s="656" t="s">
        <v>2445</v>
      </c>
      <c r="B2163" s="657" t="s">
        <v>202</v>
      </c>
      <c r="C2163" s="656" t="s">
        <v>13791</v>
      </c>
      <c r="D2163" s="657"/>
      <c r="E2163" s="657" t="s">
        <v>9458</v>
      </c>
      <c r="F2163" s="656" t="s">
        <v>445</v>
      </c>
      <c r="G2163" s="656" t="s">
        <v>552</v>
      </c>
      <c r="H2163" s="656" t="s">
        <v>445</v>
      </c>
      <c r="I2163" s="656" t="s">
        <v>15280</v>
      </c>
      <c r="J2163" s="656" t="s">
        <v>8814</v>
      </c>
      <c r="K2163" s="656"/>
      <c r="L2163" s="656"/>
      <c r="M2163" s="657"/>
      <c r="N2163" s="1482"/>
      <c r="O2163" s="656" t="s">
        <v>498</v>
      </c>
      <c r="P2163" s="656" t="s">
        <v>13052</v>
      </c>
      <c r="Q2163" s="656">
        <v>44216.776979166665</v>
      </c>
    </row>
    <row r="2164" spans="1:17">
      <c r="A2164" s="656" t="s">
        <v>2447</v>
      </c>
      <c r="B2164" s="657" t="s">
        <v>202</v>
      </c>
      <c r="C2164" s="656" t="s">
        <v>2448</v>
      </c>
      <c r="D2164" s="657" t="s">
        <v>13789</v>
      </c>
      <c r="E2164" s="657" t="s">
        <v>9458</v>
      </c>
      <c r="F2164" s="656" t="s">
        <v>500</v>
      </c>
      <c r="G2164" s="656" t="s">
        <v>500</v>
      </c>
      <c r="H2164" s="656" t="s">
        <v>500</v>
      </c>
      <c r="I2164" s="656" t="s">
        <v>15280</v>
      </c>
      <c r="J2164" s="656"/>
      <c r="K2164" s="656"/>
      <c r="L2164" s="656"/>
      <c r="M2164" s="657"/>
      <c r="N2164" s="1482"/>
      <c r="O2164" s="656" t="s">
        <v>498</v>
      </c>
      <c r="P2164" s="656" t="s">
        <v>13052</v>
      </c>
      <c r="Q2164" s="656">
        <v>44216.776967592596</v>
      </c>
    </row>
    <row r="2165" spans="1:17">
      <c r="A2165" s="656" t="s">
        <v>2449</v>
      </c>
      <c r="B2165" s="657" t="s">
        <v>202</v>
      </c>
      <c r="C2165" s="656" t="s">
        <v>2450</v>
      </c>
      <c r="D2165" s="657" t="s">
        <v>13789</v>
      </c>
      <c r="E2165" s="657" t="s">
        <v>9458</v>
      </c>
      <c r="F2165" s="656" t="s">
        <v>3077</v>
      </c>
      <c r="G2165" s="656" t="s">
        <v>512</v>
      </c>
      <c r="H2165" s="656" t="s">
        <v>465</v>
      </c>
      <c r="I2165" s="656" t="s">
        <v>15280</v>
      </c>
      <c r="J2165" s="656" t="s">
        <v>446</v>
      </c>
      <c r="K2165" s="656" t="s">
        <v>3077</v>
      </c>
      <c r="L2165" s="656"/>
      <c r="M2165" s="657"/>
      <c r="N2165" s="1482"/>
      <c r="O2165" s="656" t="s">
        <v>498</v>
      </c>
      <c r="P2165" s="656" t="s">
        <v>13052</v>
      </c>
      <c r="Q2165" s="656">
        <v>44216.776967592596</v>
      </c>
    </row>
    <row r="2166" spans="1:17">
      <c r="A2166" s="656" t="s">
        <v>2451</v>
      </c>
      <c r="B2166" s="657" t="s">
        <v>202</v>
      </c>
      <c r="C2166" s="656" t="s">
        <v>2452</v>
      </c>
      <c r="D2166" s="657" t="s">
        <v>13789</v>
      </c>
      <c r="E2166" s="657" t="s">
        <v>9510</v>
      </c>
      <c r="F2166" s="656" t="s">
        <v>3077</v>
      </c>
      <c r="G2166" s="656" t="s">
        <v>512</v>
      </c>
      <c r="H2166" s="656" t="s">
        <v>465</v>
      </c>
      <c r="I2166" s="656" t="s">
        <v>15280</v>
      </c>
      <c r="J2166" s="656" t="s">
        <v>446</v>
      </c>
      <c r="K2166" s="656" t="s">
        <v>3077</v>
      </c>
      <c r="L2166" s="656"/>
      <c r="M2166" s="657"/>
      <c r="N2166" s="1482"/>
      <c r="O2166" s="656" t="s">
        <v>498</v>
      </c>
      <c r="P2166" s="656" t="s">
        <v>13052</v>
      </c>
      <c r="Q2166" s="656">
        <v>44216.776956018519</v>
      </c>
    </row>
    <row r="2167" spans="1:17">
      <c r="A2167" s="656" t="s">
        <v>2453</v>
      </c>
      <c r="B2167" s="657" t="s">
        <v>202</v>
      </c>
      <c r="C2167" s="656" t="s">
        <v>2454</v>
      </c>
      <c r="D2167" s="657" t="s">
        <v>13789</v>
      </c>
      <c r="E2167" s="657" t="s">
        <v>9458</v>
      </c>
      <c r="F2167" s="656" t="s">
        <v>1300</v>
      </c>
      <c r="G2167" s="656" t="s">
        <v>1301</v>
      </c>
      <c r="H2167" s="656" t="s">
        <v>1300</v>
      </c>
      <c r="I2167" s="656" t="s">
        <v>15280</v>
      </c>
      <c r="J2167" s="656"/>
      <c r="K2167" s="656"/>
      <c r="L2167" s="656"/>
      <c r="M2167" s="657"/>
      <c r="N2167" s="1482"/>
      <c r="O2167" s="656" t="s">
        <v>498</v>
      </c>
      <c r="P2167" s="656" t="s">
        <v>13052</v>
      </c>
      <c r="Q2167" s="656">
        <v>44216.776956018519</v>
      </c>
    </row>
    <row r="2168" spans="1:17">
      <c r="A2168" s="656" t="s">
        <v>2455</v>
      </c>
      <c r="B2168" s="657" t="s">
        <v>202</v>
      </c>
      <c r="C2168" s="656" t="s">
        <v>2456</v>
      </c>
      <c r="D2168" s="657" t="s">
        <v>13789</v>
      </c>
      <c r="E2168" s="657" t="s">
        <v>9510</v>
      </c>
      <c r="F2168" s="656" t="s">
        <v>500</v>
      </c>
      <c r="G2168" s="656" t="s">
        <v>500</v>
      </c>
      <c r="H2168" s="656" t="s">
        <v>500</v>
      </c>
      <c r="I2168" s="656" t="s">
        <v>14976</v>
      </c>
      <c r="J2168" s="656"/>
      <c r="K2168" s="656"/>
      <c r="L2168" s="656"/>
      <c r="M2168" s="657"/>
      <c r="N2168" s="1482"/>
      <c r="O2168" s="656" t="s">
        <v>498</v>
      </c>
      <c r="P2168" s="656" t="s">
        <v>13052</v>
      </c>
      <c r="Q2168" s="656">
        <v>44216.776944444442</v>
      </c>
    </row>
    <row r="2169" spans="1:17">
      <c r="A2169" s="656" t="s">
        <v>2457</v>
      </c>
      <c r="B2169" s="657" t="s">
        <v>202</v>
      </c>
      <c r="C2169" s="656" t="s">
        <v>2458</v>
      </c>
      <c r="D2169" s="657" t="s">
        <v>13789</v>
      </c>
      <c r="E2169" s="657" t="s">
        <v>9458</v>
      </c>
      <c r="F2169" s="656" t="s">
        <v>1050</v>
      </c>
      <c r="G2169" s="656" t="s">
        <v>1078</v>
      </c>
      <c r="H2169" s="656" t="s">
        <v>1050</v>
      </c>
      <c r="I2169" s="656" t="s">
        <v>15280</v>
      </c>
      <c r="J2169" s="656"/>
      <c r="K2169" s="656"/>
      <c r="L2169" s="656"/>
      <c r="M2169" s="657"/>
      <c r="N2169" s="1482"/>
      <c r="O2169" s="656" t="s">
        <v>498</v>
      </c>
      <c r="P2169" s="656" t="s">
        <v>13052</v>
      </c>
      <c r="Q2169" s="656">
        <v>44216.776944444442</v>
      </c>
    </row>
    <row r="2170" spans="1:17">
      <c r="A2170" s="656" t="s">
        <v>2459</v>
      </c>
      <c r="B2170" s="657" t="s">
        <v>202</v>
      </c>
      <c r="C2170" s="656" t="s">
        <v>2460</v>
      </c>
      <c r="D2170" s="657" t="s">
        <v>13789</v>
      </c>
      <c r="E2170" s="657" t="s">
        <v>9458</v>
      </c>
      <c r="F2170" s="656" t="s">
        <v>1300</v>
      </c>
      <c r="G2170" s="656" t="s">
        <v>1301</v>
      </c>
      <c r="H2170" s="656" t="s">
        <v>1300</v>
      </c>
      <c r="I2170" s="656" t="s">
        <v>15280</v>
      </c>
      <c r="J2170" s="656"/>
      <c r="K2170" s="656"/>
      <c r="L2170" s="656"/>
      <c r="M2170" s="657"/>
      <c r="N2170" s="1482"/>
      <c r="O2170" s="656" t="s">
        <v>498</v>
      </c>
      <c r="P2170" s="656" t="s">
        <v>13052</v>
      </c>
      <c r="Q2170" s="656">
        <v>44216.776932870373</v>
      </c>
    </row>
    <row r="2171" spans="1:17">
      <c r="A2171" s="656" t="s">
        <v>13790</v>
      </c>
      <c r="B2171" s="657" t="s">
        <v>504</v>
      </c>
      <c r="C2171" s="656" t="s">
        <v>2461</v>
      </c>
      <c r="D2171" s="657" t="s">
        <v>14978</v>
      </c>
      <c r="E2171" s="657" t="s">
        <v>7439</v>
      </c>
      <c r="F2171" s="656" t="s">
        <v>505</v>
      </c>
      <c r="G2171" s="656" t="s">
        <v>506</v>
      </c>
      <c r="H2171" s="656" t="s">
        <v>505</v>
      </c>
      <c r="I2171" s="656" t="s">
        <v>14976</v>
      </c>
      <c r="J2171" s="656"/>
      <c r="K2171" s="656"/>
      <c r="L2171" s="656" t="s">
        <v>2462</v>
      </c>
      <c r="M2171" s="657"/>
      <c r="N2171" s="1482"/>
      <c r="O2171" s="656" t="s">
        <v>498</v>
      </c>
      <c r="P2171" s="656" t="s">
        <v>13052</v>
      </c>
      <c r="Q2171" s="656">
        <v>44216.776932870373</v>
      </c>
    </row>
    <row r="2172" spans="1:17">
      <c r="A2172" s="656" t="s">
        <v>2462</v>
      </c>
      <c r="B2172" s="657" t="s">
        <v>504</v>
      </c>
      <c r="C2172" s="656" t="s">
        <v>2463</v>
      </c>
      <c r="D2172" s="657" t="s">
        <v>14977</v>
      </c>
      <c r="E2172" s="657" t="s">
        <v>7439</v>
      </c>
      <c r="F2172" s="656" t="s">
        <v>505</v>
      </c>
      <c r="G2172" s="656" t="s">
        <v>506</v>
      </c>
      <c r="H2172" s="656" t="s">
        <v>505</v>
      </c>
      <c r="I2172" s="656" t="s">
        <v>14976</v>
      </c>
      <c r="J2172" s="656"/>
      <c r="K2172" s="656"/>
      <c r="L2172" s="656"/>
      <c r="M2172" s="657"/>
      <c r="N2172" s="1482"/>
      <c r="O2172" s="656" t="s">
        <v>498</v>
      </c>
      <c r="P2172" s="656" t="s">
        <v>13052</v>
      </c>
      <c r="Q2172" s="656">
        <v>44216.776921296296</v>
      </c>
    </row>
    <row r="2173" spans="1:17">
      <c r="A2173" s="656" t="s">
        <v>2464</v>
      </c>
      <c r="B2173" s="657" t="s">
        <v>504</v>
      </c>
      <c r="C2173" s="656" t="s">
        <v>2465</v>
      </c>
      <c r="D2173" s="657" t="s">
        <v>13789</v>
      </c>
      <c r="E2173" s="657" t="s">
        <v>7439</v>
      </c>
      <c r="F2173" s="656" t="s">
        <v>540</v>
      </c>
      <c r="G2173" s="656" t="s">
        <v>541</v>
      </c>
      <c r="H2173" s="656" t="s">
        <v>540</v>
      </c>
      <c r="I2173" s="656" t="s">
        <v>14976</v>
      </c>
      <c r="J2173" s="656"/>
      <c r="K2173" s="656"/>
      <c r="L2173" s="656"/>
      <c r="M2173" s="657"/>
      <c r="N2173" s="1482"/>
      <c r="O2173" s="656" t="s">
        <v>498</v>
      </c>
      <c r="P2173" s="656" t="s">
        <v>13052</v>
      </c>
      <c r="Q2173" s="656">
        <v>44216.776921296296</v>
      </c>
    </row>
    <row r="2174" spans="1:17">
      <c r="A2174" s="656" t="s">
        <v>2466</v>
      </c>
      <c r="B2174" s="657" t="s">
        <v>202</v>
      </c>
      <c r="C2174" s="656" t="s">
        <v>2467</v>
      </c>
      <c r="D2174" s="657" t="s">
        <v>13789</v>
      </c>
      <c r="E2174" s="657" t="s">
        <v>9458</v>
      </c>
      <c r="F2174" s="656" t="s">
        <v>472</v>
      </c>
      <c r="G2174" s="656" t="s">
        <v>519</v>
      </c>
      <c r="H2174" s="656" t="s">
        <v>472</v>
      </c>
      <c r="I2174" s="656" t="s">
        <v>14976</v>
      </c>
      <c r="J2174" s="656" t="s">
        <v>12368</v>
      </c>
      <c r="K2174" s="656" t="s">
        <v>1058</v>
      </c>
      <c r="L2174" s="656" t="s">
        <v>13789</v>
      </c>
      <c r="M2174" s="657"/>
      <c r="N2174" s="1482"/>
      <c r="O2174" s="656" t="s">
        <v>498</v>
      </c>
      <c r="P2174" s="656" t="s">
        <v>13052</v>
      </c>
      <c r="Q2174" s="656">
        <v>44216.776909722219</v>
      </c>
    </row>
    <row r="2175" spans="1:17">
      <c r="A2175" s="656" t="s">
        <v>2468</v>
      </c>
      <c r="B2175" s="657" t="s">
        <v>202</v>
      </c>
      <c r="C2175" s="656" t="s">
        <v>2469</v>
      </c>
      <c r="D2175" s="657" t="s">
        <v>13789</v>
      </c>
      <c r="E2175" s="657" t="s">
        <v>9458</v>
      </c>
      <c r="F2175" s="656" t="s">
        <v>472</v>
      </c>
      <c r="G2175" s="656" t="s">
        <v>1395</v>
      </c>
      <c r="H2175" s="656" t="s">
        <v>472</v>
      </c>
      <c r="I2175" s="656" t="s">
        <v>14976</v>
      </c>
      <c r="J2175" s="656" t="s">
        <v>12368</v>
      </c>
      <c r="K2175" s="656"/>
      <c r="L2175" s="656" t="s">
        <v>13789</v>
      </c>
      <c r="M2175" s="657"/>
      <c r="N2175" s="1482"/>
      <c r="O2175" s="656" t="s">
        <v>498</v>
      </c>
      <c r="P2175" s="656" t="s">
        <v>13052</v>
      </c>
      <c r="Q2175" s="656">
        <v>44216.776909722219</v>
      </c>
    </row>
    <row r="2176" spans="1:17">
      <c r="A2176" s="656" t="s">
        <v>2470</v>
      </c>
      <c r="B2176" s="657" t="s">
        <v>202</v>
      </c>
      <c r="C2176" s="656" t="s">
        <v>2471</v>
      </c>
      <c r="D2176" s="657" t="s">
        <v>13789</v>
      </c>
      <c r="E2176" s="657" t="s">
        <v>9458</v>
      </c>
      <c r="F2176" s="656" t="s">
        <v>472</v>
      </c>
      <c r="G2176" s="656" t="s">
        <v>1395</v>
      </c>
      <c r="H2176" s="656" t="s">
        <v>472</v>
      </c>
      <c r="I2176" s="656" t="s">
        <v>14976</v>
      </c>
      <c r="J2176" s="656" t="s">
        <v>12368</v>
      </c>
      <c r="K2176" s="656"/>
      <c r="L2176" s="656"/>
      <c r="M2176" s="657"/>
      <c r="N2176" s="1482"/>
      <c r="O2176" s="656" t="s">
        <v>498</v>
      </c>
      <c r="P2176" s="656" t="s">
        <v>13052</v>
      </c>
      <c r="Q2176" s="656">
        <v>44216.776898148149</v>
      </c>
    </row>
    <row r="2177" spans="1:17">
      <c r="A2177" s="656" t="s">
        <v>2472</v>
      </c>
      <c r="B2177" s="657" t="s">
        <v>202</v>
      </c>
      <c r="C2177" s="656" t="s">
        <v>2473</v>
      </c>
      <c r="D2177" s="657" t="s">
        <v>13789</v>
      </c>
      <c r="E2177" s="657" t="s">
        <v>9458</v>
      </c>
      <c r="F2177" s="656" t="s">
        <v>472</v>
      </c>
      <c r="G2177" s="656" t="s">
        <v>1395</v>
      </c>
      <c r="H2177" s="656" t="s">
        <v>472</v>
      </c>
      <c r="I2177" s="656" t="s">
        <v>14976</v>
      </c>
      <c r="J2177" s="656" t="s">
        <v>12368</v>
      </c>
      <c r="K2177" s="656"/>
      <c r="L2177" s="656" t="s">
        <v>13789</v>
      </c>
      <c r="M2177" s="657"/>
      <c r="N2177" s="1482"/>
      <c r="O2177" s="656" t="s">
        <v>498</v>
      </c>
      <c r="P2177" s="656" t="s">
        <v>13052</v>
      </c>
      <c r="Q2177" s="656">
        <v>44216.776898148149</v>
      </c>
    </row>
    <row r="2178" spans="1:17">
      <c r="A2178" s="656" t="s">
        <v>2474</v>
      </c>
      <c r="B2178" s="657" t="s">
        <v>202</v>
      </c>
      <c r="C2178" s="656" t="s">
        <v>2289</v>
      </c>
      <c r="D2178" s="657" t="s">
        <v>13789</v>
      </c>
      <c r="E2178" s="657" t="s">
        <v>9458</v>
      </c>
      <c r="F2178" s="656" t="s">
        <v>472</v>
      </c>
      <c r="G2178" s="656" t="s">
        <v>1395</v>
      </c>
      <c r="H2178" s="656" t="s">
        <v>472</v>
      </c>
      <c r="I2178" s="656" t="s">
        <v>14976</v>
      </c>
      <c r="J2178" s="656" t="s">
        <v>12368</v>
      </c>
      <c r="K2178" s="656"/>
      <c r="L2178" s="656" t="s">
        <v>13789</v>
      </c>
      <c r="M2178" s="657"/>
      <c r="N2178" s="1482"/>
      <c r="O2178" s="656" t="s">
        <v>498</v>
      </c>
      <c r="P2178" s="656" t="s">
        <v>13052</v>
      </c>
      <c r="Q2178" s="656">
        <v>44216.776886574073</v>
      </c>
    </row>
    <row r="2179" spans="1:17">
      <c r="A2179" s="656" t="s">
        <v>2475</v>
      </c>
      <c r="B2179" s="657" t="s">
        <v>202</v>
      </c>
      <c r="C2179" s="656" t="s">
        <v>2476</v>
      </c>
      <c r="D2179" s="657" t="s">
        <v>13789</v>
      </c>
      <c r="E2179" s="657" t="s">
        <v>9458</v>
      </c>
      <c r="F2179" s="656" t="s">
        <v>472</v>
      </c>
      <c r="G2179" s="656" t="s">
        <v>1395</v>
      </c>
      <c r="H2179" s="656" t="s">
        <v>472</v>
      </c>
      <c r="I2179" s="656" t="s">
        <v>14976</v>
      </c>
      <c r="J2179" s="656" t="s">
        <v>12368</v>
      </c>
      <c r="K2179" s="656"/>
      <c r="L2179" s="656" t="s">
        <v>13789</v>
      </c>
      <c r="M2179" s="657"/>
      <c r="N2179" s="1482"/>
      <c r="O2179" s="656" t="s">
        <v>498</v>
      </c>
      <c r="P2179" s="656" t="s">
        <v>13052</v>
      </c>
      <c r="Q2179" s="656">
        <v>44216.776886574073</v>
      </c>
    </row>
    <row r="2180" spans="1:17">
      <c r="A2180" s="656" t="s">
        <v>2477</v>
      </c>
      <c r="B2180" s="657" t="s">
        <v>504</v>
      </c>
      <c r="C2180" s="656" t="s">
        <v>2478</v>
      </c>
      <c r="D2180" s="657" t="s">
        <v>13789</v>
      </c>
      <c r="E2180" s="657" t="s">
        <v>7439</v>
      </c>
      <c r="F2180" s="656" t="s">
        <v>540</v>
      </c>
      <c r="G2180" s="656" t="s">
        <v>541</v>
      </c>
      <c r="H2180" s="656" t="s">
        <v>540</v>
      </c>
      <c r="I2180" s="656" t="s">
        <v>14976</v>
      </c>
      <c r="J2180" s="656"/>
      <c r="K2180" s="656"/>
      <c r="L2180" s="656"/>
      <c r="M2180" s="657"/>
      <c r="N2180" s="1482"/>
      <c r="O2180" s="656" t="s">
        <v>498</v>
      </c>
      <c r="P2180" s="656" t="s">
        <v>13052</v>
      </c>
      <c r="Q2180" s="656">
        <v>44216.776875000003</v>
      </c>
    </row>
    <row r="2181" spans="1:17">
      <c r="A2181" s="656" t="s">
        <v>2479</v>
      </c>
      <c r="B2181" s="657" t="s">
        <v>504</v>
      </c>
      <c r="C2181" s="656" t="s">
        <v>2480</v>
      </c>
      <c r="D2181" s="657" t="s">
        <v>13789</v>
      </c>
      <c r="E2181" s="657" t="s">
        <v>7439</v>
      </c>
      <c r="F2181" s="656" t="s">
        <v>505</v>
      </c>
      <c r="G2181" s="656" t="s">
        <v>522</v>
      </c>
      <c r="H2181" s="656" t="s">
        <v>505</v>
      </c>
      <c r="I2181" s="656" t="s">
        <v>14976</v>
      </c>
      <c r="J2181" s="656"/>
      <c r="K2181" s="656"/>
      <c r="L2181" s="656"/>
      <c r="M2181" s="657"/>
      <c r="N2181" s="1482"/>
      <c r="O2181" s="656" t="s">
        <v>498</v>
      </c>
      <c r="P2181" s="656" t="s">
        <v>13052</v>
      </c>
      <c r="Q2181" s="656">
        <v>44216.776875000003</v>
      </c>
    </row>
    <row r="2182" spans="1:17">
      <c r="A2182" s="656" t="s">
        <v>2481</v>
      </c>
      <c r="B2182" s="657" t="s">
        <v>504</v>
      </c>
      <c r="C2182" s="656" t="s">
        <v>13788</v>
      </c>
      <c r="D2182" s="657" t="s">
        <v>13789</v>
      </c>
      <c r="E2182" s="657" t="s">
        <v>7439</v>
      </c>
      <c r="F2182" s="656" t="s">
        <v>540</v>
      </c>
      <c r="G2182" s="656" t="s">
        <v>541</v>
      </c>
      <c r="H2182" s="656" t="s">
        <v>540</v>
      </c>
      <c r="I2182" s="656" t="s">
        <v>14976</v>
      </c>
      <c r="J2182" s="656"/>
      <c r="K2182" s="656"/>
      <c r="L2182" s="656"/>
      <c r="M2182" s="657"/>
      <c r="N2182" s="1482"/>
      <c r="O2182" s="656" t="s">
        <v>498</v>
      </c>
      <c r="P2182" s="656" t="s">
        <v>13052</v>
      </c>
      <c r="Q2182" s="656">
        <v>44216.776863425926</v>
      </c>
    </row>
    <row r="2183" spans="1:17">
      <c r="A2183" s="656" t="s">
        <v>2482</v>
      </c>
      <c r="B2183" s="657" t="s">
        <v>202</v>
      </c>
      <c r="C2183" s="656" t="s">
        <v>2483</v>
      </c>
      <c r="D2183" s="657" t="s">
        <v>13789</v>
      </c>
      <c r="E2183" s="657" t="s">
        <v>9458</v>
      </c>
      <c r="F2183" s="656" t="s">
        <v>2484</v>
      </c>
      <c r="G2183" s="656"/>
      <c r="H2183" s="656" t="s">
        <v>2484</v>
      </c>
      <c r="I2183" s="656" t="s">
        <v>15280</v>
      </c>
      <c r="J2183" s="656" t="s">
        <v>459</v>
      </c>
      <c r="K2183" s="656"/>
      <c r="L2183" s="656"/>
      <c r="M2183" s="657"/>
      <c r="N2183" s="1482"/>
      <c r="O2183" s="656" t="s">
        <v>498</v>
      </c>
      <c r="P2183" s="656" t="s">
        <v>13052</v>
      </c>
      <c r="Q2183" s="656">
        <v>44216.776863425926</v>
      </c>
    </row>
    <row r="2184" spans="1:17">
      <c r="A2184" s="656" t="s">
        <v>2485</v>
      </c>
      <c r="B2184" s="657" t="s">
        <v>202</v>
      </c>
      <c r="C2184" s="656" t="s">
        <v>2486</v>
      </c>
      <c r="D2184" s="657" t="s">
        <v>13789</v>
      </c>
      <c r="E2184" s="657" t="s">
        <v>9458</v>
      </c>
      <c r="F2184" s="656" t="s">
        <v>4052</v>
      </c>
      <c r="G2184" s="656"/>
      <c r="H2184" s="656" t="s">
        <v>455</v>
      </c>
      <c r="I2184" s="656" t="s">
        <v>15280</v>
      </c>
      <c r="J2184" s="656" t="s">
        <v>451</v>
      </c>
      <c r="K2184" s="656"/>
      <c r="L2184" s="656"/>
      <c r="M2184" s="657"/>
      <c r="N2184" s="1482"/>
      <c r="O2184" s="656" t="s">
        <v>498</v>
      </c>
      <c r="P2184" s="656" t="s">
        <v>13052</v>
      </c>
      <c r="Q2184" s="656">
        <v>44216.776863425926</v>
      </c>
    </row>
    <row r="2185" spans="1:17">
      <c r="A2185" s="656" t="s">
        <v>8622</v>
      </c>
      <c r="B2185" s="657" t="s">
        <v>202</v>
      </c>
      <c r="C2185" s="656" t="s">
        <v>8621</v>
      </c>
      <c r="D2185" s="657" t="s">
        <v>14978</v>
      </c>
      <c r="E2185" s="657" t="s">
        <v>9406</v>
      </c>
      <c r="F2185" s="656" t="s">
        <v>537</v>
      </c>
      <c r="G2185" s="656" t="s">
        <v>552</v>
      </c>
      <c r="H2185" s="656" t="s">
        <v>537</v>
      </c>
      <c r="I2185" s="656" t="s">
        <v>14976</v>
      </c>
      <c r="J2185" s="656" t="s">
        <v>473</v>
      </c>
      <c r="K2185" s="656" t="s">
        <v>4161</v>
      </c>
      <c r="L2185" s="656" t="s">
        <v>2505</v>
      </c>
      <c r="M2185" s="657"/>
      <c r="N2185" s="1482"/>
      <c r="O2185" s="656" t="s">
        <v>498</v>
      </c>
      <c r="P2185" s="656" t="s">
        <v>13052</v>
      </c>
      <c r="Q2185" s="656">
        <v>44216.77685185185</v>
      </c>
    </row>
    <row r="2186" spans="1:17">
      <c r="A2186" s="656" t="s">
        <v>8624</v>
      </c>
      <c r="B2186" s="657" t="s">
        <v>202</v>
      </c>
      <c r="C2186" s="656" t="s">
        <v>8623</v>
      </c>
      <c r="D2186" s="657" t="s">
        <v>14978</v>
      </c>
      <c r="E2186" s="657" t="s">
        <v>9406</v>
      </c>
      <c r="F2186" s="656" t="s">
        <v>537</v>
      </c>
      <c r="G2186" s="656" t="s">
        <v>552</v>
      </c>
      <c r="H2186" s="656" t="s">
        <v>537</v>
      </c>
      <c r="I2186" s="656" t="s">
        <v>14976</v>
      </c>
      <c r="J2186" s="656" t="s">
        <v>473</v>
      </c>
      <c r="K2186" s="656" t="s">
        <v>4161</v>
      </c>
      <c r="L2186" s="656" t="s">
        <v>2505</v>
      </c>
      <c r="M2186" s="657"/>
      <c r="N2186" s="1482"/>
      <c r="O2186" s="656" t="s">
        <v>498</v>
      </c>
      <c r="P2186" s="656" t="s">
        <v>13052</v>
      </c>
      <c r="Q2186" s="656">
        <v>44216.77684027778</v>
      </c>
    </row>
    <row r="2187" spans="1:17">
      <c r="A2187" s="656" t="s">
        <v>8626</v>
      </c>
      <c r="B2187" s="657" t="s">
        <v>202</v>
      </c>
      <c r="C2187" s="656" t="s">
        <v>8625</v>
      </c>
      <c r="D2187" s="657" t="s">
        <v>14978</v>
      </c>
      <c r="E2187" s="657" t="s">
        <v>9406</v>
      </c>
      <c r="F2187" s="656" t="s">
        <v>537</v>
      </c>
      <c r="G2187" s="656" t="s">
        <v>552</v>
      </c>
      <c r="H2187" s="656" t="s">
        <v>537</v>
      </c>
      <c r="I2187" s="656" t="s">
        <v>14976</v>
      </c>
      <c r="J2187" s="656" t="s">
        <v>473</v>
      </c>
      <c r="K2187" s="656" t="s">
        <v>4161</v>
      </c>
      <c r="L2187" s="656" t="s">
        <v>2505</v>
      </c>
      <c r="M2187" s="657"/>
      <c r="N2187" s="1482"/>
      <c r="O2187" s="656" t="s">
        <v>498</v>
      </c>
      <c r="P2187" s="656" t="s">
        <v>13052</v>
      </c>
      <c r="Q2187" s="656">
        <v>44216.77684027778</v>
      </c>
    </row>
    <row r="2188" spans="1:17">
      <c r="A2188" s="656" t="s">
        <v>8628</v>
      </c>
      <c r="B2188" s="657" t="s">
        <v>202</v>
      </c>
      <c r="C2188" s="656" t="s">
        <v>8627</v>
      </c>
      <c r="D2188" s="657" t="s">
        <v>14978</v>
      </c>
      <c r="E2188" s="657" t="s">
        <v>9406</v>
      </c>
      <c r="F2188" s="656" t="s">
        <v>537</v>
      </c>
      <c r="G2188" s="656" t="s">
        <v>552</v>
      </c>
      <c r="H2188" s="656" t="s">
        <v>537</v>
      </c>
      <c r="I2188" s="656" t="s">
        <v>14976</v>
      </c>
      <c r="J2188" s="656" t="s">
        <v>473</v>
      </c>
      <c r="K2188" s="656" t="s">
        <v>4161</v>
      </c>
      <c r="L2188" s="656" t="s">
        <v>2505</v>
      </c>
      <c r="M2188" s="657"/>
      <c r="N2188" s="1482"/>
      <c r="O2188" s="656" t="s">
        <v>498</v>
      </c>
      <c r="P2188" s="656" t="s">
        <v>13052</v>
      </c>
      <c r="Q2188" s="656">
        <v>44216.77684027778</v>
      </c>
    </row>
    <row r="2189" spans="1:17">
      <c r="A2189" s="656" t="s">
        <v>2487</v>
      </c>
      <c r="B2189" s="657" t="s">
        <v>202</v>
      </c>
      <c r="C2189" s="656" t="s">
        <v>2488</v>
      </c>
      <c r="D2189" s="657" t="s">
        <v>14978</v>
      </c>
      <c r="E2189" s="657" t="s">
        <v>9406</v>
      </c>
      <c r="F2189" s="656" t="s">
        <v>537</v>
      </c>
      <c r="G2189" s="656" t="s">
        <v>553</v>
      </c>
      <c r="H2189" s="656" t="s">
        <v>537</v>
      </c>
      <c r="I2189" s="656" t="s">
        <v>14976</v>
      </c>
      <c r="J2189" s="656"/>
      <c r="K2189" s="656"/>
      <c r="L2189" s="656" t="s">
        <v>2505</v>
      </c>
      <c r="M2189" s="657"/>
      <c r="N2189" s="1482"/>
      <c r="O2189" s="656" t="s">
        <v>498</v>
      </c>
      <c r="P2189" s="656" t="s">
        <v>13052</v>
      </c>
      <c r="Q2189" s="656">
        <v>44216.776828703703</v>
      </c>
    </row>
    <row r="2190" spans="1:17">
      <c r="A2190" s="656" t="s">
        <v>2489</v>
      </c>
      <c r="B2190" s="657" t="s">
        <v>202</v>
      </c>
      <c r="C2190" s="656" t="s">
        <v>2490</v>
      </c>
      <c r="D2190" s="657" t="s">
        <v>14978</v>
      </c>
      <c r="E2190" s="657" t="s">
        <v>9406</v>
      </c>
      <c r="F2190" s="656" t="s">
        <v>537</v>
      </c>
      <c r="G2190" s="656" t="s">
        <v>552</v>
      </c>
      <c r="H2190" s="656" t="s">
        <v>450</v>
      </c>
      <c r="I2190" s="656" t="s">
        <v>15280</v>
      </c>
      <c r="J2190" s="656" t="s">
        <v>473</v>
      </c>
      <c r="K2190" s="656" t="s">
        <v>4161</v>
      </c>
      <c r="L2190" s="656" t="s">
        <v>2505</v>
      </c>
      <c r="M2190" s="657"/>
      <c r="N2190" s="1482"/>
      <c r="O2190" s="656" t="s">
        <v>498</v>
      </c>
      <c r="P2190" s="656" t="s">
        <v>13052</v>
      </c>
      <c r="Q2190" s="656">
        <v>44216.776828703703</v>
      </c>
    </row>
    <row r="2191" spans="1:17">
      <c r="A2191" s="656" t="s">
        <v>2491</v>
      </c>
      <c r="B2191" s="657" t="s">
        <v>202</v>
      </c>
      <c r="C2191" s="656" t="s">
        <v>2492</v>
      </c>
      <c r="D2191" s="657" t="s">
        <v>14978</v>
      </c>
      <c r="E2191" s="657" t="s">
        <v>9406</v>
      </c>
      <c r="F2191" s="656" t="s">
        <v>537</v>
      </c>
      <c r="G2191" s="656" t="s">
        <v>552</v>
      </c>
      <c r="H2191" s="656" t="s">
        <v>450</v>
      </c>
      <c r="I2191" s="656" t="s">
        <v>14976</v>
      </c>
      <c r="J2191" s="656" t="s">
        <v>473</v>
      </c>
      <c r="K2191" s="656" t="s">
        <v>4161</v>
      </c>
      <c r="L2191" s="656" t="s">
        <v>2505</v>
      </c>
      <c r="M2191" s="657"/>
      <c r="N2191" s="1482"/>
      <c r="O2191" s="656" t="s">
        <v>498</v>
      </c>
      <c r="P2191" s="656" t="s">
        <v>13052</v>
      </c>
      <c r="Q2191" s="656">
        <v>44216.776817129627</v>
      </c>
    </row>
    <row r="2192" spans="1:17">
      <c r="A2192" s="656" t="s">
        <v>2493</v>
      </c>
      <c r="B2192" s="657" t="s">
        <v>202</v>
      </c>
      <c r="C2192" s="656" t="s">
        <v>2494</v>
      </c>
      <c r="D2192" s="657" t="s">
        <v>14978</v>
      </c>
      <c r="E2192" s="657" t="s">
        <v>9406</v>
      </c>
      <c r="F2192" s="656" t="s">
        <v>537</v>
      </c>
      <c r="G2192" s="656" t="s">
        <v>552</v>
      </c>
      <c r="H2192" s="656" t="s">
        <v>450</v>
      </c>
      <c r="I2192" s="656" t="s">
        <v>14976</v>
      </c>
      <c r="J2192" s="656" t="s">
        <v>473</v>
      </c>
      <c r="K2192" s="656" t="s">
        <v>4161</v>
      </c>
      <c r="L2192" s="656" t="s">
        <v>2505</v>
      </c>
      <c r="M2192" s="657"/>
      <c r="N2192" s="1482"/>
      <c r="O2192" s="656" t="s">
        <v>498</v>
      </c>
      <c r="P2192" s="656" t="s">
        <v>13052</v>
      </c>
      <c r="Q2192" s="656">
        <v>44216.776817129627</v>
      </c>
    </row>
    <row r="2193" spans="1:17">
      <c r="A2193" s="656" t="s">
        <v>2495</v>
      </c>
      <c r="B2193" s="657" t="s">
        <v>202</v>
      </c>
      <c r="C2193" s="656" t="s">
        <v>2496</v>
      </c>
      <c r="D2193" s="657" t="s">
        <v>14978</v>
      </c>
      <c r="E2193" s="657" t="s">
        <v>9510</v>
      </c>
      <c r="F2193" s="656" t="s">
        <v>537</v>
      </c>
      <c r="G2193" s="656" t="s">
        <v>500</v>
      </c>
      <c r="H2193" s="656" t="s">
        <v>450</v>
      </c>
      <c r="I2193" s="656" t="s">
        <v>15280</v>
      </c>
      <c r="J2193" s="656" t="s">
        <v>473</v>
      </c>
      <c r="K2193" s="656"/>
      <c r="L2193" s="656" t="s">
        <v>2505</v>
      </c>
      <c r="M2193" s="657"/>
      <c r="N2193" s="1482"/>
      <c r="O2193" s="656" t="s">
        <v>498</v>
      </c>
      <c r="P2193" s="656" t="s">
        <v>13052</v>
      </c>
      <c r="Q2193" s="656">
        <v>44216.776805555557</v>
      </c>
    </row>
    <row r="2194" spans="1:17">
      <c r="A2194" s="656" t="s">
        <v>2497</v>
      </c>
      <c r="B2194" s="657" t="s">
        <v>202</v>
      </c>
      <c r="C2194" s="656" t="s">
        <v>2498</v>
      </c>
      <c r="D2194" s="657" t="s">
        <v>14978</v>
      </c>
      <c r="E2194" s="657" t="s">
        <v>9510</v>
      </c>
      <c r="F2194" s="656" t="s">
        <v>537</v>
      </c>
      <c r="G2194" s="656" t="s">
        <v>552</v>
      </c>
      <c r="H2194" s="656" t="s">
        <v>450</v>
      </c>
      <c r="I2194" s="656" t="s">
        <v>14976</v>
      </c>
      <c r="J2194" s="656" t="s">
        <v>473</v>
      </c>
      <c r="K2194" s="656" t="s">
        <v>4161</v>
      </c>
      <c r="L2194" s="656" t="s">
        <v>2505</v>
      </c>
      <c r="M2194" s="657"/>
      <c r="N2194" s="1482"/>
      <c r="O2194" s="656" t="s">
        <v>498</v>
      </c>
      <c r="P2194" s="656" t="s">
        <v>13052</v>
      </c>
      <c r="Q2194" s="656">
        <v>44216.776805555557</v>
      </c>
    </row>
    <row r="2195" spans="1:17">
      <c r="A2195" s="656" t="s">
        <v>2499</v>
      </c>
      <c r="B2195" s="657" t="s">
        <v>202</v>
      </c>
      <c r="C2195" s="656" t="s">
        <v>2500</v>
      </c>
      <c r="D2195" s="657" t="s">
        <v>14978</v>
      </c>
      <c r="E2195" s="657" t="s">
        <v>9458</v>
      </c>
      <c r="F2195" s="656" t="s">
        <v>537</v>
      </c>
      <c r="G2195" s="656" t="s">
        <v>500</v>
      </c>
      <c r="H2195" s="656" t="s">
        <v>450</v>
      </c>
      <c r="I2195" s="656" t="s">
        <v>14976</v>
      </c>
      <c r="J2195" s="656" t="s">
        <v>473</v>
      </c>
      <c r="K2195" s="656"/>
      <c r="L2195" s="656" t="s">
        <v>2505</v>
      </c>
      <c r="M2195" s="657"/>
      <c r="N2195" s="1482"/>
      <c r="O2195" s="656" t="s">
        <v>498</v>
      </c>
      <c r="P2195" s="656" t="s">
        <v>13052</v>
      </c>
      <c r="Q2195" s="656">
        <v>44216.776805555557</v>
      </c>
    </row>
    <row r="2196" spans="1:17">
      <c r="A2196" s="656" t="s">
        <v>2501</v>
      </c>
      <c r="B2196" s="657" t="s">
        <v>202</v>
      </c>
      <c r="C2196" s="656" t="s">
        <v>2502</v>
      </c>
      <c r="D2196" s="657" t="s">
        <v>14978</v>
      </c>
      <c r="E2196" s="657" t="s">
        <v>9458</v>
      </c>
      <c r="F2196" s="656" t="s">
        <v>537</v>
      </c>
      <c r="G2196" s="656" t="s">
        <v>552</v>
      </c>
      <c r="H2196" s="656" t="s">
        <v>450</v>
      </c>
      <c r="I2196" s="656" t="s">
        <v>14976</v>
      </c>
      <c r="J2196" s="656" t="s">
        <v>473</v>
      </c>
      <c r="K2196" s="656"/>
      <c r="L2196" s="656" t="s">
        <v>2505</v>
      </c>
      <c r="M2196" s="657"/>
      <c r="N2196" s="1482"/>
      <c r="O2196" s="656" t="s">
        <v>498</v>
      </c>
      <c r="P2196" s="656" t="s">
        <v>13052</v>
      </c>
      <c r="Q2196" s="656">
        <v>44216.77679398148</v>
      </c>
    </row>
    <row r="2197" spans="1:17">
      <c r="A2197" s="656" t="s">
        <v>2503</v>
      </c>
      <c r="B2197" s="657" t="s">
        <v>202</v>
      </c>
      <c r="C2197" s="656" t="s">
        <v>2504</v>
      </c>
      <c r="D2197" s="657" t="s">
        <v>14978</v>
      </c>
      <c r="E2197" s="657" t="s">
        <v>9458</v>
      </c>
      <c r="F2197" s="656" t="s">
        <v>537</v>
      </c>
      <c r="G2197" s="656" t="s">
        <v>552</v>
      </c>
      <c r="H2197" s="656" t="s">
        <v>450</v>
      </c>
      <c r="I2197" s="656" t="s">
        <v>14976</v>
      </c>
      <c r="J2197" s="656" t="s">
        <v>473</v>
      </c>
      <c r="K2197" s="656"/>
      <c r="L2197" s="656" t="s">
        <v>2505</v>
      </c>
      <c r="M2197" s="657"/>
      <c r="N2197" s="1482"/>
      <c r="O2197" s="656" t="s">
        <v>498</v>
      </c>
      <c r="P2197" s="656" t="s">
        <v>13052</v>
      </c>
      <c r="Q2197" s="656">
        <v>44216.77679398148</v>
      </c>
    </row>
    <row r="2198" spans="1:17">
      <c r="A2198" s="656" t="s">
        <v>2505</v>
      </c>
      <c r="B2198" s="657" t="s">
        <v>202</v>
      </c>
      <c r="C2198" s="656" t="s">
        <v>2506</v>
      </c>
      <c r="D2198" s="657" t="s">
        <v>14977</v>
      </c>
      <c r="E2198" s="657" t="s">
        <v>9458</v>
      </c>
      <c r="F2198" s="656" t="s">
        <v>537</v>
      </c>
      <c r="G2198" s="656" t="s">
        <v>552</v>
      </c>
      <c r="H2198" s="656" t="s">
        <v>450</v>
      </c>
      <c r="I2198" s="656" t="s">
        <v>14976</v>
      </c>
      <c r="J2198" s="656" t="s">
        <v>473</v>
      </c>
      <c r="K2198" s="656"/>
      <c r="L2198" s="656" t="s">
        <v>2505</v>
      </c>
      <c r="M2198" s="657"/>
      <c r="N2198" s="1482"/>
      <c r="O2198" s="656" t="s">
        <v>498</v>
      </c>
      <c r="P2198" s="656" t="s">
        <v>13052</v>
      </c>
      <c r="Q2198" s="656">
        <v>44216.776782407411</v>
      </c>
    </row>
    <row r="2199" spans="1:17">
      <c r="A2199" s="656" t="s">
        <v>2507</v>
      </c>
      <c r="B2199" s="657" t="s">
        <v>202</v>
      </c>
      <c r="C2199" s="656" t="s">
        <v>2508</v>
      </c>
      <c r="D2199" s="657" t="s">
        <v>14978</v>
      </c>
      <c r="E2199" s="657" t="s">
        <v>9458</v>
      </c>
      <c r="F2199" s="656" t="s">
        <v>472</v>
      </c>
      <c r="G2199" s="656"/>
      <c r="H2199" s="656" t="s">
        <v>472</v>
      </c>
      <c r="I2199" s="656" t="s">
        <v>14976</v>
      </c>
      <c r="J2199" s="656" t="s">
        <v>12368</v>
      </c>
      <c r="K2199" s="656"/>
      <c r="L2199" s="656" t="s">
        <v>3015</v>
      </c>
      <c r="M2199" s="657"/>
      <c r="N2199" s="1482"/>
      <c r="O2199" s="656" t="s">
        <v>498</v>
      </c>
      <c r="P2199" s="656" t="s">
        <v>13052</v>
      </c>
      <c r="Q2199" s="656">
        <v>44216.776782407411</v>
      </c>
    </row>
    <row r="2200" spans="1:17">
      <c r="A2200" s="656" t="s">
        <v>2509</v>
      </c>
      <c r="B2200" s="657" t="s">
        <v>202</v>
      </c>
      <c r="C2200" s="656" t="s">
        <v>2510</v>
      </c>
      <c r="D2200" s="657" t="s">
        <v>13789</v>
      </c>
      <c r="E2200" s="657" t="s">
        <v>9458</v>
      </c>
      <c r="F2200" s="656" t="s">
        <v>1667</v>
      </c>
      <c r="G2200" s="656" t="s">
        <v>2511</v>
      </c>
      <c r="H2200" s="656" t="s">
        <v>1667</v>
      </c>
      <c r="I2200" s="656" t="s">
        <v>14976</v>
      </c>
      <c r="J2200" s="656"/>
      <c r="K2200" s="656"/>
      <c r="L2200" s="656"/>
      <c r="M2200" s="657"/>
      <c r="N2200" s="1482"/>
      <c r="O2200" s="656" t="s">
        <v>498</v>
      </c>
      <c r="P2200" s="656" t="s">
        <v>13052</v>
      </c>
      <c r="Q2200" s="656">
        <v>44216.776770833334</v>
      </c>
    </row>
    <row r="2201" spans="1:17">
      <c r="A2201" s="656" t="s">
        <v>2512</v>
      </c>
      <c r="B2201" s="657" t="s">
        <v>202</v>
      </c>
      <c r="C2201" s="656" t="s">
        <v>2513</v>
      </c>
      <c r="D2201" s="657" t="s">
        <v>13789</v>
      </c>
      <c r="E2201" s="657" t="s">
        <v>9510</v>
      </c>
      <c r="F2201" s="656" t="s">
        <v>1667</v>
      </c>
      <c r="G2201" s="656" t="s">
        <v>1668</v>
      </c>
      <c r="H2201" s="656" t="s">
        <v>1667</v>
      </c>
      <c r="I2201" s="656" t="s">
        <v>14976</v>
      </c>
      <c r="J2201" s="656"/>
      <c r="K2201" s="656"/>
      <c r="L2201" s="656"/>
      <c r="M2201" s="657"/>
      <c r="N2201" s="1482"/>
      <c r="O2201" s="656" t="s">
        <v>498</v>
      </c>
      <c r="P2201" s="656" t="s">
        <v>13052</v>
      </c>
      <c r="Q2201" s="656">
        <v>44216.776770833334</v>
      </c>
    </row>
    <row r="2202" spans="1:17">
      <c r="A2202" s="656" t="s">
        <v>2514</v>
      </c>
      <c r="B2202" s="657" t="s">
        <v>202</v>
      </c>
      <c r="C2202" s="656" t="s">
        <v>2515</v>
      </c>
      <c r="D2202" s="657" t="s">
        <v>13789</v>
      </c>
      <c r="E2202" s="657" t="s">
        <v>9458</v>
      </c>
      <c r="F2202" s="656" t="s">
        <v>462</v>
      </c>
      <c r="G2202" s="656"/>
      <c r="H2202" s="656" t="s">
        <v>462</v>
      </c>
      <c r="I2202" s="656" t="s">
        <v>15280</v>
      </c>
      <c r="J2202" s="656" t="s">
        <v>463</v>
      </c>
      <c r="K2202" s="656"/>
      <c r="L2202" s="656"/>
      <c r="M2202" s="657"/>
      <c r="N2202" s="1482"/>
      <c r="O2202" s="656" t="s">
        <v>498</v>
      </c>
      <c r="P2202" s="656" t="s">
        <v>13052</v>
      </c>
      <c r="Q2202" s="656">
        <v>44216.776759259257</v>
      </c>
    </row>
    <row r="2203" spans="1:17">
      <c r="A2203" s="656" t="s">
        <v>2516</v>
      </c>
      <c r="B2203" s="657" t="s">
        <v>202</v>
      </c>
      <c r="C2203" s="656" t="s">
        <v>2517</v>
      </c>
      <c r="D2203" s="657" t="s">
        <v>13789</v>
      </c>
      <c r="E2203" s="657" t="s">
        <v>9458</v>
      </c>
      <c r="F2203" s="656" t="s">
        <v>472</v>
      </c>
      <c r="G2203" s="656" t="s">
        <v>1395</v>
      </c>
      <c r="H2203" s="656" t="s">
        <v>472</v>
      </c>
      <c r="I2203" s="656" t="s">
        <v>14976</v>
      </c>
      <c r="J2203" s="656" t="s">
        <v>12368</v>
      </c>
      <c r="K2203" s="656"/>
      <c r="L2203" s="656"/>
      <c r="M2203" s="657"/>
      <c r="N2203" s="1482"/>
      <c r="O2203" s="656" t="s">
        <v>498</v>
      </c>
      <c r="P2203" s="656" t="s">
        <v>13052</v>
      </c>
      <c r="Q2203" s="656">
        <v>44216.776724537034</v>
      </c>
    </row>
    <row r="2204" spans="1:17">
      <c r="A2204" s="656" t="s">
        <v>2518</v>
      </c>
      <c r="B2204" s="657" t="s">
        <v>202</v>
      </c>
      <c r="C2204" s="656" t="s">
        <v>2519</v>
      </c>
      <c r="D2204" s="657" t="s">
        <v>14977</v>
      </c>
      <c r="E2204" s="657" t="s">
        <v>9458</v>
      </c>
      <c r="F2204" s="656" t="s">
        <v>500</v>
      </c>
      <c r="G2204" s="656" t="s">
        <v>500</v>
      </c>
      <c r="H2204" s="656" t="s">
        <v>500</v>
      </c>
      <c r="I2204" s="656" t="s">
        <v>14976</v>
      </c>
      <c r="J2204" s="656"/>
      <c r="K2204" s="656"/>
      <c r="L2204" s="656" t="s">
        <v>2518</v>
      </c>
      <c r="M2204" s="657"/>
      <c r="N2204" s="1482"/>
      <c r="O2204" s="656" t="s">
        <v>498</v>
      </c>
      <c r="P2204" s="656" t="s">
        <v>13052</v>
      </c>
      <c r="Q2204" s="656">
        <v>44216.776724537034</v>
      </c>
    </row>
    <row r="2205" spans="1:17">
      <c r="A2205" s="656" t="s">
        <v>2520</v>
      </c>
      <c r="B2205" s="657" t="s">
        <v>504</v>
      </c>
      <c r="C2205" s="656" t="s">
        <v>2521</v>
      </c>
      <c r="D2205" s="657" t="s">
        <v>13789</v>
      </c>
      <c r="E2205" s="657" t="s">
        <v>7439</v>
      </c>
      <c r="F2205" s="656" t="s">
        <v>505</v>
      </c>
      <c r="G2205" s="656" t="s">
        <v>522</v>
      </c>
      <c r="H2205" s="656" t="s">
        <v>505</v>
      </c>
      <c r="I2205" s="656" t="s">
        <v>14976</v>
      </c>
      <c r="J2205" s="656"/>
      <c r="K2205" s="656"/>
      <c r="L2205" s="656"/>
      <c r="M2205" s="657"/>
      <c r="N2205" s="1482"/>
      <c r="O2205" s="656" t="s">
        <v>498</v>
      </c>
      <c r="P2205" s="656" t="s">
        <v>13052</v>
      </c>
      <c r="Q2205" s="656">
        <v>44216.776712962965</v>
      </c>
    </row>
    <row r="2206" spans="1:17">
      <c r="A2206" s="656" t="s">
        <v>2522</v>
      </c>
      <c r="B2206" s="657" t="s">
        <v>202</v>
      </c>
      <c r="C2206" s="656" t="s">
        <v>2523</v>
      </c>
      <c r="D2206" s="657" t="s">
        <v>13789</v>
      </c>
      <c r="E2206" s="657" t="s">
        <v>9458</v>
      </c>
      <c r="F2206" s="656" t="s">
        <v>4052</v>
      </c>
      <c r="G2206" s="656"/>
      <c r="H2206" s="656" t="s">
        <v>455</v>
      </c>
      <c r="I2206" s="656" t="s">
        <v>14976</v>
      </c>
      <c r="J2206" s="656" t="s">
        <v>451</v>
      </c>
      <c r="K2206" s="656"/>
      <c r="L2206" s="656"/>
      <c r="M2206" s="657"/>
      <c r="N2206" s="1482"/>
      <c r="O2206" s="656" t="s">
        <v>498</v>
      </c>
      <c r="P2206" s="656" t="s">
        <v>13052</v>
      </c>
      <c r="Q2206" s="656">
        <v>44216.776712962965</v>
      </c>
    </row>
    <row r="2207" spans="1:17">
      <c r="A2207" s="656" t="s">
        <v>2524</v>
      </c>
      <c r="B2207" s="657" t="s">
        <v>202</v>
      </c>
      <c r="C2207" s="656" t="s">
        <v>2525</v>
      </c>
      <c r="D2207" s="657" t="s">
        <v>13789</v>
      </c>
      <c r="E2207" s="657" t="s">
        <v>9458</v>
      </c>
      <c r="F2207" s="656" t="s">
        <v>4052</v>
      </c>
      <c r="G2207" s="656"/>
      <c r="H2207" s="656" t="s">
        <v>455</v>
      </c>
      <c r="I2207" s="656" t="s">
        <v>14976</v>
      </c>
      <c r="J2207" s="656" t="s">
        <v>451</v>
      </c>
      <c r="K2207" s="656"/>
      <c r="L2207" s="656"/>
      <c r="M2207" s="657"/>
      <c r="N2207" s="1482"/>
      <c r="O2207" s="656" t="s">
        <v>498</v>
      </c>
      <c r="P2207" s="656" t="s">
        <v>13052</v>
      </c>
      <c r="Q2207" s="656">
        <v>44216.776701388888</v>
      </c>
    </row>
    <row r="2208" spans="1:17">
      <c r="A2208" s="656" t="s">
        <v>2526</v>
      </c>
      <c r="B2208" s="657" t="s">
        <v>202</v>
      </c>
      <c r="C2208" s="656" t="s">
        <v>2527</v>
      </c>
      <c r="D2208" s="657" t="s">
        <v>13789</v>
      </c>
      <c r="E2208" s="657" t="s">
        <v>9458</v>
      </c>
      <c r="F2208" s="656" t="s">
        <v>462</v>
      </c>
      <c r="G2208" s="656"/>
      <c r="H2208" s="656" t="s">
        <v>462</v>
      </c>
      <c r="I2208" s="656" t="s">
        <v>14976</v>
      </c>
      <c r="J2208" s="656" t="s">
        <v>463</v>
      </c>
      <c r="K2208" s="656"/>
      <c r="L2208" s="656"/>
      <c r="M2208" s="657"/>
      <c r="N2208" s="1482"/>
      <c r="O2208" s="656" t="s">
        <v>498</v>
      </c>
      <c r="P2208" s="656" t="s">
        <v>13052</v>
      </c>
      <c r="Q2208" s="656">
        <v>44216.776701388888</v>
      </c>
    </row>
    <row r="2209" spans="1:17">
      <c r="A2209" s="656" t="s">
        <v>2528</v>
      </c>
      <c r="B2209" s="657" t="s">
        <v>202</v>
      </c>
      <c r="C2209" s="656" t="s">
        <v>13784</v>
      </c>
      <c r="D2209" s="657" t="s">
        <v>13789</v>
      </c>
      <c r="E2209" s="657" t="s">
        <v>9458</v>
      </c>
      <c r="F2209" s="656" t="s">
        <v>1050</v>
      </c>
      <c r="G2209" s="656" t="s">
        <v>1078</v>
      </c>
      <c r="H2209" s="656" t="s">
        <v>1050</v>
      </c>
      <c r="I2209" s="656" t="s">
        <v>15280</v>
      </c>
      <c r="J2209" s="656"/>
      <c r="K2209" s="656"/>
      <c r="L2209" s="656"/>
      <c r="M2209" s="657"/>
      <c r="N2209" s="1482"/>
      <c r="O2209" s="656" t="s">
        <v>498</v>
      </c>
      <c r="P2209" s="656" t="s">
        <v>13052</v>
      </c>
      <c r="Q2209" s="656">
        <v>44216.776689814818</v>
      </c>
    </row>
    <row r="2210" spans="1:17">
      <c r="A2210" s="656" t="s">
        <v>2529</v>
      </c>
      <c r="B2210" s="657" t="s">
        <v>202</v>
      </c>
      <c r="C2210" s="656" t="s">
        <v>2530</v>
      </c>
      <c r="D2210" s="657" t="s">
        <v>13789</v>
      </c>
      <c r="E2210" s="657" t="s">
        <v>9458</v>
      </c>
      <c r="F2210" s="656" t="s">
        <v>1050</v>
      </c>
      <c r="G2210" s="656" t="s">
        <v>1078</v>
      </c>
      <c r="H2210" s="656" t="s">
        <v>1050</v>
      </c>
      <c r="I2210" s="656" t="s">
        <v>15280</v>
      </c>
      <c r="J2210" s="656"/>
      <c r="K2210" s="656"/>
      <c r="L2210" s="656"/>
      <c r="M2210" s="657"/>
      <c r="N2210" s="1482"/>
      <c r="O2210" s="656" t="s">
        <v>498</v>
      </c>
      <c r="P2210" s="656" t="s">
        <v>13052</v>
      </c>
      <c r="Q2210" s="656">
        <v>44216.776678240742</v>
      </c>
    </row>
    <row r="2211" spans="1:17">
      <c r="A2211" s="656" t="s">
        <v>2531</v>
      </c>
      <c r="B2211" s="657" t="s">
        <v>504</v>
      </c>
      <c r="C2211" s="656" t="s">
        <v>13783</v>
      </c>
      <c r="D2211" s="657" t="s">
        <v>14977</v>
      </c>
      <c r="E2211" s="657" t="s">
        <v>7439</v>
      </c>
      <c r="F2211" s="656" t="s">
        <v>505</v>
      </c>
      <c r="G2211" s="656" t="s">
        <v>2532</v>
      </c>
      <c r="H2211" s="656" t="s">
        <v>505</v>
      </c>
      <c r="I2211" s="656" t="s">
        <v>14976</v>
      </c>
      <c r="J2211" s="656"/>
      <c r="K2211" s="656"/>
      <c r="L2211" s="656"/>
      <c r="M2211" s="657"/>
      <c r="N2211" s="1482"/>
      <c r="O2211" s="656" t="s">
        <v>498</v>
      </c>
      <c r="P2211" s="656" t="s">
        <v>13052</v>
      </c>
      <c r="Q2211" s="656">
        <v>44216.776678240742</v>
      </c>
    </row>
    <row r="2212" spans="1:17">
      <c r="A2212" s="656" t="s">
        <v>2533</v>
      </c>
      <c r="B2212" s="657" t="s">
        <v>504</v>
      </c>
      <c r="C2212" s="656" t="s">
        <v>2534</v>
      </c>
      <c r="D2212" s="657" t="s">
        <v>13789</v>
      </c>
      <c r="E2212" s="657" t="s">
        <v>9458</v>
      </c>
      <c r="F2212" s="656" t="s">
        <v>540</v>
      </c>
      <c r="G2212" s="656" t="s">
        <v>625</v>
      </c>
      <c r="H2212" s="656" t="s">
        <v>540</v>
      </c>
      <c r="I2212" s="656" t="s">
        <v>14976</v>
      </c>
      <c r="J2212" s="656"/>
      <c r="K2212" s="656"/>
      <c r="L2212" s="656"/>
      <c r="M2212" s="657"/>
      <c r="N2212" s="1482"/>
      <c r="O2212" s="656" t="s">
        <v>498</v>
      </c>
      <c r="P2212" s="656" t="s">
        <v>13052</v>
      </c>
      <c r="Q2212" s="656">
        <v>44216.776666666665</v>
      </c>
    </row>
    <row r="2213" spans="1:17">
      <c r="A2213" s="656" t="s">
        <v>12969</v>
      </c>
      <c r="B2213" s="657" t="s">
        <v>202</v>
      </c>
      <c r="C2213" s="656" t="s">
        <v>12968</v>
      </c>
      <c r="D2213" s="657" t="s">
        <v>13789</v>
      </c>
      <c r="E2213" s="657" t="s">
        <v>9458</v>
      </c>
      <c r="F2213" s="656" t="s">
        <v>537</v>
      </c>
      <c r="G2213" s="656"/>
      <c r="H2213" s="656" t="s">
        <v>537</v>
      </c>
      <c r="I2213" s="656" t="s">
        <v>15280</v>
      </c>
      <c r="J2213" s="656" t="s">
        <v>448</v>
      </c>
      <c r="K2213" s="656"/>
      <c r="L2213" s="656"/>
      <c r="M2213" s="657"/>
      <c r="N2213" s="1482"/>
      <c r="O2213" s="656" t="s">
        <v>498</v>
      </c>
      <c r="P2213" s="656" t="s">
        <v>13052</v>
      </c>
      <c r="Q2213" s="656">
        <v>44216.776666666665</v>
      </c>
    </row>
    <row r="2214" spans="1:17">
      <c r="A2214" s="656" t="s">
        <v>2536</v>
      </c>
      <c r="B2214" s="657" t="s">
        <v>202</v>
      </c>
      <c r="C2214" s="656" t="s">
        <v>2537</v>
      </c>
      <c r="D2214" s="657" t="s">
        <v>14977</v>
      </c>
      <c r="E2214" s="657" t="s">
        <v>9458</v>
      </c>
      <c r="F2214" s="656" t="s">
        <v>1300</v>
      </c>
      <c r="G2214" s="656" t="s">
        <v>1070</v>
      </c>
      <c r="H2214" s="656" t="s">
        <v>1300</v>
      </c>
      <c r="I2214" s="656" t="s">
        <v>14976</v>
      </c>
      <c r="J2214" s="656"/>
      <c r="K2214" s="656"/>
      <c r="L2214" s="656" t="s">
        <v>2536</v>
      </c>
      <c r="M2214" s="657"/>
      <c r="N2214" s="1482"/>
      <c r="O2214" s="656" t="s">
        <v>498</v>
      </c>
      <c r="P2214" s="656" t="s">
        <v>13052</v>
      </c>
      <c r="Q2214" s="656">
        <v>44216.776655092595</v>
      </c>
    </row>
    <row r="2215" spans="1:17">
      <c r="A2215" s="656" t="s">
        <v>2538</v>
      </c>
      <c r="B2215" s="657" t="s">
        <v>504</v>
      </c>
      <c r="C2215" s="656" t="s">
        <v>2539</v>
      </c>
      <c r="D2215" s="657" t="s">
        <v>13789</v>
      </c>
      <c r="E2215" s="657" t="s">
        <v>7439</v>
      </c>
      <c r="F2215" s="656" t="s">
        <v>505</v>
      </c>
      <c r="G2215" s="656" t="s">
        <v>2540</v>
      </c>
      <c r="H2215" s="656" t="s">
        <v>505</v>
      </c>
      <c r="I2215" s="656" t="s">
        <v>14976</v>
      </c>
      <c r="J2215" s="656"/>
      <c r="K2215" s="656"/>
      <c r="L2215" s="656"/>
      <c r="M2215" s="657"/>
      <c r="N2215" s="1482"/>
      <c r="O2215" s="656" t="s">
        <v>498</v>
      </c>
      <c r="P2215" s="656" t="s">
        <v>13052</v>
      </c>
      <c r="Q2215" s="656">
        <v>44216.776666666665</v>
      </c>
    </row>
    <row r="2216" spans="1:17">
      <c r="A2216" s="656" t="s">
        <v>2541</v>
      </c>
      <c r="B2216" s="657" t="s">
        <v>504</v>
      </c>
      <c r="C2216" s="656" t="s">
        <v>13780</v>
      </c>
      <c r="D2216" s="657" t="s">
        <v>13789</v>
      </c>
      <c r="E2216" s="657" t="s">
        <v>7439</v>
      </c>
      <c r="F2216" s="656" t="s">
        <v>540</v>
      </c>
      <c r="G2216" s="656" t="s">
        <v>541</v>
      </c>
      <c r="H2216" s="656" t="s">
        <v>540</v>
      </c>
      <c r="I2216" s="656" t="s">
        <v>14976</v>
      </c>
      <c r="J2216" s="656"/>
      <c r="K2216" s="656"/>
      <c r="L2216" s="656"/>
      <c r="M2216" s="657"/>
      <c r="N2216" s="1482"/>
      <c r="O2216" s="656" t="s">
        <v>498</v>
      </c>
      <c r="P2216" s="656" t="s">
        <v>13052</v>
      </c>
      <c r="Q2216" s="656">
        <v>44216.776655092595</v>
      </c>
    </row>
    <row r="2217" spans="1:17">
      <c r="A2217" s="656" t="s">
        <v>2542</v>
      </c>
      <c r="B2217" s="657" t="s">
        <v>531</v>
      </c>
      <c r="C2217" s="656" t="s">
        <v>2543</v>
      </c>
      <c r="D2217" s="657" t="s">
        <v>13789</v>
      </c>
      <c r="E2217" s="657" t="s">
        <v>7439</v>
      </c>
      <c r="F2217" s="656" t="s">
        <v>2849</v>
      </c>
      <c r="G2217" s="656"/>
      <c r="H2217" s="656" t="s">
        <v>1338</v>
      </c>
      <c r="I2217" s="656" t="s">
        <v>14976</v>
      </c>
      <c r="J2217" s="656" t="s">
        <v>532</v>
      </c>
      <c r="K2217" s="656"/>
      <c r="L2217" s="656"/>
      <c r="M2217" s="657"/>
      <c r="N2217" s="1482"/>
      <c r="O2217" s="656" t="s">
        <v>498</v>
      </c>
      <c r="P2217" s="656" t="s">
        <v>13052</v>
      </c>
      <c r="Q2217" s="656">
        <v>44216.776643518519</v>
      </c>
    </row>
    <row r="2218" spans="1:17">
      <c r="A2218" s="656" t="s">
        <v>2544</v>
      </c>
      <c r="B2218" s="657" t="s">
        <v>202</v>
      </c>
      <c r="C2218" s="656" t="s">
        <v>2545</v>
      </c>
      <c r="D2218" s="657"/>
      <c r="E2218" s="657" t="s">
        <v>9458</v>
      </c>
      <c r="F2218" s="656" t="s">
        <v>462</v>
      </c>
      <c r="G2218" s="656"/>
      <c r="H2218" s="656" t="s">
        <v>462</v>
      </c>
      <c r="I2218" s="656" t="s">
        <v>15280</v>
      </c>
      <c r="J2218" s="656" t="s">
        <v>463</v>
      </c>
      <c r="K2218" s="656"/>
      <c r="L2218" s="656"/>
      <c r="M2218" s="657"/>
      <c r="N2218" s="1482"/>
      <c r="O2218" s="656" t="s">
        <v>498</v>
      </c>
      <c r="P2218" s="656" t="s">
        <v>13052</v>
      </c>
      <c r="Q2218" s="656">
        <v>44216.776643518519</v>
      </c>
    </row>
    <row r="2219" spans="1:17">
      <c r="A2219" s="656" t="s">
        <v>2546</v>
      </c>
      <c r="B2219" s="657" t="s">
        <v>202</v>
      </c>
      <c r="C2219" s="656" t="s">
        <v>2547</v>
      </c>
      <c r="D2219" s="657" t="s">
        <v>13789</v>
      </c>
      <c r="E2219" s="657" t="s">
        <v>7439</v>
      </c>
      <c r="F2219" s="656" t="s">
        <v>500</v>
      </c>
      <c r="G2219" s="656" t="s">
        <v>500</v>
      </c>
      <c r="H2219" s="656" t="s">
        <v>500</v>
      </c>
      <c r="I2219" s="656" t="s">
        <v>15280</v>
      </c>
      <c r="J2219" s="656"/>
      <c r="K2219" s="656"/>
      <c r="L2219" s="656"/>
      <c r="M2219" s="657"/>
      <c r="N2219" s="1482"/>
      <c r="O2219" s="656" t="s">
        <v>498</v>
      </c>
      <c r="P2219" s="656" t="s">
        <v>13052</v>
      </c>
      <c r="Q2219" s="656">
        <v>44216.776631944442</v>
      </c>
    </row>
    <row r="2220" spans="1:17">
      <c r="A2220" s="656" t="s">
        <v>2548</v>
      </c>
      <c r="B2220" s="657" t="s">
        <v>202</v>
      </c>
      <c r="C2220" s="656" t="s">
        <v>2549</v>
      </c>
      <c r="D2220" s="657" t="s">
        <v>13789</v>
      </c>
      <c r="E2220" s="657" t="s">
        <v>9510</v>
      </c>
      <c r="F2220" s="656" t="s">
        <v>472</v>
      </c>
      <c r="G2220" s="656" t="s">
        <v>1073</v>
      </c>
      <c r="H2220" s="656" t="s">
        <v>472</v>
      </c>
      <c r="I2220" s="656" t="s">
        <v>14976</v>
      </c>
      <c r="J2220" s="656" t="s">
        <v>12368</v>
      </c>
      <c r="K2220" s="656"/>
      <c r="L2220" s="656"/>
      <c r="M2220" s="657"/>
      <c r="N2220" s="1482"/>
      <c r="O2220" s="656" t="s">
        <v>498</v>
      </c>
      <c r="P2220" s="656" t="s">
        <v>13052</v>
      </c>
      <c r="Q2220" s="656">
        <v>44216.776631944442</v>
      </c>
    </row>
    <row r="2221" spans="1:17">
      <c r="A2221" s="656" t="s">
        <v>2550</v>
      </c>
      <c r="B2221" s="657" t="s">
        <v>202</v>
      </c>
      <c r="C2221" s="656" t="s">
        <v>2256</v>
      </c>
      <c r="D2221" s="657" t="s">
        <v>13789</v>
      </c>
      <c r="E2221" s="657" t="s">
        <v>9458</v>
      </c>
      <c r="F2221" s="656" t="s">
        <v>472</v>
      </c>
      <c r="G2221" s="656" t="s">
        <v>519</v>
      </c>
      <c r="H2221" s="656" t="s">
        <v>472</v>
      </c>
      <c r="I2221" s="656" t="s">
        <v>14976</v>
      </c>
      <c r="J2221" s="656" t="s">
        <v>12368</v>
      </c>
      <c r="K2221" s="656" t="s">
        <v>1058</v>
      </c>
      <c r="L2221" s="656"/>
      <c r="M2221" s="657"/>
      <c r="N2221" s="1482"/>
      <c r="O2221" s="656" t="s">
        <v>498</v>
      </c>
      <c r="P2221" s="656" t="s">
        <v>13052</v>
      </c>
      <c r="Q2221" s="656">
        <v>44216.776620370372</v>
      </c>
    </row>
    <row r="2222" spans="1:17">
      <c r="A2222" s="656" t="s">
        <v>2551</v>
      </c>
      <c r="B2222" s="657" t="s">
        <v>202</v>
      </c>
      <c r="C2222" s="656" t="s">
        <v>2262</v>
      </c>
      <c r="D2222" s="657" t="s">
        <v>13789</v>
      </c>
      <c r="E2222" s="657" t="s">
        <v>9458</v>
      </c>
      <c r="F2222" s="656" t="s">
        <v>472</v>
      </c>
      <c r="G2222" s="656" t="s">
        <v>1395</v>
      </c>
      <c r="H2222" s="656" t="s">
        <v>472</v>
      </c>
      <c r="I2222" s="656" t="s">
        <v>14976</v>
      </c>
      <c r="J2222" s="656" t="s">
        <v>12368</v>
      </c>
      <c r="K2222" s="656"/>
      <c r="L2222" s="656"/>
      <c r="M2222" s="657"/>
      <c r="N2222" s="1482"/>
      <c r="O2222" s="656" t="s">
        <v>498</v>
      </c>
      <c r="P2222" s="656" t="s">
        <v>13052</v>
      </c>
      <c r="Q2222" s="656">
        <v>44216.776620370372</v>
      </c>
    </row>
    <row r="2223" spans="1:17">
      <c r="A2223" s="656" t="s">
        <v>2552</v>
      </c>
      <c r="B2223" s="657" t="s">
        <v>202</v>
      </c>
      <c r="C2223" s="656" t="s">
        <v>2553</v>
      </c>
      <c r="D2223" s="657" t="s">
        <v>13789</v>
      </c>
      <c r="E2223" s="657" t="s">
        <v>9510</v>
      </c>
      <c r="F2223" s="656" t="s">
        <v>472</v>
      </c>
      <c r="G2223" s="656" t="s">
        <v>1395</v>
      </c>
      <c r="H2223" s="656" t="s">
        <v>472</v>
      </c>
      <c r="I2223" s="656" t="s">
        <v>14976</v>
      </c>
      <c r="J2223" s="656" t="s">
        <v>12368</v>
      </c>
      <c r="K2223" s="656"/>
      <c r="L2223" s="656"/>
      <c r="M2223" s="657"/>
      <c r="N2223" s="1482"/>
      <c r="O2223" s="656" t="s">
        <v>498</v>
      </c>
      <c r="P2223" s="656" t="s">
        <v>13052</v>
      </c>
      <c r="Q2223" s="656">
        <v>44216.776597222219</v>
      </c>
    </row>
    <row r="2224" spans="1:17">
      <c r="A2224" s="656" t="s">
        <v>2554</v>
      </c>
      <c r="B2224" s="657" t="s">
        <v>202</v>
      </c>
      <c r="C2224" s="656" t="s">
        <v>2555</v>
      </c>
      <c r="D2224" s="657" t="s">
        <v>13789</v>
      </c>
      <c r="E2224" s="657" t="s">
        <v>7437</v>
      </c>
      <c r="F2224" s="656" t="s">
        <v>472</v>
      </c>
      <c r="G2224" s="656" t="s">
        <v>1395</v>
      </c>
      <c r="H2224" s="656" t="s">
        <v>472</v>
      </c>
      <c r="I2224" s="656" t="s">
        <v>14976</v>
      </c>
      <c r="J2224" s="656" t="s">
        <v>12368</v>
      </c>
      <c r="K2224" s="656"/>
      <c r="L2224" s="656"/>
      <c r="M2224" s="657"/>
      <c r="N2224" s="1482"/>
      <c r="O2224" s="656" t="s">
        <v>498</v>
      </c>
      <c r="P2224" s="656" t="s">
        <v>13052</v>
      </c>
      <c r="Q2224" s="656">
        <v>44216.776608796295</v>
      </c>
    </row>
    <row r="2225" spans="1:17">
      <c r="A2225" s="656" t="s">
        <v>2556</v>
      </c>
      <c r="B2225" s="657" t="s">
        <v>202</v>
      </c>
      <c r="C2225" s="656" t="s">
        <v>2557</v>
      </c>
      <c r="D2225" s="657" t="s">
        <v>13789</v>
      </c>
      <c r="E2225" s="657" t="s">
        <v>9510</v>
      </c>
      <c r="F2225" s="656" t="s">
        <v>472</v>
      </c>
      <c r="G2225" s="656" t="s">
        <v>1395</v>
      </c>
      <c r="H2225" s="656" t="s">
        <v>472</v>
      </c>
      <c r="I2225" s="656" t="s">
        <v>14976</v>
      </c>
      <c r="J2225" s="656" t="s">
        <v>12368</v>
      </c>
      <c r="K2225" s="656"/>
      <c r="L2225" s="656"/>
      <c r="M2225" s="657"/>
      <c r="N2225" s="1482"/>
      <c r="O2225" s="656" t="s">
        <v>498</v>
      </c>
      <c r="P2225" s="656" t="s">
        <v>13052</v>
      </c>
      <c r="Q2225" s="656">
        <v>44216.776585648149</v>
      </c>
    </row>
    <row r="2226" spans="1:17">
      <c r="A2226" s="656" t="s">
        <v>2558</v>
      </c>
      <c r="B2226" s="657" t="s">
        <v>202</v>
      </c>
      <c r="C2226" s="656" t="s">
        <v>2272</v>
      </c>
      <c r="D2226" s="657" t="s">
        <v>13789</v>
      </c>
      <c r="E2226" s="657" t="s">
        <v>9458</v>
      </c>
      <c r="F2226" s="656" t="s">
        <v>472</v>
      </c>
      <c r="G2226" s="656" t="s">
        <v>1395</v>
      </c>
      <c r="H2226" s="656" t="s">
        <v>472</v>
      </c>
      <c r="I2226" s="656" t="s">
        <v>14976</v>
      </c>
      <c r="J2226" s="656" t="s">
        <v>12368</v>
      </c>
      <c r="K2226" s="656"/>
      <c r="L2226" s="656"/>
      <c r="M2226" s="657"/>
      <c r="N2226" s="1482"/>
      <c r="O2226" s="656" t="s">
        <v>498</v>
      </c>
      <c r="P2226" s="656" t="s">
        <v>13052</v>
      </c>
      <c r="Q2226" s="656">
        <v>44216.776585648149</v>
      </c>
    </row>
    <row r="2227" spans="1:17">
      <c r="A2227" s="656" t="s">
        <v>2559</v>
      </c>
      <c r="B2227" s="657" t="s">
        <v>202</v>
      </c>
      <c r="C2227" s="656" t="s">
        <v>2560</v>
      </c>
      <c r="D2227" s="657" t="s">
        <v>13789</v>
      </c>
      <c r="E2227" s="657" t="s">
        <v>9406</v>
      </c>
      <c r="F2227" s="656" t="s">
        <v>472</v>
      </c>
      <c r="G2227" s="656" t="s">
        <v>1395</v>
      </c>
      <c r="H2227" s="656" t="s">
        <v>472</v>
      </c>
      <c r="I2227" s="656" t="s">
        <v>14976</v>
      </c>
      <c r="J2227" s="656" t="s">
        <v>12368</v>
      </c>
      <c r="K2227" s="656"/>
      <c r="L2227" s="656"/>
      <c r="M2227" s="657"/>
      <c r="N2227" s="1482"/>
      <c r="O2227" s="656" t="s">
        <v>498</v>
      </c>
      <c r="P2227" s="656" t="s">
        <v>13052</v>
      </c>
      <c r="Q2227" s="656">
        <v>44216.776574074072</v>
      </c>
    </row>
    <row r="2228" spans="1:17">
      <c r="A2228" s="656" t="s">
        <v>2561</v>
      </c>
      <c r="B2228" s="657" t="s">
        <v>202</v>
      </c>
      <c r="C2228" s="656" t="s">
        <v>2562</v>
      </c>
      <c r="D2228" s="657" t="s">
        <v>13789</v>
      </c>
      <c r="E2228" s="657" t="s">
        <v>9406</v>
      </c>
      <c r="F2228" s="656" t="s">
        <v>472</v>
      </c>
      <c r="G2228" s="656" t="s">
        <v>1395</v>
      </c>
      <c r="H2228" s="656" t="s">
        <v>472</v>
      </c>
      <c r="I2228" s="656" t="s">
        <v>14976</v>
      </c>
      <c r="J2228" s="656" t="s">
        <v>12368</v>
      </c>
      <c r="K2228" s="656"/>
      <c r="L2228" s="656"/>
      <c r="M2228" s="657"/>
      <c r="N2228" s="1482"/>
      <c r="O2228" s="656" t="s">
        <v>498</v>
      </c>
      <c r="P2228" s="656" t="s">
        <v>13052</v>
      </c>
      <c r="Q2228" s="656">
        <v>44216.776574074072</v>
      </c>
    </row>
    <row r="2229" spans="1:17">
      <c r="A2229" s="656" t="s">
        <v>2563</v>
      </c>
      <c r="B2229" s="657" t="s">
        <v>202</v>
      </c>
      <c r="C2229" s="656" t="s">
        <v>2564</v>
      </c>
      <c r="D2229" s="657" t="s">
        <v>13789</v>
      </c>
      <c r="E2229" s="657" t="s">
        <v>9406</v>
      </c>
      <c r="F2229" s="656" t="s">
        <v>472</v>
      </c>
      <c r="G2229" s="656" t="s">
        <v>1395</v>
      </c>
      <c r="H2229" s="656" t="s">
        <v>472</v>
      </c>
      <c r="I2229" s="656" t="s">
        <v>14976</v>
      </c>
      <c r="J2229" s="656" t="s">
        <v>12368</v>
      </c>
      <c r="K2229" s="656"/>
      <c r="L2229" s="656"/>
      <c r="M2229" s="657"/>
      <c r="N2229" s="1482"/>
      <c r="O2229" s="656" t="s">
        <v>498</v>
      </c>
      <c r="P2229" s="656" t="s">
        <v>13052</v>
      </c>
      <c r="Q2229" s="656">
        <v>44216.776574074072</v>
      </c>
    </row>
    <row r="2230" spans="1:17">
      <c r="A2230" s="656" t="s">
        <v>2565</v>
      </c>
      <c r="B2230" s="657" t="s">
        <v>202</v>
      </c>
      <c r="C2230" s="656" t="s">
        <v>2566</v>
      </c>
      <c r="D2230" s="657" t="s">
        <v>13789</v>
      </c>
      <c r="E2230" s="657" t="s">
        <v>9510</v>
      </c>
      <c r="F2230" s="656" t="s">
        <v>472</v>
      </c>
      <c r="G2230" s="656" t="s">
        <v>1395</v>
      </c>
      <c r="H2230" s="656" t="s">
        <v>472</v>
      </c>
      <c r="I2230" s="656" t="s">
        <v>14976</v>
      </c>
      <c r="J2230" s="656" t="s">
        <v>12368</v>
      </c>
      <c r="K2230" s="656"/>
      <c r="L2230" s="656"/>
      <c r="M2230" s="657"/>
      <c r="N2230" s="1482"/>
      <c r="O2230" s="656" t="s">
        <v>498</v>
      </c>
      <c r="P2230" s="656" t="s">
        <v>13052</v>
      </c>
      <c r="Q2230" s="656">
        <v>44216.776562500003</v>
      </c>
    </row>
    <row r="2231" spans="1:17">
      <c r="A2231" s="656" t="s">
        <v>2567</v>
      </c>
      <c r="B2231" s="657" t="s">
        <v>202</v>
      </c>
      <c r="C2231" s="656" t="s">
        <v>2568</v>
      </c>
      <c r="D2231" s="657" t="s">
        <v>13789</v>
      </c>
      <c r="E2231" s="657" t="s">
        <v>9510</v>
      </c>
      <c r="F2231" s="656" t="s">
        <v>472</v>
      </c>
      <c r="G2231" s="656" t="s">
        <v>1395</v>
      </c>
      <c r="H2231" s="656" t="s">
        <v>472</v>
      </c>
      <c r="I2231" s="656" t="s">
        <v>14976</v>
      </c>
      <c r="J2231" s="656" t="s">
        <v>12368</v>
      </c>
      <c r="K2231" s="656"/>
      <c r="L2231" s="656"/>
      <c r="M2231" s="657"/>
      <c r="N2231" s="1482"/>
      <c r="O2231" s="656" t="s">
        <v>498</v>
      </c>
      <c r="P2231" s="656" t="s">
        <v>13052</v>
      </c>
      <c r="Q2231" s="656">
        <v>44216.776562500003</v>
      </c>
    </row>
    <row r="2232" spans="1:17">
      <c r="A2232" s="656" t="s">
        <v>2569</v>
      </c>
      <c r="B2232" s="657" t="s">
        <v>202</v>
      </c>
      <c r="C2232" s="656" t="s">
        <v>2570</v>
      </c>
      <c r="D2232" s="657" t="s">
        <v>13789</v>
      </c>
      <c r="E2232" s="657" t="s">
        <v>9510</v>
      </c>
      <c r="F2232" s="656" t="s">
        <v>472</v>
      </c>
      <c r="G2232" s="656" t="s">
        <v>1395</v>
      </c>
      <c r="H2232" s="656" t="s">
        <v>472</v>
      </c>
      <c r="I2232" s="656" t="s">
        <v>14976</v>
      </c>
      <c r="J2232" s="656" t="s">
        <v>12368</v>
      </c>
      <c r="K2232" s="656"/>
      <c r="L2232" s="656"/>
      <c r="M2232" s="657"/>
      <c r="N2232" s="1482"/>
      <c r="O2232" s="656" t="s">
        <v>498</v>
      </c>
      <c r="P2232" s="656" t="s">
        <v>13052</v>
      </c>
      <c r="Q2232" s="656">
        <v>44216.776562500003</v>
      </c>
    </row>
    <row r="2233" spans="1:17">
      <c r="A2233" s="656" t="s">
        <v>2571</v>
      </c>
      <c r="B2233" s="657" t="s">
        <v>202</v>
      </c>
      <c r="C2233" s="656" t="s">
        <v>2572</v>
      </c>
      <c r="D2233" s="657" t="s">
        <v>13789</v>
      </c>
      <c r="E2233" s="657" t="s">
        <v>9458</v>
      </c>
      <c r="F2233" s="656" t="s">
        <v>472</v>
      </c>
      <c r="G2233" s="656"/>
      <c r="H2233" s="656" t="s">
        <v>472</v>
      </c>
      <c r="I2233" s="656" t="s">
        <v>14976</v>
      </c>
      <c r="J2233" s="656" t="s">
        <v>12374</v>
      </c>
      <c r="K2233" s="656"/>
      <c r="L2233" s="656"/>
      <c r="M2233" s="657"/>
      <c r="N2233" s="1482"/>
      <c r="O2233" s="656" t="s">
        <v>498</v>
      </c>
      <c r="P2233" s="656" t="s">
        <v>13052</v>
      </c>
      <c r="Q2233" s="656">
        <v>44216.776550925926</v>
      </c>
    </row>
    <row r="2234" spans="1:17">
      <c r="A2234" s="656" t="s">
        <v>2573</v>
      </c>
      <c r="B2234" s="657" t="s">
        <v>202</v>
      </c>
      <c r="C2234" s="656" t="s">
        <v>2574</v>
      </c>
      <c r="D2234" s="657" t="s">
        <v>13789</v>
      </c>
      <c r="E2234" s="657" t="s">
        <v>9406</v>
      </c>
      <c r="F2234" s="656" t="s">
        <v>472</v>
      </c>
      <c r="G2234" s="656" t="s">
        <v>1395</v>
      </c>
      <c r="H2234" s="656" t="s">
        <v>472</v>
      </c>
      <c r="I2234" s="656" t="s">
        <v>14976</v>
      </c>
      <c r="J2234" s="656" t="s">
        <v>12368</v>
      </c>
      <c r="K2234" s="656"/>
      <c r="L2234" s="656"/>
      <c r="M2234" s="657"/>
      <c r="N2234" s="1482"/>
      <c r="O2234" s="656" t="s">
        <v>498</v>
      </c>
      <c r="P2234" s="656" t="s">
        <v>13052</v>
      </c>
      <c r="Q2234" s="656">
        <v>44216.776550925926</v>
      </c>
    </row>
    <row r="2235" spans="1:17">
      <c r="A2235" s="656" t="s">
        <v>2575</v>
      </c>
      <c r="B2235" s="657" t="s">
        <v>202</v>
      </c>
      <c r="C2235" s="656" t="s">
        <v>2576</v>
      </c>
      <c r="D2235" s="657" t="s">
        <v>13789</v>
      </c>
      <c r="E2235" s="657" t="s">
        <v>9510</v>
      </c>
      <c r="F2235" s="656" t="s">
        <v>472</v>
      </c>
      <c r="G2235" s="656" t="s">
        <v>1395</v>
      </c>
      <c r="H2235" s="656" t="s">
        <v>472</v>
      </c>
      <c r="I2235" s="656" t="s">
        <v>14976</v>
      </c>
      <c r="J2235" s="656" t="s">
        <v>12368</v>
      </c>
      <c r="K2235" s="656"/>
      <c r="L2235" s="656"/>
      <c r="M2235" s="657"/>
      <c r="N2235" s="1482"/>
      <c r="O2235" s="656" t="s">
        <v>498</v>
      </c>
      <c r="P2235" s="656" t="s">
        <v>13052</v>
      </c>
      <c r="Q2235" s="656">
        <v>44216.776550925926</v>
      </c>
    </row>
    <row r="2236" spans="1:17">
      <c r="A2236" s="656" t="s">
        <v>2577</v>
      </c>
      <c r="B2236" s="657" t="s">
        <v>202</v>
      </c>
      <c r="C2236" s="656" t="s">
        <v>2578</v>
      </c>
      <c r="D2236" s="657" t="s">
        <v>13789</v>
      </c>
      <c r="E2236" s="657" t="s">
        <v>9406</v>
      </c>
      <c r="F2236" s="656" t="s">
        <v>472</v>
      </c>
      <c r="G2236" s="656" t="s">
        <v>1395</v>
      </c>
      <c r="H2236" s="656" t="s">
        <v>472</v>
      </c>
      <c r="I2236" s="656" t="s">
        <v>14976</v>
      </c>
      <c r="J2236" s="656" t="s">
        <v>12368</v>
      </c>
      <c r="K2236" s="656"/>
      <c r="L2236" s="656"/>
      <c r="M2236" s="657"/>
      <c r="N2236" s="1482"/>
      <c r="O2236" s="656" t="s">
        <v>498</v>
      </c>
      <c r="P2236" s="656" t="s">
        <v>13052</v>
      </c>
      <c r="Q2236" s="656">
        <v>44216.776539351849</v>
      </c>
    </row>
    <row r="2237" spans="1:17">
      <c r="A2237" s="656" t="s">
        <v>2579</v>
      </c>
      <c r="B2237" s="657" t="s">
        <v>202</v>
      </c>
      <c r="C2237" s="656" t="s">
        <v>2580</v>
      </c>
      <c r="D2237" s="657" t="s">
        <v>13789</v>
      </c>
      <c r="E2237" s="657" t="s">
        <v>9510</v>
      </c>
      <c r="F2237" s="656" t="s">
        <v>472</v>
      </c>
      <c r="G2237" s="656" t="s">
        <v>1395</v>
      </c>
      <c r="H2237" s="656" t="s">
        <v>472</v>
      </c>
      <c r="I2237" s="656" t="s">
        <v>14976</v>
      </c>
      <c r="J2237" s="656" t="s">
        <v>12368</v>
      </c>
      <c r="K2237" s="656"/>
      <c r="L2237" s="656"/>
      <c r="M2237" s="657"/>
      <c r="N2237" s="1482"/>
      <c r="O2237" s="656" t="s">
        <v>498</v>
      </c>
      <c r="P2237" s="656" t="s">
        <v>13052</v>
      </c>
      <c r="Q2237" s="656">
        <v>44216.776539351849</v>
      </c>
    </row>
    <row r="2238" spans="1:17">
      <c r="A2238" s="656" t="s">
        <v>2581</v>
      </c>
      <c r="B2238" s="657" t="s">
        <v>202</v>
      </c>
      <c r="C2238" s="656" t="s">
        <v>2285</v>
      </c>
      <c r="D2238" s="657" t="s">
        <v>13789</v>
      </c>
      <c r="E2238" s="657" t="s">
        <v>9510</v>
      </c>
      <c r="F2238" s="656" t="s">
        <v>472</v>
      </c>
      <c r="G2238" s="656" t="s">
        <v>519</v>
      </c>
      <c r="H2238" s="656" t="s">
        <v>472</v>
      </c>
      <c r="I2238" s="656" t="s">
        <v>14976</v>
      </c>
      <c r="J2238" s="656" t="s">
        <v>12368</v>
      </c>
      <c r="K2238" s="656" t="s">
        <v>1058</v>
      </c>
      <c r="L2238" s="656"/>
      <c r="M2238" s="657"/>
      <c r="N2238" s="1482"/>
      <c r="O2238" s="656" t="s">
        <v>498</v>
      </c>
      <c r="P2238" s="656" t="s">
        <v>13052</v>
      </c>
      <c r="Q2238" s="656">
        <v>44216.77652777778</v>
      </c>
    </row>
    <row r="2239" spans="1:17">
      <c r="A2239" s="656" t="s">
        <v>2582</v>
      </c>
      <c r="B2239" s="657" t="s">
        <v>202</v>
      </c>
      <c r="C2239" s="656" t="s">
        <v>2583</v>
      </c>
      <c r="D2239" s="657" t="s">
        <v>13789</v>
      </c>
      <c r="E2239" s="657" t="s">
        <v>9458</v>
      </c>
      <c r="F2239" s="656" t="s">
        <v>472</v>
      </c>
      <c r="G2239" s="656" t="s">
        <v>1395</v>
      </c>
      <c r="H2239" s="656" t="s">
        <v>472</v>
      </c>
      <c r="I2239" s="656" t="s">
        <v>14976</v>
      </c>
      <c r="J2239" s="656" t="s">
        <v>12368</v>
      </c>
      <c r="K2239" s="656"/>
      <c r="L2239" s="656"/>
      <c r="M2239" s="657"/>
      <c r="N2239" s="1482"/>
      <c r="O2239" s="656" t="s">
        <v>498</v>
      </c>
      <c r="P2239" s="656" t="s">
        <v>13052</v>
      </c>
      <c r="Q2239" s="656">
        <v>44216.776516203703</v>
      </c>
    </row>
    <row r="2240" spans="1:17">
      <c r="A2240" s="656" t="s">
        <v>2584</v>
      </c>
      <c r="B2240" s="657" t="s">
        <v>202</v>
      </c>
      <c r="C2240" s="656" t="s">
        <v>2585</v>
      </c>
      <c r="D2240" s="657" t="s">
        <v>13789</v>
      </c>
      <c r="E2240" s="657" t="s">
        <v>9510</v>
      </c>
      <c r="F2240" s="656" t="s">
        <v>472</v>
      </c>
      <c r="G2240" s="656" t="s">
        <v>1073</v>
      </c>
      <c r="H2240" s="656" t="s">
        <v>472</v>
      </c>
      <c r="I2240" s="656" t="s">
        <v>14976</v>
      </c>
      <c r="J2240" s="656" t="s">
        <v>12368</v>
      </c>
      <c r="K2240" s="656"/>
      <c r="L2240" s="656"/>
      <c r="M2240" s="657"/>
      <c r="N2240" s="1482"/>
      <c r="O2240" s="656" t="s">
        <v>498</v>
      </c>
      <c r="P2240" s="656" t="s">
        <v>13052</v>
      </c>
      <c r="Q2240" s="656">
        <v>44216.776516203703</v>
      </c>
    </row>
    <row r="2241" spans="1:17">
      <c r="A2241" s="656" t="s">
        <v>2586</v>
      </c>
      <c r="B2241" s="657" t="s">
        <v>202</v>
      </c>
      <c r="C2241" s="656" t="s">
        <v>2587</v>
      </c>
      <c r="D2241" s="657" t="s">
        <v>13789</v>
      </c>
      <c r="E2241" s="657" t="s">
        <v>9458</v>
      </c>
      <c r="F2241" s="656" t="s">
        <v>472</v>
      </c>
      <c r="G2241" s="656" t="s">
        <v>1073</v>
      </c>
      <c r="H2241" s="656" t="s">
        <v>472</v>
      </c>
      <c r="I2241" s="656" t="s">
        <v>14976</v>
      </c>
      <c r="J2241" s="656" t="s">
        <v>12368</v>
      </c>
      <c r="K2241" s="656"/>
      <c r="L2241" s="656"/>
      <c r="M2241" s="657"/>
      <c r="N2241" s="1482"/>
      <c r="O2241" s="656" t="s">
        <v>498</v>
      </c>
      <c r="P2241" s="656" t="s">
        <v>13052</v>
      </c>
      <c r="Q2241" s="656">
        <v>44216.776516203703</v>
      </c>
    </row>
    <row r="2242" spans="1:17">
      <c r="A2242" s="656" t="s">
        <v>2588</v>
      </c>
      <c r="B2242" s="657" t="s">
        <v>202</v>
      </c>
      <c r="C2242" s="656" t="s">
        <v>2589</v>
      </c>
      <c r="D2242" s="657" t="s">
        <v>13789</v>
      </c>
      <c r="E2242" s="657" t="s">
        <v>9458</v>
      </c>
      <c r="F2242" s="656" t="s">
        <v>472</v>
      </c>
      <c r="G2242" s="656" t="s">
        <v>1395</v>
      </c>
      <c r="H2242" s="656" t="s">
        <v>472</v>
      </c>
      <c r="I2242" s="656" t="s">
        <v>14976</v>
      </c>
      <c r="J2242" s="656" t="s">
        <v>12368</v>
      </c>
      <c r="K2242" s="656"/>
      <c r="L2242" s="656"/>
      <c r="M2242" s="657"/>
      <c r="N2242" s="1482"/>
      <c r="O2242" s="656" t="s">
        <v>498</v>
      </c>
      <c r="P2242" s="656" t="s">
        <v>13052</v>
      </c>
      <c r="Q2242" s="656">
        <v>44216.776504629626</v>
      </c>
    </row>
    <row r="2243" spans="1:17">
      <c r="A2243" s="656" t="s">
        <v>2590</v>
      </c>
      <c r="B2243" s="657" t="s">
        <v>202</v>
      </c>
      <c r="C2243" s="656" t="s">
        <v>2591</v>
      </c>
      <c r="D2243" s="657" t="s">
        <v>13789</v>
      </c>
      <c r="E2243" s="657" t="s">
        <v>7439</v>
      </c>
      <c r="F2243" s="656" t="s">
        <v>2849</v>
      </c>
      <c r="G2243" s="656" t="s">
        <v>512</v>
      </c>
      <c r="H2243" s="656" t="s">
        <v>469</v>
      </c>
      <c r="I2243" s="656" t="s">
        <v>14976</v>
      </c>
      <c r="J2243" s="656" t="s">
        <v>532</v>
      </c>
      <c r="K2243" s="656" t="s">
        <v>2849</v>
      </c>
      <c r="L2243" s="656"/>
      <c r="M2243" s="657"/>
      <c r="N2243" s="1482"/>
      <c r="O2243" s="656" t="s">
        <v>498</v>
      </c>
      <c r="P2243" s="656" t="s">
        <v>13052</v>
      </c>
      <c r="Q2243" s="656">
        <v>44216.776504629626</v>
      </c>
    </row>
    <row r="2244" spans="1:17">
      <c r="A2244" s="656" t="s">
        <v>9294</v>
      </c>
      <c r="B2244" s="657" t="s">
        <v>202</v>
      </c>
      <c r="C2244" s="656" t="s">
        <v>9293</v>
      </c>
      <c r="D2244" s="657" t="s">
        <v>14978</v>
      </c>
      <c r="E2244" s="657" t="s">
        <v>9406</v>
      </c>
      <c r="F2244" s="656" t="s">
        <v>4052</v>
      </c>
      <c r="G2244" s="656" t="s">
        <v>1195</v>
      </c>
      <c r="H2244" s="656" t="s">
        <v>455</v>
      </c>
      <c r="I2244" s="656" t="s">
        <v>14976</v>
      </c>
      <c r="J2244" s="656" t="s">
        <v>451</v>
      </c>
      <c r="K2244" s="656" t="s">
        <v>1058</v>
      </c>
      <c r="L2244" s="656" t="s">
        <v>2599</v>
      </c>
      <c r="M2244" s="657"/>
      <c r="N2244" s="1482"/>
      <c r="O2244" s="656" t="s">
        <v>498</v>
      </c>
      <c r="P2244" s="656" t="s">
        <v>13052</v>
      </c>
      <c r="Q2244" s="656">
        <v>44216.776493055557</v>
      </c>
    </row>
    <row r="2245" spans="1:17">
      <c r="A2245" s="656" t="s">
        <v>9296</v>
      </c>
      <c r="B2245" s="657" t="s">
        <v>202</v>
      </c>
      <c r="C2245" s="656" t="s">
        <v>9295</v>
      </c>
      <c r="D2245" s="657" t="s">
        <v>14978</v>
      </c>
      <c r="E2245" s="657" t="s">
        <v>9406</v>
      </c>
      <c r="F2245" s="656" t="s">
        <v>4052</v>
      </c>
      <c r="G2245" s="656" t="s">
        <v>1195</v>
      </c>
      <c r="H2245" s="656" t="s">
        <v>455</v>
      </c>
      <c r="I2245" s="656" t="s">
        <v>14976</v>
      </c>
      <c r="J2245" s="656" t="s">
        <v>451</v>
      </c>
      <c r="K2245" s="656" t="s">
        <v>1058</v>
      </c>
      <c r="L2245" s="656" t="s">
        <v>2599</v>
      </c>
      <c r="M2245" s="657"/>
      <c r="N2245" s="1482"/>
      <c r="O2245" s="656" t="s">
        <v>498</v>
      </c>
      <c r="P2245" s="656" t="s">
        <v>13052</v>
      </c>
      <c r="Q2245" s="656">
        <v>44216.77648148148</v>
      </c>
    </row>
    <row r="2246" spans="1:17">
      <c r="A2246" s="656" t="s">
        <v>2592</v>
      </c>
      <c r="B2246" s="657" t="s">
        <v>202</v>
      </c>
      <c r="C2246" s="656" t="s">
        <v>2593</v>
      </c>
      <c r="D2246" s="657" t="s">
        <v>14978</v>
      </c>
      <c r="E2246" s="657" t="s">
        <v>9406</v>
      </c>
      <c r="F2246" s="656" t="s">
        <v>4052</v>
      </c>
      <c r="G2246" s="656" t="s">
        <v>512</v>
      </c>
      <c r="H2246" s="656" t="s">
        <v>455</v>
      </c>
      <c r="I2246" s="656" t="s">
        <v>14976</v>
      </c>
      <c r="J2246" s="656" t="s">
        <v>451</v>
      </c>
      <c r="K2246" s="656" t="s">
        <v>4052</v>
      </c>
      <c r="L2246" s="656" t="s">
        <v>2599</v>
      </c>
      <c r="M2246" s="657"/>
      <c r="N2246" s="1482"/>
      <c r="O2246" s="656" t="s">
        <v>498</v>
      </c>
      <c r="P2246" s="656" t="s">
        <v>13052</v>
      </c>
      <c r="Q2246" s="656">
        <v>44216.77648148148</v>
      </c>
    </row>
    <row r="2247" spans="1:17">
      <c r="A2247" s="656" t="s">
        <v>9298</v>
      </c>
      <c r="B2247" s="657" t="s">
        <v>202</v>
      </c>
      <c r="C2247" s="656" t="s">
        <v>9297</v>
      </c>
      <c r="D2247" s="657" t="s">
        <v>14978</v>
      </c>
      <c r="E2247" s="657" t="s">
        <v>7437</v>
      </c>
      <c r="F2247" s="656" t="s">
        <v>4052</v>
      </c>
      <c r="G2247" s="656" t="s">
        <v>512</v>
      </c>
      <c r="H2247" s="656" t="s">
        <v>455</v>
      </c>
      <c r="I2247" s="656" t="s">
        <v>14976</v>
      </c>
      <c r="J2247" s="656" t="s">
        <v>451</v>
      </c>
      <c r="K2247" s="656" t="s">
        <v>4052</v>
      </c>
      <c r="L2247" s="656" t="s">
        <v>2567</v>
      </c>
      <c r="M2247" s="657"/>
      <c r="N2247" s="1482"/>
      <c r="O2247" s="656" t="s">
        <v>498</v>
      </c>
      <c r="P2247" s="656" t="s">
        <v>13052</v>
      </c>
      <c r="Q2247" s="656">
        <v>44216.776469907411</v>
      </c>
    </row>
    <row r="2248" spans="1:17">
      <c r="A2248" s="656" t="s">
        <v>9300</v>
      </c>
      <c r="B2248" s="657" t="s">
        <v>202</v>
      </c>
      <c r="C2248" s="656" t="s">
        <v>9299</v>
      </c>
      <c r="D2248" s="657" t="s">
        <v>14978</v>
      </c>
      <c r="E2248" s="657" t="s">
        <v>7437</v>
      </c>
      <c r="F2248" s="656" t="s">
        <v>4052</v>
      </c>
      <c r="G2248" s="656" t="s">
        <v>512</v>
      </c>
      <c r="H2248" s="656" t="s">
        <v>455</v>
      </c>
      <c r="I2248" s="656" t="s">
        <v>14976</v>
      </c>
      <c r="J2248" s="656" t="s">
        <v>451</v>
      </c>
      <c r="K2248" s="656" t="s">
        <v>4052</v>
      </c>
      <c r="L2248" s="656" t="s">
        <v>2569</v>
      </c>
      <c r="M2248" s="657"/>
      <c r="N2248" s="1482"/>
      <c r="O2248" s="656" t="s">
        <v>498</v>
      </c>
      <c r="P2248" s="656" t="s">
        <v>13052</v>
      </c>
      <c r="Q2248" s="656">
        <v>44216.776469907411</v>
      </c>
    </row>
    <row r="2249" spans="1:17">
      <c r="A2249" s="656" t="s">
        <v>2594</v>
      </c>
      <c r="B2249" s="657" t="s">
        <v>202</v>
      </c>
      <c r="C2249" s="656" t="s">
        <v>2593</v>
      </c>
      <c r="D2249" s="657" t="s">
        <v>14978</v>
      </c>
      <c r="E2249" s="657"/>
      <c r="F2249" s="656" t="s">
        <v>500</v>
      </c>
      <c r="G2249" s="656" t="s">
        <v>500</v>
      </c>
      <c r="H2249" s="656" t="s">
        <v>500</v>
      </c>
      <c r="I2249" s="656" t="s">
        <v>14976</v>
      </c>
      <c r="J2249" s="656"/>
      <c r="K2249" s="656"/>
      <c r="L2249" s="656" t="s">
        <v>2599</v>
      </c>
      <c r="M2249" s="657"/>
      <c r="N2249" s="1482"/>
      <c r="O2249" s="656" t="s">
        <v>498</v>
      </c>
      <c r="P2249" s="656" t="s">
        <v>13052</v>
      </c>
      <c r="Q2249" s="656">
        <v>44216.776458333334</v>
      </c>
    </row>
    <row r="2250" spans="1:17">
      <c r="A2250" s="656" t="s">
        <v>2595</v>
      </c>
      <c r="B2250" s="657" t="s">
        <v>202</v>
      </c>
      <c r="C2250" s="656" t="s">
        <v>2596</v>
      </c>
      <c r="D2250" s="657" t="s">
        <v>14978</v>
      </c>
      <c r="E2250" s="657" t="s">
        <v>9510</v>
      </c>
      <c r="F2250" s="656" t="s">
        <v>537</v>
      </c>
      <c r="G2250" s="656" t="s">
        <v>500</v>
      </c>
      <c r="H2250" s="656" t="s">
        <v>450</v>
      </c>
      <c r="I2250" s="656" t="s">
        <v>15280</v>
      </c>
      <c r="J2250" s="656" t="s">
        <v>473</v>
      </c>
      <c r="K2250" s="656"/>
      <c r="L2250" s="656" t="s">
        <v>2599</v>
      </c>
      <c r="M2250" s="657"/>
      <c r="N2250" s="1482"/>
      <c r="O2250" s="656" t="s">
        <v>498</v>
      </c>
      <c r="P2250" s="656" t="s">
        <v>13052</v>
      </c>
      <c r="Q2250" s="656">
        <v>44216.776458333334</v>
      </c>
    </row>
    <row r="2251" spans="1:17">
      <c r="A2251" s="656" t="s">
        <v>9302</v>
      </c>
      <c r="B2251" s="657" t="s">
        <v>202</v>
      </c>
      <c r="C2251" s="656" t="s">
        <v>9301</v>
      </c>
      <c r="D2251" s="657" t="s">
        <v>14978</v>
      </c>
      <c r="E2251" s="657" t="s">
        <v>7437</v>
      </c>
      <c r="F2251" s="656" t="s">
        <v>4052</v>
      </c>
      <c r="G2251" s="656" t="s">
        <v>1195</v>
      </c>
      <c r="H2251" s="656" t="s">
        <v>455</v>
      </c>
      <c r="I2251" s="656" t="s">
        <v>14976</v>
      </c>
      <c r="J2251" s="656" t="s">
        <v>451</v>
      </c>
      <c r="K2251" s="656" t="s">
        <v>1058</v>
      </c>
      <c r="L2251" s="656" t="s">
        <v>2599</v>
      </c>
      <c r="M2251" s="657"/>
      <c r="N2251" s="1482"/>
      <c r="O2251" s="656" t="s">
        <v>498</v>
      </c>
      <c r="P2251" s="656" t="s">
        <v>13052</v>
      </c>
      <c r="Q2251" s="656">
        <v>44216.776446759257</v>
      </c>
    </row>
    <row r="2252" spans="1:17">
      <c r="A2252" s="656" t="s">
        <v>9304</v>
      </c>
      <c r="B2252" s="657" t="s">
        <v>202</v>
      </c>
      <c r="C2252" s="656" t="s">
        <v>9303</v>
      </c>
      <c r="D2252" s="657" t="s">
        <v>14978</v>
      </c>
      <c r="E2252" s="657" t="s">
        <v>7437</v>
      </c>
      <c r="F2252" s="656" t="s">
        <v>4052</v>
      </c>
      <c r="G2252" s="656" t="s">
        <v>1195</v>
      </c>
      <c r="H2252" s="656" t="s">
        <v>455</v>
      </c>
      <c r="I2252" s="656" t="s">
        <v>14976</v>
      </c>
      <c r="J2252" s="656" t="s">
        <v>451</v>
      </c>
      <c r="K2252" s="656" t="s">
        <v>1058</v>
      </c>
      <c r="L2252" s="656" t="s">
        <v>2599</v>
      </c>
      <c r="M2252" s="657"/>
      <c r="N2252" s="1482"/>
      <c r="O2252" s="656" t="s">
        <v>498</v>
      </c>
      <c r="P2252" s="656" t="s">
        <v>13052</v>
      </c>
      <c r="Q2252" s="656">
        <v>44216.776446759257</v>
      </c>
    </row>
    <row r="2253" spans="1:17">
      <c r="A2253" s="656" t="s">
        <v>9306</v>
      </c>
      <c r="B2253" s="657" t="s">
        <v>202</v>
      </c>
      <c r="C2253" s="656" t="s">
        <v>9305</v>
      </c>
      <c r="D2253" s="657" t="s">
        <v>14978</v>
      </c>
      <c r="E2253" s="657" t="s">
        <v>7437</v>
      </c>
      <c r="F2253" s="656" t="s">
        <v>4052</v>
      </c>
      <c r="G2253" s="656" t="s">
        <v>1195</v>
      </c>
      <c r="H2253" s="656" t="s">
        <v>455</v>
      </c>
      <c r="I2253" s="656" t="s">
        <v>14976</v>
      </c>
      <c r="J2253" s="656" t="s">
        <v>451</v>
      </c>
      <c r="K2253" s="656" t="s">
        <v>1058</v>
      </c>
      <c r="L2253" s="656" t="s">
        <v>2599</v>
      </c>
      <c r="M2253" s="657"/>
      <c r="N2253" s="1482"/>
      <c r="O2253" s="656" t="s">
        <v>498</v>
      </c>
      <c r="P2253" s="656" t="s">
        <v>13052</v>
      </c>
      <c r="Q2253" s="656">
        <v>44216.776446759257</v>
      </c>
    </row>
    <row r="2254" spans="1:17">
      <c r="A2254" s="656" t="s">
        <v>9308</v>
      </c>
      <c r="B2254" s="657" t="s">
        <v>202</v>
      </c>
      <c r="C2254" s="656" t="s">
        <v>9307</v>
      </c>
      <c r="D2254" s="657" t="s">
        <v>14978</v>
      </c>
      <c r="E2254" s="657" t="s">
        <v>7437</v>
      </c>
      <c r="F2254" s="656" t="s">
        <v>4052</v>
      </c>
      <c r="G2254" s="656" t="s">
        <v>512</v>
      </c>
      <c r="H2254" s="656" t="s">
        <v>455</v>
      </c>
      <c r="I2254" s="656" t="s">
        <v>14976</v>
      </c>
      <c r="J2254" s="656" t="s">
        <v>451</v>
      </c>
      <c r="K2254" s="656" t="s">
        <v>4052</v>
      </c>
      <c r="L2254" s="656" t="s">
        <v>2599</v>
      </c>
      <c r="M2254" s="657"/>
      <c r="N2254" s="1482"/>
      <c r="O2254" s="656" t="s">
        <v>498</v>
      </c>
      <c r="P2254" s="656" t="s">
        <v>13052</v>
      </c>
      <c r="Q2254" s="656">
        <v>44216.776435185187</v>
      </c>
    </row>
    <row r="2255" spans="1:17">
      <c r="A2255" s="656" t="s">
        <v>9310</v>
      </c>
      <c r="B2255" s="657" t="s">
        <v>202</v>
      </c>
      <c r="C2255" s="656" t="s">
        <v>9309</v>
      </c>
      <c r="D2255" s="657" t="s">
        <v>14978</v>
      </c>
      <c r="E2255" s="657" t="s">
        <v>7437</v>
      </c>
      <c r="F2255" s="656" t="s">
        <v>4052</v>
      </c>
      <c r="G2255" s="656" t="s">
        <v>1195</v>
      </c>
      <c r="H2255" s="656" t="s">
        <v>455</v>
      </c>
      <c r="I2255" s="656" t="s">
        <v>14976</v>
      </c>
      <c r="J2255" s="656" t="s">
        <v>451</v>
      </c>
      <c r="K2255" s="656" t="s">
        <v>1058</v>
      </c>
      <c r="L2255" s="656" t="s">
        <v>2599</v>
      </c>
      <c r="M2255" s="657"/>
      <c r="N2255" s="1482"/>
      <c r="O2255" s="656" t="s">
        <v>498</v>
      </c>
      <c r="P2255" s="656" t="s">
        <v>13052</v>
      </c>
      <c r="Q2255" s="656">
        <v>44216.776423611111</v>
      </c>
    </row>
    <row r="2256" spans="1:17">
      <c r="A2256" s="656" t="s">
        <v>9312</v>
      </c>
      <c r="B2256" s="657" t="s">
        <v>202</v>
      </c>
      <c r="C2256" s="656" t="s">
        <v>9311</v>
      </c>
      <c r="D2256" s="657" t="s">
        <v>14978</v>
      </c>
      <c r="E2256" s="657" t="s">
        <v>7437</v>
      </c>
      <c r="F2256" s="656" t="s">
        <v>4052</v>
      </c>
      <c r="G2256" s="656" t="s">
        <v>1195</v>
      </c>
      <c r="H2256" s="656" t="s">
        <v>455</v>
      </c>
      <c r="I2256" s="656" t="s">
        <v>14976</v>
      </c>
      <c r="J2256" s="656" t="s">
        <v>451</v>
      </c>
      <c r="K2256" s="656" t="s">
        <v>1058</v>
      </c>
      <c r="L2256" s="656" t="s">
        <v>2599</v>
      </c>
      <c r="M2256" s="657"/>
      <c r="N2256" s="1482"/>
      <c r="O2256" s="656" t="s">
        <v>498</v>
      </c>
      <c r="P2256" s="656" t="s">
        <v>13052</v>
      </c>
      <c r="Q2256" s="656">
        <v>44216.776412037034</v>
      </c>
    </row>
    <row r="2257" spans="1:17">
      <c r="A2257" s="656" t="s">
        <v>9314</v>
      </c>
      <c r="B2257" s="657" t="s">
        <v>202</v>
      </c>
      <c r="C2257" s="656" t="s">
        <v>9313</v>
      </c>
      <c r="D2257" s="657" t="s">
        <v>14978</v>
      </c>
      <c r="E2257" s="657" t="s">
        <v>7437</v>
      </c>
      <c r="F2257" s="656" t="s">
        <v>4052</v>
      </c>
      <c r="G2257" s="656" t="s">
        <v>512</v>
      </c>
      <c r="H2257" s="656" t="s">
        <v>455</v>
      </c>
      <c r="I2257" s="656" t="s">
        <v>14976</v>
      </c>
      <c r="J2257" s="656" t="s">
        <v>451</v>
      </c>
      <c r="K2257" s="656" t="s">
        <v>4052</v>
      </c>
      <c r="L2257" s="656" t="s">
        <v>2599</v>
      </c>
      <c r="M2257" s="657"/>
      <c r="N2257" s="1482"/>
      <c r="O2257" s="656" t="s">
        <v>498</v>
      </c>
      <c r="P2257" s="656" t="s">
        <v>13052</v>
      </c>
      <c r="Q2257" s="656">
        <v>44216.776412037034</v>
      </c>
    </row>
    <row r="2258" spans="1:17">
      <c r="A2258" s="656" t="s">
        <v>2597</v>
      </c>
      <c r="B2258" s="657" t="s">
        <v>202</v>
      </c>
      <c r="C2258" s="656" t="s">
        <v>2598</v>
      </c>
      <c r="D2258" s="657" t="s">
        <v>14978</v>
      </c>
      <c r="E2258" s="657" t="s">
        <v>9510</v>
      </c>
      <c r="F2258" s="656" t="s">
        <v>783</v>
      </c>
      <c r="G2258" s="656" t="s">
        <v>783</v>
      </c>
      <c r="H2258" s="656" t="s">
        <v>783</v>
      </c>
      <c r="I2258" s="656" t="s">
        <v>14976</v>
      </c>
      <c r="J2258" s="656"/>
      <c r="K2258" s="656"/>
      <c r="L2258" s="656" t="s">
        <v>2599</v>
      </c>
      <c r="M2258" s="657"/>
      <c r="N2258" s="1482"/>
      <c r="O2258" s="656" t="s">
        <v>498</v>
      </c>
      <c r="P2258" s="656" t="s">
        <v>13052</v>
      </c>
      <c r="Q2258" s="656">
        <v>44216.776400462964</v>
      </c>
    </row>
    <row r="2259" spans="1:17">
      <c r="A2259" s="656" t="s">
        <v>9316</v>
      </c>
      <c r="B2259" s="657" t="s">
        <v>202</v>
      </c>
      <c r="C2259" s="656" t="s">
        <v>9315</v>
      </c>
      <c r="D2259" s="657" t="s">
        <v>14978</v>
      </c>
      <c r="E2259" s="657" t="s">
        <v>7437</v>
      </c>
      <c r="F2259" s="656" t="s">
        <v>4052</v>
      </c>
      <c r="G2259" s="656" t="s">
        <v>512</v>
      </c>
      <c r="H2259" s="656" t="s">
        <v>455</v>
      </c>
      <c r="I2259" s="656" t="s">
        <v>14976</v>
      </c>
      <c r="J2259" s="656" t="s">
        <v>451</v>
      </c>
      <c r="K2259" s="656" t="s">
        <v>4052</v>
      </c>
      <c r="L2259" s="656" t="s">
        <v>2599</v>
      </c>
      <c r="M2259" s="657"/>
      <c r="N2259" s="1482"/>
      <c r="O2259" s="656" t="s">
        <v>498</v>
      </c>
      <c r="P2259" s="656" t="s">
        <v>13052</v>
      </c>
      <c r="Q2259" s="656">
        <v>44216.776400462964</v>
      </c>
    </row>
    <row r="2260" spans="1:17">
      <c r="A2260" s="656" t="s">
        <v>9318</v>
      </c>
      <c r="B2260" s="657" t="s">
        <v>202</v>
      </c>
      <c r="C2260" s="656" t="s">
        <v>9317</v>
      </c>
      <c r="D2260" s="657" t="s">
        <v>14978</v>
      </c>
      <c r="E2260" s="657" t="s">
        <v>7437</v>
      </c>
      <c r="F2260" s="656" t="s">
        <v>4052</v>
      </c>
      <c r="G2260" s="656" t="s">
        <v>512</v>
      </c>
      <c r="H2260" s="656" t="s">
        <v>455</v>
      </c>
      <c r="I2260" s="656" t="s">
        <v>14976</v>
      </c>
      <c r="J2260" s="656" t="s">
        <v>451</v>
      </c>
      <c r="K2260" s="656" t="s">
        <v>4052</v>
      </c>
      <c r="L2260" s="656" t="s">
        <v>2599</v>
      </c>
      <c r="M2260" s="657"/>
      <c r="N2260" s="1482"/>
      <c r="O2260" s="656" t="s">
        <v>498</v>
      </c>
      <c r="P2260" s="656" t="s">
        <v>13052</v>
      </c>
      <c r="Q2260" s="656">
        <v>44216.776400462964</v>
      </c>
    </row>
    <row r="2261" spans="1:17">
      <c r="A2261" s="656" t="s">
        <v>9319</v>
      </c>
      <c r="B2261" s="657" t="s">
        <v>202</v>
      </c>
      <c r="C2261" s="656" t="s">
        <v>1251</v>
      </c>
      <c r="D2261" s="657" t="s">
        <v>14978</v>
      </c>
      <c r="E2261" s="657" t="s">
        <v>7437</v>
      </c>
      <c r="F2261" s="656" t="s">
        <v>4052</v>
      </c>
      <c r="G2261" s="656" t="s">
        <v>512</v>
      </c>
      <c r="H2261" s="656" t="s">
        <v>455</v>
      </c>
      <c r="I2261" s="656" t="s">
        <v>14976</v>
      </c>
      <c r="J2261" s="656" t="s">
        <v>451</v>
      </c>
      <c r="K2261" s="656" t="s">
        <v>4052</v>
      </c>
      <c r="L2261" s="656" t="s">
        <v>2599</v>
      </c>
      <c r="M2261" s="657"/>
      <c r="N2261" s="1482"/>
      <c r="O2261" s="656" t="s">
        <v>498</v>
      </c>
      <c r="P2261" s="656" t="s">
        <v>13052</v>
      </c>
      <c r="Q2261" s="656">
        <v>44216.776388888888</v>
      </c>
    </row>
    <row r="2262" spans="1:17">
      <c r="A2262" s="656" t="s">
        <v>9320</v>
      </c>
      <c r="B2262" s="657" t="s">
        <v>202</v>
      </c>
      <c r="C2262" s="656" t="s">
        <v>1152</v>
      </c>
      <c r="D2262" s="657" t="s">
        <v>14978</v>
      </c>
      <c r="E2262" s="657" t="s">
        <v>7437</v>
      </c>
      <c r="F2262" s="656" t="s">
        <v>4052</v>
      </c>
      <c r="G2262" s="656" t="s">
        <v>512</v>
      </c>
      <c r="H2262" s="656" t="s">
        <v>455</v>
      </c>
      <c r="I2262" s="656" t="s">
        <v>14976</v>
      </c>
      <c r="J2262" s="656" t="s">
        <v>451</v>
      </c>
      <c r="K2262" s="656" t="s">
        <v>4052</v>
      </c>
      <c r="L2262" s="656" t="s">
        <v>2599</v>
      </c>
      <c r="M2262" s="657"/>
      <c r="N2262" s="1482"/>
      <c r="O2262" s="656" t="s">
        <v>498</v>
      </c>
      <c r="P2262" s="656" t="s">
        <v>13052</v>
      </c>
      <c r="Q2262" s="656">
        <v>44216.776388888888</v>
      </c>
    </row>
    <row r="2263" spans="1:17">
      <c r="A2263" s="656" t="s">
        <v>9322</v>
      </c>
      <c r="B2263" s="657" t="s">
        <v>202</v>
      </c>
      <c r="C2263" s="656" t="s">
        <v>9321</v>
      </c>
      <c r="D2263" s="657" t="s">
        <v>14978</v>
      </c>
      <c r="E2263" s="657" t="s">
        <v>7437</v>
      </c>
      <c r="F2263" s="656" t="s">
        <v>4052</v>
      </c>
      <c r="G2263" s="656" t="s">
        <v>1195</v>
      </c>
      <c r="H2263" s="656" t="s">
        <v>455</v>
      </c>
      <c r="I2263" s="656" t="s">
        <v>14976</v>
      </c>
      <c r="J2263" s="656" t="s">
        <v>451</v>
      </c>
      <c r="K2263" s="656" t="s">
        <v>1058</v>
      </c>
      <c r="L2263" s="656" t="s">
        <v>2599</v>
      </c>
      <c r="M2263" s="657"/>
      <c r="N2263" s="1482"/>
      <c r="O2263" s="656" t="s">
        <v>498</v>
      </c>
      <c r="P2263" s="656" t="s">
        <v>13052</v>
      </c>
      <c r="Q2263" s="656">
        <v>44216.776377314818</v>
      </c>
    </row>
    <row r="2264" spans="1:17">
      <c r="A2264" s="656" t="s">
        <v>9324</v>
      </c>
      <c r="B2264" s="657" t="s">
        <v>202</v>
      </c>
      <c r="C2264" s="656" t="s">
        <v>9323</v>
      </c>
      <c r="D2264" s="657" t="s">
        <v>14978</v>
      </c>
      <c r="E2264" s="657" t="s">
        <v>7437</v>
      </c>
      <c r="F2264" s="656" t="s">
        <v>4052</v>
      </c>
      <c r="G2264" s="656" t="s">
        <v>1195</v>
      </c>
      <c r="H2264" s="656" t="s">
        <v>455</v>
      </c>
      <c r="I2264" s="656" t="s">
        <v>14976</v>
      </c>
      <c r="J2264" s="656" t="s">
        <v>451</v>
      </c>
      <c r="K2264" s="656" t="s">
        <v>1058</v>
      </c>
      <c r="L2264" s="656" t="s">
        <v>2599</v>
      </c>
      <c r="M2264" s="657"/>
      <c r="N2264" s="1482"/>
      <c r="O2264" s="656" t="s">
        <v>498</v>
      </c>
      <c r="P2264" s="656" t="s">
        <v>13052</v>
      </c>
      <c r="Q2264" s="656">
        <v>44216.776377314818</v>
      </c>
    </row>
    <row r="2265" spans="1:17">
      <c r="A2265" s="656" t="s">
        <v>2599</v>
      </c>
      <c r="B2265" s="657" t="s">
        <v>202</v>
      </c>
      <c r="C2265" s="656" t="s">
        <v>1111</v>
      </c>
      <c r="D2265" s="657" t="s">
        <v>14977</v>
      </c>
      <c r="E2265" s="657" t="s">
        <v>9458</v>
      </c>
      <c r="F2265" s="656" t="s">
        <v>4052</v>
      </c>
      <c r="G2265" s="656" t="s">
        <v>512</v>
      </c>
      <c r="H2265" s="656" t="s">
        <v>455</v>
      </c>
      <c r="I2265" s="656" t="s">
        <v>14976</v>
      </c>
      <c r="J2265" s="656" t="s">
        <v>451</v>
      </c>
      <c r="K2265" s="656" t="s">
        <v>4052</v>
      </c>
      <c r="L2265" s="656" t="s">
        <v>2599</v>
      </c>
      <c r="M2265" s="657"/>
      <c r="N2265" s="1482"/>
      <c r="O2265" s="656" t="s">
        <v>498</v>
      </c>
      <c r="P2265" s="656" t="s">
        <v>13052</v>
      </c>
      <c r="Q2265" s="656">
        <v>44216.776365740741</v>
      </c>
    </row>
    <row r="2266" spans="1:17">
      <c r="A2266" s="656" t="s">
        <v>2600</v>
      </c>
      <c r="B2266" s="657" t="s">
        <v>504</v>
      </c>
      <c r="C2266" s="656" t="s">
        <v>2601</v>
      </c>
      <c r="D2266" s="657" t="s">
        <v>13789</v>
      </c>
      <c r="E2266" s="657" t="s">
        <v>9654</v>
      </c>
      <c r="F2266" s="656" t="s">
        <v>505</v>
      </c>
      <c r="G2266" s="656" t="s">
        <v>820</v>
      </c>
      <c r="H2266" s="656" t="s">
        <v>505</v>
      </c>
      <c r="I2266" s="656" t="s">
        <v>14976</v>
      </c>
      <c r="J2266" s="656"/>
      <c r="K2266" s="656"/>
      <c r="L2266" s="656"/>
      <c r="M2266" s="657"/>
      <c r="N2266" s="1482"/>
      <c r="O2266" s="656" t="s">
        <v>498</v>
      </c>
      <c r="P2266" s="656" t="s">
        <v>13052</v>
      </c>
      <c r="Q2266" s="656">
        <v>44216.776365740741</v>
      </c>
    </row>
    <row r="2267" spans="1:17">
      <c r="A2267" s="656" t="s">
        <v>2602</v>
      </c>
      <c r="B2267" s="657" t="s">
        <v>202</v>
      </c>
      <c r="C2267" s="656" t="s">
        <v>2603</v>
      </c>
      <c r="D2267" s="657"/>
      <c r="E2267" s="657" t="s">
        <v>7439</v>
      </c>
      <c r="F2267" s="656" t="s">
        <v>445</v>
      </c>
      <c r="G2267" s="656" t="s">
        <v>552</v>
      </c>
      <c r="H2267" s="656" t="s">
        <v>445</v>
      </c>
      <c r="I2267" s="656" t="s">
        <v>15280</v>
      </c>
      <c r="J2267" s="656" t="s">
        <v>8814</v>
      </c>
      <c r="K2267" s="656" t="s">
        <v>445</v>
      </c>
      <c r="L2267" s="656"/>
      <c r="M2267" s="657"/>
      <c r="N2267" s="1482"/>
      <c r="O2267" s="656" t="s">
        <v>498</v>
      </c>
      <c r="P2267" s="656" t="s">
        <v>13052</v>
      </c>
      <c r="Q2267" s="656">
        <v>44216.776365740741</v>
      </c>
    </row>
    <row r="2268" spans="1:17">
      <c r="A2268" s="656" t="s">
        <v>2604</v>
      </c>
      <c r="B2268" s="657" t="s">
        <v>504</v>
      </c>
      <c r="C2268" s="656" t="s">
        <v>2605</v>
      </c>
      <c r="D2268" s="657" t="s">
        <v>13789</v>
      </c>
      <c r="E2268" s="657" t="s">
        <v>9654</v>
      </c>
      <c r="F2268" s="656" t="s">
        <v>505</v>
      </c>
      <c r="G2268" s="656" t="s">
        <v>525</v>
      </c>
      <c r="H2268" s="656" t="s">
        <v>505</v>
      </c>
      <c r="I2268" s="656" t="s">
        <v>14976</v>
      </c>
      <c r="J2268" s="656"/>
      <c r="K2268" s="656"/>
      <c r="L2268" s="656"/>
      <c r="M2268" s="657"/>
      <c r="N2268" s="1482"/>
      <c r="O2268" s="656" t="s">
        <v>498</v>
      </c>
      <c r="P2268" s="656" t="s">
        <v>13052</v>
      </c>
      <c r="Q2268" s="656">
        <v>44216.776354166665</v>
      </c>
    </row>
    <row r="2269" spans="1:17">
      <c r="A2269" s="656" t="s">
        <v>2606</v>
      </c>
      <c r="B2269" s="657" t="s">
        <v>504</v>
      </c>
      <c r="C2269" s="656" t="s">
        <v>2607</v>
      </c>
      <c r="D2269" s="657" t="s">
        <v>13789</v>
      </c>
      <c r="E2269" s="657" t="s">
        <v>7439</v>
      </c>
      <c r="F2269" s="656" t="s">
        <v>540</v>
      </c>
      <c r="G2269" s="656" t="s">
        <v>541</v>
      </c>
      <c r="H2269" s="656" t="s">
        <v>540</v>
      </c>
      <c r="I2269" s="656" t="s">
        <v>14976</v>
      </c>
      <c r="J2269" s="656"/>
      <c r="K2269" s="656"/>
      <c r="L2269" s="656"/>
      <c r="M2269" s="657"/>
      <c r="N2269" s="1482"/>
      <c r="O2269" s="656" t="s">
        <v>498</v>
      </c>
      <c r="P2269" s="656" t="s">
        <v>13052</v>
      </c>
      <c r="Q2269" s="656">
        <v>44216.776354166665</v>
      </c>
    </row>
    <row r="2270" spans="1:17">
      <c r="A2270" s="656" t="s">
        <v>2608</v>
      </c>
      <c r="B2270" s="657" t="s">
        <v>202</v>
      </c>
      <c r="C2270" s="656" t="s">
        <v>2609</v>
      </c>
      <c r="D2270" s="657" t="s">
        <v>13789</v>
      </c>
      <c r="E2270" s="657" t="s">
        <v>7439</v>
      </c>
      <c r="F2270" s="656" t="s">
        <v>500</v>
      </c>
      <c r="G2270" s="656" t="s">
        <v>500</v>
      </c>
      <c r="H2270" s="656" t="s">
        <v>500</v>
      </c>
      <c r="I2270" s="656" t="s">
        <v>15280</v>
      </c>
      <c r="J2270" s="656"/>
      <c r="K2270" s="656"/>
      <c r="L2270" s="656"/>
      <c r="M2270" s="657"/>
      <c r="N2270" s="1482"/>
      <c r="O2270" s="656" t="s">
        <v>498</v>
      </c>
      <c r="P2270" s="656" t="s">
        <v>13052</v>
      </c>
      <c r="Q2270" s="656">
        <v>44216.776354166665</v>
      </c>
    </row>
    <row r="2271" spans="1:17">
      <c r="A2271" s="656" t="s">
        <v>2610</v>
      </c>
      <c r="B2271" s="657" t="s">
        <v>504</v>
      </c>
      <c r="C2271" s="656" t="s">
        <v>2611</v>
      </c>
      <c r="D2271" s="657" t="s">
        <v>13789</v>
      </c>
      <c r="E2271" s="657" t="s">
        <v>9654</v>
      </c>
      <c r="F2271" s="656" t="s">
        <v>505</v>
      </c>
      <c r="G2271" s="656" t="s">
        <v>522</v>
      </c>
      <c r="H2271" s="656" t="s">
        <v>505</v>
      </c>
      <c r="I2271" s="656" t="s">
        <v>14976</v>
      </c>
      <c r="J2271" s="656"/>
      <c r="K2271" s="656"/>
      <c r="L2271" s="656"/>
      <c r="M2271" s="657"/>
      <c r="N2271" s="1482"/>
      <c r="O2271" s="656" t="s">
        <v>498</v>
      </c>
      <c r="P2271" s="656" t="s">
        <v>13052</v>
      </c>
      <c r="Q2271" s="656">
        <v>44216.776342592595</v>
      </c>
    </row>
    <row r="2272" spans="1:17">
      <c r="A2272" s="656" t="s">
        <v>2612</v>
      </c>
      <c r="B2272" s="657" t="s">
        <v>202</v>
      </c>
      <c r="C2272" s="656" t="s">
        <v>2613</v>
      </c>
      <c r="D2272" s="657" t="s">
        <v>13789</v>
      </c>
      <c r="E2272" s="657" t="s">
        <v>9458</v>
      </c>
      <c r="F2272" s="656" t="s">
        <v>462</v>
      </c>
      <c r="G2272" s="656"/>
      <c r="H2272" s="656" t="s">
        <v>462</v>
      </c>
      <c r="I2272" s="656" t="s">
        <v>14976</v>
      </c>
      <c r="J2272" s="656" t="s">
        <v>463</v>
      </c>
      <c r="K2272" s="656"/>
      <c r="L2272" s="656"/>
      <c r="M2272" s="657"/>
      <c r="N2272" s="1482"/>
      <c r="O2272" s="656" t="s">
        <v>498</v>
      </c>
      <c r="P2272" s="656" t="s">
        <v>13052</v>
      </c>
      <c r="Q2272" s="656">
        <v>44216.776342592595</v>
      </c>
    </row>
    <row r="2273" spans="1:17">
      <c r="A2273" s="656" t="s">
        <v>2614</v>
      </c>
      <c r="B2273" s="657" t="s">
        <v>504</v>
      </c>
      <c r="C2273" s="656" t="s">
        <v>13769</v>
      </c>
      <c r="D2273" s="657" t="s">
        <v>13789</v>
      </c>
      <c r="E2273" s="657" t="s">
        <v>7439</v>
      </c>
      <c r="F2273" s="656" t="s">
        <v>540</v>
      </c>
      <c r="G2273" s="656" t="s">
        <v>541</v>
      </c>
      <c r="H2273" s="656" t="s">
        <v>540</v>
      </c>
      <c r="I2273" s="656" t="s">
        <v>14976</v>
      </c>
      <c r="J2273" s="656"/>
      <c r="K2273" s="656"/>
      <c r="L2273" s="656"/>
      <c r="M2273" s="657"/>
      <c r="N2273" s="1482"/>
      <c r="O2273" s="656" t="s">
        <v>498</v>
      </c>
      <c r="P2273" s="656" t="s">
        <v>13052</v>
      </c>
      <c r="Q2273" s="656">
        <v>44216.776342592595</v>
      </c>
    </row>
    <row r="2274" spans="1:17">
      <c r="A2274" s="656" t="s">
        <v>2615</v>
      </c>
      <c r="B2274" s="657" t="s">
        <v>504</v>
      </c>
      <c r="C2274" s="656" t="s">
        <v>2616</v>
      </c>
      <c r="D2274" s="657" t="s">
        <v>13789</v>
      </c>
      <c r="E2274" s="657" t="s">
        <v>7439</v>
      </c>
      <c r="F2274" s="656" t="s">
        <v>540</v>
      </c>
      <c r="G2274" s="656" t="s">
        <v>541</v>
      </c>
      <c r="H2274" s="656" t="s">
        <v>540</v>
      </c>
      <c r="I2274" s="656" t="s">
        <v>14976</v>
      </c>
      <c r="J2274" s="656"/>
      <c r="K2274" s="656"/>
      <c r="L2274" s="656"/>
      <c r="M2274" s="657"/>
      <c r="N2274" s="1482"/>
      <c r="O2274" s="656" t="s">
        <v>498</v>
      </c>
      <c r="P2274" s="656" t="s">
        <v>13052</v>
      </c>
      <c r="Q2274" s="656">
        <v>44216.776331018518</v>
      </c>
    </row>
    <row r="2275" spans="1:17">
      <c r="A2275" s="656" t="s">
        <v>2617</v>
      </c>
      <c r="B2275" s="657" t="s">
        <v>504</v>
      </c>
      <c r="C2275" s="656" t="s">
        <v>2618</v>
      </c>
      <c r="D2275" s="657" t="s">
        <v>13789</v>
      </c>
      <c r="E2275" s="657" t="s">
        <v>9654</v>
      </c>
      <c r="F2275" s="656" t="s">
        <v>505</v>
      </c>
      <c r="G2275" s="656" t="s">
        <v>660</v>
      </c>
      <c r="H2275" s="656" t="s">
        <v>505</v>
      </c>
      <c r="I2275" s="656" t="s">
        <v>14976</v>
      </c>
      <c r="J2275" s="656"/>
      <c r="K2275" s="656"/>
      <c r="L2275" s="656"/>
      <c r="M2275" s="657"/>
      <c r="N2275" s="1482"/>
      <c r="O2275" s="656" t="s">
        <v>498</v>
      </c>
      <c r="P2275" s="656" t="s">
        <v>13052</v>
      </c>
      <c r="Q2275" s="656">
        <v>44216.776331018518</v>
      </c>
    </row>
    <row r="2276" spans="1:17">
      <c r="A2276" s="656" t="s">
        <v>2619</v>
      </c>
      <c r="B2276" s="657" t="s">
        <v>202</v>
      </c>
      <c r="C2276" s="656" t="s">
        <v>2620</v>
      </c>
      <c r="D2276" s="657" t="s">
        <v>14977</v>
      </c>
      <c r="E2276" s="657" t="s">
        <v>7439</v>
      </c>
      <c r="F2276" s="656" t="s">
        <v>472</v>
      </c>
      <c r="G2276" s="656" t="s">
        <v>1395</v>
      </c>
      <c r="H2276" s="656" t="s">
        <v>472</v>
      </c>
      <c r="I2276" s="656" t="s">
        <v>14976</v>
      </c>
      <c r="J2276" s="656" t="s">
        <v>12368</v>
      </c>
      <c r="K2276" s="656"/>
      <c r="L2276" s="656"/>
      <c r="M2276" s="657"/>
      <c r="N2276" s="1482"/>
      <c r="O2276" s="656" t="s">
        <v>498</v>
      </c>
      <c r="P2276" s="656" t="s">
        <v>13052</v>
      </c>
      <c r="Q2276" s="656">
        <v>44216.776319444441</v>
      </c>
    </row>
    <row r="2277" spans="1:17">
      <c r="A2277" s="656" t="s">
        <v>2621</v>
      </c>
      <c r="B2277" s="657" t="s">
        <v>202</v>
      </c>
      <c r="C2277" s="656" t="s">
        <v>2622</v>
      </c>
      <c r="D2277" s="657" t="s">
        <v>13789</v>
      </c>
      <c r="E2277" s="657" t="s">
        <v>7439</v>
      </c>
      <c r="F2277" s="656" t="s">
        <v>500</v>
      </c>
      <c r="G2277" s="656" t="s">
        <v>500</v>
      </c>
      <c r="H2277" s="656" t="s">
        <v>500</v>
      </c>
      <c r="I2277" s="656" t="s">
        <v>15280</v>
      </c>
      <c r="J2277" s="656"/>
      <c r="K2277" s="656"/>
      <c r="L2277" s="656"/>
      <c r="M2277" s="657"/>
      <c r="N2277" s="1482"/>
      <c r="O2277" s="656" t="s">
        <v>498</v>
      </c>
      <c r="P2277" s="656" t="s">
        <v>13052</v>
      </c>
      <c r="Q2277" s="656">
        <v>44216.776319444441</v>
      </c>
    </row>
    <row r="2278" spans="1:17">
      <c r="A2278" s="656" t="s">
        <v>2623</v>
      </c>
      <c r="B2278" s="657" t="s">
        <v>504</v>
      </c>
      <c r="C2278" s="656" t="s">
        <v>2624</v>
      </c>
      <c r="D2278" s="657" t="s">
        <v>13789</v>
      </c>
      <c r="E2278" s="657" t="s">
        <v>7439</v>
      </c>
      <c r="F2278" s="656" t="s">
        <v>505</v>
      </c>
      <c r="G2278" s="656" t="s">
        <v>525</v>
      </c>
      <c r="H2278" s="656" t="s">
        <v>505</v>
      </c>
      <c r="I2278" s="656" t="s">
        <v>14976</v>
      </c>
      <c r="J2278" s="656"/>
      <c r="K2278" s="656"/>
      <c r="L2278" s="656"/>
      <c r="M2278" s="657"/>
      <c r="N2278" s="1482"/>
      <c r="O2278" s="656" t="s">
        <v>498</v>
      </c>
      <c r="P2278" s="656" t="s">
        <v>13052</v>
      </c>
      <c r="Q2278" s="656">
        <v>44216.776307870372</v>
      </c>
    </row>
    <row r="2279" spans="1:17">
      <c r="A2279" s="656" t="s">
        <v>2625</v>
      </c>
      <c r="B2279" s="657" t="s">
        <v>504</v>
      </c>
      <c r="C2279" s="656" t="s">
        <v>2626</v>
      </c>
      <c r="D2279" s="657" t="s">
        <v>13789</v>
      </c>
      <c r="E2279" s="657" t="s">
        <v>7439</v>
      </c>
      <c r="F2279" s="656" t="s">
        <v>505</v>
      </c>
      <c r="G2279" s="656" t="s">
        <v>525</v>
      </c>
      <c r="H2279" s="656" t="s">
        <v>505</v>
      </c>
      <c r="I2279" s="656" t="s">
        <v>14976</v>
      </c>
      <c r="J2279" s="656"/>
      <c r="K2279" s="656"/>
      <c r="L2279" s="656"/>
      <c r="M2279" s="657"/>
      <c r="N2279" s="1482"/>
      <c r="O2279" s="656" t="s">
        <v>498</v>
      </c>
      <c r="P2279" s="656" t="s">
        <v>13052</v>
      </c>
      <c r="Q2279" s="656">
        <v>44216.776307870372</v>
      </c>
    </row>
    <row r="2280" spans="1:17">
      <c r="A2280" s="656" t="s">
        <v>2627</v>
      </c>
      <c r="B2280" s="657" t="s">
        <v>202</v>
      </c>
      <c r="C2280" s="656" t="s">
        <v>2628</v>
      </c>
      <c r="D2280" s="657" t="s">
        <v>13789</v>
      </c>
      <c r="E2280" s="657" t="s">
        <v>7439</v>
      </c>
      <c r="F2280" s="656" t="s">
        <v>472</v>
      </c>
      <c r="G2280" s="656" t="s">
        <v>1395</v>
      </c>
      <c r="H2280" s="656" t="s">
        <v>472</v>
      </c>
      <c r="I2280" s="656" t="s">
        <v>14976</v>
      </c>
      <c r="J2280" s="656" t="s">
        <v>12368</v>
      </c>
      <c r="K2280" s="656"/>
      <c r="L2280" s="656"/>
      <c r="M2280" s="657"/>
      <c r="N2280" s="1482"/>
      <c r="O2280" s="656" t="s">
        <v>498</v>
      </c>
      <c r="P2280" s="656" t="s">
        <v>13052</v>
      </c>
      <c r="Q2280" s="656">
        <v>44216.776296296295</v>
      </c>
    </row>
    <row r="2281" spans="1:17">
      <c r="A2281" s="656" t="s">
        <v>2629</v>
      </c>
      <c r="B2281" s="657" t="s">
        <v>202</v>
      </c>
      <c r="C2281" s="656" t="s">
        <v>2630</v>
      </c>
      <c r="D2281" s="657" t="s">
        <v>13789</v>
      </c>
      <c r="E2281" s="657" t="s">
        <v>7439</v>
      </c>
      <c r="F2281" s="656" t="s">
        <v>472</v>
      </c>
      <c r="G2281" s="656" t="s">
        <v>1078</v>
      </c>
      <c r="H2281" s="656" t="s">
        <v>472</v>
      </c>
      <c r="I2281" s="656" t="s">
        <v>14976</v>
      </c>
      <c r="J2281" s="656" t="s">
        <v>12368</v>
      </c>
      <c r="K2281" s="656"/>
      <c r="L2281" s="656" t="s">
        <v>2709</v>
      </c>
      <c r="M2281" s="657"/>
      <c r="N2281" s="1482"/>
      <c r="O2281" s="656" t="s">
        <v>498</v>
      </c>
      <c r="P2281" s="656" t="s">
        <v>13052</v>
      </c>
      <c r="Q2281" s="656">
        <v>44216.776284722226</v>
      </c>
    </row>
    <row r="2282" spans="1:17">
      <c r="A2282" s="656" t="s">
        <v>2631</v>
      </c>
      <c r="B2282" s="657" t="s">
        <v>202</v>
      </c>
      <c r="C2282" s="656" t="s">
        <v>2632</v>
      </c>
      <c r="D2282" s="657" t="s">
        <v>13789</v>
      </c>
      <c r="E2282" s="657" t="s">
        <v>7439</v>
      </c>
      <c r="F2282" s="656" t="s">
        <v>472</v>
      </c>
      <c r="G2282" s="656" t="s">
        <v>1078</v>
      </c>
      <c r="H2282" s="656" t="s">
        <v>472</v>
      </c>
      <c r="I2282" s="656" t="s">
        <v>14976</v>
      </c>
      <c r="J2282" s="656" t="s">
        <v>12368</v>
      </c>
      <c r="K2282" s="656"/>
      <c r="L2282" s="656" t="s">
        <v>2709</v>
      </c>
      <c r="M2282" s="657"/>
      <c r="N2282" s="1482"/>
      <c r="O2282" s="656" t="s">
        <v>498</v>
      </c>
      <c r="P2282" s="656" t="s">
        <v>13052</v>
      </c>
      <c r="Q2282" s="656">
        <v>44216.776284722226</v>
      </c>
    </row>
    <row r="2283" spans="1:17">
      <c r="A2283" s="656" t="s">
        <v>2633</v>
      </c>
      <c r="B2283" s="657" t="s">
        <v>531</v>
      </c>
      <c r="C2283" s="656" t="s">
        <v>2634</v>
      </c>
      <c r="D2283" s="657" t="s">
        <v>13789</v>
      </c>
      <c r="E2283" s="657" t="s">
        <v>9654</v>
      </c>
      <c r="F2283" s="656" t="s">
        <v>1949</v>
      </c>
      <c r="G2283" s="656" t="s">
        <v>717</v>
      </c>
      <c r="H2283" s="656" t="s">
        <v>1949</v>
      </c>
      <c r="I2283" s="656" t="s">
        <v>15280</v>
      </c>
      <c r="J2283" s="656"/>
      <c r="K2283" s="656"/>
      <c r="L2283" s="656"/>
      <c r="M2283" s="657"/>
      <c r="N2283" s="1482"/>
      <c r="O2283" s="656" t="s">
        <v>498</v>
      </c>
      <c r="P2283" s="656" t="s">
        <v>13052</v>
      </c>
      <c r="Q2283" s="656">
        <v>44216.776273148149</v>
      </c>
    </row>
    <row r="2284" spans="1:17">
      <c r="A2284" s="656" t="s">
        <v>2635</v>
      </c>
      <c r="B2284" s="657" t="s">
        <v>202</v>
      </c>
      <c r="C2284" s="656" t="s">
        <v>2636</v>
      </c>
      <c r="D2284" s="657"/>
      <c r="E2284" s="657" t="s">
        <v>7439</v>
      </c>
      <c r="F2284" s="656" t="s">
        <v>1300</v>
      </c>
      <c r="G2284" s="656" t="s">
        <v>1301</v>
      </c>
      <c r="H2284" s="656" t="s">
        <v>1300</v>
      </c>
      <c r="I2284" s="656" t="s">
        <v>15280</v>
      </c>
      <c r="J2284" s="656"/>
      <c r="K2284" s="656"/>
      <c r="L2284" s="656"/>
      <c r="M2284" s="657"/>
      <c r="N2284" s="1482"/>
      <c r="O2284" s="656" t="s">
        <v>498</v>
      </c>
      <c r="P2284" s="656" t="s">
        <v>13052</v>
      </c>
      <c r="Q2284" s="656">
        <v>44216.776273148149</v>
      </c>
    </row>
    <row r="2285" spans="1:17">
      <c r="A2285" s="656" t="s">
        <v>2637</v>
      </c>
      <c r="B2285" s="657" t="s">
        <v>202</v>
      </c>
      <c r="C2285" s="656" t="s">
        <v>2638</v>
      </c>
      <c r="D2285" s="657" t="s">
        <v>13789</v>
      </c>
      <c r="E2285" s="657" t="s">
        <v>7439</v>
      </c>
      <c r="F2285" s="656" t="s">
        <v>472</v>
      </c>
      <c r="G2285" s="656" t="s">
        <v>1395</v>
      </c>
      <c r="H2285" s="656" t="s">
        <v>472</v>
      </c>
      <c r="I2285" s="656" t="s">
        <v>14976</v>
      </c>
      <c r="J2285" s="656" t="s">
        <v>12368</v>
      </c>
      <c r="K2285" s="656"/>
      <c r="L2285" s="656"/>
      <c r="M2285" s="657"/>
      <c r="N2285" s="1482"/>
      <c r="O2285" s="656" t="s">
        <v>498</v>
      </c>
      <c r="P2285" s="656" t="s">
        <v>13052</v>
      </c>
      <c r="Q2285" s="656">
        <v>44216.776261574072</v>
      </c>
    </row>
    <row r="2286" spans="1:17">
      <c r="A2286" s="656" t="s">
        <v>2639</v>
      </c>
      <c r="B2286" s="657" t="s">
        <v>202</v>
      </c>
      <c r="C2286" s="656" t="s">
        <v>2640</v>
      </c>
      <c r="D2286" s="657" t="s">
        <v>13789</v>
      </c>
      <c r="E2286" s="657" t="s">
        <v>7439</v>
      </c>
      <c r="F2286" s="656" t="s">
        <v>472</v>
      </c>
      <c r="G2286" s="656" t="s">
        <v>1395</v>
      </c>
      <c r="H2286" s="656" t="s">
        <v>472</v>
      </c>
      <c r="I2286" s="656" t="s">
        <v>14976</v>
      </c>
      <c r="J2286" s="656" t="s">
        <v>12368</v>
      </c>
      <c r="K2286" s="656"/>
      <c r="L2286" s="656"/>
      <c r="M2286" s="657"/>
      <c r="N2286" s="1482"/>
      <c r="O2286" s="656" t="s">
        <v>498</v>
      </c>
      <c r="P2286" s="656" t="s">
        <v>13052</v>
      </c>
      <c r="Q2286" s="656">
        <v>44216.776261574072</v>
      </c>
    </row>
    <row r="2287" spans="1:17">
      <c r="A2287" s="656" t="s">
        <v>2641</v>
      </c>
      <c r="B2287" s="657" t="s">
        <v>202</v>
      </c>
      <c r="C2287" s="656" t="s">
        <v>2642</v>
      </c>
      <c r="D2287" s="657" t="s">
        <v>13789</v>
      </c>
      <c r="E2287" s="657" t="s">
        <v>7439</v>
      </c>
      <c r="F2287" s="656" t="s">
        <v>472</v>
      </c>
      <c r="G2287" s="656" t="s">
        <v>1395</v>
      </c>
      <c r="H2287" s="656" t="s">
        <v>472</v>
      </c>
      <c r="I2287" s="656" t="s">
        <v>14976</v>
      </c>
      <c r="J2287" s="656" t="s">
        <v>12368</v>
      </c>
      <c r="K2287" s="656"/>
      <c r="L2287" s="656"/>
      <c r="M2287" s="657"/>
      <c r="N2287" s="1482"/>
      <c r="O2287" s="656" t="s">
        <v>498</v>
      </c>
      <c r="P2287" s="656" t="s">
        <v>13052</v>
      </c>
      <c r="Q2287" s="656">
        <v>44216.776250000003</v>
      </c>
    </row>
    <row r="2288" spans="1:17">
      <c r="A2288" s="656" t="s">
        <v>2643</v>
      </c>
      <c r="B2288" s="657" t="s">
        <v>202</v>
      </c>
      <c r="C2288" s="656" t="s">
        <v>2644</v>
      </c>
      <c r="D2288" s="657" t="s">
        <v>13789</v>
      </c>
      <c r="E2288" s="657" t="s">
        <v>7439</v>
      </c>
      <c r="F2288" s="656" t="s">
        <v>472</v>
      </c>
      <c r="G2288" s="656" t="s">
        <v>1395</v>
      </c>
      <c r="H2288" s="656" t="s">
        <v>472</v>
      </c>
      <c r="I2288" s="656" t="s">
        <v>14976</v>
      </c>
      <c r="J2288" s="656" t="s">
        <v>12368</v>
      </c>
      <c r="K2288" s="656"/>
      <c r="L2288" s="656"/>
      <c r="M2288" s="657"/>
      <c r="N2288" s="1482"/>
      <c r="O2288" s="656" t="s">
        <v>498</v>
      </c>
      <c r="P2288" s="656" t="s">
        <v>13052</v>
      </c>
      <c r="Q2288" s="656">
        <v>44216.776250000003</v>
      </c>
    </row>
    <row r="2289" spans="1:17">
      <c r="A2289" s="656" t="s">
        <v>2645</v>
      </c>
      <c r="B2289" s="657" t="s">
        <v>202</v>
      </c>
      <c r="C2289" s="656" t="s">
        <v>2646</v>
      </c>
      <c r="D2289" s="657" t="s">
        <v>13789</v>
      </c>
      <c r="E2289" s="657" t="s">
        <v>7439</v>
      </c>
      <c r="F2289" s="656" t="s">
        <v>472</v>
      </c>
      <c r="G2289" s="656" t="s">
        <v>1395</v>
      </c>
      <c r="H2289" s="656" t="s">
        <v>472</v>
      </c>
      <c r="I2289" s="656" t="s">
        <v>14976</v>
      </c>
      <c r="J2289" s="656" t="s">
        <v>12368</v>
      </c>
      <c r="K2289" s="656"/>
      <c r="L2289" s="656"/>
      <c r="M2289" s="657"/>
      <c r="N2289" s="1482"/>
      <c r="O2289" s="656" t="s">
        <v>498</v>
      </c>
      <c r="P2289" s="656" t="s">
        <v>13052</v>
      </c>
      <c r="Q2289" s="656">
        <v>44216.776238425926</v>
      </c>
    </row>
    <row r="2290" spans="1:17">
      <c r="A2290" s="656" t="s">
        <v>2647</v>
      </c>
      <c r="B2290" s="657" t="s">
        <v>202</v>
      </c>
      <c r="C2290" s="656" t="s">
        <v>2648</v>
      </c>
      <c r="D2290" s="657" t="s">
        <v>13789</v>
      </c>
      <c r="E2290" s="657" t="s">
        <v>7439</v>
      </c>
      <c r="F2290" s="656" t="s">
        <v>472</v>
      </c>
      <c r="G2290" s="656" t="s">
        <v>1395</v>
      </c>
      <c r="H2290" s="656" t="s">
        <v>472</v>
      </c>
      <c r="I2290" s="656" t="s">
        <v>14976</v>
      </c>
      <c r="J2290" s="656" t="s">
        <v>12368</v>
      </c>
      <c r="K2290" s="656"/>
      <c r="L2290" s="656"/>
      <c r="M2290" s="657"/>
      <c r="N2290" s="1482"/>
      <c r="O2290" s="656" t="s">
        <v>498</v>
      </c>
      <c r="P2290" s="656" t="s">
        <v>13052</v>
      </c>
      <c r="Q2290" s="656">
        <v>44216.776238425926</v>
      </c>
    </row>
    <row r="2291" spans="1:17">
      <c r="A2291" s="656" t="s">
        <v>2649</v>
      </c>
      <c r="B2291" s="657" t="s">
        <v>202</v>
      </c>
      <c r="C2291" s="656" t="s">
        <v>2650</v>
      </c>
      <c r="D2291" s="657" t="s">
        <v>13789</v>
      </c>
      <c r="E2291" s="657" t="s">
        <v>7439</v>
      </c>
      <c r="F2291" s="656" t="s">
        <v>472</v>
      </c>
      <c r="G2291" s="656" t="s">
        <v>1395</v>
      </c>
      <c r="H2291" s="656" t="s">
        <v>472</v>
      </c>
      <c r="I2291" s="656" t="s">
        <v>14976</v>
      </c>
      <c r="J2291" s="656" t="s">
        <v>12368</v>
      </c>
      <c r="K2291" s="656"/>
      <c r="L2291" s="656"/>
      <c r="M2291" s="657"/>
      <c r="N2291" s="1482"/>
      <c r="O2291" s="656" t="s">
        <v>498</v>
      </c>
      <c r="P2291" s="656" t="s">
        <v>13052</v>
      </c>
      <c r="Q2291" s="656">
        <v>44216.776226851849</v>
      </c>
    </row>
    <row r="2292" spans="1:17">
      <c r="A2292" s="656" t="s">
        <v>2651</v>
      </c>
      <c r="B2292" s="657" t="s">
        <v>202</v>
      </c>
      <c r="C2292" s="656" t="s">
        <v>2652</v>
      </c>
      <c r="D2292" s="657" t="s">
        <v>13789</v>
      </c>
      <c r="E2292" s="657" t="s">
        <v>7439</v>
      </c>
      <c r="F2292" s="656" t="s">
        <v>472</v>
      </c>
      <c r="G2292" s="656" t="s">
        <v>1395</v>
      </c>
      <c r="H2292" s="656" t="s">
        <v>472</v>
      </c>
      <c r="I2292" s="656" t="s">
        <v>14976</v>
      </c>
      <c r="J2292" s="656" t="s">
        <v>12368</v>
      </c>
      <c r="K2292" s="656"/>
      <c r="L2292" s="656"/>
      <c r="M2292" s="657"/>
      <c r="N2292" s="1482"/>
      <c r="O2292" s="656" t="s">
        <v>498</v>
      </c>
      <c r="P2292" s="656" t="s">
        <v>13052</v>
      </c>
      <c r="Q2292" s="656">
        <v>44216.776226851849</v>
      </c>
    </row>
    <row r="2293" spans="1:17">
      <c r="A2293" s="656" t="s">
        <v>2653</v>
      </c>
      <c r="B2293" s="657" t="s">
        <v>202</v>
      </c>
      <c r="C2293" s="656" t="s">
        <v>2654</v>
      </c>
      <c r="D2293" s="657" t="s">
        <v>13789</v>
      </c>
      <c r="E2293" s="657" t="s">
        <v>7439</v>
      </c>
      <c r="F2293" s="656" t="s">
        <v>472</v>
      </c>
      <c r="G2293" s="656" t="s">
        <v>1395</v>
      </c>
      <c r="H2293" s="656" t="s">
        <v>472</v>
      </c>
      <c r="I2293" s="656" t="s">
        <v>14976</v>
      </c>
      <c r="J2293" s="656" t="s">
        <v>12368</v>
      </c>
      <c r="K2293" s="656"/>
      <c r="L2293" s="656"/>
      <c r="M2293" s="657"/>
      <c r="N2293" s="1482"/>
      <c r="O2293" s="656" t="s">
        <v>498</v>
      </c>
      <c r="P2293" s="656" t="s">
        <v>13052</v>
      </c>
      <c r="Q2293" s="656">
        <v>44216.77621527778</v>
      </c>
    </row>
    <row r="2294" spans="1:17">
      <c r="A2294" s="656" t="s">
        <v>2655</v>
      </c>
      <c r="B2294" s="657" t="s">
        <v>202</v>
      </c>
      <c r="C2294" s="656" t="s">
        <v>2249</v>
      </c>
      <c r="D2294" s="657" t="s">
        <v>13789</v>
      </c>
      <c r="E2294" s="657" t="s">
        <v>7439</v>
      </c>
      <c r="F2294" s="656" t="s">
        <v>472</v>
      </c>
      <c r="G2294" s="656" t="s">
        <v>1395</v>
      </c>
      <c r="H2294" s="656" t="s">
        <v>472</v>
      </c>
      <c r="I2294" s="656" t="s">
        <v>14976</v>
      </c>
      <c r="J2294" s="656" t="s">
        <v>12368</v>
      </c>
      <c r="K2294" s="656"/>
      <c r="L2294" s="656"/>
      <c r="M2294" s="657"/>
      <c r="N2294" s="1482"/>
      <c r="O2294" s="656" t="s">
        <v>498</v>
      </c>
      <c r="P2294" s="656" t="s">
        <v>13052</v>
      </c>
      <c r="Q2294" s="656">
        <v>44216.77621527778</v>
      </c>
    </row>
    <row r="2295" spans="1:17">
      <c r="A2295" s="656" t="s">
        <v>2656</v>
      </c>
      <c r="B2295" s="657" t="s">
        <v>202</v>
      </c>
      <c r="C2295" s="656" t="s">
        <v>2657</v>
      </c>
      <c r="D2295" s="657" t="s">
        <v>13789</v>
      </c>
      <c r="E2295" s="657" t="s">
        <v>7439</v>
      </c>
      <c r="F2295" s="656" t="s">
        <v>472</v>
      </c>
      <c r="G2295" s="656" t="s">
        <v>1395</v>
      </c>
      <c r="H2295" s="656" t="s">
        <v>472</v>
      </c>
      <c r="I2295" s="656" t="s">
        <v>14976</v>
      </c>
      <c r="J2295" s="656" t="s">
        <v>12368</v>
      </c>
      <c r="K2295" s="656"/>
      <c r="L2295" s="656"/>
      <c r="M2295" s="657"/>
      <c r="N2295" s="1482"/>
      <c r="O2295" s="656" t="s">
        <v>498</v>
      </c>
      <c r="P2295" s="656" t="s">
        <v>13052</v>
      </c>
      <c r="Q2295" s="656">
        <v>44216.77621527778</v>
      </c>
    </row>
    <row r="2296" spans="1:17">
      <c r="A2296" s="656" t="s">
        <v>9695</v>
      </c>
      <c r="B2296" s="657" t="s">
        <v>202</v>
      </c>
      <c r="C2296" s="656" t="s">
        <v>9355</v>
      </c>
      <c r="D2296" s="657" t="s">
        <v>13789</v>
      </c>
      <c r="E2296" s="657" t="s">
        <v>7437</v>
      </c>
      <c r="F2296" s="656" t="s">
        <v>472</v>
      </c>
      <c r="G2296" s="656" t="s">
        <v>519</v>
      </c>
      <c r="H2296" s="656" t="s">
        <v>472</v>
      </c>
      <c r="I2296" s="656" t="s">
        <v>14976</v>
      </c>
      <c r="J2296" s="656" t="s">
        <v>8814</v>
      </c>
      <c r="K2296" s="656" t="s">
        <v>1058</v>
      </c>
      <c r="L2296" s="656"/>
      <c r="M2296" s="657"/>
      <c r="N2296" s="1482"/>
      <c r="O2296" s="656" t="s">
        <v>498</v>
      </c>
      <c r="P2296" s="656" t="s">
        <v>13052</v>
      </c>
      <c r="Q2296" s="656">
        <v>44216.776203703703</v>
      </c>
    </row>
    <row r="2297" spans="1:17">
      <c r="A2297" s="656" t="s">
        <v>2658</v>
      </c>
      <c r="B2297" s="657" t="s">
        <v>202</v>
      </c>
      <c r="C2297" s="656" t="s">
        <v>2659</v>
      </c>
      <c r="D2297" s="657" t="s">
        <v>13789</v>
      </c>
      <c r="E2297" s="657" t="s">
        <v>7439</v>
      </c>
      <c r="F2297" s="656" t="s">
        <v>783</v>
      </c>
      <c r="G2297" s="656" t="s">
        <v>783</v>
      </c>
      <c r="H2297" s="656" t="s">
        <v>783</v>
      </c>
      <c r="I2297" s="656" t="s">
        <v>15280</v>
      </c>
      <c r="J2297" s="656"/>
      <c r="K2297" s="656"/>
      <c r="L2297" s="656"/>
      <c r="M2297" s="657"/>
      <c r="N2297" s="1482"/>
      <c r="O2297" s="656" t="s">
        <v>498</v>
      </c>
      <c r="P2297" s="656" t="s">
        <v>13052</v>
      </c>
      <c r="Q2297" s="656">
        <v>44216.776203703703</v>
      </c>
    </row>
    <row r="2298" spans="1:17">
      <c r="A2298" s="656" t="s">
        <v>2660</v>
      </c>
      <c r="B2298" s="657" t="s">
        <v>202</v>
      </c>
      <c r="C2298" s="656" t="s">
        <v>2661</v>
      </c>
      <c r="D2298" s="657" t="s">
        <v>14977</v>
      </c>
      <c r="E2298" s="657" t="s">
        <v>7439</v>
      </c>
      <c r="F2298" s="656" t="s">
        <v>783</v>
      </c>
      <c r="G2298" s="656" t="s">
        <v>783</v>
      </c>
      <c r="H2298" s="656" t="s">
        <v>783</v>
      </c>
      <c r="I2298" s="656" t="s">
        <v>15280</v>
      </c>
      <c r="J2298" s="656"/>
      <c r="K2298" s="656"/>
      <c r="L2298" s="656" t="s">
        <v>2660</v>
      </c>
      <c r="M2298" s="657"/>
      <c r="N2298" s="1482"/>
      <c r="O2298" s="656" t="s">
        <v>498</v>
      </c>
      <c r="P2298" s="656" t="s">
        <v>13052</v>
      </c>
      <c r="Q2298" s="656">
        <v>44216.776192129626</v>
      </c>
    </row>
    <row r="2299" spans="1:17">
      <c r="A2299" s="656" t="s">
        <v>2662</v>
      </c>
      <c r="B2299" s="657" t="s">
        <v>202</v>
      </c>
      <c r="C2299" s="656" t="s">
        <v>2663</v>
      </c>
      <c r="D2299" s="657" t="s">
        <v>13789</v>
      </c>
      <c r="E2299" s="657" t="s">
        <v>7439</v>
      </c>
      <c r="F2299" s="656" t="s">
        <v>1050</v>
      </c>
      <c r="G2299" s="656" t="s">
        <v>1051</v>
      </c>
      <c r="H2299" s="656" t="s">
        <v>1050</v>
      </c>
      <c r="I2299" s="656" t="s">
        <v>15280</v>
      </c>
      <c r="J2299" s="656"/>
      <c r="K2299" s="656"/>
      <c r="L2299" s="656"/>
      <c r="M2299" s="657"/>
      <c r="N2299" s="1482"/>
      <c r="O2299" s="656" t="s">
        <v>498</v>
      </c>
      <c r="P2299" s="656" t="s">
        <v>13052</v>
      </c>
      <c r="Q2299" s="656">
        <v>44216.776192129626</v>
      </c>
    </row>
    <row r="2300" spans="1:17">
      <c r="A2300" s="656" t="s">
        <v>2664</v>
      </c>
      <c r="B2300" s="657" t="s">
        <v>202</v>
      </c>
      <c r="C2300" s="656" t="s">
        <v>2665</v>
      </c>
      <c r="D2300" s="657" t="s">
        <v>13789</v>
      </c>
      <c r="E2300" s="657" t="s">
        <v>7439</v>
      </c>
      <c r="F2300" s="656" t="s">
        <v>500</v>
      </c>
      <c r="G2300" s="656" t="s">
        <v>500</v>
      </c>
      <c r="H2300" s="656" t="s">
        <v>500</v>
      </c>
      <c r="I2300" s="656" t="s">
        <v>15280</v>
      </c>
      <c r="J2300" s="656"/>
      <c r="K2300" s="656"/>
      <c r="L2300" s="656"/>
      <c r="M2300" s="657"/>
      <c r="N2300" s="1482"/>
      <c r="O2300" s="656" t="s">
        <v>498</v>
      </c>
      <c r="P2300" s="656" t="s">
        <v>13052</v>
      </c>
      <c r="Q2300" s="656">
        <v>44216.776180555556</v>
      </c>
    </row>
    <row r="2301" spans="1:17">
      <c r="A2301" s="656" t="s">
        <v>2666</v>
      </c>
      <c r="B2301" s="657" t="s">
        <v>202</v>
      </c>
      <c r="C2301" s="656" t="s">
        <v>2667</v>
      </c>
      <c r="D2301" s="657" t="s">
        <v>13789</v>
      </c>
      <c r="E2301" s="657" t="s">
        <v>7439</v>
      </c>
      <c r="F2301" s="656" t="s">
        <v>1300</v>
      </c>
      <c r="G2301" s="656" t="s">
        <v>1070</v>
      </c>
      <c r="H2301" s="656" t="s">
        <v>1300</v>
      </c>
      <c r="I2301" s="656" t="s">
        <v>15280</v>
      </c>
      <c r="J2301" s="656" t="s">
        <v>463</v>
      </c>
      <c r="K2301" s="656"/>
      <c r="L2301" s="656"/>
      <c r="M2301" s="657"/>
      <c r="N2301" s="1482"/>
      <c r="O2301" s="656" t="s">
        <v>498</v>
      </c>
      <c r="P2301" s="656" t="s">
        <v>13052</v>
      </c>
      <c r="Q2301" s="656">
        <v>44216.776180555556</v>
      </c>
    </row>
    <row r="2302" spans="1:17">
      <c r="A2302" s="656" t="s">
        <v>2668</v>
      </c>
      <c r="B2302" s="657" t="s">
        <v>202</v>
      </c>
      <c r="C2302" s="656" t="s">
        <v>2669</v>
      </c>
      <c r="D2302" s="657" t="s">
        <v>14977</v>
      </c>
      <c r="E2302" s="657" t="s">
        <v>7439</v>
      </c>
      <c r="F2302" s="656" t="s">
        <v>1300</v>
      </c>
      <c r="G2302" s="656" t="s">
        <v>2072</v>
      </c>
      <c r="H2302" s="656" t="s">
        <v>1300</v>
      </c>
      <c r="I2302" s="656" t="s">
        <v>15280</v>
      </c>
      <c r="J2302" s="656" t="s">
        <v>463</v>
      </c>
      <c r="K2302" s="656"/>
      <c r="L2302" s="656"/>
      <c r="M2302" s="657"/>
      <c r="N2302" s="1482"/>
      <c r="O2302" s="656" t="s">
        <v>498</v>
      </c>
      <c r="P2302" s="656" t="s">
        <v>13052</v>
      </c>
      <c r="Q2302" s="656">
        <v>44216.77616898148</v>
      </c>
    </row>
    <row r="2303" spans="1:17">
      <c r="A2303" s="656" t="s">
        <v>2670</v>
      </c>
      <c r="B2303" s="657" t="s">
        <v>202</v>
      </c>
      <c r="C2303" s="656" t="s">
        <v>2671</v>
      </c>
      <c r="D2303" s="657" t="s">
        <v>13789</v>
      </c>
      <c r="E2303" s="657" t="s">
        <v>7439</v>
      </c>
      <c r="F2303" s="656" t="s">
        <v>1300</v>
      </c>
      <c r="G2303" s="656" t="s">
        <v>1478</v>
      </c>
      <c r="H2303" s="656" t="s">
        <v>1300</v>
      </c>
      <c r="I2303" s="656" t="s">
        <v>15280</v>
      </c>
      <c r="J2303" s="656"/>
      <c r="K2303" s="656"/>
      <c r="L2303" s="656"/>
      <c r="M2303" s="657"/>
      <c r="N2303" s="1482"/>
      <c r="O2303" s="656" t="s">
        <v>498</v>
      </c>
      <c r="P2303" s="656" t="s">
        <v>13052</v>
      </c>
      <c r="Q2303" s="656">
        <v>44216.77616898148</v>
      </c>
    </row>
    <row r="2304" spans="1:17">
      <c r="A2304" s="656" t="s">
        <v>2672</v>
      </c>
      <c r="B2304" s="657" t="s">
        <v>202</v>
      </c>
      <c r="C2304" s="656" t="s">
        <v>2673</v>
      </c>
      <c r="D2304" s="657" t="s">
        <v>13789</v>
      </c>
      <c r="E2304" s="657" t="s">
        <v>7439</v>
      </c>
      <c r="F2304" s="656" t="s">
        <v>1300</v>
      </c>
      <c r="G2304" s="656" t="s">
        <v>1070</v>
      </c>
      <c r="H2304" s="656" t="s">
        <v>1300</v>
      </c>
      <c r="I2304" s="656" t="s">
        <v>15280</v>
      </c>
      <c r="J2304" s="656"/>
      <c r="K2304" s="656"/>
      <c r="L2304" s="656"/>
      <c r="M2304" s="657"/>
      <c r="N2304" s="1482"/>
      <c r="O2304" s="656" t="s">
        <v>498</v>
      </c>
      <c r="P2304" s="656" t="s">
        <v>13052</v>
      </c>
      <c r="Q2304" s="656">
        <v>44216.77615740741</v>
      </c>
    </row>
    <row r="2305" spans="1:17">
      <c r="A2305" s="656" t="s">
        <v>2674</v>
      </c>
      <c r="B2305" s="657" t="s">
        <v>202</v>
      </c>
      <c r="C2305" s="656" t="s">
        <v>2675</v>
      </c>
      <c r="D2305" s="657" t="s">
        <v>14977</v>
      </c>
      <c r="E2305" s="657" t="s">
        <v>7439</v>
      </c>
      <c r="F2305" s="656" t="s">
        <v>472</v>
      </c>
      <c r="G2305" s="656" t="s">
        <v>1395</v>
      </c>
      <c r="H2305" s="656" t="s">
        <v>472</v>
      </c>
      <c r="I2305" s="656" t="s">
        <v>14976</v>
      </c>
      <c r="J2305" s="656" t="s">
        <v>12368</v>
      </c>
      <c r="K2305" s="656"/>
      <c r="L2305" s="656"/>
      <c r="M2305" s="657"/>
      <c r="N2305" s="1482"/>
      <c r="O2305" s="656" t="s">
        <v>498</v>
      </c>
      <c r="P2305" s="656" t="s">
        <v>13052</v>
      </c>
      <c r="Q2305" s="656">
        <v>44216.776145833333</v>
      </c>
    </row>
    <row r="2306" spans="1:17">
      <c r="A2306" s="656" t="s">
        <v>2676</v>
      </c>
      <c r="B2306" s="657" t="s">
        <v>202</v>
      </c>
      <c r="C2306" s="656" t="s">
        <v>2677</v>
      </c>
      <c r="D2306" s="657" t="s">
        <v>14977</v>
      </c>
      <c r="E2306" s="657" t="s">
        <v>7439</v>
      </c>
      <c r="F2306" s="656" t="s">
        <v>472</v>
      </c>
      <c r="G2306" s="656" t="s">
        <v>1395</v>
      </c>
      <c r="H2306" s="656" t="s">
        <v>472</v>
      </c>
      <c r="I2306" s="656" t="s">
        <v>14976</v>
      </c>
      <c r="J2306" s="656" t="s">
        <v>12368</v>
      </c>
      <c r="K2306" s="656"/>
      <c r="L2306" s="656"/>
      <c r="M2306" s="657"/>
      <c r="N2306" s="1482"/>
      <c r="O2306" s="656" t="s">
        <v>498</v>
      </c>
      <c r="P2306" s="656" t="s">
        <v>13052</v>
      </c>
      <c r="Q2306" s="656">
        <v>44216.776145833333</v>
      </c>
    </row>
    <row r="2307" spans="1:17">
      <c r="A2307" s="656" t="s">
        <v>2678</v>
      </c>
      <c r="B2307" s="657" t="s">
        <v>202</v>
      </c>
      <c r="C2307" s="656" t="s">
        <v>2679</v>
      </c>
      <c r="D2307" s="657" t="s">
        <v>14977</v>
      </c>
      <c r="E2307" s="657" t="s">
        <v>7439</v>
      </c>
      <c r="F2307" s="656" t="s">
        <v>472</v>
      </c>
      <c r="G2307" s="656" t="s">
        <v>1395</v>
      </c>
      <c r="H2307" s="656" t="s">
        <v>472</v>
      </c>
      <c r="I2307" s="656" t="s">
        <v>14976</v>
      </c>
      <c r="J2307" s="656" t="s">
        <v>12368</v>
      </c>
      <c r="K2307" s="656"/>
      <c r="L2307" s="656"/>
      <c r="M2307" s="657"/>
      <c r="N2307" s="1482"/>
      <c r="O2307" s="656" t="s">
        <v>498</v>
      </c>
      <c r="P2307" s="656" t="s">
        <v>13052</v>
      </c>
      <c r="Q2307" s="656">
        <v>44216.776134259257</v>
      </c>
    </row>
    <row r="2308" spans="1:17">
      <c r="A2308" s="656" t="s">
        <v>2680</v>
      </c>
      <c r="B2308" s="657" t="s">
        <v>202</v>
      </c>
      <c r="C2308" s="656" t="s">
        <v>2681</v>
      </c>
      <c r="D2308" s="657" t="s">
        <v>14978</v>
      </c>
      <c r="E2308" s="657" t="s">
        <v>7439</v>
      </c>
      <c r="F2308" s="656" t="s">
        <v>462</v>
      </c>
      <c r="G2308" s="656" t="s">
        <v>711</v>
      </c>
      <c r="H2308" s="656" t="s">
        <v>462</v>
      </c>
      <c r="I2308" s="656" t="s">
        <v>15280</v>
      </c>
      <c r="J2308" s="656" t="s">
        <v>463</v>
      </c>
      <c r="K2308" s="656"/>
      <c r="L2308" s="656" t="s">
        <v>2848</v>
      </c>
      <c r="M2308" s="657"/>
      <c r="N2308" s="1482"/>
      <c r="O2308" s="656" t="s">
        <v>498</v>
      </c>
      <c r="P2308" s="656" t="s">
        <v>13052</v>
      </c>
      <c r="Q2308" s="656">
        <v>44216.776134259257</v>
      </c>
    </row>
    <row r="2309" spans="1:17">
      <c r="A2309" s="656" t="s">
        <v>2682</v>
      </c>
      <c r="B2309" s="657" t="s">
        <v>202</v>
      </c>
      <c r="C2309" s="656" t="s">
        <v>2683</v>
      </c>
      <c r="D2309" s="657" t="s">
        <v>13789</v>
      </c>
      <c r="E2309" s="657" t="s">
        <v>7439</v>
      </c>
      <c r="F2309" s="656" t="s">
        <v>783</v>
      </c>
      <c r="G2309" s="656" t="s">
        <v>783</v>
      </c>
      <c r="H2309" s="656" t="s">
        <v>783</v>
      </c>
      <c r="I2309" s="656" t="s">
        <v>14976</v>
      </c>
      <c r="J2309" s="656"/>
      <c r="K2309" s="656"/>
      <c r="L2309" s="656"/>
      <c r="M2309" s="657"/>
      <c r="N2309" s="1482"/>
      <c r="O2309" s="656" t="s">
        <v>498</v>
      </c>
      <c r="P2309" s="656" t="s">
        <v>13052</v>
      </c>
      <c r="Q2309" s="656">
        <v>44216.776122685187</v>
      </c>
    </row>
    <row r="2310" spans="1:17">
      <c r="A2310" s="656" t="s">
        <v>2684</v>
      </c>
      <c r="B2310" s="657" t="s">
        <v>202</v>
      </c>
      <c r="C2310" s="656" t="s">
        <v>2685</v>
      </c>
      <c r="D2310" s="657" t="s">
        <v>13789</v>
      </c>
      <c r="E2310" s="657" t="s">
        <v>7439</v>
      </c>
      <c r="F2310" s="656" t="s">
        <v>500</v>
      </c>
      <c r="G2310" s="656" t="s">
        <v>500</v>
      </c>
      <c r="H2310" s="656" t="s">
        <v>500</v>
      </c>
      <c r="I2310" s="656" t="s">
        <v>15280</v>
      </c>
      <c r="J2310" s="656"/>
      <c r="K2310" s="656"/>
      <c r="L2310" s="656"/>
      <c r="M2310" s="657"/>
      <c r="N2310" s="1482"/>
      <c r="O2310" s="656" t="s">
        <v>498</v>
      </c>
      <c r="P2310" s="656" t="s">
        <v>13052</v>
      </c>
      <c r="Q2310" s="656">
        <v>44216.776122685187</v>
      </c>
    </row>
    <row r="2311" spans="1:17">
      <c r="A2311" s="656" t="s">
        <v>2686</v>
      </c>
      <c r="B2311" s="657" t="s">
        <v>504</v>
      </c>
      <c r="C2311" s="656" t="s">
        <v>2687</v>
      </c>
      <c r="D2311" s="657" t="s">
        <v>13789</v>
      </c>
      <c r="E2311" s="657" t="s">
        <v>9654</v>
      </c>
      <c r="F2311" s="656" t="s">
        <v>505</v>
      </c>
      <c r="G2311" s="656" t="s">
        <v>522</v>
      </c>
      <c r="H2311" s="656" t="s">
        <v>505</v>
      </c>
      <c r="I2311" s="656" t="s">
        <v>14976</v>
      </c>
      <c r="J2311" s="656"/>
      <c r="K2311" s="656"/>
      <c r="L2311" s="656"/>
      <c r="M2311" s="657"/>
      <c r="N2311" s="1482"/>
      <c r="O2311" s="656" t="s">
        <v>498</v>
      </c>
      <c r="P2311" s="656" t="s">
        <v>13052</v>
      </c>
      <c r="Q2311" s="656">
        <v>44216.77611111111</v>
      </c>
    </row>
    <row r="2312" spans="1:17">
      <c r="A2312" s="656" t="s">
        <v>2688</v>
      </c>
      <c r="B2312" s="657" t="s">
        <v>202</v>
      </c>
      <c r="C2312" s="656" t="s">
        <v>2689</v>
      </c>
      <c r="D2312" s="657" t="s">
        <v>13789</v>
      </c>
      <c r="E2312" s="657" t="s">
        <v>7439</v>
      </c>
      <c r="F2312" s="656" t="s">
        <v>1300</v>
      </c>
      <c r="G2312" s="656" t="s">
        <v>1924</v>
      </c>
      <c r="H2312" s="656" t="s">
        <v>1300</v>
      </c>
      <c r="I2312" s="656" t="s">
        <v>15280</v>
      </c>
      <c r="J2312" s="656" t="s">
        <v>463</v>
      </c>
      <c r="K2312" s="656"/>
      <c r="L2312" s="656"/>
      <c r="M2312" s="657"/>
      <c r="N2312" s="1482"/>
      <c r="O2312" s="656" t="s">
        <v>498</v>
      </c>
      <c r="P2312" s="656" t="s">
        <v>13052</v>
      </c>
      <c r="Q2312" s="656">
        <v>44216.77611111111</v>
      </c>
    </row>
    <row r="2313" spans="1:17">
      <c r="A2313" s="656" t="s">
        <v>2690</v>
      </c>
      <c r="B2313" s="657" t="s">
        <v>202</v>
      </c>
      <c r="C2313" s="656" t="s">
        <v>2691</v>
      </c>
      <c r="D2313" s="657" t="s">
        <v>13789</v>
      </c>
      <c r="E2313" s="657" t="s">
        <v>7439</v>
      </c>
      <c r="F2313" s="656" t="s">
        <v>1300</v>
      </c>
      <c r="G2313" s="656" t="s">
        <v>1070</v>
      </c>
      <c r="H2313" s="656" t="s">
        <v>1300</v>
      </c>
      <c r="I2313" s="656" t="s">
        <v>15280</v>
      </c>
      <c r="J2313" s="656"/>
      <c r="K2313" s="656"/>
      <c r="L2313" s="656"/>
      <c r="M2313" s="657"/>
      <c r="N2313" s="1482"/>
      <c r="O2313" s="656" t="s">
        <v>498</v>
      </c>
      <c r="P2313" s="656" t="s">
        <v>13052</v>
      </c>
      <c r="Q2313" s="656">
        <v>44216.776099537034</v>
      </c>
    </row>
    <row r="2314" spans="1:17">
      <c r="A2314" s="656" t="s">
        <v>2692</v>
      </c>
      <c r="B2314" s="657" t="s">
        <v>531</v>
      </c>
      <c r="C2314" s="656" t="s">
        <v>2693</v>
      </c>
      <c r="D2314" s="657" t="s">
        <v>13789</v>
      </c>
      <c r="E2314" s="657" t="s">
        <v>9654</v>
      </c>
      <c r="F2314" s="656" t="s">
        <v>2849</v>
      </c>
      <c r="G2314" s="656" t="s">
        <v>717</v>
      </c>
      <c r="H2314" s="656" t="s">
        <v>1338</v>
      </c>
      <c r="I2314" s="656" t="s">
        <v>15280</v>
      </c>
      <c r="J2314" s="656"/>
      <c r="K2314" s="656"/>
      <c r="L2314" s="656"/>
      <c r="M2314" s="657"/>
      <c r="N2314" s="1482"/>
      <c r="O2314" s="656" t="s">
        <v>498</v>
      </c>
      <c r="P2314" s="656" t="s">
        <v>13052</v>
      </c>
      <c r="Q2314" s="656">
        <v>44216.776099537034</v>
      </c>
    </row>
    <row r="2315" spans="1:17">
      <c r="A2315" s="656" t="s">
        <v>2694</v>
      </c>
      <c r="B2315" s="657" t="s">
        <v>504</v>
      </c>
      <c r="C2315" s="656" t="s">
        <v>2695</v>
      </c>
      <c r="D2315" s="657" t="s">
        <v>13789</v>
      </c>
      <c r="E2315" s="657" t="s">
        <v>9654</v>
      </c>
      <c r="F2315" s="656" t="s">
        <v>505</v>
      </c>
      <c r="G2315" s="656" t="s">
        <v>522</v>
      </c>
      <c r="H2315" s="656" t="s">
        <v>505</v>
      </c>
      <c r="I2315" s="656" t="s">
        <v>14976</v>
      </c>
      <c r="J2315" s="656"/>
      <c r="K2315" s="656"/>
      <c r="L2315" s="656"/>
      <c r="M2315" s="657"/>
      <c r="N2315" s="1482"/>
      <c r="O2315" s="656" t="s">
        <v>498</v>
      </c>
      <c r="P2315" s="656" t="s">
        <v>13052</v>
      </c>
      <c r="Q2315" s="656">
        <v>44216.776087962964</v>
      </c>
    </row>
    <row r="2316" spans="1:17">
      <c r="A2316" s="656" t="s">
        <v>2696</v>
      </c>
      <c r="B2316" s="657" t="s">
        <v>504</v>
      </c>
      <c r="C2316" s="656" t="s">
        <v>2697</v>
      </c>
      <c r="D2316" s="657" t="s">
        <v>13789</v>
      </c>
      <c r="E2316" s="657" t="s">
        <v>9654</v>
      </c>
      <c r="F2316" s="656" t="s">
        <v>505</v>
      </c>
      <c r="G2316" s="656" t="s">
        <v>522</v>
      </c>
      <c r="H2316" s="656" t="s">
        <v>505</v>
      </c>
      <c r="I2316" s="656" t="s">
        <v>14976</v>
      </c>
      <c r="J2316" s="656"/>
      <c r="K2316" s="656"/>
      <c r="L2316" s="656"/>
      <c r="M2316" s="657"/>
      <c r="N2316" s="1482"/>
      <c r="O2316" s="656" t="s">
        <v>498</v>
      </c>
      <c r="P2316" s="656" t="s">
        <v>13052</v>
      </c>
      <c r="Q2316" s="656">
        <v>44216.776076388887</v>
      </c>
    </row>
    <row r="2317" spans="1:17">
      <c r="A2317" s="656" t="s">
        <v>2698</v>
      </c>
      <c r="B2317" s="657" t="s">
        <v>202</v>
      </c>
      <c r="C2317" s="656" t="s">
        <v>2699</v>
      </c>
      <c r="D2317" s="657" t="s">
        <v>13789</v>
      </c>
      <c r="E2317" s="657" t="s">
        <v>7439</v>
      </c>
      <c r="F2317" s="656" t="s">
        <v>500</v>
      </c>
      <c r="G2317" s="656" t="s">
        <v>500</v>
      </c>
      <c r="H2317" s="656" t="s">
        <v>500</v>
      </c>
      <c r="I2317" s="656" t="s">
        <v>15280</v>
      </c>
      <c r="J2317" s="656"/>
      <c r="K2317" s="656"/>
      <c r="L2317" s="656"/>
      <c r="M2317" s="657"/>
      <c r="N2317" s="1482"/>
      <c r="O2317" s="656" t="s">
        <v>498</v>
      </c>
      <c r="P2317" s="656" t="s">
        <v>13052</v>
      </c>
      <c r="Q2317" s="656">
        <v>44216.776076388887</v>
      </c>
    </row>
    <row r="2318" spans="1:17">
      <c r="A2318" s="656" t="s">
        <v>2700</v>
      </c>
      <c r="B2318" s="657" t="s">
        <v>202</v>
      </c>
      <c r="C2318" s="656" t="s">
        <v>2701</v>
      </c>
      <c r="D2318" s="657" t="s">
        <v>13789</v>
      </c>
      <c r="E2318" s="657" t="s">
        <v>7439</v>
      </c>
      <c r="F2318" s="656" t="s">
        <v>1667</v>
      </c>
      <c r="G2318" s="656" t="s">
        <v>2702</v>
      </c>
      <c r="H2318" s="656" t="s">
        <v>1667</v>
      </c>
      <c r="I2318" s="656" t="s">
        <v>15280</v>
      </c>
      <c r="J2318" s="656"/>
      <c r="K2318" s="656"/>
      <c r="L2318" s="656"/>
      <c r="M2318" s="657"/>
      <c r="N2318" s="1482"/>
      <c r="O2318" s="656" t="s">
        <v>498</v>
      </c>
      <c r="P2318" s="656" t="s">
        <v>13052</v>
      </c>
      <c r="Q2318" s="656">
        <v>44216.776064814818</v>
      </c>
    </row>
    <row r="2319" spans="1:17">
      <c r="A2319" s="656" t="s">
        <v>2703</v>
      </c>
      <c r="B2319" s="657" t="s">
        <v>202</v>
      </c>
      <c r="C2319" s="656" t="s">
        <v>2704</v>
      </c>
      <c r="D2319" s="657" t="s">
        <v>13789</v>
      </c>
      <c r="E2319" s="657" t="s">
        <v>7439</v>
      </c>
      <c r="F2319" s="656" t="s">
        <v>3077</v>
      </c>
      <c r="G2319" s="656"/>
      <c r="H2319" s="656" t="s">
        <v>465</v>
      </c>
      <c r="I2319" s="656" t="s">
        <v>15280</v>
      </c>
      <c r="J2319" s="656" t="s">
        <v>446</v>
      </c>
      <c r="K2319" s="656"/>
      <c r="L2319" s="656"/>
      <c r="M2319" s="657"/>
      <c r="N2319" s="1482"/>
      <c r="O2319" s="656" t="s">
        <v>498</v>
      </c>
      <c r="P2319" s="656" t="s">
        <v>13052</v>
      </c>
      <c r="Q2319" s="656">
        <v>44216.776064814818</v>
      </c>
    </row>
    <row r="2320" spans="1:17">
      <c r="A2320" s="656" t="s">
        <v>2705</v>
      </c>
      <c r="B2320" s="657" t="s">
        <v>202</v>
      </c>
      <c r="C2320" s="656" t="s">
        <v>2706</v>
      </c>
      <c r="D2320" s="657" t="s">
        <v>13789</v>
      </c>
      <c r="E2320" s="657" t="s">
        <v>7439</v>
      </c>
      <c r="F2320" s="656" t="s">
        <v>1300</v>
      </c>
      <c r="G2320" s="656" t="s">
        <v>1301</v>
      </c>
      <c r="H2320" s="656" t="s">
        <v>1300</v>
      </c>
      <c r="I2320" s="656" t="s">
        <v>15280</v>
      </c>
      <c r="J2320" s="656"/>
      <c r="K2320" s="656"/>
      <c r="L2320" s="656"/>
      <c r="M2320" s="657"/>
      <c r="N2320" s="1482"/>
      <c r="O2320" s="656" t="s">
        <v>498</v>
      </c>
      <c r="P2320" s="656" t="s">
        <v>13052</v>
      </c>
      <c r="Q2320" s="656">
        <v>44216.776053240741</v>
      </c>
    </row>
    <row r="2321" spans="1:17">
      <c r="A2321" s="656" t="s">
        <v>2707</v>
      </c>
      <c r="B2321" s="657" t="s">
        <v>202</v>
      </c>
      <c r="C2321" s="656" t="s">
        <v>2708</v>
      </c>
      <c r="D2321" s="657" t="s">
        <v>13789</v>
      </c>
      <c r="E2321" s="657" t="s">
        <v>7439</v>
      </c>
      <c r="F2321" s="656" t="s">
        <v>1300</v>
      </c>
      <c r="G2321" s="656" t="s">
        <v>1924</v>
      </c>
      <c r="H2321" s="656" t="s">
        <v>1300</v>
      </c>
      <c r="I2321" s="656" t="s">
        <v>15280</v>
      </c>
      <c r="J2321" s="656" t="s">
        <v>463</v>
      </c>
      <c r="K2321" s="656"/>
      <c r="L2321" s="656"/>
      <c r="M2321" s="657"/>
      <c r="N2321" s="1482"/>
      <c r="O2321" s="656" t="s">
        <v>498</v>
      </c>
      <c r="P2321" s="656" t="s">
        <v>13052</v>
      </c>
      <c r="Q2321" s="656">
        <v>44216.776053240741</v>
      </c>
    </row>
    <row r="2322" spans="1:17">
      <c r="A2322" s="656" t="s">
        <v>2709</v>
      </c>
      <c r="B2322" s="657" t="s">
        <v>202</v>
      </c>
      <c r="C2322" s="656" t="s">
        <v>2710</v>
      </c>
      <c r="D2322" s="657" t="s">
        <v>13789</v>
      </c>
      <c r="E2322" s="657" t="s">
        <v>7439</v>
      </c>
      <c r="F2322" s="656" t="s">
        <v>1050</v>
      </c>
      <c r="G2322" s="656" t="s">
        <v>1078</v>
      </c>
      <c r="H2322" s="656" t="s">
        <v>1050</v>
      </c>
      <c r="I2322" s="656" t="s">
        <v>14976</v>
      </c>
      <c r="J2322" s="656"/>
      <c r="K2322" s="656"/>
      <c r="L2322" s="656"/>
      <c r="M2322" s="657"/>
      <c r="N2322" s="1482"/>
      <c r="O2322" s="656" t="s">
        <v>498</v>
      </c>
      <c r="P2322" s="656" t="s">
        <v>13052</v>
      </c>
      <c r="Q2322" s="656">
        <v>44216.776041666664</v>
      </c>
    </row>
    <row r="2323" spans="1:17">
      <c r="A2323" s="656" t="s">
        <v>2711</v>
      </c>
      <c r="B2323" s="657" t="s">
        <v>202</v>
      </c>
      <c r="C2323" s="656" t="s">
        <v>2712</v>
      </c>
      <c r="D2323" s="657" t="s">
        <v>13789</v>
      </c>
      <c r="E2323" s="657" t="s">
        <v>7439</v>
      </c>
      <c r="F2323" s="656" t="s">
        <v>1050</v>
      </c>
      <c r="G2323" s="656" t="s">
        <v>1078</v>
      </c>
      <c r="H2323" s="656" t="s">
        <v>1050</v>
      </c>
      <c r="I2323" s="656" t="s">
        <v>14976</v>
      </c>
      <c r="J2323" s="656"/>
      <c r="K2323" s="656"/>
      <c r="L2323" s="656"/>
      <c r="M2323" s="657"/>
      <c r="N2323" s="1482"/>
      <c r="O2323" s="656" t="s">
        <v>498</v>
      </c>
      <c r="P2323" s="656" t="s">
        <v>13052</v>
      </c>
      <c r="Q2323" s="656">
        <v>44216.776041666664</v>
      </c>
    </row>
    <row r="2324" spans="1:17">
      <c r="A2324" s="656" t="s">
        <v>2713</v>
      </c>
      <c r="B2324" s="657" t="s">
        <v>202</v>
      </c>
      <c r="C2324" s="656" t="s">
        <v>2714</v>
      </c>
      <c r="D2324" s="657" t="s">
        <v>13789</v>
      </c>
      <c r="E2324" s="657" t="s">
        <v>7439</v>
      </c>
      <c r="F2324" s="656" t="s">
        <v>1050</v>
      </c>
      <c r="G2324" s="656" t="s">
        <v>1078</v>
      </c>
      <c r="H2324" s="656" t="s">
        <v>1050</v>
      </c>
      <c r="I2324" s="656" t="s">
        <v>14976</v>
      </c>
      <c r="J2324" s="656"/>
      <c r="K2324" s="656"/>
      <c r="L2324" s="656"/>
      <c r="M2324" s="657"/>
      <c r="N2324" s="1482"/>
      <c r="O2324" s="656" t="s">
        <v>498</v>
      </c>
      <c r="P2324" s="656" t="s">
        <v>13052</v>
      </c>
      <c r="Q2324" s="656">
        <v>44216.776041666664</v>
      </c>
    </row>
    <row r="2325" spans="1:17">
      <c r="A2325" s="656" t="s">
        <v>2715</v>
      </c>
      <c r="B2325" s="657" t="s">
        <v>202</v>
      </c>
      <c r="C2325" s="656" t="s">
        <v>2716</v>
      </c>
      <c r="D2325" s="657" t="s">
        <v>13789</v>
      </c>
      <c r="E2325" s="657" t="s">
        <v>7439</v>
      </c>
      <c r="F2325" s="656" t="s">
        <v>3077</v>
      </c>
      <c r="G2325" s="656"/>
      <c r="H2325" s="656" t="s">
        <v>465</v>
      </c>
      <c r="I2325" s="656" t="s">
        <v>14976</v>
      </c>
      <c r="J2325" s="656" t="s">
        <v>446</v>
      </c>
      <c r="K2325" s="656"/>
      <c r="L2325" s="656"/>
      <c r="M2325" s="657"/>
      <c r="N2325" s="1482"/>
      <c r="O2325" s="656" t="s">
        <v>498</v>
      </c>
      <c r="P2325" s="656" t="s">
        <v>13052</v>
      </c>
      <c r="Q2325" s="656">
        <v>44216.776030092595</v>
      </c>
    </row>
    <row r="2326" spans="1:17">
      <c r="A2326" s="656" t="s">
        <v>2717</v>
      </c>
      <c r="B2326" s="657" t="s">
        <v>202</v>
      </c>
      <c r="C2326" s="656" t="s">
        <v>2718</v>
      </c>
      <c r="D2326" s="657" t="s">
        <v>13789</v>
      </c>
      <c r="E2326" s="657" t="s">
        <v>7439</v>
      </c>
      <c r="F2326" s="656" t="s">
        <v>1050</v>
      </c>
      <c r="G2326" s="656" t="s">
        <v>1078</v>
      </c>
      <c r="H2326" s="656" t="s">
        <v>1050</v>
      </c>
      <c r="I2326" s="656" t="s">
        <v>14976</v>
      </c>
      <c r="J2326" s="656"/>
      <c r="K2326" s="656"/>
      <c r="L2326" s="656"/>
      <c r="M2326" s="657"/>
      <c r="N2326" s="1482"/>
      <c r="O2326" s="656" t="s">
        <v>498</v>
      </c>
      <c r="P2326" s="656" t="s">
        <v>13052</v>
      </c>
      <c r="Q2326" s="656">
        <v>44216.776030092595</v>
      </c>
    </row>
    <row r="2327" spans="1:17">
      <c r="A2327" s="656" t="s">
        <v>2719</v>
      </c>
      <c r="B2327" s="657" t="s">
        <v>202</v>
      </c>
      <c r="C2327" s="656" t="s">
        <v>2720</v>
      </c>
      <c r="D2327" s="657" t="s">
        <v>13789</v>
      </c>
      <c r="E2327" s="657" t="s">
        <v>7439</v>
      </c>
      <c r="F2327" s="656" t="s">
        <v>1050</v>
      </c>
      <c r="G2327" s="656" t="s">
        <v>1078</v>
      </c>
      <c r="H2327" s="656" t="s">
        <v>1050</v>
      </c>
      <c r="I2327" s="656" t="s">
        <v>14976</v>
      </c>
      <c r="J2327" s="656"/>
      <c r="K2327" s="656"/>
      <c r="L2327" s="656"/>
      <c r="M2327" s="657"/>
      <c r="N2327" s="1482"/>
      <c r="O2327" s="656" t="s">
        <v>498</v>
      </c>
      <c r="P2327" s="656" t="s">
        <v>13052</v>
      </c>
      <c r="Q2327" s="656">
        <v>44216.776018518518</v>
      </c>
    </row>
    <row r="2328" spans="1:17">
      <c r="A2328" s="656" t="s">
        <v>2721</v>
      </c>
      <c r="B2328" s="657" t="s">
        <v>202</v>
      </c>
      <c r="C2328" s="656" t="s">
        <v>2722</v>
      </c>
      <c r="D2328" s="657" t="s">
        <v>13789</v>
      </c>
      <c r="E2328" s="657" t="s">
        <v>7439</v>
      </c>
      <c r="F2328" s="656" t="s">
        <v>1050</v>
      </c>
      <c r="G2328" s="656" t="s">
        <v>1078</v>
      </c>
      <c r="H2328" s="656" t="s">
        <v>1050</v>
      </c>
      <c r="I2328" s="656" t="s">
        <v>14976</v>
      </c>
      <c r="J2328" s="656"/>
      <c r="K2328" s="656"/>
      <c r="L2328" s="656"/>
      <c r="M2328" s="657"/>
      <c r="N2328" s="1482"/>
      <c r="O2328" s="656" t="s">
        <v>498</v>
      </c>
      <c r="P2328" s="656" t="s">
        <v>13052</v>
      </c>
      <c r="Q2328" s="656">
        <v>44216.776018518518</v>
      </c>
    </row>
    <row r="2329" spans="1:17">
      <c r="A2329" s="656" t="s">
        <v>2723</v>
      </c>
      <c r="B2329" s="657" t="s">
        <v>202</v>
      </c>
      <c r="C2329" s="656" t="s">
        <v>2724</v>
      </c>
      <c r="D2329" s="657" t="s">
        <v>13789</v>
      </c>
      <c r="E2329" s="657" t="s">
        <v>7439</v>
      </c>
      <c r="F2329" s="656" t="s">
        <v>1050</v>
      </c>
      <c r="G2329" s="656" t="s">
        <v>1078</v>
      </c>
      <c r="H2329" s="656" t="s">
        <v>1050</v>
      </c>
      <c r="I2329" s="656" t="s">
        <v>14976</v>
      </c>
      <c r="J2329" s="656"/>
      <c r="K2329" s="656"/>
      <c r="L2329" s="656"/>
      <c r="M2329" s="657"/>
      <c r="N2329" s="1482"/>
      <c r="O2329" s="656" t="s">
        <v>498</v>
      </c>
      <c r="P2329" s="656" t="s">
        <v>13052</v>
      </c>
      <c r="Q2329" s="656">
        <v>44216.776006944441</v>
      </c>
    </row>
    <row r="2330" spans="1:17">
      <c r="A2330" s="656" t="s">
        <v>2725</v>
      </c>
      <c r="B2330" s="657" t="s">
        <v>504</v>
      </c>
      <c r="C2330" s="656" t="s">
        <v>2726</v>
      </c>
      <c r="D2330" s="657" t="s">
        <v>13789</v>
      </c>
      <c r="E2330" s="657" t="s">
        <v>9654</v>
      </c>
      <c r="F2330" s="656" t="s">
        <v>505</v>
      </c>
      <c r="G2330" s="656" t="s">
        <v>1579</v>
      </c>
      <c r="H2330" s="656" t="s">
        <v>505</v>
      </c>
      <c r="I2330" s="656" t="s">
        <v>14976</v>
      </c>
      <c r="J2330" s="656"/>
      <c r="K2330" s="656"/>
      <c r="L2330" s="656"/>
      <c r="M2330" s="657"/>
      <c r="N2330" s="1482"/>
      <c r="O2330" s="656" t="s">
        <v>498</v>
      </c>
      <c r="P2330" s="656" t="s">
        <v>13052</v>
      </c>
      <c r="Q2330" s="656">
        <v>44216.776006944441</v>
      </c>
    </row>
    <row r="2331" spans="1:17">
      <c r="A2331" s="656" t="s">
        <v>2727</v>
      </c>
      <c r="B2331" s="657" t="s">
        <v>504</v>
      </c>
      <c r="C2331" s="656" t="s">
        <v>2728</v>
      </c>
      <c r="D2331" s="657" t="s">
        <v>13789</v>
      </c>
      <c r="E2331" s="657" t="s">
        <v>9654</v>
      </c>
      <c r="F2331" s="656" t="s">
        <v>540</v>
      </c>
      <c r="G2331" s="656" t="s">
        <v>541</v>
      </c>
      <c r="H2331" s="656" t="s">
        <v>540</v>
      </c>
      <c r="I2331" s="656" t="s">
        <v>14976</v>
      </c>
      <c r="J2331" s="656"/>
      <c r="K2331" s="656"/>
      <c r="L2331" s="656"/>
      <c r="M2331" s="657"/>
      <c r="N2331" s="1482"/>
      <c r="O2331" s="656" t="s">
        <v>498</v>
      </c>
      <c r="P2331" s="656" t="s">
        <v>13052</v>
      </c>
      <c r="Q2331" s="656">
        <v>44216.775995370372</v>
      </c>
    </row>
    <row r="2332" spans="1:17">
      <c r="A2332" s="656" t="s">
        <v>2729</v>
      </c>
      <c r="B2332" s="657" t="s">
        <v>504</v>
      </c>
      <c r="C2332" s="656" t="s">
        <v>2730</v>
      </c>
      <c r="D2332" s="657" t="s">
        <v>13789</v>
      </c>
      <c r="E2332" s="657" t="s">
        <v>9654</v>
      </c>
      <c r="F2332" s="656" t="s">
        <v>540</v>
      </c>
      <c r="G2332" s="656" t="s">
        <v>541</v>
      </c>
      <c r="H2332" s="656" t="s">
        <v>540</v>
      </c>
      <c r="I2332" s="656" t="s">
        <v>14976</v>
      </c>
      <c r="J2332" s="656"/>
      <c r="K2332" s="656"/>
      <c r="L2332" s="656"/>
      <c r="M2332" s="657"/>
      <c r="N2332" s="1482"/>
      <c r="O2332" s="656" t="s">
        <v>498</v>
      </c>
      <c r="P2332" s="656" t="s">
        <v>13052</v>
      </c>
      <c r="Q2332" s="656">
        <v>44216.775995370372</v>
      </c>
    </row>
    <row r="2333" spans="1:17">
      <c r="A2333" s="656" t="s">
        <v>2731</v>
      </c>
      <c r="B2333" s="657" t="s">
        <v>504</v>
      </c>
      <c r="C2333" s="656" t="s">
        <v>2732</v>
      </c>
      <c r="D2333" s="657" t="s">
        <v>13789</v>
      </c>
      <c r="E2333" s="657" t="s">
        <v>9654</v>
      </c>
      <c r="F2333" s="656" t="s">
        <v>540</v>
      </c>
      <c r="G2333" s="656" t="s">
        <v>541</v>
      </c>
      <c r="H2333" s="656" t="s">
        <v>540</v>
      </c>
      <c r="I2333" s="656" t="s">
        <v>14976</v>
      </c>
      <c r="J2333" s="656"/>
      <c r="K2333" s="656"/>
      <c r="L2333" s="656"/>
      <c r="M2333" s="657"/>
      <c r="N2333" s="1482"/>
      <c r="O2333" s="656" t="s">
        <v>498</v>
      </c>
      <c r="P2333" s="656" t="s">
        <v>13052</v>
      </c>
      <c r="Q2333" s="656">
        <v>44216.775983796295</v>
      </c>
    </row>
    <row r="2334" spans="1:17">
      <c r="A2334" s="656" t="s">
        <v>2733</v>
      </c>
      <c r="B2334" s="657" t="s">
        <v>504</v>
      </c>
      <c r="C2334" s="656" t="s">
        <v>2734</v>
      </c>
      <c r="D2334" s="657" t="s">
        <v>13789</v>
      </c>
      <c r="E2334" s="657" t="s">
        <v>9654</v>
      </c>
      <c r="F2334" s="656" t="s">
        <v>505</v>
      </c>
      <c r="G2334" s="656" t="s">
        <v>522</v>
      </c>
      <c r="H2334" s="656" t="s">
        <v>505</v>
      </c>
      <c r="I2334" s="656" t="s">
        <v>14976</v>
      </c>
      <c r="J2334" s="656"/>
      <c r="K2334" s="656"/>
      <c r="L2334" s="656"/>
      <c r="M2334" s="657"/>
      <c r="N2334" s="1482"/>
      <c r="O2334" s="656" t="s">
        <v>498</v>
      </c>
      <c r="P2334" s="656" t="s">
        <v>13052</v>
      </c>
      <c r="Q2334" s="656">
        <v>44216.775983796295</v>
      </c>
    </row>
    <row r="2335" spans="1:17">
      <c r="A2335" s="656" t="s">
        <v>2735</v>
      </c>
      <c r="B2335" s="657" t="s">
        <v>504</v>
      </c>
      <c r="C2335" s="656" t="s">
        <v>2736</v>
      </c>
      <c r="D2335" s="657" t="s">
        <v>13789</v>
      </c>
      <c r="E2335" s="657" t="s">
        <v>9654</v>
      </c>
      <c r="F2335" s="656" t="s">
        <v>505</v>
      </c>
      <c r="G2335" s="656" t="s">
        <v>820</v>
      </c>
      <c r="H2335" s="656" t="s">
        <v>505</v>
      </c>
      <c r="I2335" s="656" t="s">
        <v>14976</v>
      </c>
      <c r="J2335" s="656"/>
      <c r="K2335" s="656"/>
      <c r="L2335" s="656" t="s">
        <v>15308</v>
      </c>
      <c r="M2335" s="657"/>
      <c r="N2335" s="1482"/>
      <c r="O2335" s="656" t="s">
        <v>498</v>
      </c>
      <c r="P2335" s="656" t="s">
        <v>13052</v>
      </c>
      <c r="Q2335" s="656">
        <v>44216.775972222225</v>
      </c>
    </row>
    <row r="2336" spans="1:17">
      <c r="A2336" s="656" t="s">
        <v>2737</v>
      </c>
      <c r="B2336" s="657" t="s">
        <v>504</v>
      </c>
      <c r="C2336" s="656" t="s">
        <v>2738</v>
      </c>
      <c r="D2336" s="657" t="s">
        <v>13789</v>
      </c>
      <c r="E2336" s="657" t="s">
        <v>9654</v>
      </c>
      <c r="F2336" s="656" t="s">
        <v>505</v>
      </c>
      <c r="G2336" s="656" t="s">
        <v>1579</v>
      </c>
      <c r="H2336" s="656" t="s">
        <v>505</v>
      </c>
      <c r="I2336" s="656" t="s">
        <v>14976</v>
      </c>
      <c r="J2336" s="656"/>
      <c r="K2336" s="656"/>
      <c r="L2336" s="656"/>
      <c r="M2336" s="657"/>
      <c r="N2336" s="1482"/>
      <c r="O2336" s="656" t="s">
        <v>498</v>
      </c>
      <c r="P2336" s="656" t="s">
        <v>13052</v>
      </c>
      <c r="Q2336" s="656">
        <v>44216.775972222225</v>
      </c>
    </row>
    <row r="2337" spans="1:17">
      <c r="A2337" s="656" t="s">
        <v>13766</v>
      </c>
      <c r="B2337" s="657" t="s">
        <v>504</v>
      </c>
      <c r="C2337" s="656" t="s">
        <v>2739</v>
      </c>
      <c r="D2337" s="657" t="s">
        <v>13789</v>
      </c>
      <c r="E2337" s="657" t="s">
        <v>7439</v>
      </c>
      <c r="F2337" s="656" t="s">
        <v>505</v>
      </c>
      <c r="G2337" s="656" t="s">
        <v>525</v>
      </c>
      <c r="H2337" s="656" t="s">
        <v>505</v>
      </c>
      <c r="I2337" s="656" t="s">
        <v>14976</v>
      </c>
      <c r="J2337" s="656"/>
      <c r="K2337" s="656"/>
      <c r="L2337" s="656"/>
      <c r="M2337" s="657"/>
      <c r="N2337" s="1482"/>
      <c r="O2337" s="656" t="s">
        <v>498</v>
      </c>
      <c r="P2337" s="656" t="s">
        <v>13052</v>
      </c>
      <c r="Q2337" s="656">
        <v>44216.775960648149</v>
      </c>
    </row>
    <row r="2338" spans="1:17">
      <c r="A2338" s="656" t="s">
        <v>2740</v>
      </c>
      <c r="B2338" s="657" t="s">
        <v>504</v>
      </c>
      <c r="C2338" s="656" t="s">
        <v>2741</v>
      </c>
      <c r="D2338" s="657" t="s">
        <v>14977</v>
      </c>
      <c r="E2338" s="657" t="s">
        <v>9654</v>
      </c>
      <c r="F2338" s="656" t="s">
        <v>505</v>
      </c>
      <c r="G2338" s="656" t="s">
        <v>525</v>
      </c>
      <c r="H2338" s="656" t="s">
        <v>505</v>
      </c>
      <c r="I2338" s="656" t="s">
        <v>14976</v>
      </c>
      <c r="J2338" s="656"/>
      <c r="K2338" s="656"/>
      <c r="L2338" s="656"/>
      <c r="M2338" s="657"/>
      <c r="N2338" s="1482"/>
      <c r="O2338" s="656" t="s">
        <v>498</v>
      </c>
      <c r="P2338" s="656" t="s">
        <v>13052</v>
      </c>
      <c r="Q2338" s="656">
        <v>44216.775960648149</v>
      </c>
    </row>
    <row r="2339" spans="1:17">
      <c r="A2339" s="656" t="s">
        <v>2742</v>
      </c>
      <c r="B2339" s="657" t="s">
        <v>202</v>
      </c>
      <c r="C2339" s="656" t="s">
        <v>2743</v>
      </c>
      <c r="D2339" s="657" t="s">
        <v>13789</v>
      </c>
      <c r="E2339" s="657" t="s">
        <v>7439</v>
      </c>
      <c r="F2339" s="656" t="s">
        <v>472</v>
      </c>
      <c r="G2339" s="656" t="s">
        <v>1395</v>
      </c>
      <c r="H2339" s="656" t="s">
        <v>472</v>
      </c>
      <c r="I2339" s="656" t="s">
        <v>15280</v>
      </c>
      <c r="J2339" s="656" t="s">
        <v>12368</v>
      </c>
      <c r="K2339" s="656"/>
      <c r="L2339" s="656"/>
      <c r="M2339" s="657"/>
      <c r="N2339" s="1482"/>
      <c r="O2339" s="656" t="s">
        <v>498</v>
      </c>
      <c r="P2339" s="656" t="s">
        <v>13052</v>
      </c>
      <c r="Q2339" s="656">
        <v>44216.775949074072</v>
      </c>
    </row>
    <row r="2340" spans="1:17">
      <c r="A2340" s="656" t="s">
        <v>2744</v>
      </c>
      <c r="B2340" s="657" t="s">
        <v>202</v>
      </c>
      <c r="C2340" s="656" t="s">
        <v>2745</v>
      </c>
      <c r="D2340" s="657" t="s">
        <v>13789</v>
      </c>
      <c r="E2340" s="657" t="s">
        <v>7439</v>
      </c>
      <c r="F2340" s="656" t="s">
        <v>472</v>
      </c>
      <c r="G2340" s="656" t="s">
        <v>1395</v>
      </c>
      <c r="H2340" s="656" t="s">
        <v>472</v>
      </c>
      <c r="I2340" s="656" t="s">
        <v>15280</v>
      </c>
      <c r="J2340" s="656" t="s">
        <v>12368</v>
      </c>
      <c r="K2340" s="656"/>
      <c r="L2340" s="656"/>
      <c r="M2340" s="657"/>
      <c r="N2340" s="1482"/>
      <c r="O2340" s="656" t="s">
        <v>498</v>
      </c>
      <c r="P2340" s="656" t="s">
        <v>13052</v>
      </c>
      <c r="Q2340" s="656">
        <v>44216.775960648149</v>
      </c>
    </row>
    <row r="2341" spans="1:17">
      <c r="A2341" s="656" t="s">
        <v>2746</v>
      </c>
      <c r="B2341" s="657" t="s">
        <v>202</v>
      </c>
      <c r="C2341" s="656" t="s">
        <v>2747</v>
      </c>
      <c r="D2341" s="657" t="s">
        <v>14977</v>
      </c>
      <c r="E2341" s="657" t="s">
        <v>7439</v>
      </c>
      <c r="F2341" s="656" t="s">
        <v>1050</v>
      </c>
      <c r="G2341" s="656" t="s">
        <v>1051</v>
      </c>
      <c r="H2341" s="656" t="s">
        <v>1050</v>
      </c>
      <c r="I2341" s="656" t="s">
        <v>14976</v>
      </c>
      <c r="J2341" s="656"/>
      <c r="K2341" s="656"/>
      <c r="L2341" s="656" t="s">
        <v>2746</v>
      </c>
      <c r="M2341" s="657"/>
      <c r="N2341" s="1482"/>
      <c r="O2341" s="656" t="s">
        <v>498</v>
      </c>
      <c r="P2341" s="656" t="s">
        <v>13052</v>
      </c>
      <c r="Q2341" s="656">
        <v>44216.775949074072</v>
      </c>
    </row>
    <row r="2342" spans="1:17">
      <c r="A2342" s="656" t="s">
        <v>2748</v>
      </c>
      <c r="B2342" s="657" t="s">
        <v>504</v>
      </c>
      <c r="C2342" s="656" t="s">
        <v>2749</v>
      </c>
      <c r="D2342" s="657" t="s">
        <v>13789</v>
      </c>
      <c r="E2342" s="657" t="s">
        <v>9654</v>
      </c>
      <c r="F2342" s="656" t="s">
        <v>505</v>
      </c>
      <c r="G2342" s="656" t="s">
        <v>525</v>
      </c>
      <c r="H2342" s="656" t="s">
        <v>505</v>
      </c>
      <c r="I2342" s="656" t="s">
        <v>14976</v>
      </c>
      <c r="J2342" s="656"/>
      <c r="K2342" s="656"/>
      <c r="L2342" s="656"/>
      <c r="M2342" s="657"/>
      <c r="N2342" s="1482"/>
      <c r="O2342" s="656" t="s">
        <v>498</v>
      </c>
      <c r="P2342" s="656" t="s">
        <v>13052</v>
      </c>
      <c r="Q2342" s="656">
        <v>44216.775937500002</v>
      </c>
    </row>
    <row r="2343" spans="1:17">
      <c r="A2343" s="656" t="s">
        <v>2750</v>
      </c>
      <c r="B2343" s="657" t="s">
        <v>504</v>
      </c>
      <c r="C2343" s="656" t="s">
        <v>2751</v>
      </c>
      <c r="D2343" s="657" t="s">
        <v>13789</v>
      </c>
      <c r="E2343" s="657" t="s">
        <v>9654</v>
      </c>
      <c r="F2343" s="656" t="s">
        <v>540</v>
      </c>
      <c r="G2343" s="656" t="s">
        <v>541</v>
      </c>
      <c r="H2343" s="656" t="s">
        <v>540</v>
      </c>
      <c r="I2343" s="656" t="s">
        <v>14976</v>
      </c>
      <c r="J2343" s="656"/>
      <c r="K2343" s="656"/>
      <c r="L2343" s="656"/>
      <c r="M2343" s="657"/>
      <c r="N2343" s="1482"/>
      <c r="O2343" s="656" t="s">
        <v>498</v>
      </c>
      <c r="P2343" s="656" t="s">
        <v>13052</v>
      </c>
      <c r="Q2343" s="656">
        <v>44216.775937500002</v>
      </c>
    </row>
    <row r="2344" spans="1:17">
      <c r="A2344" s="656" t="s">
        <v>2752</v>
      </c>
      <c r="B2344" s="657" t="s">
        <v>504</v>
      </c>
      <c r="C2344" s="656" t="s">
        <v>2753</v>
      </c>
      <c r="D2344" s="657" t="s">
        <v>13789</v>
      </c>
      <c r="E2344" s="657" t="s">
        <v>9654</v>
      </c>
      <c r="F2344" s="656" t="s">
        <v>505</v>
      </c>
      <c r="G2344" s="656" t="s">
        <v>522</v>
      </c>
      <c r="H2344" s="656" t="s">
        <v>505</v>
      </c>
      <c r="I2344" s="656" t="s">
        <v>14976</v>
      </c>
      <c r="J2344" s="656"/>
      <c r="K2344" s="656"/>
      <c r="L2344" s="656"/>
      <c r="M2344" s="657"/>
      <c r="N2344" s="1482"/>
      <c r="O2344" s="656" t="s">
        <v>498</v>
      </c>
      <c r="P2344" s="656" t="s">
        <v>13052</v>
      </c>
      <c r="Q2344" s="656">
        <v>44216.775925925926</v>
      </c>
    </row>
    <row r="2345" spans="1:17">
      <c r="A2345" s="656" t="s">
        <v>2754</v>
      </c>
      <c r="B2345" s="657" t="s">
        <v>504</v>
      </c>
      <c r="C2345" s="656" t="s">
        <v>2755</v>
      </c>
      <c r="D2345" s="657" t="s">
        <v>13789</v>
      </c>
      <c r="E2345" s="657" t="s">
        <v>9654</v>
      </c>
      <c r="F2345" s="656" t="s">
        <v>505</v>
      </c>
      <c r="G2345" s="656" t="s">
        <v>1293</v>
      </c>
      <c r="H2345" s="656" t="s">
        <v>505</v>
      </c>
      <c r="I2345" s="656" t="s">
        <v>14976</v>
      </c>
      <c r="J2345" s="656"/>
      <c r="K2345" s="656"/>
      <c r="L2345" s="656"/>
      <c r="M2345" s="657"/>
      <c r="N2345" s="1482"/>
      <c r="O2345" s="656" t="s">
        <v>498</v>
      </c>
      <c r="P2345" s="656" t="s">
        <v>13052</v>
      </c>
      <c r="Q2345" s="656">
        <v>44216.775925925926</v>
      </c>
    </row>
    <row r="2346" spans="1:17">
      <c r="A2346" s="656" t="s">
        <v>2756</v>
      </c>
      <c r="B2346" s="657" t="s">
        <v>202</v>
      </c>
      <c r="C2346" s="656" t="s">
        <v>2757</v>
      </c>
      <c r="D2346" s="657" t="s">
        <v>13789</v>
      </c>
      <c r="E2346" s="657" t="s">
        <v>9654</v>
      </c>
      <c r="F2346" s="656" t="s">
        <v>1300</v>
      </c>
      <c r="G2346" s="656" t="s">
        <v>1301</v>
      </c>
      <c r="H2346" s="656" t="s">
        <v>1300</v>
      </c>
      <c r="I2346" s="656" t="s">
        <v>15280</v>
      </c>
      <c r="J2346" s="656"/>
      <c r="K2346" s="656"/>
      <c r="L2346" s="656"/>
      <c r="M2346" s="657"/>
      <c r="N2346" s="1482"/>
      <c r="O2346" s="656" t="s">
        <v>498</v>
      </c>
      <c r="P2346" s="656" t="s">
        <v>13052</v>
      </c>
      <c r="Q2346" s="656">
        <v>44216.775914351849</v>
      </c>
    </row>
    <row r="2347" spans="1:17">
      <c r="A2347" s="656" t="s">
        <v>2758</v>
      </c>
      <c r="B2347" s="657" t="s">
        <v>504</v>
      </c>
      <c r="C2347" s="656" t="s">
        <v>13765</v>
      </c>
      <c r="D2347" s="657" t="s">
        <v>13789</v>
      </c>
      <c r="E2347" s="657" t="s">
        <v>7439</v>
      </c>
      <c r="F2347" s="656" t="s">
        <v>540</v>
      </c>
      <c r="G2347" s="656" t="s">
        <v>541</v>
      </c>
      <c r="H2347" s="656" t="s">
        <v>540</v>
      </c>
      <c r="I2347" s="656" t="s">
        <v>14976</v>
      </c>
      <c r="J2347" s="656"/>
      <c r="K2347" s="656"/>
      <c r="L2347" s="656"/>
      <c r="M2347" s="657"/>
      <c r="N2347" s="1482"/>
      <c r="O2347" s="656" t="s">
        <v>498</v>
      </c>
      <c r="P2347" s="656" t="s">
        <v>13052</v>
      </c>
      <c r="Q2347" s="656">
        <v>44216.775914351849</v>
      </c>
    </row>
    <row r="2348" spans="1:17">
      <c r="A2348" s="656" t="s">
        <v>2759</v>
      </c>
      <c r="B2348" s="657" t="s">
        <v>504</v>
      </c>
      <c r="C2348" s="656" t="s">
        <v>2760</v>
      </c>
      <c r="D2348" s="657" t="s">
        <v>13789</v>
      </c>
      <c r="E2348" s="657" t="s">
        <v>7439</v>
      </c>
      <c r="F2348" s="656" t="s">
        <v>540</v>
      </c>
      <c r="G2348" s="656" t="s">
        <v>541</v>
      </c>
      <c r="H2348" s="656" t="s">
        <v>540</v>
      </c>
      <c r="I2348" s="656" t="s">
        <v>14976</v>
      </c>
      <c r="J2348" s="656"/>
      <c r="K2348" s="656"/>
      <c r="L2348" s="656"/>
      <c r="M2348" s="657"/>
      <c r="N2348" s="1482"/>
      <c r="O2348" s="656" t="s">
        <v>498</v>
      </c>
      <c r="P2348" s="656" t="s">
        <v>13052</v>
      </c>
      <c r="Q2348" s="656">
        <v>44216.775902777779</v>
      </c>
    </row>
    <row r="2349" spans="1:17">
      <c r="A2349" s="656" t="s">
        <v>2761</v>
      </c>
      <c r="B2349" s="657" t="s">
        <v>504</v>
      </c>
      <c r="C2349" s="656" t="s">
        <v>2762</v>
      </c>
      <c r="D2349" s="657" t="s">
        <v>13789</v>
      </c>
      <c r="E2349" s="657" t="s">
        <v>9654</v>
      </c>
      <c r="F2349" s="656" t="s">
        <v>540</v>
      </c>
      <c r="G2349" s="656" t="s">
        <v>625</v>
      </c>
      <c r="H2349" s="656" t="s">
        <v>540</v>
      </c>
      <c r="I2349" s="656" t="s">
        <v>14976</v>
      </c>
      <c r="J2349" s="656"/>
      <c r="K2349" s="656"/>
      <c r="L2349" s="656"/>
      <c r="M2349" s="657"/>
      <c r="N2349" s="1482"/>
      <c r="O2349" s="656" t="s">
        <v>498</v>
      </c>
      <c r="P2349" s="656" t="s">
        <v>13052</v>
      </c>
      <c r="Q2349" s="656">
        <v>44216.775902777779</v>
      </c>
    </row>
    <row r="2350" spans="1:17">
      <c r="A2350" s="656" t="s">
        <v>2763</v>
      </c>
      <c r="B2350" s="657" t="s">
        <v>202</v>
      </c>
      <c r="C2350" s="656" t="s">
        <v>2764</v>
      </c>
      <c r="D2350" s="657" t="s">
        <v>13789</v>
      </c>
      <c r="E2350" s="657" t="s">
        <v>7439</v>
      </c>
      <c r="F2350" s="656" t="s">
        <v>1667</v>
      </c>
      <c r="G2350" s="656" t="s">
        <v>1668</v>
      </c>
      <c r="H2350" s="656" t="s">
        <v>1667</v>
      </c>
      <c r="I2350" s="656" t="s">
        <v>15280</v>
      </c>
      <c r="J2350" s="656"/>
      <c r="K2350" s="656"/>
      <c r="L2350" s="656"/>
      <c r="M2350" s="657"/>
      <c r="N2350" s="1482"/>
      <c r="O2350" s="656" t="s">
        <v>498</v>
      </c>
      <c r="P2350" s="656" t="s">
        <v>13052</v>
      </c>
      <c r="Q2350" s="656">
        <v>44216.775891203702</v>
      </c>
    </row>
    <row r="2351" spans="1:17">
      <c r="A2351" s="656" t="s">
        <v>2765</v>
      </c>
      <c r="B2351" s="657" t="s">
        <v>504</v>
      </c>
      <c r="C2351" s="656" t="s">
        <v>2766</v>
      </c>
      <c r="D2351" s="657" t="s">
        <v>13789</v>
      </c>
      <c r="E2351" s="657" t="s">
        <v>7439</v>
      </c>
      <c r="F2351" s="656" t="s">
        <v>505</v>
      </c>
      <c r="G2351" s="656" t="s">
        <v>509</v>
      </c>
      <c r="H2351" s="656" t="s">
        <v>505</v>
      </c>
      <c r="I2351" s="656" t="s">
        <v>14976</v>
      </c>
      <c r="J2351" s="656"/>
      <c r="K2351" s="656"/>
      <c r="L2351" s="656"/>
      <c r="M2351" s="657"/>
      <c r="N2351" s="1482"/>
      <c r="O2351" s="656" t="s">
        <v>498</v>
      </c>
      <c r="P2351" s="656" t="s">
        <v>13052</v>
      </c>
      <c r="Q2351" s="656">
        <v>44216.775891203702</v>
      </c>
    </row>
    <row r="2352" spans="1:17">
      <c r="A2352" s="656" t="s">
        <v>2767</v>
      </c>
      <c r="B2352" s="657" t="s">
        <v>504</v>
      </c>
      <c r="C2352" s="656" t="s">
        <v>2768</v>
      </c>
      <c r="D2352" s="657" t="s">
        <v>14977</v>
      </c>
      <c r="E2352" s="657" t="s">
        <v>9654</v>
      </c>
      <c r="F2352" s="656" t="s">
        <v>505</v>
      </c>
      <c r="G2352" s="656" t="s">
        <v>2769</v>
      </c>
      <c r="H2352" s="656" t="s">
        <v>505</v>
      </c>
      <c r="I2352" s="656" t="s">
        <v>14976</v>
      </c>
      <c r="J2352" s="656"/>
      <c r="K2352" s="656"/>
      <c r="L2352" s="656"/>
      <c r="M2352" s="657"/>
      <c r="N2352" s="1482"/>
      <c r="O2352" s="656" t="s">
        <v>498</v>
      </c>
      <c r="P2352" s="656" t="s">
        <v>13052</v>
      </c>
      <c r="Q2352" s="656">
        <v>44216.775879629633</v>
      </c>
    </row>
    <row r="2353" spans="1:17">
      <c r="A2353" s="656" t="s">
        <v>2770</v>
      </c>
      <c r="B2353" s="657" t="s">
        <v>504</v>
      </c>
      <c r="C2353" s="656" t="s">
        <v>2771</v>
      </c>
      <c r="D2353" s="657" t="s">
        <v>13789</v>
      </c>
      <c r="E2353" s="657" t="s">
        <v>9654</v>
      </c>
      <c r="F2353" s="656" t="s">
        <v>505</v>
      </c>
      <c r="G2353" s="656" t="s">
        <v>2769</v>
      </c>
      <c r="H2353" s="656" t="s">
        <v>505</v>
      </c>
      <c r="I2353" s="656" t="s">
        <v>14976</v>
      </c>
      <c r="J2353" s="656"/>
      <c r="K2353" s="656"/>
      <c r="L2353" s="656"/>
      <c r="M2353" s="657"/>
      <c r="N2353" s="1482"/>
      <c r="O2353" s="656" t="s">
        <v>498</v>
      </c>
      <c r="P2353" s="656" t="s">
        <v>13052</v>
      </c>
      <c r="Q2353" s="656">
        <v>44216.775879629633</v>
      </c>
    </row>
    <row r="2354" spans="1:17">
      <c r="A2354" s="656" t="s">
        <v>2772</v>
      </c>
      <c r="B2354" s="657" t="s">
        <v>504</v>
      </c>
      <c r="C2354" s="656" t="s">
        <v>2773</v>
      </c>
      <c r="D2354" s="657" t="s">
        <v>14977</v>
      </c>
      <c r="E2354" s="657" t="s">
        <v>9654</v>
      </c>
      <c r="F2354" s="656" t="s">
        <v>505</v>
      </c>
      <c r="G2354" s="656" t="s">
        <v>2769</v>
      </c>
      <c r="H2354" s="656" t="s">
        <v>505</v>
      </c>
      <c r="I2354" s="656" t="s">
        <v>14976</v>
      </c>
      <c r="J2354" s="656"/>
      <c r="K2354" s="656"/>
      <c r="L2354" s="656"/>
      <c r="M2354" s="657"/>
      <c r="N2354" s="1482"/>
      <c r="O2354" s="656" t="s">
        <v>498</v>
      </c>
      <c r="P2354" s="656" t="s">
        <v>13052</v>
      </c>
      <c r="Q2354" s="656">
        <v>44216.775868055556</v>
      </c>
    </row>
    <row r="2355" spans="1:17">
      <c r="A2355" s="656" t="s">
        <v>2774</v>
      </c>
      <c r="B2355" s="657" t="s">
        <v>504</v>
      </c>
      <c r="C2355" s="656" t="s">
        <v>2775</v>
      </c>
      <c r="D2355" s="657" t="s">
        <v>13789</v>
      </c>
      <c r="E2355" s="657" t="s">
        <v>9654</v>
      </c>
      <c r="F2355" s="656" t="s">
        <v>505</v>
      </c>
      <c r="G2355" s="656" t="s">
        <v>2769</v>
      </c>
      <c r="H2355" s="656" t="s">
        <v>505</v>
      </c>
      <c r="I2355" s="656" t="s">
        <v>14976</v>
      </c>
      <c r="J2355" s="656"/>
      <c r="K2355" s="656"/>
      <c r="L2355" s="656"/>
      <c r="M2355" s="657"/>
      <c r="N2355" s="1482"/>
      <c r="O2355" s="656" t="s">
        <v>498</v>
      </c>
      <c r="P2355" s="656" t="s">
        <v>13052</v>
      </c>
      <c r="Q2355" s="656">
        <v>44216.775868055556</v>
      </c>
    </row>
    <row r="2356" spans="1:17">
      <c r="A2356" s="656" t="s">
        <v>2776</v>
      </c>
      <c r="B2356" s="657" t="s">
        <v>504</v>
      </c>
      <c r="C2356" s="656" t="s">
        <v>2777</v>
      </c>
      <c r="D2356" s="657" t="s">
        <v>13789</v>
      </c>
      <c r="E2356" s="657" t="s">
        <v>9654</v>
      </c>
      <c r="F2356" s="656" t="s">
        <v>505</v>
      </c>
      <c r="G2356" s="656" t="s">
        <v>2769</v>
      </c>
      <c r="H2356" s="656" t="s">
        <v>505</v>
      </c>
      <c r="I2356" s="656" t="s">
        <v>14976</v>
      </c>
      <c r="J2356" s="656"/>
      <c r="K2356" s="656"/>
      <c r="L2356" s="656"/>
      <c r="M2356" s="657"/>
      <c r="N2356" s="1482"/>
      <c r="O2356" s="656" t="s">
        <v>498</v>
      </c>
      <c r="P2356" s="656" t="s">
        <v>13052</v>
      </c>
      <c r="Q2356" s="656">
        <v>44216.775868055556</v>
      </c>
    </row>
    <row r="2357" spans="1:17">
      <c r="A2357" s="656" t="s">
        <v>2778</v>
      </c>
      <c r="B2357" s="657" t="s">
        <v>504</v>
      </c>
      <c r="C2357" s="656" t="s">
        <v>2779</v>
      </c>
      <c r="D2357" s="657" t="s">
        <v>14977</v>
      </c>
      <c r="E2357" s="657" t="s">
        <v>9654</v>
      </c>
      <c r="F2357" s="656" t="s">
        <v>505</v>
      </c>
      <c r="G2357" s="656" t="s">
        <v>2769</v>
      </c>
      <c r="H2357" s="656" t="s">
        <v>505</v>
      </c>
      <c r="I2357" s="656" t="s">
        <v>14976</v>
      </c>
      <c r="J2357" s="656"/>
      <c r="K2357" s="656"/>
      <c r="L2357" s="656"/>
      <c r="M2357" s="657"/>
      <c r="N2357" s="1482"/>
      <c r="O2357" s="656" t="s">
        <v>498</v>
      </c>
      <c r="P2357" s="656" t="s">
        <v>13052</v>
      </c>
      <c r="Q2357" s="656">
        <v>44216.775856481479</v>
      </c>
    </row>
    <row r="2358" spans="1:17">
      <c r="A2358" s="656" t="s">
        <v>2780</v>
      </c>
      <c r="B2358" s="657" t="s">
        <v>504</v>
      </c>
      <c r="C2358" s="656" t="s">
        <v>2781</v>
      </c>
      <c r="D2358" s="657" t="s">
        <v>13789</v>
      </c>
      <c r="E2358" s="657" t="s">
        <v>9654</v>
      </c>
      <c r="F2358" s="656" t="s">
        <v>505</v>
      </c>
      <c r="G2358" s="656" t="s">
        <v>2769</v>
      </c>
      <c r="H2358" s="656" t="s">
        <v>505</v>
      </c>
      <c r="I2358" s="656" t="s">
        <v>14976</v>
      </c>
      <c r="J2358" s="656"/>
      <c r="K2358" s="656"/>
      <c r="L2358" s="656"/>
      <c r="M2358" s="657"/>
      <c r="N2358" s="1482"/>
      <c r="O2358" s="656" t="s">
        <v>498</v>
      </c>
      <c r="P2358" s="656" t="s">
        <v>13052</v>
      </c>
      <c r="Q2358" s="656">
        <v>44216.775856481479</v>
      </c>
    </row>
    <row r="2359" spans="1:17">
      <c r="A2359" s="656" t="s">
        <v>2782</v>
      </c>
      <c r="B2359" s="657" t="s">
        <v>504</v>
      </c>
      <c r="C2359" s="656" t="s">
        <v>2783</v>
      </c>
      <c r="D2359" s="657" t="s">
        <v>14977</v>
      </c>
      <c r="E2359" s="657" t="s">
        <v>9654</v>
      </c>
      <c r="F2359" s="656" t="s">
        <v>505</v>
      </c>
      <c r="G2359" s="656" t="s">
        <v>2769</v>
      </c>
      <c r="H2359" s="656" t="s">
        <v>505</v>
      </c>
      <c r="I2359" s="656" t="s">
        <v>14976</v>
      </c>
      <c r="J2359" s="656"/>
      <c r="K2359" s="656"/>
      <c r="L2359" s="656"/>
      <c r="M2359" s="657"/>
      <c r="N2359" s="1482"/>
      <c r="O2359" s="656" t="s">
        <v>498</v>
      </c>
      <c r="P2359" s="656" t="s">
        <v>13052</v>
      </c>
      <c r="Q2359" s="656">
        <v>44216.77584490741</v>
      </c>
    </row>
    <row r="2360" spans="1:17">
      <c r="A2360" s="656" t="s">
        <v>2784</v>
      </c>
      <c r="B2360" s="657" t="s">
        <v>504</v>
      </c>
      <c r="C2360" s="656" t="s">
        <v>2785</v>
      </c>
      <c r="D2360" s="657" t="s">
        <v>14977</v>
      </c>
      <c r="E2360" s="657" t="s">
        <v>9654</v>
      </c>
      <c r="F2360" s="656" t="s">
        <v>505</v>
      </c>
      <c r="G2360" s="656" t="s">
        <v>2769</v>
      </c>
      <c r="H2360" s="656" t="s">
        <v>505</v>
      </c>
      <c r="I2360" s="656" t="s">
        <v>14976</v>
      </c>
      <c r="J2360" s="656"/>
      <c r="K2360" s="656"/>
      <c r="L2360" s="656"/>
      <c r="M2360" s="657"/>
      <c r="N2360" s="1482"/>
      <c r="O2360" s="656" t="s">
        <v>498</v>
      </c>
      <c r="P2360" s="656" t="s">
        <v>13052</v>
      </c>
      <c r="Q2360" s="656">
        <v>44216.77584490741</v>
      </c>
    </row>
    <row r="2361" spans="1:17">
      <c r="A2361" s="656" t="s">
        <v>2786</v>
      </c>
      <c r="B2361" s="657" t="s">
        <v>504</v>
      </c>
      <c r="C2361" s="656" t="s">
        <v>2787</v>
      </c>
      <c r="D2361" s="657" t="s">
        <v>13789</v>
      </c>
      <c r="E2361" s="657" t="s">
        <v>9654</v>
      </c>
      <c r="F2361" s="656" t="s">
        <v>505</v>
      </c>
      <c r="G2361" s="656" t="s">
        <v>2769</v>
      </c>
      <c r="H2361" s="656" t="s">
        <v>505</v>
      </c>
      <c r="I2361" s="656" t="s">
        <v>14976</v>
      </c>
      <c r="J2361" s="656"/>
      <c r="K2361" s="656"/>
      <c r="L2361" s="656"/>
      <c r="M2361" s="657"/>
      <c r="N2361" s="1482"/>
      <c r="O2361" s="656" t="s">
        <v>498</v>
      </c>
      <c r="P2361" s="656" t="s">
        <v>13052</v>
      </c>
      <c r="Q2361" s="656">
        <v>44216.77584490741</v>
      </c>
    </row>
    <row r="2362" spans="1:17">
      <c r="A2362" s="656" t="s">
        <v>2788</v>
      </c>
      <c r="B2362" s="657" t="s">
        <v>504</v>
      </c>
      <c r="C2362" s="656" t="s">
        <v>2789</v>
      </c>
      <c r="D2362" s="657" t="s">
        <v>13789</v>
      </c>
      <c r="E2362" s="657" t="s">
        <v>9654</v>
      </c>
      <c r="F2362" s="656" t="s">
        <v>505</v>
      </c>
      <c r="G2362" s="656" t="s">
        <v>2790</v>
      </c>
      <c r="H2362" s="656" t="s">
        <v>505</v>
      </c>
      <c r="I2362" s="656" t="s">
        <v>14976</v>
      </c>
      <c r="J2362" s="656"/>
      <c r="K2362" s="656"/>
      <c r="L2362" s="656"/>
      <c r="M2362" s="657"/>
      <c r="N2362" s="1482"/>
      <c r="O2362" s="656" t="s">
        <v>498</v>
      </c>
      <c r="P2362" s="656" t="s">
        <v>13052</v>
      </c>
      <c r="Q2362" s="656">
        <v>44216.775833333333</v>
      </c>
    </row>
    <row r="2363" spans="1:17">
      <c r="A2363" s="656" t="s">
        <v>2791</v>
      </c>
      <c r="B2363" s="657" t="s">
        <v>504</v>
      </c>
      <c r="C2363" s="656" t="s">
        <v>2792</v>
      </c>
      <c r="D2363" s="657" t="s">
        <v>14977</v>
      </c>
      <c r="E2363" s="657" t="s">
        <v>9654</v>
      </c>
      <c r="F2363" s="656" t="s">
        <v>505</v>
      </c>
      <c r="G2363" s="656" t="s">
        <v>2790</v>
      </c>
      <c r="H2363" s="656" t="s">
        <v>505</v>
      </c>
      <c r="I2363" s="656" t="s">
        <v>14976</v>
      </c>
      <c r="J2363" s="656"/>
      <c r="K2363" s="656"/>
      <c r="L2363" s="656"/>
      <c r="M2363" s="657"/>
      <c r="N2363" s="1482"/>
      <c r="O2363" s="656" t="s">
        <v>498</v>
      </c>
      <c r="P2363" s="656" t="s">
        <v>13052</v>
      </c>
      <c r="Q2363" s="656">
        <v>44216.775833333333</v>
      </c>
    </row>
    <row r="2364" spans="1:17">
      <c r="A2364" s="656" t="s">
        <v>2793</v>
      </c>
      <c r="B2364" s="657" t="s">
        <v>504</v>
      </c>
      <c r="C2364" s="656" t="s">
        <v>2539</v>
      </c>
      <c r="D2364" s="657" t="s">
        <v>13789</v>
      </c>
      <c r="E2364" s="657" t="s">
        <v>9654</v>
      </c>
      <c r="F2364" s="656" t="s">
        <v>505</v>
      </c>
      <c r="G2364" s="656" t="s">
        <v>2540</v>
      </c>
      <c r="H2364" s="656" t="s">
        <v>505</v>
      </c>
      <c r="I2364" s="656" t="s">
        <v>14976</v>
      </c>
      <c r="J2364" s="656"/>
      <c r="K2364" s="656"/>
      <c r="L2364" s="656"/>
      <c r="M2364" s="657"/>
      <c r="N2364" s="1482"/>
      <c r="O2364" s="656" t="s">
        <v>498</v>
      </c>
      <c r="P2364" s="656" t="s">
        <v>13052</v>
      </c>
      <c r="Q2364" s="656">
        <v>44216.775833333333</v>
      </c>
    </row>
    <row r="2365" spans="1:17">
      <c r="A2365" s="656" t="s">
        <v>2794</v>
      </c>
      <c r="B2365" s="657" t="s">
        <v>202</v>
      </c>
      <c r="C2365" s="656" t="s">
        <v>2795</v>
      </c>
      <c r="D2365" s="657" t="s">
        <v>13789</v>
      </c>
      <c r="E2365" s="657" t="s">
        <v>9458</v>
      </c>
      <c r="F2365" s="656" t="s">
        <v>1477</v>
      </c>
      <c r="G2365" s="656"/>
      <c r="H2365" s="656" t="s">
        <v>1477</v>
      </c>
      <c r="I2365" s="656" t="s">
        <v>14976</v>
      </c>
      <c r="J2365" s="656" t="s">
        <v>446</v>
      </c>
      <c r="K2365" s="656"/>
      <c r="L2365" s="656"/>
      <c r="M2365" s="657"/>
      <c r="N2365" s="1482"/>
      <c r="O2365" s="656" t="s">
        <v>498</v>
      </c>
      <c r="P2365" s="656" t="s">
        <v>13052</v>
      </c>
      <c r="Q2365" s="656">
        <v>44216.775810185187</v>
      </c>
    </row>
    <row r="2366" spans="1:17">
      <c r="A2366" s="656" t="s">
        <v>2796</v>
      </c>
      <c r="B2366" s="657" t="s">
        <v>202</v>
      </c>
      <c r="C2366" s="656" t="s">
        <v>2797</v>
      </c>
      <c r="D2366" s="657" t="s">
        <v>13789</v>
      </c>
      <c r="E2366" s="657" t="s">
        <v>9458</v>
      </c>
      <c r="F2366" s="656" t="s">
        <v>472</v>
      </c>
      <c r="G2366" s="656" t="s">
        <v>1395</v>
      </c>
      <c r="H2366" s="656" t="s">
        <v>472</v>
      </c>
      <c r="I2366" s="656" t="s">
        <v>14976</v>
      </c>
      <c r="J2366" s="656" t="s">
        <v>12368</v>
      </c>
      <c r="K2366" s="656"/>
      <c r="L2366" s="656"/>
      <c r="M2366" s="657"/>
      <c r="N2366" s="1482"/>
      <c r="O2366" s="656" t="s">
        <v>498</v>
      </c>
      <c r="P2366" s="656" t="s">
        <v>13052</v>
      </c>
      <c r="Q2366" s="656">
        <v>44216.775810185187</v>
      </c>
    </row>
    <row r="2367" spans="1:17">
      <c r="A2367" s="656" t="s">
        <v>2798</v>
      </c>
      <c r="B2367" s="657" t="s">
        <v>504</v>
      </c>
      <c r="C2367" s="656" t="s">
        <v>2799</v>
      </c>
      <c r="D2367" s="657" t="s">
        <v>13789</v>
      </c>
      <c r="E2367" s="657" t="s">
        <v>9458</v>
      </c>
      <c r="F2367" s="656" t="s">
        <v>505</v>
      </c>
      <c r="G2367" s="656" t="s">
        <v>509</v>
      </c>
      <c r="H2367" s="656" t="s">
        <v>505</v>
      </c>
      <c r="I2367" s="656" t="s">
        <v>14976</v>
      </c>
      <c r="J2367" s="656"/>
      <c r="K2367" s="656"/>
      <c r="L2367" s="656"/>
      <c r="M2367" s="657"/>
      <c r="N2367" s="1482"/>
      <c r="O2367" s="656" t="s">
        <v>498</v>
      </c>
      <c r="P2367" s="656" t="s">
        <v>13052</v>
      </c>
      <c r="Q2367" s="656">
        <v>44216.775810185187</v>
      </c>
    </row>
    <row r="2368" spans="1:17">
      <c r="A2368" s="656" t="s">
        <v>2800</v>
      </c>
      <c r="B2368" s="657" t="s">
        <v>504</v>
      </c>
      <c r="C2368" s="656" t="s">
        <v>2801</v>
      </c>
      <c r="D2368" s="657" t="s">
        <v>13789</v>
      </c>
      <c r="E2368" s="657" t="s">
        <v>7439</v>
      </c>
      <c r="F2368" s="656" t="s">
        <v>505</v>
      </c>
      <c r="G2368" s="656" t="s">
        <v>506</v>
      </c>
      <c r="H2368" s="656" t="s">
        <v>505</v>
      </c>
      <c r="I2368" s="656" t="s">
        <v>14976</v>
      </c>
      <c r="J2368" s="656"/>
      <c r="K2368" s="656"/>
      <c r="L2368" s="656"/>
      <c r="M2368" s="657"/>
      <c r="N2368" s="1482"/>
      <c r="O2368" s="656" t="s">
        <v>498</v>
      </c>
      <c r="P2368" s="656" t="s">
        <v>13052</v>
      </c>
      <c r="Q2368" s="656">
        <v>44216.77579861111</v>
      </c>
    </row>
    <row r="2369" spans="1:17">
      <c r="A2369" s="656" t="s">
        <v>2802</v>
      </c>
      <c r="B2369" s="657" t="s">
        <v>504</v>
      </c>
      <c r="C2369" s="656" t="s">
        <v>2803</v>
      </c>
      <c r="D2369" s="657" t="s">
        <v>13789</v>
      </c>
      <c r="E2369" s="657" t="s">
        <v>7439</v>
      </c>
      <c r="F2369" s="656" t="s">
        <v>505</v>
      </c>
      <c r="G2369" s="656" t="s">
        <v>506</v>
      </c>
      <c r="H2369" s="656" t="s">
        <v>505</v>
      </c>
      <c r="I2369" s="656" t="s">
        <v>14976</v>
      </c>
      <c r="J2369" s="656"/>
      <c r="K2369" s="656"/>
      <c r="L2369" s="656"/>
      <c r="M2369" s="657"/>
      <c r="N2369" s="1482"/>
      <c r="O2369" s="656" t="s">
        <v>498</v>
      </c>
      <c r="P2369" s="656" t="s">
        <v>13052</v>
      </c>
      <c r="Q2369" s="656">
        <v>44216.77579861111</v>
      </c>
    </row>
    <row r="2370" spans="1:17">
      <c r="A2370" s="656" t="s">
        <v>2804</v>
      </c>
      <c r="B2370" s="657" t="s">
        <v>504</v>
      </c>
      <c r="C2370" s="656" t="s">
        <v>2805</v>
      </c>
      <c r="D2370" s="657" t="s">
        <v>13789</v>
      </c>
      <c r="E2370" s="657" t="s">
        <v>7439</v>
      </c>
      <c r="F2370" s="656" t="s">
        <v>505</v>
      </c>
      <c r="G2370" s="656" t="s">
        <v>506</v>
      </c>
      <c r="H2370" s="656" t="s">
        <v>505</v>
      </c>
      <c r="I2370" s="656" t="s">
        <v>14976</v>
      </c>
      <c r="J2370" s="656"/>
      <c r="K2370" s="656"/>
      <c r="L2370" s="656"/>
      <c r="M2370" s="657"/>
      <c r="N2370" s="1482"/>
      <c r="O2370" s="656" t="s">
        <v>498</v>
      </c>
      <c r="P2370" s="656" t="s">
        <v>13052</v>
      </c>
      <c r="Q2370" s="656">
        <v>44216.775787037041</v>
      </c>
    </row>
    <row r="2371" spans="1:17">
      <c r="A2371" s="656" t="s">
        <v>2806</v>
      </c>
      <c r="B2371" s="657" t="s">
        <v>504</v>
      </c>
      <c r="C2371" s="656" t="s">
        <v>2807</v>
      </c>
      <c r="D2371" s="657" t="s">
        <v>13789</v>
      </c>
      <c r="E2371" s="657" t="s">
        <v>7439</v>
      </c>
      <c r="F2371" s="656" t="s">
        <v>505</v>
      </c>
      <c r="G2371" s="656" t="s">
        <v>509</v>
      </c>
      <c r="H2371" s="656" t="s">
        <v>505</v>
      </c>
      <c r="I2371" s="656" t="s">
        <v>14976</v>
      </c>
      <c r="J2371" s="656"/>
      <c r="K2371" s="656"/>
      <c r="L2371" s="656"/>
      <c r="M2371" s="657"/>
      <c r="N2371" s="1482"/>
      <c r="O2371" s="656" t="s">
        <v>498</v>
      </c>
      <c r="P2371" s="656" t="s">
        <v>13052</v>
      </c>
      <c r="Q2371" s="656">
        <v>44216.775787037041</v>
      </c>
    </row>
    <row r="2372" spans="1:17">
      <c r="A2372" s="656" t="s">
        <v>2808</v>
      </c>
      <c r="B2372" s="657" t="s">
        <v>504</v>
      </c>
      <c r="C2372" s="656" t="s">
        <v>2809</v>
      </c>
      <c r="D2372" s="657" t="s">
        <v>13789</v>
      </c>
      <c r="E2372" s="657" t="s">
        <v>7439</v>
      </c>
      <c r="F2372" s="656" t="s">
        <v>505</v>
      </c>
      <c r="G2372" s="656" t="s">
        <v>509</v>
      </c>
      <c r="H2372" s="656" t="s">
        <v>505</v>
      </c>
      <c r="I2372" s="656" t="s">
        <v>14976</v>
      </c>
      <c r="J2372" s="656"/>
      <c r="K2372" s="656"/>
      <c r="L2372" s="656"/>
      <c r="M2372" s="657"/>
      <c r="N2372" s="1482"/>
      <c r="O2372" s="656" t="s">
        <v>498</v>
      </c>
      <c r="P2372" s="656" t="s">
        <v>13052</v>
      </c>
      <c r="Q2372" s="656">
        <v>44216.775775462964</v>
      </c>
    </row>
    <row r="2373" spans="1:17">
      <c r="A2373" s="656" t="s">
        <v>2810</v>
      </c>
      <c r="B2373" s="657" t="s">
        <v>504</v>
      </c>
      <c r="C2373" s="656" t="s">
        <v>2811</v>
      </c>
      <c r="D2373" s="657" t="s">
        <v>13789</v>
      </c>
      <c r="E2373" s="657" t="s">
        <v>7439</v>
      </c>
      <c r="F2373" s="656" t="s">
        <v>505</v>
      </c>
      <c r="G2373" s="656" t="s">
        <v>509</v>
      </c>
      <c r="H2373" s="656" t="s">
        <v>505</v>
      </c>
      <c r="I2373" s="656" t="s">
        <v>14976</v>
      </c>
      <c r="J2373" s="656"/>
      <c r="K2373" s="656"/>
      <c r="L2373" s="656"/>
      <c r="M2373" s="657"/>
      <c r="N2373" s="1482"/>
      <c r="O2373" s="656" t="s">
        <v>498</v>
      </c>
      <c r="P2373" s="656" t="s">
        <v>13052</v>
      </c>
      <c r="Q2373" s="656">
        <v>44216.775775462964</v>
      </c>
    </row>
    <row r="2374" spans="1:17">
      <c r="A2374" s="656" t="s">
        <v>2812</v>
      </c>
      <c r="B2374" s="657" t="s">
        <v>504</v>
      </c>
      <c r="C2374" s="656" t="s">
        <v>2813</v>
      </c>
      <c r="D2374" s="657" t="s">
        <v>13789</v>
      </c>
      <c r="E2374" s="657" t="s">
        <v>7439</v>
      </c>
      <c r="F2374" s="656" t="s">
        <v>505</v>
      </c>
      <c r="G2374" s="656" t="s">
        <v>509</v>
      </c>
      <c r="H2374" s="656" t="s">
        <v>505</v>
      </c>
      <c r="I2374" s="656" t="s">
        <v>14976</v>
      </c>
      <c r="J2374" s="656"/>
      <c r="K2374" s="656"/>
      <c r="L2374" s="656"/>
      <c r="M2374" s="657"/>
      <c r="N2374" s="1482"/>
      <c r="O2374" s="656" t="s">
        <v>498</v>
      </c>
      <c r="P2374" s="656" t="s">
        <v>13052</v>
      </c>
      <c r="Q2374" s="656">
        <v>44216.775775462964</v>
      </c>
    </row>
    <row r="2375" spans="1:17">
      <c r="A2375" s="656" t="s">
        <v>2814</v>
      </c>
      <c r="B2375" s="657" t="s">
        <v>504</v>
      </c>
      <c r="C2375" s="656" t="s">
        <v>2815</v>
      </c>
      <c r="D2375" s="657" t="s">
        <v>13789</v>
      </c>
      <c r="E2375" s="657" t="s">
        <v>7439</v>
      </c>
      <c r="F2375" s="656" t="s">
        <v>505</v>
      </c>
      <c r="G2375" s="656" t="s">
        <v>522</v>
      </c>
      <c r="H2375" s="656" t="s">
        <v>505</v>
      </c>
      <c r="I2375" s="656" t="s">
        <v>14976</v>
      </c>
      <c r="J2375" s="656"/>
      <c r="K2375" s="656"/>
      <c r="L2375" s="656"/>
      <c r="M2375" s="657"/>
      <c r="N2375" s="1482"/>
      <c r="O2375" s="656" t="s">
        <v>498</v>
      </c>
      <c r="P2375" s="656" t="s">
        <v>13052</v>
      </c>
      <c r="Q2375" s="656">
        <v>44216.775763888887</v>
      </c>
    </row>
    <row r="2376" spans="1:17">
      <c r="A2376" s="656" t="s">
        <v>13760</v>
      </c>
      <c r="B2376" s="657" t="s">
        <v>504</v>
      </c>
      <c r="C2376" s="656" t="s">
        <v>2816</v>
      </c>
      <c r="D2376" s="657" t="s">
        <v>13789</v>
      </c>
      <c r="E2376" s="657" t="s">
        <v>9458</v>
      </c>
      <c r="F2376" s="656" t="s">
        <v>505</v>
      </c>
      <c r="G2376" s="656" t="s">
        <v>522</v>
      </c>
      <c r="H2376" s="656" t="s">
        <v>505</v>
      </c>
      <c r="I2376" s="656" t="s">
        <v>14976</v>
      </c>
      <c r="J2376" s="656"/>
      <c r="K2376" s="656"/>
      <c r="L2376" s="656"/>
      <c r="M2376" s="657"/>
      <c r="N2376" s="1482"/>
      <c r="O2376" s="656" t="s">
        <v>498</v>
      </c>
      <c r="P2376" s="656" t="s">
        <v>13052</v>
      </c>
      <c r="Q2376" s="656">
        <v>44216.775763888887</v>
      </c>
    </row>
    <row r="2377" spans="1:17">
      <c r="A2377" s="656" t="s">
        <v>2817</v>
      </c>
      <c r="B2377" s="657" t="s">
        <v>504</v>
      </c>
      <c r="C2377" s="656" t="s">
        <v>2818</v>
      </c>
      <c r="D2377" s="657" t="s">
        <v>13789</v>
      </c>
      <c r="E2377" s="657" t="s">
        <v>7439</v>
      </c>
      <c r="F2377" s="656" t="s">
        <v>505</v>
      </c>
      <c r="G2377" s="656" t="s">
        <v>522</v>
      </c>
      <c r="H2377" s="656" t="s">
        <v>505</v>
      </c>
      <c r="I2377" s="656" t="s">
        <v>14976</v>
      </c>
      <c r="J2377" s="656"/>
      <c r="K2377" s="656"/>
      <c r="L2377" s="656"/>
      <c r="M2377" s="657"/>
      <c r="N2377" s="1482"/>
      <c r="O2377" s="656" t="s">
        <v>498</v>
      </c>
      <c r="P2377" s="656" t="s">
        <v>13052</v>
      </c>
      <c r="Q2377" s="656">
        <v>44216.775752314818</v>
      </c>
    </row>
    <row r="2378" spans="1:17">
      <c r="A2378" s="656" t="s">
        <v>2819</v>
      </c>
      <c r="B2378" s="657" t="s">
        <v>531</v>
      </c>
      <c r="C2378" s="656" t="s">
        <v>2820</v>
      </c>
      <c r="D2378" s="657" t="s">
        <v>13789</v>
      </c>
      <c r="E2378" s="657" t="s">
        <v>9458</v>
      </c>
      <c r="F2378" s="656" t="s">
        <v>1949</v>
      </c>
      <c r="G2378" s="656" t="s">
        <v>717</v>
      </c>
      <c r="H2378" s="656" t="s">
        <v>1949</v>
      </c>
      <c r="I2378" s="656" t="s">
        <v>14976</v>
      </c>
      <c r="J2378" s="656"/>
      <c r="K2378" s="656"/>
      <c r="L2378" s="656"/>
      <c r="M2378" s="657"/>
      <c r="N2378" s="1482"/>
      <c r="O2378" s="656" t="s">
        <v>498</v>
      </c>
      <c r="P2378" s="656" t="s">
        <v>13052</v>
      </c>
      <c r="Q2378" s="656">
        <v>44216.775752314818</v>
      </c>
    </row>
    <row r="2379" spans="1:17">
      <c r="A2379" s="656" t="s">
        <v>2821</v>
      </c>
      <c r="B2379" s="657" t="s">
        <v>202</v>
      </c>
      <c r="C2379" s="656" t="s">
        <v>2822</v>
      </c>
      <c r="D2379" s="657" t="s">
        <v>13789</v>
      </c>
      <c r="E2379" s="657" t="s">
        <v>9458</v>
      </c>
      <c r="F2379" s="656" t="s">
        <v>1050</v>
      </c>
      <c r="G2379" s="656" t="s">
        <v>1051</v>
      </c>
      <c r="H2379" s="656" t="s">
        <v>1050</v>
      </c>
      <c r="I2379" s="656" t="s">
        <v>14976</v>
      </c>
      <c r="J2379" s="656"/>
      <c r="K2379" s="656"/>
      <c r="L2379" s="656"/>
      <c r="M2379" s="657"/>
      <c r="N2379" s="1482"/>
      <c r="O2379" s="656" t="s">
        <v>498</v>
      </c>
      <c r="P2379" s="656" t="s">
        <v>13052</v>
      </c>
      <c r="Q2379" s="656">
        <v>44216.775740740741</v>
      </c>
    </row>
    <row r="2380" spans="1:17">
      <c r="A2380" s="656" t="s">
        <v>2823</v>
      </c>
      <c r="B2380" s="657" t="s">
        <v>202</v>
      </c>
      <c r="C2380" s="656" t="s">
        <v>2757</v>
      </c>
      <c r="D2380" s="657" t="s">
        <v>13789</v>
      </c>
      <c r="E2380" s="657" t="s">
        <v>7439</v>
      </c>
      <c r="F2380" s="656" t="s">
        <v>1300</v>
      </c>
      <c r="G2380" s="656" t="s">
        <v>1301</v>
      </c>
      <c r="H2380" s="656" t="s">
        <v>1300</v>
      </c>
      <c r="I2380" s="656" t="s">
        <v>14976</v>
      </c>
      <c r="J2380" s="656"/>
      <c r="K2380" s="656"/>
      <c r="L2380" s="656"/>
      <c r="M2380" s="657"/>
      <c r="N2380" s="1482"/>
      <c r="O2380" s="656" t="s">
        <v>498</v>
      </c>
      <c r="P2380" s="656" t="s">
        <v>13052</v>
      </c>
      <c r="Q2380" s="656">
        <v>44216.775740740741</v>
      </c>
    </row>
    <row r="2381" spans="1:17">
      <c r="A2381" s="656" t="s">
        <v>2824</v>
      </c>
      <c r="B2381" s="657" t="s">
        <v>202</v>
      </c>
      <c r="C2381" s="656" t="s">
        <v>2825</v>
      </c>
      <c r="D2381" s="657" t="s">
        <v>13789</v>
      </c>
      <c r="E2381" s="657" t="s">
        <v>9458</v>
      </c>
      <c r="F2381" s="656" t="s">
        <v>1667</v>
      </c>
      <c r="G2381" s="656" t="s">
        <v>1668</v>
      </c>
      <c r="H2381" s="656" t="s">
        <v>1667</v>
      </c>
      <c r="I2381" s="656" t="s">
        <v>14976</v>
      </c>
      <c r="J2381" s="656"/>
      <c r="K2381" s="656"/>
      <c r="L2381" s="656"/>
      <c r="M2381" s="657"/>
      <c r="N2381" s="1482"/>
      <c r="O2381" s="656" t="s">
        <v>498</v>
      </c>
      <c r="P2381" s="656" t="s">
        <v>13052</v>
      </c>
      <c r="Q2381" s="656">
        <v>44216.775729166664</v>
      </c>
    </row>
    <row r="2382" spans="1:17">
      <c r="A2382" s="656" t="s">
        <v>2826</v>
      </c>
      <c r="B2382" s="657" t="s">
        <v>202</v>
      </c>
      <c r="C2382" s="656" t="s">
        <v>2827</v>
      </c>
      <c r="D2382" s="657" t="s">
        <v>13789</v>
      </c>
      <c r="E2382" s="657" t="s">
        <v>7439</v>
      </c>
      <c r="F2382" s="656" t="s">
        <v>2849</v>
      </c>
      <c r="G2382" s="656" t="s">
        <v>1070</v>
      </c>
      <c r="H2382" s="656" t="s">
        <v>1338</v>
      </c>
      <c r="I2382" s="656" t="s">
        <v>15280</v>
      </c>
      <c r="J2382" s="656"/>
      <c r="K2382" s="656"/>
      <c r="L2382" s="656"/>
      <c r="M2382" s="657"/>
      <c r="N2382" s="1482"/>
      <c r="O2382" s="656" t="s">
        <v>498</v>
      </c>
      <c r="P2382" s="656" t="s">
        <v>13052</v>
      </c>
      <c r="Q2382" s="656">
        <v>44216.775717592594</v>
      </c>
    </row>
    <row r="2383" spans="1:17">
      <c r="A2383" s="656" t="s">
        <v>2828</v>
      </c>
      <c r="B2383" s="657" t="s">
        <v>202</v>
      </c>
      <c r="C2383" s="656" t="s">
        <v>2829</v>
      </c>
      <c r="D2383" s="657" t="s">
        <v>13789</v>
      </c>
      <c r="E2383" s="657" t="s">
        <v>7439</v>
      </c>
      <c r="F2383" s="656" t="s">
        <v>1050</v>
      </c>
      <c r="G2383" s="656" t="s">
        <v>1078</v>
      </c>
      <c r="H2383" s="656" t="s">
        <v>1050</v>
      </c>
      <c r="I2383" s="656" t="s">
        <v>15280</v>
      </c>
      <c r="J2383" s="656"/>
      <c r="K2383" s="656"/>
      <c r="L2383" s="656"/>
      <c r="M2383" s="657"/>
      <c r="N2383" s="1482"/>
      <c r="O2383" s="656" t="s">
        <v>498</v>
      </c>
      <c r="P2383" s="656" t="s">
        <v>13052</v>
      </c>
      <c r="Q2383" s="656">
        <v>44216.775706018518</v>
      </c>
    </row>
    <row r="2384" spans="1:17">
      <c r="A2384" s="656" t="s">
        <v>2830</v>
      </c>
      <c r="B2384" s="657" t="s">
        <v>202</v>
      </c>
      <c r="C2384" s="656" t="s">
        <v>2831</v>
      </c>
      <c r="D2384" s="657" t="s">
        <v>13789</v>
      </c>
      <c r="E2384" s="657" t="s">
        <v>9458</v>
      </c>
      <c r="F2384" s="656" t="s">
        <v>1300</v>
      </c>
      <c r="G2384" s="656" t="s">
        <v>1478</v>
      </c>
      <c r="H2384" s="656" t="s">
        <v>1300</v>
      </c>
      <c r="I2384" s="656" t="s">
        <v>14976</v>
      </c>
      <c r="J2384" s="656"/>
      <c r="K2384" s="656"/>
      <c r="L2384" s="656"/>
      <c r="M2384" s="657"/>
      <c r="N2384" s="1482"/>
      <c r="O2384" s="656" t="s">
        <v>498</v>
      </c>
      <c r="P2384" s="656" t="s">
        <v>13052</v>
      </c>
      <c r="Q2384" s="656">
        <v>44216.775706018518</v>
      </c>
    </row>
    <row r="2385" spans="1:17">
      <c r="A2385" s="656" t="s">
        <v>2832</v>
      </c>
      <c r="B2385" s="657" t="s">
        <v>202</v>
      </c>
      <c r="C2385" s="656" t="s">
        <v>2833</v>
      </c>
      <c r="D2385" s="657" t="s">
        <v>13789</v>
      </c>
      <c r="E2385" s="657" t="s">
        <v>9458</v>
      </c>
      <c r="F2385" s="656" t="s">
        <v>1300</v>
      </c>
      <c r="G2385" s="656" t="s">
        <v>1070</v>
      </c>
      <c r="H2385" s="656" t="s">
        <v>1300</v>
      </c>
      <c r="I2385" s="656" t="s">
        <v>14976</v>
      </c>
      <c r="J2385" s="656"/>
      <c r="K2385" s="656"/>
      <c r="L2385" s="656"/>
      <c r="M2385" s="657"/>
      <c r="N2385" s="1482"/>
      <c r="O2385" s="656" t="s">
        <v>498</v>
      </c>
      <c r="P2385" s="656" t="s">
        <v>13052</v>
      </c>
      <c r="Q2385" s="656">
        <v>44216.775694444441</v>
      </c>
    </row>
    <row r="2386" spans="1:17">
      <c r="A2386" s="656" t="s">
        <v>2834</v>
      </c>
      <c r="B2386" s="657" t="s">
        <v>504</v>
      </c>
      <c r="C2386" s="656" t="s">
        <v>2835</v>
      </c>
      <c r="D2386" s="657" t="s">
        <v>13789</v>
      </c>
      <c r="E2386" s="657" t="s">
        <v>7439</v>
      </c>
      <c r="F2386" s="656" t="s">
        <v>505</v>
      </c>
      <c r="G2386" s="656" t="s">
        <v>2769</v>
      </c>
      <c r="H2386" s="656" t="s">
        <v>505</v>
      </c>
      <c r="I2386" s="656" t="s">
        <v>14976</v>
      </c>
      <c r="J2386" s="656"/>
      <c r="K2386" s="656"/>
      <c r="L2386" s="656"/>
      <c r="M2386" s="657"/>
      <c r="N2386" s="1482"/>
      <c r="O2386" s="656" t="s">
        <v>498</v>
      </c>
      <c r="P2386" s="656" t="s">
        <v>13052</v>
      </c>
      <c r="Q2386" s="656">
        <v>44216.775682870371</v>
      </c>
    </row>
    <row r="2387" spans="1:17">
      <c r="A2387" s="656" t="s">
        <v>2836</v>
      </c>
      <c r="B2387" s="657" t="s">
        <v>504</v>
      </c>
      <c r="C2387" s="656" t="s">
        <v>13757</v>
      </c>
      <c r="D2387" s="657" t="s">
        <v>13789</v>
      </c>
      <c r="E2387" s="657" t="s">
        <v>7439</v>
      </c>
      <c r="F2387" s="656" t="s">
        <v>505</v>
      </c>
      <c r="G2387" s="656" t="s">
        <v>525</v>
      </c>
      <c r="H2387" s="656" t="s">
        <v>505</v>
      </c>
      <c r="I2387" s="656" t="s">
        <v>14976</v>
      </c>
      <c r="J2387" s="656"/>
      <c r="K2387" s="656"/>
      <c r="L2387" s="656"/>
      <c r="M2387" s="657"/>
      <c r="N2387" s="1482"/>
      <c r="O2387" s="656" t="s">
        <v>498</v>
      </c>
      <c r="P2387" s="656" t="s">
        <v>13052</v>
      </c>
      <c r="Q2387" s="656">
        <v>44216.775671296295</v>
      </c>
    </row>
    <row r="2388" spans="1:17">
      <c r="A2388" s="656" t="s">
        <v>2837</v>
      </c>
      <c r="B2388" s="657" t="s">
        <v>202</v>
      </c>
      <c r="C2388" s="656" t="s">
        <v>2838</v>
      </c>
      <c r="D2388" s="657" t="s">
        <v>13789</v>
      </c>
      <c r="E2388" s="657" t="s">
        <v>7439</v>
      </c>
      <c r="F2388" s="656" t="s">
        <v>3077</v>
      </c>
      <c r="G2388" s="656"/>
      <c r="H2388" s="656" t="s">
        <v>465</v>
      </c>
      <c r="I2388" s="656" t="s">
        <v>15280</v>
      </c>
      <c r="J2388" s="656" t="s">
        <v>446</v>
      </c>
      <c r="K2388" s="656"/>
      <c r="L2388" s="656"/>
      <c r="M2388" s="657"/>
      <c r="N2388" s="1482"/>
      <c r="O2388" s="656" t="s">
        <v>498</v>
      </c>
      <c r="P2388" s="656" t="s">
        <v>13052</v>
      </c>
      <c r="Q2388" s="656">
        <v>44216.775671296295</v>
      </c>
    </row>
    <row r="2389" spans="1:17">
      <c r="A2389" s="656" t="s">
        <v>2839</v>
      </c>
      <c r="B2389" s="657" t="s">
        <v>202</v>
      </c>
      <c r="C2389" s="656" t="s">
        <v>2840</v>
      </c>
      <c r="D2389" s="657" t="s">
        <v>13789</v>
      </c>
      <c r="E2389" s="657" t="s">
        <v>7439</v>
      </c>
      <c r="F2389" s="656" t="s">
        <v>1667</v>
      </c>
      <c r="G2389" s="656" t="s">
        <v>1668</v>
      </c>
      <c r="H2389" s="656" t="s">
        <v>1667</v>
      </c>
      <c r="I2389" s="656" t="s">
        <v>15280</v>
      </c>
      <c r="J2389" s="656"/>
      <c r="K2389" s="656"/>
      <c r="L2389" s="656"/>
      <c r="M2389" s="657"/>
      <c r="N2389" s="1482"/>
      <c r="O2389" s="656" t="s">
        <v>498</v>
      </c>
      <c r="P2389" s="656" t="s">
        <v>13052</v>
      </c>
      <c r="Q2389" s="656">
        <v>44216.775671296295</v>
      </c>
    </row>
    <row r="2390" spans="1:17">
      <c r="A2390" s="656" t="s">
        <v>2841</v>
      </c>
      <c r="B2390" s="657" t="s">
        <v>202</v>
      </c>
      <c r="C2390" s="656" t="s">
        <v>2842</v>
      </c>
      <c r="D2390" s="657" t="s">
        <v>13789</v>
      </c>
      <c r="E2390" s="657" t="s">
        <v>9458</v>
      </c>
      <c r="F2390" s="656" t="s">
        <v>472</v>
      </c>
      <c r="G2390" s="656" t="s">
        <v>1395</v>
      </c>
      <c r="H2390" s="656" t="s">
        <v>472</v>
      </c>
      <c r="I2390" s="656" t="s">
        <v>14976</v>
      </c>
      <c r="J2390" s="656" t="s">
        <v>12368</v>
      </c>
      <c r="K2390" s="656"/>
      <c r="L2390" s="656"/>
      <c r="M2390" s="657"/>
      <c r="N2390" s="1482"/>
      <c r="O2390" s="656" t="s">
        <v>498</v>
      </c>
      <c r="P2390" s="656" t="s">
        <v>13052</v>
      </c>
      <c r="Q2390" s="656">
        <v>44216.775659722225</v>
      </c>
    </row>
    <row r="2391" spans="1:17">
      <c r="A2391" s="656" t="s">
        <v>2843</v>
      </c>
      <c r="B2391" s="657" t="s">
        <v>202</v>
      </c>
      <c r="C2391" s="656" t="s">
        <v>2844</v>
      </c>
      <c r="D2391" s="657" t="s">
        <v>13789</v>
      </c>
      <c r="E2391" s="657" t="s">
        <v>7439</v>
      </c>
      <c r="F2391" s="656" t="s">
        <v>3077</v>
      </c>
      <c r="G2391" s="656" t="s">
        <v>512</v>
      </c>
      <c r="H2391" s="656" t="s">
        <v>465</v>
      </c>
      <c r="I2391" s="656" t="s">
        <v>15280</v>
      </c>
      <c r="J2391" s="656" t="s">
        <v>446</v>
      </c>
      <c r="K2391" s="656" t="s">
        <v>3077</v>
      </c>
      <c r="L2391" s="656"/>
      <c r="M2391" s="657"/>
      <c r="N2391" s="1482"/>
      <c r="O2391" s="656" t="s">
        <v>498</v>
      </c>
      <c r="P2391" s="656" t="s">
        <v>13052</v>
      </c>
      <c r="Q2391" s="656">
        <v>44216.775659722225</v>
      </c>
    </row>
    <row r="2392" spans="1:17">
      <c r="A2392" s="656" t="s">
        <v>2845</v>
      </c>
      <c r="B2392" s="657" t="s">
        <v>504</v>
      </c>
      <c r="C2392" s="656" t="s">
        <v>2846</v>
      </c>
      <c r="D2392" s="657" t="s">
        <v>13789</v>
      </c>
      <c r="E2392" s="657" t="s">
        <v>9654</v>
      </c>
      <c r="F2392" s="656" t="s">
        <v>505</v>
      </c>
      <c r="G2392" s="656" t="s">
        <v>506</v>
      </c>
      <c r="H2392" s="656" t="s">
        <v>505</v>
      </c>
      <c r="I2392" s="656" t="s">
        <v>14976</v>
      </c>
      <c r="J2392" s="656"/>
      <c r="K2392" s="656"/>
      <c r="L2392" s="656"/>
      <c r="M2392" s="657"/>
      <c r="N2392" s="1482"/>
      <c r="O2392" s="656" t="s">
        <v>498</v>
      </c>
      <c r="P2392" s="656" t="s">
        <v>13052</v>
      </c>
      <c r="Q2392" s="656">
        <v>44216.775648148148</v>
      </c>
    </row>
    <row r="2393" spans="1:17">
      <c r="A2393" s="656" t="s">
        <v>2847</v>
      </c>
      <c r="B2393" s="657" t="s">
        <v>504</v>
      </c>
      <c r="C2393" s="656" t="s">
        <v>13756</v>
      </c>
      <c r="D2393" s="657" t="s">
        <v>13789</v>
      </c>
      <c r="E2393" s="657" t="s">
        <v>9654</v>
      </c>
      <c r="F2393" s="656" t="s">
        <v>505</v>
      </c>
      <c r="G2393" s="656" t="s">
        <v>2769</v>
      </c>
      <c r="H2393" s="656" t="s">
        <v>505</v>
      </c>
      <c r="I2393" s="656" t="s">
        <v>14976</v>
      </c>
      <c r="J2393" s="656"/>
      <c r="K2393" s="656"/>
      <c r="L2393" s="656"/>
      <c r="M2393" s="657"/>
      <c r="N2393" s="1482"/>
      <c r="O2393" s="656" t="s">
        <v>498</v>
      </c>
      <c r="P2393" s="656" t="s">
        <v>13052</v>
      </c>
      <c r="Q2393" s="656">
        <v>44216.775648148148</v>
      </c>
    </row>
    <row r="2394" spans="1:17">
      <c r="A2394" s="656" t="s">
        <v>2848</v>
      </c>
      <c r="B2394" s="657" t="s">
        <v>531</v>
      </c>
      <c r="C2394" s="656" t="s">
        <v>2088</v>
      </c>
      <c r="D2394" s="657" t="s">
        <v>14977</v>
      </c>
      <c r="E2394" s="657" t="s">
        <v>9458</v>
      </c>
      <c r="F2394" s="656" t="s">
        <v>2849</v>
      </c>
      <c r="G2394" s="656" t="s">
        <v>2849</v>
      </c>
      <c r="H2394" s="656" t="s">
        <v>469</v>
      </c>
      <c r="I2394" s="656" t="s">
        <v>14976</v>
      </c>
      <c r="J2394" s="656" t="s">
        <v>532</v>
      </c>
      <c r="K2394" s="656"/>
      <c r="L2394" s="656" t="s">
        <v>2848</v>
      </c>
      <c r="M2394" s="657"/>
      <c r="N2394" s="1482"/>
      <c r="O2394" s="656" t="s">
        <v>498</v>
      </c>
      <c r="P2394" s="656" t="s">
        <v>13052</v>
      </c>
      <c r="Q2394" s="656">
        <v>44216.775636574072</v>
      </c>
    </row>
    <row r="2395" spans="1:17">
      <c r="A2395" s="656" t="s">
        <v>2850</v>
      </c>
      <c r="B2395" s="657" t="s">
        <v>202</v>
      </c>
      <c r="C2395" s="656" t="s">
        <v>2760</v>
      </c>
      <c r="D2395" s="657" t="s">
        <v>13789</v>
      </c>
      <c r="E2395" s="657" t="s">
        <v>9458</v>
      </c>
      <c r="F2395" s="656" t="s">
        <v>472</v>
      </c>
      <c r="G2395" s="656" t="s">
        <v>1395</v>
      </c>
      <c r="H2395" s="656" t="s">
        <v>472</v>
      </c>
      <c r="I2395" s="656" t="s">
        <v>14976</v>
      </c>
      <c r="J2395" s="656" t="s">
        <v>12368</v>
      </c>
      <c r="K2395" s="656"/>
      <c r="L2395" s="656"/>
      <c r="M2395" s="657"/>
      <c r="N2395" s="1482"/>
      <c r="O2395" s="656" t="s">
        <v>498</v>
      </c>
      <c r="P2395" s="656" t="s">
        <v>13052</v>
      </c>
      <c r="Q2395" s="656">
        <v>44216.775636574072</v>
      </c>
    </row>
    <row r="2396" spans="1:17">
      <c r="A2396" s="656" t="s">
        <v>2851</v>
      </c>
      <c r="B2396" s="657" t="s">
        <v>202</v>
      </c>
      <c r="C2396" s="656" t="s">
        <v>2852</v>
      </c>
      <c r="D2396" s="657" t="s">
        <v>13789</v>
      </c>
      <c r="E2396" s="657" t="s">
        <v>9458</v>
      </c>
      <c r="F2396" s="656" t="s">
        <v>472</v>
      </c>
      <c r="G2396" s="656" t="s">
        <v>1395</v>
      </c>
      <c r="H2396" s="656" t="s">
        <v>472</v>
      </c>
      <c r="I2396" s="656" t="s">
        <v>14976</v>
      </c>
      <c r="J2396" s="656" t="s">
        <v>12368</v>
      </c>
      <c r="K2396" s="656"/>
      <c r="L2396" s="656"/>
      <c r="M2396" s="657"/>
      <c r="N2396" s="1482"/>
      <c r="O2396" s="656" t="s">
        <v>498</v>
      </c>
      <c r="P2396" s="656" t="s">
        <v>13052</v>
      </c>
      <c r="Q2396" s="656">
        <v>44216.775625000002</v>
      </c>
    </row>
    <row r="2397" spans="1:17">
      <c r="A2397" s="656" t="s">
        <v>2853</v>
      </c>
      <c r="B2397" s="657" t="s">
        <v>202</v>
      </c>
      <c r="C2397" s="656" t="s">
        <v>2854</v>
      </c>
      <c r="D2397" s="657" t="s">
        <v>14978</v>
      </c>
      <c r="E2397" s="657" t="s">
        <v>7439</v>
      </c>
      <c r="F2397" s="656" t="s">
        <v>472</v>
      </c>
      <c r="G2397" s="656" t="s">
        <v>1395</v>
      </c>
      <c r="H2397" s="656" t="s">
        <v>472</v>
      </c>
      <c r="I2397" s="656" t="s">
        <v>14976</v>
      </c>
      <c r="J2397" s="656" t="s">
        <v>12368</v>
      </c>
      <c r="K2397" s="656"/>
      <c r="L2397" s="656" t="s">
        <v>2855</v>
      </c>
      <c r="M2397" s="657"/>
      <c r="N2397" s="1482"/>
      <c r="O2397" s="656" t="s">
        <v>498</v>
      </c>
      <c r="P2397" s="656" t="s">
        <v>13052</v>
      </c>
      <c r="Q2397" s="656">
        <v>44216.775625000002</v>
      </c>
    </row>
    <row r="2398" spans="1:17">
      <c r="A2398" s="656" t="s">
        <v>2855</v>
      </c>
      <c r="B2398" s="657" t="s">
        <v>202</v>
      </c>
      <c r="C2398" s="656" t="s">
        <v>2856</v>
      </c>
      <c r="D2398" s="657" t="s">
        <v>13789</v>
      </c>
      <c r="E2398" s="657" t="s">
        <v>9458</v>
      </c>
      <c r="F2398" s="656" t="s">
        <v>472</v>
      </c>
      <c r="G2398" s="656" t="s">
        <v>1395</v>
      </c>
      <c r="H2398" s="656" t="s">
        <v>472</v>
      </c>
      <c r="I2398" s="656" t="s">
        <v>14976</v>
      </c>
      <c r="J2398" s="656" t="s">
        <v>12368</v>
      </c>
      <c r="K2398" s="656"/>
      <c r="L2398" s="656"/>
      <c r="M2398" s="657"/>
      <c r="N2398" s="1482"/>
      <c r="O2398" s="656" t="s">
        <v>498</v>
      </c>
      <c r="P2398" s="656" t="s">
        <v>13052</v>
      </c>
      <c r="Q2398" s="656">
        <v>44216.775613425925</v>
      </c>
    </row>
    <row r="2399" spans="1:17">
      <c r="A2399" s="656" t="s">
        <v>2857</v>
      </c>
      <c r="B2399" s="657" t="s">
        <v>202</v>
      </c>
      <c r="C2399" s="656" t="s">
        <v>2858</v>
      </c>
      <c r="D2399" s="657" t="s">
        <v>13789</v>
      </c>
      <c r="E2399" s="657" t="s">
        <v>9458</v>
      </c>
      <c r="F2399" s="656" t="s">
        <v>783</v>
      </c>
      <c r="G2399" s="656" t="s">
        <v>783</v>
      </c>
      <c r="H2399" s="656" t="s">
        <v>783</v>
      </c>
      <c r="I2399" s="656" t="s">
        <v>14976</v>
      </c>
      <c r="J2399" s="656"/>
      <c r="K2399" s="656"/>
      <c r="L2399" s="656"/>
      <c r="M2399" s="657"/>
      <c r="N2399" s="1482"/>
      <c r="O2399" s="656" t="s">
        <v>498</v>
      </c>
      <c r="P2399" s="656" t="s">
        <v>13052</v>
      </c>
      <c r="Q2399" s="656">
        <v>44216.775613425925</v>
      </c>
    </row>
    <row r="2400" spans="1:17">
      <c r="A2400" s="656" t="s">
        <v>2859</v>
      </c>
      <c r="B2400" s="657" t="s">
        <v>202</v>
      </c>
      <c r="C2400" s="656" t="s">
        <v>2860</v>
      </c>
      <c r="D2400" s="657" t="s">
        <v>13789</v>
      </c>
      <c r="E2400" s="657" t="s">
        <v>7439</v>
      </c>
      <c r="F2400" s="656" t="s">
        <v>1050</v>
      </c>
      <c r="G2400" s="656" t="s">
        <v>1051</v>
      </c>
      <c r="H2400" s="656" t="s">
        <v>1050</v>
      </c>
      <c r="I2400" s="656" t="s">
        <v>14976</v>
      </c>
      <c r="J2400" s="656"/>
      <c r="K2400" s="656"/>
      <c r="L2400" s="656"/>
      <c r="M2400" s="657"/>
      <c r="N2400" s="1482"/>
      <c r="O2400" s="656" t="s">
        <v>498</v>
      </c>
      <c r="P2400" s="656" t="s">
        <v>13052</v>
      </c>
      <c r="Q2400" s="656">
        <v>44216.775601851848</v>
      </c>
    </row>
    <row r="2401" spans="1:17">
      <c r="A2401" s="656" t="s">
        <v>2861</v>
      </c>
      <c r="B2401" s="657" t="s">
        <v>202</v>
      </c>
      <c r="C2401" s="656" t="s">
        <v>2862</v>
      </c>
      <c r="D2401" s="657" t="s">
        <v>14977</v>
      </c>
      <c r="E2401" s="657" t="s">
        <v>7439</v>
      </c>
      <c r="F2401" s="656" t="s">
        <v>3077</v>
      </c>
      <c r="G2401" s="656"/>
      <c r="H2401" s="656" t="s">
        <v>465</v>
      </c>
      <c r="I2401" s="656" t="s">
        <v>14976</v>
      </c>
      <c r="J2401" s="656" t="s">
        <v>446</v>
      </c>
      <c r="K2401" s="656"/>
      <c r="L2401" s="656" t="s">
        <v>2861</v>
      </c>
      <c r="M2401" s="657"/>
      <c r="N2401" s="1482"/>
      <c r="O2401" s="656" t="s">
        <v>498</v>
      </c>
      <c r="P2401" s="656" t="s">
        <v>13052</v>
      </c>
      <c r="Q2401" s="656">
        <v>44216.775601851848</v>
      </c>
    </row>
    <row r="2402" spans="1:17">
      <c r="A2402" s="656" t="s">
        <v>2863</v>
      </c>
      <c r="B2402" s="657" t="s">
        <v>202</v>
      </c>
      <c r="C2402" s="656" t="s">
        <v>2864</v>
      </c>
      <c r="D2402" s="657" t="s">
        <v>13789</v>
      </c>
      <c r="E2402" s="657" t="s">
        <v>7439</v>
      </c>
      <c r="F2402" s="656" t="s">
        <v>1050</v>
      </c>
      <c r="G2402" s="656" t="s">
        <v>1078</v>
      </c>
      <c r="H2402" s="656" t="s">
        <v>1050</v>
      </c>
      <c r="I2402" s="656" t="s">
        <v>15280</v>
      </c>
      <c r="J2402" s="656"/>
      <c r="K2402" s="656"/>
      <c r="L2402" s="656"/>
      <c r="M2402" s="657"/>
      <c r="N2402" s="1482"/>
      <c r="O2402" s="656" t="s">
        <v>498</v>
      </c>
      <c r="P2402" s="656" t="s">
        <v>13052</v>
      </c>
      <c r="Q2402" s="656">
        <v>44216.775590277779</v>
      </c>
    </row>
    <row r="2403" spans="1:17">
      <c r="A2403" s="656" t="s">
        <v>2865</v>
      </c>
      <c r="B2403" s="657" t="s">
        <v>202</v>
      </c>
      <c r="C2403" s="656" t="s">
        <v>2866</v>
      </c>
      <c r="D2403" s="657" t="s">
        <v>13789</v>
      </c>
      <c r="E2403" s="657" t="s">
        <v>9458</v>
      </c>
      <c r="F2403" s="656" t="s">
        <v>4052</v>
      </c>
      <c r="G2403" s="656" t="s">
        <v>512</v>
      </c>
      <c r="H2403" s="656" t="s">
        <v>455</v>
      </c>
      <c r="I2403" s="656" t="s">
        <v>14976</v>
      </c>
      <c r="J2403" s="656" t="s">
        <v>451</v>
      </c>
      <c r="K2403" s="656" t="s">
        <v>4052</v>
      </c>
      <c r="L2403" s="656"/>
      <c r="M2403" s="657"/>
      <c r="N2403" s="1482"/>
      <c r="O2403" s="656" t="s">
        <v>498</v>
      </c>
      <c r="P2403" s="656" t="s">
        <v>13052</v>
      </c>
      <c r="Q2403" s="656">
        <v>44216.775590277779</v>
      </c>
    </row>
    <row r="2404" spans="1:17">
      <c r="A2404" s="656" t="s">
        <v>2867</v>
      </c>
      <c r="B2404" s="657" t="s">
        <v>202</v>
      </c>
      <c r="C2404" s="656" t="s">
        <v>2868</v>
      </c>
      <c r="D2404" s="657" t="s">
        <v>13789</v>
      </c>
      <c r="E2404" s="657" t="s">
        <v>9458</v>
      </c>
      <c r="F2404" s="656" t="s">
        <v>783</v>
      </c>
      <c r="G2404" s="656" t="s">
        <v>783</v>
      </c>
      <c r="H2404" s="656" t="s">
        <v>783</v>
      </c>
      <c r="I2404" s="656" t="s">
        <v>14976</v>
      </c>
      <c r="J2404" s="656"/>
      <c r="K2404" s="656"/>
      <c r="L2404" s="656"/>
      <c r="M2404" s="657"/>
      <c r="N2404" s="1482"/>
      <c r="O2404" s="656" t="s">
        <v>498</v>
      </c>
      <c r="P2404" s="656" t="s">
        <v>13052</v>
      </c>
      <c r="Q2404" s="656">
        <v>44216.775578703702</v>
      </c>
    </row>
    <row r="2405" spans="1:17">
      <c r="A2405" s="656" t="s">
        <v>2869</v>
      </c>
      <c r="B2405" s="657" t="s">
        <v>202</v>
      </c>
      <c r="C2405" s="656" t="s">
        <v>2870</v>
      </c>
      <c r="D2405" s="657" t="s">
        <v>13789</v>
      </c>
      <c r="E2405" s="657" t="s">
        <v>9458</v>
      </c>
      <c r="F2405" s="656" t="s">
        <v>4052</v>
      </c>
      <c r="G2405" s="656" t="s">
        <v>512</v>
      </c>
      <c r="H2405" s="656" t="s">
        <v>455</v>
      </c>
      <c r="I2405" s="656" t="s">
        <v>14976</v>
      </c>
      <c r="J2405" s="656" t="s">
        <v>451</v>
      </c>
      <c r="K2405" s="656" t="s">
        <v>4052</v>
      </c>
      <c r="L2405" s="656"/>
      <c r="M2405" s="657"/>
      <c r="N2405" s="1482"/>
      <c r="O2405" s="656" t="s">
        <v>498</v>
      </c>
      <c r="P2405" s="656" t="s">
        <v>13052</v>
      </c>
      <c r="Q2405" s="656">
        <v>44216.775567129633</v>
      </c>
    </row>
    <row r="2406" spans="1:17">
      <c r="A2406" s="656" t="s">
        <v>2871</v>
      </c>
      <c r="B2406" s="657" t="s">
        <v>202</v>
      </c>
      <c r="C2406" s="656" t="s">
        <v>2872</v>
      </c>
      <c r="D2406" s="657" t="s">
        <v>13789</v>
      </c>
      <c r="E2406" s="657" t="s">
        <v>9458</v>
      </c>
      <c r="F2406" s="656" t="s">
        <v>500</v>
      </c>
      <c r="G2406" s="656" t="s">
        <v>500</v>
      </c>
      <c r="H2406" s="656" t="s">
        <v>500</v>
      </c>
      <c r="I2406" s="656" t="s">
        <v>14976</v>
      </c>
      <c r="J2406" s="656"/>
      <c r="K2406" s="656"/>
      <c r="L2406" s="656"/>
      <c r="M2406" s="657"/>
      <c r="N2406" s="1482"/>
      <c r="O2406" s="656" t="s">
        <v>498</v>
      </c>
      <c r="P2406" s="656" t="s">
        <v>13052</v>
      </c>
      <c r="Q2406" s="656">
        <v>44216.775567129633</v>
      </c>
    </row>
    <row r="2407" spans="1:17">
      <c r="A2407" s="656" t="s">
        <v>2873</v>
      </c>
      <c r="B2407" s="657" t="s">
        <v>202</v>
      </c>
      <c r="C2407" s="656" t="s">
        <v>2874</v>
      </c>
      <c r="D2407" s="657" t="s">
        <v>13789</v>
      </c>
      <c r="E2407" s="657" t="s">
        <v>9458</v>
      </c>
      <c r="F2407" s="656" t="s">
        <v>1300</v>
      </c>
      <c r="G2407" s="656" t="s">
        <v>2072</v>
      </c>
      <c r="H2407" s="656" t="s">
        <v>1300</v>
      </c>
      <c r="I2407" s="656" t="s">
        <v>14976</v>
      </c>
      <c r="J2407" s="656"/>
      <c r="K2407" s="656"/>
      <c r="L2407" s="656"/>
      <c r="M2407" s="657"/>
      <c r="N2407" s="1482"/>
      <c r="O2407" s="656" t="s">
        <v>498</v>
      </c>
      <c r="P2407" s="656" t="s">
        <v>13052</v>
      </c>
      <c r="Q2407" s="656">
        <v>44216.775555555556</v>
      </c>
    </row>
    <row r="2408" spans="1:17">
      <c r="A2408" s="656" t="s">
        <v>2875</v>
      </c>
      <c r="B2408" s="657" t="s">
        <v>202</v>
      </c>
      <c r="C2408" s="656" t="s">
        <v>2876</v>
      </c>
      <c r="D2408" s="657" t="s">
        <v>13789</v>
      </c>
      <c r="E2408" s="657" t="s">
        <v>9458</v>
      </c>
      <c r="F2408" s="656" t="s">
        <v>462</v>
      </c>
      <c r="G2408" s="656" t="s">
        <v>512</v>
      </c>
      <c r="H2408" s="656" t="s">
        <v>462</v>
      </c>
      <c r="I2408" s="656" t="s">
        <v>14976</v>
      </c>
      <c r="J2408" s="656" t="s">
        <v>463</v>
      </c>
      <c r="K2408" s="656" t="s">
        <v>2849</v>
      </c>
      <c r="L2408" s="656"/>
      <c r="M2408" s="657"/>
      <c r="N2408" s="1482"/>
      <c r="O2408" s="656" t="s">
        <v>498</v>
      </c>
      <c r="P2408" s="656" t="s">
        <v>13052</v>
      </c>
      <c r="Q2408" s="656">
        <v>44216.775555555556</v>
      </c>
    </row>
    <row r="2409" spans="1:17">
      <c r="A2409" s="656" t="s">
        <v>2877</v>
      </c>
      <c r="B2409" s="657" t="s">
        <v>202</v>
      </c>
      <c r="C2409" s="656" t="s">
        <v>2878</v>
      </c>
      <c r="D2409" s="657" t="s">
        <v>13789</v>
      </c>
      <c r="E2409" s="657" t="s">
        <v>9458</v>
      </c>
      <c r="F2409" s="656" t="s">
        <v>462</v>
      </c>
      <c r="G2409" s="656"/>
      <c r="H2409" s="656" t="s">
        <v>462</v>
      </c>
      <c r="I2409" s="656" t="s">
        <v>14976</v>
      </c>
      <c r="J2409" s="656" t="s">
        <v>463</v>
      </c>
      <c r="K2409" s="656"/>
      <c r="L2409" s="656"/>
      <c r="M2409" s="657"/>
      <c r="N2409" s="1482"/>
      <c r="O2409" s="656" t="s">
        <v>498</v>
      </c>
      <c r="P2409" s="656" t="s">
        <v>13052</v>
      </c>
      <c r="Q2409" s="656">
        <v>44216.775543981479</v>
      </c>
    </row>
    <row r="2410" spans="1:17">
      <c r="A2410" s="656" t="s">
        <v>2879</v>
      </c>
      <c r="B2410" s="657" t="s">
        <v>202</v>
      </c>
      <c r="C2410" s="656" t="s">
        <v>2880</v>
      </c>
      <c r="D2410" s="657" t="s">
        <v>13789</v>
      </c>
      <c r="E2410" s="657" t="s">
        <v>9458</v>
      </c>
      <c r="F2410" s="656" t="s">
        <v>462</v>
      </c>
      <c r="G2410" s="656" t="s">
        <v>512</v>
      </c>
      <c r="H2410" s="656" t="s">
        <v>462</v>
      </c>
      <c r="I2410" s="656" t="s">
        <v>14976</v>
      </c>
      <c r="J2410" s="656" t="s">
        <v>463</v>
      </c>
      <c r="K2410" s="656" t="s">
        <v>1924</v>
      </c>
      <c r="L2410" s="656"/>
      <c r="M2410" s="657"/>
      <c r="N2410" s="1482"/>
      <c r="O2410" s="656" t="s">
        <v>498</v>
      </c>
      <c r="P2410" s="656" t="s">
        <v>13052</v>
      </c>
      <c r="Q2410" s="656">
        <v>44216.775543981479</v>
      </c>
    </row>
    <row r="2411" spans="1:17">
      <c r="A2411" s="656" t="s">
        <v>2881</v>
      </c>
      <c r="B2411" s="657" t="s">
        <v>202</v>
      </c>
      <c r="C2411" s="656" t="s">
        <v>2882</v>
      </c>
      <c r="D2411" s="657" t="s">
        <v>13789</v>
      </c>
      <c r="E2411" s="657" t="s">
        <v>7435</v>
      </c>
      <c r="F2411" s="656" t="s">
        <v>462</v>
      </c>
      <c r="G2411" s="656" t="s">
        <v>552</v>
      </c>
      <c r="H2411" s="656" t="s">
        <v>462</v>
      </c>
      <c r="I2411" s="656" t="s">
        <v>14976</v>
      </c>
      <c r="J2411" s="656" t="s">
        <v>463</v>
      </c>
      <c r="K2411" s="656" t="s">
        <v>1924</v>
      </c>
      <c r="L2411" s="656"/>
      <c r="M2411" s="657"/>
      <c r="N2411" s="1482"/>
      <c r="O2411" s="656" t="s">
        <v>498</v>
      </c>
      <c r="P2411" s="656" t="s">
        <v>13052</v>
      </c>
      <c r="Q2411" s="656">
        <v>44216.775543981479</v>
      </c>
    </row>
    <row r="2412" spans="1:17">
      <c r="A2412" s="656" t="s">
        <v>2883</v>
      </c>
      <c r="B2412" s="657" t="s">
        <v>202</v>
      </c>
      <c r="C2412" s="656" t="s">
        <v>2884</v>
      </c>
      <c r="D2412" s="657" t="s">
        <v>13789</v>
      </c>
      <c r="E2412" s="657" t="s">
        <v>9458</v>
      </c>
      <c r="F2412" s="656" t="s">
        <v>1300</v>
      </c>
      <c r="G2412" s="656" t="s">
        <v>1070</v>
      </c>
      <c r="H2412" s="656" t="s">
        <v>1300</v>
      </c>
      <c r="I2412" s="656" t="s">
        <v>14976</v>
      </c>
      <c r="J2412" s="656"/>
      <c r="K2412" s="656"/>
      <c r="L2412" s="656"/>
      <c r="M2412" s="657"/>
      <c r="N2412" s="1482"/>
      <c r="O2412" s="656" t="s">
        <v>498</v>
      </c>
      <c r="P2412" s="656" t="s">
        <v>13052</v>
      </c>
      <c r="Q2412" s="656">
        <v>44216.77553240741</v>
      </c>
    </row>
    <row r="2413" spans="1:17">
      <c r="A2413" s="656" t="s">
        <v>2885</v>
      </c>
      <c r="B2413" s="657" t="s">
        <v>202</v>
      </c>
      <c r="C2413" s="656" t="s">
        <v>2886</v>
      </c>
      <c r="D2413" s="657" t="s">
        <v>13789</v>
      </c>
      <c r="E2413" s="657" t="s">
        <v>9458</v>
      </c>
      <c r="F2413" s="656" t="s">
        <v>1300</v>
      </c>
      <c r="G2413" s="656" t="s">
        <v>2072</v>
      </c>
      <c r="H2413" s="656" t="s">
        <v>1300</v>
      </c>
      <c r="I2413" s="656" t="s">
        <v>14976</v>
      </c>
      <c r="J2413" s="656"/>
      <c r="K2413" s="656"/>
      <c r="L2413" s="656"/>
      <c r="M2413" s="657"/>
      <c r="N2413" s="1482"/>
      <c r="O2413" s="656" t="s">
        <v>498</v>
      </c>
      <c r="P2413" s="656" t="s">
        <v>13052</v>
      </c>
      <c r="Q2413" s="656">
        <v>44216.77553240741</v>
      </c>
    </row>
    <row r="2414" spans="1:17">
      <c r="A2414" s="656" t="s">
        <v>2887</v>
      </c>
      <c r="B2414" s="657" t="s">
        <v>202</v>
      </c>
      <c r="C2414" s="656" t="s">
        <v>2888</v>
      </c>
      <c r="D2414" s="657" t="s">
        <v>13789</v>
      </c>
      <c r="E2414" s="657" t="s">
        <v>9458</v>
      </c>
      <c r="F2414" s="656" t="s">
        <v>1300</v>
      </c>
      <c r="G2414" s="656" t="s">
        <v>2072</v>
      </c>
      <c r="H2414" s="656" t="s">
        <v>1300</v>
      </c>
      <c r="I2414" s="656" t="s">
        <v>14976</v>
      </c>
      <c r="J2414" s="656"/>
      <c r="K2414" s="656"/>
      <c r="L2414" s="656"/>
      <c r="M2414" s="657"/>
      <c r="N2414" s="1482"/>
      <c r="O2414" s="656" t="s">
        <v>498</v>
      </c>
      <c r="P2414" s="656" t="s">
        <v>13052</v>
      </c>
      <c r="Q2414" s="656">
        <v>44216.775520833333</v>
      </c>
    </row>
    <row r="2415" spans="1:17">
      <c r="A2415" s="656" t="s">
        <v>2889</v>
      </c>
      <c r="B2415" s="657" t="s">
        <v>202</v>
      </c>
      <c r="C2415" s="656" t="s">
        <v>2890</v>
      </c>
      <c r="D2415" s="657" t="s">
        <v>13789</v>
      </c>
      <c r="E2415" s="657" t="s">
        <v>9458</v>
      </c>
      <c r="F2415" s="656" t="s">
        <v>1300</v>
      </c>
      <c r="G2415" s="656" t="s">
        <v>2072</v>
      </c>
      <c r="H2415" s="656" t="s">
        <v>1300</v>
      </c>
      <c r="I2415" s="656" t="s">
        <v>14976</v>
      </c>
      <c r="J2415" s="656"/>
      <c r="K2415" s="656"/>
      <c r="L2415" s="656"/>
      <c r="M2415" s="657"/>
      <c r="N2415" s="1482"/>
      <c r="O2415" s="656" t="s">
        <v>498</v>
      </c>
      <c r="P2415" s="656" t="s">
        <v>13052</v>
      </c>
      <c r="Q2415" s="656">
        <v>44216.775520833333</v>
      </c>
    </row>
    <row r="2416" spans="1:17">
      <c r="A2416" s="656" t="s">
        <v>2891</v>
      </c>
      <c r="B2416" s="657" t="s">
        <v>202</v>
      </c>
      <c r="C2416" s="656" t="s">
        <v>2892</v>
      </c>
      <c r="D2416" s="657" t="s">
        <v>13789</v>
      </c>
      <c r="E2416" s="657" t="s">
        <v>9458</v>
      </c>
      <c r="F2416" s="656" t="s">
        <v>1300</v>
      </c>
      <c r="G2416" s="656" t="s">
        <v>2072</v>
      </c>
      <c r="H2416" s="656" t="s">
        <v>1300</v>
      </c>
      <c r="I2416" s="656" t="s">
        <v>14976</v>
      </c>
      <c r="J2416" s="656"/>
      <c r="K2416" s="656"/>
      <c r="L2416" s="656"/>
      <c r="M2416" s="657"/>
      <c r="N2416" s="1482"/>
      <c r="O2416" s="656" t="s">
        <v>498</v>
      </c>
      <c r="P2416" s="656" t="s">
        <v>13052</v>
      </c>
      <c r="Q2416" s="656">
        <v>44216.775520833333</v>
      </c>
    </row>
    <row r="2417" spans="1:17">
      <c r="A2417" s="656" t="s">
        <v>2893</v>
      </c>
      <c r="B2417" s="657" t="s">
        <v>202</v>
      </c>
      <c r="C2417" s="656" t="s">
        <v>2894</v>
      </c>
      <c r="D2417" s="657" t="s">
        <v>13789</v>
      </c>
      <c r="E2417" s="657" t="s">
        <v>9458</v>
      </c>
      <c r="F2417" s="656" t="s">
        <v>1300</v>
      </c>
      <c r="G2417" s="656" t="s">
        <v>2072</v>
      </c>
      <c r="H2417" s="656" t="s">
        <v>1300</v>
      </c>
      <c r="I2417" s="656" t="s">
        <v>14976</v>
      </c>
      <c r="J2417" s="656"/>
      <c r="K2417" s="656"/>
      <c r="L2417" s="656"/>
      <c r="M2417" s="657"/>
      <c r="N2417" s="1482"/>
      <c r="O2417" s="656" t="s">
        <v>498</v>
      </c>
      <c r="P2417" s="656" t="s">
        <v>13052</v>
      </c>
      <c r="Q2417" s="656">
        <v>44216.775509259256</v>
      </c>
    </row>
    <row r="2418" spans="1:17">
      <c r="A2418" s="656" t="s">
        <v>2895</v>
      </c>
      <c r="B2418" s="657" t="s">
        <v>202</v>
      </c>
      <c r="C2418" s="656" t="s">
        <v>2896</v>
      </c>
      <c r="D2418" s="657" t="s">
        <v>13789</v>
      </c>
      <c r="E2418" s="657" t="s">
        <v>7439</v>
      </c>
      <c r="F2418" s="656" t="s">
        <v>462</v>
      </c>
      <c r="G2418" s="656" t="s">
        <v>512</v>
      </c>
      <c r="H2418" s="656" t="s">
        <v>462</v>
      </c>
      <c r="I2418" s="656" t="s">
        <v>15280</v>
      </c>
      <c r="J2418" s="656" t="s">
        <v>463</v>
      </c>
      <c r="K2418" s="656" t="s">
        <v>1924</v>
      </c>
      <c r="L2418" s="656"/>
      <c r="M2418" s="657"/>
      <c r="N2418" s="1482"/>
      <c r="O2418" s="656" t="s">
        <v>498</v>
      </c>
      <c r="P2418" s="656" t="s">
        <v>13052</v>
      </c>
      <c r="Q2418" s="656">
        <v>44216.775497685187</v>
      </c>
    </row>
    <row r="2419" spans="1:17">
      <c r="A2419" s="656" t="s">
        <v>2897</v>
      </c>
      <c r="B2419" s="657" t="s">
        <v>202</v>
      </c>
      <c r="C2419" s="656" t="s">
        <v>2898</v>
      </c>
      <c r="D2419" s="657" t="s">
        <v>13789</v>
      </c>
      <c r="E2419" s="657" t="s">
        <v>9458</v>
      </c>
      <c r="F2419" s="656" t="s">
        <v>3077</v>
      </c>
      <c r="G2419" s="656"/>
      <c r="H2419" s="656" t="s">
        <v>465</v>
      </c>
      <c r="I2419" s="656" t="s">
        <v>14976</v>
      </c>
      <c r="J2419" s="656" t="s">
        <v>446</v>
      </c>
      <c r="K2419" s="656"/>
      <c r="L2419" s="656"/>
      <c r="M2419" s="657"/>
      <c r="N2419" s="1482"/>
      <c r="O2419" s="656" t="s">
        <v>498</v>
      </c>
      <c r="P2419" s="656" t="s">
        <v>13052</v>
      </c>
      <c r="Q2419" s="656">
        <v>44216.77548611111</v>
      </c>
    </row>
    <row r="2420" spans="1:17">
      <c r="A2420" s="656" t="s">
        <v>2899</v>
      </c>
      <c r="B2420" s="657" t="s">
        <v>504</v>
      </c>
      <c r="C2420" s="656" t="s">
        <v>2900</v>
      </c>
      <c r="D2420" s="657" t="s">
        <v>13789</v>
      </c>
      <c r="E2420" s="657" t="s">
        <v>7439</v>
      </c>
      <c r="F2420" s="656" t="s">
        <v>540</v>
      </c>
      <c r="G2420" s="656" t="s">
        <v>625</v>
      </c>
      <c r="H2420" s="656" t="s">
        <v>540</v>
      </c>
      <c r="I2420" s="656" t="s">
        <v>14976</v>
      </c>
      <c r="J2420" s="656"/>
      <c r="K2420" s="656"/>
      <c r="L2420" s="656"/>
      <c r="M2420" s="657"/>
      <c r="N2420" s="1482"/>
      <c r="O2420" s="656" t="s">
        <v>498</v>
      </c>
      <c r="P2420" s="656" t="s">
        <v>13052</v>
      </c>
      <c r="Q2420" s="656">
        <v>44216.77547453704</v>
      </c>
    </row>
    <row r="2421" spans="1:17">
      <c r="A2421" s="656" t="s">
        <v>2901</v>
      </c>
      <c r="B2421" s="657" t="s">
        <v>504</v>
      </c>
      <c r="C2421" s="656" t="s">
        <v>2902</v>
      </c>
      <c r="D2421" s="657" t="s">
        <v>13789</v>
      </c>
      <c r="E2421" s="657" t="s">
        <v>7439</v>
      </c>
      <c r="F2421" s="656" t="s">
        <v>505</v>
      </c>
      <c r="G2421" s="656" t="s">
        <v>2903</v>
      </c>
      <c r="H2421" s="656" t="s">
        <v>505</v>
      </c>
      <c r="I2421" s="656" t="s">
        <v>14976</v>
      </c>
      <c r="J2421" s="656"/>
      <c r="K2421" s="656"/>
      <c r="L2421" s="656"/>
      <c r="M2421" s="657"/>
      <c r="N2421" s="1482"/>
      <c r="O2421" s="656" t="s">
        <v>498</v>
      </c>
      <c r="P2421" s="656" t="s">
        <v>13052</v>
      </c>
      <c r="Q2421" s="656">
        <v>44216.77547453704</v>
      </c>
    </row>
    <row r="2422" spans="1:17">
      <c r="A2422" s="656" t="s">
        <v>2904</v>
      </c>
      <c r="B2422" s="657" t="s">
        <v>504</v>
      </c>
      <c r="C2422" s="656" t="s">
        <v>13753</v>
      </c>
      <c r="D2422" s="657" t="s">
        <v>13789</v>
      </c>
      <c r="E2422" s="657" t="s">
        <v>7439</v>
      </c>
      <c r="F2422" s="656" t="s">
        <v>540</v>
      </c>
      <c r="G2422" s="656" t="s">
        <v>625</v>
      </c>
      <c r="H2422" s="656" t="s">
        <v>540</v>
      </c>
      <c r="I2422" s="656" t="s">
        <v>14976</v>
      </c>
      <c r="J2422" s="656"/>
      <c r="K2422" s="656"/>
      <c r="L2422" s="656"/>
      <c r="M2422" s="657"/>
      <c r="N2422" s="1482"/>
      <c r="O2422" s="656" t="s">
        <v>498</v>
      </c>
      <c r="P2422" s="656" t="s">
        <v>13052</v>
      </c>
      <c r="Q2422" s="656">
        <v>44216.77547453704</v>
      </c>
    </row>
    <row r="2423" spans="1:17">
      <c r="A2423" s="656" t="s">
        <v>2905</v>
      </c>
      <c r="B2423" s="657" t="s">
        <v>504</v>
      </c>
      <c r="C2423" s="656" t="s">
        <v>2906</v>
      </c>
      <c r="D2423" s="657" t="s">
        <v>13789</v>
      </c>
      <c r="E2423" s="657" t="s">
        <v>7439</v>
      </c>
      <c r="F2423" s="656" t="s">
        <v>505</v>
      </c>
      <c r="G2423" s="656" t="s">
        <v>506</v>
      </c>
      <c r="H2423" s="656" t="s">
        <v>505</v>
      </c>
      <c r="I2423" s="656" t="s">
        <v>14976</v>
      </c>
      <c r="J2423" s="656"/>
      <c r="K2423" s="656"/>
      <c r="L2423" s="656"/>
      <c r="M2423" s="657"/>
      <c r="N2423" s="1482"/>
      <c r="O2423" s="656" t="s">
        <v>498</v>
      </c>
      <c r="P2423" s="656" t="s">
        <v>13052</v>
      </c>
      <c r="Q2423" s="656">
        <v>44216.775462962964</v>
      </c>
    </row>
    <row r="2424" spans="1:17">
      <c r="A2424" s="656" t="s">
        <v>2907</v>
      </c>
      <c r="B2424" s="657" t="s">
        <v>504</v>
      </c>
      <c r="C2424" s="656" t="s">
        <v>2908</v>
      </c>
      <c r="D2424" s="657" t="s">
        <v>13789</v>
      </c>
      <c r="E2424" s="657" t="s">
        <v>7439</v>
      </c>
      <c r="F2424" s="656" t="s">
        <v>505</v>
      </c>
      <c r="G2424" s="656" t="s">
        <v>506</v>
      </c>
      <c r="H2424" s="656" t="s">
        <v>505</v>
      </c>
      <c r="I2424" s="656" t="s">
        <v>14976</v>
      </c>
      <c r="J2424" s="656"/>
      <c r="K2424" s="656"/>
      <c r="L2424" s="656"/>
      <c r="M2424" s="657"/>
      <c r="N2424" s="1482"/>
      <c r="O2424" s="656" t="s">
        <v>498</v>
      </c>
      <c r="P2424" s="656" t="s">
        <v>13052</v>
      </c>
      <c r="Q2424" s="656">
        <v>44216.775451388887</v>
      </c>
    </row>
    <row r="2425" spans="1:17">
      <c r="A2425" s="656" t="s">
        <v>2909</v>
      </c>
      <c r="B2425" s="657" t="s">
        <v>504</v>
      </c>
      <c r="C2425" s="656" t="s">
        <v>2910</v>
      </c>
      <c r="D2425" s="657" t="s">
        <v>13789</v>
      </c>
      <c r="E2425" s="657" t="s">
        <v>7439</v>
      </c>
      <c r="F2425" s="656" t="s">
        <v>505</v>
      </c>
      <c r="G2425" s="656" t="s">
        <v>506</v>
      </c>
      <c r="H2425" s="656" t="s">
        <v>505</v>
      </c>
      <c r="I2425" s="656" t="s">
        <v>14976</v>
      </c>
      <c r="J2425" s="656"/>
      <c r="K2425" s="656"/>
      <c r="L2425" s="656"/>
      <c r="M2425" s="657"/>
      <c r="N2425" s="1482"/>
      <c r="O2425" s="656" t="s">
        <v>498</v>
      </c>
      <c r="P2425" s="656" t="s">
        <v>13052</v>
      </c>
      <c r="Q2425" s="656">
        <v>44216.775451388887</v>
      </c>
    </row>
    <row r="2426" spans="1:17">
      <c r="A2426" s="656" t="s">
        <v>2911</v>
      </c>
      <c r="B2426" s="657" t="s">
        <v>504</v>
      </c>
      <c r="C2426" s="656" t="s">
        <v>2912</v>
      </c>
      <c r="D2426" s="657" t="s">
        <v>14978</v>
      </c>
      <c r="E2426" s="657" t="s">
        <v>7439</v>
      </c>
      <c r="F2426" s="656" t="s">
        <v>505</v>
      </c>
      <c r="G2426" s="656" t="s">
        <v>506</v>
      </c>
      <c r="H2426" s="656" t="s">
        <v>505</v>
      </c>
      <c r="I2426" s="656" t="s">
        <v>14976</v>
      </c>
      <c r="J2426" s="656"/>
      <c r="K2426" s="656"/>
      <c r="L2426" s="656" t="s">
        <v>2912</v>
      </c>
      <c r="M2426" s="657"/>
      <c r="N2426" s="1482"/>
      <c r="O2426" s="656" t="s">
        <v>498</v>
      </c>
      <c r="P2426" s="656" t="s">
        <v>13052</v>
      </c>
      <c r="Q2426" s="656">
        <v>44216.775439814817</v>
      </c>
    </row>
    <row r="2427" spans="1:17">
      <c r="A2427" s="656" t="s">
        <v>2913</v>
      </c>
      <c r="B2427" s="657" t="s">
        <v>504</v>
      </c>
      <c r="C2427" s="656" t="s">
        <v>2914</v>
      </c>
      <c r="D2427" s="657" t="s">
        <v>13789</v>
      </c>
      <c r="E2427" s="657" t="s">
        <v>7439</v>
      </c>
      <c r="F2427" s="656" t="s">
        <v>505</v>
      </c>
      <c r="G2427" s="656" t="s">
        <v>506</v>
      </c>
      <c r="H2427" s="656" t="s">
        <v>505</v>
      </c>
      <c r="I2427" s="656" t="s">
        <v>14976</v>
      </c>
      <c r="J2427" s="656"/>
      <c r="K2427" s="656"/>
      <c r="L2427" s="656"/>
      <c r="M2427" s="657"/>
      <c r="N2427" s="1482"/>
      <c r="O2427" s="656" t="s">
        <v>498</v>
      </c>
      <c r="P2427" s="656" t="s">
        <v>13052</v>
      </c>
      <c r="Q2427" s="656">
        <v>44216.775439814817</v>
      </c>
    </row>
    <row r="2428" spans="1:17">
      <c r="A2428" s="656" t="s">
        <v>2915</v>
      </c>
      <c r="B2428" s="657" t="s">
        <v>504</v>
      </c>
      <c r="C2428" s="656" t="s">
        <v>2916</v>
      </c>
      <c r="D2428" s="657" t="s">
        <v>13789</v>
      </c>
      <c r="E2428" s="657" t="s">
        <v>7439</v>
      </c>
      <c r="F2428" s="656" t="s">
        <v>505</v>
      </c>
      <c r="G2428" s="656" t="s">
        <v>506</v>
      </c>
      <c r="H2428" s="656" t="s">
        <v>505</v>
      </c>
      <c r="I2428" s="656" t="s">
        <v>14976</v>
      </c>
      <c r="J2428" s="656"/>
      <c r="K2428" s="656"/>
      <c r="L2428" s="656"/>
      <c r="M2428" s="657"/>
      <c r="N2428" s="1482"/>
      <c r="O2428" s="656" t="s">
        <v>498</v>
      </c>
      <c r="P2428" s="656" t="s">
        <v>13052</v>
      </c>
      <c r="Q2428" s="656">
        <v>44216.775439814817</v>
      </c>
    </row>
    <row r="2429" spans="1:17">
      <c r="A2429" s="656" t="s">
        <v>2917</v>
      </c>
      <c r="B2429" s="657" t="s">
        <v>504</v>
      </c>
      <c r="C2429" s="656" t="s">
        <v>2918</v>
      </c>
      <c r="D2429" s="657" t="s">
        <v>14978</v>
      </c>
      <c r="E2429" s="657" t="s">
        <v>7439</v>
      </c>
      <c r="F2429" s="656" t="s">
        <v>505</v>
      </c>
      <c r="G2429" s="656" t="s">
        <v>506</v>
      </c>
      <c r="H2429" s="656" t="s">
        <v>505</v>
      </c>
      <c r="I2429" s="656" t="s">
        <v>14976</v>
      </c>
      <c r="J2429" s="656"/>
      <c r="K2429" s="656"/>
      <c r="L2429" s="656" t="s">
        <v>553</v>
      </c>
      <c r="M2429" s="657"/>
      <c r="N2429" s="1482"/>
      <c r="O2429" s="656" t="s">
        <v>498</v>
      </c>
      <c r="P2429" s="656" t="s">
        <v>13052</v>
      </c>
      <c r="Q2429" s="656">
        <v>44216.77542824074</v>
      </c>
    </row>
    <row r="2430" spans="1:17">
      <c r="A2430" s="656" t="s">
        <v>2919</v>
      </c>
      <c r="B2430" s="657" t="s">
        <v>504</v>
      </c>
      <c r="C2430" s="656" t="s">
        <v>2920</v>
      </c>
      <c r="D2430" s="657" t="s">
        <v>13789</v>
      </c>
      <c r="E2430" s="657" t="s">
        <v>7439</v>
      </c>
      <c r="F2430" s="656" t="s">
        <v>505</v>
      </c>
      <c r="G2430" s="656" t="s">
        <v>506</v>
      </c>
      <c r="H2430" s="656" t="s">
        <v>505</v>
      </c>
      <c r="I2430" s="656" t="s">
        <v>14976</v>
      </c>
      <c r="J2430" s="656"/>
      <c r="K2430" s="656"/>
      <c r="L2430" s="656"/>
      <c r="M2430" s="657"/>
      <c r="N2430" s="1482"/>
      <c r="O2430" s="656" t="s">
        <v>498</v>
      </c>
      <c r="P2430" s="656" t="s">
        <v>13052</v>
      </c>
      <c r="Q2430" s="656">
        <v>44216.77542824074</v>
      </c>
    </row>
    <row r="2431" spans="1:17">
      <c r="A2431" s="656" t="s">
        <v>2921</v>
      </c>
      <c r="B2431" s="657" t="s">
        <v>504</v>
      </c>
      <c r="C2431" s="656" t="s">
        <v>2922</v>
      </c>
      <c r="D2431" s="657" t="s">
        <v>13789</v>
      </c>
      <c r="E2431" s="657" t="s">
        <v>7439</v>
      </c>
      <c r="F2431" s="656" t="s">
        <v>505</v>
      </c>
      <c r="G2431" s="656" t="s">
        <v>506</v>
      </c>
      <c r="H2431" s="656" t="s">
        <v>505</v>
      </c>
      <c r="I2431" s="656" t="s">
        <v>14976</v>
      </c>
      <c r="J2431" s="656"/>
      <c r="K2431" s="656"/>
      <c r="L2431" s="656"/>
      <c r="M2431" s="657"/>
      <c r="N2431" s="1482"/>
      <c r="O2431" s="656" t="s">
        <v>498</v>
      </c>
      <c r="P2431" s="656" t="s">
        <v>13052</v>
      </c>
      <c r="Q2431" s="656">
        <v>44216.775416666664</v>
      </c>
    </row>
    <row r="2432" spans="1:17">
      <c r="A2432" s="656" t="s">
        <v>2923</v>
      </c>
      <c r="B2432" s="657" t="s">
        <v>504</v>
      </c>
      <c r="C2432" s="656" t="s">
        <v>2924</v>
      </c>
      <c r="D2432" s="657" t="s">
        <v>13789</v>
      </c>
      <c r="E2432" s="657" t="s">
        <v>7439</v>
      </c>
      <c r="F2432" s="656" t="s">
        <v>505</v>
      </c>
      <c r="G2432" s="656" t="s">
        <v>506</v>
      </c>
      <c r="H2432" s="656" t="s">
        <v>505</v>
      </c>
      <c r="I2432" s="656" t="s">
        <v>14976</v>
      </c>
      <c r="J2432" s="656"/>
      <c r="K2432" s="656"/>
      <c r="L2432" s="656"/>
      <c r="M2432" s="657"/>
      <c r="N2432" s="1482"/>
      <c r="O2432" s="656" t="s">
        <v>498</v>
      </c>
      <c r="P2432" s="656" t="s">
        <v>13052</v>
      </c>
      <c r="Q2432" s="656">
        <v>44216.775416666664</v>
      </c>
    </row>
    <row r="2433" spans="1:17">
      <c r="A2433" s="656" t="s">
        <v>2925</v>
      </c>
      <c r="B2433" s="657" t="s">
        <v>504</v>
      </c>
      <c r="C2433" s="656" t="s">
        <v>2811</v>
      </c>
      <c r="D2433" s="657" t="s">
        <v>13789</v>
      </c>
      <c r="E2433" s="657" t="s">
        <v>7439</v>
      </c>
      <c r="F2433" s="656" t="s">
        <v>505</v>
      </c>
      <c r="G2433" s="656" t="s">
        <v>506</v>
      </c>
      <c r="H2433" s="656" t="s">
        <v>505</v>
      </c>
      <c r="I2433" s="656" t="s">
        <v>14976</v>
      </c>
      <c r="J2433" s="656"/>
      <c r="K2433" s="656"/>
      <c r="L2433" s="656"/>
      <c r="M2433" s="657"/>
      <c r="N2433" s="1482"/>
      <c r="O2433" s="656" t="s">
        <v>498</v>
      </c>
      <c r="P2433" s="656" t="s">
        <v>13052</v>
      </c>
      <c r="Q2433" s="656">
        <v>44216.775405092594</v>
      </c>
    </row>
    <row r="2434" spans="1:17">
      <c r="A2434" s="656" t="s">
        <v>13750</v>
      </c>
      <c r="B2434" s="657" t="s">
        <v>504</v>
      </c>
      <c r="C2434" s="656" t="s">
        <v>13751</v>
      </c>
      <c r="D2434" s="657" t="s">
        <v>14978</v>
      </c>
      <c r="E2434" s="657" t="s">
        <v>9458</v>
      </c>
      <c r="F2434" s="656" t="s">
        <v>505</v>
      </c>
      <c r="G2434" s="656" t="s">
        <v>506</v>
      </c>
      <c r="H2434" s="656" t="s">
        <v>505</v>
      </c>
      <c r="I2434" s="656" t="s">
        <v>14976</v>
      </c>
      <c r="J2434" s="656"/>
      <c r="K2434" s="656"/>
      <c r="L2434" s="656" t="s">
        <v>506</v>
      </c>
      <c r="M2434" s="657"/>
      <c r="N2434" s="1482"/>
      <c r="O2434" s="656" t="s">
        <v>498</v>
      </c>
      <c r="P2434" s="656" t="s">
        <v>13052</v>
      </c>
      <c r="Q2434" s="656">
        <v>44216.775405092594</v>
      </c>
    </row>
    <row r="2435" spans="1:17">
      <c r="A2435" s="656" t="s">
        <v>2926</v>
      </c>
      <c r="B2435" s="657" t="s">
        <v>504</v>
      </c>
      <c r="C2435" s="656" t="s">
        <v>2927</v>
      </c>
      <c r="D2435" s="657" t="s">
        <v>13789</v>
      </c>
      <c r="E2435" s="657" t="s">
        <v>7439</v>
      </c>
      <c r="F2435" s="656" t="s">
        <v>505</v>
      </c>
      <c r="G2435" s="656" t="s">
        <v>506</v>
      </c>
      <c r="H2435" s="656" t="s">
        <v>505</v>
      </c>
      <c r="I2435" s="656" t="s">
        <v>14976</v>
      </c>
      <c r="J2435" s="656"/>
      <c r="K2435" s="656"/>
      <c r="L2435" s="656"/>
      <c r="M2435" s="657"/>
      <c r="N2435" s="1482"/>
      <c r="O2435" s="656" t="s">
        <v>498</v>
      </c>
      <c r="P2435" s="656" t="s">
        <v>13052</v>
      </c>
      <c r="Q2435" s="656">
        <v>44216.775393518517</v>
      </c>
    </row>
    <row r="2436" spans="1:17">
      <c r="A2436" s="656" t="s">
        <v>2928</v>
      </c>
      <c r="B2436" s="657" t="s">
        <v>504</v>
      </c>
      <c r="C2436" s="656" t="s">
        <v>2929</v>
      </c>
      <c r="D2436" s="657" t="s">
        <v>13789</v>
      </c>
      <c r="E2436" s="657" t="s">
        <v>7439</v>
      </c>
      <c r="F2436" s="656" t="s">
        <v>505</v>
      </c>
      <c r="G2436" s="656" t="s">
        <v>506</v>
      </c>
      <c r="H2436" s="656" t="s">
        <v>505</v>
      </c>
      <c r="I2436" s="656" t="s">
        <v>14976</v>
      </c>
      <c r="J2436" s="656"/>
      <c r="K2436" s="656"/>
      <c r="L2436" s="656"/>
      <c r="M2436" s="657"/>
      <c r="N2436" s="1482"/>
      <c r="O2436" s="656" t="s">
        <v>498</v>
      </c>
      <c r="P2436" s="656" t="s">
        <v>13052</v>
      </c>
      <c r="Q2436" s="656">
        <v>44216.775393518517</v>
      </c>
    </row>
    <row r="2437" spans="1:17">
      <c r="A2437" s="656" t="s">
        <v>2930</v>
      </c>
      <c r="B2437" s="657" t="s">
        <v>504</v>
      </c>
      <c r="C2437" s="656" t="s">
        <v>2931</v>
      </c>
      <c r="D2437" s="657" t="s">
        <v>14977</v>
      </c>
      <c r="E2437" s="657" t="s">
        <v>9458</v>
      </c>
      <c r="F2437" s="656" t="s">
        <v>540</v>
      </c>
      <c r="G2437" s="656" t="s">
        <v>541</v>
      </c>
      <c r="H2437" s="656" t="s">
        <v>540</v>
      </c>
      <c r="I2437" s="656" t="s">
        <v>14976</v>
      </c>
      <c r="J2437" s="656"/>
      <c r="K2437" s="656"/>
      <c r="L2437" s="656"/>
      <c r="M2437" s="657"/>
      <c r="N2437" s="1482"/>
      <c r="O2437" s="656" t="s">
        <v>498</v>
      </c>
      <c r="P2437" s="656" t="s">
        <v>13052</v>
      </c>
      <c r="Q2437" s="656">
        <v>44216.775393518517</v>
      </c>
    </row>
    <row r="2438" spans="1:17">
      <c r="A2438" s="656" t="s">
        <v>2932</v>
      </c>
      <c r="B2438" s="657" t="s">
        <v>504</v>
      </c>
      <c r="C2438" s="656" t="s">
        <v>3718</v>
      </c>
      <c r="D2438" s="657" t="s">
        <v>13789</v>
      </c>
      <c r="E2438" s="657" t="s">
        <v>9458</v>
      </c>
      <c r="F2438" s="656" t="s">
        <v>540</v>
      </c>
      <c r="G2438" s="656" t="s">
        <v>541</v>
      </c>
      <c r="H2438" s="656" t="s">
        <v>540</v>
      </c>
      <c r="I2438" s="656" t="s">
        <v>14976</v>
      </c>
      <c r="J2438" s="656"/>
      <c r="K2438" s="656"/>
      <c r="L2438" s="656"/>
      <c r="M2438" s="657"/>
      <c r="N2438" s="1482"/>
      <c r="O2438" s="656" t="s">
        <v>498</v>
      </c>
      <c r="P2438" s="656" t="s">
        <v>13052</v>
      </c>
      <c r="Q2438" s="656">
        <v>44216.775381944448</v>
      </c>
    </row>
    <row r="2439" spans="1:17">
      <c r="A2439" s="656" t="s">
        <v>2933</v>
      </c>
      <c r="B2439" s="657" t="s">
        <v>504</v>
      </c>
      <c r="C2439" s="656" t="s">
        <v>2934</v>
      </c>
      <c r="D2439" s="657" t="s">
        <v>13789</v>
      </c>
      <c r="E2439" s="657" t="s">
        <v>9458</v>
      </c>
      <c r="F2439" s="656" t="s">
        <v>540</v>
      </c>
      <c r="G2439" s="656" t="s">
        <v>541</v>
      </c>
      <c r="H2439" s="656" t="s">
        <v>540</v>
      </c>
      <c r="I2439" s="656" t="s">
        <v>14976</v>
      </c>
      <c r="J2439" s="656"/>
      <c r="K2439" s="656"/>
      <c r="L2439" s="656"/>
      <c r="M2439" s="657"/>
      <c r="N2439" s="1482"/>
      <c r="O2439" s="656" t="s">
        <v>498</v>
      </c>
      <c r="P2439" s="656" t="s">
        <v>13052</v>
      </c>
      <c r="Q2439" s="656">
        <v>44216.775381944448</v>
      </c>
    </row>
    <row r="2440" spans="1:17">
      <c r="A2440" s="656" t="s">
        <v>2935</v>
      </c>
      <c r="B2440" s="657" t="s">
        <v>504</v>
      </c>
      <c r="C2440" s="656" t="s">
        <v>2936</v>
      </c>
      <c r="D2440" s="657" t="s">
        <v>13789</v>
      </c>
      <c r="E2440" s="657" t="s">
        <v>9458</v>
      </c>
      <c r="F2440" s="656" t="s">
        <v>540</v>
      </c>
      <c r="G2440" s="656" t="s">
        <v>541</v>
      </c>
      <c r="H2440" s="656" t="s">
        <v>540</v>
      </c>
      <c r="I2440" s="656" t="s">
        <v>14976</v>
      </c>
      <c r="J2440" s="656"/>
      <c r="K2440" s="656"/>
      <c r="L2440" s="656"/>
      <c r="M2440" s="657"/>
      <c r="N2440" s="1482"/>
      <c r="O2440" s="656" t="s">
        <v>498</v>
      </c>
      <c r="P2440" s="656" t="s">
        <v>13052</v>
      </c>
      <c r="Q2440" s="656">
        <v>44216.775370370371</v>
      </c>
    </row>
    <row r="2441" spans="1:17">
      <c r="A2441" s="656" t="s">
        <v>2937</v>
      </c>
      <c r="B2441" s="657" t="s">
        <v>504</v>
      </c>
      <c r="C2441" s="656" t="s">
        <v>13747</v>
      </c>
      <c r="D2441" s="657" t="s">
        <v>13789</v>
      </c>
      <c r="E2441" s="657" t="s">
        <v>9458</v>
      </c>
      <c r="F2441" s="656" t="s">
        <v>540</v>
      </c>
      <c r="G2441" s="656" t="s">
        <v>541</v>
      </c>
      <c r="H2441" s="656" t="s">
        <v>540</v>
      </c>
      <c r="I2441" s="656" t="s">
        <v>14976</v>
      </c>
      <c r="J2441" s="656"/>
      <c r="K2441" s="656"/>
      <c r="L2441" s="656"/>
      <c r="M2441" s="657"/>
      <c r="N2441" s="1482"/>
      <c r="O2441" s="656" t="s">
        <v>498</v>
      </c>
      <c r="P2441" s="656" t="s">
        <v>13052</v>
      </c>
      <c r="Q2441" s="656">
        <v>44216.775370370371</v>
      </c>
    </row>
    <row r="2442" spans="1:17">
      <c r="A2442" s="656" t="s">
        <v>2938</v>
      </c>
      <c r="B2442" s="657" t="s">
        <v>504</v>
      </c>
      <c r="C2442" s="656" t="s">
        <v>2939</v>
      </c>
      <c r="D2442" s="657" t="s">
        <v>13789</v>
      </c>
      <c r="E2442" s="657" t="s">
        <v>9458</v>
      </c>
      <c r="F2442" s="656" t="s">
        <v>540</v>
      </c>
      <c r="G2442" s="656" t="s">
        <v>541</v>
      </c>
      <c r="H2442" s="656" t="s">
        <v>540</v>
      </c>
      <c r="I2442" s="656" t="s">
        <v>14976</v>
      </c>
      <c r="J2442" s="656"/>
      <c r="K2442" s="656"/>
      <c r="L2442" s="656"/>
      <c r="M2442" s="657"/>
      <c r="N2442" s="1482"/>
      <c r="O2442" s="656" t="s">
        <v>498</v>
      </c>
      <c r="P2442" s="656" t="s">
        <v>13052</v>
      </c>
      <c r="Q2442" s="656">
        <v>44216.775358796294</v>
      </c>
    </row>
    <row r="2443" spans="1:17">
      <c r="A2443" s="656" t="s">
        <v>2940</v>
      </c>
      <c r="B2443" s="657" t="s">
        <v>504</v>
      </c>
      <c r="C2443" s="656" t="s">
        <v>2852</v>
      </c>
      <c r="D2443" s="657" t="s">
        <v>13789</v>
      </c>
      <c r="E2443" s="657" t="s">
        <v>9458</v>
      </c>
      <c r="F2443" s="656" t="s">
        <v>540</v>
      </c>
      <c r="G2443" s="656" t="s">
        <v>541</v>
      </c>
      <c r="H2443" s="656" t="s">
        <v>540</v>
      </c>
      <c r="I2443" s="656" t="s">
        <v>14976</v>
      </c>
      <c r="J2443" s="656"/>
      <c r="K2443" s="656"/>
      <c r="L2443" s="656"/>
      <c r="M2443" s="657"/>
      <c r="N2443" s="1482"/>
      <c r="O2443" s="656" t="s">
        <v>498</v>
      </c>
      <c r="P2443" s="656" t="s">
        <v>13052</v>
      </c>
      <c r="Q2443" s="656">
        <v>44216.775358796294</v>
      </c>
    </row>
    <row r="2444" spans="1:17">
      <c r="A2444" s="656" t="s">
        <v>2941</v>
      </c>
      <c r="B2444" s="657" t="s">
        <v>504</v>
      </c>
      <c r="C2444" s="656" t="s">
        <v>2942</v>
      </c>
      <c r="D2444" s="657" t="s">
        <v>13789</v>
      </c>
      <c r="E2444" s="657" t="s">
        <v>7439</v>
      </c>
      <c r="F2444" s="656" t="s">
        <v>540</v>
      </c>
      <c r="G2444" s="656" t="s">
        <v>541</v>
      </c>
      <c r="H2444" s="656" t="s">
        <v>540</v>
      </c>
      <c r="I2444" s="656" t="s">
        <v>14976</v>
      </c>
      <c r="J2444" s="656"/>
      <c r="K2444" s="656"/>
      <c r="L2444" s="656"/>
      <c r="M2444" s="657"/>
      <c r="N2444" s="1482"/>
      <c r="O2444" s="656" t="s">
        <v>498</v>
      </c>
      <c r="P2444" s="656" t="s">
        <v>13052</v>
      </c>
      <c r="Q2444" s="656">
        <v>44216.775358796294</v>
      </c>
    </row>
    <row r="2445" spans="1:17">
      <c r="A2445" s="656" t="s">
        <v>2943</v>
      </c>
      <c r="B2445" s="657" t="s">
        <v>202</v>
      </c>
      <c r="C2445" s="656" t="s">
        <v>2944</v>
      </c>
      <c r="D2445" s="657" t="s">
        <v>13789</v>
      </c>
      <c r="E2445" s="657" t="s">
        <v>7439</v>
      </c>
      <c r="F2445" s="656" t="s">
        <v>472</v>
      </c>
      <c r="G2445" s="656" t="s">
        <v>1395</v>
      </c>
      <c r="H2445" s="656" t="s">
        <v>472</v>
      </c>
      <c r="I2445" s="656" t="s">
        <v>15280</v>
      </c>
      <c r="J2445" s="656" t="s">
        <v>12368</v>
      </c>
      <c r="K2445" s="656"/>
      <c r="L2445" s="656"/>
      <c r="M2445" s="657"/>
      <c r="N2445" s="1482"/>
      <c r="O2445" s="656" t="s">
        <v>498</v>
      </c>
      <c r="P2445" s="656" t="s">
        <v>13052</v>
      </c>
      <c r="Q2445" s="656">
        <v>44216.775347222225</v>
      </c>
    </row>
    <row r="2446" spans="1:17">
      <c r="A2446" s="656" t="s">
        <v>2945</v>
      </c>
      <c r="B2446" s="657" t="s">
        <v>202</v>
      </c>
      <c r="C2446" s="656" t="s">
        <v>2946</v>
      </c>
      <c r="D2446" s="657" t="s">
        <v>13789</v>
      </c>
      <c r="E2446" s="657" t="s">
        <v>7439</v>
      </c>
      <c r="F2446" s="656" t="s">
        <v>472</v>
      </c>
      <c r="G2446" s="656" t="s">
        <v>1395</v>
      </c>
      <c r="H2446" s="656" t="s">
        <v>472</v>
      </c>
      <c r="I2446" s="656" t="s">
        <v>15280</v>
      </c>
      <c r="J2446" s="656" t="s">
        <v>12368</v>
      </c>
      <c r="K2446" s="656"/>
      <c r="L2446" s="656"/>
      <c r="M2446" s="657"/>
      <c r="N2446" s="1482"/>
      <c r="O2446" s="656" t="s">
        <v>498</v>
      </c>
      <c r="P2446" s="656" t="s">
        <v>13052</v>
      </c>
      <c r="Q2446" s="656">
        <v>44216.775347222225</v>
      </c>
    </row>
    <row r="2447" spans="1:17">
      <c r="A2447" s="656" t="s">
        <v>2947</v>
      </c>
      <c r="B2447" s="657" t="s">
        <v>504</v>
      </c>
      <c r="C2447" s="656" t="s">
        <v>13746</v>
      </c>
      <c r="D2447" s="657" t="s">
        <v>13789</v>
      </c>
      <c r="E2447" s="657" t="s">
        <v>7439</v>
      </c>
      <c r="F2447" s="656" t="s">
        <v>505</v>
      </c>
      <c r="G2447" s="656" t="s">
        <v>2769</v>
      </c>
      <c r="H2447" s="656" t="s">
        <v>505</v>
      </c>
      <c r="I2447" s="656" t="s">
        <v>14976</v>
      </c>
      <c r="J2447" s="656"/>
      <c r="K2447" s="656"/>
      <c r="L2447" s="656"/>
      <c r="M2447" s="657"/>
      <c r="N2447" s="1482"/>
      <c r="O2447" s="656" t="s">
        <v>498</v>
      </c>
      <c r="P2447" s="656" t="s">
        <v>13052</v>
      </c>
      <c r="Q2447" s="656">
        <v>44216.775335648148</v>
      </c>
    </row>
    <row r="2448" spans="1:17">
      <c r="A2448" s="656" t="s">
        <v>2948</v>
      </c>
      <c r="B2448" s="657" t="s">
        <v>504</v>
      </c>
      <c r="C2448" s="656" t="s">
        <v>13745</v>
      </c>
      <c r="D2448" s="657" t="s">
        <v>13789</v>
      </c>
      <c r="E2448" s="657" t="s">
        <v>7439</v>
      </c>
      <c r="F2448" s="656" t="s">
        <v>505</v>
      </c>
      <c r="G2448" s="656" t="s">
        <v>2769</v>
      </c>
      <c r="H2448" s="656" t="s">
        <v>505</v>
      </c>
      <c r="I2448" s="656" t="s">
        <v>14976</v>
      </c>
      <c r="J2448" s="656"/>
      <c r="K2448" s="656"/>
      <c r="L2448" s="656"/>
      <c r="M2448" s="657"/>
      <c r="N2448" s="1482"/>
      <c r="O2448" s="656" t="s">
        <v>498</v>
      </c>
      <c r="P2448" s="656" t="s">
        <v>13052</v>
      </c>
      <c r="Q2448" s="656">
        <v>44216.775335648148</v>
      </c>
    </row>
    <row r="2449" spans="1:17">
      <c r="A2449" s="656" t="s">
        <v>2949</v>
      </c>
      <c r="B2449" s="657" t="s">
        <v>504</v>
      </c>
      <c r="C2449" s="656" t="s">
        <v>13744</v>
      </c>
      <c r="D2449" s="657" t="s">
        <v>13789</v>
      </c>
      <c r="E2449" s="657" t="s">
        <v>7439</v>
      </c>
      <c r="F2449" s="656" t="s">
        <v>505</v>
      </c>
      <c r="G2449" s="656" t="s">
        <v>2769</v>
      </c>
      <c r="H2449" s="656" t="s">
        <v>505</v>
      </c>
      <c r="I2449" s="656" t="s">
        <v>14976</v>
      </c>
      <c r="J2449" s="656"/>
      <c r="K2449" s="656"/>
      <c r="L2449" s="656"/>
      <c r="M2449" s="657"/>
      <c r="N2449" s="1482"/>
      <c r="O2449" s="656" t="s">
        <v>498</v>
      </c>
      <c r="P2449" s="656" t="s">
        <v>13052</v>
      </c>
      <c r="Q2449" s="656">
        <v>44216.775335648148</v>
      </c>
    </row>
    <row r="2450" spans="1:17">
      <c r="A2450" s="656" t="s">
        <v>2950</v>
      </c>
      <c r="B2450" s="657" t="s">
        <v>504</v>
      </c>
      <c r="C2450" s="656" t="s">
        <v>13743</v>
      </c>
      <c r="D2450" s="657" t="s">
        <v>13789</v>
      </c>
      <c r="E2450" s="657" t="s">
        <v>7439</v>
      </c>
      <c r="F2450" s="656" t="s">
        <v>505</v>
      </c>
      <c r="G2450" s="656" t="s">
        <v>2769</v>
      </c>
      <c r="H2450" s="656" t="s">
        <v>505</v>
      </c>
      <c r="I2450" s="656" t="s">
        <v>14976</v>
      </c>
      <c r="J2450" s="656"/>
      <c r="K2450" s="656"/>
      <c r="L2450" s="656"/>
      <c r="M2450" s="657"/>
      <c r="N2450" s="1482"/>
      <c r="O2450" s="656" t="s">
        <v>498</v>
      </c>
      <c r="P2450" s="656" t="s">
        <v>13052</v>
      </c>
      <c r="Q2450" s="656">
        <v>44216.775324074071</v>
      </c>
    </row>
    <row r="2451" spans="1:17">
      <c r="A2451" s="656" t="s">
        <v>2951</v>
      </c>
      <c r="B2451" s="657" t="s">
        <v>504</v>
      </c>
      <c r="C2451" s="656" t="s">
        <v>13742</v>
      </c>
      <c r="D2451" s="657" t="s">
        <v>13789</v>
      </c>
      <c r="E2451" s="657" t="s">
        <v>7439</v>
      </c>
      <c r="F2451" s="656" t="s">
        <v>505</v>
      </c>
      <c r="G2451" s="656" t="s">
        <v>2769</v>
      </c>
      <c r="H2451" s="656" t="s">
        <v>505</v>
      </c>
      <c r="I2451" s="656" t="s">
        <v>14976</v>
      </c>
      <c r="J2451" s="656"/>
      <c r="K2451" s="656"/>
      <c r="L2451" s="656"/>
      <c r="M2451" s="657"/>
      <c r="N2451" s="1482"/>
      <c r="O2451" s="656" t="s">
        <v>498</v>
      </c>
      <c r="P2451" s="656" t="s">
        <v>13052</v>
      </c>
      <c r="Q2451" s="656">
        <v>44216.775324074071</v>
      </c>
    </row>
    <row r="2452" spans="1:17">
      <c r="A2452" s="656" t="s">
        <v>2952</v>
      </c>
      <c r="B2452" s="657" t="s">
        <v>504</v>
      </c>
      <c r="C2452" s="656" t="s">
        <v>13741</v>
      </c>
      <c r="D2452" s="657" t="s">
        <v>13789</v>
      </c>
      <c r="E2452" s="657" t="s">
        <v>7439</v>
      </c>
      <c r="F2452" s="656" t="s">
        <v>505</v>
      </c>
      <c r="G2452" s="656" t="s">
        <v>2769</v>
      </c>
      <c r="H2452" s="656" t="s">
        <v>505</v>
      </c>
      <c r="I2452" s="656" t="s">
        <v>14976</v>
      </c>
      <c r="J2452" s="656"/>
      <c r="K2452" s="656"/>
      <c r="L2452" s="656"/>
      <c r="M2452" s="657"/>
      <c r="N2452" s="1482"/>
      <c r="O2452" s="656" t="s">
        <v>498</v>
      </c>
      <c r="P2452" s="656" t="s">
        <v>13052</v>
      </c>
      <c r="Q2452" s="656">
        <v>44216.775312500002</v>
      </c>
    </row>
    <row r="2453" spans="1:17">
      <c r="A2453" s="656" t="s">
        <v>2953</v>
      </c>
      <c r="B2453" s="657" t="s">
        <v>504</v>
      </c>
      <c r="C2453" s="656" t="s">
        <v>13740</v>
      </c>
      <c r="D2453" s="657" t="s">
        <v>13789</v>
      </c>
      <c r="E2453" s="657" t="s">
        <v>7439</v>
      </c>
      <c r="F2453" s="656" t="s">
        <v>505</v>
      </c>
      <c r="G2453" s="656" t="s">
        <v>2769</v>
      </c>
      <c r="H2453" s="656" t="s">
        <v>505</v>
      </c>
      <c r="I2453" s="656" t="s">
        <v>14976</v>
      </c>
      <c r="J2453" s="656"/>
      <c r="K2453" s="656"/>
      <c r="L2453" s="656"/>
      <c r="M2453" s="657"/>
      <c r="N2453" s="1482"/>
      <c r="O2453" s="656" t="s">
        <v>498</v>
      </c>
      <c r="P2453" s="656" t="s">
        <v>13052</v>
      </c>
      <c r="Q2453" s="656">
        <v>44216.775312500002</v>
      </c>
    </row>
    <row r="2454" spans="1:17">
      <c r="A2454" s="656" t="s">
        <v>2954</v>
      </c>
      <c r="B2454" s="657" t="s">
        <v>504</v>
      </c>
      <c r="C2454" s="656" t="s">
        <v>2955</v>
      </c>
      <c r="D2454" s="657" t="s">
        <v>13789</v>
      </c>
      <c r="E2454" s="657" t="s">
        <v>7439</v>
      </c>
      <c r="F2454" s="656" t="s">
        <v>505</v>
      </c>
      <c r="G2454" s="656" t="s">
        <v>522</v>
      </c>
      <c r="H2454" s="656" t="s">
        <v>505</v>
      </c>
      <c r="I2454" s="656" t="s">
        <v>14976</v>
      </c>
      <c r="J2454" s="656"/>
      <c r="K2454" s="656"/>
      <c r="L2454" s="656" t="s">
        <v>2968</v>
      </c>
      <c r="M2454" s="657"/>
      <c r="N2454" s="1482"/>
      <c r="O2454" s="656" t="s">
        <v>498</v>
      </c>
      <c r="P2454" s="656" t="s">
        <v>13052</v>
      </c>
      <c r="Q2454" s="656">
        <v>44216.775312500002</v>
      </c>
    </row>
    <row r="2455" spans="1:17">
      <c r="A2455" s="656" t="s">
        <v>2956</v>
      </c>
      <c r="B2455" s="657" t="s">
        <v>504</v>
      </c>
      <c r="C2455" s="656" t="s">
        <v>13739</v>
      </c>
      <c r="D2455" s="657" t="s">
        <v>13789</v>
      </c>
      <c r="E2455" s="657" t="s">
        <v>7439</v>
      </c>
      <c r="F2455" s="656" t="s">
        <v>505</v>
      </c>
      <c r="G2455" s="656" t="s">
        <v>522</v>
      </c>
      <c r="H2455" s="656" t="s">
        <v>505</v>
      </c>
      <c r="I2455" s="656" t="s">
        <v>14976</v>
      </c>
      <c r="J2455" s="656"/>
      <c r="K2455" s="656"/>
      <c r="L2455" s="656"/>
      <c r="M2455" s="657"/>
      <c r="N2455" s="1482"/>
      <c r="O2455" s="656" t="s">
        <v>498</v>
      </c>
      <c r="P2455" s="656" t="s">
        <v>13052</v>
      </c>
      <c r="Q2455" s="656">
        <v>44216.775300925925</v>
      </c>
    </row>
    <row r="2456" spans="1:17">
      <c r="A2456" s="656" t="s">
        <v>2957</v>
      </c>
      <c r="B2456" s="657" t="s">
        <v>504</v>
      </c>
      <c r="C2456" s="656" t="s">
        <v>2958</v>
      </c>
      <c r="D2456" s="657" t="s">
        <v>13789</v>
      </c>
      <c r="E2456" s="657" t="s">
        <v>7439</v>
      </c>
      <c r="F2456" s="656" t="s">
        <v>505</v>
      </c>
      <c r="G2456" s="656" t="s">
        <v>522</v>
      </c>
      <c r="H2456" s="656" t="s">
        <v>505</v>
      </c>
      <c r="I2456" s="656" t="s">
        <v>14976</v>
      </c>
      <c r="J2456" s="656"/>
      <c r="K2456" s="656"/>
      <c r="L2456" s="656" t="s">
        <v>2968</v>
      </c>
      <c r="M2456" s="657"/>
      <c r="N2456" s="1482"/>
      <c r="O2456" s="656" t="s">
        <v>498</v>
      </c>
      <c r="P2456" s="656" t="s">
        <v>13052</v>
      </c>
      <c r="Q2456" s="656">
        <v>44216.775300925925</v>
      </c>
    </row>
    <row r="2457" spans="1:17">
      <c r="A2457" s="656" t="s">
        <v>13738</v>
      </c>
      <c r="B2457" s="657" t="s">
        <v>504</v>
      </c>
      <c r="C2457" s="656" t="s">
        <v>2959</v>
      </c>
      <c r="D2457" s="657" t="s">
        <v>13789</v>
      </c>
      <c r="E2457" s="657" t="s">
        <v>7439</v>
      </c>
      <c r="F2457" s="656" t="s">
        <v>505</v>
      </c>
      <c r="G2457" s="656" t="s">
        <v>522</v>
      </c>
      <c r="H2457" s="656" t="s">
        <v>505</v>
      </c>
      <c r="I2457" s="656" t="s">
        <v>14976</v>
      </c>
      <c r="J2457" s="656"/>
      <c r="K2457" s="656"/>
      <c r="L2457" s="656" t="s">
        <v>2968</v>
      </c>
      <c r="M2457" s="657"/>
      <c r="N2457" s="1482"/>
      <c r="O2457" s="656" t="s">
        <v>498</v>
      </c>
      <c r="P2457" s="656" t="s">
        <v>13052</v>
      </c>
      <c r="Q2457" s="656">
        <v>44216.775289351855</v>
      </c>
    </row>
    <row r="2458" spans="1:17">
      <c r="A2458" s="656" t="s">
        <v>13737</v>
      </c>
      <c r="B2458" s="657" t="s">
        <v>504</v>
      </c>
      <c r="C2458" s="656" t="s">
        <v>2960</v>
      </c>
      <c r="D2458" s="657" t="s">
        <v>13789</v>
      </c>
      <c r="E2458" s="657" t="s">
        <v>7439</v>
      </c>
      <c r="F2458" s="656" t="s">
        <v>505</v>
      </c>
      <c r="G2458" s="656" t="s">
        <v>522</v>
      </c>
      <c r="H2458" s="656" t="s">
        <v>505</v>
      </c>
      <c r="I2458" s="656" t="s">
        <v>14976</v>
      </c>
      <c r="J2458" s="656"/>
      <c r="K2458" s="656"/>
      <c r="L2458" s="656" t="s">
        <v>2968</v>
      </c>
      <c r="M2458" s="657"/>
      <c r="N2458" s="1482"/>
      <c r="O2458" s="656" t="s">
        <v>498</v>
      </c>
      <c r="P2458" s="656" t="s">
        <v>13052</v>
      </c>
      <c r="Q2458" s="656">
        <v>44216.775289351855</v>
      </c>
    </row>
    <row r="2459" spans="1:17">
      <c r="A2459" s="656" t="s">
        <v>13736</v>
      </c>
      <c r="B2459" s="657" t="s">
        <v>504</v>
      </c>
      <c r="C2459" s="656" t="s">
        <v>2961</v>
      </c>
      <c r="D2459" s="657" t="s">
        <v>13789</v>
      </c>
      <c r="E2459" s="657" t="s">
        <v>7439</v>
      </c>
      <c r="F2459" s="656" t="s">
        <v>505</v>
      </c>
      <c r="G2459" s="656" t="s">
        <v>522</v>
      </c>
      <c r="H2459" s="656" t="s">
        <v>505</v>
      </c>
      <c r="I2459" s="656" t="s">
        <v>14976</v>
      </c>
      <c r="J2459" s="656"/>
      <c r="K2459" s="656"/>
      <c r="L2459" s="656"/>
      <c r="M2459" s="657"/>
      <c r="N2459" s="1482"/>
      <c r="O2459" s="656" t="s">
        <v>498</v>
      </c>
      <c r="P2459" s="656" t="s">
        <v>13052</v>
      </c>
      <c r="Q2459" s="656">
        <v>44216.775289351855</v>
      </c>
    </row>
    <row r="2460" spans="1:17">
      <c r="A2460" s="656" t="s">
        <v>13735</v>
      </c>
      <c r="B2460" s="657" t="s">
        <v>504</v>
      </c>
      <c r="C2460" s="656" t="s">
        <v>2962</v>
      </c>
      <c r="D2460" s="657" t="s">
        <v>13789</v>
      </c>
      <c r="E2460" s="657" t="s">
        <v>7439</v>
      </c>
      <c r="F2460" s="656" t="s">
        <v>505</v>
      </c>
      <c r="G2460" s="656" t="s">
        <v>522</v>
      </c>
      <c r="H2460" s="656" t="s">
        <v>505</v>
      </c>
      <c r="I2460" s="656" t="s">
        <v>14976</v>
      </c>
      <c r="J2460" s="656"/>
      <c r="K2460" s="656"/>
      <c r="L2460" s="656"/>
      <c r="M2460" s="657"/>
      <c r="N2460" s="1482"/>
      <c r="O2460" s="656" t="s">
        <v>498</v>
      </c>
      <c r="P2460" s="656" t="s">
        <v>13052</v>
      </c>
      <c r="Q2460" s="656">
        <v>44216.775277777779</v>
      </c>
    </row>
    <row r="2461" spans="1:17">
      <c r="A2461" s="656" t="s">
        <v>13734</v>
      </c>
      <c r="B2461" s="657" t="s">
        <v>504</v>
      </c>
      <c r="C2461" s="656" t="s">
        <v>2963</v>
      </c>
      <c r="D2461" s="657" t="s">
        <v>13789</v>
      </c>
      <c r="E2461" s="657" t="s">
        <v>7439</v>
      </c>
      <c r="F2461" s="656" t="s">
        <v>505</v>
      </c>
      <c r="G2461" s="656" t="s">
        <v>522</v>
      </c>
      <c r="H2461" s="656" t="s">
        <v>505</v>
      </c>
      <c r="I2461" s="656" t="s">
        <v>14976</v>
      </c>
      <c r="J2461" s="656"/>
      <c r="K2461" s="656"/>
      <c r="L2461" s="656"/>
      <c r="M2461" s="657"/>
      <c r="N2461" s="1482"/>
      <c r="O2461" s="656" t="s">
        <v>498</v>
      </c>
      <c r="P2461" s="656" t="s">
        <v>13052</v>
      </c>
      <c r="Q2461" s="656">
        <v>44216.775277777779</v>
      </c>
    </row>
    <row r="2462" spans="1:17">
      <c r="A2462" s="656" t="s">
        <v>2964</v>
      </c>
      <c r="B2462" s="657" t="s">
        <v>504</v>
      </c>
      <c r="C2462" s="656" t="s">
        <v>2965</v>
      </c>
      <c r="D2462" s="657" t="s">
        <v>13789</v>
      </c>
      <c r="E2462" s="657" t="s">
        <v>7439</v>
      </c>
      <c r="F2462" s="656" t="s">
        <v>505</v>
      </c>
      <c r="G2462" s="656" t="s">
        <v>522</v>
      </c>
      <c r="H2462" s="656" t="s">
        <v>505</v>
      </c>
      <c r="I2462" s="656" t="s">
        <v>14976</v>
      </c>
      <c r="J2462" s="656"/>
      <c r="K2462" s="656"/>
      <c r="L2462" s="656"/>
      <c r="M2462" s="657"/>
      <c r="N2462" s="1482"/>
      <c r="O2462" s="656" t="s">
        <v>498</v>
      </c>
      <c r="P2462" s="656" t="s">
        <v>13052</v>
      </c>
      <c r="Q2462" s="656">
        <v>44216.775266203702</v>
      </c>
    </row>
    <row r="2463" spans="1:17">
      <c r="A2463" s="656" t="s">
        <v>13733</v>
      </c>
      <c r="B2463" s="657" t="s">
        <v>504</v>
      </c>
      <c r="C2463" s="656" t="s">
        <v>2966</v>
      </c>
      <c r="D2463" s="657" t="s">
        <v>13789</v>
      </c>
      <c r="E2463" s="657" t="s">
        <v>7439</v>
      </c>
      <c r="F2463" s="656" t="s">
        <v>505</v>
      </c>
      <c r="G2463" s="656" t="s">
        <v>522</v>
      </c>
      <c r="H2463" s="656" t="s">
        <v>505</v>
      </c>
      <c r="I2463" s="656" t="s">
        <v>14976</v>
      </c>
      <c r="J2463" s="656"/>
      <c r="K2463" s="656"/>
      <c r="L2463" s="656" t="s">
        <v>15307</v>
      </c>
      <c r="M2463" s="657"/>
      <c r="N2463" s="1482"/>
      <c r="O2463" s="656" t="s">
        <v>498</v>
      </c>
      <c r="P2463" s="656" t="s">
        <v>13052</v>
      </c>
      <c r="Q2463" s="656">
        <v>44216.775266203702</v>
      </c>
    </row>
    <row r="2464" spans="1:17">
      <c r="A2464" s="656" t="s">
        <v>13732</v>
      </c>
      <c r="B2464" s="657" t="s">
        <v>504</v>
      </c>
      <c r="C2464" s="656" t="s">
        <v>2967</v>
      </c>
      <c r="D2464" s="657" t="s">
        <v>13789</v>
      </c>
      <c r="E2464" s="657" t="s">
        <v>7439</v>
      </c>
      <c r="F2464" s="656" t="s">
        <v>505</v>
      </c>
      <c r="G2464" s="656" t="s">
        <v>522</v>
      </c>
      <c r="H2464" s="656" t="s">
        <v>505</v>
      </c>
      <c r="I2464" s="656" t="s">
        <v>14976</v>
      </c>
      <c r="J2464" s="656"/>
      <c r="K2464" s="656"/>
      <c r="L2464" s="656"/>
      <c r="M2464" s="657"/>
      <c r="N2464" s="1482"/>
      <c r="O2464" s="656" t="s">
        <v>498</v>
      </c>
      <c r="P2464" s="656" t="s">
        <v>13052</v>
      </c>
      <c r="Q2464" s="656">
        <v>44216.775254629632</v>
      </c>
    </row>
    <row r="2465" spans="1:17">
      <c r="A2465" s="656" t="s">
        <v>2968</v>
      </c>
      <c r="B2465" s="657" t="s">
        <v>504</v>
      </c>
      <c r="C2465" s="656" t="s">
        <v>2111</v>
      </c>
      <c r="D2465" s="657" t="s">
        <v>13789</v>
      </c>
      <c r="E2465" s="657" t="s">
        <v>7439</v>
      </c>
      <c r="F2465" s="656" t="s">
        <v>505</v>
      </c>
      <c r="G2465" s="656" t="s">
        <v>522</v>
      </c>
      <c r="H2465" s="656" t="s">
        <v>505</v>
      </c>
      <c r="I2465" s="656" t="s">
        <v>14976</v>
      </c>
      <c r="J2465" s="656"/>
      <c r="K2465" s="656"/>
      <c r="L2465" s="656"/>
      <c r="M2465" s="657"/>
      <c r="N2465" s="1482"/>
      <c r="O2465" s="656" t="s">
        <v>498</v>
      </c>
      <c r="P2465" s="656" t="s">
        <v>13052</v>
      </c>
      <c r="Q2465" s="656">
        <v>44216.775254629632</v>
      </c>
    </row>
    <row r="2466" spans="1:17">
      <c r="A2466" s="656" t="s">
        <v>2969</v>
      </c>
      <c r="B2466" s="657" t="s">
        <v>504</v>
      </c>
      <c r="C2466" s="656" t="s">
        <v>2970</v>
      </c>
      <c r="D2466" s="657" t="s">
        <v>13789</v>
      </c>
      <c r="E2466" s="657" t="s">
        <v>7439</v>
      </c>
      <c r="F2466" s="656" t="s">
        <v>505</v>
      </c>
      <c r="G2466" s="656" t="s">
        <v>522</v>
      </c>
      <c r="H2466" s="656" t="s">
        <v>505</v>
      </c>
      <c r="I2466" s="656" t="s">
        <v>14976</v>
      </c>
      <c r="J2466" s="656"/>
      <c r="K2466" s="656"/>
      <c r="L2466" s="656"/>
      <c r="M2466" s="657"/>
      <c r="N2466" s="1482"/>
      <c r="O2466" s="656" t="s">
        <v>498</v>
      </c>
      <c r="P2466" s="656" t="s">
        <v>13052</v>
      </c>
      <c r="Q2466" s="656">
        <v>44216.775243055556</v>
      </c>
    </row>
    <row r="2467" spans="1:17">
      <c r="A2467" s="656" t="s">
        <v>2971</v>
      </c>
      <c r="B2467" s="657" t="s">
        <v>504</v>
      </c>
      <c r="C2467" s="656" t="s">
        <v>2972</v>
      </c>
      <c r="D2467" s="657" t="s">
        <v>13789</v>
      </c>
      <c r="E2467" s="657" t="s">
        <v>9654</v>
      </c>
      <c r="F2467" s="656" t="s">
        <v>540</v>
      </c>
      <c r="G2467" s="656" t="s">
        <v>1398</v>
      </c>
      <c r="H2467" s="656" t="s">
        <v>540</v>
      </c>
      <c r="I2467" s="656" t="s">
        <v>14976</v>
      </c>
      <c r="J2467" s="656"/>
      <c r="K2467" s="656"/>
      <c r="L2467" s="656"/>
      <c r="M2467" s="657"/>
      <c r="N2467" s="1482"/>
      <c r="O2467" s="656" t="s">
        <v>498</v>
      </c>
      <c r="P2467" s="656" t="s">
        <v>13052</v>
      </c>
      <c r="Q2467" s="656">
        <v>44216.775243055556</v>
      </c>
    </row>
    <row r="2468" spans="1:17">
      <c r="A2468" s="656" t="s">
        <v>2973</v>
      </c>
      <c r="B2468" s="657" t="s">
        <v>504</v>
      </c>
      <c r="C2468" s="656" t="s">
        <v>2974</v>
      </c>
      <c r="D2468" s="657" t="s">
        <v>13789</v>
      </c>
      <c r="E2468" s="657" t="s">
        <v>9654</v>
      </c>
      <c r="F2468" s="656" t="s">
        <v>505</v>
      </c>
      <c r="G2468" s="656" t="s">
        <v>525</v>
      </c>
      <c r="H2468" s="656" t="s">
        <v>505</v>
      </c>
      <c r="I2468" s="656" t="s">
        <v>14976</v>
      </c>
      <c r="J2468" s="656"/>
      <c r="K2468" s="656"/>
      <c r="L2468" s="656"/>
      <c r="M2468" s="657"/>
      <c r="N2468" s="1482"/>
      <c r="O2468" s="656" t="s">
        <v>498</v>
      </c>
      <c r="P2468" s="656" t="s">
        <v>13052</v>
      </c>
      <c r="Q2468" s="656">
        <v>44216.775231481479</v>
      </c>
    </row>
    <row r="2469" spans="1:17">
      <c r="A2469" s="656" t="s">
        <v>2975</v>
      </c>
      <c r="B2469" s="657" t="s">
        <v>504</v>
      </c>
      <c r="C2469" s="656" t="s">
        <v>2976</v>
      </c>
      <c r="D2469" s="657" t="s">
        <v>13789</v>
      </c>
      <c r="E2469" s="657" t="s">
        <v>9654</v>
      </c>
      <c r="F2469" s="656" t="s">
        <v>505</v>
      </c>
      <c r="G2469" s="656" t="s">
        <v>525</v>
      </c>
      <c r="H2469" s="656" t="s">
        <v>505</v>
      </c>
      <c r="I2469" s="656" t="s">
        <v>14976</v>
      </c>
      <c r="J2469" s="656"/>
      <c r="K2469" s="656"/>
      <c r="L2469" s="656"/>
      <c r="M2469" s="657"/>
      <c r="N2469" s="1482"/>
      <c r="O2469" s="656" t="s">
        <v>498</v>
      </c>
      <c r="P2469" s="656" t="s">
        <v>13052</v>
      </c>
      <c r="Q2469" s="656">
        <v>44216.775231481479</v>
      </c>
    </row>
    <row r="2470" spans="1:17">
      <c r="A2470" s="656" t="s">
        <v>2977</v>
      </c>
      <c r="B2470" s="657" t="s">
        <v>504</v>
      </c>
      <c r="C2470" s="656" t="s">
        <v>2978</v>
      </c>
      <c r="D2470" s="657" t="s">
        <v>13789</v>
      </c>
      <c r="E2470" s="657" t="s">
        <v>7439</v>
      </c>
      <c r="F2470" s="656" t="s">
        <v>540</v>
      </c>
      <c r="G2470" s="656" t="s">
        <v>541</v>
      </c>
      <c r="H2470" s="656" t="s">
        <v>540</v>
      </c>
      <c r="I2470" s="656" t="s">
        <v>14976</v>
      </c>
      <c r="J2470" s="656"/>
      <c r="K2470" s="656"/>
      <c r="L2470" s="656"/>
      <c r="M2470" s="657"/>
      <c r="N2470" s="1482"/>
      <c r="O2470" s="656" t="s">
        <v>498</v>
      </c>
      <c r="P2470" s="656" t="s">
        <v>13052</v>
      </c>
      <c r="Q2470" s="656">
        <v>44216.775231481479</v>
      </c>
    </row>
    <row r="2471" spans="1:17">
      <c r="A2471" s="656" t="s">
        <v>2979</v>
      </c>
      <c r="B2471" s="657" t="s">
        <v>504</v>
      </c>
      <c r="C2471" s="656" t="s">
        <v>2980</v>
      </c>
      <c r="D2471" s="657" t="s">
        <v>13789</v>
      </c>
      <c r="E2471" s="657" t="s">
        <v>7439</v>
      </c>
      <c r="F2471" s="656" t="s">
        <v>540</v>
      </c>
      <c r="G2471" s="656" t="s">
        <v>541</v>
      </c>
      <c r="H2471" s="656" t="s">
        <v>540</v>
      </c>
      <c r="I2471" s="656" t="s">
        <v>14976</v>
      </c>
      <c r="J2471" s="656"/>
      <c r="K2471" s="656"/>
      <c r="L2471" s="656"/>
      <c r="M2471" s="657"/>
      <c r="N2471" s="1482"/>
      <c r="O2471" s="656" t="s">
        <v>498</v>
      </c>
      <c r="P2471" s="656" t="s">
        <v>13052</v>
      </c>
      <c r="Q2471" s="656">
        <v>44216.775219907409</v>
      </c>
    </row>
    <row r="2472" spans="1:17">
      <c r="A2472" s="656" t="s">
        <v>2981</v>
      </c>
      <c r="B2472" s="657" t="s">
        <v>504</v>
      </c>
      <c r="C2472" s="656" t="s">
        <v>2982</v>
      </c>
      <c r="D2472" s="657" t="s">
        <v>13789</v>
      </c>
      <c r="E2472" s="657" t="s">
        <v>9654</v>
      </c>
      <c r="F2472" s="656" t="s">
        <v>540</v>
      </c>
      <c r="G2472" s="656" t="s">
        <v>541</v>
      </c>
      <c r="H2472" s="656" t="s">
        <v>540</v>
      </c>
      <c r="I2472" s="656" t="s">
        <v>14976</v>
      </c>
      <c r="J2472" s="656"/>
      <c r="K2472" s="656"/>
      <c r="L2472" s="656"/>
      <c r="M2472" s="657"/>
      <c r="N2472" s="1482"/>
      <c r="O2472" s="656" t="s">
        <v>498</v>
      </c>
      <c r="P2472" s="656" t="s">
        <v>13052</v>
      </c>
      <c r="Q2472" s="656">
        <v>44216.775219907409</v>
      </c>
    </row>
    <row r="2473" spans="1:17">
      <c r="A2473" s="656" t="s">
        <v>2983</v>
      </c>
      <c r="B2473" s="657" t="s">
        <v>504</v>
      </c>
      <c r="C2473" s="656" t="s">
        <v>2984</v>
      </c>
      <c r="D2473" s="657" t="s">
        <v>14977</v>
      </c>
      <c r="E2473" s="657" t="s">
        <v>7439</v>
      </c>
      <c r="F2473" s="656" t="s">
        <v>540</v>
      </c>
      <c r="G2473" s="656" t="s">
        <v>541</v>
      </c>
      <c r="H2473" s="656" t="s">
        <v>540</v>
      </c>
      <c r="I2473" s="656" t="s">
        <v>14976</v>
      </c>
      <c r="J2473" s="656"/>
      <c r="K2473" s="656"/>
      <c r="L2473" s="656"/>
      <c r="M2473" s="657"/>
      <c r="N2473" s="1482"/>
      <c r="O2473" s="656" t="s">
        <v>498</v>
      </c>
      <c r="P2473" s="656" t="s">
        <v>13052</v>
      </c>
      <c r="Q2473" s="656">
        <v>44216.775219907409</v>
      </c>
    </row>
    <row r="2474" spans="1:17">
      <c r="A2474" s="656" t="s">
        <v>2985</v>
      </c>
      <c r="B2474" s="657" t="s">
        <v>202</v>
      </c>
      <c r="C2474" s="656" t="s">
        <v>2986</v>
      </c>
      <c r="D2474" s="657" t="s">
        <v>13789</v>
      </c>
      <c r="E2474" s="657" t="s">
        <v>7439</v>
      </c>
      <c r="F2474" s="656" t="s">
        <v>472</v>
      </c>
      <c r="G2474" s="656" t="s">
        <v>1395</v>
      </c>
      <c r="H2474" s="656" t="s">
        <v>472</v>
      </c>
      <c r="I2474" s="656" t="s">
        <v>14976</v>
      </c>
      <c r="J2474" s="656" t="s">
        <v>12368</v>
      </c>
      <c r="K2474" s="656"/>
      <c r="L2474" s="656"/>
      <c r="M2474" s="657"/>
      <c r="N2474" s="1482"/>
      <c r="O2474" s="656" t="s">
        <v>498</v>
      </c>
      <c r="P2474" s="656" t="s">
        <v>13052</v>
      </c>
      <c r="Q2474" s="656">
        <v>44216.775208333333</v>
      </c>
    </row>
    <row r="2475" spans="1:17">
      <c r="A2475" s="656" t="s">
        <v>2987</v>
      </c>
      <c r="B2475" s="657" t="s">
        <v>504</v>
      </c>
      <c r="C2475" s="656" t="s">
        <v>2988</v>
      </c>
      <c r="D2475" s="657" t="s">
        <v>13789</v>
      </c>
      <c r="E2475" s="657" t="s">
        <v>9654</v>
      </c>
      <c r="F2475" s="656" t="s">
        <v>505</v>
      </c>
      <c r="G2475" s="656" t="s">
        <v>2769</v>
      </c>
      <c r="H2475" s="656" t="s">
        <v>505</v>
      </c>
      <c r="I2475" s="656" t="s">
        <v>14976</v>
      </c>
      <c r="J2475" s="656"/>
      <c r="K2475" s="656"/>
      <c r="L2475" s="656"/>
      <c r="M2475" s="657"/>
      <c r="N2475" s="1482"/>
      <c r="O2475" s="656" t="s">
        <v>498</v>
      </c>
      <c r="P2475" s="656" t="s">
        <v>13052</v>
      </c>
      <c r="Q2475" s="656">
        <v>44216.775208333333</v>
      </c>
    </row>
    <row r="2476" spans="1:17">
      <c r="A2476" s="656" t="s">
        <v>2989</v>
      </c>
      <c r="B2476" s="657" t="s">
        <v>504</v>
      </c>
      <c r="C2476" s="656" t="s">
        <v>2990</v>
      </c>
      <c r="D2476" s="657" t="s">
        <v>13789</v>
      </c>
      <c r="E2476" s="657" t="s">
        <v>7439</v>
      </c>
      <c r="F2476" s="656" t="s">
        <v>540</v>
      </c>
      <c r="G2476" s="656" t="s">
        <v>541</v>
      </c>
      <c r="H2476" s="656" t="s">
        <v>540</v>
      </c>
      <c r="I2476" s="656" t="s">
        <v>14976</v>
      </c>
      <c r="J2476" s="656"/>
      <c r="K2476" s="656"/>
      <c r="L2476" s="656"/>
      <c r="M2476" s="657"/>
      <c r="N2476" s="1482"/>
      <c r="O2476" s="656" t="s">
        <v>498</v>
      </c>
      <c r="P2476" s="656" t="s">
        <v>13052</v>
      </c>
      <c r="Q2476" s="656">
        <v>44216.775196759256</v>
      </c>
    </row>
    <row r="2477" spans="1:17">
      <c r="A2477" s="656" t="s">
        <v>2991</v>
      </c>
      <c r="B2477" s="657" t="s">
        <v>504</v>
      </c>
      <c r="C2477" s="656" t="s">
        <v>2992</v>
      </c>
      <c r="D2477" s="657" t="s">
        <v>13789</v>
      </c>
      <c r="E2477" s="657" t="s">
        <v>7439</v>
      </c>
      <c r="F2477" s="656" t="s">
        <v>540</v>
      </c>
      <c r="G2477" s="656" t="s">
        <v>541</v>
      </c>
      <c r="H2477" s="656" t="s">
        <v>540</v>
      </c>
      <c r="I2477" s="656" t="s">
        <v>14976</v>
      </c>
      <c r="J2477" s="656"/>
      <c r="K2477" s="656"/>
      <c r="L2477" s="656"/>
      <c r="M2477" s="657"/>
      <c r="N2477" s="1482"/>
      <c r="O2477" s="656" t="s">
        <v>498</v>
      </c>
      <c r="P2477" s="656" t="s">
        <v>13052</v>
      </c>
      <c r="Q2477" s="656">
        <v>44216.775185185186</v>
      </c>
    </row>
    <row r="2478" spans="1:17">
      <c r="A2478" s="656" t="s">
        <v>2993</v>
      </c>
      <c r="B2478" s="657" t="s">
        <v>504</v>
      </c>
      <c r="C2478" s="656" t="s">
        <v>2994</v>
      </c>
      <c r="D2478" s="657" t="s">
        <v>13789</v>
      </c>
      <c r="E2478" s="657" t="s">
        <v>7439</v>
      </c>
      <c r="F2478" s="656" t="s">
        <v>540</v>
      </c>
      <c r="G2478" s="656" t="s">
        <v>541</v>
      </c>
      <c r="H2478" s="656" t="s">
        <v>540</v>
      </c>
      <c r="I2478" s="656" t="s">
        <v>14976</v>
      </c>
      <c r="J2478" s="656"/>
      <c r="K2478" s="656"/>
      <c r="L2478" s="656"/>
      <c r="M2478" s="657"/>
      <c r="N2478" s="1482"/>
      <c r="O2478" s="656" t="s">
        <v>498</v>
      </c>
      <c r="P2478" s="656" t="s">
        <v>13052</v>
      </c>
      <c r="Q2478" s="656">
        <v>44216.775185185186</v>
      </c>
    </row>
    <row r="2479" spans="1:17">
      <c r="A2479" s="656" t="s">
        <v>2995</v>
      </c>
      <c r="B2479" s="657" t="s">
        <v>504</v>
      </c>
      <c r="C2479" s="656" t="s">
        <v>2996</v>
      </c>
      <c r="D2479" s="657" t="s">
        <v>14977</v>
      </c>
      <c r="E2479" s="657" t="s">
        <v>7439</v>
      </c>
      <c r="F2479" s="656" t="s">
        <v>540</v>
      </c>
      <c r="G2479" s="656" t="s">
        <v>541</v>
      </c>
      <c r="H2479" s="656" t="s">
        <v>540</v>
      </c>
      <c r="I2479" s="656" t="s">
        <v>14976</v>
      </c>
      <c r="J2479" s="656"/>
      <c r="K2479" s="656"/>
      <c r="L2479" s="656"/>
      <c r="M2479" s="657"/>
      <c r="N2479" s="1482"/>
      <c r="O2479" s="656" t="s">
        <v>498</v>
      </c>
      <c r="P2479" s="656" t="s">
        <v>13052</v>
      </c>
      <c r="Q2479" s="656">
        <v>44216.775173611109</v>
      </c>
    </row>
    <row r="2480" spans="1:17">
      <c r="A2480" s="656" t="s">
        <v>2997</v>
      </c>
      <c r="B2480" s="657" t="s">
        <v>504</v>
      </c>
      <c r="C2480" s="656" t="s">
        <v>2998</v>
      </c>
      <c r="D2480" s="657" t="s">
        <v>13789</v>
      </c>
      <c r="E2480" s="657" t="s">
        <v>7439</v>
      </c>
      <c r="F2480" s="656" t="s">
        <v>540</v>
      </c>
      <c r="G2480" s="656" t="s">
        <v>541</v>
      </c>
      <c r="H2480" s="656" t="s">
        <v>540</v>
      </c>
      <c r="I2480" s="656" t="s">
        <v>14976</v>
      </c>
      <c r="J2480" s="656"/>
      <c r="K2480" s="656"/>
      <c r="L2480" s="656"/>
      <c r="M2480" s="657"/>
      <c r="N2480" s="1482"/>
      <c r="O2480" s="656" t="s">
        <v>498</v>
      </c>
      <c r="P2480" s="656" t="s">
        <v>13052</v>
      </c>
      <c r="Q2480" s="656">
        <v>44216.77516203704</v>
      </c>
    </row>
    <row r="2481" spans="1:17">
      <c r="A2481" s="656" t="s">
        <v>2999</v>
      </c>
      <c r="B2481" s="657" t="s">
        <v>504</v>
      </c>
      <c r="C2481" s="656" t="s">
        <v>3000</v>
      </c>
      <c r="D2481" s="657" t="s">
        <v>14977</v>
      </c>
      <c r="E2481" s="657" t="s">
        <v>7439</v>
      </c>
      <c r="F2481" s="656" t="s">
        <v>540</v>
      </c>
      <c r="G2481" s="656" t="s">
        <v>541</v>
      </c>
      <c r="H2481" s="656" t="s">
        <v>540</v>
      </c>
      <c r="I2481" s="656" t="s">
        <v>14976</v>
      </c>
      <c r="J2481" s="656"/>
      <c r="K2481" s="656"/>
      <c r="L2481" s="656"/>
      <c r="M2481" s="657"/>
      <c r="N2481" s="1482"/>
      <c r="O2481" s="656" t="s">
        <v>498</v>
      </c>
      <c r="P2481" s="656" t="s">
        <v>13052</v>
      </c>
      <c r="Q2481" s="656">
        <v>44216.77516203704</v>
      </c>
    </row>
    <row r="2482" spans="1:17">
      <c r="A2482" s="656" t="s">
        <v>3001</v>
      </c>
      <c r="B2482" s="657" t="s">
        <v>504</v>
      </c>
      <c r="C2482" s="656" t="s">
        <v>3002</v>
      </c>
      <c r="D2482" s="657" t="s">
        <v>14977</v>
      </c>
      <c r="E2482" s="657" t="s">
        <v>7439</v>
      </c>
      <c r="F2482" s="656" t="s">
        <v>540</v>
      </c>
      <c r="G2482" s="656" t="s">
        <v>541</v>
      </c>
      <c r="H2482" s="656" t="s">
        <v>540</v>
      </c>
      <c r="I2482" s="656" t="s">
        <v>14976</v>
      </c>
      <c r="J2482" s="656"/>
      <c r="K2482" s="656"/>
      <c r="L2482" s="656"/>
      <c r="M2482" s="657"/>
      <c r="N2482" s="1482"/>
      <c r="O2482" s="656" t="s">
        <v>498</v>
      </c>
      <c r="P2482" s="656" t="s">
        <v>13052</v>
      </c>
      <c r="Q2482" s="656">
        <v>44216.775150462963</v>
      </c>
    </row>
    <row r="2483" spans="1:17">
      <c r="A2483" s="656" t="s">
        <v>3003</v>
      </c>
      <c r="B2483" s="657" t="s">
        <v>504</v>
      </c>
      <c r="C2483" s="656" t="s">
        <v>3004</v>
      </c>
      <c r="D2483" s="657" t="s">
        <v>14977</v>
      </c>
      <c r="E2483" s="657" t="s">
        <v>7439</v>
      </c>
      <c r="F2483" s="656" t="s">
        <v>540</v>
      </c>
      <c r="G2483" s="656" t="s">
        <v>541</v>
      </c>
      <c r="H2483" s="656" t="s">
        <v>540</v>
      </c>
      <c r="I2483" s="656" t="s">
        <v>14976</v>
      </c>
      <c r="J2483" s="656"/>
      <c r="K2483" s="656"/>
      <c r="L2483" s="656"/>
      <c r="M2483" s="657"/>
      <c r="N2483" s="1482"/>
      <c r="O2483" s="656" t="s">
        <v>498</v>
      </c>
      <c r="P2483" s="656" t="s">
        <v>13052</v>
      </c>
      <c r="Q2483" s="656">
        <v>44216.775150462963</v>
      </c>
    </row>
    <row r="2484" spans="1:17">
      <c r="A2484" s="656" t="s">
        <v>3005</v>
      </c>
      <c r="B2484" s="657" t="s">
        <v>504</v>
      </c>
      <c r="C2484" s="656" t="s">
        <v>3006</v>
      </c>
      <c r="D2484" s="657" t="s">
        <v>14977</v>
      </c>
      <c r="E2484" s="657" t="s">
        <v>7439</v>
      </c>
      <c r="F2484" s="656" t="s">
        <v>540</v>
      </c>
      <c r="G2484" s="656" t="s">
        <v>541</v>
      </c>
      <c r="H2484" s="656" t="s">
        <v>540</v>
      </c>
      <c r="I2484" s="656" t="s">
        <v>14976</v>
      </c>
      <c r="J2484" s="656"/>
      <c r="K2484" s="656"/>
      <c r="L2484" s="656"/>
      <c r="M2484" s="657"/>
      <c r="N2484" s="1482"/>
      <c r="O2484" s="656" t="s">
        <v>498</v>
      </c>
      <c r="P2484" s="656" t="s">
        <v>13052</v>
      </c>
      <c r="Q2484" s="656">
        <v>44216.775138888886</v>
      </c>
    </row>
    <row r="2485" spans="1:17">
      <c r="A2485" s="656" t="s">
        <v>3007</v>
      </c>
      <c r="B2485" s="657" t="s">
        <v>504</v>
      </c>
      <c r="C2485" s="656" t="s">
        <v>3008</v>
      </c>
      <c r="D2485" s="657" t="s">
        <v>13789</v>
      </c>
      <c r="E2485" s="657" t="s">
        <v>7439</v>
      </c>
      <c r="F2485" s="656" t="s">
        <v>540</v>
      </c>
      <c r="G2485" s="656" t="s">
        <v>541</v>
      </c>
      <c r="H2485" s="656" t="s">
        <v>540</v>
      </c>
      <c r="I2485" s="656" t="s">
        <v>14976</v>
      </c>
      <c r="J2485" s="656"/>
      <c r="K2485" s="656"/>
      <c r="L2485" s="656"/>
      <c r="M2485" s="657"/>
      <c r="N2485" s="1482"/>
      <c r="O2485" s="656" t="s">
        <v>498</v>
      </c>
      <c r="P2485" s="656" t="s">
        <v>13052</v>
      </c>
      <c r="Q2485" s="656">
        <v>44216.775127314817</v>
      </c>
    </row>
    <row r="2486" spans="1:17">
      <c r="A2486" s="656" t="s">
        <v>3009</v>
      </c>
      <c r="B2486" s="657" t="s">
        <v>504</v>
      </c>
      <c r="C2486" s="656" t="s">
        <v>3010</v>
      </c>
      <c r="D2486" s="657" t="s">
        <v>14978</v>
      </c>
      <c r="E2486" s="657" t="s">
        <v>9654</v>
      </c>
      <c r="F2486" s="656" t="s">
        <v>505</v>
      </c>
      <c r="G2486" s="656" t="s">
        <v>660</v>
      </c>
      <c r="H2486" s="656" t="s">
        <v>505</v>
      </c>
      <c r="I2486" s="656" t="s">
        <v>14976</v>
      </c>
      <c r="J2486" s="656"/>
      <c r="K2486" s="656"/>
      <c r="L2486" s="656" t="s">
        <v>15306</v>
      </c>
      <c r="M2486" s="657"/>
      <c r="N2486" s="1482"/>
      <c r="O2486" s="656" t="s">
        <v>498</v>
      </c>
      <c r="P2486" s="656" t="s">
        <v>13052</v>
      </c>
      <c r="Q2486" s="656">
        <v>44216.775127314817</v>
      </c>
    </row>
    <row r="2487" spans="1:17">
      <c r="A2487" s="656" t="s">
        <v>3011</v>
      </c>
      <c r="B2487" s="657" t="s">
        <v>202</v>
      </c>
      <c r="C2487" s="656" t="s">
        <v>3012</v>
      </c>
      <c r="D2487" s="657" t="s">
        <v>13789</v>
      </c>
      <c r="E2487" s="657" t="s">
        <v>7439</v>
      </c>
      <c r="F2487" s="656" t="s">
        <v>472</v>
      </c>
      <c r="G2487" s="656" t="s">
        <v>1395</v>
      </c>
      <c r="H2487" s="656" t="s">
        <v>472</v>
      </c>
      <c r="I2487" s="656" t="s">
        <v>14976</v>
      </c>
      <c r="J2487" s="656" t="s">
        <v>12368</v>
      </c>
      <c r="K2487" s="656"/>
      <c r="L2487" s="656"/>
      <c r="M2487" s="657"/>
      <c r="N2487" s="1482"/>
      <c r="O2487" s="656" t="s">
        <v>498</v>
      </c>
      <c r="P2487" s="656" t="s">
        <v>13052</v>
      </c>
      <c r="Q2487" s="656">
        <v>44216.77511574074</v>
      </c>
    </row>
    <row r="2488" spans="1:17">
      <c r="A2488" s="656" t="s">
        <v>3013</v>
      </c>
      <c r="B2488" s="657" t="s">
        <v>202</v>
      </c>
      <c r="C2488" s="656" t="s">
        <v>3014</v>
      </c>
      <c r="D2488" s="657" t="s">
        <v>13789</v>
      </c>
      <c r="E2488" s="657" t="s">
        <v>7439</v>
      </c>
      <c r="F2488" s="656" t="s">
        <v>472</v>
      </c>
      <c r="G2488" s="656" t="s">
        <v>1395</v>
      </c>
      <c r="H2488" s="656" t="s">
        <v>472</v>
      </c>
      <c r="I2488" s="656" t="s">
        <v>14976</v>
      </c>
      <c r="J2488" s="656" t="s">
        <v>12368</v>
      </c>
      <c r="K2488" s="656"/>
      <c r="L2488" s="656"/>
      <c r="M2488" s="657"/>
      <c r="N2488" s="1482"/>
      <c r="O2488" s="656" t="s">
        <v>498</v>
      </c>
      <c r="P2488" s="656" t="s">
        <v>13052</v>
      </c>
      <c r="Q2488" s="656">
        <v>44216.775104166663</v>
      </c>
    </row>
    <row r="2489" spans="1:17">
      <c r="A2489" s="656" t="s">
        <v>3015</v>
      </c>
      <c r="B2489" s="657" t="s">
        <v>202</v>
      </c>
      <c r="C2489" s="656" t="s">
        <v>3016</v>
      </c>
      <c r="D2489" s="657" t="s">
        <v>13789</v>
      </c>
      <c r="E2489" s="657" t="s">
        <v>7439</v>
      </c>
      <c r="F2489" s="656" t="s">
        <v>472</v>
      </c>
      <c r="G2489" s="656" t="s">
        <v>1395</v>
      </c>
      <c r="H2489" s="656" t="s">
        <v>472</v>
      </c>
      <c r="I2489" s="656" t="s">
        <v>14976</v>
      </c>
      <c r="J2489" s="656" t="s">
        <v>12368</v>
      </c>
      <c r="K2489" s="656"/>
      <c r="L2489" s="656"/>
      <c r="M2489" s="657"/>
      <c r="N2489" s="1482"/>
      <c r="O2489" s="656" t="s">
        <v>498</v>
      </c>
      <c r="P2489" s="656" t="s">
        <v>13052</v>
      </c>
      <c r="Q2489" s="656">
        <v>44216.77511574074</v>
      </c>
    </row>
    <row r="2490" spans="1:17">
      <c r="A2490" s="656" t="s">
        <v>3017</v>
      </c>
      <c r="B2490" s="657" t="s">
        <v>202</v>
      </c>
      <c r="C2490" s="656" t="s">
        <v>3018</v>
      </c>
      <c r="D2490" s="657" t="s">
        <v>13789</v>
      </c>
      <c r="E2490" s="657" t="s">
        <v>7439</v>
      </c>
      <c r="F2490" s="656" t="s">
        <v>472</v>
      </c>
      <c r="G2490" s="656" t="s">
        <v>1395</v>
      </c>
      <c r="H2490" s="656" t="s">
        <v>472</v>
      </c>
      <c r="I2490" s="656" t="s">
        <v>14976</v>
      </c>
      <c r="J2490" s="656" t="s">
        <v>12368</v>
      </c>
      <c r="K2490" s="656"/>
      <c r="L2490" s="656"/>
      <c r="M2490" s="657"/>
      <c r="N2490" s="1482"/>
      <c r="O2490" s="656" t="s">
        <v>498</v>
      </c>
      <c r="P2490" s="656" t="s">
        <v>13052</v>
      </c>
      <c r="Q2490" s="656">
        <v>44216.775104166663</v>
      </c>
    </row>
    <row r="2491" spans="1:17">
      <c r="A2491" s="656" t="s">
        <v>3019</v>
      </c>
      <c r="B2491" s="657" t="s">
        <v>202</v>
      </c>
      <c r="C2491" s="656" t="s">
        <v>3020</v>
      </c>
      <c r="D2491" s="657" t="s">
        <v>13789</v>
      </c>
      <c r="E2491" s="657" t="s">
        <v>7439</v>
      </c>
      <c r="F2491" s="656" t="s">
        <v>472</v>
      </c>
      <c r="G2491" s="656" t="s">
        <v>1395</v>
      </c>
      <c r="H2491" s="656" t="s">
        <v>472</v>
      </c>
      <c r="I2491" s="656" t="s">
        <v>14976</v>
      </c>
      <c r="J2491" s="656" t="s">
        <v>12368</v>
      </c>
      <c r="K2491" s="656"/>
      <c r="L2491" s="656"/>
      <c r="M2491" s="657"/>
      <c r="N2491" s="1482"/>
      <c r="O2491" s="656" t="s">
        <v>498</v>
      </c>
      <c r="P2491" s="656" t="s">
        <v>13052</v>
      </c>
      <c r="Q2491" s="656">
        <v>44216.775092592594</v>
      </c>
    </row>
    <row r="2492" spans="1:17">
      <c r="A2492" s="656" t="s">
        <v>3021</v>
      </c>
      <c r="B2492" s="657" t="s">
        <v>202</v>
      </c>
      <c r="C2492" s="656" t="s">
        <v>3022</v>
      </c>
      <c r="D2492" s="657" t="s">
        <v>13789</v>
      </c>
      <c r="E2492" s="657" t="s">
        <v>7439</v>
      </c>
      <c r="F2492" s="656" t="s">
        <v>472</v>
      </c>
      <c r="G2492" s="656" t="s">
        <v>1395</v>
      </c>
      <c r="H2492" s="656" t="s">
        <v>472</v>
      </c>
      <c r="I2492" s="656" t="s">
        <v>14976</v>
      </c>
      <c r="J2492" s="656" t="s">
        <v>12368</v>
      </c>
      <c r="K2492" s="656"/>
      <c r="L2492" s="656"/>
      <c r="M2492" s="657"/>
      <c r="N2492" s="1482"/>
      <c r="O2492" s="656" t="s">
        <v>498</v>
      </c>
      <c r="P2492" s="656" t="s">
        <v>13052</v>
      </c>
      <c r="Q2492" s="656">
        <v>44216.775092592594</v>
      </c>
    </row>
    <row r="2493" spans="1:17">
      <c r="A2493" s="656" t="s">
        <v>3023</v>
      </c>
      <c r="B2493" s="657" t="s">
        <v>202</v>
      </c>
      <c r="C2493" s="656" t="s">
        <v>3024</v>
      </c>
      <c r="D2493" s="657" t="s">
        <v>13789</v>
      </c>
      <c r="E2493" s="657" t="s">
        <v>7439</v>
      </c>
      <c r="F2493" s="656" t="s">
        <v>472</v>
      </c>
      <c r="G2493" s="656" t="s">
        <v>1395</v>
      </c>
      <c r="H2493" s="656" t="s">
        <v>472</v>
      </c>
      <c r="I2493" s="656" t="s">
        <v>14976</v>
      </c>
      <c r="J2493" s="656" t="s">
        <v>12368</v>
      </c>
      <c r="K2493" s="656"/>
      <c r="L2493" s="656"/>
      <c r="M2493" s="657"/>
      <c r="N2493" s="1482"/>
      <c r="O2493" s="656" t="s">
        <v>498</v>
      </c>
      <c r="P2493" s="656" t="s">
        <v>13052</v>
      </c>
      <c r="Q2493" s="656">
        <v>44216.775081018517</v>
      </c>
    </row>
    <row r="2494" spans="1:17">
      <c r="A2494" s="656" t="s">
        <v>3025</v>
      </c>
      <c r="B2494" s="657" t="s">
        <v>202</v>
      </c>
      <c r="C2494" s="656" t="s">
        <v>3026</v>
      </c>
      <c r="D2494" s="657" t="s">
        <v>13789</v>
      </c>
      <c r="E2494" s="657" t="s">
        <v>7439</v>
      </c>
      <c r="F2494" s="656" t="s">
        <v>472</v>
      </c>
      <c r="G2494" s="656" t="s">
        <v>1395</v>
      </c>
      <c r="H2494" s="656" t="s">
        <v>472</v>
      </c>
      <c r="I2494" s="656" t="s">
        <v>14976</v>
      </c>
      <c r="J2494" s="656" t="s">
        <v>12368</v>
      </c>
      <c r="K2494" s="656"/>
      <c r="L2494" s="656"/>
      <c r="M2494" s="657"/>
      <c r="N2494" s="1482"/>
      <c r="O2494" s="656" t="s">
        <v>498</v>
      </c>
      <c r="P2494" s="656" t="s">
        <v>13052</v>
      </c>
      <c r="Q2494" s="656">
        <v>44216.775081018517</v>
      </c>
    </row>
    <row r="2495" spans="1:17">
      <c r="A2495" s="656" t="s">
        <v>3027</v>
      </c>
      <c r="B2495" s="657" t="s">
        <v>202</v>
      </c>
      <c r="C2495" s="656" t="s">
        <v>3028</v>
      </c>
      <c r="D2495" s="657" t="s">
        <v>13789</v>
      </c>
      <c r="E2495" s="657" t="s">
        <v>7439</v>
      </c>
      <c r="F2495" s="656" t="s">
        <v>472</v>
      </c>
      <c r="G2495" s="656" t="s">
        <v>1395</v>
      </c>
      <c r="H2495" s="656" t="s">
        <v>472</v>
      </c>
      <c r="I2495" s="656" t="s">
        <v>14976</v>
      </c>
      <c r="J2495" s="656" t="s">
        <v>12368</v>
      </c>
      <c r="K2495" s="656"/>
      <c r="L2495" s="656"/>
      <c r="M2495" s="657"/>
      <c r="N2495" s="1482"/>
      <c r="O2495" s="656" t="s">
        <v>498</v>
      </c>
      <c r="P2495" s="656" t="s">
        <v>13052</v>
      </c>
      <c r="Q2495" s="656">
        <v>44216.775081018517</v>
      </c>
    </row>
    <row r="2496" spans="1:17">
      <c r="A2496" s="656" t="s">
        <v>3029</v>
      </c>
      <c r="B2496" s="657" t="s">
        <v>202</v>
      </c>
      <c r="C2496" s="656" t="s">
        <v>3030</v>
      </c>
      <c r="D2496" s="657" t="s">
        <v>13789</v>
      </c>
      <c r="E2496" s="657" t="s">
        <v>7439</v>
      </c>
      <c r="F2496" s="656" t="s">
        <v>472</v>
      </c>
      <c r="G2496" s="656" t="s">
        <v>519</v>
      </c>
      <c r="H2496" s="656" t="s">
        <v>472</v>
      </c>
      <c r="I2496" s="656" t="s">
        <v>14976</v>
      </c>
      <c r="J2496" s="656" t="s">
        <v>12368</v>
      </c>
      <c r="K2496" s="656" t="s">
        <v>1058</v>
      </c>
      <c r="L2496" s="656"/>
      <c r="M2496" s="657"/>
      <c r="N2496" s="1482"/>
      <c r="O2496" s="656" t="s">
        <v>498</v>
      </c>
      <c r="P2496" s="656" t="s">
        <v>13052</v>
      </c>
      <c r="Q2496" s="656">
        <v>44216.775069444448</v>
      </c>
    </row>
    <row r="2497" spans="1:17">
      <c r="A2497" s="656" t="s">
        <v>3031</v>
      </c>
      <c r="B2497" s="657" t="s">
        <v>202</v>
      </c>
      <c r="C2497" s="656" t="s">
        <v>2994</v>
      </c>
      <c r="D2497" s="657" t="s">
        <v>13789</v>
      </c>
      <c r="E2497" s="657" t="s">
        <v>7439</v>
      </c>
      <c r="F2497" s="656" t="s">
        <v>472</v>
      </c>
      <c r="G2497" s="656" t="s">
        <v>1395</v>
      </c>
      <c r="H2497" s="656" t="s">
        <v>472</v>
      </c>
      <c r="I2497" s="656" t="s">
        <v>14976</v>
      </c>
      <c r="J2497" s="656" t="s">
        <v>12368</v>
      </c>
      <c r="K2497" s="656"/>
      <c r="L2497" s="656"/>
      <c r="M2497" s="657"/>
      <c r="N2497" s="1482"/>
      <c r="O2497" s="656" t="s">
        <v>498</v>
      </c>
      <c r="P2497" s="656" t="s">
        <v>13052</v>
      </c>
      <c r="Q2497" s="656">
        <v>44216.775069444448</v>
      </c>
    </row>
    <row r="2498" spans="1:17">
      <c r="A2498" s="656" t="s">
        <v>3032</v>
      </c>
      <c r="B2498" s="657" t="s">
        <v>202</v>
      </c>
      <c r="C2498" s="656" t="s">
        <v>3033</v>
      </c>
      <c r="D2498" s="657" t="s">
        <v>13789</v>
      </c>
      <c r="E2498" s="657" t="s">
        <v>7439</v>
      </c>
      <c r="F2498" s="656" t="s">
        <v>472</v>
      </c>
      <c r="G2498" s="656" t="s">
        <v>519</v>
      </c>
      <c r="H2498" s="656" t="s">
        <v>472</v>
      </c>
      <c r="I2498" s="656" t="s">
        <v>14976</v>
      </c>
      <c r="J2498" s="656" t="s">
        <v>12368</v>
      </c>
      <c r="K2498" s="656" t="s">
        <v>1058</v>
      </c>
      <c r="L2498" s="656"/>
      <c r="M2498" s="657"/>
      <c r="N2498" s="1482"/>
      <c r="O2498" s="656" t="s">
        <v>498</v>
      </c>
      <c r="P2498" s="656" t="s">
        <v>13052</v>
      </c>
      <c r="Q2498" s="656">
        <v>44216.775057870371</v>
      </c>
    </row>
    <row r="2499" spans="1:17">
      <c r="A2499" s="656" t="s">
        <v>3034</v>
      </c>
      <c r="B2499" s="657" t="s">
        <v>202</v>
      </c>
      <c r="C2499" s="656" t="s">
        <v>3035</v>
      </c>
      <c r="D2499" s="657" t="s">
        <v>13789</v>
      </c>
      <c r="E2499" s="657" t="s">
        <v>9654</v>
      </c>
      <c r="F2499" s="656" t="s">
        <v>472</v>
      </c>
      <c r="G2499" s="656" t="s">
        <v>1395</v>
      </c>
      <c r="H2499" s="656" t="s">
        <v>472</v>
      </c>
      <c r="I2499" s="656" t="s">
        <v>15280</v>
      </c>
      <c r="J2499" s="656" t="s">
        <v>12368</v>
      </c>
      <c r="K2499" s="656"/>
      <c r="L2499" s="656"/>
      <c r="M2499" s="657"/>
      <c r="N2499" s="1482"/>
      <c r="O2499" s="656" t="s">
        <v>498</v>
      </c>
      <c r="P2499" s="656" t="s">
        <v>13052</v>
      </c>
      <c r="Q2499" s="656">
        <v>44216.775057870371</v>
      </c>
    </row>
    <row r="2500" spans="1:17">
      <c r="A2500" s="656" t="s">
        <v>3036</v>
      </c>
      <c r="B2500" s="657" t="s">
        <v>202</v>
      </c>
      <c r="C2500" s="656" t="s">
        <v>11565</v>
      </c>
      <c r="D2500" s="657" t="s">
        <v>13789</v>
      </c>
      <c r="E2500" s="657" t="s">
        <v>9458</v>
      </c>
      <c r="F2500" s="656" t="s">
        <v>3077</v>
      </c>
      <c r="G2500" s="656"/>
      <c r="H2500" s="656" t="s">
        <v>465</v>
      </c>
      <c r="I2500" s="656" t="s">
        <v>14976</v>
      </c>
      <c r="J2500" s="656" t="s">
        <v>446</v>
      </c>
      <c r="K2500" s="656"/>
      <c r="L2500" s="656"/>
      <c r="M2500" s="657"/>
      <c r="N2500" s="1482"/>
      <c r="O2500" s="656" t="s">
        <v>498</v>
      </c>
      <c r="P2500" s="656" t="s">
        <v>13052</v>
      </c>
      <c r="Q2500" s="656">
        <v>44216.775057870371</v>
      </c>
    </row>
    <row r="2501" spans="1:17">
      <c r="A2501" s="656" t="s">
        <v>3038</v>
      </c>
      <c r="B2501" s="657" t="s">
        <v>202</v>
      </c>
      <c r="C2501" s="656" t="s">
        <v>3039</v>
      </c>
      <c r="D2501" s="657" t="s">
        <v>13789</v>
      </c>
      <c r="E2501" s="657" t="s">
        <v>9458</v>
      </c>
      <c r="F2501" s="656" t="s">
        <v>462</v>
      </c>
      <c r="G2501" s="656"/>
      <c r="H2501" s="656" t="s">
        <v>462</v>
      </c>
      <c r="I2501" s="656" t="s">
        <v>14976</v>
      </c>
      <c r="J2501" s="656" t="s">
        <v>463</v>
      </c>
      <c r="K2501" s="656"/>
      <c r="L2501" s="656"/>
      <c r="M2501" s="657"/>
      <c r="N2501" s="1482"/>
      <c r="O2501" s="656" t="s">
        <v>498</v>
      </c>
      <c r="P2501" s="656" t="s">
        <v>13052</v>
      </c>
      <c r="Q2501" s="656">
        <v>44216.775046296294</v>
      </c>
    </row>
    <row r="2502" spans="1:17">
      <c r="A2502" s="656" t="s">
        <v>3040</v>
      </c>
      <c r="B2502" s="657" t="s">
        <v>202</v>
      </c>
      <c r="C2502" s="656" t="s">
        <v>3041</v>
      </c>
      <c r="D2502" s="657" t="s">
        <v>13789</v>
      </c>
      <c r="E2502" s="657" t="s">
        <v>9458</v>
      </c>
      <c r="F2502" s="656" t="s">
        <v>1300</v>
      </c>
      <c r="G2502" s="656" t="s">
        <v>1301</v>
      </c>
      <c r="H2502" s="656" t="s">
        <v>1300</v>
      </c>
      <c r="I2502" s="656" t="s">
        <v>14976</v>
      </c>
      <c r="J2502" s="656"/>
      <c r="K2502" s="656"/>
      <c r="L2502" s="656"/>
      <c r="M2502" s="657"/>
      <c r="N2502" s="1482"/>
      <c r="O2502" s="656" t="s">
        <v>498</v>
      </c>
      <c r="P2502" s="656" t="s">
        <v>13052</v>
      </c>
      <c r="Q2502" s="656">
        <v>44216.775046296294</v>
      </c>
    </row>
    <row r="2503" spans="1:17">
      <c r="A2503" s="656" t="s">
        <v>3042</v>
      </c>
      <c r="B2503" s="657" t="s">
        <v>202</v>
      </c>
      <c r="C2503" s="656" t="s">
        <v>3043</v>
      </c>
      <c r="D2503" s="657" t="s">
        <v>13789</v>
      </c>
      <c r="E2503" s="657" t="s">
        <v>9458</v>
      </c>
      <c r="F2503" s="656" t="s">
        <v>1300</v>
      </c>
      <c r="G2503" s="656" t="s">
        <v>1301</v>
      </c>
      <c r="H2503" s="656" t="s">
        <v>1300</v>
      </c>
      <c r="I2503" s="656" t="s">
        <v>14976</v>
      </c>
      <c r="J2503" s="656"/>
      <c r="K2503" s="656"/>
      <c r="L2503" s="656"/>
      <c r="M2503" s="657"/>
      <c r="N2503" s="1482"/>
      <c r="O2503" s="656" t="s">
        <v>498</v>
      </c>
      <c r="P2503" s="656" t="s">
        <v>13052</v>
      </c>
      <c r="Q2503" s="656">
        <v>44216.775034722225</v>
      </c>
    </row>
    <row r="2504" spans="1:17">
      <c r="A2504" s="656" t="s">
        <v>3044</v>
      </c>
      <c r="B2504" s="657" t="s">
        <v>202</v>
      </c>
      <c r="C2504" s="656" t="s">
        <v>3045</v>
      </c>
      <c r="D2504" s="657" t="s">
        <v>13789</v>
      </c>
      <c r="E2504" s="657" t="s">
        <v>9458</v>
      </c>
      <c r="F2504" s="656" t="s">
        <v>4052</v>
      </c>
      <c r="G2504" s="656" t="s">
        <v>512</v>
      </c>
      <c r="H2504" s="656" t="s">
        <v>455</v>
      </c>
      <c r="I2504" s="656" t="s">
        <v>14976</v>
      </c>
      <c r="J2504" s="656" t="s">
        <v>451</v>
      </c>
      <c r="K2504" s="656" t="s">
        <v>4052</v>
      </c>
      <c r="L2504" s="656"/>
      <c r="M2504" s="657"/>
      <c r="N2504" s="1482"/>
      <c r="O2504" s="656" t="s">
        <v>498</v>
      </c>
      <c r="P2504" s="656" t="s">
        <v>13052</v>
      </c>
      <c r="Q2504" s="656">
        <v>44216.775034722225</v>
      </c>
    </row>
    <row r="2505" spans="1:17">
      <c r="A2505" s="656" t="s">
        <v>3046</v>
      </c>
      <c r="B2505" s="657" t="s">
        <v>202</v>
      </c>
      <c r="C2505" s="656" t="s">
        <v>3047</v>
      </c>
      <c r="D2505" s="657" t="s">
        <v>13789</v>
      </c>
      <c r="E2505" s="657" t="s">
        <v>9458</v>
      </c>
      <c r="F2505" s="656" t="s">
        <v>500</v>
      </c>
      <c r="G2505" s="656" t="s">
        <v>500</v>
      </c>
      <c r="H2505" s="656" t="s">
        <v>500</v>
      </c>
      <c r="I2505" s="656" t="s">
        <v>14976</v>
      </c>
      <c r="J2505" s="656"/>
      <c r="K2505" s="656"/>
      <c r="L2505" s="656"/>
      <c r="M2505" s="657"/>
      <c r="N2505" s="1482"/>
      <c r="O2505" s="656" t="s">
        <v>498</v>
      </c>
      <c r="P2505" s="656" t="s">
        <v>13052</v>
      </c>
      <c r="Q2505" s="656">
        <v>44216.775023148148</v>
      </c>
    </row>
    <row r="2506" spans="1:17">
      <c r="A2506" s="656" t="s">
        <v>3048</v>
      </c>
      <c r="B2506" s="657" t="s">
        <v>202</v>
      </c>
      <c r="C2506" s="656" t="s">
        <v>3049</v>
      </c>
      <c r="D2506" s="657" t="s">
        <v>14978</v>
      </c>
      <c r="E2506" s="657" t="s">
        <v>9510</v>
      </c>
      <c r="F2506" s="656" t="s">
        <v>783</v>
      </c>
      <c r="G2506" s="656" t="s">
        <v>783</v>
      </c>
      <c r="H2506" s="656" t="s">
        <v>783</v>
      </c>
      <c r="I2506" s="656" t="s">
        <v>14976</v>
      </c>
      <c r="J2506" s="656"/>
      <c r="K2506" s="656"/>
      <c r="L2506" s="656" t="s">
        <v>3050</v>
      </c>
      <c r="M2506" s="657"/>
      <c r="N2506" s="1482"/>
      <c r="O2506" s="656" t="s">
        <v>498</v>
      </c>
      <c r="P2506" s="656" t="s">
        <v>13052</v>
      </c>
      <c r="Q2506" s="656">
        <v>44216.775011574071</v>
      </c>
    </row>
    <row r="2507" spans="1:17">
      <c r="A2507" s="656" t="s">
        <v>3050</v>
      </c>
      <c r="B2507" s="657" t="s">
        <v>202</v>
      </c>
      <c r="C2507" s="656" t="s">
        <v>3051</v>
      </c>
      <c r="D2507" s="657" t="s">
        <v>13789</v>
      </c>
      <c r="E2507" s="657" t="s">
        <v>9510</v>
      </c>
      <c r="F2507" s="656" t="s">
        <v>4052</v>
      </c>
      <c r="G2507" s="656" t="s">
        <v>512</v>
      </c>
      <c r="H2507" s="656" t="s">
        <v>455</v>
      </c>
      <c r="I2507" s="656" t="s">
        <v>14976</v>
      </c>
      <c r="J2507" s="656" t="s">
        <v>451</v>
      </c>
      <c r="K2507" s="656" t="s">
        <v>4052</v>
      </c>
      <c r="L2507" s="656"/>
      <c r="M2507" s="657"/>
      <c r="N2507" s="1482"/>
      <c r="O2507" s="656" t="s">
        <v>498</v>
      </c>
      <c r="P2507" s="656" t="s">
        <v>13052</v>
      </c>
      <c r="Q2507" s="656">
        <v>44216.775011574071</v>
      </c>
    </row>
    <row r="2508" spans="1:17">
      <c r="A2508" s="656" t="s">
        <v>3052</v>
      </c>
      <c r="B2508" s="657" t="s">
        <v>202</v>
      </c>
      <c r="C2508" s="656" t="s">
        <v>3053</v>
      </c>
      <c r="D2508" s="657" t="s">
        <v>13789</v>
      </c>
      <c r="E2508" s="657" t="s">
        <v>9458</v>
      </c>
      <c r="F2508" s="656" t="s">
        <v>3077</v>
      </c>
      <c r="G2508" s="656"/>
      <c r="H2508" s="656" t="s">
        <v>465</v>
      </c>
      <c r="I2508" s="656" t="s">
        <v>14976</v>
      </c>
      <c r="J2508" s="656" t="s">
        <v>446</v>
      </c>
      <c r="K2508" s="656"/>
      <c r="L2508" s="656"/>
      <c r="M2508" s="657"/>
      <c r="N2508" s="1482"/>
      <c r="O2508" s="656" t="s">
        <v>498</v>
      </c>
      <c r="P2508" s="656" t="s">
        <v>13052</v>
      </c>
      <c r="Q2508" s="656">
        <v>44216.775000000001</v>
      </c>
    </row>
    <row r="2509" spans="1:17">
      <c r="A2509" s="656" t="s">
        <v>3054</v>
      </c>
      <c r="B2509" s="657" t="s">
        <v>202</v>
      </c>
      <c r="C2509" s="656" t="s">
        <v>2366</v>
      </c>
      <c r="D2509" s="657" t="s">
        <v>13789</v>
      </c>
      <c r="E2509" s="657" t="s">
        <v>9458</v>
      </c>
      <c r="F2509" s="656" t="s">
        <v>783</v>
      </c>
      <c r="G2509" s="656" t="s">
        <v>783</v>
      </c>
      <c r="H2509" s="656" t="s">
        <v>783</v>
      </c>
      <c r="I2509" s="656" t="s">
        <v>14976</v>
      </c>
      <c r="J2509" s="656"/>
      <c r="K2509" s="656"/>
      <c r="L2509" s="656"/>
      <c r="M2509" s="657"/>
      <c r="N2509" s="1482"/>
      <c r="O2509" s="656" t="s">
        <v>498</v>
      </c>
      <c r="P2509" s="656" t="s">
        <v>13052</v>
      </c>
      <c r="Q2509" s="656">
        <v>44216.775000000001</v>
      </c>
    </row>
    <row r="2510" spans="1:17">
      <c r="A2510" s="656" t="s">
        <v>3055</v>
      </c>
      <c r="B2510" s="657" t="s">
        <v>202</v>
      </c>
      <c r="C2510" s="656" t="s">
        <v>3056</v>
      </c>
      <c r="D2510" s="657" t="s">
        <v>13789</v>
      </c>
      <c r="E2510" s="657" t="s">
        <v>9458</v>
      </c>
      <c r="F2510" s="656" t="s">
        <v>462</v>
      </c>
      <c r="G2510" s="656" t="s">
        <v>2849</v>
      </c>
      <c r="H2510" s="656" t="s">
        <v>462</v>
      </c>
      <c r="I2510" s="656" t="s">
        <v>14976</v>
      </c>
      <c r="J2510" s="656" t="s">
        <v>463</v>
      </c>
      <c r="K2510" s="656"/>
      <c r="L2510" s="656"/>
      <c r="M2510" s="657"/>
      <c r="N2510" s="1482"/>
      <c r="O2510" s="656" t="s">
        <v>498</v>
      </c>
      <c r="P2510" s="656" t="s">
        <v>13052</v>
      </c>
      <c r="Q2510" s="656">
        <v>44216.774988425925</v>
      </c>
    </row>
    <row r="2511" spans="1:17">
      <c r="A2511" s="656" t="s">
        <v>3057</v>
      </c>
      <c r="B2511" s="657" t="s">
        <v>202</v>
      </c>
      <c r="C2511" s="656" t="s">
        <v>3058</v>
      </c>
      <c r="D2511" s="657" t="s">
        <v>1239</v>
      </c>
      <c r="E2511" s="657" t="s">
        <v>9458</v>
      </c>
      <c r="F2511" s="656" t="s">
        <v>537</v>
      </c>
      <c r="G2511" s="656"/>
      <c r="H2511" s="656" t="s">
        <v>450</v>
      </c>
      <c r="I2511" s="656" t="s">
        <v>14976</v>
      </c>
      <c r="J2511" s="656" t="s">
        <v>473</v>
      </c>
      <c r="K2511" s="656"/>
      <c r="L2511" s="656"/>
      <c r="M2511" s="657"/>
      <c r="N2511" s="1482"/>
      <c r="O2511" s="656" t="s">
        <v>498</v>
      </c>
      <c r="P2511" s="656" t="s">
        <v>13052</v>
      </c>
      <c r="Q2511" s="656">
        <v>44216.774976851855</v>
      </c>
    </row>
    <row r="2512" spans="1:17">
      <c r="A2512" s="656" t="s">
        <v>3059</v>
      </c>
      <c r="B2512" s="657" t="s">
        <v>531</v>
      </c>
      <c r="C2512" s="656" t="s">
        <v>3060</v>
      </c>
      <c r="D2512" s="657" t="s">
        <v>13789</v>
      </c>
      <c r="E2512" s="657" t="s">
        <v>9654</v>
      </c>
      <c r="F2512" s="656" t="s">
        <v>472</v>
      </c>
      <c r="G2512" s="656" t="s">
        <v>1391</v>
      </c>
      <c r="H2512" s="656" t="s">
        <v>472</v>
      </c>
      <c r="I2512" s="656" t="s">
        <v>14976</v>
      </c>
      <c r="J2512" s="656" t="s">
        <v>12368</v>
      </c>
      <c r="K2512" s="656"/>
      <c r="L2512" s="656"/>
      <c r="M2512" s="657"/>
      <c r="N2512" s="1482"/>
      <c r="O2512" s="656" t="s">
        <v>498</v>
      </c>
      <c r="P2512" s="656" t="s">
        <v>13052</v>
      </c>
      <c r="Q2512" s="656">
        <v>44216.774976851855</v>
      </c>
    </row>
    <row r="2513" spans="1:17">
      <c r="A2513" s="656" t="s">
        <v>3061</v>
      </c>
      <c r="B2513" s="657" t="s">
        <v>531</v>
      </c>
      <c r="C2513" s="656" t="s">
        <v>3062</v>
      </c>
      <c r="D2513" s="657" t="s">
        <v>13789</v>
      </c>
      <c r="E2513" s="657" t="s">
        <v>9654</v>
      </c>
      <c r="F2513" s="656" t="s">
        <v>472</v>
      </c>
      <c r="G2513" s="656" t="s">
        <v>1391</v>
      </c>
      <c r="H2513" s="656" t="s">
        <v>472</v>
      </c>
      <c r="I2513" s="656" t="s">
        <v>14976</v>
      </c>
      <c r="J2513" s="656" t="s">
        <v>12368</v>
      </c>
      <c r="K2513" s="656"/>
      <c r="L2513" s="656"/>
      <c r="M2513" s="657"/>
      <c r="N2513" s="1482"/>
      <c r="O2513" s="656" t="s">
        <v>498</v>
      </c>
      <c r="P2513" s="656" t="s">
        <v>13052</v>
      </c>
      <c r="Q2513" s="656">
        <v>44216.774965277778</v>
      </c>
    </row>
    <row r="2514" spans="1:17">
      <c r="A2514" s="656" t="s">
        <v>3063</v>
      </c>
      <c r="B2514" s="657" t="s">
        <v>504</v>
      </c>
      <c r="C2514" s="656" t="s">
        <v>3064</v>
      </c>
      <c r="D2514" s="657" t="s">
        <v>14977</v>
      </c>
      <c r="E2514" s="657" t="s">
        <v>9654</v>
      </c>
      <c r="F2514" s="656" t="s">
        <v>505</v>
      </c>
      <c r="G2514" s="656" t="s">
        <v>525</v>
      </c>
      <c r="H2514" s="656" t="s">
        <v>505</v>
      </c>
      <c r="I2514" s="656" t="s">
        <v>14976</v>
      </c>
      <c r="J2514" s="656"/>
      <c r="K2514" s="656"/>
      <c r="L2514" s="656"/>
      <c r="M2514" s="657"/>
      <c r="N2514" s="1482"/>
      <c r="O2514" s="656" t="s">
        <v>498</v>
      </c>
      <c r="P2514" s="656" t="s">
        <v>13052</v>
      </c>
      <c r="Q2514" s="656">
        <v>44216.774965277778</v>
      </c>
    </row>
    <row r="2515" spans="1:17">
      <c r="A2515" s="656" t="s">
        <v>3065</v>
      </c>
      <c r="B2515" s="657" t="s">
        <v>202</v>
      </c>
      <c r="C2515" s="656" t="s">
        <v>3066</v>
      </c>
      <c r="D2515" s="657" t="s">
        <v>13789</v>
      </c>
      <c r="E2515" s="657" t="s">
        <v>7439</v>
      </c>
      <c r="F2515" s="656" t="s">
        <v>4052</v>
      </c>
      <c r="G2515" s="656"/>
      <c r="H2515" s="656" t="s">
        <v>455</v>
      </c>
      <c r="I2515" s="656" t="s">
        <v>14976</v>
      </c>
      <c r="J2515" s="656" t="s">
        <v>451</v>
      </c>
      <c r="K2515" s="656"/>
      <c r="L2515" s="656"/>
      <c r="M2515" s="657"/>
      <c r="N2515" s="1482"/>
      <c r="O2515" s="656" t="s">
        <v>498</v>
      </c>
      <c r="P2515" s="656" t="s">
        <v>13052</v>
      </c>
      <c r="Q2515" s="656">
        <v>44216.774965277778</v>
      </c>
    </row>
    <row r="2516" spans="1:17">
      <c r="A2516" s="656" t="s">
        <v>3067</v>
      </c>
      <c r="B2516" s="657" t="s">
        <v>202</v>
      </c>
      <c r="C2516" s="656" t="s">
        <v>3068</v>
      </c>
      <c r="D2516" s="657" t="s">
        <v>13789</v>
      </c>
      <c r="E2516" s="657" t="s">
        <v>9458</v>
      </c>
      <c r="F2516" s="656" t="s">
        <v>500</v>
      </c>
      <c r="G2516" s="656" t="s">
        <v>500</v>
      </c>
      <c r="H2516" s="656" t="s">
        <v>500</v>
      </c>
      <c r="I2516" s="656" t="s">
        <v>14976</v>
      </c>
      <c r="J2516" s="656"/>
      <c r="K2516" s="656"/>
      <c r="L2516" s="656"/>
      <c r="M2516" s="657"/>
      <c r="N2516" s="1482"/>
      <c r="O2516" s="656" t="s">
        <v>498</v>
      </c>
      <c r="P2516" s="656" t="s">
        <v>13052</v>
      </c>
      <c r="Q2516" s="656">
        <v>44216.774953703702</v>
      </c>
    </row>
    <row r="2517" spans="1:17">
      <c r="A2517" s="656" t="s">
        <v>3069</v>
      </c>
      <c r="B2517" s="657" t="s">
        <v>202</v>
      </c>
      <c r="C2517" s="656" t="s">
        <v>3070</v>
      </c>
      <c r="D2517" s="657" t="s">
        <v>13789</v>
      </c>
      <c r="E2517" s="657" t="s">
        <v>9458</v>
      </c>
      <c r="F2517" s="656" t="s">
        <v>500</v>
      </c>
      <c r="G2517" s="656" t="s">
        <v>500</v>
      </c>
      <c r="H2517" s="656" t="s">
        <v>500</v>
      </c>
      <c r="I2517" s="656" t="s">
        <v>14976</v>
      </c>
      <c r="J2517" s="656"/>
      <c r="K2517" s="656"/>
      <c r="L2517" s="656"/>
      <c r="M2517" s="657"/>
      <c r="N2517" s="1482"/>
      <c r="O2517" s="656" t="s">
        <v>498</v>
      </c>
      <c r="P2517" s="656" t="s">
        <v>13052</v>
      </c>
      <c r="Q2517" s="656">
        <v>44216.774953703702</v>
      </c>
    </row>
    <row r="2518" spans="1:17">
      <c r="A2518" s="656" t="s">
        <v>3071</v>
      </c>
      <c r="B2518" s="657" t="s">
        <v>202</v>
      </c>
      <c r="C2518" s="656" t="s">
        <v>3072</v>
      </c>
      <c r="D2518" s="657" t="s">
        <v>13789</v>
      </c>
      <c r="E2518" s="657" t="s">
        <v>9458</v>
      </c>
      <c r="F2518" s="656" t="s">
        <v>500</v>
      </c>
      <c r="G2518" s="656" t="s">
        <v>500</v>
      </c>
      <c r="H2518" s="656" t="s">
        <v>500</v>
      </c>
      <c r="I2518" s="656" t="s">
        <v>14976</v>
      </c>
      <c r="J2518" s="656"/>
      <c r="K2518" s="656"/>
      <c r="L2518" s="656"/>
      <c r="M2518" s="657"/>
      <c r="N2518" s="1482"/>
      <c r="O2518" s="656" t="s">
        <v>498</v>
      </c>
      <c r="P2518" s="656" t="s">
        <v>13052</v>
      </c>
      <c r="Q2518" s="656">
        <v>44216.774942129632</v>
      </c>
    </row>
    <row r="2519" spans="1:17">
      <c r="A2519" s="656" t="s">
        <v>3073</v>
      </c>
      <c r="B2519" s="657" t="s">
        <v>202</v>
      </c>
      <c r="C2519" s="656" t="s">
        <v>3074</v>
      </c>
      <c r="D2519" s="657" t="s">
        <v>13789</v>
      </c>
      <c r="E2519" s="657" t="s">
        <v>7439</v>
      </c>
      <c r="F2519" s="656" t="s">
        <v>1050</v>
      </c>
      <c r="G2519" s="656" t="s">
        <v>1078</v>
      </c>
      <c r="H2519" s="656" t="s">
        <v>1050</v>
      </c>
      <c r="I2519" s="656" t="s">
        <v>14976</v>
      </c>
      <c r="J2519" s="656"/>
      <c r="K2519" s="656"/>
      <c r="L2519" s="656"/>
      <c r="M2519" s="657"/>
      <c r="N2519" s="1482"/>
      <c r="O2519" s="656" t="s">
        <v>498</v>
      </c>
      <c r="P2519" s="656" t="s">
        <v>13052</v>
      </c>
      <c r="Q2519" s="656">
        <v>44216.774942129632</v>
      </c>
    </row>
    <row r="2520" spans="1:17">
      <c r="A2520" s="656" t="s">
        <v>3075</v>
      </c>
      <c r="B2520" s="657" t="s">
        <v>202</v>
      </c>
      <c r="C2520" s="656" t="s">
        <v>3076</v>
      </c>
      <c r="D2520" s="657" t="s">
        <v>13789</v>
      </c>
      <c r="E2520" s="657" t="s">
        <v>9458</v>
      </c>
      <c r="F2520" s="656" t="s">
        <v>3077</v>
      </c>
      <c r="G2520" s="656" t="s">
        <v>3077</v>
      </c>
      <c r="H2520" s="656" t="s">
        <v>465</v>
      </c>
      <c r="I2520" s="656" t="s">
        <v>14976</v>
      </c>
      <c r="J2520" s="656" t="s">
        <v>446</v>
      </c>
      <c r="K2520" s="656"/>
      <c r="L2520" s="656"/>
      <c r="M2520" s="657"/>
      <c r="N2520" s="1482"/>
      <c r="O2520" s="656" t="s">
        <v>498</v>
      </c>
      <c r="P2520" s="656" t="s">
        <v>13052</v>
      </c>
      <c r="Q2520" s="656">
        <v>44216.774930555555</v>
      </c>
    </row>
    <row r="2521" spans="1:17">
      <c r="A2521" s="656" t="s">
        <v>3078</v>
      </c>
      <c r="B2521" s="657" t="s">
        <v>202</v>
      </c>
      <c r="C2521" s="656" t="s">
        <v>13728</v>
      </c>
      <c r="D2521" s="657" t="s">
        <v>13789</v>
      </c>
      <c r="E2521" s="657" t="s">
        <v>9458</v>
      </c>
      <c r="F2521" s="656" t="s">
        <v>1667</v>
      </c>
      <c r="G2521" s="656" t="s">
        <v>2511</v>
      </c>
      <c r="H2521" s="656" t="s">
        <v>1667</v>
      </c>
      <c r="I2521" s="656" t="s">
        <v>15280</v>
      </c>
      <c r="J2521" s="656"/>
      <c r="K2521" s="656"/>
      <c r="L2521" s="656"/>
      <c r="M2521" s="657"/>
      <c r="N2521" s="1482"/>
      <c r="O2521" s="656" t="s">
        <v>498</v>
      </c>
      <c r="P2521" s="656" t="s">
        <v>13052</v>
      </c>
      <c r="Q2521" s="656">
        <v>44216.774930555555</v>
      </c>
    </row>
    <row r="2522" spans="1:17">
      <c r="A2522" s="656" t="s">
        <v>3079</v>
      </c>
      <c r="B2522" s="657" t="s">
        <v>202</v>
      </c>
      <c r="C2522" s="656" t="s">
        <v>13727</v>
      </c>
      <c r="D2522" s="657" t="s">
        <v>13789</v>
      </c>
      <c r="E2522" s="657" t="s">
        <v>9458</v>
      </c>
      <c r="F2522" s="656" t="s">
        <v>1667</v>
      </c>
      <c r="G2522" s="656" t="s">
        <v>2511</v>
      </c>
      <c r="H2522" s="656" t="s">
        <v>1667</v>
      </c>
      <c r="I2522" s="656" t="s">
        <v>14976</v>
      </c>
      <c r="J2522" s="656"/>
      <c r="K2522" s="656"/>
      <c r="L2522" s="656"/>
      <c r="M2522" s="657"/>
      <c r="N2522" s="1482"/>
      <c r="O2522" s="656" t="s">
        <v>498</v>
      </c>
      <c r="P2522" s="656" t="s">
        <v>13052</v>
      </c>
      <c r="Q2522" s="656">
        <v>44216.774918981479</v>
      </c>
    </row>
    <row r="2523" spans="1:17">
      <c r="A2523" s="656" t="s">
        <v>3080</v>
      </c>
      <c r="B2523" s="657" t="s">
        <v>202</v>
      </c>
      <c r="C2523" s="656" t="s">
        <v>3081</v>
      </c>
      <c r="D2523" s="657" t="s">
        <v>13789</v>
      </c>
      <c r="E2523" s="657" t="s">
        <v>9458</v>
      </c>
      <c r="F2523" s="656" t="s">
        <v>1667</v>
      </c>
      <c r="G2523" s="656" t="s">
        <v>2511</v>
      </c>
      <c r="H2523" s="656" t="s">
        <v>1667</v>
      </c>
      <c r="I2523" s="656" t="s">
        <v>14976</v>
      </c>
      <c r="J2523" s="656" t="s">
        <v>451</v>
      </c>
      <c r="K2523" s="656"/>
      <c r="L2523" s="656"/>
      <c r="M2523" s="657"/>
      <c r="N2523" s="1482"/>
      <c r="O2523" s="656" t="s">
        <v>498</v>
      </c>
      <c r="P2523" s="656" t="s">
        <v>13052</v>
      </c>
      <c r="Q2523" s="656">
        <v>44216.774918981479</v>
      </c>
    </row>
    <row r="2524" spans="1:17">
      <c r="A2524" s="656" t="s">
        <v>3082</v>
      </c>
      <c r="B2524" s="657" t="s">
        <v>202</v>
      </c>
      <c r="C2524" s="656" t="s">
        <v>3083</v>
      </c>
      <c r="D2524" s="657" t="s">
        <v>13789</v>
      </c>
      <c r="E2524" s="657" t="s">
        <v>7439</v>
      </c>
      <c r="F2524" s="656" t="s">
        <v>462</v>
      </c>
      <c r="G2524" s="656"/>
      <c r="H2524" s="656" t="s">
        <v>462</v>
      </c>
      <c r="I2524" s="656" t="s">
        <v>15280</v>
      </c>
      <c r="J2524" s="656" t="s">
        <v>463</v>
      </c>
      <c r="K2524" s="656"/>
      <c r="L2524" s="656"/>
      <c r="M2524" s="657"/>
      <c r="N2524" s="1482"/>
      <c r="O2524" s="656" t="s">
        <v>498</v>
      </c>
      <c r="P2524" s="656" t="s">
        <v>13052</v>
      </c>
      <c r="Q2524" s="656">
        <v>44216.774907407409</v>
      </c>
    </row>
    <row r="2525" spans="1:17">
      <c r="A2525" s="656" t="s">
        <v>3084</v>
      </c>
      <c r="B2525" s="657" t="s">
        <v>202</v>
      </c>
      <c r="C2525" s="656" t="s">
        <v>3085</v>
      </c>
      <c r="D2525" s="657" t="s">
        <v>13789</v>
      </c>
      <c r="E2525" s="657" t="s">
        <v>9458</v>
      </c>
      <c r="F2525" s="656" t="s">
        <v>1050</v>
      </c>
      <c r="G2525" s="656" t="s">
        <v>1078</v>
      </c>
      <c r="H2525" s="656" t="s">
        <v>1050</v>
      </c>
      <c r="I2525" s="656" t="s">
        <v>14976</v>
      </c>
      <c r="J2525" s="656"/>
      <c r="K2525" s="656"/>
      <c r="L2525" s="656"/>
      <c r="M2525" s="657"/>
      <c r="N2525" s="1482"/>
      <c r="O2525" s="656" t="s">
        <v>498</v>
      </c>
      <c r="P2525" s="656" t="s">
        <v>13052</v>
      </c>
      <c r="Q2525" s="656">
        <v>44216.774907407409</v>
      </c>
    </row>
    <row r="2526" spans="1:17">
      <c r="A2526" s="656" t="s">
        <v>3086</v>
      </c>
      <c r="B2526" s="657" t="s">
        <v>202</v>
      </c>
      <c r="C2526" s="656" t="s">
        <v>3087</v>
      </c>
      <c r="D2526" s="657" t="s">
        <v>13789</v>
      </c>
      <c r="E2526" s="657" t="s">
        <v>9458</v>
      </c>
      <c r="F2526" s="656" t="s">
        <v>4052</v>
      </c>
      <c r="G2526" s="656"/>
      <c r="H2526" s="656" t="s">
        <v>455</v>
      </c>
      <c r="I2526" s="656" t="s">
        <v>14976</v>
      </c>
      <c r="J2526" s="656" t="s">
        <v>451</v>
      </c>
      <c r="K2526" s="656"/>
      <c r="L2526" s="656"/>
      <c r="M2526" s="657"/>
      <c r="N2526" s="1482"/>
      <c r="O2526" s="656" t="s">
        <v>498</v>
      </c>
      <c r="P2526" s="656" t="s">
        <v>13052</v>
      </c>
      <c r="Q2526" s="656">
        <v>44216.774895833332</v>
      </c>
    </row>
    <row r="2527" spans="1:17">
      <c r="A2527" s="656" t="s">
        <v>3088</v>
      </c>
      <c r="B2527" s="657" t="s">
        <v>202</v>
      </c>
      <c r="C2527" s="656" t="s">
        <v>3089</v>
      </c>
      <c r="D2527" s="657" t="s">
        <v>13789</v>
      </c>
      <c r="E2527" s="657" t="s">
        <v>7439</v>
      </c>
      <c r="F2527" s="656" t="s">
        <v>472</v>
      </c>
      <c r="G2527" s="656" t="s">
        <v>519</v>
      </c>
      <c r="H2527" s="656" t="s">
        <v>472</v>
      </c>
      <c r="I2527" s="656" t="s">
        <v>14976</v>
      </c>
      <c r="J2527" s="656" t="s">
        <v>12368</v>
      </c>
      <c r="K2527" s="656" t="s">
        <v>1058</v>
      </c>
      <c r="L2527" s="656"/>
      <c r="M2527" s="657"/>
      <c r="N2527" s="1482"/>
      <c r="O2527" s="656" t="s">
        <v>498</v>
      </c>
      <c r="P2527" s="656" t="s">
        <v>13052</v>
      </c>
      <c r="Q2527" s="656">
        <v>44216.774895833332</v>
      </c>
    </row>
    <row r="2528" spans="1:17">
      <c r="A2528" s="656" t="s">
        <v>3090</v>
      </c>
      <c r="B2528" s="657" t="s">
        <v>202</v>
      </c>
      <c r="C2528" s="656" t="s">
        <v>13726</v>
      </c>
      <c r="D2528" s="657" t="s">
        <v>13789</v>
      </c>
      <c r="E2528" s="657" t="s">
        <v>9458</v>
      </c>
      <c r="F2528" s="656" t="s">
        <v>1050</v>
      </c>
      <c r="G2528" s="656" t="s">
        <v>1078</v>
      </c>
      <c r="H2528" s="656" t="s">
        <v>1050</v>
      </c>
      <c r="I2528" s="656" t="s">
        <v>14976</v>
      </c>
      <c r="J2528" s="656"/>
      <c r="K2528" s="656"/>
      <c r="L2528" s="656"/>
      <c r="M2528" s="657"/>
      <c r="N2528" s="1482"/>
      <c r="O2528" s="656" t="s">
        <v>498</v>
      </c>
      <c r="P2528" s="656" t="s">
        <v>13052</v>
      </c>
      <c r="Q2528" s="656">
        <v>44216.774884259263</v>
      </c>
    </row>
    <row r="2529" spans="1:17">
      <c r="A2529" s="656" t="s">
        <v>3091</v>
      </c>
      <c r="B2529" s="657" t="s">
        <v>504</v>
      </c>
      <c r="C2529" s="656" t="s">
        <v>3092</v>
      </c>
      <c r="D2529" s="657" t="s">
        <v>13789</v>
      </c>
      <c r="E2529" s="657" t="s">
        <v>7439</v>
      </c>
      <c r="F2529" s="656" t="s">
        <v>505</v>
      </c>
      <c r="G2529" s="656" t="s">
        <v>522</v>
      </c>
      <c r="H2529" s="656" t="s">
        <v>505</v>
      </c>
      <c r="I2529" s="656" t="s">
        <v>14976</v>
      </c>
      <c r="J2529" s="656"/>
      <c r="K2529" s="656"/>
      <c r="L2529" s="656"/>
      <c r="M2529" s="657"/>
      <c r="N2529" s="1482"/>
      <c r="O2529" s="656" t="s">
        <v>498</v>
      </c>
      <c r="P2529" s="656" t="s">
        <v>13052</v>
      </c>
      <c r="Q2529" s="656">
        <v>44216.774884259263</v>
      </c>
    </row>
    <row r="2530" spans="1:17">
      <c r="A2530" s="656" t="s">
        <v>3093</v>
      </c>
      <c r="B2530" s="657" t="s">
        <v>504</v>
      </c>
      <c r="C2530" s="656" t="s">
        <v>3094</v>
      </c>
      <c r="D2530" s="657" t="s">
        <v>13789</v>
      </c>
      <c r="E2530" s="657" t="s">
        <v>7439</v>
      </c>
      <c r="F2530" s="656" t="s">
        <v>505</v>
      </c>
      <c r="G2530" s="656" t="s">
        <v>522</v>
      </c>
      <c r="H2530" s="656" t="s">
        <v>505</v>
      </c>
      <c r="I2530" s="656" t="s">
        <v>14976</v>
      </c>
      <c r="J2530" s="656"/>
      <c r="K2530" s="656"/>
      <c r="L2530" s="656"/>
      <c r="M2530" s="657"/>
      <c r="N2530" s="1482"/>
      <c r="O2530" s="656" t="s">
        <v>498</v>
      </c>
      <c r="P2530" s="656" t="s">
        <v>13052</v>
      </c>
      <c r="Q2530" s="656">
        <v>44216.774884259263</v>
      </c>
    </row>
    <row r="2531" spans="1:17">
      <c r="A2531" s="656" t="s">
        <v>3095</v>
      </c>
      <c r="B2531" s="657" t="s">
        <v>504</v>
      </c>
      <c r="C2531" s="656" t="s">
        <v>3096</v>
      </c>
      <c r="D2531" s="657" t="s">
        <v>13789</v>
      </c>
      <c r="E2531" s="657" t="s">
        <v>7439</v>
      </c>
      <c r="F2531" s="656" t="s">
        <v>505</v>
      </c>
      <c r="G2531" s="656" t="s">
        <v>522</v>
      </c>
      <c r="H2531" s="656" t="s">
        <v>505</v>
      </c>
      <c r="I2531" s="656" t="s">
        <v>14976</v>
      </c>
      <c r="J2531" s="656"/>
      <c r="K2531" s="656"/>
      <c r="L2531" s="656"/>
      <c r="M2531" s="657"/>
      <c r="N2531" s="1482"/>
      <c r="O2531" s="656" t="s">
        <v>498</v>
      </c>
      <c r="P2531" s="656" t="s">
        <v>13052</v>
      </c>
      <c r="Q2531" s="656">
        <v>44216.774872685186</v>
      </c>
    </row>
    <row r="2532" spans="1:17">
      <c r="A2532" s="656" t="s">
        <v>3097</v>
      </c>
      <c r="B2532" s="657" t="s">
        <v>504</v>
      </c>
      <c r="C2532" s="656" t="s">
        <v>3098</v>
      </c>
      <c r="D2532" s="657" t="s">
        <v>13789</v>
      </c>
      <c r="E2532" s="657" t="s">
        <v>9654</v>
      </c>
      <c r="F2532" s="656" t="s">
        <v>505</v>
      </c>
      <c r="G2532" s="656" t="s">
        <v>522</v>
      </c>
      <c r="H2532" s="656" t="s">
        <v>505</v>
      </c>
      <c r="I2532" s="656" t="s">
        <v>14976</v>
      </c>
      <c r="J2532" s="656"/>
      <c r="K2532" s="656"/>
      <c r="L2532" s="656"/>
      <c r="M2532" s="657"/>
      <c r="N2532" s="1482"/>
      <c r="O2532" s="656" t="s">
        <v>498</v>
      </c>
      <c r="P2532" s="656" t="s">
        <v>13052</v>
      </c>
      <c r="Q2532" s="656">
        <v>44216.774872685186</v>
      </c>
    </row>
    <row r="2533" spans="1:17">
      <c r="A2533" s="656" t="s">
        <v>3099</v>
      </c>
      <c r="B2533" s="657" t="s">
        <v>504</v>
      </c>
      <c r="C2533" s="656" t="s">
        <v>3100</v>
      </c>
      <c r="D2533" s="657" t="s">
        <v>13789</v>
      </c>
      <c r="E2533" s="657" t="s">
        <v>9654</v>
      </c>
      <c r="F2533" s="656" t="s">
        <v>505</v>
      </c>
      <c r="G2533" s="656" t="s">
        <v>1293</v>
      </c>
      <c r="H2533" s="656" t="s">
        <v>505</v>
      </c>
      <c r="I2533" s="656" t="s">
        <v>14976</v>
      </c>
      <c r="J2533" s="656"/>
      <c r="K2533" s="656"/>
      <c r="L2533" s="656"/>
      <c r="M2533" s="657"/>
      <c r="N2533" s="1482"/>
      <c r="O2533" s="656" t="s">
        <v>498</v>
      </c>
      <c r="P2533" s="656" t="s">
        <v>13052</v>
      </c>
      <c r="Q2533" s="656">
        <v>44216.774872685186</v>
      </c>
    </row>
    <row r="2534" spans="1:17">
      <c r="A2534" s="656" t="s">
        <v>3101</v>
      </c>
      <c r="B2534" s="657" t="s">
        <v>202</v>
      </c>
      <c r="C2534" s="656" t="s">
        <v>3102</v>
      </c>
      <c r="D2534" s="657" t="s">
        <v>13789</v>
      </c>
      <c r="E2534" s="657" t="s">
        <v>9458</v>
      </c>
      <c r="F2534" s="656" t="s">
        <v>1050</v>
      </c>
      <c r="G2534" s="656" t="s">
        <v>1078</v>
      </c>
      <c r="H2534" s="656" t="s">
        <v>1050</v>
      </c>
      <c r="I2534" s="656" t="s">
        <v>14976</v>
      </c>
      <c r="J2534" s="656"/>
      <c r="K2534" s="656"/>
      <c r="L2534" s="656"/>
      <c r="M2534" s="657"/>
      <c r="N2534" s="1482"/>
      <c r="O2534" s="656" t="s">
        <v>498</v>
      </c>
      <c r="P2534" s="656" t="s">
        <v>13052</v>
      </c>
      <c r="Q2534" s="656">
        <v>44216.774861111109</v>
      </c>
    </row>
    <row r="2535" spans="1:17">
      <c r="A2535" s="656" t="s">
        <v>3103</v>
      </c>
      <c r="B2535" s="657" t="s">
        <v>202</v>
      </c>
      <c r="C2535" s="656" t="s">
        <v>3104</v>
      </c>
      <c r="D2535" s="657" t="s">
        <v>13789</v>
      </c>
      <c r="E2535" s="657" t="s">
        <v>7439</v>
      </c>
      <c r="F2535" s="656" t="s">
        <v>1050</v>
      </c>
      <c r="G2535" s="656" t="s">
        <v>1078</v>
      </c>
      <c r="H2535" s="656" t="s">
        <v>1050</v>
      </c>
      <c r="I2535" s="656" t="s">
        <v>15280</v>
      </c>
      <c r="J2535" s="656"/>
      <c r="K2535" s="656"/>
      <c r="L2535" s="656"/>
      <c r="M2535" s="657"/>
      <c r="N2535" s="1482"/>
      <c r="O2535" s="656" t="s">
        <v>498</v>
      </c>
      <c r="P2535" s="656" t="s">
        <v>13052</v>
      </c>
      <c r="Q2535" s="656">
        <v>44216.774861111109</v>
      </c>
    </row>
    <row r="2536" spans="1:17">
      <c r="A2536" s="656" t="s">
        <v>3105</v>
      </c>
      <c r="B2536" s="657" t="s">
        <v>504</v>
      </c>
      <c r="C2536" s="656" t="s">
        <v>3106</v>
      </c>
      <c r="D2536" s="657" t="s">
        <v>13789</v>
      </c>
      <c r="E2536" s="657" t="s">
        <v>9654</v>
      </c>
      <c r="F2536" s="656" t="s">
        <v>505</v>
      </c>
      <c r="G2536" s="656" t="s">
        <v>525</v>
      </c>
      <c r="H2536" s="656" t="s">
        <v>505</v>
      </c>
      <c r="I2536" s="656" t="s">
        <v>14976</v>
      </c>
      <c r="J2536" s="656"/>
      <c r="K2536" s="656"/>
      <c r="L2536" s="656"/>
      <c r="M2536" s="657"/>
      <c r="N2536" s="1482"/>
      <c r="O2536" s="656" t="s">
        <v>498</v>
      </c>
      <c r="P2536" s="656" t="s">
        <v>13052</v>
      </c>
      <c r="Q2536" s="656">
        <v>44216.774861111109</v>
      </c>
    </row>
    <row r="2537" spans="1:17">
      <c r="A2537" s="656" t="s">
        <v>3107</v>
      </c>
      <c r="B2537" s="657" t="s">
        <v>202</v>
      </c>
      <c r="C2537" s="656" t="s">
        <v>3108</v>
      </c>
      <c r="D2537" s="657" t="s">
        <v>13789</v>
      </c>
      <c r="E2537" s="657" t="s">
        <v>7439</v>
      </c>
      <c r="F2537" s="656" t="s">
        <v>500</v>
      </c>
      <c r="G2537" s="656" t="s">
        <v>500</v>
      </c>
      <c r="H2537" s="656" t="s">
        <v>500</v>
      </c>
      <c r="I2537" s="656" t="s">
        <v>15280</v>
      </c>
      <c r="J2537" s="656"/>
      <c r="K2537" s="656"/>
      <c r="L2537" s="656"/>
      <c r="M2537" s="657"/>
      <c r="N2537" s="1482"/>
      <c r="O2537" s="656" t="s">
        <v>498</v>
      </c>
      <c r="P2537" s="656" t="s">
        <v>13052</v>
      </c>
      <c r="Q2537" s="656">
        <v>44216.77484953704</v>
      </c>
    </row>
    <row r="2538" spans="1:17">
      <c r="A2538" s="656" t="s">
        <v>3109</v>
      </c>
      <c r="B2538" s="657" t="s">
        <v>202</v>
      </c>
      <c r="C2538" s="656" t="s">
        <v>3110</v>
      </c>
      <c r="D2538" s="657" t="s">
        <v>13789</v>
      </c>
      <c r="E2538" s="657" t="s">
        <v>9458</v>
      </c>
      <c r="F2538" s="656" t="s">
        <v>1050</v>
      </c>
      <c r="G2538" s="656" t="s">
        <v>1078</v>
      </c>
      <c r="H2538" s="656" t="s">
        <v>1050</v>
      </c>
      <c r="I2538" s="656" t="s">
        <v>14976</v>
      </c>
      <c r="J2538" s="656"/>
      <c r="K2538" s="656"/>
      <c r="L2538" s="656"/>
      <c r="M2538" s="657"/>
      <c r="N2538" s="1482"/>
      <c r="O2538" s="656" t="s">
        <v>498</v>
      </c>
      <c r="P2538" s="656" t="s">
        <v>13052</v>
      </c>
      <c r="Q2538" s="656">
        <v>44216.77484953704</v>
      </c>
    </row>
    <row r="2539" spans="1:17">
      <c r="A2539" s="656" t="s">
        <v>3111</v>
      </c>
      <c r="B2539" s="657" t="s">
        <v>202</v>
      </c>
      <c r="C2539" s="656" t="s">
        <v>3112</v>
      </c>
      <c r="D2539" s="657" t="s">
        <v>13789</v>
      </c>
      <c r="E2539" s="657" t="s">
        <v>7439</v>
      </c>
      <c r="F2539" s="656" t="s">
        <v>537</v>
      </c>
      <c r="G2539" s="656"/>
      <c r="H2539" s="656" t="s">
        <v>450</v>
      </c>
      <c r="I2539" s="656" t="s">
        <v>15280</v>
      </c>
      <c r="J2539" s="656" t="s">
        <v>473</v>
      </c>
      <c r="K2539" s="656"/>
      <c r="L2539" s="656"/>
      <c r="M2539" s="657"/>
      <c r="N2539" s="1482"/>
      <c r="O2539" s="656" t="s">
        <v>498</v>
      </c>
      <c r="P2539" s="656" t="s">
        <v>13052</v>
      </c>
      <c r="Q2539" s="656">
        <v>44216.774837962963</v>
      </c>
    </row>
    <row r="2540" spans="1:17">
      <c r="A2540" s="656" t="s">
        <v>3113</v>
      </c>
      <c r="B2540" s="657" t="s">
        <v>202</v>
      </c>
      <c r="C2540" s="656" t="s">
        <v>3114</v>
      </c>
      <c r="D2540" s="657" t="s">
        <v>13789</v>
      </c>
      <c r="E2540" s="657" t="s">
        <v>7439</v>
      </c>
      <c r="F2540" s="656" t="s">
        <v>537</v>
      </c>
      <c r="G2540" s="656"/>
      <c r="H2540" s="656" t="s">
        <v>450</v>
      </c>
      <c r="I2540" s="656" t="s">
        <v>15280</v>
      </c>
      <c r="J2540" s="656" t="s">
        <v>473</v>
      </c>
      <c r="K2540" s="656"/>
      <c r="L2540" s="656"/>
      <c r="M2540" s="657"/>
      <c r="N2540" s="1482"/>
      <c r="O2540" s="656" t="s">
        <v>498</v>
      </c>
      <c r="P2540" s="656" t="s">
        <v>13052</v>
      </c>
      <c r="Q2540" s="656">
        <v>44216.774837962963</v>
      </c>
    </row>
    <row r="2541" spans="1:17">
      <c r="A2541" s="656" t="s">
        <v>3115</v>
      </c>
      <c r="B2541" s="657" t="s">
        <v>504</v>
      </c>
      <c r="C2541" s="656" t="s">
        <v>3116</v>
      </c>
      <c r="D2541" s="657" t="s">
        <v>13789</v>
      </c>
      <c r="E2541" s="657" t="s">
        <v>9654</v>
      </c>
      <c r="F2541" s="656" t="s">
        <v>505</v>
      </c>
      <c r="G2541" s="656" t="s">
        <v>1495</v>
      </c>
      <c r="H2541" s="656" t="s">
        <v>505</v>
      </c>
      <c r="I2541" s="656" t="s">
        <v>14976</v>
      </c>
      <c r="J2541" s="656"/>
      <c r="K2541" s="656"/>
      <c r="L2541" s="656"/>
      <c r="M2541" s="657"/>
      <c r="N2541" s="1482"/>
      <c r="O2541" s="656" t="s">
        <v>498</v>
      </c>
      <c r="P2541" s="656" t="s">
        <v>13052</v>
      </c>
      <c r="Q2541" s="656">
        <v>44216.774826388886</v>
      </c>
    </row>
    <row r="2542" spans="1:17">
      <c r="A2542" s="656" t="s">
        <v>3117</v>
      </c>
      <c r="B2542" s="657" t="s">
        <v>531</v>
      </c>
      <c r="C2542" s="656" t="s">
        <v>3118</v>
      </c>
      <c r="D2542" s="657" t="s">
        <v>13789</v>
      </c>
      <c r="E2542" s="657" t="s">
        <v>7439</v>
      </c>
      <c r="F2542" s="656" t="s">
        <v>2849</v>
      </c>
      <c r="G2542" s="656" t="s">
        <v>477</v>
      </c>
      <c r="H2542" s="656" t="s">
        <v>469</v>
      </c>
      <c r="I2542" s="656" t="s">
        <v>14976</v>
      </c>
      <c r="J2542" s="656" t="s">
        <v>532</v>
      </c>
      <c r="K2542" s="656"/>
      <c r="L2542" s="656"/>
      <c r="M2542" s="657"/>
      <c r="N2542" s="1482"/>
      <c r="O2542" s="656" t="s">
        <v>498</v>
      </c>
      <c r="P2542" s="656" t="s">
        <v>13052</v>
      </c>
      <c r="Q2542" s="656">
        <v>44216.774826388886</v>
      </c>
    </row>
    <row r="2543" spans="1:17">
      <c r="A2543" s="656" t="s">
        <v>3119</v>
      </c>
      <c r="B2543" s="657" t="s">
        <v>504</v>
      </c>
      <c r="C2543" s="656" t="s">
        <v>3120</v>
      </c>
      <c r="D2543" s="657" t="s">
        <v>13789</v>
      </c>
      <c r="E2543" s="657" t="s">
        <v>9654</v>
      </c>
      <c r="F2543" s="656" t="s">
        <v>540</v>
      </c>
      <c r="G2543" s="656" t="s">
        <v>569</v>
      </c>
      <c r="H2543" s="656" t="s">
        <v>540</v>
      </c>
      <c r="I2543" s="656" t="s">
        <v>14976</v>
      </c>
      <c r="J2543" s="656"/>
      <c r="K2543" s="656"/>
      <c r="L2543" s="656" t="s">
        <v>15116</v>
      </c>
      <c r="M2543" s="657"/>
      <c r="N2543" s="1482"/>
      <c r="O2543" s="656" t="s">
        <v>498</v>
      </c>
      <c r="P2543" s="656" t="s">
        <v>13052</v>
      </c>
      <c r="Q2543" s="656">
        <v>44216.774814814817</v>
      </c>
    </row>
    <row r="2544" spans="1:17">
      <c r="A2544" s="656" t="s">
        <v>3121</v>
      </c>
      <c r="B2544" s="657" t="s">
        <v>504</v>
      </c>
      <c r="C2544" s="656" t="s">
        <v>3122</v>
      </c>
      <c r="D2544" s="657" t="s">
        <v>13789</v>
      </c>
      <c r="E2544" s="657" t="s">
        <v>9654</v>
      </c>
      <c r="F2544" s="656" t="s">
        <v>540</v>
      </c>
      <c r="G2544" s="656" t="s">
        <v>569</v>
      </c>
      <c r="H2544" s="656" t="s">
        <v>540</v>
      </c>
      <c r="I2544" s="656" t="s">
        <v>14976</v>
      </c>
      <c r="J2544" s="656"/>
      <c r="K2544" s="656"/>
      <c r="L2544" s="656" t="s">
        <v>15116</v>
      </c>
      <c r="M2544" s="657"/>
      <c r="N2544" s="1482"/>
      <c r="O2544" s="656" t="s">
        <v>498</v>
      </c>
      <c r="P2544" s="656" t="s">
        <v>13052</v>
      </c>
      <c r="Q2544" s="656">
        <v>44216.774814814817</v>
      </c>
    </row>
    <row r="2545" spans="1:17">
      <c r="A2545" s="656" t="s">
        <v>3123</v>
      </c>
      <c r="B2545" s="657" t="s">
        <v>504</v>
      </c>
      <c r="C2545" s="656" t="s">
        <v>3124</v>
      </c>
      <c r="D2545" s="657" t="s">
        <v>13789</v>
      </c>
      <c r="E2545" s="657" t="s">
        <v>9458</v>
      </c>
      <c r="F2545" s="656" t="s">
        <v>540</v>
      </c>
      <c r="G2545" s="656" t="s">
        <v>625</v>
      </c>
      <c r="H2545" s="656" t="s">
        <v>540</v>
      </c>
      <c r="I2545" s="656" t="s">
        <v>14976</v>
      </c>
      <c r="J2545" s="656"/>
      <c r="K2545" s="656"/>
      <c r="L2545" s="656"/>
      <c r="M2545" s="657"/>
      <c r="N2545" s="1482"/>
      <c r="O2545" s="656" t="s">
        <v>498</v>
      </c>
      <c r="P2545" s="656" t="s">
        <v>13052</v>
      </c>
      <c r="Q2545" s="656">
        <v>44216.77480324074</v>
      </c>
    </row>
    <row r="2546" spans="1:17">
      <c r="A2546" s="656" t="s">
        <v>3125</v>
      </c>
      <c r="B2546" s="657" t="s">
        <v>504</v>
      </c>
      <c r="C2546" s="656" t="s">
        <v>3126</v>
      </c>
      <c r="D2546" s="657" t="s">
        <v>13789</v>
      </c>
      <c r="E2546" s="657" t="s">
        <v>9458</v>
      </c>
      <c r="F2546" s="656" t="s">
        <v>540</v>
      </c>
      <c r="G2546" s="656" t="s">
        <v>625</v>
      </c>
      <c r="H2546" s="656" t="s">
        <v>540</v>
      </c>
      <c r="I2546" s="656" t="s">
        <v>14976</v>
      </c>
      <c r="J2546" s="656"/>
      <c r="K2546" s="656"/>
      <c r="L2546" s="656"/>
      <c r="M2546" s="657"/>
      <c r="N2546" s="1482"/>
      <c r="O2546" s="656" t="s">
        <v>498</v>
      </c>
      <c r="P2546" s="656" t="s">
        <v>13052</v>
      </c>
      <c r="Q2546" s="656">
        <v>44216.77480324074</v>
      </c>
    </row>
    <row r="2547" spans="1:17">
      <c r="A2547" s="656" t="s">
        <v>3127</v>
      </c>
      <c r="B2547" s="657" t="s">
        <v>504</v>
      </c>
      <c r="C2547" s="656" t="s">
        <v>13725</v>
      </c>
      <c r="D2547" s="657" t="s">
        <v>13789</v>
      </c>
      <c r="E2547" s="657" t="s">
        <v>9458</v>
      </c>
      <c r="F2547" s="656" t="s">
        <v>540</v>
      </c>
      <c r="G2547" s="656" t="s">
        <v>625</v>
      </c>
      <c r="H2547" s="656" t="s">
        <v>540</v>
      </c>
      <c r="I2547" s="656" t="s">
        <v>14976</v>
      </c>
      <c r="J2547" s="656"/>
      <c r="K2547" s="656"/>
      <c r="L2547" s="656"/>
      <c r="M2547" s="657"/>
      <c r="N2547" s="1482"/>
      <c r="O2547" s="656" t="s">
        <v>498</v>
      </c>
      <c r="P2547" s="656" t="s">
        <v>13052</v>
      </c>
      <c r="Q2547" s="656">
        <v>44216.774791666663</v>
      </c>
    </row>
    <row r="2548" spans="1:17">
      <c r="A2548" s="656" t="s">
        <v>3128</v>
      </c>
      <c r="B2548" s="657" t="s">
        <v>504</v>
      </c>
      <c r="C2548" s="656" t="s">
        <v>3129</v>
      </c>
      <c r="D2548" s="657" t="s">
        <v>13789</v>
      </c>
      <c r="E2548" s="657" t="s">
        <v>9458</v>
      </c>
      <c r="F2548" s="656" t="s">
        <v>540</v>
      </c>
      <c r="G2548" s="656" t="s">
        <v>625</v>
      </c>
      <c r="H2548" s="656" t="s">
        <v>540</v>
      </c>
      <c r="I2548" s="656" t="s">
        <v>14976</v>
      </c>
      <c r="J2548" s="656"/>
      <c r="K2548" s="656"/>
      <c r="L2548" s="656"/>
      <c r="M2548" s="657"/>
      <c r="N2548" s="1482"/>
      <c r="O2548" s="656" t="s">
        <v>498</v>
      </c>
      <c r="P2548" s="656" t="s">
        <v>13052</v>
      </c>
      <c r="Q2548" s="656">
        <v>44216.774791666663</v>
      </c>
    </row>
    <row r="2549" spans="1:17">
      <c r="A2549" s="656" t="s">
        <v>3130</v>
      </c>
      <c r="B2549" s="657" t="s">
        <v>504</v>
      </c>
      <c r="C2549" s="656" t="s">
        <v>3131</v>
      </c>
      <c r="D2549" s="657" t="s">
        <v>13789</v>
      </c>
      <c r="E2549" s="657" t="s">
        <v>9654</v>
      </c>
      <c r="F2549" s="656" t="s">
        <v>540</v>
      </c>
      <c r="G2549" s="656" t="s">
        <v>1398</v>
      </c>
      <c r="H2549" s="656" t="s">
        <v>540</v>
      </c>
      <c r="I2549" s="656" t="s">
        <v>14976</v>
      </c>
      <c r="J2549" s="656"/>
      <c r="K2549" s="656"/>
      <c r="L2549" s="656"/>
      <c r="M2549" s="657"/>
      <c r="N2549" s="1482"/>
      <c r="O2549" s="656" t="s">
        <v>498</v>
      </c>
      <c r="P2549" s="656" t="s">
        <v>13052</v>
      </c>
      <c r="Q2549" s="656">
        <v>44216.774780092594</v>
      </c>
    </row>
    <row r="2550" spans="1:17">
      <c r="A2550" s="656" t="s">
        <v>3132</v>
      </c>
      <c r="B2550" s="657" t="s">
        <v>504</v>
      </c>
      <c r="C2550" s="656" t="s">
        <v>3133</v>
      </c>
      <c r="D2550" s="657" t="s">
        <v>13789</v>
      </c>
      <c r="E2550" s="657" t="s">
        <v>9458</v>
      </c>
      <c r="F2550" s="656" t="s">
        <v>540</v>
      </c>
      <c r="G2550" s="656" t="s">
        <v>625</v>
      </c>
      <c r="H2550" s="656" t="s">
        <v>540</v>
      </c>
      <c r="I2550" s="656" t="s">
        <v>14976</v>
      </c>
      <c r="J2550" s="656"/>
      <c r="K2550" s="656"/>
      <c r="L2550" s="656"/>
      <c r="M2550" s="657"/>
      <c r="N2550" s="1482"/>
      <c r="O2550" s="656" t="s">
        <v>498</v>
      </c>
      <c r="P2550" s="656" t="s">
        <v>13052</v>
      </c>
      <c r="Q2550" s="656">
        <v>44216.774780092594</v>
      </c>
    </row>
    <row r="2551" spans="1:17">
      <c r="A2551" s="656" t="s">
        <v>3134</v>
      </c>
      <c r="B2551" s="657" t="s">
        <v>504</v>
      </c>
      <c r="C2551" s="656" t="s">
        <v>3135</v>
      </c>
      <c r="D2551" s="657" t="s">
        <v>13789</v>
      </c>
      <c r="E2551" s="657" t="s">
        <v>9458</v>
      </c>
      <c r="F2551" s="656" t="s">
        <v>540</v>
      </c>
      <c r="G2551" s="656" t="s">
        <v>625</v>
      </c>
      <c r="H2551" s="656" t="s">
        <v>540</v>
      </c>
      <c r="I2551" s="656" t="s">
        <v>14976</v>
      </c>
      <c r="J2551" s="656"/>
      <c r="K2551" s="656"/>
      <c r="L2551" s="656"/>
      <c r="M2551" s="657"/>
      <c r="N2551" s="1482"/>
      <c r="O2551" s="656" t="s">
        <v>498</v>
      </c>
      <c r="P2551" s="656" t="s">
        <v>13052</v>
      </c>
      <c r="Q2551" s="656">
        <v>44216.774768518517</v>
      </c>
    </row>
    <row r="2552" spans="1:17">
      <c r="A2552" s="656" t="s">
        <v>3136</v>
      </c>
      <c r="B2552" s="657" t="s">
        <v>531</v>
      </c>
      <c r="C2552" s="656" t="s">
        <v>13724</v>
      </c>
      <c r="D2552" s="657" t="s">
        <v>13789</v>
      </c>
      <c r="E2552" s="657" t="s">
        <v>9510</v>
      </c>
      <c r="F2552" s="656" t="s">
        <v>1949</v>
      </c>
      <c r="G2552" s="656" t="s">
        <v>717</v>
      </c>
      <c r="H2552" s="656" t="s">
        <v>1949</v>
      </c>
      <c r="I2552" s="656" t="s">
        <v>14976</v>
      </c>
      <c r="J2552" s="656"/>
      <c r="K2552" s="656"/>
      <c r="L2552" s="656"/>
      <c r="M2552" s="657"/>
      <c r="N2552" s="1482"/>
      <c r="O2552" s="656" t="s">
        <v>498</v>
      </c>
      <c r="P2552" s="656" t="s">
        <v>13052</v>
      </c>
      <c r="Q2552" s="656">
        <v>44216.774768518517</v>
      </c>
    </row>
    <row r="2553" spans="1:17">
      <c r="A2553" s="656" t="s">
        <v>3137</v>
      </c>
      <c r="B2553" s="657" t="s">
        <v>202</v>
      </c>
      <c r="C2553" s="656" t="s">
        <v>3138</v>
      </c>
      <c r="D2553" s="657" t="s">
        <v>13789</v>
      </c>
      <c r="E2553" s="657" t="s">
        <v>7439</v>
      </c>
      <c r="F2553" s="656" t="s">
        <v>500</v>
      </c>
      <c r="G2553" s="656" t="s">
        <v>500</v>
      </c>
      <c r="H2553" s="656" t="s">
        <v>500</v>
      </c>
      <c r="I2553" s="656" t="s">
        <v>15280</v>
      </c>
      <c r="J2553" s="656"/>
      <c r="K2553" s="656"/>
      <c r="L2553" s="656"/>
      <c r="M2553" s="657"/>
      <c r="N2553" s="1482"/>
      <c r="O2553" s="656" t="s">
        <v>498</v>
      </c>
      <c r="P2553" s="656" t="s">
        <v>13052</v>
      </c>
      <c r="Q2553" s="656">
        <v>44216.774768518517</v>
      </c>
    </row>
    <row r="2554" spans="1:17">
      <c r="A2554" s="656" t="s">
        <v>3139</v>
      </c>
      <c r="B2554" s="657" t="s">
        <v>202</v>
      </c>
      <c r="C2554" s="656" t="s">
        <v>3140</v>
      </c>
      <c r="D2554" s="657" t="s">
        <v>13789</v>
      </c>
      <c r="E2554" s="657" t="s">
        <v>9458</v>
      </c>
      <c r="F2554" s="656" t="s">
        <v>1050</v>
      </c>
      <c r="G2554" s="656" t="s">
        <v>1078</v>
      </c>
      <c r="H2554" s="656" t="s">
        <v>1050</v>
      </c>
      <c r="I2554" s="656" t="s">
        <v>14976</v>
      </c>
      <c r="J2554" s="656"/>
      <c r="K2554" s="656"/>
      <c r="L2554" s="656"/>
      <c r="M2554" s="657"/>
      <c r="N2554" s="1482"/>
      <c r="O2554" s="656" t="s">
        <v>498</v>
      </c>
      <c r="P2554" s="656" t="s">
        <v>13052</v>
      </c>
      <c r="Q2554" s="656">
        <v>44216.774756944447</v>
      </c>
    </row>
    <row r="2555" spans="1:17">
      <c r="A2555" s="656" t="s">
        <v>3141</v>
      </c>
      <c r="B2555" s="657" t="s">
        <v>531</v>
      </c>
      <c r="C2555" s="656" t="s">
        <v>3142</v>
      </c>
      <c r="D2555" s="657" t="s">
        <v>13789</v>
      </c>
      <c r="E2555" s="657" t="s">
        <v>9458</v>
      </c>
      <c r="F2555" s="656" t="s">
        <v>2849</v>
      </c>
      <c r="G2555" s="656" t="s">
        <v>717</v>
      </c>
      <c r="H2555" s="656" t="s">
        <v>1338</v>
      </c>
      <c r="I2555" s="656" t="s">
        <v>14976</v>
      </c>
      <c r="J2555" s="656"/>
      <c r="K2555" s="656"/>
      <c r="L2555" s="656"/>
      <c r="M2555" s="657"/>
      <c r="N2555" s="1482"/>
      <c r="O2555" s="656" t="s">
        <v>498</v>
      </c>
      <c r="P2555" s="656" t="s">
        <v>13052</v>
      </c>
      <c r="Q2555" s="656">
        <v>44216.774756944447</v>
      </c>
    </row>
    <row r="2556" spans="1:17">
      <c r="A2556" s="656" t="s">
        <v>3143</v>
      </c>
      <c r="B2556" s="657" t="s">
        <v>531</v>
      </c>
      <c r="C2556" s="656" t="s">
        <v>3144</v>
      </c>
      <c r="D2556" s="657"/>
      <c r="E2556" s="657" t="s">
        <v>7439</v>
      </c>
      <c r="F2556" s="656" t="s">
        <v>1949</v>
      </c>
      <c r="G2556" s="656" t="s">
        <v>717</v>
      </c>
      <c r="H2556" s="656" t="s">
        <v>1949</v>
      </c>
      <c r="I2556" s="656" t="s">
        <v>15280</v>
      </c>
      <c r="J2556" s="656"/>
      <c r="K2556" s="656"/>
      <c r="L2556" s="656"/>
      <c r="M2556" s="657"/>
      <c r="N2556" s="1482"/>
      <c r="O2556" s="656" t="s">
        <v>498</v>
      </c>
      <c r="P2556" s="656" t="s">
        <v>13052</v>
      </c>
      <c r="Q2556" s="656">
        <v>44216.774745370371</v>
      </c>
    </row>
    <row r="2557" spans="1:17">
      <c r="A2557" s="656" t="s">
        <v>3145</v>
      </c>
      <c r="B2557" s="657" t="s">
        <v>531</v>
      </c>
      <c r="C2557" s="656" t="s">
        <v>3146</v>
      </c>
      <c r="D2557" s="657" t="s">
        <v>13789</v>
      </c>
      <c r="E2557" s="657" t="s">
        <v>7439</v>
      </c>
      <c r="F2557" s="656" t="s">
        <v>1949</v>
      </c>
      <c r="G2557" s="656" t="s">
        <v>717</v>
      </c>
      <c r="H2557" s="656" t="s">
        <v>1949</v>
      </c>
      <c r="I2557" s="656" t="s">
        <v>15280</v>
      </c>
      <c r="J2557" s="656"/>
      <c r="K2557" s="656"/>
      <c r="L2557" s="656"/>
      <c r="M2557" s="657"/>
      <c r="N2557" s="1482"/>
      <c r="O2557" s="656" t="s">
        <v>498</v>
      </c>
      <c r="P2557" s="656" t="s">
        <v>13052</v>
      </c>
      <c r="Q2557" s="656">
        <v>44216.774745370371</v>
      </c>
    </row>
    <row r="2558" spans="1:17">
      <c r="A2558" s="656" t="s">
        <v>3147</v>
      </c>
      <c r="B2558" s="657" t="s">
        <v>202</v>
      </c>
      <c r="C2558" s="656" t="s">
        <v>3148</v>
      </c>
      <c r="D2558" s="657"/>
      <c r="E2558" s="657" t="s">
        <v>9654</v>
      </c>
      <c r="F2558" s="656" t="s">
        <v>537</v>
      </c>
      <c r="G2558" s="656"/>
      <c r="H2558" s="656" t="s">
        <v>450</v>
      </c>
      <c r="I2558" s="656" t="s">
        <v>15280</v>
      </c>
      <c r="J2558" s="656" t="s">
        <v>473</v>
      </c>
      <c r="K2558" s="656"/>
      <c r="L2558" s="656"/>
      <c r="M2558" s="657"/>
      <c r="N2558" s="1482"/>
      <c r="O2558" s="656" t="s">
        <v>498</v>
      </c>
      <c r="P2558" s="656" t="s">
        <v>13052</v>
      </c>
      <c r="Q2558" s="656">
        <v>44216.774733796294</v>
      </c>
    </row>
    <row r="2559" spans="1:17">
      <c r="A2559" s="656" t="s">
        <v>3149</v>
      </c>
      <c r="B2559" s="657" t="s">
        <v>202</v>
      </c>
      <c r="C2559" s="656" t="s">
        <v>3150</v>
      </c>
      <c r="D2559" s="657" t="s">
        <v>13789</v>
      </c>
      <c r="E2559" s="657" t="s">
        <v>7439</v>
      </c>
      <c r="F2559" s="656" t="s">
        <v>1300</v>
      </c>
      <c r="G2559" s="656" t="s">
        <v>1301</v>
      </c>
      <c r="H2559" s="656" t="s">
        <v>1300</v>
      </c>
      <c r="I2559" s="656" t="s">
        <v>15280</v>
      </c>
      <c r="J2559" s="656"/>
      <c r="K2559" s="656"/>
      <c r="L2559" s="656"/>
      <c r="M2559" s="657"/>
      <c r="N2559" s="1482"/>
      <c r="O2559" s="656" t="s">
        <v>498</v>
      </c>
      <c r="P2559" s="656" t="s">
        <v>13052</v>
      </c>
      <c r="Q2559" s="656">
        <v>44216.774733796294</v>
      </c>
    </row>
    <row r="2560" spans="1:17">
      <c r="A2560" s="656" t="s">
        <v>3151</v>
      </c>
      <c r="B2560" s="657" t="s">
        <v>202</v>
      </c>
      <c r="C2560" s="656" t="s">
        <v>3152</v>
      </c>
      <c r="D2560" s="657" t="s">
        <v>13789</v>
      </c>
      <c r="E2560" s="657"/>
      <c r="F2560" s="656" t="s">
        <v>500</v>
      </c>
      <c r="G2560" s="656" t="s">
        <v>500</v>
      </c>
      <c r="H2560" s="656" t="s">
        <v>500</v>
      </c>
      <c r="I2560" s="656" t="s">
        <v>14976</v>
      </c>
      <c r="J2560" s="656"/>
      <c r="K2560" s="656"/>
      <c r="L2560" s="656"/>
      <c r="M2560" s="657"/>
      <c r="N2560" s="1482"/>
      <c r="O2560" s="656" t="s">
        <v>498</v>
      </c>
      <c r="P2560" s="656" t="s">
        <v>13052</v>
      </c>
      <c r="Q2560" s="656">
        <v>44216.774722222224</v>
      </c>
    </row>
    <row r="2561" spans="1:17">
      <c r="A2561" s="656" t="s">
        <v>3153</v>
      </c>
      <c r="B2561" s="657" t="s">
        <v>202</v>
      </c>
      <c r="C2561" s="656" t="s">
        <v>3154</v>
      </c>
      <c r="D2561" s="657" t="s">
        <v>13789</v>
      </c>
      <c r="E2561" s="657" t="s">
        <v>9458</v>
      </c>
      <c r="F2561" s="656" t="s">
        <v>500</v>
      </c>
      <c r="G2561" s="656" t="s">
        <v>500</v>
      </c>
      <c r="H2561" s="656" t="s">
        <v>500</v>
      </c>
      <c r="I2561" s="656" t="s">
        <v>14976</v>
      </c>
      <c r="J2561" s="656"/>
      <c r="K2561" s="656"/>
      <c r="L2561" s="656"/>
      <c r="M2561" s="657"/>
      <c r="N2561" s="1482"/>
      <c r="O2561" s="656" t="s">
        <v>498</v>
      </c>
      <c r="P2561" s="656" t="s">
        <v>13052</v>
      </c>
      <c r="Q2561" s="656">
        <v>44216.774722222224</v>
      </c>
    </row>
    <row r="2562" spans="1:17">
      <c r="A2562" s="656" t="s">
        <v>3155</v>
      </c>
      <c r="B2562" s="657" t="s">
        <v>202</v>
      </c>
      <c r="C2562" s="656" t="s">
        <v>3156</v>
      </c>
      <c r="D2562" s="657" t="s">
        <v>13789</v>
      </c>
      <c r="E2562" s="657" t="s">
        <v>9458</v>
      </c>
      <c r="F2562" s="656" t="s">
        <v>500</v>
      </c>
      <c r="G2562" s="656" t="s">
        <v>500</v>
      </c>
      <c r="H2562" s="656" t="s">
        <v>500</v>
      </c>
      <c r="I2562" s="656" t="s">
        <v>14976</v>
      </c>
      <c r="J2562" s="656"/>
      <c r="K2562" s="656"/>
      <c r="L2562" s="656"/>
      <c r="M2562" s="657"/>
      <c r="N2562" s="1482"/>
      <c r="O2562" s="656" t="s">
        <v>498</v>
      </c>
      <c r="P2562" s="656" t="s">
        <v>13052</v>
      </c>
      <c r="Q2562" s="656">
        <v>44216.774722222224</v>
      </c>
    </row>
    <row r="2563" spans="1:17">
      <c r="A2563" s="656" t="s">
        <v>3157</v>
      </c>
      <c r="B2563" s="657" t="s">
        <v>504</v>
      </c>
      <c r="C2563" s="656" t="s">
        <v>3158</v>
      </c>
      <c r="D2563" s="657" t="s">
        <v>13789</v>
      </c>
      <c r="E2563" s="657" t="s">
        <v>9654</v>
      </c>
      <c r="F2563" s="656" t="s">
        <v>505</v>
      </c>
      <c r="G2563" s="656" t="s">
        <v>522</v>
      </c>
      <c r="H2563" s="656" t="s">
        <v>505</v>
      </c>
      <c r="I2563" s="656" t="s">
        <v>14976</v>
      </c>
      <c r="J2563" s="656"/>
      <c r="K2563" s="656"/>
      <c r="L2563" s="656"/>
      <c r="M2563" s="657"/>
      <c r="N2563" s="1482"/>
      <c r="O2563" s="656" t="s">
        <v>498</v>
      </c>
      <c r="P2563" s="656" t="s">
        <v>13052</v>
      </c>
      <c r="Q2563" s="656">
        <v>44216.774710648147</v>
      </c>
    </row>
    <row r="2564" spans="1:17">
      <c r="A2564" s="656" t="s">
        <v>3159</v>
      </c>
      <c r="B2564" s="657" t="s">
        <v>504</v>
      </c>
      <c r="C2564" s="656" t="s">
        <v>3160</v>
      </c>
      <c r="D2564" s="657" t="s">
        <v>13789</v>
      </c>
      <c r="E2564" s="657" t="s">
        <v>9654</v>
      </c>
      <c r="F2564" s="656" t="s">
        <v>505</v>
      </c>
      <c r="G2564" s="656" t="s">
        <v>522</v>
      </c>
      <c r="H2564" s="656" t="s">
        <v>505</v>
      </c>
      <c r="I2564" s="656" t="s">
        <v>14976</v>
      </c>
      <c r="J2564" s="656"/>
      <c r="K2564" s="656"/>
      <c r="L2564" s="656"/>
      <c r="M2564" s="657"/>
      <c r="N2564" s="1482"/>
      <c r="O2564" s="656" t="s">
        <v>498</v>
      </c>
      <c r="P2564" s="656" t="s">
        <v>13052</v>
      </c>
      <c r="Q2564" s="656">
        <v>44216.774699074071</v>
      </c>
    </row>
    <row r="2565" spans="1:17">
      <c r="A2565" s="656" t="s">
        <v>3161</v>
      </c>
      <c r="B2565" s="657" t="s">
        <v>504</v>
      </c>
      <c r="C2565" s="656" t="s">
        <v>3162</v>
      </c>
      <c r="D2565" s="657" t="s">
        <v>13789</v>
      </c>
      <c r="E2565" s="657" t="s">
        <v>9654</v>
      </c>
      <c r="F2565" s="656" t="s">
        <v>505</v>
      </c>
      <c r="G2565" s="656" t="s">
        <v>522</v>
      </c>
      <c r="H2565" s="656" t="s">
        <v>505</v>
      </c>
      <c r="I2565" s="656" t="s">
        <v>14976</v>
      </c>
      <c r="J2565" s="656"/>
      <c r="K2565" s="656"/>
      <c r="L2565" s="656"/>
      <c r="M2565" s="657"/>
      <c r="N2565" s="1482"/>
      <c r="O2565" s="656" t="s">
        <v>498</v>
      </c>
      <c r="P2565" s="656" t="s">
        <v>13052</v>
      </c>
      <c r="Q2565" s="656">
        <v>44216.774699074071</v>
      </c>
    </row>
    <row r="2566" spans="1:17">
      <c r="A2566" s="656" t="s">
        <v>3163</v>
      </c>
      <c r="B2566" s="657" t="s">
        <v>202</v>
      </c>
      <c r="C2566" s="656" t="s">
        <v>3164</v>
      </c>
      <c r="D2566" s="657" t="s">
        <v>13789</v>
      </c>
      <c r="E2566" s="657" t="s">
        <v>7439</v>
      </c>
      <c r="F2566" s="656" t="s">
        <v>1300</v>
      </c>
      <c r="G2566" s="656" t="s">
        <v>1301</v>
      </c>
      <c r="H2566" s="656" t="s">
        <v>1300</v>
      </c>
      <c r="I2566" s="656" t="s">
        <v>15280</v>
      </c>
      <c r="J2566" s="656"/>
      <c r="K2566" s="656"/>
      <c r="L2566" s="656"/>
      <c r="M2566" s="657"/>
      <c r="N2566" s="1482"/>
      <c r="O2566" s="656" t="s">
        <v>498</v>
      </c>
      <c r="P2566" s="656" t="s">
        <v>13052</v>
      </c>
      <c r="Q2566" s="656">
        <v>44216.774699074071</v>
      </c>
    </row>
    <row r="2567" spans="1:17">
      <c r="A2567" s="656" t="s">
        <v>3165</v>
      </c>
      <c r="B2567" s="657" t="s">
        <v>202</v>
      </c>
      <c r="C2567" s="656" t="s">
        <v>3166</v>
      </c>
      <c r="D2567" s="657" t="s">
        <v>13789</v>
      </c>
      <c r="E2567" s="657" t="s">
        <v>7439</v>
      </c>
      <c r="F2567" s="656" t="s">
        <v>462</v>
      </c>
      <c r="G2567" s="656"/>
      <c r="H2567" s="656" t="s">
        <v>462</v>
      </c>
      <c r="I2567" s="656" t="s">
        <v>15280</v>
      </c>
      <c r="J2567" s="656" t="s">
        <v>463</v>
      </c>
      <c r="K2567" s="656"/>
      <c r="L2567" s="656"/>
      <c r="M2567" s="657"/>
      <c r="N2567" s="1482"/>
      <c r="O2567" s="656" t="s">
        <v>498</v>
      </c>
      <c r="P2567" s="656" t="s">
        <v>13052</v>
      </c>
      <c r="Q2567" s="656">
        <v>44216.774687500001</v>
      </c>
    </row>
    <row r="2568" spans="1:17">
      <c r="A2568" s="656" t="s">
        <v>3167</v>
      </c>
      <c r="B2568" s="657" t="s">
        <v>202</v>
      </c>
      <c r="C2568" s="656" t="s">
        <v>3168</v>
      </c>
      <c r="D2568" s="657" t="s">
        <v>13789</v>
      </c>
      <c r="E2568" s="657" t="s">
        <v>7439</v>
      </c>
      <c r="F2568" s="656" t="s">
        <v>783</v>
      </c>
      <c r="G2568" s="656" t="s">
        <v>783</v>
      </c>
      <c r="H2568" s="656" t="s">
        <v>783</v>
      </c>
      <c r="I2568" s="656" t="s">
        <v>15280</v>
      </c>
      <c r="J2568" s="656"/>
      <c r="K2568" s="656"/>
      <c r="L2568" s="656"/>
      <c r="M2568" s="657"/>
      <c r="N2568" s="1482"/>
      <c r="O2568" s="656" t="s">
        <v>498</v>
      </c>
      <c r="P2568" s="656" t="s">
        <v>13052</v>
      </c>
      <c r="Q2568" s="656">
        <v>44216.774687500001</v>
      </c>
    </row>
    <row r="2569" spans="1:17">
      <c r="A2569" s="656" t="s">
        <v>3169</v>
      </c>
      <c r="B2569" s="657" t="s">
        <v>531</v>
      </c>
      <c r="C2569" s="656" t="s">
        <v>3170</v>
      </c>
      <c r="D2569" s="657"/>
      <c r="E2569" s="657" t="s">
        <v>9458</v>
      </c>
      <c r="F2569" s="656" t="s">
        <v>1949</v>
      </c>
      <c r="G2569" s="656" t="s">
        <v>717</v>
      </c>
      <c r="H2569" s="656" t="s">
        <v>1949</v>
      </c>
      <c r="I2569" s="656" t="s">
        <v>14976</v>
      </c>
      <c r="J2569" s="656"/>
      <c r="K2569" s="656"/>
      <c r="L2569" s="656"/>
      <c r="M2569" s="657"/>
      <c r="N2569" s="1482"/>
      <c r="O2569" s="656" t="s">
        <v>498</v>
      </c>
      <c r="P2569" s="656" t="s">
        <v>13052</v>
      </c>
      <c r="Q2569" s="656">
        <v>44216.774675925924</v>
      </c>
    </row>
    <row r="2570" spans="1:17">
      <c r="A2570" s="656" t="s">
        <v>15764</v>
      </c>
      <c r="B2570" s="657" t="s">
        <v>202</v>
      </c>
      <c r="C2570" s="656" t="s">
        <v>15765</v>
      </c>
      <c r="D2570" s="657" t="s">
        <v>13789</v>
      </c>
      <c r="E2570" s="657" t="s">
        <v>7435</v>
      </c>
      <c r="F2570" s="656" t="s">
        <v>2849</v>
      </c>
      <c r="G2570" s="656"/>
      <c r="H2570" s="656" t="s">
        <v>2849</v>
      </c>
      <c r="I2570" s="656"/>
      <c r="J2570" s="656" t="s">
        <v>532</v>
      </c>
      <c r="K2570" s="656"/>
      <c r="L2570" s="656"/>
      <c r="M2570" s="657" t="s">
        <v>15533</v>
      </c>
      <c r="N2570" s="1482">
        <v>156</v>
      </c>
      <c r="O2570" s="656" t="s">
        <v>498</v>
      </c>
      <c r="P2570" s="656" t="s">
        <v>13052</v>
      </c>
      <c r="Q2570" s="656">
        <v>44257.3909375</v>
      </c>
    </row>
    <row r="2571" spans="1:17">
      <c r="A2571" s="656" t="s">
        <v>13022</v>
      </c>
      <c r="B2571" s="657" t="s">
        <v>531</v>
      </c>
      <c r="C2571" s="656" t="s">
        <v>13021</v>
      </c>
      <c r="D2571" s="657" t="s">
        <v>13789</v>
      </c>
      <c r="E2571" s="657" t="s">
        <v>7437</v>
      </c>
      <c r="F2571" s="656" t="s">
        <v>2849</v>
      </c>
      <c r="G2571" s="656"/>
      <c r="H2571" s="656" t="s">
        <v>469</v>
      </c>
      <c r="I2571" s="656" t="s">
        <v>14976</v>
      </c>
      <c r="J2571" s="656" t="s">
        <v>532</v>
      </c>
      <c r="K2571" s="656" t="s">
        <v>2849</v>
      </c>
      <c r="L2571" s="656"/>
      <c r="M2571" s="657"/>
      <c r="N2571" s="1482"/>
      <c r="O2571" s="656" t="s">
        <v>498</v>
      </c>
      <c r="P2571" s="656" t="s">
        <v>13052</v>
      </c>
      <c r="Q2571" s="656">
        <v>44216.774675925924</v>
      </c>
    </row>
    <row r="2572" spans="1:17">
      <c r="A2572" s="656" t="s">
        <v>15766</v>
      </c>
      <c r="B2572" s="657" t="s">
        <v>504</v>
      </c>
      <c r="C2572" s="656" t="s">
        <v>15765</v>
      </c>
      <c r="D2572" s="657" t="s">
        <v>13789</v>
      </c>
      <c r="E2572" s="657" t="s">
        <v>7435</v>
      </c>
      <c r="F2572" s="656" t="s">
        <v>2849</v>
      </c>
      <c r="G2572" s="656"/>
      <c r="H2572" s="656" t="s">
        <v>2849</v>
      </c>
      <c r="I2572" s="656"/>
      <c r="J2572" s="656" t="s">
        <v>532</v>
      </c>
      <c r="K2572" s="656"/>
      <c r="L2572" s="656"/>
      <c r="M2572" s="657" t="s">
        <v>15533</v>
      </c>
      <c r="N2572" s="1482">
        <v>162</v>
      </c>
      <c r="O2572" s="656" t="s">
        <v>498</v>
      </c>
      <c r="P2572" s="656" t="s">
        <v>13052</v>
      </c>
      <c r="Q2572" s="656">
        <v>44257.391423611109</v>
      </c>
    </row>
    <row r="2573" spans="1:17">
      <c r="A2573" s="656" t="s">
        <v>15835</v>
      </c>
      <c r="B2573" s="657" t="s">
        <v>504</v>
      </c>
      <c r="C2573" s="656" t="s">
        <v>15836</v>
      </c>
      <c r="D2573" s="657" t="s">
        <v>13789</v>
      </c>
      <c r="E2573" s="657" t="s">
        <v>7435</v>
      </c>
      <c r="F2573" s="656"/>
      <c r="G2573" s="656"/>
      <c r="H2573" s="656"/>
      <c r="I2573" s="656" t="s">
        <v>13051</v>
      </c>
      <c r="J2573" s="656"/>
      <c r="K2573" s="656"/>
      <c r="L2573" s="656"/>
      <c r="M2573" s="657"/>
      <c r="N2573" s="1482">
        <v>157</v>
      </c>
      <c r="O2573" s="656" t="s">
        <v>498</v>
      </c>
      <c r="P2573" s="656" t="s">
        <v>13052</v>
      </c>
      <c r="Q2573" s="656">
        <v>44266.152395833335</v>
      </c>
    </row>
    <row r="2574" spans="1:17">
      <c r="A2574" s="656" t="s">
        <v>3171</v>
      </c>
      <c r="B2574" s="657" t="s">
        <v>531</v>
      </c>
      <c r="C2574" s="656" t="s">
        <v>3172</v>
      </c>
      <c r="D2574" s="657" t="s">
        <v>13789</v>
      </c>
      <c r="E2574" s="657" t="s">
        <v>9458</v>
      </c>
      <c r="F2574" s="656" t="s">
        <v>2849</v>
      </c>
      <c r="G2574" s="656"/>
      <c r="H2574" s="656" t="s">
        <v>469</v>
      </c>
      <c r="I2574" s="656" t="s">
        <v>14976</v>
      </c>
      <c r="J2574" s="656" t="s">
        <v>532</v>
      </c>
      <c r="K2574" s="656"/>
      <c r="L2574" s="656"/>
      <c r="M2574" s="657"/>
      <c r="N2574" s="1482"/>
      <c r="O2574" s="656" t="s">
        <v>498</v>
      </c>
      <c r="P2574" s="656" t="s">
        <v>13052</v>
      </c>
      <c r="Q2574" s="656">
        <v>44216.774664351855</v>
      </c>
    </row>
    <row r="2575" spans="1:17">
      <c r="A2575" s="656" t="s">
        <v>3173</v>
      </c>
      <c r="B2575" s="657" t="s">
        <v>504</v>
      </c>
      <c r="C2575" s="656" t="s">
        <v>13719</v>
      </c>
      <c r="D2575" s="657" t="s">
        <v>13789</v>
      </c>
      <c r="E2575" s="657" t="s">
        <v>9654</v>
      </c>
      <c r="F2575" s="656" t="s">
        <v>505</v>
      </c>
      <c r="G2575" s="656" t="s">
        <v>509</v>
      </c>
      <c r="H2575" s="656" t="s">
        <v>505</v>
      </c>
      <c r="I2575" s="656" t="s">
        <v>14976</v>
      </c>
      <c r="J2575" s="656"/>
      <c r="K2575" s="656"/>
      <c r="L2575" s="656" t="s">
        <v>15124</v>
      </c>
      <c r="M2575" s="657"/>
      <c r="N2575" s="1482"/>
      <c r="O2575" s="656" t="s">
        <v>498</v>
      </c>
      <c r="P2575" s="656" t="s">
        <v>13052</v>
      </c>
      <c r="Q2575" s="656">
        <v>44216.774664351855</v>
      </c>
    </row>
    <row r="2576" spans="1:17">
      <c r="A2576" s="656" t="s">
        <v>3174</v>
      </c>
      <c r="B2576" s="657" t="s">
        <v>202</v>
      </c>
      <c r="C2576" s="656" t="s">
        <v>3175</v>
      </c>
      <c r="D2576" s="657"/>
      <c r="E2576" s="657" t="s">
        <v>7439</v>
      </c>
      <c r="F2576" s="656" t="s">
        <v>500</v>
      </c>
      <c r="G2576" s="656" t="s">
        <v>500</v>
      </c>
      <c r="H2576" s="656" t="s">
        <v>500</v>
      </c>
      <c r="I2576" s="656" t="s">
        <v>14976</v>
      </c>
      <c r="J2576" s="656"/>
      <c r="K2576" s="656"/>
      <c r="L2576" s="656"/>
      <c r="M2576" s="657"/>
      <c r="N2576" s="1482"/>
      <c r="O2576" s="656" t="s">
        <v>498</v>
      </c>
      <c r="P2576" s="656" t="s">
        <v>13052</v>
      </c>
      <c r="Q2576" s="656">
        <v>44216.774652777778</v>
      </c>
    </row>
    <row r="2577" spans="1:17">
      <c r="A2577" s="656" t="s">
        <v>3176</v>
      </c>
      <c r="B2577" s="657" t="s">
        <v>202</v>
      </c>
      <c r="C2577" s="656" t="s">
        <v>3177</v>
      </c>
      <c r="D2577" s="657"/>
      <c r="E2577" s="657" t="s">
        <v>7439</v>
      </c>
      <c r="F2577" s="656" t="s">
        <v>500</v>
      </c>
      <c r="G2577" s="656" t="s">
        <v>500</v>
      </c>
      <c r="H2577" s="656" t="s">
        <v>500</v>
      </c>
      <c r="I2577" s="656" t="s">
        <v>14976</v>
      </c>
      <c r="J2577" s="656"/>
      <c r="K2577" s="656"/>
      <c r="L2577" s="656"/>
      <c r="M2577" s="657"/>
      <c r="N2577" s="1482"/>
      <c r="O2577" s="656" t="s">
        <v>498</v>
      </c>
      <c r="P2577" s="656" t="s">
        <v>13052</v>
      </c>
      <c r="Q2577" s="656">
        <v>44216.774652777778</v>
      </c>
    </row>
    <row r="2578" spans="1:17">
      <c r="A2578" s="656" t="s">
        <v>3178</v>
      </c>
      <c r="B2578" s="657" t="s">
        <v>504</v>
      </c>
      <c r="C2578" s="656" t="s">
        <v>3179</v>
      </c>
      <c r="D2578" s="657" t="s">
        <v>14977</v>
      </c>
      <c r="E2578" s="657" t="s">
        <v>9654</v>
      </c>
      <c r="F2578" s="656" t="s">
        <v>505</v>
      </c>
      <c r="G2578" s="656" t="s">
        <v>820</v>
      </c>
      <c r="H2578" s="656" t="s">
        <v>505</v>
      </c>
      <c r="I2578" s="656"/>
      <c r="J2578" s="656"/>
      <c r="K2578" s="656"/>
      <c r="L2578" s="656" t="s">
        <v>3180</v>
      </c>
      <c r="M2578" s="657"/>
      <c r="N2578" s="1482"/>
      <c r="O2578" s="656" t="s">
        <v>498</v>
      </c>
      <c r="P2578" s="656" t="s">
        <v>13052</v>
      </c>
      <c r="Q2578" s="656">
        <v>44216.774641203701</v>
      </c>
    </row>
    <row r="2579" spans="1:17">
      <c r="A2579" s="656" t="s">
        <v>3181</v>
      </c>
      <c r="B2579" s="657" t="s">
        <v>202</v>
      </c>
      <c r="C2579" s="656" t="s">
        <v>3182</v>
      </c>
      <c r="D2579" s="657" t="s">
        <v>13789</v>
      </c>
      <c r="E2579" s="657" t="s">
        <v>7439</v>
      </c>
      <c r="F2579" s="656" t="s">
        <v>1300</v>
      </c>
      <c r="G2579" s="656" t="s">
        <v>1301</v>
      </c>
      <c r="H2579" s="656" t="s">
        <v>1300</v>
      </c>
      <c r="I2579" s="656" t="s">
        <v>14976</v>
      </c>
      <c r="J2579" s="656"/>
      <c r="K2579" s="656"/>
      <c r="L2579" s="656"/>
      <c r="M2579" s="657"/>
      <c r="N2579" s="1482"/>
      <c r="O2579" s="656" t="s">
        <v>498</v>
      </c>
      <c r="P2579" s="656" t="s">
        <v>13052</v>
      </c>
      <c r="Q2579" s="656">
        <v>44216.774629629632</v>
      </c>
    </row>
    <row r="2580" spans="1:17">
      <c r="A2580" s="656" t="s">
        <v>13716</v>
      </c>
      <c r="B2580" s="657" t="s">
        <v>504</v>
      </c>
      <c r="C2580" s="656" t="s">
        <v>3183</v>
      </c>
      <c r="D2580" s="657" t="s">
        <v>14978</v>
      </c>
      <c r="E2580" s="657" t="s">
        <v>9654</v>
      </c>
      <c r="F2580" s="656" t="s">
        <v>540</v>
      </c>
      <c r="G2580" s="656" t="s">
        <v>541</v>
      </c>
      <c r="H2580" s="656" t="s">
        <v>540</v>
      </c>
      <c r="I2580" s="656"/>
      <c r="J2580" s="656"/>
      <c r="K2580" s="656"/>
      <c r="L2580" s="656" t="s">
        <v>13710</v>
      </c>
      <c r="M2580" s="657"/>
      <c r="N2580" s="1482"/>
      <c r="O2580" s="656" t="s">
        <v>498</v>
      </c>
      <c r="P2580" s="656" t="s">
        <v>13052</v>
      </c>
      <c r="Q2580" s="656">
        <v>44216.774629629632</v>
      </c>
    </row>
    <row r="2581" spans="1:17">
      <c r="A2581" s="656" t="s">
        <v>13715</v>
      </c>
      <c r="B2581" s="657" t="s">
        <v>504</v>
      </c>
      <c r="C2581" s="656" t="s">
        <v>3184</v>
      </c>
      <c r="D2581" s="657" t="s">
        <v>14978</v>
      </c>
      <c r="E2581" s="657" t="s">
        <v>9654</v>
      </c>
      <c r="F2581" s="656" t="s">
        <v>540</v>
      </c>
      <c r="G2581" s="656" t="s">
        <v>541</v>
      </c>
      <c r="H2581" s="656" t="s">
        <v>540</v>
      </c>
      <c r="I2581" s="656"/>
      <c r="J2581" s="656"/>
      <c r="K2581" s="656"/>
      <c r="L2581" s="656" t="s">
        <v>13710</v>
      </c>
      <c r="M2581" s="657"/>
      <c r="N2581" s="1482"/>
      <c r="O2581" s="656" t="s">
        <v>498</v>
      </c>
      <c r="P2581" s="656" t="s">
        <v>13052</v>
      </c>
      <c r="Q2581" s="656">
        <v>44216.774629629632</v>
      </c>
    </row>
    <row r="2582" spans="1:17">
      <c r="A2582" s="656" t="s">
        <v>13713</v>
      </c>
      <c r="B2582" s="657" t="s">
        <v>504</v>
      </c>
      <c r="C2582" s="656" t="s">
        <v>13714</v>
      </c>
      <c r="D2582" s="657" t="s">
        <v>14978</v>
      </c>
      <c r="E2582" s="657" t="s">
        <v>9654</v>
      </c>
      <c r="F2582" s="656" t="s">
        <v>540</v>
      </c>
      <c r="G2582" s="656" t="s">
        <v>541</v>
      </c>
      <c r="H2582" s="656" t="s">
        <v>540</v>
      </c>
      <c r="I2582" s="656"/>
      <c r="J2582" s="656"/>
      <c r="K2582" s="656"/>
      <c r="L2582" s="656" t="s">
        <v>3185</v>
      </c>
      <c r="M2582" s="657"/>
      <c r="N2582" s="1482"/>
      <c r="O2582" s="656" t="s">
        <v>498</v>
      </c>
      <c r="P2582" s="656" t="s">
        <v>13052</v>
      </c>
      <c r="Q2582" s="656">
        <v>44216.774618055555</v>
      </c>
    </row>
    <row r="2583" spans="1:17">
      <c r="A2583" s="656" t="s">
        <v>13712</v>
      </c>
      <c r="B2583" s="657" t="s">
        <v>504</v>
      </c>
      <c r="C2583" s="656" t="s">
        <v>3185</v>
      </c>
      <c r="D2583" s="657" t="s">
        <v>14978</v>
      </c>
      <c r="E2583" s="657" t="s">
        <v>9654</v>
      </c>
      <c r="F2583" s="656" t="s">
        <v>540</v>
      </c>
      <c r="G2583" s="656" t="s">
        <v>541</v>
      </c>
      <c r="H2583" s="656" t="s">
        <v>540</v>
      </c>
      <c r="I2583" s="656"/>
      <c r="J2583" s="656"/>
      <c r="K2583" s="656"/>
      <c r="L2583" s="656" t="s">
        <v>3186</v>
      </c>
      <c r="M2583" s="657"/>
      <c r="N2583" s="1482"/>
      <c r="O2583" s="656" t="s">
        <v>498</v>
      </c>
      <c r="P2583" s="656" t="s">
        <v>13052</v>
      </c>
      <c r="Q2583" s="656">
        <v>44216.774618055555</v>
      </c>
    </row>
    <row r="2584" spans="1:17">
      <c r="A2584" s="656" t="s">
        <v>13711</v>
      </c>
      <c r="B2584" s="657" t="s">
        <v>504</v>
      </c>
      <c r="C2584" s="656" t="s">
        <v>3186</v>
      </c>
      <c r="D2584" s="657" t="s">
        <v>14978</v>
      </c>
      <c r="E2584" s="657" t="s">
        <v>9654</v>
      </c>
      <c r="F2584" s="656" t="s">
        <v>540</v>
      </c>
      <c r="G2584" s="656" t="s">
        <v>541</v>
      </c>
      <c r="H2584" s="656" t="s">
        <v>540</v>
      </c>
      <c r="I2584" s="656"/>
      <c r="J2584" s="656"/>
      <c r="K2584" s="656"/>
      <c r="L2584" s="656" t="s">
        <v>13710</v>
      </c>
      <c r="M2584" s="657"/>
      <c r="N2584" s="1482"/>
      <c r="O2584" s="656" t="s">
        <v>498</v>
      </c>
      <c r="P2584" s="656" t="s">
        <v>13052</v>
      </c>
      <c r="Q2584" s="656">
        <v>44216.774606481478</v>
      </c>
    </row>
    <row r="2585" spans="1:17">
      <c r="A2585" s="656" t="s">
        <v>3187</v>
      </c>
      <c r="B2585" s="657" t="s">
        <v>504</v>
      </c>
      <c r="C2585" s="656" t="s">
        <v>13710</v>
      </c>
      <c r="D2585" s="657" t="s">
        <v>14977</v>
      </c>
      <c r="E2585" s="657" t="s">
        <v>9654</v>
      </c>
      <c r="F2585" s="656" t="s">
        <v>540</v>
      </c>
      <c r="G2585" s="656" t="s">
        <v>541</v>
      </c>
      <c r="H2585" s="656" t="s">
        <v>540</v>
      </c>
      <c r="I2585" s="656"/>
      <c r="J2585" s="656"/>
      <c r="K2585" s="656"/>
      <c r="L2585" s="656"/>
      <c r="M2585" s="657"/>
      <c r="N2585" s="1482"/>
      <c r="O2585" s="656" t="s">
        <v>498</v>
      </c>
      <c r="P2585" s="656" t="s">
        <v>13052</v>
      </c>
      <c r="Q2585" s="656">
        <v>44216.774606481478</v>
      </c>
    </row>
    <row r="2586" spans="1:17">
      <c r="A2586" s="656" t="s">
        <v>3188</v>
      </c>
      <c r="B2586" s="657" t="s">
        <v>202</v>
      </c>
      <c r="C2586" s="656" t="s">
        <v>3189</v>
      </c>
      <c r="D2586" s="657" t="s">
        <v>14978</v>
      </c>
      <c r="E2586" s="657" t="s">
        <v>9510</v>
      </c>
      <c r="F2586" s="656" t="s">
        <v>3077</v>
      </c>
      <c r="G2586" s="656" t="s">
        <v>500</v>
      </c>
      <c r="H2586" s="656" t="s">
        <v>465</v>
      </c>
      <c r="I2586" s="656" t="s">
        <v>14976</v>
      </c>
      <c r="J2586" s="656" t="s">
        <v>446</v>
      </c>
      <c r="K2586" s="656"/>
      <c r="L2586" s="656" t="s">
        <v>3196</v>
      </c>
      <c r="M2586" s="657"/>
      <c r="N2586" s="1482"/>
      <c r="O2586" s="656" t="s">
        <v>498</v>
      </c>
      <c r="P2586" s="656" t="s">
        <v>13052</v>
      </c>
      <c r="Q2586" s="656">
        <v>44216.774594907409</v>
      </c>
    </row>
    <row r="2587" spans="1:17">
      <c r="A2587" s="656" t="s">
        <v>3190</v>
      </c>
      <c r="B2587" s="657" t="s">
        <v>202</v>
      </c>
      <c r="C2587" s="656" t="s">
        <v>3191</v>
      </c>
      <c r="D2587" s="657" t="s">
        <v>14978</v>
      </c>
      <c r="E2587" s="657" t="s">
        <v>9458</v>
      </c>
      <c r="F2587" s="656" t="s">
        <v>537</v>
      </c>
      <c r="G2587" s="656" t="s">
        <v>512</v>
      </c>
      <c r="H2587" s="656" t="s">
        <v>450</v>
      </c>
      <c r="I2587" s="656" t="s">
        <v>14976</v>
      </c>
      <c r="J2587" s="656" t="s">
        <v>473</v>
      </c>
      <c r="K2587" s="656" t="s">
        <v>4161</v>
      </c>
      <c r="L2587" s="656" t="s">
        <v>3196</v>
      </c>
      <c r="M2587" s="657"/>
      <c r="N2587" s="1482"/>
      <c r="O2587" s="656" t="s">
        <v>498</v>
      </c>
      <c r="P2587" s="656" t="s">
        <v>13052</v>
      </c>
      <c r="Q2587" s="656">
        <v>44216.774594907409</v>
      </c>
    </row>
    <row r="2588" spans="1:17">
      <c r="A2588" s="656" t="s">
        <v>3192</v>
      </c>
      <c r="B2588" s="657" t="s">
        <v>202</v>
      </c>
      <c r="C2588" s="656" t="s">
        <v>3193</v>
      </c>
      <c r="D2588" s="657" t="s">
        <v>14978</v>
      </c>
      <c r="E2588" s="657" t="s">
        <v>9458</v>
      </c>
      <c r="F2588" s="656" t="s">
        <v>537</v>
      </c>
      <c r="G2588" s="656" t="s">
        <v>500</v>
      </c>
      <c r="H2588" s="656" t="s">
        <v>450</v>
      </c>
      <c r="I2588" s="656" t="s">
        <v>14976</v>
      </c>
      <c r="J2588" s="656" t="s">
        <v>473</v>
      </c>
      <c r="K2588" s="656"/>
      <c r="L2588" s="656" t="s">
        <v>3196</v>
      </c>
      <c r="M2588" s="657"/>
      <c r="N2588" s="1482"/>
      <c r="O2588" s="656" t="s">
        <v>498</v>
      </c>
      <c r="P2588" s="656" t="s">
        <v>13052</v>
      </c>
      <c r="Q2588" s="656">
        <v>44216.774594907409</v>
      </c>
    </row>
    <row r="2589" spans="1:17">
      <c r="A2589" s="656" t="s">
        <v>3194</v>
      </c>
      <c r="B2589" s="657" t="s">
        <v>202</v>
      </c>
      <c r="C2589" s="656" t="s">
        <v>3195</v>
      </c>
      <c r="D2589" s="657" t="s">
        <v>14978</v>
      </c>
      <c r="E2589" s="657" t="s">
        <v>7439</v>
      </c>
      <c r="F2589" s="656" t="s">
        <v>537</v>
      </c>
      <c r="G2589" s="656" t="s">
        <v>500</v>
      </c>
      <c r="H2589" s="656" t="s">
        <v>450</v>
      </c>
      <c r="I2589" s="656" t="s">
        <v>14976</v>
      </c>
      <c r="J2589" s="656" t="s">
        <v>473</v>
      </c>
      <c r="K2589" s="656"/>
      <c r="L2589" s="656" t="s">
        <v>3196</v>
      </c>
      <c r="M2589" s="657"/>
      <c r="N2589" s="1482"/>
      <c r="O2589" s="656" t="s">
        <v>498</v>
      </c>
      <c r="P2589" s="656" t="s">
        <v>13052</v>
      </c>
      <c r="Q2589" s="656">
        <v>44216.774583333332</v>
      </c>
    </row>
    <row r="2590" spans="1:17">
      <c r="A2590" s="656" t="s">
        <v>3196</v>
      </c>
      <c r="B2590" s="657" t="s">
        <v>202</v>
      </c>
      <c r="C2590" s="656" t="s">
        <v>3197</v>
      </c>
      <c r="D2590" s="657" t="s">
        <v>14977</v>
      </c>
      <c r="E2590" s="657" t="s">
        <v>7439</v>
      </c>
      <c r="F2590" s="656" t="s">
        <v>537</v>
      </c>
      <c r="G2590" s="656"/>
      <c r="H2590" s="656" t="s">
        <v>450</v>
      </c>
      <c r="I2590" s="656" t="s">
        <v>15280</v>
      </c>
      <c r="J2590" s="656" t="s">
        <v>473</v>
      </c>
      <c r="K2590" s="656"/>
      <c r="L2590" s="656" t="s">
        <v>3196</v>
      </c>
      <c r="M2590" s="657"/>
      <c r="N2590" s="1482"/>
      <c r="O2590" s="656" t="s">
        <v>498</v>
      </c>
      <c r="P2590" s="656" t="s">
        <v>13052</v>
      </c>
      <c r="Q2590" s="656">
        <v>44216.774583333332</v>
      </c>
    </row>
    <row r="2591" spans="1:17">
      <c r="A2591" s="656" t="s">
        <v>3198</v>
      </c>
      <c r="B2591" s="657" t="s">
        <v>504</v>
      </c>
      <c r="C2591" s="656" t="s">
        <v>13709</v>
      </c>
      <c r="D2591" s="657" t="s">
        <v>13789</v>
      </c>
      <c r="E2591" s="657" t="s">
        <v>7439</v>
      </c>
      <c r="F2591" s="656" t="s">
        <v>505</v>
      </c>
      <c r="G2591" s="656" t="s">
        <v>2769</v>
      </c>
      <c r="H2591" s="656" t="s">
        <v>505</v>
      </c>
      <c r="I2591" s="656"/>
      <c r="J2591" s="656"/>
      <c r="K2591" s="656"/>
      <c r="L2591" s="656"/>
      <c r="M2591" s="657"/>
      <c r="N2591" s="1482"/>
      <c r="O2591" s="656" t="s">
        <v>498</v>
      </c>
      <c r="P2591" s="656" t="s">
        <v>13052</v>
      </c>
      <c r="Q2591" s="656">
        <v>44216.774571759262</v>
      </c>
    </row>
    <row r="2592" spans="1:17">
      <c r="A2592" s="656" t="s">
        <v>3199</v>
      </c>
      <c r="B2592" s="657" t="s">
        <v>504</v>
      </c>
      <c r="C2592" s="656" t="s">
        <v>3200</v>
      </c>
      <c r="D2592" s="657" t="s">
        <v>13789</v>
      </c>
      <c r="E2592" s="657" t="s">
        <v>9654</v>
      </c>
      <c r="F2592" s="656" t="s">
        <v>505</v>
      </c>
      <c r="G2592" s="656" t="s">
        <v>820</v>
      </c>
      <c r="H2592" s="656" t="s">
        <v>505</v>
      </c>
      <c r="I2592" s="656"/>
      <c r="J2592" s="656"/>
      <c r="K2592" s="656"/>
      <c r="L2592" s="656"/>
      <c r="M2592" s="657"/>
      <c r="N2592" s="1482"/>
      <c r="O2592" s="656" t="s">
        <v>498</v>
      </c>
      <c r="P2592" s="656" t="s">
        <v>13052</v>
      </c>
      <c r="Q2592" s="656">
        <v>44216.774571759262</v>
      </c>
    </row>
    <row r="2593" spans="1:17">
      <c r="A2593" s="656" t="s">
        <v>3201</v>
      </c>
      <c r="B2593" s="657" t="s">
        <v>202</v>
      </c>
      <c r="C2593" s="656" t="s">
        <v>3202</v>
      </c>
      <c r="D2593" s="657" t="s">
        <v>13789</v>
      </c>
      <c r="E2593" s="657" t="s">
        <v>7439</v>
      </c>
      <c r="F2593" s="656" t="s">
        <v>3077</v>
      </c>
      <c r="G2593" s="656" t="s">
        <v>512</v>
      </c>
      <c r="H2593" s="656" t="s">
        <v>465</v>
      </c>
      <c r="I2593" s="656" t="s">
        <v>14976</v>
      </c>
      <c r="J2593" s="656" t="s">
        <v>446</v>
      </c>
      <c r="K2593" s="656" t="s">
        <v>3077</v>
      </c>
      <c r="L2593" s="656"/>
      <c r="M2593" s="657"/>
      <c r="N2593" s="1482"/>
      <c r="O2593" s="656" t="s">
        <v>498</v>
      </c>
      <c r="P2593" s="656" t="s">
        <v>13052</v>
      </c>
      <c r="Q2593" s="656">
        <v>44216.774560185186</v>
      </c>
    </row>
    <row r="2594" spans="1:17">
      <c r="A2594" s="656" t="s">
        <v>3203</v>
      </c>
      <c r="B2594" s="657" t="s">
        <v>504</v>
      </c>
      <c r="C2594" s="656" t="s">
        <v>3204</v>
      </c>
      <c r="D2594" s="657" t="s">
        <v>13789</v>
      </c>
      <c r="E2594" s="657" t="s">
        <v>9654</v>
      </c>
      <c r="F2594" s="656" t="s">
        <v>540</v>
      </c>
      <c r="G2594" s="656" t="s">
        <v>541</v>
      </c>
      <c r="H2594" s="656" t="s">
        <v>540</v>
      </c>
      <c r="I2594" s="656"/>
      <c r="J2594" s="656"/>
      <c r="K2594" s="656"/>
      <c r="L2594" s="656"/>
      <c r="M2594" s="657"/>
      <c r="N2594" s="1482"/>
      <c r="O2594" s="656" t="s">
        <v>498</v>
      </c>
      <c r="P2594" s="656" t="s">
        <v>13052</v>
      </c>
      <c r="Q2594" s="656">
        <v>44216.774548611109</v>
      </c>
    </row>
    <row r="2595" spans="1:17">
      <c r="A2595" s="656" t="s">
        <v>3205</v>
      </c>
      <c r="B2595" s="657" t="s">
        <v>504</v>
      </c>
      <c r="C2595" s="656" t="s">
        <v>3206</v>
      </c>
      <c r="D2595" s="657" t="s">
        <v>14977</v>
      </c>
      <c r="E2595" s="657" t="s">
        <v>9654</v>
      </c>
      <c r="F2595" s="656" t="s">
        <v>540</v>
      </c>
      <c r="G2595" s="656" t="s">
        <v>625</v>
      </c>
      <c r="H2595" s="656" t="s">
        <v>540</v>
      </c>
      <c r="I2595" s="656"/>
      <c r="J2595" s="656"/>
      <c r="K2595" s="656"/>
      <c r="L2595" s="656"/>
      <c r="M2595" s="657"/>
      <c r="N2595" s="1482"/>
      <c r="O2595" s="656" t="s">
        <v>498</v>
      </c>
      <c r="P2595" s="656" t="s">
        <v>13052</v>
      </c>
      <c r="Q2595" s="656">
        <v>44216.774548611109</v>
      </c>
    </row>
    <row r="2596" spans="1:17">
      <c r="A2596" s="656" t="s">
        <v>3207</v>
      </c>
      <c r="B2596" s="657" t="s">
        <v>504</v>
      </c>
      <c r="C2596" s="656" t="s">
        <v>3208</v>
      </c>
      <c r="D2596" s="657" t="s">
        <v>14977</v>
      </c>
      <c r="E2596" s="657" t="s">
        <v>9654</v>
      </c>
      <c r="F2596" s="656" t="s">
        <v>540</v>
      </c>
      <c r="G2596" s="656" t="s">
        <v>625</v>
      </c>
      <c r="H2596" s="656" t="s">
        <v>540</v>
      </c>
      <c r="I2596" s="656"/>
      <c r="J2596" s="656"/>
      <c r="K2596" s="656"/>
      <c r="L2596" s="656"/>
      <c r="M2596" s="657"/>
      <c r="N2596" s="1482"/>
      <c r="O2596" s="656" t="s">
        <v>498</v>
      </c>
      <c r="P2596" s="656" t="s">
        <v>13052</v>
      </c>
      <c r="Q2596" s="656">
        <v>44216.774537037039</v>
      </c>
    </row>
    <row r="2597" spans="1:17">
      <c r="A2597" s="656" t="s">
        <v>3209</v>
      </c>
      <c r="B2597" s="657" t="s">
        <v>504</v>
      </c>
      <c r="C2597" s="656" t="s">
        <v>3210</v>
      </c>
      <c r="D2597" s="657" t="s">
        <v>14977</v>
      </c>
      <c r="E2597" s="657" t="s">
        <v>9654</v>
      </c>
      <c r="F2597" s="656" t="s">
        <v>540</v>
      </c>
      <c r="G2597" s="656" t="s">
        <v>625</v>
      </c>
      <c r="H2597" s="656" t="s">
        <v>540</v>
      </c>
      <c r="I2597" s="656"/>
      <c r="J2597" s="656"/>
      <c r="K2597" s="656"/>
      <c r="L2597" s="656"/>
      <c r="M2597" s="657"/>
      <c r="N2597" s="1482"/>
      <c r="O2597" s="656" t="s">
        <v>498</v>
      </c>
      <c r="P2597" s="656" t="s">
        <v>13052</v>
      </c>
      <c r="Q2597" s="656">
        <v>44216.774537037039</v>
      </c>
    </row>
    <row r="2598" spans="1:17">
      <c r="A2598" s="656" t="s">
        <v>3211</v>
      </c>
      <c r="B2598" s="657" t="s">
        <v>202</v>
      </c>
      <c r="C2598" s="656" t="s">
        <v>3212</v>
      </c>
      <c r="D2598" s="657" t="s">
        <v>13789</v>
      </c>
      <c r="E2598" s="657" t="s">
        <v>9458</v>
      </c>
      <c r="F2598" s="656" t="s">
        <v>462</v>
      </c>
      <c r="G2598" s="656"/>
      <c r="H2598" s="656" t="s">
        <v>462</v>
      </c>
      <c r="I2598" s="656" t="s">
        <v>14976</v>
      </c>
      <c r="J2598" s="656" t="s">
        <v>463</v>
      </c>
      <c r="K2598" s="656"/>
      <c r="L2598" s="656"/>
      <c r="M2598" s="657"/>
      <c r="N2598" s="1482"/>
      <c r="O2598" s="656" t="s">
        <v>498</v>
      </c>
      <c r="P2598" s="656" t="s">
        <v>13052</v>
      </c>
      <c r="Q2598" s="656">
        <v>44216.774525462963</v>
      </c>
    </row>
    <row r="2599" spans="1:17">
      <c r="A2599" s="656" t="s">
        <v>3213</v>
      </c>
      <c r="B2599" s="657" t="s">
        <v>202</v>
      </c>
      <c r="C2599" s="656" t="s">
        <v>3214</v>
      </c>
      <c r="D2599" s="657" t="s">
        <v>13789</v>
      </c>
      <c r="E2599" s="657" t="s">
        <v>9654</v>
      </c>
      <c r="F2599" s="656" t="s">
        <v>462</v>
      </c>
      <c r="G2599" s="656"/>
      <c r="H2599" s="656" t="s">
        <v>462</v>
      </c>
      <c r="I2599" s="656" t="s">
        <v>14976</v>
      </c>
      <c r="J2599" s="656" t="s">
        <v>463</v>
      </c>
      <c r="K2599" s="656"/>
      <c r="L2599" s="656"/>
      <c r="M2599" s="657"/>
      <c r="N2599" s="1482"/>
      <c r="O2599" s="656" t="s">
        <v>498</v>
      </c>
      <c r="P2599" s="656" t="s">
        <v>13052</v>
      </c>
      <c r="Q2599" s="656">
        <v>44216.774525462963</v>
      </c>
    </row>
    <row r="2600" spans="1:17">
      <c r="A2600" s="656" t="s">
        <v>3215</v>
      </c>
      <c r="B2600" s="657" t="s">
        <v>202</v>
      </c>
      <c r="C2600" s="656" t="s">
        <v>3216</v>
      </c>
      <c r="D2600" s="657" t="s">
        <v>13789</v>
      </c>
      <c r="E2600" s="657" t="s">
        <v>9458</v>
      </c>
      <c r="F2600" s="656" t="s">
        <v>462</v>
      </c>
      <c r="G2600" s="656"/>
      <c r="H2600" s="656" t="s">
        <v>462</v>
      </c>
      <c r="I2600" s="656" t="s">
        <v>14976</v>
      </c>
      <c r="J2600" s="656" t="s">
        <v>463</v>
      </c>
      <c r="K2600" s="656"/>
      <c r="L2600" s="656"/>
      <c r="M2600" s="657"/>
      <c r="N2600" s="1482"/>
      <c r="O2600" s="656" t="s">
        <v>498</v>
      </c>
      <c r="P2600" s="656" t="s">
        <v>13052</v>
      </c>
      <c r="Q2600" s="656">
        <v>44216.774525462963</v>
      </c>
    </row>
    <row r="2601" spans="1:17">
      <c r="A2601" s="656" t="s">
        <v>3217</v>
      </c>
      <c r="B2601" s="657" t="s">
        <v>202</v>
      </c>
      <c r="C2601" s="656" t="s">
        <v>3218</v>
      </c>
      <c r="D2601" s="657" t="s">
        <v>13789</v>
      </c>
      <c r="E2601" s="657" t="s">
        <v>9458</v>
      </c>
      <c r="F2601" s="656" t="s">
        <v>462</v>
      </c>
      <c r="G2601" s="656"/>
      <c r="H2601" s="656" t="s">
        <v>462</v>
      </c>
      <c r="I2601" s="656" t="s">
        <v>14976</v>
      </c>
      <c r="J2601" s="656" t="s">
        <v>463</v>
      </c>
      <c r="K2601" s="656"/>
      <c r="L2601" s="656"/>
      <c r="M2601" s="657"/>
      <c r="N2601" s="1482"/>
      <c r="O2601" s="656" t="s">
        <v>498</v>
      </c>
      <c r="P2601" s="656" t="s">
        <v>13052</v>
      </c>
      <c r="Q2601" s="656">
        <v>44216.774513888886</v>
      </c>
    </row>
    <row r="2602" spans="1:17">
      <c r="A2602" s="656" t="s">
        <v>3219</v>
      </c>
      <c r="B2602" s="657" t="s">
        <v>202</v>
      </c>
      <c r="C2602" s="656" t="s">
        <v>3220</v>
      </c>
      <c r="D2602" s="657" t="s">
        <v>13789</v>
      </c>
      <c r="E2602" s="657" t="s">
        <v>9458</v>
      </c>
      <c r="F2602" s="656" t="s">
        <v>462</v>
      </c>
      <c r="G2602" s="656"/>
      <c r="H2602" s="656" t="s">
        <v>462</v>
      </c>
      <c r="I2602" s="656" t="s">
        <v>14976</v>
      </c>
      <c r="J2602" s="656" t="s">
        <v>463</v>
      </c>
      <c r="K2602" s="656"/>
      <c r="L2602" s="656"/>
      <c r="M2602" s="657"/>
      <c r="N2602" s="1482"/>
      <c r="O2602" s="656" t="s">
        <v>498</v>
      </c>
      <c r="P2602" s="656" t="s">
        <v>13052</v>
      </c>
      <c r="Q2602" s="656">
        <v>44216.774513888886</v>
      </c>
    </row>
    <row r="2603" spans="1:17">
      <c r="A2603" s="656" t="s">
        <v>3221</v>
      </c>
      <c r="B2603" s="657" t="s">
        <v>202</v>
      </c>
      <c r="C2603" s="656" t="s">
        <v>3222</v>
      </c>
      <c r="D2603" s="657" t="s">
        <v>13789</v>
      </c>
      <c r="E2603" s="657" t="s">
        <v>7439</v>
      </c>
      <c r="F2603" s="656" t="s">
        <v>4052</v>
      </c>
      <c r="G2603" s="656" t="s">
        <v>512</v>
      </c>
      <c r="H2603" s="656" t="s">
        <v>455</v>
      </c>
      <c r="I2603" s="656" t="s">
        <v>14976</v>
      </c>
      <c r="J2603" s="656" t="s">
        <v>451</v>
      </c>
      <c r="K2603" s="656" t="s">
        <v>4052</v>
      </c>
      <c r="L2603" s="656"/>
      <c r="M2603" s="657"/>
      <c r="N2603" s="1482"/>
      <c r="O2603" s="656" t="s">
        <v>498</v>
      </c>
      <c r="P2603" s="656" t="s">
        <v>13052</v>
      </c>
      <c r="Q2603" s="656">
        <v>44216.774502314816</v>
      </c>
    </row>
    <row r="2604" spans="1:17">
      <c r="A2604" s="656" t="s">
        <v>3223</v>
      </c>
      <c r="B2604" s="657" t="s">
        <v>202</v>
      </c>
      <c r="C2604" s="656" t="s">
        <v>3224</v>
      </c>
      <c r="D2604" s="657"/>
      <c r="E2604" s="657" t="s">
        <v>7439</v>
      </c>
      <c r="F2604" s="656" t="s">
        <v>1300</v>
      </c>
      <c r="G2604" s="656" t="s">
        <v>2072</v>
      </c>
      <c r="H2604" s="656" t="s">
        <v>1300</v>
      </c>
      <c r="I2604" s="656" t="s">
        <v>14976</v>
      </c>
      <c r="J2604" s="656"/>
      <c r="K2604" s="656"/>
      <c r="L2604" s="656"/>
      <c r="M2604" s="657"/>
      <c r="N2604" s="1482"/>
      <c r="O2604" s="656" t="s">
        <v>498</v>
      </c>
      <c r="P2604" s="656" t="s">
        <v>13052</v>
      </c>
      <c r="Q2604" s="656">
        <v>44216.774502314816</v>
      </c>
    </row>
    <row r="2605" spans="1:17">
      <c r="A2605" s="656" t="s">
        <v>3225</v>
      </c>
      <c r="B2605" s="657" t="s">
        <v>504</v>
      </c>
      <c r="C2605" s="656" t="s">
        <v>13706</v>
      </c>
      <c r="D2605" s="657" t="s">
        <v>13789</v>
      </c>
      <c r="E2605" s="657" t="s">
        <v>9654</v>
      </c>
      <c r="F2605" s="656" t="s">
        <v>505</v>
      </c>
      <c r="G2605" s="656" t="s">
        <v>525</v>
      </c>
      <c r="H2605" s="656" t="s">
        <v>505</v>
      </c>
      <c r="I2605" s="656"/>
      <c r="J2605" s="656"/>
      <c r="K2605" s="656"/>
      <c r="L2605" s="656"/>
      <c r="M2605" s="657"/>
      <c r="N2605" s="1482"/>
      <c r="O2605" s="656" t="s">
        <v>498</v>
      </c>
      <c r="P2605" s="656" t="s">
        <v>13052</v>
      </c>
      <c r="Q2605" s="656">
        <v>44216.77449074074</v>
      </c>
    </row>
    <row r="2606" spans="1:17">
      <c r="A2606" s="656" t="s">
        <v>3226</v>
      </c>
      <c r="B2606" s="657" t="s">
        <v>202</v>
      </c>
      <c r="C2606" s="656" t="s">
        <v>3227</v>
      </c>
      <c r="D2606" s="657"/>
      <c r="E2606" s="657" t="s">
        <v>9458</v>
      </c>
      <c r="F2606" s="656" t="s">
        <v>3077</v>
      </c>
      <c r="G2606" s="656"/>
      <c r="H2606" s="656" t="s">
        <v>465</v>
      </c>
      <c r="I2606" s="656" t="s">
        <v>14976</v>
      </c>
      <c r="J2606" s="656" t="s">
        <v>446</v>
      </c>
      <c r="K2606" s="656"/>
      <c r="L2606" s="656"/>
      <c r="M2606" s="657"/>
      <c r="N2606" s="1482"/>
      <c r="O2606" s="656" t="s">
        <v>498</v>
      </c>
      <c r="P2606" s="656" t="s">
        <v>13052</v>
      </c>
      <c r="Q2606" s="656">
        <v>44216.77447916667</v>
      </c>
    </row>
    <row r="2607" spans="1:17">
      <c r="A2607" s="656" t="s">
        <v>3228</v>
      </c>
      <c r="B2607" s="657" t="s">
        <v>202</v>
      </c>
      <c r="C2607" s="656" t="s">
        <v>3229</v>
      </c>
      <c r="D2607" s="657" t="s">
        <v>14978</v>
      </c>
      <c r="E2607" s="657" t="s">
        <v>9458</v>
      </c>
      <c r="F2607" s="656" t="s">
        <v>655</v>
      </c>
      <c r="G2607" s="656" t="s">
        <v>1051</v>
      </c>
      <c r="H2607" s="656" t="s">
        <v>655</v>
      </c>
      <c r="I2607" s="656" t="s">
        <v>14976</v>
      </c>
      <c r="J2607" s="656"/>
      <c r="K2607" s="656"/>
      <c r="L2607" s="656" t="s">
        <v>5901</v>
      </c>
      <c r="M2607" s="657"/>
      <c r="N2607" s="1482"/>
      <c r="O2607" s="656" t="s">
        <v>498</v>
      </c>
      <c r="P2607" s="656" t="s">
        <v>13052</v>
      </c>
      <c r="Q2607" s="656">
        <v>44216.77447916667</v>
      </c>
    </row>
    <row r="2608" spans="1:17">
      <c r="A2608" s="656" t="s">
        <v>3230</v>
      </c>
      <c r="B2608" s="657" t="s">
        <v>202</v>
      </c>
      <c r="C2608" s="656" t="s">
        <v>3231</v>
      </c>
      <c r="D2608" s="657" t="s">
        <v>1239</v>
      </c>
      <c r="E2608" s="657" t="s">
        <v>9458</v>
      </c>
      <c r="F2608" s="656" t="s">
        <v>472</v>
      </c>
      <c r="G2608" s="656" t="s">
        <v>1395</v>
      </c>
      <c r="H2608" s="656" t="s">
        <v>472</v>
      </c>
      <c r="I2608" s="656" t="s">
        <v>14976</v>
      </c>
      <c r="J2608" s="656" t="s">
        <v>12368</v>
      </c>
      <c r="K2608" s="656"/>
      <c r="L2608" s="656"/>
      <c r="M2608" s="657"/>
      <c r="N2608" s="1482"/>
      <c r="O2608" s="656" t="s">
        <v>498</v>
      </c>
      <c r="P2608" s="656" t="s">
        <v>13052</v>
      </c>
      <c r="Q2608" s="656">
        <v>44216.774467592593</v>
      </c>
    </row>
    <row r="2609" spans="1:17">
      <c r="A2609" s="656" t="s">
        <v>3232</v>
      </c>
      <c r="B2609" s="657" t="s">
        <v>202</v>
      </c>
      <c r="C2609" s="656" t="s">
        <v>3233</v>
      </c>
      <c r="D2609" s="657" t="s">
        <v>13789</v>
      </c>
      <c r="E2609" s="657" t="s">
        <v>7439</v>
      </c>
      <c r="F2609" s="656" t="s">
        <v>2849</v>
      </c>
      <c r="G2609" s="656" t="s">
        <v>1395</v>
      </c>
      <c r="H2609" s="656" t="s">
        <v>1338</v>
      </c>
      <c r="I2609" s="656" t="s">
        <v>14976</v>
      </c>
      <c r="J2609" s="656"/>
      <c r="K2609" s="656"/>
      <c r="L2609" s="656"/>
      <c r="M2609" s="657"/>
      <c r="N2609" s="1482"/>
      <c r="O2609" s="656" t="s">
        <v>498</v>
      </c>
      <c r="P2609" s="656" t="s">
        <v>13052</v>
      </c>
      <c r="Q2609" s="656">
        <v>44216.774467592593</v>
      </c>
    </row>
    <row r="2610" spans="1:17">
      <c r="A2610" s="656" t="s">
        <v>3234</v>
      </c>
      <c r="B2610" s="657" t="s">
        <v>202</v>
      </c>
      <c r="C2610" s="656" t="s">
        <v>3235</v>
      </c>
      <c r="D2610" s="657" t="s">
        <v>1239</v>
      </c>
      <c r="E2610" s="657" t="s">
        <v>9458</v>
      </c>
      <c r="F2610" s="656" t="s">
        <v>3077</v>
      </c>
      <c r="G2610" s="656"/>
      <c r="H2610" s="656" t="s">
        <v>465</v>
      </c>
      <c r="I2610" s="656" t="s">
        <v>14976</v>
      </c>
      <c r="J2610" s="656" t="s">
        <v>446</v>
      </c>
      <c r="K2610" s="656"/>
      <c r="L2610" s="656"/>
      <c r="M2610" s="657"/>
      <c r="N2610" s="1482"/>
      <c r="O2610" s="656" t="s">
        <v>498</v>
      </c>
      <c r="P2610" s="656" t="s">
        <v>13052</v>
      </c>
      <c r="Q2610" s="656">
        <v>44216.774467592593</v>
      </c>
    </row>
    <row r="2611" spans="1:17">
      <c r="A2611" s="656" t="s">
        <v>3236</v>
      </c>
      <c r="B2611" s="657" t="s">
        <v>202</v>
      </c>
      <c r="C2611" s="656" t="s">
        <v>3237</v>
      </c>
      <c r="D2611" s="657" t="s">
        <v>13789</v>
      </c>
      <c r="E2611" s="657" t="s">
        <v>9458</v>
      </c>
      <c r="F2611" s="656" t="s">
        <v>655</v>
      </c>
      <c r="G2611" s="656" t="s">
        <v>1051</v>
      </c>
      <c r="H2611" s="656" t="s">
        <v>655</v>
      </c>
      <c r="I2611" s="656" t="s">
        <v>14976</v>
      </c>
      <c r="J2611" s="656"/>
      <c r="K2611" s="656"/>
      <c r="L2611" s="656"/>
      <c r="M2611" s="657"/>
      <c r="N2611" s="1482"/>
      <c r="O2611" s="656" t="s">
        <v>498</v>
      </c>
      <c r="P2611" s="656" t="s">
        <v>13052</v>
      </c>
      <c r="Q2611" s="656">
        <v>44216.774467592593</v>
      </c>
    </row>
    <row r="2612" spans="1:17">
      <c r="A2612" s="656" t="s">
        <v>3238</v>
      </c>
      <c r="B2612" s="657" t="s">
        <v>202</v>
      </c>
      <c r="C2612" s="656" t="s">
        <v>3239</v>
      </c>
      <c r="D2612" s="657" t="s">
        <v>13789</v>
      </c>
      <c r="E2612" s="657" t="s">
        <v>9458</v>
      </c>
      <c r="F2612" s="656" t="s">
        <v>655</v>
      </c>
      <c r="G2612" s="656" t="s">
        <v>1078</v>
      </c>
      <c r="H2612" s="656" t="s">
        <v>655</v>
      </c>
      <c r="I2612" s="656" t="s">
        <v>14976</v>
      </c>
      <c r="J2612" s="656"/>
      <c r="K2612" s="656"/>
      <c r="L2612" s="656"/>
      <c r="M2612" s="657"/>
      <c r="N2612" s="1482"/>
      <c r="O2612" s="656" t="s">
        <v>498</v>
      </c>
      <c r="P2612" s="656" t="s">
        <v>13052</v>
      </c>
      <c r="Q2612" s="656">
        <v>44216.774444444447</v>
      </c>
    </row>
    <row r="2613" spans="1:17">
      <c r="A2613" s="656" t="s">
        <v>3240</v>
      </c>
      <c r="B2613" s="657" t="s">
        <v>504</v>
      </c>
      <c r="C2613" s="656" t="s">
        <v>3241</v>
      </c>
      <c r="D2613" s="657" t="s">
        <v>13789</v>
      </c>
      <c r="E2613" s="657" t="s">
        <v>9654</v>
      </c>
      <c r="F2613" s="656" t="s">
        <v>505</v>
      </c>
      <c r="G2613" s="656" t="s">
        <v>1293</v>
      </c>
      <c r="H2613" s="656" t="s">
        <v>505</v>
      </c>
      <c r="I2613" s="656"/>
      <c r="J2613" s="656"/>
      <c r="K2613" s="656"/>
      <c r="L2613" s="656"/>
      <c r="M2613" s="657"/>
      <c r="N2613" s="1482"/>
      <c r="O2613" s="656" t="s">
        <v>498</v>
      </c>
      <c r="P2613" s="656" t="s">
        <v>13052</v>
      </c>
      <c r="Q2613" s="656">
        <v>44216.774444444447</v>
      </c>
    </row>
    <row r="2614" spans="1:17">
      <c r="A2614" s="656" t="s">
        <v>3242</v>
      </c>
      <c r="B2614" s="657" t="s">
        <v>504</v>
      </c>
      <c r="C2614" s="656" t="s">
        <v>3244</v>
      </c>
      <c r="D2614" s="657" t="s">
        <v>13789</v>
      </c>
      <c r="E2614" s="657" t="s">
        <v>9654</v>
      </c>
      <c r="F2614" s="656" t="s">
        <v>540</v>
      </c>
      <c r="G2614" s="656" t="s">
        <v>541</v>
      </c>
      <c r="H2614" s="656" t="s">
        <v>540</v>
      </c>
      <c r="I2614" s="656"/>
      <c r="J2614" s="656"/>
      <c r="K2614" s="656"/>
      <c r="L2614" s="656"/>
      <c r="M2614" s="657"/>
      <c r="N2614" s="1482"/>
      <c r="O2614" s="656" t="s">
        <v>498</v>
      </c>
      <c r="P2614" s="656" t="s">
        <v>13052</v>
      </c>
      <c r="Q2614" s="656">
        <v>44216.77443287037</v>
      </c>
    </row>
    <row r="2615" spans="1:17">
      <c r="A2615" s="656" t="s">
        <v>3243</v>
      </c>
      <c r="B2615" s="657" t="s">
        <v>202</v>
      </c>
      <c r="C2615" s="656" t="s">
        <v>3244</v>
      </c>
      <c r="D2615" s="657" t="s">
        <v>13789</v>
      </c>
      <c r="E2615" s="657" t="s">
        <v>9654</v>
      </c>
      <c r="F2615" s="656" t="s">
        <v>472</v>
      </c>
      <c r="G2615" s="656" t="s">
        <v>1395</v>
      </c>
      <c r="H2615" s="656" t="s">
        <v>472</v>
      </c>
      <c r="I2615" s="656" t="s">
        <v>14976</v>
      </c>
      <c r="J2615" s="656" t="s">
        <v>12368</v>
      </c>
      <c r="K2615" s="656"/>
      <c r="L2615" s="656"/>
      <c r="M2615" s="657"/>
      <c r="N2615" s="1482"/>
      <c r="O2615" s="656" t="s">
        <v>498</v>
      </c>
      <c r="P2615" s="656" t="s">
        <v>13052</v>
      </c>
      <c r="Q2615" s="656">
        <v>44216.77443287037</v>
      </c>
    </row>
    <row r="2616" spans="1:17">
      <c r="A2616" s="656" t="s">
        <v>3245</v>
      </c>
      <c r="B2616" s="657" t="s">
        <v>531</v>
      </c>
      <c r="C2616" s="656" t="s">
        <v>3246</v>
      </c>
      <c r="D2616" s="657" t="s">
        <v>13789</v>
      </c>
      <c r="E2616" s="657" t="s">
        <v>9654</v>
      </c>
      <c r="F2616" s="656" t="s">
        <v>442</v>
      </c>
      <c r="G2616" s="656" t="s">
        <v>561</v>
      </c>
      <c r="H2616" s="656" t="s">
        <v>442</v>
      </c>
      <c r="I2616" s="656" t="s">
        <v>14976</v>
      </c>
      <c r="J2616" s="656" t="s">
        <v>12369</v>
      </c>
      <c r="K2616" s="656"/>
      <c r="L2616" s="656"/>
      <c r="M2616" s="657"/>
      <c r="N2616" s="1482"/>
      <c r="O2616" s="656" t="s">
        <v>498</v>
      </c>
      <c r="P2616" s="656" t="s">
        <v>13052</v>
      </c>
      <c r="Q2616" s="656">
        <v>44216.77443287037</v>
      </c>
    </row>
    <row r="2617" spans="1:17">
      <c r="A2617" s="656" t="s">
        <v>3247</v>
      </c>
      <c r="B2617" s="657" t="s">
        <v>504</v>
      </c>
      <c r="C2617" s="656" t="s">
        <v>3248</v>
      </c>
      <c r="D2617" s="657" t="s">
        <v>13789</v>
      </c>
      <c r="E2617" s="657" t="s">
        <v>9654</v>
      </c>
      <c r="F2617" s="656" t="s">
        <v>505</v>
      </c>
      <c r="G2617" s="656" t="s">
        <v>522</v>
      </c>
      <c r="H2617" s="656" t="s">
        <v>505</v>
      </c>
      <c r="I2617" s="656"/>
      <c r="J2617" s="656"/>
      <c r="K2617" s="656"/>
      <c r="L2617" s="656"/>
      <c r="M2617" s="657"/>
      <c r="N2617" s="1482"/>
      <c r="O2617" s="656" t="s">
        <v>498</v>
      </c>
      <c r="P2617" s="656" t="s">
        <v>13052</v>
      </c>
      <c r="Q2617" s="656">
        <v>44216.774421296293</v>
      </c>
    </row>
    <row r="2618" spans="1:17">
      <c r="A2618" s="656" t="s">
        <v>3249</v>
      </c>
      <c r="B2618" s="657" t="s">
        <v>202</v>
      </c>
      <c r="C2618" s="656" t="s">
        <v>3250</v>
      </c>
      <c r="D2618" s="657" t="s">
        <v>13789</v>
      </c>
      <c r="E2618" s="657" t="s">
        <v>7439</v>
      </c>
      <c r="F2618" s="656" t="s">
        <v>462</v>
      </c>
      <c r="G2618" s="656"/>
      <c r="H2618" s="656" t="s">
        <v>462</v>
      </c>
      <c r="I2618" s="656" t="s">
        <v>14976</v>
      </c>
      <c r="J2618" s="656" t="s">
        <v>463</v>
      </c>
      <c r="K2618" s="656"/>
      <c r="L2618" s="656"/>
      <c r="M2618" s="657"/>
      <c r="N2618" s="1482"/>
      <c r="O2618" s="656" t="s">
        <v>498</v>
      </c>
      <c r="P2618" s="656" t="s">
        <v>13052</v>
      </c>
      <c r="Q2618" s="656">
        <v>44216.774409722224</v>
      </c>
    </row>
    <row r="2619" spans="1:17">
      <c r="A2619" s="656" t="s">
        <v>3251</v>
      </c>
      <c r="B2619" s="657" t="s">
        <v>202</v>
      </c>
      <c r="C2619" s="656" t="s">
        <v>3252</v>
      </c>
      <c r="D2619" s="657" t="s">
        <v>13789</v>
      </c>
      <c r="E2619" s="657" t="s">
        <v>9654</v>
      </c>
      <c r="F2619" s="656" t="s">
        <v>472</v>
      </c>
      <c r="G2619" s="656" t="s">
        <v>1070</v>
      </c>
      <c r="H2619" s="656" t="s">
        <v>472</v>
      </c>
      <c r="I2619" s="656" t="s">
        <v>14976</v>
      </c>
      <c r="J2619" s="656" t="s">
        <v>12368</v>
      </c>
      <c r="K2619" s="656"/>
      <c r="L2619" s="656"/>
      <c r="M2619" s="657"/>
      <c r="N2619" s="1482"/>
      <c r="O2619" s="656" t="s">
        <v>498</v>
      </c>
      <c r="P2619" s="656" t="s">
        <v>13052</v>
      </c>
      <c r="Q2619" s="656">
        <v>44216.774398148147</v>
      </c>
    </row>
    <row r="2620" spans="1:17">
      <c r="A2620" s="656" t="s">
        <v>3253</v>
      </c>
      <c r="B2620" s="657" t="s">
        <v>504</v>
      </c>
      <c r="C2620" s="656" t="s">
        <v>3254</v>
      </c>
      <c r="D2620" s="657" t="s">
        <v>13789</v>
      </c>
      <c r="E2620" s="657" t="s">
        <v>9654</v>
      </c>
      <c r="F2620" s="656" t="s">
        <v>505</v>
      </c>
      <c r="G2620" s="656" t="s">
        <v>525</v>
      </c>
      <c r="H2620" s="656" t="s">
        <v>505</v>
      </c>
      <c r="I2620" s="656"/>
      <c r="J2620" s="656"/>
      <c r="K2620" s="656"/>
      <c r="L2620" s="656"/>
      <c r="M2620" s="657"/>
      <c r="N2620" s="1482"/>
      <c r="O2620" s="656" t="s">
        <v>498</v>
      </c>
      <c r="P2620" s="656" t="s">
        <v>13052</v>
      </c>
      <c r="Q2620" s="656">
        <v>44216.774398148147</v>
      </c>
    </row>
    <row r="2621" spans="1:17">
      <c r="A2621" s="656" t="s">
        <v>3255</v>
      </c>
      <c r="B2621" s="657" t="s">
        <v>504</v>
      </c>
      <c r="C2621" s="656" t="s">
        <v>3256</v>
      </c>
      <c r="D2621" s="657" t="s">
        <v>13789</v>
      </c>
      <c r="E2621" s="657" t="s">
        <v>9654</v>
      </c>
      <c r="F2621" s="656" t="s">
        <v>505</v>
      </c>
      <c r="G2621" s="656" t="s">
        <v>525</v>
      </c>
      <c r="H2621" s="656" t="s">
        <v>505</v>
      </c>
      <c r="I2621" s="656"/>
      <c r="J2621" s="656"/>
      <c r="K2621" s="656"/>
      <c r="L2621" s="656"/>
      <c r="M2621" s="657"/>
      <c r="N2621" s="1482"/>
      <c r="O2621" s="656" t="s">
        <v>498</v>
      </c>
      <c r="P2621" s="656" t="s">
        <v>13052</v>
      </c>
      <c r="Q2621" s="656">
        <v>44216.774386574078</v>
      </c>
    </row>
    <row r="2622" spans="1:17">
      <c r="A2622" s="656" t="s">
        <v>3257</v>
      </c>
      <c r="B2622" s="657" t="s">
        <v>202</v>
      </c>
      <c r="C2622" s="656" t="s">
        <v>3258</v>
      </c>
      <c r="D2622" s="657" t="s">
        <v>13789</v>
      </c>
      <c r="E2622" s="657" t="s">
        <v>7439</v>
      </c>
      <c r="F2622" s="656" t="s">
        <v>783</v>
      </c>
      <c r="G2622" s="656" t="s">
        <v>783</v>
      </c>
      <c r="H2622" s="656" t="s">
        <v>783</v>
      </c>
      <c r="I2622" s="656" t="s">
        <v>14976</v>
      </c>
      <c r="J2622" s="656"/>
      <c r="K2622" s="656"/>
      <c r="L2622" s="656"/>
      <c r="M2622" s="657"/>
      <c r="N2622" s="1482"/>
      <c r="O2622" s="656" t="s">
        <v>498</v>
      </c>
      <c r="P2622" s="656" t="s">
        <v>13052</v>
      </c>
      <c r="Q2622" s="656">
        <v>44216.774386574078</v>
      </c>
    </row>
    <row r="2623" spans="1:17">
      <c r="A2623" s="656" t="s">
        <v>3259</v>
      </c>
      <c r="B2623" s="657" t="s">
        <v>504</v>
      </c>
      <c r="C2623" s="656" t="s">
        <v>3260</v>
      </c>
      <c r="D2623" s="657" t="s">
        <v>14978</v>
      </c>
      <c r="E2623" s="657" t="s">
        <v>9654</v>
      </c>
      <c r="F2623" s="656" t="s">
        <v>505</v>
      </c>
      <c r="G2623" s="656" t="s">
        <v>525</v>
      </c>
      <c r="H2623" s="656" t="s">
        <v>505</v>
      </c>
      <c r="I2623" s="656"/>
      <c r="J2623" s="656"/>
      <c r="K2623" s="656"/>
      <c r="L2623" s="656" t="s">
        <v>15305</v>
      </c>
      <c r="M2623" s="657"/>
      <c r="N2623" s="1482"/>
      <c r="O2623" s="656" t="s">
        <v>498</v>
      </c>
      <c r="P2623" s="656" t="s">
        <v>13052</v>
      </c>
      <c r="Q2623" s="656">
        <v>44216.774375000001</v>
      </c>
    </row>
    <row r="2624" spans="1:17">
      <c r="A2624" s="656" t="s">
        <v>3261</v>
      </c>
      <c r="B2624" s="657" t="s">
        <v>202</v>
      </c>
      <c r="C2624" s="656" t="s">
        <v>3262</v>
      </c>
      <c r="D2624" s="657" t="s">
        <v>14978</v>
      </c>
      <c r="E2624" s="657" t="s">
        <v>9458</v>
      </c>
      <c r="F2624" s="656" t="s">
        <v>472</v>
      </c>
      <c r="G2624" s="656" t="s">
        <v>519</v>
      </c>
      <c r="H2624" s="656" t="s">
        <v>472</v>
      </c>
      <c r="I2624" s="656" t="s">
        <v>14976</v>
      </c>
      <c r="J2624" s="656" t="s">
        <v>12368</v>
      </c>
      <c r="K2624" s="656" t="s">
        <v>1058</v>
      </c>
      <c r="L2624" s="656" t="s">
        <v>3265</v>
      </c>
      <c r="M2624" s="657"/>
      <c r="N2624" s="1482"/>
      <c r="O2624" s="656" t="s">
        <v>498</v>
      </c>
      <c r="P2624" s="656" t="s">
        <v>13052</v>
      </c>
      <c r="Q2624" s="656">
        <v>44216.774375000001</v>
      </c>
    </row>
    <row r="2625" spans="1:17">
      <c r="A2625" s="656" t="s">
        <v>3263</v>
      </c>
      <c r="B2625" s="657" t="s">
        <v>202</v>
      </c>
      <c r="C2625" s="656" t="s">
        <v>3264</v>
      </c>
      <c r="D2625" s="657" t="s">
        <v>14978</v>
      </c>
      <c r="E2625" s="657" t="s">
        <v>9458</v>
      </c>
      <c r="F2625" s="656" t="s">
        <v>472</v>
      </c>
      <c r="G2625" s="656" t="s">
        <v>1073</v>
      </c>
      <c r="H2625" s="656" t="s">
        <v>472</v>
      </c>
      <c r="I2625" s="656" t="s">
        <v>14976</v>
      </c>
      <c r="J2625" s="656" t="s">
        <v>12368</v>
      </c>
      <c r="K2625" s="656"/>
      <c r="L2625" s="656" t="s">
        <v>3265</v>
      </c>
      <c r="M2625" s="657"/>
      <c r="N2625" s="1482"/>
      <c r="O2625" s="656" t="s">
        <v>498</v>
      </c>
      <c r="P2625" s="656" t="s">
        <v>13052</v>
      </c>
      <c r="Q2625" s="656">
        <v>44216.774363425924</v>
      </c>
    </row>
    <row r="2626" spans="1:17">
      <c r="A2626" s="656" t="s">
        <v>3265</v>
      </c>
      <c r="B2626" s="657" t="s">
        <v>202</v>
      </c>
      <c r="C2626" s="656" t="s">
        <v>3266</v>
      </c>
      <c r="D2626" s="657" t="s">
        <v>13789</v>
      </c>
      <c r="E2626" s="657" t="s">
        <v>7439</v>
      </c>
      <c r="F2626" s="656" t="s">
        <v>472</v>
      </c>
      <c r="G2626" s="656" t="s">
        <v>1395</v>
      </c>
      <c r="H2626" s="656" t="s">
        <v>472</v>
      </c>
      <c r="I2626" s="656" t="s">
        <v>14976</v>
      </c>
      <c r="J2626" s="656" t="s">
        <v>12368</v>
      </c>
      <c r="K2626" s="656"/>
      <c r="L2626" s="656"/>
      <c r="M2626" s="657"/>
      <c r="N2626" s="1482"/>
      <c r="O2626" s="656" t="s">
        <v>498</v>
      </c>
      <c r="P2626" s="656" t="s">
        <v>13052</v>
      </c>
      <c r="Q2626" s="656">
        <v>44216.774363425924</v>
      </c>
    </row>
    <row r="2627" spans="1:17">
      <c r="A2627" s="656" t="s">
        <v>3267</v>
      </c>
      <c r="B2627" s="657" t="s">
        <v>202</v>
      </c>
      <c r="C2627" s="656" t="s">
        <v>3268</v>
      </c>
      <c r="D2627" s="657" t="s">
        <v>13789</v>
      </c>
      <c r="E2627" s="657" t="s">
        <v>7439</v>
      </c>
      <c r="F2627" s="656" t="s">
        <v>1300</v>
      </c>
      <c r="G2627" s="656" t="s">
        <v>1924</v>
      </c>
      <c r="H2627" s="656" t="s">
        <v>1300</v>
      </c>
      <c r="I2627" s="656" t="s">
        <v>14976</v>
      </c>
      <c r="J2627" s="656"/>
      <c r="K2627" s="656"/>
      <c r="L2627" s="656"/>
      <c r="M2627" s="657"/>
      <c r="N2627" s="1482"/>
      <c r="O2627" s="656" t="s">
        <v>498</v>
      </c>
      <c r="P2627" s="656" t="s">
        <v>13052</v>
      </c>
      <c r="Q2627" s="656">
        <v>44216.774351851855</v>
      </c>
    </row>
    <row r="2628" spans="1:17">
      <c r="A2628" s="656" t="s">
        <v>3269</v>
      </c>
      <c r="B2628" s="657" t="s">
        <v>202</v>
      </c>
      <c r="C2628" s="656" t="s">
        <v>3270</v>
      </c>
      <c r="D2628" s="657" t="s">
        <v>13789</v>
      </c>
      <c r="E2628" s="657" t="s">
        <v>7439</v>
      </c>
      <c r="F2628" s="656" t="s">
        <v>1300</v>
      </c>
      <c r="G2628" s="656" t="s">
        <v>1301</v>
      </c>
      <c r="H2628" s="656" t="s">
        <v>1300</v>
      </c>
      <c r="I2628" s="656" t="s">
        <v>14976</v>
      </c>
      <c r="J2628" s="656"/>
      <c r="K2628" s="656"/>
      <c r="L2628" s="656"/>
      <c r="M2628" s="657"/>
      <c r="N2628" s="1482"/>
      <c r="O2628" s="656" t="s">
        <v>498</v>
      </c>
      <c r="P2628" s="656" t="s">
        <v>13052</v>
      </c>
      <c r="Q2628" s="656">
        <v>44216.774351851855</v>
      </c>
    </row>
    <row r="2629" spans="1:17">
      <c r="A2629" s="656" t="s">
        <v>3272</v>
      </c>
      <c r="B2629" s="657" t="s">
        <v>504</v>
      </c>
      <c r="C2629" s="656" t="s">
        <v>3273</v>
      </c>
      <c r="D2629" s="657" t="s">
        <v>13789</v>
      </c>
      <c r="E2629" s="657" t="s">
        <v>9654</v>
      </c>
      <c r="F2629" s="656" t="s">
        <v>505</v>
      </c>
      <c r="G2629" s="656" t="s">
        <v>1293</v>
      </c>
      <c r="H2629" s="656" t="s">
        <v>505</v>
      </c>
      <c r="I2629" s="656"/>
      <c r="J2629" s="656"/>
      <c r="K2629" s="656"/>
      <c r="L2629" s="656"/>
      <c r="M2629" s="657"/>
      <c r="N2629" s="1482"/>
      <c r="O2629" s="656" t="s">
        <v>498</v>
      </c>
      <c r="P2629" s="656" t="s">
        <v>13052</v>
      </c>
      <c r="Q2629" s="656">
        <v>44216.774340277778</v>
      </c>
    </row>
    <row r="2630" spans="1:17">
      <c r="A2630" s="656" t="s">
        <v>3274</v>
      </c>
      <c r="B2630" s="657" t="s">
        <v>531</v>
      </c>
      <c r="C2630" s="656" t="s">
        <v>3275</v>
      </c>
      <c r="D2630" s="657"/>
      <c r="E2630" s="657" t="s">
        <v>7439</v>
      </c>
      <c r="F2630" s="656" t="s">
        <v>1300</v>
      </c>
      <c r="G2630" s="656" t="s">
        <v>717</v>
      </c>
      <c r="H2630" s="656" t="s">
        <v>1300</v>
      </c>
      <c r="I2630" s="656" t="s">
        <v>14976</v>
      </c>
      <c r="J2630" s="656"/>
      <c r="K2630" s="656"/>
      <c r="L2630" s="656"/>
      <c r="M2630" s="657"/>
      <c r="N2630" s="1482"/>
      <c r="O2630" s="656" t="s">
        <v>498</v>
      </c>
      <c r="P2630" s="656" t="s">
        <v>13052</v>
      </c>
      <c r="Q2630" s="656">
        <v>44216.774340277778</v>
      </c>
    </row>
    <row r="2631" spans="1:17">
      <c r="A2631" s="656" t="s">
        <v>3276</v>
      </c>
      <c r="B2631" s="657" t="s">
        <v>504</v>
      </c>
      <c r="C2631" s="656" t="s">
        <v>3277</v>
      </c>
      <c r="D2631" s="657" t="s">
        <v>13789</v>
      </c>
      <c r="E2631" s="657" t="s">
        <v>9654</v>
      </c>
      <c r="F2631" s="656" t="s">
        <v>505</v>
      </c>
      <c r="G2631" s="656" t="s">
        <v>525</v>
      </c>
      <c r="H2631" s="656" t="s">
        <v>505</v>
      </c>
      <c r="I2631" s="656"/>
      <c r="J2631" s="656"/>
      <c r="K2631" s="656"/>
      <c r="L2631" s="656"/>
      <c r="M2631" s="657"/>
      <c r="N2631" s="1482"/>
      <c r="O2631" s="656" t="s">
        <v>498</v>
      </c>
      <c r="P2631" s="656" t="s">
        <v>13052</v>
      </c>
      <c r="Q2631" s="656">
        <v>44216.774328703701</v>
      </c>
    </row>
    <row r="2632" spans="1:17">
      <c r="A2632" s="656" t="s">
        <v>3278</v>
      </c>
      <c r="B2632" s="657" t="s">
        <v>202</v>
      </c>
      <c r="C2632" s="656" t="s">
        <v>3279</v>
      </c>
      <c r="D2632" s="657" t="s">
        <v>14977</v>
      </c>
      <c r="E2632" s="657" t="s">
        <v>7439</v>
      </c>
      <c r="F2632" s="656" t="s">
        <v>1300</v>
      </c>
      <c r="G2632" s="656" t="s">
        <v>3280</v>
      </c>
      <c r="H2632" s="656" t="s">
        <v>1300</v>
      </c>
      <c r="I2632" s="656" t="s">
        <v>14976</v>
      </c>
      <c r="J2632" s="656"/>
      <c r="K2632" s="656"/>
      <c r="L2632" s="656" t="s">
        <v>3278</v>
      </c>
      <c r="M2632" s="657"/>
      <c r="N2632" s="1482"/>
      <c r="O2632" s="656" t="s">
        <v>498</v>
      </c>
      <c r="P2632" s="656" t="s">
        <v>13052</v>
      </c>
      <c r="Q2632" s="656">
        <v>44216.774317129632</v>
      </c>
    </row>
    <row r="2633" spans="1:17">
      <c r="A2633" s="656" t="s">
        <v>3282</v>
      </c>
      <c r="B2633" s="657" t="s">
        <v>202</v>
      </c>
      <c r="C2633" s="656" t="s">
        <v>3283</v>
      </c>
      <c r="D2633" s="657" t="s">
        <v>14978</v>
      </c>
      <c r="E2633" s="657" t="s">
        <v>7439</v>
      </c>
      <c r="F2633" s="656" t="s">
        <v>1300</v>
      </c>
      <c r="G2633" s="656" t="s">
        <v>1301</v>
      </c>
      <c r="H2633" s="656" t="s">
        <v>1300</v>
      </c>
      <c r="I2633" s="656" t="s">
        <v>14976</v>
      </c>
      <c r="J2633" s="656"/>
      <c r="K2633" s="656"/>
      <c r="L2633" s="656" t="s">
        <v>3612</v>
      </c>
      <c r="M2633" s="657"/>
      <c r="N2633" s="1482"/>
      <c r="O2633" s="656" t="s">
        <v>498</v>
      </c>
      <c r="P2633" s="656" t="s">
        <v>13052</v>
      </c>
      <c r="Q2633" s="656">
        <v>44216.774317129632</v>
      </c>
    </row>
    <row r="2634" spans="1:17">
      <c r="A2634" s="656" t="s">
        <v>3284</v>
      </c>
      <c r="B2634" s="657" t="s">
        <v>504</v>
      </c>
      <c r="C2634" s="656" t="s">
        <v>3285</v>
      </c>
      <c r="D2634" s="657" t="s">
        <v>13789</v>
      </c>
      <c r="E2634" s="657" t="s">
        <v>9654</v>
      </c>
      <c r="F2634" s="656" t="s">
        <v>505</v>
      </c>
      <c r="G2634" s="656" t="s">
        <v>660</v>
      </c>
      <c r="H2634" s="656" t="s">
        <v>505</v>
      </c>
      <c r="I2634" s="656"/>
      <c r="J2634" s="656"/>
      <c r="K2634" s="656"/>
      <c r="L2634" s="656"/>
      <c r="M2634" s="657"/>
      <c r="N2634" s="1482"/>
      <c r="O2634" s="656" t="s">
        <v>498</v>
      </c>
      <c r="P2634" s="656" t="s">
        <v>13052</v>
      </c>
      <c r="Q2634" s="656">
        <v>44216.774305555555</v>
      </c>
    </row>
    <row r="2635" spans="1:17">
      <c r="A2635" s="656" t="s">
        <v>3286</v>
      </c>
      <c r="B2635" s="657" t="s">
        <v>202</v>
      </c>
      <c r="C2635" s="656" t="s">
        <v>3287</v>
      </c>
      <c r="D2635" s="657" t="s">
        <v>14977</v>
      </c>
      <c r="E2635" s="657" t="s">
        <v>9654</v>
      </c>
      <c r="F2635" s="656" t="s">
        <v>472</v>
      </c>
      <c r="G2635" s="656" t="s">
        <v>1395</v>
      </c>
      <c r="H2635" s="656" t="s">
        <v>472</v>
      </c>
      <c r="I2635" s="656" t="s">
        <v>14976</v>
      </c>
      <c r="J2635" s="656" t="s">
        <v>12368</v>
      </c>
      <c r="K2635" s="656"/>
      <c r="L2635" s="656"/>
      <c r="M2635" s="657"/>
      <c r="N2635" s="1482"/>
      <c r="O2635" s="656" t="s">
        <v>498</v>
      </c>
      <c r="P2635" s="656" t="s">
        <v>13052</v>
      </c>
      <c r="Q2635" s="656">
        <v>44216.774305555555</v>
      </c>
    </row>
    <row r="2636" spans="1:17">
      <c r="A2636" s="656" t="s">
        <v>3288</v>
      </c>
      <c r="B2636" s="657" t="s">
        <v>504</v>
      </c>
      <c r="C2636" s="656" t="s">
        <v>3289</v>
      </c>
      <c r="D2636" s="657" t="s">
        <v>13789</v>
      </c>
      <c r="E2636" s="657" t="s">
        <v>9654</v>
      </c>
      <c r="F2636" s="656" t="s">
        <v>505</v>
      </c>
      <c r="G2636" s="656" t="s">
        <v>1293</v>
      </c>
      <c r="H2636" s="656" t="s">
        <v>505</v>
      </c>
      <c r="I2636" s="656"/>
      <c r="J2636" s="656"/>
      <c r="K2636" s="656"/>
      <c r="L2636" s="656"/>
      <c r="M2636" s="657"/>
      <c r="N2636" s="1482"/>
      <c r="O2636" s="656" t="s">
        <v>498</v>
      </c>
      <c r="P2636" s="656" t="s">
        <v>13052</v>
      </c>
      <c r="Q2636" s="656">
        <v>44216.774293981478</v>
      </c>
    </row>
    <row r="2637" spans="1:17">
      <c r="A2637" s="656" t="s">
        <v>3290</v>
      </c>
      <c r="B2637" s="657" t="s">
        <v>504</v>
      </c>
      <c r="C2637" s="656" t="s">
        <v>3291</v>
      </c>
      <c r="D2637" s="657" t="s">
        <v>13789</v>
      </c>
      <c r="E2637" s="657" t="s">
        <v>9654</v>
      </c>
      <c r="F2637" s="656" t="s">
        <v>505</v>
      </c>
      <c r="G2637" s="656" t="s">
        <v>525</v>
      </c>
      <c r="H2637" s="656" t="s">
        <v>505</v>
      </c>
      <c r="I2637" s="656"/>
      <c r="J2637" s="656"/>
      <c r="K2637" s="656"/>
      <c r="L2637" s="656"/>
      <c r="M2637" s="657"/>
      <c r="N2637" s="1482"/>
      <c r="O2637" s="656" t="s">
        <v>498</v>
      </c>
      <c r="P2637" s="656" t="s">
        <v>13052</v>
      </c>
      <c r="Q2637" s="656">
        <v>44216.774293981478</v>
      </c>
    </row>
    <row r="2638" spans="1:17">
      <c r="A2638" s="656" t="s">
        <v>3292</v>
      </c>
      <c r="B2638" s="657" t="s">
        <v>202</v>
      </c>
      <c r="C2638" s="656" t="s">
        <v>3293</v>
      </c>
      <c r="D2638" s="657" t="s">
        <v>14978</v>
      </c>
      <c r="E2638" s="657" t="s">
        <v>7439</v>
      </c>
      <c r="F2638" s="656" t="s">
        <v>655</v>
      </c>
      <c r="G2638" s="656" t="s">
        <v>2702</v>
      </c>
      <c r="H2638" s="656" t="s">
        <v>655</v>
      </c>
      <c r="I2638" s="656" t="s">
        <v>14976</v>
      </c>
      <c r="J2638" s="656" t="s">
        <v>15281</v>
      </c>
      <c r="K2638" s="656"/>
      <c r="L2638" s="656" t="s">
        <v>4513</v>
      </c>
      <c r="M2638" s="657"/>
      <c r="N2638" s="1482"/>
      <c r="O2638" s="656" t="s">
        <v>498</v>
      </c>
      <c r="P2638" s="656" t="s">
        <v>13052</v>
      </c>
      <c r="Q2638" s="656">
        <v>44216.774282407408</v>
      </c>
    </row>
    <row r="2639" spans="1:17">
      <c r="A2639" s="656" t="s">
        <v>3294</v>
      </c>
      <c r="B2639" s="657" t="s">
        <v>202</v>
      </c>
      <c r="C2639" s="656" t="s">
        <v>3295</v>
      </c>
      <c r="D2639" s="657" t="s">
        <v>14977</v>
      </c>
      <c r="E2639" s="657" t="s">
        <v>9654</v>
      </c>
      <c r="F2639" s="656" t="s">
        <v>472</v>
      </c>
      <c r="G2639" s="656" t="s">
        <v>1395</v>
      </c>
      <c r="H2639" s="656" t="s">
        <v>472</v>
      </c>
      <c r="I2639" s="656" t="s">
        <v>14976</v>
      </c>
      <c r="J2639" s="656" t="s">
        <v>12368</v>
      </c>
      <c r="K2639" s="656"/>
      <c r="L2639" s="656"/>
      <c r="M2639" s="657"/>
      <c r="N2639" s="1482"/>
      <c r="O2639" s="656" t="s">
        <v>498</v>
      </c>
      <c r="P2639" s="656" t="s">
        <v>13052</v>
      </c>
      <c r="Q2639" s="656">
        <v>44216.774282407408</v>
      </c>
    </row>
    <row r="2640" spans="1:17">
      <c r="A2640" s="656" t="s">
        <v>3296</v>
      </c>
      <c r="B2640" s="657" t="s">
        <v>202</v>
      </c>
      <c r="C2640" s="656" t="s">
        <v>3297</v>
      </c>
      <c r="D2640" s="657" t="s">
        <v>14978</v>
      </c>
      <c r="E2640" s="657" t="s">
        <v>7439</v>
      </c>
      <c r="F2640" s="656" t="s">
        <v>1300</v>
      </c>
      <c r="G2640" s="656" t="s">
        <v>1301</v>
      </c>
      <c r="H2640" s="656" t="s">
        <v>1300</v>
      </c>
      <c r="I2640" s="656" t="s">
        <v>14976</v>
      </c>
      <c r="J2640" s="656"/>
      <c r="K2640" s="656"/>
      <c r="L2640" s="656" t="s">
        <v>3612</v>
      </c>
      <c r="M2640" s="657"/>
      <c r="N2640" s="1482"/>
      <c r="O2640" s="656" t="s">
        <v>498</v>
      </c>
      <c r="P2640" s="656" t="s">
        <v>13052</v>
      </c>
      <c r="Q2640" s="656">
        <v>44216.774282407408</v>
      </c>
    </row>
    <row r="2641" spans="1:17">
      <c r="A2641" s="656" t="s">
        <v>3298</v>
      </c>
      <c r="B2641" s="657" t="s">
        <v>202</v>
      </c>
      <c r="C2641" s="656" t="s">
        <v>3299</v>
      </c>
      <c r="D2641" s="657" t="s">
        <v>14977</v>
      </c>
      <c r="E2641" s="657" t="s">
        <v>9654</v>
      </c>
      <c r="F2641" s="656" t="s">
        <v>472</v>
      </c>
      <c r="G2641" s="656" t="s">
        <v>519</v>
      </c>
      <c r="H2641" s="656" t="s">
        <v>472</v>
      </c>
      <c r="I2641" s="656" t="s">
        <v>14976</v>
      </c>
      <c r="J2641" s="656" t="s">
        <v>12368</v>
      </c>
      <c r="K2641" s="656" t="s">
        <v>1058</v>
      </c>
      <c r="L2641" s="656"/>
      <c r="M2641" s="657"/>
      <c r="N2641" s="1482"/>
      <c r="O2641" s="656" t="s">
        <v>498</v>
      </c>
      <c r="P2641" s="656" t="s">
        <v>13052</v>
      </c>
      <c r="Q2641" s="656">
        <v>44216.774270833332</v>
      </c>
    </row>
    <row r="2642" spans="1:17">
      <c r="A2642" s="656" t="s">
        <v>3300</v>
      </c>
      <c r="B2642" s="657" t="s">
        <v>504</v>
      </c>
      <c r="C2642" s="656" t="s">
        <v>65</v>
      </c>
      <c r="D2642" s="657" t="s">
        <v>13789</v>
      </c>
      <c r="E2642" s="657" t="s">
        <v>9654</v>
      </c>
      <c r="F2642" s="656" t="s">
        <v>505</v>
      </c>
      <c r="G2642" s="656" t="s">
        <v>2769</v>
      </c>
      <c r="H2642" s="656" t="s">
        <v>505</v>
      </c>
      <c r="I2642" s="656"/>
      <c r="J2642" s="656"/>
      <c r="K2642" s="656"/>
      <c r="L2642" s="656"/>
      <c r="M2642" s="657"/>
      <c r="N2642" s="1482"/>
      <c r="O2642" s="656" t="s">
        <v>498</v>
      </c>
      <c r="P2642" s="656" t="s">
        <v>13052</v>
      </c>
      <c r="Q2642" s="656">
        <v>44216.774270833332</v>
      </c>
    </row>
    <row r="2643" spans="1:17">
      <c r="A2643" s="656" t="s">
        <v>3301</v>
      </c>
      <c r="B2643" s="657" t="s">
        <v>504</v>
      </c>
      <c r="C2643" s="656" t="s">
        <v>3302</v>
      </c>
      <c r="D2643" s="657" t="s">
        <v>13789</v>
      </c>
      <c r="E2643" s="657" t="s">
        <v>7439</v>
      </c>
      <c r="F2643" s="656" t="s">
        <v>505</v>
      </c>
      <c r="G2643" s="656" t="s">
        <v>1293</v>
      </c>
      <c r="H2643" s="656" t="s">
        <v>505</v>
      </c>
      <c r="I2643" s="656"/>
      <c r="J2643" s="656"/>
      <c r="K2643" s="656"/>
      <c r="L2643" s="656"/>
      <c r="M2643" s="657"/>
      <c r="N2643" s="1482"/>
      <c r="O2643" s="656" t="s">
        <v>498</v>
      </c>
      <c r="P2643" s="656" t="s">
        <v>13052</v>
      </c>
      <c r="Q2643" s="656">
        <v>44216.774270833332</v>
      </c>
    </row>
    <row r="2644" spans="1:17">
      <c r="A2644" s="656" t="s">
        <v>3303</v>
      </c>
      <c r="B2644" s="657" t="s">
        <v>504</v>
      </c>
      <c r="C2644" s="656" t="s">
        <v>3304</v>
      </c>
      <c r="D2644" s="657" t="s">
        <v>13789</v>
      </c>
      <c r="E2644" s="657" t="s">
        <v>7439</v>
      </c>
      <c r="F2644" s="656" t="s">
        <v>505</v>
      </c>
      <c r="G2644" s="656" t="s">
        <v>525</v>
      </c>
      <c r="H2644" s="656" t="s">
        <v>505</v>
      </c>
      <c r="I2644" s="656"/>
      <c r="J2644" s="656"/>
      <c r="K2644" s="656"/>
      <c r="L2644" s="656"/>
      <c r="M2644" s="657"/>
      <c r="N2644" s="1482"/>
      <c r="O2644" s="656" t="s">
        <v>498</v>
      </c>
      <c r="P2644" s="656" t="s">
        <v>13052</v>
      </c>
      <c r="Q2644" s="656">
        <v>44216.774259259262</v>
      </c>
    </row>
    <row r="2645" spans="1:17">
      <c r="A2645" s="656" t="s">
        <v>3305</v>
      </c>
      <c r="B2645" s="657" t="s">
        <v>202</v>
      </c>
      <c r="C2645" s="656" t="s">
        <v>3306</v>
      </c>
      <c r="D2645" s="657" t="s">
        <v>14977</v>
      </c>
      <c r="E2645" s="657" t="s">
        <v>9654</v>
      </c>
      <c r="F2645" s="656" t="s">
        <v>1300</v>
      </c>
      <c r="G2645" s="656" t="s">
        <v>1301</v>
      </c>
      <c r="H2645" s="656" t="s">
        <v>1300</v>
      </c>
      <c r="I2645" s="656" t="s">
        <v>14976</v>
      </c>
      <c r="J2645" s="656"/>
      <c r="K2645" s="656"/>
      <c r="L2645" s="656" t="s">
        <v>3305</v>
      </c>
      <c r="M2645" s="657"/>
      <c r="N2645" s="1482"/>
      <c r="O2645" s="656" t="s">
        <v>498</v>
      </c>
      <c r="P2645" s="656" t="s">
        <v>13052</v>
      </c>
      <c r="Q2645" s="656">
        <v>44216.774259259262</v>
      </c>
    </row>
    <row r="2646" spans="1:17">
      <c r="A2646" s="656" t="s">
        <v>3307</v>
      </c>
      <c r="B2646" s="657" t="s">
        <v>202</v>
      </c>
      <c r="C2646" s="656" t="s">
        <v>3308</v>
      </c>
      <c r="D2646" s="657"/>
      <c r="E2646" s="657" t="s">
        <v>7439</v>
      </c>
      <c r="F2646" s="656" t="s">
        <v>1667</v>
      </c>
      <c r="G2646" s="656" t="s">
        <v>2511</v>
      </c>
      <c r="H2646" s="656" t="s">
        <v>1667</v>
      </c>
      <c r="I2646" s="656" t="s">
        <v>14976</v>
      </c>
      <c r="J2646" s="656" t="s">
        <v>15282</v>
      </c>
      <c r="K2646" s="656"/>
      <c r="L2646" s="656"/>
      <c r="M2646" s="657"/>
      <c r="N2646" s="1482"/>
      <c r="O2646" s="656" t="s">
        <v>498</v>
      </c>
      <c r="P2646" s="656" t="s">
        <v>13052</v>
      </c>
      <c r="Q2646" s="656">
        <v>44216.774247685185</v>
      </c>
    </row>
    <row r="2647" spans="1:17">
      <c r="A2647" s="656" t="s">
        <v>3309</v>
      </c>
      <c r="B2647" s="657" t="s">
        <v>504</v>
      </c>
      <c r="C2647" s="656" t="s">
        <v>3310</v>
      </c>
      <c r="D2647" s="657"/>
      <c r="E2647" s="657" t="s">
        <v>7439</v>
      </c>
      <c r="F2647" s="656" t="s">
        <v>505</v>
      </c>
      <c r="G2647" s="656" t="s">
        <v>2769</v>
      </c>
      <c r="H2647" s="656" t="s">
        <v>505</v>
      </c>
      <c r="I2647" s="656"/>
      <c r="J2647" s="656"/>
      <c r="K2647" s="656"/>
      <c r="L2647" s="656"/>
      <c r="M2647" s="657"/>
      <c r="N2647" s="1482"/>
      <c r="O2647" s="656" t="s">
        <v>498</v>
      </c>
      <c r="P2647" s="656" t="s">
        <v>13052</v>
      </c>
      <c r="Q2647" s="656">
        <v>44216.774247685185</v>
      </c>
    </row>
    <row r="2648" spans="1:17">
      <c r="A2648" s="656" t="s">
        <v>3311</v>
      </c>
      <c r="B2648" s="657" t="s">
        <v>504</v>
      </c>
      <c r="C2648" s="656" t="s">
        <v>3312</v>
      </c>
      <c r="D2648" s="657"/>
      <c r="E2648" s="657" t="s">
        <v>7439</v>
      </c>
      <c r="F2648" s="656" t="s">
        <v>505</v>
      </c>
      <c r="G2648" s="656" t="s">
        <v>2769</v>
      </c>
      <c r="H2648" s="656" t="s">
        <v>505</v>
      </c>
      <c r="I2648" s="656"/>
      <c r="J2648" s="656"/>
      <c r="K2648" s="656"/>
      <c r="L2648" s="656"/>
      <c r="M2648" s="657"/>
      <c r="N2648" s="1482"/>
      <c r="O2648" s="656" t="s">
        <v>498</v>
      </c>
      <c r="P2648" s="656" t="s">
        <v>13052</v>
      </c>
      <c r="Q2648" s="656">
        <v>44216.774236111109</v>
      </c>
    </row>
    <row r="2649" spans="1:17">
      <c r="A2649" s="656" t="s">
        <v>3313</v>
      </c>
      <c r="B2649" s="657" t="s">
        <v>202</v>
      </c>
      <c r="C2649" s="656" t="s">
        <v>3314</v>
      </c>
      <c r="D2649" s="657" t="s">
        <v>1239</v>
      </c>
      <c r="E2649" s="657" t="s">
        <v>7439</v>
      </c>
      <c r="F2649" s="656" t="s">
        <v>1300</v>
      </c>
      <c r="G2649" s="656"/>
      <c r="H2649" s="656" t="s">
        <v>1300</v>
      </c>
      <c r="I2649" s="656" t="s">
        <v>14976</v>
      </c>
      <c r="J2649" s="656" t="s">
        <v>15285</v>
      </c>
      <c r="K2649" s="656"/>
      <c r="L2649" s="656"/>
      <c r="M2649" s="657"/>
      <c r="N2649" s="1482"/>
      <c r="O2649" s="656" t="s">
        <v>498</v>
      </c>
      <c r="P2649" s="656" t="s">
        <v>13052</v>
      </c>
      <c r="Q2649" s="656">
        <v>44216.774236111109</v>
      </c>
    </row>
    <row r="2650" spans="1:17">
      <c r="A2650" s="656" t="s">
        <v>3315</v>
      </c>
      <c r="B2650" s="657" t="s">
        <v>202</v>
      </c>
      <c r="C2650" s="656" t="s">
        <v>3316</v>
      </c>
      <c r="D2650" s="657" t="s">
        <v>14977</v>
      </c>
      <c r="E2650" s="657" t="s">
        <v>7439</v>
      </c>
      <c r="F2650" s="656" t="s">
        <v>1300</v>
      </c>
      <c r="G2650" s="656"/>
      <c r="H2650" s="656" t="s">
        <v>1300</v>
      </c>
      <c r="I2650" s="656" t="s">
        <v>14976</v>
      </c>
      <c r="J2650" s="656" t="s">
        <v>15285</v>
      </c>
      <c r="K2650" s="656"/>
      <c r="L2650" s="656" t="s">
        <v>3315</v>
      </c>
      <c r="M2650" s="657"/>
      <c r="N2650" s="1482"/>
      <c r="O2650" s="656" t="s">
        <v>498</v>
      </c>
      <c r="P2650" s="656" t="s">
        <v>13052</v>
      </c>
      <c r="Q2650" s="656">
        <v>44216.774224537039</v>
      </c>
    </row>
    <row r="2651" spans="1:17">
      <c r="A2651" s="656" t="s">
        <v>3317</v>
      </c>
      <c r="B2651" s="657" t="s">
        <v>504</v>
      </c>
      <c r="C2651" s="656" t="s">
        <v>3318</v>
      </c>
      <c r="D2651" s="657"/>
      <c r="E2651" s="657" t="s">
        <v>9654</v>
      </c>
      <c r="F2651" s="656" t="s">
        <v>505</v>
      </c>
      <c r="G2651" s="656" t="s">
        <v>525</v>
      </c>
      <c r="H2651" s="656" t="s">
        <v>505</v>
      </c>
      <c r="I2651" s="656"/>
      <c r="J2651" s="656"/>
      <c r="K2651" s="656"/>
      <c r="L2651" s="656"/>
      <c r="M2651" s="657"/>
      <c r="N2651" s="1482"/>
      <c r="O2651" s="656" t="s">
        <v>498</v>
      </c>
      <c r="P2651" s="656" t="s">
        <v>13052</v>
      </c>
      <c r="Q2651" s="656">
        <v>44216.774224537039</v>
      </c>
    </row>
    <row r="2652" spans="1:17">
      <c r="A2652" s="656" t="s">
        <v>3319</v>
      </c>
      <c r="B2652" s="657" t="s">
        <v>504</v>
      </c>
      <c r="C2652" s="656" t="s">
        <v>3320</v>
      </c>
      <c r="D2652" s="657"/>
      <c r="E2652" s="657" t="s">
        <v>9654</v>
      </c>
      <c r="F2652" s="656" t="s">
        <v>505</v>
      </c>
      <c r="G2652" s="656" t="s">
        <v>525</v>
      </c>
      <c r="H2652" s="656" t="s">
        <v>505</v>
      </c>
      <c r="I2652" s="656"/>
      <c r="J2652" s="656"/>
      <c r="K2652" s="656"/>
      <c r="L2652" s="656"/>
      <c r="M2652" s="657"/>
      <c r="N2652" s="1482"/>
      <c r="O2652" s="656" t="s">
        <v>498</v>
      </c>
      <c r="P2652" s="656" t="s">
        <v>13052</v>
      </c>
      <c r="Q2652" s="656">
        <v>44216.774224537039</v>
      </c>
    </row>
    <row r="2653" spans="1:17">
      <c r="A2653" s="656" t="s">
        <v>3321</v>
      </c>
      <c r="B2653" s="657" t="s">
        <v>202</v>
      </c>
      <c r="C2653" s="656" t="s">
        <v>3322</v>
      </c>
      <c r="D2653" s="657" t="s">
        <v>1239</v>
      </c>
      <c r="E2653" s="657" t="s">
        <v>7439</v>
      </c>
      <c r="F2653" s="656" t="s">
        <v>1667</v>
      </c>
      <c r="G2653" s="656" t="s">
        <v>2702</v>
      </c>
      <c r="H2653" s="656" t="s">
        <v>1667</v>
      </c>
      <c r="I2653" s="656" t="s">
        <v>14976</v>
      </c>
      <c r="J2653" s="656" t="s">
        <v>15282</v>
      </c>
      <c r="K2653" s="656"/>
      <c r="L2653" s="656"/>
      <c r="M2653" s="657"/>
      <c r="N2653" s="1482"/>
      <c r="O2653" s="656" t="s">
        <v>498</v>
      </c>
      <c r="P2653" s="656" t="s">
        <v>13052</v>
      </c>
      <c r="Q2653" s="656">
        <v>44216.774212962962</v>
      </c>
    </row>
    <row r="2654" spans="1:17">
      <c r="A2654" s="656" t="s">
        <v>3323</v>
      </c>
      <c r="B2654" s="657" t="s">
        <v>202</v>
      </c>
      <c r="C2654" s="656" t="s">
        <v>3324</v>
      </c>
      <c r="D2654" s="657" t="s">
        <v>14977</v>
      </c>
      <c r="E2654" s="657" t="s">
        <v>9654</v>
      </c>
      <c r="F2654" s="656" t="s">
        <v>655</v>
      </c>
      <c r="G2654" s="656"/>
      <c r="H2654" s="656" t="s">
        <v>655</v>
      </c>
      <c r="I2654" s="656" t="s">
        <v>14976</v>
      </c>
      <c r="J2654" s="656" t="s">
        <v>15281</v>
      </c>
      <c r="K2654" s="656"/>
      <c r="L2654" s="656" t="s">
        <v>3323</v>
      </c>
      <c r="M2654" s="657"/>
      <c r="N2654" s="1482"/>
      <c r="O2654" s="656" t="s">
        <v>498</v>
      </c>
      <c r="P2654" s="656" t="s">
        <v>13052</v>
      </c>
      <c r="Q2654" s="656">
        <v>44216.774212962962</v>
      </c>
    </row>
    <row r="2655" spans="1:17">
      <c r="A2655" s="656" t="s">
        <v>3325</v>
      </c>
      <c r="B2655" s="657" t="s">
        <v>202</v>
      </c>
      <c r="C2655" s="656" t="s">
        <v>3326</v>
      </c>
      <c r="D2655" s="657" t="s">
        <v>14977</v>
      </c>
      <c r="E2655" s="657" t="s">
        <v>7439</v>
      </c>
      <c r="F2655" s="656" t="s">
        <v>462</v>
      </c>
      <c r="G2655" s="656"/>
      <c r="H2655" s="656" t="s">
        <v>462</v>
      </c>
      <c r="I2655" s="656" t="s">
        <v>14976</v>
      </c>
      <c r="J2655" s="656" t="s">
        <v>463</v>
      </c>
      <c r="K2655" s="656"/>
      <c r="L2655" s="656" t="s">
        <v>3325</v>
      </c>
      <c r="M2655" s="657"/>
      <c r="N2655" s="1482"/>
      <c r="O2655" s="656" t="s">
        <v>498</v>
      </c>
      <c r="P2655" s="656" t="s">
        <v>13052</v>
      </c>
      <c r="Q2655" s="656">
        <v>44216.774201388886</v>
      </c>
    </row>
    <row r="2656" spans="1:17">
      <c r="A2656" s="656" t="s">
        <v>3327</v>
      </c>
      <c r="B2656" s="657" t="s">
        <v>202</v>
      </c>
      <c r="C2656" s="656" t="s">
        <v>3328</v>
      </c>
      <c r="D2656" s="657" t="s">
        <v>14977</v>
      </c>
      <c r="E2656" s="657" t="s">
        <v>7439</v>
      </c>
      <c r="F2656" s="656" t="s">
        <v>1300</v>
      </c>
      <c r="G2656" s="656"/>
      <c r="H2656" s="656" t="s">
        <v>1300</v>
      </c>
      <c r="I2656" s="656" t="s">
        <v>15280</v>
      </c>
      <c r="J2656" s="656"/>
      <c r="K2656" s="656"/>
      <c r="L2656" s="656" t="s">
        <v>3327</v>
      </c>
      <c r="M2656" s="657"/>
      <c r="N2656" s="1482"/>
      <c r="O2656" s="656" t="s">
        <v>498</v>
      </c>
      <c r="P2656" s="656" t="s">
        <v>13052</v>
      </c>
      <c r="Q2656" s="656">
        <v>44216.774201388886</v>
      </c>
    </row>
    <row r="2657" spans="1:17">
      <c r="A2657" s="656" t="s">
        <v>3329</v>
      </c>
      <c r="B2657" s="657" t="s">
        <v>202</v>
      </c>
      <c r="C2657" s="656" t="s">
        <v>3330</v>
      </c>
      <c r="D2657" s="657" t="s">
        <v>14977</v>
      </c>
      <c r="E2657" s="657" t="s">
        <v>7439</v>
      </c>
      <c r="F2657" s="656" t="s">
        <v>1300</v>
      </c>
      <c r="G2657" s="656"/>
      <c r="H2657" s="656" t="s">
        <v>1300</v>
      </c>
      <c r="I2657" s="656" t="s">
        <v>14976</v>
      </c>
      <c r="J2657" s="656"/>
      <c r="K2657" s="656"/>
      <c r="L2657" s="656" t="s">
        <v>3329</v>
      </c>
      <c r="M2657" s="657"/>
      <c r="N2657" s="1482"/>
      <c r="O2657" s="656" t="s">
        <v>498</v>
      </c>
      <c r="P2657" s="656" t="s">
        <v>13052</v>
      </c>
      <c r="Q2657" s="656">
        <v>44216.774201388886</v>
      </c>
    </row>
    <row r="2658" spans="1:17">
      <c r="A2658" s="656" t="s">
        <v>3331</v>
      </c>
      <c r="B2658" s="657" t="s">
        <v>504</v>
      </c>
      <c r="C2658" s="656" t="s">
        <v>3332</v>
      </c>
      <c r="D2658" s="657"/>
      <c r="E2658" s="657" t="s">
        <v>7439</v>
      </c>
      <c r="F2658" s="656" t="s">
        <v>505</v>
      </c>
      <c r="G2658" s="656" t="s">
        <v>1394</v>
      </c>
      <c r="H2658" s="656" t="s">
        <v>505</v>
      </c>
      <c r="I2658" s="656"/>
      <c r="J2658" s="656"/>
      <c r="K2658" s="656"/>
      <c r="L2658" s="656"/>
      <c r="M2658" s="657"/>
      <c r="N2658" s="1482"/>
      <c r="O2658" s="656" t="s">
        <v>498</v>
      </c>
      <c r="P2658" s="656" t="s">
        <v>13052</v>
      </c>
      <c r="Q2658" s="656">
        <v>44216.774189814816</v>
      </c>
    </row>
    <row r="2659" spans="1:17">
      <c r="A2659" s="656" t="s">
        <v>3333</v>
      </c>
      <c r="B2659" s="657" t="s">
        <v>504</v>
      </c>
      <c r="C2659" s="656" t="s">
        <v>3334</v>
      </c>
      <c r="D2659" s="657"/>
      <c r="E2659" s="657" t="s">
        <v>7439</v>
      </c>
      <c r="F2659" s="656" t="s">
        <v>505</v>
      </c>
      <c r="G2659" s="656" t="s">
        <v>3335</v>
      </c>
      <c r="H2659" s="656" t="s">
        <v>505</v>
      </c>
      <c r="I2659" s="656"/>
      <c r="J2659" s="656"/>
      <c r="K2659" s="656"/>
      <c r="L2659" s="656"/>
      <c r="M2659" s="657"/>
      <c r="N2659" s="1482"/>
      <c r="O2659" s="656" t="s">
        <v>498</v>
      </c>
      <c r="P2659" s="656" t="s">
        <v>13052</v>
      </c>
      <c r="Q2659" s="656">
        <v>44216.774178240739</v>
      </c>
    </row>
    <row r="2660" spans="1:17">
      <c r="A2660" s="656" t="s">
        <v>3336</v>
      </c>
      <c r="B2660" s="657" t="s">
        <v>504</v>
      </c>
      <c r="C2660" s="656" t="s">
        <v>3337</v>
      </c>
      <c r="D2660" s="657"/>
      <c r="E2660" s="657" t="s">
        <v>7439</v>
      </c>
      <c r="F2660" s="656" t="s">
        <v>505</v>
      </c>
      <c r="G2660" s="656" t="s">
        <v>3335</v>
      </c>
      <c r="H2660" s="656" t="s">
        <v>505</v>
      </c>
      <c r="I2660" s="656"/>
      <c r="J2660" s="656"/>
      <c r="K2660" s="656"/>
      <c r="L2660" s="656"/>
      <c r="M2660" s="657"/>
      <c r="N2660" s="1482"/>
      <c r="O2660" s="656" t="s">
        <v>498</v>
      </c>
      <c r="P2660" s="656" t="s">
        <v>13052</v>
      </c>
      <c r="Q2660" s="656">
        <v>44216.774178240739</v>
      </c>
    </row>
    <row r="2661" spans="1:17">
      <c r="A2661" s="656" t="s">
        <v>3338</v>
      </c>
      <c r="B2661" s="657" t="s">
        <v>531</v>
      </c>
      <c r="C2661" s="656" t="s">
        <v>3339</v>
      </c>
      <c r="D2661" s="657" t="s">
        <v>14977</v>
      </c>
      <c r="E2661" s="657" t="s">
        <v>7439</v>
      </c>
      <c r="F2661" s="656" t="s">
        <v>1394</v>
      </c>
      <c r="G2661" s="656" t="s">
        <v>1394</v>
      </c>
      <c r="H2661" s="656" t="s">
        <v>1394</v>
      </c>
      <c r="I2661" s="656" t="s">
        <v>14976</v>
      </c>
      <c r="J2661" s="656"/>
      <c r="K2661" s="656"/>
      <c r="L2661" s="656" t="s">
        <v>3338</v>
      </c>
      <c r="M2661" s="657"/>
      <c r="N2661" s="1482"/>
      <c r="O2661" s="656" t="s">
        <v>498</v>
      </c>
      <c r="P2661" s="656" t="s">
        <v>13052</v>
      </c>
      <c r="Q2661" s="656">
        <v>44216.77416666667</v>
      </c>
    </row>
    <row r="2662" spans="1:17">
      <c r="A2662" s="656" t="s">
        <v>3340</v>
      </c>
      <c r="B2662" s="657" t="s">
        <v>504</v>
      </c>
      <c r="C2662" s="656" t="s">
        <v>3341</v>
      </c>
      <c r="D2662" s="657"/>
      <c r="E2662" s="657" t="s">
        <v>7439</v>
      </c>
      <c r="F2662" s="656" t="s">
        <v>505</v>
      </c>
      <c r="G2662" s="656" t="s">
        <v>820</v>
      </c>
      <c r="H2662" s="656" t="s">
        <v>505</v>
      </c>
      <c r="I2662" s="656"/>
      <c r="J2662" s="656"/>
      <c r="K2662" s="656"/>
      <c r="L2662" s="656"/>
      <c r="M2662" s="657"/>
      <c r="N2662" s="1482"/>
      <c r="O2662" s="656" t="s">
        <v>498</v>
      </c>
      <c r="P2662" s="656" t="s">
        <v>13052</v>
      </c>
      <c r="Q2662" s="656">
        <v>44216.77416666667</v>
      </c>
    </row>
    <row r="2663" spans="1:17">
      <c r="A2663" s="656" t="s">
        <v>3342</v>
      </c>
      <c r="B2663" s="657" t="s">
        <v>504</v>
      </c>
      <c r="C2663" s="656" t="s">
        <v>3343</v>
      </c>
      <c r="D2663" s="657"/>
      <c r="E2663" s="657" t="s">
        <v>7439</v>
      </c>
      <c r="F2663" s="656" t="s">
        <v>505</v>
      </c>
      <c r="G2663" s="656" t="s">
        <v>820</v>
      </c>
      <c r="H2663" s="656" t="s">
        <v>505</v>
      </c>
      <c r="I2663" s="656"/>
      <c r="J2663" s="656"/>
      <c r="K2663" s="656"/>
      <c r="L2663" s="656"/>
      <c r="M2663" s="657"/>
      <c r="N2663" s="1482"/>
      <c r="O2663" s="656" t="s">
        <v>498</v>
      </c>
      <c r="P2663" s="656" t="s">
        <v>13052</v>
      </c>
      <c r="Q2663" s="656">
        <v>44216.77416666667</v>
      </c>
    </row>
    <row r="2664" spans="1:17">
      <c r="A2664" s="656" t="s">
        <v>3344</v>
      </c>
      <c r="B2664" s="657" t="s">
        <v>504</v>
      </c>
      <c r="C2664" s="656" t="s">
        <v>3345</v>
      </c>
      <c r="D2664" s="657"/>
      <c r="E2664" s="657" t="s">
        <v>7439</v>
      </c>
      <c r="F2664" s="656" t="s">
        <v>505</v>
      </c>
      <c r="G2664" s="656"/>
      <c r="H2664" s="656" t="s">
        <v>505</v>
      </c>
      <c r="I2664" s="656"/>
      <c r="J2664" s="656"/>
      <c r="K2664" s="656"/>
      <c r="L2664" s="656"/>
      <c r="M2664" s="657"/>
      <c r="N2664" s="1482"/>
      <c r="O2664" s="656" t="s">
        <v>498</v>
      </c>
      <c r="P2664" s="656" t="s">
        <v>13052</v>
      </c>
      <c r="Q2664" s="656">
        <v>44216.774155092593</v>
      </c>
    </row>
    <row r="2665" spans="1:17">
      <c r="A2665" s="656" t="s">
        <v>3346</v>
      </c>
      <c r="B2665" s="657" t="s">
        <v>504</v>
      </c>
      <c r="C2665" s="656" t="s">
        <v>3347</v>
      </c>
      <c r="D2665" s="657"/>
      <c r="E2665" s="657" t="s">
        <v>7439</v>
      </c>
      <c r="F2665" s="656" t="s">
        <v>505</v>
      </c>
      <c r="G2665" s="656"/>
      <c r="H2665" s="656" t="s">
        <v>505</v>
      </c>
      <c r="I2665" s="656"/>
      <c r="J2665" s="656"/>
      <c r="K2665" s="656"/>
      <c r="L2665" s="656"/>
      <c r="M2665" s="657"/>
      <c r="N2665" s="1482"/>
      <c r="O2665" s="656" t="s">
        <v>498</v>
      </c>
      <c r="P2665" s="656" t="s">
        <v>13052</v>
      </c>
      <c r="Q2665" s="656">
        <v>44216.774155092593</v>
      </c>
    </row>
    <row r="2666" spans="1:17">
      <c r="A2666" s="656" t="s">
        <v>3348</v>
      </c>
      <c r="B2666" s="657" t="s">
        <v>504</v>
      </c>
      <c r="C2666" s="656" t="s">
        <v>3349</v>
      </c>
      <c r="D2666" s="657"/>
      <c r="E2666" s="657" t="s">
        <v>7439</v>
      </c>
      <c r="F2666" s="656" t="s">
        <v>505</v>
      </c>
      <c r="G2666" s="656"/>
      <c r="H2666" s="656" t="s">
        <v>505</v>
      </c>
      <c r="I2666" s="656"/>
      <c r="J2666" s="656"/>
      <c r="K2666" s="656"/>
      <c r="L2666" s="656"/>
      <c r="M2666" s="657"/>
      <c r="N2666" s="1482"/>
      <c r="O2666" s="656" t="s">
        <v>498</v>
      </c>
      <c r="P2666" s="656" t="s">
        <v>13052</v>
      </c>
      <c r="Q2666" s="656">
        <v>44216.774143518516</v>
      </c>
    </row>
    <row r="2667" spans="1:17">
      <c r="A2667" s="656" t="s">
        <v>3350</v>
      </c>
      <c r="B2667" s="657" t="s">
        <v>504</v>
      </c>
      <c r="C2667" s="656" t="s">
        <v>3351</v>
      </c>
      <c r="D2667" s="657"/>
      <c r="E2667" s="657" t="s">
        <v>7439</v>
      </c>
      <c r="F2667" s="656" t="s">
        <v>505</v>
      </c>
      <c r="G2667" s="656"/>
      <c r="H2667" s="656" t="s">
        <v>505</v>
      </c>
      <c r="I2667" s="656"/>
      <c r="J2667" s="656"/>
      <c r="K2667" s="656"/>
      <c r="L2667" s="656"/>
      <c r="M2667" s="657"/>
      <c r="N2667" s="1482"/>
      <c r="O2667" s="656" t="s">
        <v>498</v>
      </c>
      <c r="P2667" s="656" t="s">
        <v>13052</v>
      </c>
      <c r="Q2667" s="656">
        <v>44216.774143518516</v>
      </c>
    </row>
    <row r="2668" spans="1:17">
      <c r="A2668" s="656" t="s">
        <v>3352</v>
      </c>
      <c r="B2668" s="657" t="s">
        <v>504</v>
      </c>
      <c r="C2668" s="656" t="s">
        <v>3353</v>
      </c>
      <c r="D2668" s="657"/>
      <c r="E2668" s="657" t="s">
        <v>9654</v>
      </c>
      <c r="F2668" s="656" t="s">
        <v>540</v>
      </c>
      <c r="G2668" s="656" t="s">
        <v>540</v>
      </c>
      <c r="H2668" s="656" t="s">
        <v>540</v>
      </c>
      <c r="I2668" s="656"/>
      <c r="J2668" s="656"/>
      <c r="K2668" s="656"/>
      <c r="L2668" s="656"/>
      <c r="M2668" s="657"/>
      <c r="N2668" s="1482"/>
      <c r="O2668" s="656" t="s">
        <v>498</v>
      </c>
      <c r="P2668" s="656" t="s">
        <v>13052</v>
      </c>
      <c r="Q2668" s="656">
        <v>44216.774143518516</v>
      </c>
    </row>
    <row r="2669" spans="1:17">
      <c r="A2669" s="656" t="s">
        <v>3354</v>
      </c>
      <c r="B2669" s="657" t="s">
        <v>504</v>
      </c>
      <c r="C2669" s="656" t="s">
        <v>3355</v>
      </c>
      <c r="D2669" s="657"/>
      <c r="E2669" s="657" t="s">
        <v>9654</v>
      </c>
      <c r="F2669" s="656" t="s">
        <v>540</v>
      </c>
      <c r="G2669" s="656" t="s">
        <v>540</v>
      </c>
      <c r="H2669" s="656" t="s">
        <v>540</v>
      </c>
      <c r="I2669" s="656"/>
      <c r="J2669" s="656"/>
      <c r="K2669" s="656"/>
      <c r="L2669" s="656"/>
      <c r="M2669" s="657"/>
      <c r="N2669" s="1482"/>
      <c r="O2669" s="656" t="s">
        <v>498</v>
      </c>
      <c r="P2669" s="656" t="s">
        <v>13052</v>
      </c>
      <c r="Q2669" s="656">
        <v>44216.774131944447</v>
      </c>
    </row>
    <row r="2670" spans="1:17">
      <c r="A2670" s="656" t="s">
        <v>3356</v>
      </c>
      <c r="B2670" s="657" t="s">
        <v>504</v>
      </c>
      <c r="C2670" s="656" t="s">
        <v>3357</v>
      </c>
      <c r="D2670" s="657"/>
      <c r="E2670" s="657" t="s">
        <v>9654</v>
      </c>
      <c r="F2670" s="656" t="s">
        <v>540</v>
      </c>
      <c r="G2670" s="656" t="s">
        <v>540</v>
      </c>
      <c r="H2670" s="656" t="s">
        <v>540</v>
      </c>
      <c r="I2670" s="656"/>
      <c r="J2670" s="656"/>
      <c r="K2670" s="656"/>
      <c r="L2670" s="656"/>
      <c r="M2670" s="657"/>
      <c r="N2670" s="1482"/>
      <c r="O2670" s="656" t="s">
        <v>498</v>
      </c>
      <c r="P2670" s="656" t="s">
        <v>13052</v>
      </c>
      <c r="Q2670" s="656">
        <v>44216.774131944447</v>
      </c>
    </row>
    <row r="2671" spans="1:17">
      <c r="A2671" s="656" t="s">
        <v>3358</v>
      </c>
      <c r="B2671" s="657" t="s">
        <v>504</v>
      </c>
      <c r="C2671" s="656" t="s">
        <v>3359</v>
      </c>
      <c r="D2671" s="657"/>
      <c r="E2671" s="657" t="s">
        <v>9654</v>
      </c>
      <c r="F2671" s="656" t="s">
        <v>540</v>
      </c>
      <c r="G2671" s="656" t="s">
        <v>540</v>
      </c>
      <c r="H2671" s="656" t="s">
        <v>540</v>
      </c>
      <c r="I2671" s="656"/>
      <c r="J2671" s="656"/>
      <c r="K2671" s="656"/>
      <c r="L2671" s="656"/>
      <c r="M2671" s="657"/>
      <c r="N2671" s="1482"/>
      <c r="O2671" s="656" t="s">
        <v>498</v>
      </c>
      <c r="P2671" s="656" t="s">
        <v>13052</v>
      </c>
      <c r="Q2671" s="656">
        <v>44216.77412037037</v>
      </c>
    </row>
    <row r="2672" spans="1:17">
      <c r="A2672" s="656" t="s">
        <v>3360</v>
      </c>
      <c r="B2672" s="657" t="s">
        <v>202</v>
      </c>
      <c r="C2672" s="656" t="s">
        <v>3361</v>
      </c>
      <c r="D2672" s="657" t="s">
        <v>14977</v>
      </c>
      <c r="E2672" s="657" t="s">
        <v>7439</v>
      </c>
      <c r="F2672" s="656" t="s">
        <v>1300</v>
      </c>
      <c r="G2672" s="656"/>
      <c r="H2672" s="656" t="s">
        <v>1300</v>
      </c>
      <c r="I2672" s="656" t="s">
        <v>14976</v>
      </c>
      <c r="J2672" s="656" t="s">
        <v>15285</v>
      </c>
      <c r="K2672" s="656"/>
      <c r="L2672" s="656" t="s">
        <v>3360</v>
      </c>
      <c r="M2672" s="657"/>
      <c r="N2672" s="1482"/>
      <c r="O2672" s="656" t="s">
        <v>498</v>
      </c>
      <c r="P2672" s="656" t="s">
        <v>13052</v>
      </c>
      <c r="Q2672" s="656">
        <v>44216.77412037037</v>
      </c>
    </row>
    <row r="2673" spans="1:17">
      <c r="A2673" s="656" t="s">
        <v>3362</v>
      </c>
      <c r="B2673" s="657" t="s">
        <v>504</v>
      </c>
      <c r="C2673" s="656" t="s">
        <v>3363</v>
      </c>
      <c r="D2673" s="657"/>
      <c r="E2673" s="657" t="s">
        <v>7439</v>
      </c>
      <c r="F2673" s="656" t="s">
        <v>540</v>
      </c>
      <c r="G2673" s="656" t="s">
        <v>540</v>
      </c>
      <c r="H2673" s="656" t="s">
        <v>540</v>
      </c>
      <c r="I2673" s="656"/>
      <c r="J2673" s="656"/>
      <c r="K2673" s="656"/>
      <c r="L2673" s="656"/>
      <c r="M2673" s="657"/>
      <c r="N2673" s="1482"/>
      <c r="O2673" s="656" t="s">
        <v>498</v>
      </c>
      <c r="P2673" s="656" t="s">
        <v>13052</v>
      </c>
      <c r="Q2673" s="656">
        <v>44216.774108796293</v>
      </c>
    </row>
    <row r="2674" spans="1:17">
      <c r="A2674" s="656" t="s">
        <v>3364</v>
      </c>
      <c r="B2674" s="657" t="s">
        <v>504</v>
      </c>
      <c r="C2674" s="656" t="s">
        <v>3365</v>
      </c>
      <c r="D2674" s="657"/>
      <c r="E2674" s="657" t="s">
        <v>7439</v>
      </c>
      <c r="F2674" s="656" t="s">
        <v>540</v>
      </c>
      <c r="G2674" s="656" t="s">
        <v>540</v>
      </c>
      <c r="H2674" s="656" t="s">
        <v>540</v>
      </c>
      <c r="I2674" s="656"/>
      <c r="J2674" s="656"/>
      <c r="K2674" s="656"/>
      <c r="L2674" s="656"/>
      <c r="M2674" s="657"/>
      <c r="N2674" s="1482"/>
      <c r="O2674" s="656" t="s">
        <v>498</v>
      </c>
      <c r="P2674" s="656" t="s">
        <v>13052</v>
      </c>
      <c r="Q2674" s="656">
        <v>44216.774108796293</v>
      </c>
    </row>
    <row r="2675" spans="1:17">
      <c r="A2675" s="656" t="s">
        <v>3366</v>
      </c>
      <c r="B2675" s="657" t="s">
        <v>504</v>
      </c>
      <c r="C2675" s="656" t="s">
        <v>3367</v>
      </c>
      <c r="D2675" s="657"/>
      <c r="E2675" s="657" t="s">
        <v>7439</v>
      </c>
      <c r="F2675" s="656" t="s">
        <v>505</v>
      </c>
      <c r="G2675" s="656"/>
      <c r="H2675" s="656" t="s">
        <v>505</v>
      </c>
      <c r="I2675" s="656"/>
      <c r="J2675" s="656"/>
      <c r="K2675" s="656"/>
      <c r="L2675" s="656"/>
      <c r="M2675" s="657"/>
      <c r="N2675" s="1482"/>
      <c r="O2675" s="656" t="s">
        <v>498</v>
      </c>
      <c r="P2675" s="656" t="s">
        <v>13052</v>
      </c>
      <c r="Q2675" s="656">
        <v>44216.774108796293</v>
      </c>
    </row>
    <row r="2676" spans="1:17">
      <c r="A2676" s="656" t="s">
        <v>3368</v>
      </c>
      <c r="B2676" s="657" t="s">
        <v>504</v>
      </c>
      <c r="C2676" s="656" t="s">
        <v>3369</v>
      </c>
      <c r="D2676" s="657"/>
      <c r="E2676" s="657" t="s">
        <v>7439</v>
      </c>
      <c r="F2676" s="656" t="s">
        <v>505</v>
      </c>
      <c r="G2676" s="656"/>
      <c r="H2676" s="656" t="s">
        <v>505</v>
      </c>
      <c r="I2676" s="656"/>
      <c r="J2676" s="656"/>
      <c r="K2676" s="656"/>
      <c r="L2676" s="656"/>
      <c r="M2676" s="657"/>
      <c r="N2676" s="1482"/>
      <c r="O2676" s="656" t="s">
        <v>498</v>
      </c>
      <c r="P2676" s="656" t="s">
        <v>13052</v>
      </c>
      <c r="Q2676" s="656">
        <v>44216.774097222224</v>
      </c>
    </row>
    <row r="2677" spans="1:17">
      <c r="A2677" s="656" t="s">
        <v>3370</v>
      </c>
      <c r="B2677" s="657" t="s">
        <v>202</v>
      </c>
      <c r="C2677" s="656" t="s">
        <v>3371</v>
      </c>
      <c r="D2677" s="657" t="s">
        <v>14977</v>
      </c>
      <c r="E2677" s="657" t="s">
        <v>7439</v>
      </c>
      <c r="F2677" s="656" t="s">
        <v>500</v>
      </c>
      <c r="G2677" s="656" t="s">
        <v>500</v>
      </c>
      <c r="H2677" s="656" t="s">
        <v>500</v>
      </c>
      <c r="I2677" s="656" t="s">
        <v>14976</v>
      </c>
      <c r="J2677" s="656"/>
      <c r="K2677" s="656"/>
      <c r="L2677" s="656" t="s">
        <v>3370</v>
      </c>
      <c r="M2677" s="657"/>
      <c r="N2677" s="1482"/>
      <c r="O2677" s="656" t="s">
        <v>498</v>
      </c>
      <c r="P2677" s="656" t="s">
        <v>13052</v>
      </c>
      <c r="Q2677" s="656">
        <v>44216.774097222224</v>
      </c>
    </row>
    <row r="2678" spans="1:17">
      <c r="A2678" s="656" t="s">
        <v>3372</v>
      </c>
      <c r="B2678" s="657" t="s">
        <v>504</v>
      </c>
      <c r="C2678" s="656" t="s">
        <v>3373</v>
      </c>
      <c r="D2678" s="657" t="s">
        <v>13789</v>
      </c>
      <c r="E2678" s="657" t="s">
        <v>7439</v>
      </c>
      <c r="F2678" s="656" t="s">
        <v>505</v>
      </c>
      <c r="G2678" s="656" t="s">
        <v>525</v>
      </c>
      <c r="H2678" s="656" t="s">
        <v>505</v>
      </c>
      <c r="I2678" s="656" t="s">
        <v>14976</v>
      </c>
      <c r="J2678" s="656"/>
      <c r="K2678" s="656"/>
      <c r="L2678" s="656"/>
      <c r="M2678" s="657"/>
      <c r="N2678" s="1482"/>
      <c r="O2678" s="656" t="s">
        <v>498</v>
      </c>
      <c r="P2678" s="656" t="s">
        <v>13052</v>
      </c>
      <c r="Q2678" s="656">
        <v>44216.774085648147</v>
      </c>
    </row>
    <row r="2679" spans="1:17">
      <c r="A2679" s="656" t="s">
        <v>3374</v>
      </c>
      <c r="B2679" s="657" t="s">
        <v>504</v>
      </c>
      <c r="C2679" s="656" t="s">
        <v>3375</v>
      </c>
      <c r="D2679" s="657"/>
      <c r="E2679" s="657" t="s">
        <v>7439</v>
      </c>
      <c r="F2679" s="656" t="s">
        <v>505</v>
      </c>
      <c r="G2679" s="656"/>
      <c r="H2679" s="656" t="s">
        <v>505</v>
      </c>
      <c r="I2679" s="656"/>
      <c r="J2679" s="656"/>
      <c r="K2679" s="656"/>
      <c r="L2679" s="656"/>
      <c r="M2679" s="657"/>
      <c r="N2679" s="1482"/>
      <c r="O2679" s="656" t="s">
        <v>498</v>
      </c>
      <c r="P2679" s="656" t="s">
        <v>13052</v>
      </c>
      <c r="Q2679" s="656">
        <v>44216.774085648147</v>
      </c>
    </row>
    <row r="2680" spans="1:17">
      <c r="A2680" s="656" t="s">
        <v>3376</v>
      </c>
      <c r="B2680" s="657" t="s">
        <v>202</v>
      </c>
      <c r="C2680" s="656" t="s">
        <v>3377</v>
      </c>
      <c r="D2680" s="657" t="s">
        <v>14977</v>
      </c>
      <c r="E2680" s="657" t="s">
        <v>7439</v>
      </c>
      <c r="F2680" s="656" t="s">
        <v>1300</v>
      </c>
      <c r="G2680" s="656" t="s">
        <v>1301</v>
      </c>
      <c r="H2680" s="656" t="s">
        <v>1300</v>
      </c>
      <c r="I2680" s="656" t="s">
        <v>14976</v>
      </c>
      <c r="J2680" s="656" t="s">
        <v>15285</v>
      </c>
      <c r="K2680" s="656"/>
      <c r="L2680" s="656" t="s">
        <v>3376</v>
      </c>
      <c r="M2680" s="657"/>
      <c r="N2680" s="1482"/>
      <c r="O2680" s="656" t="s">
        <v>498</v>
      </c>
      <c r="P2680" s="656" t="s">
        <v>13052</v>
      </c>
      <c r="Q2680" s="656">
        <v>44216.774074074077</v>
      </c>
    </row>
    <row r="2681" spans="1:17">
      <c r="A2681" s="656" t="s">
        <v>3378</v>
      </c>
      <c r="B2681" s="657" t="s">
        <v>531</v>
      </c>
      <c r="C2681" s="656" t="s">
        <v>3379</v>
      </c>
      <c r="D2681" s="657" t="s">
        <v>14977</v>
      </c>
      <c r="E2681" s="657" t="s">
        <v>9654</v>
      </c>
      <c r="F2681" s="656" t="s">
        <v>472</v>
      </c>
      <c r="G2681" s="656"/>
      <c r="H2681" s="656" t="s">
        <v>472</v>
      </c>
      <c r="I2681" s="656" t="s">
        <v>14976</v>
      </c>
      <c r="J2681" s="656" t="s">
        <v>12368</v>
      </c>
      <c r="K2681" s="656"/>
      <c r="L2681" s="656"/>
      <c r="M2681" s="657"/>
      <c r="N2681" s="1482"/>
      <c r="O2681" s="656" t="s">
        <v>498</v>
      </c>
      <c r="P2681" s="656" t="s">
        <v>13052</v>
      </c>
      <c r="Q2681" s="656">
        <v>44216.774074074077</v>
      </c>
    </row>
    <row r="2682" spans="1:17">
      <c r="A2682" s="656" t="s">
        <v>3380</v>
      </c>
      <c r="B2682" s="657" t="s">
        <v>504</v>
      </c>
      <c r="C2682" s="656" t="s">
        <v>3381</v>
      </c>
      <c r="D2682" s="657"/>
      <c r="E2682" s="657" t="s">
        <v>7439</v>
      </c>
      <c r="F2682" s="656" t="s">
        <v>505</v>
      </c>
      <c r="G2682" s="656" t="s">
        <v>1394</v>
      </c>
      <c r="H2682" s="656" t="s">
        <v>505</v>
      </c>
      <c r="I2682" s="656"/>
      <c r="J2682" s="656"/>
      <c r="K2682" s="656"/>
      <c r="L2682" s="656"/>
      <c r="M2682" s="657"/>
      <c r="N2682" s="1482"/>
      <c r="O2682" s="656" t="s">
        <v>498</v>
      </c>
      <c r="P2682" s="656" t="s">
        <v>13052</v>
      </c>
      <c r="Q2682" s="656">
        <v>44216.774074074077</v>
      </c>
    </row>
    <row r="2683" spans="1:17">
      <c r="A2683" s="656" t="s">
        <v>3382</v>
      </c>
      <c r="B2683" s="657" t="s">
        <v>504</v>
      </c>
      <c r="C2683" s="656" t="s">
        <v>3383</v>
      </c>
      <c r="D2683" s="657"/>
      <c r="E2683" s="657" t="s">
        <v>7439</v>
      </c>
      <c r="F2683" s="656" t="s">
        <v>505</v>
      </c>
      <c r="G2683" s="656" t="s">
        <v>1579</v>
      </c>
      <c r="H2683" s="656" t="s">
        <v>505</v>
      </c>
      <c r="I2683" s="656"/>
      <c r="J2683" s="656"/>
      <c r="K2683" s="656"/>
      <c r="L2683" s="656"/>
      <c r="M2683" s="657"/>
      <c r="N2683" s="1482"/>
      <c r="O2683" s="656" t="s">
        <v>498</v>
      </c>
      <c r="P2683" s="656" t="s">
        <v>13052</v>
      </c>
      <c r="Q2683" s="656">
        <v>44216.774062500001</v>
      </c>
    </row>
    <row r="2684" spans="1:17">
      <c r="A2684" s="656" t="s">
        <v>3384</v>
      </c>
      <c r="B2684" s="657" t="s">
        <v>504</v>
      </c>
      <c r="C2684" s="656" t="s">
        <v>3385</v>
      </c>
      <c r="D2684" s="657"/>
      <c r="E2684" s="657" t="s">
        <v>7439</v>
      </c>
      <c r="F2684" s="656" t="s">
        <v>505</v>
      </c>
      <c r="G2684" s="656" t="s">
        <v>1579</v>
      </c>
      <c r="H2684" s="656" t="s">
        <v>505</v>
      </c>
      <c r="I2684" s="656"/>
      <c r="J2684" s="656"/>
      <c r="K2684" s="656"/>
      <c r="L2684" s="656"/>
      <c r="M2684" s="657"/>
      <c r="N2684" s="1482"/>
      <c r="O2684" s="656" t="s">
        <v>498</v>
      </c>
      <c r="P2684" s="656" t="s">
        <v>13052</v>
      </c>
      <c r="Q2684" s="656">
        <v>44216.774062500001</v>
      </c>
    </row>
    <row r="2685" spans="1:17">
      <c r="A2685" s="656" t="s">
        <v>3386</v>
      </c>
      <c r="B2685" s="657" t="s">
        <v>202</v>
      </c>
      <c r="C2685" s="656" t="s">
        <v>3387</v>
      </c>
      <c r="D2685" s="657" t="s">
        <v>14977</v>
      </c>
      <c r="E2685" s="657" t="s">
        <v>7439</v>
      </c>
      <c r="F2685" s="656" t="s">
        <v>1300</v>
      </c>
      <c r="G2685" s="656"/>
      <c r="H2685" s="656" t="s">
        <v>1300</v>
      </c>
      <c r="I2685" s="656" t="s">
        <v>15280</v>
      </c>
      <c r="J2685" s="656"/>
      <c r="K2685" s="656"/>
      <c r="L2685" s="656" t="s">
        <v>3386</v>
      </c>
      <c r="M2685" s="657"/>
      <c r="N2685" s="1482"/>
      <c r="O2685" s="656" t="s">
        <v>498</v>
      </c>
      <c r="P2685" s="656" t="s">
        <v>13052</v>
      </c>
      <c r="Q2685" s="656">
        <v>44216.774050925924</v>
      </c>
    </row>
    <row r="2686" spans="1:17">
      <c r="A2686" s="656" t="s">
        <v>13703</v>
      </c>
      <c r="B2686" s="657" t="s">
        <v>504</v>
      </c>
      <c r="C2686" s="656" t="s">
        <v>3388</v>
      </c>
      <c r="D2686" s="657" t="s">
        <v>13789</v>
      </c>
      <c r="E2686" s="657" t="s">
        <v>7439</v>
      </c>
      <c r="F2686" s="656" t="s">
        <v>505</v>
      </c>
      <c r="G2686" s="656" t="s">
        <v>522</v>
      </c>
      <c r="H2686" s="656" t="s">
        <v>505</v>
      </c>
      <c r="I2686" s="656" t="s">
        <v>14976</v>
      </c>
      <c r="J2686" s="656"/>
      <c r="K2686" s="656"/>
      <c r="L2686" s="656"/>
      <c r="M2686" s="657"/>
      <c r="N2686" s="1482"/>
      <c r="O2686" s="656" t="s">
        <v>498</v>
      </c>
      <c r="P2686" s="656" t="s">
        <v>13052</v>
      </c>
      <c r="Q2686" s="656">
        <v>44216.774050925924</v>
      </c>
    </row>
    <row r="2687" spans="1:17">
      <c r="A2687" s="656" t="s">
        <v>3389</v>
      </c>
      <c r="B2687" s="657" t="s">
        <v>504</v>
      </c>
      <c r="C2687" s="656" t="s">
        <v>3390</v>
      </c>
      <c r="D2687" s="657"/>
      <c r="E2687" s="657" t="s">
        <v>7439</v>
      </c>
      <c r="F2687" s="656" t="s">
        <v>540</v>
      </c>
      <c r="G2687" s="656" t="s">
        <v>540</v>
      </c>
      <c r="H2687" s="656" t="s">
        <v>540</v>
      </c>
      <c r="I2687" s="656"/>
      <c r="J2687" s="656"/>
      <c r="K2687" s="656"/>
      <c r="L2687" s="656"/>
      <c r="M2687" s="657"/>
      <c r="N2687" s="1482"/>
      <c r="O2687" s="656" t="s">
        <v>498</v>
      </c>
      <c r="P2687" s="656" t="s">
        <v>13052</v>
      </c>
      <c r="Q2687" s="656">
        <v>44216.774050925924</v>
      </c>
    </row>
    <row r="2688" spans="1:17">
      <c r="A2688" s="656" t="s">
        <v>3391</v>
      </c>
      <c r="B2688" s="657" t="s">
        <v>504</v>
      </c>
      <c r="C2688" s="656" t="s">
        <v>3392</v>
      </c>
      <c r="D2688" s="657"/>
      <c r="E2688" s="657" t="s">
        <v>7439</v>
      </c>
      <c r="F2688" s="656" t="s">
        <v>540</v>
      </c>
      <c r="G2688" s="656" t="s">
        <v>540</v>
      </c>
      <c r="H2688" s="656" t="s">
        <v>540</v>
      </c>
      <c r="I2688" s="656"/>
      <c r="J2688" s="656"/>
      <c r="K2688" s="656"/>
      <c r="L2688" s="656"/>
      <c r="M2688" s="657"/>
      <c r="N2688" s="1482"/>
      <c r="O2688" s="656" t="s">
        <v>498</v>
      </c>
      <c r="P2688" s="656" t="s">
        <v>13052</v>
      </c>
      <c r="Q2688" s="656">
        <v>44216.774039351854</v>
      </c>
    </row>
    <row r="2689" spans="1:17">
      <c r="A2689" s="656" t="s">
        <v>3393</v>
      </c>
      <c r="B2689" s="657" t="s">
        <v>202</v>
      </c>
      <c r="C2689" s="656" t="s">
        <v>3394</v>
      </c>
      <c r="D2689" s="657" t="s">
        <v>14977</v>
      </c>
      <c r="E2689" s="657" t="s">
        <v>7439</v>
      </c>
      <c r="F2689" s="656" t="s">
        <v>655</v>
      </c>
      <c r="G2689" s="656"/>
      <c r="H2689" s="656" t="s">
        <v>655</v>
      </c>
      <c r="I2689" s="656" t="s">
        <v>15280</v>
      </c>
      <c r="J2689" s="656"/>
      <c r="K2689" s="656"/>
      <c r="L2689" s="656" t="s">
        <v>3393</v>
      </c>
      <c r="M2689" s="657"/>
      <c r="N2689" s="1482"/>
      <c r="O2689" s="656" t="s">
        <v>498</v>
      </c>
      <c r="P2689" s="656" t="s">
        <v>13052</v>
      </c>
      <c r="Q2689" s="656">
        <v>44216.774027777778</v>
      </c>
    </row>
    <row r="2690" spans="1:17">
      <c r="A2690" s="656" t="s">
        <v>3395</v>
      </c>
      <c r="B2690" s="657" t="s">
        <v>202</v>
      </c>
      <c r="C2690" s="656" t="s">
        <v>3396</v>
      </c>
      <c r="D2690" s="657" t="s">
        <v>14977</v>
      </c>
      <c r="E2690" s="657" t="s">
        <v>7439</v>
      </c>
      <c r="F2690" s="656" t="s">
        <v>655</v>
      </c>
      <c r="G2690" s="656"/>
      <c r="H2690" s="656" t="s">
        <v>655</v>
      </c>
      <c r="I2690" s="656" t="s">
        <v>15280</v>
      </c>
      <c r="J2690" s="656"/>
      <c r="K2690" s="656"/>
      <c r="L2690" s="656" t="s">
        <v>3395</v>
      </c>
      <c r="M2690" s="657"/>
      <c r="N2690" s="1482"/>
      <c r="O2690" s="656" t="s">
        <v>498</v>
      </c>
      <c r="P2690" s="656" t="s">
        <v>13052</v>
      </c>
      <c r="Q2690" s="656">
        <v>44216.774027777778</v>
      </c>
    </row>
    <row r="2691" spans="1:17">
      <c r="A2691" s="656" t="s">
        <v>3397</v>
      </c>
      <c r="B2691" s="657" t="s">
        <v>504</v>
      </c>
      <c r="C2691" s="656" t="s">
        <v>3398</v>
      </c>
      <c r="D2691" s="657"/>
      <c r="E2691" s="657" t="s">
        <v>7439</v>
      </c>
      <c r="F2691" s="656" t="s">
        <v>505</v>
      </c>
      <c r="G2691" s="656" t="s">
        <v>3399</v>
      </c>
      <c r="H2691" s="656" t="s">
        <v>505</v>
      </c>
      <c r="I2691" s="656"/>
      <c r="J2691" s="656"/>
      <c r="K2691" s="656"/>
      <c r="L2691" s="656"/>
      <c r="M2691" s="657"/>
      <c r="N2691" s="1482"/>
      <c r="O2691" s="656" t="s">
        <v>498</v>
      </c>
      <c r="P2691" s="656" t="s">
        <v>13052</v>
      </c>
      <c r="Q2691" s="656">
        <v>44216.774016203701</v>
      </c>
    </row>
    <row r="2692" spans="1:17">
      <c r="A2692" s="656" t="s">
        <v>3400</v>
      </c>
      <c r="B2692" s="657" t="s">
        <v>202</v>
      </c>
      <c r="C2692" s="656" t="s">
        <v>3401</v>
      </c>
      <c r="D2692" s="657" t="s">
        <v>14977</v>
      </c>
      <c r="E2692" s="657" t="s">
        <v>7439</v>
      </c>
      <c r="F2692" s="656" t="s">
        <v>1300</v>
      </c>
      <c r="G2692" s="656"/>
      <c r="H2692" s="656" t="s">
        <v>1300</v>
      </c>
      <c r="I2692" s="656" t="s">
        <v>14976</v>
      </c>
      <c r="J2692" s="656" t="s">
        <v>15285</v>
      </c>
      <c r="K2692" s="656"/>
      <c r="L2692" s="656" t="s">
        <v>3400</v>
      </c>
      <c r="M2692" s="657"/>
      <c r="N2692" s="1482"/>
      <c r="O2692" s="656" t="s">
        <v>498</v>
      </c>
      <c r="P2692" s="656" t="s">
        <v>13052</v>
      </c>
      <c r="Q2692" s="656">
        <v>44216.774004629631</v>
      </c>
    </row>
    <row r="2693" spans="1:17">
      <c r="A2693" s="656" t="s">
        <v>3402</v>
      </c>
      <c r="B2693" s="657" t="s">
        <v>504</v>
      </c>
      <c r="C2693" s="656" t="s">
        <v>3403</v>
      </c>
      <c r="D2693" s="657"/>
      <c r="E2693" s="657" t="s">
        <v>7439</v>
      </c>
      <c r="F2693" s="656" t="s">
        <v>505</v>
      </c>
      <c r="G2693" s="656" t="s">
        <v>1394</v>
      </c>
      <c r="H2693" s="656" t="s">
        <v>505</v>
      </c>
      <c r="I2693" s="656"/>
      <c r="J2693" s="656"/>
      <c r="K2693" s="656"/>
      <c r="L2693" s="656"/>
      <c r="M2693" s="657"/>
      <c r="N2693" s="1482"/>
      <c r="O2693" s="656" t="s">
        <v>498</v>
      </c>
      <c r="P2693" s="656" t="s">
        <v>13052</v>
      </c>
      <c r="Q2693" s="656">
        <v>44216.774004629631</v>
      </c>
    </row>
    <row r="2694" spans="1:17">
      <c r="A2694" s="656" t="s">
        <v>3404</v>
      </c>
      <c r="B2694" s="657" t="s">
        <v>504</v>
      </c>
      <c r="C2694" s="656" t="s">
        <v>3405</v>
      </c>
      <c r="D2694" s="657"/>
      <c r="E2694" s="657" t="s">
        <v>7439</v>
      </c>
      <c r="F2694" s="656" t="s">
        <v>505</v>
      </c>
      <c r="G2694" s="656" t="s">
        <v>1394</v>
      </c>
      <c r="H2694" s="656" t="s">
        <v>505</v>
      </c>
      <c r="I2694" s="656"/>
      <c r="J2694" s="656"/>
      <c r="K2694" s="656"/>
      <c r="L2694" s="656"/>
      <c r="M2694" s="657"/>
      <c r="N2694" s="1482"/>
      <c r="O2694" s="656" t="s">
        <v>498</v>
      </c>
      <c r="P2694" s="656" t="s">
        <v>13052</v>
      </c>
      <c r="Q2694" s="656">
        <v>44216.773993055554</v>
      </c>
    </row>
    <row r="2695" spans="1:17">
      <c r="A2695" s="656" t="s">
        <v>3406</v>
      </c>
      <c r="B2695" s="657" t="s">
        <v>504</v>
      </c>
      <c r="C2695" s="656" t="s">
        <v>3407</v>
      </c>
      <c r="D2695" s="657"/>
      <c r="E2695" s="657" t="s">
        <v>7439</v>
      </c>
      <c r="F2695" s="656" t="s">
        <v>505</v>
      </c>
      <c r="G2695" s="656" t="s">
        <v>1394</v>
      </c>
      <c r="H2695" s="656" t="s">
        <v>505</v>
      </c>
      <c r="I2695" s="656"/>
      <c r="J2695" s="656"/>
      <c r="K2695" s="656"/>
      <c r="L2695" s="656"/>
      <c r="M2695" s="657"/>
      <c r="N2695" s="1482"/>
      <c r="O2695" s="656" t="s">
        <v>498</v>
      </c>
      <c r="P2695" s="656" t="s">
        <v>13052</v>
      </c>
      <c r="Q2695" s="656">
        <v>44216.773993055554</v>
      </c>
    </row>
    <row r="2696" spans="1:17">
      <c r="A2696" s="656" t="s">
        <v>3408</v>
      </c>
      <c r="B2696" s="657" t="s">
        <v>504</v>
      </c>
      <c r="C2696" s="656" t="s">
        <v>3409</v>
      </c>
      <c r="D2696" s="657"/>
      <c r="E2696" s="657" t="s">
        <v>7439</v>
      </c>
      <c r="F2696" s="656" t="s">
        <v>505</v>
      </c>
      <c r="G2696" s="656" t="s">
        <v>3410</v>
      </c>
      <c r="H2696" s="656" t="s">
        <v>505</v>
      </c>
      <c r="I2696" s="656"/>
      <c r="J2696" s="656"/>
      <c r="K2696" s="656"/>
      <c r="L2696" s="656"/>
      <c r="M2696" s="657"/>
      <c r="N2696" s="1482"/>
      <c r="O2696" s="656" t="s">
        <v>498</v>
      </c>
      <c r="P2696" s="656" t="s">
        <v>13052</v>
      </c>
      <c r="Q2696" s="656">
        <v>44216.773981481485</v>
      </c>
    </row>
    <row r="2697" spans="1:17">
      <c r="A2697" s="656" t="s">
        <v>3411</v>
      </c>
      <c r="B2697" s="657" t="s">
        <v>202</v>
      </c>
      <c r="C2697" s="656" t="s">
        <v>3412</v>
      </c>
      <c r="D2697" s="657" t="s">
        <v>14977</v>
      </c>
      <c r="E2697" s="657" t="s">
        <v>7439</v>
      </c>
      <c r="F2697" s="656" t="s">
        <v>783</v>
      </c>
      <c r="G2697" s="656" t="s">
        <v>783</v>
      </c>
      <c r="H2697" s="656" t="s">
        <v>783</v>
      </c>
      <c r="I2697" s="656" t="s">
        <v>15280</v>
      </c>
      <c r="J2697" s="656" t="s">
        <v>15282</v>
      </c>
      <c r="K2697" s="656"/>
      <c r="L2697" s="656" t="s">
        <v>3411</v>
      </c>
      <c r="M2697" s="657"/>
      <c r="N2697" s="1482"/>
      <c r="O2697" s="656" t="s">
        <v>498</v>
      </c>
      <c r="P2697" s="656" t="s">
        <v>13052</v>
      </c>
      <c r="Q2697" s="656">
        <v>44216.773981481485</v>
      </c>
    </row>
    <row r="2698" spans="1:17">
      <c r="A2698" s="656" t="s">
        <v>3413</v>
      </c>
      <c r="B2698" s="657" t="s">
        <v>202</v>
      </c>
      <c r="C2698" s="656" t="s">
        <v>3414</v>
      </c>
      <c r="D2698" s="657" t="s">
        <v>14977</v>
      </c>
      <c r="E2698" s="657" t="s">
        <v>9654</v>
      </c>
      <c r="F2698" s="656" t="s">
        <v>472</v>
      </c>
      <c r="G2698" s="656" t="s">
        <v>1394</v>
      </c>
      <c r="H2698" s="656" t="s">
        <v>472</v>
      </c>
      <c r="I2698" s="656" t="s">
        <v>14976</v>
      </c>
      <c r="J2698" s="656" t="s">
        <v>12368</v>
      </c>
      <c r="K2698" s="656"/>
      <c r="L2698" s="656"/>
      <c r="M2698" s="657"/>
      <c r="N2698" s="1482"/>
      <c r="O2698" s="656" t="s">
        <v>498</v>
      </c>
      <c r="P2698" s="656" t="s">
        <v>13052</v>
      </c>
      <c r="Q2698" s="656">
        <v>44216.773969907408</v>
      </c>
    </row>
    <row r="2699" spans="1:17">
      <c r="A2699" s="656" t="s">
        <v>3415</v>
      </c>
      <c r="B2699" s="657" t="s">
        <v>202</v>
      </c>
      <c r="C2699" s="656" t="s">
        <v>3416</v>
      </c>
      <c r="D2699" s="657" t="s">
        <v>14977</v>
      </c>
      <c r="E2699" s="657" t="s">
        <v>7439</v>
      </c>
      <c r="F2699" s="656" t="s">
        <v>442</v>
      </c>
      <c r="G2699" s="656" t="s">
        <v>561</v>
      </c>
      <c r="H2699" s="656" t="s">
        <v>442</v>
      </c>
      <c r="I2699" s="656" t="s">
        <v>14976</v>
      </c>
      <c r="J2699" s="656" t="s">
        <v>12369</v>
      </c>
      <c r="K2699" s="656"/>
      <c r="L2699" s="656"/>
      <c r="M2699" s="657"/>
      <c r="N2699" s="1482"/>
      <c r="O2699" s="656" t="s">
        <v>498</v>
      </c>
      <c r="P2699" s="656" t="s">
        <v>13052</v>
      </c>
      <c r="Q2699" s="656">
        <v>44216.773969907408</v>
      </c>
    </row>
    <row r="2700" spans="1:17">
      <c r="A2700" s="656" t="s">
        <v>3417</v>
      </c>
      <c r="B2700" s="657" t="s">
        <v>504</v>
      </c>
      <c r="C2700" s="656" t="s">
        <v>3418</v>
      </c>
      <c r="D2700" s="657"/>
      <c r="E2700" s="657" t="s">
        <v>7439</v>
      </c>
      <c r="F2700" s="656" t="s">
        <v>1394</v>
      </c>
      <c r="G2700" s="656" t="s">
        <v>540</v>
      </c>
      <c r="H2700" s="656" t="s">
        <v>1394</v>
      </c>
      <c r="I2700" s="656"/>
      <c r="J2700" s="656"/>
      <c r="K2700" s="656"/>
      <c r="L2700" s="656"/>
      <c r="M2700" s="657"/>
      <c r="N2700" s="1482"/>
      <c r="O2700" s="656" t="s">
        <v>498</v>
      </c>
      <c r="P2700" s="656" t="s">
        <v>13052</v>
      </c>
      <c r="Q2700" s="656">
        <v>44216.773958333331</v>
      </c>
    </row>
    <row r="2701" spans="1:17">
      <c r="A2701" s="656" t="s">
        <v>3419</v>
      </c>
      <c r="B2701" s="657" t="s">
        <v>202</v>
      </c>
      <c r="C2701" s="656" t="s">
        <v>3420</v>
      </c>
      <c r="D2701" s="657" t="s">
        <v>14977</v>
      </c>
      <c r="E2701" s="657" t="s">
        <v>7439</v>
      </c>
      <c r="F2701" s="656" t="s">
        <v>1300</v>
      </c>
      <c r="G2701" s="656" t="s">
        <v>1070</v>
      </c>
      <c r="H2701" s="656" t="s">
        <v>1300</v>
      </c>
      <c r="I2701" s="656" t="s">
        <v>14976</v>
      </c>
      <c r="J2701" s="656"/>
      <c r="K2701" s="656"/>
      <c r="L2701" s="656" t="s">
        <v>3419</v>
      </c>
      <c r="M2701" s="657"/>
      <c r="N2701" s="1482"/>
      <c r="O2701" s="656" t="s">
        <v>498</v>
      </c>
      <c r="P2701" s="656" t="s">
        <v>13052</v>
      </c>
      <c r="Q2701" s="656">
        <v>44216.773958333331</v>
      </c>
    </row>
    <row r="2702" spans="1:17">
      <c r="A2702" s="656" t="s">
        <v>3421</v>
      </c>
      <c r="B2702" s="657" t="s">
        <v>202</v>
      </c>
      <c r="C2702" s="656" t="s">
        <v>3422</v>
      </c>
      <c r="D2702" s="657" t="s">
        <v>14977</v>
      </c>
      <c r="E2702" s="657" t="s">
        <v>7439</v>
      </c>
      <c r="F2702" s="656" t="s">
        <v>1300</v>
      </c>
      <c r="G2702" s="656" t="s">
        <v>1070</v>
      </c>
      <c r="H2702" s="656" t="s">
        <v>1300</v>
      </c>
      <c r="I2702" s="656" t="s">
        <v>14976</v>
      </c>
      <c r="J2702" s="656"/>
      <c r="K2702" s="656"/>
      <c r="L2702" s="656" t="s">
        <v>3421</v>
      </c>
      <c r="M2702" s="657"/>
      <c r="N2702" s="1482"/>
      <c r="O2702" s="656" t="s">
        <v>498</v>
      </c>
      <c r="P2702" s="656" t="s">
        <v>13052</v>
      </c>
      <c r="Q2702" s="656">
        <v>44216.773946759262</v>
      </c>
    </row>
    <row r="2703" spans="1:17">
      <c r="A2703" s="656" t="s">
        <v>3423</v>
      </c>
      <c r="B2703" s="657" t="s">
        <v>202</v>
      </c>
      <c r="C2703" s="656" t="s">
        <v>3424</v>
      </c>
      <c r="D2703" s="657" t="s">
        <v>14977</v>
      </c>
      <c r="E2703" s="657" t="s">
        <v>9654</v>
      </c>
      <c r="F2703" s="656" t="s">
        <v>655</v>
      </c>
      <c r="G2703" s="656" t="s">
        <v>655</v>
      </c>
      <c r="H2703" s="656" t="s">
        <v>655</v>
      </c>
      <c r="I2703" s="656" t="s">
        <v>14976</v>
      </c>
      <c r="J2703" s="656"/>
      <c r="K2703" s="656"/>
      <c r="L2703" s="656" t="s">
        <v>3423</v>
      </c>
      <c r="M2703" s="657"/>
      <c r="N2703" s="1482"/>
      <c r="O2703" s="656" t="s">
        <v>498</v>
      </c>
      <c r="P2703" s="656" t="s">
        <v>13052</v>
      </c>
      <c r="Q2703" s="656">
        <v>44216.773946759262</v>
      </c>
    </row>
    <row r="2704" spans="1:17">
      <c r="A2704" s="656" t="s">
        <v>3425</v>
      </c>
      <c r="B2704" s="657" t="s">
        <v>202</v>
      </c>
      <c r="C2704" s="656" t="s">
        <v>3426</v>
      </c>
      <c r="D2704" s="657" t="s">
        <v>13789</v>
      </c>
      <c r="E2704" s="657" t="s">
        <v>7439</v>
      </c>
      <c r="F2704" s="656" t="s">
        <v>1050</v>
      </c>
      <c r="G2704" s="656" t="s">
        <v>655</v>
      </c>
      <c r="H2704" s="656" t="s">
        <v>1050</v>
      </c>
      <c r="I2704" s="656" t="s">
        <v>14976</v>
      </c>
      <c r="J2704" s="656"/>
      <c r="K2704" s="656"/>
      <c r="L2704" s="656"/>
      <c r="M2704" s="657"/>
      <c r="N2704" s="1482"/>
      <c r="O2704" s="656" t="s">
        <v>498</v>
      </c>
      <c r="P2704" s="656" t="s">
        <v>13052</v>
      </c>
      <c r="Q2704" s="656">
        <v>44216.773935185185</v>
      </c>
    </row>
    <row r="2705" spans="1:17">
      <c r="A2705" s="656" t="s">
        <v>3427</v>
      </c>
      <c r="B2705" s="657" t="s">
        <v>202</v>
      </c>
      <c r="C2705" s="656" t="s">
        <v>3428</v>
      </c>
      <c r="D2705" s="657" t="s">
        <v>14977</v>
      </c>
      <c r="E2705" s="657" t="s">
        <v>7439</v>
      </c>
      <c r="F2705" s="656" t="s">
        <v>1300</v>
      </c>
      <c r="G2705" s="656"/>
      <c r="H2705" s="656" t="s">
        <v>1300</v>
      </c>
      <c r="I2705" s="656" t="s">
        <v>14976</v>
      </c>
      <c r="J2705" s="656"/>
      <c r="K2705" s="656"/>
      <c r="L2705" s="656" t="s">
        <v>3427</v>
      </c>
      <c r="M2705" s="657"/>
      <c r="N2705" s="1482"/>
      <c r="O2705" s="656" t="s">
        <v>498</v>
      </c>
      <c r="P2705" s="656" t="s">
        <v>13052</v>
      </c>
      <c r="Q2705" s="656">
        <v>44216.773923611108</v>
      </c>
    </row>
    <row r="2706" spans="1:17">
      <c r="A2706" s="656" t="s">
        <v>3429</v>
      </c>
      <c r="B2706" s="657" t="s">
        <v>202</v>
      </c>
      <c r="C2706" s="656" t="s">
        <v>3430</v>
      </c>
      <c r="D2706" s="657" t="s">
        <v>14977</v>
      </c>
      <c r="E2706" s="657" t="s">
        <v>9654</v>
      </c>
      <c r="F2706" s="656" t="s">
        <v>500</v>
      </c>
      <c r="G2706" s="656" t="s">
        <v>500</v>
      </c>
      <c r="H2706" s="656" t="s">
        <v>500</v>
      </c>
      <c r="I2706" s="656" t="s">
        <v>14976</v>
      </c>
      <c r="J2706" s="656"/>
      <c r="K2706" s="656"/>
      <c r="L2706" s="656" t="s">
        <v>3429</v>
      </c>
      <c r="M2706" s="657"/>
      <c r="N2706" s="1482"/>
      <c r="O2706" s="656" t="s">
        <v>498</v>
      </c>
      <c r="P2706" s="656" t="s">
        <v>13052</v>
      </c>
      <c r="Q2706" s="656">
        <v>44216.773923611108</v>
      </c>
    </row>
    <row r="2707" spans="1:17">
      <c r="A2707" s="656" t="s">
        <v>3431</v>
      </c>
      <c r="B2707" s="657" t="s">
        <v>202</v>
      </c>
      <c r="C2707" s="656" t="s">
        <v>3432</v>
      </c>
      <c r="D2707" s="657" t="s">
        <v>14977</v>
      </c>
      <c r="E2707" s="657" t="s">
        <v>9654</v>
      </c>
      <c r="F2707" s="656" t="s">
        <v>500</v>
      </c>
      <c r="G2707" s="656" t="s">
        <v>500</v>
      </c>
      <c r="H2707" s="656" t="s">
        <v>500</v>
      </c>
      <c r="I2707" s="656" t="s">
        <v>14976</v>
      </c>
      <c r="J2707" s="656"/>
      <c r="K2707" s="656"/>
      <c r="L2707" s="656" t="s">
        <v>3431</v>
      </c>
      <c r="M2707" s="657"/>
      <c r="N2707" s="1482"/>
      <c r="O2707" s="656" t="s">
        <v>498</v>
      </c>
      <c r="P2707" s="656" t="s">
        <v>13052</v>
      </c>
      <c r="Q2707" s="656">
        <v>44216.773912037039</v>
      </c>
    </row>
    <row r="2708" spans="1:17">
      <c r="A2708" s="656" t="s">
        <v>3433</v>
      </c>
      <c r="B2708" s="657" t="s">
        <v>504</v>
      </c>
      <c r="C2708" s="656" t="s">
        <v>3434</v>
      </c>
      <c r="D2708" s="657"/>
      <c r="E2708" s="657" t="s">
        <v>9654</v>
      </c>
      <c r="F2708" s="656" t="s">
        <v>505</v>
      </c>
      <c r="G2708" s="656" t="s">
        <v>1579</v>
      </c>
      <c r="H2708" s="656" t="s">
        <v>505</v>
      </c>
      <c r="I2708" s="656"/>
      <c r="J2708" s="656"/>
      <c r="K2708" s="656"/>
      <c r="L2708" s="656"/>
      <c r="M2708" s="657"/>
      <c r="N2708" s="1482"/>
      <c r="O2708" s="656" t="s">
        <v>498</v>
      </c>
      <c r="P2708" s="656" t="s">
        <v>13052</v>
      </c>
      <c r="Q2708" s="656">
        <v>44216.773912037039</v>
      </c>
    </row>
    <row r="2709" spans="1:17">
      <c r="A2709" s="656" t="s">
        <v>3435</v>
      </c>
      <c r="B2709" s="657" t="s">
        <v>504</v>
      </c>
      <c r="C2709" s="656" t="s">
        <v>3436</v>
      </c>
      <c r="D2709" s="657"/>
      <c r="E2709" s="657" t="s">
        <v>9654</v>
      </c>
      <c r="F2709" s="656" t="s">
        <v>505</v>
      </c>
      <c r="G2709" s="656" t="s">
        <v>1579</v>
      </c>
      <c r="H2709" s="656" t="s">
        <v>505</v>
      </c>
      <c r="I2709" s="656"/>
      <c r="J2709" s="656"/>
      <c r="K2709" s="656"/>
      <c r="L2709" s="656"/>
      <c r="M2709" s="657"/>
      <c r="N2709" s="1482"/>
      <c r="O2709" s="656" t="s">
        <v>498</v>
      </c>
      <c r="P2709" s="656" t="s">
        <v>13052</v>
      </c>
      <c r="Q2709" s="656">
        <v>44216.773900462962</v>
      </c>
    </row>
    <row r="2710" spans="1:17">
      <c r="A2710" s="656" t="s">
        <v>3437</v>
      </c>
      <c r="B2710" s="657" t="s">
        <v>504</v>
      </c>
      <c r="C2710" s="656" t="s">
        <v>3438</v>
      </c>
      <c r="D2710" s="657"/>
      <c r="E2710" s="657" t="s">
        <v>9654</v>
      </c>
      <c r="F2710" s="656" t="s">
        <v>540</v>
      </c>
      <c r="G2710" s="656" t="s">
        <v>625</v>
      </c>
      <c r="H2710" s="656" t="s">
        <v>540</v>
      </c>
      <c r="I2710" s="656"/>
      <c r="J2710" s="656"/>
      <c r="K2710" s="656"/>
      <c r="L2710" s="656"/>
      <c r="M2710" s="657"/>
      <c r="N2710" s="1482"/>
      <c r="O2710" s="656" t="s">
        <v>498</v>
      </c>
      <c r="P2710" s="656" t="s">
        <v>13052</v>
      </c>
      <c r="Q2710" s="656">
        <v>44216.773900462962</v>
      </c>
    </row>
    <row r="2711" spans="1:17">
      <c r="A2711" s="656" t="s">
        <v>3439</v>
      </c>
      <c r="B2711" s="657" t="s">
        <v>504</v>
      </c>
      <c r="C2711" s="656" t="s">
        <v>3440</v>
      </c>
      <c r="D2711" s="657"/>
      <c r="E2711" s="657" t="s">
        <v>9654</v>
      </c>
      <c r="F2711" s="656" t="s">
        <v>505</v>
      </c>
      <c r="G2711" s="656" t="s">
        <v>2769</v>
      </c>
      <c r="H2711" s="656" t="s">
        <v>505</v>
      </c>
      <c r="I2711" s="656"/>
      <c r="J2711" s="656"/>
      <c r="K2711" s="656"/>
      <c r="L2711" s="656"/>
      <c r="M2711" s="657"/>
      <c r="N2711" s="1482"/>
      <c r="O2711" s="656" t="s">
        <v>498</v>
      </c>
      <c r="P2711" s="656" t="s">
        <v>13052</v>
      </c>
      <c r="Q2711" s="656">
        <v>44216.773888888885</v>
      </c>
    </row>
    <row r="2712" spans="1:17">
      <c r="A2712" s="656" t="s">
        <v>3441</v>
      </c>
      <c r="B2712" s="657" t="s">
        <v>504</v>
      </c>
      <c r="C2712" s="656" t="s">
        <v>3442</v>
      </c>
      <c r="D2712" s="657"/>
      <c r="E2712" s="657" t="s">
        <v>9654</v>
      </c>
      <c r="F2712" s="656" t="s">
        <v>505</v>
      </c>
      <c r="G2712" s="656" t="s">
        <v>525</v>
      </c>
      <c r="H2712" s="656" t="s">
        <v>505</v>
      </c>
      <c r="I2712" s="656"/>
      <c r="J2712" s="656"/>
      <c r="K2712" s="656"/>
      <c r="L2712" s="656"/>
      <c r="M2712" s="657"/>
      <c r="N2712" s="1482"/>
      <c r="O2712" s="656" t="s">
        <v>498</v>
      </c>
      <c r="P2712" s="656" t="s">
        <v>13052</v>
      </c>
      <c r="Q2712" s="656">
        <v>44216.773888888885</v>
      </c>
    </row>
    <row r="2713" spans="1:17">
      <c r="A2713" s="656" t="s">
        <v>3443</v>
      </c>
      <c r="B2713" s="657" t="s">
        <v>202</v>
      </c>
      <c r="C2713" s="656" t="s">
        <v>3444</v>
      </c>
      <c r="D2713" s="657" t="s">
        <v>14977</v>
      </c>
      <c r="E2713" s="657" t="s">
        <v>9654</v>
      </c>
      <c r="F2713" s="656" t="s">
        <v>500</v>
      </c>
      <c r="G2713" s="656" t="s">
        <v>500</v>
      </c>
      <c r="H2713" s="656" t="s">
        <v>500</v>
      </c>
      <c r="I2713" s="656" t="s">
        <v>14976</v>
      </c>
      <c r="J2713" s="656" t="s">
        <v>15282</v>
      </c>
      <c r="K2713" s="656"/>
      <c r="L2713" s="656" t="s">
        <v>3443</v>
      </c>
      <c r="M2713" s="657"/>
      <c r="N2713" s="1482"/>
      <c r="O2713" s="656" t="s">
        <v>498</v>
      </c>
      <c r="P2713" s="656" t="s">
        <v>13052</v>
      </c>
      <c r="Q2713" s="656">
        <v>44216.773877314816</v>
      </c>
    </row>
    <row r="2714" spans="1:17">
      <c r="A2714" s="656" t="s">
        <v>3445</v>
      </c>
      <c r="B2714" s="657" t="s">
        <v>202</v>
      </c>
      <c r="C2714" s="656" t="s">
        <v>3446</v>
      </c>
      <c r="D2714" s="657" t="s">
        <v>14977</v>
      </c>
      <c r="E2714" s="657"/>
      <c r="F2714" s="656" t="s">
        <v>1300</v>
      </c>
      <c r="G2714" s="656" t="s">
        <v>1070</v>
      </c>
      <c r="H2714" s="656" t="s">
        <v>1300</v>
      </c>
      <c r="I2714" s="656" t="s">
        <v>14976</v>
      </c>
      <c r="J2714" s="656"/>
      <c r="K2714" s="656"/>
      <c r="L2714" s="656" t="s">
        <v>3445</v>
      </c>
      <c r="M2714" s="657"/>
      <c r="N2714" s="1482"/>
      <c r="O2714" s="656" t="s">
        <v>498</v>
      </c>
      <c r="P2714" s="656" t="s">
        <v>13052</v>
      </c>
      <c r="Q2714" s="656">
        <v>44216.773865740739</v>
      </c>
    </row>
    <row r="2715" spans="1:17">
      <c r="A2715" s="656" t="s">
        <v>3447</v>
      </c>
      <c r="B2715" s="657" t="s">
        <v>202</v>
      </c>
      <c r="C2715" s="656" t="s">
        <v>3448</v>
      </c>
      <c r="D2715" s="657" t="s">
        <v>14977</v>
      </c>
      <c r="E2715" s="657"/>
      <c r="F2715" s="656" t="s">
        <v>1300</v>
      </c>
      <c r="G2715" s="656" t="s">
        <v>1070</v>
      </c>
      <c r="H2715" s="656" t="s">
        <v>1300</v>
      </c>
      <c r="I2715" s="656" t="s">
        <v>14976</v>
      </c>
      <c r="J2715" s="656"/>
      <c r="K2715" s="656"/>
      <c r="L2715" s="656" t="s">
        <v>3447</v>
      </c>
      <c r="M2715" s="657"/>
      <c r="N2715" s="1482"/>
      <c r="O2715" s="656" t="s">
        <v>498</v>
      </c>
      <c r="P2715" s="656" t="s">
        <v>13052</v>
      </c>
      <c r="Q2715" s="656">
        <v>44216.773865740739</v>
      </c>
    </row>
    <row r="2716" spans="1:17">
      <c r="A2716" s="656" t="s">
        <v>3449</v>
      </c>
      <c r="B2716" s="657" t="s">
        <v>202</v>
      </c>
      <c r="C2716" s="656" t="s">
        <v>3450</v>
      </c>
      <c r="D2716" s="657" t="s">
        <v>14977</v>
      </c>
      <c r="E2716" s="657" t="s">
        <v>7439</v>
      </c>
      <c r="F2716" s="656" t="s">
        <v>472</v>
      </c>
      <c r="G2716" s="656" t="s">
        <v>1395</v>
      </c>
      <c r="H2716" s="656" t="s">
        <v>472</v>
      </c>
      <c r="I2716" s="656" t="s">
        <v>14976</v>
      </c>
      <c r="J2716" s="656" t="s">
        <v>12368</v>
      </c>
      <c r="K2716" s="656"/>
      <c r="L2716" s="656"/>
      <c r="M2716" s="657"/>
      <c r="N2716" s="1482"/>
      <c r="O2716" s="656" t="s">
        <v>498</v>
      </c>
      <c r="P2716" s="656" t="s">
        <v>13052</v>
      </c>
      <c r="Q2716" s="656">
        <v>44216.773854166669</v>
      </c>
    </row>
    <row r="2717" spans="1:17">
      <c r="A2717" s="656" t="s">
        <v>3451</v>
      </c>
      <c r="B2717" s="657" t="s">
        <v>202</v>
      </c>
      <c r="C2717" s="656" t="s">
        <v>3452</v>
      </c>
      <c r="D2717" s="657" t="s">
        <v>14977</v>
      </c>
      <c r="E2717" s="657"/>
      <c r="F2717" s="656" t="s">
        <v>472</v>
      </c>
      <c r="G2717" s="656" t="s">
        <v>1073</v>
      </c>
      <c r="H2717" s="656" t="s">
        <v>472</v>
      </c>
      <c r="I2717" s="656" t="s">
        <v>14976</v>
      </c>
      <c r="J2717" s="656" t="s">
        <v>12368</v>
      </c>
      <c r="K2717" s="656"/>
      <c r="L2717" s="656"/>
      <c r="M2717" s="657"/>
      <c r="N2717" s="1482"/>
      <c r="O2717" s="656" t="s">
        <v>498</v>
      </c>
      <c r="P2717" s="656" t="s">
        <v>13052</v>
      </c>
      <c r="Q2717" s="656">
        <v>44216.773854166669</v>
      </c>
    </row>
    <row r="2718" spans="1:17">
      <c r="A2718" s="656" t="s">
        <v>3453</v>
      </c>
      <c r="B2718" s="657" t="s">
        <v>202</v>
      </c>
      <c r="C2718" s="656" t="s">
        <v>3454</v>
      </c>
      <c r="D2718" s="657" t="s">
        <v>14977</v>
      </c>
      <c r="E2718" s="657"/>
      <c r="F2718" s="656" t="s">
        <v>472</v>
      </c>
      <c r="G2718" s="656" t="s">
        <v>1073</v>
      </c>
      <c r="H2718" s="656" t="s">
        <v>472</v>
      </c>
      <c r="I2718" s="656" t="s">
        <v>14976</v>
      </c>
      <c r="J2718" s="656" t="s">
        <v>12368</v>
      </c>
      <c r="K2718" s="656"/>
      <c r="L2718" s="656"/>
      <c r="M2718" s="657"/>
      <c r="N2718" s="1482"/>
      <c r="O2718" s="656" t="s">
        <v>498</v>
      </c>
      <c r="P2718" s="656" t="s">
        <v>13052</v>
      </c>
      <c r="Q2718" s="656">
        <v>44216.773842592593</v>
      </c>
    </row>
    <row r="2719" spans="1:17">
      <c r="A2719" s="656" t="s">
        <v>3455</v>
      </c>
      <c r="B2719" s="657" t="s">
        <v>202</v>
      </c>
      <c r="C2719" s="656" t="s">
        <v>3456</v>
      </c>
      <c r="D2719" s="657" t="s">
        <v>14977</v>
      </c>
      <c r="E2719" s="657" t="s">
        <v>7439</v>
      </c>
      <c r="F2719" s="656" t="s">
        <v>472</v>
      </c>
      <c r="G2719" s="656" t="s">
        <v>1073</v>
      </c>
      <c r="H2719" s="656" t="s">
        <v>472</v>
      </c>
      <c r="I2719" s="656" t="s">
        <v>14976</v>
      </c>
      <c r="J2719" s="656" t="s">
        <v>12368</v>
      </c>
      <c r="K2719" s="656"/>
      <c r="L2719" s="656"/>
      <c r="M2719" s="657"/>
      <c r="N2719" s="1482"/>
      <c r="O2719" s="656" t="s">
        <v>498</v>
      </c>
      <c r="P2719" s="656" t="s">
        <v>13052</v>
      </c>
      <c r="Q2719" s="656">
        <v>44216.773842592593</v>
      </c>
    </row>
    <row r="2720" spans="1:17">
      <c r="A2720" s="656" t="s">
        <v>3457</v>
      </c>
      <c r="B2720" s="657" t="s">
        <v>202</v>
      </c>
      <c r="C2720" s="656" t="s">
        <v>3458</v>
      </c>
      <c r="D2720" s="657" t="s">
        <v>14977</v>
      </c>
      <c r="E2720" s="657"/>
      <c r="F2720" s="656" t="s">
        <v>472</v>
      </c>
      <c r="G2720" s="656" t="s">
        <v>1073</v>
      </c>
      <c r="H2720" s="656" t="s">
        <v>472</v>
      </c>
      <c r="I2720" s="656" t="s">
        <v>14976</v>
      </c>
      <c r="J2720" s="656" t="s">
        <v>12368</v>
      </c>
      <c r="K2720" s="656"/>
      <c r="L2720" s="656"/>
      <c r="M2720" s="657"/>
      <c r="N2720" s="1482"/>
      <c r="O2720" s="656" t="s">
        <v>498</v>
      </c>
      <c r="P2720" s="656" t="s">
        <v>13052</v>
      </c>
      <c r="Q2720" s="656">
        <v>44216.773831018516</v>
      </c>
    </row>
    <row r="2721" spans="1:17">
      <c r="A2721" s="656" t="s">
        <v>12971</v>
      </c>
      <c r="B2721" s="657" t="s">
        <v>531</v>
      </c>
      <c r="C2721" s="656" t="s">
        <v>12970</v>
      </c>
      <c r="D2721" s="657" t="s">
        <v>13789</v>
      </c>
      <c r="E2721" s="657" t="s">
        <v>7437</v>
      </c>
      <c r="F2721" s="656" t="s">
        <v>2849</v>
      </c>
      <c r="G2721" s="656" t="s">
        <v>512</v>
      </c>
      <c r="H2721" s="656" t="s">
        <v>469</v>
      </c>
      <c r="I2721" s="656" t="s">
        <v>14976</v>
      </c>
      <c r="J2721" s="656" t="s">
        <v>532</v>
      </c>
      <c r="K2721" s="656" t="s">
        <v>2849</v>
      </c>
      <c r="L2721" s="656"/>
      <c r="M2721" s="657"/>
      <c r="N2721" s="1482"/>
      <c r="O2721" s="656" t="s">
        <v>498</v>
      </c>
      <c r="P2721" s="656" t="s">
        <v>13052</v>
      </c>
      <c r="Q2721" s="656">
        <v>44216.773831018516</v>
      </c>
    </row>
    <row r="2722" spans="1:17">
      <c r="A2722" s="656" t="s">
        <v>3459</v>
      </c>
      <c r="B2722" s="657" t="s">
        <v>202</v>
      </c>
      <c r="C2722" s="656" t="s">
        <v>3460</v>
      </c>
      <c r="D2722" s="657" t="s">
        <v>14977</v>
      </c>
      <c r="E2722" s="657"/>
      <c r="F2722" s="656" t="s">
        <v>472</v>
      </c>
      <c r="G2722" s="656" t="s">
        <v>1073</v>
      </c>
      <c r="H2722" s="656" t="s">
        <v>472</v>
      </c>
      <c r="I2722" s="656" t="s">
        <v>14976</v>
      </c>
      <c r="J2722" s="656" t="s">
        <v>12368</v>
      </c>
      <c r="K2722" s="656"/>
      <c r="L2722" s="656"/>
      <c r="M2722" s="657"/>
      <c r="N2722" s="1482"/>
      <c r="O2722" s="656" t="s">
        <v>498</v>
      </c>
      <c r="P2722" s="656" t="s">
        <v>13052</v>
      </c>
      <c r="Q2722" s="656">
        <v>44216.773819444446</v>
      </c>
    </row>
    <row r="2723" spans="1:17">
      <c r="A2723" s="656" t="s">
        <v>3461</v>
      </c>
      <c r="B2723" s="657" t="s">
        <v>202</v>
      </c>
      <c r="C2723" s="656" t="s">
        <v>3462</v>
      </c>
      <c r="D2723" s="657" t="s">
        <v>14977</v>
      </c>
      <c r="E2723" s="657"/>
      <c r="F2723" s="656" t="s">
        <v>1394</v>
      </c>
      <c r="G2723" s="656" t="s">
        <v>1073</v>
      </c>
      <c r="H2723" s="656" t="s">
        <v>1394</v>
      </c>
      <c r="I2723" s="656" t="s">
        <v>14976</v>
      </c>
      <c r="J2723" s="656"/>
      <c r="K2723" s="656"/>
      <c r="L2723" s="656" t="s">
        <v>3461</v>
      </c>
      <c r="M2723" s="657"/>
      <c r="N2723" s="1482"/>
      <c r="O2723" s="656" t="s">
        <v>498</v>
      </c>
      <c r="P2723" s="656" t="s">
        <v>13052</v>
      </c>
      <c r="Q2723" s="656">
        <v>44216.77380787037</v>
      </c>
    </row>
    <row r="2724" spans="1:17">
      <c r="A2724" s="656" t="s">
        <v>3463</v>
      </c>
      <c r="B2724" s="657" t="s">
        <v>202</v>
      </c>
      <c r="C2724" s="656" t="s">
        <v>3464</v>
      </c>
      <c r="D2724" s="657" t="s">
        <v>14977</v>
      </c>
      <c r="E2724" s="657"/>
      <c r="F2724" s="656" t="s">
        <v>472</v>
      </c>
      <c r="G2724" s="656" t="s">
        <v>1073</v>
      </c>
      <c r="H2724" s="656" t="s">
        <v>472</v>
      </c>
      <c r="I2724" s="656" t="s">
        <v>14976</v>
      </c>
      <c r="J2724" s="656" t="s">
        <v>12368</v>
      </c>
      <c r="K2724" s="656"/>
      <c r="L2724" s="656"/>
      <c r="M2724" s="657"/>
      <c r="N2724" s="1482"/>
      <c r="O2724" s="656" t="s">
        <v>498</v>
      </c>
      <c r="P2724" s="656" t="s">
        <v>13052</v>
      </c>
      <c r="Q2724" s="656">
        <v>44216.77380787037</v>
      </c>
    </row>
    <row r="2725" spans="1:17">
      <c r="A2725" s="656" t="s">
        <v>3465</v>
      </c>
      <c r="B2725" s="657" t="s">
        <v>202</v>
      </c>
      <c r="C2725" s="656" t="s">
        <v>3466</v>
      </c>
      <c r="D2725" s="657" t="s">
        <v>14977</v>
      </c>
      <c r="E2725" s="657"/>
      <c r="F2725" s="656" t="s">
        <v>472</v>
      </c>
      <c r="G2725" s="656" t="s">
        <v>1073</v>
      </c>
      <c r="H2725" s="656" t="s">
        <v>472</v>
      </c>
      <c r="I2725" s="656" t="s">
        <v>14976</v>
      </c>
      <c r="J2725" s="656" t="s">
        <v>12368</v>
      </c>
      <c r="K2725" s="656"/>
      <c r="L2725" s="656"/>
      <c r="M2725" s="657"/>
      <c r="N2725" s="1482"/>
      <c r="O2725" s="656" t="s">
        <v>498</v>
      </c>
      <c r="P2725" s="656" t="s">
        <v>13052</v>
      </c>
      <c r="Q2725" s="656">
        <v>44216.773796296293</v>
      </c>
    </row>
    <row r="2726" spans="1:17">
      <c r="A2726" s="656" t="s">
        <v>3467</v>
      </c>
      <c r="B2726" s="657" t="s">
        <v>202</v>
      </c>
      <c r="C2726" s="656" t="s">
        <v>3468</v>
      </c>
      <c r="D2726" s="657" t="s">
        <v>14978</v>
      </c>
      <c r="E2726" s="657" t="s">
        <v>9510</v>
      </c>
      <c r="F2726" s="656" t="s">
        <v>472</v>
      </c>
      <c r="G2726" s="656" t="s">
        <v>1395</v>
      </c>
      <c r="H2726" s="656" t="s">
        <v>472</v>
      </c>
      <c r="I2726" s="656" t="s">
        <v>14976</v>
      </c>
      <c r="J2726" s="656" t="s">
        <v>12368</v>
      </c>
      <c r="K2726" s="656"/>
      <c r="L2726" s="656" t="s">
        <v>3469</v>
      </c>
      <c r="M2726" s="657"/>
      <c r="N2726" s="1482"/>
      <c r="O2726" s="656" t="s">
        <v>498</v>
      </c>
      <c r="P2726" s="656" t="s">
        <v>13052</v>
      </c>
      <c r="Q2726" s="656">
        <v>44216.773796296293</v>
      </c>
    </row>
    <row r="2727" spans="1:17">
      <c r="A2727" s="656" t="s">
        <v>3469</v>
      </c>
      <c r="B2727" s="657" t="s">
        <v>202</v>
      </c>
      <c r="C2727" s="656" t="s">
        <v>3470</v>
      </c>
      <c r="D2727" s="657" t="s">
        <v>14977</v>
      </c>
      <c r="E2727" s="657"/>
      <c r="F2727" s="656" t="s">
        <v>472</v>
      </c>
      <c r="G2727" s="656" t="s">
        <v>1073</v>
      </c>
      <c r="H2727" s="656" t="s">
        <v>472</v>
      </c>
      <c r="I2727" s="656" t="s">
        <v>14976</v>
      </c>
      <c r="J2727" s="656" t="s">
        <v>12368</v>
      </c>
      <c r="K2727" s="656"/>
      <c r="L2727" s="656"/>
      <c r="M2727" s="657"/>
      <c r="N2727" s="1482"/>
      <c r="O2727" s="656" t="s">
        <v>498</v>
      </c>
      <c r="P2727" s="656" t="s">
        <v>13052</v>
      </c>
      <c r="Q2727" s="656">
        <v>44216.773796296293</v>
      </c>
    </row>
    <row r="2728" spans="1:17">
      <c r="A2728" s="656" t="s">
        <v>3471</v>
      </c>
      <c r="B2728" s="657" t="s">
        <v>202</v>
      </c>
      <c r="C2728" s="656" t="s">
        <v>3472</v>
      </c>
      <c r="D2728" s="657" t="s">
        <v>14977</v>
      </c>
      <c r="E2728" s="657"/>
      <c r="F2728" s="656" t="s">
        <v>472</v>
      </c>
      <c r="G2728" s="656" t="s">
        <v>1073</v>
      </c>
      <c r="H2728" s="656" t="s">
        <v>472</v>
      </c>
      <c r="I2728" s="656" t="s">
        <v>14976</v>
      </c>
      <c r="J2728" s="656" t="s">
        <v>12368</v>
      </c>
      <c r="K2728" s="656"/>
      <c r="L2728" s="656"/>
      <c r="M2728" s="657"/>
      <c r="N2728" s="1482"/>
      <c r="O2728" s="656" t="s">
        <v>498</v>
      </c>
      <c r="P2728" s="656" t="s">
        <v>13052</v>
      </c>
      <c r="Q2728" s="656">
        <v>44216.773773148147</v>
      </c>
    </row>
    <row r="2729" spans="1:17">
      <c r="A2729" s="656" t="s">
        <v>3473</v>
      </c>
      <c r="B2729" s="657" t="s">
        <v>202</v>
      </c>
      <c r="C2729" s="656" t="s">
        <v>3450</v>
      </c>
      <c r="D2729" s="657" t="s">
        <v>14977</v>
      </c>
      <c r="E2729" s="657"/>
      <c r="F2729" s="656" t="s">
        <v>472</v>
      </c>
      <c r="G2729" s="656" t="s">
        <v>1394</v>
      </c>
      <c r="H2729" s="656" t="s">
        <v>472</v>
      </c>
      <c r="I2729" s="656" t="s">
        <v>14976</v>
      </c>
      <c r="J2729" s="656" t="s">
        <v>12368</v>
      </c>
      <c r="K2729" s="656"/>
      <c r="L2729" s="656"/>
      <c r="M2729" s="657"/>
      <c r="N2729" s="1482"/>
      <c r="O2729" s="656" t="s">
        <v>498</v>
      </c>
      <c r="P2729" s="656" t="s">
        <v>13052</v>
      </c>
      <c r="Q2729" s="656">
        <v>44216.773773148147</v>
      </c>
    </row>
    <row r="2730" spans="1:17">
      <c r="A2730" s="656" t="s">
        <v>3474</v>
      </c>
      <c r="B2730" s="657" t="s">
        <v>202</v>
      </c>
      <c r="C2730" s="656" t="s">
        <v>3475</v>
      </c>
      <c r="D2730" s="657" t="s">
        <v>14977</v>
      </c>
      <c r="E2730" s="657"/>
      <c r="F2730" s="656" t="s">
        <v>472</v>
      </c>
      <c r="G2730" s="656" t="s">
        <v>1073</v>
      </c>
      <c r="H2730" s="656" t="s">
        <v>472</v>
      </c>
      <c r="I2730" s="656" t="s">
        <v>14976</v>
      </c>
      <c r="J2730" s="656" t="s">
        <v>12368</v>
      </c>
      <c r="K2730" s="656"/>
      <c r="L2730" s="656"/>
      <c r="M2730" s="657"/>
      <c r="N2730" s="1482"/>
      <c r="O2730" s="656" t="s">
        <v>498</v>
      </c>
      <c r="P2730" s="656" t="s">
        <v>13052</v>
      </c>
      <c r="Q2730" s="656">
        <v>44216.773761574077</v>
      </c>
    </row>
    <row r="2731" spans="1:17">
      <c r="A2731" s="656" t="s">
        <v>12972</v>
      </c>
      <c r="B2731" s="657" t="s">
        <v>531</v>
      </c>
      <c r="C2731" s="656" t="s">
        <v>13702</v>
      </c>
      <c r="D2731" s="657" t="s">
        <v>13789</v>
      </c>
      <c r="E2731" s="657" t="s">
        <v>7437</v>
      </c>
      <c r="F2731" s="656" t="s">
        <v>2849</v>
      </c>
      <c r="G2731" s="656"/>
      <c r="H2731" s="656" t="s">
        <v>469</v>
      </c>
      <c r="I2731" s="656" t="s">
        <v>14976</v>
      </c>
      <c r="J2731" s="656" t="s">
        <v>532</v>
      </c>
      <c r="K2731" s="656"/>
      <c r="L2731" s="656"/>
      <c r="M2731" s="657"/>
      <c r="N2731" s="1482"/>
      <c r="O2731" s="656" t="s">
        <v>498</v>
      </c>
      <c r="P2731" s="656" t="s">
        <v>13052</v>
      </c>
      <c r="Q2731" s="656">
        <v>44216.773761574077</v>
      </c>
    </row>
    <row r="2732" spans="1:17">
      <c r="A2732" s="656" t="s">
        <v>3476</v>
      </c>
      <c r="B2732" s="657" t="s">
        <v>202</v>
      </c>
      <c r="C2732" s="656" t="s">
        <v>3477</v>
      </c>
      <c r="D2732" s="657" t="s">
        <v>14977</v>
      </c>
      <c r="E2732" s="657" t="s">
        <v>7439</v>
      </c>
      <c r="F2732" s="656" t="s">
        <v>472</v>
      </c>
      <c r="G2732" s="656" t="s">
        <v>1073</v>
      </c>
      <c r="H2732" s="656" t="s">
        <v>472</v>
      </c>
      <c r="I2732" s="656" t="s">
        <v>14976</v>
      </c>
      <c r="J2732" s="656" t="s">
        <v>12368</v>
      </c>
      <c r="K2732" s="656"/>
      <c r="L2732" s="656"/>
      <c r="M2732" s="657"/>
      <c r="N2732" s="1482"/>
      <c r="O2732" s="656" t="s">
        <v>498</v>
      </c>
      <c r="P2732" s="656" t="s">
        <v>13052</v>
      </c>
      <c r="Q2732" s="656">
        <v>44216.77375</v>
      </c>
    </row>
    <row r="2733" spans="1:17">
      <c r="A2733" s="656" t="s">
        <v>3478</v>
      </c>
      <c r="B2733" s="657" t="s">
        <v>202</v>
      </c>
      <c r="C2733" s="656" t="s">
        <v>3479</v>
      </c>
      <c r="D2733" s="657" t="s">
        <v>14977</v>
      </c>
      <c r="E2733" s="657"/>
      <c r="F2733" s="656" t="s">
        <v>472</v>
      </c>
      <c r="G2733" s="656" t="s">
        <v>1073</v>
      </c>
      <c r="H2733" s="656" t="s">
        <v>472</v>
      </c>
      <c r="I2733" s="656" t="s">
        <v>14976</v>
      </c>
      <c r="J2733" s="656" t="s">
        <v>12368</v>
      </c>
      <c r="K2733" s="656"/>
      <c r="L2733" s="656"/>
      <c r="M2733" s="657"/>
      <c r="N2733" s="1482"/>
      <c r="O2733" s="656" t="s">
        <v>498</v>
      </c>
      <c r="P2733" s="656" t="s">
        <v>13052</v>
      </c>
      <c r="Q2733" s="656">
        <v>44216.77375</v>
      </c>
    </row>
    <row r="2734" spans="1:17">
      <c r="A2734" s="656" t="s">
        <v>3480</v>
      </c>
      <c r="B2734" s="657" t="s">
        <v>202</v>
      </c>
      <c r="C2734" s="656" t="s">
        <v>3481</v>
      </c>
      <c r="D2734" s="657" t="s">
        <v>14977</v>
      </c>
      <c r="E2734" s="657"/>
      <c r="F2734" s="656" t="s">
        <v>472</v>
      </c>
      <c r="G2734" s="656" t="s">
        <v>1073</v>
      </c>
      <c r="H2734" s="656" t="s">
        <v>472</v>
      </c>
      <c r="I2734" s="656" t="s">
        <v>14976</v>
      </c>
      <c r="J2734" s="656" t="s">
        <v>12368</v>
      </c>
      <c r="K2734" s="656"/>
      <c r="L2734" s="656"/>
      <c r="M2734" s="657"/>
      <c r="N2734" s="1482"/>
      <c r="O2734" s="656" t="s">
        <v>498</v>
      </c>
      <c r="P2734" s="656" t="s">
        <v>13052</v>
      </c>
      <c r="Q2734" s="656">
        <v>44216.773738425924</v>
      </c>
    </row>
    <row r="2735" spans="1:17">
      <c r="A2735" s="656" t="s">
        <v>3482</v>
      </c>
      <c r="B2735" s="657" t="s">
        <v>202</v>
      </c>
      <c r="C2735" s="656" t="s">
        <v>3483</v>
      </c>
      <c r="D2735" s="657" t="s">
        <v>14977</v>
      </c>
      <c r="E2735" s="657"/>
      <c r="F2735" s="656" t="s">
        <v>472</v>
      </c>
      <c r="G2735" s="656" t="s">
        <v>1073</v>
      </c>
      <c r="H2735" s="656" t="s">
        <v>472</v>
      </c>
      <c r="I2735" s="656" t="s">
        <v>14976</v>
      </c>
      <c r="J2735" s="656" t="s">
        <v>12368</v>
      </c>
      <c r="K2735" s="656"/>
      <c r="L2735" s="656"/>
      <c r="M2735" s="657"/>
      <c r="N2735" s="1482"/>
      <c r="O2735" s="656" t="s">
        <v>498</v>
      </c>
      <c r="P2735" s="656" t="s">
        <v>13052</v>
      </c>
      <c r="Q2735" s="656">
        <v>44216.773738425924</v>
      </c>
    </row>
    <row r="2736" spans="1:17">
      <c r="A2736" s="656" t="s">
        <v>3484</v>
      </c>
      <c r="B2736" s="657" t="s">
        <v>202</v>
      </c>
      <c r="C2736" s="656" t="s">
        <v>3485</v>
      </c>
      <c r="D2736" s="657" t="s">
        <v>14977</v>
      </c>
      <c r="E2736" s="657"/>
      <c r="F2736" s="656" t="s">
        <v>472</v>
      </c>
      <c r="G2736" s="656" t="s">
        <v>1073</v>
      </c>
      <c r="H2736" s="656" t="s">
        <v>472</v>
      </c>
      <c r="I2736" s="656" t="s">
        <v>14976</v>
      </c>
      <c r="J2736" s="656" t="s">
        <v>12368</v>
      </c>
      <c r="K2736" s="656"/>
      <c r="L2736" s="656"/>
      <c r="M2736" s="657"/>
      <c r="N2736" s="1482"/>
      <c r="O2736" s="656" t="s">
        <v>498</v>
      </c>
      <c r="P2736" s="656" t="s">
        <v>13052</v>
      </c>
      <c r="Q2736" s="656">
        <v>44216.773726851854</v>
      </c>
    </row>
    <row r="2737" spans="1:17">
      <c r="A2737" s="656" t="s">
        <v>3486</v>
      </c>
      <c r="B2737" s="657" t="s">
        <v>202</v>
      </c>
      <c r="C2737" s="656" t="s">
        <v>3487</v>
      </c>
      <c r="D2737" s="657" t="s">
        <v>14977</v>
      </c>
      <c r="E2737" s="657"/>
      <c r="F2737" s="656" t="s">
        <v>472</v>
      </c>
      <c r="G2737" s="656" t="s">
        <v>1073</v>
      </c>
      <c r="H2737" s="656" t="s">
        <v>472</v>
      </c>
      <c r="I2737" s="656" t="s">
        <v>14976</v>
      </c>
      <c r="J2737" s="656" t="s">
        <v>12368</v>
      </c>
      <c r="K2737" s="656"/>
      <c r="L2737" s="656"/>
      <c r="M2737" s="657"/>
      <c r="N2737" s="1482"/>
      <c r="O2737" s="656" t="s">
        <v>498</v>
      </c>
      <c r="P2737" s="656" t="s">
        <v>13052</v>
      </c>
      <c r="Q2737" s="656">
        <v>44216.773726851854</v>
      </c>
    </row>
    <row r="2738" spans="1:17">
      <c r="A2738" s="656" t="s">
        <v>3488</v>
      </c>
      <c r="B2738" s="657" t="s">
        <v>202</v>
      </c>
      <c r="C2738" s="656" t="s">
        <v>3489</v>
      </c>
      <c r="D2738" s="657" t="s">
        <v>14977</v>
      </c>
      <c r="E2738" s="657"/>
      <c r="F2738" s="656" t="s">
        <v>472</v>
      </c>
      <c r="G2738" s="656" t="s">
        <v>1073</v>
      </c>
      <c r="H2738" s="656" t="s">
        <v>472</v>
      </c>
      <c r="I2738" s="656" t="s">
        <v>14976</v>
      </c>
      <c r="J2738" s="656" t="s">
        <v>12368</v>
      </c>
      <c r="K2738" s="656"/>
      <c r="L2738" s="656"/>
      <c r="M2738" s="657"/>
      <c r="N2738" s="1482"/>
      <c r="O2738" s="656" t="s">
        <v>498</v>
      </c>
      <c r="P2738" s="656" t="s">
        <v>13052</v>
      </c>
      <c r="Q2738" s="656">
        <v>44216.773715277777</v>
      </c>
    </row>
    <row r="2739" spans="1:17">
      <c r="A2739" s="656" t="s">
        <v>3490</v>
      </c>
      <c r="B2739" s="657" t="s">
        <v>202</v>
      </c>
      <c r="C2739" s="656" t="s">
        <v>3491</v>
      </c>
      <c r="D2739" s="657" t="s">
        <v>14977</v>
      </c>
      <c r="E2739" s="657"/>
      <c r="F2739" s="656" t="s">
        <v>472</v>
      </c>
      <c r="G2739" s="656" t="s">
        <v>519</v>
      </c>
      <c r="H2739" s="656" t="s">
        <v>472</v>
      </c>
      <c r="I2739" s="656" t="s">
        <v>14976</v>
      </c>
      <c r="J2739" s="656" t="s">
        <v>12368</v>
      </c>
      <c r="K2739" s="656" t="s">
        <v>1058</v>
      </c>
      <c r="L2739" s="656"/>
      <c r="M2739" s="657"/>
      <c r="N2739" s="1482"/>
      <c r="O2739" s="656" t="s">
        <v>498</v>
      </c>
      <c r="P2739" s="656" t="s">
        <v>13052</v>
      </c>
      <c r="Q2739" s="656">
        <v>44216.773715277777</v>
      </c>
    </row>
    <row r="2740" spans="1:17">
      <c r="A2740" s="656" t="s">
        <v>3492</v>
      </c>
      <c r="B2740" s="657" t="s">
        <v>202</v>
      </c>
      <c r="C2740" s="656" t="s">
        <v>3493</v>
      </c>
      <c r="D2740" s="657" t="s">
        <v>14977</v>
      </c>
      <c r="E2740" s="657" t="s">
        <v>9654</v>
      </c>
      <c r="F2740" s="656" t="s">
        <v>472</v>
      </c>
      <c r="G2740" s="656" t="s">
        <v>1073</v>
      </c>
      <c r="H2740" s="656" t="s">
        <v>472</v>
      </c>
      <c r="I2740" s="656" t="s">
        <v>14976</v>
      </c>
      <c r="J2740" s="656" t="s">
        <v>12368</v>
      </c>
      <c r="K2740" s="656"/>
      <c r="L2740" s="656"/>
      <c r="M2740" s="657"/>
      <c r="N2740" s="1482"/>
      <c r="O2740" s="656" t="s">
        <v>498</v>
      </c>
      <c r="P2740" s="656" t="s">
        <v>13052</v>
      </c>
      <c r="Q2740" s="656">
        <v>44216.773715277777</v>
      </c>
    </row>
    <row r="2741" spans="1:17">
      <c r="A2741" s="656" t="s">
        <v>3494</v>
      </c>
      <c r="B2741" s="657" t="s">
        <v>202</v>
      </c>
      <c r="C2741" s="656" t="s">
        <v>3495</v>
      </c>
      <c r="D2741" s="657" t="s">
        <v>14977</v>
      </c>
      <c r="E2741" s="657"/>
      <c r="F2741" s="656" t="s">
        <v>472</v>
      </c>
      <c r="G2741" s="656" t="s">
        <v>1073</v>
      </c>
      <c r="H2741" s="656" t="s">
        <v>472</v>
      </c>
      <c r="I2741" s="656" t="s">
        <v>14976</v>
      </c>
      <c r="J2741" s="656" t="s">
        <v>12368</v>
      </c>
      <c r="K2741" s="656"/>
      <c r="L2741" s="656"/>
      <c r="M2741" s="657"/>
      <c r="N2741" s="1482"/>
      <c r="O2741" s="656" t="s">
        <v>498</v>
      </c>
      <c r="P2741" s="656" t="s">
        <v>13052</v>
      </c>
      <c r="Q2741" s="656">
        <v>44216.7737037037</v>
      </c>
    </row>
    <row r="2742" spans="1:17">
      <c r="A2742" s="656" t="s">
        <v>3496</v>
      </c>
      <c r="B2742" s="657" t="s">
        <v>202</v>
      </c>
      <c r="C2742" s="656" t="s">
        <v>3497</v>
      </c>
      <c r="D2742" s="657" t="s">
        <v>14977</v>
      </c>
      <c r="E2742" s="657"/>
      <c r="F2742" s="656" t="s">
        <v>1394</v>
      </c>
      <c r="G2742" s="656" t="s">
        <v>1073</v>
      </c>
      <c r="H2742" s="656" t="s">
        <v>1394</v>
      </c>
      <c r="I2742" s="656" t="s">
        <v>14976</v>
      </c>
      <c r="J2742" s="656"/>
      <c r="K2742" s="656"/>
      <c r="L2742" s="656" t="s">
        <v>3496</v>
      </c>
      <c r="M2742" s="657"/>
      <c r="N2742" s="1482"/>
      <c r="O2742" s="656" t="s">
        <v>498</v>
      </c>
      <c r="P2742" s="656" t="s">
        <v>13052</v>
      </c>
      <c r="Q2742" s="656">
        <v>44216.7737037037</v>
      </c>
    </row>
    <row r="2743" spans="1:17">
      <c r="A2743" s="656" t="s">
        <v>3498</v>
      </c>
      <c r="B2743" s="657" t="s">
        <v>202</v>
      </c>
      <c r="C2743" s="656" t="s">
        <v>3499</v>
      </c>
      <c r="D2743" s="657" t="s">
        <v>14977</v>
      </c>
      <c r="E2743" s="657"/>
      <c r="F2743" s="656" t="s">
        <v>472</v>
      </c>
      <c r="G2743" s="656" t="s">
        <v>1073</v>
      </c>
      <c r="H2743" s="656" t="s">
        <v>472</v>
      </c>
      <c r="I2743" s="656" t="s">
        <v>14976</v>
      </c>
      <c r="J2743" s="656" t="s">
        <v>12368</v>
      </c>
      <c r="K2743" s="656"/>
      <c r="L2743" s="656"/>
      <c r="M2743" s="657"/>
      <c r="N2743" s="1482"/>
      <c r="O2743" s="656" t="s">
        <v>498</v>
      </c>
      <c r="P2743" s="656" t="s">
        <v>13052</v>
      </c>
      <c r="Q2743" s="656">
        <v>44216.773692129631</v>
      </c>
    </row>
    <row r="2744" spans="1:17">
      <c r="A2744" s="656" t="s">
        <v>3500</v>
      </c>
      <c r="B2744" s="657" t="s">
        <v>202</v>
      </c>
      <c r="C2744" s="656" t="s">
        <v>3501</v>
      </c>
      <c r="D2744" s="657" t="s">
        <v>14977</v>
      </c>
      <c r="E2744" s="657"/>
      <c r="F2744" s="656" t="s">
        <v>472</v>
      </c>
      <c r="G2744" s="656" t="s">
        <v>1073</v>
      </c>
      <c r="H2744" s="656" t="s">
        <v>472</v>
      </c>
      <c r="I2744" s="656" t="s">
        <v>14976</v>
      </c>
      <c r="J2744" s="656" t="s">
        <v>12368</v>
      </c>
      <c r="K2744" s="656"/>
      <c r="L2744" s="656"/>
      <c r="M2744" s="657"/>
      <c r="N2744" s="1482"/>
      <c r="O2744" s="656" t="s">
        <v>498</v>
      </c>
      <c r="P2744" s="656" t="s">
        <v>13052</v>
      </c>
      <c r="Q2744" s="656">
        <v>44216.773692129631</v>
      </c>
    </row>
    <row r="2745" spans="1:17">
      <c r="A2745" s="656" t="s">
        <v>3502</v>
      </c>
      <c r="B2745" s="657" t="s">
        <v>202</v>
      </c>
      <c r="C2745" s="656" t="s">
        <v>3503</v>
      </c>
      <c r="D2745" s="657" t="s">
        <v>14977</v>
      </c>
      <c r="E2745" s="657" t="s">
        <v>9458</v>
      </c>
      <c r="F2745" s="656" t="s">
        <v>472</v>
      </c>
      <c r="G2745" s="656" t="s">
        <v>1073</v>
      </c>
      <c r="H2745" s="656" t="s">
        <v>472</v>
      </c>
      <c r="I2745" s="656" t="s">
        <v>14976</v>
      </c>
      <c r="J2745" s="656" t="s">
        <v>12368</v>
      </c>
      <c r="K2745" s="656"/>
      <c r="L2745" s="656"/>
      <c r="M2745" s="657"/>
      <c r="N2745" s="1482"/>
      <c r="O2745" s="656" t="s">
        <v>498</v>
      </c>
      <c r="P2745" s="656" t="s">
        <v>13052</v>
      </c>
      <c r="Q2745" s="656">
        <v>44216.773680555554</v>
      </c>
    </row>
    <row r="2746" spans="1:17">
      <c r="A2746" s="656" t="s">
        <v>3504</v>
      </c>
      <c r="B2746" s="657" t="s">
        <v>202</v>
      </c>
      <c r="C2746" s="656" t="s">
        <v>3505</v>
      </c>
      <c r="D2746" s="657" t="s">
        <v>14977</v>
      </c>
      <c r="E2746" s="657"/>
      <c r="F2746" s="656" t="s">
        <v>472</v>
      </c>
      <c r="G2746" s="656" t="s">
        <v>1073</v>
      </c>
      <c r="H2746" s="656" t="s">
        <v>472</v>
      </c>
      <c r="I2746" s="656" t="s">
        <v>14976</v>
      </c>
      <c r="J2746" s="656" t="s">
        <v>12368</v>
      </c>
      <c r="K2746" s="656"/>
      <c r="L2746" s="656"/>
      <c r="M2746" s="657"/>
      <c r="N2746" s="1482"/>
      <c r="O2746" s="656" t="s">
        <v>498</v>
      </c>
      <c r="P2746" s="656" t="s">
        <v>13052</v>
      </c>
      <c r="Q2746" s="656">
        <v>44216.773680555554</v>
      </c>
    </row>
    <row r="2747" spans="1:17">
      <c r="A2747" s="656" t="s">
        <v>3506</v>
      </c>
      <c r="B2747" s="657" t="s">
        <v>504</v>
      </c>
      <c r="C2747" s="656" t="s">
        <v>3507</v>
      </c>
      <c r="D2747" s="657"/>
      <c r="E2747" s="657"/>
      <c r="F2747" s="656" t="s">
        <v>505</v>
      </c>
      <c r="G2747" s="656" t="s">
        <v>3335</v>
      </c>
      <c r="H2747" s="656" t="s">
        <v>505</v>
      </c>
      <c r="I2747" s="656"/>
      <c r="J2747" s="656"/>
      <c r="K2747" s="656"/>
      <c r="L2747" s="656"/>
      <c r="M2747" s="657"/>
      <c r="N2747" s="1482"/>
      <c r="O2747" s="656" t="s">
        <v>498</v>
      </c>
      <c r="P2747" s="656" t="s">
        <v>13052</v>
      </c>
      <c r="Q2747" s="656">
        <v>44216.773680555554</v>
      </c>
    </row>
    <row r="2748" spans="1:17">
      <c r="A2748" s="656" t="s">
        <v>3508</v>
      </c>
      <c r="B2748" s="657" t="s">
        <v>504</v>
      </c>
      <c r="C2748" s="656" t="s">
        <v>3509</v>
      </c>
      <c r="D2748" s="657"/>
      <c r="E2748" s="657"/>
      <c r="F2748" s="656" t="s">
        <v>505</v>
      </c>
      <c r="G2748" s="656" t="s">
        <v>522</v>
      </c>
      <c r="H2748" s="656" t="s">
        <v>505</v>
      </c>
      <c r="I2748" s="656"/>
      <c r="J2748" s="656"/>
      <c r="K2748" s="656"/>
      <c r="L2748" s="656"/>
      <c r="M2748" s="657"/>
      <c r="N2748" s="1482"/>
      <c r="O2748" s="656" t="s">
        <v>498</v>
      </c>
      <c r="P2748" s="656" t="s">
        <v>13052</v>
      </c>
      <c r="Q2748" s="656">
        <v>44216.773668981485</v>
      </c>
    </row>
    <row r="2749" spans="1:17">
      <c r="A2749" s="656" t="s">
        <v>3510</v>
      </c>
      <c r="B2749" s="657" t="s">
        <v>504</v>
      </c>
      <c r="C2749" s="656" t="s">
        <v>3511</v>
      </c>
      <c r="D2749" s="657"/>
      <c r="E2749" s="657"/>
      <c r="F2749" s="656" t="s">
        <v>505</v>
      </c>
      <c r="G2749" s="656" t="s">
        <v>522</v>
      </c>
      <c r="H2749" s="656" t="s">
        <v>505</v>
      </c>
      <c r="I2749" s="656"/>
      <c r="J2749" s="656"/>
      <c r="K2749" s="656"/>
      <c r="L2749" s="656"/>
      <c r="M2749" s="657"/>
      <c r="N2749" s="1482"/>
      <c r="O2749" s="656" t="s">
        <v>498</v>
      </c>
      <c r="P2749" s="656" t="s">
        <v>13052</v>
      </c>
      <c r="Q2749" s="656">
        <v>44216.773668981485</v>
      </c>
    </row>
    <row r="2750" spans="1:17">
      <c r="A2750" s="656" t="s">
        <v>3512</v>
      </c>
      <c r="B2750" s="657" t="s">
        <v>504</v>
      </c>
      <c r="C2750" s="656" t="s">
        <v>3513</v>
      </c>
      <c r="D2750" s="657"/>
      <c r="E2750" s="657"/>
      <c r="F2750" s="656" t="s">
        <v>505</v>
      </c>
      <c r="G2750" s="656" t="s">
        <v>522</v>
      </c>
      <c r="H2750" s="656" t="s">
        <v>505</v>
      </c>
      <c r="I2750" s="656"/>
      <c r="J2750" s="656"/>
      <c r="K2750" s="656"/>
      <c r="L2750" s="656"/>
      <c r="M2750" s="657"/>
      <c r="N2750" s="1482"/>
      <c r="O2750" s="656" t="s">
        <v>498</v>
      </c>
      <c r="P2750" s="656" t="s">
        <v>13052</v>
      </c>
      <c r="Q2750" s="656">
        <v>44216.773657407408</v>
      </c>
    </row>
    <row r="2751" spans="1:17">
      <c r="A2751" s="656" t="s">
        <v>3514</v>
      </c>
      <c r="B2751" s="657" t="s">
        <v>504</v>
      </c>
      <c r="C2751" s="656" t="s">
        <v>3515</v>
      </c>
      <c r="D2751" s="657"/>
      <c r="E2751" s="657"/>
      <c r="F2751" s="656" t="s">
        <v>505</v>
      </c>
      <c r="G2751" s="656" t="s">
        <v>522</v>
      </c>
      <c r="H2751" s="656" t="s">
        <v>505</v>
      </c>
      <c r="I2751" s="656"/>
      <c r="J2751" s="656"/>
      <c r="K2751" s="656"/>
      <c r="L2751" s="656"/>
      <c r="M2751" s="657"/>
      <c r="N2751" s="1482"/>
      <c r="O2751" s="656" t="s">
        <v>498</v>
      </c>
      <c r="P2751" s="656" t="s">
        <v>13052</v>
      </c>
      <c r="Q2751" s="656">
        <v>44216.773645833331</v>
      </c>
    </row>
    <row r="2752" spans="1:17">
      <c r="A2752" s="656" t="s">
        <v>3516</v>
      </c>
      <c r="B2752" s="657" t="s">
        <v>504</v>
      </c>
      <c r="C2752" s="656" t="s">
        <v>3517</v>
      </c>
      <c r="D2752" s="657" t="s">
        <v>13789</v>
      </c>
      <c r="E2752" s="657" t="s">
        <v>9510</v>
      </c>
      <c r="F2752" s="656" t="s">
        <v>505</v>
      </c>
      <c r="G2752" s="656" t="s">
        <v>522</v>
      </c>
      <c r="H2752" s="656" t="s">
        <v>505</v>
      </c>
      <c r="I2752" s="656" t="s">
        <v>14976</v>
      </c>
      <c r="J2752" s="656"/>
      <c r="K2752" s="656"/>
      <c r="L2752" s="656"/>
      <c r="M2752" s="657"/>
      <c r="N2752" s="1482"/>
      <c r="O2752" s="656" t="s">
        <v>498</v>
      </c>
      <c r="P2752" s="656" t="s">
        <v>13052</v>
      </c>
      <c r="Q2752" s="656">
        <v>44216.773645833331</v>
      </c>
    </row>
    <row r="2753" spans="1:17">
      <c r="A2753" s="656" t="s">
        <v>3518</v>
      </c>
      <c r="B2753" s="657" t="s">
        <v>504</v>
      </c>
      <c r="C2753" s="656" t="s">
        <v>3519</v>
      </c>
      <c r="D2753" s="657"/>
      <c r="E2753" s="657"/>
      <c r="F2753" s="656" t="s">
        <v>505</v>
      </c>
      <c r="G2753" s="656" t="s">
        <v>522</v>
      </c>
      <c r="H2753" s="656" t="s">
        <v>505</v>
      </c>
      <c r="I2753" s="656"/>
      <c r="J2753" s="656"/>
      <c r="K2753" s="656"/>
      <c r="L2753" s="656"/>
      <c r="M2753" s="657"/>
      <c r="N2753" s="1482"/>
      <c r="O2753" s="656" t="s">
        <v>498</v>
      </c>
      <c r="P2753" s="656" t="s">
        <v>13052</v>
      </c>
      <c r="Q2753" s="656">
        <v>44216.773634259262</v>
      </c>
    </row>
    <row r="2754" spans="1:17">
      <c r="A2754" s="656" t="s">
        <v>3520</v>
      </c>
      <c r="B2754" s="657" t="s">
        <v>202</v>
      </c>
      <c r="C2754" s="656" t="s">
        <v>3521</v>
      </c>
      <c r="D2754" s="657" t="s">
        <v>14977</v>
      </c>
      <c r="E2754" s="657"/>
      <c r="F2754" s="656" t="s">
        <v>472</v>
      </c>
      <c r="G2754" s="656" t="s">
        <v>541</v>
      </c>
      <c r="H2754" s="656" t="s">
        <v>472</v>
      </c>
      <c r="I2754" s="656" t="s">
        <v>14976</v>
      </c>
      <c r="J2754" s="656" t="s">
        <v>12368</v>
      </c>
      <c r="K2754" s="656"/>
      <c r="L2754" s="656"/>
      <c r="M2754" s="657"/>
      <c r="N2754" s="1482"/>
      <c r="O2754" s="656" t="s">
        <v>498</v>
      </c>
      <c r="P2754" s="656" t="s">
        <v>13052</v>
      </c>
      <c r="Q2754" s="656">
        <v>44216.773634259262</v>
      </c>
    </row>
    <row r="2755" spans="1:17">
      <c r="A2755" s="656" t="s">
        <v>3522</v>
      </c>
      <c r="B2755" s="657" t="s">
        <v>202</v>
      </c>
      <c r="C2755" s="656" t="s">
        <v>3523</v>
      </c>
      <c r="D2755" s="657" t="s">
        <v>14977</v>
      </c>
      <c r="E2755" s="657"/>
      <c r="F2755" s="656" t="s">
        <v>472</v>
      </c>
      <c r="G2755" s="656" t="s">
        <v>541</v>
      </c>
      <c r="H2755" s="656" t="s">
        <v>472</v>
      </c>
      <c r="I2755" s="656" t="s">
        <v>14976</v>
      </c>
      <c r="J2755" s="656" t="s">
        <v>12368</v>
      </c>
      <c r="K2755" s="656"/>
      <c r="L2755" s="656"/>
      <c r="M2755" s="657"/>
      <c r="N2755" s="1482"/>
      <c r="O2755" s="656" t="s">
        <v>498</v>
      </c>
      <c r="P2755" s="656" t="s">
        <v>13052</v>
      </c>
      <c r="Q2755" s="656">
        <v>44216.773634259262</v>
      </c>
    </row>
    <row r="2756" spans="1:17">
      <c r="A2756" s="656" t="s">
        <v>3524</v>
      </c>
      <c r="B2756" s="657" t="s">
        <v>202</v>
      </c>
      <c r="C2756" s="656" t="s">
        <v>3525</v>
      </c>
      <c r="D2756" s="657" t="s">
        <v>14977</v>
      </c>
      <c r="E2756" s="657"/>
      <c r="F2756" s="656" t="s">
        <v>472</v>
      </c>
      <c r="G2756" s="656" t="s">
        <v>541</v>
      </c>
      <c r="H2756" s="656" t="s">
        <v>472</v>
      </c>
      <c r="I2756" s="656" t="s">
        <v>14976</v>
      </c>
      <c r="J2756" s="656" t="s">
        <v>12368</v>
      </c>
      <c r="K2756" s="656"/>
      <c r="L2756" s="656"/>
      <c r="M2756" s="657"/>
      <c r="N2756" s="1482"/>
      <c r="O2756" s="656" t="s">
        <v>498</v>
      </c>
      <c r="P2756" s="656" t="s">
        <v>13052</v>
      </c>
      <c r="Q2756" s="656">
        <v>44216.773622685185</v>
      </c>
    </row>
    <row r="2757" spans="1:17">
      <c r="A2757" s="656" t="s">
        <v>3526</v>
      </c>
      <c r="B2757" s="657" t="s">
        <v>202</v>
      </c>
      <c r="C2757" s="656" t="s">
        <v>3527</v>
      </c>
      <c r="D2757" s="657" t="s">
        <v>14977</v>
      </c>
      <c r="E2757" s="657"/>
      <c r="F2757" s="656" t="s">
        <v>472</v>
      </c>
      <c r="G2757" s="656" t="s">
        <v>541</v>
      </c>
      <c r="H2757" s="656" t="s">
        <v>472</v>
      </c>
      <c r="I2757" s="656" t="s">
        <v>14976</v>
      </c>
      <c r="J2757" s="656" t="s">
        <v>12368</v>
      </c>
      <c r="K2757" s="656"/>
      <c r="L2757" s="656"/>
      <c r="M2757" s="657"/>
      <c r="N2757" s="1482"/>
      <c r="O2757" s="656" t="s">
        <v>498</v>
      </c>
      <c r="P2757" s="656" t="s">
        <v>13052</v>
      </c>
      <c r="Q2757" s="656">
        <v>44216.773622685185</v>
      </c>
    </row>
    <row r="2758" spans="1:17">
      <c r="A2758" s="656" t="s">
        <v>3528</v>
      </c>
      <c r="B2758" s="657" t="s">
        <v>504</v>
      </c>
      <c r="C2758" s="656" t="s">
        <v>3529</v>
      </c>
      <c r="D2758" s="657"/>
      <c r="E2758" s="657"/>
      <c r="F2758" s="656" t="s">
        <v>505</v>
      </c>
      <c r="G2758" s="656" t="s">
        <v>509</v>
      </c>
      <c r="H2758" s="656" t="s">
        <v>505</v>
      </c>
      <c r="I2758" s="656"/>
      <c r="J2758" s="656"/>
      <c r="K2758" s="656"/>
      <c r="L2758" s="656"/>
      <c r="M2758" s="657"/>
      <c r="N2758" s="1482"/>
      <c r="O2758" s="656" t="s">
        <v>498</v>
      </c>
      <c r="P2758" s="656" t="s">
        <v>13052</v>
      </c>
      <c r="Q2758" s="656">
        <v>44216.773611111108</v>
      </c>
    </row>
    <row r="2759" spans="1:17">
      <c r="A2759" s="656" t="s">
        <v>3530</v>
      </c>
      <c r="B2759" s="657" t="s">
        <v>504</v>
      </c>
      <c r="C2759" s="656" t="s">
        <v>3531</v>
      </c>
      <c r="D2759" s="657"/>
      <c r="E2759" s="657"/>
      <c r="F2759" s="656" t="s">
        <v>505</v>
      </c>
      <c r="G2759" s="656" t="s">
        <v>509</v>
      </c>
      <c r="H2759" s="656" t="s">
        <v>505</v>
      </c>
      <c r="I2759" s="656"/>
      <c r="J2759" s="656"/>
      <c r="K2759" s="656"/>
      <c r="L2759" s="656"/>
      <c r="M2759" s="657"/>
      <c r="N2759" s="1482"/>
      <c r="O2759" s="656" t="s">
        <v>498</v>
      </c>
      <c r="P2759" s="656" t="s">
        <v>13052</v>
      </c>
      <c r="Q2759" s="656">
        <v>44216.773611111108</v>
      </c>
    </row>
    <row r="2760" spans="1:17">
      <c r="A2760" s="656" t="s">
        <v>3532</v>
      </c>
      <c r="B2760" s="657" t="s">
        <v>531</v>
      </c>
      <c r="C2760" s="656" t="s">
        <v>3533</v>
      </c>
      <c r="D2760" s="657" t="s">
        <v>14977</v>
      </c>
      <c r="E2760" s="657"/>
      <c r="F2760" s="656" t="s">
        <v>655</v>
      </c>
      <c r="G2760" s="656"/>
      <c r="H2760" s="656" t="s">
        <v>655</v>
      </c>
      <c r="I2760" s="656" t="s">
        <v>14976</v>
      </c>
      <c r="J2760" s="656"/>
      <c r="K2760" s="656"/>
      <c r="L2760" s="656" t="s">
        <v>3532</v>
      </c>
      <c r="M2760" s="657"/>
      <c r="N2760" s="1482"/>
      <c r="O2760" s="656" t="s">
        <v>498</v>
      </c>
      <c r="P2760" s="656" t="s">
        <v>13052</v>
      </c>
      <c r="Q2760" s="656">
        <v>44216.773599537039</v>
      </c>
    </row>
    <row r="2761" spans="1:17">
      <c r="A2761" s="656" t="s">
        <v>3534</v>
      </c>
      <c r="B2761" s="657" t="s">
        <v>531</v>
      </c>
      <c r="C2761" s="656" t="s">
        <v>3535</v>
      </c>
      <c r="D2761" s="657" t="s">
        <v>14977</v>
      </c>
      <c r="E2761" s="657"/>
      <c r="F2761" s="656" t="s">
        <v>1300</v>
      </c>
      <c r="G2761" s="656"/>
      <c r="H2761" s="656" t="s">
        <v>1300</v>
      </c>
      <c r="I2761" s="656" t="s">
        <v>14976</v>
      </c>
      <c r="J2761" s="656"/>
      <c r="K2761" s="656"/>
      <c r="L2761" s="656" t="s">
        <v>3534</v>
      </c>
      <c r="M2761" s="657"/>
      <c r="N2761" s="1482"/>
      <c r="O2761" s="656" t="s">
        <v>498</v>
      </c>
      <c r="P2761" s="656" t="s">
        <v>13052</v>
      </c>
      <c r="Q2761" s="656">
        <v>44216.773587962962</v>
      </c>
    </row>
    <row r="2762" spans="1:17">
      <c r="A2762" s="656" t="s">
        <v>3536</v>
      </c>
      <c r="B2762" s="657" t="s">
        <v>531</v>
      </c>
      <c r="C2762" s="656" t="s">
        <v>3537</v>
      </c>
      <c r="D2762" s="657" t="s">
        <v>14977</v>
      </c>
      <c r="E2762" s="657"/>
      <c r="F2762" s="656" t="s">
        <v>1300</v>
      </c>
      <c r="G2762" s="656"/>
      <c r="H2762" s="656" t="s">
        <v>1300</v>
      </c>
      <c r="I2762" s="656" t="s">
        <v>14976</v>
      </c>
      <c r="J2762" s="656"/>
      <c r="K2762" s="656"/>
      <c r="L2762" s="656" t="s">
        <v>3536</v>
      </c>
      <c r="M2762" s="657"/>
      <c r="N2762" s="1482"/>
      <c r="O2762" s="656" t="s">
        <v>498</v>
      </c>
      <c r="P2762" s="656" t="s">
        <v>13052</v>
      </c>
      <c r="Q2762" s="656">
        <v>44216.773587962962</v>
      </c>
    </row>
    <row r="2763" spans="1:17">
      <c r="A2763" s="656" t="s">
        <v>3538</v>
      </c>
      <c r="B2763" s="657" t="s">
        <v>202</v>
      </c>
      <c r="C2763" s="656" t="s">
        <v>3539</v>
      </c>
      <c r="D2763" s="657" t="s">
        <v>14977</v>
      </c>
      <c r="E2763" s="657"/>
      <c r="F2763" s="656" t="s">
        <v>783</v>
      </c>
      <c r="G2763" s="656" t="s">
        <v>783</v>
      </c>
      <c r="H2763" s="656" t="s">
        <v>783</v>
      </c>
      <c r="I2763" s="656" t="s">
        <v>14976</v>
      </c>
      <c r="J2763" s="656" t="s">
        <v>15282</v>
      </c>
      <c r="K2763" s="656"/>
      <c r="L2763" s="656" t="s">
        <v>3538</v>
      </c>
      <c r="M2763" s="657"/>
      <c r="N2763" s="1482"/>
      <c r="O2763" s="656" t="s">
        <v>498</v>
      </c>
      <c r="P2763" s="656" t="s">
        <v>13052</v>
      </c>
      <c r="Q2763" s="656">
        <v>44216.773587962962</v>
      </c>
    </row>
    <row r="2764" spans="1:17">
      <c r="A2764" s="656" t="s">
        <v>3540</v>
      </c>
      <c r="B2764" s="657" t="s">
        <v>202</v>
      </c>
      <c r="C2764" s="656" t="s">
        <v>3541</v>
      </c>
      <c r="D2764" s="657" t="s">
        <v>14977</v>
      </c>
      <c r="E2764" s="657"/>
      <c r="F2764" s="656" t="s">
        <v>1300</v>
      </c>
      <c r="G2764" s="656"/>
      <c r="H2764" s="656" t="s">
        <v>1300</v>
      </c>
      <c r="I2764" s="656" t="s">
        <v>14976</v>
      </c>
      <c r="J2764" s="656"/>
      <c r="K2764" s="656"/>
      <c r="L2764" s="656" t="s">
        <v>3540</v>
      </c>
      <c r="M2764" s="657"/>
      <c r="N2764" s="1482"/>
      <c r="O2764" s="656" t="s">
        <v>498</v>
      </c>
      <c r="P2764" s="656" t="s">
        <v>13052</v>
      </c>
      <c r="Q2764" s="656">
        <v>44216.773576388892</v>
      </c>
    </row>
    <row r="2765" spans="1:17">
      <c r="A2765" s="656" t="s">
        <v>3542</v>
      </c>
      <c r="B2765" s="657" t="s">
        <v>202</v>
      </c>
      <c r="C2765" s="656" t="s">
        <v>3543</v>
      </c>
      <c r="D2765" s="657" t="s">
        <v>14977</v>
      </c>
      <c r="E2765" s="657"/>
      <c r="F2765" s="656" t="s">
        <v>1300</v>
      </c>
      <c r="G2765" s="656"/>
      <c r="H2765" s="656" t="s">
        <v>1300</v>
      </c>
      <c r="I2765" s="656" t="s">
        <v>14976</v>
      </c>
      <c r="J2765" s="656"/>
      <c r="K2765" s="656"/>
      <c r="L2765" s="656" t="s">
        <v>3542</v>
      </c>
      <c r="M2765" s="657"/>
      <c r="N2765" s="1482"/>
      <c r="O2765" s="656" t="s">
        <v>498</v>
      </c>
      <c r="P2765" s="656" t="s">
        <v>13052</v>
      </c>
      <c r="Q2765" s="656">
        <v>44216.773576388892</v>
      </c>
    </row>
    <row r="2766" spans="1:17">
      <c r="A2766" s="656" t="s">
        <v>3544</v>
      </c>
      <c r="B2766" s="657" t="s">
        <v>202</v>
      </c>
      <c r="C2766" s="656" t="s">
        <v>3545</v>
      </c>
      <c r="D2766" s="657" t="s">
        <v>14977</v>
      </c>
      <c r="E2766" s="657"/>
      <c r="F2766" s="656" t="s">
        <v>1300</v>
      </c>
      <c r="G2766" s="656"/>
      <c r="H2766" s="656" t="s">
        <v>1300</v>
      </c>
      <c r="I2766" s="656" t="s">
        <v>14976</v>
      </c>
      <c r="J2766" s="656"/>
      <c r="K2766" s="656"/>
      <c r="L2766" s="656" t="s">
        <v>3544</v>
      </c>
      <c r="M2766" s="657"/>
      <c r="N2766" s="1482"/>
      <c r="O2766" s="656" t="s">
        <v>498</v>
      </c>
      <c r="P2766" s="656" t="s">
        <v>13052</v>
      </c>
      <c r="Q2766" s="656">
        <v>44216.773564814815</v>
      </c>
    </row>
    <row r="2767" spans="1:17">
      <c r="A2767" s="656" t="s">
        <v>3546</v>
      </c>
      <c r="B2767" s="657" t="s">
        <v>202</v>
      </c>
      <c r="C2767" s="656" t="s">
        <v>3547</v>
      </c>
      <c r="D2767" s="657" t="s">
        <v>14977</v>
      </c>
      <c r="E2767" s="657"/>
      <c r="F2767" s="656" t="s">
        <v>655</v>
      </c>
      <c r="G2767" s="656"/>
      <c r="H2767" s="656" t="s">
        <v>655</v>
      </c>
      <c r="I2767" s="656" t="s">
        <v>15280</v>
      </c>
      <c r="J2767" s="656"/>
      <c r="K2767" s="656"/>
      <c r="L2767" s="656" t="s">
        <v>3546</v>
      </c>
      <c r="M2767" s="657"/>
      <c r="N2767" s="1482"/>
      <c r="O2767" s="656" t="s">
        <v>498</v>
      </c>
      <c r="P2767" s="656" t="s">
        <v>13052</v>
      </c>
      <c r="Q2767" s="656">
        <v>44216.773564814815</v>
      </c>
    </row>
    <row r="2768" spans="1:17">
      <c r="A2768" s="656" t="s">
        <v>3548</v>
      </c>
      <c r="B2768" s="657" t="s">
        <v>202</v>
      </c>
      <c r="C2768" s="656" t="s">
        <v>3549</v>
      </c>
      <c r="D2768" s="657" t="s">
        <v>14977</v>
      </c>
      <c r="E2768" s="657"/>
      <c r="F2768" s="656" t="s">
        <v>655</v>
      </c>
      <c r="G2768" s="656"/>
      <c r="H2768" s="656" t="s">
        <v>655</v>
      </c>
      <c r="I2768" s="656" t="s">
        <v>15280</v>
      </c>
      <c r="J2768" s="656"/>
      <c r="K2768" s="656"/>
      <c r="L2768" s="656" t="s">
        <v>3548</v>
      </c>
      <c r="M2768" s="657"/>
      <c r="N2768" s="1482"/>
      <c r="O2768" s="656" t="s">
        <v>498</v>
      </c>
      <c r="P2768" s="656" t="s">
        <v>13052</v>
      </c>
      <c r="Q2768" s="656">
        <v>44216.773553240739</v>
      </c>
    </row>
    <row r="2769" spans="1:17">
      <c r="A2769" s="656" t="s">
        <v>3550</v>
      </c>
      <c r="B2769" s="657" t="s">
        <v>504</v>
      </c>
      <c r="C2769" s="656" t="s">
        <v>3551</v>
      </c>
      <c r="D2769" s="657"/>
      <c r="E2769" s="657"/>
      <c r="F2769" s="656" t="s">
        <v>505</v>
      </c>
      <c r="G2769" s="656"/>
      <c r="H2769" s="656" t="s">
        <v>505</v>
      </c>
      <c r="I2769" s="656"/>
      <c r="J2769" s="656"/>
      <c r="K2769" s="656"/>
      <c r="L2769" s="656"/>
      <c r="M2769" s="657"/>
      <c r="N2769" s="1482"/>
      <c r="O2769" s="656" t="s">
        <v>498</v>
      </c>
      <c r="P2769" s="656" t="s">
        <v>13052</v>
      </c>
      <c r="Q2769" s="656">
        <v>44216.773553240739</v>
      </c>
    </row>
    <row r="2770" spans="1:17">
      <c r="A2770" s="656" t="s">
        <v>3552</v>
      </c>
      <c r="B2770" s="657" t="s">
        <v>531</v>
      </c>
      <c r="C2770" s="656" t="s">
        <v>3553</v>
      </c>
      <c r="D2770" s="657" t="s">
        <v>13789</v>
      </c>
      <c r="E2770" s="657"/>
      <c r="F2770" s="656" t="s">
        <v>1394</v>
      </c>
      <c r="G2770" s="656"/>
      <c r="H2770" s="656" t="s">
        <v>1394</v>
      </c>
      <c r="I2770" s="656" t="s">
        <v>14976</v>
      </c>
      <c r="J2770" s="656"/>
      <c r="K2770" s="656"/>
      <c r="L2770" s="656"/>
      <c r="M2770" s="657"/>
      <c r="N2770" s="1482"/>
      <c r="O2770" s="656" t="s">
        <v>498</v>
      </c>
      <c r="P2770" s="656" t="s">
        <v>13052</v>
      </c>
      <c r="Q2770" s="656">
        <v>44216.773553240739</v>
      </c>
    </row>
    <row r="2771" spans="1:17">
      <c r="A2771" s="656" t="s">
        <v>3554</v>
      </c>
      <c r="B2771" s="657" t="s">
        <v>531</v>
      </c>
      <c r="C2771" s="656" t="s">
        <v>3555</v>
      </c>
      <c r="D2771" s="657" t="s">
        <v>13789</v>
      </c>
      <c r="E2771" s="657"/>
      <c r="F2771" s="656" t="s">
        <v>1394</v>
      </c>
      <c r="G2771" s="656"/>
      <c r="H2771" s="656" t="s">
        <v>1394</v>
      </c>
      <c r="I2771" s="656" t="s">
        <v>15280</v>
      </c>
      <c r="J2771" s="656"/>
      <c r="K2771" s="656"/>
      <c r="L2771" s="656"/>
      <c r="M2771" s="657"/>
      <c r="N2771" s="1482"/>
      <c r="O2771" s="656" t="s">
        <v>498</v>
      </c>
      <c r="P2771" s="656" t="s">
        <v>13052</v>
      </c>
      <c r="Q2771" s="656">
        <v>44216.773541666669</v>
      </c>
    </row>
    <row r="2772" spans="1:17">
      <c r="A2772" s="656" t="s">
        <v>3556</v>
      </c>
      <c r="B2772" s="657" t="s">
        <v>531</v>
      </c>
      <c r="C2772" s="656" t="s">
        <v>3557</v>
      </c>
      <c r="D2772" s="657" t="s">
        <v>13789</v>
      </c>
      <c r="E2772" s="657"/>
      <c r="F2772" s="656" t="s">
        <v>1394</v>
      </c>
      <c r="G2772" s="656"/>
      <c r="H2772" s="656" t="s">
        <v>1394</v>
      </c>
      <c r="I2772" s="656" t="s">
        <v>14976</v>
      </c>
      <c r="J2772" s="656"/>
      <c r="K2772" s="656"/>
      <c r="L2772" s="656"/>
      <c r="M2772" s="657"/>
      <c r="N2772" s="1482"/>
      <c r="O2772" s="656" t="s">
        <v>498</v>
      </c>
      <c r="P2772" s="656" t="s">
        <v>13052</v>
      </c>
      <c r="Q2772" s="656">
        <v>44216.773553240739</v>
      </c>
    </row>
    <row r="2773" spans="1:17">
      <c r="A2773" s="656" t="s">
        <v>3558</v>
      </c>
      <c r="B2773" s="657" t="s">
        <v>531</v>
      </c>
      <c r="C2773" s="656" t="s">
        <v>3559</v>
      </c>
      <c r="D2773" s="657" t="s">
        <v>13789</v>
      </c>
      <c r="E2773" s="657"/>
      <c r="F2773" s="656" t="s">
        <v>1394</v>
      </c>
      <c r="G2773" s="656"/>
      <c r="H2773" s="656" t="s">
        <v>1394</v>
      </c>
      <c r="I2773" s="656" t="s">
        <v>14976</v>
      </c>
      <c r="J2773" s="656"/>
      <c r="K2773" s="656"/>
      <c r="L2773" s="656"/>
      <c r="M2773" s="657"/>
      <c r="N2773" s="1482"/>
      <c r="O2773" s="656" t="s">
        <v>498</v>
      </c>
      <c r="P2773" s="656" t="s">
        <v>13052</v>
      </c>
      <c r="Q2773" s="656">
        <v>44216.773541666669</v>
      </c>
    </row>
    <row r="2774" spans="1:17">
      <c r="A2774" s="656" t="s">
        <v>3560</v>
      </c>
      <c r="B2774" s="657" t="s">
        <v>531</v>
      </c>
      <c r="C2774" s="656" t="s">
        <v>3561</v>
      </c>
      <c r="D2774" s="657" t="s">
        <v>13789</v>
      </c>
      <c r="E2774" s="657"/>
      <c r="F2774" s="656" t="s">
        <v>1394</v>
      </c>
      <c r="G2774" s="656"/>
      <c r="H2774" s="656" t="s">
        <v>1394</v>
      </c>
      <c r="I2774" s="656" t="s">
        <v>14976</v>
      </c>
      <c r="J2774" s="656"/>
      <c r="K2774" s="656"/>
      <c r="L2774" s="656"/>
      <c r="M2774" s="657"/>
      <c r="N2774" s="1482"/>
      <c r="O2774" s="656" t="s">
        <v>498</v>
      </c>
      <c r="P2774" s="656" t="s">
        <v>13052</v>
      </c>
      <c r="Q2774" s="656">
        <v>44216.773530092592</v>
      </c>
    </row>
    <row r="2775" spans="1:17">
      <c r="A2775" s="656" t="s">
        <v>3562</v>
      </c>
      <c r="B2775" s="657" t="s">
        <v>531</v>
      </c>
      <c r="C2775" s="656" t="s">
        <v>3563</v>
      </c>
      <c r="D2775" s="657" t="s">
        <v>13789</v>
      </c>
      <c r="E2775" s="657"/>
      <c r="F2775" s="656" t="s">
        <v>1394</v>
      </c>
      <c r="G2775" s="656"/>
      <c r="H2775" s="656" t="s">
        <v>1394</v>
      </c>
      <c r="I2775" s="656" t="s">
        <v>14976</v>
      </c>
      <c r="J2775" s="656"/>
      <c r="K2775" s="656"/>
      <c r="L2775" s="656"/>
      <c r="M2775" s="657"/>
      <c r="N2775" s="1482"/>
      <c r="O2775" s="656" t="s">
        <v>498</v>
      </c>
      <c r="P2775" s="656" t="s">
        <v>13052</v>
      </c>
      <c r="Q2775" s="656">
        <v>44216.773530092592</v>
      </c>
    </row>
    <row r="2776" spans="1:17">
      <c r="A2776" s="656" t="s">
        <v>3564</v>
      </c>
      <c r="B2776" s="657" t="s">
        <v>531</v>
      </c>
      <c r="C2776" s="656" t="s">
        <v>3565</v>
      </c>
      <c r="D2776" s="657" t="s">
        <v>13789</v>
      </c>
      <c r="E2776" s="657"/>
      <c r="F2776" s="656" t="s">
        <v>1394</v>
      </c>
      <c r="G2776" s="656"/>
      <c r="H2776" s="656" t="s">
        <v>1394</v>
      </c>
      <c r="I2776" s="656" t="s">
        <v>14976</v>
      </c>
      <c r="J2776" s="656"/>
      <c r="K2776" s="656"/>
      <c r="L2776" s="656"/>
      <c r="M2776" s="657"/>
      <c r="N2776" s="1482"/>
      <c r="O2776" s="656" t="s">
        <v>498</v>
      </c>
      <c r="P2776" s="656" t="s">
        <v>13052</v>
      </c>
      <c r="Q2776" s="656">
        <v>44216.773518518516</v>
      </c>
    </row>
    <row r="2777" spans="1:17">
      <c r="A2777" s="656" t="s">
        <v>3566</v>
      </c>
      <c r="B2777" s="657" t="s">
        <v>531</v>
      </c>
      <c r="C2777" s="656" t="s">
        <v>3567</v>
      </c>
      <c r="D2777" s="657" t="s">
        <v>13789</v>
      </c>
      <c r="E2777" s="657"/>
      <c r="F2777" s="656" t="s">
        <v>1394</v>
      </c>
      <c r="G2777" s="656"/>
      <c r="H2777" s="656" t="s">
        <v>1394</v>
      </c>
      <c r="I2777" s="656" t="s">
        <v>14976</v>
      </c>
      <c r="J2777" s="656"/>
      <c r="K2777" s="656"/>
      <c r="L2777" s="656"/>
      <c r="M2777" s="657"/>
      <c r="N2777" s="1482"/>
      <c r="O2777" s="656" t="s">
        <v>498</v>
      </c>
      <c r="P2777" s="656" t="s">
        <v>13052</v>
      </c>
      <c r="Q2777" s="656">
        <v>44216.773518518516</v>
      </c>
    </row>
    <row r="2778" spans="1:17">
      <c r="A2778" s="656" t="s">
        <v>3568</v>
      </c>
      <c r="B2778" s="657" t="s">
        <v>531</v>
      </c>
      <c r="C2778" s="656" t="s">
        <v>3569</v>
      </c>
      <c r="D2778" s="657" t="s">
        <v>13789</v>
      </c>
      <c r="E2778" s="657"/>
      <c r="F2778" s="656" t="s">
        <v>1394</v>
      </c>
      <c r="G2778" s="656"/>
      <c r="H2778" s="656" t="s">
        <v>1394</v>
      </c>
      <c r="I2778" s="656" t="s">
        <v>14976</v>
      </c>
      <c r="J2778" s="656"/>
      <c r="K2778" s="656"/>
      <c r="L2778" s="656"/>
      <c r="M2778" s="657"/>
      <c r="N2778" s="1482"/>
      <c r="O2778" s="656" t="s">
        <v>498</v>
      </c>
      <c r="P2778" s="656" t="s">
        <v>13052</v>
      </c>
      <c r="Q2778" s="656">
        <v>44216.773506944446</v>
      </c>
    </row>
    <row r="2779" spans="1:17">
      <c r="A2779" s="656" t="s">
        <v>3570</v>
      </c>
      <c r="B2779" s="657" t="s">
        <v>531</v>
      </c>
      <c r="C2779" s="656" t="s">
        <v>3571</v>
      </c>
      <c r="D2779" s="657" t="s">
        <v>13789</v>
      </c>
      <c r="E2779" s="657"/>
      <c r="F2779" s="656" t="s">
        <v>1394</v>
      </c>
      <c r="G2779" s="656"/>
      <c r="H2779" s="656" t="s">
        <v>1394</v>
      </c>
      <c r="I2779" s="656" t="s">
        <v>14976</v>
      </c>
      <c r="J2779" s="656"/>
      <c r="K2779" s="656"/>
      <c r="L2779" s="656"/>
      <c r="M2779" s="657"/>
      <c r="N2779" s="1482"/>
      <c r="O2779" s="656" t="s">
        <v>498</v>
      </c>
      <c r="P2779" s="656" t="s">
        <v>13052</v>
      </c>
      <c r="Q2779" s="656">
        <v>44216.773506944446</v>
      </c>
    </row>
    <row r="2780" spans="1:17">
      <c r="A2780" s="656" t="s">
        <v>3572</v>
      </c>
      <c r="B2780" s="657" t="s">
        <v>531</v>
      </c>
      <c r="C2780" s="656" t="s">
        <v>3573</v>
      </c>
      <c r="D2780" s="657" t="s">
        <v>13789</v>
      </c>
      <c r="E2780" s="657"/>
      <c r="F2780" s="656" t="s">
        <v>1394</v>
      </c>
      <c r="G2780" s="656"/>
      <c r="H2780" s="656" t="s">
        <v>1394</v>
      </c>
      <c r="I2780" s="656" t="s">
        <v>14976</v>
      </c>
      <c r="J2780" s="656"/>
      <c r="K2780" s="656"/>
      <c r="L2780" s="656"/>
      <c r="M2780" s="657"/>
      <c r="N2780" s="1482"/>
      <c r="O2780" s="656" t="s">
        <v>498</v>
      </c>
      <c r="P2780" s="656" t="s">
        <v>13052</v>
      </c>
      <c r="Q2780" s="656">
        <v>44216.773495370369</v>
      </c>
    </row>
    <row r="2781" spans="1:17">
      <c r="A2781" s="656" t="s">
        <v>3574</v>
      </c>
      <c r="B2781" s="657" t="s">
        <v>202</v>
      </c>
      <c r="C2781" s="656" t="s">
        <v>3575</v>
      </c>
      <c r="D2781" s="657" t="s">
        <v>14977</v>
      </c>
      <c r="E2781" s="657"/>
      <c r="F2781" s="656" t="s">
        <v>1300</v>
      </c>
      <c r="G2781" s="656"/>
      <c r="H2781" s="656" t="s">
        <v>1300</v>
      </c>
      <c r="I2781" s="656" t="s">
        <v>14976</v>
      </c>
      <c r="J2781" s="656" t="s">
        <v>15285</v>
      </c>
      <c r="K2781" s="656"/>
      <c r="L2781" s="656" t="s">
        <v>3574</v>
      </c>
      <c r="M2781" s="657"/>
      <c r="N2781" s="1482"/>
      <c r="O2781" s="656" t="s">
        <v>498</v>
      </c>
      <c r="P2781" s="656" t="s">
        <v>13052</v>
      </c>
      <c r="Q2781" s="656">
        <v>44216.773495370369</v>
      </c>
    </row>
    <row r="2782" spans="1:17">
      <c r="A2782" s="656" t="s">
        <v>3576</v>
      </c>
      <c r="B2782" s="657" t="s">
        <v>202</v>
      </c>
      <c r="C2782" s="656" t="s">
        <v>3577</v>
      </c>
      <c r="D2782" s="657" t="s">
        <v>14977</v>
      </c>
      <c r="E2782" s="657"/>
      <c r="F2782" s="656" t="s">
        <v>1300</v>
      </c>
      <c r="G2782" s="656"/>
      <c r="H2782" s="656" t="s">
        <v>1300</v>
      </c>
      <c r="I2782" s="656" t="s">
        <v>14976</v>
      </c>
      <c r="J2782" s="656" t="s">
        <v>15285</v>
      </c>
      <c r="K2782" s="656"/>
      <c r="L2782" s="656" t="s">
        <v>3576</v>
      </c>
      <c r="M2782" s="657"/>
      <c r="N2782" s="1482"/>
      <c r="O2782" s="656" t="s">
        <v>498</v>
      </c>
      <c r="P2782" s="656" t="s">
        <v>13052</v>
      </c>
      <c r="Q2782" s="656">
        <v>44216.7734837963</v>
      </c>
    </row>
    <row r="2783" spans="1:17">
      <c r="A2783" s="656" t="s">
        <v>3578</v>
      </c>
      <c r="B2783" s="657" t="s">
        <v>202</v>
      </c>
      <c r="C2783" s="656" t="s">
        <v>3579</v>
      </c>
      <c r="D2783" s="657" t="s">
        <v>14977</v>
      </c>
      <c r="E2783" s="657"/>
      <c r="F2783" s="656" t="s">
        <v>1300</v>
      </c>
      <c r="G2783" s="656"/>
      <c r="H2783" s="656" t="s">
        <v>1300</v>
      </c>
      <c r="I2783" s="656" t="s">
        <v>14976</v>
      </c>
      <c r="J2783" s="656" t="s">
        <v>15285</v>
      </c>
      <c r="K2783" s="656"/>
      <c r="L2783" s="656" t="s">
        <v>3578</v>
      </c>
      <c r="M2783" s="657"/>
      <c r="N2783" s="1482"/>
      <c r="O2783" s="656" t="s">
        <v>498</v>
      </c>
      <c r="P2783" s="656" t="s">
        <v>13052</v>
      </c>
      <c r="Q2783" s="656">
        <v>44216.7734837963</v>
      </c>
    </row>
    <row r="2784" spans="1:17">
      <c r="A2784" s="656" t="s">
        <v>3580</v>
      </c>
      <c r="B2784" s="657" t="s">
        <v>202</v>
      </c>
      <c r="C2784" s="656" t="s">
        <v>3581</v>
      </c>
      <c r="D2784" s="657" t="s">
        <v>14977</v>
      </c>
      <c r="E2784" s="657"/>
      <c r="F2784" s="656" t="s">
        <v>1300</v>
      </c>
      <c r="G2784" s="656"/>
      <c r="H2784" s="656" t="s">
        <v>1300</v>
      </c>
      <c r="I2784" s="656" t="s">
        <v>14976</v>
      </c>
      <c r="J2784" s="656" t="s">
        <v>15285</v>
      </c>
      <c r="K2784" s="656"/>
      <c r="L2784" s="656" t="s">
        <v>3580</v>
      </c>
      <c r="M2784" s="657"/>
      <c r="N2784" s="1482"/>
      <c r="O2784" s="656" t="s">
        <v>498</v>
      </c>
      <c r="P2784" s="656" t="s">
        <v>13052</v>
      </c>
      <c r="Q2784" s="656">
        <v>44216.7734837963</v>
      </c>
    </row>
    <row r="2785" spans="1:17">
      <c r="A2785" s="656" t="s">
        <v>3582</v>
      </c>
      <c r="B2785" s="657" t="s">
        <v>202</v>
      </c>
      <c r="C2785" s="656" t="s">
        <v>3583</v>
      </c>
      <c r="D2785" s="657" t="s">
        <v>14977</v>
      </c>
      <c r="E2785" s="657"/>
      <c r="F2785" s="656" t="s">
        <v>1300</v>
      </c>
      <c r="G2785" s="656"/>
      <c r="H2785" s="656" t="s">
        <v>1300</v>
      </c>
      <c r="I2785" s="656" t="s">
        <v>14976</v>
      </c>
      <c r="J2785" s="656"/>
      <c r="K2785" s="656"/>
      <c r="L2785" s="656" t="s">
        <v>3582</v>
      </c>
      <c r="M2785" s="657"/>
      <c r="N2785" s="1482"/>
      <c r="O2785" s="656" t="s">
        <v>498</v>
      </c>
      <c r="P2785" s="656" t="s">
        <v>13052</v>
      </c>
      <c r="Q2785" s="656">
        <v>44216.773472222223</v>
      </c>
    </row>
    <row r="2786" spans="1:17">
      <c r="A2786" s="656" t="s">
        <v>3584</v>
      </c>
      <c r="B2786" s="657" t="s">
        <v>202</v>
      </c>
      <c r="C2786" s="656" t="s">
        <v>3585</v>
      </c>
      <c r="D2786" s="657" t="s">
        <v>14977</v>
      </c>
      <c r="E2786" s="657"/>
      <c r="F2786" s="656" t="s">
        <v>1300</v>
      </c>
      <c r="G2786" s="656"/>
      <c r="H2786" s="656" t="s">
        <v>1300</v>
      </c>
      <c r="I2786" s="656" t="s">
        <v>14976</v>
      </c>
      <c r="J2786" s="656"/>
      <c r="K2786" s="656"/>
      <c r="L2786" s="656" t="s">
        <v>3584</v>
      </c>
      <c r="M2786" s="657"/>
      <c r="N2786" s="1482"/>
      <c r="O2786" s="656" t="s">
        <v>498</v>
      </c>
      <c r="P2786" s="656" t="s">
        <v>13052</v>
      </c>
      <c r="Q2786" s="656">
        <v>44216.773472222223</v>
      </c>
    </row>
    <row r="2787" spans="1:17">
      <c r="A2787" s="656" t="s">
        <v>3586</v>
      </c>
      <c r="B2787" s="657" t="s">
        <v>202</v>
      </c>
      <c r="C2787" s="656" t="s">
        <v>3587</v>
      </c>
      <c r="D2787" s="657" t="s">
        <v>14977</v>
      </c>
      <c r="E2787" s="657"/>
      <c r="F2787" s="656" t="s">
        <v>1300</v>
      </c>
      <c r="G2787" s="656" t="s">
        <v>1924</v>
      </c>
      <c r="H2787" s="656" t="s">
        <v>1300</v>
      </c>
      <c r="I2787" s="656" t="s">
        <v>14976</v>
      </c>
      <c r="J2787" s="656"/>
      <c r="K2787" s="656"/>
      <c r="L2787" s="656" t="s">
        <v>3586</v>
      </c>
      <c r="M2787" s="657"/>
      <c r="N2787" s="1482"/>
      <c r="O2787" s="656" t="s">
        <v>498</v>
      </c>
      <c r="P2787" s="656" t="s">
        <v>13052</v>
      </c>
      <c r="Q2787" s="656">
        <v>44216.773460648146</v>
      </c>
    </row>
    <row r="2788" spans="1:17">
      <c r="A2788" s="656" t="s">
        <v>3588</v>
      </c>
      <c r="B2788" s="657" t="s">
        <v>202</v>
      </c>
      <c r="C2788" s="656" t="s">
        <v>3589</v>
      </c>
      <c r="D2788" s="657" t="s">
        <v>14977</v>
      </c>
      <c r="E2788" s="657"/>
      <c r="F2788" s="656" t="s">
        <v>1300</v>
      </c>
      <c r="G2788" s="656"/>
      <c r="H2788" s="656" t="s">
        <v>1300</v>
      </c>
      <c r="I2788" s="656" t="s">
        <v>14976</v>
      </c>
      <c r="J2788" s="656" t="s">
        <v>15285</v>
      </c>
      <c r="K2788" s="656"/>
      <c r="L2788" s="656" t="s">
        <v>3588</v>
      </c>
      <c r="M2788" s="657"/>
      <c r="N2788" s="1482"/>
      <c r="O2788" s="656" t="s">
        <v>498</v>
      </c>
      <c r="P2788" s="656" t="s">
        <v>13052</v>
      </c>
      <c r="Q2788" s="656">
        <v>44216.773460648146</v>
      </c>
    </row>
    <row r="2789" spans="1:17">
      <c r="A2789" s="656" t="s">
        <v>3590</v>
      </c>
      <c r="B2789" s="657" t="s">
        <v>202</v>
      </c>
      <c r="C2789" s="656" t="s">
        <v>3591</v>
      </c>
      <c r="D2789" s="657" t="s">
        <v>14977</v>
      </c>
      <c r="E2789" s="657"/>
      <c r="F2789" s="656" t="s">
        <v>1300</v>
      </c>
      <c r="G2789" s="656"/>
      <c r="H2789" s="656" t="s">
        <v>1300</v>
      </c>
      <c r="I2789" s="656" t="s">
        <v>14976</v>
      </c>
      <c r="J2789" s="656" t="s">
        <v>463</v>
      </c>
      <c r="K2789" s="656"/>
      <c r="L2789" s="656" t="s">
        <v>3590</v>
      </c>
      <c r="M2789" s="657"/>
      <c r="N2789" s="1482"/>
      <c r="O2789" s="656" t="s">
        <v>498</v>
      </c>
      <c r="P2789" s="656" t="s">
        <v>13052</v>
      </c>
      <c r="Q2789" s="656">
        <v>44216.773449074077</v>
      </c>
    </row>
    <row r="2790" spans="1:17">
      <c r="A2790" s="656" t="s">
        <v>3592</v>
      </c>
      <c r="B2790" s="657" t="s">
        <v>202</v>
      </c>
      <c r="C2790" s="656" t="s">
        <v>3593</v>
      </c>
      <c r="D2790" s="657" t="s">
        <v>14977</v>
      </c>
      <c r="E2790" s="657"/>
      <c r="F2790" s="656" t="s">
        <v>1300</v>
      </c>
      <c r="G2790" s="656"/>
      <c r="H2790" s="656" t="s">
        <v>1300</v>
      </c>
      <c r="I2790" s="656" t="s">
        <v>14976</v>
      </c>
      <c r="J2790" s="656"/>
      <c r="K2790" s="656"/>
      <c r="L2790" s="656" t="s">
        <v>3592</v>
      </c>
      <c r="M2790" s="657"/>
      <c r="N2790" s="1482"/>
      <c r="O2790" s="656" t="s">
        <v>498</v>
      </c>
      <c r="P2790" s="656" t="s">
        <v>13052</v>
      </c>
      <c r="Q2790" s="656">
        <v>44216.7734375</v>
      </c>
    </row>
    <row r="2791" spans="1:17">
      <c r="A2791" s="656" t="s">
        <v>3594</v>
      </c>
      <c r="B2791" s="657" t="s">
        <v>202</v>
      </c>
      <c r="C2791" s="656" t="s">
        <v>3595</v>
      </c>
      <c r="D2791" s="657" t="s">
        <v>14977</v>
      </c>
      <c r="E2791" s="657"/>
      <c r="F2791" s="656" t="s">
        <v>1300</v>
      </c>
      <c r="G2791" s="656"/>
      <c r="H2791" s="656" t="s">
        <v>1300</v>
      </c>
      <c r="I2791" s="656" t="s">
        <v>14976</v>
      </c>
      <c r="J2791" s="656"/>
      <c r="K2791" s="656"/>
      <c r="L2791" s="656" t="s">
        <v>3594</v>
      </c>
      <c r="M2791" s="657"/>
      <c r="N2791" s="1482"/>
      <c r="O2791" s="656" t="s">
        <v>498</v>
      </c>
      <c r="P2791" s="656" t="s">
        <v>13052</v>
      </c>
      <c r="Q2791" s="656">
        <v>44216.7734375</v>
      </c>
    </row>
    <row r="2792" spans="1:17">
      <c r="A2792" s="656" t="s">
        <v>3596</v>
      </c>
      <c r="B2792" s="657" t="s">
        <v>202</v>
      </c>
      <c r="C2792" s="656" t="s">
        <v>3597</v>
      </c>
      <c r="D2792" s="657" t="s">
        <v>14977</v>
      </c>
      <c r="E2792" s="657"/>
      <c r="F2792" s="656" t="s">
        <v>1300</v>
      </c>
      <c r="G2792" s="656"/>
      <c r="H2792" s="656" t="s">
        <v>1300</v>
      </c>
      <c r="I2792" s="656" t="s">
        <v>14976</v>
      </c>
      <c r="J2792" s="656"/>
      <c r="K2792" s="656"/>
      <c r="L2792" s="656" t="s">
        <v>3596</v>
      </c>
      <c r="M2792" s="657"/>
      <c r="N2792" s="1482"/>
      <c r="O2792" s="656" t="s">
        <v>498</v>
      </c>
      <c r="P2792" s="656" t="s">
        <v>13052</v>
      </c>
      <c r="Q2792" s="656">
        <v>44216.773425925923</v>
      </c>
    </row>
    <row r="2793" spans="1:17">
      <c r="A2793" s="656" t="s">
        <v>3598</v>
      </c>
      <c r="B2793" s="657" t="s">
        <v>202</v>
      </c>
      <c r="C2793" s="656" t="s">
        <v>3599</v>
      </c>
      <c r="D2793" s="657" t="s">
        <v>14977</v>
      </c>
      <c r="E2793" s="657"/>
      <c r="F2793" s="656" t="s">
        <v>1667</v>
      </c>
      <c r="G2793" s="656"/>
      <c r="H2793" s="656" t="s">
        <v>1667</v>
      </c>
      <c r="I2793" s="656" t="s">
        <v>14976</v>
      </c>
      <c r="J2793" s="656"/>
      <c r="K2793" s="656"/>
      <c r="L2793" s="656" t="s">
        <v>3598</v>
      </c>
      <c r="M2793" s="657"/>
      <c r="N2793" s="1482"/>
      <c r="O2793" s="656" t="s">
        <v>498</v>
      </c>
      <c r="P2793" s="656" t="s">
        <v>13052</v>
      </c>
      <c r="Q2793" s="656">
        <v>44216.773425925923</v>
      </c>
    </row>
    <row r="2794" spans="1:17">
      <c r="A2794" s="656" t="s">
        <v>3600</v>
      </c>
      <c r="B2794" s="657" t="s">
        <v>531</v>
      </c>
      <c r="C2794" s="656" t="s">
        <v>3601</v>
      </c>
      <c r="D2794" s="657" t="s">
        <v>13789</v>
      </c>
      <c r="E2794" s="657"/>
      <c r="F2794" s="656" t="s">
        <v>1394</v>
      </c>
      <c r="G2794" s="656"/>
      <c r="H2794" s="656" t="s">
        <v>1394</v>
      </c>
      <c r="I2794" s="656" t="s">
        <v>15280</v>
      </c>
      <c r="J2794" s="656"/>
      <c r="K2794" s="656"/>
      <c r="L2794" s="656"/>
      <c r="M2794" s="657"/>
      <c r="N2794" s="1482"/>
      <c r="O2794" s="656" t="s">
        <v>498</v>
      </c>
      <c r="P2794" s="656" t="s">
        <v>13052</v>
      </c>
      <c r="Q2794" s="656">
        <v>44216.773414351854</v>
      </c>
    </row>
    <row r="2795" spans="1:17">
      <c r="A2795" s="656" t="s">
        <v>3602</v>
      </c>
      <c r="B2795" s="657" t="s">
        <v>202</v>
      </c>
      <c r="C2795" s="656" t="s">
        <v>3603</v>
      </c>
      <c r="D2795" s="657" t="s">
        <v>14977</v>
      </c>
      <c r="E2795" s="657"/>
      <c r="F2795" s="656" t="s">
        <v>1300</v>
      </c>
      <c r="G2795" s="656"/>
      <c r="H2795" s="656" t="s">
        <v>1300</v>
      </c>
      <c r="I2795" s="656" t="s">
        <v>14976</v>
      </c>
      <c r="J2795" s="656"/>
      <c r="K2795" s="656"/>
      <c r="L2795" s="656" t="s">
        <v>3602</v>
      </c>
      <c r="M2795" s="657"/>
      <c r="N2795" s="1482"/>
      <c r="O2795" s="656" t="s">
        <v>498</v>
      </c>
      <c r="P2795" s="656" t="s">
        <v>13052</v>
      </c>
      <c r="Q2795" s="656">
        <v>44216.773414351854</v>
      </c>
    </row>
    <row r="2796" spans="1:17">
      <c r="A2796" s="656" t="s">
        <v>3604</v>
      </c>
      <c r="B2796" s="657" t="s">
        <v>202</v>
      </c>
      <c r="C2796" s="656" t="s">
        <v>3605</v>
      </c>
      <c r="D2796" s="657" t="s">
        <v>14977</v>
      </c>
      <c r="E2796" s="657"/>
      <c r="F2796" s="656" t="s">
        <v>1300</v>
      </c>
      <c r="G2796" s="656"/>
      <c r="H2796" s="656" t="s">
        <v>1300</v>
      </c>
      <c r="I2796" s="656" t="s">
        <v>14976</v>
      </c>
      <c r="J2796" s="656"/>
      <c r="K2796" s="656"/>
      <c r="L2796" s="656" t="s">
        <v>3604</v>
      </c>
      <c r="M2796" s="657"/>
      <c r="N2796" s="1482"/>
      <c r="O2796" s="656" t="s">
        <v>498</v>
      </c>
      <c r="P2796" s="656" t="s">
        <v>13052</v>
      </c>
      <c r="Q2796" s="656">
        <v>44216.773402777777</v>
      </c>
    </row>
    <row r="2797" spans="1:17">
      <c r="A2797" s="656" t="s">
        <v>3606</v>
      </c>
      <c r="B2797" s="657" t="s">
        <v>202</v>
      </c>
      <c r="C2797" s="656" t="s">
        <v>3607</v>
      </c>
      <c r="D2797" s="657" t="s">
        <v>14977</v>
      </c>
      <c r="E2797" s="657"/>
      <c r="F2797" s="656" t="s">
        <v>1300</v>
      </c>
      <c r="G2797" s="656"/>
      <c r="H2797" s="656" t="s">
        <v>1300</v>
      </c>
      <c r="I2797" s="656" t="s">
        <v>14976</v>
      </c>
      <c r="J2797" s="656"/>
      <c r="K2797" s="656"/>
      <c r="L2797" s="656" t="s">
        <v>3606</v>
      </c>
      <c r="M2797" s="657"/>
      <c r="N2797" s="1482"/>
      <c r="O2797" s="656" t="s">
        <v>498</v>
      </c>
      <c r="P2797" s="656" t="s">
        <v>13052</v>
      </c>
      <c r="Q2797" s="656">
        <v>44216.7733912037</v>
      </c>
    </row>
    <row r="2798" spans="1:17">
      <c r="A2798" s="656" t="s">
        <v>3608</v>
      </c>
      <c r="B2798" s="657" t="s">
        <v>202</v>
      </c>
      <c r="C2798" s="656" t="s">
        <v>3609</v>
      </c>
      <c r="D2798" s="657" t="s">
        <v>14977</v>
      </c>
      <c r="E2798" s="657"/>
      <c r="F2798" s="656" t="s">
        <v>1300</v>
      </c>
      <c r="G2798" s="656"/>
      <c r="H2798" s="656" t="s">
        <v>1300</v>
      </c>
      <c r="I2798" s="656" t="s">
        <v>14976</v>
      </c>
      <c r="J2798" s="656"/>
      <c r="K2798" s="656"/>
      <c r="L2798" s="656" t="s">
        <v>3608</v>
      </c>
      <c r="M2798" s="657"/>
      <c r="N2798" s="1482"/>
      <c r="O2798" s="656" t="s">
        <v>498</v>
      </c>
      <c r="P2798" s="656" t="s">
        <v>13052</v>
      </c>
      <c r="Q2798" s="656">
        <v>44216.7733912037</v>
      </c>
    </row>
    <row r="2799" spans="1:17">
      <c r="A2799" s="656" t="s">
        <v>3610</v>
      </c>
      <c r="B2799" s="657" t="s">
        <v>202</v>
      </c>
      <c r="C2799" s="656" t="s">
        <v>3611</v>
      </c>
      <c r="D2799" s="657" t="s">
        <v>14977</v>
      </c>
      <c r="E2799" s="657"/>
      <c r="F2799" s="656" t="s">
        <v>1300</v>
      </c>
      <c r="G2799" s="656"/>
      <c r="H2799" s="656" t="s">
        <v>1300</v>
      </c>
      <c r="I2799" s="656" t="s">
        <v>14976</v>
      </c>
      <c r="J2799" s="656" t="s">
        <v>15285</v>
      </c>
      <c r="K2799" s="656"/>
      <c r="L2799" s="656" t="s">
        <v>3610</v>
      </c>
      <c r="M2799" s="657"/>
      <c r="N2799" s="1482"/>
      <c r="O2799" s="656" t="s">
        <v>498</v>
      </c>
      <c r="P2799" s="656" t="s">
        <v>13052</v>
      </c>
      <c r="Q2799" s="656">
        <v>44216.7733912037</v>
      </c>
    </row>
    <row r="2800" spans="1:17">
      <c r="A2800" s="656" t="s">
        <v>3612</v>
      </c>
      <c r="B2800" s="657" t="s">
        <v>202</v>
      </c>
      <c r="C2800" s="656" t="s">
        <v>3613</v>
      </c>
      <c r="D2800" s="657" t="s">
        <v>14977</v>
      </c>
      <c r="E2800" s="657"/>
      <c r="F2800" s="656" t="s">
        <v>1300</v>
      </c>
      <c r="G2800" s="656"/>
      <c r="H2800" s="656" t="s">
        <v>1300</v>
      </c>
      <c r="I2800" s="656" t="s">
        <v>14976</v>
      </c>
      <c r="J2800" s="656"/>
      <c r="K2800" s="656"/>
      <c r="L2800" s="656" t="s">
        <v>3612</v>
      </c>
      <c r="M2800" s="657"/>
      <c r="N2800" s="1482"/>
      <c r="O2800" s="656" t="s">
        <v>498</v>
      </c>
      <c r="P2800" s="656" t="s">
        <v>13052</v>
      </c>
      <c r="Q2800" s="656">
        <v>44216.773379629631</v>
      </c>
    </row>
    <row r="2801" spans="1:17">
      <c r="A2801" s="656" t="s">
        <v>3614</v>
      </c>
      <c r="B2801" s="657" t="s">
        <v>504</v>
      </c>
      <c r="C2801" s="656" t="s">
        <v>3615</v>
      </c>
      <c r="D2801" s="657"/>
      <c r="E2801" s="657"/>
      <c r="F2801" s="656" t="s">
        <v>505</v>
      </c>
      <c r="G2801" s="656" t="s">
        <v>1495</v>
      </c>
      <c r="H2801" s="656" t="s">
        <v>505</v>
      </c>
      <c r="I2801" s="656"/>
      <c r="J2801" s="656"/>
      <c r="K2801" s="656"/>
      <c r="L2801" s="656"/>
      <c r="M2801" s="657"/>
      <c r="N2801" s="1482"/>
      <c r="O2801" s="656" t="s">
        <v>498</v>
      </c>
      <c r="P2801" s="656" t="s">
        <v>13052</v>
      </c>
      <c r="Q2801" s="656">
        <v>44216.773368055554</v>
      </c>
    </row>
    <row r="2802" spans="1:17">
      <c r="A2802" s="656" t="s">
        <v>3616</v>
      </c>
      <c r="B2802" s="657" t="s">
        <v>504</v>
      </c>
      <c r="C2802" s="656" t="s">
        <v>3617</v>
      </c>
      <c r="D2802" s="657"/>
      <c r="E2802" s="657"/>
      <c r="F2802" s="656" t="s">
        <v>505</v>
      </c>
      <c r="G2802" s="656" t="s">
        <v>1495</v>
      </c>
      <c r="H2802" s="656" t="s">
        <v>505</v>
      </c>
      <c r="I2802" s="656"/>
      <c r="J2802" s="656"/>
      <c r="K2802" s="656"/>
      <c r="L2802" s="656"/>
      <c r="M2802" s="657"/>
      <c r="N2802" s="1482"/>
      <c r="O2802" s="656" t="s">
        <v>498</v>
      </c>
      <c r="P2802" s="656" t="s">
        <v>13052</v>
      </c>
      <c r="Q2802" s="656">
        <v>44216.773356481484</v>
      </c>
    </row>
    <row r="2803" spans="1:17">
      <c r="A2803" s="656" t="s">
        <v>3618</v>
      </c>
      <c r="B2803" s="657" t="s">
        <v>504</v>
      </c>
      <c r="C2803" s="656" t="s">
        <v>3619</v>
      </c>
      <c r="D2803" s="657"/>
      <c r="E2803" s="657"/>
      <c r="F2803" s="656" t="s">
        <v>505</v>
      </c>
      <c r="G2803" s="656" t="s">
        <v>2769</v>
      </c>
      <c r="H2803" s="656" t="s">
        <v>505</v>
      </c>
      <c r="I2803" s="656"/>
      <c r="J2803" s="656"/>
      <c r="K2803" s="656"/>
      <c r="L2803" s="656"/>
      <c r="M2803" s="657"/>
      <c r="N2803" s="1482"/>
      <c r="O2803" s="656" t="s">
        <v>498</v>
      </c>
      <c r="P2803" s="656" t="s">
        <v>13052</v>
      </c>
      <c r="Q2803" s="656">
        <v>44216.773356481484</v>
      </c>
    </row>
    <row r="2804" spans="1:17">
      <c r="A2804" s="656" t="s">
        <v>3620</v>
      </c>
      <c r="B2804" s="657" t="s">
        <v>504</v>
      </c>
      <c r="C2804" s="656" t="s">
        <v>3621</v>
      </c>
      <c r="D2804" s="657"/>
      <c r="E2804" s="657"/>
      <c r="F2804" s="656" t="s">
        <v>505</v>
      </c>
      <c r="G2804" s="656" t="s">
        <v>2769</v>
      </c>
      <c r="H2804" s="656" t="s">
        <v>505</v>
      </c>
      <c r="I2804" s="656"/>
      <c r="J2804" s="656"/>
      <c r="K2804" s="656"/>
      <c r="L2804" s="656"/>
      <c r="M2804" s="657"/>
      <c r="N2804" s="1482"/>
      <c r="O2804" s="656" t="s">
        <v>498</v>
      </c>
      <c r="P2804" s="656" t="s">
        <v>13052</v>
      </c>
      <c r="Q2804" s="656">
        <v>44216.773344907408</v>
      </c>
    </row>
    <row r="2805" spans="1:17">
      <c r="A2805" s="656" t="s">
        <v>3622</v>
      </c>
      <c r="B2805" s="657" t="s">
        <v>202</v>
      </c>
      <c r="C2805" s="656" t="s">
        <v>3623</v>
      </c>
      <c r="D2805" s="657" t="s">
        <v>14977</v>
      </c>
      <c r="E2805" s="657"/>
      <c r="F2805" s="656" t="s">
        <v>472</v>
      </c>
      <c r="G2805" s="656" t="s">
        <v>541</v>
      </c>
      <c r="H2805" s="656" t="s">
        <v>472</v>
      </c>
      <c r="I2805" s="656" t="s">
        <v>14976</v>
      </c>
      <c r="J2805" s="656" t="s">
        <v>12368</v>
      </c>
      <c r="K2805" s="656"/>
      <c r="L2805" s="656"/>
      <c r="M2805" s="657"/>
      <c r="N2805" s="1482"/>
      <c r="O2805" s="656" t="s">
        <v>498</v>
      </c>
      <c r="P2805" s="656" t="s">
        <v>13052</v>
      </c>
      <c r="Q2805" s="656">
        <v>44216.773344907408</v>
      </c>
    </row>
    <row r="2806" spans="1:17">
      <c r="A2806" s="656" t="s">
        <v>3624</v>
      </c>
      <c r="B2806" s="657" t="s">
        <v>504</v>
      </c>
      <c r="C2806" s="656" t="s">
        <v>3625</v>
      </c>
      <c r="D2806" s="657"/>
      <c r="E2806" s="657"/>
      <c r="F2806" s="656" t="s">
        <v>505</v>
      </c>
      <c r="G2806" s="656" t="s">
        <v>3410</v>
      </c>
      <c r="H2806" s="656" t="s">
        <v>505</v>
      </c>
      <c r="I2806" s="656"/>
      <c r="J2806" s="656"/>
      <c r="K2806" s="656"/>
      <c r="L2806" s="656"/>
      <c r="M2806" s="657"/>
      <c r="N2806" s="1482"/>
      <c r="O2806" s="656" t="s">
        <v>498</v>
      </c>
      <c r="P2806" s="656" t="s">
        <v>13052</v>
      </c>
      <c r="Q2806" s="656">
        <v>44216.773333333331</v>
      </c>
    </row>
    <row r="2807" spans="1:17">
      <c r="A2807" s="656" t="s">
        <v>3626</v>
      </c>
      <c r="B2807" s="657" t="s">
        <v>504</v>
      </c>
      <c r="C2807" s="656" t="s">
        <v>3627</v>
      </c>
      <c r="D2807" s="657"/>
      <c r="E2807" s="657"/>
      <c r="F2807" s="656" t="s">
        <v>505</v>
      </c>
      <c r="G2807" s="656" t="s">
        <v>3410</v>
      </c>
      <c r="H2807" s="656" t="s">
        <v>505</v>
      </c>
      <c r="I2807" s="656"/>
      <c r="J2807" s="656"/>
      <c r="K2807" s="656"/>
      <c r="L2807" s="656"/>
      <c r="M2807" s="657"/>
      <c r="N2807" s="1482"/>
      <c r="O2807" s="656" t="s">
        <v>498</v>
      </c>
      <c r="P2807" s="656" t="s">
        <v>13052</v>
      </c>
      <c r="Q2807" s="656">
        <v>44216.773333333331</v>
      </c>
    </row>
    <row r="2808" spans="1:17">
      <c r="A2808" s="656" t="s">
        <v>13697</v>
      </c>
      <c r="B2808" s="657" t="s">
        <v>504</v>
      </c>
      <c r="C2808" s="656" t="s">
        <v>3628</v>
      </c>
      <c r="D2808" s="657" t="s">
        <v>14978</v>
      </c>
      <c r="E2808" s="657" t="s">
        <v>9458</v>
      </c>
      <c r="F2808" s="656" t="s">
        <v>505</v>
      </c>
      <c r="G2808" s="656" t="s">
        <v>525</v>
      </c>
      <c r="H2808" s="656" t="s">
        <v>505</v>
      </c>
      <c r="I2808" s="656" t="s">
        <v>14976</v>
      </c>
      <c r="J2808" s="656"/>
      <c r="K2808" s="656"/>
      <c r="L2808" s="656" t="s">
        <v>3630</v>
      </c>
      <c r="M2808" s="657"/>
      <c r="N2808" s="1482"/>
      <c r="O2808" s="656" t="s">
        <v>498</v>
      </c>
      <c r="P2808" s="656" t="s">
        <v>13052</v>
      </c>
      <c r="Q2808" s="656">
        <v>44216.773333333331</v>
      </c>
    </row>
    <row r="2809" spans="1:17">
      <c r="A2809" s="656" t="s">
        <v>13696</v>
      </c>
      <c r="B2809" s="657" t="s">
        <v>504</v>
      </c>
      <c r="C2809" s="656" t="s">
        <v>3629</v>
      </c>
      <c r="D2809" s="657" t="s">
        <v>14978</v>
      </c>
      <c r="E2809" s="657" t="s">
        <v>7439</v>
      </c>
      <c r="F2809" s="656" t="s">
        <v>505</v>
      </c>
      <c r="G2809" s="656" t="s">
        <v>525</v>
      </c>
      <c r="H2809" s="656" t="s">
        <v>505</v>
      </c>
      <c r="I2809" s="656" t="s">
        <v>14976</v>
      </c>
      <c r="J2809" s="656"/>
      <c r="K2809" s="656"/>
      <c r="L2809" s="656" t="s">
        <v>3630</v>
      </c>
      <c r="M2809" s="657"/>
      <c r="N2809" s="1482"/>
      <c r="O2809" s="656" t="s">
        <v>498</v>
      </c>
      <c r="P2809" s="656" t="s">
        <v>13052</v>
      </c>
      <c r="Q2809" s="656">
        <v>44216.773321759261</v>
      </c>
    </row>
    <row r="2810" spans="1:17">
      <c r="A2810" s="656" t="s">
        <v>3630</v>
      </c>
      <c r="B2810" s="657" t="s">
        <v>504</v>
      </c>
      <c r="C2810" s="656" t="s">
        <v>3631</v>
      </c>
      <c r="D2810" s="657"/>
      <c r="E2810" s="657"/>
      <c r="F2810" s="656" t="s">
        <v>505</v>
      </c>
      <c r="G2810" s="656" t="s">
        <v>3410</v>
      </c>
      <c r="H2810" s="656" t="s">
        <v>505</v>
      </c>
      <c r="I2810" s="656"/>
      <c r="J2810" s="656"/>
      <c r="K2810" s="656"/>
      <c r="L2810" s="656"/>
      <c r="M2810" s="657"/>
      <c r="N2810" s="1482"/>
      <c r="O2810" s="656" t="s">
        <v>498</v>
      </c>
      <c r="P2810" s="656" t="s">
        <v>13052</v>
      </c>
      <c r="Q2810" s="656">
        <v>44216.773321759261</v>
      </c>
    </row>
    <row r="2811" spans="1:17">
      <c r="A2811" s="656" t="s">
        <v>3632</v>
      </c>
      <c r="B2811" s="657" t="s">
        <v>504</v>
      </c>
      <c r="C2811" s="656" t="s">
        <v>3633</v>
      </c>
      <c r="D2811" s="657"/>
      <c r="E2811" s="657"/>
      <c r="F2811" s="656" t="s">
        <v>505</v>
      </c>
      <c r="G2811" s="656" t="s">
        <v>3410</v>
      </c>
      <c r="H2811" s="656" t="s">
        <v>505</v>
      </c>
      <c r="I2811" s="656"/>
      <c r="J2811" s="656"/>
      <c r="K2811" s="656"/>
      <c r="L2811" s="656"/>
      <c r="M2811" s="657"/>
      <c r="N2811" s="1482"/>
      <c r="O2811" s="656" t="s">
        <v>498</v>
      </c>
      <c r="P2811" s="656" t="s">
        <v>13052</v>
      </c>
      <c r="Q2811" s="656">
        <v>44216.773310185185</v>
      </c>
    </row>
    <row r="2812" spans="1:17">
      <c r="A2812" s="656" t="s">
        <v>3634</v>
      </c>
      <c r="B2812" s="657" t="s">
        <v>504</v>
      </c>
      <c r="C2812" s="656" t="s">
        <v>3635</v>
      </c>
      <c r="D2812" s="657"/>
      <c r="E2812" s="657"/>
      <c r="F2812" s="656" t="s">
        <v>505</v>
      </c>
      <c r="G2812" s="656" t="s">
        <v>3410</v>
      </c>
      <c r="H2812" s="656" t="s">
        <v>505</v>
      </c>
      <c r="I2812" s="656"/>
      <c r="J2812" s="656"/>
      <c r="K2812" s="656"/>
      <c r="L2812" s="656"/>
      <c r="M2812" s="657"/>
      <c r="N2812" s="1482"/>
      <c r="O2812" s="656" t="s">
        <v>498</v>
      </c>
      <c r="P2812" s="656" t="s">
        <v>13052</v>
      </c>
      <c r="Q2812" s="656">
        <v>44216.773310185185</v>
      </c>
    </row>
    <row r="2813" spans="1:17">
      <c r="A2813" s="656" t="s">
        <v>3636</v>
      </c>
      <c r="B2813" s="657" t="s">
        <v>202</v>
      </c>
      <c r="C2813" s="656" t="s">
        <v>3637</v>
      </c>
      <c r="D2813" s="657" t="s">
        <v>14977</v>
      </c>
      <c r="E2813" s="657"/>
      <c r="F2813" s="656" t="s">
        <v>500</v>
      </c>
      <c r="G2813" s="656" t="s">
        <v>500</v>
      </c>
      <c r="H2813" s="656" t="s">
        <v>500</v>
      </c>
      <c r="I2813" s="656" t="s">
        <v>14976</v>
      </c>
      <c r="J2813" s="656"/>
      <c r="K2813" s="656"/>
      <c r="L2813" s="656" t="s">
        <v>3636</v>
      </c>
      <c r="M2813" s="657"/>
      <c r="N2813" s="1482"/>
      <c r="O2813" s="656" t="s">
        <v>498</v>
      </c>
      <c r="P2813" s="656" t="s">
        <v>13052</v>
      </c>
      <c r="Q2813" s="656">
        <v>44216.773298611108</v>
      </c>
    </row>
    <row r="2814" spans="1:17">
      <c r="A2814" s="656" t="s">
        <v>3638</v>
      </c>
      <c r="B2814" s="657" t="s">
        <v>202</v>
      </c>
      <c r="C2814" s="656" t="s">
        <v>3639</v>
      </c>
      <c r="D2814" s="657" t="s">
        <v>14977</v>
      </c>
      <c r="E2814" s="657"/>
      <c r="F2814" s="656" t="s">
        <v>500</v>
      </c>
      <c r="G2814" s="656" t="s">
        <v>500</v>
      </c>
      <c r="H2814" s="656" t="s">
        <v>500</v>
      </c>
      <c r="I2814" s="656" t="s">
        <v>14976</v>
      </c>
      <c r="J2814" s="656" t="s">
        <v>15282</v>
      </c>
      <c r="K2814" s="656"/>
      <c r="L2814" s="656" t="s">
        <v>3638</v>
      </c>
      <c r="M2814" s="657"/>
      <c r="N2814" s="1482"/>
      <c r="O2814" s="656" t="s">
        <v>498</v>
      </c>
      <c r="P2814" s="656" t="s">
        <v>13052</v>
      </c>
      <c r="Q2814" s="656">
        <v>44216.773298611108</v>
      </c>
    </row>
    <row r="2815" spans="1:17">
      <c r="A2815" s="656" t="s">
        <v>3640</v>
      </c>
      <c r="B2815" s="657" t="s">
        <v>202</v>
      </c>
      <c r="C2815" s="656" t="s">
        <v>3641</v>
      </c>
      <c r="D2815" s="657" t="s">
        <v>14977</v>
      </c>
      <c r="E2815" s="657"/>
      <c r="F2815" s="656" t="s">
        <v>500</v>
      </c>
      <c r="G2815" s="656" t="s">
        <v>500</v>
      </c>
      <c r="H2815" s="656" t="s">
        <v>500</v>
      </c>
      <c r="I2815" s="656" t="s">
        <v>14976</v>
      </c>
      <c r="J2815" s="656"/>
      <c r="K2815" s="656"/>
      <c r="L2815" s="656" t="s">
        <v>3640</v>
      </c>
      <c r="M2815" s="657"/>
      <c r="N2815" s="1482"/>
      <c r="O2815" s="656" t="s">
        <v>498</v>
      </c>
      <c r="P2815" s="656" t="s">
        <v>13052</v>
      </c>
      <c r="Q2815" s="656">
        <v>44216.773287037038</v>
      </c>
    </row>
    <row r="2816" spans="1:17">
      <c r="A2816" s="656" t="s">
        <v>3642</v>
      </c>
      <c r="B2816" s="657" t="s">
        <v>202</v>
      </c>
      <c r="C2816" s="656" t="s">
        <v>3643</v>
      </c>
      <c r="D2816" s="657" t="s">
        <v>14977</v>
      </c>
      <c r="E2816" s="657"/>
      <c r="F2816" s="656" t="s">
        <v>1667</v>
      </c>
      <c r="G2816" s="656"/>
      <c r="H2816" s="656" t="s">
        <v>1667</v>
      </c>
      <c r="I2816" s="656" t="s">
        <v>14976</v>
      </c>
      <c r="J2816" s="656" t="s">
        <v>451</v>
      </c>
      <c r="K2816" s="656"/>
      <c r="L2816" s="656"/>
      <c r="M2816" s="657"/>
      <c r="N2816" s="1482"/>
      <c r="O2816" s="656" t="s">
        <v>498</v>
      </c>
      <c r="P2816" s="656" t="s">
        <v>13052</v>
      </c>
      <c r="Q2816" s="656">
        <v>44216.773287037038</v>
      </c>
    </row>
    <row r="2817" spans="1:17">
      <c r="A2817" s="656" t="s">
        <v>3644</v>
      </c>
      <c r="B2817" s="657" t="s">
        <v>202</v>
      </c>
      <c r="C2817" s="656" t="s">
        <v>3645</v>
      </c>
      <c r="D2817" s="657" t="s">
        <v>14977</v>
      </c>
      <c r="E2817" s="657" t="s">
        <v>7439</v>
      </c>
      <c r="F2817" s="656" t="s">
        <v>500</v>
      </c>
      <c r="G2817" s="656" t="s">
        <v>500</v>
      </c>
      <c r="H2817" s="656" t="s">
        <v>500</v>
      </c>
      <c r="I2817" s="656" t="s">
        <v>14976</v>
      </c>
      <c r="J2817" s="656"/>
      <c r="K2817" s="656"/>
      <c r="L2817" s="656" t="s">
        <v>3644</v>
      </c>
      <c r="M2817" s="657"/>
      <c r="N2817" s="1482"/>
      <c r="O2817" s="656" t="s">
        <v>498</v>
      </c>
      <c r="P2817" s="656" t="s">
        <v>13052</v>
      </c>
      <c r="Q2817" s="656">
        <v>44216.773275462961</v>
      </c>
    </row>
    <row r="2818" spans="1:17">
      <c r="A2818" s="656" t="s">
        <v>3646</v>
      </c>
      <c r="B2818" s="657" t="s">
        <v>202</v>
      </c>
      <c r="C2818" s="656" t="s">
        <v>3647</v>
      </c>
      <c r="D2818" s="657" t="s">
        <v>14977</v>
      </c>
      <c r="E2818" s="657"/>
      <c r="F2818" s="656" t="s">
        <v>783</v>
      </c>
      <c r="G2818" s="656" t="s">
        <v>783</v>
      </c>
      <c r="H2818" s="656" t="s">
        <v>783</v>
      </c>
      <c r="I2818" s="656" t="s">
        <v>14976</v>
      </c>
      <c r="J2818" s="656"/>
      <c r="K2818" s="656"/>
      <c r="L2818" s="656" t="s">
        <v>3646</v>
      </c>
      <c r="M2818" s="657"/>
      <c r="N2818" s="1482"/>
      <c r="O2818" s="656" t="s">
        <v>498</v>
      </c>
      <c r="P2818" s="656" t="s">
        <v>13052</v>
      </c>
      <c r="Q2818" s="656">
        <v>44216.773275462961</v>
      </c>
    </row>
    <row r="2819" spans="1:17">
      <c r="A2819" s="656" t="s">
        <v>3648</v>
      </c>
      <c r="B2819" s="657" t="s">
        <v>202</v>
      </c>
      <c r="C2819" s="656" t="s">
        <v>3649</v>
      </c>
      <c r="D2819" s="657" t="s">
        <v>14977</v>
      </c>
      <c r="E2819" s="657"/>
      <c r="F2819" s="656" t="s">
        <v>783</v>
      </c>
      <c r="G2819" s="656" t="s">
        <v>783</v>
      </c>
      <c r="H2819" s="656" t="s">
        <v>783</v>
      </c>
      <c r="I2819" s="656" t="s">
        <v>14976</v>
      </c>
      <c r="J2819" s="656"/>
      <c r="K2819" s="656"/>
      <c r="L2819" s="656" t="s">
        <v>3648</v>
      </c>
      <c r="M2819" s="657"/>
      <c r="N2819" s="1482"/>
      <c r="O2819" s="656" t="s">
        <v>498</v>
      </c>
      <c r="P2819" s="656" t="s">
        <v>13052</v>
      </c>
      <c r="Q2819" s="656">
        <v>44216.773275462961</v>
      </c>
    </row>
    <row r="2820" spans="1:17">
      <c r="A2820" s="656" t="s">
        <v>3650</v>
      </c>
      <c r="B2820" s="657" t="s">
        <v>504</v>
      </c>
      <c r="C2820" s="656" t="s">
        <v>3651</v>
      </c>
      <c r="D2820" s="657"/>
      <c r="E2820" s="657"/>
      <c r="F2820" s="656" t="s">
        <v>505</v>
      </c>
      <c r="G2820" s="656" t="s">
        <v>820</v>
      </c>
      <c r="H2820" s="656" t="s">
        <v>505</v>
      </c>
      <c r="I2820" s="656"/>
      <c r="J2820" s="656"/>
      <c r="K2820" s="656"/>
      <c r="L2820" s="656"/>
      <c r="M2820" s="657"/>
      <c r="N2820" s="1482"/>
      <c r="O2820" s="656" t="s">
        <v>498</v>
      </c>
      <c r="P2820" s="656" t="s">
        <v>13052</v>
      </c>
      <c r="Q2820" s="656">
        <v>44216.773263888892</v>
      </c>
    </row>
    <row r="2821" spans="1:17">
      <c r="A2821" s="656" t="s">
        <v>3652</v>
      </c>
      <c r="B2821" s="657" t="s">
        <v>202</v>
      </c>
      <c r="C2821" s="656" t="s">
        <v>3653</v>
      </c>
      <c r="D2821" s="657" t="s">
        <v>14977</v>
      </c>
      <c r="E2821" s="657"/>
      <c r="F2821" s="656" t="s">
        <v>3077</v>
      </c>
      <c r="G2821" s="656" t="s">
        <v>3077</v>
      </c>
      <c r="H2821" s="656" t="s">
        <v>465</v>
      </c>
      <c r="I2821" s="656" t="s">
        <v>14976</v>
      </c>
      <c r="J2821" s="656" t="s">
        <v>446</v>
      </c>
      <c r="K2821" s="656"/>
      <c r="L2821" s="656" t="s">
        <v>3652</v>
      </c>
      <c r="M2821" s="657"/>
      <c r="N2821" s="1482"/>
      <c r="O2821" s="656" t="s">
        <v>498</v>
      </c>
      <c r="P2821" s="656" t="s">
        <v>13052</v>
      </c>
      <c r="Q2821" s="656">
        <v>44216.773263888892</v>
      </c>
    </row>
    <row r="2822" spans="1:17">
      <c r="A2822" s="656" t="s">
        <v>3654</v>
      </c>
      <c r="B2822" s="657" t="s">
        <v>202</v>
      </c>
      <c r="C2822" s="656" t="s">
        <v>3655</v>
      </c>
      <c r="D2822" s="657" t="s">
        <v>14977</v>
      </c>
      <c r="E2822" s="657"/>
      <c r="F2822" s="656" t="s">
        <v>655</v>
      </c>
      <c r="G2822" s="656"/>
      <c r="H2822" s="656" t="s">
        <v>655</v>
      </c>
      <c r="I2822" s="656" t="s">
        <v>14976</v>
      </c>
      <c r="J2822" s="656"/>
      <c r="K2822" s="656"/>
      <c r="L2822" s="656" t="s">
        <v>3654</v>
      </c>
      <c r="M2822" s="657"/>
      <c r="N2822" s="1482"/>
      <c r="O2822" s="656" t="s">
        <v>498</v>
      </c>
      <c r="P2822" s="656" t="s">
        <v>13052</v>
      </c>
      <c r="Q2822" s="656">
        <v>44216.773252314815</v>
      </c>
    </row>
    <row r="2823" spans="1:17">
      <c r="A2823" s="656" t="s">
        <v>3656</v>
      </c>
      <c r="B2823" s="657" t="s">
        <v>202</v>
      </c>
      <c r="C2823" s="656" t="s">
        <v>3657</v>
      </c>
      <c r="D2823" s="657" t="s">
        <v>14977</v>
      </c>
      <c r="E2823" s="657"/>
      <c r="F2823" s="656" t="s">
        <v>500</v>
      </c>
      <c r="G2823" s="656" t="s">
        <v>500</v>
      </c>
      <c r="H2823" s="656" t="s">
        <v>500</v>
      </c>
      <c r="I2823" s="656" t="s">
        <v>14976</v>
      </c>
      <c r="J2823" s="656"/>
      <c r="K2823" s="656"/>
      <c r="L2823" s="656" t="s">
        <v>3656</v>
      </c>
      <c r="M2823" s="657"/>
      <c r="N2823" s="1482"/>
      <c r="O2823" s="656" t="s">
        <v>498</v>
      </c>
      <c r="P2823" s="656" t="s">
        <v>13052</v>
      </c>
      <c r="Q2823" s="656">
        <v>44216.773252314815</v>
      </c>
    </row>
    <row r="2824" spans="1:17">
      <c r="A2824" s="656" t="s">
        <v>3658</v>
      </c>
      <c r="B2824" s="657" t="s">
        <v>202</v>
      </c>
      <c r="C2824" s="656" t="s">
        <v>3659</v>
      </c>
      <c r="D2824" s="657" t="s">
        <v>14977</v>
      </c>
      <c r="E2824" s="657"/>
      <c r="F2824" s="656" t="s">
        <v>500</v>
      </c>
      <c r="G2824" s="656" t="s">
        <v>500</v>
      </c>
      <c r="H2824" s="656" t="s">
        <v>500</v>
      </c>
      <c r="I2824" s="656" t="s">
        <v>14976</v>
      </c>
      <c r="J2824" s="656" t="s">
        <v>15282</v>
      </c>
      <c r="K2824" s="656"/>
      <c r="L2824" s="656" t="s">
        <v>3658</v>
      </c>
      <c r="M2824" s="657"/>
      <c r="N2824" s="1482"/>
      <c r="O2824" s="656" t="s">
        <v>498</v>
      </c>
      <c r="P2824" s="656" t="s">
        <v>13052</v>
      </c>
      <c r="Q2824" s="656">
        <v>44216.773240740738</v>
      </c>
    </row>
    <row r="2825" spans="1:17">
      <c r="A2825" s="656" t="s">
        <v>3660</v>
      </c>
      <c r="B2825" s="657" t="s">
        <v>202</v>
      </c>
      <c r="C2825" s="656" t="s">
        <v>3661</v>
      </c>
      <c r="D2825" s="657" t="s">
        <v>1239</v>
      </c>
      <c r="E2825" s="657"/>
      <c r="F2825" s="656" t="s">
        <v>1667</v>
      </c>
      <c r="G2825" s="656"/>
      <c r="H2825" s="656" t="s">
        <v>1667</v>
      </c>
      <c r="I2825" s="656" t="s">
        <v>14976</v>
      </c>
      <c r="J2825" s="656"/>
      <c r="K2825" s="656"/>
      <c r="L2825" s="656"/>
      <c r="M2825" s="657"/>
      <c r="N2825" s="1482"/>
      <c r="O2825" s="656" t="s">
        <v>498</v>
      </c>
      <c r="P2825" s="656" t="s">
        <v>13052</v>
      </c>
      <c r="Q2825" s="656">
        <v>44216.773240740738</v>
      </c>
    </row>
    <row r="2826" spans="1:17">
      <c r="A2826" s="656" t="s">
        <v>3662</v>
      </c>
      <c r="B2826" s="657" t="s">
        <v>202</v>
      </c>
      <c r="C2826" s="656" t="s">
        <v>3663</v>
      </c>
      <c r="D2826" s="657" t="s">
        <v>14977</v>
      </c>
      <c r="E2826" s="657"/>
      <c r="F2826" s="656" t="s">
        <v>655</v>
      </c>
      <c r="G2826" s="656"/>
      <c r="H2826" s="656" t="s">
        <v>655</v>
      </c>
      <c r="I2826" s="656" t="s">
        <v>14976</v>
      </c>
      <c r="J2826" s="656" t="s">
        <v>15281</v>
      </c>
      <c r="K2826" s="656"/>
      <c r="L2826" s="656" t="s">
        <v>3662</v>
      </c>
      <c r="M2826" s="657"/>
      <c r="N2826" s="1482"/>
      <c r="O2826" s="656" t="s">
        <v>498</v>
      </c>
      <c r="P2826" s="656" t="s">
        <v>13052</v>
      </c>
      <c r="Q2826" s="656">
        <v>44216.773229166669</v>
      </c>
    </row>
    <row r="2827" spans="1:17">
      <c r="A2827" s="656" t="s">
        <v>3664</v>
      </c>
      <c r="B2827" s="657" t="s">
        <v>504</v>
      </c>
      <c r="C2827" s="656" t="s">
        <v>3665</v>
      </c>
      <c r="D2827" s="657"/>
      <c r="E2827" s="657"/>
      <c r="F2827" s="656" t="s">
        <v>505</v>
      </c>
      <c r="G2827" s="656"/>
      <c r="H2827" s="656" t="s">
        <v>505</v>
      </c>
      <c r="I2827" s="656"/>
      <c r="J2827" s="656"/>
      <c r="K2827" s="656"/>
      <c r="L2827" s="656"/>
      <c r="M2827" s="657"/>
      <c r="N2827" s="1482"/>
      <c r="O2827" s="656" t="s">
        <v>498</v>
      </c>
      <c r="P2827" s="656" t="s">
        <v>13052</v>
      </c>
      <c r="Q2827" s="656">
        <v>44216.773229166669</v>
      </c>
    </row>
    <row r="2828" spans="1:17">
      <c r="A2828" s="656" t="s">
        <v>3666</v>
      </c>
      <c r="B2828" s="657" t="s">
        <v>504</v>
      </c>
      <c r="C2828" s="656" t="s">
        <v>3667</v>
      </c>
      <c r="D2828" s="657"/>
      <c r="E2828" s="657"/>
      <c r="F2828" s="656" t="s">
        <v>505</v>
      </c>
      <c r="G2828" s="656" t="s">
        <v>522</v>
      </c>
      <c r="H2828" s="656" t="s">
        <v>505</v>
      </c>
      <c r="I2828" s="656"/>
      <c r="J2828" s="656"/>
      <c r="K2828" s="656"/>
      <c r="L2828" s="656"/>
      <c r="M2828" s="657"/>
      <c r="N2828" s="1482"/>
      <c r="O2828" s="656" t="s">
        <v>498</v>
      </c>
      <c r="P2828" s="656" t="s">
        <v>13052</v>
      </c>
      <c r="Q2828" s="656">
        <v>44216.773217592592</v>
      </c>
    </row>
    <row r="2829" spans="1:17">
      <c r="A2829" s="656" t="s">
        <v>3668</v>
      </c>
      <c r="B2829" s="657" t="s">
        <v>504</v>
      </c>
      <c r="C2829" s="656" t="s">
        <v>3669</v>
      </c>
      <c r="D2829" s="657"/>
      <c r="E2829" s="657"/>
      <c r="F2829" s="656" t="s">
        <v>505</v>
      </c>
      <c r="G2829" s="656" t="s">
        <v>522</v>
      </c>
      <c r="H2829" s="656" t="s">
        <v>505</v>
      </c>
      <c r="I2829" s="656"/>
      <c r="J2829" s="656"/>
      <c r="K2829" s="656"/>
      <c r="L2829" s="656"/>
      <c r="M2829" s="657"/>
      <c r="N2829" s="1482"/>
      <c r="O2829" s="656" t="s">
        <v>498</v>
      </c>
      <c r="P2829" s="656" t="s">
        <v>13052</v>
      </c>
      <c r="Q2829" s="656">
        <v>44216.773217592592</v>
      </c>
    </row>
    <row r="2830" spans="1:17">
      <c r="A2830" s="656" t="s">
        <v>3670</v>
      </c>
      <c r="B2830" s="657" t="s">
        <v>504</v>
      </c>
      <c r="C2830" s="656" t="s">
        <v>3671</v>
      </c>
      <c r="D2830" s="657"/>
      <c r="E2830" s="657"/>
      <c r="F2830" s="656" t="s">
        <v>505</v>
      </c>
      <c r="G2830" s="656" t="s">
        <v>2769</v>
      </c>
      <c r="H2830" s="656" t="s">
        <v>505</v>
      </c>
      <c r="I2830" s="656"/>
      <c r="J2830" s="656"/>
      <c r="K2830" s="656"/>
      <c r="L2830" s="656"/>
      <c r="M2830" s="657"/>
      <c r="N2830" s="1482"/>
      <c r="O2830" s="656" t="s">
        <v>498</v>
      </c>
      <c r="P2830" s="656" t="s">
        <v>13052</v>
      </c>
      <c r="Q2830" s="656">
        <v>44216.773206018515</v>
      </c>
    </row>
    <row r="2831" spans="1:17">
      <c r="A2831" s="656" t="s">
        <v>3672</v>
      </c>
      <c r="B2831" s="657" t="s">
        <v>504</v>
      </c>
      <c r="C2831" s="656" t="s">
        <v>3673</v>
      </c>
      <c r="D2831" s="657"/>
      <c r="E2831" s="657"/>
      <c r="F2831" s="656" t="s">
        <v>505</v>
      </c>
      <c r="G2831" s="656" t="s">
        <v>3410</v>
      </c>
      <c r="H2831" s="656" t="s">
        <v>505</v>
      </c>
      <c r="I2831" s="656"/>
      <c r="J2831" s="656"/>
      <c r="K2831" s="656"/>
      <c r="L2831" s="656"/>
      <c r="M2831" s="657"/>
      <c r="N2831" s="1482"/>
      <c r="O2831" s="656" t="s">
        <v>498</v>
      </c>
      <c r="P2831" s="656" t="s">
        <v>13052</v>
      </c>
      <c r="Q2831" s="656">
        <v>44216.773206018515</v>
      </c>
    </row>
    <row r="2832" spans="1:17">
      <c r="A2832" s="656" t="s">
        <v>3674</v>
      </c>
      <c r="B2832" s="657" t="s">
        <v>202</v>
      </c>
      <c r="C2832" s="656" t="s">
        <v>3675</v>
      </c>
      <c r="D2832" s="657" t="s">
        <v>14977</v>
      </c>
      <c r="E2832" s="657"/>
      <c r="F2832" s="656" t="s">
        <v>2849</v>
      </c>
      <c r="G2832" s="656"/>
      <c r="H2832" s="656" t="s">
        <v>1338</v>
      </c>
      <c r="I2832" s="656" t="s">
        <v>14976</v>
      </c>
      <c r="J2832" s="656" t="s">
        <v>532</v>
      </c>
      <c r="K2832" s="656"/>
      <c r="L2832" s="656" t="s">
        <v>3674</v>
      </c>
      <c r="M2832" s="657"/>
      <c r="N2832" s="1482"/>
      <c r="O2832" s="656" t="s">
        <v>498</v>
      </c>
      <c r="P2832" s="656" t="s">
        <v>13052</v>
      </c>
      <c r="Q2832" s="656">
        <v>44216.773194444446</v>
      </c>
    </row>
    <row r="2833" spans="1:17">
      <c r="A2833" s="656" t="s">
        <v>3676</v>
      </c>
      <c r="B2833" s="657" t="s">
        <v>202</v>
      </c>
      <c r="C2833" s="656" t="s">
        <v>3677</v>
      </c>
      <c r="D2833" s="657" t="s">
        <v>1239</v>
      </c>
      <c r="E2833" s="657"/>
      <c r="F2833" s="656" t="s">
        <v>3077</v>
      </c>
      <c r="G2833" s="656"/>
      <c r="H2833" s="656" t="s">
        <v>465</v>
      </c>
      <c r="I2833" s="656" t="s">
        <v>14976</v>
      </c>
      <c r="J2833" s="656" t="s">
        <v>446</v>
      </c>
      <c r="K2833" s="656"/>
      <c r="L2833" s="656"/>
      <c r="M2833" s="657"/>
      <c r="N2833" s="1482"/>
      <c r="O2833" s="656" t="s">
        <v>498</v>
      </c>
      <c r="P2833" s="656" t="s">
        <v>13052</v>
      </c>
      <c r="Q2833" s="656">
        <v>44216.773182870369</v>
      </c>
    </row>
    <row r="2834" spans="1:17">
      <c r="A2834" s="656" t="s">
        <v>3678</v>
      </c>
      <c r="B2834" s="657" t="s">
        <v>202</v>
      </c>
      <c r="C2834" s="656" t="s">
        <v>3679</v>
      </c>
      <c r="D2834" s="657" t="s">
        <v>14977</v>
      </c>
      <c r="E2834" s="657"/>
      <c r="F2834" s="656" t="s">
        <v>1394</v>
      </c>
      <c r="G2834" s="656"/>
      <c r="H2834" s="656" t="s">
        <v>1394</v>
      </c>
      <c r="I2834" s="656" t="s">
        <v>14976</v>
      </c>
      <c r="J2834" s="656"/>
      <c r="K2834" s="656"/>
      <c r="L2834" s="656" t="s">
        <v>3678</v>
      </c>
      <c r="M2834" s="657"/>
      <c r="N2834" s="1482"/>
      <c r="O2834" s="656" t="s">
        <v>498</v>
      </c>
      <c r="P2834" s="656" t="s">
        <v>13052</v>
      </c>
      <c r="Q2834" s="656">
        <v>44216.773182870369</v>
      </c>
    </row>
    <row r="2835" spans="1:17">
      <c r="A2835" s="656" t="s">
        <v>3680</v>
      </c>
      <c r="B2835" s="657" t="s">
        <v>202</v>
      </c>
      <c r="C2835" s="656" t="s">
        <v>3681</v>
      </c>
      <c r="D2835" s="657" t="s">
        <v>14977</v>
      </c>
      <c r="E2835" s="657"/>
      <c r="F2835" s="656" t="s">
        <v>1394</v>
      </c>
      <c r="G2835" s="656"/>
      <c r="H2835" s="656" t="s">
        <v>1394</v>
      </c>
      <c r="I2835" s="656" t="s">
        <v>15280</v>
      </c>
      <c r="J2835" s="656"/>
      <c r="K2835" s="656"/>
      <c r="L2835" s="656" t="s">
        <v>3680</v>
      </c>
      <c r="M2835" s="657"/>
      <c r="N2835" s="1482"/>
      <c r="O2835" s="656" t="s">
        <v>498</v>
      </c>
      <c r="P2835" s="656" t="s">
        <v>13052</v>
      </c>
      <c r="Q2835" s="656">
        <v>44216.773182870369</v>
      </c>
    </row>
    <row r="2836" spans="1:17">
      <c r="A2836" s="656" t="s">
        <v>3682</v>
      </c>
      <c r="B2836" s="657" t="s">
        <v>504</v>
      </c>
      <c r="C2836" s="656" t="s">
        <v>3683</v>
      </c>
      <c r="D2836" s="657"/>
      <c r="E2836" s="657"/>
      <c r="F2836" s="656" t="s">
        <v>505</v>
      </c>
      <c r="G2836" s="656" t="s">
        <v>3684</v>
      </c>
      <c r="H2836" s="656" t="s">
        <v>505</v>
      </c>
      <c r="I2836" s="656"/>
      <c r="J2836" s="656"/>
      <c r="K2836" s="656"/>
      <c r="L2836" s="656"/>
      <c r="M2836" s="657"/>
      <c r="N2836" s="1482"/>
      <c r="O2836" s="656" t="s">
        <v>498</v>
      </c>
      <c r="P2836" s="656" t="s">
        <v>13052</v>
      </c>
      <c r="Q2836" s="656">
        <v>44216.7731712963</v>
      </c>
    </row>
    <row r="2837" spans="1:17">
      <c r="A2837" s="656" t="s">
        <v>3685</v>
      </c>
      <c r="B2837" s="657" t="s">
        <v>202</v>
      </c>
      <c r="C2837" s="656" t="s">
        <v>3686</v>
      </c>
      <c r="D2837" s="657" t="s">
        <v>14977</v>
      </c>
      <c r="E2837" s="657"/>
      <c r="F2837" s="656" t="s">
        <v>500</v>
      </c>
      <c r="G2837" s="656" t="s">
        <v>500</v>
      </c>
      <c r="H2837" s="656" t="s">
        <v>500</v>
      </c>
      <c r="I2837" s="656" t="s">
        <v>15280</v>
      </c>
      <c r="J2837" s="656" t="s">
        <v>15285</v>
      </c>
      <c r="K2837" s="656"/>
      <c r="L2837" s="656" t="s">
        <v>3685</v>
      </c>
      <c r="M2837" s="657"/>
      <c r="N2837" s="1482"/>
      <c r="O2837" s="656" t="s">
        <v>498</v>
      </c>
      <c r="P2837" s="656" t="s">
        <v>13052</v>
      </c>
      <c r="Q2837" s="656">
        <v>44216.7731712963</v>
      </c>
    </row>
    <row r="2838" spans="1:17">
      <c r="A2838" s="656" t="s">
        <v>3687</v>
      </c>
      <c r="B2838" s="657" t="s">
        <v>202</v>
      </c>
      <c r="C2838" s="656" t="s">
        <v>3688</v>
      </c>
      <c r="D2838" s="657" t="s">
        <v>14977</v>
      </c>
      <c r="E2838" s="657"/>
      <c r="F2838" s="656" t="s">
        <v>462</v>
      </c>
      <c r="G2838" s="656" t="s">
        <v>711</v>
      </c>
      <c r="H2838" s="656" t="s">
        <v>462</v>
      </c>
      <c r="I2838" s="656" t="s">
        <v>14976</v>
      </c>
      <c r="J2838" s="656" t="s">
        <v>463</v>
      </c>
      <c r="K2838" s="656"/>
      <c r="L2838" s="656" t="s">
        <v>3687</v>
      </c>
      <c r="M2838" s="657"/>
      <c r="N2838" s="1482"/>
      <c r="O2838" s="656" t="s">
        <v>498</v>
      </c>
      <c r="P2838" s="656" t="s">
        <v>13052</v>
      </c>
      <c r="Q2838" s="656">
        <v>44216.773159722223</v>
      </c>
    </row>
    <row r="2839" spans="1:17">
      <c r="A2839" s="656" t="s">
        <v>3689</v>
      </c>
      <c r="B2839" s="657" t="s">
        <v>531</v>
      </c>
      <c r="C2839" s="656" t="s">
        <v>3690</v>
      </c>
      <c r="D2839" s="657" t="s">
        <v>14977</v>
      </c>
      <c r="E2839" s="657" t="s">
        <v>7439</v>
      </c>
      <c r="F2839" s="656" t="s">
        <v>1300</v>
      </c>
      <c r="G2839" s="656" t="s">
        <v>522</v>
      </c>
      <c r="H2839" s="656" t="s">
        <v>1300</v>
      </c>
      <c r="I2839" s="656" t="s">
        <v>14976</v>
      </c>
      <c r="J2839" s="656"/>
      <c r="K2839" s="656"/>
      <c r="L2839" s="656" t="s">
        <v>3689</v>
      </c>
      <c r="M2839" s="657"/>
      <c r="N2839" s="1482"/>
      <c r="O2839" s="656" t="s">
        <v>498</v>
      </c>
      <c r="P2839" s="656" t="s">
        <v>13052</v>
      </c>
      <c r="Q2839" s="656">
        <v>44216.773159722223</v>
      </c>
    </row>
    <row r="2840" spans="1:17">
      <c r="A2840" s="656" t="s">
        <v>3691</v>
      </c>
      <c r="B2840" s="657" t="s">
        <v>202</v>
      </c>
      <c r="C2840" s="656" t="s">
        <v>3692</v>
      </c>
      <c r="D2840" s="657" t="s">
        <v>14977</v>
      </c>
      <c r="E2840" s="657"/>
      <c r="F2840" s="656" t="s">
        <v>1300</v>
      </c>
      <c r="G2840" s="656"/>
      <c r="H2840" s="656" t="s">
        <v>1300</v>
      </c>
      <c r="I2840" s="656" t="s">
        <v>14976</v>
      </c>
      <c r="J2840" s="656"/>
      <c r="K2840" s="656"/>
      <c r="L2840" s="656" t="s">
        <v>3691</v>
      </c>
      <c r="M2840" s="657"/>
      <c r="N2840" s="1482"/>
      <c r="O2840" s="656" t="s">
        <v>498</v>
      </c>
      <c r="P2840" s="656" t="s">
        <v>13052</v>
      </c>
      <c r="Q2840" s="656">
        <v>44216.773148148146</v>
      </c>
    </row>
    <row r="2841" spans="1:17">
      <c r="A2841" s="656" t="s">
        <v>3693</v>
      </c>
      <c r="B2841" s="657" t="s">
        <v>202</v>
      </c>
      <c r="C2841" s="656" t="s">
        <v>3694</v>
      </c>
      <c r="D2841" s="657" t="s">
        <v>14977</v>
      </c>
      <c r="E2841" s="657"/>
      <c r="F2841" s="656" t="s">
        <v>1300</v>
      </c>
      <c r="G2841" s="656"/>
      <c r="H2841" s="656" t="s">
        <v>1300</v>
      </c>
      <c r="I2841" s="656" t="s">
        <v>14976</v>
      </c>
      <c r="J2841" s="656"/>
      <c r="K2841" s="656"/>
      <c r="L2841" s="656" t="s">
        <v>3693</v>
      </c>
      <c r="M2841" s="657"/>
      <c r="N2841" s="1482"/>
      <c r="O2841" s="656" t="s">
        <v>498</v>
      </c>
      <c r="P2841" s="656" t="s">
        <v>13052</v>
      </c>
      <c r="Q2841" s="656">
        <v>44216.773148148146</v>
      </c>
    </row>
    <row r="2842" spans="1:17">
      <c r="A2842" s="656" t="s">
        <v>3695</v>
      </c>
      <c r="B2842" s="657" t="s">
        <v>202</v>
      </c>
      <c r="C2842" s="656" t="s">
        <v>3696</v>
      </c>
      <c r="D2842" s="657" t="s">
        <v>14977</v>
      </c>
      <c r="E2842" s="657"/>
      <c r="F2842" s="656" t="s">
        <v>1300</v>
      </c>
      <c r="G2842" s="656"/>
      <c r="H2842" s="656" t="s">
        <v>1300</v>
      </c>
      <c r="I2842" s="656" t="s">
        <v>14976</v>
      </c>
      <c r="J2842" s="656"/>
      <c r="K2842" s="656"/>
      <c r="L2842" s="656" t="s">
        <v>3695</v>
      </c>
      <c r="M2842" s="657"/>
      <c r="N2842" s="1482"/>
      <c r="O2842" s="656" t="s">
        <v>498</v>
      </c>
      <c r="P2842" s="656" t="s">
        <v>13052</v>
      </c>
      <c r="Q2842" s="656">
        <v>44216.773136574076</v>
      </c>
    </row>
    <row r="2843" spans="1:17">
      <c r="A2843" s="656" t="s">
        <v>3697</v>
      </c>
      <c r="B2843" s="657" t="s">
        <v>202</v>
      </c>
      <c r="C2843" s="656" t="s">
        <v>3698</v>
      </c>
      <c r="D2843" s="657" t="s">
        <v>14977</v>
      </c>
      <c r="E2843" s="657"/>
      <c r="F2843" s="656" t="s">
        <v>1394</v>
      </c>
      <c r="G2843" s="656"/>
      <c r="H2843" s="656" t="s">
        <v>1394</v>
      </c>
      <c r="I2843" s="656" t="s">
        <v>14976</v>
      </c>
      <c r="J2843" s="656"/>
      <c r="K2843" s="656"/>
      <c r="L2843" s="656" t="s">
        <v>3697</v>
      </c>
      <c r="M2843" s="657"/>
      <c r="N2843" s="1482"/>
      <c r="O2843" s="656" t="s">
        <v>498</v>
      </c>
      <c r="P2843" s="656" t="s">
        <v>13052</v>
      </c>
      <c r="Q2843" s="656">
        <v>44216.773136574076</v>
      </c>
    </row>
    <row r="2844" spans="1:17">
      <c r="A2844" s="656" t="s">
        <v>3699</v>
      </c>
      <c r="B2844" s="657" t="s">
        <v>202</v>
      </c>
      <c r="C2844" s="656" t="s">
        <v>3700</v>
      </c>
      <c r="D2844" s="657" t="s">
        <v>14977</v>
      </c>
      <c r="E2844" s="657"/>
      <c r="F2844" s="656" t="s">
        <v>1300</v>
      </c>
      <c r="G2844" s="656"/>
      <c r="H2844" s="656" t="s">
        <v>1300</v>
      </c>
      <c r="I2844" s="656" t="s">
        <v>14976</v>
      </c>
      <c r="J2844" s="656"/>
      <c r="K2844" s="656"/>
      <c r="L2844" s="656" t="s">
        <v>3699</v>
      </c>
      <c r="M2844" s="657"/>
      <c r="N2844" s="1482"/>
      <c r="O2844" s="656" t="s">
        <v>498</v>
      </c>
      <c r="P2844" s="656" t="s">
        <v>13052</v>
      </c>
      <c r="Q2844" s="656">
        <v>44216.773136574076</v>
      </c>
    </row>
    <row r="2845" spans="1:17">
      <c r="A2845" s="656" t="s">
        <v>3701</v>
      </c>
      <c r="B2845" s="657" t="s">
        <v>202</v>
      </c>
      <c r="C2845" s="656" t="s">
        <v>3702</v>
      </c>
      <c r="D2845" s="657" t="s">
        <v>14977</v>
      </c>
      <c r="E2845" s="657"/>
      <c r="F2845" s="656" t="s">
        <v>1300</v>
      </c>
      <c r="G2845" s="656"/>
      <c r="H2845" s="656" t="s">
        <v>1300</v>
      </c>
      <c r="I2845" s="656" t="s">
        <v>14976</v>
      </c>
      <c r="J2845" s="656"/>
      <c r="K2845" s="656"/>
      <c r="L2845" s="656" t="s">
        <v>3701</v>
      </c>
      <c r="M2845" s="657"/>
      <c r="N2845" s="1482"/>
      <c r="O2845" s="656" t="s">
        <v>498</v>
      </c>
      <c r="P2845" s="656" t="s">
        <v>13052</v>
      </c>
      <c r="Q2845" s="656">
        <v>44216.773125</v>
      </c>
    </row>
    <row r="2846" spans="1:17">
      <c r="A2846" s="656" t="s">
        <v>3703</v>
      </c>
      <c r="B2846" s="657" t="s">
        <v>202</v>
      </c>
      <c r="C2846" s="656" t="s">
        <v>3704</v>
      </c>
      <c r="D2846" s="657" t="s">
        <v>14977</v>
      </c>
      <c r="E2846" s="657"/>
      <c r="F2846" s="656" t="s">
        <v>1300</v>
      </c>
      <c r="G2846" s="656"/>
      <c r="H2846" s="656" t="s">
        <v>1300</v>
      </c>
      <c r="I2846" s="656" t="s">
        <v>14976</v>
      </c>
      <c r="J2846" s="656"/>
      <c r="K2846" s="656"/>
      <c r="L2846" s="656" t="s">
        <v>3703</v>
      </c>
      <c r="M2846" s="657"/>
      <c r="N2846" s="1482"/>
      <c r="O2846" s="656" t="s">
        <v>498</v>
      </c>
      <c r="P2846" s="656" t="s">
        <v>13052</v>
      </c>
      <c r="Q2846" s="656">
        <v>44216.773125</v>
      </c>
    </row>
    <row r="2847" spans="1:17">
      <c r="A2847" s="656" t="s">
        <v>3705</v>
      </c>
      <c r="B2847" s="657" t="s">
        <v>202</v>
      </c>
      <c r="C2847" s="656" t="s">
        <v>3706</v>
      </c>
      <c r="D2847" s="657" t="s">
        <v>14977</v>
      </c>
      <c r="E2847" s="657"/>
      <c r="F2847" s="656" t="s">
        <v>1300</v>
      </c>
      <c r="G2847" s="656"/>
      <c r="H2847" s="656" t="s">
        <v>1300</v>
      </c>
      <c r="I2847" s="656" t="s">
        <v>14976</v>
      </c>
      <c r="J2847" s="656"/>
      <c r="K2847" s="656"/>
      <c r="L2847" s="656" t="s">
        <v>3705</v>
      </c>
      <c r="M2847" s="657"/>
      <c r="N2847" s="1482"/>
      <c r="O2847" s="656" t="s">
        <v>498</v>
      </c>
      <c r="P2847" s="656" t="s">
        <v>13052</v>
      </c>
      <c r="Q2847" s="656">
        <v>44216.773113425923</v>
      </c>
    </row>
    <row r="2848" spans="1:17">
      <c r="A2848" s="656" t="s">
        <v>3707</v>
      </c>
      <c r="B2848" s="657" t="s">
        <v>202</v>
      </c>
      <c r="C2848" s="656" t="s">
        <v>3708</v>
      </c>
      <c r="D2848" s="657" t="s">
        <v>14977</v>
      </c>
      <c r="E2848" s="657"/>
      <c r="F2848" s="656" t="s">
        <v>1300</v>
      </c>
      <c r="G2848" s="656"/>
      <c r="H2848" s="656" t="s">
        <v>1300</v>
      </c>
      <c r="I2848" s="656" t="s">
        <v>14976</v>
      </c>
      <c r="J2848" s="656"/>
      <c r="K2848" s="656"/>
      <c r="L2848" s="656" t="s">
        <v>3707</v>
      </c>
      <c r="M2848" s="657"/>
      <c r="N2848" s="1482"/>
      <c r="O2848" s="656" t="s">
        <v>498</v>
      </c>
      <c r="P2848" s="656" t="s">
        <v>13052</v>
      </c>
      <c r="Q2848" s="656">
        <v>44216.773113425923</v>
      </c>
    </row>
    <row r="2849" spans="1:17">
      <c r="A2849" s="656" t="s">
        <v>3709</v>
      </c>
      <c r="B2849" s="657" t="s">
        <v>504</v>
      </c>
      <c r="C2849" s="656" t="s">
        <v>3710</v>
      </c>
      <c r="D2849" s="657"/>
      <c r="E2849" s="657"/>
      <c r="F2849" s="656" t="s">
        <v>505</v>
      </c>
      <c r="G2849" s="656" t="s">
        <v>2769</v>
      </c>
      <c r="H2849" s="656" t="s">
        <v>505</v>
      </c>
      <c r="I2849" s="656"/>
      <c r="J2849" s="656"/>
      <c r="K2849" s="656"/>
      <c r="L2849" s="656"/>
      <c r="M2849" s="657"/>
      <c r="N2849" s="1482"/>
      <c r="O2849" s="656" t="s">
        <v>498</v>
      </c>
      <c r="P2849" s="656" t="s">
        <v>13052</v>
      </c>
      <c r="Q2849" s="656">
        <v>44216.773113425923</v>
      </c>
    </row>
    <row r="2850" spans="1:17">
      <c r="A2850" s="656" t="s">
        <v>3711</v>
      </c>
      <c r="B2850" s="657" t="s">
        <v>504</v>
      </c>
      <c r="C2850" s="656" t="s">
        <v>3712</v>
      </c>
      <c r="D2850" s="657"/>
      <c r="E2850" s="657"/>
      <c r="F2850" s="656" t="s">
        <v>505</v>
      </c>
      <c r="G2850" s="656" t="s">
        <v>2769</v>
      </c>
      <c r="H2850" s="656" t="s">
        <v>505</v>
      </c>
      <c r="I2850" s="656"/>
      <c r="J2850" s="656"/>
      <c r="K2850" s="656"/>
      <c r="L2850" s="656"/>
      <c r="M2850" s="657"/>
      <c r="N2850" s="1482"/>
      <c r="O2850" s="656" t="s">
        <v>498</v>
      </c>
      <c r="P2850" s="656" t="s">
        <v>13052</v>
      </c>
      <c r="Q2850" s="656">
        <v>44216.773101851853</v>
      </c>
    </row>
    <row r="2851" spans="1:17">
      <c r="A2851" s="656" t="s">
        <v>3713</v>
      </c>
      <c r="B2851" s="657" t="s">
        <v>202</v>
      </c>
      <c r="C2851" s="656" t="s">
        <v>3714</v>
      </c>
      <c r="D2851" s="657" t="s">
        <v>14977</v>
      </c>
      <c r="E2851" s="657"/>
      <c r="F2851" s="656" t="s">
        <v>472</v>
      </c>
      <c r="G2851" s="656" t="s">
        <v>541</v>
      </c>
      <c r="H2851" s="656" t="s">
        <v>472</v>
      </c>
      <c r="I2851" s="656" t="s">
        <v>14976</v>
      </c>
      <c r="J2851" s="656" t="s">
        <v>12368</v>
      </c>
      <c r="K2851" s="656"/>
      <c r="L2851" s="656"/>
      <c r="M2851" s="657"/>
      <c r="N2851" s="1482"/>
      <c r="O2851" s="656" t="s">
        <v>498</v>
      </c>
      <c r="P2851" s="656" t="s">
        <v>13052</v>
      </c>
      <c r="Q2851" s="656">
        <v>44216.773101851853</v>
      </c>
    </row>
    <row r="2852" spans="1:17">
      <c r="A2852" s="656" t="s">
        <v>3715</v>
      </c>
      <c r="B2852" s="657" t="s">
        <v>202</v>
      </c>
      <c r="C2852" s="656" t="s">
        <v>3716</v>
      </c>
      <c r="D2852" s="657" t="s">
        <v>14977</v>
      </c>
      <c r="E2852" s="657"/>
      <c r="F2852" s="656" t="s">
        <v>472</v>
      </c>
      <c r="G2852" s="656" t="s">
        <v>541</v>
      </c>
      <c r="H2852" s="656" t="s">
        <v>472</v>
      </c>
      <c r="I2852" s="656" t="s">
        <v>14976</v>
      </c>
      <c r="J2852" s="656" t="s">
        <v>12368</v>
      </c>
      <c r="K2852" s="656"/>
      <c r="L2852" s="656"/>
      <c r="M2852" s="657"/>
      <c r="N2852" s="1482"/>
      <c r="O2852" s="656" t="s">
        <v>498</v>
      </c>
      <c r="P2852" s="656" t="s">
        <v>13052</v>
      </c>
      <c r="Q2852" s="656">
        <v>44216.773090277777</v>
      </c>
    </row>
    <row r="2853" spans="1:17">
      <c r="A2853" s="656" t="s">
        <v>3717</v>
      </c>
      <c r="B2853" s="657" t="s">
        <v>202</v>
      </c>
      <c r="C2853" s="656" t="s">
        <v>3718</v>
      </c>
      <c r="D2853" s="657" t="s">
        <v>14977</v>
      </c>
      <c r="E2853" s="657"/>
      <c r="F2853" s="656" t="s">
        <v>472</v>
      </c>
      <c r="G2853" s="656" t="s">
        <v>541</v>
      </c>
      <c r="H2853" s="656" t="s">
        <v>472</v>
      </c>
      <c r="I2853" s="656" t="s">
        <v>14976</v>
      </c>
      <c r="J2853" s="656" t="s">
        <v>12368</v>
      </c>
      <c r="K2853" s="656"/>
      <c r="L2853" s="656"/>
      <c r="M2853" s="657"/>
      <c r="N2853" s="1482"/>
      <c r="O2853" s="656" t="s">
        <v>498</v>
      </c>
      <c r="P2853" s="656" t="s">
        <v>13052</v>
      </c>
      <c r="Q2853" s="656">
        <v>44216.773090277777</v>
      </c>
    </row>
    <row r="2854" spans="1:17">
      <c r="A2854" s="656" t="s">
        <v>3719</v>
      </c>
      <c r="B2854" s="657" t="s">
        <v>202</v>
      </c>
      <c r="C2854" s="656" t="s">
        <v>3720</v>
      </c>
      <c r="D2854" s="657" t="s">
        <v>14977</v>
      </c>
      <c r="E2854" s="657"/>
      <c r="F2854" s="656" t="s">
        <v>1394</v>
      </c>
      <c r="G2854" s="656"/>
      <c r="H2854" s="656" t="s">
        <v>1394</v>
      </c>
      <c r="I2854" s="656" t="s">
        <v>15280</v>
      </c>
      <c r="J2854" s="656"/>
      <c r="K2854" s="656"/>
      <c r="L2854" s="656" t="s">
        <v>3719</v>
      </c>
      <c r="M2854" s="657"/>
      <c r="N2854" s="1482"/>
      <c r="O2854" s="656" t="s">
        <v>498</v>
      </c>
      <c r="P2854" s="656" t="s">
        <v>13052</v>
      </c>
      <c r="Q2854" s="656">
        <v>44216.773078703707</v>
      </c>
    </row>
    <row r="2855" spans="1:17">
      <c r="A2855" s="656" t="s">
        <v>3721</v>
      </c>
      <c r="B2855" s="657" t="s">
        <v>504</v>
      </c>
      <c r="C2855" s="656" t="s">
        <v>3722</v>
      </c>
      <c r="D2855" s="657"/>
      <c r="E2855" s="657"/>
      <c r="F2855" s="656" t="s">
        <v>505</v>
      </c>
      <c r="G2855" s="656" t="s">
        <v>655</v>
      </c>
      <c r="H2855" s="656" t="s">
        <v>505</v>
      </c>
      <c r="I2855" s="656"/>
      <c r="J2855" s="656"/>
      <c r="K2855" s="656"/>
      <c r="L2855" s="656"/>
      <c r="M2855" s="657"/>
      <c r="N2855" s="1482"/>
      <c r="O2855" s="656" t="s">
        <v>498</v>
      </c>
      <c r="P2855" s="656" t="s">
        <v>13052</v>
      </c>
      <c r="Q2855" s="656">
        <v>44216.773078703707</v>
      </c>
    </row>
    <row r="2856" spans="1:17">
      <c r="A2856" s="656" t="s">
        <v>3723</v>
      </c>
      <c r="B2856" s="657" t="s">
        <v>202</v>
      </c>
      <c r="C2856" s="656" t="s">
        <v>3724</v>
      </c>
      <c r="D2856" s="657" t="s">
        <v>14977</v>
      </c>
      <c r="E2856" s="657"/>
      <c r="F2856" s="656" t="s">
        <v>472</v>
      </c>
      <c r="G2856" s="656" t="s">
        <v>541</v>
      </c>
      <c r="H2856" s="656" t="s">
        <v>472</v>
      </c>
      <c r="I2856" s="656" t="s">
        <v>14976</v>
      </c>
      <c r="J2856" s="656" t="s">
        <v>12368</v>
      </c>
      <c r="K2856" s="656"/>
      <c r="L2856" s="656"/>
      <c r="M2856" s="657"/>
      <c r="N2856" s="1482"/>
      <c r="O2856" s="656" t="s">
        <v>498</v>
      </c>
      <c r="P2856" s="656" t="s">
        <v>13052</v>
      </c>
      <c r="Q2856" s="656">
        <v>44216.77306712963</v>
      </c>
    </row>
    <row r="2857" spans="1:17">
      <c r="A2857" s="656" t="s">
        <v>3725</v>
      </c>
      <c r="B2857" s="657" t="s">
        <v>202</v>
      </c>
      <c r="C2857" s="656" t="s">
        <v>3726</v>
      </c>
      <c r="D2857" s="657" t="s">
        <v>14977</v>
      </c>
      <c r="E2857" s="657"/>
      <c r="F2857" s="656" t="s">
        <v>472</v>
      </c>
      <c r="G2857" s="656" t="s">
        <v>541</v>
      </c>
      <c r="H2857" s="656" t="s">
        <v>472</v>
      </c>
      <c r="I2857" s="656" t="s">
        <v>14976</v>
      </c>
      <c r="J2857" s="656" t="s">
        <v>12368</v>
      </c>
      <c r="K2857" s="656"/>
      <c r="L2857" s="656"/>
      <c r="M2857" s="657"/>
      <c r="N2857" s="1482"/>
      <c r="O2857" s="656" t="s">
        <v>498</v>
      </c>
      <c r="P2857" s="656" t="s">
        <v>13052</v>
      </c>
      <c r="Q2857" s="656">
        <v>44216.77306712963</v>
      </c>
    </row>
    <row r="2858" spans="1:17">
      <c r="A2858" s="656" t="s">
        <v>3727</v>
      </c>
      <c r="B2858" s="657" t="s">
        <v>202</v>
      </c>
      <c r="C2858" s="656" t="s">
        <v>3728</v>
      </c>
      <c r="D2858" s="657" t="s">
        <v>14977</v>
      </c>
      <c r="E2858" s="657"/>
      <c r="F2858" s="656" t="s">
        <v>655</v>
      </c>
      <c r="G2858" s="656"/>
      <c r="H2858" s="656" t="s">
        <v>655</v>
      </c>
      <c r="I2858" s="656" t="s">
        <v>14976</v>
      </c>
      <c r="J2858" s="656"/>
      <c r="K2858" s="656"/>
      <c r="L2858" s="656" t="s">
        <v>3727</v>
      </c>
      <c r="M2858" s="657"/>
      <c r="N2858" s="1482"/>
      <c r="O2858" s="656" t="s">
        <v>498</v>
      </c>
      <c r="P2858" s="656" t="s">
        <v>13052</v>
      </c>
      <c r="Q2858" s="656">
        <v>44216.77306712963</v>
      </c>
    </row>
    <row r="2859" spans="1:17">
      <c r="A2859" s="656" t="s">
        <v>3729</v>
      </c>
      <c r="B2859" s="657" t="s">
        <v>202</v>
      </c>
      <c r="C2859" s="656" t="s">
        <v>3730</v>
      </c>
      <c r="D2859" s="657" t="s">
        <v>1239</v>
      </c>
      <c r="E2859" s="657"/>
      <c r="F2859" s="656" t="s">
        <v>1394</v>
      </c>
      <c r="G2859" s="656" t="s">
        <v>3731</v>
      </c>
      <c r="H2859" s="656" t="s">
        <v>1394</v>
      </c>
      <c r="I2859" s="656" t="s">
        <v>14976</v>
      </c>
      <c r="J2859" s="656"/>
      <c r="K2859" s="656"/>
      <c r="L2859" s="656"/>
      <c r="M2859" s="657"/>
      <c r="N2859" s="1482"/>
      <c r="O2859" s="656" t="s">
        <v>498</v>
      </c>
      <c r="P2859" s="656" t="s">
        <v>13052</v>
      </c>
      <c r="Q2859" s="656">
        <v>44216.773055555554</v>
      </c>
    </row>
    <row r="2860" spans="1:17">
      <c r="A2860" s="656" t="s">
        <v>3732</v>
      </c>
      <c r="B2860" s="657" t="s">
        <v>531</v>
      </c>
      <c r="C2860" s="656" t="s">
        <v>3733</v>
      </c>
      <c r="D2860" s="657" t="s">
        <v>14977</v>
      </c>
      <c r="E2860" s="657"/>
      <c r="F2860" s="656" t="s">
        <v>1949</v>
      </c>
      <c r="G2860" s="656" t="s">
        <v>3731</v>
      </c>
      <c r="H2860" s="656" t="s">
        <v>1949</v>
      </c>
      <c r="I2860" s="656" t="s">
        <v>14976</v>
      </c>
      <c r="J2860" s="656"/>
      <c r="K2860" s="656"/>
      <c r="L2860" s="656" t="s">
        <v>3732</v>
      </c>
      <c r="M2860" s="657"/>
      <c r="N2860" s="1482"/>
      <c r="O2860" s="656" t="s">
        <v>498</v>
      </c>
      <c r="P2860" s="656" t="s">
        <v>13052</v>
      </c>
      <c r="Q2860" s="656">
        <v>44216.773055555554</v>
      </c>
    </row>
    <row r="2861" spans="1:17">
      <c r="A2861" s="656" t="s">
        <v>3734</v>
      </c>
      <c r="B2861" s="657" t="s">
        <v>202</v>
      </c>
      <c r="C2861" s="656" t="s">
        <v>3735</v>
      </c>
      <c r="D2861" s="657" t="s">
        <v>14977</v>
      </c>
      <c r="E2861" s="657"/>
      <c r="F2861" s="656" t="s">
        <v>472</v>
      </c>
      <c r="G2861" s="656" t="s">
        <v>541</v>
      </c>
      <c r="H2861" s="656" t="s">
        <v>472</v>
      </c>
      <c r="I2861" s="656" t="s">
        <v>14976</v>
      </c>
      <c r="J2861" s="656" t="s">
        <v>12368</v>
      </c>
      <c r="K2861" s="656"/>
      <c r="L2861" s="656"/>
      <c r="M2861" s="657"/>
      <c r="N2861" s="1482"/>
      <c r="O2861" s="656" t="s">
        <v>498</v>
      </c>
      <c r="P2861" s="656" t="s">
        <v>13052</v>
      </c>
      <c r="Q2861" s="656">
        <v>44216.773043981484</v>
      </c>
    </row>
    <row r="2862" spans="1:17">
      <c r="A2862" s="656" t="s">
        <v>3736</v>
      </c>
      <c r="B2862" s="657" t="s">
        <v>531</v>
      </c>
      <c r="C2862" s="656" t="s">
        <v>3737</v>
      </c>
      <c r="D2862" s="657" t="s">
        <v>14977</v>
      </c>
      <c r="E2862" s="657" t="s">
        <v>7439</v>
      </c>
      <c r="F2862" s="656" t="s">
        <v>2849</v>
      </c>
      <c r="G2862" s="656" t="s">
        <v>625</v>
      </c>
      <c r="H2862" s="656" t="s">
        <v>1338</v>
      </c>
      <c r="I2862" s="656" t="s">
        <v>14976</v>
      </c>
      <c r="J2862" s="656"/>
      <c r="K2862" s="656"/>
      <c r="L2862" s="656" t="s">
        <v>3736</v>
      </c>
      <c r="M2862" s="657"/>
      <c r="N2862" s="1482"/>
      <c r="O2862" s="656" t="s">
        <v>498</v>
      </c>
      <c r="P2862" s="656" t="s">
        <v>13052</v>
      </c>
      <c r="Q2862" s="656">
        <v>44216.773043981484</v>
      </c>
    </row>
    <row r="2863" spans="1:17">
      <c r="A2863" s="656" t="s">
        <v>3738</v>
      </c>
      <c r="B2863" s="657" t="s">
        <v>202</v>
      </c>
      <c r="C2863" s="656" t="s">
        <v>3739</v>
      </c>
      <c r="D2863" s="657" t="s">
        <v>14977</v>
      </c>
      <c r="E2863" s="657"/>
      <c r="F2863" s="656" t="s">
        <v>1394</v>
      </c>
      <c r="G2863" s="656" t="s">
        <v>625</v>
      </c>
      <c r="H2863" s="656" t="s">
        <v>1394</v>
      </c>
      <c r="I2863" s="656" t="s">
        <v>14976</v>
      </c>
      <c r="J2863" s="656"/>
      <c r="K2863" s="656"/>
      <c r="L2863" s="656" t="s">
        <v>3738</v>
      </c>
      <c r="M2863" s="657"/>
      <c r="N2863" s="1482"/>
      <c r="O2863" s="656" t="s">
        <v>498</v>
      </c>
      <c r="P2863" s="656" t="s">
        <v>13052</v>
      </c>
      <c r="Q2863" s="656">
        <v>44216.773032407407</v>
      </c>
    </row>
    <row r="2864" spans="1:17">
      <c r="A2864" s="656" t="s">
        <v>3740</v>
      </c>
      <c r="B2864" s="657" t="s">
        <v>202</v>
      </c>
      <c r="C2864" s="656" t="s">
        <v>3741</v>
      </c>
      <c r="D2864" s="657" t="s">
        <v>14977</v>
      </c>
      <c r="E2864" s="657"/>
      <c r="F2864" s="656" t="s">
        <v>1394</v>
      </c>
      <c r="G2864" s="656" t="s">
        <v>625</v>
      </c>
      <c r="H2864" s="656" t="s">
        <v>1394</v>
      </c>
      <c r="I2864" s="656" t="s">
        <v>14976</v>
      </c>
      <c r="J2864" s="656"/>
      <c r="K2864" s="656"/>
      <c r="L2864" s="656" t="s">
        <v>3740</v>
      </c>
      <c r="M2864" s="657"/>
      <c r="N2864" s="1482"/>
      <c r="O2864" s="656" t="s">
        <v>498</v>
      </c>
      <c r="P2864" s="656" t="s">
        <v>13052</v>
      </c>
      <c r="Q2864" s="656">
        <v>44216.773032407407</v>
      </c>
    </row>
    <row r="2865" spans="1:17">
      <c r="A2865" s="656" t="s">
        <v>3742</v>
      </c>
      <c r="B2865" s="657" t="s">
        <v>531</v>
      </c>
      <c r="C2865" s="656" t="s">
        <v>3743</v>
      </c>
      <c r="D2865" s="657" t="s">
        <v>14977</v>
      </c>
      <c r="E2865" s="657"/>
      <c r="F2865" s="656" t="s">
        <v>2849</v>
      </c>
      <c r="G2865" s="656"/>
      <c r="H2865" s="656" t="s">
        <v>469</v>
      </c>
      <c r="I2865" s="656" t="s">
        <v>14976</v>
      </c>
      <c r="J2865" s="656" t="s">
        <v>532</v>
      </c>
      <c r="K2865" s="656"/>
      <c r="L2865" s="656" t="s">
        <v>3742</v>
      </c>
      <c r="M2865" s="657"/>
      <c r="N2865" s="1482"/>
      <c r="O2865" s="656" t="s">
        <v>498</v>
      </c>
      <c r="P2865" s="656" t="s">
        <v>13052</v>
      </c>
      <c r="Q2865" s="656">
        <v>44216.773020833331</v>
      </c>
    </row>
    <row r="2866" spans="1:17">
      <c r="A2866" s="656" t="s">
        <v>3744</v>
      </c>
      <c r="B2866" s="657" t="s">
        <v>504</v>
      </c>
      <c r="C2866" s="656" t="s">
        <v>3745</v>
      </c>
      <c r="D2866" s="657" t="s">
        <v>14977</v>
      </c>
      <c r="E2866" s="657"/>
      <c r="F2866" s="656" t="s">
        <v>2849</v>
      </c>
      <c r="G2866" s="656" t="s">
        <v>625</v>
      </c>
      <c r="H2866" s="656" t="s">
        <v>1338</v>
      </c>
      <c r="I2866" s="656"/>
      <c r="J2866" s="656"/>
      <c r="K2866" s="656"/>
      <c r="L2866" s="656"/>
      <c r="M2866" s="657"/>
      <c r="N2866" s="1482"/>
      <c r="O2866" s="656" t="s">
        <v>498</v>
      </c>
      <c r="P2866" s="656" t="s">
        <v>13052</v>
      </c>
      <c r="Q2866" s="656">
        <v>44216.773020833331</v>
      </c>
    </row>
    <row r="2867" spans="1:17">
      <c r="A2867" s="656" t="s">
        <v>3746</v>
      </c>
      <c r="B2867" s="657" t="s">
        <v>202</v>
      </c>
      <c r="C2867" s="656" t="s">
        <v>3747</v>
      </c>
      <c r="D2867" s="657" t="s">
        <v>14977</v>
      </c>
      <c r="E2867" s="657"/>
      <c r="F2867" s="656" t="s">
        <v>1394</v>
      </c>
      <c r="G2867" s="656" t="s">
        <v>625</v>
      </c>
      <c r="H2867" s="656" t="s">
        <v>1394</v>
      </c>
      <c r="I2867" s="656" t="s">
        <v>14976</v>
      </c>
      <c r="J2867" s="656"/>
      <c r="K2867" s="656"/>
      <c r="L2867" s="656" t="s">
        <v>3746</v>
      </c>
      <c r="M2867" s="657"/>
      <c r="N2867" s="1482"/>
      <c r="O2867" s="656" t="s">
        <v>498</v>
      </c>
      <c r="P2867" s="656" t="s">
        <v>13052</v>
      </c>
      <c r="Q2867" s="656">
        <v>44216.773020833331</v>
      </c>
    </row>
    <row r="2868" spans="1:17">
      <c r="A2868" s="656" t="s">
        <v>3748</v>
      </c>
      <c r="B2868" s="657" t="s">
        <v>202</v>
      </c>
      <c r="C2868" s="656" t="s">
        <v>3749</v>
      </c>
      <c r="D2868" s="657" t="s">
        <v>14977</v>
      </c>
      <c r="E2868" s="657"/>
      <c r="F2868" s="656" t="s">
        <v>2849</v>
      </c>
      <c r="G2868" s="656" t="s">
        <v>1394</v>
      </c>
      <c r="H2868" s="656" t="s">
        <v>1338</v>
      </c>
      <c r="I2868" s="656" t="s">
        <v>15280</v>
      </c>
      <c r="J2868" s="656"/>
      <c r="K2868" s="656"/>
      <c r="L2868" s="656" t="s">
        <v>3748</v>
      </c>
      <c r="M2868" s="657"/>
      <c r="N2868" s="1482"/>
      <c r="O2868" s="656" t="s">
        <v>498</v>
      </c>
      <c r="P2868" s="656" t="s">
        <v>13052</v>
      </c>
      <c r="Q2868" s="656">
        <v>44216.773009259261</v>
      </c>
    </row>
    <row r="2869" spans="1:17">
      <c r="A2869" s="656" t="s">
        <v>3750</v>
      </c>
      <c r="B2869" s="657" t="s">
        <v>504</v>
      </c>
      <c r="C2869" s="656" t="s">
        <v>3751</v>
      </c>
      <c r="D2869" s="657"/>
      <c r="E2869" s="657"/>
      <c r="F2869" s="656" t="s">
        <v>505</v>
      </c>
      <c r="G2869" s="656" t="s">
        <v>522</v>
      </c>
      <c r="H2869" s="656" t="s">
        <v>505</v>
      </c>
      <c r="I2869" s="656"/>
      <c r="J2869" s="656"/>
      <c r="K2869" s="656"/>
      <c r="L2869" s="656"/>
      <c r="M2869" s="657"/>
      <c r="N2869" s="1482"/>
      <c r="O2869" s="656" t="s">
        <v>498</v>
      </c>
      <c r="P2869" s="656" t="s">
        <v>13052</v>
      </c>
      <c r="Q2869" s="656">
        <v>44216.773009259261</v>
      </c>
    </row>
    <row r="2870" spans="1:17">
      <c r="A2870" s="656" t="s">
        <v>3752</v>
      </c>
      <c r="B2870" s="657" t="s">
        <v>202</v>
      </c>
      <c r="C2870" s="656" t="s">
        <v>3753</v>
      </c>
      <c r="D2870" s="657" t="s">
        <v>14977</v>
      </c>
      <c r="E2870" s="657"/>
      <c r="F2870" s="656" t="s">
        <v>500</v>
      </c>
      <c r="G2870" s="656" t="s">
        <v>500</v>
      </c>
      <c r="H2870" s="656" t="s">
        <v>500</v>
      </c>
      <c r="I2870" s="656" t="s">
        <v>14976</v>
      </c>
      <c r="J2870" s="656"/>
      <c r="K2870" s="656"/>
      <c r="L2870" s="656" t="s">
        <v>3752</v>
      </c>
      <c r="M2870" s="657"/>
      <c r="N2870" s="1482"/>
      <c r="O2870" s="656" t="s">
        <v>498</v>
      </c>
      <c r="P2870" s="656" t="s">
        <v>13052</v>
      </c>
      <c r="Q2870" s="656">
        <v>44216.772997685184</v>
      </c>
    </row>
    <row r="2871" spans="1:17">
      <c r="A2871" s="656" t="s">
        <v>3754</v>
      </c>
      <c r="B2871" s="657" t="s">
        <v>504</v>
      </c>
      <c r="C2871" s="656" t="s">
        <v>3755</v>
      </c>
      <c r="D2871" s="657" t="s">
        <v>14977</v>
      </c>
      <c r="E2871" s="657"/>
      <c r="F2871" s="656" t="s">
        <v>472</v>
      </c>
      <c r="G2871" s="656" t="s">
        <v>3757</v>
      </c>
      <c r="H2871" s="656" t="s">
        <v>3756</v>
      </c>
      <c r="I2871" s="656"/>
      <c r="J2871" s="656"/>
      <c r="K2871" s="656"/>
      <c r="L2871" s="656"/>
      <c r="M2871" s="657"/>
      <c r="N2871" s="1482"/>
      <c r="O2871" s="656" t="s">
        <v>498</v>
      </c>
      <c r="P2871" s="656" t="s">
        <v>13052</v>
      </c>
      <c r="Q2871" s="656">
        <v>44216.772997685184</v>
      </c>
    </row>
    <row r="2872" spans="1:17">
      <c r="A2872" s="656" t="s">
        <v>3758</v>
      </c>
      <c r="B2872" s="657" t="s">
        <v>202</v>
      </c>
      <c r="C2872" s="656" t="s">
        <v>3759</v>
      </c>
      <c r="D2872" s="657" t="s">
        <v>14977</v>
      </c>
      <c r="E2872" s="657"/>
      <c r="F2872" s="656" t="s">
        <v>500</v>
      </c>
      <c r="G2872" s="656" t="s">
        <v>500</v>
      </c>
      <c r="H2872" s="656" t="s">
        <v>500</v>
      </c>
      <c r="I2872" s="656" t="s">
        <v>15280</v>
      </c>
      <c r="J2872" s="656" t="s">
        <v>15282</v>
      </c>
      <c r="K2872" s="656"/>
      <c r="L2872" s="656" t="s">
        <v>3758</v>
      </c>
      <c r="M2872" s="657"/>
      <c r="N2872" s="1482"/>
      <c r="O2872" s="656" t="s">
        <v>498</v>
      </c>
      <c r="P2872" s="656" t="s">
        <v>13052</v>
      </c>
      <c r="Q2872" s="656">
        <v>44216.772986111115</v>
      </c>
    </row>
    <row r="2873" spans="1:17">
      <c r="A2873" s="656" t="s">
        <v>3760</v>
      </c>
      <c r="B2873" s="657" t="s">
        <v>202</v>
      </c>
      <c r="C2873" s="656" t="s">
        <v>3761</v>
      </c>
      <c r="D2873" s="657" t="s">
        <v>14977</v>
      </c>
      <c r="E2873" s="657"/>
      <c r="F2873" s="656" t="s">
        <v>655</v>
      </c>
      <c r="G2873" s="656" t="s">
        <v>1051</v>
      </c>
      <c r="H2873" s="656" t="s">
        <v>655</v>
      </c>
      <c r="I2873" s="656" t="s">
        <v>14976</v>
      </c>
      <c r="J2873" s="656" t="s">
        <v>15281</v>
      </c>
      <c r="K2873" s="656"/>
      <c r="L2873" s="656" t="s">
        <v>3760</v>
      </c>
      <c r="M2873" s="657"/>
      <c r="N2873" s="1482"/>
      <c r="O2873" s="656" t="s">
        <v>498</v>
      </c>
      <c r="P2873" s="656" t="s">
        <v>13052</v>
      </c>
      <c r="Q2873" s="656">
        <v>44216.772986111115</v>
      </c>
    </row>
    <row r="2874" spans="1:17">
      <c r="A2874" s="656" t="s">
        <v>3762</v>
      </c>
      <c r="B2874" s="657" t="s">
        <v>202</v>
      </c>
      <c r="C2874" s="656" t="s">
        <v>3763</v>
      </c>
      <c r="D2874" s="657" t="s">
        <v>14977</v>
      </c>
      <c r="E2874" s="657"/>
      <c r="F2874" s="656" t="s">
        <v>655</v>
      </c>
      <c r="G2874" s="656"/>
      <c r="H2874" s="656" t="s">
        <v>655</v>
      </c>
      <c r="I2874" s="656" t="s">
        <v>14976</v>
      </c>
      <c r="J2874" s="656"/>
      <c r="K2874" s="656"/>
      <c r="L2874" s="656" t="s">
        <v>3762</v>
      </c>
      <c r="M2874" s="657"/>
      <c r="N2874" s="1482"/>
      <c r="O2874" s="656" t="s">
        <v>498</v>
      </c>
      <c r="P2874" s="656" t="s">
        <v>13052</v>
      </c>
      <c r="Q2874" s="656">
        <v>44216.772974537038</v>
      </c>
    </row>
    <row r="2875" spans="1:17">
      <c r="A2875" s="656" t="s">
        <v>3764</v>
      </c>
      <c r="B2875" s="657" t="s">
        <v>202</v>
      </c>
      <c r="C2875" s="656" t="s">
        <v>3728</v>
      </c>
      <c r="D2875" s="657" t="s">
        <v>14977</v>
      </c>
      <c r="E2875" s="657"/>
      <c r="F2875" s="656" t="s">
        <v>655</v>
      </c>
      <c r="G2875" s="656"/>
      <c r="H2875" s="656" t="s">
        <v>655</v>
      </c>
      <c r="I2875" s="656" t="s">
        <v>15280</v>
      </c>
      <c r="J2875" s="656"/>
      <c r="K2875" s="656"/>
      <c r="L2875" s="656" t="s">
        <v>3764</v>
      </c>
      <c r="M2875" s="657"/>
      <c r="N2875" s="1482"/>
      <c r="O2875" s="656" t="s">
        <v>498</v>
      </c>
      <c r="P2875" s="656" t="s">
        <v>13052</v>
      </c>
      <c r="Q2875" s="656">
        <v>44216.772974537038</v>
      </c>
    </row>
    <row r="2876" spans="1:17">
      <c r="A2876" s="656" t="s">
        <v>3765</v>
      </c>
      <c r="B2876" s="657" t="s">
        <v>202</v>
      </c>
      <c r="C2876" s="656" t="s">
        <v>3766</v>
      </c>
      <c r="D2876" s="657" t="s">
        <v>14977</v>
      </c>
      <c r="E2876" s="657"/>
      <c r="F2876" s="656" t="s">
        <v>500</v>
      </c>
      <c r="G2876" s="656" t="s">
        <v>500</v>
      </c>
      <c r="H2876" s="656" t="s">
        <v>500</v>
      </c>
      <c r="I2876" s="656" t="s">
        <v>15280</v>
      </c>
      <c r="J2876" s="656" t="s">
        <v>15282</v>
      </c>
      <c r="K2876" s="656"/>
      <c r="L2876" s="656" t="s">
        <v>3765</v>
      </c>
      <c r="M2876" s="657"/>
      <c r="N2876" s="1482"/>
      <c r="O2876" s="656" t="s">
        <v>498</v>
      </c>
      <c r="P2876" s="656" t="s">
        <v>13052</v>
      </c>
      <c r="Q2876" s="656">
        <v>44216.772962962961</v>
      </c>
    </row>
    <row r="2877" spans="1:17">
      <c r="A2877" s="656" t="s">
        <v>3767</v>
      </c>
      <c r="B2877" s="657" t="s">
        <v>504</v>
      </c>
      <c r="C2877" s="656" t="s">
        <v>3768</v>
      </c>
      <c r="D2877" s="657"/>
      <c r="E2877" s="657"/>
      <c r="F2877" s="656" t="s">
        <v>505</v>
      </c>
      <c r="G2877" s="656" t="s">
        <v>3769</v>
      </c>
      <c r="H2877" s="656" t="s">
        <v>505</v>
      </c>
      <c r="I2877" s="656"/>
      <c r="J2877" s="656"/>
      <c r="K2877" s="656"/>
      <c r="L2877" s="656"/>
      <c r="M2877" s="657"/>
      <c r="N2877" s="1482"/>
      <c r="O2877" s="656" t="s">
        <v>498</v>
      </c>
      <c r="P2877" s="656" t="s">
        <v>13052</v>
      </c>
      <c r="Q2877" s="656">
        <v>44216.772962962961</v>
      </c>
    </row>
    <row r="2878" spans="1:17">
      <c r="A2878" s="656" t="s">
        <v>3770</v>
      </c>
      <c r="B2878" s="657" t="s">
        <v>504</v>
      </c>
      <c r="C2878" s="656" t="s">
        <v>3771</v>
      </c>
      <c r="D2878" s="657"/>
      <c r="E2878" s="657"/>
      <c r="F2878" s="656" t="s">
        <v>505</v>
      </c>
      <c r="G2878" s="656" t="s">
        <v>1667</v>
      </c>
      <c r="H2878" s="656" t="s">
        <v>505</v>
      </c>
      <c r="I2878" s="656"/>
      <c r="J2878" s="656"/>
      <c r="K2878" s="656"/>
      <c r="L2878" s="656"/>
      <c r="M2878" s="657"/>
      <c r="N2878" s="1482"/>
      <c r="O2878" s="656" t="s">
        <v>498</v>
      </c>
      <c r="P2878" s="656" t="s">
        <v>13052</v>
      </c>
      <c r="Q2878" s="656">
        <v>44216.772951388892</v>
      </c>
    </row>
    <row r="2879" spans="1:17">
      <c r="A2879" s="656" t="s">
        <v>3772</v>
      </c>
      <c r="B2879" s="657" t="s">
        <v>504</v>
      </c>
      <c r="C2879" s="656" t="s">
        <v>3773</v>
      </c>
      <c r="D2879" s="657"/>
      <c r="E2879" s="657"/>
      <c r="F2879" s="656" t="s">
        <v>505</v>
      </c>
      <c r="G2879" s="656" t="s">
        <v>820</v>
      </c>
      <c r="H2879" s="656" t="s">
        <v>505</v>
      </c>
      <c r="I2879" s="656"/>
      <c r="J2879" s="656"/>
      <c r="K2879" s="656"/>
      <c r="L2879" s="656"/>
      <c r="M2879" s="657"/>
      <c r="N2879" s="1482"/>
      <c r="O2879" s="656" t="s">
        <v>498</v>
      </c>
      <c r="P2879" s="656" t="s">
        <v>13052</v>
      </c>
      <c r="Q2879" s="656">
        <v>44216.772951388892</v>
      </c>
    </row>
    <row r="2880" spans="1:17">
      <c r="A2880" s="656" t="s">
        <v>3774</v>
      </c>
      <c r="B2880" s="657" t="s">
        <v>504</v>
      </c>
      <c r="C2880" s="656" t="s">
        <v>3775</v>
      </c>
      <c r="D2880" s="657"/>
      <c r="E2880" s="657"/>
      <c r="F2880" s="656" t="s">
        <v>505</v>
      </c>
      <c r="G2880" s="656" t="s">
        <v>522</v>
      </c>
      <c r="H2880" s="656" t="s">
        <v>505</v>
      </c>
      <c r="I2880" s="656"/>
      <c r="J2880" s="656"/>
      <c r="K2880" s="656"/>
      <c r="L2880" s="656"/>
      <c r="M2880" s="657"/>
      <c r="N2880" s="1482"/>
      <c r="O2880" s="656" t="s">
        <v>498</v>
      </c>
      <c r="P2880" s="656" t="s">
        <v>13052</v>
      </c>
      <c r="Q2880" s="656">
        <v>44216.772939814815</v>
      </c>
    </row>
    <row r="2881" spans="1:17">
      <c r="A2881" s="656" t="s">
        <v>3776</v>
      </c>
      <c r="B2881" s="657" t="s">
        <v>504</v>
      </c>
      <c r="C2881" s="656" t="s">
        <v>3777</v>
      </c>
      <c r="D2881" s="657"/>
      <c r="E2881" s="657"/>
      <c r="F2881" s="656" t="s">
        <v>505</v>
      </c>
      <c r="G2881" s="656" t="s">
        <v>522</v>
      </c>
      <c r="H2881" s="656" t="s">
        <v>505</v>
      </c>
      <c r="I2881" s="656"/>
      <c r="J2881" s="656"/>
      <c r="K2881" s="656"/>
      <c r="L2881" s="656"/>
      <c r="M2881" s="657"/>
      <c r="N2881" s="1482"/>
      <c r="O2881" s="656" t="s">
        <v>498</v>
      </c>
      <c r="P2881" s="656" t="s">
        <v>13052</v>
      </c>
      <c r="Q2881" s="656">
        <v>44216.772939814815</v>
      </c>
    </row>
    <row r="2882" spans="1:17">
      <c r="A2882" s="656" t="s">
        <v>3778</v>
      </c>
      <c r="B2882" s="657" t="s">
        <v>504</v>
      </c>
      <c r="C2882" s="656" t="s">
        <v>3779</v>
      </c>
      <c r="D2882" s="657"/>
      <c r="E2882" s="657"/>
      <c r="F2882" s="656" t="s">
        <v>505</v>
      </c>
      <c r="G2882" s="656" t="s">
        <v>522</v>
      </c>
      <c r="H2882" s="656" t="s">
        <v>505</v>
      </c>
      <c r="I2882" s="656"/>
      <c r="J2882" s="656"/>
      <c r="K2882" s="656"/>
      <c r="L2882" s="656"/>
      <c r="M2882" s="657"/>
      <c r="N2882" s="1482"/>
      <c r="O2882" s="656" t="s">
        <v>498</v>
      </c>
      <c r="P2882" s="656" t="s">
        <v>13052</v>
      </c>
      <c r="Q2882" s="656">
        <v>44216.772928240738</v>
      </c>
    </row>
    <row r="2883" spans="1:17">
      <c r="A2883" s="656" t="s">
        <v>3780</v>
      </c>
      <c r="B2883" s="657"/>
      <c r="C2883" s="656" t="s">
        <v>3781</v>
      </c>
      <c r="D2883" s="657" t="s">
        <v>14977</v>
      </c>
      <c r="E2883" s="657"/>
      <c r="F2883" s="656" t="s">
        <v>1394</v>
      </c>
      <c r="G2883" s="656" t="s">
        <v>1394</v>
      </c>
      <c r="H2883" s="656" t="s">
        <v>1394</v>
      </c>
      <c r="I2883" s="656" t="s">
        <v>14976</v>
      </c>
      <c r="J2883" s="656"/>
      <c r="K2883" s="656"/>
      <c r="L2883" s="656" t="s">
        <v>3780</v>
      </c>
      <c r="M2883" s="657"/>
      <c r="N2883" s="1482"/>
      <c r="O2883" s="656" t="s">
        <v>498</v>
      </c>
      <c r="P2883" s="656" t="s">
        <v>13052</v>
      </c>
      <c r="Q2883" s="656">
        <v>44216.772928240738</v>
      </c>
    </row>
    <row r="2884" spans="1:17">
      <c r="A2884" s="656" t="s">
        <v>3782</v>
      </c>
      <c r="B2884" s="657" t="s">
        <v>202</v>
      </c>
      <c r="C2884" s="656" t="s">
        <v>3783</v>
      </c>
      <c r="D2884" s="657" t="s">
        <v>14977</v>
      </c>
      <c r="E2884" s="657"/>
      <c r="F2884" s="656" t="s">
        <v>472</v>
      </c>
      <c r="G2884" s="656" t="s">
        <v>1395</v>
      </c>
      <c r="H2884" s="656" t="s">
        <v>472</v>
      </c>
      <c r="I2884" s="656" t="s">
        <v>14976</v>
      </c>
      <c r="J2884" s="656" t="s">
        <v>12368</v>
      </c>
      <c r="K2884" s="656"/>
      <c r="L2884" s="656"/>
      <c r="M2884" s="657"/>
      <c r="N2884" s="1482"/>
      <c r="O2884" s="656" t="s">
        <v>498</v>
      </c>
      <c r="P2884" s="656" t="s">
        <v>13052</v>
      </c>
      <c r="Q2884" s="656">
        <v>44216.772916666669</v>
      </c>
    </row>
    <row r="2885" spans="1:17">
      <c r="A2885" s="656" t="s">
        <v>3784</v>
      </c>
      <c r="B2885" s="657" t="s">
        <v>202</v>
      </c>
      <c r="C2885" s="656" t="s">
        <v>3785</v>
      </c>
      <c r="D2885" s="657" t="s">
        <v>14977</v>
      </c>
      <c r="E2885" s="657"/>
      <c r="F2885" s="656" t="s">
        <v>462</v>
      </c>
      <c r="G2885" s="656"/>
      <c r="H2885" s="656" t="s">
        <v>462</v>
      </c>
      <c r="I2885" s="656" t="s">
        <v>14976</v>
      </c>
      <c r="J2885" s="656" t="s">
        <v>463</v>
      </c>
      <c r="K2885" s="656"/>
      <c r="L2885" s="656" t="s">
        <v>3784</v>
      </c>
      <c r="M2885" s="657"/>
      <c r="N2885" s="1482"/>
      <c r="O2885" s="656" t="s">
        <v>498</v>
      </c>
      <c r="P2885" s="656" t="s">
        <v>13052</v>
      </c>
      <c r="Q2885" s="656">
        <v>44216.772916666669</v>
      </c>
    </row>
    <row r="2886" spans="1:17">
      <c r="A2886" s="656" t="s">
        <v>3786</v>
      </c>
      <c r="B2886" s="657" t="s">
        <v>504</v>
      </c>
      <c r="C2886" s="656" t="s">
        <v>3787</v>
      </c>
      <c r="D2886" s="657"/>
      <c r="E2886" s="657"/>
      <c r="F2886" s="656" t="s">
        <v>505</v>
      </c>
      <c r="G2886" s="656"/>
      <c r="H2886" s="656" t="s">
        <v>505</v>
      </c>
      <c r="I2886" s="656"/>
      <c r="J2886" s="656"/>
      <c r="K2886" s="656"/>
      <c r="L2886" s="656"/>
      <c r="M2886" s="657"/>
      <c r="N2886" s="1482"/>
      <c r="O2886" s="656" t="s">
        <v>498</v>
      </c>
      <c r="P2886" s="656" t="s">
        <v>13052</v>
      </c>
      <c r="Q2886" s="656">
        <v>44216.772916666669</v>
      </c>
    </row>
    <row r="2887" spans="1:17">
      <c r="A2887" s="656" t="s">
        <v>3788</v>
      </c>
      <c r="B2887" s="657"/>
      <c r="C2887" s="656" t="s">
        <v>3789</v>
      </c>
      <c r="D2887" s="657" t="s">
        <v>14977</v>
      </c>
      <c r="E2887" s="657"/>
      <c r="F2887" s="656" t="s">
        <v>1394</v>
      </c>
      <c r="G2887" s="656"/>
      <c r="H2887" s="656" t="s">
        <v>1394</v>
      </c>
      <c r="I2887" s="656" t="s">
        <v>15280</v>
      </c>
      <c r="J2887" s="656"/>
      <c r="K2887" s="656"/>
      <c r="L2887" s="656" t="s">
        <v>3788</v>
      </c>
      <c r="M2887" s="657"/>
      <c r="N2887" s="1482"/>
      <c r="O2887" s="656" t="s">
        <v>498</v>
      </c>
      <c r="P2887" s="656" t="s">
        <v>13052</v>
      </c>
      <c r="Q2887" s="656">
        <v>44216.772905092592</v>
      </c>
    </row>
    <row r="2888" spans="1:17">
      <c r="A2888" s="656" t="s">
        <v>3790</v>
      </c>
      <c r="B2888" s="657"/>
      <c r="C2888" s="656" t="s">
        <v>3791</v>
      </c>
      <c r="D2888" s="657" t="s">
        <v>14977</v>
      </c>
      <c r="E2888" s="657"/>
      <c r="F2888" s="656" t="s">
        <v>1394</v>
      </c>
      <c r="G2888" s="656"/>
      <c r="H2888" s="656" t="s">
        <v>1394</v>
      </c>
      <c r="I2888" s="656" t="s">
        <v>14976</v>
      </c>
      <c r="J2888" s="656"/>
      <c r="K2888" s="656"/>
      <c r="L2888" s="656" t="s">
        <v>3790</v>
      </c>
      <c r="M2888" s="657"/>
      <c r="N2888" s="1482"/>
      <c r="O2888" s="656" t="s">
        <v>498</v>
      </c>
      <c r="P2888" s="656" t="s">
        <v>13052</v>
      </c>
      <c r="Q2888" s="656">
        <v>44216.772905092592</v>
      </c>
    </row>
    <row r="2889" spans="1:17">
      <c r="A2889" s="656" t="s">
        <v>3792</v>
      </c>
      <c r="B2889" s="657"/>
      <c r="C2889" s="656" t="s">
        <v>3793</v>
      </c>
      <c r="D2889" s="657" t="s">
        <v>13789</v>
      </c>
      <c r="E2889" s="657"/>
      <c r="F2889" s="656"/>
      <c r="G2889" s="656"/>
      <c r="H2889" s="656"/>
      <c r="I2889" s="656" t="s">
        <v>14976</v>
      </c>
      <c r="J2889" s="656"/>
      <c r="K2889" s="656"/>
      <c r="L2889" s="656"/>
      <c r="M2889" s="657"/>
      <c r="N2889" s="1482"/>
      <c r="O2889" s="656" t="s">
        <v>498</v>
      </c>
      <c r="P2889" s="656" t="s">
        <v>13052</v>
      </c>
      <c r="Q2889" s="656">
        <v>44216.772893518515</v>
      </c>
    </row>
    <row r="2890" spans="1:17">
      <c r="A2890" s="656" t="s">
        <v>3794</v>
      </c>
      <c r="B2890" s="657" t="s">
        <v>202</v>
      </c>
      <c r="C2890" s="656" t="s">
        <v>3795</v>
      </c>
      <c r="D2890" s="657" t="s">
        <v>14977</v>
      </c>
      <c r="E2890" s="657"/>
      <c r="F2890" s="656" t="s">
        <v>1300</v>
      </c>
      <c r="G2890" s="656" t="s">
        <v>1301</v>
      </c>
      <c r="H2890" s="656" t="s">
        <v>1300</v>
      </c>
      <c r="I2890" s="656" t="s">
        <v>14976</v>
      </c>
      <c r="J2890" s="656" t="s">
        <v>15285</v>
      </c>
      <c r="K2890" s="656"/>
      <c r="L2890" s="656" t="s">
        <v>3794</v>
      </c>
      <c r="M2890" s="657"/>
      <c r="N2890" s="1482"/>
      <c r="O2890" s="656" t="s">
        <v>498</v>
      </c>
      <c r="P2890" s="656" t="s">
        <v>13052</v>
      </c>
      <c r="Q2890" s="656">
        <v>44216.772893518515</v>
      </c>
    </row>
    <row r="2891" spans="1:17">
      <c r="A2891" s="656" t="s">
        <v>3797</v>
      </c>
      <c r="B2891" s="657" t="s">
        <v>504</v>
      </c>
      <c r="C2891" s="656" t="s">
        <v>3798</v>
      </c>
      <c r="D2891" s="657"/>
      <c r="E2891" s="657"/>
      <c r="F2891" s="656" t="s">
        <v>505</v>
      </c>
      <c r="G2891" s="656"/>
      <c r="H2891" s="656" t="s">
        <v>505</v>
      </c>
      <c r="I2891" s="656"/>
      <c r="J2891" s="656"/>
      <c r="K2891" s="656"/>
      <c r="L2891" s="656"/>
      <c r="M2891" s="657"/>
      <c r="N2891" s="1482"/>
      <c r="O2891" s="656" t="s">
        <v>498</v>
      </c>
      <c r="P2891" s="656" t="s">
        <v>13052</v>
      </c>
      <c r="Q2891" s="656">
        <v>44216.772881944446</v>
      </c>
    </row>
    <row r="2892" spans="1:17">
      <c r="A2892" s="656" t="s">
        <v>3799</v>
      </c>
      <c r="B2892" s="657" t="s">
        <v>504</v>
      </c>
      <c r="C2892" s="656" t="s">
        <v>3800</v>
      </c>
      <c r="D2892" s="657"/>
      <c r="E2892" s="657"/>
      <c r="F2892" s="656" t="s">
        <v>505</v>
      </c>
      <c r="G2892" s="656"/>
      <c r="H2892" s="656" t="s">
        <v>505</v>
      </c>
      <c r="I2892" s="656"/>
      <c r="J2892" s="656"/>
      <c r="K2892" s="656"/>
      <c r="L2892" s="656"/>
      <c r="M2892" s="657"/>
      <c r="N2892" s="1482"/>
      <c r="O2892" s="656" t="s">
        <v>498</v>
      </c>
      <c r="P2892" s="656" t="s">
        <v>13052</v>
      </c>
      <c r="Q2892" s="656">
        <v>44216.772881944446</v>
      </c>
    </row>
    <row r="2893" spans="1:17">
      <c r="A2893" s="656" t="s">
        <v>3801</v>
      </c>
      <c r="B2893" s="657" t="s">
        <v>504</v>
      </c>
      <c r="C2893" s="656" t="s">
        <v>3802</v>
      </c>
      <c r="D2893" s="657"/>
      <c r="E2893" s="657"/>
      <c r="F2893" s="656" t="s">
        <v>505</v>
      </c>
      <c r="G2893" s="656"/>
      <c r="H2893" s="656" t="s">
        <v>505</v>
      </c>
      <c r="I2893" s="656"/>
      <c r="J2893" s="656"/>
      <c r="K2893" s="656"/>
      <c r="L2893" s="656"/>
      <c r="M2893" s="657"/>
      <c r="N2893" s="1482"/>
      <c r="O2893" s="656" t="s">
        <v>498</v>
      </c>
      <c r="P2893" s="656" t="s">
        <v>13052</v>
      </c>
      <c r="Q2893" s="656">
        <v>44216.772881944446</v>
      </c>
    </row>
    <row r="2894" spans="1:17">
      <c r="A2894" s="656" t="s">
        <v>3803</v>
      </c>
      <c r="B2894" s="657" t="s">
        <v>202</v>
      </c>
      <c r="C2894" s="656" t="s">
        <v>3804</v>
      </c>
      <c r="D2894" s="657" t="s">
        <v>14977</v>
      </c>
      <c r="E2894" s="657"/>
      <c r="F2894" s="656" t="s">
        <v>500</v>
      </c>
      <c r="G2894" s="656" t="s">
        <v>500</v>
      </c>
      <c r="H2894" s="656" t="s">
        <v>500</v>
      </c>
      <c r="I2894" s="656" t="s">
        <v>14976</v>
      </c>
      <c r="J2894" s="656" t="s">
        <v>15282</v>
      </c>
      <c r="K2894" s="656"/>
      <c r="L2894" s="656" t="s">
        <v>3803</v>
      </c>
      <c r="M2894" s="657"/>
      <c r="N2894" s="1482"/>
      <c r="O2894" s="656" t="s">
        <v>498</v>
      </c>
      <c r="P2894" s="656" t="s">
        <v>13052</v>
      </c>
      <c r="Q2894" s="656">
        <v>44216.772870370369</v>
      </c>
    </row>
    <row r="2895" spans="1:17">
      <c r="A2895" s="656" t="s">
        <v>3805</v>
      </c>
      <c r="B2895" s="657" t="s">
        <v>504</v>
      </c>
      <c r="C2895" s="656" t="s">
        <v>3806</v>
      </c>
      <c r="D2895" s="657"/>
      <c r="E2895" s="657"/>
      <c r="F2895" s="656" t="s">
        <v>505</v>
      </c>
      <c r="G2895" s="656"/>
      <c r="H2895" s="656" t="s">
        <v>505</v>
      </c>
      <c r="I2895" s="656"/>
      <c r="J2895" s="656"/>
      <c r="K2895" s="656"/>
      <c r="L2895" s="656"/>
      <c r="M2895" s="657"/>
      <c r="N2895" s="1482"/>
      <c r="O2895" s="656" t="s">
        <v>498</v>
      </c>
      <c r="P2895" s="656" t="s">
        <v>13052</v>
      </c>
      <c r="Q2895" s="656">
        <v>44216.772858796299</v>
      </c>
    </row>
    <row r="2896" spans="1:17">
      <c r="A2896" s="656" t="s">
        <v>3807</v>
      </c>
      <c r="B2896" s="657" t="s">
        <v>202</v>
      </c>
      <c r="C2896" s="656" t="s">
        <v>3808</v>
      </c>
      <c r="D2896" s="657" t="s">
        <v>14977</v>
      </c>
      <c r="E2896" s="657"/>
      <c r="F2896" s="656" t="s">
        <v>1667</v>
      </c>
      <c r="G2896" s="656"/>
      <c r="H2896" s="656" t="s">
        <v>1667</v>
      </c>
      <c r="I2896" s="656" t="s">
        <v>14976</v>
      </c>
      <c r="J2896" s="656"/>
      <c r="K2896" s="656"/>
      <c r="L2896" s="656" t="s">
        <v>3807</v>
      </c>
      <c r="M2896" s="657"/>
      <c r="N2896" s="1482"/>
      <c r="O2896" s="656" t="s">
        <v>498</v>
      </c>
      <c r="P2896" s="656" t="s">
        <v>13052</v>
      </c>
      <c r="Q2896" s="656">
        <v>44216.772858796299</v>
      </c>
    </row>
    <row r="2897" spans="1:17">
      <c r="A2897" s="656" t="s">
        <v>3809</v>
      </c>
      <c r="B2897" s="657"/>
      <c r="C2897" s="656" t="s">
        <v>3793</v>
      </c>
      <c r="D2897" s="657" t="s">
        <v>13789</v>
      </c>
      <c r="E2897" s="657"/>
      <c r="F2897" s="656"/>
      <c r="G2897" s="656"/>
      <c r="H2897" s="656"/>
      <c r="I2897" s="656" t="s">
        <v>14976</v>
      </c>
      <c r="J2897" s="656"/>
      <c r="K2897" s="656"/>
      <c r="L2897" s="656"/>
      <c r="M2897" s="657"/>
      <c r="N2897" s="1482"/>
      <c r="O2897" s="656" t="s">
        <v>498</v>
      </c>
      <c r="P2897" s="656" t="s">
        <v>13052</v>
      </c>
      <c r="Q2897" s="656">
        <v>44216.772847222222</v>
      </c>
    </row>
    <row r="2898" spans="1:17">
      <c r="A2898" s="656" t="s">
        <v>3810</v>
      </c>
      <c r="B2898" s="657" t="s">
        <v>202</v>
      </c>
      <c r="C2898" s="656" t="s">
        <v>3811</v>
      </c>
      <c r="D2898" s="657" t="s">
        <v>14977</v>
      </c>
      <c r="E2898" s="657" t="s">
        <v>7439</v>
      </c>
      <c r="F2898" s="656" t="s">
        <v>500</v>
      </c>
      <c r="G2898" s="656" t="s">
        <v>500</v>
      </c>
      <c r="H2898" s="656" t="s">
        <v>500</v>
      </c>
      <c r="I2898" s="656" t="s">
        <v>14976</v>
      </c>
      <c r="J2898" s="656" t="s">
        <v>15282</v>
      </c>
      <c r="K2898" s="656"/>
      <c r="L2898" s="656" t="s">
        <v>3810</v>
      </c>
      <c r="M2898" s="657"/>
      <c r="N2898" s="1482"/>
      <c r="O2898" s="656" t="s">
        <v>498</v>
      </c>
      <c r="P2898" s="656" t="s">
        <v>13052</v>
      </c>
      <c r="Q2898" s="656">
        <v>44216.772847222222</v>
      </c>
    </row>
    <row r="2899" spans="1:17">
      <c r="A2899" s="656" t="s">
        <v>3812</v>
      </c>
      <c r="B2899" s="657" t="s">
        <v>504</v>
      </c>
      <c r="C2899" s="656" t="s">
        <v>3813</v>
      </c>
      <c r="D2899" s="657"/>
      <c r="E2899" s="657"/>
      <c r="F2899" s="656" t="s">
        <v>505</v>
      </c>
      <c r="G2899" s="656"/>
      <c r="H2899" s="656" t="s">
        <v>505</v>
      </c>
      <c r="I2899" s="656"/>
      <c r="J2899" s="656"/>
      <c r="K2899" s="656"/>
      <c r="L2899" s="656"/>
      <c r="M2899" s="657"/>
      <c r="N2899" s="1482"/>
      <c r="O2899" s="656" t="s">
        <v>498</v>
      </c>
      <c r="P2899" s="656" t="s">
        <v>13052</v>
      </c>
      <c r="Q2899" s="656">
        <v>44216.772835648146</v>
      </c>
    </row>
    <row r="2900" spans="1:17">
      <c r="A2900" s="656" t="s">
        <v>3814</v>
      </c>
      <c r="B2900" s="657" t="s">
        <v>202</v>
      </c>
      <c r="C2900" s="656" t="s">
        <v>3815</v>
      </c>
      <c r="D2900" s="657" t="s">
        <v>14977</v>
      </c>
      <c r="E2900" s="657"/>
      <c r="F2900" s="656" t="s">
        <v>500</v>
      </c>
      <c r="G2900" s="656" t="s">
        <v>500</v>
      </c>
      <c r="H2900" s="656" t="s">
        <v>500</v>
      </c>
      <c r="I2900" s="656" t="s">
        <v>14976</v>
      </c>
      <c r="J2900" s="656" t="s">
        <v>15282</v>
      </c>
      <c r="K2900" s="656"/>
      <c r="L2900" s="656" t="s">
        <v>3814</v>
      </c>
      <c r="M2900" s="657"/>
      <c r="N2900" s="1482"/>
      <c r="O2900" s="656" t="s">
        <v>498</v>
      </c>
      <c r="P2900" s="656" t="s">
        <v>13052</v>
      </c>
      <c r="Q2900" s="656">
        <v>44216.772835648146</v>
      </c>
    </row>
    <row r="2901" spans="1:17">
      <c r="A2901" s="656" t="s">
        <v>3816</v>
      </c>
      <c r="B2901" s="657" t="s">
        <v>504</v>
      </c>
      <c r="C2901" s="656" t="s">
        <v>3793</v>
      </c>
      <c r="D2901" s="657"/>
      <c r="E2901" s="657"/>
      <c r="F2901" s="656" t="s">
        <v>505</v>
      </c>
      <c r="G2901" s="656"/>
      <c r="H2901" s="656" t="s">
        <v>505</v>
      </c>
      <c r="I2901" s="656"/>
      <c r="J2901" s="656"/>
      <c r="K2901" s="656"/>
      <c r="L2901" s="656"/>
      <c r="M2901" s="657"/>
      <c r="N2901" s="1482"/>
      <c r="O2901" s="656" t="s">
        <v>498</v>
      </c>
      <c r="P2901" s="656" t="s">
        <v>13052</v>
      </c>
      <c r="Q2901" s="656">
        <v>44216.772824074076</v>
      </c>
    </row>
    <row r="2902" spans="1:17">
      <c r="A2902" s="656" t="s">
        <v>3817</v>
      </c>
      <c r="B2902" s="657" t="s">
        <v>504</v>
      </c>
      <c r="C2902" s="656" t="s">
        <v>3818</v>
      </c>
      <c r="D2902" s="657"/>
      <c r="E2902" s="657"/>
      <c r="F2902" s="656" t="s">
        <v>505</v>
      </c>
      <c r="G2902" s="656"/>
      <c r="H2902" s="656" t="s">
        <v>505</v>
      </c>
      <c r="I2902" s="656"/>
      <c r="J2902" s="656"/>
      <c r="K2902" s="656"/>
      <c r="L2902" s="656"/>
      <c r="M2902" s="657"/>
      <c r="N2902" s="1482"/>
      <c r="O2902" s="656" t="s">
        <v>498</v>
      </c>
      <c r="P2902" s="656" t="s">
        <v>13052</v>
      </c>
      <c r="Q2902" s="656">
        <v>44216.772812499999</v>
      </c>
    </row>
    <row r="2903" spans="1:17">
      <c r="A2903" s="656" t="s">
        <v>3819</v>
      </c>
      <c r="B2903" s="657" t="s">
        <v>202</v>
      </c>
      <c r="C2903" s="656" t="s">
        <v>3820</v>
      </c>
      <c r="D2903" s="657" t="s">
        <v>14977</v>
      </c>
      <c r="E2903" s="657"/>
      <c r="F2903" s="656" t="s">
        <v>1667</v>
      </c>
      <c r="G2903" s="656" t="s">
        <v>783</v>
      </c>
      <c r="H2903" s="656" t="s">
        <v>1667</v>
      </c>
      <c r="I2903" s="656" t="s">
        <v>15280</v>
      </c>
      <c r="J2903" s="656"/>
      <c r="K2903" s="656"/>
      <c r="L2903" s="656" t="s">
        <v>3819</v>
      </c>
      <c r="M2903" s="657"/>
      <c r="N2903" s="1482"/>
      <c r="O2903" s="656" t="s">
        <v>498</v>
      </c>
      <c r="P2903" s="656" t="s">
        <v>13052</v>
      </c>
      <c r="Q2903" s="656">
        <v>44216.772812499999</v>
      </c>
    </row>
    <row r="2904" spans="1:17">
      <c r="A2904" s="656" t="s">
        <v>3821</v>
      </c>
      <c r="B2904" s="657" t="s">
        <v>504</v>
      </c>
      <c r="C2904" s="656" t="s">
        <v>3822</v>
      </c>
      <c r="D2904" s="657"/>
      <c r="E2904" s="657"/>
      <c r="F2904" s="656" t="s">
        <v>505</v>
      </c>
      <c r="G2904" s="656"/>
      <c r="H2904" s="656" t="s">
        <v>505</v>
      </c>
      <c r="I2904" s="656"/>
      <c r="J2904" s="656"/>
      <c r="K2904" s="656"/>
      <c r="L2904" s="656"/>
      <c r="M2904" s="657"/>
      <c r="N2904" s="1482"/>
      <c r="O2904" s="656" t="s">
        <v>498</v>
      </c>
      <c r="P2904" s="656" t="s">
        <v>13052</v>
      </c>
      <c r="Q2904" s="656">
        <v>44216.772800925923</v>
      </c>
    </row>
    <row r="2905" spans="1:17">
      <c r="A2905" s="656" t="s">
        <v>3823</v>
      </c>
      <c r="B2905" s="657" t="s">
        <v>202</v>
      </c>
      <c r="C2905" s="656" t="s">
        <v>3824</v>
      </c>
      <c r="D2905" s="657" t="s">
        <v>14977</v>
      </c>
      <c r="E2905" s="657"/>
      <c r="F2905" s="656" t="s">
        <v>655</v>
      </c>
      <c r="G2905" s="656"/>
      <c r="H2905" s="656" t="s">
        <v>655</v>
      </c>
      <c r="I2905" s="656" t="s">
        <v>15280</v>
      </c>
      <c r="J2905" s="656" t="s">
        <v>15281</v>
      </c>
      <c r="K2905" s="656"/>
      <c r="L2905" s="656" t="s">
        <v>3823</v>
      </c>
      <c r="M2905" s="657"/>
      <c r="N2905" s="1482"/>
      <c r="O2905" s="656" t="s">
        <v>498</v>
      </c>
      <c r="P2905" s="656" t="s">
        <v>13052</v>
      </c>
      <c r="Q2905" s="656">
        <v>44216.772800925923</v>
      </c>
    </row>
    <row r="2906" spans="1:17">
      <c r="A2906" s="656" t="s">
        <v>3825</v>
      </c>
      <c r="B2906" s="657" t="s">
        <v>504</v>
      </c>
      <c r="C2906" s="656" t="s">
        <v>3826</v>
      </c>
      <c r="D2906" s="657"/>
      <c r="E2906" s="657"/>
      <c r="F2906" s="656" t="s">
        <v>505</v>
      </c>
      <c r="G2906" s="656"/>
      <c r="H2906" s="656" t="s">
        <v>505</v>
      </c>
      <c r="I2906" s="656"/>
      <c r="J2906" s="656"/>
      <c r="K2906" s="656"/>
      <c r="L2906" s="656"/>
      <c r="M2906" s="657"/>
      <c r="N2906" s="1482"/>
      <c r="O2906" s="656" t="s">
        <v>498</v>
      </c>
      <c r="P2906" s="656" t="s">
        <v>13052</v>
      </c>
      <c r="Q2906" s="656">
        <v>44216.772789351853</v>
      </c>
    </row>
    <row r="2907" spans="1:17">
      <c r="A2907" s="656" t="s">
        <v>3827</v>
      </c>
      <c r="B2907" s="657" t="s">
        <v>202</v>
      </c>
      <c r="C2907" s="656" t="s">
        <v>3828</v>
      </c>
      <c r="D2907" s="657" t="s">
        <v>14977</v>
      </c>
      <c r="E2907" s="657"/>
      <c r="F2907" s="656" t="s">
        <v>655</v>
      </c>
      <c r="G2907" s="656"/>
      <c r="H2907" s="656" t="s">
        <v>655</v>
      </c>
      <c r="I2907" s="656" t="s">
        <v>15280</v>
      </c>
      <c r="J2907" s="656" t="s">
        <v>15281</v>
      </c>
      <c r="K2907" s="656"/>
      <c r="L2907" s="656" t="s">
        <v>3827</v>
      </c>
      <c r="M2907" s="657"/>
      <c r="N2907" s="1482"/>
      <c r="O2907" s="656" t="s">
        <v>498</v>
      </c>
      <c r="P2907" s="656" t="s">
        <v>13052</v>
      </c>
      <c r="Q2907" s="656">
        <v>44216.772789351853</v>
      </c>
    </row>
    <row r="2908" spans="1:17">
      <c r="A2908" s="656" t="s">
        <v>3829</v>
      </c>
      <c r="B2908" s="657" t="s">
        <v>504</v>
      </c>
      <c r="C2908" s="656" t="s">
        <v>3830</v>
      </c>
      <c r="D2908" s="657"/>
      <c r="E2908" s="657"/>
      <c r="F2908" s="656" t="s">
        <v>505</v>
      </c>
      <c r="G2908" s="656"/>
      <c r="H2908" s="656" t="s">
        <v>505</v>
      </c>
      <c r="I2908" s="656"/>
      <c r="J2908" s="656"/>
      <c r="K2908" s="656"/>
      <c r="L2908" s="656"/>
      <c r="M2908" s="657"/>
      <c r="N2908" s="1482"/>
      <c r="O2908" s="656" t="s">
        <v>498</v>
      </c>
      <c r="P2908" s="656" t="s">
        <v>13052</v>
      </c>
      <c r="Q2908" s="656">
        <v>44216.772777777776</v>
      </c>
    </row>
    <row r="2909" spans="1:17">
      <c r="A2909" s="656" t="s">
        <v>3831</v>
      </c>
      <c r="B2909" s="657" t="s">
        <v>504</v>
      </c>
      <c r="C2909" s="656" t="s">
        <v>3832</v>
      </c>
      <c r="D2909" s="657"/>
      <c r="E2909" s="657"/>
      <c r="F2909" s="656" t="s">
        <v>505</v>
      </c>
      <c r="G2909" s="656"/>
      <c r="H2909" s="656" t="s">
        <v>505</v>
      </c>
      <c r="I2909" s="656"/>
      <c r="J2909" s="656"/>
      <c r="K2909" s="656"/>
      <c r="L2909" s="656"/>
      <c r="M2909" s="657"/>
      <c r="N2909" s="1482"/>
      <c r="O2909" s="656" t="s">
        <v>498</v>
      </c>
      <c r="P2909" s="656" t="s">
        <v>13052</v>
      </c>
      <c r="Q2909" s="656">
        <v>44216.772777777776</v>
      </c>
    </row>
    <row r="2910" spans="1:17">
      <c r="A2910" s="656" t="s">
        <v>3833</v>
      </c>
      <c r="B2910" s="657" t="s">
        <v>504</v>
      </c>
      <c r="C2910" s="656" t="s">
        <v>3793</v>
      </c>
      <c r="D2910" s="657"/>
      <c r="E2910" s="657"/>
      <c r="F2910" s="656" t="s">
        <v>505</v>
      </c>
      <c r="G2910" s="656"/>
      <c r="H2910" s="656" t="s">
        <v>505</v>
      </c>
      <c r="I2910" s="656"/>
      <c r="J2910" s="656"/>
      <c r="K2910" s="656"/>
      <c r="L2910" s="656"/>
      <c r="M2910" s="657"/>
      <c r="N2910" s="1482"/>
      <c r="O2910" s="656" t="s">
        <v>498</v>
      </c>
      <c r="P2910" s="656" t="s">
        <v>13052</v>
      </c>
      <c r="Q2910" s="656">
        <v>44216.772766203707</v>
      </c>
    </row>
    <row r="2911" spans="1:17">
      <c r="A2911" s="656" t="s">
        <v>3834</v>
      </c>
      <c r="B2911" s="657" t="s">
        <v>504</v>
      </c>
      <c r="C2911" s="656" t="s">
        <v>3793</v>
      </c>
      <c r="D2911" s="657"/>
      <c r="E2911" s="657"/>
      <c r="F2911" s="656" t="s">
        <v>505</v>
      </c>
      <c r="G2911" s="656"/>
      <c r="H2911" s="656" t="s">
        <v>505</v>
      </c>
      <c r="I2911" s="656"/>
      <c r="J2911" s="656"/>
      <c r="K2911" s="656"/>
      <c r="L2911" s="656"/>
      <c r="M2911" s="657"/>
      <c r="N2911" s="1482"/>
      <c r="O2911" s="656" t="s">
        <v>498</v>
      </c>
      <c r="P2911" s="656" t="s">
        <v>13052</v>
      </c>
      <c r="Q2911" s="656">
        <v>44216.772766203707</v>
      </c>
    </row>
    <row r="2912" spans="1:17">
      <c r="A2912" s="656" t="s">
        <v>3835</v>
      </c>
      <c r="B2912" s="657" t="s">
        <v>202</v>
      </c>
      <c r="C2912" s="656" t="s">
        <v>3836</v>
      </c>
      <c r="D2912" s="657" t="s">
        <v>14977</v>
      </c>
      <c r="E2912" s="657"/>
      <c r="F2912" s="656" t="s">
        <v>2849</v>
      </c>
      <c r="G2912" s="656" t="s">
        <v>3837</v>
      </c>
      <c r="H2912" s="656" t="s">
        <v>1338</v>
      </c>
      <c r="I2912" s="656" t="s">
        <v>14976</v>
      </c>
      <c r="J2912" s="656"/>
      <c r="K2912" s="656"/>
      <c r="L2912" s="656" t="s">
        <v>3835</v>
      </c>
      <c r="M2912" s="657"/>
      <c r="N2912" s="1482"/>
      <c r="O2912" s="656" t="s">
        <v>498</v>
      </c>
      <c r="P2912" s="656" t="s">
        <v>13052</v>
      </c>
      <c r="Q2912" s="656">
        <v>44216.77275462963</v>
      </c>
    </row>
    <row r="2913" spans="1:17">
      <c r="A2913" s="656" t="s">
        <v>3838</v>
      </c>
      <c r="B2913" s="657" t="s">
        <v>202</v>
      </c>
      <c r="C2913" s="656" t="s">
        <v>3839</v>
      </c>
      <c r="D2913" s="657" t="s">
        <v>14977</v>
      </c>
      <c r="E2913" s="657"/>
      <c r="F2913" s="656" t="s">
        <v>500</v>
      </c>
      <c r="G2913" s="656"/>
      <c r="H2913" s="656" t="s">
        <v>500</v>
      </c>
      <c r="I2913" s="656" t="s">
        <v>15280</v>
      </c>
      <c r="J2913" s="656"/>
      <c r="K2913" s="656"/>
      <c r="L2913" s="656" t="s">
        <v>3838</v>
      </c>
      <c r="M2913" s="657"/>
      <c r="N2913" s="1482"/>
      <c r="O2913" s="656" t="s">
        <v>498</v>
      </c>
      <c r="P2913" s="656" t="s">
        <v>13052</v>
      </c>
      <c r="Q2913" s="656">
        <v>44216.77275462963</v>
      </c>
    </row>
    <row r="2914" spans="1:17">
      <c r="A2914" s="656" t="s">
        <v>3840</v>
      </c>
      <c r="B2914" s="657" t="s">
        <v>202</v>
      </c>
      <c r="C2914" s="656" t="s">
        <v>3841</v>
      </c>
      <c r="D2914" s="657" t="s">
        <v>14977</v>
      </c>
      <c r="E2914" s="657"/>
      <c r="F2914" s="656" t="s">
        <v>1300</v>
      </c>
      <c r="G2914" s="656"/>
      <c r="H2914" s="656" t="s">
        <v>1300</v>
      </c>
      <c r="I2914" s="656" t="s">
        <v>15280</v>
      </c>
      <c r="J2914" s="656"/>
      <c r="K2914" s="656"/>
      <c r="L2914" s="656" t="s">
        <v>3840</v>
      </c>
      <c r="M2914" s="657"/>
      <c r="N2914" s="1482"/>
      <c r="O2914" s="656" t="s">
        <v>498</v>
      </c>
      <c r="P2914" s="656" t="s">
        <v>13052</v>
      </c>
      <c r="Q2914" s="656">
        <v>44216.772743055553</v>
      </c>
    </row>
    <row r="2915" spans="1:17">
      <c r="A2915" s="656" t="s">
        <v>3842</v>
      </c>
      <c r="B2915" s="657" t="s">
        <v>202</v>
      </c>
      <c r="C2915" s="656" t="s">
        <v>3843</v>
      </c>
      <c r="D2915" s="657" t="s">
        <v>14977</v>
      </c>
      <c r="E2915" s="657"/>
      <c r="F2915" s="656" t="s">
        <v>1300</v>
      </c>
      <c r="G2915" s="656" t="s">
        <v>1301</v>
      </c>
      <c r="H2915" s="656" t="s">
        <v>1300</v>
      </c>
      <c r="I2915" s="656" t="s">
        <v>14976</v>
      </c>
      <c r="J2915" s="656" t="s">
        <v>15285</v>
      </c>
      <c r="K2915" s="656"/>
      <c r="L2915" s="656" t="s">
        <v>3842</v>
      </c>
      <c r="M2915" s="657"/>
      <c r="N2915" s="1482"/>
      <c r="O2915" s="656" t="s">
        <v>498</v>
      </c>
      <c r="P2915" s="656" t="s">
        <v>13052</v>
      </c>
      <c r="Q2915" s="656">
        <v>44216.772743055553</v>
      </c>
    </row>
    <row r="2916" spans="1:17">
      <c r="A2916" s="656" t="s">
        <v>3844</v>
      </c>
      <c r="B2916" s="657" t="s">
        <v>504</v>
      </c>
      <c r="C2916" s="656" t="s">
        <v>3845</v>
      </c>
      <c r="D2916" s="657"/>
      <c r="E2916" s="657"/>
      <c r="F2916" s="656" t="s">
        <v>505</v>
      </c>
      <c r="G2916" s="656"/>
      <c r="H2916" s="656" t="s">
        <v>505</v>
      </c>
      <c r="I2916" s="656"/>
      <c r="J2916" s="656"/>
      <c r="K2916" s="656"/>
      <c r="L2916" s="656"/>
      <c r="M2916" s="657"/>
      <c r="N2916" s="1482"/>
      <c r="O2916" s="656" t="s">
        <v>498</v>
      </c>
      <c r="P2916" s="656" t="s">
        <v>13052</v>
      </c>
      <c r="Q2916" s="656">
        <v>44216.772731481484</v>
      </c>
    </row>
    <row r="2917" spans="1:17">
      <c r="A2917" s="656" t="s">
        <v>3846</v>
      </c>
      <c r="B2917" s="657" t="s">
        <v>504</v>
      </c>
      <c r="C2917" s="656" t="s">
        <v>3847</v>
      </c>
      <c r="D2917" s="657"/>
      <c r="E2917" s="657"/>
      <c r="F2917" s="656" t="s">
        <v>505</v>
      </c>
      <c r="G2917" s="656"/>
      <c r="H2917" s="656" t="s">
        <v>505</v>
      </c>
      <c r="I2917" s="656"/>
      <c r="J2917" s="656"/>
      <c r="K2917" s="656"/>
      <c r="L2917" s="656"/>
      <c r="M2917" s="657"/>
      <c r="N2917" s="1482"/>
      <c r="O2917" s="656" t="s">
        <v>498</v>
      </c>
      <c r="P2917" s="656" t="s">
        <v>13052</v>
      </c>
      <c r="Q2917" s="656">
        <v>44216.772731481484</v>
      </c>
    </row>
    <row r="2918" spans="1:17">
      <c r="A2918" s="656" t="s">
        <v>3848</v>
      </c>
      <c r="B2918" s="657" t="s">
        <v>504</v>
      </c>
      <c r="C2918" s="656" t="s">
        <v>3669</v>
      </c>
      <c r="D2918" s="657"/>
      <c r="E2918" s="657"/>
      <c r="F2918" s="656" t="s">
        <v>505</v>
      </c>
      <c r="G2918" s="656"/>
      <c r="H2918" s="656" t="s">
        <v>505</v>
      </c>
      <c r="I2918" s="656"/>
      <c r="J2918" s="656"/>
      <c r="K2918" s="656"/>
      <c r="L2918" s="656"/>
      <c r="M2918" s="657"/>
      <c r="N2918" s="1482"/>
      <c r="O2918" s="656" t="s">
        <v>498</v>
      </c>
      <c r="P2918" s="656" t="s">
        <v>13052</v>
      </c>
      <c r="Q2918" s="656">
        <v>44216.772719907407</v>
      </c>
    </row>
    <row r="2919" spans="1:17">
      <c r="A2919" s="656" t="s">
        <v>3849</v>
      </c>
      <c r="B2919" s="657" t="s">
        <v>504</v>
      </c>
      <c r="C2919" s="656" t="s">
        <v>3850</v>
      </c>
      <c r="D2919" s="657"/>
      <c r="E2919" s="657"/>
      <c r="F2919" s="656" t="s">
        <v>505</v>
      </c>
      <c r="G2919" s="656"/>
      <c r="H2919" s="656" t="s">
        <v>505</v>
      </c>
      <c r="I2919" s="656"/>
      <c r="J2919" s="656"/>
      <c r="K2919" s="656"/>
      <c r="L2919" s="656"/>
      <c r="M2919" s="657"/>
      <c r="N2919" s="1482"/>
      <c r="O2919" s="656" t="s">
        <v>498</v>
      </c>
      <c r="P2919" s="656" t="s">
        <v>13052</v>
      </c>
      <c r="Q2919" s="656">
        <v>44216.772719907407</v>
      </c>
    </row>
    <row r="2920" spans="1:17">
      <c r="A2920" s="656" t="s">
        <v>3851</v>
      </c>
      <c r="B2920" s="657" t="s">
        <v>504</v>
      </c>
      <c r="C2920" s="656" t="s">
        <v>3852</v>
      </c>
      <c r="D2920" s="657"/>
      <c r="E2920" s="657"/>
      <c r="F2920" s="656" t="s">
        <v>505</v>
      </c>
      <c r="G2920" s="656"/>
      <c r="H2920" s="656" t="s">
        <v>505</v>
      </c>
      <c r="I2920" s="656"/>
      <c r="J2920" s="656"/>
      <c r="K2920" s="656"/>
      <c r="L2920" s="656"/>
      <c r="M2920" s="657"/>
      <c r="N2920" s="1482"/>
      <c r="O2920" s="656" t="s">
        <v>498</v>
      </c>
      <c r="P2920" s="656" t="s">
        <v>13052</v>
      </c>
      <c r="Q2920" s="656">
        <v>44216.77270833333</v>
      </c>
    </row>
    <row r="2921" spans="1:17">
      <c r="A2921" s="656" t="s">
        <v>3853</v>
      </c>
      <c r="B2921" s="657" t="s">
        <v>504</v>
      </c>
      <c r="C2921" s="656" t="s">
        <v>3854</v>
      </c>
      <c r="D2921" s="657"/>
      <c r="E2921" s="657"/>
      <c r="F2921" s="656" t="s">
        <v>505</v>
      </c>
      <c r="G2921" s="656"/>
      <c r="H2921" s="656" t="s">
        <v>505</v>
      </c>
      <c r="I2921" s="656"/>
      <c r="J2921" s="656"/>
      <c r="K2921" s="656"/>
      <c r="L2921" s="656"/>
      <c r="M2921" s="657"/>
      <c r="N2921" s="1482"/>
      <c r="O2921" s="656" t="s">
        <v>498</v>
      </c>
      <c r="P2921" s="656" t="s">
        <v>13052</v>
      </c>
      <c r="Q2921" s="656">
        <v>44216.77270833333</v>
      </c>
    </row>
    <row r="2922" spans="1:17">
      <c r="A2922" s="656" t="s">
        <v>3855</v>
      </c>
      <c r="B2922" s="657" t="s">
        <v>504</v>
      </c>
      <c r="C2922" s="656" t="s">
        <v>3856</v>
      </c>
      <c r="D2922" s="657"/>
      <c r="E2922" s="657"/>
      <c r="F2922" s="656" t="s">
        <v>505</v>
      </c>
      <c r="G2922" s="656" t="s">
        <v>3335</v>
      </c>
      <c r="H2922" s="656" t="s">
        <v>505</v>
      </c>
      <c r="I2922" s="656"/>
      <c r="J2922" s="656"/>
      <c r="K2922" s="656"/>
      <c r="L2922" s="656"/>
      <c r="M2922" s="657"/>
      <c r="N2922" s="1482"/>
      <c r="O2922" s="656" t="s">
        <v>498</v>
      </c>
      <c r="P2922" s="656" t="s">
        <v>13052</v>
      </c>
      <c r="Q2922" s="656">
        <v>44216.772696759261</v>
      </c>
    </row>
    <row r="2923" spans="1:17">
      <c r="A2923" s="656" t="s">
        <v>3857</v>
      </c>
      <c r="B2923" s="657" t="s">
        <v>504</v>
      </c>
      <c r="C2923" s="656" t="s">
        <v>3858</v>
      </c>
      <c r="D2923" s="657"/>
      <c r="E2923" s="657"/>
      <c r="F2923" s="656" t="s">
        <v>505</v>
      </c>
      <c r="G2923" s="656"/>
      <c r="H2923" s="656" t="s">
        <v>505</v>
      </c>
      <c r="I2923" s="656"/>
      <c r="J2923" s="656"/>
      <c r="K2923" s="656"/>
      <c r="L2923" s="656"/>
      <c r="M2923" s="657"/>
      <c r="N2923" s="1482"/>
      <c r="O2923" s="656" t="s">
        <v>498</v>
      </c>
      <c r="P2923" s="656" t="s">
        <v>13052</v>
      </c>
      <c r="Q2923" s="656">
        <v>44216.772685185184</v>
      </c>
    </row>
    <row r="2924" spans="1:17">
      <c r="A2924" s="656" t="s">
        <v>3859</v>
      </c>
      <c r="B2924" s="657" t="s">
        <v>202</v>
      </c>
      <c r="C2924" s="656" t="s">
        <v>3860</v>
      </c>
      <c r="D2924" s="657" t="s">
        <v>14977</v>
      </c>
      <c r="E2924" s="657"/>
      <c r="F2924" s="656" t="s">
        <v>472</v>
      </c>
      <c r="G2924" s="656" t="s">
        <v>1395</v>
      </c>
      <c r="H2924" s="656" t="s">
        <v>472</v>
      </c>
      <c r="I2924" s="656" t="s">
        <v>15280</v>
      </c>
      <c r="J2924" s="656" t="s">
        <v>12368</v>
      </c>
      <c r="K2924" s="656"/>
      <c r="L2924" s="656"/>
      <c r="M2924" s="657"/>
      <c r="N2924" s="1482"/>
      <c r="O2924" s="656" t="s">
        <v>498</v>
      </c>
      <c r="P2924" s="656" t="s">
        <v>13052</v>
      </c>
      <c r="Q2924" s="656">
        <v>44216.772673611114</v>
      </c>
    </row>
    <row r="2925" spans="1:17">
      <c r="A2925" s="656" t="s">
        <v>3861</v>
      </c>
      <c r="B2925" s="657" t="s">
        <v>202</v>
      </c>
      <c r="C2925" s="656" t="s">
        <v>3862</v>
      </c>
      <c r="D2925" s="657" t="s">
        <v>14977</v>
      </c>
      <c r="E2925" s="657"/>
      <c r="F2925" s="656" t="s">
        <v>472</v>
      </c>
      <c r="G2925" s="656" t="s">
        <v>1395</v>
      </c>
      <c r="H2925" s="656" t="s">
        <v>472</v>
      </c>
      <c r="I2925" s="656" t="s">
        <v>15280</v>
      </c>
      <c r="J2925" s="656" t="s">
        <v>12368</v>
      </c>
      <c r="K2925" s="656"/>
      <c r="L2925" s="656"/>
      <c r="M2925" s="657"/>
      <c r="N2925" s="1482"/>
      <c r="O2925" s="656" t="s">
        <v>498</v>
      </c>
      <c r="P2925" s="656" t="s">
        <v>13052</v>
      </c>
      <c r="Q2925" s="656">
        <v>44216.772685185184</v>
      </c>
    </row>
    <row r="2926" spans="1:17">
      <c r="A2926" s="656" t="s">
        <v>3863</v>
      </c>
      <c r="B2926" s="657" t="s">
        <v>202</v>
      </c>
      <c r="C2926" s="656" t="s">
        <v>3864</v>
      </c>
      <c r="D2926" s="657" t="s">
        <v>14977</v>
      </c>
      <c r="E2926" s="657"/>
      <c r="F2926" s="656" t="s">
        <v>472</v>
      </c>
      <c r="G2926" s="656" t="s">
        <v>1395</v>
      </c>
      <c r="H2926" s="656" t="s">
        <v>472</v>
      </c>
      <c r="I2926" s="656" t="s">
        <v>14976</v>
      </c>
      <c r="J2926" s="656" t="s">
        <v>12368</v>
      </c>
      <c r="K2926" s="656"/>
      <c r="L2926" s="656"/>
      <c r="M2926" s="657"/>
      <c r="N2926" s="1482"/>
      <c r="O2926" s="656" t="s">
        <v>498</v>
      </c>
      <c r="P2926" s="656" t="s">
        <v>13052</v>
      </c>
      <c r="Q2926" s="656">
        <v>44216.772662037038</v>
      </c>
    </row>
    <row r="2927" spans="1:17">
      <c r="A2927" s="656" t="s">
        <v>3865</v>
      </c>
      <c r="B2927" s="657" t="s">
        <v>202</v>
      </c>
      <c r="C2927" s="656" t="s">
        <v>3866</v>
      </c>
      <c r="D2927" s="657" t="s">
        <v>14977</v>
      </c>
      <c r="E2927" s="657"/>
      <c r="F2927" s="656" t="s">
        <v>472</v>
      </c>
      <c r="G2927" s="656" t="s">
        <v>1395</v>
      </c>
      <c r="H2927" s="656" t="s">
        <v>472</v>
      </c>
      <c r="I2927" s="656" t="s">
        <v>14976</v>
      </c>
      <c r="J2927" s="656" t="s">
        <v>12368</v>
      </c>
      <c r="K2927" s="656"/>
      <c r="L2927" s="656"/>
      <c r="M2927" s="657"/>
      <c r="N2927" s="1482"/>
      <c r="O2927" s="656" t="s">
        <v>498</v>
      </c>
      <c r="P2927" s="656" t="s">
        <v>13052</v>
      </c>
      <c r="Q2927" s="656">
        <v>44216.772662037038</v>
      </c>
    </row>
    <row r="2928" spans="1:17">
      <c r="A2928" s="656" t="s">
        <v>3867</v>
      </c>
      <c r="B2928" s="657" t="s">
        <v>504</v>
      </c>
      <c r="C2928" s="656" t="s">
        <v>3868</v>
      </c>
      <c r="D2928" s="657"/>
      <c r="E2928" s="657"/>
      <c r="F2928" s="656" t="s">
        <v>505</v>
      </c>
      <c r="G2928" s="656"/>
      <c r="H2928" s="656" t="s">
        <v>505</v>
      </c>
      <c r="I2928" s="656"/>
      <c r="J2928" s="656"/>
      <c r="K2928" s="656"/>
      <c r="L2928" s="656"/>
      <c r="M2928" s="657"/>
      <c r="N2928" s="1482"/>
      <c r="O2928" s="656" t="s">
        <v>498</v>
      </c>
      <c r="P2928" s="656" t="s">
        <v>13052</v>
      </c>
      <c r="Q2928" s="656">
        <v>44216.772650462961</v>
      </c>
    </row>
    <row r="2929" spans="1:17">
      <c r="A2929" s="656" t="s">
        <v>3869</v>
      </c>
      <c r="B2929" s="657" t="s">
        <v>504</v>
      </c>
      <c r="C2929" s="656" t="s">
        <v>3870</v>
      </c>
      <c r="D2929" s="657"/>
      <c r="E2929" s="657"/>
      <c r="F2929" s="656" t="s">
        <v>505</v>
      </c>
      <c r="G2929" s="656"/>
      <c r="H2929" s="656" t="s">
        <v>505</v>
      </c>
      <c r="I2929" s="656"/>
      <c r="J2929" s="656"/>
      <c r="K2929" s="656"/>
      <c r="L2929" s="656"/>
      <c r="M2929" s="657"/>
      <c r="N2929" s="1482"/>
      <c r="O2929" s="656" t="s">
        <v>498</v>
      </c>
      <c r="P2929" s="656" t="s">
        <v>13052</v>
      </c>
      <c r="Q2929" s="656">
        <v>44216.772650462961</v>
      </c>
    </row>
    <row r="2930" spans="1:17">
      <c r="A2930" s="656" t="s">
        <v>3871</v>
      </c>
      <c r="B2930" s="657" t="s">
        <v>504</v>
      </c>
      <c r="C2930" s="656" t="s">
        <v>3872</v>
      </c>
      <c r="D2930" s="657"/>
      <c r="E2930" s="657"/>
      <c r="F2930" s="656" t="s">
        <v>505</v>
      </c>
      <c r="G2930" s="656"/>
      <c r="H2930" s="656" t="s">
        <v>505</v>
      </c>
      <c r="I2930" s="656"/>
      <c r="J2930" s="656"/>
      <c r="K2930" s="656"/>
      <c r="L2930" s="656"/>
      <c r="M2930" s="657"/>
      <c r="N2930" s="1482"/>
      <c r="O2930" s="656" t="s">
        <v>498</v>
      </c>
      <c r="P2930" s="656" t="s">
        <v>13052</v>
      </c>
      <c r="Q2930" s="656">
        <v>44216.772638888891</v>
      </c>
    </row>
    <row r="2931" spans="1:17">
      <c r="A2931" s="656" t="s">
        <v>3873</v>
      </c>
      <c r="B2931" s="657" t="s">
        <v>202</v>
      </c>
      <c r="C2931" s="656" t="s">
        <v>3874</v>
      </c>
      <c r="D2931" s="657" t="s">
        <v>14977</v>
      </c>
      <c r="E2931" s="657"/>
      <c r="F2931" s="656" t="s">
        <v>472</v>
      </c>
      <c r="G2931" s="656" t="s">
        <v>541</v>
      </c>
      <c r="H2931" s="656" t="s">
        <v>472</v>
      </c>
      <c r="I2931" s="656" t="s">
        <v>14976</v>
      </c>
      <c r="J2931" s="656" t="s">
        <v>12368</v>
      </c>
      <c r="K2931" s="656"/>
      <c r="L2931" s="656"/>
      <c r="M2931" s="657"/>
      <c r="N2931" s="1482"/>
      <c r="O2931" s="656" t="s">
        <v>498</v>
      </c>
      <c r="P2931" s="656" t="s">
        <v>13052</v>
      </c>
      <c r="Q2931" s="656">
        <v>44216.772638888891</v>
      </c>
    </row>
    <row r="2932" spans="1:17">
      <c r="A2932" s="656" t="s">
        <v>3875</v>
      </c>
      <c r="B2932" s="657" t="s">
        <v>504</v>
      </c>
      <c r="C2932" s="656" t="s">
        <v>2982</v>
      </c>
      <c r="D2932" s="657"/>
      <c r="E2932" s="657"/>
      <c r="F2932" s="656" t="s">
        <v>540</v>
      </c>
      <c r="G2932" s="656" t="s">
        <v>541</v>
      </c>
      <c r="H2932" s="656" t="s">
        <v>540</v>
      </c>
      <c r="I2932" s="656"/>
      <c r="J2932" s="656"/>
      <c r="K2932" s="656"/>
      <c r="L2932" s="656"/>
      <c r="M2932" s="657"/>
      <c r="N2932" s="1482"/>
      <c r="O2932" s="656" t="s">
        <v>498</v>
      </c>
      <c r="P2932" s="656" t="s">
        <v>13052</v>
      </c>
      <c r="Q2932" s="656">
        <v>44216.772627314815</v>
      </c>
    </row>
    <row r="2933" spans="1:17">
      <c r="A2933" s="656" t="s">
        <v>3876</v>
      </c>
      <c r="B2933" s="657" t="s">
        <v>202</v>
      </c>
      <c r="C2933" s="656" t="s">
        <v>3877</v>
      </c>
      <c r="D2933" s="657" t="s">
        <v>14977</v>
      </c>
      <c r="E2933" s="657"/>
      <c r="F2933" s="656" t="s">
        <v>472</v>
      </c>
      <c r="G2933" s="656" t="s">
        <v>541</v>
      </c>
      <c r="H2933" s="656" t="s">
        <v>472</v>
      </c>
      <c r="I2933" s="656" t="s">
        <v>14976</v>
      </c>
      <c r="J2933" s="656" t="s">
        <v>12368</v>
      </c>
      <c r="K2933" s="656"/>
      <c r="L2933" s="656"/>
      <c r="M2933" s="657"/>
      <c r="N2933" s="1482"/>
      <c r="O2933" s="656" t="s">
        <v>498</v>
      </c>
      <c r="P2933" s="656" t="s">
        <v>13052</v>
      </c>
      <c r="Q2933" s="656">
        <v>44216.772627314815</v>
      </c>
    </row>
    <row r="2934" spans="1:17">
      <c r="A2934" s="656" t="s">
        <v>3878</v>
      </c>
      <c r="B2934" s="657" t="s">
        <v>504</v>
      </c>
      <c r="C2934" s="656" t="s">
        <v>3879</v>
      </c>
      <c r="D2934" s="657"/>
      <c r="E2934" s="657"/>
      <c r="F2934" s="656" t="s">
        <v>505</v>
      </c>
      <c r="G2934" s="656"/>
      <c r="H2934" s="656" t="s">
        <v>505</v>
      </c>
      <c r="I2934" s="656"/>
      <c r="J2934" s="656"/>
      <c r="K2934" s="656"/>
      <c r="L2934" s="656"/>
      <c r="M2934" s="657"/>
      <c r="N2934" s="1482"/>
      <c r="O2934" s="656" t="s">
        <v>498</v>
      </c>
      <c r="P2934" s="656" t="s">
        <v>13052</v>
      </c>
      <c r="Q2934" s="656">
        <v>44216.772615740738</v>
      </c>
    </row>
    <row r="2935" spans="1:17">
      <c r="A2935" s="656" t="s">
        <v>3880</v>
      </c>
      <c r="B2935" s="657" t="s">
        <v>202</v>
      </c>
      <c r="C2935" s="656" t="s">
        <v>3881</v>
      </c>
      <c r="D2935" s="657" t="s">
        <v>14977</v>
      </c>
      <c r="E2935" s="657"/>
      <c r="F2935" s="656" t="s">
        <v>500</v>
      </c>
      <c r="G2935" s="656"/>
      <c r="H2935" s="656" t="s">
        <v>500</v>
      </c>
      <c r="I2935" s="656" t="s">
        <v>14976</v>
      </c>
      <c r="J2935" s="656"/>
      <c r="K2935" s="656"/>
      <c r="L2935" s="656" t="s">
        <v>3880</v>
      </c>
      <c r="M2935" s="657"/>
      <c r="N2935" s="1482"/>
      <c r="O2935" s="656" t="s">
        <v>498</v>
      </c>
      <c r="P2935" s="656" t="s">
        <v>13052</v>
      </c>
      <c r="Q2935" s="656">
        <v>44216.772604166668</v>
      </c>
    </row>
    <row r="2936" spans="1:17">
      <c r="A2936" s="656" t="s">
        <v>3882</v>
      </c>
      <c r="B2936" s="657" t="s">
        <v>202</v>
      </c>
      <c r="C2936" s="656" t="s">
        <v>3883</v>
      </c>
      <c r="D2936" s="657" t="s">
        <v>14977</v>
      </c>
      <c r="E2936" s="657"/>
      <c r="F2936" s="656" t="s">
        <v>655</v>
      </c>
      <c r="G2936" s="656" t="s">
        <v>13</v>
      </c>
      <c r="H2936" s="656" t="s">
        <v>655</v>
      </c>
      <c r="I2936" s="656" t="s">
        <v>14976</v>
      </c>
      <c r="J2936" s="656" t="s">
        <v>15285</v>
      </c>
      <c r="K2936" s="656"/>
      <c r="L2936" s="656" t="s">
        <v>3882</v>
      </c>
      <c r="M2936" s="657"/>
      <c r="N2936" s="1482"/>
      <c r="O2936" s="656" t="s">
        <v>498</v>
      </c>
      <c r="P2936" s="656" t="s">
        <v>13052</v>
      </c>
      <c r="Q2936" s="656">
        <v>44216.772615740738</v>
      </c>
    </row>
    <row r="2937" spans="1:17">
      <c r="A2937" s="656" t="s">
        <v>3884</v>
      </c>
      <c r="B2937" s="657" t="s">
        <v>504</v>
      </c>
      <c r="C2937" s="656" t="s">
        <v>3885</v>
      </c>
      <c r="D2937" s="657"/>
      <c r="E2937" s="657"/>
      <c r="F2937" s="656" t="s">
        <v>505</v>
      </c>
      <c r="G2937" s="656"/>
      <c r="H2937" s="656" t="s">
        <v>505</v>
      </c>
      <c r="I2937" s="656"/>
      <c r="J2937" s="656"/>
      <c r="K2937" s="656"/>
      <c r="L2937" s="656"/>
      <c r="M2937" s="657"/>
      <c r="N2937" s="1482"/>
      <c r="O2937" s="656" t="s">
        <v>498</v>
      </c>
      <c r="P2937" s="656" t="s">
        <v>13052</v>
      </c>
      <c r="Q2937" s="656">
        <v>44216.772604166668</v>
      </c>
    </row>
    <row r="2938" spans="1:17">
      <c r="A2938" s="656" t="s">
        <v>3886</v>
      </c>
      <c r="B2938" s="657" t="s">
        <v>504</v>
      </c>
      <c r="C2938" s="656" t="s">
        <v>3887</v>
      </c>
      <c r="D2938" s="657"/>
      <c r="E2938" s="657"/>
      <c r="F2938" s="656" t="s">
        <v>505</v>
      </c>
      <c r="G2938" s="656"/>
      <c r="H2938" s="656" t="s">
        <v>505</v>
      </c>
      <c r="I2938" s="656"/>
      <c r="J2938" s="656"/>
      <c r="K2938" s="656"/>
      <c r="L2938" s="656"/>
      <c r="M2938" s="657"/>
      <c r="N2938" s="1482"/>
      <c r="O2938" s="656" t="s">
        <v>498</v>
      </c>
      <c r="P2938" s="656" t="s">
        <v>13052</v>
      </c>
      <c r="Q2938" s="656">
        <v>44216.772604166668</v>
      </c>
    </row>
    <row r="2939" spans="1:17">
      <c r="A2939" s="656" t="s">
        <v>3888</v>
      </c>
      <c r="B2939" s="657"/>
      <c r="C2939" s="656" t="s">
        <v>3889</v>
      </c>
      <c r="D2939" s="657" t="s">
        <v>14977</v>
      </c>
      <c r="E2939" s="657"/>
      <c r="F2939" s="656" t="s">
        <v>1394</v>
      </c>
      <c r="G2939" s="656"/>
      <c r="H2939" s="656" t="s">
        <v>1394</v>
      </c>
      <c r="I2939" s="656" t="s">
        <v>15280</v>
      </c>
      <c r="J2939" s="656"/>
      <c r="K2939" s="656"/>
      <c r="L2939" s="656" t="s">
        <v>3888</v>
      </c>
      <c r="M2939" s="657"/>
      <c r="N2939" s="1482"/>
      <c r="O2939" s="656" t="s">
        <v>498</v>
      </c>
      <c r="P2939" s="656" t="s">
        <v>13052</v>
      </c>
      <c r="Q2939" s="656">
        <v>44216.772581018522</v>
      </c>
    </row>
    <row r="2940" spans="1:17">
      <c r="A2940" s="656" t="s">
        <v>3890</v>
      </c>
      <c r="B2940" s="657" t="s">
        <v>202</v>
      </c>
      <c r="C2940" s="656" t="s">
        <v>3891</v>
      </c>
      <c r="D2940" s="657" t="s">
        <v>14977</v>
      </c>
      <c r="E2940" s="657"/>
      <c r="F2940" s="656" t="s">
        <v>1667</v>
      </c>
      <c r="G2940" s="656" t="s">
        <v>820</v>
      </c>
      <c r="H2940" s="656" t="s">
        <v>1667</v>
      </c>
      <c r="I2940" s="656" t="s">
        <v>14976</v>
      </c>
      <c r="J2940" s="656"/>
      <c r="K2940" s="656"/>
      <c r="L2940" s="656" t="s">
        <v>3890</v>
      </c>
      <c r="M2940" s="657"/>
      <c r="N2940" s="1482"/>
      <c r="O2940" s="656" t="s">
        <v>498</v>
      </c>
      <c r="P2940" s="656" t="s">
        <v>13052</v>
      </c>
      <c r="Q2940" s="656">
        <v>44216.772581018522</v>
      </c>
    </row>
    <row r="2941" spans="1:17">
      <c r="A2941" s="656" t="s">
        <v>3892</v>
      </c>
      <c r="B2941" s="657" t="s">
        <v>202</v>
      </c>
      <c r="C2941" s="656" t="s">
        <v>3893</v>
      </c>
      <c r="D2941" s="657" t="s">
        <v>14977</v>
      </c>
      <c r="E2941" s="657"/>
      <c r="F2941" s="656" t="s">
        <v>1300</v>
      </c>
      <c r="G2941" s="656" t="s">
        <v>522</v>
      </c>
      <c r="H2941" s="656" t="s">
        <v>1300</v>
      </c>
      <c r="I2941" s="656" t="s">
        <v>15280</v>
      </c>
      <c r="J2941" s="656"/>
      <c r="K2941" s="656"/>
      <c r="L2941" s="656" t="s">
        <v>3892</v>
      </c>
      <c r="M2941" s="657"/>
      <c r="N2941" s="1482"/>
      <c r="O2941" s="656" t="s">
        <v>498</v>
      </c>
      <c r="P2941" s="656" t="s">
        <v>13052</v>
      </c>
      <c r="Q2941" s="656">
        <v>44216.772569444445</v>
      </c>
    </row>
    <row r="2942" spans="1:17">
      <c r="A2942" s="656" t="s">
        <v>3894</v>
      </c>
      <c r="B2942" s="657" t="s">
        <v>504</v>
      </c>
      <c r="C2942" s="656" t="s">
        <v>3895</v>
      </c>
      <c r="D2942" s="657"/>
      <c r="E2942" s="657"/>
      <c r="F2942" s="656" t="s">
        <v>505</v>
      </c>
      <c r="G2942" s="656"/>
      <c r="H2942" s="656" t="s">
        <v>505</v>
      </c>
      <c r="I2942" s="656"/>
      <c r="J2942" s="656"/>
      <c r="K2942" s="656"/>
      <c r="L2942" s="656"/>
      <c r="M2942" s="657"/>
      <c r="N2942" s="1482"/>
      <c r="O2942" s="656" t="s">
        <v>498</v>
      </c>
      <c r="P2942" s="656" t="s">
        <v>13052</v>
      </c>
      <c r="Q2942" s="656">
        <v>44216.772569444445</v>
      </c>
    </row>
    <row r="2943" spans="1:17">
      <c r="A2943" s="656" t="s">
        <v>3896</v>
      </c>
      <c r="B2943" s="657" t="s">
        <v>504</v>
      </c>
      <c r="C2943" s="656" t="s">
        <v>3897</v>
      </c>
      <c r="D2943" s="657"/>
      <c r="E2943" s="657"/>
      <c r="F2943" s="656" t="s">
        <v>505</v>
      </c>
      <c r="G2943" s="656"/>
      <c r="H2943" s="656" t="s">
        <v>505</v>
      </c>
      <c r="I2943" s="656"/>
      <c r="J2943" s="656"/>
      <c r="K2943" s="656"/>
      <c r="L2943" s="656"/>
      <c r="M2943" s="657"/>
      <c r="N2943" s="1482"/>
      <c r="O2943" s="656" t="s">
        <v>498</v>
      </c>
      <c r="P2943" s="656" t="s">
        <v>13052</v>
      </c>
      <c r="Q2943" s="656">
        <v>44216.772557870368</v>
      </c>
    </row>
    <row r="2944" spans="1:17">
      <c r="A2944" s="656" t="s">
        <v>3898</v>
      </c>
      <c r="B2944" s="657" t="s">
        <v>202</v>
      </c>
      <c r="C2944" s="656" t="s">
        <v>3899</v>
      </c>
      <c r="D2944" s="657" t="s">
        <v>14977</v>
      </c>
      <c r="E2944" s="657"/>
      <c r="F2944" s="656" t="s">
        <v>472</v>
      </c>
      <c r="G2944" s="656" t="s">
        <v>1395</v>
      </c>
      <c r="H2944" s="656" t="s">
        <v>472</v>
      </c>
      <c r="I2944" s="656" t="s">
        <v>15280</v>
      </c>
      <c r="J2944" s="656" t="s">
        <v>12368</v>
      </c>
      <c r="K2944" s="656"/>
      <c r="L2944" s="656"/>
      <c r="M2944" s="657"/>
      <c r="N2944" s="1482"/>
      <c r="O2944" s="656" t="s">
        <v>498</v>
      </c>
      <c r="P2944" s="656" t="s">
        <v>13052</v>
      </c>
      <c r="Q2944" s="656">
        <v>44216.772557870368</v>
      </c>
    </row>
    <row r="2945" spans="1:17">
      <c r="A2945" s="656" t="s">
        <v>3900</v>
      </c>
      <c r="B2945" s="657" t="s">
        <v>504</v>
      </c>
      <c r="C2945" s="656" t="s">
        <v>3901</v>
      </c>
      <c r="D2945" s="657"/>
      <c r="E2945" s="657"/>
      <c r="F2945" s="656" t="s">
        <v>505</v>
      </c>
      <c r="G2945" s="656" t="s">
        <v>3335</v>
      </c>
      <c r="H2945" s="656" t="s">
        <v>505</v>
      </c>
      <c r="I2945" s="656"/>
      <c r="J2945" s="656"/>
      <c r="K2945" s="656"/>
      <c r="L2945" s="656"/>
      <c r="M2945" s="657"/>
      <c r="N2945" s="1482"/>
      <c r="O2945" s="656" t="s">
        <v>498</v>
      </c>
      <c r="P2945" s="656" t="s">
        <v>13052</v>
      </c>
      <c r="Q2945" s="656">
        <v>44216.772546296299</v>
      </c>
    </row>
    <row r="2946" spans="1:17">
      <c r="A2946" s="656" t="s">
        <v>3902</v>
      </c>
      <c r="B2946" s="657" t="s">
        <v>504</v>
      </c>
      <c r="C2946" s="656" t="s">
        <v>3903</v>
      </c>
      <c r="D2946" s="657"/>
      <c r="E2946" s="657"/>
      <c r="F2946" s="656" t="s">
        <v>505</v>
      </c>
      <c r="G2946" s="656"/>
      <c r="H2946" s="656" t="s">
        <v>505</v>
      </c>
      <c r="I2946" s="656"/>
      <c r="J2946" s="656"/>
      <c r="K2946" s="656"/>
      <c r="L2946" s="656"/>
      <c r="M2946" s="657"/>
      <c r="N2946" s="1482"/>
      <c r="O2946" s="656" t="s">
        <v>498</v>
      </c>
      <c r="P2946" s="656" t="s">
        <v>13052</v>
      </c>
      <c r="Q2946" s="656">
        <v>44216.772546296299</v>
      </c>
    </row>
    <row r="2947" spans="1:17">
      <c r="A2947" s="656" t="s">
        <v>3904</v>
      </c>
      <c r="B2947" s="657" t="s">
        <v>504</v>
      </c>
      <c r="C2947" s="656" t="s">
        <v>3905</v>
      </c>
      <c r="D2947" s="657"/>
      <c r="E2947" s="657"/>
      <c r="F2947" s="656" t="s">
        <v>505</v>
      </c>
      <c r="G2947" s="656"/>
      <c r="H2947" s="656" t="s">
        <v>505</v>
      </c>
      <c r="I2947" s="656"/>
      <c r="J2947" s="656"/>
      <c r="K2947" s="656"/>
      <c r="L2947" s="656"/>
      <c r="M2947" s="657"/>
      <c r="N2947" s="1482"/>
      <c r="O2947" s="656" t="s">
        <v>498</v>
      </c>
      <c r="P2947" s="656" t="s">
        <v>13052</v>
      </c>
      <c r="Q2947" s="656">
        <v>44216.772534722222</v>
      </c>
    </row>
    <row r="2948" spans="1:17">
      <c r="A2948" s="656" t="s">
        <v>3906</v>
      </c>
      <c r="B2948" s="657" t="s">
        <v>504</v>
      </c>
      <c r="C2948" s="656" t="s">
        <v>3907</v>
      </c>
      <c r="D2948" s="657"/>
      <c r="E2948" s="657"/>
      <c r="F2948" s="656" t="s">
        <v>505</v>
      </c>
      <c r="G2948" s="656"/>
      <c r="H2948" s="656" t="s">
        <v>505</v>
      </c>
      <c r="I2948" s="656"/>
      <c r="J2948" s="656"/>
      <c r="K2948" s="656"/>
      <c r="L2948" s="656"/>
      <c r="M2948" s="657"/>
      <c r="N2948" s="1482"/>
      <c r="O2948" s="656" t="s">
        <v>498</v>
      </c>
      <c r="P2948" s="656" t="s">
        <v>13052</v>
      </c>
      <c r="Q2948" s="656">
        <v>44216.772534722222</v>
      </c>
    </row>
    <row r="2949" spans="1:17">
      <c r="A2949" s="656" t="s">
        <v>3908</v>
      </c>
      <c r="B2949" s="657" t="s">
        <v>504</v>
      </c>
      <c r="C2949" s="656" t="s">
        <v>3909</v>
      </c>
      <c r="D2949" s="657"/>
      <c r="E2949" s="657"/>
      <c r="F2949" s="656" t="s">
        <v>505</v>
      </c>
      <c r="G2949" s="656"/>
      <c r="H2949" s="656" t="s">
        <v>505</v>
      </c>
      <c r="I2949" s="656"/>
      <c r="J2949" s="656"/>
      <c r="K2949" s="656"/>
      <c r="L2949" s="656"/>
      <c r="M2949" s="657"/>
      <c r="N2949" s="1482"/>
      <c r="O2949" s="656" t="s">
        <v>498</v>
      </c>
      <c r="P2949" s="656" t="s">
        <v>13052</v>
      </c>
      <c r="Q2949" s="656">
        <v>44216.772534722222</v>
      </c>
    </row>
    <row r="2950" spans="1:17">
      <c r="A2950" s="656" t="s">
        <v>3910</v>
      </c>
      <c r="B2950" s="657" t="s">
        <v>202</v>
      </c>
      <c r="C2950" s="656" t="s">
        <v>3911</v>
      </c>
      <c r="D2950" s="657" t="s">
        <v>14977</v>
      </c>
      <c r="E2950" s="657"/>
      <c r="F2950" s="656" t="s">
        <v>472</v>
      </c>
      <c r="G2950" s="656" t="s">
        <v>1395</v>
      </c>
      <c r="H2950" s="656" t="s">
        <v>472</v>
      </c>
      <c r="I2950" s="656" t="s">
        <v>15280</v>
      </c>
      <c r="J2950" s="656" t="s">
        <v>12368</v>
      </c>
      <c r="K2950" s="656"/>
      <c r="L2950" s="656"/>
      <c r="M2950" s="657"/>
      <c r="N2950" s="1482"/>
      <c r="O2950" s="656" t="s">
        <v>498</v>
      </c>
      <c r="P2950" s="656" t="s">
        <v>13052</v>
      </c>
      <c r="Q2950" s="656">
        <v>44216.772523148145</v>
      </c>
    </row>
    <row r="2951" spans="1:17">
      <c r="A2951" s="656" t="s">
        <v>3912</v>
      </c>
      <c r="B2951" s="657" t="s">
        <v>202</v>
      </c>
      <c r="C2951" s="656" t="s">
        <v>3913</v>
      </c>
      <c r="D2951" s="657" t="s">
        <v>14977</v>
      </c>
      <c r="E2951" s="657"/>
      <c r="F2951" s="656" t="s">
        <v>500</v>
      </c>
      <c r="G2951" s="656" t="s">
        <v>500</v>
      </c>
      <c r="H2951" s="656" t="s">
        <v>500</v>
      </c>
      <c r="I2951" s="656" t="s">
        <v>14976</v>
      </c>
      <c r="J2951" s="656" t="s">
        <v>15282</v>
      </c>
      <c r="K2951" s="656"/>
      <c r="L2951" s="656" t="s">
        <v>3912</v>
      </c>
      <c r="M2951" s="657"/>
      <c r="N2951" s="1482"/>
      <c r="O2951" s="656" t="s">
        <v>498</v>
      </c>
      <c r="P2951" s="656" t="s">
        <v>13052</v>
      </c>
      <c r="Q2951" s="656">
        <v>44216.772511574076</v>
      </c>
    </row>
    <row r="2952" spans="1:17">
      <c r="A2952" s="656" t="s">
        <v>3914</v>
      </c>
      <c r="B2952" s="657" t="s">
        <v>531</v>
      </c>
      <c r="C2952" s="656" t="s">
        <v>3915</v>
      </c>
      <c r="D2952" s="657" t="s">
        <v>1239</v>
      </c>
      <c r="E2952" s="657"/>
      <c r="F2952" s="656" t="s">
        <v>472</v>
      </c>
      <c r="G2952" s="656" t="s">
        <v>1394</v>
      </c>
      <c r="H2952" s="656" t="s">
        <v>472</v>
      </c>
      <c r="I2952" s="656" t="s">
        <v>14976</v>
      </c>
      <c r="J2952" s="656" t="s">
        <v>12368</v>
      </c>
      <c r="K2952" s="656"/>
      <c r="L2952" s="656"/>
      <c r="M2952" s="657"/>
      <c r="N2952" s="1482"/>
      <c r="O2952" s="656" t="s">
        <v>498</v>
      </c>
      <c r="P2952" s="656" t="s">
        <v>13052</v>
      </c>
      <c r="Q2952" s="656">
        <v>44216.772511574076</v>
      </c>
    </row>
    <row r="2953" spans="1:17">
      <c r="A2953" s="656" t="s">
        <v>3916</v>
      </c>
      <c r="B2953" s="657" t="s">
        <v>202</v>
      </c>
      <c r="C2953" s="656" t="s">
        <v>3917</v>
      </c>
      <c r="D2953" s="657" t="s">
        <v>14977</v>
      </c>
      <c r="E2953" s="657"/>
      <c r="F2953" s="656" t="s">
        <v>472</v>
      </c>
      <c r="G2953" s="656" t="s">
        <v>1395</v>
      </c>
      <c r="H2953" s="656" t="s">
        <v>472</v>
      </c>
      <c r="I2953" s="656" t="s">
        <v>14976</v>
      </c>
      <c r="J2953" s="656" t="s">
        <v>12368</v>
      </c>
      <c r="K2953" s="656"/>
      <c r="L2953" s="656"/>
      <c r="M2953" s="657"/>
      <c r="N2953" s="1482"/>
      <c r="O2953" s="656" t="s">
        <v>498</v>
      </c>
      <c r="P2953" s="656" t="s">
        <v>13052</v>
      </c>
      <c r="Q2953" s="656">
        <v>44216.772499999999</v>
      </c>
    </row>
    <row r="2954" spans="1:17">
      <c r="A2954" s="656" t="s">
        <v>3918</v>
      </c>
      <c r="B2954" s="657" t="s">
        <v>202</v>
      </c>
      <c r="C2954" s="656" t="s">
        <v>3919</v>
      </c>
      <c r="D2954" s="657" t="s">
        <v>1239</v>
      </c>
      <c r="E2954" s="657"/>
      <c r="F2954" s="656" t="s">
        <v>655</v>
      </c>
      <c r="G2954" s="656" t="s">
        <v>1078</v>
      </c>
      <c r="H2954" s="656" t="s">
        <v>655</v>
      </c>
      <c r="I2954" s="656" t="s">
        <v>14976</v>
      </c>
      <c r="J2954" s="656" t="s">
        <v>15281</v>
      </c>
      <c r="K2954" s="656"/>
      <c r="L2954" s="656"/>
      <c r="M2954" s="657"/>
      <c r="N2954" s="1482"/>
      <c r="O2954" s="656" t="s">
        <v>498</v>
      </c>
      <c r="P2954" s="656" t="s">
        <v>13052</v>
      </c>
      <c r="Q2954" s="656">
        <v>44216.772499999999</v>
      </c>
    </row>
    <row r="2955" spans="1:17">
      <c r="A2955" s="656" t="s">
        <v>3920</v>
      </c>
      <c r="B2955" s="657" t="s">
        <v>202</v>
      </c>
      <c r="C2955" s="656" t="s">
        <v>3921</v>
      </c>
      <c r="D2955" s="657" t="s">
        <v>14977</v>
      </c>
      <c r="E2955" s="657"/>
      <c r="F2955" s="656" t="s">
        <v>1300</v>
      </c>
      <c r="G2955" s="656" t="s">
        <v>1301</v>
      </c>
      <c r="H2955" s="656" t="s">
        <v>1300</v>
      </c>
      <c r="I2955" s="656" t="s">
        <v>14976</v>
      </c>
      <c r="J2955" s="656" t="s">
        <v>15285</v>
      </c>
      <c r="K2955" s="656"/>
      <c r="L2955" s="656" t="s">
        <v>3920</v>
      </c>
      <c r="M2955" s="657"/>
      <c r="N2955" s="1482"/>
      <c r="O2955" s="656" t="s">
        <v>498</v>
      </c>
      <c r="P2955" s="656" t="s">
        <v>13052</v>
      </c>
      <c r="Q2955" s="656">
        <v>44216.772499999999</v>
      </c>
    </row>
    <row r="2956" spans="1:17">
      <c r="A2956" s="656" t="s">
        <v>3922</v>
      </c>
      <c r="B2956" s="657" t="s">
        <v>504</v>
      </c>
      <c r="C2956" s="656" t="s">
        <v>3923</v>
      </c>
      <c r="D2956" s="657" t="s">
        <v>14977</v>
      </c>
      <c r="E2956" s="657"/>
      <c r="F2956" s="656" t="s">
        <v>3757</v>
      </c>
      <c r="G2956" s="656" t="s">
        <v>3757</v>
      </c>
      <c r="H2956" s="656" t="s">
        <v>3757</v>
      </c>
      <c r="I2956" s="656"/>
      <c r="J2956" s="656"/>
      <c r="K2956" s="656"/>
      <c r="L2956" s="656"/>
      <c r="M2956" s="657"/>
      <c r="N2956" s="1482"/>
      <c r="O2956" s="656" t="s">
        <v>498</v>
      </c>
      <c r="P2956" s="656" t="s">
        <v>13052</v>
      </c>
      <c r="Q2956" s="656">
        <v>44216.772488425922</v>
      </c>
    </row>
    <row r="2957" spans="1:17">
      <c r="A2957" s="656" t="s">
        <v>3924</v>
      </c>
      <c r="B2957" s="657"/>
      <c r="C2957" s="656" t="s">
        <v>3925</v>
      </c>
      <c r="D2957" s="657" t="s">
        <v>14977</v>
      </c>
      <c r="E2957" s="657"/>
      <c r="F2957" s="656" t="s">
        <v>1394</v>
      </c>
      <c r="G2957" s="656"/>
      <c r="H2957" s="656" t="s">
        <v>1394</v>
      </c>
      <c r="I2957" s="656" t="s">
        <v>15280</v>
      </c>
      <c r="J2957" s="656"/>
      <c r="K2957" s="656"/>
      <c r="L2957" s="656" t="s">
        <v>3924</v>
      </c>
      <c r="M2957" s="657"/>
      <c r="N2957" s="1482"/>
      <c r="O2957" s="656" t="s">
        <v>498</v>
      </c>
      <c r="P2957" s="656" t="s">
        <v>13052</v>
      </c>
      <c r="Q2957" s="656">
        <v>44216.772488425922</v>
      </c>
    </row>
    <row r="2958" spans="1:17">
      <c r="A2958" s="656" t="s">
        <v>3926</v>
      </c>
      <c r="B2958" s="657" t="s">
        <v>504</v>
      </c>
      <c r="C2958" s="656" t="s">
        <v>3927</v>
      </c>
      <c r="D2958" s="657"/>
      <c r="E2958" s="657"/>
      <c r="F2958" s="656" t="s">
        <v>505</v>
      </c>
      <c r="G2958" s="656"/>
      <c r="H2958" s="656" t="s">
        <v>505</v>
      </c>
      <c r="I2958" s="656"/>
      <c r="J2958" s="656"/>
      <c r="K2958" s="656"/>
      <c r="L2958" s="656"/>
      <c r="M2958" s="657"/>
      <c r="N2958" s="1482"/>
      <c r="O2958" s="656" t="s">
        <v>498</v>
      </c>
      <c r="P2958" s="656" t="s">
        <v>13052</v>
      </c>
      <c r="Q2958" s="656">
        <v>44216.772488425922</v>
      </c>
    </row>
    <row r="2959" spans="1:17">
      <c r="A2959" s="656" t="s">
        <v>3928</v>
      </c>
      <c r="B2959" s="657" t="s">
        <v>504</v>
      </c>
      <c r="C2959" s="656" t="s">
        <v>3929</v>
      </c>
      <c r="D2959" s="657"/>
      <c r="E2959" s="657"/>
      <c r="F2959" s="656" t="s">
        <v>505</v>
      </c>
      <c r="G2959" s="656"/>
      <c r="H2959" s="656" t="s">
        <v>505</v>
      </c>
      <c r="I2959" s="656"/>
      <c r="J2959" s="656"/>
      <c r="K2959" s="656"/>
      <c r="L2959" s="656"/>
      <c r="M2959" s="657"/>
      <c r="N2959" s="1482"/>
      <c r="O2959" s="656" t="s">
        <v>498</v>
      </c>
      <c r="P2959" s="656" t="s">
        <v>13052</v>
      </c>
      <c r="Q2959" s="656">
        <v>44216.772476851853</v>
      </c>
    </row>
    <row r="2960" spans="1:17">
      <c r="A2960" s="656" t="s">
        <v>3930</v>
      </c>
      <c r="B2960" s="657" t="s">
        <v>202</v>
      </c>
      <c r="C2960" s="656" t="s">
        <v>3931</v>
      </c>
      <c r="D2960" s="657" t="s">
        <v>1239</v>
      </c>
      <c r="E2960" s="657"/>
      <c r="F2960" s="656" t="s">
        <v>1667</v>
      </c>
      <c r="G2960" s="656" t="s">
        <v>13</v>
      </c>
      <c r="H2960" s="656" t="s">
        <v>1667</v>
      </c>
      <c r="I2960" s="656" t="s">
        <v>14976</v>
      </c>
      <c r="J2960" s="656" t="s">
        <v>15282</v>
      </c>
      <c r="K2960" s="656"/>
      <c r="L2960" s="656"/>
      <c r="M2960" s="657"/>
      <c r="N2960" s="1482"/>
      <c r="O2960" s="656" t="s">
        <v>498</v>
      </c>
      <c r="P2960" s="656" t="s">
        <v>13052</v>
      </c>
      <c r="Q2960" s="656">
        <v>44216.772476851853</v>
      </c>
    </row>
    <row r="2961" spans="1:17">
      <c r="A2961" s="656" t="s">
        <v>3932</v>
      </c>
      <c r="B2961" s="657" t="s">
        <v>202</v>
      </c>
      <c r="C2961" s="656" t="s">
        <v>3933</v>
      </c>
      <c r="D2961" s="657" t="s">
        <v>14977</v>
      </c>
      <c r="E2961" s="657"/>
      <c r="F2961" s="656" t="s">
        <v>1620</v>
      </c>
      <c r="G2961" s="656" t="s">
        <v>1620</v>
      </c>
      <c r="H2961" s="656" t="s">
        <v>1620</v>
      </c>
      <c r="I2961" s="656" t="s">
        <v>14976</v>
      </c>
      <c r="J2961" s="656" t="s">
        <v>15288</v>
      </c>
      <c r="K2961" s="656"/>
      <c r="L2961" s="656" t="s">
        <v>3932</v>
      </c>
      <c r="M2961" s="657"/>
      <c r="N2961" s="1482"/>
      <c r="O2961" s="656" t="s">
        <v>498</v>
      </c>
      <c r="P2961" s="656" t="s">
        <v>13052</v>
      </c>
      <c r="Q2961" s="656">
        <v>44216.772465277776</v>
      </c>
    </row>
    <row r="2962" spans="1:17">
      <c r="A2962" s="656" t="s">
        <v>3934</v>
      </c>
      <c r="B2962" s="657" t="s">
        <v>202</v>
      </c>
      <c r="C2962" s="656" t="s">
        <v>3935</v>
      </c>
      <c r="D2962" s="657" t="s">
        <v>1239</v>
      </c>
      <c r="E2962" s="657"/>
      <c r="F2962" s="656" t="s">
        <v>500</v>
      </c>
      <c r="G2962" s="656" t="s">
        <v>500</v>
      </c>
      <c r="H2962" s="656" t="s">
        <v>500</v>
      </c>
      <c r="I2962" s="656" t="s">
        <v>14976</v>
      </c>
      <c r="J2962" s="656" t="s">
        <v>15282</v>
      </c>
      <c r="K2962" s="656"/>
      <c r="L2962" s="656"/>
      <c r="M2962" s="657"/>
      <c r="N2962" s="1482"/>
      <c r="O2962" s="656" t="s">
        <v>498</v>
      </c>
      <c r="P2962" s="656" t="s">
        <v>13052</v>
      </c>
      <c r="Q2962" s="656">
        <v>44216.772476851853</v>
      </c>
    </row>
    <row r="2963" spans="1:17">
      <c r="A2963" s="656" t="s">
        <v>3936</v>
      </c>
      <c r="B2963" s="657" t="s">
        <v>202</v>
      </c>
      <c r="C2963" s="656" t="s">
        <v>3937</v>
      </c>
      <c r="D2963" s="657" t="s">
        <v>1239</v>
      </c>
      <c r="E2963" s="657"/>
      <c r="F2963" s="656" t="s">
        <v>500</v>
      </c>
      <c r="G2963" s="656" t="s">
        <v>500</v>
      </c>
      <c r="H2963" s="656" t="s">
        <v>500</v>
      </c>
      <c r="I2963" s="656" t="s">
        <v>14976</v>
      </c>
      <c r="J2963" s="656" t="s">
        <v>15282</v>
      </c>
      <c r="K2963" s="656"/>
      <c r="L2963" s="656"/>
      <c r="M2963" s="657"/>
      <c r="N2963" s="1482"/>
      <c r="O2963" s="656" t="s">
        <v>498</v>
      </c>
      <c r="P2963" s="656" t="s">
        <v>13052</v>
      </c>
      <c r="Q2963" s="656">
        <v>44216.772465277776</v>
      </c>
    </row>
    <row r="2964" spans="1:17">
      <c r="A2964" s="656" t="s">
        <v>3938</v>
      </c>
      <c r="B2964" s="657" t="s">
        <v>202</v>
      </c>
      <c r="C2964" s="656" t="s">
        <v>3939</v>
      </c>
      <c r="D2964" s="657" t="s">
        <v>14977</v>
      </c>
      <c r="E2964" s="657"/>
      <c r="F2964" s="656" t="s">
        <v>500</v>
      </c>
      <c r="G2964" s="656" t="s">
        <v>500</v>
      </c>
      <c r="H2964" s="656" t="s">
        <v>500</v>
      </c>
      <c r="I2964" s="656" t="s">
        <v>14976</v>
      </c>
      <c r="J2964" s="656" t="s">
        <v>15282</v>
      </c>
      <c r="K2964" s="656"/>
      <c r="L2964" s="656" t="s">
        <v>3938</v>
      </c>
      <c r="M2964" s="657"/>
      <c r="N2964" s="1482"/>
      <c r="O2964" s="656" t="s">
        <v>498</v>
      </c>
      <c r="P2964" s="656" t="s">
        <v>13052</v>
      </c>
      <c r="Q2964" s="656">
        <v>44216.772453703707</v>
      </c>
    </row>
    <row r="2965" spans="1:17">
      <c r="A2965" s="656" t="s">
        <v>3940</v>
      </c>
      <c r="B2965" s="657" t="s">
        <v>202</v>
      </c>
      <c r="C2965" s="656" t="s">
        <v>3941</v>
      </c>
      <c r="D2965" s="657" t="s">
        <v>14977</v>
      </c>
      <c r="E2965" s="657" t="s">
        <v>7439</v>
      </c>
      <c r="F2965" s="656" t="s">
        <v>1667</v>
      </c>
      <c r="G2965" s="656" t="s">
        <v>655</v>
      </c>
      <c r="H2965" s="656" t="s">
        <v>1667</v>
      </c>
      <c r="I2965" s="656" t="s">
        <v>14976</v>
      </c>
      <c r="J2965" s="656" t="s">
        <v>15282</v>
      </c>
      <c r="K2965" s="656"/>
      <c r="L2965" s="656" t="s">
        <v>3940</v>
      </c>
      <c r="M2965" s="657"/>
      <c r="N2965" s="1482"/>
      <c r="O2965" s="656" t="s">
        <v>498</v>
      </c>
      <c r="P2965" s="656" t="s">
        <v>13052</v>
      </c>
      <c r="Q2965" s="656">
        <v>44216.772453703707</v>
      </c>
    </row>
    <row r="2966" spans="1:17">
      <c r="A2966" s="656" t="s">
        <v>3942</v>
      </c>
      <c r="B2966" s="657" t="s">
        <v>202</v>
      </c>
      <c r="C2966" s="656" t="s">
        <v>3943</v>
      </c>
      <c r="D2966" s="657" t="s">
        <v>14977</v>
      </c>
      <c r="E2966" s="657"/>
      <c r="F2966" s="656" t="s">
        <v>783</v>
      </c>
      <c r="G2966" s="656" t="s">
        <v>13</v>
      </c>
      <c r="H2966" s="656" t="s">
        <v>783</v>
      </c>
      <c r="I2966" s="656" t="s">
        <v>14976</v>
      </c>
      <c r="J2966" s="656" t="s">
        <v>15282</v>
      </c>
      <c r="K2966" s="656"/>
      <c r="L2966" s="656" t="s">
        <v>3942</v>
      </c>
      <c r="M2966" s="657"/>
      <c r="N2966" s="1482"/>
      <c r="O2966" s="656" t="s">
        <v>498</v>
      </c>
      <c r="P2966" s="656" t="s">
        <v>13052</v>
      </c>
      <c r="Q2966" s="656">
        <v>44216.77244212963</v>
      </c>
    </row>
    <row r="2967" spans="1:17">
      <c r="A2967" s="656" t="s">
        <v>3944</v>
      </c>
      <c r="B2967" s="657"/>
      <c r="C2967" s="656" t="s">
        <v>3945</v>
      </c>
      <c r="D2967" s="657" t="s">
        <v>14977</v>
      </c>
      <c r="E2967" s="657"/>
      <c r="F2967" s="656" t="s">
        <v>1394</v>
      </c>
      <c r="G2967" s="656" t="s">
        <v>625</v>
      </c>
      <c r="H2967" s="656" t="s">
        <v>1394</v>
      </c>
      <c r="I2967" s="656" t="s">
        <v>15280</v>
      </c>
      <c r="J2967" s="656"/>
      <c r="K2967" s="656"/>
      <c r="L2967" s="656" t="s">
        <v>3944</v>
      </c>
      <c r="M2967" s="657"/>
      <c r="N2967" s="1482"/>
      <c r="O2967" s="656" t="s">
        <v>498</v>
      </c>
      <c r="P2967" s="656" t="s">
        <v>13052</v>
      </c>
      <c r="Q2967" s="656">
        <v>44216.77244212963</v>
      </c>
    </row>
    <row r="2968" spans="1:17">
      <c r="A2968" s="656" t="s">
        <v>3946</v>
      </c>
      <c r="B2968" s="657" t="s">
        <v>202</v>
      </c>
      <c r="C2968" s="656" t="s">
        <v>3947</v>
      </c>
      <c r="D2968" s="657" t="s">
        <v>14977</v>
      </c>
      <c r="E2968" s="657"/>
      <c r="F2968" s="656" t="s">
        <v>500</v>
      </c>
      <c r="G2968" s="656" t="s">
        <v>500</v>
      </c>
      <c r="H2968" s="656" t="s">
        <v>500</v>
      </c>
      <c r="I2968" s="656" t="s">
        <v>14976</v>
      </c>
      <c r="J2968" s="656" t="s">
        <v>15282</v>
      </c>
      <c r="K2968" s="656"/>
      <c r="L2968" s="656" t="s">
        <v>3946</v>
      </c>
      <c r="M2968" s="657"/>
      <c r="N2968" s="1482"/>
      <c r="O2968" s="656" t="s">
        <v>498</v>
      </c>
      <c r="P2968" s="656" t="s">
        <v>13052</v>
      </c>
      <c r="Q2968" s="656">
        <v>44216.772430555553</v>
      </c>
    </row>
    <row r="2969" spans="1:17">
      <c r="A2969" s="656" t="s">
        <v>3948</v>
      </c>
      <c r="B2969" s="657" t="s">
        <v>202</v>
      </c>
      <c r="C2969" s="656" t="s">
        <v>3949</v>
      </c>
      <c r="D2969" s="657" t="s">
        <v>1239</v>
      </c>
      <c r="E2969" s="657"/>
      <c r="F2969" s="656" t="s">
        <v>655</v>
      </c>
      <c r="G2969" s="656" t="s">
        <v>1078</v>
      </c>
      <c r="H2969" s="656" t="s">
        <v>655</v>
      </c>
      <c r="I2969" s="656" t="s">
        <v>14976</v>
      </c>
      <c r="J2969" s="656" t="s">
        <v>15281</v>
      </c>
      <c r="K2969" s="656"/>
      <c r="L2969" s="656"/>
      <c r="M2969" s="657"/>
      <c r="N2969" s="1482"/>
      <c r="O2969" s="656" t="s">
        <v>498</v>
      </c>
      <c r="P2969" s="656" t="s">
        <v>13052</v>
      </c>
      <c r="Q2969" s="656">
        <v>44216.772430555553</v>
      </c>
    </row>
    <row r="2970" spans="1:17">
      <c r="A2970" s="656" t="s">
        <v>3950</v>
      </c>
      <c r="B2970" s="657" t="s">
        <v>504</v>
      </c>
      <c r="C2970" s="656" t="s">
        <v>3751</v>
      </c>
      <c r="D2970" s="657"/>
      <c r="E2970" s="657"/>
      <c r="F2970" s="656" t="s">
        <v>505</v>
      </c>
      <c r="G2970" s="656" t="s">
        <v>522</v>
      </c>
      <c r="H2970" s="656" t="s">
        <v>505</v>
      </c>
      <c r="I2970" s="656"/>
      <c r="J2970" s="656"/>
      <c r="K2970" s="656"/>
      <c r="L2970" s="656"/>
      <c r="M2970" s="657"/>
      <c r="N2970" s="1482"/>
      <c r="O2970" s="656" t="s">
        <v>498</v>
      </c>
      <c r="P2970" s="656" t="s">
        <v>13052</v>
      </c>
      <c r="Q2970" s="656">
        <v>44216.772418981483</v>
      </c>
    </row>
    <row r="2971" spans="1:17">
      <c r="A2971" s="656" t="s">
        <v>3951</v>
      </c>
      <c r="B2971" s="657"/>
      <c r="C2971" s="656" t="s">
        <v>3952</v>
      </c>
      <c r="D2971" s="657" t="s">
        <v>14977</v>
      </c>
      <c r="E2971" s="657"/>
      <c r="F2971" s="656" t="s">
        <v>1394</v>
      </c>
      <c r="G2971" s="656" t="s">
        <v>522</v>
      </c>
      <c r="H2971" s="656" t="s">
        <v>1394</v>
      </c>
      <c r="I2971" s="656" t="s">
        <v>15280</v>
      </c>
      <c r="J2971" s="656"/>
      <c r="K2971" s="656"/>
      <c r="L2971" s="656" t="s">
        <v>3951</v>
      </c>
      <c r="M2971" s="657"/>
      <c r="N2971" s="1482"/>
      <c r="O2971" s="656" t="s">
        <v>498</v>
      </c>
      <c r="P2971" s="656" t="s">
        <v>13052</v>
      </c>
      <c r="Q2971" s="656">
        <v>44216.772418981483</v>
      </c>
    </row>
    <row r="2972" spans="1:17">
      <c r="A2972" s="656" t="s">
        <v>13688</v>
      </c>
      <c r="B2972" s="657" t="s">
        <v>504</v>
      </c>
      <c r="C2972" s="656" t="s">
        <v>3953</v>
      </c>
      <c r="D2972" s="657" t="s">
        <v>13789</v>
      </c>
      <c r="E2972" s="657" t="s">
        <v>9654</v>
      </c>
      <c r="F2972" s="656" t="s">
        <v>505</v>
      </c>
      <c r="G2972" s="656" t="s">
        <v>820</v>
      </c>
      <c r="H2972" s="656" t="s">
        <v>505</v>
      </c>
      <c r="I2972" s="656"/>
      <c r="J2972" s="656"/>
      <c r="K2972" s="656"/>
      <c r="L2972" s="656"/>
      <c r="M2972" s="657"/>
      <c r="N2972" s="1482"/>
      <c r="O2972" s="656" t="s">
        <v>498</v>
      </c>
      <c r="P2972" s="656" t="s">
        <v>13052</v>
      </c>
      <c r="Q2972" s="656">
        <v>44216.772407407407</v>
      </c>
    </row>
    <row r="2973" spans="1:17">
      <c r="A2973" s="656" t="s">
        <v>3954</v>
      </c>
      <c r="B2973" s="657" t="s">
        <v>504</v>
      </c>
      <c r="C2973" s="656" t="s">
        <v>3955</v>
      </c>
      <c r="D2973" s="657"/>
      <c r="E2973" s="657"/>
      <c r="F2973" s="656" t="s">
        <v>505</v>
      </c>
      <c r="G2973" s="656"/>
      <c r="H2973" s="656" t="s">
        <v>505</v>
      </c>
      <c r="I2973" s="656"/>
      <c r="J2973" s="656"/>
      <c r="K2973" s="656"/>
      <c r="L2973" s="656"/>
      <c r="M2973" s="657"/>
      <c r="N2973" s="1482"/>
      <c r="O2973" s="656" t="s">
        <v>498</v>
      </c>
      <c r="P2973" s="656" t="s">
        <v>13052</v>
      </c>
      <c r="Q2973" s="656">
        <v>44216.772407407407</v>
      </c>
    </row>
    <row r="2974" spans="1:17">
      <c r="A2974" s="656" t="s">
        <v>3956</v>
      </c>
      <c r="B2974" s="657" t="s">
        <v>504</v>
      </c>
      <c r="C2974" s="656" t="s">
        <v>3957</v>
      </c>
      <c r="D2974" s="657"/>
      <c r="E2974" s="657"/>
      <c r="F2974" s="656" t="s">
        <v>505</v>
      </c>
      <c r="G2974" s="656"/>
      <c r="H2974" s="656" t="s">
        <v>505</v>
      </c>
      <c r="I2974" s="656"/>
      <c r="J2974" s="656"/>
      <c r="K2974" s="656"/>
      <c r="L2974" s="656"/>
      <c r="M2974" s="657"/>
      <c r="N2974" s="1482"/>
      <c r="O2974" s="656" t="s">
        <v>498</v>
      </c>
      <c r="P2974" s="656" t="s">
        <v>13052</v>
      </c>
      <c r="Q2974" s="656">
        <v>44216.772407407407</v>
      </c>
    </row>
    <row r="2975" spans="1:17">
      <c r="A2975" s="656" t="s">
        <v>3958</v>
      </c>
      <c r="B2975" s="657" t="s">
        <v>504</v>
      </c>
      <c r="C2975" s="656" t="s">
        <v>3959</v>
      </c>
      <c r="D2975" s="657"/>
      <c r="E2975" s="657"/>
      <c r="F2975" s="656" t="s">
        <v>505</v>
      </c>
      <c r="G2975" s="656"/>
      <c r="H2975" s="656" t="s">
        <v>505</v>
      </c>
      <c r="I2975" s="656"/>
      <c r="J2975" s="656"/>
      <c r="K2975" s="656"/>
      <c r="L2975" s="656"/>
      <c r="M2975" s="657"/>
      <c r="N2975" s="1482"/>
      <c r="O2975" s="656" t="s">
        <v>498</v>
      </c>
      <c r="P2975" s="656" t="s">
        <v>13052</v>
      </c>
      <c r="Q2975" s="656">
        <v>44216.77239583333</v>
      </c>
    </row>
    <row r="2976" spans="1:17">
      <c r="A2976" s="656" t="s">
        <v>3960</v>
      </c>
      <c r="B2976" s="657" t="s">
        <v>504</v>
      </c>
      <c r="C2976" s="656" t="s">
        <v>3961</v>
      </c>
      <c r="D2976" s="657"/>
      <c r="E2976" s="657"/>
      <c r="F2976" s="656" t="s">
        <v>505</v>
      </c>
      <c r="G2976" s="656"/>
      <c r="H2976" s="656" t="s">
        <v>505</v>
      </c>
      <c r="I2976" s="656"/>
      <c r="J2976" s="656"/>
      <c r="K2976" s="656"/>
      <c r="L2976" s="656"/>
      <c r="M2976" s="657"/>
      <c r="N2976" s="1482"/>
      <c r="O2976" s="656" t="s">
        <v>498</v>
      </c>
      <c r="P2976" s="656" t="s">
        <v>13052</v>
      </c>
      <c r="Q2976" s="656">
        <v>44216.77239583333</v>
      </c>
    </row>
    <row r="2977" spans="1:17">
      <c r="A2977" s="656" t="s">
        <v>3962</v>
      </c>
      <c r="B2977" s="657" t="s">
        <v>504</v>
      </c>
      <c r="C2977" s="656" t="s">
        <v>3963</v>
      </c>
      <c r="D2977" s="657"/>
      <c r="E2977" s="657"/>
      <c r="F2977" s="656" t="s">
        <v>505</v>
      </c>
      <c r="G2977" s="656"/>
      <c r="H2977" s="656" t="s">
        <v>505</v>
      </c>
      <c r="I2977" s="656"/>
      <c r="J2977" s="656"/>
      <c r="K2977" s="656"/>
      <c r="L2977" s="656"/>
      <c r="M2977" s="657"/>
      <c r="N2977" s="1482"/>
      <c r="O2977" s="656" t="s">
        <v>498</v>
      </c>
      <c r="P2977" s="656" t="s">
        <v>13052</v>
      </c>
      <c r="Q2977" s="656">
        <v>44216.77238425926</v>
      </c>
    </row>
    <row r="2978" spans="1:17">
      <c r="A2978" s="656" t="s">
        <v>3964</v>
      </c>
      <c r="B2978" s="657" t="s">
        <v>504</v>
      </c>
      <c r="C2978" s="656" t="s">
        <v>3965</v>
      </c>
      <c r="D2978" s="657"/>
      <c r="E2978" s="657"/>
      <c r="F2978" s="656" t="s">
        <v>505</v>
      </c>
      <c r="G2978" s="656"/>
      <c r="H2978" s="656" t="s">
        <v>505</v>
      </c>
      <c r="I2978" s="656"/>
      <c r="J2978" s="656"/>
      <c r="K2978" s="656"/>
      <c r="L2978" s="656"/>
      <c r="M2978" s="657"/>
      <c r="N2978" s="1482"/>
      <c r="O2978" s="656" t="s">
        <v>498</v>
      </c>
      <c r="P2978" s="656" t="s">
        <v>13052</v>
      </c>
      <c r="Q2978" s="656">
        <v>44216.77238425926</v>
      </c>
    </row>
    <row r="2979" spans="1:17">
      <c r="A2979" s="656" t="s">
        <v>13687</v>
      </c>
      <c r="B2979" s="657" t="s">
        <v>504</v>
      </c>
      <c r="C2979" s="656" t="s">
        <v>3966</v>
      </c>
      <c r="D2979" s="657" t="s">
        <v>14977</v>
      </c>
      <c r="E2979" s="657" t="s">
        <v>7439</v>
      </c>
      <c r="F2979" s="656" t="s">
        <v>505</v>
      </c>
      <c r="G2979" s="656" t="s">
        <v>820</v>
      </c>
      <c r="H2979" s="656" t="s">
        <v>505</v>
      </c>
      <c r="I2979" s="656" t="s">
        <v>14976</v>
      </c>
      <c r="J2979" s="656"/>
      <c r="K2979" s="656"/>
      <c r="L2979" s="656" t="s">
        <v>15304</v>
      </c>
      <c r="M2979" s="657"/>
      <c r="N2979" s="1482"/>
      <c r="O2979" s="656" t="s">
        <v>498</v>
      </c>
      <c r="P2979" s="656" t="s">
        <v>13052</v>
      </c>
      <c r="Q2979" s="656">
        <v>44216.772372685184</v>
      </c>
    </row>
    <row r="2980" spans="1:17">
      <c r="A2980" s="656" t="s">
        <v>3967</v>
      </c>
      <c r="B2980" s="657" t="s">
        <v>504</v>
      </c>
      <c r="C2980" s="656" t="s">
        <v>3968</v>
      </c>
      <c r="D2980" s="657" t="s">
        <v>13789</v>
      </c>
      <c r="E2980" s="657" t="s">
        <v>9654</v>
      </c>
      <c r="F2980" s="656" t="s">
        <v>505</v>
      </c>
      <c r="G2980" s="656" t="s">
        <v>820</v>
      </c>
      <c r="H2980" s="656" t="s">
        <v>505</v>
      </c>
      <c r="I2980" s="656" t="s">
        <v>14976</v>
      </c>
      <c r="J2980" s="656"/>
      <c r="K2980" s="656"/>
      <c r="L2980" s="656"/>
      <c r="M2980" s="657"/>
      <c r="N2980" s="1482"/>
      <c r="O2980" s="656" t="s">
        <v>498</v>
      </c>
      <c r="P2980" s="656" t="s">
        <v>13052</v>
      </c>
      <c r="Q2980" s="656">
        <v>44216.772372685184</v>
      </c>
    </row>
    <row r="2981" spans="1:17">
      <c r="A2981" s="656" t="s">
        <v>3969</v>
      </c>
      <c r="B2981" s="657" t="s">
        <v>504</v>
      </c>
      <c r="C2981" s="656" t="s">
        <v>13686</v>
      </c>
      <c r="D2981" s="657" t="s">
        <v>13789</v>
      </c>
      <c r="E2981" s="657" t="s">
        <v>9654</v>
      </c>
      <c r="F2981" s="656" t="s">
        <v>505</v>
      </c>
      <c r="G2981" s="656" t="s">
        <v>820</v>
      </c>
      <c r="H2981" s="656" t="s">
        <v>505</v>
      </c>
      <c r="I2981" s="656" t="s">
        <v>14976</v>
      </c>
      <c r="J2981" s="656"/>
      <c r="K2981" s="656"/>
      <c r="L2981" s="656" t="s">
        <v>3970</v>
      </c>
      <c r="M2981" s="657"/>
      <c r="N2981" s="1482"/>
      <c r="O2981" s="656" t="s">
        <v>498</v>
      </c>
      <c r="P2981" s="656" t="s">
        <v>13052</v>
      </c>
      <c r="Q2981" s="656">
        <v>44216.772361111114</v>
      </c>
    </row>
    <row r="2982" spans="1:17">
      <c r="A2982" s="656" t="s">
        <v>3970</v>
      </c>
      <c r="B2982" s="657" t="s">
        <v>504</v>
      </c>
      <c r="C2982" s="656" t="s">
        <v>3971</v>
      </c>
      <c r="D2982" s="657"/>
      <c r="E2982" s="657"/>
      <c r="F2982" s="656" t="s">
        <v>505</v>
      </c>
      <c r="G2982" s="656"/>
      <c r="H2982" s="656" t="s">
        <v>505</v>
      </c>
      <c r="I2982" s="656"/>
      <c r="J2982" s="656"/>
      <c r="K2982" s="656"/>
      <c r="L2982" s="656"/>
      <c r="M2982" s="657"/>
      <c r="N2982" s="1482"/>
      <c r="O2982" s="656" t="s">
        <v>498</v>
      </c>
      <c r="P2982" s="656" t="s">
        <v>13052</v>
      </c>
      <c r="Q2982" s="656">
        <v>44216.772361111114</v>
      </c>
    </row>
    <row r="2983" spans="1:17">
      <c r="A2983" s="656" t="s">
        <v>3972</v>
      </c>
      <c r="B2983" s="657" t="s">
        <v>504</v>
      </c>
      <c r="C2983" s="656" t="s">
        <v>3973</v>
      </c>
      <c r="D2983" s="657"/>
      <c r="E2983" s="657"/>
      <c r="F2983" s="656" t="s">
        <v>505</v>
      </c>
      <c r="G2983" s="656"/>
      <c r="H2983" s="656" t="s">
        <v>505</v>
      </c>
      <c r="I2983" s="656"/>
      <c r="J2983" s="656"/>
      <c r="K2983" s="656"/>
      <c r="L2983" s="656"/>
      <c r="M2983" s="657"/>
      <c r="N2983" s="1482"/>
      <c r="O2983" s="656" t="s">
        <v>498</v>
      </c>
      <c r="P2983" s="656" t="s">
        <v>13052</v>
      </c>
      <c r="Q2983" s="656">
        <v>44216.772361111114</v>
      </c>
    </row>
    <row r="2984" spans="1:17">
      <c r="A2984" s="656" t="s">
        <v>3974</v>
      </c>
      <c r="B2984" s="657" t="s">
        <v>504</v>
      </c>
      <c r="C2984" s="656" t="s">
        <v>3975</v>
      </c>
      <c r="D2984" s="657"/>
      <c r="E2984" s="657"/>
      <c r="F2984" s="656" t="s">
        <v>505</v>
      </c>
      <c r="G2984" s="656"/>
      <c r="H2984" s="656" t="s">
        <v>505</v>
      </c>
      <c r="I2984" s="656"/>
      <c r="J2984" s="656"/>
      <c r="K2984" s="656"/>
      <c r="L2984" s="656"/>
      <c r="M2984" s="657"/>
      <c r="N2984" s="1482"/>
      <c r="O2984" s="656" t="s">
        <v>498</v>
      </c>
      <c r="P2984" s="656" t="s">
        <v>13052</v>
      </c>
      <c r="Q2984" s="656">
        <v>44216.772349537037</v>
      </c>
    </row>
    <row r="2985" spans="1:17">
      <c r="A2985" s="656" t="s">
        <v>3976</v>
      </c>
      <c r="B2985" s="657" t="s">
        <v>504</v>
      </c>
      <c r="C2985" s="656" t="s">
        <v>3977</v>
      </c>
      <c r="D2985" s="657"/>
      <c r="E2985" s="657"/>
      <c r="F2985" s="656" t="s">
        <v>505</v>
      </c>
      <c r="G2985" s="656"/>
      <c r="H2985" s="656" t="s">
        <v>505</v>
      </c>
      <c r="I2985" s="656"/>
      <c r="J2985" s="656"/>
      <c r="K2985" s="656"/>
      <c r="L2985" s="656"/>
      <c r="M2985" s="657"/>
      <c r="N2985" s="1482"/>
      <c r="O2985" s="656" t="s">
        <v>498</v>
      </c>
      <c r="P2985" s="656" t="s">
        <v>13052</v>
      </c>
      <c r="Q2985" s="656">
        <v>44216.772337962961</v>
      </c>
    </row>
    <row r="2986" spans="1:17">
      <c r="A2986" s="656" t="s">
        <v>3978</v>
      </c>
      <c r="B2986" s="657" t="s">
        <v>504</v>
      </c>
      <c r="C2986" s="656" t="s">
        <v>3979</v>
      </c>
      <c r="D2986" s="657"/>
      <c r="E2986" s="657"/>
      <c r="F2986" s="656" t="s">
        <v>505</v>
      </c>
      <c r="G2986" s="656"/>
      <c r="H2986" s="656" t="s">
        <v>505</v>
      </c>
      <c r="I2986" s="656"/>
      <c r="J2986" s="656"/>
      <c r="K2986" s="656"/>
      <c r="L2986" s="656"/>
      <c r="M2986" s="657"/>
      <c r="N2986" s="1482"/>
      <c r="O2986" s="656" t="s">
        <v>498</v>
      </c>
      <c r="P2986" s="656" t="s">
        <v>13052</v>
      </c>
      <c r="Q2986" s="656">
        <v>44216.772337962961</v>
      </c>
    </row>
    <row r="2987" spans="1:17">
      <c r="A2987" s="656" t="s">
        <v>3980</v>
      </c>
      <c r="B2987" s="657" t="s">
        <v>504</v>
      </c>
      <c r="C2987" s="656" t="s">
        <v>3981</v>
      </c>
      <c r="D2987" s="657" t="s">
        <v>14978</v>
      </c>
      <c r="E2987" s="657" t="s">
        <v>9654</v>
      </c>
      <c r="F2987" s="656" t="s">
        <v>505</v>
      </c>
      <c r="G2987" s="656" t="s">
        <v>820</v>
      </c>
      <c r="H2987" s="656" t="s">
        <v>505</v>
      </c>
      <c r="I2987" s="656" t="s">
        <v>14976</v>
      </c>
      <c r="J2987" s="656"/>
      <c r="K2987" s="656"/>
      <c r="L2987" s="656" t="s">
        <v>3982</v>
      </c>
      <c r="M2987" s="657"/>
      <c r="N2987" s="1482"/>
      <c r="O2987" s="656" t="s">
        <v>498</v>
      </c>
      <c r="P2987" s="656" t="s">
        <v>13052</v>
      </c>
      <c r="Q2987" s="656">
        <v>44216.772337962961</v>
      </c>
    </row>
    <row r="2988" spans="1:17">
      <c r="A2988" s="656" t="s">
        <v>3982</v>
      </c>
      <c r="B2988" s="657" t="s">
        <v>504</v>
      </c>
      <c r="C2988" s="656" t="s">
        <v>1879</v>
      </c>
      <c r="D2988" s="657"/>
      <c r="E2988" s="657"/>
      <c r="F2988" s="656" t="s">
        <v>505</v>
      </c>
      <c r="G2988" s="656"/>
      <c r="H2988" s="656" t="s">
        <v>505</v>
      </c>
      <c r="I2988" s="656"/>
      <c r="J2988" s="656"/>
      <c r="K2988" s="656"/>
      <c r="L2988" s="656"/>
      <c r="M2988" s="657"/>
      <c r="N2988" s="1482"/>
      <c r="O2988" s="656" t="s">
        <v>498</v>
      </c>
      <c r="P2988" s="656" t="s">
        <v>13052</v>
      </c>
      <c r="Q2988" s="656">
        <v>44216.772326388891</v>
      </c>
    </row>
    <row r="2989" spans="1:17">
      <c r="A2989" s="656" t="s">
        <v>3983</v>
      </c>
      <c r="B2989" s="657" t="s">
        <v>202</v>
      </c>
      <c r="C2989" s="656" t="s">
        <v>3984</v>
      </c>
      <c r="D2989" s="657" t="s">
        <v>1239</v>
      </c>
      <c r="E2989" s="657"/>
      <c r="F2989" s="656" t="s">
        <v>1300</v>
      </c>
      <c r="G2989" s="656" t="s">
        <v>1301</v>
      </c>
      <c r="H2989" s="656" t="s">
        <v>1300</v>
      </c>
      <c r="I2989" s="656" t="s">
        <v>14976</v>
      </c>
      <c r="J2989" s="656" t="s">
        <v>15285</v>
      </c>
      <c r="K2989" s="656"/>
      <c r="L2989" s="656"/>
      <c r="M2989" s="657"/>
      <c r="N2989" s="1482"/>
      <c r="O2989" s="656" t="s">
        <v>498</v>
      </c>
      <c r="P2989" s="656" t="s">
        <v>13052</v>
      </c>
      <c r="Q2989" s="656">
        <v>44216.772326388891</v>
      </c>
    </row>
    <row r="2990" spans="1:17">
      <c r="A2990" s="656" t="s">
        <v>3985</v>
      </c>
      <c r="B2990" s="657" t="s">
        <v>202</v>
      </c>
      <c r="C2990" s="656" t="s">
        <v>3986</v>
      </c>
      <c r="D2990" s="657" t="s">
        <v>1239</v>
      </c>
      <c r="E2990" s="657"/>
      <c r="F2990" s="656" t="s">
        <v>1300</v>
      </c>
      <c r="G2990" s="656" t="s">
        <v>1300</v>
      </c>
      <c r="H2990" s="656" t="s">
        <v>1300</v>
      </c>
      <c r="I2990" s="656" t="s">
        <v>14976</v>
      </c>
      <c r="J2990" s="656" t="s">
        <v>15285</v>
      </c>
      <c r="K2990" s="656"/>
      <c r="L2990" s="656"/>
      <c r="M2990" s="657"/>
      <c r="N2990" s="1482"/>
      <c r="O2990" s="656" t="s">
        <v>498</v>
      </c>
      <c r="P2990" s="656" t="s">
        <v>13052</v>
      </c>
      <c r="Q2990" s="656">
        <v>44216.772314814814</v>
      </c>
    </row>
    <row r="2991" spans="1:17">
      <c r="A2991" s="656" t="s">
        <v>3987</v>
      </c>
      <c r="B2991" s="657" t="s">
        <v>202</v>
      </c>
      <c r="C2991" s="656" t="s">
        <v>3988</v>
      </c>
      <c r="D2991" s="657" t="s">
        <v>14977</v>
      </c>
      <c r="E2991" s="657"/>
      <c r="F2991" s="656" t="s">
        <v>1300</v>
      </c>
      <c r="G2991" s="656" t="s">
        <v>3280</v>
      </c>
      <c r="H2991" s="656" t="s">
        <v>1300</v>
      </c>
      <c r="I2991" s="656" t="s">
        <v>14976</v>
      </c>
      <c r="J2991" s="656" t="s">
        <v>15285</v>
      </c>
      <c r="K2991" s="656"/>
      <c r="L2991" s="656" t="s">
        <v>3987</v>
      </c>
      <c r="M2991" s="657"/>
      <c r="N2991" s="1482"/>
      <c r="O2991" s="656" t="s">
        <v>498</v>
      </c>
      <c r="P2991" s="656" t="s">
        <v>13052</v>
      </c>
      <c r="Q2991" s="656">
        <v>44216.772314814814</v>
      </c>
    </row>
    <row r="2992" spans="1:17">
      <c r="A2992" s="656" t="s">
        <v>3989</v>
      </c>
      <c r="B2992" s="657" t="s">
        <v>202</v>
      </c>
      <c r="C2992" s="656" t="s">
        <v>3990</v>
      </c>
      <c r="D2992" s="657" t="s">
        <v>14977</v>
      </c>
      <c r="E2992" s="657"/>
      <c r="F2992" s="656" t="s">
        <v>1300</v>
      </c>
      <c r="G2992" s="656" t="s">
        <v>13</v>
      </c>
      <c r="H2992" s="656" t="s">
        <v>1300</v>
      </c>
      <c r="I2992" s="656" t="s">
        <v>14976</v>
      </c>
      <c r="J2992" s="656" t="s">
        <v>15285</v>
      </c>
      <c r="K2992" s="656"/>
      <c r="L2992" s="656" t="s">
        <v>3989</v>
      </c>
      <c r="M2992" s="657"/>
      <c r="N2992" s="1482"/>
      <c r="O2992" s="656" t="s">
        <v>498</v>
      </c>
      <c r="P2992" s="656" t="s">
        <v>13052</v>
      </c>
      <c r="Q2992" s="656">
        <v>44216.772303240738</v>
      </c>
    </row>
    <row r="2993" spans="1:17">
      <c r="A2993" s="656" t="s">
        <v>3991</v>
      </c>
      <c r="B2993" s="657"/>
      <c r="C2993" s="656" t="s">
        <v>3992</v>
      </c>
      <c r="D2993" s="657" t="s">
        <v>14977</v>
      </c>
      <c r="E2993" s="657"/>
      <c r="F2993" s="656" t="s">
        <v>1394</v>
      </c>
      <c r="G2993" s="656" t="s">
        <v>625</v>
      </c>
      <c r="H2993" s="656" t="s">
        <v>1394</v>
      </c>
      <c r="I2993" s="656" t="s">
        <v>14976</v>
      </c>
      <c r="J2993" s="656"/>
      <c r="K2993" s="656"/>
      <c r="L2993" s="656" t="s">
        <v>3991</v>
      </c>
      <c r="M2993" s="657"/>
      <c r="N2993" s="1482"/>
      <c r="O2993" s="656" t="s">
        <v>498</v>
      </c>
      <c r="P2993" s="656" t="s">
        <v>13052</v>
      </c>
      <c r="Q2993" s="656">
        <v>44216.772303240738</v>
      </c>
    </row>
    <row r="2994" spans="1:17">
      <c r="A2994" s="656" t="s">
        <v>3993</v>
      </c>
      <c r="B2994" s="657" t="s">
        <v>202</v>
      </c>
      <c r="C2994" s="656" t="s">
        <v>3994</v>
      </c>
      <c r="D2994" s="657" t="s">
        <v>14977</v>
      </c>
      <c r="E2994" s="657"/>
      <c r="F2994" s="656" t="s">
        <v>472</v>
      </c>
      <c r="G2994" s="656" t="s">
        <v>541</v>
      </c>
      <c r="H2994" s="656" t="s">
        <v>472</v>
      </c>
      <c r="I2994" s="656" t="s">
        <v>14976</v>
      </c>
      <c r="J2994" s="656" t="s">
        <v>12368</v>
      </c>
      <c r="K2994" s="656"/>
      <c r="L2994" s="656"/>
      <c r="M2994" s="657"/>
      <c r="N2994" s="1482"/>
      <c r="O2994" s="656" t="s">
        <v>498</v>
      </c>
      <c r="P2994" s="656" t="s">
        <v>13052</v>
      </c>
      <c r="Q2994" s="656">
        <v>44216.772291666668</v>
      </c>
    </row>
    <row r="2995" spans="1:17">
      <c r="A2995" s="656" t="s">
        <v>3995</v>
      </c>
      <c r="B2995" s="657" t="s">
        <v>504</v>
      </c>
      <c r="C2995" s="656" t="s">
        <v>3996</v>
      </c>
      <c r="D2995" s="657"/>
      <c r="E2995" s="657"/>
      <c r="F2995" s="656" t="s">
        <v>505</v>
      </c>
      <c r="G2995" s="656"/>
      <c r="H2995" s="656" t="s">
        <v>505</v>
      </c>
      <c r="I2995" s="656"/>
      <c r="J2995" s="656"/>
      <c r="K2995" s="656"/>
      <c r="L2995" s="656"/>
      <c r="M2995" s="657"/>
      <c r="N2995" s="1482"/>
      <c r="O2995" s="656" t="s">
        <v>498</v>
      </c>
      <c r="P2995" s="656" t="s">
        <v>13052</v>
      </c>
      <c r="Q2995" s="656">
        <v>44216.772280092591</v>
      </c>
    </row>
    <row r="2996" spans="1:17">
      <c r="A2996" s="656" t="s">
        <v>3997</v>
      </c>
      <c r="B2996" s="657" t="s">
        <v>504</v>
      </c>
      <c r="C2996" s="656" t="s">
        <v>3998</v>
      </c>
      <c r="D2996" s="657"/>
      <c r="E2996" s="657"/>
      <c r="F2996" s="656" t="s">
        <v>505</v>
      </c>
      <c r="G2996" s="656"/>
      <c r="H2996" s="656" t="s">
        <v>505</v>
      </c>
      <c r="I2996" s="656"/>
      <c r="J2996" s="656"/>
      <c r="K2996" s="656"/>
      <c r="L2996" s="656"/>
      <c r="M2996" s="657"/>
      <c r="N2996" s="1482"/>
      <c r="O2996" s="656" t="s">
        <v>498</v>
      </c>
      <c r="P2996" s="656" t="s">
        <v>13052</v>
      </c>
      <c r="Q2996" s="656">
        <v>44216.772268518522</v>
      </c>
    </row>
    <row r="2997" spans="1:17">
      <c r="A2997" s="656" t="s">
        <v>3999</v>
      </c>
      <c r="B2997" s="657" t="s">
        <v>504</v>
      </c>
      <c r="C2997" s="656" t="s">
        <v>4000</v>
      </c>
      <c r="D2997" s="657"/>
      <c r="E2997" s="657"/>
      <c r="F2997" s="656" t="s">
        <v>505</v>
      </c>
      <c r="G2997" s="656"/>
      <c r="H2997" s="656" t="s">
        <v>505</v>
      </c>
      <c r="I2997" s="656"/>
      <c r="J2997" s="656"/>
      <c r="K2997" s="656"/>
      <c r="L2997" s="656"/>
      <c r="M2997" s="657"/>
      <c r="N2997" s="1482"/>
      <c r="O2997" s="656" t="s">
        <v>498</v>
      </c>
      <c r="P2997" s="656" t="s">
        <v>13052</v>
      </c>
      <c r="Q2997" s="656">
        <v>44216.772256944445</v>
      </c>
    </row>
    <row r="2998" spans="1:17">
      <c r="A2998" s="656" t="s">
        <v>4001</v>
      </c>
      <c r="B2998" s="657" t="s">
        <v>504</v>
      </c>
      <c r="C2998" s="656" t="s">
        <v>4002</v>
      </c>
      <c r="D2998" s="657"/>
      <c r="E2998" s="657"/>
      <c r="F2998" s="656" t="s">
        <v>505</v>
      </c>
      <c r="G2998" s="656"/>
      <c r="H2998" s="656" t="s">
        <v>505</v>
      </c>
      <c r="I2998" s="656"/>
      <c r="J2998" s="656"/>
      <c r="K2998" s="656"/>
      <c r="L2998" s="656"/>
      <c r="M2998" s="657"/>
      <c r="N2998" s="1482"/>
      <c r="O2998" s="656" t="s">
        <v>498</v>
      </c>
      <c r="P2998" s="656" t="s">
        <v>13052</v>
      </c>
      <c r="Q2998" s="656">
        <v>44216.772245370368</v>
      </c>
    </row>
    <row r="2999" spans="1:17">
      <c r="A2999" s="656" t="s">
        <v>4003</v>
      </c>
      <c r="B2999" s="657" t="s">
        <v>504</v>
      </c>
      <c r="C2999" s="656" t="s">
        <v>4004</v>
      </c>
      <c r="D2999" s="657"/>
      <c r="E2999" s="657"/>
      <c r="F2999" s="656" t="s">
        <v>505</v>
      </c>
      <c r="G2999" s="656"/>
      <c r="H2999" s="656" t="s">
        <v>505</v>
      </c>
      <c r="I2999" s="656"/>
      <c r="J2999" s="656"/>
      <c r="K2999" s="656"/>
      <c r="L2999" s="656"/>
      <c r="M2999" s="657"/>
      <c r="N2999" s="1482"/>
      <c r="O2999" s="656" t="s">
        <v>498</v>
      </c>
      <c r="P2999" s="656" t="s">
        <v>13052</v>
      </c>
      <c r="Q2999" s="656">
        <v>44216.772245370368</v>
      </c>
    </row>
    <row r="3000" spans="1:17">
      <c r="A3000" s="656" t="s">
        <v>4005</v>
      </c>
      <c r="B3000" s="657" t="s">
        <v>504</v>
      </c>
      <c r="C3000" s="656" t="s">
        <v>4006</v>
      </c>
      <c r="D3000" s="657"/>
      <c r="E3000" s="657"/>
      <c r="F3000" s="656" t="s">
        <v>505</v>
      </c>
      <c r="G3000" s="656"/>
      <c r="H3000" s="656" t="s">
        <v>505</v>
      </c>
      <c r="I3000" s="656"/>
      <c r="J3000" s="656"/>
      <c r="K3000" s="656"/>
      <c r="L3000" s="656"/>
      <c r="M3000" s="657"/>
      <c r="N3000" s="1482"/>
      <c r="O3000" s="656" t="s">
        <v>498</v>
      </c>
      <c r="P3000" s="656" t="s">
        <v>13052</v>
      </c>
      <c r="Q3000" s="656">
        <v>44216.772233796299</v>
      </c>
    </row>
    <row r="3001" spans="1:17">
      <c r="A3001" s="656" t="s">
        <v>4007</v>
      </c>
      <c r="B3001" s="657" t="s">
        <v>504</v>
      </c>
      <c r="C3001" s="656" t="s">
        <v>4008</v>
      </c>
      <c r="D3001" s="657"/>
      <c r="E3001" s="657"/>
      <c r="F3001" s="656" t="s">
        <v>505</v>
      </c>
      <c r="G3001" s="656"/>
      <c r="H3001" s="656" t="s">
        <v>505</v>
      </c>
      <c r="I3001" s="656"/>
      <c r="J3001" s="656"/>
      <c r="K3001" s="656"/>
      <c r="L3001" s="656"/>
      <c r="M3001" s="657"/>
      <c r="N3001" s="1482"/>
      <c r="O3001" s="656" t="s">
        <v>498</v>
      </c>
      <c r="P3001" s="656" t="s">
        <v>13052</v>
      </c>
      <c r="Q3001" s="656">
        <v>44216.772233796299</v>
      </c>
    </row>
    <row r="3002" spans="1:17">
      <c r="A3002" s="656" t="s">
        <v>4009</v>
      </c>
      <c r="B3002" s="657" t="s">
        <v>504</v>
      </c>
      <c r="C3002" s="656" t="s">
        <v>4010</v>
      </c>
      <c r="D3002" s="657"/>
      <c r="E3002" s="657"/>
      <c r="F3002" s="656" t="s">
        <v>505</v>
      </c>
      <c r="G3002" s="656"/>
      <c r="H3002" s="656" t="s">
        <v>505</v>
      </c>
      <c r="I3002" s="656"/>
      <c r="J3002" s="656"/>
      <c r="K3002" s="656"/>
      <c r="L3002" s="656"/>
      <c r="M3002" s="657"/>
      <c r="N3002" s="1482"/>
      <c r="O3002" s="656" t="s">
        <v>498</v>
      </c>
      <c r="P3002" s="656" t="s">
        <v>13052</v>
      </c>
      <c r="Q3002" s="656">
        <v>44216.772222222222</v>
      </c>
    </row>
    <row r="3003" spans="1:17">
      <c r="A3003" s="656" t="s">
        <v>4011</v>
      </c>
      <c r="B3003" s="657" t="s">
        <v>504</v>
      </c>
      <c r="C3003" s="656" t="s">
        <v>4012</v>
      </c>
      <c r="D3003" s="657"/>
      <c r="E3003" s="657"/>
      <c r="F3003" s="656" t="s">
        <v>505</v>
      </c>
      <c r="G3003" s="656"/>
      <c r="H3003" s="656" t="s">
        <v>505</v>
      </c>
      <c r="I3003" s="656"/>
      <c r="J3003" s="656"/>
      <c r="K3003" s="656"/>
      <c r="L3003" s="656"/>
      <c r="M3003" s="657"/>
      <c r="N3003" s="1482"/>
      <c r="O3003" s="656" t="s">
        <v>498</v>
      </c>
      <c r="P3003" s="656" t="s">
        <v>13052</v>
      </c>
      <c r="Q3003" s="656">
        <v>44216.772222222222</v>
      </c>
    </row>
    <row r="3004" spans="1:17">
      <c r="A3004" s="656" t="s">
        <v>4013</v>
      </c>
      <c r="B3004" s="657" t="s">
        <v>504</v>
      </c>
      <c r="C3004" s="656" t="s">
        <v>4014</v>
      </c>
      <c r="D3004" s="657"/>
      <c r="E3004" s="657"/>
      <c r="F3004" s="656" t="s">
        <v>505</v>
      </c>
      <c r="G3004" s="656"/>
      <c r="H3004" s="656" t="s">
        <v>505</v>
      </c>
      <c r="I3004" s="656"/>
      <c r="J3004" s="656"/>
      <c r="K3004" s="656"/>
      <c r="L3004" s="656"/>
      <c r="M3004" s="657"/>
      <c r="N3004" s="1482"/>
      <c r="O3004" s="656" t="s">
        <v>498</v>
      </c>
      <c r="P3004" s="656" t="s">
        <v>13052</v>
      </c>
      <c r="Q3004" s="656">
        <v>44216.772210648145</v>
      </c>
    </row>
    <row r="3005" spans="1:17">
      <c r="A3005" s="656" t="s">
        <v>4015</v>
      </c>
      <c r="B3005" s="657" t="s">
        <v>504</v>
      </c>
      <c r="C3005" s="656" t="s">
        <v>4016</v>
      </c>
      <c r="D3005" s="657"/>
      <c r="E3005" s="657"/>
      <c r="F3005" s="656" t="s">
        <v>505</v>
      </c>
      <c r="G3005" s="656"/>
      <c r="H3005" s="656" t="s">
        <v>505</v>
      </c>
      <c r="I3005" s="656"/>
      <c r="J3005" s="656"/>
      <c r="K3005" s="656"/>
      <c r="L3005" s="656"/>
      <c r="M3005" s="657"/>
      <c r="N3005" s="1482"/>
      <c r="O3005" s="656" t="s">
        <v>498</v>
      </c>
      <c r="P3005" s="656" t="s">
        <v>13052</v>
      </c>
      <c r="Q3005" s="656">
        <v>44216.772210648145</v>
      </c>
    </row>
    <row r="3006" spans="1:17">
      <c r="A3006" s="656" t="s">
        <v>4017</v>
      </c>
      <c r="B3006" s="657" t="s">
        <v>504</v>
      </c>
      <c r="C3006" s="656" t="s">
        <v>4018</v>
      </c>
      <c r="D3006" s="657"/>
      <c r="E3006" s="657"/>
      <c r="F3006" s="656" t="s">
        <v>505</v>
      </c>
      <c r="G3006" s="656"/>
      <c r="H3006" s="656" t="s">
        <v>505</v>
      </c>
      <c r="I3006" s="656"/>
      <c r="J3006" s="656"/>
      <c r="K3006" s="656"/>
      <c r="L3006" s="656"/>
      <c r="M3006" s="657"/>
      <c r="N3006" s="1482"/>
      <c r="O3006" s="656" t="s">
        <v>498</v>
      </c>
      <c r="P3006" s="656" t="s">
        <v>13052</v>
      </c>
      <c r="Q3006" s="656">
        <v>44216.772199074076</v>
      </c>
    </row>
    <row r="3007" spans="1:17">
      <c r="A3007" s="656" t="s">
        <v>4019</v>
      </c>
      <c r="B3007" s="657" t="s">
        <v>504</v>
      </c>
      <c r="C3007" s="656" t="s">
        <v>4020</v>
      </c>
      <c r="D3007" s="657" t="s">
        <v>14977</v>
      </c>
      <c r="E3007" s="657"/>
      <c r="F3007" s="656" t="s">
        <v>1394</v>
      </c>
      <c r="G3007" s="656" t="s">
        <v>4021</v>
      </c>
      <c r="H3007" s="656" t="s">
        <v>1394</v>
      </c>
      <c r="I3007" s="656"/>
      <c r="J3007" s="656"/>
      <c r="K3007" s="656"/>
      <c r="L3007" s="656"/>
      <c r="M3007" s="657"/>
      <c r="N3007" s="1482"/>
      <c r="O3007" s="656" t="s">
        <v>498</v>
      </c>
      <c r="P3007" s="656" t="s">
        <v>13052</v>
      </c>
      <c r="Q3007" s="656">
        <v>44216.772199074076</v>
      </c>
    </row>
    <row r="3008" spans="1:17">
      <c r="A3008" s="656" t="s">
        <v>4022</v>
      </c>
      <c r="B3008" s="657" t="s">
        <v>531</v>
      </c>
      <c r="C3008" s="656" t="s">
        <v>4023</v>
      </c>
      <c r="D3008" s="657" t="s">
        <v>14977</v>
      </c>
      <c r="E3008" s="657"/>
      <c r="F3008" s="656" t="s">
        <v>1394</v>
      </c>
      <c r="G3008" s="656" t="s">
        <v>717</v>
      </c>
      <c r="H3008" s="656" t="s">
        <v>1394</v>
      </c>
      <c r="I3008" s="656" t="s">
        <v>14976</v>
      </c>
      <c r="J3008" s="656" t="s">
        <v>532</v>
      </c>
      <c r="K3008" s="656"/>
      <c r="L3008" s="656" t="s">
        <v>4022</v>
      </c>
      <c r="M3008" s="657"/>
      <c r="N3008" s="1482"/>
      <c r="O3008" s="656" t="s">
        <v>498</v>
      </c>
      <c r="P3008" s="656" t="s">
        <v>13052</v>
      </c>
      <c r="Q3008" s="656">
        <v>44216.772187499999</v>
      </c>
    </row>
    <row r="3009" spans="1:17">
      <c r="A3009" s="656" t="s">
        <v>4024</v>
      </c>
      <c r="B3009" s="657"/>
      <c r="C3009" s="656" t="s">
        <v>4025</v>
      </c>
      <c r="D3009" s="657" t="s">
        <v>14977</v>
      </c>
      <c r="E3009" s="657"/>
      <c r="F3009" s="656" t="s">
        <v>1394</v>
      </c>
      <c r="G3009" s="656" t="s">
        <v>717</v>
      </c>
      <c r="H3009" s="656" t="s">
        <v>1394</v>
      </c>
      <c r="I3009" s="656" t="s">
        <v>15280</v>
      </c>
      <c r="J3009" s="656"/>
      <c r="K3009" s="656"/>
      <c r="L3009" s="656" t="s">
        <v>4024</v>
      </c>
      <c r="M3009" s="657"/>
      <c r="N3009" s="1482"/>
      <c r="O3009" s="656" t="s">
        <v>498</v>
      </c>
      <c r="P3009" s="656" t="s">
        <v>13052</v>
      </c>
      <c r="Q3009" s="656">
        <v>44216.772187499999</v>
      </c>
    </row>
    <row r="3010" spans="1:17">
      <c r="A3010" s="656" t="s">
        <v>4026</v>
      </c>
      <c r="B3010" s="657" t="s">
        <v>531</v>
      </c>
      <c r="C3010" s="656" t="s">
        <v>4027</v>
      </c>
      <c r="D3010" s="657" t="s">
        <v>13789</v>
      </c>
      <c r="E3010" s="657"/>
      <c r="F3010" s="656" t="s">
        <v>1394</v>
      </c>
      <c r="G3010" s="656"/>
      <c r="H3010" s="656" t="s">
        <v>1394</v>
      </c>
      <c r="I3010" s="656" t="s">
        <v>15280</v>
      </c>
      <c r="J3010" s="656"/>
      <c r="K3010" s="656"/>
      <c r="L3010" s="656"/>
      <c r="M3010" s="657"/>
      <c r="N3010" s="1482"/>
      <c r="O3010" s="656" t="s">
        <v>498</v>
      </c>
      <c r="P3010" s="656" t="s">
        <v>13052</v>
      </c>
      <c r="Q3010" s="656">
        <v>44216.772187499999</v>
      </c>
    </row>
    <row r="3011" spans="1:17">
      <c r="A3011" s="656" t="s">
        <v>4028</v>
      </c>
      <c r="B3011" s="657"/>
      <c r="C3011" s="656" t="s">
        <v>4029</v>
      </c>
      <c r="D3011" s="657" t="s">
        <v>14977</v>
      </c>
      <c r="E3011" s="657"/>
      <c r="F3011" s="656" t="s">
        <v>1394</v>
      </c>
      <c r="G3011" s="656"/>
      <c r="H3011" s="656" t="s">
        <v>1394</v>
      </c>
      <c r="I3011" s="656" t="s">
        <v>14976</v>
      </c>
      <c r="J3011" s="656"/>
      <c r="K3011" s="656"/>
      <c r="L3011" s="656" t="s">
        <v>4028</v>
      </c>
      <c r="M3011" s="657"/>
      <c r="N3011" s="1482"/>
      <c r="O3011" s="656" t="s">
        <v>498</v>
      </c>
      <c r="P3011" s="656" t="s">
        <v>13052</v>
      </c>
      <c r="Q3011" s="656">
        <v>44216.772175925929</v>
      </c>
    </row>
    <row r="3012" spans="1:17">
      <c r="A3012" s="656" t="s">
        <v>4030</v>
      </c>
      <c r="B3012" s="657"/>
      <c r="C3012" s="656" t="s">
        <v>4031</v>
      </c>
      <c r="D3012" s="657" t="s">
        <v>1239</v>
      </c>
      <c r="E3012" s="657"/>
      <c r="F3012" s="656" t="s">
        <v>1394</v>
      </c>
      <c r="G3012" s="656"/>
      <c r="H3012" s="656" t="s">
        <v>1394</v>
      </c>
      <c r="I3012" s="656" t="s">
        <v>14976</v>
      </c>
      <c r="J3012" s="656"/>
      <c r="K3012" s="656"/>
      <c r="L3012" s="656"/>
      <c r="M3012" s="657"/>
      <c r="N3012" s="1482"/>
      <c r="O3012" s="656" t="s">
        <v>498</v>
      </c>
      <c r="P3012" s="656" t="s">
        <v>13052</v>
      </c>
      <c r="Q3012" s="656">
        <v>44216.772164351853</v>
      </c>
    </row>
    <row r="3013" spans="1:17">
      <c r="A3013" s="656" t="s">
        <v>4032</v>
      </c>
      <c r="B3013" s="657" t="s">
        <v>202</v>
      </c>
      <c r="C3013" s="656" t="s">
        <v>4033</v>
      </c>
      <c r="D3013" s="657" t="s">
        <v>14977</v>
      </c>
      <c r="E3013" s="657"/>
      <c r="F3013" s="656" t="s">
        <v>472</v>
      </c>
      <c r="G3013" s="656" t="s">
        <v>519</v>
      </c>
      <c r="H3013" s="656" t="s">
        <v>472</v>
      </c>
      <c r="I3013" s="656" t="s">
        <v>14976</v>
      </c>
      <c r="J3013" s="656" t="s">
        <v>12368</v>
      </c>
      <c r="K3013" s="656" t="s">
        <v>1058</v>
      </c>
      <c r="L3013" s="656"/>
      <c r="M3013" s="657"/>
      <c r="N3013" s="1482"/>
      <c r="O3013" s="656" t="s">
        <v>498</v>
      </c>
      <c r="P3013" s="656" t="s">
        <v>13052</v>
      </c>
      <c r="Q3013" s="656">
        <v>44216.772164351853</v>
      </c>
    </row>
    <row r="3014" spans="1:17">
      <c r="A3014" s="656" t="s">
        <v>4034</v>
      </c>
      <c r="B3014" s="657" t="s">
        <v>531</v>
      </c>
      <c r="C3014" s="656" t="s">
        <v>4035</v>
      </c>
      <c r="D3014" s="657" t="s">
        <v>14977</v>
      </c>
      <c r="E3014" s="657"/>
      <c r="F3014" s="656" t="s">
        <v>472</v>
      </c>
      <c r="G3014" s="656" t="s">
        <v>1395</v>
      </c>
      <c r="H3014" s="656" t="s">
        <v>472</v>
      </c>
      <c r="I3014" s="656" t="s">
        <v>14976</v>
      </c>
      <c r="J3014" s="656" t="s">
        <v>12368</v>
      </c>
      <c r="K3014" s="656"/>
      <c r="L3014" s="656"/>
      <c r="M3014" s="657"/>
      <c r="N3014" s="1482"/>
      <c r="O3014" s="656" t="s">
        <v>498</v>
      </c>
      <c r="P3014" s="656" t="s">
        <v>13052</v>
      </c>
      <c r="Q3014" s="656">
        <v>44216.772152777776</v>
      </c>
    </row>
    <row r="3015" spans="1:17">
      <c r="A3015" s="656" t="s">
        <v>4036</v>
      </c>
      <c r="B3015" s="657" t="s">
        <v>531</v>
      </c>
      <c r="C3015" s="656" t="s">
        <v>3735</v>
      </c>
      <c r="D3015" s="657" t="s">
        <v>14977</v>
      </c>
      <c r="E3015" s="657" t="s">
        <v>9458</v>
      </c>
      <c r="F3015" s="656" t="s">
        <v>472</v>
      </c>
      <c r="G3015" s="656" t="s">
        <v>1395</v>
      </c>
      <c r="H3015" s="656" t="s">
        <v>472</v>
      </c>
      <c r="I3015" s="656" t="s">
        <v>14976</v>
      </c>
      <c r="J3015" s="656" t="s">
        <v>12368</v>
      </c>
      <c r="K3015" s="656"/>
      <c r="L3015" s="656"/>
      <c r="M3015" s="657"/>
      <c r="N3015" s="1482"/>
      <c r="O3015" s="656" t="s">
        <v>498</v>
      </c>
      <c r="P3015" s="656" t="s">
        <v>13052</v>
      </c>
      <c r="Q3015" s="656">
        <v>44216.772152777776</v>
      </c>
    </row>
    <row r="3016" spans="1:17">
      <c r="A3016" s="656" t="s">
        <v>4037</v>
      </c>
      <c r="B3016" s="657" t="s">
        <v>531</v>
      </c>
      <c r="C3016" s="656" t="s">
        <v>3735</v>
      </c>
      <c r="D3016" s="657" t="s">
        <v>14977</v>
      </c>
      <c r="E3016" s="657"/>
      <c r="F3016" s="656" t="s">
        <v>472</v>
      </c>
      <c r="G3016" s="656" t="s">
        <v>1395</v>
      </c>
      <c r="H3016" s="656" t="s">
        <v>472</v>
      </c>
      <c r="I3016" s="656" t="s">
        <v>14976</v>
      </c>
      <c r="J3016" s="656" t="s">
        <v>12368</v>
      </c>
      <c r="K3016" s="656"/>
      <c r="L3016" s="656"/>
      <c r="M3016" s="657"/>
      <c r="N3016" s="1482"/>
      <c r="O3016" s="656" t="s">
        <v>498</v>
      </c>
      <c r="P3016" s="656" t="s">
        <v>13052</v>
      </c>
      <c r="Q3016" s="656">
        <v>44216.772141203706</v>
      </c>
    </row>
    <row r="3017" spans="1:17">
      <c r="A3017" s="656" t="s">
        <v>4038</v>
      </c>
      <c r="B3017" s="657"/>
      <c r="C3017" s="656" t="s">
        <v>4039</v>
      </c>
      <c r="D3017" s="657" t="s">
        <v>14977</v>
      </c>
      <c r="E3017" s="657"/>
      <c r="F3017" s="656"/>
      <c r="G3017" s="656"/>
      <c r="H3017" s="656"/>
      <c r="I3017" s="656" t="s">
        <v>14976</v>
      </c>
      <c r="J3017" s="656"/>
      <c r="K3017" s="656"/>
      <c r="L3017" s="656" t="s">
        <v>4038</v>
      </c>
      <c r="M3017" s="657"/>
      <c r="N3017" s="1482"/>
      <c r="O3017" s="656" t="s">
        <v>498</v>
      </c>
      <c r="P3017" s="656" t="s">
        <v>13052</v>
      </c>
      <c r="Q3017" s="656">
        <v>44216.772141203706</v>
      </c>
    </row>
    <row r="3018" spans="1:17">
      <c r="A3018" s="656" t="s">
        <v>4040</v>
      </c>
      <c r="B3018" s="657" t="s">
        <v>531</v>
      </c>
      <c r="C3018" s="656" t="s">
        <v>4041</v>
      </c>
      <c r="D3018" s="657" t="s">
        <v>14978</v>
      </c>
      <c r="E3018" s="657"/>
      <c r="F3018" s="656" t="s">
        <v>472</v>
      </c>
      <c r="G3018" s="656" t="s">
        <v>1395</v>
      </c>
      <c r="H3018" s="656" t="s">
        <v>472</v>
      </c>
      <c r="I3018" s="656" t="s">
        <v>14976</v>
      </c>
      <c r="J3018" s="656" t="s">
        <v>12368</v>
      </c>
      <c r="K3018" s="656"/>
      <c r="L3018" s="656"/>
      <c r="M3018" s="657"/>
      <c r="N3018" s="1482"/>
      <c r="O3018" s="656" t="s">
        <v>498</v>
      </c>
      <c r="P3018" s="656" t="s">
        <v>13052</v>
      </c>
      <c r="Q3018" s="656">
        <v>44216.772129629629</v>
      </c>
    </row>
    <row r="3019" spans="1:17">
      <c r="A3019" s="656" t="s">
        <v>4042</v>
      </c>
      <c r="B3019" s="657" t="s">
        <v>202</v>
      </c>
      <c r="C3019" s="656" t="s">
        <v>4043</v>
      </c>
      <c r="D3019" s="657" t="s">
        <v>14978</v>
      </c>
      <c r="E3019" s="657"/>
      <c r="F3019" s="656" t="s">
        <v>1394</v>
      </c>
      <c r="G3019" s="656"/>
      <c r="H3019" s="656" t="s">
        <v>1394</v>
      </c>
      <c r="I3019" s="656" t="s">
        <v>14976</v>
      </c>
      <c r="J3019" s="656" t="s">
        <v>532</v>
      </c>
      <c r="K3019" s="656"/>
      <c r="L3019" s="656" t="s">
        <v>4044</v>
      </c>
      <c r="M3019" s="657"/>
      <c r="N3019" s="1482"/>
      <c r="O3019" s="656" t="s">
        <v>498</v>
      </c>
      <c r="P3019" s="656" t="s">
        <v>13052</v>
      </c>
      <c r="Q3019" s="656">
        <v>44216.772129629629</v>
      </c>
    </row>
    <row r="3020" spans="1:17">
      <c r="A3020" s="656" t="s">
        <v>4044</v>
      </c>
      <c r="B3020" s="657" t="s">
        <v>531</v>
      </c>
      <c r="C3020" s="656" t="s">
        <v>4045</v>
      </c>
      <c r="D3020" s="657" t="s">
        <v>14977</v>
      </c>
      <c r="E3020" s="657"/>
      <c r="F3020" s="656" t="s">
        <v>472</v>
      </c>
      <c r="G3020" s="656" t="s">
        <v>1395</v>
      </c>
      <c r="H3020" s="656" t="s">
        <v>472</v>
      </c>
      <c r="I3020" s="656" t="s">
        <v>14976</v>
      </c>
      <c r="J3020" s="656" t="s">
        <v>12368</v>
      </c>
      <c r="K3020" s="656"/>
      <c r="L3020" s="656"/>
      <c r="M3020" s="657"/>
      <c r="N3020" s="1482"/>
      <c r="O3020" s="656" t="s">
        <v>498</v>
      </c>
      <c r="P3020" s="656" t="s">
        <v>13052</v>
      </c>
      <c r="Q3020" s="656">
        <v>44216.772118055553</v>
      </c>
    </row>
    <row r="3021" spans="1:17">
      <c r="A3021" s="656" t="s">
        <v>4046</v>
      </c>
      <c r="B3021" s="657" t="s">
        <v>531</v>
      </c>
      <c r="C3021" s="656" t="s">
        <v>4047</v>
      </c>
      <c r="D3021" s="657" t="s">
        <v>14977</v>
      </c>
      <c r="E3021" s="657"/>
      <c r="F3021" s="656" t="s">
        <v>472</v>
      </c>
      <c r="G3021" s="656" t="s">
        <v>1395</v>
      </c>
      <c r="H3021" s="656" t="s">
        <v>472</v>
      </c>
      <c r="I3021" s="656" t="s">
        <v>14976</v>
      </c>
      <c r="J3021" s="656" t="s">
        <v>12368</v>
      </c>
      <c r="K3021" s="656"/>
      <c r="L3021" s="656"/>
      <c r="M3021" s="657"/>
      <c r="N3021" s="1482"/>
      <c r="O3021" s="656" t="s">
        <v>498</v>
      </c>
      <c r="P3021" s="656" t="s">
        <v>13052</v>
      </c>
      <c r="Q3021" s="656">
        <v>44216.772118055553</v>
      </c>
    </row>
    <row r="3022" spans="1:17">
      <c r="A3022" s="656" t="s">
        <v>13684</v>
      </c>
      <c r="B3022" s="657" t="s">
        <v>202</v>
      </c>
      <c r="C3022" s="656" t="s">
        <v>13685</v>
      </c>
      <c r="D3022" s="657" t="s">
        <v>14977</v>
      </c>
      <c r="E3022" s="657"/>
      <c r="F3022" s="656" t="s">
        <v>472</v>
      </c>
      <c r="G3022" s="656"/>
      <c r="H3022" s="656" t="s">
        <v>472</v>
      </c>
      <c r="I3022" s="656" t="s">
        <v>14976</v>
      </c>
      <c r="J3022" s="656" t="s">
        <v>12368</v>
      </c>
      <c r="K3022" s="656"/>
      <c r="L3022" s="656" t="s">
        <v>13684</v>
      </c>
      <c r="M3022" s="657"/>
      <c r="N3022" s="1482"/>
      <c r="O3022" s="656" t="s">
        <v>498</v>
      </c>
      <c r="P3022" s="656" t="s">
        <v>13052</v>
      </c>
      <c r="Q3022" s="656">
        <v>44216.772118055553</v>
      </c>
    </row>
    <row r="3023" spans="1:17">
      <c r="A3023" s="656" t="s">
        <v>13682</v>
      </c>
      <c r="B3023" s="657" t="s">
        <v>202</v>
      </c>
      <c r="C3023" s="656" t="s">
        <v>13683</v>
      </c>
      <c r="D3023" s="657" t="s">
        <v>14977</v>
      </c>
      <c r="E3023" s="657"/>
      <c r="F3023" s="656" t="s">
        <v>472</v>
      </c>
      <c r="G3023" s="656"/>
      <c r="H3023" s="656" t="s">
        <v>472</v>
      </c>
      <c r="I3023" s="656" t="s">
        <v>14976</v>
      </c>
      <c r="J3023" s="656" t="s">
        <v>12368</v>
      </c>
      <c r="K3023" s="656"/>
      <c r="L3023" s="656" t="s">
        <v>13682</v>
      </c>
      <c r="M3023" s="657"/>
      <c r="N3023" s="1482"/>
      <c r="O3023" s="656" t="s">
        <v>498</v>
      </c>
      <c r="P3023" s="656" t="s">
        <v>13052</v>
      </c>
      <c r="Q3023" s="656">
        <v>44216.772106481483</v>
      </c>
    </row>
    <row r="3024" spans="1:17">
      <c r="A3024" s="656" t="s">
        <v>13680</v>
      </c>
      <c r="B3024" s="657" t="s">
        <v>202</v>
      </c>
      <c r="C3024" s="656" t="s">
        <v>13681</v>
      </c>
      <c r="D3024" s="657" t="s">
        <v>14977</v>
      </c>
      <c r="E3024" s="657"/>
      <c r="F3024" s="656" t="s">
        <v>472</v>
      </c>
      <c r="G3024" s="656"/>
      <c r="H3024" s="656" t="s">
        <v>472</v>
      </c>
      <c r="I3024" s="656" t="s">
        <v>14976</v>
      </c>
      <c r="J3024" s="656" t="s">
        <v>12368</v>
      </c>
      <c r="K3024" s="656"/>
      <c r="L3024" s="656" t="s">
        <v>13680</v>
      </c>
      <c r="M3024" s="657"/>
      <c r="N3024" s="1482"/>
      <c r="O3024" s="656" t="s">
        <v>498</v>
      </c>
      <c r="P3024" s="656" t="s">
        <v>13052</v>
      </c>
      <c r="Q3024" s="656">
        <v>44216.772106481483</v>
      </c>
    </row>
    <row r="3025" spans="1:17">
      <c r="A3025" s="656" t="s">
        <v>4048</v>
      </c>
      <c r="B3025" s="657"/>
      <c r="C3025" s="656" t="s">
        <v>4049</v>
      </c>
      <c r="D3025" s="657" t="s">
        <v>14977</v>
      </c>
      <c r="E3025" s="657"/>
      <c r="F3025" s="656"/>
      <c r="G3025" s="656"/>
      <c r="H3025" s="656"/>
      <c r="I3025" s="656" t="s">
        <v>14976</v>
      </c>
      <c r="J3025" s="656"/>
      <c r="K3025" s="656"/>
      <c r="L3025" s="656" t="s">
        <v>4048</v>
      </c>
      <c r="M3025" s="657"/>
      <c r="N3025" s="1482"/>
      <c r="O3025" s="656" t="s">
        <v>498</v>
      </c>
      <c r="P3025" s="656" t="s">
        <v>13052</v>
      </c>
      <c r="Q3025" s="656">
        <v>44216.772094907406</v>
      </c>
    </row>
    <row r="3026" spans="1:17">
      <c r="A3026" s="656" t="s">
        <v>13678</v>
      </c>
      <c r="B3026" s="657" t="s">
        <v>202</v>
      </c>
      <c r="C3026" s="656" t="s">
        <v>13679</v>
      </c>
      <c r="D3026" s="657" t="s">
        <v>14977</v>
      </c>
      <c r="E3026" s="657"/>
      <c r="F3026" s="656" t="s">
        <v>1667</v>
      </c>
      <c r="G3026" s="656" t="s">
        <v>13</v>
      </c>
      <c r="H3026" s="656" t="s">
        <v>1667</v>
      </c>
      <c r="I3026" s="656" t="s">
        <v>14976</v>
      </c>
      <c r="J3026" s="656" t="s">
        <v>15282</v>
      </c>
      <c r="K3026" s="656"/>
      <c r="L3026" s="656" t="s">
        <v>13678</v>
      </c>
      <c r="M3026" s="657"/>
      <c r="N3026" s="1482"/>
      <c r="O3026" s="656" t="s">
        <v>498</v>
      </c>
      <c r="P3026" s="656" t="s">
        <v>13052</v>
      </c>
      <c r="Q3026" s="656">
        <v>44216.772094907406</v>
      </c>
    </row>
    <row r="3027" spans="1:17">
      <c r="A3027" s="656" t="s">
        <v>13676</v>
      </c>
      <c r="B3027" s="657" t="s">
        <v>202</v>
      </c>
      <c r="C3027" s="656" t="s">
        <v>13677</v>
      </c>
      <c r="D3027" s="657" t="s">
        <v>14977</v>
      </c>
      <c r="E3027" s="657"/>
      <c r="F3027" s="656" t="s">
        <v>1667</v>
      </c>
      <c r="G3027" s="656" t="s">
        <v>13</v>
      </c>
      <c r="H3027" s="656" t="s">
        <v>1667</v>
      </c>
      <c r="I3027" s="656" t="s">
        <v>14976</v>
      </c>
      <c r="J3027" s="656" t="s">
        <v>15282</v>
      </c>
      <c r="K3027" s="656"/>
      <c r="L3027" s="656" t="s">
        <v>13676</v>
      </c>
      <c r="M3027" s="657"/>
      <c r="N3027" s="1482"/>
      <c r="O3027" s="656" t="s">
        <v>498</v>
      </c>
      <c r="P3027" s="656" t="s">
        <v>13052</v>
      </c>
      <c r="Q3027" s="656">
        <v>44216.772094907406</v>
      </c>
    </row>
    <row r="3028" spans="1:17">
      <c r="A3028" s="656" t="s">
        <v>13674</v>
      </c>
      <c r="B3028" s="657" t="s">
        <v>202</v>
      </c>
      <c r="C3028" s="656" t="s">
        <v>13675</v>
      </c>
      <c r="D3028" s="657" t="s">
        <v>14977</v>
      </c>
      <c r="E3028" s="657"/>
      <c r="F3028" s="656" t="s">
        <v>1667</v>
      </c>
      <c r="G3028" s="656" t="s">
        <v>13</v>
      </c>
      <c r="H3028" s="656" t="s">
        <v>1667</v>
      </c>
      <c r="I3028" s="656" t="s">
        <v>14976</v>
      </c>
      <c r="J3028" s="656" t="s">
        <v>15282</v>
      </c>
      <c r="K3028" s="656"/>
      <c r="L3028" s="656" t="s">
        <v>13674</v>
      </c>
      <c r="M3028" s="657"/>
      <c r="N3028" s="1482"/>
      <c r="O3028" s="656" t="s">
        <v>498</v>
      </c>
      <c r="P3028" s="656" t="s">
        <v>13052</v>
      </c>
      <c r="Q3028" s="656">
        <v>44216.772083333337</v>
      </c>
    </row>
    <row r="3029" spans="1:17">
      <c r="A3029" s="656" t="s">
        <v>13672</v>
      </c>
      <c r="B3029" s="657" t="s">
        <v>202</v>
      </c>
      <c r="C3029" s="656" t="s">
        <v>13673</v>
      </c>
      <c r="D3029" s="657" t="s">
        <v>14977</v>
      </c>
      <c r="E3029" s="657"/>
      <c r="F3029" s="656" t="s">
        <v>1667</v>
      </c>
      <c r="G3029" s="656" t="s">
        <v>13</v>
      </c>
      <c r="H3029" s="656" t="s">
        <v>1667</v>
      </c>
      <c r="I3029" s="656" t="s">
        <v>14976</v>
      </c>
      <c r="J3029" s="656" t="s">
        <v>15282</v>
      </c>
      <c r="K3029" s="656"/>
      <c r="L3029" s="656" t="s">
        <v>13672</v>
      </c>
      <c r="M3029" s="657"/>
      <c r="N3029" s="1482"/>
      <c r="O3029" s="656" t="s">
        <v>498</v>
      </c>
      <c r="P3029" s="656" t="s">
        <v>13052</v>
      </c>
      <c r="Q3029" s="656">
        <v>44216.77207175926</v>
      </c>
    </row>
    <row r="3030" spans="1:17">
      <c r="A3030" s="656" t="s">
        <v>13670</v>
      </c>
      <c r="B3030" s="657" t="s">
        <v>202</v>
      </c>
      <c r="C3030" s="656" t="s">
        <v>13671</v>
      </c>
      <c r="D3030" s="657" t="s">
        <v>14977</v>
      </c>
      <c r="E3030" s="657"/>
      <c r="F3030" s="656" t="s">
        <v>1667</v>
      </c>
      <c r="G3030" s="656" t="s">
        <v>13</v>
      </c>
      <c r="H3030" s="656" t="s">
        <v>1667</v>
      </c>
      <c r="I3030" s="656" t="s">
        <v>14976</v>
      </c>
      <c r="J3030" s="656" t="s">
        <v>15282</v>
      </c>
      <c r="K3030" s="656"/>
      <c r="L3030" s="656" t="s">
        <v>13670</v>
      </c>
      <c r="M3030" s="657"/>
      <c r="N3030" s="1482"/>
      <c r="O3030" s="656" t="s">
        <v>498</v>
      </c>
      <c r="P3030" s="656" t="s">
        <v>13052</v>
      </c>
      <c r="Q3030" s="656">
        <v>44216.77207175926</v>
      </c>
    </row>
    <row r="3031" spans="1:17">
      <c r="A3031" s="656" t="s">
        <v>13668</v>
      </c>
      <c r="B3031" s="657" t="s">
        <v>202</v>
      </c>
      <c r="C3031" s="656" t="s">
        <v>13669</v>
      </c>
      <c r="D3031" s="657" t="s">
        <v>14977</v>
      </c>
      <c r="E3031" s="657"/>
      <c r="F3031" s="656" t="s">
        <v>1667</v>
      </c>
      <c r="G3031" s="656" t="s">
        <v>13</v>
      </c>
      <c r="H3031" s="656" t="s">
        <v>1667</v>
      </c>
      <c r="I3031" s="656" t="s">
        <v>14976</v>
      </c>
      <c r="J3031" s="656" t="s">
        <v>15282</v>
      </c>
      <c r="K3031" s="656"/>
      <c r="L3031" s="656" t="s">
        <v>13668</v>
      </c>
      <c r="M3031" s="657"/>
      <c r="N3031" s="1482"/>
      <c r="O3031" s="656" t="s">
        <v>498</v>
      </c>
      <c r="P3031" s="656" t="s">
        <v>13052</v>
      </c>
      <c r="Q3031" s="656">
        <v>44216.772060185183</v>
      </c>
    </row>
    <row r="3032" spans="1:17">
      <c r="A3032" s="656" t="s">
        <v>13666</v>
      </c>
      <c r="B3032" s="657" t="s">
        <v>202</v>
      </c>
      <c r="C3032" s="656" t="s">
        <v>13667</v>
      </c>
      <c r="D3032" s="657" t="s">
        <v>14977</v>
      </c>
      <c r="E3032" s="657"/>
      <c r="F3032" s="656" t="s">
        <v>1667</v>
      </c>
      <c r="G3032" s="656" t="s">
        <v>13</v>
      </c>
      <c r="H3032" s="656" t="s">
        <v>1667</v>
      </c>
      <c r="I3032" s="656" t="s">
        <v>14976</v>
      </c>
      <c r="J3032" s="656" t="s">
        <v>15282</v>
      </c>
      <c r="K3032" s="656"/>
      <c r="L3032" s="656" t="s">
        <v>13666</v>
      </c>
      <c r="M3032" s="657"/>
      <c r="N3032" s="1482"/>
      <c r="O3032" s="656" t="s">
        <v>498</v>
      </c>
      <c r="P3032" s="656" t="s">
        <v>13052</v>
      </c>
      <c r="Q3032" s="656">
        <v>44216.772060185183</v>
      </c>
    </row>
    <row r="3033" spans="1:17">
      <c r="A3033" s="656" t="s">
        <v>4050</v>
      </c>
      <c r="B3033" s="657" t="s">
        <v>202</v>
      </c>
      <c r="C3033" s="656" t="s">
        <v>4051</v>
      </c>
      <c r="D3033" s="657" t="s">
        <v>14977</v>
      </c>
      <c r="E3033" s="657"/>
      <c r="F3033" s="656" t="s">
        <v>4052</v>
      </c>
      <c r="G3033" s="656" t="s">
        <v>4052</v>
      </c>
      <c r="H3033" s="656" t="s">
        <v>455</v>
      </c>
      <c r="I3033" s="656" t="s">
        <v>14976</v>
      </c>
      <c r="J3033" s="656" t="s">
        <v>451</v>
      </c>
      <c r="K3033" s="656"/>
      <c r="L3033" s="656" t="s">
        <v>4050</v>
      </c>
      <c r="M3033" s="657"/>
      <c r="N3033" s="1482"/>
      <c r="O3033" s="656" t="s">
        <v>498</v>
      </c>
      <c r="P3033" s="656" t="s">
        <v>13052</v>
      </c>
      <c r="Q3033" s="656">
        <v>44216.772048611114</v>
      </c>
    </row>
    <row r="3034" spans="1:17">
      <c r="A3034" s="656" t="s">
        <v>4053</v>
      </c>
      <c r="B3034" s="657" t="s">
        <v>202</v>
      </c>
      <c r="C3034" s="656" t="s">
        <v>4054</v>
      </c>
      <c r="D3034" s="657" t="s">
        <v>14977</v>
      </c>
      <c r="E3034" s="657"/>
      <c r="F3034" s="656" t="s">
        <v>1667</v>
      </c>
      <c r="G3034" s="656" t="s">
        <v>13</v>
      </c>
      <c r="H3034" s="656" t="s">
        <v>1667</v>
      </c>
      <c r="I3034" s="656" t="s">
        <v>14976</v>
      </c>
      <c r="J3034" s="656" t="s">
        <v>15282</v>
      </c>
      <c r="K3034" s="656"/>
      <c r="L3034" s="656" t="s">
        <v>4053</v>
      </c>
      <c r="M3034" s="657"/>
      <c r="N3034" s="1482"/>
      <c r="O3034" s="656" t="s">
        <v>498</v>
      </c>
      <c r="P3034" s="656" t="s">
        <v>13052</v>
      </c>
      <c r="Q3034" s="656">
        <v>44216.772037037037</v>
      </c>
    </row>
    <row r="3035" spans="1:17">
      <c r="A3035" s="656" t="s">
        <v>13664</v>
      </c>
      <c r="B3035" s="657" t="s">
        <v>202</v>
      </c>
      <c r="C3035" s="656" t="s">
        <v>13665</v>
      </c>
      <c r="D3035" s="657" t="s">
        <v>14977</v>
      </c>
      <c r="E3035" s="657"/>
      <c r="F3035" s="656" t="s">
        <v>1667</v>
      </c>
      <c r="G3035" s="656" t="s">
        <v>13</v>
      </c>
      <c r="H3035" s="656" t="s">
        <v>1667</v>
      </c>
      <c r="I3035" s="656" t="s">
        <v>14976</v>
      </c>
      <c r="J3035" s="656" t="s">
        <v>15282</v>
      </c>
      <c r="K3035" s="656"/>
      <c r="L3035" s="656" t="s">
        <v>13664</v>
      </c>
      <c r="M3035" s="657"/>
      <c r="N3035" s="1482"/>
      <c r="O3035" s="656" t="s">
        <v>498</v>
      </c>
      <c r="P3035" s="656" t="s">
        <v>13052</v>
      </c>
      <c r="Q3035" s="656">
        <v>44216.772037037037</v>
      </c>
    </row>
    <row r="3036" spans="1:17">
      <c r="A3036" s="656" t="s">
        <v>13662</v>
      </c>
      <c r="B3036" s="657" t="s">
        <v>202</v>
      </c>
      <c r="C3036" s="656" t="s">
        <v>13663</v>
      </c>
      <c r="D3036" s="657" t="s">
        <v>14977</v>
      </c>
      <c r="E3036" s="657"/>
      <c r="F3036" s="656" t="s">
        <v>1667</v>
      </c>
      <c r="G3036" s="656" t="s">
        <v>13</v>
      </c>
      <c r="H3036" s="656" t="s">
        <v>1667</v>
      </c>
      <c r="I3036" s="656" t="s">
        <v>14976</v>
      </c>
      <c r="J3036" s="656" t="s">
        <v>15282</v>
      </c>
      <c r="K3036" s="656"/>
      <c r="L3036" s="656" t="s">
        <v>13662</v>
      </c>
      <c r="M3036" s="657"/>
      <c r="N3036" s="1482"/>
      <c r="O3036" s="656" t="s">
        <v>498</v>
      </c>
      <c r="P3036" s="656" t="s">
        <v>13052</v>
      </c>
      <c r="Q3036" s="656">
        <v>44216.772037037037</v>
      </c>
    </row>
    <row r="3037" spans="1:17">
      <c r="A3037" s="656" t="s">
        <v>4055</v>
      </c>
      <c r="B3037" s="657" t="s">
        <v>202</v>
      </c>
      <c r="C3037" s="656" t="s">
        <v>4056</v>
      </c>
      <c r="D3037" s="657" t="s">
        <v>14977</v>
      </c>
      <c r="E3037" s="657" t="s">
        <v>7437</v>
      </c>
      <c r="F3037" s="656" t="s">
        <v>4052</v>
      </c>
      <c r="G3037" s="656" t="s">
        <v>512</v>
      </c>
      <c r="H3037" s="656" t="s">
        <v>455</v>
      </c>
      <c r="I3037" s="656" t="s">
        <v>14976</v>
      </c>
      <c r="J3037" s="656" t="s">
        <v>451</v>
      </c>
      <c r="K3037" s="656" t="s">
        <v>4052</v>
      </c>
      <c r="L3037" s="656"/>
      <c r="M3037" s="657"/>
      <c r="N3037" s="1482"/>
      <c r="O3037" s="656" t="s">
        <v>498</v>
      </c>
      <c r="P3037" s="656" t="s">
        <v>13052</v>
      </c>
      <c r="Q3037" s="656">
        <v>44216.77202546296</v>
      </c>
    </row>
    <row r="3038" spans="1:17">
      <c r="A3038" s="656" t="s">
        <v>13660</v>
      </c>
      <c r="B3038" s="657" t="s">
        <v>202</v>
      </c>
      <c r="C3038" s="656" t="s">
        <v>13661</v>
      </c>
      <c r="D3038" s="657" t="s">
        <v>14977</v>
      </c>
      <c r="E3038" s="657"/>
      <c r="F3038" s="656" t="s">
        <v>1667</v>
      </c>
      <c r="G3038" s="656" t="s">
        <v>13</v>
      </c>
      <c r="H3038" s="656" t="s">
        <v>1667</v>
      </c>
      <c r="I3038" s="656" t="s">
        <v>14976</v>
      </c>
      <c r="J3038" s="656" t="s">
        <v>15282</v>
      </c>
      <c r="K3038" s="656"/>
      <c r="L3038" s="656" t="s">
        <v>13660</v>
      </c>
      <c r="M3038" s="657"/>
      <c r="N3038" s="1482"/>
      <c r="O3038" s="656" t="s">
        <v>498</v>
      </c>
      <c r="P3038" s="656" t="s">
        <v>13052</v>
      </c>
      <c r="Q3038" s="656">
        <v>44216.772013888891</v>
      </c>
    </row>
    <row r="3039" spans="1:17">
      <c r="A3039" s="656" t="s">
        <v>13658</v>
      </c>
      <c r="B3039" s="657" t="s">
        <v>202</v>
      </c>
      <c r="C3039" s="656" t="s">
        <v>13659</v>
      </c>
      <c r="D3039" s="657" t="s">
        <v>14977</v>
      </c>
      <c r="E3039" s="657"/>
      <c r="F3039" s="656" t="s">
        <v>1667</v>
      </c>
      <c r="G3039" s="656" t="s">
        <v>13</v>
      </c>
      <c r="H3039" s="656" t="s">
        <v>1667</v>
      </c>
      <c r="I3039" s="656" t="s">
        <v>14976</v>
      </c>
      <c r="J3039" s="656" t="s">
        <v>15282</v>
      </c>
      <c r="K3039" s="656"/>
      <c r="L3039" s="656" t="s">
        <v>13658</v>
      </c>
      <c r="M3039" s="657"/>
      <c r="N3039" s="1482"/>
      <c r="O3039" s="656" t="s">
        <v>498</v>
      </c>
      <c r="P3039" s="656" t="s">
        <v>13052</v>
      </c>
      <c r="Q3039" s="656">
        <v>44216.772013888891</v>
      </c>
    </row>
    <row r="3040" spans="1:17">
      <c r="A3040" s="656" t="s">
        <v>13656</v>
      </c>
      <c r="B3040" s="657" t="s">
        <v>202</v>
      </c>
      <c r="C3040" s="656" t="s">
        <v>13657</v>
      </c>
      <c r="D3040" s="657" t="s">
        <v>14977</v>
      </c>
      <c r="E3040" s="657"/>
      <c r="F3040" s="656" t="s">
        <v>1667</v>
      </c>
      <c r="G3040" s="656" t="s">
        <v>13</v>
      </c>
      <c r="H3040" s="656" t="s">
        <v>1667</v>
      </c>
      <c r="I3040" s="656" t="s">
        <v>14976</v>
      </c>
      <c r="J3040" s="656" t="s">
        <v>15282</v>
      </c>
      <c r="K3040" s="656"/>
      <c r="L3040" s="656" t="s">
        <v>13656</v>
      </c>
      <c r="M3040" s="657"/>
      <c r="N3040" s="1482"/>
      <c r="O3040" s="656" t="s">
        <v>498</v>
      </c>
      <c r="P3040" s="656" t="s">
        <v>13052</v>
      </c>
      <c r="Q3040" s="656">
        <v>44216.772002314814</v>
      </c>
    </row>
    <row r="3041" spans="1:17">
      <c r="A3041" s="656" t="s">
        <v>13654</v>
      </c>
      <c r="B3041" s="657" t="s">
        <v>202</v>
      </c>
      <c r="C3041" s="656" t="s">
        <v>13655</v>
      </c>
      <c r="D3041" s="657" t="s">
        <v>14977</v>
      </c>
      <c r="E3041" s="657"/>
      <c r="F3041" s="656" t="s">
        <v>1667</v>
      </c>
      <c r="G3041" s="656" t="s">
        <v>13</v>
      </c>
      <c r="H3041" s="656" t="s">
        <v>1667</v>
      </c>
      <c r="I3041" s="656" t="s">
        <v>14976</v>
      </c>
      <c r="J3041" s="656" t="s">
        <v>15282</v>
      </c>
      <c r="K3041" s="656"/>
      <c r="L3041" s="656" t="s">
        <v>13654</v>
      </c>
      <c r="M3041" s="657"/>
      <c r="N3041" s="1482"/>
      <c r="O3041" s="656" t="s">
        <v>498</v>
      </c>
      <c r="P3041" s="656" t="s">
        <v>13052</v>
      </c>
      <c r="Q3041" s="656">
        <v>44216.772002314814</v>
      </c>
    </row>
    <row r="3042" spans="1:17">
      <c r="A3042" s="656" t="s">
        <v>13652</v>
      </c>
      <c r="B3042" s="657" t="s">
        <v>202</v>
      </c>
      <c r="C3042" s="656" t="s">
        <v>13653</v>
      </c>
      <c r="D3042" s="657" t="s">
        <v>14977</v>
      </c>
      <c r="E3042" s="657"/>
      <c r="F3042" s="656" t="s">
        <v>1667</v>
      </c>
      <c r="G3042" s="656" t="s">
        <v>13</v>
      </c>
      <c r="H3042" s="656" t="s">
        <v>1667</v>
      </c>
      <c r="I3042" s="656" t="s">
        <v>14976</v>
      </c>
      <c r="J3042" s="656" t="s">
        <v>15282</v>
      </c>
      <c r="K3042" s="656"/>
      <c r="L3042" s="656" t="s">
        <v>13652</v>
      </c>
      <c r="M3042" s="657"/>
      <c r="N3042" s="1482"/>
      <c r="O3042" s="656" t="s">
        <v>498</v>
      </c>
      <c r="P3042" s="656" t="s">
        <v>13052</v>
      </c>
      <c r="Q3042" s="656">
        <v>44216.772002314814</v>
      </c>
    </row>
    <row r="3043" spans="1:17">
      <c r="A3043" s="656" t="s">
        <v>4058</v>
      </c>
      <c r="B3043" s="657" t="s">
        <v>202</v>
      </c>
      <c r="C3043" s="656" t="s">
        <v>4059</v>
      </c>
      <c r="D3043" s="657" t="s">
        <v>14977</v>
      </c>
      <c r="E3043" s="657"/>
      <c r="F3043" s="656" t="s">
        <v>1667</v>
      </c>
      <c r="G3043" s="656" t="s">
        <v>13</v>
      </c>
      <c r="H3043" s="656" t="s">
        <v>1667</v>
      </c>
      <c r="I3043" s="656" t="s">
        <v>14976</v>
      </c>
      <c r="J3043" s="656" t="s">
        <v>15282</v>
      </c>
      <c r="K3043" s="656"/>
      <c r="L3043" s="656" t="s">
        <v>4058</v>
      </c>
      <c r="M3043" s="657"/>
      <c r="N3043" s="1482"/>
      <c r="O3043" s="656" t="s">
        <v>498</v>
      </c>
      <c r="P3043" s="656" t="s">
        <v>13052</v>
      </c>
      <c r="Q3043" s="656">
        <v>44216.771990740737</v>
      </c>
    </row>
    <row r="3044" spans="1:17">
      <c r="A3044" s="656" t="s">
        <v>13650</v>
      </c>
      <c r="B3044" s="657" t="s">
        <v>202</v>
      </c>
      <c r="C3044" s="656" t="s">
        <v>13651</v>
      </c>
      <c r="D3044" s="657" t="s">
        <v>14977</v>
      </c>
      <c r="E3044" s="657"/>
      <c r="F3044" s="656" t="s">
        <v>1667</v>
      </c>
      <c r="G3044" s="656" t="s">
        <v>13</v>
      </c>
      <c r="H3044" s="656" t="s">
        <v>1667</v>
      </c>
      <c r="I3044" s="656" t="s">
        <v>14976</v>
      </c>
      <c r="J3044" s="656" t="s">
        <v>15282</v>
      </c>
      <c r="K3044" s="656"/>
      <c r="L3044" s="656" t="s">
        <v>13650</v>
      </c>
      <c r="M3044" s="657"/>
      <c r="N3044" s="1482"/>
      <c r="O3044" s="656" t="s">
        <v>498</v>
      </c>
      <c r="P3044" s="656" t="s">
        <v>13052</v>
      </c>
      <c r="Q3044" s="656">
        <v>44216.771990740737</v>
      </c>
    </row>
    <row r="3045" spans="1:17">
      <c r="A3045" s="656" t="s">
        <v>13648</v>
      </c>
      <c r="B3045" s="657" t="s">
        <v>202</v>
      </c>
      <c r="C3045" s="656" t="s">
        <v>13649</v>
      </c>
      <c r="D3045" s="657" t="s">
        <v>14977</v>
      </c>
      <c r="E3045" s="657"/>
      <c r="F3045" s="656" t="s">
        <v>1667</v>
      </c>
      <c r="G3045" s="656" t="s">
        <v>13</v>
      </c>
      <c r="H3045" s="656" t="s">
        <v>1667</v>
      </c>
      <c r="I3045" s="656" t="s">
        <v>14976</v>
      </c>
      <c r="J3045" s="656" t="s">
        <v>15282</v>
      </c>
      <c r="K3045" s="656"/>
      <c r="L3045" s="656" t="s">
        <v>13648</v>
      </c>
      <c r="M3045" s="657"/>
      <c r="N3045" s="1482"/>
      <c r="O3045" s="656" t="s">
        <v>498</v>
      </c>
      <c r="P3045" s="656" t="s">
        <v>13052</v>
      </c>
      <c r="Q3045" s="656">
        <v>44216.771979166668</v>
      </c>
    </row>
    <row r="3046" spans="1:17">
      <c r="A3046" s="656" t="s">
        <v>4060</v>
      </c>
      <c r="B3046" s="657"/>
      <c r="C3046" s="656" t="s">
        <v>4061</v>
      </c>
      <c r="D3046" s="657" t="s">
        <v>14977</v>
      </c>
      <c r="E3046" s="657"/>
      <c r="F3046" s="656"/>
      <c r="G3046" s="656"/>
      <c r="H3046" s="656"/>
      <c r="I3046" s="656" t="s">
        <v>14976</v>
      </c>
      <c r="J3046" s="656"/>
      <c r="K3046" s="656"/>
      <c r="L3046" s="656" t="s">
        <v>4060</v>
      </c>
      <c r="M3046" s="657"/>
      <c r="N3046" s="1482"/>
      <c r="O3046" s="656" t="s">
        <v>498</v>
      </c>
      <c r="P3046" s="656" t="s">
        <v>13052</v>
      </c>
      <c r="Q3046" s="656">
        <v>44216.771979166668</v>
      </c>
    </row>
    <row r="3047" spans="1:17">
      <c r="A3047" s="656" t="s">
        <v>13646</v>
      </c>
      <c r="B3047" s="657" t="s">
        <v>202</v>
      </c>
      <c r="C3047" s="656" t="s">
        <v>13647</v>
      </c>
      <c r="D3047" s="657" t="s">
        <v>14977</v>
      </c>
      <c r="E3047" s="657"/>
      <c r="F3047" s="656" t="s">
        <v>1667</v>
      </c>
      <c r="G3047" s="656" t="s">
        <v>13</v>
      </c>
      <c r="H3047" s="656" t="s">
        <v>1667</v>
      </c>
      <c r="I3047" s="656" t="s">
        <v>14976</v>
      </c>
      <c r="J3047" s="656" t="s">
        <v>15282</v>
      </c>
      <c r="K3047" s="656"/>
      <c r="L3047" s="656" t="s">
        <v>13646</v>
      </c>
      <c r="M3047" s="657"/>
      <c r="N3047" s="1482"/>
      <c r="O3047" s="656" t="s">
        <v>498</v>
      </c>
      <c r="P3047" s="656" t="s">
        <v>13052</v>
      </c>
      <c r="Q3047" s="656">
        <v>44216.771967592591</v>
      </c>
    </row>
    <row r="3048" spans="1:17">
      <c r="A3048" s="656" t="s">
        <v>13644</v>
      </c>
      <c r="B3048" s="657" t="s">
        <v>202</v>
      </c>
      <c r="C3048" s="656" t="s">
        <v>13645</v>
      </c>
      <c r="D3048" s="657" t="s">
        <v>14977</v>
      </c>
      <c r="E3048" s="657"/>
      <c r="F3048" s="656" t="s">
        <v>1667</v>
      </c>
      <c r="G3048" s="656" t="s">
        <v>13</v>
      </c>
      <c r="H3048" s="656" t="s">
        <v>1667</v>
      </c>
      <c r="I3048" s="656" t="s">
        <v>14976</v>
      </c>
      <c r="J3048" s="656" t="s">
        <v>15282</v>
      </c>
      <c r="K3048" s="656"/>
      <c r="L3048" s="656" t="s">
        <v>13644</v>
      </c>
      <c r="M3048" s="657"/>
      <c r="N3048" s="1482"/>
      <c r="O3048" s="656" t="s">
        <v>498</v>
      </c>
      <c r="P3048" s="656" t="s">
        <v>13052</v>
      </c>
      <c r="Q3048" s="656">
        <v>44216.771956018521</v>
      </c>
    </row>
    <row r="3049" spans="1:17">
      <c r="A3049" s="656" t="s">
        <v>4062</v>
      </c>
      <c r="B3049" s="657" t="s">
        <v>202</v>
      </c>
      <c r="C3049" s="656" t="s">
        <v>4063</v>
      </c>
      <c r="D3049" s="657" t="s">
        <v>14977</v>
      </c>
      <c r="E3049" s="657"/>
      <c r="F3049" s="656" t="s">
        <v>783</v>
      </c>
      <c r="G3049" s="656" t="s">
        <v>4064</v>
      </c>
      <c r="H3049" s="656" t="s">
        <v>783</v>
      </c>
      <c r="I3049" s="656" t="s">
        <v>14976</v>
      </c>
      <c r="J3049" s="656" t="s">
        <v>15282</v>
      </c>
      <c r="K3049" s="656"/>
      <c r="L3049" s="656" t="s">
        <v>4062</v>
      </c>
      <c r="M3049" s="657"/>
      <c r="N3049" s="1482"/>
      <c r="O3049" s="656" t="s">
        <v>498</v>
      </c>
      <c r="P3049" s="656" t="s">
        <v>13052</v>
      </c>
      <c r="Q3049" s="656">
        <v>44216.771956018521</v>
      </c>
    </row>
    <row r="3050" spans="1:17">
      <c r="A3050" s="656" t="s">
        <v>4065</v>
      </c>
      <c r="B3050" s="657"/>
      <c r="C3050" s="656" t="s">
        <v>3943</v>
      </c>
      <c r="D3050" s="657" t="s">
        <v>14977</v>
      </c>
      <c r="E3050" s="657"/>
      <c r="F3050" s="656"/>
      <c r="G3050" s="656"/>
      <c r="H3050" s="656"/>
      <c r="I3050" s="656" t="s">
        <v>14976</v>
      </c>
      <c r="J3050" s="656"/>
      <c r="K3050" s="656"/>
      <c r="L3050" s="656" t="s">
        <v>4065</v>
      </c>
      <c r="M3050" s="657"/>
      <c r="N3050" s="1482"/>
      <c r="O3050" s="656" t="s">
        <v>498</v>
      </c>
      <c r="P3050" s="656" t="s">
        <v>13052</v>
      </c>
      <c r="Q3050" s="656">
        <v>44216.771956018521</v>
      </c>
    </row>
    <row r="3051" spans="1:17">
      <c r="A3051" s="656" t="s">
        <v>13641</v>
      </c>
      <c r="B3051" s="657" t="s">
        <v>202</v>
      </c>
      <c r="C3051" s="656" t="s">
        <v>13642</v>
      </c>
      <c r="D3051" s="657" t="s">
        <v>14977</v>
      </c>
      <c r="E3051" s="657"/>
      <c r="F3051" s="656" t="s">
        <v>1667</v>
      </c>
      <c r="G3051" s="656" t="s">
        <v>13643</v>
      </c>
      <c r="H3051" s="656" t="s">
        <v>1667</v>
      </c>
      <c r="I3051" s="656" t="s">
        <v>14976</v>
      </c>
      <c r="J3051" s="656" t="s">
        <v>15282</v>
      </c>
      <c r="K3051" s="656"/>
      <c r="L3051" s="656" t="s">
        <v>13641</v>
      </c>
      <c r="M3051" s="657"/>
      <c r="N3051" s="1482"/>
      <c r="O3051" s="656" t="s">
        <v>498</v>
      </c>
      <c r="P3051" s="656" t="s">
        <v>13052</v>
      </c>
      <c r="Q3051" s="656">
        <v>44216.771944444445</v>
      </c>
    </row>
    <row r="3052" spans="1:17">
      <c r="A3052" s="656" t="s">
        <v>13639</v>
      </c>
      <c r="B3052" s="657" t="s">
        <v>202</v>
      </c>
      <c r="C3052" s="656" t="s">
        <v>13640</v>
      </c>
      <c r="D3052" s="657" t="s">
        <v>14977</v>
      </c>
      <c r="E3052" s="657"/>
      <c r="F3052" s="656" t="s">
        <v>1667</v>
      </c>
      <c r="G3052" s="656" t="s">
        <v>13</v>
      </c>
      <c r="H3052" s="656" t="s">
        <v>1667</v>
      </c>
      <c r="I3052" s="656" t="s">
        <v>14976</v>
      </c>
      <c r="J3052" s="656" t="s">
        <v>15282</v>
      </c>
      <c r="K3052" s="656"/>
      <c r="L3052" s="656" t="s">
        <v>13639</v>
      </c>
      <c r="M3052" s="657"/>
      <c r="N3052" s="1482"/>
      <c r="O3052" s="656" t="s">
        <v>498</v>
      </c>
      <c r="P3052" s="656" t="s">
        <v>13052</v>
      </c>
      <c r="Q3052" s="656">
        <v>44216.771932870368</v>
      </c>
    </row>
    <row r="3053" spans="1:17">
      <c r="A3053" s="656" t="s">
        <v>13637</v>
      </c>
      <c r="B3053" s="657" t="s">
        <v>202</v>
      </c>
      <c r="C3053" s="656" t="s">
        <v>13638</v>
      </c>
      <c r="D3053" s="657" t="s">
        <v>14977</v>
      </c>
      <c r="E3053" s="657"/>
      <c r="F3053" s="656" t="s">
        <v>783</v>
      </c>
      <c r="G3053" s="656" t="s">
        <v>13</v>
      </c>
      <c r="H3053" s="656" t="s">
        <v>783</v>
      </c>
      <c r="I3053" s="656" t="s">
        <v>14976</v>
      </c>
      <c r="J3053" s="656" t="s">
        <v>15282</v>
      </c>
      <c r="K3053" s="656"/>
      <c r="L3053" s="656" t="s">
        <v>13637</v>
      </c>
      <c r="M3053" s="657"/>
      <c r="N3053" s="1482"/>
      <c r="O3053" s="656" t="s">
        <v>498</v>
      </c>
      <c r="P3053" s="656" t="s">
        <v>13052</v>
      </c>
      <c r="Q3053" s="656">
        <v>44216.771932870368</v>
      </c>
    </row>
    <row r="3054" spans="1:17">
      <c r="A3054" s="656" t="s">
        <v>13635</v>
      </c>
      <c r="B3054" s="657" t="s">
        <v>202</v>
      </c>
      <c r="C3054" s="656" t="s">
        <v>13636</v>
      </c>
      <c r="D3054" s="657" t="s">
        <v>14977</v>
      </c>
      <c r="E3054" s="657"/>
      <c r="F3054" s="656" t="s">
        <v>783</v>
      </c>
      <c r="G3054" s="656" t="s">
        <v>4064</v>
      </c>
      <c r="H3054" s="656" t="s">
        <v>783</v>
      </c>
      <c r="I3054" s="656" t="s">
        <v>14976</v>
      </c>
      <c r="J3054" s="656" t="s">
        <v>15282</v>
      </c>
      <c r="K3054" s="656"/>
      <c r="L3054" s="656" t="s">
        <v>13635</v>
      </c>
      <c r="M3054" s="657"/>
      <c r="N3054" s="1482"/>
      <c r="O3054" s="656" t="s">
        <v>498</v>
      </c>
      <c r="P3054" s="656" t="s">
        <v>13052</v>
      </c>
      <c r="Q3054" s="656">
        <v>44216.771921296298</v>
      </c>
    </row>
    <row r="3055" spans="1:17">
      <c r="A3055" s="656" t="s">
        <v>13633</v>
      </c>
      <c r="B3055" s="657" t="s">
        <v>202</v>
      </c>
      <c r="C3055" s="656" t="s">
        <v>13634</v>
      </c>
      <c r="D3055" s="657" t="s">
        <v>1239</v>
      </c>
      <c r="E3055" s="657"/>
      <c r="F3055" s="656" t="s">
        <v>783</v>
      </c>
      <c r="G3055" s="656" t="s">
        <v>13</v>
      </c>
      <c r="H3055" s="656" t="s">
        <v>783</v>
      </c>
      <c r="I3055" s="656" t="s">
        <v>14976</v>
      </c>
      <c r="J3055" s="656" t="s">
        <v>15282</v>
      </c>
      <c r="K3055" s="656"/>
      <c r="L3055" s="656"/>
      <c r="M3055" s="657"/>
      <c r="N3055" s="1482"/>
      <c r="O3055" s="656" t="s">
        <v>498</v>
      </c>
      <c r="P3055" s="656" t="s">
        <v>13052</v>
      </c>
      <c r="Q3055" s="656">
        <v>44216.771921296298</v>
      </c>
    </row>
    <row r="3056" spans="1:17">
      <c r="A3056" s="656" t="s">
        <v>13631</v>
      </c>
      <c r="B3056" s="657" t="s">
        <v>202</v>
      </c>
      <c r="C3056" s="656" t="s">
        <v>13632</v>
      </c>
      <c r="D3056" s="657" t="s">
        <v>14977</v>
      </c>
      <c r="E3056" s="657"/>
      <c r="F3056" s="656" t="s">
        <v>783</v>
      </c>
      <c r="G3056" s="656" t="s">
        <v>4064</v>
      </c>
      <c r="H3056" s="656" t="s">
        <v>783</v>
      </c>
      <c r="I3056" s="656" t="s">
        <v>14976</v>
      </c>
      <c r="J3056" s="656" t="s">
        <v>15282</v>
      </c>
      <c r="K3056" s="656"/>
      <c r="L3056" s="656" t="s">
        <v>13631</v>
      </c>
      <c r="M3056" s="657"/>
      <c r="N3056" s="1482"/>
      <c r="O3056" s="656" t="s">
        <v>498</v>
      </c>
      <c r="P3056" s="656" t="s">
        <v>13052</v>
      </c>
      <c r="Q3056" s="656">
        <v>44216.771909722222</v>
      </c>
    </row>
    <row r="3057" spans="1:17">
      <c r="A3057" s="656" t="s">
        <v>13629</v>
      </c>
      <c r="B3057" s="657" t="s">
        <v>202</v>
      </c>
      <c r="C3057" s="656" t="s">
        <v>13630</v>
      </c>
      <c r="D3057" s="657" t="s">
        <v>14977</v>
      </c>
      <c r="E3057" s="657"/>
      <c r="F3057" s="656" t="s">
        <v>783</v>
      </c>
      <c r="G3057" s="656" t="s">
        <v>4066</v>
      </c>
      <c r="H3057" s="656" t="s">
        <v>783</v>
      </c>
      <c r="I3057" s="656" t="s">
        <v>14976</v>
      </c>
      <c r="J3057" s="656" t="s">
        <v>15282</v>
      </c>
      <c r="K3057" s="656"/>
      <c r="L3057" s="656" t="s">
        <v>13629</v>
      </c>
      <c r="M3057" s="657"/>
      <c r="N3057" s="1482"/>
      <c r="O3057" s="656" t="s">
        <v>498</v>
      </c>
      <c r="P3057" s="656" t="s">
        <v>13052</v>
      </c>
      <c r="Q3057" s="656">
        <v>44216.771909722222</v>
      </c>
    </row>
    <row r="3058" spans="1:17">
      <c r="A3058" s="656" t="s">
        <v>13627</v>
      </c>
      <c r="B3058" s="657" t="s">
        <v>202</v>
      </c>
      <c r="C3058" s="656" t="s">
        <v>13628</v>
      </c>
      <c r="D3058" s="657" t="s">
        <v>14977</v>
      </c>
      <c r="E3058" s="657"/>
      <c r="F3058" s="656" t="s">
        <v>655</v>
      </c>
      <c r="G3058" s="656" t="s">
        <v>1078</v>
      </c>
      <c r="H3058" s="656" t="s">
        <v>655</v>
      </c>
      <c r="I3058" s="656" t="s">
        <v>14976</v>
      </c>
      <c r="J3058" s="656" t="s">
        <v>15281</v>
      </c>
      <c r="K3058" s="656"/>
      <c r="L3058" s="656" t="s">
        <v>13627</v>
      </c>
      <c r="M3058" s="657"/>
      <c r="N3058" s="1482"/>
      <c r="O3058" s="656" t="s">
        <v>498</v>
      </c>
      <c r="P3058" s="656" t="s">
        <v>13052</v>
      </c>
      <c r="Q3058" s="656">
        <v>44216.771898148145</v>
      </c>
    </row>
    <row r="3059" spans="1:17">
      <c r="A3059" s="656" t="s">
        <v>4067</v>
      </c>
      <c r="B3059" s="657" t="s">
        <v>202</v>
      </c>
      <c r="C3059" s="656" t="s">
        <v>4068</v>
      </c>
      <c r="D3059" s="657" t="s">
        <v>14977</v>
      </c>
      <c r="E3059" s="657"/>
      <c r="F3059" s="656" t="s">
        <v>655</v>
      </c>
      <c r="G3059" s="656" t="s">
        <v>3280</v>
      </c>
      <c r="H3059" s="656" t="s">
        <v>655</v>
      </c>
      <c r="I3059" s="656" t="s">
        <v>14976</v>
      </c>
      <c r="J3059" s="656" t="s">
        <v>15281</v>
      </c>
      <c r="K3059" s="656"/>
      <c r="L3059" s="656" t="s">
        <v>4067</v>
      </c>
      <c r="M3059" s="657"/>
      <c r="N3059" s="1482"/>
      <c r="O3059" s="656" t="s">
        <v>498</v>
      </c>
      <c r="P3059" s="656" t="s">
        <v>13052</v>
      </c>
      <c r="Q3059" s="656">
        <v>44216.771898148145</v>
      </c>
    </row>
    <row r="3060" spans="1:17">
      <c r="A3060" s="656" t="s">
        <v>13625</v>
      </c>
      <c r="B3060" s="657" t="s">
        <v>202</v>
      </c>
      <c r="C3060" s="656" t="s">
        <v>13626</v>
      </c>
      <c r="D3060" s="657" t="s">
        <v>14977</v>
      </c>
      <c r="E3060" s="657"/>
      <c r="F3060" s="656" t="s">
        <v>655</v>
      </c>
      <c r="G3060" s="656" t="s">
        <v>1078</v>
      </c>
      <c r="H3060" s="656" t="s">
        <v>655</v>
      </c>
      <c r="I3060" s="656" t="s">
        <v>14976</v>
      </c>
      <c r="J3060" s="656" t="s">
        <v>15281</v>
      </c>
      <c r="K3060" s="656"/>
      <c r="L3060" s="656" t="s">
        <v>13625</v>
      </c>
      <c r="M3060" s="657"/>
      <c r="N3060" s="1482"/>
      <c r="O3060" s="656" t="s">
        <v>498</v>
      </c>
      <c r="P3060" s="656" t="s">
        <v>13052</v>
      </c>
      <c r="Q3060" s="656">
        <v>44216.771886574075</v>
      </c>
    </row>
    <row r="3061" spans="1:17">
      <c r="A3061" s="656" t="s">
        <v>4069</v>
      </c>
      <c r="B3061" s="657" t="s">
        <v>202</v>
      </c>
      <c r="C3061" s="656" t="s">
        <v>4070</v>
      </c>
      <c r="D3061" s="657" t="s">
        <v>14977</v>
      </c>
      <c r="E3061" s="657"/>
      <c r="F3061" s="656" t="s">
        <v>655</v>
      </c>
      <c r="G3061" s="656" t="s">
        <v>655</v>
      </c>
      <c r="H3061" s="656" t="s">
        <v>655</v>
      </c>
      <c r="I3061" s="656" t="s">
        <v>14976</v>
      </c>
      <c r="J3061" s="656" t="s">
        <v>15281</v>
      </c>
      <c r="K3061" s="656"/>
      <c r="L3061" s="656" t="s">
        <v>4069</v>
      </c>
      <c r="M3061" s="657"/>
      <c r="N3061" s="1482"/>
      <c r="O3061" s="656" t="s">
        <v>498</v>
      </c>
      <c r="P3061" s="656" t="s">
        <v>13052</v>
      </c>
      <c r="Q3061" s="656">
        <v>44216.771898148145</v>
      </c>
    </row>
    <row r="3062" spans="1:17">
      <c r="A3062" s="656" t="s">
        <v>13623</v>
      </c>
      <c r="B3062" s="657" t="s">
        <v>202</v>
      </c>
      <c r="C3062" s="656" t="s">
        <v>13624</v>
      </c>
      <c r="D3062" s="657" t="s">
        <v>14977</v>
      </c>
      <c r="E3062" s="657"/>
      <c r="F3062" s="656" t="s">
        <v>1300</v>
      </c>
      <c r="G3062" s="656"/>
      <c r="H3062" s="656" t="s">
        <v>1300</v>
      </c>
      <c r="I3062" s="656" t="s">
        <v>14976</v>
      </c>
      <c r="J3062" s="656" t="s">
        <v>15281</v>
      </c>
      <c r="K3062" s="656"/>
      <c r="L3062" s="656" t="s">
        <v>13623</v>
      </c>
      <c r="M3062" s="657"/>
      <c r="N3062" s="1482"/>
      <c r="O3062" s="656" t="s">
        <v>498</v>
      </c>
      <c r="P3062" s="656" t="s">
        <v>13052</v>
      </c>
      <c r="Q3062" s="656">
        <v>44216.771886574075</v>
      </c>
    </row>
    <row r="3063" spans="1:17">
      <c r="A3063" s="656" t="s">
        <v>4071</v>
      </c>
      <c r="B3063" s="657" t="s">
        <v>202</v>
      </c>
      <c r="C3063" s="656" t="s">
        <v>4072</v>
      </c>
      <c r="D3063" s="657" t="s">
        <v>14977</v>
      </c>
      <c r="E3063" s="657"/>
      <c r="F3063" s="656" t="s">
        <v>3077</v>
      </c>
      <c r="G3063" s="656"/>
      <c r="H3063" s="656" t="s">
        <v>465</v>
      </c>
      <c r="I3063" s="656" t="s">
        <v>14976</v>
      </c>
      <c r="J3063" s="656" t="s">
        <v>446</v>
      </c>
      <c r="K3063" s="656"/>
      <c r="L3063" s="656" t="s">
        <v>4071</v>
      </c>
      <c r="M3063" s="657"/>
      <c r="N3063" s="1482"/>
      <c r="O3063" s="656" t="s">
        <v>498</v>
      </c>
      <c r="P3063" s="656" t="s">
        <v>13052</v>
      </c>
      <c r="Q3063" s="656">
        <v>44216.771874999999</v>
      </c>
    </row>
    <row r="3064" spans="1:17">
      <c r="A3064" s="656" t="s">
        <v>4073</v>
      </c>
      <c r="B3064" s="657" t="s">
        <v>202</v>
      </c>
      <c r="C3064" s="656" t="s">
        <v>4074</v>
      </c>
      <c r="D3064" s="657" t="s">
        <v>14977</v>
      </c>
      <c r="E3064" s="657"/>
      <c r="F3064" s="656" t="s">
        <v>655</v>
      </c>
      <c r="G3064" s="656" t="s">
        <v>1078</v>
      </c>
      <c r="H3064" s="656" t="s">
        <v>655</v>
      </c>
      <c r="I3064" s="656" t="s">
        <v>14976</v>
      </c>
      <c r="J3064" s="656" t="s">
        <v>15281</v>
      </c>
      <c r="K3064" s="656"/>
      <c r="L3064" s="656" t="s">
        <v>4073</v>
      </c>
      <c r="M3064" s="657"/>
      <c r="N3064" s="1482"/>
      <c r="O3064" s="656" t="s">
        <v>498</v>
      </c>
      <c r="P3064" s="656" t="s">
        <v>13052</v>
      </c>
      <c r="Q3064" s="656">
        <v>44216.771874999999</v>
      </c>
    </row>
    <row r="3065" spans="1:17">
      <c r="A3065" s="656" t="s">
        <v>13621</v>
      </c>
      <c r="B3065" s="657" t="s">
        <v>202</v>
      </c>
      <c r="C3065" s="656" t="s">
        <v>13622</v>
      </c>
      <c r="D3065" s="657" t="s">
        <v>14977</v>
      </c>
      <c r="E3065" s="657"/>
      <c r="F3065" s="656" t="s">
        <v>655</v>
      </c>
      <c r="G3065" s="656" t="s">
        <v>1078</v>
      </c>
      <c r="H3065" s="656" t="s">
        <v>655</v>
      </c>
      <c r="I3065" s="656" t="s">
        <v>14976</v>
      </c>
      <c r="J3065" s="656" t="s">
        <v>15281</v>
      </c>
      <c r="K3065" s="656"/>
      <c r="L3065" s="656" t="s">
        <v>13621</v>
      </c>
      <c r="M3065" s="657"/>
      <c r="N3065" s="1482"/>
      <c r="O3065" s="656" t="s">
        <v>498</v>
      </c>
      <c r="P3065" s="656" t="s">
        <v>13052</v>
      </c>
      <c r="Q3065" s="656">
        <v>44216.771863425929</v>
      </c>
    </row>
    <row r="3066" spans="1:17">
      <c r="A3066" s="656" t="s">
        <v>13619</v>
      </c>
      <c r="B3066" s="657" t="s">
        <v>202</v>
      </c>
      <c r="C3066" s="656" t="s">
        <v>13620</v>
      </c>
      <c r="D3066" s="657" t="s">
        <v>14977</v>
      </c>
      <c r="E3066" s="657"/>
      <c r="F3066" s="656" t="s">
        <v>655</v>
      </c>
      <c r="G3066" s="656" t="s">
        <v>1051</v>
      </c>
      <c r="H3066" s="656" t="s">
        <v>655</v>
      </c>
      <c r="I3066" s="656" t="s">
        <v>14976</v>
      </c>
      <c r="J3066" s="656" t="s">
        <v>15281</v>
      </c>
      <c r="K3066" s="656"/>
      <c r="L3066" s="656" t="s">
        <v>13619</v>
      </c>
      <c r="M3066" s="657"/>
      <c r="N3066" s="1482"/>
      <c r="O3066" s="656" t="s">
        <v>498</v>
      </c>
      <c r="P3066" s="656" t="s">
        <v>13052</v>
      </c>
      <c r="Q3066" s="656">
        <v>44216.771863425929</v>
      </c>
    </row>
    <row r="3067" spans="1:17">
      <c r="A3067" s="656" t="s">
        <v>13617</v>
      </c>
      <c r="B3067" s="657" t="s">
        <v>202</v>
      </c>
      <c r="C3067" s="656" t="s">
        <v>13618</v>
      </c>
      <c r="D3067" s="657" t="s">
        <v>14977</v>
      </c>
      <c r="E3067" s="657"/>
      <c r="F3067" s="656" t="s">
        <v>655</v>
      </c>
      <c r="G3067" s="656" t="s">
        <v>1051</v>
      </c>
      <c r="H3067" s="656" t="s">
        <v>655</v>
      </c>
      <c r="I3067" s="656" t="s">
        <v>14976</v>
      </c>
      <c r="J3067" s="656" t="s">
        <v>15281</v>
      </c>
      <c r="K3067" s="656"/>
      <c r="L3067" s="656" t="s">
        <v>13617</v>
      </c>
      <c r="M3067" s="657"/>
      <c r="N3067" s="1482"/>
      <c r="O3067" s="656" t="s">
        <v>498</v>
      </c>
      <c r="P3067" s="656" t="s">
        <v>13052</v>
      </c>
      <c r="Q3067" s="656">
        <v>44216.771851851852</v>
      </c>
    </row>
    <row r="3068" spans="1:17">
      <c r="A3068" s="656" t="s">
        <v>13615</v>
      </c>
      <c r="B3068" s="657" t="s">
        <v>202</v>
      </c>
      <c r="C3068" s="656" t="s">
        <v>13616</v>
      </c>
      <c r="D3068" s="657" t="s">
        <v>14977</v>
      </c>
      <c r="E3068" s="657"/>
      <c r="F3068" s="656" t="s">
        <v>655</v>
      </c>
      <c r="G3068" s="656" t="s">
        <v>1051</v>
      </c>
      <c r="H3068" s="656" t="s">
        <v>655</v>
      </c>
      <c r="I3068" s="656" t="s">
        <v>14976</v>
      </c>
      <c r="J3068" s="656" t="s">
        <v>15281</v>
      </c>
      <c r="K3068" s="656"/>
      <c r="L3068" s="656" t="s">
        <v>13615</v>
      </c>
      <c r="M3068" s="657"/>
      <c r="N3068" s="1482"/>
      <c r="O3068" s="656" t="s">
        <v>498</v>
      </c>
      <c r="P3068" s="656" t="s">
        <v>13052</v>
      </c>
      <c r="Q3068" s="656">
        <v>44216.771851851852</v>
      </c>
    </row>
    <row r="3069" spans="1:17">
      <c r="A3069" s="656" t="s">
        <v>13613</v>
      </c>
      <c r="B3069" s="657" t="s">
        <v>202</v>
      </c>
      <c r="C3069" s="656" t="s">
        <v>13614</v>
      </c>
      <c r="D3069" s="657" t="s">
        <v>14977</v>
      </c>
      <c r="E3069" s="657"/>
      <c r="F3069" s="656" t="s">
        <v>655</v>
      </c>
      <c r="G3069" s="656" t="s">
        <v>1620</v>
      </c>
      <c r="H3069" s="656" t="s">
        <v>655</v>
      </c>
      <c r="I3069" s="656" t="s">
        <v>14976</v>
      </c>
      <c r="J3069" s="656" t="s">
        <v>15281</v>
      </c>
      <c r="K3069" s="656"/>
      <c r="L3069" s="656" t="s">
        <v>13613</v>
      </c>
      <c r="M3069" s="657"/>
      <c r="N3069" s="1482"/>
      <c r="O3069" s="656" t="s">
        <v>498</v>
      </c>
      <c r="P3069" s="656" t="s">
        <v>13052</v>
      </c>
      <c r="Q3069" s="656">
        <v>44216.771840277775</v>
      </c>
    </row>
    <row r="3070" spans="1:17">
      <c r="A3070" s="656" t="s">
        <v>4075</v>
      </c>
      <c r="B3070" s="657" t="s">
        <v>202</v>
      </c>
      <c r="C3070" s="656" t="s">
        <v>4076</v>
      </c>
      <c r="D3070" s="657" t="s">
        <v>14977</v>
      </c>
      <c r="E3070" s="657"/>
      <c r="F3070" s="656" t="s">
        <v>3077</v>
      </c>
      <c r="G3070" s="656" t="s">
        <v>3077</v>
      </c>
      <c r="H3070" s="656" t="s">
        <v>465</v>
      </c>
      <c r="I3070" s="656" t="s">
        <v>14976</v>
      </c>
      <c r="J3070" s="656" t="s">
        <v>446</v>
      </c>
      <c r="K3070" s="656"/>
      <c r="L3070" s="656" t="s">
        <v>4075</v>
      </c>
      <c r="M3070" s="657"/>
      <c r="N3070" s="1482"/>
      <c r="O3070" s="656" t="s">
        <v>498</v>
      </c>
      <c r="P3070" s="656" t="s">
        <v>13052</v>
      </c>
      <c r="Q3070" s="656">
        <v>44216.771840277775</v>
      </c>
    </row>
    <row r="3071" spans="1:17">
      <c r="A3071" s="656" t="s">
        <v>4077</v>
      </c>
      <c r="B3071" s="657" t="s">
        <v>202</v>
      </c>
      <c r="C3071" s="656" t="s">
        <v>4078</v>
      </c>
      <c r="D3071" s="657" t="s">
        <v>14977</v>
      </c>
      <c r="E3071" s="657"/>
      <c r="F3071" s="656" t="s">
        <v>3077</v>
      </c>
      <c r="G3071" s="656" t="s">
        <v>3077</v>
      </c>
      <c r="H3071" s="656" t="s">
        <v>465</v>
      </c>
      <c r="I3071" s="656" t="s">
        <v>14976</v>
      </c>
      <c r="J3071" s="656" t="s">
        <v>446</v>
      </c>
      <c r="K3071" s="656"/>
      <c r="L3071" s="656" t="s">
        <v>4077</v>
      </c>
      <c r="M3071" s="657"/>
      <c r="N3071" s="1482"/>
      <c r="O3071" s="656" t="s">
        <v>498</v>
      </c>
      <c r="P3071" s="656" t="s">
        <v>13052</v>
      </c>
      <c r="Q3071" s="656">
        <v>44216.771828703706</v>
      </c>
    </row>
    <row r="3072" spans="1:17">
      <c r="A3072" s="656" t="s">
        <v>13611</v>
      </c>
      <c r="B3072" s="657" t="s">
        <v>202</v>
      </c>
      <c r="C3072" s="656" t="s">
        <v>13612</v>
      </c>
      <c r="D3072" s="657" t="s">
        <v>14977</v>
      </c>
      <c r="E3072" s="657"/>
      <c r="F3072" s="656" t="s">
        <v>655</v>
      </c>
      <c r="G3072" s="656" t="s">
        <v>1051</v>
      </c>
      <c r="H3072" s="656" t="s">
        <v>655</v>
      </c>
      <c r="I3072" s="656" t="s">
        <v>14976</v>
      </c>
      <c r="J3072" s="656" t="s">
        <v>15281</v>
      </c>
      <c r="K3072" s="656"/>
      <c r="L3072" s="656" t="s">
        <v>13611</v>
      </c>
      <c r="M3072" s="657"/>
      <c r="N3072" s="1482"/>
      <c r="O3072" s="656" t="s">
        <v>498</v>
      </c>
      <c r="P3072" s="656" t="s">
        <v>13052</v>
      </c>
      <c r="Q3072" s="656">
        <v>44216.771828703706</v>
      </c>
    </row>
    <row r="3073" spans="1:17">
      <c r="A3073" s="656" t="s">
        <v>13609</v>
      </c>
      <c r="B3073" s="657" t="s">
        <v>202</v>
      </c>
      <c r="C3073" s="656" t="s">
        <v>13610</v>
      </c>
      <c r="D3073" s="657" t="s">
        <v>14977</v>
      </c>
      <c r="E3073" s="657"/>
      <c r="F3073" s="656" t="s">
        <v>655</v>
      </c>
      <c r="G3073" s="656" t="s">
        <v>1051</v>
      </c>
      <c r="H3073" s="656" t="s">
        <v>655</v>
      </c>
      <c r="I3073" s="656" t="s">
        <v>14976</v>
      </c>
      <c r="J3073" s="656" t="s">
        <v>15281</v>
      </c>
      <c r="K3073" s="656"/>
      <c r="L3073" s="656" t="s">
        <v>13609</v>
      </c>
      <c r="M3073" s="657"/>
      <c r="N3073" s="1482"/>
      <c r="O3073" s="656" t="s">
        <v>498</v>
      </c>
      <c r="P3073" s="656" t="s">
        <v>13052</v>
      </c>
      <c r="Q3073" s="656">
        <v>44216.771817129629</v>
      </c>
    </row>
    <row r="3074" spans="1:17">
      <c r="A3074" s="656" t="s">
        <v>13607</v>
      </c>
      <c r="B3074" s="657" t="s">
        <v>202</v>
      </c>
      <c r="C3074" s="656" t="s">
        <v>13608</v>
      </c>
      <c r="D3074" s="657" t="s">
        <v>14977</v>
      </c>
      <c r="E3074" s="657"/>
      <c r="F3074" s="656" t="s">
        <v>500</v>
      </c>
      <c r="G3074" s="656" t="s">
        <v>500</v>
      </c>
      <c r="H3074" s="656" t="s">
        <v>500</v>
      </c>
      <c r="I3074" s="656" t="s">
        <v>14976</v>
      </c>
      <c r="J3074" s="656" t="s">
        <v>15282</v>
      </c>
      <c r="K3074" s="656"/>
      <c r="L3074" s="656" t="s">
        <v>13607</v>
      </c>
      <c r="M3074" s="657"/>
      <c r="N3074" s="1482"/>
      <c r="O3074" s="656" t="s">
        <v>498</v>
      </c>
      <c r="P3074" s="656" t="s">
        <v>13052</v>
      </c>
      <c r="Q3074" s="656">
        <v>44216.771805555552</v>
      </c>
    </row>
    <row r="3075" spans="1:17">
      <c r="A3075" s="656" t="s">
        <v>13605</v>
      </c>
      <c r="B3075" s="657" t="s">
        <v>202</v>
      </c>
      <c r="C3075" s="656" t="s">
        <v>13606</v>
      </c>
      <c r="D3075" s="657" t="s">
        <v>14977</v>
      </c>
      <c r="E3075" s="657"/>
      <c r="F3075" s="656" t="s">
        <v>500</v>
      </c>
      <c r="G3075" s="656" t="s">
        <v>500</v>
      </c>
      <c r="H3075" s="656" t="s">
        <v>500</v>
      </c>
      <c r="I3075" s="656" t="s">
        <v>14976</v>
      </c>
      <c r="J3075" s="656" t="s">
        <v>15282</v>
      </c>
      <c r="K3075" s="656"/>
      <c r="L3075" s="656" t="s">
        <v>13605</v>
      </c>
      <c r="M3075" s="657"/>
      <c r="N3075" s="1482"/>
      <c r="O3075" s="656" t="s">
        <v>498</v>
      </c>
      <c r="P3075" s="656" t="s">
        <v>13052</v>
      </c>
      <c r="Q3075" s="656">
        <v>44216.771805555552</v>
      </c>
    </row>
    <row r="3076" spans="1:17">
      <c r="A3076" s="656" t="s">
        <v>13603</v>
      </c>
      <c r="B3076" s="657" t="s">
        <v>202</v>
      </c>
      <c r="C3076" s="656" t="s">
        <v>13604</v>
      </c>
      <c r="D3076" s="657" t="s">
        <v>14977</v>
      </c>
      <c r="E3076" s="657"/>
      <c r="F3076" s="656" t="s">
        <v>500</v>
      </c>
      <c r="G3076" s="656" t="s">
        <v>500</v>
      </c>
      <c r="H3076" s="656" t="s">
        <v>500</v>
      </c>
      <c r="I3076" s="656" t="s">
        <v>14976</v>
      </c>
      <c r="J3076" s="656" t="s">
        <v>15282</v>
      </c>
      <c r="K3076" s="656"/>
      <c r="L3076" s="656" t="s">
        <v>13603</v>
      </c>
      <c r="M3076" s="657"/>
      <c r="N3076" s="1482"/>
      <c r="O3076" s="656" t="s">
        <v>498</v>
      </c>
      <c r="P3076" s="656" t="s">
        <v>13052</v>
      </c>
      <c r="Q3076" s="656">
        <v>44216.771793981483</v>
      </c>
    </row>
    <row r="3077" spans="1:17">
      <c r="A3077" s="656" t="s">
        <v>13601</v>
      </c>
      <c r="B3077" s="657" t="s">
        <v>202</v>
      </c>
      <c r="C3077" s="656" t="s">
        <v>13602</v>
      </c>
      <c r="D3077" s="657" t="s">
        <v>14977</v>
      </c>
      <c r="E3077" s="657"/>
      <c r="F3077" s="656" t="s">
        <v>500</v>
      </c>
      <c r="G3077" s="656" t="s">
        <v>500</v>
      </c>
      <c r="H3077" s="656" t="s">
        <v>500</v>
      </c>
      <c r="I3077" s="656" t="s">
        <v>14976</v>
      </c>
      <c r="J3077" s="656" t="s">
        <v>15282</v>
      </c>
      <c r="K3077" s="656"/>
      <c r="L3077" s="656" t="s">
        <v>13601</v>
      </c>
      <c r="M3077" s="657"/>
      <c r="N3077" s="1482"/>
      <c r="O3077" s="656" t="s">
        <v>498</v>
      </c>
      <c r="P3077" s="656" t="s">
        <v>13052</v>
      </c>
      <c r="Q3077" s="656">
        <v>44216.771793981483</v>
      </c>
    </row>
    <row r="3078" spans="1:17">
      <c r="A3078" s="656" t="s">
        <v>4079</v>
      </c>
      <c r="B3078" s="657" t="s">
        <v>202</v>
      </c>
      <c r="C3078" s="656" t="s">
        <v>4080</v>
      </c>
      <c r="D3078" s="657" t="s">
        <v>14977</v>
      </c>
      <c r="E3078" s="657"/>
      <c r="F3078" s="656" t="s">
        <v>500</v>
      </c>
      <c r="G3078" s="656" t="s">
        <v>500</v>
      </c>
      <c r="H3078" s="656" t="s">
        <v>500</v>
      </c>
      <c r="I3078" s="656" t="s">
        <v>14976</v>
      </c>
      <c r="J3078" s="656" t="s">
        <v>15282</v>
      </c>
      <c r="K3078" s="656"/>
      <c r="L3078" s="656" t="s">
        <v>4079</v>
      </c>
      <c r="M3078" s="657"/>
      <c r="N3078" s="1482"/>
      <c r="O3078" s="656" t="s">
        <v>498</v>
      </c>
      <c r="P3078" s="656" t="s">
        <v>13052</v>
      </c>
      <c r="Q3078" s="656">
        <v>44216.771782407406</v>
      </c>
    </row>
    <row r="3079" spans="1:17">
      <c r="A3079" s="656" t="s">
        <v>13599</v>
      </c>
      <c r="B3079" s="657" t="s">
        <v>202</v>
      </c>
      <c r="C3079" s="656" t="s">
        <v>13600</v>
      </c>
      <c r="D3079" s="657" t="s">
        <v>14977</v>
      </c>
      <c r="E3079" s="657"/>
      <c r="F3079" s="656" t="s">
        <v>1300</v>
      </c>
      <c r="G3079" s="656" t="s">
        <v>13</v>
      </c>
      <c r="H3079" s="656" t="s">
        <v>1300</v>
      </c>
      <c r="I3079" s="656" t="s">
        <v>14976</v>
      </c>
      <c r="J3079" s="656" t="s">
        <v>15285</v>
      </c>
      <c r="K3079" s="656"/>
      <c r="L3079" s="656" t="s">
        <v>13599</v>
      </c>
      <c r="M3079" s="657"/>
      <c r="N3079" s="1482"/>
      <c r="O3079" s="656" t="s">
        <v>498</v>
      </c>
      <c r="P3079" s="656" t="s">
        <v>13052</v>
      </c>
      <c r="Q3079" s="656">
        <v>44216.771782407406</v>
      </c>
    </row>
    <row r="3080" spans="1:17">
      <c r="A3080" s="656" t="s">
        <v>13597</v>
      </c>
      <c r="B3080" s="657" t="s">
        <v>202</v>
      </c>
      <c r="C3080" s="656" t="s">
        <v>13598</v>
      </c>
      <c r="D3080" s="657" t="s">
        <v>14977</v>
      </c>
      <c r="E3080" s="657"/>
      <c r="F3080" s="656" t="s">
        <v>500</v>
      </c>
      <c r="G3080" s="656" t="s">
        <v>500</v>
      </c>
      <c r="H3080" s="656" t="s">
        <v>500</v>
      </c>
      <c r="I3080" s="656" t="s">
        <v>14976</v>
      </c>
      <c r="J3080" s="656"/>
      <c r="K3080" s="656"/>
      <c r="L3080" s="656" t="s">
        <v>13597</v>
      </c>
      <c r="M3080" s="657"/>
      <c r="N3080" s="1482"/>
      <c r="O3080" s="656" t="s">
        <v>498</v>
      </c>
      <c r="P3080" s="656" t="s">
        <v>13052</v>
      </c>
      <c r="Q3080" s="656">
        <v>44216.771770833337</v>
      </c>
    </row>
    <row r="3081" spans="1:17">
      <c r="A3081" s="656" t="s">
        <v>13595</v>
      </c>
      <c r="B3081" s="657" t="s">
        <v>202</v>
      </c>
      <c r="C3081" s="656" t="s">
        <v>13596</v>
      </c>
      <c r="D3081" s="657" t="s">
        <v>14977</v>
      </c>
      <c r="E3081" s="657"/>
      <c r="F3081" s="656" t="s">
        <v>500</v>
      </c>
      <c r="G3081" s="656" t="s">
        <v>13</v>
      </c>
      <c r="H3081" s="656" t="s">
        <v>500</v>
      </c>
      <c r="I3081" s="656" t="s">
        <v>14976</v>
      </c>
      <c r="J3081" s="656" t="s">
        <v>15282</v>
      </c>
      <c r="K3081" s="656"/>
      <c r="L3081" s="656" t="s">
        <v>13595</v>
      </c>
      <c r="M3081" s="657"/>
      <c r="N3081" s="1482"/>
      <c r="O3081" s="656" t="s">
        <v>498</v>
      </c>
      <c r="P3081" s="656" t="s">
        <v>13052</v>
      </c>
      <c r="Q3081" s="656">
        <v>44216.771770833337</v>
      </c>
    </row>
    <row r="3082" spans="1:17">
      <c r="A3082" s="656" t="s">
        <v>13593</v>
      </c>
      <c r="B3082" s="657" t="s">
        <v>202</v>
      </c>
      <c r="C3082" s="656" t="s">
        <v>13594</v>
      </c>
      <c r="D3082" s="657" t="s">
        <v>14977</v>
      </c>
      <c r="E3082" s="657"/>
      <c r="F3082" s="656" t="s">
        <v>1300</v>
      </c>
      <c r="G3082" s="656" t="s">
        <v>13</v>
      </c>
      <c r="H3082" s="656" t="s">
        <v>1300</v>
      </c>
      <c r="I3082" s="656" t="s">
        <v>14976</v>
      </c>
      <c r="J3082" s="656" t="s">
        <v>15285</v>
      </c>
      <c r="K3082" s="656"/>
      <c r="L3082" s="656" t="s">
        <v>13593</v>
      </c>
      <c r="M3082" s="657"/>
      <c r="N3082" s="1482"/>
      <c r="O3082" s="656" t="s">
        <v>498</v>
      </c>
      <c r="P3082" s="656" t="s">
        <v>13052</v>
      </c>
      <c r="Q3082" s="656">
        <v>44216.77175925926</v>
      </c>
    </row>
    <row r="3083" spans="1:17">
      <c r="A3083" s="656" t="s">
        <v>13591</v>
      </c>
      <c r="B3083" s="657" t="s">
        <v>202</v>
      </c>
      <c r="C3083" s="656" t="s">
        <v>13592</v>
      </c>
      <c r="D3083" s="657" t="s">
        <v>14977</v>
      </c>
      <c r="E3083" s="657"/>
      <c r="F3083" s="656" t="s">
        <v>1300</v>
      </c>
      <c r="G3083" s="656" t="s">
        <v>3280</v>
      </c>
      <c r="H3083" s="656" t="s">
        <v>1300</v>
      </c>
      <c r="I3083" s="656" t="s">
        <v>14976</v>
      </c>
      <c r="J3083" s="656" t="s">
        <v>15285</v>
      </c>
      <c r="K3083" s="656"/>
      <c r="L3083" s="656" t="s">
        <v>13591</v>
      </c>
      <c r="M3083" s="657"/>
      <c r="N3083" s="1482"/>
      <c r="O3083" s="656" t="s">
        <v>498</v>
      </c>
      <c r="P3083" s="656" t="s">
        <v>13052</v>
      </c>
      <c r="Q3083" s="656">
        <v>44216.77175925926</v>
      </c>
    </row>
    <row r="3084" spans="1:17">
      <c r="A3084" s="656" t="s">
        <v>13589</v>
      </c>
      <c r="B3084" s="657" t="s">
        <v>202</v>
      </c>
      <c r="C3084" s="656" t="s">
        <v>13590</v>
      </c>
      <c r="D3084" s="657" t="s">
        <v>14977</v>
      </c>
      <c r="E3084" s="657"/>
      <c r="F3084" s="656" t="s">
        <v>462</v>
      </c>
      <c r="G3084" s="656" t="s">
        <v>512</v>
      </c>
      <c r="H3084" s="656" t="s">
        <v>462</v>
      </c>
      <c r="I3084" s="656" t="s">
        <v>14976</v>
      </c>
      <c r="J3084" s="656" t="s">
        <v>463</v>
      </c>
      <c r="K3084" s="656" t="s">
        <v>1924</v>
      </c>
      <c r="L3084" s="656" t="s">
        <v>13589</v>
      </c>
      <c r="M3084" s="657"/>
      <c r="N3084" s="1482"/>
      <c r="O3084" s="656" t="s">
        <v>498</v>
      </c>
      <c r="P3084" s="656" t="s">
        <v>13052</v>
      </c>
      <c r="Q3084" s="656">
        <v>44216.771747685183</v>
      </c>
    </row>
    <row r="3085" spans="1:17">
      <c r="A3085" s="656" t="s">
        <v>13587</v>
      </c>
      <c r="B3085" s="657" t="s">
        <v>202</v>
      </c>
      <c r="C3085" s="656" t="s">
        <v>13588</v>
      </c>
      <c r="D3085" s="657" t="s">
        <v>14977</v>
      </c>
      <c r="E3085" s="657"/>
      <c r="F3085" s="656" t="s">
        <v>1300</v>
      </c>
      <c r="G3085" s="656" t="s">
        <v>13</v>
      </c>
      <c r="H3085" s="656" t="s">
        <v>1300</v>
      </c>
      <c r="I3085" s="656" t="s">
        <v>14976</v>
      </c>
      <c r="J3085" s="656" t="s">
        <v>15285</v>
      </c>
      <c r="K3085" s="656"/>
      <c r="L3085" s="656" t="s">
        <v>13587</v>
      </c>
      <c r="M3085" s="657"/>
      <c r="N3085" s="1482"/>
      <c r="O3085" s="656" t="s">
        <v>498</v>
      </c>
      <c r="P3085" s="656" t="s">
        <v>13052</v>
      </c>
      <c r="Q3085" s="656">
        <v>44216.771736111114</v>
      </c>
    </row>
    <row r="3086" spans="1:17">
      <c r="A3086" s="656" t="s">
        <v>13585</v>
      </c>
      <c r="B3086" s="657" t="s">
        <v>202</v>
      </c>
      <c r="C3086" s="656" t="s">
        <v>13586</v>
      </c>
      <c r="D3086" s="657" t="s">
        <v>14977</v>
      </c>
      <c r="E3086" s="657"/>
      <c r="F3086" s="656" t="s">
        <v>1300</v>
      </c>
      <c r="G3086" s="656" t="s">
        <v>13</v>
      </c>
      <c r="H3086" s="656" t="s">
        <v>1300</v>
      </c>
      <c r="I3086" s="656" t="s">
        <v>14976</v>
      </c>
      <c r="J3086" s="656" t="s">
        <v>15285</v>
      </c>
      <c r="K3086" s="656"/>
      <c r="L3086" s="656" t="s">
        <v>13585</v>
      </c>
      <c r="M3086" s="657"/>
      <c r="N3086" s="1482"/>
      <c r="O3086" s="656" t="s">
        <v>498</v>
      </c>
      <c r="P3086" s="656" t="s">
        <v>13052</v>
      </c>
      <c r="Q3086" s="656">
        <v>44216.771736111114</v>
      </c>
    </row>
    <row r="3087" spans="1:17">
      <c r="A3087" s="656" t="s">
        <v>4081</v>
      </c>
      <c r="B3087" s="657" t="s">
        <v>202</v>
      </c>
      <c r="C3087" s="656" t="s">
        <v>16190</v>
      </c>
      <c r="D3087" s="657" t="s">
        <v>14977</v>
      </c>
      <c r="E3087" s="657"/>
      <c r="F3087" s="656" t="s">
        <v>537</v>
      </c>
      <c r="G3087" s="656" t="s">
        <v>512</v>
      </c>
      <c r="H3087" s="656" t="s">
        <v>450</v>
      </c>
      <c r="I3087" s="656" t="s">
        <v>14976</v>
      </c>
      <c r="J3087" s="656" t="s">
        <v>473</v>
      </c>
      <c r="K3087" s="656" t="s">
        <v>4161</v>
      </c>
      <c r="L3087" s="656" t="s">
        <v>4081</v>
      </c>
      <c r="M3087" s="657"/>
      <c r="N3087" s="1482"/>
      <c r="O3087" s="656" t="s">
        <v>498</v>
      </c>
      <c r="P3087" s="656" t="s">
        <v>13052</v>
      </c>
      <c r="Q3087" s="656">
        <v>44216.771724537037</v>
      </c>
    </row>
    <row r="3088" spans="1:17">
      <c r="A3088" s="656" t="s">
        <v>4083</v>
      </c>
      <c r="B3088" s="657" t="s">
        <v>504</v>
      </c>
      <c r="C3088" s="656" t="s">
        <v>4084</v>
      </c>
      <c r="D3088" s="657"/>
      <c r="E3088" s="657"/>
      <c r="F3088" s="656" t="s">
        <v>505</v>
      </c>
      <c r="G3088" s="656"/>
      <c r="H3088" s="656" t="s">
        <v>505</v>
      </c>
      <c r="I3088" s="656"/>
      <c r="J3088" s="656"/>
      <c r="K3088" s="656"/>
      <c r="L3088" s="656"/>
      <c r="M3088" s="657"/>
      <c r="N3088" s="1482"/>
      <c r="O3088" s="656" t="s">
        <v>498</v>
      </c>
      <c r="P3088" s="656" t="s">
        <v>13052</v>
      </c>
      <c r="Q3088" s="656">
        <v>44216.771724537037</v>
      </c>
    </row>
    <row r="3089" spans="1:17">
      <c r="A3089" s="656" t="s">
        <v>4085</v>
      </c>
      <c r="B3089" s="657" t="s">
        <v>531</v>
      </c>
      <c r="C3089" s="656" t="s">
        <v>1239</v>
      </c>
      <c r="D3089" s="657" t="s">
        <v>1239</v>
      </c>
      <c r="E3089" s="657"/>
      <c r="F3089" s="656" t="s">
        <v>442</v>
      </c>
      <c r="G3089" s="656" t="s">
        <v>561</v>
      </c>
      <c r="H3089" s="656" t="s">
        <v>442</v>
      </c>
      <c r="I3089" s="656" t="s">
        <v>14976</v>
      </c>
      <c r="J3089" s="656" t="s">
        <v>12369</v>
      </c>
      <c r="K3089" s="656"/>
      <c r="L3089" s="656"/>
      <c r="M3089" s="657"/>
      <c r="N3089" s="1482"/>
      <c r="O3089" s="656" t="s">
        <v>498</v>
      </c>
      <c r="P3089" s="656" t="s">
        <v>13052</v>
      </c>
      <c r="Q3089" s="656">
        <v>44216.77171296296</v>
      </c>
    </row>
    <row r="3090" spans="1:17">
      <c r="A3090" s="656" t="s">
        <v>4086</v>
      </c>
      <c r="B3090" s="657"/>
      <c r="C3090" s="656" t="s">
        <v>4087</v>
      </c>
      <c r="D3090" s="657" t="s">
        <v>14977</v>
      </c>
      <c r="E3090" s="657"/>
      <c r="F3090" s="656" t="s">
        <v>1394</v>
      </c>
      <c r="G3090" s="656" t="s">
        <v>625</v>
      </c>
      <c r="H3090" s="656" t="s">
        <v>1394</v>
      </c>
      <c r="I3090" s="656" t="s">
        <v>14976</v>
      </c>
      <c r="J3090" s="656"/>
      <c r="K3090" s="656"/>
      <c r="L3090" s="656" t="s">
        <v>4086</v>
      </c>
      <c r="M3090" s="657"/>
      <c r="N3090" s="1482"/>
      <c r="O3090" s="656" t="s">
        <v>498</v>
      </c>
      <c r="P3090" s="656" t="s">
        <v>13052</v>
      </c>
      <c r="Q3090" s="656">
        <v>44216.77171296296</v>
      </c>
    </row>
    <row r="3091" spans="1:17">
      <c r="A3091" s="656" t="s">
        <v>4088</v>
      </c>
      <c r="B3091" s="657"/>
      <c r="C3091" s="656" t="s">
        <v>4089</v>
      </c>
      <c r="D3091" s="657" t="s">
        <v>14977</v>
      </c>
      <c r="E3091" s="657"/>
      <c r="F3091" s="656" t="s">
        <v>1394</v>
      </c>
      <c r="G3091" s="656" t="s">
        <v>625</v>
      </c>
      <c r="H3091" s="656" t="s">
        <v>1394</v>
      </c>
      <c r="I3091" s="656" t="s">
        <v>14976</v>
      </c>
      <c r="J3091" s="656"/>
      <c r="K3091" s="656"/>
      <c r="L3091" s="656" t="s">
        <v>4088</v>
      </c>
      <c r="M3091" s="657"/>
      <c r="N3091" s="1482"/>
      <c r="O3091" s="656" t="s">
        <v>498</v>
      </c>
      <c r="P3091" s="656" t="s">
        <v>13052</v>
      </c>
      <c r="Q3091" s="656">
        <v>44216.771701388891</v>
      </c>
    </row>
    <row r="3092" spans="1:17">
      <c r="A3092" s="656" t="s">
        <v>13581</v>
      </c>
      <c r="B3092" s="657" t="s">
        <v>202</v>
      </c>
      <c r="C3092" s="656" t="s">
        <v>13582</v>
      </c>
      <c r="D3092" s="657" t="s">
        <v>14977</v>
      </c>
      <c r="E3092" s="657"/>
      <c r="F3092" s="656" t="s">
        <v>1300</v>
      </c>
      <c r="G3092" s="656" t="s">
        <v>717</v>
      </c>
      <c r="H3092" s="656" t="s">
        <v>1300</v>
      </c>
      <c r="I3092" s="656" t="s">
        <v>14976</v>
      </c>
      <c r="J3092" s="656" t="s">
        <v>15285</v>
      </c>
      <c r="K3092" s="656"/>
      <c r="L3092" s="656" t="s">
        <v>13581</v>
      </c>
      <c r="M3092" s="657"/>
      <c r="N3092" s="1482"/>
      <c r="O3092" s="656" t="s">
        <v>498</v>
      </c>
      <c r="P3092" s="656" t="s">
        <v>13052</v>
      </c>
      <c r="Q3092" s="656">
        <v>44216.771701388891</v>
      </c>
    </row>
    <row r="3093" spans="1:17">
      <c r="A3093" s="656" t="s">
        <v>13579</v>
      </c>
      <c r="B3093" s="657" t="s">
        <v>202</v>
      </c>
      <c r="C3093" s="656" t="s">
        <v>13580</v>
      </c>
      <c r="D3093" s="657" t="s">
        <v>14977</v>
      </c>
      <c r="E3093" s="657"/>
      <c r="F3093" s="656" t="s">
        <v>1300</v>
      </c>
      <c r="G3093" s="656" t="s">
        <v>13</v>
      </c>
      <c r="H3093" s="656" t="s">
        <v>1300</v>
      </c>
      <c r="I3093" s="656" t="s">
        <v>14976</v>
      </c>
      <c r="J3093" s="656" t="s">
        <v>15285</v>
      </c>
      <c r="K3093" s="656"/>
      <c r="L3093" s="656" t="s">
        <v>13579</v>
      </c>
      <c r="M3093" s="657"/>
      <c r="N3093" s="1482"/>
      <c r="O3093" s="656" t="s">
        <v>498</v>
      </c>
      <c r="P3093" s="656" t="s">
        <v>13052</v>
      </c>
      <c r="Q3093" s="656">
        <v>44216.771701388891</v>
      </c>
    </row>
    <row r="3094" spans="1:17">
      <c r="A3094" s="656" t="s">
        <v>13577</v>
      </c>
      <c r="B3094" s="657" t="s">
        <v>202</v>
      </c>
      <c r="C3094" s="656" t="s">
        <v>13578</v>
      </c>
      <c r="D3094" s="657" t="s">
        <v>14977</v>
      </c>
      <c r="E3094" s="657"/>
      <c r="F3094" s="656" t="s">
        <v>1300</v>
      </c>
      <c r="G3094" s="656" t="s">
        <v>13</v>
      </c>
      <c r="H3094" s="656" t="s">
        <v>1300</v>
      </c>
      <c r="I3094" s="656" t="s">
        <v>14976</v>
      </c>
      <c r="J3094" s="656" t="s">
        <v>15285</v>
      </c>
      <c r="K3094" s="656"/>
      <c r="L3094" s="656" t="s">
        <v>13577</v>
      </c>
      <c r="M3094" s="657"/>
      <c r="N3094" s="1482"/>
      <c r="O3094" s="656" t="s">
        <v>498</v>
      </c>
      <c r="P3094" s="656" t="s">
        <v>13052</v>
      </c>
      <c r="Q3094" s="656">
        <v>44216.771689814814</v>
      </c>
    </row>
    <row r="3095" spans="1:17">
      <c r="A3095" s="656" t="s">
        <v>4090</v>
      </c>
      <c r="B3095" s="657" t="s">
        <v>202</v>
      </c>
      <c r="C3095" s="656" t="s">
        <v>4091</v>
      </c>
      <c r="D3095" s="657" t="s">
        <v>14977</v>
      </c>
      <c r="E3095" s="657"/>
      <c r="F3095" s="656" t="s">
        <v>1300</v>
      </c>
      <c r="G3095" s="656" t="s">
        <v>13</v>
      </c>
      <c r="H3095" s="656" t="s">
        <v>1300</v>
      </c>
      <c r="I3095" s="656" t="s">
        <v>14976</v>
      </c>
      <c r="J3095" s="656" t="s">
        <v>15285</v>
      </c>
      <c r="K3095" s="656"/>
      <c r="L3095" s="656" t="s">
        <v>4090</v>
      </c>
      <c r="M3095" s="657"/>
      <c r="N3095" s="1482"/>
      <c r="O3095" s="656" t="s">
        <v>498</v>
      </c>
      <c r="P3095" s="656" t="s">
        <v>13052</v>
      </c>
      <c r="Q3095" s="656">
        <v>44216.771689814814</v>
      </c>
    </row>
    <row r="3096" spans="1:17">
      <c r="A3096" s="656" t="s">
        <v>13575</v>
      </c>
      <c r="B3096" s="657" t="s">
        <v>202</v>
      </c>
      <c r="C3096" s="656" t="s">
        <v>13576</v>
      </c>
      <c r="D3096" s="657" t="s">
        <v>14977</v>
      </c>
      <c r="E3096" s="657"/>
      <c r="F3096" s="656" t="s">
        <v>655</v>
      </c>
      <c r="G3096" s="656" t="s">
        <v>1478</v>
      </c>
      <c r="H3096" s="656" t="s">
        <v>655</v>
      </c>
      <c r="I3096" s="656" t="s">
        <v>14976</v>
      </c>
      <c r="J3096" s="656"/>
      <c r="K3096" s="656"/>
      <c r="L3096" s="656" t="s">
        <v>13575</v>
      </c>
      <c r="M3096" s="657"/>
      <c r="N3096" s="1482"/>
      <c r="O3096" s="656" t="s">
        <v>498</v>
      </c>
      <c r="P3096" s="656" t="s">
        <v>13052</v>
      </c>
      <c r="Q3096" s="656">
        <v>44216.771678240744</v>
      </c>
    </row>
    <row r="3097" spans="1:17">
      <c r="A3097" s="656" t="s">
        <v>4092</v>
      </c>
      <c r="B3097" s="657" t="s">
        <v>202</v>
      </c>
      <c r="C3097" s="656" t="s">
        <v>4093</v>
      </c>
      <c r="D3097" s="657" t="s">
        <v>14977</v>
      </c>
      <c r="E3097" s="657"/>
      <c r="F3097" s="656" t="s">
        <v>1300</v>
      </c>
      <c r="G3097" s="656" t="s">
        <v>13</v>
      </c>
      <c r="H3097" s="656" t="s">
        <v>1300</v>
      </c>
      <c r="I3097" s="656" t="s">
        <v>14976</v>
      </c>
      <c r="J3097" s="656" t="s">
        <v>15285</v>
      </c>
      <c r="K3097" s="656"/>
      <c r="L3097" s="656" t="s">
        <v>4092</v>
      </c>
      <c r="M3097" s="657"/>
      <c r="N3097" s="1482"/>
      <c r="O3097" s="656" t="s">
        <v>498</v>
      </c>
      <c r="P3097" s="656" t="s">
        <v>13052</v>
      </c>
      <c r="Q3097" s="656">
        <v>44216.771678240744</v>
      </c>
    </row>
    <row r="3098" spans="1:17">
      <c r="A3098" s="656" t="s">
        <v>13571</v>
      </c>
      <c r="B3098" s="657" t="s">
        <v>202</v>
      </c>
      <c r="C3098" s="656" t="s">
        <v>13572</v>
      </c>
      <c r="D3098" s="657" t="s">
        <v>14977</v>
      </c>
      <c r="E3098" s="657"/>
      <c r="F3098" s="656" t="s">
        <v>1300</v>
      </c>
      <c r="G3098" s="656" t="s">
        <v>13</v>
      </c>
      <c r="H3098" s="656" t="s">
        <v>1300</v>
      </c>
      <c r="I3098" s="656" t="s">
        <v>14976</v>
      </c>
      <c r="J3098" s="656" t="s">
        <v>15285</v>
      </c>
      <c r="K3098" s="656"/>
      <c r="L3098" s="656" t="s">
        <v>13571</v>
      </c>
      <c r="M3098" s="657"/>
      <c r="N3098" s="1482"/>
      <c r="O3098" s="656" t="s">
        <v>498</v>
      </c>
      <c r="P3098" s="656" t="s">
        <v>13052</v>
      </c>
      <c r="Q3098" s="656">
        <v>44216.771666666667</v>
      </c>
    </row>
    <row r="3099" spans="1:17">
      <c r="A3099" s="656" t="s">
        <v>13569</v>
      </c>
      <c r="B3099" s="657" t="s">
        <v>202</v>
      </c>
      <c r="C3099" s="656" t="s">
        <v>13570</v>
      </c>
      <c r="D3099" s="657" t="s">
        <v>14977</v>
      </c>
      <c r="E3099" s="657"/>
      <c r="F3099" s="656" t="s">
        <v>1300</v>
      </c>
      <c r="G3099" s="656" t="s">
        <v>13</v>
      </c>
      <c r="H3099" s="656" t="s">
        <v>1300</v>
      </c>
      <c r="I3099" s="656" t="s">
        <v>14976</v>
      </c>
      <c r="J3099" s="656" t="s">
        <v>15285</v>
      </c>
      <c r="K3099" s="656"/>
      <c r="L3099" s="656" t="s">
        <v>13569</v>
      </c>
      <c r="M3099" s="657"/>
      <c r="N3099" s="1482"/>
      <c r="O3099" s="656" t="s">
        <v>498</v>
      </c>
      <c r="P3099" s="656" t="s">
        <v>13052</v>
      </c>
      <c r="Q3099" s="656">
        <v>44216.771666666667</v>
      </c>
    </row>
    <row r="3100" spans="1:17">
      <c r="A3100" s="656" t="s">
        <v>13567</v>
      </c>
      <c r="B3100" s="657" t="s">
        <v>202</v>
      </c>
      <c r="C3100" s="656" t="s">
        <v>13568</v>
      </c>
      <c r="D3100" s="657" t="s">
        <v>1239</v>
      </c>
      <c r="E3100" s="657"/>
      <c r="F3100" s="656" t="s">
        <v>1300</v>
      </c>
      <c r="G3100" s="656" t="s">
        <v>13</v>
      </c>
      <c r="H3100" s="656" t="s">
        <v>1300</v>
      </c>
      <c r="I3100" s="656" t="s">
        <v>14976</v>
      </c>
      <c r="J3100" s="656" t="s">
        <v>15285</v>
      </c>
      <c r="K3100" s="656"/>
      <c r="L3100" s="656"/>
      <c r="M3100" s="657"/>
      <c r="N3100" s="1482"/>
      <c r="O3100" s="656" t="s">
        <v>498</v>
      </c>
      <c r="P3100" s="656" t="s">
        <v>13052</v>
      </c>
      <c r="Q3100" s="656">
        <v>44216.771666666667</v>
      </c>
    </row>
    <row r="3101" spans="1:17">
      <c r="A3101" s="656" t="s">
        <v>4094</v>
      </c>
      <c r="B3101" s="657" t="s">
        <v>202</v>
      </c>
      <c r="C3101" s="656" t="s">
        <v>4095</v>
      </c>
      <c r="D3101" s="657" t="s">
        <v>14977</v>
      </c>
      <c r="E3101" s="657"/>
      <c r="F3101" s="656" t="s">
        <v>1300</v>
      </c>
      <c r="G3101" s="656"/>
      <c r="H3101" s="656" t="s">
        <v>1300</v>
      </c>
      <c r="I3101" s="656" t="s">
        <v>14976</v>
      </c>
      <c r="J3101" s="656" t="s">
        <v>15285</v>
      </c>
      <c r="K3101" s="656"/>
      <c r="L3101" s="656" t="s">
        <v>4094</v>
      </c>
      <c r="M3101" s="657"/>
      <c r="N3101" s="1482"/>
      <c r="O3101" s="656" t="s">
        <v>498</v>
      </c>
      <c r="P3101" s="656" t="s">
        <v>13052</v>
      </c>
      <c r="Q3101" s="656">
        <v>44216.771655092591</v>
      </c>
    </row>
    <row r="3102" spans="1:17">
      <c r="A3102" s="656" t="s">
        <v>4096</v>
      </c>
      <c r="B3102" s="657" t="s">
        <v>202</v>
      </c>
      <c r="C3102" s="656" t="s">
        <v>4097</v>
      </c>
      <c r="D3102" s="657" t="s">
        <v>1239</v>
      </c>
      <c r="E3102" s="657"/>
      <c r="F3102" s="656" t="s">
        <v>1300</v>
      </c>
      <c r="G3102" s="656"/>
      <c r="H3102" s="656" t="s">
        <v>1300</v>
      </c>
      <c r="I3102" s="656" t="s">
        <v>14976</v>
      </c>
      <c r="J3102" s="656" t="s">
        <v>15285</v>
      </c>
      <c r="K3102" s="656"/>
      <c r="L3102" s="656"/>
      <c r="M3102" s="657"/>
      <c r="N3102" s="1482"/>
      <c r="O3102" s="656" t="s">
        <v>498</v>
      </c>
      <c r="P3102" s="656" t="s">
        <v>13052</v>
      </c>
      <c r="Q3102" s="656">
        <v>44216.771655092591</v>
      </c>
    </row>
    <row r="3103" spans="1:17">
      <c r="A3103" s="656" t="s">
        <v>13565</v>
      </c>
      <c r="B3103" s="657" t="s">
        <v>202</v>
      </c>
      <c r="C3103" s="656" t="s">
        <v>13566</v>
      </c>
      <c r="D3103" s="657" t="s">
        <v>14977</v>
      </c>
      <c r="E3103" s="657"/>
      <c r="F3103" s="656" t="s">
        <v>1300</v>
      </c>
      <c r="G3103" s="656" t="s">
        <v>1078</v>
      </c>
      <c r="H3103" s="656" t="s">
        <v>1300</v>
      </c>
      <c r="I3103" s="656" t="s">
        <v>14976</v>
      </c>
      <c r="J3103" s="656" t="s">
        <v>15285</v>
      </c>
      <c r="K3103" s="656"/>
      <c r="L3103" s="656" t="s">
        <v>13565</v>
      </c>
      <c r="M3103" s="657"/>
      <c r="N3103" s="1482"/>
      <c r="O3103" s="656" t="s">
        <v>498</v>
      </c>
      <c r="P3103" s="656" t="s">
        <v>13052</v>
      </c>
      <c r="Q3103" s="656">
        <v>44216.771643518521</v>
      </c>
    </row>
    <row r="3104" spans="1:17">
      <c r="A3104" s="656" t="s">
        <v>4098</v>
      </c>
      <c r="B3104" s="657" t="s">
        <v>202</v>
      </c>
      <c r="C3104" s="656" t="s">
        <v>4099</v>
      </c>
      <c r="D3104" s="657" t="s">
        <v>14977</v>
      </c>
      <c r="E3104" s="657" t="s">
        <v>7439</v>
      </c>
      <c r="F3104" s="656" t="s">
        <v>1300</v>
      </c>
      <c r="G3104" s="656" t="s">
        <v>625</v>
      </c>
      <c r="H3104" s="656" t="s">
        <v>1300</v>
      </c>
      <c r="I3104" s="656" t="s">
        <v>14976</v>
      </c>
      <c r="J3104" s="656" t="s">
        <v>15285</v>
      </c>
      <c r="K3104" s="656"/>
      <c r="L3104" s="656" t="s">
        <v>4098</v>
      </c>
      <c r="M3104" s="657"/>
      <c r="N3104" s="1482"/>
      <c r="O3104" s="656" t="s">
        <v>498</v>
      </c>
      <c r="P3104" s="656" t="s">
        <v>13052</v>
      </c>
      <c r="Q3104" s="656">
        <v>44216.771643518521</v>
      </c>
    </row>
    <row r="3105" spans="1:17">
      <c r="A3105" s="656" t="s">
        <v>4100</v>
      </c>
      <c r="B3105" s="657" t="s">
        <v>202</v>
      </c>
      <c r="C3105" s="656" t="s">
        <v>4101</v>
      </c>
      <c r="D3105" s="657" t="s">
        <v>14977</v>
      </c>
      <c r="E3105" s="657"/>
      <c r="F3105" s="656" t="s">
        <v>1300</v>
      </c>
      <c r="G3105" s="656" t="s">
        <v>1301</v>
      </c>
      <c r="H3105" s="656" t="s">
        <v>1300</v>
      </c>
      <c r="I3105" s="656" t="s">
        <v>14976</v>
      </c>
      <c r="J3105" s="656" t="s">
        <v>15285</v>
      </c>
      <c r="K3105" s="656"/>
      <c r="L3105" s="656" t="s">
        <v>4100</v>
      </c>
      <c r="M3105" s="657"/>
      <c r="N3105" s="1482"/>
      <c r="O3105" s="656" t="s">
        <v>498</v>
      </c>
      <c r="P3105" s="656" t="s">
        <v>13052</v>
      </c>
      <c r="Q3105" s="656">
        <v>44216.771631944444</v>
      </c>
    </row>
    <row r="3106" spans="1:17">
      <c r="A3106" s="656" t="s">
        <v>4102</v>
      </c>
      <c r="B3106" s="657" t="s">
        <v>202</v>
      </c>
      <c r="C3106" s="656" t="s">
        <v>4103</v>
      </c>
      <c r="D3106" s="657" t="s">
        <v>14977</v>
      </c>
      <c r="E3106" s="657"/>
      <c r="F3106" s="656" t="s">
        <v>1300</v>
      </c>
      <c r="G3106" s="656" t="s">
        <v>13</v>
      </c>
      <c r="H3106" s="656" t="s">
        <v>1300</v>
      </c>
      <c r="I3106" s="656" t="s">
        <v>14976</v>
      </c>
      <c r="J3106" s="656" t="s">
        <v>15285</v>
      </c>
      <c r="K3106" s="656"/>
      <c r="L3106" s="656" t="s">
        <v>4102</v>
      </c>
      <c r="M3106" s="657"/>
      <c r="N3106" s="1482"/>
      <c r="O3106" s="656" t="s">
        <v>498</v>
      </c>
      <c r="P3106" s="656" t="s">
        <v>13052</v>
      </c>
      <c r="Q3106" s="656">
        <v>44216.771631944444</v>
      </c>
    </row>
    <row r="3107" spans="1:17">
      <c r="A3107" s="656" t="s">
        <v>11222</v>
      </c>
      <c r="B3107" s="657" t="s">
        <v>202</v>
      </c>
      <c r="C3107" s="656" t="s">
        <v>13564</v>
      </c>
      <c r="D3107" s="657" t="s">
        <v>14977</v>
      </c>
      <c r="E3107" s="657"/>
      <c r="F3107" s="656" t="s">
        <v>1300</v>
      </c>
      <c r="G3107" s="656" t="s">
        <v>717</v>
      </c>
      <c r="H3107" s="656" t="s">
        <v>1300</v>
      </c>
      <c r="I3107" s="656" t="s">
        <v>14976</v>
      </c>
      <c r="J3107" s="656"/>
      <c r="K3107" s="656"/>
      <c r="L3107" s="656" t="s">
        <v>11222</v>
      </c>
      <c r="M3107" s="657"/>
      <c r="N3107" s="1482"/>
      <c r="O3107" s="656" t="s">
        <v>498</v>
      </c>
      <c r="P3107" s="656" t="s">
        <v>13052</v>
      </c>
      <c r="Q3107" s="656">
        <v>44216.771631944444</v>
      </c>
    </row>
    <row r="3108" spans="1:17">
      <c r="A3108" s="656" t="s">
        <v>13562</v>
      </c>
      <c r="B3108" s="657" t="s">
        <v>202</v>
      </c>
      <c r="C3108" s="656" t="s">
        <v>13563</v>
      </c>
      <c r="D3108" s="657" t="s">
        <v>14977</v>
      </c>
      <c r="E3108" s="657"/>
      <c r="F3108" s="656" t="s">
        <v>1300</v>
      </c>
      <c r="G3108" s="656" t="s">
        <v>13</v>
      </c>
      <c r="H3108" s="656" t="s">
        <v>1300</v>
      </c>
      <c r="I3108" s="656" t="s">
        <v>14976</v>
      </c>
      <c r="J3108" s="656" t="s">
        <v>15285</v>
      </c>
      <c r="K3108" s="656"/>
      <c r="L3108" s="656" t="s">
        <v>13562</v>
      </c>
      <c r="M3108" s="657"/>
      <c r="N3108" s="1482"/>
      <c r="O3108" s="656" t="s">
        <v>498</v>
      </c>
      <c r="P3108" s="656" t="s">
        <v>13052</v>
      </c>
      <c r="Q3108" s="656">
        <v>44216.771620370368</v>
      </c>
    </row>
    <row r="3109" spans="1:17">
      <c r="A3109" s="656" t="s">
        <v>4104</v>
      </c>
      <c r="B3109" s="657" t="s">
        <v>202</v>
      </c>
      <c r="C3109" s="656" t="s">
        <v>4105</v>
      </c>
      <c r="D3109" s="657" t="s">
        <v>14977</v>
      </c>
      <c r="E3109" s="657"/>
      <c r="F3109" s="656" t="s">
        <v>462</v>
      </c>
      <c r="G3109" s="656" t="s">
        <v>512</v>
      </c>
      <c r="H3109" s="656" t="s">
        <v>462</v>
      </c>
      <c r="I3109" s="656" t="s">
        <v>14976</v>
      </c>
      <c r="J3109" s="656" t="s">
        <v>459</v>
      </c>
      <c r="K3109" s="656" t="s">
        <v>2849</v>
      </c>
      <c r="L3109" s="656" t="s">
        <v>4104</v>
      </c>
      <c r="M3109" s="657"/>
      <c r="N3109" s="1482"/>
      <c r="O3109" s="656" t="s">
        <v>498</v>
      </c>
      <c r="P3109" s="656" t="s">
        <v>13052</v>
      </c>
      <c r="Q3109" s="656">
        <v>44216.771620370368</v>
      </c>
    </row>
    <row r="3110" spans="1:17">
      <c r="A3110" s="656" t="s">
        <v>13560</v>
      </c>
      <c r="B3110" s="657" t="s">
        <v>202</v>
      </c>
      <c r="C3110" s="656" t="s">
        <v>13561</v>
      </c>
      <c r="D3110" s="657" t="s">
        <v>14977</v>
      </c>
      <c r="E3110" s="657"/>
      <c r="F3110" s="656" t="s">
        <v>1300</v>
      </c>
      <c r="G3110" s="656" t="s">
        <v>13</v>
      </c>
      <c r="H3110" s="656" t="s">
        <v>1300</v>
      </c>
      <c r="I3110" s="656" t="s">
        <v>14976</v>
      </c>
      <c r="J3110" s="656" t="s">
        <v>15285</v>
      </c>
      <c r="K3110" s="656"/>
      <c r="L3110" s="656" t="s">
        <v>13560</v>
      </c>
      <c r="M3110" s="657"/>
      <c r="N3110" s="1482"/>
      <c r="O3110" s="656" t="s">
        <v>498</v>
      </c>
      <c r="P3110" s="656" t="s">
        <v>13052</v>
      </c>
      <c r="Q3110" s="656">
        <v>44216.771620370368</v>
      </c>
    </row>
    <row r="3111" spans="1:17">
      <c r="A3111" s="656" t="s">
        <v>13558</v>
      </c>
      <c r="B3111" s="657" t="s">
        <v>202</v>
      </c>
      <c r="C3111" s="656" t="s">
        <v>13559</v>
      </c>
      <c r="D3111" s="657" t="s">
        <v>14977</v>
      </c>
      <c r="E3111" s="657"/>
      <c r="F3111" s="656" t="s">
        <v>1300</v>
      </c>
      <c r="G3111" s="656" t="s">
        <v>13</v>
      </c>
      <c r="H3111" s="656" t="s">
        <v>1300</v>
      </c>
      <c r="I3111" s="656" t="s">
        <v>14976</v>
      </c>
      <c r="J3111" s="656" t="s">
        <v>15285</v>
      </c>
      <c r="K3111" s="656"/>
      <c r="L3111" s="656" t="s">
        <v>13558</v>
      </c>
      <c r="M3111" s="657"/>
      <c r="N3111" s="1482"/>
      <c r="O3111" s="656" t="s">
        <v>498</v>
      </c>
      <c r="P3111" s="656" t="s">
        <v>13052</v>
      </c>
      <c r="Q3111" s="656">
        <v>44216.771620370368</v>
      </c>
    </row>
    <row r="3112" spans="1:17">
      <c r="A3112" s="656" t="s">
        <v>4106</v>
      </c>
      <c r="B3112" s="657" t="s">
        <v>504</v>
      </c>
      <c r="C3112" s="656" t="s">
        <v>4107</v>
      </c>
      <c r="D3112" s="657" t="s">
        <v>13789</v>
      </c>
      <c r="E3112" s="657" t="s">
        <v>9654</v>
      </c>
      <c r="F3112" s="656" t="s">
        <v>505</v>
      </c>
      <c r="G3112" s="656" t="s">
        <v>3410</v>
      </c>
      <c r="H3112" s="656" t="s">
        <v>505</v>
      </c>
      <c r="I3112" s="656"/>
      <c r="J3112" s="656"/>
      <c r="K3112" s="656"/>
      <c r="L3112" s="656"/>
      <c r="M3112" s="657"/>
      <c r="N3112" s="1482"/>
      <c r="O3112" s="656" t="s">
        <v>498</v>
      </c>
      <c r="P3112" s="656" t="s">
        <v>13052</v>
      </c>
      <c r="Q3112" s="656">
        <v>44216.771608796298</v>
      </c>
    </row>
    <row r="3113" spans="1:17">
      <c r="A3113" s="656" t="s">
        <v>4108</v>
      </c>
      <c r="B3113" s="657" t="s">
        <v>504</v>
      </c>
      <c r="C3113" s="656" t="s">
        <v>4109</v>
      </c>
      <c r="D3113" s="657" t="s">
        <v>13789</v>
      </c>
      <c r="E3113" s="657" t="s">
        <v>9654</v>
      </c>
      <c r="F3113" s="656" t="s">
        <v>505</v>
      </c>
      <c r="G3113" s="656" t="s">
        <v>820</v>
      </c>
      <c r="H3113" s="656" t="s">
        <v>505</v>
      </c>
      <c r="I3113" s="656"/>
      <c r="J3113" s="656"/>
      <c r="K3113" s="656"/>
      <c r="L3113" s="656"/>
      <c r="M3113" s="657"/>
      <c r="N3113" s="1482"/>
      <c r="O3113" s="656" t="s">
        <v>498</v>
      </c>
      <c r="P3113" s="656" t="s">
        <v>13052</v>
      </c>
      <c r="Q3113" s="656">
        <v>44216.771597222221</v>
      </c>
    </row>
    <row r="3114" spans="1:17">
      <c r="A3114" s="656" t="s">
        <v>13556</v>
      </c>
      <c r="B3114" s="657" t="s">
        <v>202</v>
      </c>
      <c r="C3114" s="656" t="s">
        <v>13557</v>
      </c>
      <c r="D3114" s="657" t="s">
        <v>1239</v>
      </c>
      <c r="E3114" s="657"/>
      <c r="F3114" s="656" t="s">
        <v>1300</v>
      </c>
      <c r="G3114" s="656" t="s">
        <v>3280</v>
      </c>
      <c r="H3114" s="656" t="s">
        <v>1300</v>
      </c>
      <c r="I3114" s="656" t="s">
        <v>14976</v>
      </c>
      <c r="J3114" s="656" t="s">
        <v>15285</v>
      </c>
      <c r="K3114" s="656"/>
      <c r="L3114" s="656"/>
      <c r="M3114" s="657"/>
      <c r="N3114" s="1482"/>
      <c r="O3114" s="656" t="s">
        <v>498</v>
      </c>
      <c r="P3114" s="656" t="s">
        <v>13052</v>
      </c>
      <c r="Q3114" s="656">
        <v>44216.771597222221</v>
      </c>
    </row>
    <row r="3115" spans="1:17">
      <c r="A3115" s="656" t="s">
        <v>13554</v>
      </c>
      <c r="B3115" s="657" t="s">
        <v>202</v>
      </c>
      <c r="C3115" s="656" t="s">
        <v>13555</v>
      </c>
      <c r="D3115" s="657" t="s">
        <v>14977</v>
      </c>
      <c r="E3115" s="657"/>
      <c r="F3115" s="656" t="s">
        <v>462</v>
      </c>
      <c r="G3115" s="656" t="s">
        <v>552</v>
      </c>
      <c r="H3115" s="656" t="s">
        <v>462</v>
      </c>
      <c r="I3115" s="656" t="s">
        <v>14976</v>
      </c>
      <c r="J3115" s="656" t="s">
        <v>463</v>
      </c>
      <c r="K3115" s="656"/>
      <c r="L3115" s="656" t="s">
        <v>13554</v>
      </c>
      <c r="M3115" s="657"/>
      <c r="N3115" s="1482"/>
      <c r="O3115" s="656" t="s">
        <v>498</v>
      </c>
      <c r="P3115" s="656" t="s">
        <v>13052</v>
      </c>
      <c r="Q3115" s="656">
        <v>44216.771585648145</v>
      </c>
    </row>
    <row r="3116" spans="1:17">
      <c r="A3116" s="656" t="s">
        <v>4110</v>
      </c>
      <c r="B3116" s="657" t="s">
        <v>202</v>
      </c>
      <c r="C3116" s="656" t="s">
        <v>10066</v>
      </c>
      <c r="D3116" s="657" t="s">
        <v>14977</v>
      </c>
      <c r="E3116" s="657" t="s">
        <v>7437</v>
      </c>
      <c r="F3116" s="656" t="s">
        <v>462</v>
      </c>
      <c r="G3116" s="656" t="s">
        <v>512</v>
      </c>
      <c r="H3116" s="656" t="s">
        <v>462</v>
      </c>
      <c r="I3116" s="656" t="s">
        <v>14976</v>
      </c>
      <c r="J3116" s="656" t="s">
        <v>463</v>
      </c>
      <c r="K3116" s="656" t="s">
        <v>1924</v>
      </c>
      <c r="L3116" s="656" t="s">
        <v>4110</v>
      </c>
      <c r="M3116" s="657"/>
      <c r="N3116" s="1482"/>
      <c r="O3116" s="656" t="s">
        <v>498</v>
      </c>
      <c r="P3116" s="656" t="s">
        <v>13052</v>
      </c>
      <c r="Q3116" s="656">
        <v>44216.771585648145</v>
      </c>
    </row>
    <row r="3117" spans="1:17">
      <c r="A3117" s="656" t="s">
        <v>4111</v>
      </c>
      <c r="B3117" s="657" t="s">
        <v>531</v>
      </c>
      <c r="C3117" s="656" t="s">
        <v>4112</v>
      </c>
      <c r="D3117" s="657" t="s">
        <v>14977</v>
      </c>
      <c r="E3117" s="657"/>
      <c r="F3117" s="656" t="s">
        <v>472</v>
      </c>
      <c r="G3117" s="656" t="s">
        <v>1395</v>
      </c>
      <c r="H3117" s="656" t="s">
        <v>472</v>
      </c>
      <c r="I3117" s="656" t="s">
        <v>14976</v>
      </c>
      <c r="J3117" s="656" t="s">
        <v>12368</v>
      </c>
      <c r="K3117" s="656"/>
      <c r="L3117" s="656"/>
      <c r="M3117" s="657"/>
      <c r="N3117" s="1482"/>
      <c r="O3117" s="656" t="s">
        <v>498</v>
      </c>
      <c r="P3117" s="656" t="s">
        <v>13052</v>
      </c>
      <c r="Q3117" s="656">
        <v>44216.771574074075</v>
      </c>
    </row>
    <row r="3118" spans="1:17">
      <c r="A3118" s="656" t="s">
        <v>4113</v>
      </c>
      <c r="B3118" s="657" t="s">
        <v>531</v>
      </c>
      <c r="C3118" s="656" t="s">
        <v>4114</v>
      </c>
      <c r="D3118" s="657" t="s">
        <v>14977</v>
      </c>
      <c r="E3118" s="657"/>
      <c r="F3118" s="656" t="s">
        <v>472</v>
      </c>
      <c r="G3118" s="656" t="s">
        <v>1395</v>
      </c>
      <c r="H3118" s="656" t="s">
        <v>472</v>
      </c>
      <c r="I3118" s="656" t="s">
        <v>14976</v>
      </c>
      <c r="J3118" s="656" t="s">
        <v>12368</v>
      </c>
      <c r="K3118" s="656"/>
      <c r="L3118" s="656"/>
      <c r="M3118" s="657"/>
      <c r="N3118" s="1482"/>
      <c r="O3118" s="656" t="s">
        <v>498</v>
      </c>
      <c r="P3118" s="656" t="s">
        <v>13052</v>
      </c>
      <c r="Q3118" s="656">
        <v>44216.771574074075</v>
      </c>
    </row>
    <row r="3119" spans="1:17">
      <c r="A3119" s="656" t="s">
        <v>13552</v>
      </c>
      <c r="B3119" s="657" t="s">
        <v>202</v>
      </c>
      <c r="C3119" s="656" t="s">
        <v>13553</v>
      </c>
      <c r="D3119" s="657" t="s">
        <v>14977</v>
      </c>
      <c r="E3119" s="657" t="s">
        <v>9654</v>
      </c>
      <c r="F3119" s="656" t="s">
        <v>472</v>
      </c>
      <c r="G3119" s="656"/>
      <c r="H3119" s="656" t="s">
        <v>472</v>
      </c>
      <c r="I3119" s="656" t="s">
        <v>14976</v>
      </c>
      <c r="J3119" s="656" t="s">
        <v>12368</v>
      </c>
      <c r="K3119" s="656"/>
      <c r="L3119" s="656" t="s">
        <v>13552</v>
      </c>
      <c r="M3119" s="657"/>
      <c r="N3119" s="1482"/>
      <c r="O3119" s="656" t="s">
        <v>498</v>
      </c>
      <c r="P3119" s="656" t="s">
        <v>13052</v>
      </c>
      <c r="Q3119" s="656">
        <v>44216.771562499998</v>
      </c>
    </row>
    <row r="3120" spans="1:17">
      <c r="A3120" s="656" t="s">
        <v>4115</v>
      </c>
      <c r="B3120" s="657" t="s">
        <v>531</v>
      </c>
      <c r="C3120" s="656" t="s">
        <v>4116</v>
      </c>
      <c r="D3120" s="657" t="s">
        <v>14977</v>
      </c>
      <c r="E3120" s="657"/>
      <c r="F3120" s="656" t="s">
        <v>472</v>
      </c>
      <c r="G3120" s="656" t="s">
        <v>1395</v>
      </c>
      <c r="H3120" s="656" t="s">
        <v>472</v>
      </c>
      <c r="I3120" s="656" t="s">
        <v>14976</v>
      </c>
      <c r="J3120" s="656" t="s">
        <v>12368</v>
      </c>
      <c r="K3120" s="656"/>
      <c r="L3120" s="656"/>
      <c r="M3120" s="657"/>
      <c r="N3120" s="1482"/>
      <c r="O3120" s="656" t="s">
        <v>498</v>
      </c>
      <c r="P3120" s="656" t="s">
        <v>13052</v>
      </c>
      <c r="Q3120" s="656">
        <v>44216.771238425928</v>
      </c>
    </row>
    <row r="3121" spans="1:17">
      <c r="A3121" s="656" t="s">
        <v>4117</v>
      </c>
      <c r="B3121" s="657" t="s">
        <v>531</v>
      </c>
      <c r="C3121" s="656" t="s">
        <v>4118</v>
      </c>
      <c r="D3121" s="657" t="s">
        <v>14977</v>
      </c>
      <c r="E3121" s="657"/>
      <c r="F3121" s="656" t="s">
        <v>472</v>
      </c>
      <c r="G3121" s="656" t="s">
        <v>1395</v>
      </c>
      <c r="H3121" s="656" t="s">
        <v>472</v>
      </c>
      <c r="I3121" s="656" t="s">
        <v>14976</v>
      </c>
      <c r="J3121" s="656" t="s">
        <v>12368</v>
      </c>
      <c r="K3121" s="656"/>
      <c r="L3121" s="656"/>
      <c r="M3121" s="657"/>
      <c r="N3121" s="1482"/>
      <c r="O3121" s="656" t="s">
        <v>498</v>
      </c>
      <c r="P3121" s="656" t="s">
        <v>13052</v>
      </c>
      <c r="Q3121" s="656">
        <v>44216.771238425928</v>
      </c>
    </row>
    <row r="3122" spans="1:17">
      <c r="A3122" s="656" t="s">
        <v>13550</v>
      </c>
      <c r="B3122" s="657" t="s">
        <v>202</v>
      </c>
      <c r="C3122" s="656" t="s">
        <v>13551</v>
      </c>
      <c r="D3122" s="657" t="s">
        <v>14977</v>
      </c>
      <c r="E3122" s="657"/>
      <c r="F3122" s="656" t="s">
        <v>472</v>
      </c>
      <c r="G3122" s="656"/>
      <c r="H3122" s="656" t="s">
        <v>472</v>
      </c>
      <c r="I3122" s="656" t="s">
        <v>14976</v>
      </c>
      <c r="J3122" s="656" t="s">
        <v>12368</v>
      </c>
      <c r="K3122" s="656"/>
      <c r="L3122" s="656" t="s">
        <v>13550</v>
      </c>
      <c r="M3122" s="657"/>
      <c r="N3122" s="1482"/>
      <c r="O3122" s="656" t="s">
        <v>498</v>
      </c>
      <c r="P3122" s="656" t="s">
        <v>13052</v>
      </c>
      <c r="Q3122" s="656">
        <v>44216.771226851852</v>
      </c>
    </row>
    <row r="3123" spans="1:17">
      <c r="A3123" s="656" t="s">
        <v>4119</v>
      </c>
      <c r="B3123" s="657" t="s">
        <v>531</v>
      </c>
      <c r="C3123" s="656" t="s">
        <v>4120</v>
      </c>
      <c r="D3123" s="657" t="s">
        <v>14977</v>
      </c>
      <c r="E3123" s="657"/>
      <c r="F3123" s="656" t="s">
        <v>472</v>
      </c>
      <c r="G3123" s="656" t="s">
        <v>1395</v>
      </c>
      <c r="H3123" s="656" t="s">
        <v>472</v>
      </c>
      <c r="I3123" s="656" t="s">
        <v>14976</v>
      </c>
      <c r="J3123" s="656" t="s">
        <v>12368</v>
      </c>
      <c r="K3123" s="656"/>
      <c r="L3123" s="656"/>
      <c r="M3123" s="657"/>
      <c r="N3123" s="1482"/>
      <c r="O3123" s="656" t="s">
        <v>498</v>
      </c>
      <c r="P3123" s="656" t="s">
        <v>13052</v>
      </c>
      <c r="Q3123" s="656">
        <v>44216.771226851852</v>
      </c>
    </row>
    <row r="3124" spans="1:17">
      <c r="A3124" s="656" t="s">
        <v>4121</v>
      </c>
      <c r="B3124" s="657"/>
      <c r="C3124" s="656" t="s">
        <v>4122</v>
      </c>
      <c r="D3124" s="657" t="s">
        <v>14977</v>
      </c>
      <c r="E3124" s="657"/>
      <c r="F3124" s="656" t="s">
        <v>1394</v>
      </c>
      <c r="G3124" s="656" t="s">
        <v>625</v>
      </c>
      <c r="H3124" s="656" t="s">
        <v>1394</v>
      </c>
      <c r="I3124" s="656" t="s">
        <v>14976</v>
      </c>
      <c r="J3124" s="656"/>
      <c r="K3124" s="656"/>
      <c r="L3124" s="656" t="s">
        <v>4121</v>
      </c>
      <c r="M3124" s="657"/>
      <c r="N3124" s="1482"/>
      <c r="O3124" s="656" t="s">
        <v>498</v>
      </c>
      <c r="P3124" s="656" t="s">
        <v>13052</v>
      </c>
      <c r="Q3124" s="656">
        <v>44216.771215277775</v>
      </c>
    </row>
    <row r="3125" spans="1:17">
      <c r="A3125" s="656" t="s">
        <v>4123</v>
      </c>
      <c r="B3125" s="657" t="s">
        <v>531</v>
      </c>
      <c r="C3125" s="656" t="s">
        <v>4124</v>
      </c>
      <c r="D3125" s="657" t="s">
        <v>14977</v>
      </c>
      <c r="E3125" s="657"/>
      <c r="F3125" s="656" t="s">
        <v>1394</v>
      </c>
      <c r="G3125" s="656" t="s">
        <v>717</v>
      </c>
      <c r="H3125" s="656" t="s">
        <v>1394</v>
      </c>
      <c r="I3125" s="656" t="s">
        <v>14976</v>
      </c>
      <c r="J3125" s="656" t="s">
        <v>532</v>
      </c>
      <c r="K3125" s="656"/>
      <c r="L3125" s="656" t="s">
        <v>4123</v>
      </c>
      <c r="M3125" s="657"/>
      <c r="N3125" s="1482"/>
      <c r="O3125" s="656" t="s">
        <v>498</v>
      </c>
      <c r="P3125" s="656" t="s">
        <v>13052</v>
      </c>
      <c r="Q3125" s="656">
        <v>44216.771215277775</v>
      </c>
    </row>
    <row r="3126" spans="1:17">
      <c r="A3126" s="656" t="s">
        <v>4125</v>
      </c>
      <c r="B3126" s="657" t="s">
        <v>531</v>
      </c>
      <c r="C3126" s="656" t="s">
        <v>4126</v>
      </c>
      <c r="D3126" s="657" t="s">
        <v>14977</v>
      </c>
      <c r="E3126" s="657"/>
      <c r="F3126" s="656" t="s">
        <v>1394</v>
      </c>
      <c r="G3126" s="656" t="s">
        <v>717</v>
      </c>
      <c r="H3126" s="656" t="s">
        <v>1394</v>
      </c>
      <c r="I3126" s="656" t="s">
        <v>14976</v>
      </c>
      <c r="J3126" s="656" t="s">
        <v>532</v>
      </c>
      <c r="K3126" s="656"/>
      <c r="L3126" s="656" t="s">
        <v>4125</v>
      </c>
      <c r="M3126" s="657"/>
      <c r="N3126" s="1482"/>
      <c r="O3126" s="656" t="s">
        <v>498</v>
      </c>
      <c r="P3126" s="656" t="s">
        <v>13052</v>
      </c>
      <c r="Q3126" s="656">
        <v>44216.771215277775</v>
      </c>
    </row>
    <row r="3127" spans="1:17">
      <c r="A3127" s="656" t="s">
        <v>4127</v>
      </c>
      <c r="B3127" s="657"/>
      <c r="C3127" s="656" t="s">
        <v>4128</v>
      </c>
      <c r="D3127" s="657" t="s">
        <v>14977</v>
      </c>
      <c r="E3127" s="657"/>
      <c r="F3127" s="656" t="s">
        <v>1394</v>
      </c>
      <c r="G3127" s="656" t="s">
        <v>625</v>
      </c>
      <c r="H3127" s="656" t="s">
        <v>1394</v>
      </c>
      <c r="I3127" s="656" t="s">
        <v>14976</v>
      </c>
      <c r="J3127" s="656"/>
      <c r="K3127" s="656"/>
      <c r="L3127" s="656" t="s">
        <v>4127</v>
      </c>
      <c r="M3127" s="657"/>
      <c r="N3127" s="1482"/>
      <c r="O3127" s="656" t="s">
        <v>498</v>
      </c>
      <c r="P3127" s="656" t="s">
        <v>13052</v>
      </c>
      <c r="Q3127" s="656">
        <v>44216.771203703705</v>
      </c>
    </row>
    <row r="3128" spans="1:17">
      <c r="A3128" s="656" t="s">
        <v>4129</v>
      </c>
      <c r="B3128" s="657" t="s">
        <v>504</v>
      </c>
      <c r="C3128" s="656" t="s">
        <v>4130</v>
      </c>
      <c r="D3128" s="657"/>
      <c r="E3128" s="657"/>
      <c r="F3128" s="656" t="s">
        <v>505</v>
      </c>
      <c r="G3128" s="656"/>
      <c r="H3128" s="656" t="s">
        <v>505</v>
      </c>
      <c r="I3128" s="656"/>
      <c r="J3128" s="656"/>
      <c r="K3128" s="656"/>
      <c r="L3128" s="656"/>
      <c r="M3128" s="657"/>
      <c r="N3128" s="1482"/>
      <c r="O3128" s="656" t="s">
        <v>498</v>
      </c>
      <c r="P3128" s="656" t="s">
        <v>13052</v>
      </c>
      <c r="Q3128" s="656">
        <v>44216.771192129629</v>
      </c>
    </row>
    <row r="3129" spans="1:17">
      <c r="A3129" s="656" t="s">
        <v>4131</v>
      </c>
      <c r="B3129" s="657" t="s">
        <v>504</v>
      </c>
      <c r="C3129" s="656" t="s">
        <v>4132</v>
      </c>
      <c r="D3129" s="657"/>
      <c r="E3129" s="657"/>
      <c r="F3129" s="656" t="s">
        <v>505</v>
      </c>
      <c r="G3129" s="656"/>
      <c r="H3129" s="656" t="s">
        <v>505</v>
      </c>
      <c r="I3129" s="656"/>
      <c r="J3129" s="656"/>
      <c r="K3129" s="656"/>
      <c r="L3129" s="656"/>
      <c r="M3129" s="657"/>
      <c r="N3129" s="1482"/>
      <c r="O3129" s="656" t="s">
        <v>498</v>
      </c>
      <c r="P3129" s="656" t="s">
        <v>13052</v>
      </c>
      <c r="Q3129" s="656">
        <v>44216.771192129629</v>
      </c>
    </row>
    <row r="3130" spans="1:17">
      <c r="A3130" s="656" t="s">
        <v>4133</v>
      </c>
      <c r="B3130" s="657" t="s">
        <v>504</v>
      </c>
      <c r="C3130" s="656" t="s">
        <v>4134</v>
      </c>
      <c r="D3130" s="657"/>
      <c r="E3130" s="657"/>
      <c r="F3130" s="656" t="s">
        <v>505</v>
      </c>
      <c r="G3130" s="656"/>
      <c r="H3130" s="656" t="s">
        <v>505</v>
      </c>
      <c r="I3130" s="656"/>
      <c r="J3130" s="656"/>
      <c r="K3130" s="656"/>
      <c r="L3130" s="656"/>
      <c r="M3130" s="657"/>
      <c r="N3130" s="1482"/>
      <c r="O3130" s="656" t="s">
        <v>498</v>
      </c>
      <c r="P3130" s="656" t="s">
        <v>13052</v>
      </c>
      <c r="Q3130" s="656">
        <v>44216.771180555559</v>
      </c>
    </row>
    <row r="3131" spans="1:17">
      <c r="A3131" s="656" t="s">
        <v>4135</v>
      </c>
      <c r="B3131" s="657" t="s">
        <v>504</v>
      </c>
      <c r="C3131" s="656" t="s">
        <v>4136</v>
      </c>
      <c r="D3131" s="657"/>
      <c r="E3131" s="657"/>
      <c r="F3131" s="656" t="s">
        <v>505</v>
      </c>
      <c r="G3131" s="656"/>
      <c r="H3131" s="656" t="s">
        <v>505</v>
      </c>
      <c r="I3131" s="656"/>
      <c r="J3131" s="656"/>
      <c r="K3131" s="656"/>
      <c r="L3131" s="656"/>
      <c r="M3131" s="657"/>
      <c r="N3131" s="1482"/>
      <c r="O3131" s="656" t="s">
        <v>498</v>
      </c>
      <c r="P3131" s="656" t="s">
        <v>13052</v>
      </c>
      <c r="Q3131" s="656">
        <v>44216.771180555559</v>
      </c>
    </row>
    <row r="3132" spans="1:17">
      <c r="A3132" s="656" t="s">
        <v>4137</v>
      </c>
      <c r="B3132" s="657" t="s">
        <v>504</v>
      </c>
      <c r="C3132" s="656" t="s">
        <v>4138</v>
      </c>
      <c r="D3132" s="657"/>
      <c r="E3132" s="657"/>
      <c r="F3132" s="656" t="s">
        <v>505</v>
      </c>
      <c r="G3132" s="656"/>
      <c r="H3132" s="656" t="s">
        <v>505</v>
      </c>
      <c r="I3132" s="656"/>
      <c r="J3132" s="656"/>
      <c r="K3132" s="656"/>
      <c r="L3132" s="656"/>
      <c r="M3132" s="657"/>
      <c r="N3132" s="1482"/>
      <c r="O3132" s="656" t="s">
        <v>498</v>
      </c>
      <c r="P3132" s="656" t="s">
        <v>13052</v>
      </c>
      <c r="Q3132" s="656">
        <v>44216.771168981482</v>
      </c>
    </row>
    <row r="3133" spans="1:17">
      <c r="A3133" s="656" t="s">
        <v>4139</v>
      </c>
      <c r="B3133" s="657" t="s">
        <v>504</v>
      </c>
      <c r="C3133" s="656" t="s">
        <v>4140</v>
      </c>
      <c r="D3133" s="657"/>
      <c r="E3133" s="657"/>
      <c r="F3133" s="656" t="s">
        <v>505</v>
      </c>
      <c r="G3133" s="656"/>
      <c r="H3133" s="656" t="s">
        <v>505</v>
      </c>
      <c r="I3133" s="656"/>
      <c r="J3133" s="656"/>
      <c r="K3133" s="656"/>
      <c r="L3133" s="656"/>
      <c r="M3133" s="657"/>
      <c r="N3133" s="1482"/>
      <c r="O3133" s="656" t="s">
        <v>498</v>
      </c>
      <c r="P3133" s="656" t="s">
        <v>13052</v>
      </c>
      <c r="Q3133" s="656">
        <v>44216.771168981482</v>
      </c>
    </row>
    <row r="3134" spans="1:17">
      <c r="A3134" s="656" t="s">
        <v>4141</v>
      </c>
      <c r="B3134" s="657" t="s">
        <v>504</v>
      </c>
      <c r="C3134" s="656" t="s">
        <v>4142</v>
      </c>
      <c r="D3134" s="657"/>
      <c r="E3134" s="657"/>
      <c r="F3134" s="656" t="s">
        <v>505</v>
      </c>
      <c r="G3134" s="656"/>
      <c r="H3134" s="656" t="s">
        <v>505</v>
      </c>
      <c r="I3134" s="656"/>
      <c r="J3134" s="656"/>
      <c r="K3134" s="656"/>
      <c r="L3134" s="656"/>
      <c r="M3134" s="657"/>
      <c r="N3134" s="1482"/>
      <c r="O3134" s="656" t="s">
        <v>498</v>
      </c>
      <c r="P3134" s="656" t="s">
        <v>13052</v>
      </c>
      <c r="Q3134" s="656">
        <v>44216.771168981482</v>
      </c>
    </row>
    <row r="3135" spans="1:17">
      <c r="A3135" s="656" t="s">
        <v>4143</v>
      </c>
      <c r="B3135" s="657" t="s">
        <v>202</v>
      </c>
      <c r="C3135" s="656" t="s">
        <v>4144</v>
      </c>
      <c r="D3135" s="657" t="s">
        <v>14977</v>
      </c>
      <c r="E3135" s="657"/>
      <c r="F3135" s="656" t="s">
        <v>655</v>
      </c>
      <c r="G3135" s="656" t="s">
        <v>13</v>
      </c>
      <c r="H3135" s="656" t="s">
        <v>655</v>
      </c>
      <c r="I3135" s="656" t="s">
        <v>14976</v>
      </c>
      <c r="J3135" s="656" t="s">
        <v>15281</v>
      </c>
      <c r="K3135" s="656"/>
      <c r="L3135" s="656" t="s">
        <v>4143</v>
      </c>
      <c r="M3135" s="657"/>
      <c r="N3135" s="1482"/>
      <c r="O3135" s="656" t="s">
        <v>498</v>
      </c>
      <c r="P3135" s="656" t="s">
        <v>13052</v>
      </c>
      <c r="Q3135" s="656">
        <v>44216.771145833336</v>
      </c>
    </row>
    <row r="3136" spans="1:17">
      <c r="A3136" s="656" t="s">
        <v>4145</v>
      </c>
      <c r="B3136" s="657" t="s">
        <v>202</v>
      </c>
      <c r="C3136" s="656" t="s">
        <v>4146</v>
      </c>
      <c r="D3136" s="657" t="s">
        <v>14977</v>
      </c>
      <c r="E3136" s="657"/>
      <c r="F3136" s="656" t="s">
        <v>655</v>
      </c>
      <c r="G3136" s="656" t="s">
        <v>1078</v>
      </c>
      <c r="H3136" s="656" t="s">
        <v>655</v>
      </c>
      <c r="I3136" s="656" t="s">
        <v>14976</v>
      </c>
      <c r="J3136" s="656" t="s">
        <v>15281</v>
      </c>
      <c r="K3136" s="656"/>
      <c r="L3136" s="656" t="s">
        <v>4145</v>
      </c>
      <c r="M3136" s="657"/>
      <c r="N3136" s="1482"/>
      <c r="O3136" s="656" t="s">
        <v>498</v>
      </c>
      <c r="P3136" s="656" t="s">
        <v>13052</v>
      </c>
      <c r="Q3136" s="656">
        <v>44216.771145833336</v>
      </c>
    </row>
    <row r="3137" spans="1:17">
      <c r="A3137" s="656" t="s">
        <v>4147</v>
      </c>
      <c r="B3137" s="657" t="s">
        <v>202</v>
      </c>
      <c r="C3137" s="656" t="s">
        <v>4148</v>
      </c>
      <c r="D3137" s="657" t="s">
        <v>14977</v>
      </c>
      <c r="E3137" s="657"/>
      <c r="F3137" s="656" t="s">
        <v>655</v>
      </c>
      <c r="G3137" s="656" t="s">
        <v>1078</v>
      </c>
      <c r="H3137" s="656" t="s">
        <v>655</v>
      </c>
      <c r="I3137" s="656" t="s">
        <v>14976</v>
      </c>
      <c r="J3137" s="656" t="s">
        <v>15281</v>
      </c>
      <c r="K3137" s="656"/>
      <c r="L3137" s="656" t="s">
        <v>4147</v>
      </c>
      <c r="M3137" s="657"/>
      <c r="N3137" s="1482"/>
      <c r="O3137" s="656" t="s">
        <v>498</v>
      </c>
      <c r="P3137" s="656" t="s">
        <v>13052</v>
      </c>
      <c r="Q3137" s="656">
        <v>44216.771134259259</v>
      </c>
    </row>
    <row r="3138" spans="1:17">
      <c r="A3138" s="656" t="s">
        <v>4149</v>
      </c>
      <c r="B3138" s="657" t="s">
        <v>202</v>
      </c>
      <c r="C3138" s="656" t="s">
        <v>4150</v>
      </c>
      <c r="D3138" s="657" t="s">
        <v>14977</v>
      </c>
      <c r="E3138" s="657"/>
      <c r="F3138" s="656" t="s">
        <v>1300</v>
      </c>
      <c r="G3138" s="656" t="s">
        <v>13</v>
      </c>
      <c r="H3138" s="656" t="s">
        <v>1300</v>
      </c>
      <c r="I3138" s="656" t="s">
        <v>14976</v>
      </c>
      <c r="J3138" s="656" t="s">
        <v>15285</v>
      </c>
      <c r="K3138" s="656"/>
      <c r="L3138" s="656" t="s">
        <v>4149</v>
      </c>
      <c r="M3138" s="657"/>
      <c r="N3138" s="1482"/>
      <c r="O3138" s="656" t="s">
        <v>498</v>
      </c>
      <c r="P3138" s="656" t="s">
        <v>13052</v>
      </c>
      <c r="Q3138" s="656">
        <v>44216.771122685182</v>
      </c>
    </row>
    <row r="3139" spans="1:17">
      <c r="A3139" s="656" t="s">
        <v>13547</v>
      </c>
      <c r="B3139" s="657" t="s">
        <v>202</v>
      </c>
      <c r="C3139" s="656" t="s">
        <v>13548</v>
      </c>
      <c r="D3139" s="657" t="s">
        <v>13789</v>
      </c>
      <c r="E3139" s="657"/>
      <c r="F3139" s="656" t="s">
        <v>1300</v>
      </c>
      <c r="G3139" s="656" t="s">
        <v>13549</v>
      </c>
      <c r="H3139" s="656" t="s">
        <v>1300</v>
      </c>
      <c r="I3139" s="656" t="s">
        <v>14976</v>
      </c>
      <c r="J3139" s="656"/>
      <c r="K3139" s="656"/>
      <c r="L3139" s="656"/>
      <c r="M3139" s="657"/>
      <c r="N3139" s="1482"/>
      <c r="O3139" s="656" t="s">
        <v>498</v>
      </c>
      <c r="P3139" s="656" t="s">
        <v>13052</v>
      </c>
      <c r="Q3139" s="656">
        <v>44216.771122685182</v>
      </c>
    </row>
    <row r="3140" spans="1:17">
      <c r="A3140" s="656" t="s">
        <v>13545</v>
      </c>
      <c r="B3140" s="657" t="s">
        <v>202</v>
      </c>
      <c r="C3140" s="656" t="s">
        <v>13546</v>
      </c>
      <c r="D3140" s="657" t="s">
        <v>13789</v>
      </c>
      <c r="E3140" s="657"/>
      <c r="F3140" s="656" t="s">
        <v>472</v>
      </c>
      <c r="G3140" s="656"/>
      <c r="H3140" s="656" t="s">
        <v>472</v>
      </c>
      <c r="I3140" s="656" t="s">
        <v>14976</v>
      </c>
      <c r="J3140" s="656" t="s">
        <v>12368</v>
      </c>
      <c r="K3140" s="656"/>
      <c r="L3140" s="656"/>
      <c r="M3140" s="657"/>
      <c r="N3140" s="1482"/>
      <c r="O3140" s="656" t="s">
        <v>498</v>
      </c>
      <c r="P3140" s="656" t="s">
        <v>13052</v>
      </c>
      <c r="Q3140" s="656">
        <v>44216.771122685182</v>
      </c>
    </row>
    <row r="3141" spans="1:17">
      <c r="A3141" s="656" t="s">
        <v>4151</v>
      </c>
      <c r="B3141" s="657" t="s">
        <v>504</v>
      </c>
      <c r="C3141" s="656" t="s">
        <v>4152</v>
      </c>
      <c r="D3141" s="657" t="s">
        <v>13789</v>
      </c>
      <c r="E3141" s="657"/>
      <c r="F3141" s="656" t="s">
        <v>3756</v>
      </c>
      <c r="G3141" s="656" t="s">
        <v>1395</v>
      </c>
      <c r="H3141" s="656" t="s">
        <v>3756</v>
      </c>
      <c r="I3141" s="656"/>
      <c r="J3141" s="656"/>
      <c r="K3141" s="656"/>
      <c r="L3141" s="656"/>
      <c r="M3141" s="657"/>
      <c r="N3141" s="1482"/>
      <c r="O3141" s="656" t="s">
        <v>498</v>
      </c>
      <c r="P3141" s="656" t="s">
        <v>13052</v>
      </c>
      <c r="Q3141" s="656">
        <v>44216.771111111113</v>
      </c>
    </row>
    <row r="3142" spans="1:17">
      <c r="A3142" s="656" t="s">
        <v>4153</v>
      </c>
      <c r="B3142" s="657" t="s">
        <v>504</v>
      </c>
      <c r="C3142" s="656" t="s">
        <v>4154</v>
      </c>
      <c r="D3142" s="657"/>
      <c r="E3142" s="657"/>
      <c r="F3142" s="656" t="s">
        <v>505</v>
      </c>
      <c r="G3142" s="656"/>
      <c r="H3142" s="656" t="s">
        <v>505</v>
      </c>
      <c r="I3142" s="656"/>
      <c r="J3142" s="656"/>
      <c r="K3142" s="656"/>
      <c r="L3142" s="656"/>
      <c r="M3142" s="657"/>
      <c r="N3142" s="1482"/>
      <c r="O3142" s="656" t="s">
        <v>498</v>
      </c>
      <c r="P3142" s="656" t="s">
        <v>13052</v>
      </c>
      <c r="Q3142" s="656">
        <v>44216.771099537036</v>
      </c>
    </row>
    <row r="3143" spans="1:17">
      <c r="A3143" s="656" t="s">
        <v>4155</v>
      </c>
      <c r="B3143" s="657" t="s">
        <v>504</v>
      </c>
      <c r="C3143" s="656" t="s">
        <v>4156</v>
      </c>
      <c r="D3143" s="657"/>
      <c r="E3143" s="657"/>
      <c r="F3143" s="656" t="s">
        <v>505</v>
      </c>
      <c r="G3143" s="656"/>
      <c r="H3143" s="656" t="s">
        <v>505</v>
      </c>
      <c r="I3143" s="656"/>
      <c r="J3143" s="656"/>
      <c r="K3143" s="656"/>
      <c r="L3143" s="656"/>
      <c r="M3143" s="657"/>
      <c r="N3143" s="1482"/>
      <c r="O3143" s="656" t="s">
        <v>498</v>
      </c>
      <c r="P3143" s="656" t="s">
        <v>13052</v>
      </c>
      <c r="Q3143" s="656">
        <v>44216.771099537036</v>
      </c>
    </row>
    <row r="3144" spans="1:17">
      <c r="A3144" s="656" t="s">
        <v>4157</v>
      </c>
      <c r="B3144" s="657" t="s">
        <v>504</v>
      </c>
      <c r="C3144" s="656" t="s">
        <v>4158</v>
      </c>
      <c r="D3144" s="657" t="s">
        <v>13789</v>
      </c>
      <c r="E3144" s="657" t="s">
        <v>9654</v>
      </c>
      <c r="F3144" s="656" t="s">
        <v>505</v>
      </c>
      <c r="G3144" s="656" t="s">
        <v>2903</v>
      </c>
      <c r="H3144" s="656" t="s">
        <v>505</v>
      </c>
      <c r="I3144" s="656" t="s">
        <v>14976</v>
      </c>
      <c r="J3144" s="656"/>
      <c r="K3144" s="656"/>
      <c r="L3144" s="656"/>
      <c r="M3144" s="657"/>
      <c r="N3144" s="1482"/>
      <c r="O3144" s="656" t="s">
        <v>498</v>
      </c>
      <c r="P3144" s="656" t="s">
        <v>13052</v>
      </c>
      <c r="Q3144" s="656">
        <v>44216.771087962959</v>
      </c>
    </row>
    <row r="3145" spans="1:17">
      <c r="A3145" s="656" t="s">
        <v>4159</v>
      </c>
      <c r="B3145" s="657" t="s">
        <v>504</v>
      </c>
      <c r="C3145" s="656" t="s">
        <v>4160</v>
      </c>
      <c r="D3145" s="657"/>
      <c r="E3145" s="657"/>
      <c r="F3145" s="656" t="s">
        <v>505</v>
      </c>
      <c r="G3145" s="656"/>
      <c r="H3145" s="656" t="s">
        <v>505</v>
      </c>
      <c r="I3145" s="656"/>
      <c r="J3145" s="656"/>
      <c r="K3145" s="656"/>
      <c r="L3145" s="656"/>
      <c r="M3145" s="657"/>
      <c r="N3145" s="1482"/>
      <c r="O3145" s="656" t="s">
        <v>498</v>
      </c>
      <c r="P3145" s="656" t="s">
        <v>13052</v>
      </c>
      <c r="Q3145" s="656">
        <v>44216.771087962959</v>
      </c>
    </row>
    <row r="3146" spans="1:17">
      <c r="A3146" s="656" t="s">
        <v>13543</v>
      </c>
      <c r="B3146" s="657" t="s">
        <v>202</v>
      </c>
      <c r="C3146" s="656" t="s">
        <v>13544</v>
      </c>
      <c r="D3146" s="657" t="s">
        <v>14977</v>
      </c>
      <c r="E3146" s="657"/>
      <c r="F3146" s="656" t="s">
        <v>500</v>
      </c>
      <c r="G3146" s="656" t="s">
        <v>4161</v>
      </c>
      <c r="H3146" s="656" t="s">
        <v>500</v>
      </c>
      <c r="I3146" s="656" t="s">
        <v>14976</v>
      </c>
      <c r="J3146" s="656"/>
      <c r="K3146" s="656"/>
      <c r="L3146" s="656" t="s">
        <v>13543</v>
      </c>
      <c r="M3146" s="657"/>
      <c r="N3146" s="1482"/>
      <c r="O3146" s="656" t="s">
        <v>498</v>
      </c>
      <c r="P3146" s="656" t="s">
        <v>13052</v>
      </c>
      <c r="Q3146" s="656">
        <v>44216.77107638889</v>
      </c>
    </row>
    <row r="3147" spans="1:17">
      <c r="A3147" s="656" t="s">
        <v>4162</v>
      </c>
      <c r="B3147" s="657"/>
      <c r="C3147" s="656" t="s">
        <v>4163</v>
      </c>
      <c r="D3147" s="657" t="s">
        <v>14977</v>
      </c>
      <c r="E3147" s="657"/>
      <c r="F3147" s="656" t="s">
        <v>1394</v>
      </c>
      <c r="G3147" s="656" t="s">
        <v>625</v>
      </c>
      <c r="H3147" s="656" t="s">
        <v>1394</v>
      </c>
      <c r="I3147" s="656" t="s">
        <v>14976</v>
      </c>
      <c r="J3147" s="656"/>
      <c r="K3147" s="656"/>
      <c r="L3147" s="656" t="s">
        <v>4162</v>
      </c>
      <c r="M3147" s="657"/>
      <c r="N3147" s="1482"/>
      <c r="O3147" s="656" t="s">
        <v>498</v>
      </c>
      <c r="P3147" s="656" t="s">
        <v>13052</v>
      </c>
      <c r="Q3147" s="656">
        <v>44216.77107638889</v>
      </c>
    </row>
    <row r="3148" spans="1:17">
      <c r="A3148" s="656" t="s">
        <v>4164</v>
      </c>
      <c r="B3148" s="657" t="s">
        <v>202</v>
      </c>
      <c r="C3148" s="656" t="s">
        <v>4165</v>
      </c>
      <c r="D3148" s="657" t="s">
        <v>14977</v>
      </c>
      <c r="E3148" s="657"/>
      <c r="F3148" s="656" t="s">
        <v>1300</v>
      </c>
      <c r="G3148" s="656" t="s">
        <v>3280</v>
      </c>
      <c r="H3148" s="656" t="s">
        <v>1300</v>
      </c>
      <c r="I3148" s="656" t="s">
        <v>14976</v>
      </c>
      <c r="J3148" s="656" t="s">
        <v>15285</v>
      </c>
      <c r="K3148" s="656"/>
      <c r="L3148" s="656" t="s">
        <v>4164</v>
      </c>
      <c r="M3148" s="657"/>
      <c r="N3148" s="1482"/>
      <c r="O3148" s="656" t="s">
        <v>498</v>
      </c>
      <c r="P3148" s="656" t="s">
        <v>13052</v>
      </c>
      <c r="Q3148" s="656">
        <v>44216.771064814813</v>
      </c>
    </row>
    <row r="3149" spans="1:17">
      <c r="A3149" s="656" t="s">
        <v>4166</v>
      </c>
      <c r="B3149" s="657" t="s">
        <v>202</v>
      </c>
      <c r="C3149" s="656" t="s">
        <v>4167</v>
      </c>
      <c r="D3149" s="657" t="s">
        <v>14977</v>
      </c>
      <c r="E3149" s="657"/>
      <c r="F3149" s="656" t="s">
        <v>1300</v>
      </c>
      <c r="G3149" s="656" t="s">
        <v>1300</v>
      </c>
      <c r="H3149" s="656" t="s">
        <v>1300</v>
      </c>
      <c r="I3149" s="656" t="s">
        <v>14976</v>
      </c>
      <c r="J3149" s="656" t="s">
        <v>15285</v>
      </c>
      <c r="K3149" s="656"/>
      <c r="L3149" s="656" t="s">
        <v>4166</v>
      </c>
      <c r="M3149" s="657"/>
      <c r="N3149" s="1482"/>
      <c r="O3149" s="656" t="s">
        <v>498</v>
      </c>
      <c r="P3149" s="656" t="s">
        <v>13052</v>
      </c>
      <c r="Q3149" s="656">
        <v>44216.771064814813</v>
      </c>
    </row>
    <row r="3150" spans="1:17">
      <c r="A3150" s="656" t="s">
        <v>12383</v>
      </c>
      <c r="B3150" s="657" t="s">
        <v>202</v>
      </c>
      <c r="C3150" s="656" t="s">
        <v>12382</v>
      </c>
      <c r="D3150" s="657" t="s">
        <v>14978</v>
      </c>
      <c r="E3150" s="657" t="s">
        <v>7437</v>
      </c>
      <c r="F3150" s="656" t="s">
        <v>462</v>
      </c>
      <c r="G3150" s="656" t="s">
        <v>512</v>
      </c>
      <c r="H3150" s="656" t="s">
        <v>462</v>
      </c>
      <c r="I3150" s="656" t="s">
        <v>14976</v>
      </c>
      <c r="J3150" s="656" t="s">
        <v>463</v>
      </c>
      <c r="K3150" s="656" t="s">
        <v>1924</v>
      </c>
      <c r="L3150" s="656" t="s">
        <v>4168</v>
      </c>
      <c r="M3150" s="657"/>
      <c r="N3150" s="1482"/>
      <c r="O3150" s="656" t="s">
        <v>498</v>
      </c>
      <c r="P3150" s="656" t="s">
        <v>13052</v>
      </c>
      <c r="Q3150" s="656">
        <v>44216.771053240744</v>
      </c>
    </row>
    <row r="3151" spans="1:17">
      <c r="A3151" s="656" t="s">
        <v>4168</v>
      </c>
      <c r="B3151" s="657" t="s">
        <v>202</v>
      </c>
      <c r="C3151" s="656" t="s">
        <v>4169</v>
      </c>
      <c r="D3151" s="657" t="s">
        <v>14977</v>
      </c>
      <c r="E3151" s="657"/>
      <c r="F3151" s="656" t="s">
        <v>462</v>
      </c>
      <c r="G3151" s="656" t="s">
        <v>512</v>
      </c>
      <c r="H3151" s="656" t="s">
        <v>462</v>
      </c>
      <c r="I3151" s="656" t="s">
        <v>14976</v>
      </c>
      <c r="J3151" s="656" t="s">
        <v>463</v>
      </c>
      <c r="K3151" s="656" t="s">
        <v>1924</v>
      </c>
      <c r="L3151" s="656" t="s">
        <v>4168</v>
      </c>
      <c r="M3151" s="657"/>
      <c r="N3151" s="1482"/>
      <c r="O3151" s="656" t="s">
        <v>498</v>
      </c>
      <c r="P3151" s="656" t="s">
        <v>13052</v>
      </c>
      <c r="Q3151" s="656">
        <v>44216.771053240744</v>
      </c>
    </row>
    <row r="3152" spans="1:17">
      <c r="A3152" s="656" t="s">
        <v>13542</v>
      </c>
      <c r="B3152" s="657" t="s">
        <v>202</v>
      </c>
      <c r="C3152" s="656" t="s">
        <v>3281</v>
      </c>
      <c r="D3152" s="657" t="s">
        <v>14977</v>
      </c>
      <c r="E3152" s="657"/>
      <c r="F3152" s="656" t="s">
        <v>1300</v>
      </c>
      <c r="G3152" s="656" t="s">
        <v>1301</v>
      </c>
      <c r="H3152" s="656" t="s">
        <v>1300</v>
      </c>
      <c r="I3152" s="656" t="s">
        <v>14976</v>
      </c>
      <c r="J3152" s="656" t="s">
        <v>15285</v>
      </c>
      <c r="K3152" s="656"/>
      <c r="L3152" s="656" t="s">
        <v>13542</v>
      </c>
      <c r="M3152" s="657"/>
      <c r="N3152" s="1482"/>
      <c r="O3152" s="656" t="s">
        <v>498</v>
      </c>
      <c r="P3152" s="656" t="s">
        <v>13052</v>
      </c>
      <c r="Q3152" s="656">
        <v>44216.771041666667</v>
      </c>
    </row>
    <row r="3153" spans="1:17">
      <c r="A3153" s="656" t="s">
        <v>13540</v>
      </c>
      <c r="B3153" s="657" t="s">
        <v>202</v>
      </c>
      <c r="C3153" s="656" t="s">
        <v>13541</v>
      </c>
      <c r="D3153" s="657" t="s">
        <v>14977</v>
      </c>
      <c r="E3153" s="657"/>
      <c r="F3153" s="656" t="s">
        <v>1300</v>
      </c>
      <c r="G3153" s="656" t="s">
        <v>2072</v>
      </c>
      <c r="H3153" s="656" t="s">
        <v>1300</v>
      </c>
      <c r="I3153" s="656" t="s">
        <v>14976</v>
      </c>
      <c r="J3153" s="656"/>
      <c r="K3153" s="656"/>
      <c r="L3153" s="656" t="s">
        <v>13540</v>
      </c>
      <c r="M3153" s="657"/>
      <c r="N3153" s="1482"/>
      <c r="O3153" s="656" t="s">
        <v>498</v>
      </c>
      <c r="P3153" s="656" t="s">
        <v>13052</v>
      </c>
      <c r="Q3153" s="656">
        <v>44216.771041666667</v>
      </c>
    </row>
    <row r="3154" spans="1:17">
      <c r="A3154" s="656" t="s">
        <v>13538</v>
      </c>
      <c r="B3154" s="657" t="s">
        <v>202</v>
      </c>
      <c r="C3154" s="656" t="s">
        <v>13539</v>
      </c>
      <c r="D3154" s="657" t="s">
        <v>14977</v>
      </c>
      <c r="E3154" s="657"/>
      <c r="F3154" s="656" t="s">
        <v>1300</v>
      </c>
      <c r="G3154" s="656" t="s">
        <v>13</v>
      </c>
      <c r="H3154" s="656" t="s">
        <v>1300</v>
      </c>
      <c r="I3154" s="656" t="s">
        <v>14976</v>
      </c>
      <c r="J3154" s="656" t="s">
        <v>15285</v>
      </c>
      <c r="K3154" s="656"/>
      <c r="L3154" s="656" t="s">
        <v>13538</v>
      </c>
      <c r="M3154" s="657"/>
      <c r="N3154" s="1482"/>
      <c r="O3154" s="656" t="s">
        <v>498</v>
      </c>
      <c r="P3154" s="656" t="s">
        <v>13052</v>
      </c>
      <c r="Q3154" s="656">
        <v>44216.77103009259</v>
      </c>
    </row>
    <row r="3155" spans="1:17">
      <c r="A3155" s="656" t="s">
        <v>13536</v>
      </c>
      <c r="B3155" s="657" t="s">
        <v>202</v>
      </c>
      <c r="C3155" s="656" t="s">
        <v>13537</v>
      </c>
      <c r="D3155" s="657" t="s">
        <v>14977</v>
      </c>
      <c r="E3155" s="657"/>
      <c r="F3155" s="656" t="s">
        <v>1300</v>
      </c>
      <c r="G3155" s="656" t="s">
        <v>13</v>
      </c>
      <c r="H3155" s="656" t="s">
        <v>1300</v>
      </c>
      <c r="I3155" s="656" t="s">
        <v>14976</v>
      </c>
      <c r="J3155" s="656" t="s">
        <v>15285</v>
      </c>
      <c r="K3155" s="656"/>
      <c r="L3155" s="656" t="s">
        <v>13536</v>
      </c>
      <c r="M3155" s="657"/>
      <c r="N3155" s="1482"/>
      <c r="O3155" s="656" t="s">
        <v>498</v>
      </c>
      <c r="P3155" s="656" t="s">
        <v>13052</v>
      </c>
      <c r="Q3155" s="656">
        <v>44216.77103009259</v>
      </c>
    </row>
    <row r="3156" spans="1:17">
      <c r="A3156" s="656" t="s">
        <v>4170</v>
      </c>
      <c r="B3156" s="657" t="s">
        <v>504</v>
      </c>
      <c r="C3156" s="656" t="s">
        <v>4171</v>
      </c>
      <c r="D3156" s="657"/>
      <c r="E3156" s="657"/>
      <c r="F3156" s="656" t="s">
        <v>505</v>
      </c>
      <c r="G3156" s="656"/>
      <c r="H3156" s="656" t="s">
        <v>505</v>
      </c>
      <c r="I3156" s="656"/>
      <c r="J3156" s="656"/>
      <c r="K3156" s="656"/>
      <c r="L3156" s="656"/>
      <c r="M3156" s="657"/>
      <c r="N3156" s="1482"/>
      <c r="O3156" s="656" t="s">
        <v>498</v>
      </c>
      <c r="P3156" s="656" t="s">
        <v>13052</v>
      </c>
      <c r="Q3156" s="656">
        <v>44216.771018518521</v>
      </c>
    </row>
    <row r="3157" spans="1:17">
      <c r="A3157" s="656" t="s">
        <v>4172</v>
      </c>
      <c r="B3157" s="657" t="s">
        <v>202</v>
      </c>
      <c r="C3157" s="656" t="s">
        <v>4173</v>
      </c>
      <c r="D3157" s="657" t="s">
        <v>14977</v>
      </c>
      <c r="E3157" s="657"/>
      <c r="F3157" s="656" t="s">
        <v>655</v>
      </c>
      <c r="G3157" s="656" t="s">
        <v>1078</v>
      </c>
      <c r="H3157" s="656" t="s">
        <v>655</v>
      </c>
      <c r="I3157" s="656" t="s">
        <v>14976</v>
      </c>
      <c r="J3157" s="656" t="s">
        <v>15281</v>
      </c>
      <c r="K3157" s="656"/>
      <c r="L3157" s="656" t="s">
        <v>4172</v>
      </c>
      <c r="M3157" s="657"/>
      <c r="N3157" s="1482"/>
      <c r="O3157" s="656" t="s">
        <v>498</v>
      </c>
      <c r="P3157" s="656" t="s">
        <v>13052</v>
      </c>
      <c r="Q3157" s="656">
        <v>44216.771018518521</v>
      </c>
    </row>
    <row r="3158" spans="1:17">
      <c r="A3158" s="656" t="s">
        <v>4174</v>
      </c>
      <c r="B3158" s="657" t="s">
        <v>202</v>
      </c>
      <c r="C3158" s="656" t="s">
        <v>4175</v>
      </c>
      <c r="D3158" s="657" t="s">
        <v>14977</v>
      </c>
      <c r="E3158" s="657"/>
      <c r="F3158" s="656" t="s">
        <v>655</v>
      </c>
      <c r="G3158" s="656" t="s">
        <v>13</v>
      </c>
      <c r="H3158" s="656" t="s">
        <v>655</v>
      </c>
      <c r="I3158" s="656" t="s">
        <v>14976</v>
      </c>
      <c r="J3158" s="656" t="s">
        <v>15281</v>
      </c>
      <c r="K3158" s="656"/>
      <c r="L3158" s="656" t="s">
        <v>4174</v>
      </c>
      <c r="M3158" s="657"/>
      <c r="N3158" s="1482"/>
      <c r="O3158" s="656" t="s">
        <v>498</v>
      </c>
      <c r="P3158" s="656" t="s">
        <v>13052</v>
      </c>
      <c r="Q3158" s="656">
        <v>44216.771006944444</v>
      </c>
    </row>
    <row r="3159" spans="1:17">
      <c r="A3159" s="656" t="s">
        <v>4176</v>
      </c>
      <c r="B3159" s="657" t="s">
        <v>202</v>
      </c>
      <c r="C3159" s="656" t="s">
        <v>4177</v>
      </c>
      <c r="D3159" s="657" t="s">
        <v>14977</v>
      </c>
      <c r="E3159" s="657"/>
      <c r="F3159" s="656" t="s">
        <v>655</v>
      </c>
      <c r="G3159" s="656" t="s">
        <v>1051</v>
      </c>
      <c r="H3159" s="656" t="s">
        <v>655</v>
      </c>
      <c r="I3159" s="656" t="s">
        <v>14976</v>
      </c>
      <c r="J3159" s="656" t="s">
        <v>15281</v>
      </c>
      <c r="K3159" s="656"/>
      <c r="L3159" s="656" t="s">
        <v>4176</v>
      </c>
      <c r="M3159" s="657"/>
      <c r="N3159" s="1482"/>
      <c r="O3159" s="656" t="s">
        <v>498</v>
      </c>
      <c r="P3159" s="656" t="s">
        <v>13052</v>
      </c>
      <c r="Q3159" s="656">
        <v>44216.770995370367</v>
      </c>
    </row>
    <row r="3160" spans="1:17">
      <c r="A3160" s="656" t="s">
        <v>13534</v>
      </c>
      <c r="B3160" s="657"/>
      <c r="C3160" s="656" t="s">
        <v>4178</v>
      </c>
      <c r="D3160" s="657" t="s">
        <v>14978</v>
      </c>
      <c r="E3160" s="657"/>
      <c r="F3160" s="656"/>
      <c r="G3160" s="656"/>
      <c r="H3160" s="656"/>
      <c r="I3160" s="656" t="s">
        <v>14976</v>
      </c>
      <c r="J3160" s="656"/>
      <c r="K3160" s="656"/>
      <c r="L3160" s="656" t="s">
        <v>4179</v>
      </c>
      <c r="M3160" s="657"/>
      <c r="N3160" s="1482"/>
      <c r="O3160" s="656" t="s">
        <v>498</v>
      </c>
      <c r="P3160" s="656" t="s">
        <v>13052</v>
      </c>
      <c r="Q3160" s="656">
        <v>44216.770995370367</v>
      </c>
    </row>
    <row r="3161" spans="1:17">
      <c r="A3161" s="656" t="s">
        <v>4179</v>
      </c>
      <c r="B3161" s="657" t="s">
        <v>202</v>
      </c>
      <c r="C3161" s="656" t="s">
        <v>4180</v>
      </c>
      <c r="D3161" s="657" t="s">
        <v>14977</v>
      </c>
      <c r="E3161" s="657"/>
      <c r="F3161" s="656" t="s">
        <v>1300</v>
      </c>
      <c r="G3161" s="656" t="s">
        <v>3280</v>
      </c>
      <c r="H3161" s="656" t="s">
        <v>1300</v>
      </c>
      <c r="I3161" s="656" t="s">
        <v>14976</v>
      </c>
      <c r="J3161" s="656" t="s">
        <v>15285</v>
      </c>
      <c r="K3161" s="656"/>
      <c r="L3161" s="656" t="s">
        <v>4179</v>
      </c>
      <c r="M3161" s="657"/>
      <c r="N3161" s="1482"/>
      <c r="O3161" s="656" t="s">
        <v>498</v>
      </c>
      <c r="P3161" s="656" t="s">
        <v>13052</v>
      </c>
      <c r="Q3161" s="656">
        <v>44216.770995370367</v>
      </c>
    </row>
    <row r="3162" spans="1:17">
      <c r="A3162" s="656" t="s">
        <v>13532</v>
      </c>
      <c r="B3162" s="657" t="s">
        <v>202</v>
      </c>
      <c r="C3162" s="656" t="s">
        <v>13533</v>
      </c>
      <c r="D3162" s="657" t="s">
        <v>14977</v>
      </c>
      <c r="E3162" s="657"/>
      <c r="F3162" s="656" t="s">
        <v>472</v>
      </c>
      <c r="G3162" s="656"/>
      <c r="H3162" s="656" t="s">
        <v>472</v>
      </c>
      <c r="I3162" s="656" t="s">
        <v>14976</v>
      </c>
      <c r="J3162" s="656" t="s">
        <v>12368</v>
      </c>
      <c r="K3162" s="656"/>
      <c r="L3162" s="656" t="s">
        <v>13532</v>
      </c>
      <c r="M3162" s="657"/>
      <c r="N3162" s="1482"/>
      <c r="O3162" s="656" t="s">
        <v>498</v>
      </c>
      <c r="P3162" s="656" t="s">
        <v>13052</v>
      </c>
      <c r="Q3162" s="656">
        <v>44216.770983796298</v>
      </c>
    </row>
    <row r="3163" spans="1:17">
      <c r="A3163" s="656" t="s">
        <v>4181</v>
      </c>
      <c r="B3163" s="657" t="s">
        <v>531</v>
      </c>
      <c r="C3163" s="656" t="s">
        <v>4182</v>
      </c>
      <c r="D3163" s="657" t="s">
        <v>14977</v>
      </c>
      <c r="E3163" s="657"/>
      <c r="F3163" s="656" t="s">
        <v>472</v>
      </c>
      <c r="G3163" s="656" t="s">
        <v>1395</v>
      </c>
      <c r="H3163" s="656" t="s">
        <v>472</v>
      </c>
      <c r="I3163" s="656" t="s">
        <v>14976</v>
      </c>
      <c r="J3163" s="656" t="s">
        <v>12368</v>
      </c>
      <c r="K3163" s="656"/>
      <c r="L3163" s="656"/>
      <c r="M3163" s="657"/>
      <c r="N3163" s="1482"/>
      <c r="O3163" s="656" t="s">
        <v>498</v>
      </c>
      <c r="P3163" s="656" t="s">
        <v>13052</v>
      </c>
      <c r="Q3163" s="656">
        <v>44216.770983796298</v>
      </c>
    </row>
    <row r="3164" spans="1:17">
      <c r="A3164" s="656" t="s">
        <v>13530</v>
      </c>
      <c r="B3164" s="657" t="s">
        <v>202</v>
      </c>
      <c r="C3164" s="656" t="s">
        <v>13531</v>
      </c>
      <c r="D3164" s="657" t="s">
        <v>14977</v>
      </c>
      <c r="E3164" s="657"/>
      <c r="F3164" s="656" t="s">
        <v>1300</v>
      </c>
      <c r="G3164" s="656" t="s">
        <v>2072</v>
      </c>
      <c r="H3164" s="656" t="s">
        <v>1300</v>
      </c>
      <c r="I3164" s="656" t="s">
        <v>14976</v>
      </c>
      <c r="J3164" s="656"/>
      <c r="K3164" s="656"/>
      <c r="L3164" s="656" t="s">
        <v>13530</v>
      </c>
      <c r="M3164" s="657"/>
      <c r="N3164" s="1482"/>
      <c r="O3164" s="656" t="s">
        <v>498</v>
      </c>
      <c r="P3164" s="656" t="s">
        <v>13052</v>
      </c>
      <c r="Q3164" s="656">
        <v>44216.770972222221</v>
      </c>
    </row>
    <row r="3165" spans="1:17">
      <c r="A3165" s="656" t="s">
        <v>4183</v>
      </c>
      <c r="B3165" s="657" t="s">
        <v>504</v>
      </c>
      <c r="C3165" s="656" t="s">
        <v>4184</v>
      </c>
      <c r="D3165" s="657"/>
      <c r="E3165" s="657"/>
      <c r="F3165" s="656" t="s">
        <v>505</v>
      </c>
      <c r="G3165" s="656"/>
      <c r="H3165" s="656" t="s">
        <v>505</v>
      </c>
      <c r="I3165" s="656"/>
      <c r="J3165" s="656"/>
      <c r="K3165" s="656"/>
      <c r="L3165" s="656"/>
      <c r="M3165" s="657"/>
      <c r="N3165" s="1482"/>
      <c r="O3165" s="656" t="s">
        <v>498</v>
      </c>
      <c r="P3165" s="656" t="s">
        <v>13052</v>
      </c>
      <c r="Q3165" s="656">
        <v>44216.770972222221</v>
      </c>
    </row>
    <row r="3166" spans="1:17">
      <c r="A3166" s="656" t="s">
        <v>4185</v>
      </c>
      <c r="B3166" s="657" t="s">
        <v>504</v>
      </c>
      <c r="C3166" s="656" t="s">
        <v>4186</v>
      </c>
      <c r="D3166" s="657"/>
      <c r="E3166" s="657"/>
      <c r="F3166" s="656" t="s">
        <v>505</v>
      </c>
      <c r="G3166" s="656"/>
      <c r="H3166" s="656" t="s">
        <v>505</v>
      </c>
      <c r="I3166" s="656"/>
      <c r="J3166" s="656"/>
      <c r="K3166" s="656"/>
      <c r="L3166" s="656"/>
      <c r="M3166" s="657"/>
      <c r="N3166" s="1482"/>
      <c r="O3166" s="656" t="s">
        <v>498</v>
      </c>
      <c r="P3166" s="656" t="s">
        <v>13052</v>
      </c>
      <c r="Q3166" s="656">
        <v>44216.770972222221</v>
      </c>
    </row>
    <row r="3167" spans="1:17">
      <c r="A3167" s="656" t="s">
        <v>4187</v>
      </c>
      <c r="B3167" s="657" t="s">
        <v>202</v>
      </c>
      <c r="C3167" s="656" t="s">
        <v>4188</v>
      </c>
      <c r="D3167" s="657" t="s">
        <v>14977</v>
      </c>
      <c r="E3167" s="657"/>
      <c r="F3167" s="656" t="s">
        <v>1394</v>
      </c>
      <c r="G3167" s="656" t="s">
        <v>13</v>
      </c>
      <c r="H3167" s="656" t="s">
        <v>1394</v>
      </c>
      <c r="I3167" s="656" t="s">
        <v>14976</v>
      </c>
      <c r="J3167" s="656" t="s">
        <v>15285</v>
      </c>
      <c r="K3167" s="656"/>
      <c r="L3167" s="656" t="s">
        <v>4187</v>
      </c>
      <c r="M3167" s="657"/>
      <c r="N3167" s="1482"/>
      <c r="O3167" s="656" t="s">
        <v>498</v>
      </c>
      <c r="P3167" s="656" t="s">
        <v>13052</v>
      </c>
      <c r="Q3167" s="656">
        <v>44216.770960648151</v>
      </c>
    </row>
    <row r="3168" spans="1:17">
      <c r="A3168" s="656" t="s">
        <v>4189</v>
      </c>
      <c r="B3168" s="657" t="s">
        <v>504</v>
      </c>
      <c r="C3168" s="656" t="s">
        <v>4190</v>
      </c>
      <c r="D3168" s="657"/>
      <c r="E3168" s="657"/>
      <c r="F3168" s="656" t="s">
        <v>505</v>
      </c>
      <c r="G3168" s="656" t="s">
        <v>4191</v>
      </c>
      <c r="H3168" s="656" t="s">
        <v>505</v>
      </c>
      <c r="I3168" s="656"/>
      <c r="J3168" s="656"/>
      <c r="K3168" s="656"/>
      <c r="L3168" s="656"/>
      <c r="M3168" s="657"/>
      <c r="N3168" s="1482"/>
      <c r="O3168" s="656" t="s">
        <v>498</v>
      </c>
      <c r="P3168" s="656" t="s">
        <v>13052</v>
      </c>
      <c r="Q3168" s="656">
        <v>44216.770949074074</v>
      </c>
    </row>
    <row r="3169" spans="1:17">
      <c r="A3169" s="656" t="s">
        <v>4192</v>
      </c>
      <c r="B3169" s="657" t="s">
        <v>202</v>
      </c>
      <c r="C3169" s="656" t="s">
        <v>4193</v>
      </c>
      <c r="D3169" s="657" t="s">
        <v>14977</v>
      </c>
      <c r="E3169" s="657" t="s">
        <v>7439</v>
      </c>
      <c r="F3169" s="656" t="s">
        <v>783</v>
      </c>
      <c r="G3169" s="656" t="s">
        <v>783</v>
      </c>
      <c r="H3169" s="656" t="s">
        <v>783</v>
      </c>
      <c r="I3169" s="656" t="s">
        <v>14976</v>
      </c>
      <c r="J3169" s="656" t="s">
        <v>15282</v>
      </c>
      <c r="K3169" s="656"/>
      <c r="L3169" s="656" t="s">
        <v>4192</v>
      </c>
      <c r="M3169" s="657"/>
      <c r="N3169" s="1482"/>
      <c r="O3169" s="656" t="s">
        <v>498</v>
      </c>
      <c r="P3169" s="656" t="s">
        <v>13052</v>
      </c>
      <c r="Q3169" s="656">
        <v>44216.770937499998</v>
      </c>
    </row>
    <row r="3170" spans="1:17">
      <c r="A3170" s="656" t="s">
        <v>4194</v>
      </c>
      <c r="B3170" s="657" t="s">
        <v>504</v>
      </c>
      <c r="C3170" s="656" t="s">
        <v>4195</v>
      </c>
      <c r="D3170" s="657"/>
      <c r="E3170" s="657"/>
      <c r="F3170" s="656" t="s">
        <v>505</v>
      </c>
      <c r="G3170" s="656"/>
      <c r="H3170" s="656" t="s">
        <v>505</v>
      </c>
      <c r="I3170" s="656"/>
      <c r="J3170" s="656"/>
      <c r="K3170" s="656"/>
      <c r="L3170" s="656"/>
      <c r="M3170" s="657"/>
      <c r="N3170" s="1482"/>
      <c r="O3170" s="656" t="s">
        <v>498</v>
      </c>
      <c r="P3170" s="656" t="s">
        <v>13052</v>
      </c>
      <c r="Q3170" s="656">
        <v>44216.770937499998</v>
      </c>
    </row>
    <row r="3171" spans="1:17">
      <c r="A3171" s="656" t="s">
        <v>13527</v>
      </c>
      <c r="B3171" s="657" t="s">
        <v>202</v>
      </c>
      <c r="C3171" s="656" t="s">
        <v>13528</v>
      </c>
      <c r="D3171" s="657" t="s">
        <v>14977</v>
      </c>
      <c r="E3171" s="657"/>
      <c r="F3171" s="656" t="s">
        <v>1667</v>
      </c>
      <c r="G3171" s="656" t="s">
        <v>2702</v>
      </c>
      <c r="H3171" s="656" t="s">
        <v>1667</v>
      </c>
      <c r="I3171" s="656" t="s">
        <v>14976</v>
      </c>
      <c r="J3171" s="656"/>
      <c r="K3171" s="656"/>
      <c r="L3171" s="656" t="s">
        <v>13527</v>
      </c>
      <c r="M3171" s="657"/>
      <c r="N3171" s="1482"/>
      <c r="O3171" s="656" t="s">
        <v>498</v>
      </c>
      <c r="P3171" s="656" t="s">
        <v>13052</v>
      </c>
      <c r="Q3171" s="656">
        <v>44216.770937499998</v>
      </c>
    </row>
    <row r="3172" spans="1:17">
      <c r="A3172" s="656" t="s">
        <v>13525</v>
      </c>
      <c r="B3172" s="657" t="s">
        <v>202</v>
      </c>
      <c r="C3172" s="656" t="s">
        <v>13526</v>
      </c>
      <c r="D3172" s="657" t="s">
        <v>14977</v>
      </c>
      <c r="E3172" s="657"/>
      <c r="F3172" s="656" t="s">
        <v>1667</v>
      </c>
      <c r="G3172" s="656" t="s">
        <v>2702</v>
      </c>
      <c r="H3172" s="656" t="s">
        <v>1667</v>
      </c>
      <c r="I3172" s="656" t="s">
        <v>14976</v>
      </c>
      <c r="J3172" s="656"/>
      <c r="K3172" s="656"/>
      <c r="L3172" s="656" t="s">
        <v>13525</v>
      </c>
      <c r="M3172" s="657"/>
      <c r="N3172" s="1482"/>
      <c r="O3172" s="656" t="s">
        <v>498</v>
      </c>
      <c r="P3172" s="656" t="s">
        <v>13052</v>
      </c>
      <c r="Q3172" s="656">
        <v>44216.770925925928</v>
      </c>
    </row>
    <row r="3173" spans="1:17">
      <c r="A3173" s="656" t="s">
        <v>4196</v>
      </c>
      <c r="B3173" s="657"/>
      <c r="C3173" s="656" t="s">
        <v>4197</v>
      </c>
      <c r="D3173" s="657" t="s">
        <v>14977</v>
      </c>
      <c r="E3173" s="657"/>
      <c r="F3173" s="656"/>
      <c r="G3173" s="656" t="s">
        <v>4198</v>
      </c>
      <c r="H3173" s="656"/>
      <c r="I3173" s="656" t="s">
        <v>14976</v>
      </c>
      <c r="J3173" s="656"/>
      <c r="K3173" s="656"/>
      <c r="L3173" s="656" t="s">
        <v>4196</v>
      </c>
      <c r="M3173" s="657"/>
      <c r="N3173" s="1482"/>
      <c r="O3173" s="656" t="s">
        <v>498</v>
      </c>
      <c r="P3173" s="656" t="s">
        <v>13052</v>
      </c>
      <c r="Q3173" s="656">
        <v>44216.770925925928</v>
      </c>
    </row>
    <row r="3174" spans="1:17">
      <c r="A3174" s="656" t="s">
        <v>4199</v>
      </c>
      <c r="B3174" s="657"/>
      <c r="C3174" s="656" t="s">
        <v>4200</v>
      </c>
      <c r="D3174" s="657" t="s">
        <v>14977</v>
      </c>
      <c r="E3174" s="657"/>
      <c r="F3174" s="656"/>
      <c r="G3174" s="656" t="s">
        <v>4198</v>
      </c>
      <c r="H3174" s="656"/>
      <c r="I3174" s="656" t="s">
        <v>14976</v>
      </c>
      <c r="J3174" s="656"/>
      <c r="K3174" s="656"/>
      <c r="L3174" s="656" t="s">
        <v>4199</v>
      </c>
      <c r="M3174" s="657"/>
      <c r="N3174" s="1482"/>
      <c r="O3174" s="656" t="s">
        <v>498</v>
      </c>
      <c r="P3174" s="656" t="s">
        <v>13052</v>
      </c>
      <c r="Q3174" s="656">
        <v>44216.770914351851</v>
      </c>
    </row>
    <row r="3175" spans="1:17">
      <c r="A3175" s="656" t="s">
        <v>4201</v>
      </c>
      <c r="B3175" s="657"/>
      <c r="C3175" s="656" t="s">
        <v>4202</v>
      </c>
      <c r="D3175" s="657" t="s">
        <v>14977</v>
      </c>
      <c r="E3175" s="657"/>
      <c r="F3175" s="656"/>
      <c r="G3175" s="656"/>
      <c r="H3175" s="656"/>
      <c r="I3175" s="656" t="s">
        <v>14976</v>
      </c>
      <c r="J3175" s="656"/>
      <c r="K3175" s="656"/>
      <c r="L3175" s="656" t="s">
        <v>4201</v>
      </c>
      <c r="M3175" s="657"/>
      <c r="N3175" s="1482"/>
      <c r="O3175" s="656" t="s">
        <v>498</v>
      </c>
      <c r="P3175" s="656" t="s">
        <v>13052</v>
      </c>
      <c r="Q3175" s="656">
        <v>44216.770902777775</v>
      </c>
    </row>
    <row r="3176" spans="1:17">
      <c r="A3176" s="656" t="s">
        <v>13523</v>
      </c>
      <c r="B3176" s="657" t="s">
        <v>202</v>
      </c>
      <c r="C3176" s="656" t="s">
        <v>13524</v>
      </c>
      <c r="D3176" s="657" t="s">
        <v>14977</v>
      </c>
      <c r="E3176" s="657"/>
      <c r="F3176" s="656" t="s">
        <v>1300</v>
      </c>
      <c r="G3176" s="656" t="s">
        <v>13</v>
      </c>
      <c r="H3176" s="656" t="s">
        <v>1300</v>
      </c>
      <c r="I3176" s="656" t="s">
        <v>14976</v>
      </c>
      <c r="J3176" s="656" t="s">
        <v>15285</v>
      </c>
      <c r="K3176" s="656"/>
      <c r="L3176" s="656" t="s">
        <v>13523</v>
      </c>
      <c r="M3176" s="657"/>
      <c r="N3176" s="1482"/>
      <c r="O3176" s="656" t="s">
        <v>498</v>
      </c>
      <c r="P3176" s="656" t="s">
        <v>13052</v>
      </c>
      <c r="Q3176" s="656">
        <v>44216.770902777775</v>
      </c>
    </row>
    <row r="3177" spans="1:17">
      <c r="A3177" s="656" t="s">
        <v>4203</v>
      </c>
      <c r="B3177" s="657"/>
      <c r="C3177" s="656" t="s">
        <v>4204</v>
      </c>
      <c r="D3177" s="657" t="s">
        <v>14977</v>
      </c>
      <c r="E3177" s="657"/>
      <c r="F3177" s="656"/>
      <c r="G3177" s="656" t="s">
        <v>4198</v>
      </c>
      <c r="H3177" s="656"/>
      <c r="I3177" s="656" t="s">
        <v>14976</v>
      </c>
      <c r="J3177" s="656"/>
      <c r="K3177" s="656"/>
      <c r="L3177" s="656" t="s">
        <v>4203</v>
      </c>
      <c r="M3177" s="657"/>
      <c r="N3177" s="1482"/>
      <c r="O3177" s="656" t="s">
        <v>498</v>
      </c>
      <c r="P3177" s="656" t="s">
        <v>13052</v>
      </c>
      <c r="Q3177" s="656">
        <v>44216.770891203705</v>
      </c>
    </row>
    <row r="3178" spans="1:17">
      <c r="A3178" s="656" t="s">
        <v>4205</v>
      </c>
      <c r="B3178" s="657" t="s">
        <v>504</v>
      </c>
      <c r="C3178" s="656" t="s">
        <v>4206</v>
      </c>
      <c r="D3178" s="657" t="s">
        <v>14977</v>
      </c>
      <c r="E3178" s="657"/>
      <c r="F3178" s="656"/>
      <c r="G3178" s="656" t="s">
        <v>4207</v>
      </c>
      <c r="H3178" s="656"/>
      <c r="I3178" s="656"/>
      <c r="J3178" s="656"/>
      <c r="K3178" s="656"/>
      <c r="L3178" s="656"/>
      <c r="M3178" s="657"/>
      <c r="N3178" s="1482"/>
      <c r="O3178" s="656" t="s">
        <v>498</v>
      </c>
      <c r="P3178" s="656" t="s">
        <v>13052</v>
      </c>
      <c r="Q3178" s="656">
        <v>44216.770891203705</v>
      </c>
    </row>
    <row r="3179" spans="1:17">
      <c r="A3179" s="656" t="s">
        <v>13521</v>
      </c>
      <c r="B3179" s="657" t="s">
        <v>202</v>
      </c>
      <c r="C3179" s="656" t="s">
        <v>13522</v>
      </c>
      <c r="D3179" s="657" t="s">
        <v>14977</v>
      </c>
      <c r="E3179" s="657"/>
      <c r="F3179" s="656" t="s">
        <v>1300</v>
      </c>
      <c r="G3179" s="656" t="s">
        <v>13</v>
      </c>
      <c r="H3179" s="656" t="s">
        <v>1300</v>
      </c>
      <c r="I3179" s="656" t="s">
        <v>14976</v>
      </c>
      <c r="J3179" s="656" t="s">
        <v>15285</v>
      </c>
      <c r="K3179" s="656"/>
      <c r="L3179" s="656" t="s">
        <v>13521</v>
      </c>
      <c r="M3179" s="657"/>
      <c r="N3179" s="1482"/>
      <c r="O3179" s="656" t="s">
        <v>498</v>
      </c>
      <c r="P3179" s="656" t="s">
        <v>13052</v>
      </c>
      <c r="Q3179" s="656">
        <v>44216.770879629628</v>
      </c>
    </row>
    <row r="3180" spans="1:17">
      <c r="A3180" s="656" t="s">
        <v>13519</v>
      </c>
      <c r="B3180" s="657" t="s">
        <v>202</v>
      </c>
      <c r="C3180" s="656" t="s">
        <v>13520</v>
      </c>
      <c r="D3180" s="657" t="s">
        <v>14977</v>
      </c>
      <c r="E3180" s="657"/>
      <c r="F3180" s="656" t="s">
        <v>1300</v>
      </c>
      <c r="G3180" s="656" t="s">
        <v>13</v>
      </c>
      <c r="H3180" s="656" t="s">
        <v>1300</v>
      </c>
      <c r="I3180" s="656" t="s">
        <v>14976</v>
      </c>
      <c r="J3180" s="656" t="s">
        <v>15285</v>
      </c>
      <c r="K3180" s="656"/>
      <c r="L3180" s="656" t="s">
        <v>13519</v>
      </c>
      <c r="M3180" s="657"/>
      <c r="N3180" s="1482"/>
      <c r="O3180" s="656" t="s">
        <v>498</v>
      </c>
      <c r="P3180" s="656" t="s">
        <v>13052</v>
      </c>
      <c r="Q3180" s="656">
        <v>44216.770879629628</v>
      </c>
    </row>
    <row r="3181" spans="1:17">
      <c r="A3181" s="656" t="s">
        <v>4208</v>
      </c>
      <c r="B3181" s="657" t="s">
        <v>202</v>
      </c>
      <c r="C3181" s="656" t="s">
        <v>4209</v>
      </c>
      <c r="D3181" s="657" t="s">
        <v>14978</v>
      </c>
      <c r="E3181" s="657"/>
      <c r="F3181" s="656" t="s">
        <v>500</v>
      </c>
      <c r="G3181" s="656" t="s">
        <v>500</v>
      </c>
      <c r="H3181" s="656" t="s">
        <v>500</v>
      </c>
      <c r="I3181" s="656" t="s">
        <v>14976</v>
      </c>
      <c r="J3181" s="656" t="s">
        <v>15282</v>
      </c>
      <c r="K3181" s="656"/>
      <c r="L3181" s="656" t="s">
        <v>4210</v>
      </c>
      <c r="M3181" s="657"/>
      <c r="N3181" s="1482"/>
      <c r="O3181" s="656" t="s">
        <v>498</v>
      </c>
      <c r="P3181" s="656" t="s">
        <v>13052</v>
      </c>
      <c r="Q3181" s="656">
        <v>44216.770868055559</v>
      </c>
    </row>
    <row r="3182" spans="1:17">
      <c r="A3182" s="656" t="s">
        <v>4210</v>
      </c>
      <c r="B3182" s="657" t="s">
        <v>202</v>
      </c>
      <c r="C3182" s="656" t="s">
        <v>4211</v>
      </c>
      <c r="D3182" s="657" t="s">
        <v>14977</v>
      </c>
      <c r="E3182" s="657"/>
      <c r="F3182" s="656" t="s">
        <v>500</v>
      </c>
      <c r="G3182" s="656" t="s">
        <v>500</v>
      </c>
      <c r="H3182" s="656" t="s">
        <v>500</v>
      </c>
      <c r="I3182" s="656" t="s">
        <v>14976</v>
      </c>
      <c r="J3182" s="656" t="s">
        <v>15282</v>
      </c>
      <c r="K3182" s="656"/>
      <c r="L3182" s="656" t="s">
        <v>4210</v>
      </c>
      <c r="M3182" s="657"/>
      <c r="N3182" s="1482"/>
      <c r="O3182" s="656" t="s">
        <v>498</v>
      </c>
      <c r="P3182" s="656" t="s">
        <v>13052</v>
      </c>
      <c r="Q3182" s="656">
        <v>44216.770868055559</v>
      </c>
    </row>
    <row r="3183" spans="1:17">
      <c r="A3183" s="656" t="s">
        <v>4212</v>
      </c>
      <c r="B3183" s="657" t="s">
        <v>202</v>
      </c>
      <c r="C3183" s="656" t="s">
        <v>4213</v>
      </c>
      <c r="D3183" s="657" t="s">
        <v>14977</v>
      </c>
      <c r="E3183" s="657"/>
      <c r="F3183" s="656" t="s">
        <v>655</v>
      </c>
      <c r="G3183" s="656"/>
      <c r="H3183" s="656" t="s">
        <v>655</v>
      </c>
      <c r="I3183" s="656" t="s">
        <v>14976</v>
      </c>
      <c r="J3183" s="656" t="s">
        <v>15281</v>
      </c>
      <c r="K3183" s="656"/>
      <c r="L3183" s="656" t="s">
        <v>4212</v>
      </c>
      <c r="M3183" s="657"/>
      <c r="N3183" s="1482"/>
      <c r="O3183" s="656" t="s">
        <v>498</v>
      </c>
      <c r="P3183" s="656" t="s">
        <v>13052</v>
      </c>
      <c r="Q3183" s="656">
        <v>44216.770856481482</v>
      </c>
    </row>
    <row r="3184" spans="1:17">
      <c r="A3184" s="656" t="s">
        <v>13517</v>
      </c>
      <c r="B3184" s="657" t="s">
        <v>202</v>
      </c>
      <c r="C3184" s="656" t="s">
        <v>13518</v>
      </c>
      <c r="D3184" s="657" t="s">
        <v>14977</v>
      </c>
      <c r="E3184" s="657"/>
      <c r="F3184" s="656" t="s">
        <v>472</v>
      </c>
      <c r="G3184" s="656"/>
      <c r="H3184" s="656" t="s">
        <v>472</v>
      </c>
      <c r="I3184" s="656" t="s">
        <v>14976</v>
      </c>
      <c r="J3184" s="656" t="s">
        <v>12368</v>
      </c>
      <c r="K3184" s="656"/>
      <c r="L3184" s="656" t="s">
        <v>13517</v>
      </c>
      <c r="M3184" s="657"/>
      <c r="N3184" s="1482"/>
      <c r="O3184" s="656" t="s">
        <v>498</v>
      </c>
      <c r="P3184" s="656" t="s">
        <v>13052</v>
      </c>
      <c r="Q3184" s="656">
        <v>44216.770856481482</v>
      </c>
    </row>
    <row r="3185" spans="1:17">
      <c r="A3185" s="656" t="s">
        <v>4214</v>
      </c>
      <c r="B3185" s="657" t="s">
        <v>202</v>
      </c>
      <c r="C3185" s="656" t="s">
        <v>4215</v>
      </c>
      <c r="D3185" s="657" t="s">
        <v>14977</v>
      </c>
      <c r="E3185" s="657"/>
      <c r="F3185" s="656"/>
      <c r="G3185" s="656" t="s">
        <v>820</v>
      </c>
      <c r="H3185" s="656"/>
      <c r="I3185" s="656" t="s">
        <v>14976</v>
      </c>
      <c r="J3185" s="656"/>
      <c r="K3185" s="656"/>
      <c r="L3185" s="656" t="s">
        <v>4214</v>
      </c>
      <c r="M3185" s="657"/>
      <c r="N3185" s="1482"/>
      <c r="O3185" s="656" t="s">
        <v>498</v>
      </c>
      <c r="P3185" s="656" t="s">
        <v>13052</v>
      </c>
      <c r="Q3185" s="656">
        <v>44216.770856481482</v>
      </c>
    </row>
    <row r="3186" spans="1:17">
      <c r="A3186" s="656" t="s">
        <v>13515</v>
      </c>
      <c r="B3186" s="657" t="s">
        <v>202</v>
      </c>
      <c r="C3186" s="656" t="s">
        <v>13516</v>
      </c>
      <c r="D3186" s="657" t="s">
        <v>14977</v>
      </c>
      <c r="E3186" s="657"/>
      <c r="F3186" s="656"/>
      <c r="G3186" s="656" t="s">
        <v>820</v>
      </c>
      <c r="H3186" s="656"/>
      <c r="I3186" s="656" t="s">
        <v>14976</v>
      </c>
      <c r="J3186" s="656"/>
      <c r="K3186" s="656"/>
      <c r="L3186" s="656" t="s">
        <v>13515</v>
      </c>
      <c r="M3186" s="657"/>
      <c r="N3186" s="1482"/>
      <c r="O3186" s="656" t="s">
        <v>498</v>
      </c>
      <c r="P3186" s="656" t="s">
        <v>13052</v>
      </c>
      <c r="Q3186" s="656">
        <v>44216.770844907405</v>
      </c>
    </row>
    <row r="3187" spans="1:17">
      <c r="A3187" s="656" t="s">
        <v>13513</v>
      </c>
      <c r="B3187" s="657" t="s">
        <v>202</v>
      </c>
      <c r="C3187" s="656" t="s">
        <v>13514</v>
      </c>
      <c r="D3187" s="657" t="s">
        <v>14977</v>
      </c>
      <c r="E3187" s="657"/>
      <c r="F3187" s="656"/>
      <c r="G3187" s="656" t="s">
        <v>820</v>
      </c>
      <c r="H3187" s="656"/>
      <c r="I3187" s="656" t="s">
        <v>14976</v>
      </c>
      <c r="J3187" s="656"/>
      <c r="K3187" s="656"/>
      <c r="L3187" s="656" t="s">
        <v>13513</v>
      </c>
      <c r="M3187" s="657"/>
      <c r="N3187" s="1482"/>
      <c r="O3187" s="656" t="s">
        <v>498</v>
      </c>
      <c r="P3187" s="656" t="s">
        <v>13052</v>
      </c>
      <c r="Q3187" s="656">
        <v>44216.770844907405</v>
      </c>
    </row>
    <row r="3188" spans="1:17">
      <c r="A3188" s="656" t="s">
        <v>4216</v>
      </c>
      <c r="B3188" s="657" t="s">
        <v>504</v>
      </c>
      <c r="C3188" s="656" t="s">
        <v>4217</v>
      </c>
      <c r="D3188" s="657"/>
      <c r="E3188" s="657"/>
      <c r="F3188" s="656" t="s">
        <v>505</v>
      </c>
      <c r="G3188" s="656" t="s">
        <v>4218</v>
      </c>
      <c r="H3188" s="656" t="s">
        <v>505</v>
      </c>
      <c r="I3188" s="656"/>
      <c r="J3188" s="656"/>
      <c r="K3188" s="656"/>
      <c r="L3188" s="656"/>
      <c r="M3188" s="657"/>
      <c r="N3188" s="1482"/>
      <c r="O3188" s="656" t="s">
        <v>498</v>
      </c>
      <c r="P3188" s="656" t="s">
        <v>13052</v>
      </c>
      <c r="Q3188" s="656">
        <v>44216.770833333336</v>
      </c>
    </row>
    <row r="3189" spans="1:17">
      <c r="A3189" s="656" t="s">
        <v>4219</v>
      </c>
      <c r="B3189" s="657" t="s">
        <v>504</v>
      </c>
      <c r="C3189" s="656" t="s">
        <v>4220</v>
      </c>
      <c r="D3189" s="657"/>
      <c r="E3189" s="657"/>
      <c r="F3189" s="656" t="s">
        <v>505</v>
      </c>
      <c r="G3189" s="656" t="s">
        <v>4218</v>
      </c>
      <c r="H3189" s="656" t="s">
        <v>505</v>
      </c>
      <c r="I3189" s="656"/>
      <c r="J3189" s="656"/>
      <c r="K3189" s="656"/>
      <c r="L3189" s="656"/>
      <c r="M3189" s="657"/>
      <c r="N3189" s="1482"/>
      <c r="O3189" s="656" t="s">
        <v>498</v>
      </c>
      <c r="P3189" s="656" t="s">
        <v>13052</v>
      </c>
      <c r="Q3189" s="656">
        <v>44216.770821759259</v>
      </c>
    </row>
    <row r="3190" spans="1:17">
      <c r="A3190" s="656" t="s">
        <v>4221</v>
      </c>
      <c r="B3190" s="657" t="s">
        <v>504</v>
      </c>
      <c r="C3190" s="656" t="s">
        <v>4222</v>
      </c>
      <c r="D3190" s="657"/>
      <c r="E3190" s="657"/>
      <c r="F3190" s="656" t="s">
        <v>505</v>
      </c>
      <c r="G3190" s="656" t="s">
        <v>4218</v>
      </c>
      <c r="H3190" s="656" t="s">
        <v>505</v>
      </c>
      <c r="I3190" s="656"/>
      <c r="J3190" s="656"/>
      <c r="K3190" s="656"/>
      <c r="L3190" s="656"/>
      <c r="M3190" s="657"/>
      <c r="N3190" s="1482"/>
      <c r="O3190" s="656" t="s">
        <v>498</v>
      </c>
      <c r="P3190" s="656" t="s">
        <v>13052</v>
      </c>
      <c r="Q3190" s="656">
        <v>44216.770821759259</v>
      </c>
    </row>
    <row r="3191" spans="1:17">
      <c r="A3191" s="656" t="s">
        <v>4223</v>
      </c>
      <c r="B3191" s="657" t="s">
        <v>504</v>
      </c>
      <c r="C3191" s="656" t="s">
        <v>4224</v>
      </c>
      <c r="D3191" s="657"/>
      <c r="E3191" s="657"/>
      <c r="F3191" s="656" t="s">
        <v>505</v>
      </c>
      <c r="G3191" s="656" t="s">
        <v>4218</v>
      </c>
      <c r="H3191" s="656" t="s">
        <v>505</v>
      </c>
      <c r="I3191" s="656"/>
      <c r="J3191" s="656"/>
      <c r="K3191" s="656"/>
      <c r="L3191" s="656"/>
      <c r="M3191" s="657"/>
      <c r="N3191" s="1482"/>
      <c r="O3191" s="656" t="s">
        <v>498</v>
      </c>
      <c r="P3191" s="656" t="s">
        <v>13052</v>
      </c>
      <c r="Q3191" s="656">
        <v>44216.770821759259</v>
      </c>
    </row>
    <row r="3192" spans="1:17">
      <c r="A3192" s="656" t="s">
        <v>4225</v>
      </c>
      <c r="B3192" s="657" t="s">
        <v>504</v>
      </c>
      <c r="C3192" s="656" t="s">
        <v>4226</v>
      </c>
      <c r="D3192" s="657"/>
      <c r="E3192" s="657"/>
      <c r="F3192" s="656" t="s">
        <v>505</v>
      </c>
      <c r="G3192" s="656" t="s">
        <v>4218</v>
      </c>
      <c r="H3192" s="656" t="s">
        <v>505</v>
      </c>
      <c r="I3192" s="656"/>
      <c r="J3192" s="656"/>
      <c r="K3192" s="656"/>
      <c r="L3192" s="656"/>
      <c r="M3192" s="657"/>
      <c r="N3192" s="1482"/>
      <c r="O3192" s="656" t="s">
        <v>498</v>
      </c>
      <c r="P3192" s="656" t="s">
        <v>13052</v>
      </c>
      <c r="Q3192" s="656">
        <v>44216.770810185182</v>
      </c>
    </row>
    <row r="3193" spans="1:17">
      <c r="A3193" s="656" t="s">
        <v>4227</v>
      </c>
      <c r="B3193" s="657" t="s">
        <v>504</v>
      </c>
      <c r="C3193" s="656" t="s">
        <v>4228</v>
      </c>
      <c r="D3193" s="657"/>
      <c r="E3193" s="657"/>
      <c r="F3193" s="656" t="s">
        <v>505</v>
      </c>
      <c r="G3193" s="656" t="s">
        <v>4218</v>
      </c>
      <c r="H3193" s="656" t="s">
        <v>505</v>
      </c>
      <c r="I3193" s="656"/>
      <c r="J3193" s="656"/>
      <c r="K3193" s="656"/>
      <c r="L3193" s="656"/>
      <c r="M3193" s="657"/>
      <c r="N3193" s="1482"/>
      <c r="O3193" s="656" t="s">
        <v>498</v>
      </c>
      <c r="P3193" s="656" t="s">
        <v>13052</v>
      </c>
      <c r="Q3193" s="656">
        <v>44216.770810185182</v>
      </c>
    </row>
    <row r="3194" spans="1:17">
      <c r="A3194" s="656" t="s">
        <v>4229</v>
      </c>
      <c r="B3194" s="657" t="s">
        <v>504</v>
      </c>
      <c r="C3194" s="656" t="s">
        <v>4230</v>
      </c>
      <c r="D3194" s="657"/>
      <c r="E3194" s="657"/>
      <c r="F3194" s="656" t="s">
        <v>505</v>
      </c>
      <c r="G3194" s="656" t="s">
        <v>4231</v>
      </c>
      <c r="H3194" s="656" t="s">
        <v>505</v>
      </c>
      <c r="I3194" s="656"/>
      <c r="J3194" s="656"/>
      <c r="K3194" s="656"/>
      <c r="L3194" s="656"/>
      <c r="M3194" s="657"/>
      <c r="N3194" s="1482"/>
      <c r="O3194" s="656" t="s">
        <v>498</v>
      </c>
      <c r="P3194" s="656" t="s">
        <v>13052</v>
      </c>
      <c r="Q3194" s="656">
        <v>44216.770798611113</v>
      </c>
    </row>
    <row r="3195" spans="1:17">
      <c r="A3195" s="656" t="s">
        <v>4232</v>
      </c>
      <c r="B3195" s="657" t="s">
        <v>504</v>
      </c>
      <c r="C3195" s="656" t="s">
        <v>4233</v>
      </c>
      <c r="D3195" s="657" t="s">
        <v>14977</v>
      </c>
      <c r="E3195" s="657"/>
      <c r="F3195" s="656"/>
      <c r="G3195" s="656" t="s">
        <v>2769</v>
      </c>
      <c r="H3195" s="656"/>
      <c r="I3195" s="656"/>
      <c r="J3195" s="656"/>
      <c r="K3195" s="656"/>
      <c r="L3195" s="656"/>
      <c r="M3195" s="657"/>
      <c r="N3195" s="1482"/>
      <c r="O3195" s="656" t="s">
        <v>498</v>
      </c>
      <c r="P3195" s="656" t="s">
        <v>13052</v>
      </c>
      <c r="Q3195" s="656">
        <v>44216.770798611113</v>
      </c>
    </row>
    <row r="3196" spans="1:17">
      <c r="A3196" s="656" t="s">
        <v>4234</v>
      </c>
      <c r="B3196" s="657" t="s">
        <v>504</v>
      </c>
      <c r="C3196" s="656" t="s">
        <v>4235</v>
      </c>
      <c r="D3196" s="657" t="s">
        <v>14977</v>
      </c>
      <c r="E3196" s="657"/>
      <c r="F3196" s="656"/>
      <c r="G3196" s="656" t="s">
        <v>4236</v>
      </c>
      <c r="H3196" s="656"/>
      <c r="I3196" s="656"/>
      <c r="J3196" s="656"/>
      <c r="K3196" s="656"/>
      <c r="L3196" s="656"/>
      <c r="M3196" s="657"/>
      <c r="N3196" s="1482"/>
      <c r="O3196" s="656" t="s">
        <v>498</v>
      </c>
      <c r="P3196" s="656" t="s">
        <v>13052</v>
      </c>
      <c r="Q3196" s="656">
        <v>44216.770798611113</v>
      </c>
    </row>
    <row r="3197" spans="1:17">
      <c r="A3197" s="656" t="s">
        <v>4237</v>
      </c>
      <c r="B3197" s="657" t="s">
        <v>504</v>
      </c>
      <c r="C3197" s="656" t="s">
        <v>4238</v>
      </c>
      <c r="D3197" s="657" t="s">
        <v>14977</v>
      </c>
      <c r="E3197" s="657"/>
      <c r="F3197" s="656"/>
      <c r="G3197" s="656" t="s">
        <v>4236</v>
      </c>
      <c r="H3197" s="656"/>
      <c r="I3197" s="656"/>
      <c r="J3197" s="656"/>
      <c r="K3197" s="656"/>
      <c r="L3197" s="656"/>
      <c r="M3197" s="657"/>
      <c r="N3197" s="1482"/>
      <c r="O3197" s="656" t="s">
        <v>498</v>
      </c>
      <c r="P3197" s="656" t="s">
        <v>13052</v>
      </c>
      <c r="Q3197" s="656">
        <v>44216.770787037036</v>
      </c>
    </row>
    <row r="3198" spans="1:17">
      <c r="A3198" s="656" t="s">
        <v>4239</v>
      </c>
      <c r="B3198" s="657" t="s">
        <v>504</v>
      </c>
      <c r="C3198" s="656" t="s">
        <v>4240</v>
      </c>
      <c r="D3198" s="657" t="s">
        <v>1239</v>
      </c>
      <c r="E3198" s="657"/>
      <c r="F3198" s="656"/>
      <c r="G3198" s="656" t="s">
        <v>4236</v>
      </c>
      <c r="H3198" s="656"/>
      <c r="I3198" s="656"/>
      <c r="J3198" s="656"/>
      <c r="K3198" s="656"/>
      <c r="L3198" s="656"/>
      <c r="M3198" s="657"/>
      <c r="N3198" s="1482"/>
      <c r="O3198" s="656" t="s">
        <v>498</v>
      </c>
      <c r="P3198" s="656" t="s">
        <v>13052</v>
      </c>
      <c r="Q3198" s="656">
        <v>44216.770787037036</v>
      </c>
    </row>
    <row r="3199" spans="1:17">
      <c r="A3199" s="656" t="s">
        <v>4241</v>
      </c>
      <c r="B3199" s="657" t="s">
        <v>504</v>
      </c>
      <c r="C3199" s="656" t="s">
        <v>4242</v>
      </c>
      <c r="D3199" s="657" t="s">
        <v>13789</v>
      </c>
      <c r="E3199" s="657"/>
      <c r="F3199" s="656"/>
      <c r="G3199" s="656" t="s">
        <v>4236</v>
      </c>
      <c r="H3199" s="656"/>
      <c r="I3199" s="656"/>
      <c r="J3199" s="656"/>
      <c r="K3199" s="656"/>
      <c r="L3199" s="656"/>
      <c r="M3199" s="657"/>
      <c r="N3199" s="1482"/>
      <c r="O3199" s="656" t="s">
        <v>498</v>
      </c>
      <c r="P3199" s="656" t="s">
        <v>13052</v>
      </c>
      <c r="Q3199" s="656">
        <v>44216.770775462966</v>
      </c>
    </row>
    <row r="3200" spans="1:17">
      <c r="A3200" s="656" t="s">
        <v>4243</v>
      </c>
      <c r="B3200" s="657" t="s">
        <v>504</v>
      </c>
      <c r="C3200" s="656" t="s">
        <v>4244</v>
      </c>
      <c r="D3200" s="657" t="s">
        <v>13789</v>
      </c>
      <c r="E3200" s="657"/>
      <c r="F3200" s="656"/>
      <c r="G3200" s="656" t="s">
        <v>4236</v>
      </c>
      <c r="H3200" s="656"/>
      <c r="I3200" s="656"/>
      <c r="J3200" s="656"/>
      <c r="K3200" s="656"/>
      <c r="L3200" s="656"/>
      <c r="M3200" s="657"/>
      <c r="N3200" s="1482"/>
      <c r="O3200" s="656" t="s">
        <v>498</v>
      </c>
      <c r="P3200" s="656" t="s">
        <v>13052</v>
      </c>
      <c r="Q3200" s="656">
        <v>44216.770787037036</v>
      </c>
    </row>
    <row r="3201" spans="1:17">
      <c r="A3201" s="656" t="s">
        <v>4245</v>
      </c>
      <c r="B3201" s="657" t="s">
        <v>504</v>
      </c>
      <c r="C3201" s="656" t="s">
        <v>4246</v>
      </c>
      <c r="D3201" s="657" t="s">
        <v>13789</v>
      </c>
      <c r="E3201" s="657"/>
      <c r="F3201" s="656"/>
      <c r="G3201" s="656" t="s">
        <v>4236</v>
      </c>
      <c r="H3201" s="656"/>
      <c r="I3201" s="656"/>
      <c r="J3201" s="656"/>
      <c r="K3201" s="656"/>
      <c r="L3201" s="656"/>
      <c r="M3201" s="657"/>
      <c r="N3201" s="1482"/>
      <c r="O3201" s="656" t="s">
        <v>498</v>
      </c>
      <c r="P3201" s="656" t="s">
        <v>13052</v>
      </c>
      <c r="Q3201" s="656">
        <v>44216.770775462966</v>
      </c>
    </row>
    <row r="3202" spans="1:17">
      <c r="A3202" s="656" t="s">
        <v>4247</v>
      </c>
      <c r="B3202" s="657" t="s">
        <v>504</v>
      </c>
      <c r="C3202" s="656" t="s">
        <v>4248</v>
      </c>
      <c r="D3202" s="657" t="s">
        <v>13789</v>
      </c>
      <c r="E3202" s="657"/>
      <c r="F3202" s="656"/>
      <c r="G3202" s="656" t="s">
        <v>4236</v>
      </c>
      <c r="H3202" s="656"/>
      <c r="I3202" s="656"/>
      <c r="J3202" s="656"/>
      <c r="K3202" s="656"/>
      <c r="L3202" s="656"/>
      <c r="M3202" s="657"/>
      <c r="N3202" s="1482"/>
      <c r="O3202" s="656" t="s">
        <v>498</v>
      </c>
      <c r="P3202" s="656" t="s">
        <v>13052</v>
      </c>
      <c r="Q3202" s="656">
        <v>44216.77076388889</v>
      </c>
    </row>
    <row r="3203" spans="1:17">
      <c r="A3203" s="656" t="s">
        <v>4249</v>
      </c>
      <c r="B3203" s="657" t="s">
        <v>504</v>
      </c>
      <c r="C3203" s="656" t="s">
        <v>4250</v>
      </c>
      <c r="D3203" s="657" t="s">
        <v>13789</v>
      </c>
      <c r="E3203" s="657"/>
      <c r="F3203" s="656"/>
      <c r="G3203" s="656" t="s">
        <v>4236</v>
      </c>
      <c r="H3203" s="656"/>
      <c r="I3203" s="656"/>
      <c r="J3203" s="656"/>
      <c r="K3203" s="656"/>
      <c r="L3203" s="656"/>
      <c r="M3203" s="657"/>
      <c r="N3203" s="1482"/>
      <c r="O3203" s="656" t="s">
        <v>498</v>
      </c>
      <c r="P3203" s="656" t="s">
        <v>13052</v>
      </c>
      <c r="Q3203" s="656">
        <v>44216.77076388889</v>
      </c>
    </row>
    <row r="3204" spans="1:17">
      <c r="A3204" s="656" t="s">
        <v>4251</v>
      </c>
      <c r="B3204" s="657" t="s">
        <v>504</v>
      </c>
      <c r="C3204" s="656" t="s">
        <v>4252</v>
      </c>
      <c r="D3204" s="657" t="s">
        <v>13789</v>
      </c>
      <c r="E3204" s="657"/>
      <c r="F3204" s="656"/>
      <c r="G3204" s="656" t="s">
        <v>4236</v>
      </c>
      <c r="H3204" s="656"/>
      <c r="I3204" s="656"/>
      <c r="J3204" s="656"/>
      <c r="K3204" s="656"/>
      <c r="L3204" s="656"/>
      <c r="M3204" s="657"/>
      <c r="N3204" s="1482"/>
      <c r="O3204" s="656" t="s">
        <v>498</v>
      </c>
      <c r="P3204" s="656" t="s">
        <v>13052</v>
      </c>
      <c r="Q3204" s="656">
        <v>44216.770752314813</v>
      </c>
    </row>
    <row r="3205" spans="1:17">
      <c r="A3205" s="656" t="s">
        <v>13510</v>
      </c>
      <c r="B3205" s="657" t="s">
        <v>202</v>
      </c>
      <c r="C3205" s="656" t="s">
        <v>13511</v>
      </c>
      <c r="D3205" s="657" t="s">
        <v>13789</v>
      </c>
      <c r="E3205" s="657"/>
      <c r="F3205" s="656"/>
      <c r="G3205" s="656" t="s">
        <v>820</v>
      </c>
      <c r="H3205" s="656"/>
      <c r="I3205" s="656" t="s">
        <v>14976</v>
      </c>
      <c r="J3205" s="656"/>
      <c r="K3205" s="656"/>
      <c r="L3205" s="656"/>
      <c r="M3205" s="657"/>
      <c r="N3205" s="1482"/>
      <c r="O3205" s="656" t="s">
        <v>498</v>
      </c>
      <c r="P3205" s="656" t="s">
        <v>13052</v>
      </c>
      <c r="Q3205" s="656">
        <v>44216.770752314813</v>
      </c>
    </row>
    <row r="3206" spans="1:17">
      <c r="A3206" s="656" t="s">
        <v>13508</v>
      </c>
      <c r="B3206" s="657" t="s">
        <v>202</v>
      </c>
      <c r="C3206" s="656" t="s">
        <v>13509</v>
      </c>
      <c r="D3206" s="657" t="s">
        <v>13789</v>
      </c>
      <c r="E3206" s="657"/>
      <c r="F3206" s="656"/>
      <c r="G3206" s="656" t="s">
        <v>820</v>
      </c>
      <c r="H3206" s="656"/>
      <c r="I3206" s="656" t="s">
        <v>14976</v>
      </c>
      <c r="J3206" s="656"/>
      <c r="K3206" s="656"/>
      <c r="L3206" s="656"/>
      <c r="M3206" s="657"/>
      <c r="N3206" s="1482"/>
      <c r="O3206" s="656" t="s">
        <v>498</v>
      </c>
      <c r="P3206" s="656" t="s">
        <v>13052</v>
      </c>
      <c r="Q3206" s="656">
        <v>44216.770740740743</v>
      </c>
    </row>
    <row r="3207" spans="1:17">
      <c r="A3207" s="656" t="s">
        <v>13506</v>
      </c>
      <c r="B3207" s="657" t="s">
        <v>202</v>
      </c>
      <c r="C3207" s="656" t="s">
        <v>13507</v>
      </c>
      <c r="D3207" s="657" t="s">
        <v>13789</v>
      </c>
      <c r="E3207" s="657"/>
      <c r="F3207" s="656"/>
      <c r="G3207" s="656" t="s">
        <v>820</v>
      </c>
      <c r="H3207" s="656"/>
      <c r="I3207" s="656" t="s">
        <v>14976</v>
      </c>
      <c r="J3207" s="656"/>
      <c r="K3207" s="656"/>
      <c r="L3207" s="656"/>
      <c r="M3207" s="657"/>
      <c r="N3207" s="1482"/>
      <c r="O3207" s="656" t="s">
        <v>498</v>
      </c>
      <c r="P3207" s="656" t="s">
        <v>13052</v>
      </c>
      <c r="Q3207" s="656">
        <v>44216.770740740743</v>
      </c>
    </row>
    <row r="3208" spans="1:17">
      <c r="A3208" s="656" t="s">
        <v>13504</v>
      </c>
      <c r="B3208" s="657" t="s">
        <v>202</v>
      </c>
      <c r="C3208" s="656" t="s">
        <v>13505</v>
      </c>
      <c r="D3208" s="657" t="s">
        <v>13789</v>
      </c>
      <c r="E3208" s="657"/>
      <c r="F3208" s="656"/>
      <c r="G3208" s="656" t="s">
        <v>820</v>
      </c>
      <c r="H3208" s="656"/>
      <c r="I3208" s="656" t="s">
        <v>14976</v>
      </c>
      <c r="J3208" s="656"/>
      <c r="K3208" s="656"/>
      <c r="L3208" s="656"/>
      <c r="M3208" s="657"/>
      <c r="N3208" s="1482"/>
      <c r="O3208" s="656" t="s">
        <v>498</v>
      </c>
      <c r="P3208" s="656" t="s">
        <v>13052</v>
      </c>
      <c r="Q3208" s="656">
        <v>44216.770729166667</v>
      </c>
    </row>
    <row r="3209" spans="1:17">
      <c r="A3209" s="656" t="s">
        <v>13502</v>
      </c>
      <c r="B3209" s="657" t="s">
        <v>202</v>
      </c>
      <c r="C3209" s="656" t="s">
        <v>13503</v>
      </c>
      <c r="D3209" s="657" t="s">
        <v>13789</v>
      </c>
      <c r="E3209" s="657"/>
      <c r="F3209" s="656"/>
      <c r="G3209" s="656" t="s">
        <v>820</v>
      </c>
      <c r="H3209" s="656"/>
      <c r="I3209" s="656" t="s">
        <v>14976</v>
      </c>
      <c r="J3209" s="656"/>
      <c r="K3209" s="656"/>
      <c r="L3209" s="656"/>
      <c r="M3209" s="657"/>
      <c r="N3209" s="1482"/>
      <c r="O3209" s="656" t="s">
        <v>498</v>
      </c>
      <c r="P3209" s="656" t="s">
        <v>13052</v>
      </c>
      <c r="Q3209" s="656">
        <v>44216.770729166667</v>
      </c>
    </row>
    <row r="3210" spans="1:17">
      <c r="A3210" s="656" t="s">
        <v>13500</v>
      </c>
      <c r="B3210" s="657" t="s">
        <v>202</v>
      </c>
      <c r="C3210" s="656" t="s">
        <v>13501</v>
      </c>
      <c r="D3210" s="657" t="s">
        <v>13789</v>
      </c>
      <c r="E3210" s="657"/>
      <c r="F3210" s="656"/>
      <c r="G3210" s="656" t="s">
        <v>820</v>
      </c>
      <c r="H3210" s="656"/>
      <c r="I3210" s="656" t="s">
        <v>14976</v>
      </c>
      <c r="J3210" s="656"/>
      <c r="K3210" s="656"/>
      <c r="L3210" s="656"/>
      <c r="M3210" s="657"/>
      <c r="N3210" s="1482"/>
      <c r="O3210" s="656" t="s">
        <v>498</v>
      </c>
      <c r="P3210" s="656" t="s">
        <v>13052</v>
      </c>
      <c r="Q3210" s="656">
        <v>44216.77071759259</v>
      </c>
    </row>
    <row r="3211" spans="1:17">
      <c r="A3211" s="656" t="s">
        <v>13498</v>
      </c>
      <c r="B3211" s="657" t="s">
        <v>202</v>
      </c>
      <c r="C3211" s="656" t="s">
        <v>13499</v>
      </c>
      <c r="D3211" s="657" t="s">
        <v>13789</v>
      </c>
      <c r="E3211" s="657"/>
      <c r="F3211" s="656"/>
      <c r="G3211" s="656" t="s">
        <v>820</v>
      </c>
      <c r="H3211" s="656"/>
      <c r="I3211" s="656" t="s">
        <v>14976</v>
      </c>
      <c r="J3211" s="656"/>
      <c r="K3211" s="656"/>
      <c r="L3211" s="656"/>
      <c r="M3211" s="657"/>
      <c r="N3211" s="1482"/>
      <c r="O3211" s="656" t="s">
        <v>498</v>
      </c>
      <c r="P3211" s="656" t="s">
        <v>13052</v>
      </c>
      <c r="Q3211" s="656">
        <v>44216.77071759259</v>
      </c>
    </row>
    <row r="3212" spans="1:17">
      <c r="A3212" s="656" t="s">
        <v>13496</v>
      </c>
      <c r="B3212" s="657" t="s">
        <v>202</v>
      </c>
      <c r="C3212" s="656" t="s">
        <v>13497</v>
      </c>
      <c r="D3212" s="657" t="s">
        <v>13789</v>
      </c>
      <c r="E3212" s="657"/>
      <c r="F3212" s="656"/>
      <c r="G3212" s="656" t="s">
        <v>820</v>
      </c>
      <c r="H3212" s="656"/>
      <c r="I3212" s="656" t="s">
        <v>14976</v>
      </c>
      <c r="J3212" s="656"/>
      <c r="K3212" s="656"/>
      <c r="L3212" s="656"/>
      <c r="M3212" s="657"/>
      <c r="N3212" s="1482"/>
      <c r="O3212" s="656" t="s">
        <v>498</v>
      </c>
      <c r="P3212" s="656" t="s">
        <v>13052</v>
      </c>
      <c r="Q3212" s="656">
        <v>44216.77070601852</v>
      </c>
    </row>
    <row r="3213" spans="1:17">
      <c r="A3213" s="656" t="s">
        <v>13494</v>
      </c>
      <c r="B3213" s="657" t="s">
        <v>202</v>
      </c>
      <c r="C3213" s="656" t="s">
        <v>13495</v>
      </c>
      <c r="D3213" s="657" t="s">
        <v>13789</v>
      </c>
      <c r="E3213" s="657"/>
      <c r="F3213" s="656"/>
      <c r="G3213" s="656" t="s">
        <v>820</v>
      </c>
      <c r="H3213" s="656"/>
      <c r="I3213" s="656" t="s">
        <v>14976</v>
      </c>
      <c r="J3213" s="656"/>
      <c r="K3213" s="656"/>
      <c r="L3213" s="656"/>
      <c r="M3213" s="657"/>
      <c r="N3213" s="1482"/>
      <c r="O3213" s="656" t="s">
        <v>498</v>
      </c>
      <c r="P3213" s="656" t="s">
        <v>13052</v>
      </c>
      <c r="Q3213" s="656">
        <v>44216.77070601852</v>
      </c>
    </row>
    <row r="3214" spans="1:17">
      <c r="A3214" s="656" t="s">
        <v>13492</v>
      </c>
      <c r="B3214" s="657" t="s">
        <v>202</v>
      </c>
      <c r="C3214" s="656" t="s">
        <v>13493</v>
      </c>
      <c r="D3214" s="657" t="s">
        <v>13789</v>
      </c>
      <c r="E3214" s="657"/>
      <c r="F3214" s="656"/>
      <c r="G3214" s="656" t="s">
        <v>820</v>
      </c>
      <c r="H3214" s="656"/>
      <c r="I3214" s="656" t="s">
        <v>14976</v>
      </c>
      <c r="J3214" s="656"/>
      <c r="K3214" s="656"/>
      <c r="L3214" s="656"/>
      <c r="M3214" s="657"/>
      <c r="N3214" s="1482"/>
      <c r="O3214" s="656" t="s">
        <v>498</v>
      </c>
      <c r="P3214" s="656" t="s">
        <v>13052</v>
      </c>
      <c r="Q3214" s="656">
        <v>44216.770694444444</v>
      </c>
    </row>
    <row r="3215" spans="1:17">
      <c r="A3215" s="656" t="s">
        <v>13490</v>
      </c>
      <c r="B3215" s="657" t="s">
        <v>202</v>
      </c>
      <c r="C3215" s="656" t="s">
        <v>13491</v>
      </c>
      <c r="D3215" s="657" t="s">
        <v>13789</v>
      </c>
      <c r="E3215" s="657"/>
      <c r="F3215" s="656"/>
      <c r="G3215" s="656" t="s">
        <v>820</v>
      </c>
      <c r="H3215" s="656"/>
      <c r="I3215" s="656" t="s">
        <v>14976</v>
      </c>
      <c r="J3215" s="656"/>
      <c r="K3215" s="656"/>
      <c r="L3215" s="656"/>
      <c r="M3215" s="657"/>
      <c r="N3215" s="1482"/>
      <c r="O3215" s="656" t="s">
        <v>498</v>
      </c>
      <c r="P3215" s="656" t="s">
        <v>13052</v>
      </c>
      <c r="Q3215" s="656">
        <v>44216.770694444444</v>
      </c>
    </row>
    <row r="3216" spans="1:17">
      <c r="A3216" s="656" t="s">
        <v>13488</v>
      </c>
      <c r="B3216" s="657" t="s">
        <v>202</v>
      </c>
      <c r="C3216" s="656" t="s">
        <v>13489</v>
      </c>
      <c r="D3216" s="657" t="s">
        <v>13789</v>
      </c>
      <c r="E3216" s="657"/>
      <c r="F3216" s="656"/>
      <c r="G3216" s="656" t="s">
        <v>820</v>
      </c>
      <c r="H3216" s="656"/>
      <c r="I3216" s="656" t="s">
        <v>14976</v>
      </c>
      <c r="J3216" s="656"/>
      <c r="K3216" s="656"/>
      <c r="L3216" s="656"/>
      <c r="M3216" s="657"/>
      <c r="N3216" s="1482"/>
      <c r="O3216" s="656" t="s">
        <v>498</v>
      </c>
      <c r="P3216" s="656" t="s">
        <v>13052</v>
      </c>
      <c r="Q3216" s="656">
        <v>44216.770682870374</v>
      </c>
    </row>
    <row r="3217" spans="1:17">
      <c r="A3217" s="656" t="s">
        <v>13486</v>
      </c>
      <c r="B3217" s="657" t="s">
        <v>202</v>
      </c>
      <c r="C3217" s="656" t="s">
        <v>13487</v>
      </c>
      <c r="D3217" s="657" t="s">
        <v>13789</v>
      </c>
      <c r="E3217" s="657"/>
      <c r="F3217" s="656"/>
      <c r="G3217" s="656" t="s">
        <v>820</v>
      </c>
      <c r="H3217" s="656"/>
      <c r="I3217" s="656" t="s">
        <v>14976</v>
      </c>
      <c r="J3217" s="656"/>
      <c r="K3217" s="656"/>
      <c r="L3217" s="656"/>
      <c r="M3217" s="657"/>
      <c r="N3217" s="1482"/>
      <c r="O3217" s="656" t="s">
        <v>498</v>
      </c>
      <c r="P3217" s="656" t="s">
        <v>13052</v>
      </c>
      <c r="Q3217" s="656">
        <v>44216.770682870374</v>
      </c>
    </row>
    <row r="3218" spans="1:17">
      <c r="A3218" s="656" t="s">
        <v>13484</v>
      </c>
      <c r="B3218" s="657" t="s">
        <v>202</v>
      </c>
      <c r="C3218" s="656" t="s">
        <v>13485</v>
      </c>
      <c r="D3218" s="657" t="s">
        <v>13789</v>
      </c>
      <c r="E3218" s="657"/>
      <c r="F3218" s="656"/>
      <c r="G3218" s="656" t="s">
        <v>820</v>
      </c>
      <c r="H3218" s="656"/>
      <c r="I3218" s="656" t="s">
        <v>14976</v>
      </c>
      <c r="J3218" s="656"/>
      <c r="K3218" s="656"/>
      <c r="L3218" s="656"/>
      <c r="M3218" s="657"/>
      <c r="N3218" s="1482"/>
      <c r="O3218" s="656" t="s">
        <v>498</v>
      </c>
      <c r="P3218" s="656" t="s">
        <v>13052</v>
      </c>
      <c r="Q3218" s="656">
        <v>44216.770682870374</v>
      </c>
    </row>
    <row r="3219" spans="1:17">
      <c r="A3219" s="656" t="s">
        <v>13482</v>
      </c>
      <c r="B3219" s="657" t="s">
        <v>202</v>
      </c>
      <c r="C3219" s="656" t="s">
        <v>13483</v>
      </c>
      <c r="D3219" s="657" t="s">
        <v>13789</v>
      </c>
      <c r="E3219" s="657"/>
      <c r="F3219" s="656"/>
      <c r="G3219" s="656" t="s">
        <v>820</v>
      </c>
      <c r="H3219" s="656"/>
      <c r="I3219" s="656" t="s">
        <v>14976</v>
      </c>
      <c r="J3219" s="656"/>
      <c r="K3219" s="656"/>
      <c r="L3219" s="656"/>
      <c r="M3219" s="657"/>
      <c r="N3219" s="1482"/>
      <c r="O3219" s="656" t="s">
        <v>498</v>
      </c>
      <c r="P3219" s="656" t="s">
        <v>13052</v>
      </c>
      <c r="Q3219" s="656">
        <v>44216.770671296297</v>
      </c>
    </row>
    <row r="3220" spans="1:17">
      <c r="A3220" s="656" t="s">
        <v>13480</v>
      </c>
      <c r="B3220" s="657" t="s">
        <v>202</v>
      </c>
      <c r="C3220" s="656" t="s">
        <v>13481</v>
      </c>
      <c r="D3220" s="657" t="s">
        <v>13789</v>
      </c>
      <c r="E3220" s="657"/>
      <c r="F3220" s="656"/>
      <c r="G3220" s="656" t="s">
        <v>820</v>
      </c>
      <c r="H3220" s="656"/>
      <c r="I3220" s="656" t="s">
        <v>14976</v>
      </c>
      <c r="J3220" s="656"/>
      <c r="K3220" s="656"/>
      <c r="L3220" s="656"/>
      <c r="M3220" s="657"/>
      <c r="N3220" s="1482"/>
      <c r="O3220" s="656" t="s">
        <v>498</v>
      </c>
      <c r="P3220" s="656" t="s">
        <v>13052</v>
      </c>
      <c r="Q3220" s="656">
        <v>44216.770671296297</v>
      </c>
    </row>
    <row r="3221" spans="1:17">
      <c r="A3221" s="656" t="s">
        <v>13478</v>
      </c>
      <c r="B3221" s="657" t="s">
        <v>202</v>
      </c>
      <c r="C3221" s="656" t="s">
        <v>13479</v>
      </c>
      <c r="D3221" s="657" t="s">
        <v>13789</v>
      </c>
      <c r="E3221" s="657"/>
      <c r="F3221" s="656"/>
      <c r="G3221" s="656" t="s">
        <v>820</v>
      </c>
      <c r="H3221" s="656"/>
      <c r="I3221" s="656" t="s">
        <v>14976</v>
      </c>
      <c r="J3221" s="656"/>
      <c r="K3221" s="656"/>
      <c r="L3221" s="656"/>
      <c r="M3221" s="657"/>
      <c r="N3221" s="1482"/>
      <c r="O3221" s="656" t="s">
        <v>498</v>
      </c>
      <c r="P3221" s="656" t="s">
        <v>13052</v>
      </c>
      <c r="Q3221" s="656">
        <v>44216.77065972222</v>
      </c>
    </row>
    <row r="3222" spans="1:17">
      <c r="A3222" s="656" t="s">
        <v>13476</v>
      </c>
      <c r="B3222" s="657" t="s">
        <v>202</v>
      </c>
      <c r="C3222" s="656" t="s">
        <v>13477</v>
      </c>
      <c r="D3222" s="657" t="s">
        <v>13789</v>
      </c>
      <c r="E3222" s="657"/>
      <c r="F3222" s="656"/>
      <c r="G3222" s="656" t="s">
        <v>820</v>
      </c>
      <c r="H3222" s="656"/>
      <c r="I3222" s="656" t="s">
        <v>14976</v>
      </c>
      <c r="J3222" s="656"/>
      <c r="K3222" s="656"/>
      <c r="L3222" s="656"/>
      <c r="M3222" s="657"/>
      <c r="N3222" s="1482"/>
      <c r="O3222" s="656" t="s">
        <v>498</v>
      </c>
      <c r="P3222" s="656" t="s">
        <v>13052</v>
      </c>
      <c r="Q3222" s="656">
        <v>44216.77065972222</v>
      </c>
    </row>
    <row r="3223" spans="1:17">
      <c r="A3223" s="656" t="s">
        <v>4253</v>
      </c>
      <c r="B3223" s="657" t="s">
        <v>504</v>
      </c>
      <c r="C3223" s="656" t="s">
        <v>4254</v>
      </c>
      <c r="D3223" s="657"/>
      <c r="E3223" s="657" t="s">
        <v>7439</v>
      </c>
      <c r="F3223" s="656" t="s">
        <v>505</v>
      </c>
      <c r="G3223" s="656" t="s">
        <v>1579</v>
      </c>
      <c r="H3223" s="656" t="s">
        <v>505</v>
      </c>
      <c r="I3223" s="656"/>
      <c r="J3223" s="656"/>
      <c r="K3223" s="656"/>
      <c r="L3223" s="656"/>
      <c r="M3223" s="657"/>
      <c r="N3223" s="1482"/>
      <c r="O3223" s="656" t="s">
        <v>498</v>
      </c>
      <c r="P3223" s="656" t="s">
        <v>13052</v>
      </c>
      <c r="Q3223" s="656">
        <v>44216.770648148151</v>
      </c>
    </row>
    <row r="3224" spans="1:17">
      <c r="A3224" s="656" t="s">
        <v>4255</v>
      </c>
      <c r="B3224" s="657" t="s">
        <v>504</v>
      </c>
      <c r="C3224" s="656" t="s">
        <v>4256</v>
      </c>
      <c r="D3224" s="657"/>
      <c r="E3224" s="657"/>
      <c r="F3224" s="656" t="s">
        <v>505</v>
      </c>
      <c r="G3224" s="656" t="s">
        <v>505</v>
      </c>
      <c r="H3224" s="656" t="s">
        <v>505</v>
      </c>
      <c r="I3224" s="656"/>
      <c r="J3224" s="656"/>
      <c r="K3224" s="656"/>
      <c r="L3224" s="656"/>
      <c r="M3224" s="657"/>
      <c r="N3224" s="1482"/>
      <c r="O3224" s="656" t="s">
        <v>498</v>
      </c>
      <c r="P3224" s="656" t="s">
        <v>13052</v>
      </c>
      <c r="Q3224" s="656">
        <v>44216.770648148151</v>
      </c>
    </row>
    <row r="3225" spans="1:17">
      <c r="A3225" s="656" t="s">
        <v>4257</v>
      </c>
      <c r="B3225" s="657" t="s">
        <v>504</v>
      </c>
      <c r="C3225" s="656" t="s">
        <v>4258</v>
      </c>
      <c r="D3225" s="657"/>
      <c r="E3225" s="657"/>
      <c r="F3225" s="656" t="s">
        <v>505</v>
      </c>
      <c r="G3225" s="656" t="s">
        <v>505</v>
      </c>
      <c r="H3225" s="656" t="s">
        <v>505</v>
      </c>
      <c r="I3225" s="656"/>
      <c r="J3225" s="656"/>
      <c r="K3225" s="656"/>
      <c r="L3225" s="656"/>
      <c r="M3225" s="657"/>
      <c r="N3225" s="1482"/>
      <c r="O3225" s="656" t="s">
        <v>498</v>
      </c>
      <c r="P3225" s="656" t="s">
        <v>13052</v>
      </c>
      <c r="Q3225" s="656">
        <v>44216.770636574074</v>
      </c>
    </row>
    <row r="3226" spans="1:17">
      <c r="A3226" s="656" t="s">
        <v>4259</v>
      </c>
      <c r="B3226" s="657" t="s">
        <v>504</v>
      </c>
      <c r="C3226" s="656" t="s">
        <v>4260</v>
      </c>
      <c r="D3226" s="657"/>
      <c r="E3226" s="657"/>
      <c r="F3226" s="656" t="s">
        <v>505</v>
      </c>
      <c r="G3226" s="656"/>
      <c r="H3226" s="656" t="s">
        <v>505</v>
      </c>
      <c r="I3226" s="656"/>
      <c r="J3226" s="656"/>
      <c r="K3226" s="656"/>
      <c r="L3226" s="656"/>
      <c r="M3226" s="657"/>
      <c r="N3226" s="1482"/>
      <c r="O3226" s="656" t="s">
        <v>498</v>
      </c>
      <c r="P3226" s="656" t="s">
        <v>13052</v>
      </c>
      <c r="Q3226" s="656">
        <v>44216.770636574074</v>
      </c>
    </row>
    <row r="3227" spans="1:17">
      <c r="A3227" s="656" t="s">
        <v>4261</v>
      </c>
      <c r="B3227" s="657" t="s">
        <v>504</v>
      </c>
      <c r="C3227" s="656" t="s">
        <v>4262</v>
      </c>
      <c r="D3227" s="657"/>
      <c r="E3227" s="657"/>
      <c r="F3227" s="656" t="s">
        <v>505</v>
      </c>
      <c r="G3227" s="656" t="s">
        <v>4231</v>
      </c>
      <c r="H3227" s="656" t="s">
        <v>505</v>
      </c>
      <c r="I3227" s="656"/>
      <c r="J3227" s="656"/>
      <c r="K3227" s="656"/>
      <c r="L3227" s="656"/>
      <c r="M3227" s="657"/>
      <c r="N3227" s="1482"/>
      <c r="O3227" s="656" t="s">
        <v>498</v>
      </c>
      <c r="P3227" s="656" t="s">
        <v>13052</v>
      </c>
      <c r="Q3227" s="656">
        <v>44216.770624999997</v>
      </c>
    </row>
    <row r="3228" spans="1:17">
      <c r="A3228" s="656" t="s">
        <v>4263</v>
      </c>
      <c r="B3228" s="657" t="s">
        <v>504</v>
      </c>
      <c r="C3228" s="656" t="s">
        <v>4264</v>
      </c>
      <c r="D3228" s="657"/>
      <c r="E3228" s="657" t="s">
        <v>9654</v>
      </c>
      <c r="F3228" s="656" t="s">
        <v>505</v>
      </c>
      <c r="G3228" s="656" t="s">
        <v>506</v>
      </c>
      <c r="H3228" s="656" t="s">
        <v>505</v>
      </c>
      <c r="I3228" s="656"/>
      <c r="J3228" s="656"/>
      <c r="K3228" s="656"/>
      <c r="L3228" s="656"/>
      <c r="M3228" s="657"/>
      <c r="N3228" s="1482"/>
      <c r="O3228" s="656" t="s">
        <v>498</v>
      </c>
      <c r="P3228" s="656" t="s">
        <v>13052</v>
      </c>
      <c r="Q3228" s="656">
        <v>44216.770624999997</v>
      </c>
    </row>
    <row r="3229" spans="1:17">
      <c r="A3229" s="656" t="s">
        <v>4265</v>
      </c>
      <c r="B3229" s="657" t="s">
        <v>504</v>
      </c>
      <c r="C3229" s="656" t="s">
        <v>4266</v>
      </c>
      <c r="D3229" s="657"/>
      <c r="E3229" s="657"/>
      <c r="F3229" s="656" t="s">
        <v>505</v>
      </c>
      <c r="G3229" s="656" t="s">
        <v>4218</v>
      </c>
      <c r="H3229" s="656" t="s">
        <v>505</v>
      </c>
      <c r="I3229" s="656"/>
      <c r="J3229" s="656"/>
      <c r="K3229" s="656"/>
      <c r="L3229" s="656"/>
      <c r="M3229" s="657"/>
      <c r="N3229" s="1482"/>
      <c r="O3229" s="656" t="s">
        <v>498</v>
      </c>
      <c r="P3229" s="656" t="s">
        <v>13052</v>
      </c>
      <c r="Q3229" s="656">
        <v>44216.770613425928</v>
      </c>
    </row>
    <row r="3230" spans="1:17">
      <c r="A3230" s="656" t="s">
        <v>4267</v>
      </c>
      <c r="B3230" s="657" t="s">
        <v>504</v>
      </c>
      <c r="C3230" s="656" t="s">
        <v>4268</v>
      </c>
      <c r="D3230" s="657"/>
      <c r="E3230" s="657"/>
      <c r="F3230" s="656" t="s">
        <v>505</v>
      </c>
      <c r="G3230" s="656" t="s">
        <v>4218</v>
      </c>
      <c r="H3230" s="656" t="s">
        <v>505</v>
      </c>
      <c r="I3230" s="656"/>
      <c r="J3230" s="656"/>
      <c r="K3230" s="656"/>
      <c r="L3230" s="656"/>
      <c r="M3230" s="657"/>
      <c r="N3230" s="1482"/>
      <c r="O3230" s="656" t="s">
        <v>498</v>
      </c>
      <c r="P3230" s="656" t="s">
        <v>13052</v>
      </c>
      <c r="Q3230" s="656">
        <v>44216.770601851851</v>
      </c>
    </row>
    <row r="3231" spans="1:17">
      <c r="A3231" s="656" t="s">
        <v>4269</v>
      </c>
      <c r="B3231" s="657" t="s">
        <v>504</v>
      </c>
      <c r="C3231" s="656" t="s">
        <v>4270</v>
      </c>
      <c r="D3231" s="657"/>
      <c r="E3231" s="657"/>
      <c r="F3231" s="656" t="s">
        <v>505</v>
      </c>
      <c r="G3231" s="656" t="s">
        <v>4218</v>
      </c>
      <c r="H3231" s="656" t="s">
        <v>505</v>
      </c>
      <c r="I3231" s="656"/>
      <c r="J3231" s="656"/>
      <c r="K3231" s="656"/>
      <c r="L3231" s="656"/>
      <c r="M3231" s="657"/>
      <c r="N3231" s="1482"/>
      <c r="O3231" s="656" t="s">
        <v>498</v>
      </c>
      <c r="P3231" s="656" t="s">
        <v>13052</v>
      </c>
      <c r="Q3231" s="656">
        <v>44216.770601851851</v>
      </c>
    </row>
    <row r="3232" spans="1:17">
      <c r="A3232" s="656" t="s">
        <v>4271</v>
      </c>
      <c r="B3232" s="657" t="s">
        <v>504</v>
      </c>
      <c r="C3232" s="656" t="s">
        <v>4272</v>
      </c>
      <c r="D3232" s="657"/>
      <c r="E3232" s="657"/>
      <c r="F3232" s="656" t="s">
        <v>505</v>
      </c>
      <c r="G3232" s="656" t="s">
        <v>4218</v>
      </c>
      <c r="H3232" s="656" t="s">
        <v>505</v>
      </c>
      <c r="I3232" s="656"/>
      <c r="J3232" s="656"/>
      <c r="K3232" s="656"/>
      <c r="L3232" s="656"/>
      <c r="M3232" s="657"/>
      <c r="N3232" s="1482"/>
      <c r="O3232" s="656" t="s">
        <v>498</v>
      </c>
      <c r="P3232" s="656" t="s">
        <v>13052</v>
      </c>
      <c r="Q3232" s="656">
        <v>44216.770590277774</v>
      </c>
    </row>
    <row r="3233" spans="1:17">
      <c r="A3233" s="656" t="s">
        <v>4273</v>
      </c>
      <c r="B3233" s="657" t="s">
        <v>504</v>
      </c>
      <c r="C3233" s="656" t="s">
        <v>4274</v>
      </c>
      <c r="D3233" s="657"/>
      <c r="E3233" s="657"/>
      <c r="F3233" s="656" t="s">
        <v>505</v>
      </c>
      <c r="G3233" s="656" t="s">
        <v>4218</v>
      </c>
      <c r="H3233" s="656" t="s">
        <v>505</v>
      </c>
      <c r="I3233" s="656"/>
      <c r="J3233" s="656"/>
      <c r="K3233" s="656"/>
      <c r="L3233" s="656"/>
      <c r="M3233" s="657"/>
      <c r="N3233" s="1482"/>
      <c r="O3233" s="656" t="s">
        <v>498</v>
      </c>
      <c r="P3233" s="656" t="s">
        <v>13052</v>
      </c>
      <c r="Q3233" s="656">
        <v>44216.770590277774</v>
      </c>
    </row>
    <row r="3234" spans="1:17">
      <c r="A3234" s="656" t="s">
        <v>4275</v>
      </c>
      <c r="B3234" s="657" t="s">
        <v>504</v>
      </c>
      <c r="C3234" s="656" t="s">
        <v>4276</v>
      </c>
      <c r="D3234" s="657"/>
      <c r="E3234" s="657"/>
      <c r="F3234" s="656" t="s">
        <v>505</v>
      </c>
      <c r="G3234" s="656" t="s">
        <v>4218</v>
      </c>
      <c r="H3234" s="656" t="s">
        <v>505</v>
      </c>
      <c r="I3234" s="656"/>
      <c r="J3234" s="656"/>
      <c r="K3234" s="656"/>
      <c r="L3234" s="656"/>
      <c r="M3234" s="657"/>
      <c r="N3234" s="1482"/>
      <c r="O3234" s="656" t="s">
        <v>498</v>
      </c>
      <c r="P3234" s="656" t="s">
        <v>13052</v>
      </c>
      <c r="Q3234" s="656">
        <v>44216.770578703705</v>
      </c>
    </row>
    <row r="3235" spans="1:17">
      <c r="A3235" s="656" t="s">
        <v>4277</v>
      </c>
      <c r="B3235" s="657" t="s">
        <v>504</v>
      </c>
      <c r="C3235" s="656" t="s">
        <v>4278</v>
      </c>
      <c r="D3235" s="657"/>
      <c r="E3235" s="657"/>
      <c r="F3235" s="656" t="s">
        <v>505</v>
      </c>
      <c r="G3235" s="656" t="s">
        <v>4218</v>
      </c>
      <c r="H3235" s="656" t="s">
        <v>505</v>
      </c>
      <c r="I3235" s="656"/>
      <c r="J3235" s="656"/>
      <c r="K3235" s="656"/>
      <c r="L3235" s="656"/>
      <c r="M3235" s="657"/>
      <c r="N3235" s="1482"/>
      <c r="O3235" s="656" t="s">
        <v>498</v>
      </c>
      <c r="P3235" s="656" t="s">
        <v>13052</v>
      </c>
      <c r="Q3235" s="656">
        <v>44216.770567129628</v>
      </c>
    </row>
    <row r="3236" spans="1:17">
      <c r="A3236" s="656" t="s">
        <v>4279</v>
      </c>
      <c r="B3236" s="657" t="s">
        <v>504</v>
      </c>
      <c r="C3236" s="656" t="s">
        <v>4280</v>
      </c>
      <c r="D3236" s="657"/>
      <c r="E3236" s="657"/>
      <c r="F3236" s="656" t="s">
        <v>505</v>
      </c>
      <c r="G3236" s="656" t="s">
        <v>4231</v>
      </c>
      <c r="H3236" s="656" t="s">
        <v>505</v>
      </c>
      <c r="I3236" s="656"/>
      <c r="J3236" s="656"/>
      <c r="K3236" s="656"/>
      <c r="L3236" s="656"/>
      <c r="M3236" s="657"/>
      <c r="N3236" s="1482"/>
      <c r="O3236" s="656" t="s">
        <v>498</v>
      </c>
      <c r="P3236" s="656" t="s">
        <v>13052</v>
      </c>
      <c r="Q3236" s="656">
        <v>44216.770567129628</v>
      </c>
    </row>
    <row r="3237" spans="1:17">
      <c r="A3237" s="656" t="s">
        <v>4281</v>
      </c>
      <c r="B3237" s="657" t="s">
        <v>504</v>
      </c>
      <c r="C3237" s="656" t="s">
        <v>4282</v>
      </c>
      <c r="D3237" s="657"/>
      <c r="E3237" s="657"/>
      <c r="F3237" s="656" t="s">
        <v>505</v>
      </c>
      <c r="G3237" s="656" t="s">
        <v>4218</v>
      </c>
      <c r="H3237" s="656" t="s">
        <v>505</v>
      </c>
      <c r="I3237" s="656"/>
      <c r="J3237" s="656"/>
      <c r="K3237" s="656"/>
      <c r="L3237" s="656"/>
      <c r="M3237" s="657"/>
      <c r="N3237" s="1482"/>
      <c r="O3237" s="656" t="s">
        <v>498</v>
      </c>
      <c r="P3237" s="656" t="s">
        <v>13052</v>
      </c>
      <c r="Q3237" s="656">
        <v>44216.770555555559</v>
      </c>
    </row>
    <row r="3238" spans="1:17">
      <c r="A3238" s="656" t="s">
        <v>4283</v>
      </c>
      <c r="B3238" s="657" t="s">
        <v>504</v>
      </c>
      <c r="C3238" s="656" t="s">
        <v>4284</v>
      </c>
      <c r="D3238" s="657"/>
      <c r="E3238" s="657"/>
      <c r="F3238" s="656" t="s">
        <v>505</v>
      </c>
      <c r="G3238" s="656" t="s">
        <v>4218</v>
      </c>
      <c r="H3238" s="656" t="s">
        <v>505</v>
      </c>
      <c r="I3238" s="656"/>
      <c r="J3238" s="656"/>
      <c r="K3238" s="656"/>
      <c r="L3238" s="656"/>
      <c r="M3238" s="657"/>
      <c r="N3238" s="1482"/>
      <c r="O3238" s="656" t="s">
        <v>498</v>
      </c>
      <c r="P3238" s="656" t="s">
        <v>13052</v>
      </c>
      <c r="Q3238" s="656">
        <v>44216.770567129628</v>
      </c>
    </row>
    <row r="3239" spans="1:17">
      <c r="A3239" s="656" t="s">
        <v>4285</v>
      </c>
      <c r="B3239" s="657" t="s">
        <v>504</v>
      </c>
      <c r="C3239" s="656" t="s">
        <v>4286</v>
      </c>
      <c r="D3239" s="657"/>
      <c r="E3239" s="657"/>
      <c r="F3239" s="656" t="s">
        <v>505</v>
      </c>
      <c r="G3239" s="656" t="s">
        <v>4218</v>
      </c>
      <c r="H3239" s="656" t="s">
        <v>505</v>
      </c>
      <c r="I3239" s="656"/>
      <c r="J3239" s="656"/>
      <c r="K3239" s="656"/>
      <c r="L3239" s="656"/>
      <c r="M3239" s="657"/>
      <c r="N3239" s="1482"/>
      <c r="O3239" s="656" t="s">
        <v>498</v>
      </c>
      <c r="P3239" s="656" t="s">
        <v>13052</v>
      </c>
      <c r="Q3239" s="656">
        <v>44216.770555555559</v>
      </c>
    </row>
    <row r="3240" spans="1:17">
      <c r="A3240" s="656" t="s">
        <v>4287</v>
      </c>
      <c r="B3240" s="657" t="s">
        <v>504</v>
      </c>
      <c r="C3240" s="656" t="s">
        <v>4288</v>
      </c>
      <c r="D3240" s="657"/>
      <c r="E3240" s="657"/>
      <c r="F3240" s="656" t="s">
        <v>505</v>
      </c>
      <c r="G3240" s="656" t="s">
        <v>4218</v>
      </c>
      <c r="H3240" s="656" t="s">
        <v>505</v>
      </c>
      <c r="I3240" s="656"/>
      <c r="J3240" s="656"/>
      <c r="K3240" s="656"/>
      <c r="L3240" s="656"/>
      <c r="M3240" s="657"/>
      <c r="N3240" s="1482"/>
      <c r="O3240" s="656" t="s">
        <v>498</v>
      </c>
      <c r="P3240" s="656" t="s">
        <v>13052</v>
      </c>
      <c r="Q3240" s="656">
        <v>44216.770543981482</v>
      </c>
    </row>
    <row r="3241" spans="1:17">
      <c r="A3241" s="656" t="s">
        <v>4289</v>
      </c>
      <c r="B3241" s="657" t="s">
        <v>504</v>
      </c>
      <c r="C3241" s="656" t="s">
        <v>1424</v>
      </c>
      <c r="D3241" s="657"/>
      <c r="E3241" s="657"/>
      <c r="F3241" s="656" t="s">
        <v>505</v>
      </c>
      <c r="G3241" s="656" t="s">
        <v>4231</v>
      </c>
      <c r="H3241" s="656" t="s">
        <v>505</v>
      </c>
      <c r="I3241" s="656"/>
      <c r="J3241" s="656"/>
      <c r="K3241" s="656"/>
      <c r="L3241" s="656"/>
      <c r="M3241" s="657"/>
      <c r="N3241" s="1482"/>
      <c r="O3241" s="656" t="s">
        <v>498</v>
      </c>
      <c r="P3241" s="656" t="s">
        <v>13052</v>
      </c>
      <c r="Q3241" s="656">
        <v>44216.770543981482</v>
      </c>
    </row>
    <row r="3242" spans="1:17">
      <c r="A3242" s="656" t="s">
        <v>13475</v>
      </c>
      <c r="B3242" s="657" t="s">
        <v>504</v>
      </c>
      <c r="C3242" s="656" t="s">
        <v>4290</v>
      </c>
      <c r="D3242" s="657" t="s">
        <v>14977</v>
      </c>
      <c r="E3242" s="657" t="s">
        <v>9654</v>
      </c>
      <c r="F3242" s="656" t="s">
        <v>505</v>
      </c>
      <c r="G3242" s="656" t="s">
        <v>660</v>
      </c>
      <c r="H3242" s="656" t="s">
        <v>505</v>
      </c>
      <c r="I3242" s="656"/>
      <c r="J3242" s="656"/>
      <c r="K3242" s="656"/>
      <c r="L3242" s="656"/>
      <c r="M3242" s="657"/>
      <c r="N3242" s="1482"/>
      <c r="O3242" s="656" t="s">
        <v>498</v>
      </c>
      <c r="P3242" s="656" t="s">
        <v>13052</v>
      </c>
      <c r="Q3242" s="656">
        <v>44216.770532407405</v>
      </c>
    </row>
    <row r="3243" spans="1:17">
      <c r="A3243" s="656" t="s">
        <v>13473</v>
      </c>
      <c r="B3243" s="657" t="s">
        <v>504</v>
      </c>
      <c r="C3243" s="656" t="s">
        <v>13474</v>
      </c>
      <c r="D3243" s="657" t="s">
        <v>14977</v>
      </c>
      <c r="E3243" s="657" t="s">
        <v>9654</v>
      </c>
      <c r="F3243" s="656" t="s">
        <v>505</v>
      </c>
      <c r="G3243" s="656" t="s">
        <v>506</v>
      </c>
      <c r="H3243" s="656" t="s">
        <v>505</v>
      </c>
      <c r="I3243" s="656"/>
      <c r="J3243" s="656"/>
      <c r="K3243" s="656"/>
      <c r="L3243" s="656"/>
      <c r="M3243" s="657"/>
      <c r="N3243" s="1482"/>
      <c r="O3243" s="656" t="s">
        <v>498</v>
      </c>
      <c r="P3243" s="656" t="s">
        <v>13052</v>
      </c>
      <c r="Q3243" s="656">
        <v>44216.770532407405</v>
      </c>
    </row>
    <row r="3244" spans="1:17">
      <c r="A3244" s="656" t="s">
        <v>4291</v>
      </c>
      <c r="B3244" s="657" t="s">
        <v>504</v>
      </c>
      <c r="C3244" s="656" t="s">
        <v>4292</v>
      </c>
      <c r="D3244" s="657"/>
      <c r="E3244" s="657"/>
      <c r="F3244" s="656" t="s">
        <v>505</v>
      </c>
      <c r="G3244" s="656"/>
      <c r="H3244" s="656" t="s">
        <v>505</v>
      </c>
      <c r="I3244" s="656"/>
      <c r="J3244" s="656"/>
      <c r="K3244" s="656"/>
      <c r="L3244" s="656"/>
      <c r="M3244" s="657"/>
      <c r="N3244" s="1482"/>
      <c r="O3244" s="656" t="s">
        <v>498</v>
      </c>
      <c r="P3244" s="656" t="s">
        <v>13052</v>
      </c>
      <c r="Q3244" s="656">
        <v>44216.770520833335</v>
      </c>
    </row>
    <row r="3245" spans="1:17">
      <c r="A3245" s="656" t="s">
        <v>4293</v>
      </c>
      <c r="B3245" s="657" t="s">
        <v>504</v>
      </c>
      <c r="C3245" s="656" t="s">
        <v>4294</v>
      </c>
      <c r="D3245" s="657"/>
      <c r="E3245" s="657"/>
      <c r="F3245" s="656" t="s">
        <v>505</v>
      </c>
      <c r="G3245" s="656"/>
      <c r="H3245" s="656" t="s">
        <v>505</v>
      </c>
      <c r="I3245" s="656"/>
      <c r="J3245" s="656"/>
      <c r="K3245" s="656"/>
      <c r="L3245" s="656"/>
      <c r="M3245" s="657"/>
      <c r="N3245" s="1482"/>
      <c r="O3245" s="656" t="s">
        <v>498</v>
      </c>
      <c r="P3245" s="656" t="s">
        <v>13052</v>
      </c>
      <c r="Q3245" s="656">
        <v>44216.770520833335</v>
      </c>
    </row>
    <row r="3246" spans="1:17">
      <c r="A3246" s="656" t="s">
        <v>4295</v>
      </c>
      <c r="B3246" s="657" t="s">
        <v>504</v>
      </c>
      <c r="C3246" s="656" t="s">
        <v>3927</v>
      </c>
      <c r="D3246" s="657"/>
      <c r="E3246" s="657"/>
      <c r="F3246" s="656" t="s">
        <v>505</v>
      </c>
      <c r="G3246" s="656"/>
      <c r="H3246" s="656" t="s">
        <v>505</v>
      </c>
      <c r="I3246" s="656"/>
      <c r="J3246" s="656"/>
      <c r="K3246" s="656"/>
      <c r="L3246" s="656"/>
      <c r="M3246" s="657"/>
      <c r="N3246" s="1482"/>
      <c r="O3246" s="656" t="s">
        <v>498</v>
      </c>
      <c r="P3246" s="656" t="s">
        <v>13052</v>
      </c>
      <c r="Q3246" s="656">
        <v>44216.770520833335</v>
      </c>
    </row>
    <row r="3247" spans="1:17">
      <c r="A3247" s="656" t="s">
        <v>4296</v>
      </c>
      <c r="B3247" s="657" t="s">
        <v>504</v>
      </c>
      <c r="C3247" s="656" t="s">
        <v>4297</v>
      </c>
      <c r="D3247" s="657"/>
      <c r="E3247" s="657"/>
      <c r="F3247" s="656" t="s">
        <v>505</v>
      </c>
      <c r="G3247" s="656" t="s">
        <v>4218</v>
      </c>
      <c r="H3247" s="656" t="s">
        <v>505</v>
      </c>
      <c r="I3247" s="656"/>
      <c r="J3247" s="656"/>
      <c r="K3247" s="656"/>
      <c r="L3247" s="656"/>
      <c r="M3247" s="657"/>
      <c r="N3247" s="1482"/>
      <c r="O3247" s="656" t="s">
        <v>498</v>
      </c>
      <c r="P3247" s="656" t="s">
        <v>13052</v>
      </c>
      <c r="Q3247" s="656">
        <v>44216.770509259259</v>
      </c>
    </row>
    <row r="3248" spans="1:17">
      <c r="A3248" s="656" t="s">
        <v>4298</v>
      </c>
      <c r="B3248" s="657" t="s">
        <v>504</v>
      </c>
      <c r="C3248" s="656" t="s">
        <v>4299</v>
      </c>
      <c r="D3248" s="657"/>
      <c r="E3248" s="657"/>
      <c r="F3248" s="656" t="s">
        <v>505</v>
      </c>
      <c r="G3248" s="656" t="s">
        <v>4218</v>
      </c>
      <c r="H3248" s="656" t="s">
        <v>505</v>
      </c>
      <c r="I3248" s="656"/>
      <c r="J3248" s="656"/>
      <c r="K3248" s="656"/>
      <c r="L3248" s="656"/>
      <c r="M3248" s="657"/>
      <c r="N3248" s="1482"/>
      <c r="O3248" s="656" t="s">
        <v>498</v>
      </c>
      <c r="P3248" s="656" t="s">
        <v>13052</v>
      </c>
      <c r="Q3248" s="656">
        <v>44216.770509259259</v>
      </c>
    </row>
    <row r="3249" spans="1:17">
      <c r="A3249" s="656" t="s">
        <v>4300</v>
      </c>
      <c r="B3249" s="657" t="s">
        <v>504</v>
      </c>
      <c r="C3249" s="656" t="s">
        <v>4301</v>
      </c>
      <c r="D3249" s="657"/>
      <c r="E3249" s="657"/>
      <c r="F3249" s="656" t="s">
        <v>505</v>
      </c>
      <c r="G3249" s="656"/>
      <c r="H3249" s="656" t="s">
        <v>505</v>
      </c>
      <c r="I3249" s="656"/>
      <c r="J3249" s="656"/>
      <c r="K3249" s="656"/>
      <c r="L3249" s="656"/>
      <c r="M3249" s="657"/>
      <c r="N3249" s="1482"/>
      <c r="O3249" s="656" t="s">
        <v>498</v>
      </c>
      <c r="P3249" s="656" t="s">
        <v>13052</v>
      </c>
      <c r="Q3249" s="656">
        <v>44216.770497685182</v>
      </c>
    </row>
    <row r="3250" spans="1:17">
      <c r="A3250" s="656" t="s">
        <v>4302</v>
      </c>
      <c r="B3250" s="657" t="s">
        <v>504</v>
      </c>
      <c r="C3250" s="656" t="s">
        <v>4303</v>
      </c>
      <c r="D3250" s="657"/>
      <c r="E3250" s="657"/>
      <c r="F3250" s="656" t="s">
        <v>505</v>
      </c>
      <c r="G3250" s="656" t="s">
        <v>4231</v>
      </c>
      <c r="H3250" s="656" t="s">
        <v>505</v>
      </c>
      <c r="I3250" s="656"/>
      <c r="J3250" s="656"/>
      <c r="K3250" s="656"/>
      <c r="L3250" s="656"/>
      <c r="M3250" s="657"/>
      <c r="N3250" s="1482"/>
      <c r="O3250" s="656" t="s">
        <v>498</v>
      </c>
      <c r="P3250" s="656" t="s">
        <v>13052</v>
      </c>
      <c r="Q3250" s="656">
        <v>44216.770497685182</v>
      </c>
    </row>
    <row r="3251" spans="1:17">
      <c r="A3251" s="656" t="s">
        <v>4304</v>
      </c>
      <c r="B3251" s="657" t="s">
        <v>504</v>
      </c>
      <c r="C3251" s="656" t="s">
        <v>4305</v>
      </c>
      <c r="D3251" s="657"/>
      <c r="E3251" s="657"/>
      <c r="F3251" s="656" t="s">
        <v>505</v>
      </c>
      <c r="G3251" s="656" t="s">
        <v>4231</v>
      </c>
      <c r="H3251" s="656" t="s">
        <v>505</v>
      </c>
      <c r="I3251" s="656"/>
      <c r="J3251" s="656"/>
      <c r="K3251" s="656"/>
      <c r="L3251" s="656"/>
      <c r="M3251" s="657"/>
      <c r="N3251" s="1482"/>
      <c r="O3251" s="656" t="s">
        <v>498</v>
      </c>
      <c r="P3251" s="656" t="s">
        <v>13052</v>
      </c>
      <c r="Q3251" s="656">
        <v>44216.770486111112</v>
      </c>
    </row>
    <row r="3252" spans="1:17">
      <c r="A3252" s="656" t="s">
        <v>4306</v>
      </c>
      <c r="B3252" s="657" t="s">
        <v>504</v>
      </c>
      <c r="C3252" s="656" t="s">
        <v>4307</v>
      </c>
      <c r="D3252" s="657"/>
      <c r="E3252" s="657"/>
      <c r="F3252" s="656" t="s">
        <v>505</v>
      </c>
      <c r="G3252" s="656" t="s">
        <v>4231</v>
      </c>
      <c r="H3252" s="656" t="s">
        <v>505</v>
      </c>
      <c r="I3252" s="656"/>
      <c r="J3252" s="656"/>
      <c r="K3252" s="656"/>
      <c r="L3252" s="656"/>
      <c r="M3252" s="657"/>
      <c r="N3252" s="1482"/>
      <c r="O3252" s="656" t="s">
        <v>498</v>
      </c>
      <c r="P3252" s="656" t="s">
        <v>13052</v>
      </c>
      <c r="Q3252" s="656">
        <v>44216.770486111112</v>
      </c>
    </row>
    <row r="3253" spans="1:17">
      <c r="A3253" s="656" t="s">
        <v>4308</v>
      </c>
      <c r="B3253" s="657" t="s">
        <v>504</v>
      </c>
      <c r="C3253" s="656" t="s">
        <v>4309</v>
      </c>
      <c r="D3253" s="657"/>
      <c r="E3253" s="657"/>
      <c r="F3253" s="656" t="s">
        <v>505</v>
      </c>
      <c r="G3253" s="656" t="s">
        <v>4218</v>
      </c>
      <c r="H3253" s="656" t="s">
        <v>505</v>
      </c>
      <c r="I3253" s="656"/>
      <c r="J3253" s="656"/>
      <c r="K3253" s="656"/>
      <c r="L3253" s="656"/>
      <c r="M3253" s="657"/>
      <c r="N3253" s="1482"/>
      <c r="O3253" s="656" t="s">
        <v>498</v>
      </c>
      <c r="P3253" s="656" t="s">
        <v>13052</v>
      </c>
      <c r="Q3253" s="656">
        <v>44216.770474537036</v>
      </c>
    </row>
    <row r="3254" spans="1:17">
      <c r="A3254" s="656" t="s">
        <v>4310</v>
      </c>
      <c r="B3254" s="657" t="s">
        <v>504</v>
      </c>
      <c r="C3254" s="656" t="s">
        <v>4311</v>
      </c>
      <c r="D3254" s="657"/>
      <c r="E3254" s="657"/>
      <c r="F3254" s="656" t="s">
        <v>505</v>
      </c>
      <c r="G3254" s="656" t="s">
        <v>4218</v>
      </c>
      <c r="H3254" s="656" t="s">
        <v>505</v>
      </c>
      <c r="I3254" s="656"/>
      <c r="J3254" s="656"/>
      <c r="K3254" s="656"/>
      <c r="L3254" s="656"/>
      <c r="M3254" s="657"/>
      <c r="N3254" s="1482"/>
      <c r="O3254" s="656" t="s">
        <v>498</v>
      </c>
      <c r="P3254" s="656" t="s">
        <v>13052</v>
      </c>
      <c r="Q3254" s="656">
        <v>44216.770474537036</v>
      </c>
    </row>
    <row r="3255" spans="1:17">
      <c r="A3255" s="656" t="s">
        <v>4312</v>
      </c>
      <c r="B3255" s="657" t="s">
        <v>504</v>
      </c>
      <c r="C3255" s="656" t="s">
        <v>4313</v>
      </c>
      <c r="D3255" s="657"/>
      <c r="E3255" s="657"/>
      <c r="F3255" s="656" t="s">
        <v>505</v>
      </c>
      <c r="G3255" s="656" t="s">
        <v>4218</v>
      </c>
      <c r="H3255" s="656" t="s">
        <v>505</v>
      </c>
      <c r="I3255" s="656"/>
      <c r="J3255" s="656"/>
      <c r="K3255" s="656"/>
      <c r="L3255" s="656"/>
      <c r="M3255" s="657"/>
      <c r="N3255" s="1482"/>
      <c r="O3255" s="656" t="s">
        <v>498</v>
      </c>
      <c r="P3255" s="656" t="s">
        <v>13052</v>
      </c>
      <c r="Q3255" s="656">
        <v>44216.770462962966</v>
      </c>
    </row>
    <row r="3256" spans="1:17">
      <c r="A3256" s="656" t="s">
        <v>4314</v>
      </c>
      <c r="B3256" s="657" t="s">
        <v>504</v>
      </c>
      <c r="C3256" s="656" t="s">
        <v>4315</v>
      </c>
      <c r="D3256" s="657"/>
      <c r="E3256" s="657"/>
      <c r="F3256" s="656" t="s">
        <v>505</v>
      </c>
      <c r="G3256" s="656" t="s">
        <v>4218</v>
      </c>
      <c r="H3256" s="656" t="s">
        <v>505</v>
      </c>
      <c r="I3256" s="656"/>
      <c r="J3256" s="656"/>
      <c r="K3256" s="656"/>
      <c r="L3256" s="656"/>
      <c r="M3256" s="657"/>
      <c r="N3256" s="1482"/>
      <c r="O3256" s="656" t="s">
        <v>498</v>
      </c>
      <c r="P3256" s="656" t="s">
        <v>13052</v>
      </c>
      <c r="Q3256" s="656">
        <v>44216.770462962966</v>
      </c>
    </row>
    <row r="3257" spans="1:17">
      <c r="A3257" s="656" t="s">
        <v>4316</v>
      </c>
      <c r="B3257" s="657" t="s">
        <v>504</v>
      </c>
      <c r="C3257" s="656" t="s">
        <v>4317</v>
      </c>
      <c r="D3257" s="657"/>
      <c r="E3257" s="657"/>
      <c r="F3257" s="656" t="s">
        <v>505</v>
      </c>
      <c r="G3257" s="656" t="s">
        <v>4218</v>
      </c>
      <c r="H3257" s="656" t="s">
        <v>505</v>
      </c>
      <c r="I3257" s="656"/>
      <c r="J3257" s="656"/>
      <c r="K3257" s="656"/>
      <c r="L3257" s="656"/>
      <c r="M3257" s="657"/>
      <c r="N3257" s="1482"/>
      <c r="O3257" s="656" t="s">
        <v>498</v>
      </c>
      <c r="P3257" s="656" t="s">
        <v>13052</v>
      </c>
      <c r="Q3257" s="656">
        <v>44216.770451388889</v>
      </c>
    </row>
    <row r="3258" spans="1:17">
      <c r="A3258" s="656" t="s">
        <v>4318</v>
      </c>
      <c r="B3258" s="657"/>
      <c r="C3258" s="656" t="s">
        <v>4319</v>
      </c>
      <c r="D3258" s="657" t="s">
        <v>14978</v>
      </c>
      <c r="E3258" s="657"/>
      <c r="F3258" s="656"/>
      <c r="G3258" s="656"/>
      <c r="H3258" s="656"/>
      <c r="I3258" s="656" t="s">
        <v>14976</v>
      </c>
      <c r="J3258" s="656"/>
      <c r="K3258" s="656"/>
      <c r="L3258" s="656" t="s">
        <v>4320</v>
      </c>
      <c r="M3258" s="657"/>
      <c r="N3258" s="1482"/>
      <c r="O3258" s="656" t="s">
        <v>498</v>
      </c>
      <c r="P3258" s="656" t="s">
        <v>13052</v>
      </c>
      <c r="Q3258" s="656">
        <v>44216.770451388889</v>
      </c>
    </row>
    <row r="3259" spans="1:17">
      <c r="A3259" s="656" t="s">
        <v>4320</v>
      </c>
      <c r="B3259" s="657" t="s">
        <v>504</v>
      </c>
      <c r="C3259" s="656" t="s">
        <v>4321</v>
      </c>
      <c r="D3259" s="657"/>
      <c r="E3259" s="657"/>
      <c r="F3259" s="656" t="s">
        <v>505</v>
      </c>
      <c r="G3259" s="656" t="s">
        <v>4231</v>
      </c>
      <c r="H3259" s="656" t="s">
        <v>505</v>
      </c>
      <c r="I3259" s="656"/>
      <c r="J3259" s="656"/>
      <c r="K3259" s="656"/>
      <c r="L3259" s="656"/>
      <c r="M3259" s="657"/>
      <c r="N3259" s="1482"/>
      <c r="O3259" s="656" t="s">
        <v>498</v>
      </c>
      <c r="P3259" s="656" t="s">
        <v>13052</v>
      </c>
      <c r="Q3259" s="656">
        <v>44216.770451388889</v>
      </c>
    </row>
    <row r="3260" spans="1:17">
      <c r="A3260" s="656" t="s">
        <v>4322</v>
      </c>
      <c r="B3260" s="657" t="s">
        <v>504</v>
      </c>
      <c r="C3260" s="656" t="s">
        <v>4323</v>
      </c>
      <c r="D3260" s="657"/>
      <c r="E3260" s="657"/>
      <c r="F3260" s="656" t="s">
        <v>505</v>
      </c>
      <c r="G3260" s="656" t="s">
        <v>4324</v>
      </c>
      <c r="H3260" s="656" t="s">
        <v>505</v>
      </c>
      <c r="I3260" s="656"/>
      <c r="J3260" s="656"/>
      <c r="K3260" s="656"/>
      <c r="L3260" s="656"/>
      <c r="M3260" s="657"/>
      <c r="N3260" s="1482"/>
      <c r="O3260" s="656" t="s">
        <v>498</v>
      </c>
      <c r="P3260" s="656" t="s">
        <v>13052</v>
      </c>
      <c r="Q3260" s="656">
        <v>44216.770439814813</v>
      </c>
    </row>
    <row r="3261" spans="1:17">
      <c r="A3261" s="656" t="s">
        <v>4325</v>
      </c>
      <c r="B3261" s="657" t="s">
        <v>504</v>
      </c>
      <c r="C3261" s="656" t="s">
        <v>4326</v>
      </c>
      <c r="D3261" s="657"/>
      <c r="E3261" s="657"/>
      <c r="F3261" s="656" t="s">
        <v>505</v>
      </c>
      <c r="G3261" s="656" t="s">
        <v>4324</v>
      </c>
      <c r="H3261" s="656" t="s">
        <v>505</v>
      </c>
      <c r="I3261" s="656"/>
      <c r="J3261" s="656"/>
      <c r="K3261" s="656"/>
      <c r="L3261" s="656"/>
      <c r="M3261" s="657"/>
      <c r="N3261" s="1482"/>
      <c r="O3261" s="656" t="s">
        <v>498</v>
      </c>
      <c r="P3261" s="656" t="s">
        <v>13052</v>
      </c>
      <c r="Q3261" s="656">
        <v>44216.770439814813</v>
      </c>
    </row>
    <row r="3262" spans="1:17">
      <c r="A3262" s="656" t="s">
        <v>4327</v>
      </c>
      <c r="B3262" s="657" t="s">
        <v>504</v>
      </c>
      <c r="C3262" s="656" t="s">
        <v>4328</v>
      </c>
      <c r="D3262" s="657"/>
      <c r="E3262" s="657"/>
      <c r="F3262" s="656" t="s">
        <v>505</v>
      </c>
      <c r="G3262" s="656" t="s">
        <v>4324</v>
      </c>
      <c r="H3262" s="656" t="s">
        <v>505</v>
      </c>
      <c r="I3262" s="656"/>
      <c r="J3262" s="656"/>
      <c r="K3262" s="656"/>
      <c r="L3262" s="656"/>
      <c r="M3262" s="657"/>
      <c r="N3262" s="1482"/>
      <c r="O3262" s="656" t="s">
        <v>498</v>
      </c>
      <c r="P3262" s="656" t="s">
        <v>13052</v>
      </c>
      <c r="Q3262" s="656">
        <v>44216.770439814813</v>
      </c>
    </row>
    <row r="3263" spans="1:17">
      <c r="A3263" s="656" t="s">
        <v>4329</v>
      </c>
      <c r="B3263" s="657" t="s">
        <v>504</v>
      </c>
      <c r="C3263" s="656" t="s">
        <v>4330</v>
      </c>
      <c r="D3263" s="657"/>
      <c r="E3263" s="657"/>
      <c r="F3263" s="656" t="s">
        <v>505</v>
      </c>
      <c r="G3263" s="656" t="s">
        <v>4324</v>
      </c>
      <c r="H3263" s="656" t="s">
        <v>505</v>
      </c>
      <c r="I3263" s="656"/>
      <c r="J3263" s="656"/>
      <c r="K3263" s="656"/>
      <c r="L3263" s="656"/>
      <c r="M3263" s="657"/>
      <c r="N3263" s="1482"/>
      <c r="O3263" s="656" t="s">
        <v>498</v>
      </c>
      <c r="P3263" s="656" t="s">
        <v>13052</v>
      </c>
      <c r="Q3263" s="656">
        <v>44216.770428240743</v>
      </c>
    </row>
    <row r="3264" spans="1:17">
      <c r="A3264" s="656" t="s">
        <v>4331</v>
      </c>
      <c r="B3264" s="657" t="s">
        <v>504</v>
      </c>
      <c r="C3264" s="656" t="s">
        <v>4332</v>
      </c>
      <c r="D3264" s="657"/>
      <c r="E3264" s="657"/>
      <c r="F3264" s="656" t="s">
        <v>505</v>
      </c>
      <c r="G3264" s="656" t="s">
        <v>4324</v>
      </c>
      <c r="H3264" s="656" t="s">
        <v>505</v>
      </c>
      <c r="I3264" s="656"/>
      <c r="J3264" s="656"/>
      <c r="K3264" s="656"/>
      <c r="L3264" s="656"/>
      <c r="M3264" s="657"/>
      <c r="N3264" s="1482"/>
      <c r="O3264" s="656" t="s">
        <v>498</v>
      </c>
      <c r="P3264" s="656" t="s">
        <v>13052</v>
      </c>
      <c r="Q3264" s="656">
        <v>44216.770416666666</v>
      </c>
    </row>
    <row r="3265" spans="1:17">
      <c r="A3265" s="656" t="s">
        <v>4333</v>
      </c>
      <c r="B3265" s="657" t="s">
        <v>504</v>
      </c>
      <c r="C3265" s="656" t="s">
        <v>4334</v>
      </c>
      <c r="D3265" s="657"/>
      <c r="E3265" s="657"/>
      <c r="F3265" s="656" t="s">
        <v>505</v>
      </c>
      <c r="G3265" s="656" t="s">
        <v>4324</v>
      </c>
      <c r="H3265" s="656" t="s">
        <v>505</v>
      </c>
      <c r="I3265" s="656"/>
      <c r="J3265" s="656"/>
      <c r="K3265" s="656"/>
      <c r="L3265" s="656"/>
      <c r="M3265" s="657"/>
      <c r="N3265" s="1482"/>
      <c r="O3265" s="656" t="s">
        <v>498</v>
      </c>
      <c r="P3265" s="656" t="s">
        <v>13052</v>
      </c>
      <c r="Q3265" s="656">
        <v>44216.770405092589</v>
      </c>
    </row>
    <row r="3266" spans="1:17">
      <c r="A3266" s="656" t="s">
        <v>4335</v>
      </c>
      <c r="B3266" s="657" t="s">
        <v>504</v>
      </c>
      <c r="C3266" s="656" t="s">
        <v>4336</v>
      </c>
      <c r="D3266" s="657"/>
      <c r="E3266" s="657"/>
      <c r="F3266" s="656" t="s">
        <v>505</v>
      </c>
      <c r="G3266" s="656" t="s">
        <v>4324</v>
      </c>
      <c r="H3266" s="656" t="s">
        <v>505</v>
      </c>
      <c r="I3266" s="656"/>
      <c r="J3266" s="656"/>
      <c r="K3266" s="656"/>
      <c r="L3266" s="656"/>
      <c r="M3266" s="657"/>
      <c r="N3266" s="1482"/>
      <c r="O3266" s="656" t="s">
        <v>498</v>
      </c>
      <c r="P3266" s="656" t="s">
        <v>13052</v>
      </c>
      <c r="Q3266" s="656">
        <v>44216.77039351852</v>
      </c>
    </row>
    <row r="3267" spans="1:17">
      <c r="A3267" s="656" t="s">
        <v>4337</v>
      </c>
      <c r="B3267" s="657" t="s">
        <v>504</v>
      </c>
      <c r="C3267" s="656" t="s">
        <v>4338</v>
      </c>
      <c r="D3267" s="657"/>
      <c r="E3267" s="657"/>
      <c r="F3267" s="656" t="s">
        <v>505</v>
      </c>
      <c r="G3267" s="656" t="s">
        <v>4324</v>
      </c>
      <c r="H3267" s="656" t="s">
        <v>505</v>
      </c>
      <c r="I3267" s="656"/>
      <c r="J3267" s="656"/>
      <c r="K3267" s="656"/>
      <c r="L3267" s="656"/>
      <c r="M3267" s="657"/>
      <c r="N3267" s="1482"/>
      <c r="O3267" s="656" t="s">
        <v>498</v>
      </c>
      <c r="P3267" s="656" t="s">
        <v>13052</v>
      </c>
      <c r="Q3267" s="656">
        <v>44216.77039351852</v>
      </c>
    </row>
    <row r="3268" spans="1:17">
      <c r="A3268" s="656" t="s">
        <v>4339</v>
      </c>
      <c r="B3268" s="657" t="s">
        <v>504</v>
      </c>
      <c r="C3268" s="656" t="s">
        <v>4340</v>
      </c>
      <c r="D3268" s="657"/>
      <c r="E3268" s="657"/>
      <c r="F3268" s="656" t="s">
        <v>505</v>
      </c>
      <c r="G3268" s="656" t="s">
        <v>4324</v>
      </c>
      <c r="H3268" s="656" t="s">
        <v>505</v>
      </c>
      <c r="I3268" s="656"/>
      <c r="J3268" s="656"/>
      <c r="K3268" s="656"/>
      <c r="L3268" s="656"/>
      <c r="M3268" s="657"/>
      <c r="N3268" s="1482"/>
      <c r="O3268" s="656" t="s">
        <v>498</v>
      </c>
      <c r="P3268" s="656" t="s">
        <v>13052</v>
      </c>
      <c r="Q3268" s="656">
        <v>44216.770381944443</v>
      </c>
    </row>
    <row r="3269" spans="1:17">
      <c r="A3269" s="656" t="s">
        <v>4341</v>
      </c>
      <c r="B3269" s="657" t="s">
        <v>504</v>
      </c>
      <c r="C3269" s="656" t="s">
        <v>4342</v>
      </c>
      <c r="D3269" s="657"/>
      <c r="E3269" s="657"/>
      <c r="F3269" s="656" t="s">
        <v>505</v>
      </c>
      <c r="G3269" s="656" t="s">
        <v>4324</v>
      </c>
      <c r="H3269" s="656" t="s">
        <v>505</v>
      </c>
      <c r="I3269" s="656"/>
      <c r="J3269" s="656"/>
      <c r="K3269" s="656"/>
      <c r="L3269" s="656"/>
      <c r="M3269" s="657"/>
      <c r="N3269" s="1482"/>
      <c r="O3269" s="656" t="s">
        <v>498</v>
      </c>
      <c r="P3269" s="656" t="s">
        <v>13052</v>
      </c>
      <c r="Q3269" s="656">
        <v>44216.770381944443</v>
      </c>
    </row>
    <row r="3270" spans="1:17">
      <c r="A3270" s="656" t="s">
        <v>4343</v>
      </c>
      <c r="B3270" s="657" t="s">
        <v>504</v>
      </c>
      <c r="C3270" s="656" t="s">
        <v>4344</v>
      </c>
      <c r="D3270" s="657"/>
      <c r="E3270" s="657"/>
      <c r="F3270" s="656" t="s">
        <v>505</v>
      </c>
      <c r="G3270" s="656" t="s">
        <v>4324</v>
      </c>
      <c r="H3270" s="656" t="s">
        <v>505</v>
      </c>
      <c r="I3270" s="656"/>
      <c r="J3270" s="656"/>
      <c r="K3270" s="656"/>
      <c r="L3270" s="656"/>
      <c r="M3270" s="657"/>
      <c r="N3270" s="1482"/>
      <c r="O3270" s="656" t="s">
        <v>498</v>
      </c>
      <c r="P3270" s="656" t="s">
        <v>13052</v>
      </c>
      <c r="Q3270" s="656">
        <v>44216.770370370374</v>
      </c>
    </row>
    <row r="3271" spans="1:17">
      <c r="A3271" s="656" t="s">
        <v>4345</v>
      </c>
      <c r="B3271" s="657" t="s">
        <v>504</v>
      </c>
      <c r="C3271" s="656" t="s">
        <v>4346</v>
      </c>
      <c r="D3271" s="657" t="s">
        <v>14977</v>
      </c>
      <c r="E3271" s="657"/>
      <c r="F3271" s="656"/>
      <c r="G3271" s="656" t="s">
        <v>4347</v>
      </c>
      <c r="H3271" s="656"/>
      <c r="I3271" s="656"/>
      <c r="J3271" s="656"/>
      <c r="K3271" s="656"/>
      <c r="L3271" s="656"/>
      <c r="M3271" s="657"/>
      <c r="N3271" s="1482"/>
      <c r="O3271" s="656" t="s">
        <v>498</v>
      </c>
      <c r="P3271" s="656" t="s">
        <v>13052</v>
      </c>
      <c r="Q3271" s="656">
        <v>44216.770370370374</v>
      </c>
    </row>
    <row r="3272" spans="1:17">
      <c r="A3272" s="656" t="s">
        <v>4348</v>
      </c>
      <c r="B3272" s="657" t="s">
        <v>504</v>
      </c>
      <c r="C3272" s="656" t="s">
        <v>4349</v>
      </c>
      <c r="D3272" s="657" t="s">
        <v>14977</v>
      </c>
      <c r="E3272" s="657"/>
      <c r="F3272" s="656"/>
      <c r="G3272" s="656" t="s">
        <v>4347</v>
      </c>
      <c r="H3272" s="656"/>
      <c r="I3272" s="656"/>
      <c r="J3272" s="656"/>
      <c r="K3272" s="656"/>
      <c r="L3272" s="656"/>
      <c r="M3272" s="657"/>
      <c r="N3272" s="1482"/>
      <c r="O3272" s="656" t="s">
        <v>498</v>
      </c>
      <c r="P3272" s="656" t="s">
        <v>13052</v>
      </c>
      <c r="Q3272" s="656">
        <v>44216.770358796297</v>
      </c>
    </row>
    <row r="3273" spans="1:17">
      <c r="A3273" s="656" t="s">
        <v>4350</v>
      </c>
      <c r="B3273" s="657" t="s">
        <v>504</v>
      </c>
      <c r="C3273" s="656" t="s">
        <v>4351</v>
      </c>
      <c r="D3273" s="657" t="s">
        <v>1239</v>
      </c>
      <c r="E3273" s="657"/>
      <c r="F3273" s="656"/>
      <c r="G3273" s="656" t="s">
        <v>4347</v>
      </c>
      <c r="H3273" s="656"/>
      <c r="I3273" s="656"/>
      <c r="J3273" s="656"/>
      <c r="K3273" s="656"/>
      <c r="L3273" s="656"/>
      <c r="M3273" s="657"/>
      <c r="N3273" s="1482"/>
      <c r="O3273" s="656" t="s">
        <v>498</v>
      </c>
      <c r="P3273" s="656" t="s">
        <v>13052</v>
      </c>
      <c r="Q3273" s="656">
        <v>44216.770358796297</v>
      </c>
    </row>
    <row r="3274" spans="1:17">
      <c r="A3274" s="656" t="s">
        <v>4352</v>
      </c>
      <c r="B3274" s="657" t="s">
        <v>504</v>
      </c>
      <c r="C3274" s="656" t="s">
        <v>4353</v>
      </c>
      <c r="D3274" s="657" t="s">
        <v>14977</v>
      </c>
      <c r="E3274" s="657"/>
      <c r="F3274" s="656"/>
      <c r="G3274" s="656" t="s">
        <v>4347</v>
      </c>
      <c r="H3274" s="656"/>
      <c r="I3274" s="656"/>
      <c r="J3274" s="656"/>
      <c r="K3274" s="656"/>
      <c r="L3274" s="656"/>
      <c r="M3274" s="657"/>
      <c r="N3274" s="1482"/>
      <c r="O3274" s="656" t="s">
        <v>498</v>
      </c>
      <c r="P3274" s="656" t="s">
        <v>13052</v>
      </c>
      <c r="Q3274" s="656">
        <v>44216.77034722222</v>
      </c>
    </row>
    <row r="3275" spans="1:17">
      <c r="A3275" s="656" t="s">
        <v>4354</v>
      </c>
      <c r="B3275" s="657" t="s">
        <v>504</v>
      </c>
      <c r="C3275" s="656" t="s">
        <v>4355</v>
      </c>
      <c r="D3275" s="657" t="s">
        <v>14977</v>
      </c>
      <c r="E3275" s="657"/>
      <c r="F3275" s="656"/>
      <c r="G3275" s="656" t="s">
        <v>4347</v>
      </c>
      <c r="H3275" s="656"/>
      <c r="I3275" s="656"/>
      <c r="J3275" s="656"/>
      <c r="K3275" s="656"/>
      <c r="L3275" s="656"/>
      <c r="M3275" s="657"/>
      <c r="N3275" s="1482"/>
      <c r="O3275" s="656" t="s">
        <v>498</v>
      </c>
      <c r="P3275" s="656" t="s">
        <v>13052</v>
      </c>
      <c r="Q3275" s="656">
        <v>44216.77034722222</v>
      </c>
    </row>
    <row r="3276" spans="1:17">
      <c r="A3276" s="656" t="s">
        <v>4356</v>
      </c>
      <c r="B3276" s="657" t="s">
        <v>504</v>
      </c>
      <c r="C3276" s="656" t="s">
        <v>4357</v>
      </c>
      <c r="D3276" s="657" t="s">
        <v>14977</v>
      </c>
      <c r="E3276" s="657"/>
      <c r="F3276" s="656"/>
      <c r="G3276" s="656" t="s">
        <v>4347</v>
      </c>
      <c r="H3276" s="656"/>
      <c r="I3276" s="656"/>
      <c r="J3276" s="656"/>
      <c r="K3276" s="656"/>
      <c r="L3276" s="656"/>
      <c r="M3276" s="657"/>
      <c r="N3276" s="1482"/>
      <c r="O3276" s="656" t="s">
        <v>498</v>
      </c>
      <c r="P3276" s="656" t="s">
        <v>13052</v>
      </c>
      <c r="Q3276" s="656">
        <v>44216.77034722222</v>
      </c>
    </row>
    <row r="3277" spans="1:17">
      <c r="A3277" s="656" t="s">
        <v>4358</v>
      </c>
      <c r="B3277" s="657" t="s">
        <v>504</v>
      </c>
      <c r="C3277" s="656" t="s">
        <v>4359</v>
      </c>
      <c r="D3277" s="657" t="s">
        <v>14977</v>
      </c>
      <c r="E3277" s="657"/>
      <c r="F3277" s="656"/>
      <c r="G3277" s="656" t="s">
        <v>4347</v>
      </c>
      <c r="H3277" s="656"/>
      <c r="I3277" s="656"/>
      <c r="J3277" s="656"/>
      <c r="K3277" s="656"/>
      <c r="L3277" s="656"/>
      <c r="M3277" s="657"/>
      <c r="N3277" s="1482"/>
      <c r="O3277" s="656" t="s">
        <v>498</v>
      </c>
      <c r="P3277" s="656" t="s">
        <v>13052</v>
      </c>
      <c r="Q3277" s="656">
        <v>44216.770335648151</v>
      </c>
    </row>
    <row r="3278" spans="1:17">
      <c r="A3278" s="656" t="s">
        <v>4360</v>
      </c>
      <c r="B3278" s="657" t="s">
        <v>504</v>
      </c>
      <c r="C3278" s="656" t="s">
        <v>4361</v>
      </c>
      <c r="D3278" s="657" t="s">
        <v>1239</v>
      </c>
      <c r="E3278" s="657"/>
      <c r="F3278" s="656"/>
      <c r="G3278" s="656" t="s">
        <v>4362</v>
      </c>
      <c r="H3278" s="656"/>
      <c r="I3278" s="656"/>
      <c r="J3278" s="656"/>
      <c r="K3278" s="656"/>
      <c r="L3278" s="656"/>
      <c r="M3278" s="657"/>
      <c r="N3278" s="1482"/>
      <c r="O3278" s="656" t="s">
        <v>498</v>
      </c>
      <c r="P3278" s="656" t="s">
        <v>13052</v>
      </c>
      <c r="Q3278" s="656">
        <v>44216.770324074074</v>
      </c>
    </row>
    <row r="3279" spans="1:17">
      <c r="A3279" s="656" t="s">
        <v>4363</v>
      </c>
      <c r="B3279" s="657" t="s">
        <v>504</v>
      </c>
      <c r="C3279" s="656" t="s">
        <v>4364</v>
      </c>
      <c r="D3279" s="657" t="s">
        <v>14977</v>
      </c>
      <c r="E3279" s="657"/>
      <c r="F3279" s="656"/>
      <c r="G3279" s="656" t="s">
        <v>4347</v>
      </c>
      <c r="H3279" s="656"/>
      <c r="I3279" s="656"/>
      <c r="J3279" s="656"/>
      <c r="K3279" s="656"/>
      <c r="L3279" s="656"/>
      <c r="M3279" s="657"/>
      <c r="N3279" s="1482"/>
      <c r="O3279" s="656" t="s">
        <v>498</v>
      </c>
      <c r="P3279" s="656" t="s">
        <v>13052</v>
      </c>
      <c r="Q3279" s="656">
        <v>44216.770324074074</v>
      </c>
    </row>
    <row r="3280" spans="1:17">
      <c r="A3280" s="656" t="s">
        <v>13471</v>
      </c>
      <c r="B3280" s="657" t="s">
        <v>202</v>
      </c>
      <c r="C3280" s="656" t="s">
        <v>13472</v>
      </c>
      <c r="D3280" s="657" t="s">
        <v>14977</v>
      </c>
      <c r="E3280" s="657"/>
      <c r="F3280" s="656"/>
      <c r="G3280" s="656" t="s">
        <v>3757</v>
      </c>
      <c r="H3280" s="656"/>
      <c r="I3280" s="656" t="s">
        <v>14976</v>
      </c>
      <c r="J3280" s="656"/>
      <c r="K3280" s="656"/>
      <c r="L3280" s="656" t="s">
        <v>13471</v>
      </c>
      <c r="M3280" s="657"/>
      <c r="N3280" s="1482"/>
      <c r="O3280" s="656" t="s">
        <v>498</v>
      </c>
      <c r="P3280" s="656" t="s">
        <v>13052</v>
      </c>
      <c r="Q3280" s="656">
        <v>44216.770312499997</v>
      </c>
    </row>
    <row r="3281" spans="1:17">
      <c r="A3281" s="656" t="s">
        <v>4365</v>
      </c>
      <c r="B3281" s="657" t="s">
        <v>504</v>
      </c>
      <c r="C3281" s="656" t="s">
        <v>4366</v>
      </c>
      <c r="D3281" s="657" t="s">
        <v>14977</v>
      </c>
      <c r="E3281" s="657"/>
      <c r="F3281" s="656" t="s">
        <v>1394</v>
      </c>
      <c r="G3281" s="656" t="s">
        <v>625</v>
      </c>
      <c r="H3281" s="656" t="s">
        <v>1394</v>
      </c>
      <c r="I3281" s="656"/>
      <c r="J3281" s="656"/>
      <c r="K3281" s="656"/>
      <c r="L3281" s="656"/>
      <c r="M3281" s="657"/>
      <c r="N3281" s="1482"/>
      <c r="O3281" s="656" t="s">
        <v>498</v>
      </c>
      <c r="P3281" s="656" t="s">
        <v>13052</v>
      </c>
      <c r="Q3281" s="656">
        <v>44216.770312499997</v>
      </c>
    </row>
    <row r="3282" spans="1:17">
      <c r="A3282" s="656" t="s">
        <v>4367</v>
      </c>
      <c r="B3282" s="657" t="s">
        <v>504</v>
      </c>
      <c r="C3282" s="656" t="s">
        <v>4368</v>
      </c>
      <c r="D3282" s="657" t="s">
        <v>14977</v>
      </c>
      <c r="E3282" s="657"/>
      <c r="F3282" s="656"/>
      <c r="G3282" s="656" t="s">
        <v>3410</v>
      </c>
      <c r="H3282" s="656"/>
      <c r="I3282" s="656"/>
      <c r="J3282" s="656"/>
      <c r="K3282" s="656"/>
      <c r="L3282" s="656"/>
      <c r="M3282" s="657"/>
      <c r="N3282" s="1482"/>
      <c r="O3282" s="656" t="s">
        <v>498</v>
      </c>
      <c r="P3282" s="656" t="s">
        <v>13052</v>
      </c>
      <c r="Q3282" s="656">
        <v>44216.770300925928</v>
      </c>
    </row>
    <row r="3283" spans="1:17">
      <c r="A3283" s="656" t="s">
        <v>4369</v>
      </c>
      <c r="B3283" s="657" t="s">
        <v>504</v>
      </c>
      <c r="C3283" s="656" t="s">
        <v>4370</v>
      </c>
      <c r="D3283" s="657" t="s">
        <v>14977</v>
      </c>
      <c r="E3283" s="657"/>
      <c r="F3283" s="656"/>
      <c r="G3283" s="656" t="s">
        <v>3410</v>
      </c>
      <c r="H3283" s="656"/>
      <c r="I3283" s="656"/>
      <c r="J3283" s="656"/>
      <c r="K3283" s="656"/>
      <c r="L3283" s="656"/>
      <c r="M3283" s="657"/>
      <c r="N3283" s="1482"/>
      <c r="O3283" s="656" t="s">
        <v>498</v>
      </c>
      <c r="P3283" s="656" t="s">
        <v>13052</v>
      </c>
      <c r="Q3283" s="656">
        <v>44216.770289351851</v>
      </c>
    </row>
    <row r="3284" spans="1:17">
      <c r="A3284" s="656" t="s">
        <v>4371</v>
      </c>
      <c r="B3284" s="657" t="s">
        <v>504</v>
      </c>
      <c r="C3284" s="656" t="s">
        <v>4372</v>
      </c>
      <c r="D3284" s="657" t="s">
        <v>14977</v>
      </c>
      <c r="E3284" s="657"/>
      <c r="F3284" s="656"/>
      <c r="G3284" s="656" t="s">
        <v>3410</v>
      </c>
      <c r="H3284" s="656"/>
      <c r="I3284" s="656"/>
      <c r="J3284" s="656"/>
      <c r="K3284" s="656"/>
      <c r="L3284" s="656"/>
      <c r="M3284" s="657"/>
      <c r="N3284" s="1482"/>
      <c r="O3284" s="656" t="s">
        <v>498</v>
      </c>
      <c r="P3284" s="656" t="s">
        <v>13052</v>
      </c>
      <c r="Q3284" s="656">
        <v>44216.770289351851</v>
      </c>
    </row>
    <row r="3285" spans="1:17">
      <c r="A3285" s="656" t="s">
        <v>4373</v>
      </c>
      <c r="B3285" s="657" t="s">
        <v>504</v>
      </c>
      <c r="C3285" s="656" t="s">
        <v>4374</v>
      </c>
      <c r="D3285" s="657" t="s">
        <v>14977</v>
      </c>
      <c r="E3285" s="657"/>
      <c r="F3285" s="656"/>
      <c r="G3285" s="656" t="s">
        <v>4375</v>
      </c>
      <c r="H3285" s="656"/>
      <c r="I3285" s="656"/>
      <c r="J3285" s="656"/>
      <c r="K3285" s="656"/>
      <c r="L3285" s="656"/>
      <c r="M3285" s="657"/>
      <c r="N3285" s="1482"/>
      <c r="O3285" s="656" t="s">
        <v>498</v>
      </c>
      <c r="P3285" s="656" t="s">
        <v>13052</v>
      </c>
      <c r="Q3285" s="656">
        <v>44216.770289351851</v>
      </c>
    </row>
    <row r="3286" spans="1:17">
      <c r="A3286" s="656" t="s">
        <v>4376</v>
      </c>
      <c r="B3286" s="657" t="s">
        <v>504</v>
      </c>
      <c r="C3286" s="656" t="s">
        <v>4377</v>
      </c>
      <c r="D3286" s="657" t="s">
        <v>14977</v>
      </c>
      <c r="E3286" s="657"/>
      <c r="F3286" s="656"/>
      <c r="G3286" s="656" t="s">
        <v>4375</v>
      </c>
      <c r="H3286" s="656"/>
      <c r="I3286" s="656"/>
      <c r="J3286" s="656"/>
      <c r="K3286" s="656"/>
      <c r="L3286" s="656"/>
      <c r="M3286" s="657"/>
      <c r="N3286" s="1482"/>
      <c r="O3286" s="656" t="s">
        <v>498</v>
      </c>
      <c r="P3286" s="656" t="s">
        <v>13052</v>
      </c>
      <c r="Q3286" s="656">
        <v>44216.770277777781</v>
      </c>
    </row>
    <row r="3287" spans="1:17">
      <c r="A3287" s="656" t="s">
        <v>4378</v>
      </c>
      <c r="B3287" s="657" t="s">
        <v>504</v>
      </c>
      <c r="C3287" s="656" t="s">
        <v>4379</v>
      </c>
      <c r="D3287" s="657"/>
      <c r="E3287" s="657"/>
      <c r="F3287" s="656" t="s">
        <v>505</v>
      </c>
      <c r="G3287" s="656" t="s">
        <v>4191</v>
      </c>
      <c r="H3287" s="656" t="s">
        <v>505</v>
      </c>
      <c r="I3287" s="656"/>
      <c r="J3287" s="656"/>
      <c r="K3287" s="656"/>
      <c r="L3287" s="656"/>
      <c r="M3287" s="657"/>
      <c r="N3287" s="1482"/>
      <c r="O3287" s="656" t="s">
        <v>498</v>
      </c>
      <c r="P3287" s="656" t="s">
        <v>13052</v>
      </c>
      <c r="Q3287" s="656">
        <v>44216.770277777781</v>
      </c>
    </row>
    <row r="3288" spans="1:17">
      <c r="A3288" s="656" t="s">
        <v>4380</v>
      </c>
      <c r="B3288" s="657"/>
      <c r="C3288" s="656" t="s">
        <v>4381</v>
      </c>
      <c r="D3288" s="657" t="s">
        <v>14977</v>
      </c>
      <c r="E3288" s="657"/>
      <c r="F3288" s="656"/>
      <c r="G3288" s="656" t="s">
        <v>4198</v>
      </c>
      <c r="H3288" s="656"/>
      <c r="I3288" s="656" t="s">
        <v>14976</v>
      </c>
      <c r="J3288" s="656"/>
      <c r="K3288" s="656"/>
      <c r="L3288" s="656" t="s">
        <v>4380</v>
      </c>
      <c r="M3288" s="657"/>
      <c r="N3288" s="1482"/>
      <c r="O3288" s="656" t="s">
        <v>498</v>
      </c>
      <c r="P3288" s="656" t="s">
        <v>13052</v>
      </c>
      <c r="Q3288" s="656">
        <v>44216.770266203705</v>
      </c>
    </row>
    <row r="3289" spans="1:17">
      <c r="A3289" s="656" t="s">
        <v>4382</v>
      </c>
      <c r="B3289" s="657"/>
      <c r="C3289" s="656" t="s">
        <v>4383</v>
      </c>
      <c r="D3289" s="657" t="s">
        <v>14977</v>
      </c>
      <c r="E3289" s="657"/>
      <c r="F3289" s="656"/>
      <c r="G3289" s="656" t="s">
        <v>4198</v>
      </c>
      <c r="H3289" s="656"/>
      <c r="I3289" s="656" t="s">
        <v>14976</v>
      </c>
      <c r="J3289" s="656"/>
      <c r="K3289" s="656"/>
      <c r="L3289" s="656" t="s">
        <v>4382</v>
      </c>
      <c r="M3289" s="657"/>
      <c r="N3289" s="1482"/>
      <c r="O3289" s="656" t="s">
        <v>498</v>
      </c>
      <c r="P3289" s="656" t="s">
        <v>13052</v>
      </c>
      <c r="Q3289" s="656">
        <v>44216.770266203705</v>
      </c>
    </row>
    <row r="3290" spans="1:17">
      <c r="A3290" s="656" t="s">
        <v>4384</v>
      </c>
      <c r="B3290" s="657"/>
      <c r="C3290" s="656" t="s">
        <v>4385</v>
      </c>
      <c r="D3290" s="657" t="s">
        <v>14977</v>
      </c>
      <c r="E3290" s="657"/>
      <c r="F3290" s="656"/>
      <c r="G3290" s="656" t="s">
        <v>4198</v>
      </c>
      <c r="H3290" s="656"/>
      <c r="I3290" s="656" t="s">
        <v>14976</v>
      </c>
      <c r="J3290" s="656"/>
      <c r="K3290" s="656"/>
      <c r="L3290" s="656" t="s">
        <v>4384</v>
      </c>
      <c r="M3290" s="657"/>
      <c r="N3290" s="1482"/>
      <c r="O3290" s="656" t="s">
        <v>498</v>
      </c>
      <c r="P3290" s="656" t="s">
        <v>13052</v>
      </c>
      <c r="Q3290" s="656">
        <v>44216.770254629628</v>
      </c>
    </row>
    <row r="3291" spans="1:17">
      <c r="A3291" s="656" t="s">
        <v>4386</v>
      </c>
      <c r="B3291" s="657"/>
      <c r="C3291" s="656" t="s">
        <v>4387</v>
      </c>
      <c r="D3291" s="657" t="s">
        <v>14977</v>
      </c>
      <c r="E3291" s="657"/>
      <c r="F3291" s="656"/>
      <c r="G3291" s="656" t="s">
        <v>4198</v>
      </c>
      <c r="H3291" s="656"/>
      <c r="I3291" s="656" t="s">
        <v>14976</v>
      </c>
      <c r="J3291" s="656"/>
      <c r="K3291" s="656"/>
      <c r="L3291" s="656" t="s">
        <v>4386</v>
      </c>
      <c r="M3291" s="657"/>
      <c r="N3291" s="1482"/>
      <c r="O3291" s="656" t="s">
        <v>498</v>
      </c>
      <c r="P3291" s="656" t="s">
        <v>13052</v>
      </c>
      <c r="Q3291" s="656">
        <v>44216.770254629628</v>
      </c>
    </row>
    <row r="3292" spans="1:17">
      <c r="A3292" s="656" t="s">
        <v>4388</v>
      </c>
      <c r="B3292" s="657"/>
      <c r="C3292" s="656" t="s">
        <v>4389</v>
      </c>
      <c r="D3292" s="657" t="s">
        <v>14977</v>
      </c>
      <c r="E3292" s="657"/>
      <c r="F3292" s="656"/>
      <c r="G3292" s="656" t="s">
        <v>4198</v>
      </c>
      <c r="H3292" s="656"/>
      <c r="I3292" s="656" t="s">
        <v>14976</v>
      </c>
      <c r="J3292" s="656"/>
      <c r="K3292" s="656"/>
      <c r="L3292" s="656" t="s">
        <v>4388</v>
      </c>
      <c r="M3292" s="657"/>
      <c r="N3292" s="1482"/>
      <c r="O3292" s="656" t="s">
        <v>498</v>
      </c>
      <c r="P3292" s="656" t="s">
        <v>13052</v>
      </c>
      <c r="Q3292" s="656">
        <v>44216.770243055558</v>
      </c>
    </row>
    <row r="3293" spans="1:17">
      <c r="A3293" s="656" t="s">
        <v>4390</v>
      </c>
      <c r="B3293" s="657"/>
      <c r="C3293" s="656" t="s">
        <v>4391</v>
      </c>
      <c r="D3293" s="657" t="s">
        <v>14977</v>
      </c>
      <c r="E3293" s="657"/>
      <c r="F3293" s="656"/>
      <c r="G3293" s="656" t="s">
        <v>4198</v>
      </c>
      <c r="H3293" s="656"/>
      <c r="I3293" s="656" t="s">
        <v>14976</v>
      </c>
      <c r="J3293" s="656"/>
      <c r="K3293" s="656"/>
      <c r="L3293" s="656" t="s">
        <v>4390</v>
      </c>
      <c r="M3293" s="657"/>
      <c r="N3293" s="1482"/>
      <c r="O3293" s="656" t="s">
        <v>498</v>
      </c>
      <c r="P3293" s="656" t="s">
        <v>13052</v>
      </c>
      <c r="Q3293" s="656">
        <v>44216.770243055558</v>
      </c>
    </row>
    <row r="3294" spans="1:17">
      <c r="A3294" s="656" t="s">
        <v>4392</v>
      </c>
      <c r="B3294" s="657" t="s">
        <v>504</v>
      </c>
      <c r="C3294" s="656" t="s">
        <v>4393</v>
      </c>
      <c r="D3294" s="657"/>
      <c r="E3294" s="657"/>
      <c r="F3294" s="656" t="s">
        <v>505</v>
      </c>
      <c r="G3294" s="656" t="s">
        <v>4394</v>
      </c>
      <c r="H3294" s="656" t="s">
        <v>505</v>
      </c>
      <c r="I3294" s="656"/>
      <c r="J3294" s="656"/>
      <c r="K3294" s="656"/>
      <c r="L3294" s="656"/>
      <c r="M3294" s="657"/>
      <c r="N3294" s="1482"/>
      <c r="O3294" s="656" t="s">
        <v>498</v>
      </c>
      <c r="P3294" s="656" t="s">
        <v>13052</v>
      </c>
      <c r="Q3294" s="656">
        <v>44216.770231481481</v>
      </c>
    </row>
    <row r="3295" spans="1:17">
      <c r="A3295" s="656" t="s">
        <v>4395</v>
      </c>
      <c r="B3295" s="657" t="s">
        <v>504</v>
      </c>
      <c r="C3295" s="656" t="s">
        <v>4396</v>
      </c>
      <c r="D3295" s="657"/>
      <c r="E3295" s="657"/>
      <c r="F3295" s="656" t="s">
        <v>505</v>
      </c>
      <c r="G3295" s="656" t="s">
        <v>4324</v>
      </c>
      <c r="H3295" s="656" t="s">
        <v>505</v>
      </c>
      <c r="I3295" s="656"/>
      <c r="J3295" s="656"/>
      <c r="K3295" s="656"/>
      <c r="L3295" s="656"/>
      <c r="M3295" s="657"/>
      <c r="N3295" s="1482"/>
      <c r="O3295" s="656" t="s">
        <v>498</v>
      </c>
      <c r="P3295" s="656" t="s">
        <v>13052</v>
      </c>
      <c r="Q3295" s="656">
        <v>44216.770231481481</v>
      </c>
    </row>
    <row r="3296" spans="1:17">
      <c r="A3296" s="656" t="s">
        <v>4397</v>
      </c>
      <c r="B3296" s="657" t="s">
        <v>504</v>
      </c>
      <c r="C3296" s="656" t="s">
        <v>4398</v>
      </c>
      <c r="D3296" s="657" t="s">
        <v>14977</v>
      </c>
      <c r="E3296" s="657"/>
      <c r="F3296" s="656"/>
      <c r="G3296" s="656" t="s">
        <v>4362</v>
      </c>
      <c r="H3296" s="656"/>
      <c r="I3296" s="656"/>
      <c r="J3296" s="656"/>
      <c r="K3296" s="656"/>
      <c r="L3296" s="656"/>
      <c r="M3296" s="657"/>
      <c r="N3296" s="1482"/>
      <c r="O3296" s="656" t="s">
        <v>498</v>
      </c>
      <c r="P3296" s="656" t="s">
        <v>13052</v>
      </c>
      <c r="Q3296" s="656">
        <v>44216.770219907405</v>
      </c>
    </row>
    <row r="3297" spans="1:17">
      <c r="A3297" s="656" t="s">
        <v>4399</v>
      </c>
      <c r="B3297" s="657" t="s">
        <v>504</v>
      </c>
      <c r="C3297" s="656" t="s">
        <v>4400</v>
      </c>
      <c r="D3297" s="657" t="s">
        <v>14977</v>
      </c>
      <c r="E3297" s="657"/>
      <c r="F3297" s="656"/>
      <c r="G3297" s="656" t="s">
        <v>4347</v>
      </c>
      <c r="H3297" s="656"/>
      <c r="I3297" s="656"/>
      <c r="J3297" s="656"/>
      <c r="K3297" s="656"/>
      <c r="L3297" s="656"/>
      <c r="M3297" s="657"/>
      <c r="N3297" s="1482"/>
      <c r="O3297" s="656" t="s">
        <v>498</v>
      </c>
      <c r="P3297" s="656" t="s">
        <v>13052</v>
      </c>
      <c r="Q3297" s="656">
        <v>44216.770219907405</v>
      </c>
    </row>
    <row r="3298" spans="1:17">
      <c r="A3298" s="656" t="s">
        <v>4401</v>
      </c>
      <c r="B3298" s="657" t="s">
        <v>504</v>
      </c>
      <c r="C3298" s="656" t="s">
        <v>4402</v>
      </c>
      <c r="D3298" s="657" t="s">
        <v>14977</v>
      </c>
      <c r="E3298" s="657"/>
      <c r="F3298" s="656"/>
      <c r="G3298" s="656" t="s">
        <v>4347</v>
      </c>
      <c r="H3298" s="656"/>
      <c r="I3298" s="656"/>
      <c r="J3298" s="656"/>
      <c r="K3298" s="656"/>
      <c r="L3298" s="656"/>
      <c r="M3298" s="657"/>
      <c r="N3298" s="1482"/>
      <c r="O3298" s="656" t="s">
        <v>498</v>
      </c>
      <c r="P3298" s="656" t="s">
        <v>13052</v>
      </c>
      <c r="Q3298" s="656">
        <v>44216.770219907405</v>
      </c>
    </row>
    <row r="3299" spans="1:17">
      <c r="A3299" s="656" t="s">
        <v>4403</v>
      </c>
      <c r="B3299" s="657" t="s">
        <v>504</v>
      </c>
      <c r="C3299" s="656" t="s">
        <v>4404</v>
      </c>
      <c r="D3299" s="657"/>
      <c r="E3299" s="657"/>
      <c r="F3299" s="656" t="s">
        <v>505</v>
      </c>
      <c r="G3299" s="656" t="s">
        <v>4324</v>
      </c>
      <c r="H3299" s="656" t="s">
        <v>505</v>
      </c>
      <c r="I3299" s="656"/>
      <c r="J3299" s="656"/>
      <c r="K3299" s="656"/>
      <c r="L3299" s="656"/>
      <c r="M3299" s="657"/>
      <c r="N3299" s="1482"/>
      <c r="O3299" s="656" t="s">
        <v>498</v>
      </c>
      <c r="P3299" s="656" t="s">
        <v>13052</v>
      </c>
      <c r="Q3299" s="656">
        <v>44216.770208333335</v>
      </c>
    </row>
    <row r="3300" spans="1:17">
      <c r="A3300" s="656" t="s">
        <v>4405</v>
      </c>
      <c r="B3300" s="657" t="s">
        <v>202</v>
      </c>
      <c r="C3300" s="656" t="s">
        <v>4406</v>
      </c>
      <c r="D3300" s="657" t="s">
        <v>14977</v>
      </c>
      <c r="E3300" s="657"/>
      <c r="F3300" s="656" t="s">
        <v>655</v>
      </c>
      <c r="G3300" s="656"/>
      <c r="H3300" s="656" t="s">
        <v>655</v>
      </c>
      <c r="I3300" s="656" t="s">
        <v>14976</v>
      </c>
      <c r="J3300" s="656" t="s">
        <v>15281</v>
      </c>
      <c r="K3300" s="656"/>
      <c r="L3300" s="656" t="s">
        <v>4405</v>
      </c>
      <c r="M3300" s="657"/>
      <c r="N3300" s="1482"/>
      <c r="O3300" s="656" t="s">
        <v>498</v>
      </c>
      <c r="P3300" s="656" t="s">
        <v>13052</v>
      </c>
      <c r="Q3300" s="656">
        <v>44216.770208333335</v>
      </c>
    </row>
    <row r="3301" spans="1:17">
      <c r="A3301" s="656" t="s">
        <v>4407</v>
      </c>
      <c r="B3301" s="657" t="s">
        <v>504</v>
      </c>
      <c r="C3301" s="656" t="s">
        <v>4408</v>
      </c>
      <c r="D3301" s="657"/>
      <c r="E3301" s="657"/>
      <c r="F3301" s="656" t="s">
        <v>505</v>
      </c>
      <c r="G3301" s="656" t="s">
        <v>4324</v>
      </c>
      <c r="H3301" s="656" t="s">
        <v>505</v>
      </c>
      <c r="I3301" s="656"/>
      <c r="J3301" s="656"/>
      <c r="K3301" s="656"/>
      <c r="L3301" s="656"/>
      <c r="M3301" s="657"/>
      <c r="N3301" s="1482"/>
      <c r="O3301" s="656" t="s">
        <v>498</v>
      </c>
      <c r="P3301" s="656" t="s">
        <v>13052</v>
      </c>
      <c r="Q3301" s="656">
        <v>44216.770196759258</v>
      </c>
    </row>
    <row r="3302" spans="1:17">
      <c r="A3302" s="656" t="s">
        <v>4409</v>
      </c>
      <c r="B3302" s="657" t="s">
        <v>504</v>
      </c>
      <c r="C3302" s="656" t="s">
        <v>4410</v>
      </c>
      <c r="D3302" s="657"/>
      <c r="E3302" s="657"/>
      <c r="F3302" s="656" t="s">
        <v>505</v>
      </c>
      <c r="G3302" s="656" t="s">
        <v>4324</v>
      </c>
      <c r="H3302" s="656" t="s">
        <v>505</v>
      </c>
      <c r="I3302" s="656"/>
      <c r="J3302" s="656"/>
      <c r="K3302" s="656"/>
      <c r="L3302" s="656"/>
      <c r="M3302" s="657"/>
      <c r="N3302" s="1482"/>
      <c r="O3302" s="656" t="s">
        <v>498</v>
      </c>
      <c r="P3302" s="656" t="s">
        <v>13052</v>
      </c>
      <c r="Q3302" s="656">
        <v>44216.770208333335</v>
      </c>
    </row>
    <row r="3303" spans="1:17">
      <c r="A3303" s="656" t="s">
        <v>4411</v>
      </c>
      <c r="B3303" s="657" t="s">
        <v>504</v>
      </c>
      <c r="C3303" s="656" t="s">
        <v>4412</v>
      </c>
      <c r="D3303" s="657"/>
      <c r="E3303" s="657"/>
      <c r="F3303" s="656" t="s">
        <v>505</v>
      </c>
      <c r="G3303" s="656" t="s">
        <v>4394</v>
      </c>
      <c r="H3303" s="656" t="s">
        <v>505</v>
      </c>
      <c r="I3303" s="656"/>
      <c r="J3303" s="656"/>
      <c r="K3303" s="656"/>
      <c r="L3303" s="656"/>
      <c r="M3303" s="657"/>
      <c r="N3303" s="1482"/>
      <c r="O3303" s="656" t="s">
        <v>498</v>
      </c>
      <c r="P3303" s="656" t="s">
        <v>13052</v>
      </c>
      <c r="Q3303" s="656">
        <v>44216.770196759258</v>
      </c>
    </row>
    <row r="3304" spans="1:17">
      <c r="A3304" s="656" t="s">
        <v>4413</v>
      </c>
      <c r="B3304" s="657" t="s">
        <v>202</v>
      </c>
      <c r="C3304" s="656" t="s">
        <v>4414</v>
      </c>
      <c r="D3304" s="657" t="s">
        <v>14977</v>
      </c>
      <c r="E3304" s="657"/>
      <c r="F3304" s="656" t="s">
        <v>1300</v>
      </c>
      <c r="G3304" s="656" t="s">
        <v>1301</v>
      </c>
      <c r="H3304" s="656" t="s">
        <v>1300</v>
      </c>
      <c r="I3304" s="656" t="s">
        <v>14976</v>
      </c>
      <c r="J3304" s="656" t="s">
        <v>15285</v>
      </c>
      <c r="K3304" s="656"/>
      <c r="L3304" s="656" t="s">
        <v>4413</v>
      </c>
      <c r="M3304" s="657"/>
      <c r="N3304" s="1482"/>
      <c r="O3304" s="656" t="s">
        <v>498</v>
      </c>
      <c r="P3304" s="656" t="s">
        <v>13052</v>
      </c>
      <c r="Q3304" s="656">
        <v>44216.770185185182</v>
      </c>
    </row>
    <row r="3305" spans="1:17">
      <c r="A3305" s="656" t="s">
        <v>4415</v>
      </c>
      <c r="B3305" s="657" t="s">
        <v>504</v>
      </c>
      <c r="C3305" s="656" t="s">
        <v>4416</v>
      </c>
      <c r="D3305" s="657" t="s">
        <v>13789</v>
      </c>
      <c r="E3305" s="657" t="s">
        <v>7439</v>
      </c>
      <c r="F3305" s="656" t="s">
        <v>505</v>
      </c>
      <c r="G3305" s="656" t="s">
        <v>525</v>
      </c>
      <c r="H3305" s="656" t="s">
        <v>505</v>
      </c>
      <c r="I3305" s="656" t="s">
        <v>14976</v>
      </c>
      <c r="J3305" s="656"/>
      <c r="K3305" s="656"/>
      <c r="L3305" s="656"/>
      <c r="M3305" s="657"/>
      <c r="N3305" s="1482"/>
      <c r="O3305" s="656" t="s">
        <v>498</v>
      </c>
      <c r="P3305" s="656" t="s">
        <v>13052</v>
      </c>
      <c r="Q3305" s="656">
        <v>44216.770185185182</v>
      </c>
    </row>
    <row r="3306" spans="1:17">
      <c r="A3306" s="656" t="s">
        <v>4417</v>
      </c>
      <c r="B3306" s="657" t="s">
        <v>504</v>
      </c>
      <c r="C3306" s="656" t="s">
        <v>4418</v>
      </c>
      <c r="D3306" s="657" t="s">
        <v>14978</v>
      </c>
      <c r="E3306" s="657" t="s">
        <v>7439</v>
      </c>
      <c r="F3306" s="656" t="s">
        <v>505</v>
      </c>
      <c r="G3306" s="656" t="s">
        <v>525</v>
      </c>
      <c r="H3306" s="656" t="s">
        <v>505</v>
      </c>
      <c r="I3306" s="656" t="s">
        <v>14976</v>
      </c>
      <c r="J3306" s="656"/>
      <c r="K3306" s="656"/>
      <c r="L3306" s="656" t="s">
        <v>15303</v>
      </c>
      <c r="M3306" s="657"/>
      <c r="N3306" s="1482"/>
      <c r="O3306" s="656" t="s">
        <v>498</v>
      </c>
      <c r="P3306" s="656" t="s">
        <v>13052</v>
      </c>
      <c r="Q3306" s="656">
        <v>44216.770173611112</v>
      </c>
    </row>
    <row r="3307" spans="1:17">
      <c r="A3307" s="656" t="s">
        <v>4419</v>
      </c>
      <c r="B3307" s="657" t="s">
        <v>504</v>
      </c>
      <c r="C3307" s="656" t="s">
        <v>15302</v>
      </c>
      <c r="D3307" s="657" t="s">
        <v>13789</v>
      </c>
      <c r="E3307" s="657" t="s">
        <v>9654</v>
      </c>
      <c r="F3307" s="656" t="s">
        <v>505</v>
      </c>
      <c r="G3307" s="656" t="s">
        <v>525</v>
      </c>
      <c r="H3307" s="656" t="s">
        <v>505</v>
      </c>
      <c r="I3307" s="656" t="s">
        <v>14976</v>
      </c>
      <c r="J3307" s="656"/>
      <c r="K3307" s="656"/>
      <c r="L3307" s="656"/>
      <c r="M3307" s="657"/>
      <c r="N3307" s="1482"/>
      <c r="O3307" s="656" t="s">
        <v>498</v>
      </c>
      <c r="P3307" s="656" t="s">
        <v>13052</v>
      </c>
      <c r="Q3307" s="656">
        <v>44216.770162037035</v>
      </c>
    </row>
    <row r="3308" spans="1:17">
      <c r="A3308" s="656" t="s">
        <v>4420</v>
      </c>
      <c r="B3308" s="657"/>
      <c r="C3308" s="656" t="s">
        <v>4421</v>
      </c>
      <c r="D3308" s="657" t="s">
        <v>14978</v>
      </c>
      <c r="E3308" s="657"/>
      <c r="F3308" s="656"/>
      <c r="G3308" s="656" t="s">
        <v>3410</v>
      </c>
      <c r="H3308" s="656"/>
      <c r="I3308" s="656" t="s">
        <v>14976</v>
      </c>
      <c r="J3308" s="656"/>
      <c r="K3308" s="656"/>
      <c r="L3308" s="656" t="s">
        <v>4485</v>
      </c>
      <c r="M3308" s="657"/>
      <c r="N3308" s="1482"/>
      <c r="O3308" s="656" t="s">
        <v>498</v>
      </c>
      <c r="P3308" s="656" t="s">
        <v>13052</v>
      </c>
      <c r="Q3308" s="656">
        <v>44216.770162037035</v>
      </c>
    </row>
    <row r="3309" spans="1:17">
      <c r="A3309" s="656" t="s">
        <v>4422</v>
      </c>
      <c r="B3309" s="657"/>
      <c r="C3309" s="656" t="s">
        <v>4423</v>
      </c>
      <c r="D3309" s="657" t="s">
        <v>14978</v>
      </c>
      <c r="E3309" s="657"/>
      <c r="F3309" s="656"/>
      <c r="G3309" s="656" t="s">
        <v>3410</v>
      </c>
      <c r="H3309" s="656"/>
      <c r="I3309" s="656" t="s">
        <v>14976</v>
      </c>
      <c r="J3309" s="656"/>
      <c r="K3309" s="656"/>
      <c r="L3309" s="656" t="s">
        <v>4485</v>
      </c>
      <c r="M3309" s="657"/>
      <c r="N3309" s="1482"/>
      <c r="O3309" s="656" t="s">
        <v>498</v>
      </c>
      <c r="P3309" s="656" t="s">
        <v>13052</v>
      </c>
      <c r="Q3309" s="656">
        <v>44216.770162037035</v>
      </c>
    </row>
    <row r="3310" spans="1:17">
      <c r="A3310" s="656" t="s">
        <v>4424</v>
      </c>
      <c r="B3310" s="657"/>
      <c r="C3310" s="656" t="s">
        <v>4425</v>
      </c>
      <c r="D3310" s="657" t="s">
        <v>14978</v>
      </c>
      <c r="E3310" s="657"/>
      <c r="F3310" s="656"/>
      <c r="G3310" s="656" t="s">
        <v>3410</v>
      </c>
      <c r="H3310" s="656"/>
      <c r="I3310" s="656" t="s">
        <v>14976</v>
      </c>
      <c r="J3310" s="656"/>
      <c r="K3310" s="656"/>
      <c r="L3310" s="656" t="s">
        <v>4485</v>
      </c>
      <c r="M3310" s="657"/>
      <c r="N3310" s="1482"/>
      <c r="O3310" s="656" t="s">
        <v>498</v>
      </c>
      <c r="P3310" s="656" t="s">
        <v>13052</v>
      </c>
      <c r="Q3310" s="656">
        <v>44216.770150462966</v>
      </c>
    </row>
    <row r="3311" spans="1:17">
      <c r="A3311" s="656" t="s">
        <v>4426</v>
      </c>
      <c r="B3311" s="657"/>
      <c r="C3311" s="656" t="s">
        <v>4427</v>
      </c>
      <c r="D3311" s="657" t="s">
        <v>14978</v>
      </c>
      <c r="E3311" s="657"/>
      <c r="F3311" s="656"/>
      <c r="G3311" s="656" t="s">
        <v>3410</v>
      </c>
      <c r="H3311" s="656"/>
      <c r="I3311" s="656" t="s">
        <v>14976</v>
      </c>
      <c r="J3311" s="656"/>
      <c r="K3311" s="656"/>
      <c r="L3311" s="656" t="s">
        <v>4485</v>
      </c>
      <c r="M3311" s="657"/>
      <c r="N3311" s="1482"/>
      <c r="O3311" s="656" t="s">
        <v>498</v>
      </c>
      <c r="P3311" s="656" t="s">
        <v>13052</v>
      </c>
      <c r="Q3311" s="656">
        <v>44216.770150462966</v>
      </c>
    </row>
    <row r="3312" spans="1:17">
      <c r="A3312" s="656" t="s">
        <v>4428</v>
      </c>
      <c r="B3312" s="657"/>
      <c r="C3312" s="656" t="s">
        <v>4429</v>
      </c>
      <c r="D3312" s="657" t="s">
        <v>14978</v>
      </c>
      <c r="E3312" s="657"/>
      <c r="F3312" s="656"/>
      <c r="G3312" s="656" t="s">
        <v>3410</v>
      </c>
      <c r="H3312" s="656"/>
      <c r="I3312" s="656" t="s">
        <v>14976</v>
      </c>
      <c r="J3312" s="656"/>
      <c r="K3312" s="656"/>
      <c r="L3312" s="656" t="s">
        <v>4485</v>
      </c>
      <c r="M3312" s="657"/>
      <c r="N3312" s="1482"/>
      <c r="O3312" s="656" t="s">
        <v>498</v>
      </c>
      <c r="P3312" s="656" t="s">
        <v>13052</v>
      </c>
      <c r="Q3312" s="656">
        <v>44216.770138888889</v>
      </c>
    </row>
    <row r="3313" spans="1:17">
      <c r="A3313" s="656" t="s">
        <v>13470</v>
      </c>
      <c r="B3313" s="657"/>
      <c r="C3313" s="656" t="s">
        <v>4430</v>
      </c>
      <c r="D3313" s="657" t="s">
        <v>14978</v>
      </c>
      <c r="E3313" s="657"/>
      <c r="F3313" s="656"/>
      <c r="G3313" s="656" t="s">
        <v>3410</v>
      </c>
      <c r="H3313" s="656"/>
      <c r="I3313" s="656" t="s">
        <v>14976</v>
      </c>
      <c r="J3313" s="656"/>
      <c r="K3313" s="656"/>
      <c r="L3313" s="656" t="s">
        <v>4485</v>
      </c>
      <c r="M3313" s="657"/>
      <c r="N3313" s="1482"/>
      <c r="O3313" s="656" t="s">
        <v>498</v>
      </c>
      <c r="P3313" s="656" t="s">
        <v>13052</v>
      </c>
      <c r="Q3313" s="656">
        <v>44216.770138888889</v>
      </c>
    </row>
    <row r="3314" spans="1:17">
      <c r="A3314" s="656" t="s">
        <v>4431</v>
      </c>
      <c r="B3314" s="657"/>
      <c r="C3314" s="656" t="s">
        <v>4432</v>
      </c>
      <c r="D3314" s="657" t="s">
        <v>14978</v>
      </c>
      <c r="E3314" s="657"/>
      <c r="F3314" s="656"/>
      <c r="G3314" s="656" t="s">
        <v>3410</v>
      </c>
      <c r="H3314" s="656"/>
      <c r="I3314" s="656" t="s">
        <v>14976</v>
      </c>
      <c r="J3314" s="656"/>
      <c r="K3314" s="656"/>
      <c r="L3314" s="656" t="s">
        <v>4485</v>
      </c>
      <c r="M3314" s="657"/>
      <c r="N3314" s="1482"/>
      <c r="O3314" s="656" t="s">
        <v>498</v>
      </c>
      <c r="P3314" s="656" t="s">
        <v>13052</v>
      </c>
      <c r="Q3314" s="656">
        <v>44216.770127314812</v>
      </c>
    </row>
    <row r="3315" spans="1:17">
      <c r="A3315" s="656" t="s">
        <v>4433</v>
      </c>
      <c r="B3315" s="657"/>
      <c r="C3315" s="656" t="s">
        <v>4434</v>
      </c>
      <c r="D3315" s="657" t="s">
        <v>14978</v>
      </c>
      <c r="E3315" s="657"/>
      <c r="F3315" s="656"/>
      <c r="G3315" s="656" t="s">
        <v>3410</v>
      </c>
      <c r="H3315" s="656"/>
      <c r="I3315" s="656" t="s">
        <v>14976</v>
      </c>
      <c r="J3315" s="656"/>
      <c r="K3315" s="656"/>
      <c r="L3315" s="656" t="s">
        <v>4485</v>
      </c>
      <c r="M3315" s="657"/>
      <c r="N3315" s="1482"/>
      <c r="O3315" s="656" t="s">
        <v>498</v>
      </c>
      <c r="P3315" s="656" t="s">
        <v>13052</v>
      </c>
      <c r="Q3315" s="656">
        <v>44216.770115740743</v>
      </c>
    </row>
    <row r="3316" spans="1:17">
      <c r="A3316" s="656" t="s">
        <v>4435</v>
      </c>
      <c r="B3316" s="657"/>
      <c r="C3316" s="656" t="s">
        <v>4436</v>
      </c>
      <c r="D3316" s="657" t="s">
        <v>14978</v>
      </c>
      <c r="E3316" s="657"/>
      <c r="F3316" s="656"/>
      <c r="G3316" s="656" t="s">
        <v>3410</v>
      </c>
      <c r="H3316" s="656"/>
      <c r="I3316" s="656" t="s">
        <v>14976</v>
      </c>
      <c r="J3316" s="656"/>
      <c r="K3316" s="656"/>
      <c r="L3316" s="656" t="s">
        <v>4485</v>
      </c>
      <c r="M3316" s="657"/>
      <c r="N3316" s="1482"/>
      <c r="O3316" s="656" t="s">
        <v>498</v>
      </c>
      <c r="P3316" s="656" t="s">
        <v>13052</v>
      </c>
      <c r="Q3316" s="656">
        <v>44216.770115740743</v>
      </c>
    </row>
    <row r="3317" spans="1:17">
      <c r="A3317" s="656" t="s">
        <v>4437</v>
      </c>
      <c r="B3317" s="657"/>
      <c r="C3317" s="656" t="s">
        <v>4438</v>
      </c>
      <c r="D3317" s="657" t="s">
        <v>14978</v>
      </c>
      <c r="E3317" s="657"/>
      <c r="F3317" s="656"/>
      <c r="G3317" s="656" t="s">
        <v>3410</v>
      </c>
      <c r="H3317" s="656"/>
      <c r="I3317" s="656" t="s">
        <v>14976</v>
      </c>
      <c r="J3317" s="656"/>
      <c r="K3317" s="656"/>
      <c r="L3317" s="656" t="s">
        <v>4485</v>
      </c>
      <c r="M3317" s="657"/>
      <c r="N3317" s="1482"/>
      <c r="O3317" s="656" t="s">
        <v>498</v>
      </c>
      <c r="P3317" s="656" t="s">
        <v>13052</v>
      </c>
      <c r="Q3317" s="656">
        <v>44216.770115740743</v>
      </c>
    </row>
    <row r="3318" spans="1:17">
      <c r="A3318" s="656" t="s">
        <v>4439</v>
      </c>
      <c r="B3318" s="657"/>
      <c r="C3318" s="656" t="s">
        <v>4440</v>
      </c>
      <c r="D3318" s="657" t="s">
        <v>14978</v>
      </c>
      <c r="E3318" s="657"/>
      <c r="F3318" s="656"/>
      <c r="G3318" s="656" t="s">
        <v>3410</v>
      </c>
      <c r="H3318" s="656"/>
      <c r="I3318" s="656" t="s">
        <v>14976</v>
      </c>
      <c r="J3318" s="656"/>
      <c r="K3318" s="656"/>
      <c r="L3318" s="656" t="s">
        <v>4485</v>
      </c>
      <c r="M3318" s="657"/>
      <c r="N3318" s="1482"/>
      <c r="O3318" s="656" t="s">
        <v>498</v>
      </c>
      <c r="P3318" s="656" t="s">
        <v>13052</v>
      </c>
      <c r="Q3318" s="656">
        <v>44216.770104166666</v>
      </c>
    </row>
    <row r="3319" spans="1:17">
      <c r="A3319" s="656" t="s">
        <v>4441</v>
      </c>
      <c r="B3319" s="657"/>
      <c r="C3319" s="656" t="s">
        <v>4442</v>
      </c>
      <c r="D3319" s="657" t="s">
        <v>14978</v>
      </c>
      <c r="E3319" s="657"/>
      <c r="F3319" s="656"/>
      <c r="G3319" s="656" t="s">
        <v>3410</v>
      </c>
      <c r="H3319" s="656"/>
      <c r="I3319" s="656" t="s">
        <v>14976</v>
      </c>
      <c r="J3319" s="656"/>
      <c r="K3319" s="656"/>
      <c r="L3319" s="656" t="s">
        <v>4485</v>
      </c>
      <c r="M3319" s="657"/>
      <c r="N3319" s="1482"/>
      <c r="O3319" s="656" t="s">
        <v>498</v>
      </c>
      <c r="P3319" s="656" t="s">
        <v>13052</v>
      </c>
      <c r="Q3319" s="656">
        <v>44216.770104166666</v>
      </c>
    </row>
    <row r="3320" spans="1:17">
      <c r="A3320" s="656" t="s">
        <v>4443</v>
      </c>
      <c r="B3320" s="657"/>
      <c r="C3320" s="656" t="s">
        <v>4444</v>
      </c>
      <c r="D3320" s="657" t="s">
        <v>14978</v>
      </c>
      <c r="E3320" s="657"/>
      <c r="F3320" s="656"/>
      <c r="G3320" s="656" t="s">
        <v>3410</v>
      </c>
      <c r="H3320" s="656"/>
      <c r="I3320" s="656" t="s">
        <v>14976</v>
      </c>
      <c r="J3320" s="656"/>
      <c r="K3320" s="656"/>
      <c r="L3320" s="656" t="s">
        <v>4485</v>
      </c>
      <c r="M3320" s="657"/>
      <c r="N3320" s="1482"/>
      <c r="O3320" s="656" t="s">
        <v>498</v>
      </c>
      <c r="P3320" s="656" t="s">
        <v>13052</v>
      </c>
      <c r="Q3320" s="656">
        <v>44216.770092592589</v>
      </c>
    </row>
    <row r="3321" spans="1:17">
      <c r="A3321" s="656" t="s">
        <v>4445</v>
      </c>
      <c r="B3321" s="657"/>
      <c r="C3321" s="656" t="s">
        <v>4446</v>
      </c>
      <c r="D3321" s="657" t="s">
        <v>14978</v>
      </c>
      <c r="E3321" s="657"/>
      <c r="F3321" s="656"/>
      <c r="G3321" s="656" t="s">
        <v>3410</v>
      </c>
      <c r="H3321" s="656"/>
      <c r="I3321" s="656" t="s">
        <v>14976</v>
      </c>
      <c r="J3321" s="656"/>
      <c r="K3321" s="656"/>
      <c r="L3321" s="656" t="s">
        <v>4485</v>
      </c>
      <c r="M3321" s="657"/>
      <c r="N3321" s="1482"/>
      <c r="O3321" s="656" t="s">
        <v>498</v>
      </c>
      <c r="P3321" s="656" t="s">
        <v>13052</v>
      </c>
      <c r="Q3321" s="656">
        <v>44216.770092592589</v>
      </c>
    </row>
    <row r="3322" spans="1:17">
      <c r="A3322" s="656" t="s">
        <v>4447</v>
      </c>
      <c r="B3322" s="657"/>
      <c r="C3322" s="656" t="s">
        <v>4448</v>
      </c>
      <c r="D3322" s="657" t="s">
        <v>14977</v>
      </c>
      <c r="E3322" s="657"/>
      <c r="F3322" s="656"/>
      <c r="G3322" s="656"/>
      <c r="H3322" s="656"/>
      <c r="I3322" s="656" t="s">
        <v>14976</v>
      </c>
      <c r="J3322" s="656"/>
      <c r="K3322" s="656"/>
      <c r="L3322" s="656" t="s">
        <v>4447</v>
      </c>
      <c r="M3322" s="657"/>
      <c r="N3322" s="1482"/>
      <c r="O3322" s="656" t="s">
        <v>498</v>
      </c>
      <c r="P3322" s="656" t="s">
        <v>13052</v>
      </c>
      <c r="Q3322" s="656">
        <v>44216.77008101852</v>
      </c>
    </row>
    <row r="3323" spans="1:17">
      <c r="A3323" s="656" t="s">
        <v>4449</v>
      </c>
      <c r="B3323" s="657" t="s">
        <v>202</v>
      </c>
      <c r="C3323" s="656" t="s">
        <v>4450</v>
      </c>
      <c r="D3323" s="657" t="s">
        <v>14977</v>
      </c>
      <c r="E3323" s="657"/>
      <c r="F3323" s="656" t="s">
        <v>655</v>
      </c>
      <c r="G3323" s="656"/>
      <c r="H3323" s="656" t="s">
        <v>655</v>
      </c>
      <c r="I3323" s="656" t="s">
        <v>14976</v>
      </c>
      <c r="J3323" s="656"/>
      <c r="K3323" s="656"/>
      <c r="L3323" s="656" t="s">
        <v>4449</v>
      </c>
      <c r="M3323" s="657"/>
      <c r="N3323" s="1482"/>
      <c r="O3323" s="656" t="s">
        <v>498</v>
      </c>
      <c r="P3323" s="656" t="s">
        <v>13052</v>
      </c>
      <c r="Q3323" s="656">
        <v>44216.77008101852</v>
      </c>
    </row>
    <row r="3324" spans="1:17">
      <c r="A3324" s="656" t="s">
        <v>4451</v>
      </c>
      <c r="B3324" s="657" t="s">
        <v>504</v>
      </c>
      <c r="C3324" s="656" t="s">
        <v>4452</v>
      </c>
      <c r="D3324" s="657" t="s">
        <v>14977</v>
      </c>
      <c r="E3324" s="657"/>
      <c r="F3324" s="656"/>
      <c r="G3324" s="656"/>
      <c r="H3324" s="656"/>
      <c r="I3324" s="656"/>
      <c r="J3324" s="656"/>
      <c r="K3324" s="656"/>
      <c r="L3324" s="656"/>
      <c r="M3324" s="657"/>
      <c r="N3324" s="1482"/>
      <c r="O3324" s="656" t="s">
        <v>498</v>
      </c>
      <c r="P3324" s="656" t="s">
        <v>13052</v>
      </c>
      <c r="Q3324" s="656">
        <v>44216.770069444443</v>
      </c>
    </row>
    <row r="3325" spans="1:17">
      <c r="A3325" s="656" t="s">
        <v>4453</v>
      </c>
      <c r="B3325" s="657"/>
      <c r="C3325" s="656" t="s">
        <v>4454</v>
      </c>
      <c r="D3325" s="657" t="s">
        <v>14977</v>
      </c>
      <c r="E3325" s="657"/>
      <c r="F3325" s="656"/>
      <c r="G3325" s="656"/>
      <c r="H3325" s="656"/>
      <c r="I3325" s="656" t="s">
        <v>14976</v>
      </c>
      <c r="J3325" s="656"/>
      <c r="K3325" s="656"/>
      <c r="L3325" s="656" t="s">
        <v>4453</v>
      </c>
      <c r="M3325" s="657"/>
      <c r="N3325" s="1482"/>
      <c r="O3325" s="656" t="s">
        <v>498</v>
      </c>
      <c r="P3325" s="656" t="s">
        <v>13052</v>
      </c>
      <c r="Q3325" s="656">
        <v>44216.770069444443</v>
      </c>
    </row>
    <row r="3326" spans="1:17">
      <c r="A3326" s="656" t="s">
        <v>4455</v>
      </c>
      <c r="B3326" s="657" t="s">
        <v>202</v>
      </c>
      <c r="C3326" s="656" t="s">
        <v>4456</v>
      </c>
      <c r="D3326" s="657" t="s">
        <v>14977</v>
      </c>
      <c r="E3326" s="657"/>
      <c r="F3326" s="656" t="s">
        <v>655</v>
      </c>
      <c r="G3326" s="656"/>
      <c r="H3326" s="656" t="s">
        <v>655</v>
      </c>
      <c r="I3326" s="656" t="s">
        <v>14976</v>
      </c>
      <c r="J3326" s="656"/>
      <c r="K3326" s="656"/>
      <c r="L3326" s="656" t="s">
        <v>4455</v>
      </c>
      <c r="M3326" s="657"/>
      <c r="N3326" s="1482"/>
      <c r="O3326" s="656" t="s">
        <v>498</v>
      </c>
      <c r="P3326" s="656" t="s">
        <v>13052</v>
      </c>
      <c r="Q3326" s="656">
        <v>44216.770057870373</v>
      </c>
    </row>
    <row r="3327" spans="1:17">
      <c r="A3327" s="656" t="s">
        <v>4457</v>
      </c>
      <c r="B3327" s="657"/>
      <c r="C3327" s="656" t="s">
        <v>4458</v>
      </c>
      <c r="D3327" s="657" t="s">
        <v>14977</v>
      </c>
      <c r="E3327" s="657"/>
      <c r="F3327" s="656"/>
      <c r="G3327" s="656"/>
      <c r="H3327" s="656"/>
      <c r="I3327" s="656" t="s">
        <v>14976</v>
      </c>
      <c r="J3327" s="656"/>
      <c r="K3327" s="656"/>
      <c r="L3327" s="656" t="s">
        <v>4457</v>
      </c>
      <c r="M3327" s="657"/>
      <c r="N3327" s="1482"/>
      <c r="O3327" s="656" t="s">
        <v>498</v>
      </c>
      <c r="P3327" s="656" t="s">
        <v>13052</v>
      </c>
      <c r="Q3327" s="656">
        <v>44216.770046296297</v>
      </c>
    </row>
    <row r="3328" spans="1:17">
      <c r="A3328" s="656" t="s">
        <v>4459</v>
      </c>
      <c r="B3328" s="657"/>
      <c r="C3328" s="656" t="s">
        <v>4460</v>
      </c>
      <c r="D3328" s="657" t="s">
        <v>14977</v>
      </c>
      <c r="E3328" s="657"/>
      <c r="F3328" s="656"/>
      <c r="G3328" s="656"/>
      <c r="H3328" s="656"/>
      <c r="I3328" s="656" t="s">
        <v>14976</v>
      </c>
      <c r="J3328" s="656"/>
      <c r="K3328" s="656"/>
      <c r="L3328" s="656" t="s">
        <v>4459</v>
      </c>
      <c r="M3328" s="657"/>
      <c r="N3328" s="1482"/>
      <c r="O3328" s="656" t="s">
        <v>498</v>
      </c>
      <c r="P3328" s="656" t="s">
        <v>13052</v>
      </c>
      <c r="Q3328" s="656">
        <v>44216.77003472222</v>
      </c>
    </row>
    <row r="3329" spans="1:17">
      <c r="A3329" s="656" t="s">
        <v>4461</v>
      </c>
      <c r="B3329" s="657" t="s">
        <v>504</v>
      </c>
      <c r="C3329" s="656" t="s">
        <v>4462</v>
      </c>
      <c r="D3329" s="657"/>
      <c r="E3329" s="657"/>
      <c r="F3329" s="656" t="s">
        <v>505</v>
      </c>
      <c r="G3329" s="656" t="s">
        <v>4218</v>
      </c>
      <c r="H3329" s="656" t="s">
        <v>505</v>
      </c>
      <c r="I3329" s="656"/>
      <c r="J3329" s="656"/>
      <c r="K3329" s="656"/>
      <c r="L3329" s="656"/>
      <c r="M3329" s="657"/>
      <c r="N3329" s="1482"/>
      <c r="O3329" s="656" t="s">
        <v>498</v>
      </c>
      <c r="P3329" s="656" t="s">
        <v>13052</v>
      </c>
      <c r="Q3329" s="656">
        <v>44216.77002314815</v>
      </c>
    </row>
    <row r="3330" spans="1:17">
      <c r="A3330" s="656" t="s">
        <v>4463</v>
      </c>
      <c r="B3330" s="657"/>
      <c r="C3330" s="656" t="s">
        <v>4464</v>
      </c>
      <c r="D3330" s="657" t="s">
        <v>14977</v>
      </c>
      <c r="E3330" s="657"/>
      <c r="F3330" s="656"/>
      <c r="G3330" s="656"/>
      <c r="H3330" s="656"/>
      <c r="I3330" s="656" t="s">
        <v>14976</v>
      </c>
      <c r="J3330" s="656"/>
      <c r="K3330" s="656"/>
      <c r="L3330" s="656" t="s">
        <v>4463</v>
      </c>
      <c r="M3330" s="657"/>
      <c r="N3330" s="1482"/>
      <c r="O3330" s="656" t="s">
        <v>498</v>
      </c>
      <c r="P3330" s="656" t="s">
        <v>13052</v>
      </c>
      <c r="Q3330" s="656">
        <v>44216.77002314815</v>
      </c>
    </row>
    <row r="3331" spans="1:17">
      <c r="A3331" s="656" t="s">
        <v>4465</v>
      </c>
      <c r="B3331" s="657"/>
      <c r="C3331" s="656" t="s">
        <v>4466</v>
      </c>
      <c r="D3331" s="657" t="s">
        <v>1239</v>
      </c>
      <c r="E3331" s="657"/>
      <c r="F3331" s="656"/>
      <c r="G3331" s="656"/>
      <c r="H3331" s="656"/>
      <c r="I3331" s="656" t="s">
        <v>14976</v>
      </c>
      <c r="J3331" s="656"/>
      <c r="K3331" s="656"/>
      <c r="L3331" s="656"/>
      <c r="M3331" s="657"/>
      <c r="N3331" s="1482"/>
      <c r="O3331" s="656" t="s">
        <v>498</v>
      </c>
      <c r="P3331" s="656" t="s">
        <v>13052</v>
      </c>
      <c r="Q3331" s="656">
        <v>44216.770011574074</v>
      </c>
    </row>
    <row r="3332" spans="1:17">
      <c r="A3332" s="656" t="s">
        <v>4467</v>
      </c>
      <c r="B3332" s="657"/>
      <c r="C3332" s="656" t="s">
        <v>4468</v>
      </c>
      <c r="D3332" s="657" t="s">
        <v>14977</v>
      </c>
      <c r="E3332" s="657"/>
      <c r="F3332" s="656"/>
      <c r="G3332" s="656"/>
      <c r="H3332" s="656"/>
      <c r="I3332" s="656" t="s">
        <v>14976</v>
      </c>
      <c r="J3332" s="656"/>
      <c r="K3332" s="656"/>
      <c r="L3332" s="656" t="s">
        <v>4467</v>
      </c>
      <c r="M3332" s="657"/>
      <c r="N3332" s="1482"/>
      <c r="O3332" s="656" t="s">
        <v>498</v>
      </c>
      <c r="P3332" s="656" t="s">
        <v>13052</v>
      </c>
      <c r="Q3332" s="656">
        <v>44216.770011574074</v>
      </c>
    </row>
    <row r="3333" spans="1:17">
      <c r="A3333" s="656" t="s">
        <v>4469</v>
      </c>
      <c r="B3333" s="657"/>
      <c r="C3333" s="656" t="s">
        <v>4470</v>
      </c>
      <c r="D3333" s="657" t="s">
        <v>14977</v>
      </c>
      <c r="E3333" s="657"/>
      <c r="F3333" s="656"/>
      <c r="G3333" s="656"/>
      <c r="H3333" s="656"/>
      <c r="I3333" s="656" t="s">
        <v>14976</v>
      </c>
      <c r="J3333" s="656"/>
      <c r="K3333" s="656"/>
      <c r="L3333" s="656" t="s">
        <v>4469</v>
      </c>
      <c r="M3333" s="657"/>
      <c r="N3333" s="1482"/>
      <c r="O3333" s="656" t="s">
        <v>498</v>
      </c>
      <c r="P3333" s="656" t="s">
        <v>13052</v>
      </c>
      <c r="Q3333" s="656">
        <v>44216.77</v>
      </c>
    </row>
    <row r="3334" spans="1:17">
      <c r="A3334" s="656" t="s">
        <v>4471</v>
      </c>
      <c r="B3334" s="657"/>
      <c r="C3334" s="656" t="s">
        <v>4472</v>
      </c>
      <c r="D3334" s="657" t="s">
        <v>14977</v>
      </c>
      <c r="E3334" s="657"/>
      <c r="F3334" s="656"/>
      <c r="G3334" s="656"/>
      <c r="H3334" s="656"/>
      <c r="I3334" s="656" t="s">
        <v>14976</v>
      </c>
      <c r="J3334" s="656"/>
      <c r="K3334" s="656"/>
      <c r="L3334" s="656" t="s">
        <v>4471</v>
      </c>
      <c r="M3334" s="657"/>
      <c r="N3334" s="1482"/>
      <c r="O3334" s="656" t="s">
        <v>498</v>
      </c>
      <c r="P3334" s="656" t="s">
        <v>13052</v>
      </c>
      <c r="Q3334" s="656">
        <v>44216.769988425927</v>
      </c>
    </row>
    <row r="3335" spans="1:17">
      <c r="A3335" s="656" t="s">
        <v>4473</v>
      </c>
      <c r="B3335" s="657"/>
      <c r="C3335" s="656" t="s">
        <v>4474</v>
      </c>
      <c r="D3335" s="657" t="s">
        <v>14977</v>
      </c>
      <c r="E3335" s="657"/>
      <c r="F3335" s="656"/>
      <c r="G3335" s="656"/>
      <c r="H3335" s="656"/>
      <c r="I3335" s="656" t="s">
        <v>14976</v>
      </c>
      <c r="J3335" s="656"/>
      <c r="K3335" s="656"/>
      <c r="L3335" s="656" t="s">
        <v>4473</v>
      </c>
      <c r="M3335" s="657"/>
      <c r="N3335" s="1482"/>
      <c r="O3335" s="656" t="s">
        <v>498</v>
      </c>
      <c r="P3335" s="656" t="s">
        <v>13052</v>
      </c>
      <c r="Q3335" s="656">
        <v>44216.769988425927</v>
      </c>
    </row>
    <row r="3336" spans="1:17">
      <c r="A3336" s="656" t="s">
        <v>4475</v>
      </c>
      <c r="B3336" s="657"/>
      <c r="C3336" s="656" t="s">
        <v>4476</v>
      </c>
      <c r="D3336" s="657" t="s">
        <v>14977</v>
      </c>
      <c r="E3336" s="657"/>
      <c r="F3336" s="656"/>
      <c r="G3336" s="656"/>
      <c r="H3336" s="656"/>
      <c r="I3336" s="656" t="s">
        <v>14976</v>
      </c>
      <c r="J3336" s="656"/>
      <c r="K3336" s="656"/>
      <c r="L3336" s="656" t="s">
        <v>4475</v>
      </c>
      <c r="M3336" s="657"/>
      <c r="N3336" s="1482"/>
      <c r="O3336" s="656" t="s">
        <v>498</v>
      </c>
      <c r="P3336" s="656" t="s">
        <v>13052</v>
      </c>
      <c r="Q3336" s="656">
        <v>44216.769976851851</v>
      </c>
    </row>
    <row r="3337" spans="1:17">
      <c r="A3337" s="656" t="s">
        <v>4477</v>
      </c>
      <c r="B3337" s="657"/>
      <c r="C3337" s="656" t="s">
        <v>4478</v>
      </c>
      <c r="D3337" s="657" t="s">
        <v>14977</v>
      </c>
      <c r="E3337" s="657"/>
      <c r="F3337" s="656"/>
      <c r="G3337" s="656"/>
      <c r="H3337" s="656"/>
      <c r="I3337" s="656" t="s">
        <v>14976</v>
      </c>
      <c r="J3337" s="656"/>
      <c r="K3337" s="656"/>
      <c r="L3337" s="656" t="s">
        <v>4477</v>
      </c>
      <c r="M3337" s="657"/>
      <c r="N3337" s="1482"/>
      <c r="O3337" s="656" t="s">
        <v>498</v>
      </c>
      <c r="P3337" s="656" t="s">
        <v>13052</v>
      </c>
      <c r="Q3337" s="656">
        <v>44216.769965277781</v>
      </c>
    </row>
    <row r="3338" spans="1:17">
      <c r="A3338" s="656" t="s">
        <v>4479</v>
      </c>
      <c r="B3338" s="657"/>
      <c r="C3338" s="656" t="s">
        <v>4480</v>
      </c>
      <c r="D3338" s="657" t="s">
        <v>14977</v>
      </c>
      <c r="E3338" s="657"/>
      <c r="F3338" s="656"/>
      <c r="G3338" s="656"/>
      <c r="H3338" s="656"/>
      <c r="I3338" s="656" t="s">
        <v>14976</v>
      </c>
      <c r="J3338" s="656"/>
      <c r="K3338" s="656"/>
      <c r="L3338" s="656" t="s">
        <v>4479</v>
      </c>
      <c r="M3338" s="657"/>
      <c r="N3338" s="1482"/>
      <c r="O3338" s="656" t="s">
        <v>498</v>
      </c>
      <c r="P3338" s="656" t="s">
        <v>13052</v>
      </c>
      <c r="Q3338" s="656">
        <v>44216.769965277781</v>
      </c>
    </row>
    <row r="3339" spans="1:17">
      <c r="A3339" s="656" t="s">
        <v>4481</v>
      </c>
      <c r="B3339" s="657" t="s">
        <v>202</v>
      </c>
      <c r="C3339" s="656" t="s">
        <v>4482</v>
      </c>
      <c r="D3339" s="657" t="s">
        <v>14977</v>
      </c>
      <c r="E3339" s="657"/>
      <c r="F3339" s="656" t="s">
        <v>3077</v>
      </c>
      <c r="G3339" s="656" t="s">
        <v>512</v>
      </c>
      <c r="H3339" s="656" t="s">
        <v>465</v>
      </c>
      <c r="I3339" s="656" t="s">
        <v>14976</v>
      </c>
      <c r="J3339" s="656" t="s">
        <v>446</v>
      </c>
      <c r="K3339" s="656" t="s">
        <v>3077</v>
      </c>
      <c r="L3339" s="656" t="s">
        <v>4481</v>
      </c>
      <c r="M3339" s="657"/>
      <c r="N3339" s="1482"/>
      <c r="O3339" s="656" t="s">
        <v>498</v>
      </c>
      <c r="P3339" s="656" t="s">
        <v>13052</v>
      </c>
      <c r="Q3339" s="656">
        <v>44216.769953703704</v>
      </c>
    </row>
    <row r="3340" spans="1:17">
      <c r="A3340" s="656" t="s">
        <v>4483</v>
      </c>
      <c r="B3340" s="657"/>
      <c r="C3340" s="656" t="s">
        <v>4484</v>
      </c>
      <c r="D3340" s="657" t="s">
        <v>14977</v>
      </c>
      <c r="E3340" s="657"/>
      <c r="F3340" s="656"/>
      <c r="G3340" s="656"/>
      <c r="H3340" s="656"/>
      <c r="I3340" s="656" t="s">
        <v>14976</v>
      </c>
      <c r="J3340" s="656"/>
      <c r="K3340" s="656"/>
      <c r="L3340" s="656" t="s">
        <v>4483</v>
      </c>
      <c r="M3340" s="657"/>
      <c r="N3340" s="1482"/>
      <c r="O3340" s="656" t="s">
        <v>498</v>
      </c>
      <c r="P3340" s="656" t="s">
        <v>13052</v>
      </c>
      <c r="Q3340" s="656">
        <v>44216.769953703704</v>
      </c>
    </row>
    <row r="3341" spans="1:17">
      <c r="A3341" s="656" t="s">
        <v>4485</v>
      </c>
      <c r="B3341" s="657"/>
      <c r="C3341" s="656" t="s">
        <v>4486</v>
      </c>
      <c r="D3341" s="657" t="s">
        <v>14977</v>
      </c>
      <c r="E3341" s="657"/>
      <c r="F3341" s="656"/>
      <c r="G3341" s="656"/>
      <c r="H3341" s="656"/>
      <c r="I3341" s="656" t="s">
        <v>14976</v>
      </c>
      <c r="J3341" s="656"/>
      <c r="K3341" s="656"/>
      <c r="L3341" s="656" t="s">
        <v>4485</v>
      </c>
      <c r="M3341" s="657"/>
      <c r="N3341" s="1482"/>
      <c r="O3341" s="656" t="s">
        <v>498</v>
      </c>
      <c r="P3341" s="656" t="s">
        <v>13052</v>
      </c>
      <c r="Q3341" s="656">
        <v>44216.769942129627</v>
      </c>
    </row>
    <row r="3342" spans="1:17">
      <c r="A3342" s="656" t="s">
        <v>4487</v>
      </c>
      <c r="B3342" s="657"/>
      <c r="C3342" s="656" t="s">
        <v>4488</v>
      </c>
      <c r="D3342" s="657" t="s">
        <v>14977</v>
      </c>
      <c r="E3342" s="657"/>
      <c r="F3342" s="656"/>
      <c r="G3342" s="656"/>
      <c r="H3342" s="656"/>
      <c r="I3342" s="656" t="s">
        <v>14976</v>
      </c>
      <c r="J3342" s="656"/>
      <c r="K3342" s="656"/>
      <c r="L3342" s="656" t="s">
        <v>4487</v>
      </c>
      <c r="M3342" s="657"/>
      <c r="N3342" s="1482"/>
      <c r="O3342" s="656" t="s">
        <v>498</v>
      </c>
      <c r="P3342" s="656" t="s">
        <v>13052</v>
      </c>
      <c r="Q3342" s="656">
        <v>44216.769942129627</v>
      </c>
    </row>
    <row r="3343" spans="1:17">
      <c r="A3343" s="656" t="s">
        <v>4489</v>
      </c>
      <c r="B3343" s="657"/>
      <c r="C3343" s="656" t="s">
        <v>4490</v>
      </c>
      <c r="D3343" s="657" t="s">
        <v>14977</v>
      </c>
      <c r="E3343" s="657"/>
      <c r="F3343" s="656"/>
      <c r="G3343" s="656"/>
      <c r="H3343" s="656"/>
      <c r="I3343" s="656" t="s">
        <v>14976</v>
      </c>
      <c r="J3343" s="656"/>
      <c r="K3343" s="656"/>
      <c r="L3343" s="656" t="s">
        <v>4489</v>
      </c>
      <c r="M3343" s="657"/>
      <c r="N3343" s="1482"/>
      <c r="O3343" s="656" t="s">
        <v>498</v>
      </c>
      <c r="P3343" s="656" t="s">
        <v>13052</v>
      </c>
      <c r="Q3343" s="656">
        <v>44216.769930555558</v>
      </c>
    </row>
    <row r="3344" spans="1:17">
      <c r="A3344" s="656" t="s">
        <v>4491</v>
      </c>
      <c r="B3344" s="657"/>
      <c r="C3344" s="656" t="s">
        <v>4492</v>
      </c>
      <c r="D3344" s="657" t="s">
        <v>14977</v>
      </c>
      <c r="E3344" s="657"/>
      <c r="F3344" s="656"/>
      <c r="G3344" s="656"/>
      <c r="H3344" s="656"/>
      <c r="I3344" s="656" t="s">
        <v>14976</v>
      </c>
      <c r="J3344" s="656"/>
      <c r="K3344" s="656"/>
      <c r="L3344" s="656" t="s">
        <v>4491</v>
      </c>
      <c r="M3344" s="657"/>
      <c r="N3344" s="1482"/>
      <c r="O3344" s="656" t="s">
        <v>498</v>
      </c>
      <c r="P3344" s="656" t="s">
        <v>13052</v>
      </c>
      <c r="Q3344" s="656">
        <v>44216.769930555558</v>
      </c>
    </row>
    <row r="3345" spans="1:17">
      <c r="A3345" s="656" t="s">
        <v>13468</v>
      </c>
      <c r="B3345" s="657" t="s">
        <v>202</v>
      </c>
      <c r="C3345" s="656" t="s">
        <v>13469</v>
      </c>
      <c r="D3345" s="657" t="s">
        <v>14977</v>
      </c>
      <c r="E3345" s="657"/>
      <c r="F3345" s="656" t="s">
        <v>472</v>
      </c>
      <c r="G3345" s="656"/>
      <c r="H3345" s="656" t="s">
        <v>472</v>
      </c>
      <c r="I3345" s="656" t="s">
        <v>14976</v>
      </c>
      <c r="J3345" s="656" t="s">
        <v>12368</v>
      </c>
      <c r="K3345" s="656"/>
      <c r="L3345" s="656" t="s">
        <v>13468</v>
      </c>
      <c r="M3345" s="657"/>
      <c r="N3345" s="1482"/>
      <c r="O3345" s="656" t="s">
        <v>498</v>
      </c>
      <c r="P3345" s="656" t="s">
        <v>13052</v>
      </c>
      <c r="Q3345" s="656">
        <v>44216.769930555558</v>
      </c>
    </row>
    <row r="3346" spans="1:17">
      <c r="A3346" s="656" t="s">
        <v>13466</v>
      </c>
      <c r="B3346" s="657" t="s">
        <v>202</v>
      </c>
      <c r="C3346" s="656" t="s">
        <v>13467</v>
      </c>
      <c r="D3346" s="657" t="s">
        <v>14977</v>
      </c>
      <c r="E3346" s="657"/>
      <c r="F3346" s="656" t="s">
        <v>783</v>
      </c>
      <c r="G3346" s="656" t="s">
        <v>4064</v>
      </c>
      <c r="H3346" s="656" t="s">
        <v>783</v>
      </c>
      <c r="I3346" s="656" t="s">
        <v>14976</v>
      </c>
      <c r="J3346" s="656" t="s">
        <v>15282</v>
      </c>
      <c r="K3346" s="656"/>
      <c r="L3346" s="656" t="s">
        <v>13466</v>
      </c>
      <c r="M3346" s="657"/>
      <c r="N3346" s="1482"/>
      <c r="O3346" s="656" t="s">
        <v>498</v>
      </c>
      <c r="P3346" s="656" t="s">
        <v>13052</v>
      </c>
      <c r="Q3346" s="656">
        <v>44216.769918981481</v>
      </c>
    </row>
    <row r="3347" spans="1:17">
      <c r="A3347" s="656" t="s">
        <v>4493</v>
      </c>
      <c r="B3347" s="657"/>
      <c r="C3347" s="656" t="s">
        <v>4494</v>
      </c>
      <c r="D3347" s="657" t="s">
        <v>14977</v>
      </c>
      <c r="E3347" s="657"/>
      <c r="F3347" s="656"/>
      <c r="G3347" s="656"/>
      <c r="H3347" s="656"/>
      <c r="I3347" s="656" t="s">
        <v>14976</v>
      </c>
      <c r="J3347" s="656"/>
      <c r="K3347" s="656"/>
      <c r="L3347" s="656" t="s">
        <v>4493</v>
      </c>
      <c r="M3347" s="657"/>
      <c r="N3347" s="1482"/>
      <c r="O3347" s="656" t="s">
        <v>498</v>
      </c>
      <c r="P3347" s="656" t="s">
        <v>13052</v>
      </c>
      <c r="Q3347" s="656">
        <v>44216.769918981481</v>
      </c>
    </row>
    <row r="3348" spans="1:17">
      <c r="A3348" s="656" t="s">
        <v>4495</v>
      </c>
      <c r="B3348" s="657"/>
      <c r="C3348" s="656" t="s">
        <v>4496</v>
      </c>
      <c r="D3348" s="657" t="s">
        <v>14977</v>
      </c>
      <c r="E3348" s="657"/>
      <c r="F3348" s="656"/>
      <c r="G3348" s="656"/>
      <c r="H3348" s="656"/>
      <c r="I3348" s="656" t="s">
        <v>14976</v>
      </c>
      <c r="J3348" s="656"/>
      <c r="K3348" s="656"/>
      <c r="L3348" s="656" t="s">
        <v>4495</v>
      </c>
      <c r="M3348" s="657"/>
      <c r="N3348" s="1482"/>
      <c r="O3348" s="656" t="s">
        <v>498</v>
      </c>
      <c r="P3348" s="656" t="s">
        <v>13052</v>
      </c>
      <c r="Q3348" s="656">
        <v>44216.769907407404</v>
      </c>
    </row>
    <row r="3349" spans="1:17">
      <c r="A3349" s="656" t="s">
        <v>4497</v>
      </c>
      <c r="B3349" s="657"/>
      <c r="C3349" s="656" t="s">
        <v>4498</v>
      </c>
      <c r="D3349" s="657" t="s">
        <v>14977</v>
      </c>
      <c r="E3349" s="657"/>
      <c r="F3349" s="656"/>
      <c r="G3349" s="656"/>
      <c r="H3349" s="656"/>
      <c r="I3349" s="656" t="s">
        <v>14976</v>
      </c>
      <c r="J3349" s="656"/>
      <c r="K3349" s="656"/>
      <c r="L3349" s="656" t="s">
        <v>4497</v>
      </c>
      <c r="M3349" s="657"/>
      <c r="N3349" s="1482"/>
      <c r="O3349" s="656" t="s">
        <v>498</v>
      </c>
      <c r="P3349" s="656" t="s">
        <v>13052</v>
      </c>
      <c r="Q3349" s="656">
        <v>44216.769907407404</v>
      </c>
    </row>
    <row r="3350" spans="1:17">
      <c r="A3350" s="656" t="s">
        <v>4499</v>
      </c>
      <c r="B3350" s="657"/>
      <c r="C3350" s="656" t="s">
        <v>4500</v>
      </c>
      <c r="D3350" s="657" t="s">
        <v>14977</v>
      </c>
      <c r="E3350" s="657"/>
      <c r="F3350" s="656"/>
      <c r="G3350" s="656"/>
      <c r="H3350" s="656"/>
      <c r="I3350" s="656" t="s">
        <v>14976</v>
      </c>
      <c r="J3350" s="656"/>
      <c r="K3350" s="656"/>
      <c r="L3350" s="656" t="s">
        <v>4499</v>
      </c>
      <c r="M3350" s="657"/>
      <c r="N3350" s="1482"/>
      <c r="O3350" s="656" t="s">
        <v>498</v>
      </c>
      <c r="P3350" s="656" t="s">
        <v>13052</v>
      </c>
      <c r="Q3350" s="656">
        <v>44216.769895833335</v>
      </c>
    </row>
    <row r="3351" spans="1:17">
      <c r="A3351" s="656" t="s">
        <v>4501</v>
      </c>
      <c r="B3351" s="657"/>
      <c r="C3351" s="656" t="s">
        <v>4502</v>
      </c>
      <c r="D3351" s="657" t="s">
        <v>14977</v>
      </c>
      <c r="E3351" s="657"/>
      <c r="F3351" s="656"/>
      <c r="G3351" s="656"/>
      <c r="H3351" s="656"/>
      <c r="I3351" s="656" t="s">
        <v>14976</v>
      </c>
      <c r="J3351" s="656"/>
      <c r="K3351" s="656"/>
      <c r="L3351" s="656" t="s">
        <v>4501</v>
      </c>
      <c r="M3351" s="657"/>
      <c r="N3351" s="1482"/>
      <c r="O3351" s="656" t="s">
        <v>498</v>
      </c>
      <c r="P3351" s="656" t="s">
        <v>13052</v>
      </c>
      <c r="Q3351" s="656">
        <v>44216.769895833335</v>
      </c>
    </row>
    <row r="3352" spans="1:17">
      <c r="A3352" s="656" t="s">
        <v>4503</v>
      </c>
      <c r="B3352" s="657"/>
      <c r="C3352" s="656" t="s">
        <v>4504</v>
      </c>
      <c r="D3352" s="657" t="s">
        <v>14977</v>
      </c>
      <c r="E3352" s="657"/>
      <c r="F3352" s="656"/>
      <c r="G3352" s="656"/>
      <c r="H3352" s="656"/>
      <c r="I3352" s="656" t="s">
        <v>14976</v>
      </c>
      <c r="J3352" s="656"/>
      <c r="K3352" s="656"/>
      <c r="L3352" s="656" t="s">
        <v>4503</v>
      </c>
      <c r="M3352" s="657"/>
      <c r="N3352" s="1482"/>
      <c r="O3352" s="656" t="s">
        <v>498</v>
      </c>
      <c r="P3352" s="656" t="s">
        <v>13052</v>
      </c>
      <c r="Q3352" s="656">
        <v>44216.769895833335</v>
      </c>
    </row>
    <row r="3353" spans="1:17">
      <c r="A3353" s="656" t="s">
        <v>4505</v>
      </c>
      <c r="B3353" s="657" t="s">
        <v>202</v>
      </c>
      <c r="C3353" s="656" t="s">
        <v>4506</v>
      </c>
      <c r="D3353" s="657" t="s">
        <v>1239</v>
      </c>
      <c r="E3353" s="657"/>
      <c r="F3353" s="656" t="s">
        <v>500</v>
      </c>
      <c r="G3353" s="656" t="s">
        <v>500</v>
      </c>
      <c r="H3353" s="656" t="s">
        <v>500</v>
      </c>
      <c r="I3353" s="656" t="s">
        <v>14976</v>
      </c>
      <c r="J3353" s="656" t="s">
        <v>15293</v>
      </c>
      <c r="K3353" s="656"/>
      <c r="L3353" s="656"/>
      <c r="M3353" s="657"/>
      <c r="N3353" s="1482"/>
      <c r="O3353" s="656" t="s">
        <v>498</v>
      </c>
      <c r="P3353" s="656" t="s">
        <v>13052</v>
      </c>
      <c r="Q3353" s="656">
        <v>44216.769884259258</v>
      </c>
    </row>
    <row r="3354" spans="1:17">
      <c r="A3354" s="656" t="s">
        <v>4507</v>
      </c>
      <c r="B3354" s="657"/>
      <c r="C3354" s="656" t="s">
        <v>4508</v>
      </c>
      <c r="D3354" s="657" t="s">
        <v>14977</v>
      </c>
      <c r="E3354" s="657"/>
      <c r="F3354" s="656"/>
      <c r="G3354" s="656"/>
      <c r="H3354" s="656"/>
      <c r="I3354" s="656" t="s">
        <v>14976</v>
      </c>
      <c r="J3354" s="656"/>
      <c r="K3354" s="656"/>
      <c r="L3354" s="656" t="s">
        <v>4507</v>
      </c>
      <c r="M3354" s="657"/>
      <c r="N3354" s="1482"/>
      <c r="O3354" s="656" t="s">
        <v>498</v>
      </c>
      <c r="P3354" s="656" t="s">
        <v>13052</v>
      </c>
      <c r="Q3354" s="656">
        <v>44216.769884259258</v>
      </c>
    </row>
    <row r="3355" spans="1:17">
      <c r="A3355" s="656" t="s">
        <v>4509</v>
      </c>
      <c r="B3355" s="657"/>
      <c r="C3355" s="656" t="s">
        <v>4510</v>
      </c>
      <c r="D3355" s="657" t="s">
        <v>14977</v>
      </c>
      <c r="E3355" s="657"/>
      <c r="F3355" s="656"/>
      <c r="G3355" s="656"/>
      <c r="H3355" s="656"/>
      <c r="I3355" s="656" t="s">
        <v>14976</v>
      </c>
      <c r="J3355" s="656"/>
      <c r="K3355" s="656"/>
      <c r="L3355" s="656" t="s">
        <v>4509</v>
      </c>
      <c r="M3355" s="657"/>
      <c r="N3355" s="1482"/>
      <c r="O3355" s="656" t="s">
        <v>498</v>
      </c>
      <c r="P3355" s="656" t="s">
        <v>13052</v>
      </c>
      <c r="Q3355" s="656">
        <v>44216.769872685189</v>
      </c>
    </row>
    <row r="3356" spans="1:17">
      <c r="A3356" s="656" t="s">
        <v>4511</v>
      </c>
      <c r="B3356" s="657"/>
      <c r="C3356" s="656" t="s">
        <v>4512</v>
      </c>
      <c r="D3356" s="657" t="s">
        <v>14977</v>
      </c>
      <c r="E3356" s="657"/>
      <c r="F3356" s="656"/>
      <c r="G3356" s="656"/>
      <c r="H3356" s="656"/>
      <c r="I3356" s="656" t="s">
        <v>14976</v>
      </c>
      <c r="J3356" s="656"/>
      <c r="K3356" s="656"/>
      <c r="L3356" s="656" t="s">
        <v>4511</v>
      </c>
      <c r="M3356" s="657"/>
      <c r="N3356" s="1482"/>
      <c r="O3356" s="656" t="s">
        <v>498</v>
      </c>
      <c r="P3356" s="656" t="s">
        <v>13052</v>
      </c>
      <c r="Q3356" s="656">
        <v>44216.769861111112</v>
      </c>
    </row>
    <row r="3357" spans="1:17">
      <c r="A3357" s="656" t="s">
        <v>4513</v>
      </c>
      <c r="B3357" s="657"/>
      <c r="C3357" s="656" t="s">
        <v>4514</v>
      </c>
      <c r="D3357" s="657" t="s">
        <v>14977</v>
      </c>
      <c r="E3357" s="657"/>
      <c r="F3357" s="656"/>
      <c r="G3357" s="656"/>
      <c r="H3357" s="656"/>
      <c r="I3357" s="656" t="s">
        <v>14976</v>
      </c>
      <c r="J3357" s="656"/>
      <c r="K3357" s="656"/>
      <c r="L3357" s="656" t="s">
        <v>4513</v>
      </c>
      <c r="M3357" s="657"/>
      <c r="N3357" s="1482"/>
      <c r="O3357" s="656" t="s">
        <v>498</v>
      </c>
      <c r="P3357" s="656" t="s">
        <v>13052</v>
      </c>
      <c r="Q3357" s="656">
        <v>44216.769872685189</v>
      </c>
    </row>
    <row r="3358" spans="1:17">
      <c r="A3358" s="656" t="s">
        <v>4515</v>
      </c>
      <c r="B3358" s="657" t="s">
        <v>202</v>
      </c>
      <c r="C3358" s="656" t="s">
        <v>4516</v>
      </c>
      <c r="D3358" s="657" t="s">
        <v>14977</v>
      </c>
      <c r="E3358" s="657"/>
      <c r="F3358" s="656" t="s">
        <v>3077</v>
      </c>
      <c r="G3358" s="656"/>
      <c r="H3358" s="656" t="s">
        <v>465</v>
      </c>
      <c r="I3358" s="656" t="s">
        <v>14976</v>
      </c>
      <c r="J3358" s="656" t="s">
        <v>446</v>
      </c>
      <c r="K3358" s="656"/>
      <c r="L3358" s="656" t="s">
        <v>4515</v>
      </c>
      <c r="M3358" s="657"/>
      <c r="N3358" s="1482"/>
      <c r="O3358" s="656" t="s">
        <v>498</v>
      </c>
      <c r="P3358" s="656" t="s">
        <v>13052</v>
      </c>
      <c r="Q3358" s="656">
        <v>44216.769849537035</v>
      </c>
    </row>
    <row r="3359" spans="1:17">
      <c r="A3359" s="656" t="s">
        <v>4517</v>
      </c>
      <c r="B3359" s="657"/>
      <c r="C3359" s="656" t="s">
        <v>4518</v>
      </c>
      <c r="D3359" s="657" t="s">
        <v>14977</v>
      </c>
      <c r="E3359" s="657"/>
      <c r="F3359" s="656"/>
      <c r="G3359" s="656"/>
      <c r="H3359" s="656"/>
      <c r="I3359" s="656" t="s">
        <v>14976</v>
      </c>
      <c r="J3359" s="656"/>
      <c r="K3359" s="656"/>
      <c r="L3359" s="656" t="s">
        <v>4517</v>
      </c>
      <c r="M3359" s="657"/>
      <c r="N3359" s="1482"/>
      <c r="O3359" s="656" t="s">
        <v>498</v>
      </c>
      <c r="P3359" s="656" t="s">
        <v>13052</v>
      </c>
      <c r="Q3359" s="656">
        <v>44216.769849537035</v>
      </c>
    </row>
    <row r="3360" spans="1:17">
      <c r="A3360" s="656" t="s">
        <v>4519</v>
      </c>
      <c r="B3360" s="657" t="s">
        <v>202</v>
      </c>
      <c r="C3360" s="656" t="s">
        <v>4520</v>
      </c>
      <c r="D3360" s="657" t="s">
        <v>1239</v>
      </c>
      <c r="E3360" s="657" t="s">
        <v>7439</v>
      </c>
      <c r="F3360" s="656" t="s">
        <v>655</v>
      </c>
      <c r="G3360" s="656" t="s">
        <v>1078</v>
      </c>
      <c r="H3360" s="656" t="s">
        <v>655</v>
      </c>
      <c r="I3360" s="656" t="s">
        <v>14976</v>
      </c>
      <c r="J3360" s="656" t="s">
        <v>15281</v>
      </c>
      <c r="K3360" s="656"/>
      <c r="L3360" s="656"/>
      <c r="M3360" s="657"/>
      <c r="N3360" s="1482"/>
      <c r="O3360" s="656" t="s">
        <v>498</v>
      </c>
      <c r="P3360" s="656" t="s">
        <v>13052</v>
      </c>
      <c r="Q3360" s="656">
        <v>44216.769849537035</v>
      </c>
    </row>
    <row r="3361" spans="1:17">
      <c r="A3361" s="656" t="s">
        <v>13464</v>
      </c>
      <c r="B3361" s="657" t="s">
        <v>202</v>
      </c>
      <c r="C3361" s="656" t="s">
        <v>13465</v>
      </c>
      <c r="D3361" s="657" t="s">
        <v>1239</v>
      </c>
      <c r="E3361" s="657"/>
      <c r="F3361" s="656" t="s">
        <v>655</v>
      </c>
      <c r="G3361" s="656" t="s">
        <v>13</v>
      </c>
      <c r="H3361" s="656" t="s">
        <v>655</v>
      </c>
      <c r="I3361" s="656" t="s">
        <v>14976</v>
      </c>
      <c r="J3361" s="656" t="s">
        <v>15281</v>
      </c>
      <c r="K3361" s="656"/>
      <c r="L3361" s="656"/>
      <c r="M3361" s="657"/>
      <c r="N3361" s="1482"/>
      <c r="O3361" s="656" t="s">
        <v>498</v>
      </c>
      <c r="P3361" s="656" t="s">
        <v>13052</v>
      </c>
      <c r="Q3361" s="656">
        <v>44216.769837962966</v>
      </c>
    </row>
    <row r="3362" spans="1:17">
      <c r="A3362" s="656" t="s">
        <v>4521</v>
      </c>
      <c r="B3362" s="657"/>
      <c r="C3362" s="656" t="s">
        <v>4522</v>
      </c>
      <c r="D3362" s="657" t="s">
        <v>14977</v>
      </c>
      <c r="E3362" s="657"/>
      <c r="F3362" s="656"/>
      <c r="G3362" s="656"/>
      <c r="H3362" s="656"/>
      <c r="I3362" s="656" t="s">
        <v>14976</v>
      </c>
      <c r="J3362" s="656"/>
      <c r="K3362" s="656"/>
      <c r="L3362" s="656" t="s">
        <v>4521</v>
      </c>
      <c r="M3362" s="657"/>
      <c r="N3362" s="1482"/>
      <c r="O3362" s="656" t="s">
        <v>498</v>
      </c>
      <c r="P3362" s="656" t="s">
        <v>13052</v>
      </c>
      <c r="Q3362" s="656">
        <v>44216.769837962966</v>
      </c>
    </row>
    <row r="3363" spans="1:17">
      <c r="A3363" s="656" t="s">
        <v>4523</v>
      </c>
      <c r="B3363" s="657"/>
      <c r="C3363" s="656" t="s">
        <v>4524</v>
      </c>
      <c r="D3363" s="657" t="s">
        <v>14977</v>
      </c>
      <c r="E3363" s="657"/>
      <c r="F3363" s="656"/>
      <c r="G3363" s="656"/>
      <c r="H3363" s="656"/>
      <c r="I3363" s="656" t="s">
        <v>14976</v>
      </c>
      <c r="J3363" s="656"/>
      <c r="K3363" s="656"/>
      <c r="L3363" s="656" t="s">
        <v>4523</v>
      </c>
      <c r="M3363" s="657"/>
      <c r="N3363" s="1482"/>
      <c r="O3363" s="656" t="s">
        <v>498</v>
      </c>
      <c r="P3363" s="656" t="s">
        <v>13052</v>
      </c>
      <c r="Q3363" s="656">
        <v>44216.769837962966</v>
      </c>
    </row>
    <row r="3364" spans="1:17">
      <c r="A3364" s="656" t="s">
        <v>4525</v>
      </c>
      <c r="B3364" s="657"/>
      <c r="C3364" s="656" t="s">
        <v>4526</v>
      </c>
      <c r="D3364" s="657" t="s">
        <v>14977</v>
      </c>
      <c r="E3364" s="657"/>
      <c r="F3364" s="656"/>
      <c r="G3364" s="656"/>
      <c r="H3364" s="656"/>
      <c r="I3364" s="656" t="s">
        <v>14976</v>
      </c>
      <c r="J3364" s="656"/>
      <c r="K3364" s="656"/>
      <c r="L3364" s="656" t="s">
        <v>4525</v>
      </c>
      <c r="M3364" s="657"/>
      <c r="N3364" s="1482"/>
      <c r="O3364" s="656" t="s">
        <v>498</v>
      </c>
      <c r="P3364" s="656" t="s">
        <v>13052</v>
      </c>
      <c r="Q3364" s="656">
        <v>44216.769826388889</v>
      </c>
    </row>
    <row r="3365" spans="1:17">
      <c r="A3365" s="656" t="s">
        <v>4527</v>
      </c>
      <c r="B3365" s="657"/>
      <c r="C3365" s="656" t="s">
        <v>4528</v>
      </c>
      <c r="D3365" s="657" t="s">
        <v>14977</v>
      </c>
      <c r="E3365" s="657"/>
      <c r="F3365" s="656"/>
      <c r="G3365" s="656"/>
      <c r="H3365" s="656"/>
      <c r="I3365" s="656" t="s">
        <v>14976</v>
      </c>
      <c r="J3365" s="656"/>
      <c r="K3365" s="656"/>
      <c r="L3365" s="656" t="s">
        <v>4527</v>
      </c>
      <c r="M3365" s="657"/>
      <c r="N3365" s="1482"/>
      <c r="O3365" s="656" t="s">
        <v>498</v>
      </c>
      <c r="P3365" s="656" t="s">
        <v>13052</v>
      </c>
      <c r="Q3365" s="656">
        <v>44216.769826388889</v>
      </c>
    </row>
    <row r="3366" spans="1:17">
      <c r="A3366" s="656" t="s">
        <v>4529</v>
      </c>
      <c r="B3366" s="657"/>
      <c r="C3366" s="656" t="s">
        <v>4530</v>
      </c>
      <c r="D3366" s="657" t="s">
        <v>14977</v>
      </c>
      <c r="E3366" s="657"/>
      <c r="F3366" s="656"/>
      <c r="G3366" s="656"/>
      <c r="H3366" s="656"/>
      <c r="I3366" s="656" t="s">
        <v>14976</v>
      </c>
      <c r="J3366" s="656"/>
      <c r="K3366" s="656"/>
      <c r="L3366" s="656" t="s">
        <v>4529</v>
      </c>
      <c r="M3366" s="657"/>
      <c r="N3366" s="1482"/>
      <c r="O3366" s="656" t="s">
        <v>498</v>
      </c>
      <c r="P3366" s="656" t="s">
        <v>13052</v>
      </c>
      <c r="Q3366" s="656">
        <v>44216.769826388889</v>
      </c>
    </row>
    <row r="3367" spans="1:17">
      <c r="A3367" s="656" t="s">
        <v>4531</v>
      </c>
      <c r="B3367" s="657"/>
      <c r="C3367" s="656" t="s">
        <v>4532</v>
      </c>
      <c r="D3367" s="657" t="s">
        <v>14977</v>
      </c>
      <c r="E3367" s="657"/>
      <c r="F3367" s="656"/>
      <c r="G3367" s="656"/>
      <c r="H3367" s="656"/>
      <c r="I3367" s="656" t="s">
        <v>14976</v>
      </c>
      <c r="J3367" s="656"/>
      <c r="K3367" s="656"/>
      <c r="L3367" s="656" t="s">
        <v>4531</v>
      </c>
      <c r="M3367" s="657"/>
      <c r="N3367" s="1482"/>
      <c r="O3367" s="656" t="s">
        <v>498</v>
      </c>
      <c r="P3367" s="656" t="s">
        <v>13052</v>
      </c>
      <c r="Q3367" s="656">
        <v>44216.769814814812</v>
      </c>
    </row>
    <row r="3368" spans="1:17">
      <c r="A3368" s="656" t="s">
        <v>4533</v>
      </c>
      <c r="B3368" s="657"/>
      <c r="C3368" s="656" t="s">
        <v>4534</v>
      </c>
      <c r="D3368" s="657" t="s">
        <v>14977</v>
      </c>
      <c r="E3368" s="657"/>
      <c r="F3368" s="656"/>
      <c r="G3368" s="656"/>
      <c r="H3368" s="656"/>
      <c r="I3368" s="656" t="s">
        <v>14976</v>
      </c>
      <c r="J3368" s="656"/>
      <c r="K3368" s="656"/>
      <c r="L3368" s="656" t="s">
        <v>4533</v>
      </c>
      <c r="M3368" s="657"/>
      <c r="N3368" s="1482"/>
      <c r="O3368" s="656" t="s">
        <v>498</v>
      </c>
      <c r="P3368" s="656" t="s">
        <v>13052</v>
      </c>
      <c r="Q3368" s="656">
        <v>44216.769803240742</v>
      </c>
    </row>
    <row r="3369" spans="1:17">
      <c r="A3369" s="656" t="s">
        <v>4535</v>
      </c>
      <c r="B3369" s="657"/>
      <c r="C3369" s="656" t="s">
        <v>4536</v>
      </c>
      <c r="D3369" s="657" t="s">
        <v>14977</v>
      </c>
      <c r="E3369" s="657"/>
      <c r="F3369" s="656"/>
      <c r="G3369" s="656"/>
      <c r="H3369" s="656"/>
      <c r="I3369" s="656" t="s">
        <v>14976</v>
      </c>
      <c r="J3369" s="656"/>
      <c r="K3369" s="656"/>
      <c r="L3369" s="656" t="s">
        <v>4535</v>
      </c>
      <c r="M3369" s="657"/>
      <c r="N3369" s="1482"/>
      <c r="O3369" s="656" t="s">
        <v>498</v>
      </c>
      <c r="P3369" s="656" t="s">
        <v>13052</v>
      </c>
      <c r="Q3369" s="656">
        <v>44216.769803240742</v>
      </c>
    </row>
    <row r="3370" spans="1:17">
      <c r="A3370" s="656" t="s">
        <v>4537</v>
      </c>
      <c r="B3370" s="657" t="s">
        <v>504</v>
      </c>
      <c r="C3370" s="656" t="s">
        <v>4538</v>
      </c>
      <c r="D3370" s="657" t="s">
        <v>14977</v>
      </c>
      <c r="E3370" s="657"/>
      <c r="F3370" s="656"/>
      <c r="G3370" s="656"/>
      <c r="H3370" s="656"/>
      <c r="I3370" s="656"/>
      <c r="J3370" s="656"/>
      <c r="K3370" s="656"/>
      <c r="L3370" s="656"/>
      <c r="M3370" s="657"/>
      <c r="N3370" s="1482"/>
      <c r="O3370" s="656" t="s">
        <v>498</v>
      </c>
      <c r="P3370" s="656" t="s">
        <v>13052</v>
      </c>
      <c r="Q3370" s="656">
        <v>44216.769791666666</v>
      </c>
    </row>
    <row r="3371" spans="1:17">
      <c r="A3371" s="656" t="s">
        <v>4539</v>
      </c>
      <c r="B3371" s="657" t="s">
        <v>504</v>
      </c>
      <c r="C3371" s="656" t="s">
        <v>4540</v>
      </c>
      <c r="D3371" s="657" t="s">
        <v>14977</v>
      </c>
      <c r="E3371" s="657"/>
      <c r="F3371" s="656"/>
      <c r="G3371" s="656"/>
      <c r="H3371" s="656"/>
      <c r="I3371" s="656"/>
      <c r="J3371" s="656"/>
      <c r="K3371" s="656"/>
      <c r="L3371" s="656"/>
      <c r="M3371" s="657"/>
      <c r="N3371" s="1482"/>
      <c r="O3371" s="656" t="s">
        <v>498</v>
      </c>
      <c r="P3371" s="656" t="s">
        <v>13052</v>
      </c>
      <c r="Q3371" s="656">
        <v>44216.769791666666</v>
      </c>
    </row>
    <row r="3372" spans="1:17">
      <c r="A3372" s="656" t="s">
        <v>4541</v>
      </c>
      <c r="B3372" s="657" t="s">
        <v>504</v>
      </c>
      <c r="C3372" s="656" t="s">
        <v>4542</v>
      </c>
      <c r="D3372" s="657" t="s">
        <v>14977</v>
      </c>
      <c r="E3372" s="657"/>
      <c r="F3372" s="656"/>
      <c r="G3372" s="656"/>
      <c r="H3372" s="656"/>
      <c r="I3372" s="656"/>
      <c r="J3372" s="656"/>
      <c r="K3372" s="656"/>
      <c r="L3372" s="656"/>
      <c r="M3372" s="657"/>
      <c r="N3372" s="1482"/>
      <c r="O3372" s="656" t="s">
        <v>498</v>
      </c>
      <c r="P3372" s="656" t="s">
        <v>13052</v>
      </c>
      <c r="Q3372" s="656">
        <v>44216.769780092596</v>
      </c>
    </row>
    <row r="3373" spans="1:17">
      <c r="A3373" s="656" t="s">
        <v>4543</v>
      </c>
      <c r="B3373" s="657" t="s">
        <v>504</v>
      </c>
      <c r="C3373" s="656" t="s">
        <v>4544</v>
      </c>
      <c r="D3373" s="657" t="s">
        <v>14977</v>
      </c>
      <c r="E3373" s="657"/>
      <c r="F3373" s="656"/>
      <c r="G3373" s="656"/>
      <c r="H3373" s="656"/>
      <c r="I3373" s="656"/>
      <c r="J3373" s="656"/>
      <c r="K3373" s="656"/>
      <c r="L3373" s="656"/>
      <c r="M3373" s="657"/>
      <c r="N3373" s="1482"/>
      <c r="O3373" s="656" t="s">
        <v>498</v>
      </c>
      <c r="P3373" s="656" t="s">
        <v>13052</v>
      </c>
      <c r="Q3373" s="656">
        <v>44216.769780092596</v>
      </c>
    </row>
    <row r="3374" spans="1:17">
      <c r="A3374" s="656" t="s">
        <v>4545</v>
      </c>
      <c r="B3374" s="657" t="s">
        <v>504</v>
      </c>
      <c r="C3374" s="656" t="s">
        <v>4546</v>
      </c>
      <c r="D3374" s="657" t="s">
        <v>14977</v>
      </c>
      <c r="E3374" s="657"/>
      <c r="F3374" s="656"/>
      <c r="G3374" s="656"/>
      <c r="H3374" s="656"/>
      <c r="I3374" s="656"/>
      <c r="J3374" s="656"/>
      <c r="K3374" s="656"/>
      <c r="L3374" s="656"/>
      <c r="M3374" s="657"/>
      <c r="N3374" s="1482"/>
      <c r="O3374" s="656" t="s">
        <v>498</v>
      </c>
      <c r="P3374" s="656" t="s">
        <v>13052</v>
      </c>
      <c r="Q3374" s="656">
        <v>44216.769768518519</v>
      </c>
    </row>
    <row r="3375" spans="1:17">
      <c r="A3375" s="656" t="s">
        <v>4547</v>
      </c>
      <c r="B3375" s="657" t="s">
        <v>504</v>
      </c>
      <c r="C3375" s="656" t="s">
        <v>4548</v>
      </c>
      <c r="D3375" s="657" t="s">
        <v>14977</v>
      </c>
      <c r="E3375" s="657"/>
      <c r="F3375" s="656"/>
      <c r="G3375" s="656"/>
      <c r="H3375" s="656"/>
      <c r="I3375" s="656"/>
      <c r="J3375" s="656"/>
      <c r="K3375" s="656"/>
      <c r="L3375" s="656"/>
      <c r="M3375" s="657"/>
      <c r="N3375" s="1482"/>
      <c r="O3375" s="656" t="s">
        <v>498</v>
      </c>
      <c r="P3375" s="656" t="s">
        <v>13052</v>
      </c>
      <c r="Q3375" s="656">
        <v>44216.769768518519</v>
      </c>
    </row>
    <row r="3376" spans="1:17">
      <c r="A3376" s="656" t="s">
        <v>4549</v>
      </c>
      <c r="B3376" s="657"/>
      <c r="C3376" s="656" t="s">
        <v>4550</v>
      </c>
      <c r="D3376" s="657" t="s">
        <v>14977</v>
      </c>
      <c r="E3376" s="657"/>
      <c r="F3376" s="656"/>
      <c r="G3376" s="656"/>
      <c r="H3376" s="656"/>
      <c r="I3376" s="656" t="s">
        <v>14976</v>
      </c>
      <c r="J3376" s="656"/>
      <c r="K3376" s="656"/>
      <c r="L3376" s="656" t="s">
        <v>4549</v>
      </c>
      <c r="M3376" s="657"/>
      <c r="N3376" s="1482"/>
      <c r="O3376" s="656" t="s">
        <v>498</v>
      </c>
      <c r="P3376" s="656" t="s">
        <v>13052</v>
      </c>
      <c r="Q3376" s="656">
        <v>44216.769768518519</v>
      </c>
    </row>
    <row r="3377" spans="1:17">
      <c r="A3377" s="656" t="s">
        <v>4551</v>
      </c>
      <c r="B3377" s="657"/>
      <c r="C3377" s="656" t="s">
        <v>4552</v>
      </c>
      <c r="D3377" s="657" t="s">
        <v>14977</v>
      </c>
      <c r="E3377" s="657"/>
      <c r="F3377" s="656"/>
      <c r="G3377" s="656"/>
      <c r="H3377" s="656"/>
      <c r="I3377" s="656" t="s">
        <v>14976</v>
      </c>
      <c r="J3377" s="656"/>
      <c r="K3377" s="656"/>
      <c r="L3377" s="656" t="s">
        <v>4551</v>
      </c>
      <c r="M3377" s="657"/>
      <c r="N3377" s="1482"/>
      <c r="O3377" s="656" t="s">
        <v>498</v>
      </c>
      <c r="P3377" s="656" t="s">
        <v>13052</v>
      </c>
      <c r="Q3377" s="656">
        <v>44216.769756944443</v>
      </c>
    </row>
    <row r="3378" spans="1:17">
      <c r="A3378" s="656" t="s">
        <v>4553</v>
      </c>
      <c r="B3378" s="657"/>
      <c r="C3378" s="656" t="s">
        <v>4554</v>
      </c>
      <c r="D3378" s="657" t="s">
        <v>14977</v>
      </c>
      <c r="E3378" s="657"/>
      <c r="F3378" s="656"/>
      <c r="G3378" s="656"/>
      <c r="H3378" s="656"/>
      <c r="I3378" s="656" t="s">
        <v>14976</v>
      </c>
      <c r="J3378" s="656"/>
      <c r="K3378" s="656"/>
      <c r="L3378" s="656" t="s">
        <v>4553</v>
      </c>
      <c r="M3378" s="657"/>
      <c r="N3378" s="1482"/>
      <c r="O3378" s="656" t="s">
        <v>498</v>
      </c>
      <c r="P3378" s="656" t="s">
        <v>13052</v>
      </c>
      <c r="Q3378" s="656">
        <v>44216.769756944443</v>
      </c>
    </row>
    <row r="3379" spans="1:17">
      <c r="A3379" s="656" t="s">
        <v>4555</v>
      </c>
      <c r="B3379" s="657" t="s">
        <v>202</v>
      </c>
      <c r="C3379" s="656" t="s">
        <v>4556</v>
      </c>
      <c r="D3379" s="657" t="s">
        <v>13789</v>
      </c>
      <c r="E3379" s="657"/>
      <c r="F3379" s="656" t="s">
        <v>500</v>
      </c>
      <c r="G3379" s="656" t="s">
        <v>500</v>
      </c>
      <c r="H3379" s="656" t="s">
        <v>500</v>
      </c>
      <c r="I3379" s="656" t="s">
        <v>14976</v>
      </c>
      <c r="J3379" s="656"/>
      <c r="K3379" s="656"/>
      <c r="L3379" s="656"/>
      <c r="M3379" s="657"/>
      <c r="N3379" s="1482"/>
      <c r="O3379" s="656" t="s">
        <v>498</v>
      </c>
      <c r="P3379" s="656" t="s">
        <v>13052</v>
      </c>
      <c r="Q3379" s="656">
        <v>44216.769745370373</v>
      </c>
    </row>
    <row r="3380" spans="1:17">
      <c r="A3380" s="656" t="s">
        <v>4557</v>
      </c>
      <c r="B3380" s="657"/>
      <c r="C3380" s="656" t="s">
        <v>4558</v>
      </c>
      <c r="D3380" s="657" t="s">
        <v>14977</v>
      </c>
      <c r="E3380" s="657"/>
      <c r="F3380" s="656"/>
      <c r="G3380" s="656"/>
      <c r="H3380" s="656"/>
      <c r="I3380" s="656" t="s">
        <v>14976</v>
      </c>
      <c r="J3380" s="656"/>
      <c r="K3380" s="656"/>
      <c r="L3380" s="656" t="s">
        <v>4557</v>
      </c>
      <c r="M3380" s="657"/>
      <c r="N3380" s="1482"/>
      <c r="O3380" s="656" t="s">
        <v>498</v>
      </c>
      <c r="P3380" s="656" t="s">
        <v>13052</v>
      </c>
      <c r="Q3380" s="656">
        <v>44216.769745370373</v>
      </c>
    </row>
    <row r="3381" spans="1:17">
      <c r="A3381" s="656" t="s">
        <v>4559</v>
      </c>
      <c r="B3381" s="657" t="s">
        <v>504</v>
      </c>
      <c r="C3381" s="656" t="s">
        <v>4560</v>
      </c>
      <c r="D3381" s="657" t="s">
        <v>14978</v>
      </c>
      <c r="E3381" s="657" t="s">
        <v>9654</v>
      </c>
      <c r="F3381" s="656" t="s">
        <v>505</v>
      </c>
      <c r="G3381" s="656" t="s">
        <v>525</v>
      </c>
      <c r="H3381" s="656" t="s">
        <v>505</v>
      </c>
      <c r="I3381" s="656" t="s">
        <v>14976</v>
      </c>
      <c r="J3381" s="656"/>
      <c r="K3381" s="656"/>
      <c r="L3381" s="656" t="s">
        <v>15300</v>
      </c>
      <c r="M3381" s="657"/>
      <c r="N3381" s="1482"/>
      <c r="O3381" s="656" t="s">
        <v>498</v>
      </c>
      <c r="P3381" s="656" t="s">
        <v>13052</v>
      </c>
      <c r="Q3381" s="656">
        <v>44216.769733796296</v>
      </c>
    </row>
    <row r="3382" spans="1:17">
      <c r="A3382" s="656" t="s">
        <v>4561</v>
      </c>
      <c r="B3382" s="657" t="s">
        <v>504</v>
      </c>
      <c r="C3382" s="656" t="s">
        <v>13463</v>
      </c>
      <c r="D3382" s="657" t="s">
        <v>14978</v>
      </c>
      <c r="E3382" s="657" t="s">
        <v>9654</v>
      </c>
      <c r="F3382" s="656" t="s">
        <v>505</v>
      </c>
      <c r="G3382" s="656" t="s">
        <v>525</v>
      </c>
      <c r="H3382" s="656" t="s">
        <v>505</v>
      </c>
      <c r="I3382" s="656" t="s">
        <v>14976</v>
      </c>
      <c r="J3382" s="656"/>
      <c r="K3382" s="656"/>
      <c r="L3382" s="656" t="s">
        <v>15301</v>
      </c>
      <c r="M3382" s="657"/>
      <c r="N3382" s="1482"/>
      <c r="O3382" s="656" t="s">
        <v>498</v>
      </c>
      <c r="P3382" s="656" t="s">
        <v>13052</v>
      </c>
      <c r="Q3382" s="656">
        <v>44216.769733796296</v>
      </c>
    </row>
    <row r="3383" spans="1:17">
      <c r="A3383" s="656" t="s">
        <v>4562</v>
      </c>
      <c r="B3383" s="657" t="s">
        <v>504</v>
      </c>
      <c r="C3383" s="656" t="s">
        <v>4563</v>
      </c>
      <c r="D3383" s="657" t="s">
        <v>14978</v>
      </c>
      <c r="E3383" s="657" t="s">
        <v>9654</v>
      </c>
      <c r="F3383" s="656" t="s">
        <v>505</v>
      </c>
      <c r="G3383" s="656" t="s">
        <v>525</v>
      </c>
      <c r="H3383" s="656" t="s">
        <v>505</v>
      </c>
      <c r="I3383" s="656" t="s">
        <v>14976</v>
      </c>
      <c r="J3383" s="656"/>
      <c r="K3383" s="656"/>
      <c r="L3383" s="656" t="s">
        <v>15301</v>
      </c>
      <c r="M3383" s="657"/>
      <c r="N3383" s="1482"/>
      <c r="O3383" s="656" t="s">
        <v>498</v>
      </c>
      <c r="P3383" s="656" t="s">
        <v>13052</v>
      </c>
      <c r="Q3383" s="656">
        <v>44216.76972222222</v>
      </c>
    </row>
    <row r="3384" spans="1:17">
      <c r="A3384" s="656" t="s">
        <v>4564</v>
      </c>
      <c r="B3384" s="657" t="s">
        <v>504</v>
      </c>
      <c r="C3384" s="656" t="s">
        <v>4565</v>
      </c>
      <c r="D3384" s="657" t="s">
        <v>14978</v>
      </c>
      <c r="E3384" s="657" t="s">
        <v>9654</v>
      </c>
      <c r="F3384" s="656" t="s">
        <v>505</v>
      </c>
      <c r="G3384" s="656" t="s">
        <v>525</v>
      </c>
      <c r="H3384" s="656" t="s">
        <v>505</v>
      </c>
      <c r="I3384" s="656" t="s">
        <v>14976</v>
      </c>
      <c r="J3384" s="656"/>
      <c r="K3384" s="656"/>
      <c r="L3384" s="656" t="s">
        <v>15301</v>
      </c>
      <c r="M3384" s="657"/>
      <c r="N3384" s="1482"/>
      <c r="O3384" s="656" t="s">
        <v>498</v>
      </c>
      <c r="P3384" s="656" t="s">
        <v>13052</v>
      </c>
      <c r="Q3384" s="656">
        <v>44216.76972222222</v>
      </c>
    </row>
    <row r="3385" spans="1:17">
      <c r="A3385" s="656" t="s">
        <v>4566</v>
      </c>
      <c r="B3385" s="657" t="s">
        <v>504</v>
      </c>
      <c r="C3385" s="656" t="s">
        <v>4567</v>
      </c>
      <c r="D3385" s="657" t="s">
        <v>14978</v>
      </c>
      <c r="E3385" s="657" t="s">
        <v>9654</v>
      </c>
      <c r="F3385" s="656" t="s">
        <v>505</v>
      </c>
      <c r="G3385" s="656" t="s">
        <v>525</v>
      </c>
      <c r="H3385" s="656" t="s">
        <v>505</v>
      </c>
      <c r="I3385" s="656" t="s">
        <v>14976</v>
      </c>
      <c r="J3385" s="656"/>
      <c r="K3385" s="656"/>
      <c r="L3385" s="656" t="s">
        <v>15300</v>
      </c>
      <c r="M3385" s="657"/>
      <c r="N3385" s="1482"/>
      <c r="O3385" s="656" t="s">
        <v>498</v>
      </c>
      <c r="P3385" s="656" t="s">
        <v>13052</v>
      </c>
      <c r="Q3385" s="656">
        <v>44216.76971064815</v>
      </c>
    </row>
    <row r="3386" spans="1:17">
      <c r="A3386" s="656" t="s">
        <v>4568</v>
      </c>
      <c r="B3386" s="657" t="s">
        <v>504</v>
      </c>
      <c r="C3386" s="656" t="s">
        <v>4569</v>
      </c>
      <c r="D3386" s="657" t="s">
        <v>14978</v>
      </c>
      <c r="E3386" s="657" t="s">
        <v>9654</v>
      </c>
      <c r="F3386" s="656" t="s">
        <v>505</v>
      </c>
      <c r="G3386" s="656" t="s">
        <v>525</v>
      </c>
      <c r="H3386" s="656" t="s">
        <v>505</v>
      </c>
      <c r="I3386" s="656" t="s">
        <v>14976</v>
      </c>
      <c r="J3386" s="656"/>
      <c r="K3386" s="656"/>
      <c r="L3386" s="656" t="s">
        <v>15300</v>
      </c>
      <c r="M3386" s="657"/>
      <c r="N3386" s="1482"/>
      <c r="O3386" s="656" t="s">
        <v>498</v>
      </c>
      <c r="P3386" s="656" t="s">
        <v>13052</v>
      </c>
      <c r="Q3386" s="656">
        <v>44216.769699074073</v>
      </c>
    </row>
    <row r="3387" spans="1:17">
      <c r="A3387" s="656" t="s">
        <v>4570</v>
      </c>
      <c r="B3387" s="657"/>
      <c r="C3387" s="656" t="s">
        <v>4571</v>
      </c>
      <c r="D3387" s="657" t="s">
        <v>14977</v>
      </c>
      <c r="E3387" s="657"/>
      <c r="F3387" s="656"/>
      <c r="G3387" s="656"/>
      <c r="H3387" s="656"/>
      <c r="I3387" s="656" t="s">
        <v>14976</v>
      </c>
      <c r="J3387" s="656"/>
      <c r="K3387" s="656"/>
      <c r="L3387" s="656" t="s">
        <v>4570</v>
      </c>
      <c r="M3387" s="657"/>
      <c r="N3387" s="1482"/>
      <c r="O3387" s="656" t="s">
        <v>498</v>
      </c>
      <c r="P3387" s="656" t="s">
        <v>13052</v>
      </c>
      <c r="Q3387" s="656">
        <v>44216.769699074073</v>
      </c>
    </row>
    <row r="3388" spans="1:17">
      <c r="A3388" s="656" t="s">
        <v>4572</v>
      </c>
      <c r="B3388" s="657"/>
      <c r="C3388" s="656" t="s">
        <v>4573</v>
      </c>
      <c r="D3388" s="657" t="s">
        <v>14977</v>
      </c>
      <c r="E3388" s="657"/>
      <c r="F3388" s="656"/>
      <c r="G3388" s="656"/>
      <c r="H3388" s="656"/>
      <c r="I3388" s="656" t="s">
        <v>14976</v>
      </c>
      <c r="J3388" s="656"/>
      <c r="K3388" s="656"/>
      <c r="L3388" s="656" t="s">
        <v>4572</v>
      </c>
      <c r="M3388" s="657"/>
      <c r="N3388" s="1482"/>
      <c r="O3388" s="656" t="s">
        <v>498</v>
      </c>
      <c r="P3388" s="656" t="s">
        <v>13052</v>
      </c>
      <c r="Q3388" s="656">
        <v>44216.769687499997</v>
      </c>
    </row>
    <row r="3389" spans="1:17">
      <c r="A3389" s="656" t="s">
        <v>4574</v>
      </c>
      <c r="B3389" s="657"/>
      <c r="C3389" s="656" t="s">
        <v>4575</v>
      </c>
      <c r="D3389" s="657" t="s">
        <v>14977</v>
      </c>
      <c r="E3389" s="657"/>
      <c r="F3389" s="656"/>
      <c r="G3389" s="656"/>
      <c r="H3389" s="656"/>
      <c r="I3389" s="656" t="s">
        <v>14976</v>
      </c>
      <c r="J3389" s="656"/>
      <c r="K3389" s="656"/>
      <c r="L3389" s="656" t="s">
        <v>4574</v>
      </c>
      <c r="M3389" s="657"/>
      <c r="N3389" s="1482"/>
      <c r="O3389" s="656" t="s">
        <v>498</v>
      </c>
      <c r="P3389" s="656" t="s">
        <v>13052</v>
      </c>
      <c r="Q3389" s="656">
        <v>44216.769687499997</v>
      </c>
    </row>
    <row r="3390" spans="1:17">
      <c r="A3390" s="656" t="s">
        <v>4576</v>
      </c>
      <c r="B3390" s="657" t="s">
        <v>531</v>
      </c>
      <c r="C3390" s="656" t="s">
        <v>4577</v>
      </c>
      <c r="D3390" s="657" t="s">
        <v>14977</v>
      </c>
      <c r="E3390" s="657"/>
      <c r="F3390" s="656" t="s">
        <v>1394</v>
      </c>
      <c r="G3390" s="656" t="s">
        <v>717</v>
      </c>
      <c r="H3390" s="656" t="s">
        <v>1394</v>
      </c>
      <c r="I3390" s="656" t="s">
        <v>14976</v>
      </c>
      <c r="J3390" s="656" t="s">
        <v>532</v>
      </c>
      <c r="K3390" s="656"/>
      <c r="L3390" s="656" t="s">
        <v>4576</v>
      </c>
      <c r="M3390" s="657"/>
      <c r="N3390" s="1482"/>
      <c r="O3390" s="656" t="s">
        <v>498</v>
      </c>
      <c r="P3390" s="656" t="s">
        <v>13052</v>
      </c>
      <c r="Q3390" s="656">
        <v>44216.769675925927</v>
      </c>
    </row>
    <row r="3391" spans="1:17">
      <c r="A3391" s="656" t="s">
        <v>4578</v>
      </c>
      <c r="B3391" s="657"/>
      <c r="C3391" s="656" t="s">
        <v>4579</v>
      </c>
      <c r="D3391" s="657" t="s">
        <v>14977</v>
      </c>
      <c r="E3391" s="657"/>
      <c r="F3391" s="656"/>
      <c r="G3391" s="656"/>
      <c r="H3391" s="656"/>
      <c r="I3391" s="656" t="s">
        <v>14976</v>
      </c>
      <c r="J3391" s="656"/>
      <c r="K3391" s="656"/>
      <c r="L3391" s="656" t="s">
        <v>4578</v>
      </c>
      <c r="M3391" s="657"/>
      <c r="N3391" s="1482"/>
      <c r="O3391" s="656" t="s">
        <v>498</v>
      </c>
      <c r="P3391" s="656" t="s">
        <v>13052</v>
      </c>
      <c r="Q3391" s="656">
        <v>44216.769675925927</v>
      </c>
    </row>
    <row r="3392" spans="1:17">
      <c r="A3392" s="656" t="s">
        <v>4580</v>
      </c>
      <c r="B3392" s="657"/>
      <c r="C3392" s="656" t="s">
        <v>4581</v>
      </c>
      <c r="D3392" s="657" t="s">
        <v>14977</v>
      </c>
      <c r="E3392" s="657"/>
      <c r="F3392" s="656"/>
      <c r="G3392" s="656"/>
      <c r="H3392" s="656"/>
      <c r="I3392" s="656" t="s">
        <v>14976</v>
      </c>
      <c r="J3392" s="656"/>
      <c r="K3392" s="656"/>
      <c r="L3392" s="656" t="s">
        <v>4580</v>
      </c>
      <c r="M3392" s="657"/>
      <c r="N3392" s="1482"/>
      <c r="O3392" s="656" t="s">
        <v>498</v>
      </c>
      <c r="P3392" s="656" t="s">
        <v>13052</v>
      </c>
      <c r="Q3392" s="656">
        <v>44216.76966435185</v>
      </c>
    </row>
    <row r="3393" spans="1:17">
      <c r="A3393" s="656" t="s">
        <v>4582</v>
      </c>
      <c r="B3393" s="657"/>
      <c r="C3393" s="656" t="s">
        <v>4583</v>
      </c>
      <c r="D3393" s="657" t="s">
        <v>14977</v>
      </c>
      <c r="E3393" s="657"/>
      <c r="F3393" s="656"/>
      <c r="G3393" s="656"/>
      <c r="H3393" s="656"/>
      <c r="I3393" s="656" t="s">
        <v>14976</v>
      </c>
      <c r="J3393" s="656"/>
      <c r="K3393" s="656"/>
      <c r="L3393" s="656" t="s">
        <v>4582</v>
      </c>
      <c r="M3393" s="657"/>
      <c r="N3393" s="1482"/>
      <c r="O3393" s="656" t="s">
        <v>498</v>
      </c>
      <c r="P3393" s="656" t="s">
        <v>13052</v>
      </c>
      <c r="Q3393" s="656">
        <v>44216.769652777781</v>
      </c>
    </row>
    <row r="3394" spans="1:17">
      <c r="A3394" s="656" t="s">
        <v>4584</v>
      </c>
      <c r="B3394" s="657"/>
      <c r="C3394" s="656" t="s">
        <v>4585</v>
      </c>
      <c r="D3394" s="657" t="s">
        <v>14977</v>
      </c>
      <c r="E3394" s="657"/>
      <c r="F3394" s="656"/>
      <c r="G3394" s="656"/>
      <c r="H3394" s="656"/>
      <c r="I3394" s="656" t="s">
        <v>14976</v>
      </c>
      <c r="J3394" s="656"/>
      <c r="K3394" s="656"/>
      <c r="L3394" s="656" t="s">
        <v>4584</v>
      </c>
      <c r="M3394" s="657"/>
      <c r="N3394" s="1482"/>
      <c r="O3394" s="656" t="s">
        <v>498</v>
      </c>
      <c r="P3394" s="656" t="s">
        <v>13052</v>
      </c>
      <c r="Q3394" s="656">
        <v>44216.769652777781</v>
      </c>
    </row>
    <row r="3395" spans="1:17">
      <c r="A3395" s="656" t="s">
        <v>4586</v>
      </c>
      <c r="B3395" s="657"/>
      <c r="C3395" s="656" t="s">
        <v>4587</v>
      </c>
      <c r="D3395" s="657" t="s">
        <v>14977</v>
      </c>
      <c r="E3395" s="657"/>
      <c r="F3395" s="656"/>
      <c r="G3395" s="656"/>
      <c r="H3395" s="656"/>
      <c r="I3395" s="656" t="s">
        <v>14976</v>
      </c>
      <c r="J3395" s="656"/>
      <c r="K3395" s="656"/>
      <c r="L3395" s="656" t="s">
        <v>4586</v>
      </c>
      <c r="M3395" s="657"/>
      <c r="N3395" s="1482"/>
      <c r="O3395" s="656" t="s">
        <v>498</v>
      </c>
      <c r="P3395" s="656" t="s">
        <v>13052</v>
      </c>
      <c r="Q3395" s="656">
        <v>44216.769641203704</v>
      </c>
    </row>
    <row r="3396" spans="1:17">
      <c r="A3396" s="656" t="s">
        <v>4588</v>
      </c>
      <c r="B3396" s="657"/>
      <c r="C3396" s="656" t="s">
        <v>4589</v>
      </c>
      <c r="D3396" s="657" t="s">
        <v>14977</v>
      </c>
      <c r="E3396" s="657"/>
      <c r="F3396" s="656"/>
      <c r="G3396" s="656"/>
      <c r="H3396" s="656"/>
      <c r="I3396" s="656" t="s">
        <v>14976</v>
      </c>
      <c r="J3396" s="656"/>
      <c r="K3396" s="656"/>
      <c r="L3396" s="656" t="s">
        <v>4588</v>
      </c>
      <c r="M3396" s="657"/>
      <c r="N3396" s="1482"/>
      <c r="O3396" s="656" t="s">
        <v>498</v>
      </c>
      <c r="P3396" s="656" t="s">
        <v>13052</v>
      </c>
      <c r="Q3396" s="656">
        <v>44216.769641203704</v>
      </c>
    </row>
    <row r="3397" spans="1:17">
      <c r="A3397" s="656" t="s">
        <v>4590</v>
      </c>
      <c r="B3397" s="657"/>
      <c r="C3397" s="656" t="s">
        <v>4591</v>
      </c>
      <c r="D3397" s="657" t="s">
        <v>14977</v>
      </c>
      <c r="E3397" s="657"/>
      <c r="F3397" s="656"/>
      <c r="G3397" s="656"/>
      <c r="H3397" s="656"/>
      <c r="I3397" s="656" t="s">
        <v>14976</v>
      </c>
      <c r="J3397" s="656"/>
      <c r="K3397" s="656"/>
      <c r="L3397" s="656" t="s">
        <v>4590</v>
      </c>
      <c r="M3397" s="657"/>
      <c r="N3397" s="1482"/>
      <c r="O3397" s="656" t="s">
        <v>498</v>
      </c>
      <c r="P3397" s="656" t="s">
        <v>13052</v>
      </c>
      <c r="Q3397" s="656">
        <v>44216.769618055558</v>
      </c>
    </row>
    <row r="3398" spans="1:17">
      <c r="A3398" s="656" t="s">
        <v>4592</v>
      </c>
      <c r="B3398" s="657"/>
      <c r="C3398" s="656" t="s">
        <v>4593</v>
      </c>
      <c r="D3398" s="657" t="s">
        <v>14977</v>
      </c>
      <c r="E3398" s="657"/>
      <c r="F3398" s="656"/>
      <c r="G3398" s="656"/>
      <c r="H3398" s="656"/>
      <c r="I3398" s="656" t="s">
        <v>14976</v>
      </c>
      <c r="J3398" s="656"/>
      <c r="K3398" s="656"/>
      <c r="L3398" s="656" t="s">
        <v>4592</v>
      </c>
      <c r="M3398" s="657"/>
      <c r="N3398" s="1482"/>
      <c r="O3398" s="656" t="s">
        <v>498</v>
      </c>
      <c r="P3398" s="656" t="s">
        <v>13052</v>
      </c>
      <c r="Q3398" s="656">
        <v>44216.769618055558</v>
      </c>
    </row>
    <row r="3399" spans="1:17">
      <c r="A3399" s="656" t="s">
        <v>4594</v>
      </c>
      <c r="B3399" s="657" t="s">
        <v>531</v>
      </c>
      <c r="C3399" s="656" t="s">
        <v>4595</v>
      </c>
      <c r="D3399" s="657" t="s">
        <v>14978</v>
      </c>
      <c r="E3399" s="657" t="s">
        <v>9458</v>
      </c>
      <c r="F3399" s="656" t="s">
        <v>442</v>
      </c>
      <c r="G3399" s="656" t="s">
        <v>561</v>
      </c>
      <c r="H3399" s="656" t="s">
        <v>442</v>
      </c>
      <c r="I3399" s="656" t="s">
        <v>14976</v>
      </c>
      <c r="J3399" s="656" t="s">
        <v>12369</v>
      </c>
      <c r="K3399" s="656" t="s">
        <v>1058</v>
      </c>
      <c r="L3399" s="656"/>
      <c r="M3399" s="657"/>
      <c r="N3399" s="1482"/>
      <c r="O3399" s="656" t="s">
        <v>498</v>
      </c>
      <c r="P3399" s="656" t="s">
        <v>13052</v>
      </c>
      <c r="Q3399" s="656">
        <v>44216.769618055558</v>
      </c>
    </row>
    <row r="3400" spans="1:17">
      <c r="A3400" s="656" t="s">
        <v>4596</v>
      </c>
      <c r="B3400" s="657" t="s">
        <v>531</v>
      </c>
      <c r="C3400" s="656" t="s">
        <v>4597</v>
      </c>
      <c r="D3400" s="657" t="s">
        <v>14978</v>
      </c>
      <c r="E3400" s="657" t="s">
        <v>9458</v>
      </c>
      <c r="F3400" s="656" t="s">
        <v>442</v>
      </c>
      <c r="G3400" s="656" t="s">
        <v>561</v>
      </c>
      <c r="H3400" s="656" t="s">
        <v>442</v>
      </c>
      <c r="I3400" s="656" t="s">
        <v>14976</v>
      </c>
      <c r="J3400" s="656" t="s">
        <v>12369</v>
      </c>
      <c r="K3400" s="656" t="s">
        <v>1058</v>
      </c>
      <c r="L3400" s="656"/>
      <c r="M3400" s="657"/>
      <c r="N3400" s="1482"/>
      <c r="O3400" s="656" t="s">
        <v>498</v>
      </c>
      <c r="P3400" s="656" t="s">
        <v>13052</v>
      </c>
      <c r="Q3400" s="656">
        <v>44216.769606481481</v>
      </c>
    </row>
    <row r="3401" spans="1:17">
      <c r="A3401" s="656" t="s">
        <v>4598</v>
      </c>
      <c r="B3401" s="657" t="s">
        <v>531</v>
      </c>
      <c r="C3401" s="656" t="s">
        <v>4599</v>
      </c>
      <c r="D3401" s="657" t="s">
        <v>14978</v>
      </c>
      <c r="E3401" s="657" t="s">
        <v>9458</v>
      </c>
      <c r="F3401" s="656" t="s">
        <v>442</v>
      </c>
      <c r="G3401" s="656" t="s">
        <v>561</v>
      </c>
      <c r="H3401" s="656" t="s">
        <v>442</v>
      </c>
      <c r="I3401" s="656" t="s">
        <v>14976</v>
      </c>
      <c r="J3401" s="656" t="s">
        <v>12369</v>
      </c>
      <c r="K3401" s="656" t="s">
        <v>1058</v>
      </c>
      <c r="L3401" s="656"/>
      <c r="M3401" s="657"/>
      <c r="N3401" s="1482"/>
      <c r="O3401" s="656" t="s">
        <v>498</v>
      </c>
      <c r="P3401" s="656" t="s">
        <v>13052</v>
      </c>
      <c r="Q3401" s="656">
        <v>44216.769606481481</v>
      </c>
    </row>
    <row r="3402" spans="1:17">
      <c r="A3402" s="656" t="s">
        <v>4600</v>
      </c>
      <c r="B3402" s="657" t="s">
        <v>531</v>
      </c>
      <c r="C3402" s="656" t="s">
        <v>4601</v>
      </c>
      <c r="D3402" s="657" t="s">
        <v>14978</v>
      </c>
      <c r="E3402" s="657" t="s">
        <v>9458</v>
      </c>
      <c r="F3402" s="656" t="s">
        <v>442</v>
      </c>
      <c r="G3402" s="656" t="s">
        <v>561</v>
      </c>
      <c r="H3402" s="656" t="s">
        <v>442</v>
      </c>
      <c r="I3402" s="656" t="s">
        <v>14976</v>
      </c>
      <c r="J3402" s="656" t="s">
        <v>12369</v>
      </c>
      <c r="K3402" s="656" t="s">
        <v>1058</v>
      </c>
      <c r="L3402" s="656"/>
      <c r="M3402" s="657"/>
      <c r="N3402" s="1482"/>
      <c r="O3402" s="656" t="s">
        <v>498</v>
      </c>
      <c r="P3402" s="656" t="s">
        <v>13052</v>
      </c>
      <c r="Q3402" s="656">
        <v>44216.769594907404</v>
      </c>
    </row>
    <row r="3403" spans="1:17">
      <c r="A3403" s="656" t="s">
        <v>4602</v>
      </c>
      <c r="B3403" s="657" t="s">
        <v>531</v>
      </c>
      <c r="C3403" s="656" t="s">
        <v>4603</v>
      </c>
      <c r="D3403" s="657" t="s">
        <v>14978</v>
      </c>
      <c r="E3403" s="657" t="s">
        <v>9458</v>
      </c>
      <c r="F3403" s="656" t="s">
        <v>442</v>
      </c>
      <c r="G3403" s="656" t="s">
        <v>561</v>
      </c>
      <c r="H3403" s="656" t="s">
        <v>442</v>
      </c>
      <c r="I3403" s="656" t="s">
        <v>14976</v>
      </c>
      <c r="J3403" s="656" t="s">
        <v>12369</v>
      </c>
      <c r="K3403" s="656" t="s">
        <v>1058</v>
      </c>
      <c r="L3403" s="656"/>
      <c r="M3403" s="657"/>
      <c r="N3403" s="1482"/>
      <c r="O3403" s="656" t="s">
        <v>498</v>
      </c>
      <c r="P3403" s="656" t="s">
        <v>13052</v>
      </c>
      <c r="Q3403" s="656">
        <v>44216.769583333335</v>
      </c>
    </row>
    <row r="3404" spans="1:17">
      <c r="A3404" s="656" t="s">
        <v>4604</v>
      </c>
      <c r="B3404" s="657" t="s">
        <v>531</v>
      </c>
      <c r="C3404" s="656" t="s">
        <v>1617</v>
      </c>
      <c r="D3404" s="657" t="s">
        <v>14978</v>
      </c>
      <c r="E3404" s="657" t="s">
        <v>9458</v>
      </c>
      <c r="F3404" s="656" t="s">
        <v>442</v>
      </c>
      <c r="G3404" s="656" t="s">
        <v>561</v>
      </c>
      <c r="H3404" s="656" t="s">
        <v>442</v>
      </c>
      <c r="I3404" s="656" t="s">
        <v>14976</v>
      </c>
      <c r="J3404" s="656" t="s">
        <v>12369</v>
      </c>
      <c r="K3404" s="656" t="s">
        <v>1058</v>
      </c>
      <c r="L3404" s="656"/>
      <c r="M3404" s="657"/>
      <c r="N3404" s="1482"/>
      <c r="O3404" s="656" t="s">
        <v>498</v>
      </c>
      <c r="P3404" s="656" t="s">
        <v>13052</v>
      </c>
      <c r="Q3404" s="656">
        <v>44216.769571759258</v>
      </c>
    </row>
    <row r="3405" spans="1:17">
      <c r="A3405" s="656" t="s">
        <v>4605</v>
      </c>
      <c r="B3405" s="657" t="s">
        <v>531</v>
      </c>
      <c r="C3405" s="656" t="s">
        <v>4606</v>
      </c>
      <c r="D3405" s="657" t="s">
        <v>14978</v>
      </c>
      <c r="E3405" s="657" t="s">
        <v>9458</v>
      </c>
      <c r="F3405" s="656" t="s">
        <v>442</v>
      </c>
      <c r="G3405" s="656" t="s">
        <v>561</v>
      </c>
      <c r="H3405" s="656" t="s">
        <v>442</v>
      </c>
      <c r="I3405" s="656" t="s">
        <v>14976</v>
      </c>
      <c r="J3405" s="656" t="s">
        <v>12369</v>
      </c>
      <c r="K3405" s="656" t="s">
        <v>1058</v>
      </c>
      <c r="L3405" s="656"/>
      <c r="M3405" s="657"/>
      <c r="N3405" s="1482"/>
      <c r="O3405" s="656" t="s">
        <v>498</v>
      </c>
      <c r="P3405" s="656" t="s">
        <v>13052</v>
      </c>
      <c r="Q3405" s="656">
        <v>44216.769548611112</v>
      </c>
    </row>
    <row r="3406" spans="1:17">
      <c r="A3406" s="656" t="s">
        <v>4607</v>
      </c>
      <c r="B3406" s="657" t="s">
        <v>531</v>
      </c>
      <c r="C3406" s="656" t="s">
        <v>1595</v>
      </c>
      <c r="D3406" s="657" t="s">
        <v>14978</v>
      </c>
      <c r="E3406" s="657" t="s">
        <v>9458</v>
      </c>
      <c r="F3406" s="656" t="s">
        <v>442</v>
      </c>
      <c r="G3406" s="656" t="s">
        <v>561</v>
      </c>
      <c r="H3406" s="656" t="s">
        <v>442</v>
      </c>
      <c r="I3406" s="656" t="s">
        <v>14976</v>
      </c>
      <c r="J3406" s="656" t="s">
        <v>12369</v>
      </c>
      <c r="K3406" s="656" t="s">
        <v>1058</v>
      </c>
      <c r="L3406" s="656"/>
      <c r="M3406" s="657"/>
      <c r="N3406" s="1482"/>
      <c r="O3406" s="656" t="s">
        <v>498</v>
      </c>
      <c r="P3406" s="656" t="s">
        <v>13052</v>
      </c>
      <c r="Q3406" s="656">
        <v>44216.769548611112</v>
      </c>
    </row>
    <row r="3407" spans="1:17">
      <c r="A3407" s="656" t="s">
        <v>4608</v>
      </c>
      <c r="B3407" s="657" t="s">
        <v>531</v>
      </c>
      <c r="C3407" s="656" t="s">
        <v>4609</v>
      </c>
      <c r="D3407" s="657" t="s">
        <v>14978</v>
      </c>
      <c r="E3407" s="657" t="s">
        <v>9458</v>
      </c>
      <c r="F3407" s="656" t="s">
        <v>442</v>
      </c>
      <c r="G3407" s="656" t="s">
        <v>561</v>
      </c>
      <c r="H3407" s="656" t="s">
        <v>442</v>
      </c>
      <c r="I3407" s="656" t="s">
        <v>14976</v>
      </c>
      <c r="J3407" s="656" t="s">
        <v>12369</v>
      </c>
      <c r="K3407" s="656" t="s">
        <v>1058</v>
      </c>
      <c r="L3407" s="656"/>
      <c r="M3407" s="657"/>
      <c r="N3407" s="1482"/>
      <c r="O3407" s="656" t="s">
        <v>498</v>
      </c>
      <c r="P3407" s="656" t="s">
        <v>13052</v>
      </c>
      <c r="Q3407" s="656">
        <v>44216.769537037035</v>
      </c>
    </row>
    <row r="3408" spans="1:17">
      <c r="A3408" s="656" t="s">
        <v>4610</v>
      </c>
      <c r="B3408" s="657" t="s">
        <v>531</v>
      </c>
      <c r="C3408" s="656" t="s">
        <v>4611</v>
      </c>
      <c r="D3408" s="657" t="s">
        <v>14978</v>
      </c>
      <c r="E3408" s="657" t="s">
        <v>9458</v>
      </c>
      <c r="F3408" s="656" t="s">
        <v>442</v>
      </c>
      <c r="G3408" s="656" t="s">
        <v>561</v>
      </c>
      <c r="H3408" s="656" t="s">
        <v>442</v>
      </c>
      <c r="I3408" s="656" t="s">
        <v>14976</v>
      </c>
      <c r="J3408" s="656" t="s">
        <v>12369</v>
      </c>
      <c r="K3408" s="656" t="s">
        <v>1058</v>
      </c>
      <c r="L3408" s="656"/>
      <c r="M3408" s="657"/>
      <c r="N3408" s="1482"/>
      <c r="O3408" s="656" t="s">
        <v>498</v>
      </c>
      <c r="P3408" s="656" t="s">
        <v>13052</v>
      </c>
      <c r="Q3408" s="656">
        <v>44216.769537037035</v>
      </c>
    </row>
    <row r="3409" spans="1:17">
      <c r="A3409" s="656" t="s">
        <v>4612</v>
      </c>
      <c r="B3409" s="657" t="s">
        <v>531</v>
      </c>
      <c r="C3409" s="656" t="s">
        <v>4613</v>
      </c>
      <c r="D3409" s="657" t="s">
        <v>14978</v>
      </c>
      <c r="E3409" s="657" t="s">
        <v>9458</v>
      </c>
      <c r="F3409" s="656" t="s">
        <v>442</v>
      </c>
      <c r="G3409" s="656" t="s">
        <v>561</v>
      </c>
      <c r="H3409" s="656" t="s">
        <v>442</v>
      </c>
      <c r="I3409" s="656" t="s">
        <v>14976</v>
      </c>
      <c r="J3409" s="656" t="s">
        <v>12369</v>
      </c>
      <c r="K3409" s="656" t="s">
        <v>1058</v>
      </c>
      <c r="L3409" s="656"/>
      <c r="M3409" s="657"/>
      <c r="N3409" s="1482"/>
      <c r="O3409" s="656" t="s">
        <v>498</v>
      </c>
      <c r="P3409" s="656" t="s">
        <v>13052</v>
      </c>
      <c r="Q3409" s="656">
        <v>44216.769525462965</v>
      </c>
    </row>
    <row r="3410" spans="1:17">
      <c r="A3410" s="656" t="s">
        <v>4614</v>
      </c>
      <c r="B3410" s="657" t="s">
        <v>531</v>
      </c>
      <c r="C3410" s="656" t="s">
        <v>4615</v>
      </c>
      <c r="D3410" s="657" t="s">
        <v>14978</v>
      </c>
      <c r="E3410" s="657" t="s">
        <v>9458</v>
      </c>
      <c r="F3410" s="656" t="s">
        <v>442</v>
      </c>
      <c r="G3410" s="656" t="s">
        <v>561</v>
      </c>
      <c r="H3410" s="656" t="s">
        <v>442</v>
      </c>
      <c r="I3410" s="656" t="s">
        <v>14976</v>
      </c>
      <c r="J3410" s="656" t="s">
        <v>12369</v>
      </c>
      <c r="K3410" s="656" t="s">
        <v>1058</v>
      </c>
      <c r="L3410" s="656"/>
      <c r="M3410" s="657"/>
      <c r="N3410" s="1482"/>
      <c r="O3410" s="656" t="s">
        <v>498</v>
      </c>
      <c r="P3410" s="656" t="s">
        <v>13052</v>
      </c>
      <c r="Q3410" s="656">
        <v>44216.769525462965</v>
      </c>
    </row>
    <row r="3411" spans="1:17">
      <c r="A3411" s="656" t="s">
        <v>4616</v>
      </c>
      <c r="B3411" s="657" t="s">
        <v>531</v>
      </c>
      <c r="C3411" s="656" t="s">
        <v>9325</v>
      </c>
      <c r="D3411" s="657" t="s">
        <v>14978</v>
      </c>
      <c r="E3411" s="657" t="s">
        <v>9458</v>
      </c>
      <c r="F3411" s="656" t="s">
        <v>442</v>
      </c>
      <c r="G3411" s="656" t="s">
        <v>561</v>
      </c>
      <c r="H3411" s="656" t="s">
        <v>442</v>
      </c>
      <c r="I3411" s="656" t="s">
        <v>14976</v>
      </c>
      <c r="J3411" s="656" t="s">
        <v>12369</v>
      </c>
      <c r="K3411" s="656" t="s">
        <v>1058</v>
      </c>
      <c r="L3411" s="656"/>
      <c r="M3411" s="657"/>
      <c r="N3411" s="1482"/>
      <c r="O3411" s="656" t="s">
        <v>498</v>
      </c>
      <c r="P3411" s="656" t="s">
        <v>13052</v>
      </c>
      <c r="Q3411" s="656">
        <v>44216.769513888888</v>
      </c>
    </row>
    <row r="3412" spans="1:17">
      <c r="A3412" s="656" t="s">
        <v>4618</v>
      </c>
      <c r="B3412" s="657" t="s">
        <v>531</v>
      </c>
      <c r="C3412" s="656" t="s">
        <v>1601</v>
      </c>
      <c r="D3412" s="657" t="s">
        <v>14978</v>
      </c>
      <c r="E3412" s="657" t="s">
        <v>9458</v>
      </c>
      <c r="F3412" s="656" t="s">
        <v>442</v>
      </c>
      <c r="G3412" s="656" t="s">
        <v>561</v>
      </c>
      <c r="H3412" s="656" t="s">
        <v>442</v>
      </c>
      <c r="I3412" s="656" t="s">
        <v>14976</v>
      </c>
      <c r="J3412" s="656" t="s">
        <v>12369</v>
      </c>
      <c r="K3412" s="656" t="s">
        <v>1058</v>
      </c>
      <c r="L3412" s="656"/>
      <c r="M3412" s="657"/>
      <c r="N3412" s="1482"/>
      <c r="O3412" s="656" t="s">
        <v>498</v>
      </c>
      <c r="P3412" s="656" t="s">
        <v>13052</v>
      </c>
      <c r="Q3412" s="656">
        <v>44216.769513888888</v>
      </c>
    </row>
    <row r="3413" spans="1:17">
      <c r="A3413" s="656" t="s">
        <v>4619</v>
      </c>
      <c r="B3413" s="657" t="s">
        <v>531</v>
      </c>
      <c r="C3413" s="656" t="s">
        <v>1597</v>
      </c>
      <c r="D3413" s="657" t="s">
        <v>14978</v>
      </c>
      <c r="E3413" s="657" t="s">
        <v>9458</v>
      </c>
      <c r="F3413" s="656" t="s">
        <v>442</v>
      </c>
      <c r="G3413" s="656" t="s">
        <v>561</v>
      </c>
      <c r="H3413" s="656" t="s">
        <v>442</v>
      </c>
      <c r="I3413" s="656" t="s">
        <v>14976</v>
      </c>
      <c r="J3413" s="656" t="s">
        <v>12369</v>
      </c>
      <c r="K3413" s="656" t="s">
        <v>1058</v>
      </c>
      <c r="L3413" s="656"/>
      <c r="M3413" s="657"/>
      <c r="N3413" s="1482"/>
      <c r="O3413" s="656" t="s">
        <v>498</v>
      </c>
      <c r="P3413" s="656" t="s">
        <v>13052</v>
      </c>
      <c r="Q3413" s="656">
        <v>44216.769513888888</v>
      </c>
    </row>
    <row r="3414" spans="1:17">
      <c r="A3414" s="656" t="s">
        <v>4620</v>
      </c>
      <c r="B3414" s="657" t="s">
        <v>531</v>
      </c>
      <c r="C3414" s="656" t="s">
        <v>4621</v>
      </c>
      <c r="D3414" s="657" t="s">
        <v>14978</v>
      </c>
      <c r="E3414" s="657" t="s">
        <v>9458</v>
      </c>
      <c r="F3414" s="656" t="s">
        <v>442</v>
      </c>
      <c r="G3414" s="656" t="s">
        <v>561</v>
      </c>
      <c r="H3414" s="656" t="s">
        <v>442</v>
      </c>
      <c r="I3414" s="656" t="s">
        <v>14976</v>
      </c>
      <c r="J3414" s="656" t="s">
        <v>12369</v>
      </c>
      <c r="K3414" s="656" t="s">
        <v>1058</v>
      </c>
      <c r="L3414" s="656"/>
      <c r="M3414" s="657"/>
      <c r="N3414" s="1482"/>
      <c r="O3414" s="656" t="s">
        <v>498</v>
      </c>
      <c r="P3414" s="656" t="s">
        <v>13052</v>
      </c>
      <c r="Q3414" s="656">
        <v>44216.769502314812</v>
      </c>
    </row>
    <row r="3415" spans="1:17">
      <c r="A3415" s="656" t="s">
        <v>4622</v>
      </c>
      <c r="B3415" s="657" t="s">
        <v>531</v>
      </c>
      <c r="C3415" s="656" t="s">
        <v>1599</v>
      </c>
      <c r="D3415" s="657" t="s">
        <v>14978</v>
      </c>
      <c r="E3415" s="657" t="s">
        <v>9458</v>
      </c>
      <c r="F3415" s="656" t="s">
        <v>442</v>
      </c>
      <c r="G3415" s="656" t="s">
        <v>561</v>
      </c>
      <c r="H3415" s="656" t="s">
        <v>442</v>
      </c>
      <c r="I3415" s="656" t="s">
        <v>14976</v>
      </c>
      <c r="J3415" s="656" t="s">
        <v>12369</v>
      </c>
      <c r="K3415" s="656" t="s">
        <v>1058</v>
      </c>
      <c r="L3415" s="656"/>
      <c r="M3415" s="657"/>
      <c r="N3415" s="1482"/>
      <c r="O3415" s="656" t="s">
        <v>498</v>
      </c>
      <c r="P3415" s="656" t="s">
        <v>13052</v>
      </c>
      <c r="Q3415" s="656">
        <v>44216.769502314812</v>
      </c>
    </row>
    <row r="3416" spans="1:17">
      <c r="A3416" s="656" t="s">
        <v>4623</v>
      </c>
      <c r="B3416" s="657" t="s">
        <v>531</v>
      </c>
      <c r="C3416" s="656" t="s">
        <v>4624</v>
      </c>
      <c r="D3416" s="657" t="s">
        <v>14978</v>
      </c>
      <c r="E3416" s="657" t="s">
        <v>9458</v>
      </c>
      <c r="F3416" s="656" t="s">
        <v>442</v>
      </c>
      <c r="G3416" s="656" t="s">
        <v>561</v>
      </c>
      <c r="H3416" s="656" t="s">
        <v>442</v>
      </c>
      <c r="I3416" s="656" t="s">
        <v>14976</v>
      </c>
      <c r="J3416" s="656" t="s">
        <v>12369</v>
      </c>
      <c r="K3416" s="656" t="s">
        <v>1058</v>
      </c>
      <c r="L3416" s="656"/>
      <c r="M3416" s="657"/>
      <c r="N3416" s="1482"/>
      <c r="O3416" s="656" t="s">
        <v>498</v>
      </c>
      <c r="P3416" s="656" t="s">
        <v>13052</v>
      </c>
      <c r="Q3416" s="656">
        <v>44216.769490740742</v>
      </c>
    </row>
    <row r="3417" spans="1:17">
      <c r="A3417" s="656" t="s">
        <v>4625</v>
      </c>
      <c r="B3417" s="657" t="s">
        <v>531</v>
      </c>
      <c r="C3417" s="656" t="s">
        <v>4626</v>
      </c>
      <c r="D3417" s="657" t="s">
        <v>14978</v>
      </c>
      <c r="E3417" s="657" t="s">
        <v>9458</v>
      </c>
      <c r="F3417" s="656" t="s">
        <v>442</v>
      </c>
      <c r="G3417" s="656" t="s">
        <v>561</v>
      </c>
      <c r="H3417" s="656" t="s">
        <v>442</v>
      </c>
      <c r="I3417" s="656" t="s">
        <v>14976</v>
      </c>
      <c r="J3417" s="656" t="s">
        <v>12369</v>
      </c>
      <c r="K3417" s="656" t="s">
        <v>1058</v>
      </c>
      <c r="L3417" s="656"/>
      <c r="M3417" s="657"/>
      <c r="N3417" s="1482"/>
      <c r="O3417" s="656" t="s">
        <v>498</v>
      </c>
      <c r="P3417" s="656" t="s">
        <v>13052</v>
      </c>
      <c r="Q3417" s="656">
        <v>44216.769490740742</v>
      </c>
    </row>
    <row r="3418" spans="1:17">
      <c r="A3418" s="656" t="s">
        <v>4627</v>
      </c>
      <c r="B3418" s="657" t="s">
        <v>531</v>
      </c>
      <c r="C3418" s="656" t="s">
        <v>1632</v>
      </c>
      <c r="D3418" s="657" t="s">
        <v>14978</v>
      </c>
      <c r="E3418" s="657" t="s">
        <v>9458</v>
      </c>
      <c r="F3418" s="656" t="s">
        <v>442</v>
      </c>
      <c r="G3418" s="656" t="s">
        <v>561</v>
      </c>
      <c r="H3418" s="656" t="s">
        <v>442</v>
      </c>
      <c r="I3418" s="656" t="s">
        <v>14976</v>
      </c>
      <c r="J3418" s="656" t="s">
        <v>12369</v>
      </c>
      <c r="K3418" s="656" t="s">
        <v>1058</v>
      </c>
      <c r="L3418" s="656"/>
      <c r="M3418" s="657"/>
      <c r="N3418" s="1482"/>
      <c r="O3418" s="656" t="s">
        <v>498</v>
      </c>
      <c r="P3418" s="656" t="s">
        <v>13052</v>
      </c>
      <c r="Q3418" s="656">
        <v>44216.769479166665</v>
      </c>
    </row>
    <row r="3419" spans="1:17">
      <c r="A3419" s="656" t="s">
        <v>4628</v>
      </c>
      <c r="B3419" s="657" t="s">
        <v>531</v>
      </c>
      <c r="C3419" s="656" t="s">
        <v>4629</v>
      </c>
      <c r="D3419" s="657" t="s">
        <v>14978</v>
      </c>
      <c r="E3419" s="657" t="s">
        <v>9458</v>
      </c>
      <c r="F3419" s="656" t="s">
        <v>442</v>
      </c>
      <c r="G3419" s="656" t="s">
        <v>561</v>
      </c>
      <c r="H3419" s="656" t="s">
        <v>442</v>
      </c>
      <c r="I3419" s="656" t="s">
        <v>14976</v>
      </c>
      <c r="J3419" s="656" t="s">
        <v>12369</v>
      </c>
      <c r="K3419" s="656" t="s">
        <v>1058</v>
      </c>
      <c r="L3419" s="656"/>
      <c r="M3419" s="657"/>
      <c r="N3419" s="1482"/>
      <c r="O3419" s="656" t="s">
        <v>498</v>
      </c>
      <c r="P3419" s="656" t="s">
        <v>13052</v>
      </c>
      <c r="Q3419" s="656">
        <v>44216.769479166665</v>
      </c>
    </row>
    <row r="3420" spans="1:17">
      <c r="A3420" s="656" t="s">
        <v>4630</v>
      </c>
      <c r="B3420" s="657" t="s">
        <v>531</v>
      </c>
      <c r="C3420" s="656" t="s">
        <v>1624</v>
      </c>
      <c r="D3420" s="657" t="s">
        <v>14978</v>
      </c>
      <c r="E3420" s="657" t="s">
        <v>9458</v>
      </c>
      <c r="F3420" s="656" t="s">
        <v>442</v>
      </c>
      <c r="G3420" s="656" t="s">
        <v>1058</v>
      </c>
      <c r="H3420" s="656" t="s">
        <v>442</v>
      </c>
      <c r="I3420" s="656" t="s">
        <v>14976</v>
      </c>
      <c r="J3420" s="656" t="s">
        <v>12369</v>
      </c>
      <c r="K3420" s="656" t="s">
        <v>1058</v>
      </c>
      <c r="L3420" s="656"/>
      <c r="M3420" s="657"/>
      <c r="N3420" s="1482"/>
      <c r="O3420" s="656" t="s">
        <v>498</v>
      </c>
      <c r="P3420" s="656" t="s">
        <v>13052</v>
      </c>
      <c r="Q3420" s="656">
        <v>44216.769467592596</v>
      </c>
    </row>
    <row r="3421" spans="1:17">
      <c r="A3421" s="656" t="s">
        <v>4631</v>
      </c>
      <c r="B3421" s="657" t="s">
        <v>531</v>
      </c>
      <c r="C3421" s="656" t="s">
        <v>4632</v>
      </c>
      <c r="D3421" s="657" t="s">
        <v>14978</v>
      </c>
      <c r="E3421" s="657" t="s">
        <v>9458</v>
      </c>
      <c r="F3421" s="656" t="s">
        <v>442</v>
      </c>
      <c r="G3421" s="656" t="s">
        <v>561</v>
      </c>
      <c r="H3421" s="656" t="s">
        <v>442</v>
      </c>
      <c r="I3421" s="656" t="s">
        <v>14976</v>
      </c>
      <c r="J3421" s="656" t="s">
        <v>12369</v>
      </c>
      <c r="K3421" s="656" t="s">
        <v>1058</v>
      </c>
      <c r="L3421" s="656" t="s">
        <v>4730</v>
      </c>
      <c r="M3421" s="657"/>
      <c r="N3421" s="1482"/>
      <c r="O3421" s="656" t="s">
        <v>498</v>
      </c>
      <c r="P3421" s="656" t="s">
        <v>13052</v>
      </c>
      <c r="Q3421" s="656">
        <v>44216.769467592596</v>
      </c>
    </row>
    <row r="3422" spans="1:17">
      <c r="A3422" s="656" t="s">
        <v>4633</v>
      </c>
      <c r="B3422" s="657" t="s">
        <v>531</v>
      </c>
      <c r="C3422" s="656" t="s">
        <v>4634</v>
      </c>
      <c r="D3422" s="657" t="s">
        <v>14978</v>
      </c>
      <c r="E3422" s="657" t="s">
        <v>9458</v>
      </c>
      <c r="F3422" s="656" t="s">
        <v>442</v>
      </c>
      <c r="G3422" s="656" t="s">
        <v>561</v>
      </c>
      <c r="H3422" s="656" t="s">
        <v>442</v>
      </c>
      <c r="I3422" s="656" t="s">
        <v>14976</v>
      </c>
      <c r="J3422" s="656" t="s">
        <v>12369</v>
      </c>
      <c r="K3422" s="656" t="s">
        <v>1058</v>
      </c>
      <c r="L3422" s="656" t="s">
        <v>4730</v>
      </c>
      <c r="M3422" s="657"/>
      <c r="N3422" s="1482"/>
      <c r="O3422" s="656" t="s">
        <v>498</v>
      </c>
      <c r="P3422" s="656" t="s">
        <v>13052</v>
      </c>
      <c r="Q3422" s="656">
        <v>44216.769467592596</v>
      </c>
    </row>
    <row r="3423" spans="1:17">
      <c r="A3423" s="656" t="s">
        <v>4635</v>
      </c>
      <c r="B3423" s="657" t="s">
        <v>531</v>
      </c>
      <c r="C3423" s="656" t="s">
        <v>4636</v>
      </c>
      <c r="D3423" s="657" t="s">
        <v>14978</v>
      </c>
      <c r="E3423" s="657" t="s">
        <v>9458</v>
      </c>
      <c r="F3423" s="656" t="s">
        <v>442</v>
      </c>
      <c r="G3423" s="656" t="s">
        <v>561</v>
      </c>
      <c r="H3423" s="656" t="s">
        <v>442</v>
      </c>
      <c r="I3423" s="656" t="s">
        <v>14976</v>
      </c>
      <c r="J3423" s="656" t="s">
        <v>12369</v>
      </c>
      <c r="K3423" s="656" t="s">
        <v>1058</v>
      </c>
      <c r="L3423" s="656"/>
      <c r="M3423" s="657"/>
      <c r="N3423" s="1482"/>
      <c r="O3423" s="656" t="s">
        <v>498</v>
      </c>
      <c r="P3423" s="656" t="s">
        <v>13052</v>
      </c>
      <c r="Q3423" s="656">
        <v>44216.769456018519</v>
      </c>
    </row>
    <row r="3424" spans="1:17">
      <c r="A3424" s="656" t="s">
        <v>13462</v>
      </c>
      <c r="B3424" s="657" t="s">
        <v>202</v>
      </c>
      <c r="C3424" s="656" t="s">
        <v>4637</v>
      </c>
      <c r="D3424" s="657" t="s">
        <v>14978</v>
      </c>
      <c r="E3424" s="657" t="s">
        <v>9510</v>
      </c>
      <c r="F3424" s="656" t="s">
        <v>442</v>
      </c>
      <c r="G3424" s="656" t="s">
        <v>561</v>
      </c>
      <c r="H3424" s="656" t="s">
        <v>442</v>
      </c>
      <c r="I3424" s="656" t="s">
        <v>15280</v>
      </c>
      <c r="J3424" s="656" t="s">
        <v>12369</v>
      </c>
      <c r="K3424" s="656" t="s">
        <v>1058</v>
      </c>
      <c r="L3424" s="656"/>
      <c r="M3424" s="657"/>
      <c r="N3424" s="1482"/>
      <c r="O3424" s="656" t="s">
        <v>498</v>
      </c>
      <c r="P3424" s="656" t="s">
        <v>13052</v>
      </c>
      <c r="Q3424" s="656">
        <v>44216.769456018519</v>
      </c>
    </row>
    <row r="3425" spans="1:17">
      <c r="A3425" s="656" t="s">
        <v>4638</v>
      </c>
      <c r="B3425" s="657" t="s">
        <v>202</v>
      </c>
      <c r="C3425" s="656" t="s">
        <v>4639</v>
      </c>
      <c r="D3425" s="657" t="s">
        <v>14978</v>
      </c>
      <c r="E3425" s="657" t="s">
        <v>9510</v>
      </c>
      <c r="F3425" s="656" t="s">
        <v>442</v>
      </c>
      <c r="G3425" s="656" t="s">
        <v>561</v>
      </c>
      <c r="H3425" s="656" t="s">
        <v>442</v>
      </c>
      <c r="I3425" s="656" t="s">
        <v>15280</v>
      </c>
      <c r="J3425" s="656" t="s">
        <v>12369</v>
      </c>
      <c r="K3425" s="656" t="s">
        <v>1058</v>
      </c>
      <c r="L3425" s="656"/>
      <c r="M3425" s="657"/>
      <c r="N3425" s="1482"/>
      <c r="O3425" s="656" t="s">
        <v>498</v>
      </c>
      <c r="P3425" s="656" t="s">
        <v>13052</v>
      </c>
      <c r="Q3425" s="656">
        <v>44216.769444444442</v>
      </c>
    </row>
    <row r="3426" spans="1:17">
      <c r="A3426" s="656" t="s">
        <v>4640</v>
      </c>
      <c r="B3426" s="657" t="s">
        <v>531</v>
      </c>
      <c r="C3426" s="656" t="s">
        <v>4641</v>
      </c>
      <c r="D3426" s="657" t="s">
        <v>14978</v>
      </c>
      <c r="E3426" s="657" t="s">
        <v>9510</v>
      </c>
      <c r="F3426" s="656" t="s">
        <v>442</v>
      </c>
      <c r="G3426" s="656" t="s">
        <v>561</v>
      </c>
      <c r="H3426" s="656" t="s">
        <v>442</v>
      </c>
      <c r="I3426" s="656" t="s">
        <v>15280</v>
      </c>
      <c r="J3426" s="656" t="s">
        <v>12369</v>
      </c>
      <c r="K3426" s="656" t="s">
        <v>1058</v>
      </c>
      <c r="L3426" s="656"/>
      <c r="M3426" s="657"/>
      <c r="N3426" s="1482"/>
      <c r="O3426" s="656" t="s">
        <v>498</v>
      </c>
      <c r="P3426" s="656" t="s">
        <v>13052</v>
      </c>
      <c r="Q3426" s="656">
        <v>44216.769444444442</v>
      </c>
    </row>
    <row r="3427" spans="1:17">
      <c r="A3427" s="656" t="s">
        <v>4642</v>
      </c>
      <c r="B3427" s="657" t="s">
        <v>531</v>
      </c>
      <c r="C3427" s="656" t="s">
        <v>4643</v>
      </c>
      <c r="D3427" s="657" t="s">
        <v>14978</v>
      </c>
      <c r="E3427" s="657" t="s">
        <v>9458</v>
      </c>
      <c r="F3427" s="656" t="s">
        <v>442</v>
      </c>
      <c r="G3427" s="656" t="s">
        <v>561</v>
      </c>
      <c r="H3427" s="656" t="s">
        <v>442</v>
      </c>
      <c r="I3427" s="656" t="s">
        <v>14976</v>
      </c>
      <c r="J3427" s="656" t="s">
        <v>12369</v>
      </c>
      <c r="K3427" s="656" t="s">
        <v>1058</v>
      </c>
      <c r="L3427" s="656"/>
      <c r="M3427" s="657"/>
      <c r="N3427" s="1482"/>
      <c r="O3427" s="656" t="s">
        <v>498</v>
      </c>
      <c r="P3427" s="656" t="s">
        <v>13052</v>
      </c>
      <c r="Q3427" s="656">
        <v>44216.769444444442</v>
      </c>
    </row>
    <row r="3428" spans="1:17">
      <c r="A3428" s="656" t="s">
        <v>4644</v>
      </c>
      <c r="B3428" s="657" t="s">
        <v>531</v>
      </c>
      <c r="C3428" s="656" t="s">
        <v>4637</v>
      </c>
      <c r="D3428" s="657" t="s">
        <v>14978</v>
      </c>
      <c r="E3428" s="657" t="s">
        <v>9458</v>
      </c>
      <c r="F3428" s="656" t="s">
        <v>442</v>
      </c>
      <c r="G3428" s="656" t="s">
        <v>561</v>
      </c>
      <c r="H3428" s="656" t="s">
        <v>442</v>
      </c>
      <c r="I3428" s="656" t="s">
        <v>14976</v>
      </c>
      <c r="J3428" s="656" t="s">
        <v>12369</v>
      </c>
      <c r="K3428" s="656" t="s">
        <v>1058</v>
      </c>
      <c r="L3428" s="656"/>
      <c r="M3428" s="657"/>
      <c r="N3428" s="1482"/>
      <c r="O3428" s="656" t="s">
        <v>498</v>
      </c>
      <c r="P3428" s="656" t="s">
        <v>13052</v>
      </c>
      <c r="Q3428" s="656">
        <v>44216.769432870373</v>
      </c>
    </row>
    <row r="3429" spans="1:17">
      <c r="A3429" s="656" t="s">
        <v>4645</v>
      </c>
      <c r="B3429" s="657" t="s">
        <v>531</v>
      </c>
      <c r="C3429" s="656" t="s">
        <v>4646</v>
      </c>
      <c r="D3429" s="657" t="s">
        <v>14978</v>
      </c>
      <c r="E3429" s="657" t="s">
        <v>9458</v>
      </c>
      <c r="F3429" s="656" t="s">
        <v>442</v>
      </c>
      <c r="G3429" s="656" t="s">
        <v>561</v>
      </c>
      <c r="H3429" s="656" t="s">
        <v>442</v>
      </c>
      <c r="I3429" s="656" t="s">
        <v>14976</v>
      </c>
      <c r="J3429" s="656" t="s">
        <v>12369</v>
      </c>
      <c r="K3429" s="656" t="s">
        <v>1058</v>
      </c>
      <c r="L3429" s="656" t="s">
        <v>4730</v>
      </c>
      <c r="M3429" s="657"/>
      <c r="N3429" s="1482"/>
      <c r="O3429" s="656" t="s">
        <v>498</v>
      </c>
      <c r="P3429" s="656" t="s">
        <v>13052</v>
      </c>
      <c r="Q3429" s="656">
        <v>44216.769432870373</v>
      </c>
    </row>
    <row r="3430" spans="1:17">
      <c r="A3430" s="656" t="s">
        <v>4647</v>
      </c>
      <c r="B3430" s="657" t="s">
        <v>531</v>
      </c>
      <c r="C3430" s="656" t="s">
        <v>1636</v>
      </c>
      <c r="D3430" s="657" t="s">
        <v>14978</v>
      </c>
      <c r="E3430" s="657" t="s">
        <v>9458</v>
      </c>
      <c r="F3430" s="656" t="s">
        <v>442</v>
      </c>
      <c r="G3430" s="656" t="s">
        <v>1058</v>
      </c>
      <c r="H3430" s="656" t="s">
        <v>442</v>
      </c>
      <c r="I3430" s="656" t="s">
        <v>14976</v>
      </c>
      <c r="J3430" s="656" t="s">
        <v>12369</v>
      </c>
      <c r="K3430" s="656" t="s">
        <v>1058</v>
      </c>
      <c r="L3430" s="656"/>
      <c r="M3430" s="657"/>
      <c r="N3430" s="1482"/>
      <c r="O3430" s="656" t="s">
        <v>498</v>
      </c>
      <c r="P3430" s="656" t="s">
        <v>13052</v>
      </c>
      <c r="Q3430" s="656">
        <v>44216.769421296296</v>
      </c>
    </row>
    <row r="3431" spans="1:17">
      <c r="A3431" s="656" t="s">
        <v>4648</v>
      </c>
      <c r="B3431" s="657" t="s">
        <v>531</v>
      </c>
      <c r="C3431" s="656" t="s">
        <v>4649</v>
      </c>
      <c r="D3431" s="657" t="s">
        <v>14978</v>
      </c>
      <c r="E3431" s="657" t="s">
        <v>9458</v>
      </c>
      <c r="F3431" s="656" t="s">
        <v>442</v>
      </c>
      <c r="G3431" s="656" t="s">
        <v>561</v>
      </c>
      <c r="H3431" s="656" t="s">
        <v>442</v>
      </c>
      <c r="I3431" s="656" t="s">
        <v>14976</v>
      </c>
      <c r="J3431" s="656" t="s">
        <v>12369</v>
      </c>
      <c r="K3431" s="656" t="s">
        <v>1058</v>
      </c>
      <c r="L3431" s="656"/>
      <c r="M3431" s="657"/>
      <c r="N3431" s="1482"/>
      <c r="O3431" s="656" t="s">
        <v>498</v>
      </c>
      <c r="P3431" s="656" t="s">
        <v>13052</v>
      </c>
      <c r="Q3431" s="656">
        <v>44216.769421296296</v>
      </c>
    </row>
    <row r="3432" spans="1:17">
      <c r="A3432" s="656" t="s">
        <v>4650</v>
      </c>
      <c r="B3432" s="657" t="s">
        <v>531</v>
      </c>
      <c r="C3432" s="656" t="s">
        <v>4651</v>
      </c>
      <c r="D3432" s="657" t="s">
        <v>14978</v>
      </c>
      <c r="E3432" s="657" t="s">
        <v>9458</v>
      </c>
      <c r="F3432" s="656" t="s">
        <v>442</v>
      </c>
      <c r="G3432" s="656" t="s">
        <v>561</v>
      </c>
      <c r="H3432" s="656" t="s">
        <v>442</v>
      </c>
      <c r="I3432" s="656" t="s">
        <v>14976</v>
      </c>
      <c r="J3432" s="656" t="s">
        <v>12369</v>
      </c>
      <c r="K3432" s="656" t="s">
        <v>1058</v>
      </c>
      <c r="L3432" s="656"/>
      <c r="M3432" s="657"/>
      <c r="N3432" s="1482"/>
      <c r="O3432" s="656" t="s">
        <v>498</v>
      </c>
      <c r="P3432" s="656" t="s">
        <v>13052</v>
      </c>
      <c r="Q3432" s="656">
        <v>44216.769409722219</v>
      </c>
    </row>
    <row r="3433" spans="1:17">
      <c r="A3433" s="656" t="s">
        <v>4652</v>
      </c>
      <c r="B3433" s="657" t="s">
        <v>531</v>
      </c>
      <c r="C3433" s="656" t="s">
        <v>4653</v>
      </c>
      <c r="D3433" s="657" t="s">
        <v>14978</v>
      </c>
      <c r="E3433" s="657" t="s">
        <v>9458</v>
      </c>
      <c r="F3433" s="656" t="s">
        <v>442</v>
      </c>
      <c r="G3433" s="656" t="s">
        <v>561</v>
      </c>
      <c r="H3433" s="656" t="s">
        <v>442</v>
      </c>
      <c r="I3433" s="656" t="s">
        <v>14976</v>
      </c>
      <c r="J3433" s="656" t="s">
        <v>12369</v>
      </c>
      <c r="K3433" s="656" t="s">
        <v>1058</v>
      </c>
      <c r="L3433" s="656"/>
      <c r="M3433" s="657"/>
      <c r="N3433" s="1482"/>
      <c r="O3433" s="656" t="s">
        <v>498</v>
      </c>
      <c r="P3433" s="656" t="s">
        <v>13052</v>
      </c>
      <c r="Q3433" s="656">
        <v>44216.769409722219</v>
      </c>
    </row>
    <row r="3434" spans="1:17">
      <c r="A3434" s="656" t="s">
        <v>4654</v>
      </c>
      <c r="B3434" s="657" t="s">
        <v>531</v>
      </c>
      <c r="C3434" s="656" t="s">
        <v>4655</v>
      </c>
      <c r="D3434" s="657" t="s">
        <v>14978</v>
      </c>
      <c r="E3434" s="657" t="s">
        <v>9458</v>
      </c>
      <c r="F3434" s="656" t="s">
        <v>442</v>
      </c>
      <c r="G3434" s="656" t="s">
        <v>561</v>
      </c>
      <c r="H3434" s="656" t="s">
        <v>442</v>
      </c>
      <c r="I3434" s="656" t="s">
        <v>14976</v>
      </c>
      <c r="J3434" s="656" t="s">
        <v>12369</v>
      </c>
      <c r="K3434" s="656" t="s">
        <v>1058</v>
      </c>
      <c r="L3434" s="656"/>
      <c r="M3434" s="657"/>
      <c r="N3434" s="1482"/>
      <c r="O3434" s="656" t="s">
        <v>498</v>
      </c>
      <c r="P3434" s="656" t="s">
        <v>13052</v>
      </c>
      <c r="Q3434" s="656">
        <v>44216.76939814815</v>
      </c>
    </row>
    <row r="3435" spans="1:17">
      <c r="A3435" s="656" t="s">
        <v>4656</v>
      </c>
      <c r="B3435" s="657" t="s">
        <v>531</v>
      </c>
      <c r="C3435" s="656" t="s">
        <v>4657</v>
      </c>
      <c r="D3435" s="657" t="s">
        <v>14978</v>
      </c>
      <c r="E3435" s="657" t="s">
        <v>9458</v>
      </c>
      <c r="F3435" s="656" t="s">
        <v>442</v>
      </c>
      <c r="G3435" s="656" t="s">
        <v>561</v>
      </c>
      <c r="H3435" s="656" t="s">
        <v>442</v>
      </c>
      <c r="I3435" s="656" t="s">
        <v>14976</v>
      </c>
      <c r="J3435" s="656" t="s">
        <v>12369</v>
      </c>
      <c r="K3435" s="656" t="s">
        <v>1058</v>
      </c>
      <c r="L3435" s="656"/>
      <c r="M3435" s="657"/>
      <c r="N3435" s="1482"/>
      <c r="O3435" s="656" t="s">
        <v>498</v>
      </c>
      <c r="P3435" s="656" t="s">
        <v>13052</v>
      </c>
      <c r="Q3435" s="656">
        <v>44216.76939814815</v>
      </c>
    </row>
    <row r="3436" spans="1:17">
      <c r="A3436" s="656" t="s">
        <v>4658</v>
      </c>
      <c r="B3436" s="657" t="s">
        <v>531</v>
      </c>
      <c r="C3436" s="656" t="s">
        <v>4659</v>
      </c>
      <c r="D3436" s="657" t="s">
        <v>14978</v>
      </c>
      <c r="E3436" s="657" t="s">
        <v>9458</v>
      </c>
      <c r="F3436" s="656" t="s">
        <v>442</v>
      </c>
      <c r="G3436" s="656" t="s">
        <v>561</v>
      </c>
      <c r="H3436" s="656" t="s">
        <v>442</v>
      </c>
      <c r="I3436" s="656" t="s">
        <v>14976</v>
      </c>
      <c r="J3436" s="656" t="s">
        <v>12369</v>
      </c>
      <c r="K3436" s="656" t="s">
        <v>1058</v>
      </c>
      <c r="L3436" s="656"/>
      <c r="M3436" s="657"/>
      <c r="N3436" s="1482"/>
      <c r="O3436" s="656" t="s">
        <v>498</v>
      </c>
      <c r="P3436" s="656" t="s">
        <v>13052</v>
      </c>
      <c r="Q3436" s="656">
        <v>44216.769386574073</v>
      </c>
    </row>
    <row r="3437" spans="1:17">
      <c r="A3437" s="656" t="s">
        <v>4660</v>
      </c>
      <c r="B3437" s="657" t="s">
        <v>531</v>
      </c>
      <c r="C3437" s="656" t="s">
        <v>4661</v>
      </c>
      <c r="D3437" s="657" t="s">
        <v>14978</v>
      </c>
      <c r="E3437" s="657" t="s">
        <v>9458</v>
      </c>
      <c r="F3437" s="656" t="s">
        <v>442</v>
      </c>
      <c r="G3437" s="656" t="s">
        <v>561</v>
      </c>
      <c r="H3437" s="656" t="s">
        <v>442</v>
      </c>
      <c r="I3437" s="656" t="s">
        <v>14976</v>
      </c>
      <c r="J3437" s="656" t="s">
        <v>12369</v>
      </c>
      <c r="K3437" s="656" t="s">
        <v>1058</v>
      </c>
      <c r="L3437" s="656"/>
      <c r="M3437" s="657"/>
      <c r="N3437" s="1482"/>
      <c r="O3437" s="656" t="s">
        <v>498</v>
      </c>
      <c r="P3437" s="656" t="s">
        <v>13052</v>
      </c>
      <c r="Q3437" s="656">
        <v>44216.769386574073</v>
      </c>
    </row>
    <row r="3438" spans="1:17">
      <c r="A3438" s="656" t="s">
        <v>4662</v>
      </c>
      <c r="B3438" s="657" t="s">
        <v>531</v>
      </c>
      <c r="C3438" s="656" t="s">
        <v>4663</v>
      </c>
      <c r="D3438" s="657" t="s">
        <v>14978</v>
      </c>
      <c r="E3438" s="657" t="s">
        <v>9458</v>
      </c>
      <c r="F3438" s="656" t="s">
        <v>442</v>
      </c>
      <c r="G3438" s="656" t="s">
        <v>561</v>
      </c>
      <c r="H3438" s="656" t="s">
        <v>442</v>
      </c>
      <c r="I3438" s="656" t="s">
        <v>14976</v>
      </c>
      <c r="J3438" s="656" t="s">
        <v>12369</v>
      </c>
      <c r="K3438" s="656" t="s">
        <v>1058</v>
      </c>
      <c r="L3438" s="656"/>
      <c r="M3438" s="657"/>
      <c r="N3438" s="1482"/>
      <c r="O3438" s="656" t="s">
        <v>498</v>
      </c>
      <c r="P3438" s="656" t="s">
        <v>13052</v>
      </c>
      <c r="Q3438" s="656">
        <v>44216.769386574073</v>
      </c>
    </row>
    <row r="3439" spans="1:17">
      <c r="A3439" s="656" t="s">
        <v>4664</v>
      </c>
      <c r="B3439" s="657" t="s">
        <v>531</v>
      </c>
      <c r="C3439" s="656" t="s">
        <v>1609</v>
      </c>
      <c r="D3439" s="657" t="s">
        <v>14978</v>
      </c>
      <c r="E3439" s="657" t="s">
        <v>9458</v>
      </c>
      <c r="F3439" s="656" t="s">
        <v>442</v>
      </c>
      <c r="G3439" s="656" t="s">
        <v>561</v>
      </c>
      <c r="H3439" s="656" t="s">
        <v>442</v>
      </c>
      <c r="I3439" s="656" t="s">
        <v>14976</v>
      </c>
      <c r="J3439" s="656" t="s">
        <v>12369</v>
      </c>
      <c r="K3439" s="656" t="s">
        <v>1058</v>
      </c>
      <c r="L3439" s="656"/>
      <c r="M3439" s="657"/>
      <c r="N3439" s="1482"/>
      <c r="O3439" s="656" t="s">
        <v>498</v>
      </c>
      <c r="P3439" s="656" t="s">
        <v>13052</v>
      </c>
      <c r="Q3439" s="656">
        <v>44216.769375000003</v>
      </c>
    </row>
    <row r="3440" spans="1:17">
      <c r="A3440" s="656" t="s">
        <v>4665</v>
      </c>
      <c r="B3440" s="657" t="s">
        <v>531</v>
      </c>
      <c r="C3440" s="656" t="s">
        <v>1611</v>
      </c>
      <c r="D3440" s="657" t="s">
        <v>14978</v>
      </c>
      <c r="E3440" s="657" t="s">
        <v>9458</v>
      </c>
      <c r="F3440" s="656" t="s">
        <v>442</v>
      </c>
      <c r="G3440" s="656" t="s">
        <v>561</v>
      </c>
      <c r="H3440" s="656" t="s">
        <v>442</v>
      </c>
      <c r="I3440" s="656" t="s">
        <v>14976</v>
      </c>
      <c r="J3440" s="656" t="s">
        <v>12369</v>
      </c>
      <c r="K3440" s="656" t="s">
        <v>1058</v>
      </c>
      <c r="L3440" s="656"/>
      <c r="M3440" s="657"/>
      <c r="N3440" s="1482"/>
      <c r="O3440" s="656" t="s">
        <v>498</v>
      </c>
      <c r="P3440" s="656" t="s">
        <v>13052</v>
      </c>
      <c r="Q3440" s="656">
        <v>44216.769375000003</v>
      </c>
    </row>
    <row r="3441" spans="1:17">
      <c r="A3441" s="656" t="s">
        <v>4666</v>
      </c>
      <c r="B3441" s="657" t="s">
        <v>531</v>
      </c>
      <c r="C3441" s="656" t="s">
        <v>1613</v>
      </c>
      <c r="D3441" s="657" t="s">
        <v>14978</v>
      </c>
      <c r="E3441" s="657" t="s">
        <v>9458</v>
      </c>
      <c r="F3441" s="656" t="s">
        <v>442</v>
      </c>
      <c r="G3441" s="656" t="s">
        <v>561</v>
      </c>
      <c r="H3441" s="656" t="s">
        <v>442</v>
      </c>
      <c r="I3441" s="656" t="s">
        <v>14976</v>
      </c>
      <c r="J3441" s="656" t="s">
        <v>12369</v>
      </c>
      <c r="K3441" s="656" t="s">
        <v>1058</v>
      </c>
      <c r="L3441" s="656"/>
      <c r="M3441" s="657"/>
      <c r="N3441" s="1482"/>
      <c r="O3441" s="656" t="s">
        <v>498</v>
      </c>
      <c r="P3441" s="656" t="s">
        <v>13052</v>
      </c>
      <c r="Q3441" s="656">
        <v>44216.769375000003</v>
      </c>
    </row>
    <row r="3442" spans="1:17">
      <c r="A3442" s="656" t="s">
        <v>4667</v>
      </c>
      <c r="B3442" s="657" t="s">
        <v>531</v>
      </c>
      <c r="C3442" s="656" t="s">
        <v>1615</v>
      </c>
      <c r="D3442" s="657" t="s">
        <v>14978</v>
      </c>
      <c r="E3442" s="657" t="s">
        <v>9458</v>
      </c>
      <c r="F3442" s="656" t="s">
        <v>442</v>
      </c>
      <c r="G3442" s="656" t="s">
        <v>561</v>
      </c>
      <c r="H3442" s="656" t="s">
        <v>442</v>
      </c>
      <c r="I3442" s="656" t="s">
        <v>14976</v>
      </c>
      <c r="J3442" s="656" t="s">
        <v>12369</v>
      </c>
      <c r="K3442" s="656" t="s">
        <v>1058</v>
      </c>
      <c r="L3442" s="656"/>
      <c r="M3442" s="657"/>
      <c r="N3442" s="1482"/>
      <c r="O3442" s="656" t="s">
        <v>498</v>
      </c>
      <c r="P3442" s="656" t="s">
        <v>13052</v>
      </c>
      <c r="Q3442" s="656">
        <v>44216.769363425927</v>
      </c>
    </row>
    <row r="3443" spans="1:17">
      <c r="A3443" s="656" t="s">
        <v>4668</v>
      </c>
      <c r="B3443" s="657" t="s">
        <v>531</v>
      </c>
      <c r="C3443" s="656" t="s">
        <v>1622</v>
      </c>
      <c r="D3443" s="657" t="s">
        <v>14978</v>
      </c>
      <c r="E3443" s="657" t="s">
        <v>9458</v>
      </c>
      <c r="F3443" s="656" t="s">
        <v>442</v>
      </c>
      <c r="G3443" s="656" t="s">
        <v>561</v>
      </c>
      <c r="H3443" s="656" t="s">
        <v>442</v>
      </c>
      <c r="I3443" s="656" t="s">
        <v>14976</v>
      </c>
      <c r="J3443" s="656" t="s">
        <v>12369</v>
      </c>
      <c r="K3443" s="656" t="s">
        <v>1058</v>
      </c>
      <c r="L3443" s="656"/>
      <c r="M3443" s="657"/>
      <c r="N3443" s="1482"/>
      <c r="O3443" s="656" t="s">
        <v>498</v>
      </c>
      <c r="P3443" s="656" t="s">
        <v>13052</v>
      </c>
      <c r="Q3443" s="656">
        <v>44216.769363425927</v>
      </c>
    </row>
    <row r="3444" spans="1:17">
      <c r="A3444" s="656" t="s">
        <v>13461</v>
      </c>
      <c r="B3444" s="657" t="s">
        <v>202</v>
      </c>
      <c r="C3444" s="656" t="s">
        <v>4669</v>
      </c>
      <c r="D3444" s="657" t="s">
        <v>14978</v>
      </c>
      <c r="E3444" s="657"/>
      <c r="F3444" s="656" t="s">
        <v>442</v>
      </c>
      <c r="G3444" s="656" t="s">
        <v>561</v>
      </c>
      <c r="H3444" s="656" t="s">
        <v>442</v>
      </c>
      <c r="I3444" s="656" t="s">
        <v>14976</v>
      </c>
      <c r="J3444" s="656" t="s">
        <v>12369</v>
      </c>
      <c r="K3444" s="656" t="s">
        <v>1058</v>
      </c>
      <c r="L3444" s="656"/>
      <c r="M3444" s="657"/>
      <c r="N3444" s="1482"/>
      <c r="O3444" s="656" t="s">
        <v>498</v>
      </c>
      <c r="P3444" s="656" t="s">
        <v>13052</v>
      </c>
      <c r="Q3444" s="656">
        <v>44216.76935185185</v>
      </c>
    </row>
    <row r="3445" spans="1:17">
      <c r="A3445" s="656" t="s">
        <v>4670</v>
      </c>
      <c r="B3445" s="657" t="s">
        <v>531</v>
      </c>
      <c r="C3445" s="656" t="s">
        <v>4671</v>
      </c>
      <c r="D3445" s="657" t="s">
        <v>14978</v>
      </c>
      <c r="E3445" s="657" t="s">
        <v>9458</v>
      </c>
      <c r="F3445" s="656" t="s">
        <v>442</v>
      </c>
      <c r="G3445" s="656" t="s">
        <v>561</v>
      </c>
      <c r="H3445" s="656" t="s">
        <v>442</v>
      </c>
      <c r="I3445" s="656" t="s">
        <v>14976</v>
      </c>
      <c r="J3445" s="656" t="s">
        <v>12369</v>
      </c>
      <c r="K3445" s="656"/>
      <c r="L3445" s="656"/>
      <c r="M3445" s="657"/>
      <c r="N3445" s="1482"/>
      <c r="O3445" s="656" t="s">
        <v>498</v>
      </c>
      <c r="P3445" s="656" t="s">
        <v>13052</v>
      </c>
      <c r="Q3445" s="656">
        <v>44216.76935185185</v>
      </c>
    </row>
    <row r="3446" spans="1:17">
      <c r="A3446" s="656" t="s">
        <v>4672</v>
      </c>
      <c r="B3446" s="657" t="s">
        <v>531</v>
      </c>
      <c r="C3446" s="656" t="s">
        <v>4597</v>
      </c>
      <c r="D3446" s="657" t="s">
        <v>14978</v>
      </c>
      <c r="E3446" s="657" t="s">
        <v>9458</v>
      </c>
      <c r="F3446" s="656" t="s">
        <v>442</v>
      </c>
      <c r="G3446" s="656" t="s">
        <v>561</v>
      </c>
      <c r="H3446" s="656" t="s">
        <v>442</v>
      </c>
      <c r="I3446" s="656" t="s">
        <v>14976</v>
      </c>
      <c r="J3446" s="656" t="s">
        <v>12369</v>
      </c>
      <c r="K3446" s="656"/>
      <c r="L3446" s="656"/>
      <c r="M3446" s="657"/>
      <c r="N3446" s="1482"/>
      <c r="O3446" s="656" t="s">
        <v>498</v>
      </c>
      <c r="P3446" s="656" t="s">
        <v>13052</v>
      </c>
      <c r="Q3446" s="656">
        <v>44216.76934027778</v>
      </c>
    </row>
    <row r="3447" spans="1:17">
      <c r="A3447" s="656" t="s">
        <v>4673</v>
      </c>
      <c r="B3447" s="657" t="s">
        <v>531</v>
      </c>
      <c r="C3447" s="656" t="s">
        <v>4599</v>
      </c>
      <c r="D3447" s="657" t="s">
        <v>14978</v>
      </c>
      <c r="E3447" s="657" t="s">
        <v>9458</v>
      </c>
      <c r="F3447" s="656" t="s">
        <v>442</v>
      </c>
      <c r="G3447" s="656" t="s">
        <v>561</v>
      </c>
      <c r="H3447" s="656" t="s">
        <v>442</v>
      </c>
      <c r="I3447" s="656" t="s">
        <v>14976</v>
      </c>
      <c r="J3447" s="656" t="s">
        <v>12369</v>
      </c>
      <c r="K3447" s="656"/>
      <c r="L3447" s="656"/>
      <c r="M3447" s="657"/>
      <c r="N3447" s="1482"/>
      <c r="O3447" s="656" t="s">
        <v>498</v>
      </c>
      <c r="P3447" s="656" t="s">
        <v>13052</v>
      </c>
      <c r="Q3447" s="656">
        <v>44216.76934027778</v>
      </c>
    </row>
    <row r="3448" spans="1:17">
      <c r="A3448" s="656" t="s">
        <v>4674</v>
      </c>
      <c r="B3448" s="657" t="s">
        <v>531</v>
      </c>
      <c r="C3448" s="656" t="s">
        <v>4601</v>
      </c>
      <c r="D3448" s="657" t="s">
        <v>14978</v>
      </c>
      <c r="E3448" s="657" t="s">
        <v>9458</v>
      </c>
      <c r="F3448" s="656" t="s">
        <v>442</v>
      </c>
      <c r="G3448" s="656" t="s">
        <v>561</v>
      </c>
      <c r="H3448" s="656" t="s">
        <v>442</v>
      </c>
      <c r="I3448" s="656" t="s">
        <v>14976</v>
      </c>
      <c r="J3448" s="656" t="s">
        <v>12369</v>
      </c>
      <c r="K3448" s="656"/>
      <c r="L3448" s="656"/>
      <c r="M3448" s="657"/>
      <c r="N3448" s="1482"/>
      <c r="O3448" s="656" t="s">
        <v>498</v>
      </c>
      <c r="P3448" s="656" t="s">
        <v>13052</v>
      </c>
      <c r="Q3448" s="656">
        <v>44216.769328703704</v>
      </c>
    </row>
    <row r="3449" spans="1:17">
      <c r="A3449" s="656" t="s">
        <v>4675</v>
      </c>
      <c r="B3449" s="657" t="s">
        <v>531</v>
      </c>
      <c r="C3449" s="656" t="s">
        <v>4603</v>
      </c>
      <c r="D3449" s="657" t="s">
        <v>14978</v>
      </c>
      <c r="E3449" s="657" t="s">
        <v>9458</v>
      </c>
      <c r="F3449" s="656" t="s">
        <v>442</v>
      </c>
      <c r="G3449" s="656" t="s">
        <v>561</v>
      </c>
      <c r="H3449" s="656" t="s">
        <v>442</v>
      </c>
      <c r="I3449" s="656" t="s">
        <v>14976</v>
      </c>
      <c r="J3449" s="656" t="s">
        <v>12369</v>
      </c>
      <c r="K3449" s="656"/>
      <c r="L3449" s="656"/>
      <c r="M3449" s="657"/>
      <c r="N3449" s="1482"/>
      <c r="O3449" s="656" t="s">
        <v>498</v>
      </c>
      <c r="P3449" s="656" t="s">
        <v>13052</v>
      </c>
      <c r="Q3449" s="656">
        <v>44216.769328703704</v>
      </c>
    </row>
    <row r="3450" spans="1:17">
      <c r="A3450" s="656" t="s">
        <v>4676</v>
      </c>
      <c r="B3450" s="657" t="s">
        <v>531</v>
      </c>
      <c r="C3450" s="656" t="s">
        <v>1617</v>
      </c>
      <c r="D3450" s="657" t="s">
        <v>14978</v>
      </c>
      <c r="E3450" s="657" t="s">
        <v>9458</v>
      </c>
      <c r="F3450" s="656" t="s">
        <v>442</v>
      </c>
      <c r="G3450" s="656" t="s">
        <v>561</v>
      </c>
      <c r="H3450" s="656" t="s">
        <v>442</v>
      </c>
      <c r="I3450" s="656" t="s">
        <v>14976</v>
      </c>
      <c r="J3450" s="656" t="s">
        <v>12369</v>
      </c>
      <c r="K3450" s="656"/>
      <c r="L3450" s="656"/>
      <c r="M3450" s="657"/>
      <c r="N3450" s="1482"/>
      <c r="O3450" s="656" t="s">
        <v>498</v>
      </c>
      <c r="P3450" s="656" t="s">
        <v>13052</v>
      </c>
      <c r="Q3450" s="656">
        <v>44216.769317129627</v>
      </c>
    </row>
    <row r="3451" spans="1:17">
      <c r="A3451" s="656" t="s">
        <v>4677</v>
      </c>
      <c r="B3451" s="657" t="s">
        <v>531</v>
      </c>
      <c r="C3451" s="656" t="s">
        <v>4606</v>
      </c>
      <c r="D3451" s="657" t="s">
        <v>14978</v>
      </c>
      <c r="E3451" s="657" t="s">
        <v>9458</v>
      </c>
      <c r="F3451" s="656" t="s">
        <v>442</v>
      </c>
      <c r="G3451" s="656" t="s">
        <v>561</v>
      </c>
      <c r="H3451" s="656" t="s">
        <v>442</v>
      </c>
      <c r="I3451" s="656" t="s">
        <v>14976</v>
      </c>
      <c r="J3451" s="656" t="s">
        <v>12369</v>
      </c>
      <c r="K3451" s="656"/>
      <c r="L3451" s="656"/>
      <c r="M3451" s="657"/>
      <c r="N3451" s="1482"/>
      <c r="O3451" s="656" t="s">
        <v>498</v>
      </c>
      <c r="P3451" s="656" t="s">
        <v>13052</v>
      </c>
      <c r="Q3451" s="656">
        <v>44216.769317129627</v>
      </c>
    </row>
    <row r="3452" spans="1:17">
      <c r="A3452" s="656" t="s">
        <v>4678</v>
      </c>
      <c r="B3452" s="657" t="s">
        <v>531</v>
      </c>
      <c r="C3452" s="656" t="s">
        <v>1595</v>
      </c>
      <c r="D3452" s="657" t="s">
        <v>14978</v>
      </c>
      <c r="E3452" s="657" t="s">
        <v>9458</v>
      </c>
      <c r="F3452" s="656" t="s">
        <v>442</v>
      </c>
      <c r="G3452" s="656" t="s">
        <v>561</v>
      </c>
      <c r="H3452" s="656" t="s">
        <v>442</v>
      </c>
      <c r="I3452" s="656" t="s">
        <v>14976</v>
      </c>
      <c r="J3452" s="656" t="s">
        <v>12369</v>
      </c>
      <c r="K3452" s="656"/>
      <c r="L3452" s="656"/>
      <c r="M3452" s="657"/>
      <c r="N3452" s="1482"/>
      <c r="O3452" s="656" t="s">
        <v>498</v>
      </c>
      <c r="P3452" s="656" t="s">
        <v>13052</v>
      </c>
      <c r="Q3452" s="656">
        <v>44216.769317129627</v>
      </c>
    </row>
    <row r="3453" spans="1:17">
      <c r="A3453" s="656" t="s">
        <v>4679</v>
      </c>
      <c r="B3453" s="657" t="s">
        <v>531</v>
      </c>
      <c r="C3453" s="656" t="s">
        <v>4609</v>
      </c>
      <c r="D3453" s="657" t="s">
        <v>14978</v>
      </c>
      <c r="E3453" s="657" t="s">
        <v>9458</v>
      </c>
      <c r="F3453" s="656" t="s">
        <v>442</v>
      </c>
      <c r="G3453" s="656" t="s">
        <v>561</v>
      </c>
      <c r="H3453" s="656" t="s">
        <v>442</v>
      </c>
      <c r="I3453" s="656" t="s">
        <v>14976</v>
      </c>
      <c r="J3453" s="656" t="s">
        <v>12369</v>
      </c>
      <c r="K3453" s="656"/>
      <c r="L3453" s="656"/>
      <c r="M3453" s="657"/>
      <c r="N3453" s="1482"/>
      <c r="O3453" s="656" t="s">
        <v>498</v>
      </c>
      <c r="P3453" s="656" t="s">
        <v>13052</v>
      </c>
      <c r="Q3453" s="656">
        <v>44216.769305555557</v>
      </c>
    </row>
    <row r="3454" spans="1:17">
      <c r="A3454" s="656" t="s">
        <v>4680</v>
      </c>
      <c r="B3454" s="657" t="s">
        <v>531</v>
      </c>
      <c r="C3454" s="656" t="s">
        <v>4611</v>
      </c>
      <c r="D3454" s="657" t="s">
        <v>14978</v>
      </c>
      <c r="E3454" s="657" t="s">
        <v>9458</v>
      </c>
      <c r="F3454" s="656" t="s">
        <v>442</v>
      </c>
      <c r="G3454" s="656" t="s">
        <v>561</v>
      </c>
      <c r="H3454" s="656" t="s">
        <v>442</v>
      </c>
      <c r="I3454" s="656" t="s">
        <v>14976</v>
      </c>
      <c r="J3454" s="656" t="s">
        <v>12369</v>
      </c>
      <c r="K3454" s="656"/>
      <c r="L3454" s="656"/>
      <c r="M3454" s="657"/>
      <c r="N3454" s="1482"/>
      <c r="O3454" s="656" t="s">
        <v>498</v>
      </c>
      <c r="P3454" s="656" t="s">
        <v>13052</v>
      </c>
      <c r="Q3454" s="656">
        <v>44216.769305555557</v>
      </c>
    </row>
    <row r="3455" spans="1:17">
      <c r="A3455" s="656" t="s">
        <v>4681</v>
      </c>
      <c r="B3455" s="657" t="s">
        <v>531</v>
      </c>
      <c r="C3455" s="656" t="s">
        <v>4613</v>
      </c>
      <c r="D3455" s="657" t="s">
        <v>14978</v>
      </c>
      <c r="E3455" s="657" t="s">
        <v>9458</v>
      </c>
      <c r="F3455" s="656" t="s">
        <v>442</v>
      </c>
      <c r="G3455" s="656" t="s">
        <v>561</v>
      </c>
      <c r="H3455" s="656" t="s">
        <v>442</v>
      </c>
      <c r="I3455" s="656" t="s">
        <v>14976</v>
      </c>
      <c r="J3455" s="656" t="s">
        <v>12369</v>
      </c>
      <c r="K3455" s="656"/>
      <c r="L3455" s="656"/>
      <c r="M3455" s="657"/>
      <c r="N3455" s="1482"/>
      <c r="O3455" s="656" t="s">
        <v>498</v>
      </c>
      <c r="P3455" s="656" t="s">
        <v>13052</v>
      </c>
      <c r="Q3455" s="656">
        <v>44216.769293981481</v>
      </c>
    </row>
    <row r="3456" spans="1:17">
      <c r="A3456" s="656" t="s">
        <v>4682</v>
      </c>
      <c r="B3456" s="657" t="s">
        <v>531</v>
      </c>
      <c r="C3456" s="656" t="s">
        <v>4615</v>
      </c>
      <c r="D3456" s="657" t="s">
        <v>14978</v>
      </c>
      <c r="E3456" s="657" t="s">
        <v>9458</v>
      </c>
      <c r="F3456" s="656" t="s">
        <v>442</v>
      </c>
      <c r="G3456" s="656" t="s">
        <v>561</v>
      </c>
      <c r="H3456" s="656" t="s">
        <v>442</v>
      </c>
      <c r="I3456" s="656" t="s">
        <v>14976</v>
      </c>
      <c r="J3456" s="656" t="s">
        <v>12369</v>
      </c>
      <c r="K3456" s="656"/>
      <c r="L3456" s="656"/>
      <c r="M3456" s="657"/>
      <c r="N3456" s="1482"/>
      <c r="O3456" s="656" t="s">
        <v>498</v>
      </c>
      <c r="P3456" s="656" t="s">
        <v>13052</v>
      </c>
      <c r="Q3456" s="656">
        <v>44216.769293981481</v>
      </c>
    </row>
    <row r="3457" spans="1:17">
      <c r="A3457" s="656" t="s">
        <v>4683</v>
      </c>
      <c r="B3457" s="657" t="s">
        <v>531</v>
      </c>
      <c r="C3457" s="656" t="s">
        <v>4617</v>
      </c>
      <c r="D3457" s="657" t="s">
        <v>14978</v>
      </c>
      <c r="E3457" s="657" t="s">
        <v>9458</v>
      </c>
      <c r="F3457" s="656" t="s">
        <v>442</v>
      </c>
      <c r="G3457" s="656" t="s">
        <v>561</v>
      </c>
      <c r="H3457" s="656" t="s">
        <v>442</v>
      </c>
      <c r="I3457" s="656" t="s">
        <v>14976</v>
      </c>
      <c r="J3457" s="656" t="s">
        <v>12369</v>
      </c>
      <c r="K3457" s="656"/>
      <c r="L3457" s="656"/>
      <c r="M3457" s="657"/>
      <c r="N3457" s="1482"/>
      <c r="O3457" s="656" t="s">
        <v>498</v>
      </c>
      <c r="P3457" s="656" t="s">
        <v>13052</v>
      </c>
      <c r="Q3457" s="656">
        <v>44216.769293981481</v>
      </c>
    </row>
    <row r="3458" spans="1:17">
      <c r="A3458" s="656" t="s">
        <v>4684</v>
      </c>
      <c r="B3458" s="657" t="s">
        <v>531</v>
      </c>
      <c r="C3458" s="656" t="s">
        <v>1601</v>
      </c>
      <c r="D3458" s="657" t="s">
        <v>14978</v>
      </c>
      <c r="E3458" s="657" t="s">
        <v>9458</v>
      </c>
      <c r="F3458" s="656" t="s">
        <v>442</v>
      </c>
      <c r="G3458" s="656" t="s">
        <v>561</v>
      </c>
      <c r="H3458" s="656" t="s">
        <v>442</v>
      </c>
      <c r="I3458" s="656" t="s">
        <v>14976</v>
      </c>
      <c r="J3458" s="656" t="s">
        <v>12369</v>
      </c>
      <c r="K3458" s="656"/>
      <c r="L3458" s="656"/>
      <c r="M3458" s="657"/>
      <c r="N3458" s="1482"/>
      <c r="O3458" s="656" t="s">
        <v>498</v>
      </c>
      <c r="P3458" s="656" t="s">
        <v>13052</v>
      </c>
      <c r="Q3458" s="656">
        <v>44216.769282407404</v>
      </c>
    </row>
    <row r="3459" spans="1:17">
      <c r="A3459" s="656" t="s">
        <v>4685</v>
      </c>
      <c r="B3459" s="657" t="s">
        <v>531</v>
      </c>
      <c r="C3459" s="656" t="s">
        <v>1597</v>
      </c>
      <c r="D3459" s="657" t="s">
        <v>14978</v>
      </c>
      <c r="E3459" s="657" t="s">
        <v>9458</v>
      </c>
      <c r="F3459" s="656" t="s">
        <v>442</v>
      </c>
      <c r="G3459" s="656" t="s">
        <v>561</v>
      </c>
      <c r="H3459" s="656" t="s">
        <v>442</v>
      </c>
      <c r="I3459" s="656" t="s">
        <v>14976</v>
      </c>
      <c r="J3459" s="656" t="s">
        <v>12369</v>
      </c>
      <c r="K3459" s="656"/>
      <c r="L3459" s="656"/>
      <c r="M3459" s="657"/>
      <c r="N3459" s="1482"/>
      <c r="O3459" s="656" t="s">
        <v>498</v>
      </c>
      <c r="P3459" s="656" t="s">
        <v>13052</v>
      </c>
      <c r="Q3459" s="656">
        <v>44216.769282407404</v>
      </c>
    </row>
    <row r="3460" spans="1:17">
      <c r="A3460" s="656" t="s">
        <v>4686</v>
      </c>
      <c r="B3460" s="657" t="s">
        <v>531</v>
      </c>
      <c r="C3460" s="656" t="s">
        <v>4621</v>
      </c>
      <c r="D3460" s="657" t="s">
        <v>14978</v>
      </c>
      <c r="E3460" s="657" t="s">
        <v>9458</v>
      </c>
      <c r="F3460" s="656" t="s">
        <v>442</v>
      </c>
      <c r="G3460" s="656" t="s">
        <v>561</v>
      </c>
      <c r="H3460" s="656" t="s">
        <v>442</v>
      </c>
      <c r="I3460" s="656" t="s">
        <v>14976</v>
      </c>
      <c r="J3460" s="656" t="s">
        <v>12369</v>
      </c>
      <c r="K3460" s="656"/>
      <c r="L3460" s="656"/>
      <c r="M3460" s="657"/>
      <c r="N3460" s="1482"/>
      <c r="O3460" s="656" t="s">
        <v>498</v>
      </c>
      <c r="P3460" s="656" t="s">
        <v>13052</v>
      </c>
      <c r="Q3460" s="656">
        <v>44216.769270833334</v>
      </c>
    </row>
    <row r="3461" spans="1:17">
      <c r="A3461" s="656" t="s">
        <v>4687</v>
      </c>
      <c r="B3461" s="657" t="s">
        <v>531</v>
      </c>
      <c r="C3461" s="656" t="s">
        <v>1599</v>
      </c>
      <c r="D3461" s="657" t="s">
        <v>14978</v>
      </c>
      <c r="E3461" s="657" t="s">
        <v>9458</v>
      </c>
      <c r="F3461" s="656" t="s">
        <v>442</v>
      </c>
      <c r="G3461" s="656" t="s">
        <v>561</v>
      </c>
      <c r="H3461" s="656" t="s">
        <v>442</v>
      </c>
      <c r="I3461" s="656" t="s">
        <v>14976</v>
      </c>
      <c r="J3461" s="656" t="s">
        <v>12369</v>
      </c>
      <c r="K3461" s="656"/>
      <c r="L3461" s="656"/>
      <c r="M3461" s="657"/>
      <c r="N3461" s="1482"/>
      <c r="O3461" s="656" t="s">
        <v>498</v>
      </c>
      <c r="P3461" s="656" t="s">
        <v>13052</v>
      </c>
      <c r="Q3461" s="656">
        <v>44216.769270833334</v>
      </c>
    </row>
    <row r="3462" spans="1:17">
      <c r="A3462" s="656" t="s">
        <v>4688</v>
      </c>
      <c r="B3462" s="657" t="s">
        <v>531</v>
      </c>
      <c r="C3462" s="656" t="s">
        <v>4624</v>
      </c>
      <c r="D3462" s="657" t="s">
        <v>14978</v>
      </c>
      <c r="E3462" s="657" t="s">
        <v>9458</v>
      </c>
      <c r="F3462" s="656" t="s">
        <v>442</v>
      </c>
      <c r="G3462" s="656" t="s">
        <v>561</v>
      </c>
      <c r="H3462" s="656" t="s">
        <v>442</v>
      </c>
      <c r="I3462" s="656" t="s">
        <v>14976</v>
      </c>
      <c r="J3462" s="656" t="s">
        <v>12369</v>
      </c>
      <c r="K3462" s="656"/>
      <c r="L3462" s="656"/>
      <c r="M3462" s="657"/>
      <c r="N3462" s="1482"/>
      <c r="O3462" s="656" t="s">
        <v>498</v>
      </c>
      <c r="P3462" s="656" t="s">
        <v>13052</v>
      </c>
      <c r="Q3462" s="656">
        <v>44216.769259259258</v>
      </c>
    </row>
    <row r="3463" spans="1:17">
      <c r="A3463" s="656" t="s">
        <v>4689</v>
      </c>
      <c r="B3463" s="657" t="s">
        <v>531</v>
      </c>
      <c r="C3463" s="656" t="s">
        <v>4690</v>
      </c>
      <c r="D3463" s="657" t="s">
        <v>14978</v>
      </c>
      <c r="E3463" s="657" t="s">
        <v>9458</v>
      </c>
      <c r="F3463" s="656" t="s">
        <v>442</v>
      </c>
      <c r="G3463" s="656" t="s">
        <v>561</v>
      </c>
      <c r="H3463" s="656" t="s">
        <v>442</v>
      </c>
      <c r="I3463" s="656" t="s">
        <v>14976</v>
      </c>
      <c r="J3463" s="656" t="s">
        <v>12369</v>
      </c>
      <c r="K3463" s="656"/>
      <c r="L3463" s="656"/>
      <c r="M3463" s="657"/>
      <c r="N3463" s="1482"/>
      <c r="O3463" s="656" t="s">
        <v>498</v>
      </c>
      <c r="P3463" s="656" t="s">
        <v>13052</v>
      </c>
      <c r="Q3463" s="656">
        <v>44216.769259259258</v>
      </c>
    </row>
    <row r="3464" spans="1:17">
      <c r="A3464" s="656" t="s">
        <v>4691</v>
      </c>
      <c r="B3464" s="657" t="s">
        <v>531</v>
      </c>
      <c r="C3464" s="656" t="s">
        <v>1632</v>
      </c>
      <c r="D3464" s="657" t="s">
        <v>14978</v>
      </c>
      <c r="E3464" s="657" t="s">
        <v>9458</v>
      </c>
      <c r="F3464" s="656" t="s">
        <v>442</v>
      </c>
      <c r="G3464" s="656" t="s">
        <v>561</v>
      </c>
      <c r="H3464" s="656" t="s">
        <v>442</v>
      </c>
      <c r="I3464" s="656" t="s">
        <v>14976</v>
      </c>
      <c r="J3464" s="656" t="s">
        <v>12369</v>
      </c>
      <c r="K3464" s="656"/>
      <c r="L3464" s="656"/>
      <c r="M3464" s="657"/>
      <c r="N3464" s="1482"/>
      <c r="O3464" s="656" t="s">
        <v>498</v>
      </c>
      <c r="P3464" s="656" t="s">
        <v>13052</v>
      </c>
      <c r="Q3464" s="656">
        <v>44216.769259259258</v>
      </c>
    </row>
    <row r="3465" spans="1:17">
      <c r="A3465" s="656" t="s">
        <v>4692</v>
      </c>
      <c r="B3465" s="657" t="s">
        <v>531</v>
      </c>
      <c r="C3465" s="656" t="s">
        <v>4629</v>
      </c>
      <c r="D3465" s="657" t="s">
        <v>14978</v>
      </c>
      <c r="E3465" s="657" t="s">
        <v>9458</v>
      </c>
      <c r="F3465" s="656" t="s">
        <v>442</v>
      </c>
      <c r="G3465" s="656" t="s">
        <v>561</v>
      </c>
      <c r="H3465" s="656" t="s">
        <v>442</v>
      </c>
      <c r="I3465" s="656" t="s">
        <v>14976</v>
      </c>
      <c r="J3465" s="656" t="s">
        <v>12369</v>
      </c>
      <c r="K3465" s="656"/>
      <c r="L3465" s="656"/>
      <c r="M3465" s="657"/>
      <c r="N3465" s="1482"/>
      <c r="O3465" s="656" t="s">
        <v>498</v>
      </c>
      <c r="P3465" s="656" t="s">
        <v>13052</v>
      </c>
      <c r="Q3465" s="656">
        <v>44216.769247685188</v>
      </c>
    </row>
    <row r="3466" spans="1:17">
      <c r="A3466" s="656" t="s">
        <v>4693</v>
      </c>
      <c r="B3466" s="657" t="s">
        <v>531</v>
      </c>
      <c r="C3466" s="656" t="s">
        <v>1624</v>
      </c>
      <c r="D3466" s="657" t="s">
        <v>14978</v>
      </c>
      <c r="E3466" s="657" t="s">
        <v>9458</v>
      </c>
      <c r="F3466" s="656" t="s">
        <v>442</v>
      </c>
      <c r="G3466" s="656" t="s">
        <v>561</v>
      </c>
      <c r="H3466" s="656" t="s">
        <v>442</v>
      </c>
      <c r="I3466" s="656" t="s">
        <v>14976</v>
      </c>
      <c r="J3466" s="656" t="s">
        <v>12369</v>
      </c>
      <c r="K3466" s="656"/>
      <c r="L3466" s="656"/>
      <c r="M3466" s="657"/>
      <c r="N3466" s="1482"/>
      <c r="O3466" s="656" t="s">
        <v>498</v>
      </c>
      <c r="P3466" s="656" t="s">
        <v>13052</v>
      </c>
      <c r="Q3466" s="656">
        <v>44216.769259259258</v>
      </c>
    </row>
    <row r="3467" spans="1:17">
      <c r="A3467" s="656" t="s">
        <v>4694</v>
      </c>
      <c r="B3467" s="657" t="s">
        <v>531</v>
      </c>
      <c r="C3467" s="656" t="s">
        <v>4632</v>
      </c>
      <c r="D3467" s="657" t="s">
        <v>14978</v>
      </c>
      <c r="E3467" s="657" t="s">
        <v>9458</v>
      </c>
      <c r="F3467" s="656" t="s">
        <v>442</v>
      </c>
      <c r="G3467" s="656" t="s">
        <v>561</v>
      </c>
      <c r="H3467" s="656" t="s">
        <v>442</v>
      </c>
      <c r="I3467" s="656" t="s">
        <v>14976</v>
      </c>
      <c r="J3467" s="656" t="s">
        <v>12369</v>
      </c>
      <c r="K3467" s="656"/>
      <c r="L3467" s="656" t="s">
        <v>4730</v>
      </c>
      <c r="M3467" s="657"/>
      <c r="N3467" s="1482"/>
      <c r="O3467" s="656" t="s">
        <v>498</v>
      </c>
      <c r="P3467" s="656" t="s">
        <v>13052</v>
      </c>
      <c r="Q3467" s="656">
        <v>44216.769247685188</v>
      </c>
    </row>
    <row r="3468" spans="1:17">
      <c r="A3468" s="656" t="s">
        <v>4695</v>
      </c>
      <c r="B3468" s="657" t="s">
        <v>531</v>
      </c>
      <c r="C3468" s="656" t="s">
        <v>4696</v>
      </c>
      <c r="D3468" s="657" t="s">
        <v>14978</v>
      </c>
      <c r="E3468" s="657" t="s">
        <v>9458</v>
      </c>
      <c r="F3468" s="656" t="s">
        <v>442</v>
      </c>
      <c r="G3468" s="656" t="s">
        <v>561</v>
      </c>
      <c r="H3468" s="656" t="s">
        <v>442</v>
      </c>
      <c r="I3468" s="656" t="s">
        <v>14976</v>
      </c>
      <c r="J3468" s="656" t="s">
        <v>12369</v>
      </c>
      <c r="K3468" s="656"/>
      <c r="L3468" s="656" t="s">
        <v>4730</v>
      </c>
      <c r="M3468" s="657"/>
      <c r="N3468" s="1482"/>
      <c r="O3468" s="656" t="s">
        <v>498</v>
      </c>
      <c r="P3468" s="656" t="s">
        <v>13052</v>
      </c>
      <c r="Q3468" s="656">
        <v>44216.769236111111</v>
      </c>
    </row>
    <row r="3469" spans="1:17">
      <c r="A3469" s="656" t="s">
        <v>4697</v>
      </c>
      <c r="B3469" s="657" t="s">
        <v>531</v>
      </c>
      <c r="C3469" s="656" t="s">
        <v>4698</v>
      </c>
      <c r="D3469" s="657" t="s">
        <v>14978</v>
      </c>
      <c r="E3469" s="657" t="s">
        <v>7439</v>
      </c>
      <c r="F3469" s="656" t="s">
        <v>442</v>
      </c>
      <c r="G3469" s="656" t="s">
        <v>561</v>
      </c>
      <c r="H3469" s="656" t="s">
        <v>442</v>
      </c>
      <c r="I3469" s="656" t="s">
        <v>14976</v>
      </c>
      <c r="J3469" s="656" t="s">
        <v>12369</v>
      </c>
      <c r="K3469" s="656"/>
      <c r="L3469" s="656" t="s">
        <v>4730</v>
      </c>
      <c r="M3469" s="657"/>
      <c r="N3469" s="1482"/>
      <c r="O3469" s="656" t="s">
        <v>498</v>
      </c>
      <c r="P3469" s="656" t="s">
        <v>13052</v>
      </c>
      <c r="Q3469" s="656">
        <v>44216.769236111111</v>
      </c>
    </row>
    <row r="3470" spans="1:17">
      <c r="A3470" s="656" t="s">
        <v>4699</v>
      </c>
      <c r="B3470" s="657" t="s">
        <v>504</v>
      </c>
      <c r="C3470" s="656" t="s">
        <v>4637</v>
      </c>
      <c r="D3470" s="657" t="s">
        <v>14978</v>
      </c>
      <c r="E3470" s="657" t="s">
        <v>9510</v>
      </c>
      <c r="F3470" s="656" t="s">
        <v>540</v>
      </c>
      <c r="G3470" s="656" t="s">
        <v>569</v>
      </c>
      <c r="H3470" s="656" t="s">
        <v>540</v>
      </c>
      <c r="I3470" s="656" t="s">
        <v>14976</v>
      </c>
      <c r="J3470" s="656"/>
      <c r="K3470" s="656"/>
      <c r="L3470" s="656" t="s">
        <v>15299</v>
      </c>
      <c r="M3470" s="657"/>
      <c r="N3470" s="1482"/>
      <c r="O3470" s="656" t="s">
        <v>498</v>
      </c>
      <c r="P3470" s="656" t="s">
        <v>13052</v>
      </c>
      <c r="Q3470" s="656">
        <v>44216.769224537034</v>
      </c>
    </row>
    <row r="3471" spans="1:17">
      <c r="A3471" s="656" t="s">
        <v>4700</v>
      </c>
      <c r="B3471" s="657" t="s">
        <v>504</v>
      </c>
      <c r="C3471" s="656" t="s">
        <v>4639</v>
      </c>
      <c r="D3471" s="657" t="s">
        <v>14978</v>
      </c>
      <c r="E3471" s="657" t="s">
        <v>9510</v>
      </c>
      <c r="F3471" s="656" t="s">
        <v>540</v>
      </c>
      <c r="G3471" s="656" t="s">
        <v>569</v>
      </c>
      <c r="H3471" s="656" t="s">
        <v>540</v>
      </c>
      <c r="I3471" s="656" t="s">
        <v>14976</v>
      </c>
      <c r="J3471" s="656"/>
      <c r="K3471" s="656"/>
      <c r="L3471" s="656" t="s">
        <v>15299</v>
      </c>
      <c r="M3471" s="657"/>
      <c r="N3471" s="1482"/>
      <c r="O3471" s="656" t="s">
        <v>498</v>
      </c>
      <c r="P3471" s="656" t="s">
        <v>13052</v>
      </c>
      <c r="Q3471" s="656">
        <v>44216.769224537034</v>
      </c>
    </row>
    <row r="3472" spans="1:17">
      <c r="A3472" s="656" t="s">
        <v>4701</v>
      </c>
      <c r="B3472" s="657" t="s">
        <v>531</v>
      </c>
      <c r="C3472" s="656" t="s">
        <v>4643</v>
      </c>
      <c r="D3472" s="657" t="s">
        <v>14978</v>
      </c>
      <c r="E3472" s="657" t="s">
        <v>9458</v>
      </c>
      <c r="F3472" s="656" t="s">
        <v>442</v>
      </c>
      <c r="G3472" s="656" t="s">
        <v>561</v>
      </c>
      <c r="H3472" s="656" t="s">
        <v>442</v>
      </c>
      <c r="I3472" s="656" t="s">
        <v>14976</v>
      </c>
      <c r="J3472" s="656" t="s">
        <v>12369</v>
      </c>
      <c r="K3472" s="656"/>
      <c r="L3472" s="656"/>
      <c r="M3472" s="657"/>
      <c r="N3472" s="1482"/>
      <c r="O3472" s="656" t="s">
        <v>498</v>
      </c>
      <c r="P3472" s="656" t="s">
        <v>13052</v>
      </c>
      <c r="Q3472" s="656">
        <v>44216.769212962965</v>
      </c>
    </row>
    <row r="3473" spans="1:17">
      <c r="A3473" s="656" t="s">
        <v>4702</v>
      </c>
      <c r="B3473" s="657" t="s">
        <v>531</v>
      </c>
      <c r="C3473" s="656" t="s">
        <v>1626</v>
      </c>
      <c r="D3473" s="657" t="s">
        <v>14978</v>
      </c>
      <c r="E3473" s="657" t="s">
        <v>9458</v>
      </c>
      <c r="F3473" s="656" t="s">
        <v>442</v>
      </c>
      <c r="G3473" s="656" t="s">
        <v>561</v>
      </c>
      <c r="H3473" s="656" t="s">
        <v>442</v>
      </c>
      <c r="I3473" s="656" t="s">
        <v>14976</v>
      </c>
      <c r="J3473" s="656" t="s">
        <v>12369</v>
      </c>
      <c r="K3473" s="656"/>
      <c r="L3473" s="656"/>
      <c r="M3473" s="657"/>
      <c r="N3473" s="1482"/>
      <c r="O3473" s="656" t="s">
        <v>498</v>
      </c>
      <c r="P3473" s="656" t="s">
        <v>13052</v>
      </c>
      <c r="Q3473" s="656">
        <v>44216.769212962965</v>
      </c>
    </row>
    <row r="3474" spans="1:17">
      <c r="A3474" s="656" t="s">
        <v>4703</v>
      </c>
      <c r="B3474" s="657" t="s">
        <v>531</v>
      </c>
      <c r="C3474" s="656" t="s">
        <v>4704</v>
      </c>
      <c r="D3474" s="657" t="s">
        <v>14978</v>
      </c>
      <c r="E3474" s="657" t="s">
        <v>9458</v>
      </c>
      <c r="F3474" s="656" t="s">
        <v>442</v>
      </c>
      <c r="G3474" s="656" t="s">
        <v>561</v>
      </c>
      <c r="H3474" s="656" t="s">
        <v>442</v>
      </c>
      <c r="I3474" s="656" t="s">
        <v>14976</v>
      </c>
      <c r="J3474" s="656" t="s">
        <v>12369</v>
      </c>
      <c r="K3474" s="656"/>
      <c r="L3474" s="656" t="s">
        <v>13460</v>
      </c>
      <c r="M3474" s="657"/>
      <c r="N3474" s="1482"/>
      <c r="O3474" s="656" t="s">
        <v>498</v>
      </c>
      <c r="P3474" s="656" t="s">
        <v>13052</v>
      </c>
      <c r="Q3474" s="656">
        <v>44216.769201388888</v>
      </c>
    </row>
    <row r="3475" spans="1:17">
      <c r="A3475" s="656" t="s">
        <v>4705</v>
      </c>
      <c r="B3475" s="657" t="s">
        <v>531</v>
      </c>
      <c r="C3475" s="656" t="s">
        <v>1636</v>
      </c>
      <c r="D3475" s="657" t="s">
        <v>14978</v>
      </c>
      <c r="E3475" s="657" t="s">
        <v>9458</v>
      </c>
      <c r="F3475" s="656" t="s">
        <v>442</v>
      </c>
      <c r="G3475" s="656" t="s">
        <v>561</v>
      </c>
      <c r="H3475" s="656" t="s">
        <v>442</v>
      </c>
      <c r="I3475" s="656" t="s">
        <v>14976</v>
      </c>
      <c r="J3475" s="656" t="s">
        <v>12369</v>
      </c>
      <c r="K3475" s="656"/>
      <c r="L3475" s="656"/>
      <c r="M3475" s="657"/>
      <c r="N3475" s="1482"/>
      <c r="O3475" s="656" t="s">
        <v>498</v>
      </c>
      <c r="P3475" s="656" t="s">
        <v>13052</v>
      </c>
      <c r="Q3475" s="656">
        <v>44216.769212962965</v>
      </c>
    </row>
    <row r="3476" spans="1:17">
      <c r="A3476" s="656" t="s">
        <v>4706</v>
      </c>
      <c r="B3476" s="657" t="s">
        <v>531</v>
      </c>
      <c r="C3476" s="656" t="s">
        <v>4649</v>
      </c>
      <c r="D3476" s="657" t="s">
        <v>14978</v>
      </c>
      <c r="E3476" s="657" t="s">
        <v>9458</v>
      </c>
      <c r="F3476" s="656" t="s">
        <v>442</v>
      </c>
      <c r="G3476" s="656" t="s">
        <v>561</v>
      </c>
      <c r="H3476" s="656" t="s">
        <v>442</v>
      </c>
      <c r="I3476" s="656" t="s">
        <v>14976</v>
      </c>
      <c r="J3476" s="656" t="s">
        <v>12369</v>
      </c>
      <c r="K3476" s="656"/>
      <c r="L3476" s="656"/>
      <c r="M3476" s="657"/>
      <c r="N3476" s="1482"/>
      <c r="O3476" s="656" t="s">
        <v>498</v>
      </c>
      <c r="P3476" s="656" t="s">
        <v>13052</v>
      </c>
      <c r="Q3476" s="656">
        <v>44216.769201388888</v>
      </c>
    </row>
    <row r="3477" spans="1:17">
      <c r="A3477" s="656" t="s">
        <v>4707</v>
      </c>
      <c r="B3477" s="657" t="s">
        <v>531</v>
      </c>
      <c r="C3477" s="656" t="s">
        <v>4651</v>
      </c>
      <c r="D3477" s="657" t="s">
        <v>14978</v>
      </c>
      <c r="E3477" s="657" t="s">
        <v>9458</v>
      </c>
      <c r="F3477" s="656" t="s">
        <v>442</v>
      </c>
      <c r="G3477" s="656" t="s">
        <v>561</v>
      </c>
      <c r="H3477" s="656" t="s">
        <v>442</v>
      </c>
      <c r="I3477" s="656" t="s">
        <v>14976</v>
      </c>
      <c r="J3477" s="656" t="s">
        <v>12369</v>
      </c>
      <c r="K3477" s="656"/>
      <c r="L3477" s="656"/>
      <c r="M3477" s="657"/>
      <c r="N3477" s="1482"/>
      <c r="O3477" s="656" t="s">
        <v>498</v>
      </c>
      <c r="P3477" s="656" t="s">
        <v>13052</v>
      </c>
      <c r="Q3477" s="656">
        <v>44216.769189814811</v>
      </c>
    </row>
    <row r="3478" spans="1:17">
      <c r="A3478" s="656" t="s">
        <v>4708</v>
      </c>
      <c r="B3478" s="657" t="s">
        <v>531</v>
      </c>
      <c r="C3478" s="656" t="s">
        <v>4653</v>
      </c>
      <c r="D3478" s="657" t="s">
        <v>14978</v>
      </c>
      <c r="E3478" s="657" t="s">
        <v>9458</v>
      </c>
      <c r="F3478" s="656" t="s">
        <v>442</v>
      </c>
      <c r="G3478" s="656" t="s">
        <v>561</v>
      </c>
      <c r="H3478" s="656" t="s">
        <v>442</v>
      </c>
      <c r="I3478" s="656" t="s">
        <v>14976</v>
      </c>
      <c r="J3478" s="656" t="s">
        <v>12369</v>
      </c>
      <c r="K3478" s="656"/>
      <c r="L3478" s="656"/>
      <c r="M3478" s="657"/>
      <c r="N3478" s="1482"/>
      <c r="O3478" s="656" t="s">
        <v>498</v>
      </c>
      <c r="P3478" s="656" t="s">
        <v>13052</v>
      </c>
      <c r="Q3478" s="656">
        <v>44216.769189814811</v>
      </c>
    </row>
    <row r="3479" spans="1:17">
      <c r="A3479" s="656" t="s">
        <v>4709</v>
      </c>
      <c r="B3479" s="657" t="s">
        <v>531</v>
      </c>
      <c r="C3479" s="656" t="s">
        <v>4655</v>
      </c>
      <c r="D3479" s="657" t="s">
        <v>14978</v>
      </c>
      <c r="E3479" s="657" t="s">
        <v>9458</v>
      </c>
      <c r="F3479" s="656" t="s">
        <v>442</v>
      </c>
      <c r="G3479" s="656" t="s">
        <v>561</v>
      </c>
      <c r="H3479" s="656" t="s">
        <v>442</v>
      </c>
      <c r="I3479" s="656" t="s">
        <v>14976</v>
      </c>
      <c r="J3479" s="656" t="s">
        <v>12369</v>
      </c>
      <c r="K3479" s="656"/>
      <c r="L3479" s="656"/>
      <c r="M3479" s="657"/>
      <c r="N3479" s="1482"/>
      <c r="O3479" s="656" t="s">
        <v>498</v>
      </c>
      <c r="P3479" s="656" t="s">
        <v>13052</v>
      </c>
      <c r="Q3479" s="656">
        <v>44216.769178240742</v>
      </c>
    </row>
    <row r="3480" spans="1:17">
      <c r="A3480" s="656" t="s">
        <v>4710</v>
      </c>
      <c r="B3480" s="657" t="s">
        <v>531</v>
      </c>
      <c r="C3480" s="656" t="s">
        <v>4657</v>
      </c>
      <c r="D3480" s="657" t="s">
        <v>14978</v>
      </c>
      <c r="E3480" s="657" t="s">
        <v>9458</v>
      </c>
      <c r="F3480" s="656" t="s">
        <v>442</v>
      </c>
      <c r="G3480" s="656" t="s">
        <v>561</v>
      </c>
      <c r="H3480" s="656" t="s">
        <v>442</v>
      </c>
      <c r="I3480" s="656" t="s">
        <v>14976</v>
      </c>
      <c r="J3480" s="656" t="s">
        <v>12369</v>
      </c>
      <c r="K3480" s="656"/>
      <c r="L3480" s="656"/>
      <c r="M3480" s="657"/>
      <c r="N3480" s="1482"/>
      <c r="O3480" s="656" t="s">
        <v>498</v>
      </c>
      <c r="P3480" s="656" t="s">
        <v>13052</v>
      </c>
      <c r="Q3480" s="656">
        <v>44216.769178240742</v>
      </c>
    </row>
    <row r="3481" spans="1:17">
      <c r="A3481" s="656" t="s">
        <v>4711</v>
      </c>
      <c r="B3481" s="657" t="s">
        <v>531</v>
      </c>
      <c r="C3481" s="656" t="s">
        <v>4659</v>
      </c>
      <c r="D3481" s="657" t="s">
        <v>14978</v>
      </c>
      <c r="E3481" s="657" t="s">
        <v>9458</v>
      </c>
      <c r="F3481" s="656" t="s">
        <v>442</v>
      </c>
      <c r="G3481" s="656" t="s">
        <v>561</v>
      </c>
      <c r="H3481" s="656" t="s">
        <v>442</v>
      </c>
      <c r="I3481" s="656" t="s">
        <v>14976</v>
      </c>
      <c r="J3481" s="656" t="s">
        <v>12369</v>
      </c>
      <c r="K3481" s="656"/>
      <c r="L3481" s="656"/>
      <c r="M3481" s="657"/>
      <c r="N3481" s="1482"/>
      <c r="O3481" s="656" t="s">
        <v>498</v>
      </c>
      <c r="P3481" s="656" t="s">
        <v>13052</v>
      </c>
      <c r="Q3481" s="656">
        <v>44216.769166666665</v>
      </c>
    </row>
    <row r="3482" spans="1:17">
      <c r="A3482" s="656" t="s">
        <v>4712</v>
      </c>
      <c r="B3482" s="657" t="s">
        <v>531</v>
      </c>
      <c r="C3482" s="656" t="s">
        <v>4661</v>
      </c>
      <c r="D3482" s="657" t="s">
        <v>14978</v>
      </c>
      <c r="E3482" s="657" t="s">
        <v>9458</v>
      </c>
      <c r="F3482" s="656" t="s">
        <v>442</v>
      </c>
      <c r="G3482" s="656" t="s">
        <v>561</v>
      </c>
      <c r="H3482" s="656" t="s">
        <v>442</v>
      </c>
      <c r="I3482" s="656" t="s">
        <v>14976</v>
      </c>
      <c r="J3482" s="656" t="s">
        <v>12369</v>
      </c>
      <c r="K3482" s="656"/>
      <c r="L3482" s="656"/>
      <c r="M3482" s="657"/>
      <c r="N3482" s="1482"/>
      <c r="O3482" s="656" t="s">
        <v>498</v>
      </c>
      <c r="P3482" s="656" t="s">
        <v>13052</v>
      </c>
      <c r="Q3482" s="656">
        <v>44216.769166666665</v>
      </c>
    </row>
    <row r="3483" spans="1:17">
      <c r="A3483" s="656" t="s">
        <v>4713</v>
      </c>
      <c r="B3483" s="657" t="s">
        <v>531</v>
      </c>
      <c r="C3483" s="656" t="s">
        <v>4663</v>
      </c>
      <c r="D3483" s="657" t="s">
        <v>14978</v>
      </c>
      <c r="E3483" s="657" t="s">
        <v>9458</v>
      </c>
      <c r="F3483" s="656" t="s">
        <v>442</v>
      </c>
      <c r="G3483" s="656" t="s">
        <v>561</v>
      </c>
      <c r="H3483" s="656" t="s">
        <v>442</v>
      </c>
      <c r="I3483" s="656" t="s">
        <v>14976</v>
      </c>
      <c r="J3483" s="656" t="s">
        <v>12369</v>
      </c>
      <c r="K3483" s="656"/>
      <c r="L3483" s="656"/>
      <c r="M3483" s="657"/>
      <c r="N3483" s="1482"/>
      <c r="O3483" s="656" t="s">
        <v>498</v>
      </c>
      <c r="P3483" s="656" t="s">
        <v>13052</v>
      </c>
      <c r="Q3483" s="656">
        <v>44216.769166666665</v>
      </c>
    </row>
    <row r="3484" spans="1:17">
      <c r="A3484" s="656" t="s">
        <v>4714</v>
      </c>
      <c r="B3484" s="657" t="s">
        <v>531</v>
      </c>
      <c r="C3484" s="656" t="s">
        <v>1609</v>
      </c>
      <c r="D3484" s="657" t="s">
        <v>14978</v>
      </c>
      <c r="E3484" s="657" t="s">
        <v>9458</v>
      </c>
      <c r="F3484" s="656" t="s">
        <v>442</v>
      </c>
      <c r="G3484" s="656" t="s">
        <v>561</v>
      </c>
      <c r="H3484" s="656" t="s">
        <v>442</v>
      </c>
      <c r="I3484" s="656" t="s">
        <v>14976</v>
      </c>
      <c r="J3484" s="656" t="s">
        <v>12369</v>
      </c>
      <c r="K3484" s="656"/>
      <c r="L3484" s="656"/>
      <c r="M3484" s="657"/>
      <c r="N3484" s="1482"/>
      <c r="O3484" s="656" t="s">
        <v>498</v>
      </c>
      <c r="P3484" s="656" t="s">
        <v>13052</v>
      </c>
      <c r="Q3484" s="656">
        <v>44216.769155092596</v>
      </c>
    </row>
    <row r="3485" spans="1:17">
      <c r="A3485" s="656" t="s">
        <v>4715</v>
      </c>
      <c r="B3485" s="657" t="s">
        <v>531</v>
      </c>
      <c r="C3485" s="656" t="s">
        <v>1611</v>
      </c>
      <c r="D3485" s="657" t="s">
        <v>14978</v>
      </c>
      <c r="E3485" s="657" t="s">
        <v>9458</v>
      </c>
      <c r="F3485" s="656" t="s">
        <v>442</v>
      </c>
      <c r="G3485" s="656" t="s">
        <v>561</v>
      </c>
      <c r="H3485" s="656" t="s">
        <v>442</v>
      </c>
      <c r="I3485" s="656" t="s">
        <v>14976</v>
      </c>
      <c r="J3485" s="656" t="s">
        <v>12369</v>
      </c>
      <c r="K3485" s="656"/>
      <c r="L3485" s="656"/>
      <c r="M3485" s="657"/>
      <c r="N3485" s="1482"/>
      <c r="O3485" s="656" t="s">
        <v>498</v>
      </c>
      <c r="P3485" s="656" t="s">
        <v>13052</v>
      </c>
      <c r="Q3485" s="656">
        <v>44216.769155092596</v>
      </c>
    </row>
    <row r="3486" spans="1:17">
      <c r="A3486" s="656" t="s">
        <v>4716</v>
      </c>
      <c r="B3486" s="657" t="s">
        <v>531</v>
      </c>
      <c r="C3486" s="656" t="s">
        <v>1613</v>
      </c>
      <c r="D3486" s="657" t="s">
        <v>14978</v>
      </c>
      <c r="E3486" s="657" t="s">
        <v>9458</v>
      </c>
      <c r="F3486" s="656" t="s">
        <v>442</v>
      </c>
      <c r="G3486" s="656" t="s">
        <v>561</v>
      </c>
      <c r="H3486" s="656" t="s">
        <v>442</v>
      </c>
      <c r="I3486" s="656" t="s">
        <v>14976</v>
      </c>
      <c r="J3486" s="656" t="s">
        <v>12369</v>
      </c>
      <c r="K3486" s="656"/>
      <c r="L3486" s="656"/>
      <c r="M3486" s="657"/>
      <c r="N3486" s="1482"/>
      <c r="O3486" s="656" t="s">
        <v>498</v>
      </c>
      <c r="P3486" s="656" t="s">
        <v>13052</v>
      </c>
      <c r="Q3486" s="656">
        <v>44216.769143518519</v>
      </c>
    </row>
    <row r="3487" spans="1:17">
      <c r="A3487" s="656" t="s">
        <v>4717</v>
      </c>
      <c r="B3487" s="657" t="s">
        <v>531</v>
      </c>
      <c r="C3487" s="656" t="s">
        <v>1615</v>
      </c>
      <c r="D3487" s="657" t="s">
        <v>14978</v>
      </c>
      <c r="E3487" s="657" t="s">
        <v>9458</v>
      </c>
      <c r="F3487" s="656" t="s">
        <v>442</v>
      </c>
      <c r="G3487" s="656" t="s">
        <v>561</v>
      </c>
      <c r="H3487" s="656" t="s">
        <v>442</v>
      </c>
      <c r="I3487" s="656" t="s">
        <v>14976</v>
      </c>
      <c r="J3487" s="656" t="s">
        <v>12369</v>
      </c>
      <c r="K3487" s="656"/>
      <c r="L3487" s="656"/>
      <c r="M3487" s="657"/>
      <c r="N3487" s="1482"/>
      <c r="O3487" s="656" t="s">
        <v>498</v>
      </c>
      <c r="P3487" s="656" t="s">
        <v>13052</v>
      </c>
      <c r="Q3487" s="656">
        <v>44216.769131944442</v>
      </c>
    </row>
    <row r="3488" spans="1:17">
      <c r="A3488" s="656" t="s">
        <v>4718</v>
      </c>
      <c r="B3488" s="657" t="s">
        <v>504</v>
      </c>
      <c r="C3488" s="656" t="s">
        <v>4719</v>
      </c>
      <c r="D3488" s="657" t="s">
        <v>14978</v>
      </c>
      <c r="E3488" s="657" t="s">
        <v>7439</v>
      </c>
      <c r="F3488" s="656" t="s">
        <v>540</v>
      </c>
      <c r="G3488" s="656" t="s">
        <v>569</v>
      </c>
      <c r="H3488" s="656" t="s">
        <v>540</v>
      </c>
      <c r="I3488" s="656" t="s">
        <v>14976</v>
      </c>
      <c r="J3488" s="656"/>
      <c r="K3488" s="656"/>
      <c r="L3488" s="656" t="s">
        <v>4730</v>
      </c>
      <c r="M3488" s="657"/>
      <c r="N3488" s="1482"/>
      <c r="O3488" s="656" t="s">
        <v>498</v>
      </c>
      <c r="P3488" s="656" t="s">
        <v>13052</v>
      </c>
      <c r="Q3488" s="656">
        <v>44216.769131944442</v>
      </c>
    </row>
    <row r="3489" spans="1:17">
      <c r="A3489" s="656" t="s">
        <v>4720</v>
      </c>
      <c r="B3489" s="657" t="s">
        <v>531</v>
      </c>
      <c r="C3489" s="656" t="s">
        <v>4634</v>
      </c>
      <c r="D3489" s="657" t="s">
        <v>14978</v>
      </c>
      <c r="E3489" s="657"/>
      <c r="F3489" s="656" t="s">
        <v>442</v>
      </c>
      <c r="G3489" s="656" t="s">
        <v>561</v>
      </c>
      <c r="H3489" s="656" t="s">
        <v>442</v>
      </c>
      <c r="I3489" s="656" t="s">
        <v>14976</v>
      </c>
      <c r="J3489" s="656" t="s">
        <v>12369</v>
      </c>
      <c r="K3489" s="656"/>
      <c r="L3489" s="656"/>
      <c r="M3489" s="657"/>
      <c r="N3489" s="1482"/>
      <c r="O3489" s="656" t="s">
        <v>498</v>
      </c>
      <c r="P3489" s="656" t="s">
        <v>13052</v>
      </c>
      <c r="Q3489" s="656">
        <v>44216.769131944442</v>
      </c>
    </row>
    <row r="3490" spans="1:17">
      <c r="A3490" s="656" t="s">
        <v>4721</v>
      </c>
      <c r="B3490" s="657" t="s">
        <v>531</v>
      </c>
      <c r="C3490" s="656" t="s">
        <v>4634</v>
      </c>
      <c r="D3490" s="657" t="s">
        <v>14978</v>
      </c>
      <c r="E3490" s="657" t="s">
        <v>9458</v>
      </c>
      <c r="F3490" s="656" t="s">
        <v>442</v>
      </c>
      <c r="G3490" s="656" t="s">
        <v>561</v>
      </c>
      <c r="H3490" s="656" t="s">
        <v>442</v>
      </c>
      <c r="I3490" s="656" t="s">
        <v>14976</v>
      </c>
      <c r="J3490" s="656" t="s">
        <v>12369</v>
      </c>
      <c r="K3490" s="656"/>
      <c r="L3490" s="656"/>
      <c r="M3490" s="657"/>
      <c r="N3490" s="1482"/>
      <c r="O3490" s="656" t="s">
        <v>498</v>
      </c>
      <c r="P3490" s="656" t="s">
        <v>13052</v>
      </c>
      <c r="Q3490" s="656">
        <v>44216.769120370373</v>
      </c>
    </row>
    <row r="3491" spans="1:17">
      <c r="A3491" s="656" t="s">
        <v>13459</v>
      </c>
      <c r="B3491" s="657" t="s">
        <v>504</v>
      </c>
      <c r="C3491" s="656" t="s">
        <v>4657</v>
      </c>
      <c r="D3491" s="657" t="s">
        <v>13789</v>
      </c>
      <c r="E3491" s="657" t="s">
        <v>9458</v>
      </c>
      <c r="F3491" s="656" t="s">
        <v>540</v>
      </c>
      <c r="G3491" s="656" t="s">
        <v>569</v>
      </c>
      <c r="H3491" s="656" t="s">
        <v>540</v>
      </c>
      <c r="I3491" s="656"/>
      <c r="J3491" s="656"/>
      <c r="K3491" s="656"/>
      <c r="L3491" s="656"/>
      <c r="M3491" s="657"/>
      <c r="N3491" s="1482"/>
      <c r="O3491" s="656" t="s">
        <v>498</v>
      </c>
      <c r="P3491" s="656" t="s">
        <v>13052</v>
      </c>
      <c r="Q3491" s="656">
        <v>44216.769108796296</v>
      </c>
    </row>
    <row r="3492" spans="1:17">
      <c r="A3492" s="656" t="s">
        <v>13458</v>
      </c>
      <c r="B3492" s="657" t="s">
        <v>504</v>
      </c>
      <c r="C3492" s="656" t="s">
        <v>4659</v>
      </c>
      <c r="D3492" s="657" t="s">
        <v>13789</v>
      </c>
      <c r="E3492" s="657" t="s">
        <v>9458</v>
      </c>
      <c r="F3492" s="656" t="s">
        <v>540</v>
      </c>
      <c r="G3492" s="656" t="s">
        <v>569</v>
      </c>
      <c r="H3492" s="656" t="s">
        <v>540</v>
      </c>
      <c r="I3492" s="656"/>
      <c r="J3492" s="656"/>
      <c r="K3492" s="656"/>
      <c r="L3492" s="656"/>
      <c r="M3492" s="657"/>
      <c r="N3492" s="1482"/>
      <c r="O3492" s="656" t="s">
        <v>498</v>
      </c>
      <c r="P3492" s="656" t="s">
        <v>13052</v>
      </c>
      <c r="Q3492" s="656">
        <v>44216.769108796296</v>
      </c>
    </row>
    <row r="3493" spans="1:17">
      <c r="A3493" s="656" t="s">
        <v>13457</v>
      </c>
      <c r="B3493" s="657" t="s">
        <v>504</v>
      </c>
      <c r="C3493" s="656" t="s">
        <v>4661</v>
      </c>
      <c r="D3493" s="657" t="s">
        <v>13789</v>
      </c>
      <c r="E3493" s="657" t="s">
        <v>9458</v>
      </c>
      <c r="F3493" s="656" t="s">
        <v>540</v>
      </c>
      <c r="G3493" s="656" t="s">
        <v>569</v>
      </c>
      <c r="H3493" s="656" t="s">
        <v>540</v>
      </c>
      <c r="I3493" s="656"/>
      <c r="J3493" s="656"/>
      <c r="K3493" s="656"/>
      <c r="L3493" s="656"/>
      <c r="M3493" s="657"/>
      <c r="N3493" s="1482"/>
      <c r="O3493" s="656" t="s">
        <v>498</v>
      </c>
      <c r="P3493" s="656" t="s">
        <v>13052</v>
      </c>
      <c r="Q3493" s="656">
        <v>44216.769108796296</v>
      </c>
    </row>
    <row r="3494" spans="1:17">
      <c r="A3494" s="656" t="s">
        <v>13456</v>
      </c>
      <c r="B3494" s="657" t="s">
        <v>504</v>
      </c>
      <c r="C3494" s="656" t="s">
        <v>4663</v>
      </c>
      <c r="D3494" s="657" t="s">
        <v>13789</v>
      </c>
      <c r="E3494" s="657" t="s">
        <v>9458</v>
      </c>
      <c r="F3494" s="656" t="s">
        <v>540</v>
      </c>
      <c r="G3494" s="656" t="s">
        <v>569</v>
      </c>
      <c r="H3494" s="656" t="s">
        <v>540</v>
      </c>
      <c r="I3494" s="656"/>
      <c r="J3494" s="656"/>
      <c r="K3494" s="656"/>
      <c r="L3494" s="656"/>
      <c r="M3494" s="657"/>
      <c r="N3494" s="1482"/>
      <c r="O3494" s="656" t="s">
        <v>498</v>
      </c>
      <c r="P3494" s="656" t="s">
        <v>13052</v>
      </c>
      <c r="Q3494" s="656">
        <v>44216.769097222219</v>
      </c>
    </row>
    <row r="3495" spans="1:17">
      <c r="A3495" s="656" t="s">
        <v>13455</v>
      </c>
      <c r="B3495" s="657" t="s">
        <v>504</v>
      </c>
      <c r="C3495" s="656" t="s">
        <v>1609</v>
      </c>
      <c r="D3495" s="657" t="s">
        <v>13789</v>
      </c>
      <c r="E3495" s="657" t="s">
        <v>9458</v>
      </c>
      <c r="F3495" s="656" t="s">
        <v>540</v>
      </c>
      <c r="G3495" s="656" t="s">
        <v>569</v>
      </c>
      <c r="H3495" s="656" t="s">
        <v>540</v>
      </c>
      <c r="I3495" s="656"/>
      <c r="J3495" s="656"/>
      <c r="K3495" s="656"/>
      <c r="L3495" s="656"/>
      <c r="M3495" s="657"/>
      <c r="N3495" s="1482"/>
      <c r="O3495" s="656" t="s">
        <v>498</v>
      </c>
      <c r="P3495" s="656" t="s">
        <v>13052</v>
      </c>
      <c r="Q3495" s="656">
        <v>44216.769085648149</v>
      </c>
    </row>
    <row r="3496" spans="1:17">
      <c r="A3496" s="656" t="s">
        <v>13454</v>
      </c>
      <c r="B3496" s="657" t="s">
        <v>504</v>
      </c>
      <c r="C3496" s="656" t="s">
        <v>1611</v>
      </c>
      <c r="D3496" s="657" t="s">
        <v>13789</v>
      </c>
      <c r="E3496" s="657" t="s">
        <v>9458</v>
      </c>
      <c r="F3496" s="656" t="s">
        <v>540</v>
      </c>
      <c r="G3496" s="656" t="s">
        <v>569</v>
      </c>
      <c r="H3496" s="656" t="s">
        <v>540</v>
      </c>
      <c r="I3496" s="656"/>
      <c r="J3496" s="656"/>
      <c r="K3496" s="656"/>
      <c r="L3496" s="656"/>
      <c r="M3496" s="657"/>
      <c r="N3496" s="1482"/>
      <c r="O3496" s="656" t="s">
        <v>498</v>
      </c>
      <c r="P3496" s="656" t="s">
        <v>13052</v>
      </c>
      <c r="Q3496" s="656">
        <v>44216.769085648149</v>
      </c>
    </row>
    <row r="3497" spans="1:17">
      <c r="A3497" s="656" t="s">
        <v>13453</v>
      </c>
      <c r="B3497" s="657" t="s">
        <v>504</v>
      </c>
      <c r="C3497" s="656" t="s">
        <v>1613</v>
      </c>
      <c r="D3497" s="657" t="s">
        <v>13789</v>
      </c>
      <c r="E3497" s="657" t="s">
        <v>9458</v>
      </c>
      <c r="F3497" s="656" t="s">
        <v>540</v>
      </c>
      <c r="G3497" s="656" t="s">
        <v>569</v>
      </c>
      <c r="H3497" s="656" t="s">
        <v>540</v>
      </c>
      <c r="I3497" s="656"/>
      <c r="J3497" s="656"/>
      <c r="K3497" s="656"/>
      <c r="L3497" s="656"/>
      <c r="M3497" s="657"/>
      <c r="N3497" s="1482"/>
      <c r="O3497" s="656" t="s">
        <v>498</v>
      </c>
      <c r="P3497" s="656" t="s">
        <v>13052</v>
      </c>
      <c r="Q3497" s="656">
        <v>44216.769085648149</v>
      </c>
    </row>
    <row r="3498" spans="1:17">
      <c r="A3498" s="656" t="s">
        <v>4722</v>
      </c>
      <c r="B3498" s="657" t="s">
        <v>202</v>
      </c>
      <c r="C3498" s="656" t="s">
        <v>4723</v>
      </c>
      <c r="D3498" s="657" t="s">
        <v>14978</v>
      </c>
      <c r="E3498" s="657"/>
      <c r="F3498" s="656" t="s">
        <v>442</v>
      </c>
      <c r="G3498" s="656" t="s">
        <v>561</v>
      </c>
      <c r="H3498" s="656" t="s">
        <v>442</v>
      </c>
      <c r="I3498" s="656" t="s">
        <v>14976</v>
      </c>
      <c r="J3498" s="656" t="s">
        <v>12369</v>
      </c>
      <c r="K3498" s="656"/>
      <c r="L3498" s="656"/>
      <c r="M3498" s="657"/>
      <c r="N3498" s="1482"/>
      <c r="O3498" s="656" t="s">
        <v>498</v>
      </c>
      <c r="P3498" s="656" t="s">
        <v>13052</v>
      </c>
      <c r="Q3498" s="656">
        <v>44216.769074074073</v>
      </c>
    </row>
    <row r="3499" spans="1:17">
      <c r="A3499" s="656" t="s">
        <v>13452</v>
      </c>
      <c r="B3499" s="657" t="s">
        <v>504</v>
      </c>
      <c r="C3499" s="656" t="s">
        <v>1615</v>
      </c>
      <c r="D3499" s="657" t="s">
        <v>13789</v>
      </c>
      <c r="E3499" s="657" t="s">
        <v>9458</v>
      </c>
      <c r="F3499" s="656" t="s">
        <v>540</v>
      </c>
      <c r="G3499" s="656" t="s">
        <v>569</v>
      </c>
      <c r="H3499" s="656" t="s">
        <v>540</v>
      </c>
      <c r="I3499" s="656"/>
      <c r="J3499" s="656"/>
      <c r="K3499" s="656"/>
      <c r="L3499" s="656"/>
      <c r="M3499" s="657"/>
      <c r="N3499" s="1482"/>
      <c r="O3499" s="656" t="s">
        <v>498</v>
      </c>
      <c r="P3499" s="656" t="s">
        <v>13052</v>
      </c>
      <c r="Q3499" s="656">
        <v>44216.769074074073</v>
      </c>
    </row>
    <row r="3500" spans="1:17">
      <c r="A3500" s="656" t="s">
        <v>13451</v>
      </c>
      <c r="B3500" s="657" t="s">
        <v>504</v>
      </c>
      <c r="C3500" s="656" t="s">
        <v>4671</v>
      </c>
      <c r="D3500" s="657" t="s">
        <v>13789</v>
      </c>
      <c r="E3500" s="657" t="s">
        <v>9458</v>
      </c>
      <c r="F3500" s="656" t="s">
        <v>540</v>
      </c>
      <c r="G3500" s="656" t="s">
        <v>569</v>
      </c>
      <c r="H3500" s="656" t="s">
        <v>540</v>
      </c>
      <c r="I3500" s="656"/>
      <c r="J3500" s="656"/>
      <c r="K3500" s="656"/>
      <c r="L3500" s="656"/>
      <c r="M3500" s="657"/>
      <c r="N3500" s="1482"/>
      <c r="O3500" s="656" t="s">
        <v>498</v>
      </c>
      <c r="P3500" s="656" t="s">
        <v>13052</v>
      </c>
      <c r="Q3500" s="656">
        <v>44216.769062500003</v>
      </c>
    </row>
    <row r="3501" spans="1:17">
      <c r="A3501" s="656" t="s">
        <v>13450</v>
      </c>
      <c r="B3501" s="657" t="s">
        <v>504</v>
      </c>
      <c r="C3501" s="656" t="s">
        <v>4597</v>
      </c>
      <c r="D3501" s="657" t="s">
        <v>13789</v>
      </c>
      <c r="E3501" s="657" t="s">
        <v>9458</v>
      </c>
      <c r="F3501" s="656" t="s">
        <v>540</v>
      </c>
      <c r="G3501" s="656" t="s">
        <v>569</v>
      </c>
      <c r="H3501" s="656" t="s">
        <v>540</v>
      </c>
      <c r="I3501" s="656"/>
      <c r="J3501" s="656"/>
      <c r="K3501" s="656"/>
      <c r="L3501" s="656"/>
      <c r="M3501" s="657"/>
      <c r="N3501" s="1482"/>
      <c r="O3501" s="656" t="s">
        <v>498</v>
      </c>
      <c r="P3501" s="656" t="s">
        <v>13052</v>
      </c>
      <c r="Q3501" s="656">
        <v>44216.769062500003</v>
      </c>
    </row>
    <row r="3502" spans="1:17">
      <c r="A3502" s="656" t="s">
        <v>13449</v>
      </c>
      <c r="B3502" s="657" t="s">
        <v>504</v>
      </c>
      <c r="C3502" s="656" t="s">
        <v>4599</v>
      </c>
      <c r="D3502" s="657" t="s">
        <v>13789</v>
      </c>
      <c r="E3502" s="657" t="s">
        <v>9458</v>
      </c>
      <c r="F3502" s="656" t="s">
        <v>540</v>
      </c>
      <c r="G3502" s="656" t="s">
        <v>569</v>
      </c>
      <c r="H3502" s="656" t="s">
        <v>540</v>
      </c>
      <c r="I3502" s="656"/>
      <c r="J3502" s="656"/>
      <c r="K3502" s="656"/>
      <c r="L3502" s="656"/>
      <c r="M3502" s="657"/>
      <c r="N3502" s="1482"/>
      <c r="O3502" s="656" t="s">
        <v>498</v>
      </c>
      <c r="P3502" s="656" t="s">
        <v>13052</v>
      </c>
      <c r="Q3502" s="656">
        <v>44216.769050925926</v>
      </c>
    </row>
    <row r="3503" spans="1:17">
      <c r="A3503" s="656" t="s">
        <v>13448</v>
      </c>
      <c r="B3503" s="657" t="s">
        <v>504</v>
      </c>
      <c r="C3503" s="656" t="s">
        <v>4601</v>
      </c>
      <c r="D3503" s="657" t="s">
        <v>13789</v>
      </c>
      <c r="E3503" s="657" t="s">
        <v>9458</v>
      </c>
      <c r="F3503" s="656" t="s">
        <v>540</v>
      </c>
      <c r="G3503" s="656" t="s">
        <v>569</v>
      </c>
      <c r="H3503" s="656" t="s">
        <v>540</v>
      </c>
      <c r="I3503" s="656"/>
      <c r="J3503" s="656"/>
      <c r="K3503" s="656"/>
      <c r="L3503" s="656"/>
      <c r="M3503" s="657"/>
      <c r="N3503" s="1482"/>
      <c r="O3503" s="656" t="s">
        <v>498</v>
      </c>
      <c r="P3503" s="656" t="s">
        <v>13052</v>
      </c>
      <c r="Q3503" s="656">
        <v>44216.769050925926</v>
      </c>
    </row>
    <row r="3504" spans="1:17">
      <c r="A3504" s="656" t="s">
        <v>13447</v>
      </c>
      <c r="B3504" s="657" t="s">
        <v>504</v>
      </c>
      <c r="C3504" s="656" t="s">
        <v>4603</v>
      </c>
      <c r="D3504" s="657" t="s">
        <v>13789</v>
      </c>
      <c r="E3504" s="657" t="s">
        <v>9458</v>
      </c>
      <c r="F3504" s="656" t="s">
        <v>540</v>
      </c>
      <c r="G3504" s="656" t="s">
        <v>4724</v>
      </c>
      <c r="H3504" s="656" t="s">
        <v>540</v>
      </c>
      <c r="I3504" s="656"/>
      <c r="J3504" s="656"/>
      <c r="K3504" s="656"/>
      <c r="L3504" s="656"/>
      <c r="M3504" s="657"/>
      <c r="N3504" s="1482"/>
      <c r="O3504" s="656" t="s">
        <v>498</v>
      </c>
      <c r="P3504" s="656" t="s">
        <v>13052</v>
      </c>
      <c r="Q3504" s="656">
        <v>44216.76903935185</v>
      </c>
    </row>
    <row r="3505" spans="1:17">
      <c r="A3505" s="656" t="s">
        <v>13446</v>
      </c>
      <c r="B3505" s="657" t="s">
        <v>504</v>
      </c>
      <c r="C3505" s="656" t="s">
        <v>1617</v>
      </c>
      <c r="D3505" s="657" t="s">
        <v>13789</v>
      </c>
      <c r="E3505" s="657" t="s">
        <v>9458</v>
      </c>
      <c r="F3505" s="656" t="s">
        <v>540</v>
      </c>
      <c r="G3505" s="656" t="s">
        <v>569</v>
      </c>
      <c r="H3505" s="656" t="s">
        <v>540</v>
      </c>
      <c r="I3505" s="656"/>
      <c r="J3505" s="656"/>
      <c r="K3505" s="656"/>
      <c r="L3505" s="656"/>
      <c r="M3505" s="657"/>
      <c r="N3505" s="1482"/>
      <c r="O3505" s="656" t="s">
        <v>498</v>
      </c>
      <c r="P3505" s="656" t="s">
        <v>13052</v>
      </c>
      <c r="Q3505" s="656">
        <v>44216.76903935185</v>
      </c>
    </row>
    <row r="3506" spans="1:17">
      <c r="A3506" s="656" t="s">
        <v>13445</v>
      </c>
      <c r="B3506" s="657" t="s">
        <v>504</v>
      </c>
      <c r="C3506" s="656" t="s">
        <v>4606</v>
      </c>
      <c r="D3506" s="657" t="s">
        <v>13789</v>
      </c>
      <c r="E3506" s="657" t="s">
        <v>9458</v>
      </c>
      <c r="F3506" s="656" t="s">
        <v>540</v>
      </c>
      <c r="G3506" s="656" t="s">
        <v>569</v>
      </c>
      <c r="H3506" s="656" t="s">
        <v>540</v>
      </c>
      <c r="I3506" s="656"/>
      <c r="J3506" s="656"/>
      <c r="K3506" s="656"/>
      <c r="L3506" s="656"/>
      <c r="M3506" s="657"/>
      <c r="N3506" s="1482"/>
      <c r="O3506" s="656" t="s">
        <v>498</v>
      </c>
      <c r="P3506" s="656" t="s">
        <v>13052</v>
      </c>
      <c r="Q3506" s="656">
        <v>44216.76903935185</v>
      </c>
    </row>
    <row r="3507" spans="1:17">
      <c r="A3507" s="656" t="s">
        <v>13444</v>
      </c>
      <c r="B3507" s="657" t="s">
        <v>504</v>
      </c>
      <c r="C3507" s="656" t="s">
        <v>1595</v>
      </c>
      <c r="D3507" s="657" t="s">
        <v>13789</v>
      </c>
      <c r="E3507" s="657" t="s">
        <v>9458</v>
      </c>
      <c r="F3507" s="656" t="s">
        <v>540</v>
      </c>
      <c r="G3507" s="656" t="s">
        <v>569</v>
      </c>
      <c r="H3507" s="656" t="s">
        <v>540</v>
      </c>
      <c r="I3507" s="656"/>
      <c r="J3507" s="656"/>
      <c r="K3507" s="656"/>
      <c r="L3507" s="656"/>
      <c r="M3507" s="657"/>
      <c r="N3507" s="1482"/>
      <c r="O3507" s="656" t="s">
        <v>498</v>
      </c>
      <c r="P3507" s="656" t="s">
        <v>13052</v>
      </c>
      <c r="Q3507" s="656">
        <v>44216.76902777778</v>
      </c>
    </row>
    <row r="3508" spans="1:17">
      <c r="A3508" s="656" t="s">
        <v>13443</v>
      </c>
      <c r="B3508" s="657" t="s">
        <v>504</v>
      </c>
      <c r="C3508" s="656" t="s">
        <v>4609</v>
      </c>
      <c r="D3508" s="657" t="s">
        <v>13789</v>
      </c>
      <c r="E3508" s="657" t="s">
        <v>9458</v>
      </c>
      <c r="F3508" s="656" t="s">
        <v>540</v>
      </c>
      <c r="G3508" s="656" t="s">
        <v>569</v>
      </c>
      <c r="H3508" s="656" t="s">
        <v>540</v>
      </c>
      <c r="I3508" s="656"/>
      <c r="J3508" s="656"/>
      <c r="K3508" s="656"/>
      <c r="L3508" s="656"/>
      <c r="M3508" s="657"/>
      <c r="N3508" s="1482"/>
      <c r="O3508" s="656" t="s">
        <v>498</v>
      </c>
      <c r="P3508" s="656" t="s">
        <v>13052</v>
      </c>
      <c r="Q3508" s="656">
        <v>44216.76902777778</v>
      </c>
    </row>
    <row r="3509" spans="1:17">
      <c r="A3509" s="656" t="s">
        <v>13442</v>
      </c>
      <c r="B3509" s="657" t="s">
        <v>504</v>
      </c>
      <c r="C3509" s="656" t="s">
        <v>4611</v>
      </c>
      <c r="D3509" s="657" t="s">
        <v>13789</v>
      </c>
      <c r="E3509" s="657" t="s">
        <v>9458</v>
      </c>
      <c r="F3509" s="656" t="s">
        <v>540</v>
      </c>
      <c r="G3509" s="656" t="s">
        <v>569</v>
      </c>
      <c r="H3509" s="656" t="s">
        <v>540</v>
      </c>
      <c r="I3509" s="656"/>
      <c r="J3509" s="656"/>
      <c r="K3509" s="656"/>
      <c r="L3509" s="656"/>
      <c r="M3509" s="657"/>
      <c r="N3509" s="1482"/>
      <c r="O3509" s="656" t="s">
        <v>498</v>
      </c>
      <c r="P3509" s="656" t="s">
        <v>13052</v>
      </c>
      <c r="Q3509" s="656">
        <v>44216.769016203703</v>
      </c>
    </row>
    <row r="3510" spans="1:17">
      <c r="A3510" s="656" t="s">
        <v>13441</v>
      </c>
      <c r="B3510" s="657" t="s">
        <v>504</v>
      </c>
      <c r="C3510" s="656" t="s">
        <v>4613</v>
      </c>
      <c r="D3510" s="657" t="s">
        <v>13789</v>
      </c>
      <c r="E3510" s="657" t="s">
        <v>9458</v>
      </c>
      <c r="F3510" s="656" t="s">
        <v>540</v>
      </c>
      <c r="G3510" s="656" t="s">
        <v>569</v>
      </c>
      <c r="H3510" s="656" t="s">
        <v>540</v>
      </c>
      <c r="I3510" s="656"/>
      <c r="J3510" s="656"/>
      <c r="K3510" s="656"/>
      <c r="L3510" s="656"/>
      <c r="M3510" s="657"/>
      <c r="N3510" s="1482"/>
      <c r="O3510" s="656" t="s">
        <v>498</v>
      </c>
      <c r="P3510" s="656" t="s">
        <v>13052</v>
      </c>
      <c r="Q3510" s="656">
        <v>44216.769016203703</v>
      </c>
    </row>
    <row r="3511" spans="1:17">
      <c r="A3511" s="656" t="s">
        <v>13440</v>
      </c>
      <c r="B3511" s="657" t="s">
        <v>504</v>
      </c>
      <c r="C3511" s="656" t="s">
        <v>4615</v>
      </c>
      <c r="D3511" s="657" t="s">
        <v>13789</v>
      </c>
      <c r="E3511" s="657" t="s">
        <v>9458</v>
      </c>
      <c r="F3511" s="656" t="s">
        <v>540</v>
      </c>
      <c r="G3511" s="656" t="s">
        <v>569</v>
      </c>
      <c r="H3511" s="656" t="s">
        <v>540</v>
      </c>
      <c r="I3511" s="656"/>
      <c r="J3511" s="656"/>
      <c r="K3511" s="656"/>
      <c r="L3511" s="656"/>
      <c r="M3511" s="657"/>
      <c r="N3511" s="1482"/>
      <c r="O3511" s="656" t="s">
        <v>498</v>
      </c>
      <c r="P3511" s="656" t="s">
        <v>13052</v>
      </c>
      <c r="Q3511" s="656">
        <v>44216.769004629627</v>
      </c>
    </row>
    <row r="3512" spans="1:17">
      <c r="A3512" s="656" t="s">
        <v>13439</v>
      </c>
      <c r="B3512" s="657" t="s">
        <v>504</v>
      </c>
      <c r="C3512" s="656" t="s">
        <v>4617</v>
      </c>
      <c r="D3512" s="657" t="s">
        <v>13789</v>
      </c>
      <c r="E3512" s="657" t="s">
        <v>9458</v>
      </c>
      <c r="F3512" s="656" t="s">
        <v>540</v>
      </c>
      <c r="G3512" s="656" t="s">
        <v>569</v>
      </c>
      <c r="H3512" s="656" t="s">
        <v>540</v>
      </c>
      <c r="I3512" s="656"/>
      <c r="J3512" s="656"/>
      <c r="K3512" s="656"/>
      <c r="L3512" s="656"/>
      <c r="M3512" s="657"/>
      <c r="N3512" s="1482"/>
      <c r="O3512" s="656" t="s">
        <v>498</v>
      </c>
      <c r="P3512" s="656" t="s">
        <v>13052</v>
      </c>
      <c r="Q3512" s="656">
        <v>44216.769004629627</v>
      </c>
    </row>
    <row r="3513" spans="1:17">
      <c r="A3513" s="656" t="s">
        <v>13438</v>
      </c>
      <c r="B3513" s="657" t="s">
        <v>504</v>
      </c>
      <c r="C3513" s="656" t="s">
        <v>1601</v>
      </c>
      <c r="D3513" s="657" t="s">
        <v>13789</v>
      </c>
      <c r="E3513" s="657" t="s">
        <v>9458</v>
      </c>
      <c r="F3513" s="656" t="s">
        <v>540</v>
      </c>
      <c r="G3513" s="656" t="s">
        <v>569</v>
      </c>
      <c r="H3513" s="656" t="s">
        <v>540</v>
      </c>
      <c r="I3513" s="656"/>
      <c r="J3513" s="656"/>
      <c r="K3513" s="656"/>
      <c r="L3513" s="656"/>
      <c r="M3513" s="657"/>
      <c r="N3513" s="1482"/>
      <c r="O3513" s="656" t="s">
        <v>498</v>
      </c>
      <c r="P3513" s="656" t="s">
        <v>13052</v>
      </c>
      <c r="Q3513" s="656">
        <v>44216.768993055557</v>
      </c>
    </row>
    <row r="3514" spans="1:17">
      <c r="A3514" s="656" t="s">
        <v>13437</v>
      </c>
      <c r="B3514" s="657" t="s">
        <v>504</v>
      </c>
      <c r="C3514" s="656" t="s">
        <v>1597</v>
      </c>
      <c r="D3514" s="657" t="s">
        <v>13789</v>
      </c>
      <c r="E3514" s="657" t="s">
        <v>9458</v>
      </c>
      <c r="F3514" s="656" t="s">
        <v>540</v>
      </c>
      <c r="G3514" s="656" t="s">
        <v>569</v>
      </c>
      <c r="H3514" s="656" t="s">
        <v>540</v>
      </c>
      <c r="I3514" s="656"/>
      <c r="J3514" s="656"/>
      <c r="K3514" s="656"/>
      <c r="L3514" s="656"/>
      <c r="M3514" s="657"/>
      <c r="N3514" s="1482"/>
      <c r="O3514" s="656" t="s">
        <v>498</v>
      </c>
      <c r="P3514" s="656" t="s">
        <v>13052</v>
      </c>
      <c r="Q3514" s="656">
        <v>44216.76898148148</v>
      </c>
    </row>
    <row r="3515" spans="1:17">
      <c r="A3515" s="656" t="s">
        <v>13436</v>
      </c>
      <c r="B3515" s="657" t="s">
        <v>504</v>
      </c>
      <c r="C3515" s="656" t="s">
        <v>4621</v>
      </c>
      <c r="D3515" s="657" t="s">
        <v>13789</v>
      </c>
      <c r="E3515" s="657" t="s">
        <v>9458</v>
      </c>
      <c r="F3515" s="656" t="s">
        <v>540</v>
      </c>
      <c r="G3515" s="656" t="s">
        <v>569</v>
      </c>
      <c r="H3515" s="656" t="s">
        <v>540</v>
      </c>
      <c r="I3515" s="656"/>
      <c r="J3515" s="656"/>
      <c r="K3515" s="656"/>
      <c r="L3515" s="656"/>
      <c r="M3515" s="657"/>
      <c r="N3515" s="1482"/>
      <c r="O3515" s="656" t="s">
        <v>498</v>
      </c>
      <c r="P3515" s="656" t="s">
        <v>13052</v>
      </c>
      <c r="Q3515" s="656">
        <v>44216.76898148148</v>
      </c>
    </row>
    <row r="3516" spans="1:17">
      <c r="A3516" s="656" t="s">
        <v>13435</v>
      </c>
      <c r="B3516" s="657" t="s">
        <v>504</v>
      </c>
      <c r="C3516" s="656" t="s">
        <v>1599</v>
      </c>
      <c r="D3516" s="657" t="s">
        <v>13789</v>
      </c>
      <c r="E3516" s="657" t="s">
        <v>9458</v>
      </c>
      <c r="F3516" s="656" t="s">
        <v>540</v>
      </c>
      <c r="G3516" s="656" t="s">
        <v>569</v>
      </c>
      <c r="H3516" s="656" t="s">
        <v>540</v>
      </c>
      <c r="I3516" s="656"/>
      <c r="J3516" s="656"/>
      <c r="K3516" s="656"/>
      <c r="L3516" s="656"/>
      <c r="M3516" s="657"/>
      <c r="N3516" s="1482"/>
      <c r="O3516" s="656" t="s">
        <v>498</v>
      </c>
      <c r="P3516" s="656" t="s">
        <v>13052</v>
      </c>
      <c r="Q3516" s="656">
        <v>44216.76898148148</v>
      </c>
    </row>
    <row r="3517" spans="1:17">
      <c r="A3517" s="656" t="s">
        <v>13434</v>
      </c>
      <c r="B3517" s="657" t="s">
        <v>504</v>
      </c>
      <c r="C3517" s="656" t="s">
        <v>2034</v>
      </c>
      <c r="D3517" s="657" t="s">
        <v>13789</v>
      </c>
      <c r="E3517" s="657" t="s">
        <v>9458</v>
      </c>
      <c r="F3517" s="656" t="s">
        <v>540</v>
      </c>
      <c r="G3517" s="656" t="s">
        <v>569</v>
      </c>
      <c r="H3517" s="656" t="s">
        <v>540</v>
      </c>
      <c r="I3517" s="656"/>
      <c r="J3517" s="656"/>
      <c r="K3517" s="656"/>
      <c r="L3517" s="656"/>
      <c r="M3517" s="657"/>
      <c r="N3517" s="1482"/>
      <c r="O3517" s="656" t="s">
        <v>498</v>
      </c>
      <c r="P3517" s="656" t="s">
        <v>13052</v>
      </c>
      <c r="Q3517" s="656">
        <v>44216.768969907411</v>
      </c>
    </row>
    <row r="3518" spans="1:17">
      <c r="A3518" s="656" t="s">
        <v>13433</v>
      </c>
      <c r="B3518" s="657" t="s">
        <v>504</v>
      </c>
      <c r="C3518" s="656" t="s">
        <v>4725</v>
      </c>
      <c r="D3518" s="657" t="s">
        <v>13789</v>
      </c>
      <c r="E3518" s="657" t="s">
        <v>9458</v>
      </c>
      <c r="F3518" s="656" t="s">
        <v>540</v>
      </c>
      <c r="G3518" s="656" t="s">
        <v>569</v>
      </c>
      <c r="H3518" s="656" t="s">
        <v>540</v>
      </c>
      <c r="I3518" s="656"/>
      <c r="J3518" s="656"/>
      <c r="K3518" s="656"/>
      <c r="L3518" s="656"/>
      <c r="M3518" s="657"/>
      <c r="N3518" s="1482"/>
      <c r="O3518" s="656" t="s">
        <v>498</v>
      </c>
      <c r="P3518" s="656" t="s">
        <v>13052</v>
      </c>
      <c r="Q3518" s="656">
        <v>44216.768969907411</v>
      </c>
    </row>
    <row r="3519" spans="1:17">
      <c r="A3519" s="656" t="s">
        <v>13432</v>
      </c>
      <c r="B3519" s="657" t="s">
        <v>504</v>
      </c>
      <c r="C3519" s="656" t="s">
        <v>4624</v>
      </c>
      <c r="D3519" s="657" t="s">
        <v>13789</v>
      </c>
      <c r="E3519" s="657" t="s">
        <v>9458</v>
      </c>
      <c r="F3519" s="656" t="s">
        <v>540</v>
      </c>
      <c r="G3519" s="656" t="s">
        <v>569</v>
      </c>
      <c r="H3519" s="656" t="s">
        <v>540</v>
      </c>
      <c r="I3519" s="656"/>
      <c r="J3519" s="656"/>
      <c r="K3519" s="656"/>
      <c r="L3519" s="656"/>
      <c r="M3519" s="657"/>
      <c r="N3519" s="1482"/>
      <c r="O3519" s="656" t="s">
        <v>498</v>
      </c>
      <c r="P3519" s="656" t="s">
        <v>13052</v>
      </c>
      <c r="Q3519" s="656">
        <v>44216.768958333334</v>
      </c>
    </row>
    <row r="3520" spans="1:17">
      <c r="A3520" s="656" t="s">
        <v>13431</v>
      </c>
      <c r="B3520" s="657" t="s">
        <v>504</v>
      </c>
      <c r="C3520" s="656" t="s">
        <v>4690</v>
      </c>
      <c r="D3520" s="657" t="s">
        <v>13789</v>
      </c>
      <c r="E3520" s="657" t="s">
        <v>9458</v>
      </c>
      <c r="F3520" s="656" t="s">
        <v>540</v>
      </c>
      <c r="G3520" s="656" t="s">
        <v>569</v>
      </c>
      <c r="H3520" s="656" t="s">
        <v>540</v>
      </c>
      <c r="I3520" s="656"/>
      <c r="J3520" s="656"/>
      <c r="K3520" s="656"/>
      <c r="L3520" s="656"/>
      <c r="M3520" s="657"/>
      <c r="N3520" s="1482"/>
      <c r="O3520" s="656" t="s">
        <v>498</v>
      </c>
      <c r="P3520" s="656" t="s">
        <v>13052</v>
      </c>
      <c r="Q3520" s="656">
        <v>44216.768958333334</v>
      </c>
    </row>
    <row r="3521" spans="1:17">
      <c r="A3521" s="656" t="s">
        <v>13430</v>
      </c>
      <c r="B3521" s="657" t="s">
        <v>504</v>
      </c>
      <c r="C3521" s="656" t="s">
        <v>4726</v>
      </c>
      <c r="D3521" s="657" t="s">
        <v>13789</v>
      </c>
      <c r="E3521" s="657" t="s">
        <v>9458</v>
      </c>
      <c r="F3521" s="656" t="s">
        <v>540</v>
      </c>
      <c r="G3521" s="656" t="s">
        <v>569</v>
      </c>
      <c r="H3521" s="656" t="s">
        <v>540</v>
      </c>
      <c r="I3521" s="656"/>
      <c r="J3521" s="656"/>
      <c r="K3521" s="656"/>
      <c r="L3521" s="656"/>
      <c r="M3521" s="657"/>
      <c r="N3521" s="1482"/>
      <c r="O3521" s="656" t="s">
        <v>498</v>
      </c>
      <c r="P3521" s="656" t="s">
        <v>13052</v>
      </c>
      <c r="Q3521" s="656">
        <v>44216.768946759257</v>
      </c>
    </row>
    <row r="3522" spans="1:17">
      <c r="A3522" s="656" t="s">
        <v>13429</v>
      </c>
      <c r="B3522" s="657" t="s">
        <v>504</v>
      </c>
      <c r="C3522" s="656" t="s">
        <v>1632</v>
      </c>
      <c r="D3522" s="657" t="s">
        <v>13789</v>
      </c>
      <c r="E3522" s="657" t="s">
        <v>9458</v>
      </c>
      <c r="F3522" s="656" t="s">
        <v>540</v>
      </c>
      <c r="G3522" s="656" t="s">
        <v>4727</v>
      </c>
      <c r="H3522" s="656" t="s">
        <v>540</v>
      </c>
      <c r="I3522" s="656"/>
      <c r="J3522" s="656"/>
      <c r="K3522" s="656"/>
      <c r="L3522" s="656"/>
      <c r="M3522" s="657"/>
      <c r="N3522" s="1482"/>
      <c r="O3522" s="656" t="s">
        <v>498</v>
      </c>
      <c r="P3522" s="656" t="s">
        <v>13052</v>
      </c>
      <c r="Q3522" s="656">
        <v>44216.768946759257</v>
      </c>
    </row>
    <row r="3523" spans="1:17">
      <c r="A3523" s="656" t="s">
        <v>13428</v>
      </c>
      <c r="B3523" s="657" t="s">
        <v>504</v>
      </c>
      <c r="C3523" s="656" t="s">
        <v>4629</v>
      </c>
      <c r="D3523" s="657" t="s">
        <v>13789</v>
      </c>
      <c r="E3523" s="657" t="s">
        <v>9458</v>
      </c>
      <c r="F3523" s="656" t="s">
        <v>540</v>
      </c>
      <c r="G3523" s="656" t="s">
        <v>569</v>
      </c>
      <c r="H3523" s="656" t="s">
        <v>540</v>
      </c>
      <c r="I3523" s="656"/>
      <c r="J3523" s="656"/>
      <c r="K3523" s="656"/>
      <c r="L3523" s="656"/>
      <c r="M3523" s="657"/>
      <c r="N3523" s="1482"/>
      <c r="O3523" s="656" t="s">
        <v>498</v>
      </c>
      <c r="P3523" s="656" t="s">
        <v>13052</v>
      </c>
      <c r="Q3523" s="656">
        <v>44216.768935185188</v>
      </c>
    </row>
    <row r="3524" spans="1:17">
      <c r="A3524" s="656" t="s">
        <v>13427</v>
      </c>
      <c r="B3524" s="657" t="s">
        <v>504</v>
      </c>
      <c r="C3524" s="656" t="s">
        <v>1624</v>
      </c>
      <c r="D3524" s="657" t="s">
        <v>13789</v>
      </c>
      <c r="E3524" s="657" t="s">
        <v>9458</v>
      </c>
      <c r="F3524" s="656" t="s">
        <v>540</v>
      </c>
      <c r="G3524" s="656" t="s">
        <v>569</v>
      </c>
      <c r="H3524" s="656" t="s">
        <v>540</v>
      </c>
      <c r="I3524" s="656"/>
      <c r="J3524" s="656"/>
      <c r="K3524" s="656"/>
      <c r="L3524" s="656"/>
      <c r="M3524" s="657"/>
      <c r="N3524" s="1482"/>
      <c r="O3524" s="656" t="s">
        <v>498</v>
      </c>
      <c r="P3524" s="656" t="s">
        <v>13052</v>
      </c>
      <c r="Q3524" s="656">
        <v>44216.768946759257</v>
      </c>
    </row>
    <row r="3525" spans="1:17">
      <c r="A3525" s="656" t="s">
        <v>4728</v>
      </c>
      <c r="B3525" s="657" t="s">
        <v>531</v>
      </c>
      <c r="C3525" s="656" t="s">
        <v>4729</v>
      </c>
      <c r="D3525" s="657" t="s">
        <v>14978</v>
      </c>
      <c r="E3525" s="657" t="s">
        <v>9458</v>
      </c>
      <c r="F3525" s="656" t="s">
        <v>442</v>
      </c>
      <c r="G3525" s="656" t="s">
        <v>561</v>
      </c>
      <c r="H3525" s="656" t="s">
        <v>442</v>
      </c>
      <c r="I3525" s="656" t="s">
        <v>14976</v>
      </c>
      <c r="J3525" s="656" t="s">
        <v>12369</v>
      </c>
      <c r="K3525" s="656"/>
      <c r="L3525" s="656"/>
      <c r="M3525" s="657"/>
      <c r="N3525" s="1482"/>
      <c r="O3525" s="656" t="s">
        <v>498</v>
      </c>
      <c r="P3525" s="656" t="s">
        <v>13052</v>
      </c>
      <c r="Q3525" s="656">
        <v>44216.768935185188</v>
      </c>
    </row>
    <row r="3526" spans="1:17">
      <c r="A3526" s="656" t="s">
        <v>4730</v>
      </c>
      <c r="B3526" s="657" t="s">
        <v>531</v>
      </c>
      <c r="C3526" s="656" t="s">
        <v>4669</v>
      </c>
      <c r="D3526" s="657" t="s">
        <v>14977</v>
      </c>
      <c r="E3526" s="657"/>
      <c r="F3526" s="656" t="s">
        <v>442</v>
      </c>
      <c r="G3526" s="656" t="s">
        <v>561</v>
      </c>
      <c r="H3526" s="656" t="s">
        <v>442</v>
      </c>
      <c r="I3526" s="656" t="s">
        <v>14976</v>
      </c>
      <c r="J3526" s="656" t="s">
        <v>12369</v>
      </c>
      <c r="K3526" s="656" t="s">
        <v>1058</v>
      </c>
      <c r="L3526" s="656"/>
      <c r="M3526" s="657"/>
      <c r="N3526" s="1482"/>
      <c r="O3526" s="656" t="s">
        <v>498</v>
      </c>
      <c r="P3526" s="656" t="s">
        <v>13052</v>
      </c>
      <c r="Q3526" s="656">
        <v>44216.768923611111</v>
      </c>
    </row>
    <row r="3527" spans="1:17">
      <c r="A3527" s="656" t="s">
        <v>4731</v>
      </c>
      <c r="B3527" s="657"/>
      <c r="C3527" s="656" t="s">
        <v>4732</v>
      </c>
      <c r="D3527" s="657" t="s">
        <v>14977</v>
      </c>
      <c r="E3527" s="657"/>
      <c r="F3527" s="656"/>
      <c r="G3527" s="656"/>
      <c r="H3527" s="656"/>
      <c r="I3527" s="656" t="s">
        <v>14976</v>
      </c>
      <c r="J3527" s="656"/>
      <c r="K3527" s="656"/>
      <c r="L3527" s="656" t="s">
        <v>4731</v>
      </c>
      <c r="M3527" s="657"/>
      <c r="N3527" s="1482"/>
      <c r="O3527" s="656" t="s">
        <v>498</v>
      </c>
      <c r="P3527" s="656" t="s">
        <v>13052</v>
      </c>
      <c r="Q3527" s="656">
        <v>44216.768923611111</v>
      </c>
    </row>
    <row r="3528" spans="1:17">
      <c r="A3528" s="656" t="s">
        <v>4733</v>
      </c>
      <c r="B3528" s="657"/>
      <c r="C3528" s="656" t="s">
        <v>4734</v>
      </c>
      <c r="D3528" s="657" t="s">
        <v>14977</v>
      </c>
      <c r="E3528" s="657"/>
      <c r="F3528" s="656"/>
      <c r="G3528" s="656"/>
      <c r="H3528" s="656"/>
      <c r="I3528" s="656" t="s">
        <v>14976</v>
      </c>
      <c r="J3528" s="656"/>
      <c r="K3528" s="656"/>
      <c r="L3528" s="656" t="s">
        <v>4733</v>
      </c>
      <c r="M3528" s="657"/>
      <c r="N3528" s="1482"/>
      <c r="O3528" s="656" t="s">
        <v>498</v>
      </c>
      <c r="P3528" s="656" t="s">
        <v>13052</v>
      </c>
      <c r="Q3528" s="656">
        <v>44216.768912037034</v>
      </c>
    </row>
    <row r="3529" spans="1:17">
      <c r="A3529" s="656" t="s">
        <v>4735</v>
      </c>
      <c r="B3529" s="657"/>
      <c r="C3529" s="656" t="s">
        <v>4736</v>
      </c>
      <c r="D3529" s="657" t="s">
        <v>14977</v>
      </c>
      <c r="E3529" s="657"/>
      <c r="F3529" s="656"/>
      <c r="G3529" s="656"/>
      <c r="H3529" s="656"/>
      <c r="I3529" s="656" t="s">
        <v>14976</v>
      </c>
      <c r="J3529" s="656"/>
      <c r="K3529" s="656"/>
      <c r="L3529" s="656" t="s">
        <v>4735</v>
      </c>
      <c r="M3529" s="657"/>
      <c r="N3529" s="1482"/>
      <c r="O3529" s="656" t="s">
        <v>498</v>
      </c>
      <c r="P3529" s="656" t="s">
        <v>13052</v>
      </c>
      <c r="Q3529" s="656">
        <v>44216.768912037034</v>
      </c>
    </row>
    <row r="3530" spans="1:17">
      <c r="A3530" s="656" t="s">
        <v>4737</v>
      </c>
      <c r="B3530" s="657"/>
      <c r="C3530" s="656" t="s">
        <v>4738</v>
      </c>
      <c r="D3530" s="657" t="s">
        <v>14977</v>
      </c>
      <c r="E3530" s="657"/>
      <c r="F3530" s="656"/>
      <c r="G3530" s="656"/>
      <c r="H3530" s="656"/>
      <c r="I3530" s="656" t="s">
        <v>14976</v>
      </c>
      <c r="J3530" s="656"/>
      <c r="K3530" s="656"/>
      <c r="L3530" s="656" t="s">
        <v>4737</v>
      </c>
      <c r="M3530" s="657"/>
      <c r="N3530" s="1482"/>
      <c r="O3530" s="656" t="s">
        <v>498</v>
      </c>
      <c r="P3530" s="656" t="s">
        <v>13052</v>
      </c>
      <c r="Q3530" s="656">
        <v>44216.768912037034</v>
      </c>
    </row>
    <row r="3531" spans="1:17">
      <c r="A3531" s="656" t="s">
        <v>4739</v>
      </c>
      <c r="B3531" s="657"/>
      <c r="C3531" s="656" t="s">
        <v>4740</v>
      </c>
      <c r="D3531" s="657" t="s">
        <v>1239</v>
      </c>
      <c r="E3531" s="657"/>
      <c r="F3531" s="656" t="s">
        <v>1394</v>
      </c>
      <c r="G3531" s="656" t="s">
        <v>3731</v>
      </c>
      <c r="H3531" s="656" t="s">
        <v>1394</v>
      </c>
      <c r="I3531" s="656" t="s">
        <v>14976</v>
      </c>
      <c r="J3531" s="656"/>
      <c r="K3531" s="656"/>
      <c r="L3531" s="656" t="s">
        <v>4743</v>
      </c>
      <c r="M3531" s="657"/>
      <c r="N3531" s="1482"/>
      <c r="O3531" s="656" t="s">
        <v>498</v>
      </c>
      <c r="P3531" s="656" t="s">
        <v>13052</v>
      </c>
      <c r="Q3531" s="656">
        <v>44216.768900462965</v>
      </c>
    </row>
    <row r="3532" spans="1:17">
      <c r="A3532" s="656" t="s">
        <v>4741</v>
      </c>
      <c r="B3532" s="657"/>
      <c r="C3532" s="656" t="s">
        <v>4742</v>
      </c>
      <c r="D3532" s="657" t="s">
        <v>1239</v>
      </c>
      <c r="E3532" s="657"/>
      <c r="F3532" s="656" t="s">
        <v>1394</v>
      </c>
      <c r="G3532" s="656" t="s">
        <v>3731</v>
      </c>
      <c r="H3532" s="656" t="s">
        <v>1394</v>
      </c>
      <c r="I3532" s="656" t="s">
        <v>14976</v>
      </c>
      <c r="J3532" s="656"/>
      <c r="K3532" s="656"/>
      <c r="L3532" s="656" t="s">
        <v>4743</v>
      </c>
      <c r="M3532" s="657"/>
      <c r="N3532" s="1482"/>
      <c r="O3532" s="656" t="s">
        <v>498</v>
      </c>
      <c r="P3532" s="656" t="s">
        <v>13052</v>
      </c>
      <c r="Q3532" s="656">
        <v>44216.768900462965</v>
      </c>
    </row>
    <row r="3533" spans="1:17">
      <c r="A3533" s="656" t="s">
        <v>4743</v>
      </c>
      <c r="B3533" s="657" t="s">
        <v>531</v>
      </c>
      <c r="C3533" s="656" t="s">
        <v>4744</v>
      </c>
      <c r="D3533" s="657" t="s">
        <v>14977</v>
      </c>
      <c r="E3533" s="657"/>
      <c r="F3533" s="656" t="s">
        <v>1394</v>
      </c>
      <c r="G3533" s="656" t="s">
        <v>3731</v>
      </c>
      <c r="H3533" s="656" t="s">
        <v>1394</v>
      </c>
      <c r="I3533" s="656" t="s">
        <v>14976</v>
      </c>
      <c r="J3533" s="656" t="s">
        <v>532</v>
      </c>
      <c r="K3533" s="656"/>
      <c r="L3533" s="656" t="s">
        <v>4743</v>
      </c>
      <c r="M3533" s="657"/>
      <c r="N3533" s="1482"/>
      <c r="O3533" s="656" t="s">
        <v>498</v>
      </c>
      <c r="P3533" s="656" t="s">
        <v>13052</v>
      </c>
      <c r="Q3533" s="656">
        <v>44216.768900462965</v>
      </c>
    </row>
    <row r="3534" spans="1:17">
      <c r="A3534" s="656" t="s">
        <v>4745</v>
      </c>
      <c r="B3534" s="657" t="s">
        <v>531</v>
      </c>
      <c r="C3534" s="656" t="s">
        <v>4746</v>
      </c>
      <c r="D3534" s="657" t="s">
        <v>14977</v>
      </c>
      <c r="E3534" s="657"/>
      <c r="F3534" s="656" t="s">
        <v>1394</v>
      </c>
      <c r="G3534" s="656" t="s">
        <v>3731</v>
      </c>
      <c r="H3534" s="656" t="s">
        <v>1394</v>
      </c>
      <c r="I3534" s="656" t="s">
        <v>14976</v>
      </c>
      <c r="J3534" s="656" t="s">
        <v>532</v>
      </c>
      <c r="K3534" s="656"/>
      <c r="L3534" s="656" t="s">
        <v>4745</v>
      </c>
      <c r="M3534" s="657"/>
      <c r="N3534" s="1482"/>
      <c r="O3534" s="656" t="s">
        <v>498</v>
      </c>
      <c r="P3534" s="656" t="s">
        <v>13052</v>
      </c>
      <c r="Q3534" s="656">
        <v>44216.768888888888</v>
      </c>
    </row>
    <row r="3535" spans="1:17">
      <c r="A3535" s="656" t="s">
        <v>4747</v>
      </c>
      <c r="B3535" s="657" t="s">
        <v>504</v>
      </c>
      <c r="C3535" s="656" t="s">
        <v>4748</v>
      </c>
      <c r="D3535" s="657"/>
      <c r="E3535" s="657" t="s">
        <v>7439</v>
      </c>
      <c r="F3535" s="656" t="s">
        <v>540</v>
      </c>
      <c r="G3535" s="656" t="s">
        <v>625</v>
      </c>
      <c r="H3535" s="656" t="s">
        <v>540</v>
      </c>
      <c r="I3535" s="656"/>
      <c r="J3535" s="656"/>
      <c r="K3535" s="656"/>
      <c r="L3535" s="656"/>
      <c r="M3535" s="657"/>
      <c r="N3535" s="1482"/>
      <c r="O3535" s="656" t="s">
        <v>498</v>
      </c>
      <c r="P3535" s="656" t="s">
        <v>13052</v>
      </c>
      <c r="Q3535" s="656">
        <v>44216.768888888888</v>
      </c>
    </row>
    <row r="3536" spans="1:17">
      <c r="A3536" s="656" t="s">
        <v>4749</v>
      </c>
      <c r="B3536" s="657" t="s">
        <v>531</v>
      </c>
      <c r="C3536" s="656" t="s">
        <v>4750</v>
      </c>
      <c r="D3536" s="657" t="s">
        <v>14978</v>
      </c>
      <c r="E3536" s="657"/>
      <c r="F3536" s="656" t="s">
        <v>1394</v>
      </c>
      <c r="G3536" s="656" t="s">
        <v>717</v>
      </c>
      <c r="H3536" s="656" t="s">
        <v>1394</v>
      </c>
      <c r="I3536" s="656" t="s">
        <v>14976</v>
      </c>
      <c r="J3536" s="656" t="s">
        <v>532</v>
      </c>
      <c r="K3536" s="656"/>
      <c r="L3536" s="656" t="s">
        <v>4757</v>
      </c>
      <c r="M3536" s="657"/>
      <c r="N3536" s="1482"/>
      <c r="O3536" s="656" t="s">
        <v>498</v>
      </c>
      <c r="P3536" s="656" t="s">
        <v>13052</v>
      </c>
      <c r="Q3536" s="656">
        <v>44216.768877314818</v>
      </c>
    </row>
    <row r="3537" spans="1:17">
      <c r="A3537" s="656" t="s">
        <v>4751</v>
      </c>
      <c r="B3537" s="657" t="s">
        <v>531</v>
      </c>
      <c r="C3537" s="656" t="s">
        <v>4752</v>
      </c>
      <c r="D3537" s="657" t="s">
        <v>14978</v>
      </c>
      <c r="E3537" s="657"/>
      <c r="F3537" s="656" t="s">
        <v>1394</v>
      </c>
      <c r="G3537" s="656" t="s">
        <v>717</v>
      </c>
      <c r="H3537" s="656" t="s">
        <v>1394</v>
      </c>
      <c r="I3537" s="656" t="s">
        <v>14976</v>
      </c>
      <c r="J3537" s="656" t="s">
        <v>532</v>
      </c>
      <c r="K3537" s="656"/>
      <c r="L3537" s="656" t="s">
        <v>4757</v>
      </c>
      <c r="M3537" s="657"/>
      <c r="N3537" s="1482"/>
      <c r="O3537" s="656" t="s">
        <v>498</v>
      </c>
      <c r="P3537" s="656" t="s">
        <v>13052</v>
      </c>
      <c r="Q3537" s="656">
        <v>44216.768877314818</v>
      </c>
    </row>
    <row r="3538" spans="1:17">
      <c r="A3538" s="656" t="s">
        <v>4753</v>
      </c>
      <c r="B3538" s="657" t="s">
        <v>531</v>
      </c>
      <c r="C3538" s="656" t="s">
        <v>4754</v>
      </c>
      <c r="D3538" s="657" t="s">
        <v>14978</v>
      </c>
      <c r="E3538" s="657"/>
      <c r="F3538" s="656" t="s">
        <v>1394</v>
      </c>
      <c r="G3538" s="656" t="s">
        <v>717</v>
      </c>
      <c r="H3538" s="656" t="s">
        <v>1394</v>
      </c>
      <c r="I3538" s="656" t="s">
        <v>14976</v>
      </c>
      <c r="J3538" s="656" t="s">
        <v>532</v>
      </c>
      <c r="K3538" s="656"/>
      <c r="L3538" s="656" t="s">
        <v>4757</v>
      </c>
      <c r="M3538" s="657"/>
      <c r="N3538" s="1482"/>
      <c r="O3538" s="656" t="s">
        <v>498</v>
      </c>
      <c r="P3538" s="656" t="s">
        <v>13052</v>
      </c>
      <c r="Q3538" s="656">
        <v>44216.768865740742</v>
      </c>
    </row>
    <row r="3539" spans="1:17">
      <c r="A3539" s="656" t="s">
        <v>4755</v>
      </c>
      <c r="B3539" s="657" t="s">
        <v>504</v>
      </c>
      <c r="C3539" s="656" t="s">
        <v>4756</v>
      </c>
      <c r="D3539" s="657"/>
      <c r="E3539" s="657"/>
      <c r="F3539" s="656" t="s">
        <v>1394</v>
      </c>
      <c r="G3539" s="656"/>
      <c r="H3539" s="656" t="s">
        <v>1394</v>
      </c>
      <c r="I3539" s="656"/>
      <c r="J3539" s="656"/>
      <c r="K3539" s="656"/>
      <c r="L3539" s="656"/>
      <c r="M3539" s="657"/>
      <c r="N3539" s="1482"/>
      <c r="O3539" s="656" t="s">
        <v>498</v>
      </c>
      <c r="P3539" s="656" t="s">
        <v>13052</v>
      </c>
      <c r="Q3539" s="656">
        <v>44216.768865740742</v>
      </c>
    </row>
    <row r="3540" spans="1:17">
      <c r="A3540" s="656" t="s">
        <v>4757</v>
      </c>
      <c r="B3540" s="657" t="s">
        <v>531</v>
      </c>
      <c r="C3540" s="656" t="s">
        <v>4758</v>
      </c>
      <c r="D3540" s="657" t="s">
        <v>14977</v>
      </c>
      <c r="E3540" s="657"/>
      <c r="F3540" s="656" t="s">
        <v>1394</v>
      </c>
      <c r="G3540" s="656" t="s">
        <v>717</v>
      </c>
      <c r="H3540" s="656" t="s">
        <v>1394</v>
      </c>
      <c r="I3540" s="656" t="s">
        <v>14976</v>
      </c>
      <c r="J3540" s="656" t="s">
        <v>532</v>
      </c>
      <c r="K3540" s="656"/>
      <c r="L3540" s="656" t="s">
        <v>4757</v>
      </c>
      <c r="M3540" s="657"/>
      <c r="N3540" s="1482"/>
      <c r="O3540" s="656" t="s">
        <v>498</v>
      </c>
      <c r="P3540" s="656" t="s">
        <v>13052</v>
      </c>
      <c r="Q3540" s="656">
        <v>44216.768854166665</v>
      </c>
    </row>
    <row r="3541" spans="1:17">
      <c r="A3541" s="656" t="s">
        <v>4759</v>
      </c>
      <c r="B3541" s="657" t="s">
        <v>531</v>
      </c>
      <c r="C3541" s="656" t="s">
        <v>4760</v>
      </c>
      <c r="D3541" s="657" t="s">
        <v>14977</v>
      </c>
      <c r="E3541" s="657"/>
      <c r="F3541" s="656" t="s">
        <v>1300</v>
      </c>
      <c r="G3541" s="656" t="s">
        <v>717</v>
      </c>
      <c r="H3541" s="656" t="s">
        <v>1300</v>
      </c>
      <c r="I3541" s="656" t="s">
        <v>14976</v>
      </c>
      <c r="J3541" s="656" t="s">
        <v>532</v>
      </c>
      <c r="K3541" s="656"/>
      <c r="L3541" s="656" t="s">
        <v>4759</v>
      </c>
      <c r="M3541" s="657"/>
      <c r="N3541" s="1482"/>
      <c r="O3541" s="656" t="s">
        <v>498</v>
      </c>
      <c r="P3541" s="656" t="s">
        <v>13052</v>
      </c>
      <c r="Q3541" s="656">
        <v>44216.768842592595</v>
      </c>
    </row>
    <row r="3542" spans="1:17">
      <c r="A3542" s="656" t="s">
        <v>4761</v>
      </c>
      <c r="B3542" s="657" t="s">
        <v>531</v>
      </c>
      <c r="C3542" s="656" t="s">
        <v>4762</v>
      </c>
      <c r="D3542" s="657" t="s">
        <v>14977</v>
      </c>
      <c r="E3542" s="657"/>
      <c r="F3542" s="656" t="s">
        <v>1394</v>
      </c>
      <c r="G3542" s="656" t="s">
        <v>717</v>
      </c>
      <c r="H3542" s="656" t="s">
        <v>1394</v>
      </c>
      <c r="I3542" s="656" t="s">
        <v>14976</v>
      </c>
      <c r="J3542" s="656" t="s">
        <v>532</v>
      </c>
      <c r="K3542" s="656"/>
      <c r="L3542" s="656" t="s">
        <v>4761</v>
      </c>
      <c r="M3542" s="657"/>
      <c r="N3542" s="1482"/>
      <c r="O3542" s="656" t="s">
        <v>498</v>
      </c>
      <c r="P3542" s="656" t="s">
        <v>13052</v>
      </c>
      <c r="Q3542" s="656">
        <v>44216.768831018519</v>
      </c>
    </row>
    <row r="3543" spans="1:17">
      <c r="A3543" s="656" t="s">
        <v>4763</v>
      </c>
      <c r="B3543" s="657" t="s">
        <v>531</v>
      </c>
      <c r="C3543" s="656" t="s">
        <v>4764</v>
      </c>
      <c r="D3543" s="657" t="s">
        <v>14977</v>
      </c>
      <c r="E3543" s="657"/>
      <c r="F3543" s="656" t="s">
        <v>1394</v>
      </c>
      <c r="G3543" s="656" t="s">
        <v>717</v>
      </c>
      <c r="H3543" s="656" t="s">
        <v>1394</v>
      </c>
      <c r="I3543" s="656" t="s">
        <v>14976</v>
      </c>
      <c r="J3543" s="656" t="s">
        <v>532</v>
      </c>
      <c r="K3543" s="656"/>
      <c r="L3543" s="656" t="s">
        <v>4763</v>
      </c>
      <c r="M3543" s="657"/>
      <c r="N3543" s="1482"/>
      <c r="O3543" s="656" t="s">
        <v>498</v>
      </c>
      <c r="P3543" s="656" t="s">
        <v>13052</v>
      </c>
      <c r="Q3543" s="656">
        <v>44216.768831018519</v>
      </c>
    </row>
    <row r="3544" spans="1:17">
      <c r="A3544" s="656" t="s">
        <v>4765</v>
      </c>
      <c r="B3544" s="657" t="s">
        <v>504</v>
      </c>
      <c r="C3544" s="656" t="s">
        <v>4766</v>
      </c>
      <c r="D3544" s="657"/>
      <c r="E3544" s="657"/>
      <c r="F3544" s="656" t="s">
        <v>1394</v>
      </c>
      <c r="G3544" s="656"/>
      <c r="H3544" s="656" t="s">
        <v>1394</v>
      </c>
      <c r="I3544" s="656"/>
      <c r="J3544" s="656"/>
      <c r="K3544" s="656"/>
      <c r="L3544" s="656"/>
      <c r="M3544" s="657"/>
      <c r="N3544" s="1482"/>
      <c r="O3544" s="656" t="s">
        <v>498</v>
      </c>
      <c r="P3544" s="656" t="s">
        <v>13052</v>
      </c>
      <c r="Q3544" s="656">
        <v>44216.768831018519</v>
      </c>
    </row>
    <row r="3545" spans="1:17">
      <c r="A3545" s="656" t="s">
        <v>4767</v>
      </c>
      <c r="B3545" s="657"/>
      <c r="C3545" s="656" t="s">
        <v>4768</v>
      </c>
      <c r="D3545" s="657" t="s">
        <v>14977</v>
      </c>
      <c r="E3545" s="657"/>
      <c r="F3545" s="656"/>
      <c r="G3545" s="656"/>
      <c r="H3545" s="656"/>
      <c r="I3545" s="656" t="s">
        <v>14976</v>
      </c>
      <c r="J3545" s="656"/>
      <c r="K3545" s="656"/>
      <c r="L3545" s="656" t="s">
        <v>4767</v>
      </c>
      <c r="M3545" s="657"/>
      <c r="N3545" s="1482"/>
      <c r="O3545" s="656" t="s">
        <v>498</v>
      </c>
      <c r="P3545" s="656" t="s">
        <v>13052</v>
      </c>
      <c r="Q3545" s="656">
        <v>44216.768819444442</v>
      </c>
    </row>
    <row r="3546" spans="1:17">
      <c r="A3546" s="656" t="s">
        <v>4769</v>
      </c>
      <c r="B3546" s="657" t="s">
        <v>531</v>
      </c>
      <c r="C3546" s="656" t="s">
        <v>4488</v>
      </c>
      <c r="D3546" s="657" t="s">
        <v>14977</v>
      </c>
      <c r="E3546" s="657"/>
      <c r="F3546" s="656" t="s">
        <v>472</v>
      </c>
      <c r="G3546" s="656" t="s">
        <v>1395</v>
      </c>
      <c r="H3546" s="656" t="s">
        <v>472</v>
      </c>
      <c r="I3546" s="656" t="s">
        <v>14976</v>
      </c>
      <c r="J3546" s="656" t="s">
        <v>12368</v>
      </c>
      <c r="K3546" s="656"/>
      <c r="L3546" s="656"/>
      <c r="M3546" s="657"/>
      <c r="N3546" s="1482"/>
      <c r="O3546" s="656" t="s">
        <v>498</v>
      </c>
      <c r="P3546" s="656" t="s">
        <v>13052</v>
      </c>
      <c r="Q3546" s="656">
        <v>44216.768819444442</v>
      </c>
    </row>
    <row r="3547" spans="1:17">
      <c r="A3547" s="656" t="s">
        <v>13423</v>
      </c>
      <c r="B3547" s="657" t="s">
        <v>202</v>
      </c>
      <c r="C3547" s="656" t="s">
        <v>13424</v>
      </c>
      <c r="D3547" s="657" t="s">
        <v>14978</v>
      </c>
      <c r="E3547" s="657"/>
      <c r="F3547" s="656" t="s">
        <v>472</v>
      </c>
      <c r="G3547" s="656" t="s">
        <v>541</v>
      </c>
      <c r="H3547" s="656" t="s">
        <v>472</v>
      </c>
      <c r="I3547" s="656" t="s">
        <v>14976</v>
      </c>
      <c r="J3547" s="656" t="s">
        <v>12368</v>
      </c>
      <c r="K3547" s="656"/>
      <c r="L3547" s="656" t="s">
        <v>4770</v>
      </c>
      <c r="M3547" s="657"/>
      <c r="N3547" s="1482"/>
      <c r="O3547" s="656" t="s">
        <v>498</v>
      </c>
      <c r="P3547" s="656" t="s">
        <v>13052</v>
      </c>
      <c r="Q3547" s="656">
        <v>44216.768807870372</v>
      </c>
    </row>
    <row r="3548" spans="1:17">
      <c r="A3548" s="656" t="s">
        <v>13419</v>
      </c>
      <c r="B3548" s="657" t="s">
        <v>202</v>
      </c>
      <c r="C3548" s="656" t="s">
        <v>13420</v>
      </c>
      <c r="D3548" s="657" t="s">
        <v>14978</v>
      </c>
      <c r="E3548" s="657"/>
      <c r="F3548" s="656" t="s">
        <v>472</v>
      </c>
      <c r="G3548" s="656" t="s">
        <v>541</v>
      </c>
      <c r="H3548" s="656" t="s">
        <v>472</v>
      </c>
      <c r="I3548" s="656" t="s">
        <v>14976</v>
      </c>
      <c r="J3548" s="656" t="s">
        <v>12368</v>
      </c>
      <c r="K3548" s="656"/>
      <c r="L3548" s="656" t="s">
        <v>4770</v>
      </c>
      <c r="M3548" s="657"/>
      <c r="N3548" s="1482"/>
      <c r="O3548" s="656" t="s">
        <v>498</v>
      </c>
      <c r="P3548" s="656" t="s">
        <v>13052</v>
      </c>
      <c r="Q3548" s="656">
        <v>44216.768807870372</v>
      </c>
    </row>
    <row r="3549" spans="1:17">
      <c r="A3549" s="656" t="s">
        <v>4770</v>
      </c>
      <c r="B3549" s="657" t="s">
        <v>531</v>
      </c>
      <c r="C3549" s="656" t="s">
        <v>4771</v>
      </c>
      <c r="D3549" s="657" t="s">
        <v>14977</v>
      </c>
      <c r="E3549" s="657"/>
      <c r="F3549" s="656" t="s">
        <v>2849</v>
      </c>
      <c r="G3549" s="656" t="s">
        <v>1395</v>
      </c>
      <c r="H3549" s="656" t="s">
        <v>1338</v>
      </c>
      <c r="I3549" s="656" t="s">
        <v>14976</v>
      </c>
      <c r="J3549" s="656" t="s">
        <v>532</v>
      </c>
      <c r="K3549" s="656"/>
      <c r="L3549" s="656" t="s">
        <v>4770</v>
      </c>
      <c r="M3549" s="657"/>
      <c r="N3549" s="1482"/>
      <c r="O3549" s="656" t="s">
        <v>498</v>
      </c>
      <c r="P3549" s="656" t="s">
        <v>13052</v>
      </c>
      <c r="Q3549" s="656">
        <v>44216.768807870372</v>
      </c>
    </row>
    <row r="3550" spans="1:17">
      <c r="A3550" s="656" t="s">
        <v>4772</v>
      </c>
      <c r="B3550" s="657" t="s">
        <v>531</v>
      </c>
      <c r="C3550" s="656" t="s">
        <v>4773</v>
      </c>
      <c r="D3550" s="657" t="s">
        <v>14977</v>
      </c>
      <c r="E3550" s="657"/>
      <c r="F3550" s="656" t="s">
        <v>472</v>
      </c>
      <c r="G3550" s="656" t="s">
        <v>1395</v>
      </c>
      <c r="H3550" s="656" t="s">
        <v>472</v>
      </c>
      <c r="I3550" s="656" t="s">
        <v>14976</v>
      </c>
      <c r="J3550" s="656" t="s">
        <v>12368</v>
      </c>
      <c r="K3550" s="656"/>
      <c r="L3550" s="656"/>
      <c r="M3550" s="657"/>
      <c r="N3550" s="1482"/>
      <c r="O3550" s="656" t="s">
        <v>498</v>
      </c>
      <c r="P3550" s="656" t="s">
        <v>13052</v>
      </c>
      <c r="Q3550" s="656">
        <v>44216.768796296295</v>
      </c>
    </row>
    <row r="3551" spans="1:17">
      <c r="A3551" s="656" t="s">
        <v>4774</v>
      </c>
      <c r="B3551" s="657" t="s">
        <v>531</v>
      </c>
      <c r="C3551" s="656" t="s">
        <v>4775</v>
      </c>
      <c r="D3551" s="657" t="s">
        <v>14977</v>
      </c>
      <c r="E3551" s="657"/>
      <c r="F3551" s="656" t="s">
        <v>472</v>
      </c>
      <c r="G3551" s="656" t="s">
        <v>1395</v>
      </c>
      <c r="H3551" s="656" t="s">
        <v>472</v>
      </c>
      <c r="I3551" s="656" t="s">
        <v>14976</v>
      </c>
      <c r="J3551" s="656" t="s">
        <v>12368</v>
      </c>
      <c r="K3551" s="656"/>
      <c r="L3551" s="656"/>
      <c r="M3551" s="657"/>
      <c r="N3551" s="1482"/>
      <c r="O3551" s="656" t="s">
        <v>498</v>
      </c>
      <c r="P3551" s="656" t="s">
        <v>13052</v>
      </c>
      <c r="Q3551" s="656">
        <v>44216.768784722219</v>
      </c>
    </row>
    <row r="3552" spans="1:17">
      <c r="A3552" s="656" t="s">
        <v>4776</v>
      </c>
      <c r="B3552" s="657" t="s">
        <v>504</v>
      </c>
      <c r="C3552" s="656" t="s">
        <v>4777</v>
      </c>
      <c r="D3552" s="657" t="s">
        <v>14977</v>
      </c>
      <c r="E3552" s="657"/>
      <c r="F3552" s="656"/>
      <c r="G3552" s="656"/>
      <c r="H3552" s="656"/>
      <c r="I3552" s="656"/>
      <c r="J3552" s="656"/>
      <c r="K3552" s="656"/>
      <c r="L3552" s="656"/>
      <c r="M3552" s="657"/>
      <c r="N3552" s="1482"/>
      <c r="O3552" s="656" t="s">
        <v>498</v>
      </c>
      <c r="P3552" s="656" t="s">
        <v>13052</v>
      </c>
      <c r="Q3552" s="656">
        <v>44216.768784722219</v>
      </c>
    </row>
    <row r="3553" spans="1:17">
      <c r="A3553" s="656" t="s">
        <v>4778</v>
      </c>
      <c r="B3553" s="657" t="s">
        <v>531</v>
      </c>
      <c r="C3553" s="656" t="s">
        <v>4779</v>
      </c>
      <c r="D3553" s="657" t="s">
        <v>14977</v>
      </c>
      <c r="E3553" s="657"/>
      <c r="F3553" s="656" t="s">
        <v>472</v>
      </c>
      <c r="G3553" s="656" t="s">
        <v>1395</v>
      </c>
      <c r="H3553" s="656" t="s">
        <v>472</v>
      </c>
      <c r="I3553" s="656" t="s">
        <v>14976</v>
      </c>
      <c r="J3553" s="656" t="s">
        <v>12368</v>
      </c>
      <c r="K3553" s="656"/>
      <c r="L3553" s="656"/>
      <c r="M3553" s="657"/>
      <c r="N3553" s="1482"/>
      <c r="O3553" s="656" t="s">
        <v>498</v>
      </c>
      <c r="P3553" s="656" t="s">
        <v>13052</v>
      </c>
      <c r="Q3553" s="656">
        <v>44216.768773148149</v>
      </c>
    </row>
    <row r="3554" spans="1:17">
      <c r="A3554" s="656" t="s">
        <v>4780</v>
      </c>
      <c r="B3554" s="657" t="s">
        <v>504</v>
      </c>
      <c r="C3554" s="656" t="s">
        <v>4781</v>
      </c>
      <c r="D3554" s="657" t="s">
        <v>14977</v>
      </c>
      <c r="E3554" s="657"/>
      <c r="F3554" s="656"/>
      <c r="G3554" s="656"/>
      <c r="H3554" s="656"/>
      <c r="I3554" s="656"/>
      <c r="J3554" s="656"/>
      <c r="K3554" s="656"/>
      <c r="L3554" s="656"/>
      <c r="M3554" s="657"/>
      <c r="N3554" s="1482"/>
      <c r="O3554" s="656" t="s">
        <v>498</v>
      </c>
      <c r="P3554" s="656" t="s">
        <v>13052</v>
      </c>
      <c r="Q3554" s="656">
        <v>44216.768773148149</v>
      </c>
    </row>
    <row r="3555" spans="1:17">
      <c r="A3555" s="656" t="s">
        <v>4782</v>
      </c>
      <c r="B3555" s="657"/>
      <c r="C3555" s="656" t="s">
        <v>4783</v>
      </c>
      <c r="D3555" s="657" t="s">
        <v>14977</v>
      </c>
      <c r="E3555" s="657"/>
      <c r="F3555" s="656"/>
      <c r="G3555" s="656"/>
      <c r="H3555" s="656"/>
      <c r="I3555" s="656" t="s">
        <v>14976</v>
      </c>
      <c r="J3555" s="656"/>
      <c r="K3555" s="656"/>
      <c r="L3555" s="656" t="s">
        <v>4782</v>
      </c>
      <c r="M3555" s="657"/>
      <c r="N3555" s="1482"/>
      <c r="O3555" s="656" t="s">
        <v>498</v>
      </c>
      <c r="P3555" s="656" t="s">
        <v>13052</v>
      </c>
      <c r="Q3555" s="656">
        <v>44216.768761574072</v>
      </c>
    </row>
    <row r="3556" spans="1:17">
      <c r="A3556" s="656" t="s">
        <v>4784</v>
      </c>
      <c r="B3556" s="657"/>
      <c r="C3556" s="656" t="s">
        <v>4785</v>
      </c>
      <c r="D3556" s="657" t="s">
        <v>14977</v>
      </c>
      <c r="E3556" s="657"/>
      <c r="F3556" s="656"/>
      <c r="G3556" s="656"/>
      <c r="H3556" s="656"/>
      <c r="I3556" s="656" t="s">
        <v>14976</v>
      </c>
      <c r="J3556" s="656"/>
      <c r="K3556" s="656"/>
      <c r="L3556" s="656" t="s">
        <v>4784</v>
      </c>
      <c r="M3556" s="657"/>
      <c r="N3556" s="1482"/>
      <c r="O3556" s="656" t="s">
        <v>498</v>
      </c>
      <c r="P3556" s="656" t="s">
        <v>13052</v>
      </c>
      <c r="Q3556" s="656">
        <v>44216.768761574072</v>
      </c>
    </row>
    <row r="3557" spans="1:17">
      <c r="A3557" s="656" t="s">
        <v>4786</v>
      </c>
      <c r="B3557" s="657"/>
      <c r="C3557" s="656" t="s">
        <v>4787</v>
      </c>
      <c r="D3557" s="657" t="s">
        <v>14977</v>
      </c>
      <c r="E3557" s="657"/>
      <c r="F3557" s="656"/>
      <c r="G3557" s="656"/>
      <c r="H3557" s="656"/>
      <c r="I3557" s="656" t="s">
        <v>14976</v>
      </c>
      <c r="J3557" s="656"/>
      <c r="K3557" s="656"/>
      <c r="L3557" s="656" t="s">
        <v>4786</v>
      </c>
      <c r="M3557" s="657"/>
      <c r="N3557" s="1482"/>
      <c r="O3557" s="656" t="s">
        <v>498</v>
      </c>
      <c r="P3557" s="656" t="s">
        <v>13052</v>
      </c>
      <c r="Q3557" s="656">
        <v>44216.768750000003</v>
      </c>
    </row>
    <row r="3558" spans="1:17">
      <c r="A3558" s="656" t="s">
        <v>4788</v>
      </c>
      <c r="B3558" s="657" t="s">
        <v>504</v>
      </c>
      <c r="C3558" s="656" t="s">
        <v>4789</v>
      </c>
      <c r="D3558" s="657"/>
      <c r="E3558" s="657"/>
      <c r="F3558" s="656" t="s">
        <v>505</v>
      </c>
      <c r="G3558" s="656"/>
      <c r="H3558" s="656" t="s">
        <v>505</v>
      </c>
      <c r="I3558" s="656"/>
      <c r="J3558" s="656"/>
      <c r="K3558" s="656"/>
      <c r="L3558" s="656"/>
      <c r="M3558" s="657"/>
      <c r="N3558" s="1482"/>
      <c r="O3558" s="656" t="s">
        <v>498</v>
      </c>
      <c r="P3558" s="656" t="s">
        <v>13052</v>
      </c>
      <c r="Q3558" s="656">
        <v>44216.768750000003</v>
      </c>
    </row>
    <row r="3559" spans="1:17">
      <c r="A3559" s="656" t="s">
        <v>4790</v>
      </c>
      <c r="B3559" s="657" t="s">
        <v>504</v>
      </c>
      <c r="C3559" s="656" t="s">
        <v>4791</v>
      </c>
      <c r="D3559" s="657"/>
      <c r="E3559" s="657"/>
      <c r="F3559" s="656" t="s">
        <v>505</v>
      </c>
      <c r="G3559" s="656"/>
      <c r="H3559" s="656" t="s">
        <v>505</v>
      </c>
      <c r="I3559" s="656"/>
      <c r="J3559" s="656"/>
      <c r="K3559" s="656"/>
      <c r="L3559" s="656"/>
      <c r="M3559" s="657"/>
      <c r="N3559" s="1482"/>
      <c r="O3559" s="656" t="s">
        <v>498</v>
      </c>
      <c r="P3559" s="656" t="s">
        <v>13052</v>
      </c>
      <c r="Q3559" s="656">
        <v>44216.768738425926</v>
      </c>
    </row>
    <row r="3560" spans="1:17">
      <c r="A3560" s="656" t="s">
        <v>4792</v>
      </c>
      <c r="B3560" s="657" t="s">
        <v>504</v>
      </c>
      <c r="C3560" s="656" t="s">
        <v>4793</v>
      </c>
      <c r="D3560" s="657"/>
      <c r="E3560" s="657"/>
      <c r="F3560" s="656" t="s">
        <v>505</v>
      </c>
      <c r="G3560" s="656"/>
      <c r="H3560" s="656" t="s">
        <v>505</v>
      </c>
      <c r="I3560" s="656"/>
      <c r="J3560" s="656"/>
      <c r="K3560" s="656"/>
      <c r="L3560" s="656"/>
      <c r="M3560" s="657"/>
      <c r="N3560" s="1482"/>
      <c r="O3560" s="656" t="s">
        <v>498</v>
      </c>
      <c r="P3560" s="656" t="s">
        <v>13052</v>
      </c>
      <c r="Q3560" s="656">
        <v>44216.768738425926</v>
      </c>
    </row>
    <row r="3561" spans="1:17">
      <c r="A3561" s="656" t="s">
        <v>4794</v>
      </c>
      <c r="B3561" s="657" t="s">
        <v>504</v>
      </c>
      <c r="C3561" s="656" t="s">
        <v>4795</v>
      </c>
      <c r="D3561" s="657"/>
      <c r="E3561" s="657"/>
      <c r="F3561" s="656" t="s">
        <v>505</v>
      </c>
      <c r="G3561" s="656"/>
      <c r="H3561" s="656" t="s">
        <v>505</v>
      </c>
      <c r="I3561" s="656"/>
      <c r="J3561" s="656"/>
      <c r="K3561" s="656"/>
      <c r="L3561" s="656"/>
      <c r="M3561" s="657"/>
      <c r="N3561" s="1482"/>
      <c r="O3561" s="656" t="s">
        <v>498</v>
      </c>
      <c r="P3561" s="656" t="s">
        <v>13052</v>
      </c>
      <c r="Q3561" s="656">
        <v>44216.768726851849</v>
      </c>
    </row>
    <row r="3562" spans="1:17">
      <c r="A3562" s="656" t="s">
        <v>4796</v>
      </c>
      <c r="B3562" s="657" t="s">
        <v>504</v>
      </c>
      <c r="C3562" s="656" t="s">
        <v>4797</v>
      </c>
      <c r="D3562" s="657"/>
      <c r="E3562" s="657"/>
      <c r="F3562" s="656" t="s">
        <v>505</v>
      </c>
      <c r="G3562" s="656"/>
      <c r="H3562" s="656" t="s">
        <v>505</v>
      </c>
      <c r="I3562" s="656"/>
      <c r="J3562" s="656"/>
      <c r="K3562" s="656"/>
      <c r="L3562" s="656"/>
      <c r="M3562" s="657"/>
      <c r="N3562" s="1482"/>
      <c r="O3562" s="656" t="s">
        <v>498</v>
      </c>
      <c r="P3562" s="656" t="s">
        <v>13052</v>
      </c>
      <c r="Q3562" s="656">
        <v>44216.768726851849</v>
      </c>
    </row>
    <row r="3563" spans="1:17">
      <c r="A3563" s="656" t="s">
        <v>4798</v>
      </c>
      <c r="B3563" s="657" t="s">
        <v>504</v>
      </c>
      <c r="C3563" s="656" t="s">
        <v>4799</v>
      </c>
      <c r="D3563" s="657"/>
      <c r="E3563" s="657"/>
      <c r="F3563" s="656" t="s">
        <v>505</v>
      </c>
      <c r="G3563" s="656"/>
      <c r="H3563" s="656" t="s">
        <v>505</v>
      </c>
      <c r="I3563" s="656"/>
      <c r="J3563" s="656"/>
      <c r="K3563" s="656"/>
      <c r="L3563" s="656"/>
      <c r="M3563" s="657"/>
      <c r="N3563" s="1482"/>
      <c r="O3563" s="656" t="s">
        <v>498</v>
      </c>
      <c r="P3563" s="656" t="s">
        <v>13052</v>
      </c>
      <c r="Q3563" s="656">
        <v>44216.76871527778</v>
      </c>
    </row>
    <row r="3564" spans="1:17">
      <c r="A3564" s="656" t="s">
        <v>4800</v>
      </c>
      <c r="B3564" s="657" t="s">
        <v>504</v>
      </c>
      <c r="C3564" s="656" t="s">
        <v>4801</v>
      </c>
      <c r="D3564" s="657"/>
      <c r="E3564" s="657"/>
      <c r="F3564" s="656" t="s">
        <v>505</v>
      </c>
      <c r="G3564" s="656"/>
      <c r="H3564" s="656" t="s">
        <v>505</v>
      </c>
      <c r="I3564" s="656"/>
      <c r="J3564" s="656"/>
      <c r="K3564" s="656"/>
      <c r="L3564" s="656"/>
      <c r="M3564" s="657"/>
      <c r="N3564" s="1482"/>
      <c r="O3564" s="656" t="s">
        <v>498</v>
      </c>
      <c r="P3564" s="656" t="s">
        <v>13052</v>
      </c>
      <c r="Q3564" s="656">
        <v>44216.76871527778</v>
      </c>
    </row>
    <row r="3565" spans="1:17">
      <c r="A3565" s="656" t="s">
        <v>4802</v>
      </c>
      <c r="B3565" s="657" t="s">
        <v>504</v>
      </c>
      <c r="C3565" s="656" t="s">
        <v>4803</v>
      </c>
      <c r="D3565" s="657"/>
      <c r="E3565" s="657"/>
      <c r="F3565" s="656" t="s">
        <v>505</v>
      </c>
      <c r="G3565" s="656"/>
      <c r="H3565" s="656" t="s">
        <v>505</v>
      </c>
      <c r="I3565" s="656"/>
      <c r="J3565" s="656"/>
      <c r="K3565" s="656"/>
      <c r="L3565" s="656"/>
      <c r="M3565" s="657"/>
      <c r="N3565" s="1482"/>
      <c r="O3565" s="656" t="s">
        <v>498</v>
      </c>
      <c r="P3565" s="656" t="s">
        <v>13052</v>
      </c>
      <c r="Q3565" s="656">
        <v>44216.768703703703</v>
      </c>
    </row>
    <row r="3566" spans="1:17">
      <c r="A3566" s="656" t="s">
        <v>4804</v>
      </c>
      <c r="B3566" s="657" t="s">
        <v>504</v>
      </c>
      <c r="C3566" s="656" t="s">
        <v>4805</v>
      </c>
      <c r="D3566" s="657"/>
      <c r="E3566" s="657"/>
      <c r="F3566" s="656" t="s">
        <v>505</v>
      </c>
      <c r="G3566" s="656"/>
      <c r="H3566" s="656" t="s">
        <v>505</v>
      </c>
      <c r="I3566" s="656"/>
      <c r="J3566" s="656"/>
      <c r="K3566" s="656"/>
      <c r="L3566" s="656"/>
      <c r="M3566" s="657"/>
      <c r="N3566" s="1482"/>
      <c r="O3566" s="656" t="s">
        <v>498</v>
      </c>
      <c r="P3566" s="656" t="s">
        <v>13052</v>
      </c>
      <c r="Q3566" s="656">
        <v>44216.768703703703</v>
      </c>
    </row>
    <row r="3567" spans="1:17">
      <c r="A3567" s="656" t="s">
        <v>4806</v>
      </c>
      <c r="B3567" s="657" t="s">
        <v>504</v>
      </c>
      <c r="C3567" s="656" t="s">
        <v>4807</v>
      </c>
      <c r="D3567" s="657"/>
      <c r="E3567" s="657"/>
      <c r="F3567" s="656" t="s">
        <v>505</v>
      </c>
      <c r="G3567" s="656"/>
      <c r="H3567" s="656" t="s">
        <v>505</v>
      </c>
      <c r="I3567" s="656"/>
      <c r="J3567" s="656"/>
      <c r="K3567" s="656"/>
      <c r="L3567" s="656"/>
      <c r="M3567" s="657"/>
      <c r="N3567" s="1482"/>
      <c r="O3567" s="656" t="s">
        <v>498</v>
      </c>
      <c r="P3567" s="656" t="s">
        <v>13052</v>
      </c>
      <c r="Q3567" s="656">
        <v>44216.768692129626</v>
      </c>
    </row>
    <row r="3568" spans="1:17">
      <c r="A3568" s="656" t="s">
        <v>4808</v>
      </c>
      <c r="B3568" s="657" t="s">
        <v>504</v>
      </c>
      <c r="C3568" s="656" t="s">
        <v>4809</v>
      </c>
      <c r="D3568" s="657"/>
      <c r="E3568" s="657"/>
      <c r="F3568" s="656" t="s">
        <v>505</v>
      </c>
      <c r="G3568" s="656"/>
      <c r="H3568" s="656" t="s">
        <v>505</v>
      </c>
      <c r="I3568" s="656"/>
      <c r="J3568" s="656"/>
      <c r="K3568" s="656"/>
      <c r="L3568" s="656"/>
      <c r="M3568" s="657"/>
      <c r="N3568" s="1482"/>
      <c r="O3568" s="656" t="s">
        <v>498</v>
      </c>
      <c r="P3568" s="656" t="s">
        <v>13052</v>
      </c>
      <c r="Q3568" s="656">
        <v>44216.768692129626</v>
      </c>
    </row>
    <row r="3569" spans="1:17">
      <c r="A3569" s="656" t="s">
        <v>4810</v>
      </c>
      <c r="B3569" s="657" t="s">
        <v>504</v>
      </c>
      <c r="C3569" s="656" t="s">
        <v>4811</v>
      </c>
      <c r="D3569" s="657"/>
      <c r="E3569" s="657"/>
      <c r="F3569" s="656" t="s">
        <v>505</v>
      </c>
      <c r="G3569" s="656"/>
      <c r="H3569" s="656" t="s">
        <v>505</v>
      </c>
      <c r="I3569" s="656"/>
      <c r="J3569" s="656"/>
      <c r="K3569" s="656"/>
      <c r="L3569" s="656"/>
      <c r="M3569" s="657"/>
      <c r="N3569" s="1482"/>
      <c r="O3569" s="656" t="s">
        <v>498</v>
      </c>
      <c r="P3569" s="656" t="s">
        <v>13052</v>
      </c>
      <c r="Q3569" s="656">
        <v>44216.768680555557</v>
      </c>
    </row>
    <row r="3570" spans="1:17">
      <c r="A3570" s="656" t="s">
        <v>4812</v>
      </c>
      <c r="B3570" s="657" t="s">
        <v>504</v>
      </c>
      <c r="C3570" s="656" t="s">
        <v>4813</v>
      </c>
      <c r="D3570" s="657"/>
      <c r="E3570" s="657"/>
      <c r="F3570" s="656" t="s">
        <v>505</v>
      </c>
      <c r="G3570" s="656"/>
      <c r="H3570" s="656" t="s">
        <v>505</v>
      </c>
      <c r="I3570" s="656"/>
      <c r="J3570" s="656"/>
      <c r="K3570" s="656"/>
      <c r="L3570" s="656"/>
      <c r="M3570" s="657"/>
      <c r="N3570" s="1482"/>
      <c r="O3570" s="656" t="s">
        <v>498</v>
      </c>
      <c r="P3570" s="656" t="s">
        <v>13052</v>
      </c>
      <c r="Q3570" s="656">
        <v>44216.768680555557</v>
      </c>
    </row>
    <row r="3571" spans="1:17">
      <c r="A3571" s="656" t="s">
        <v>4814</v>
      </c>
      <c r="B3571" s="657" t="s">
        <v>504</v>
      </c>
      <c r="C3571" s="656" t="s">
        <v>4815</v>
      </c>
      <c r="D3571" s="657"/>
      <c r="E3571" s="657"/>
      <c r="F3571" s="656" t="s">
        <v>505</v>
      </c>
      <c r="G3571" s="656"/>
      <c r="H3571" s="656" t="s">
        <v>505</v>
      </c>
      <c r="I3571" s="656"/>
      <c r="J3571" s="656"/>
      <c r="K3571" s="656"/>
      <c r="L3571" s="656"/>
      <c r="M3571" s="657"/>
      <c r="N3571" s="1482"/>
      <c r="O3571" s="656" t="s">
        <v>498</v>
      </c>
      <c r="P3571" s="656" t="s">
        <v>13052</v>
      </c>
      <c r="Q3571" s="656">
        <v>44216.76866898148</v>
      </c>
    </row>
    <row r="3572" spans="1:17">
      <c r="A3572" s="656" t="s">
        <v>4816</v>
      </c>
      <c r="B3572" s="657" t="s">
        <v>504</v>
      </c>
      <c r="C3572" s="656" t="s">
        <v>4817</v>
      </c>
      <c r="D3572" s="657" t="s">
        <v>14978</v>
      </c>
      <c r="E3572" s="657"/>
      <c r="F3572" s="656"/>
      <c r="G3572" s="656" t="s">
        <v>3757</v>
      </c>
      <c r="H3572" s="656"/>
      <c r="I3572" s="656"/>
      <c r="J3572" s="656"/>
      <c r="K3572" s="656"/>
      <c r="L3572" s="656"/>
      <c r="M3572" s="657"/>
      <c r="N3572" s="1482"/>
      <c r="O3572" s="656" t="s">
        <v>498</v>
      </c>
      <c r="P3572" s="656" t="s">
        <v>13052</v>
      </c>
      <c r="Q3572" s="656">
        <v>44216.768657407411</v>
      </c>
    </row>
    <row r="3573" spans="1:17">
      <c r="A3573" s="656" t="s">
        <v>13414</v>
      </c>
      <c r="B3573" s="657" t="s">
        <v>202</v>
      </c>
      <c r="C3573" s="656" t="s">
        <v>13415</v>
      </c>
      <c r="D3573" s="657" t="s">
        <v>14978</v>
      </c>
      <c r="E3573" s="657"/>
      <c r="F3573" s="656"/>
      <c r="G3573" s="656" t="s">
        <v>3757</v>
      </c>
      <c r="H3573" s="656"/>
      <c r="I3573" s="656" t="s">
        <v>14976</v>
      </c>
      <c r="J3573" s="656"/>
      <c r="K3573" s="656"/>
      <c r="L3573" s="656" t="s">
        <v>13393</v>
      </c>
      <c r="M3573" s="657"/>
      <c r="N3573" s="1482"/>
      <c r="O3573" s="656" t="s">
        <v>498</v>
      </c>
      <c r="P3573" s="656" t="s">
        <v>13052</v>
      </c>
      <c r="Q3573" s="656">
        <v>44216.768657407411</v>
      </c>
    </row>
    <row r="3574" spans="1:17">
      <c r="A3574" s="656" t="s">
        <v>13412</v>
      </c>
      <c r="B3574" s="657" t="s">
        <v>202</v>
      </c>
      <c r="C3574" s="656" t="s">
        <v>13413</v>
      </c>
      <c r="D3574" s="657" t="s">
        <v>14978</v>
      </c>
      <c r="E3574" s="657"/>
      <c r="F3574" s="656"/>
      <c r="G3574" s="656" t="s">
        <v>3757</v>
      </c>
      <c r="H3574" s="656"/>
      <c r="I3574" s="656" t="s">
        <v>14976</v>
      </c>
      <c r="J3574" s="656"/>
      <c r="K3574" s="656"/>
      <c r="L3574" s="656" t="s">
        <v>13393</v>
      </c>
      <c r="M3574" s="657"/>
      <c r="N3574" s="1482"/>
      <c r="O3574" s="656" t="s">
        <v>498</v>
      </c>
      <c r="P3574" s="656" t="s">
        <v>13052</v>
      </c>
      <c r="Q3574" s="656">
        <v>44216.768645833334</v>
      </c>
    </row>
    <row r="3575" spans="1:17">
      <c r="A3575" s="656" t="s">
        <v>13410</v>
      </c>
      <c r="B3575" s="657" t="s">
        <v>202</v>
      </c>
      <c r="C3575" s="656" t="s">
        <v>13411</v>
      </c>
      <c r="D3575" s="657" t="s">
        <v>14978</v>
      </c>
      <c r="E3575" s="657"/>
      <c r="F3575" s="656"/>
      <c r="G3575" s="656" t="s">
        <v>3757</v>
      </c>
      <c r="H3575" s="656"/>
      <c r="I3575" s="656" t="s">
        <v>14976</v>
      </c>
      <c r="J3575" s="656"/>
      <c r="K3575" s="656"/>
      <c r="L3575" s="656" t="s">
        <v>13393</v>
      </c>
      <c r="M3575" s="657"/>
      <c r="N3575" s="1482"/>
      <c r="O3575" s="656" t="s">
        <v>498</v>
      </c>
      <c r="P3575" s="656" t="s">
        <v>13052</v>
      </c>
      <c r="Q3575" s="656">
        <v>44216.768645833334</v>
      </c>
    </row>
    <row r="3576" spans="1:17">
      <c r="A3576" s="656" t="s">
        <v>13408</v>
      </c>
      <c r="B3576" s="657" t="s">
        <v>202</v>
      </c>
      <c r="C3576" s="656" t="s">
        <v>13409</v>
      </c>
      <c r="D3576" s="657" t="s">
        <v>14978</v>
      </c>
      <c r="E3576" s="657"/>
      <c r="F3576" s="656"/>
      <c r="G3576" s="656" t="s">
        <v>3757</v>
      </c>
      <c r="H3576" s="656"/>
      <c r="I3576" s="656" t="s">
        <v>14976</v>
      </c>
      <c r="J3576" s="656"/>
      <c r="K3576" s="656"/>
      <c r="L3576" s="656" t="s">
        <v>13393</v>
      </c>
      <c r="M3576" s="657"/>
      <c r="N3576" s="1482"/>
      <c r="O3576" s="656" t="s">
        <v>498</v>
      </c>
      <c r="P3576" s="656" t="s">
        <v>13052</v>
      </c>
      <c r="Q3576" s="656">
        <v>44216.768634259257</v>
      </c>
    </row>
    <row r="3577" spans="1:17">
      <c r="A3577" s="656" t="s">
        <v>13406</v>
      </c>
      <c r="B3577" s="657" t="s">
        <v>202</v>
      </c>
      <c r="C3577" s="656" t="s">
        <v>13407</v>
      </c>
      <c r="D3577" s="657" t="s">
        <v>14978</v>
      </c>
      <c r="E3577" s="657"/>
      <c r="F3577" s="656"/>
      <c r="G3577" s="656" t="s">
        <v>3757</v>
      </c>
      <c r="H3577" s="656"/>
      <c r="I3577" s="656" t="s">
        <v>14976</v>
      </c>
      <c r="J3577" s="656"/>
      <c r="K3577" s="656"/>
      <c r="L3577" s="656" t="s">
        <v>13393</v>
      </c>
      <c r="M3577" s="657"/>
      <c r="N3577" s="1482"/>
      <c r="O3577" s="656" t="s">
        <v>498</v>
      </c>
      <c r="P3577" s="656" t="s">
        <v>13052</v>
      </c>
      <c r="Q3577" s="656">
        <v>44216.768634259257</v>
      </c>
    </row>
    <row r="3578" spans="1:17">
      <c r="A3578" s="656" t="s">
        <v>13402</v>
      </c>
      <c r="B3578" s="657" t="s">
        <v>202</v>
      </c>
      <c r="C3578" s="656" t="s">
        <v>13403</v>
      </c>
      <c r="D3578" s="657" t="s">
        <v>14978</v>
      </c>
      <c r="E3578" s="657"/>
      <c r="F3578" s="656"/>
      <c r="G3578" s="656" t="s">
        <v>3757</v>
      </c>
      <c r="H3578" s="656"/>
      <c r="I3578" s="656" t="s">
        <v>14976</v>
      </c>
      <c r="J3578" s="656"/>
      <c r="K3578" s="656"/>
      <c r="L3578" s="656" t="s">
        <v>13393</v>
      </c>
      <c r="M3578" s="657"/>
      <c r="N3578" s="1482"/>
      <c r="O3578" s="656" t="s">
        <v>498</v>
      </c>
      <c r="P3578" s="656" t="s">
        <v>13052</v>
      </c>
      <c r="Q3578" s="656">
        <v>44216.768622685187</v>
      </c>
    </row>
    <row r="3579" spans="1:17">
      <c r="A3579" s="656" t="s">
        <v>4818</v>
      </c>
      <c r="B3579" s="657" t="s">
        <v>504</v>
      </c>
      <c r="C3579" s="656" t="s">
        <v>4819</v>
      </c>
      <c r="D3579" s="657" t="s">
        <v>14978</v>
      </c>
      <c r="E3579" s="657"/>
      <c r="F3579" s="656"/>
      <c r="G3579" s="656" t="s">
        <v>3757</v>
      </c>
      <c r="H3579" s="656"/>
      <c r="I3579" s="656"/>
      <c r="J3579" s="656"/>
      <c r="K3579" s="656"/>
      <c r="L3579" s="656"/>
      <c r="M3579" s="657"/>
      <c r="N3579" s="1482"/>
      <c r="O3579" s="656" t="s">
        <v>498</v>
      </c>
      <c r="P3579" s="656" t="s">
        <v>13052</v>
      </c>
      <c r="Q3579" s="656">
        <v>44216.768622685187</v>
      </c>
    </row>
    <row r="3580" spans="1:17">
      <c r="A3580" s="656" t="s">
        <v>4820</v>
      </c>
      <c r="B3580" s="657" t="s">
        <v>504</v>
      </c>
      <c r="C3580" s="656" t="s">
        <v>4821</v>
      </c>
      <c r="D3580" s="657" t="s">
        <v>14978</v>
      </c>
      <c r="E3580" s="657"/>
      <c r="F3580" s="656"/>
      <c r="G3580" s="656" t="s">
        <v>3757</v>
      </c>
      <c r="H3580" s="656"/>
      <c r="I3580" s="656"/>
      <c r="J3580" s="656"/>
      <c r="K3580" s="656"/>
      <c r="L3580" s="656"/>
      <c r="M3580" s="657"/>
      <c r="N3580" s="1482"/>
      <c r="O3580" s="656" t="s">
        <v>498</v>
      </c>
      <c r="P3580" s="656" t="s">
        <v>13052</v>
      </c>
      <c r="Q3580" s="656">
        <v>44216.768622685187</v>
      </c>
    </row>
    <row r="3581" spans="1:17">
      <c r="A3581" s="656" t="s">
        <v>13400</v>
      </c>
      <c r="B3581" s="657" t="s">
        <v>202</v>
      </c>
      <c r="C3581" s="656" t="s">
        <v>13401</v>
      </c>
      <c r="D3581" s="657" t="s">
        <v>14978</v>
      </c>
      <c r="E3581" s="657"/>
      <c r="F3581" s="656"/>
      <c r="G3581" s="656" t="s">
        <v>3757</v>
      </c>
      <c r="H3581" s="656"/>
      <c r="I3581" s="656" t="s">
        <v>14976</v>
      </c>
      <c r="J3581" s="656"/>
      <c r="K3581" s="656"/>
      <c r="L3581" s="656" t="s">
        <v>13393</v>
      </c>
      <c r="M3581" s="657"/>
      <c r="N3581" s="1482"/>
      <c r="O3581" s="656" t="s">
        <v>498</v>
      </c>
      <c r="P3581" s="656" t="s">
        <v>13052</v>
      </c>
      <c r="Q3581" s="656">
        <v>44216.768611111111</v>
      </c>
    </row>
    <row r="3582" spans="1:17">
      <c r="A3582" s="656" t="s">
        <v>13399</v>
      </c>
      <c r="B3582" s="657" t="s">
        <v>504</v>
      </c>
      <c r="C3582" s="656" t="s">
        <v>4822</v>
      </c>
      <c r="D3582" s="657" t="s">
        <v>14978</v>
      </c>
      <c r="E3582" s="657" t="s">
        <v>7439</v>
      </c>
      <c r="F3582" s="656" t="s">
        <v>540</v>
      </c>
      <c r="G3582" s="656" t="s">
        <v>541</v>
      </c>
      <c r="H3582" s="656" t="s">
        <v>540</v>
      </c>
      <c r="I3582" s="656" t="s">
        <v>14976</v>
      </c>
      <c r="J3582" s="656"/>
      <c r="K3582" s="656"/>
      <c r="L3582" s="656" t="s">
        <v>15298</v>
      </c>
      <c r="M3582" s="657"/>
      <c r="N3582" s="1482"/>
      <c r="O3582" s="656" t="s">
        <v>498</v>
      </c>
      <c r="P3582" s="656" t="s">
        <v>13052</v>
      </c>
      <c r="Q3582" s="656">
        <v>44216.768599537034</v>
      </c>
    </row>
    <row r="3583" spans="1:17">
      <c r="A3583" s="656" t="s">
        <v>13398</v>
      </c>
      <c r="B3583" s="657" t="s">
        <v>504</v>
      </c>
      <c r="C3583" s="656" t="s">
        <v>4823</v>
      </c>
      <c r="D3583" s="657" t="s">
        <v>14978</v>
      </c>
      <c r="E3583" s="657" t="s">
        <v>7439</v>
      </c>
      <c r="F3583" s="656" t="s">
        <v>540</v>
      </c>
      <c r="G3583" s="656" t="s">
        <v>541</v>
      </c>
      <c r="H3583" s="656" t="s">
        <v>540</v>
      </c>
      <c r="I3583" s="656" t="s">
        <v>14976</v>
      </c>
      <c r="J3583" s="656"/>
      <c r="K3583" s="656"/>
      <c r="L3583" s="656" t="s">
        <v>15298</v>
      </c>
      <c r="M3583" s="657"/>
      <c r="N3583" s="1482"/>
      <c r="O3583" s="656" t="s">
        <v>498</v>
      </c>
      <c r="P3583" s="656" t="s">
        <v>13052</v>
      </c>
      <c r="Q3583" s="656">
        <v>44216.768599537034</v>
      </c>
    </row>
    <row r="3584" spans="1:17">
      <c r="A3584" s="656" t="s">
        <v>13397</v>
      </c>
      <c r="B3584" s="657" t="s">
        <v>504</v>
      </c>
      <c r="C3584" s="656" t="s">
        <v>4824</v>
      </c>
      <c r="D3584" s="657" t="s">
        <v>14978</v>
      </c>
      <c r="E3584" s="657" t="s">
        <v>7439</v>
      </c>
      <c r="F3584" s="656" t="s">
        <v>540</v>
      </c>
      <c r="G3584" s="656" t="s">
        <v>541</v>
      </c>
      <c r="H3584" s="656" t="s">
        <v>540</v>
      </c>
      <c r="I3584" s="656" t="s">
        <v>14976</v>
      </c>
      <c r="J3584" s="656"/>
      <c r="K3584" s="656"/>
      <c r="L3584" s="656" t="s">
        <v>15298</v>
      </c>
      <c r="M3584" s="657"/>
      <c r="N3584" s="1482"/>
      <c r="O3584" s="656" t="s">
        <v>498</v>
      </c>
      <c r="P3584" s="656" t="s">
        <v>13052</v>
      </c>
      <c r="Q3584" s="656">
        <v>44216.768587962964</v>
      </c>
    </row>
    <row r="3585" spans="1:17">
      <c r="A3585" s="656" t="s">
        <v>13396</v>
      </c>
      <c r="B3585" s="657" t="s">
        <v>504</v>
      </c>
      <c r="C3585" s="656" t="s">
        <v>4825</v>
      </c>
      <c r="D3585" s="657" t="s">
        <v>14978</v>
      </c>
      <c r="E3585" s="657" t="s">
        <v>7439</v>
      </c>
      <c r="F3585" s="656" t="s">
        <v>540</v>
      </c>
      <c r="G3585" s="656" t="s">
        <v>541</v>
      </c>
      <c r="H3585" s="656" t="s">
        <v>540</v>
      </c>
      <c r="I3585" s="656" t="s">
        <v>14976</v>
      </c>
      <c r="J3585" s="656"/>
      <c r="K3585" s="656"/>
      <c r="L3585" s="656" t="s">
        <v>15298</v>
      </c>
      <c r="M3585" s="657"/>
      <c r="N3585" s="1482"/>
      <c r="O3585" s="656" t="s">
        <v>498</v>
      </c>
      <c r="P3585" s="656" t="s">
        <v>13052</v>
      </c>
      <c r="Q3585" s="656">
        <v>44216.768576388888</v>
      </c>
    </row>
    <row r="3586" spans="1:17">
      <c r="A3586" s="656" t="s">
        <v>13395</v>
      </c>
      <c r="B3586" s="657" t="s">
        <v>504</v>
      </c>
      <c r="C3586" s="656" t="s">
        <v>4826</v>
      </c>
      <c r="D3586" s="657" t="s">
        <v>14978</v>
      </c>
      <c r="E3586" s="657" t="s">
        <v>7439</v>
      </c>
      <c r="F3586" s="656" t="s">
        <v>540</v>
      </c>
      <c r="G3586" s="656" t="s">
        <v>541</v>
      </c>
      <c r="H3586" s="656" t="s">
        <v>540</v>
      </c>
      <c r="I3586" s="656" t="s">
        <v>14976</v>
      </c>
      <c r="J3586" s="656"/>
      <c r="K3586" s="656"/>
      <c r="L3586" s="656" t="s">
        <v>15298</v>
      </c>
      <c r="M3586" s="657"/>
      <c r="N3586" s="1482"/>
      <c r="O3586" s="656" t="s">
        <v>498</v>
      </c>
      <c r="P3586" s="656" t="s">
        <v>13052</v>
      </c>
      <c r="Q3586" s="656">
        <v>44216.768576388888</v>
      </c>
    </row>
    <row r="3587" spans="1:17">
      <c r="A3587" s="656" t="s">
        <v>4827</v>
      </c>
      <c r="B3587" s="657" t="s">
        <v>504</v>
      </c>
      <c r="C3587" s="656" t="s">
        <v>4828</v>
      </c>
      <c r="D3587" s="657" t="s">
        <v>1239</v>
      </c>
      <c r="E3587" s="657"/>
      <c r="F3587" s="656"/>
      <c r="G3587" s="656" t="s">
        <v>3757</v>
      </c>
      <c r="H3587" s="656"/>
      <c r="I3587" s="656"/>
      <c r="J3587" s="656"/>
      <c r="K3587" s="656"/>
      <c r="L3587" s="656"/>
      <c r="M3587" s="657"/>
      <c r="N3587" s="1482"/>
      <c r="O3587" s="656" t="s">
        <v>498</v>
      </c>
      <c r="P3587" s="656" t="s">
        <v>13052</v>
      </c>
      <c r="Q3587" s="656">
        <v>44216.768564814818</v>
      </c>
    </row>
    <row r="3588" spans="1:17">
      <c r="A3588" s="656" t="s">
        <v>13393</v>
      </c>
      <c r="B3588" s="657" t="s">
        <v>202</v>
      </c>
      <c r="C3588" s="656" t="s">
        <v>13394</v>
      </c>
      <c r="D3588" s="657" t="s">
        <v>14977</v>
      </c>
      <c r="E3588" s="657"/>
      <c r="F3588" s="656" t="s">
        <v>472</v>
      </c>
      <c r="G3588" s="656"/>
      <c r="H3588" s="656" t="s">
        <v>472</v>
      </c>
      <c r="I3588" s="656" t="s">
        <v>14976</v>
      </c>
      <c r="J3588" s="656" t="s">
        <v>12368</v>
      </c>
      <c r="K3588" s="656"/>
      <c r="L3588" s="656" t="s">
        <v>13393</v>
      </c>
      <c r="M3588" s="657"/>
      <c r="N3588" s="1482"/>
      <c r="O3588" s="656" t="s">
        <v>498</v>
      </c>
      <c r="P3588" s="656" t="s">
        <v>13052</v>
      </c>
      <c r="Q3588" s="656">
        <v>44216.768564814818</v>
      </c>
    </row>
    <row r="3589" spans="1:17">
      <c r="A3589" s="656" t="s">
        <v>4829</v>
      </c>
      <c r="B3589" s="657"/>
      <c r="C3589" s="656" t="s">
        <v>4830</v>
      </c>
      <c r="D3589" s="657" t="s">
        <v>14977</v>
      </c>
      <c r="E3589" s="657"/>
      <c r="F3589" s="656"/>
      <c r="G3589" s="656"/>
      <c r="H3589" s="656"/>
      <c r="I3589" s="656" t="s">
        <v>14976</v>
      </c>
      <c r="J3589" s="656"/>
      <c r="K3589" s="656"/>
      <c r="L3589" s="656" t="s">
        <v>4829</v>
      </c>
      <c r="M3589" s="657"/>
      <c r="N3589" s="1482"/>
      <c r="O3589" s="656" t="s">
        <v>498</v>
      </c>
      <c r="P3589" s="656" t="s">
        <v>13052</v>
      </c>
      <c r="Q3589" s="656">
        <v>44216.768553240741</v>
      </c>
    </row>
    <row r="3590" spans="1:17">
      <c r="A3590" s="656" t="s">
        <v>4831</v>
      </c>
      <c r="B3590" s="657"/>
      <c r="C3590" s="656" t="s">
        <v>4832</v>
      </c>
      <c r="D3590" s="657" t="s">
        <v>14977</v>
      </c>
      <c r="E3590" s="657"/>
      <c r="F3590" s="656"/>
      <c r="G3590" s="656"/>
      <c r="H3590" s="656"/>
      <c r="I3590" s="656" t="s">
        <v>14976</v>
      </c>
      <c r="J3590" s="656"/>
      <c r="K3590" s="656"/>
      <c r="L3590" s="656" t="s">
        <v>4831</v>
      </c>
      <c r="M3590" s="657"/>
      <c r="N3590" s="1482"/>
      <c r="O3590" s="656" t="s">
        <v>498</v>
      </c>
      <c r="P3590" s="656" t="s">
        <v>13052</v>
      </c>
      <c r="Q3590" s="656">
        <v>44216.768541666665</v>
      </c>
    </row>
    <row r="3591" spans="1:17">
      <c r="A3591" s="656" t="s">
        <v>4833</v>
      </c>
      <c r="B3591" s="657"/>
      <c r="C3591" s="656" t="s">
        <v>4834</v>
      </c>
      <c r="D3591" s="657" t="s">
        <v>14977</v>
      </c>
      <c r="E3591" s="657"/>
      <c r="F3591" s="656"/>
      <c r="G3591" s="656"/>
      <c r="H3591" s="656"/>
      <c r="I3591" s="656" t="s">
        <v>14976</v>
      </c>
      <c r="J3591" s="656"/>
      <c r="K3591" s="656"/>
      <c r="L3591" s="656" t="s">
        <v>4833</v>
      </c>
      <c r="M3591" s="657"/>
      <c r="N3591" s="1482"/>
      <c r="O3591" s="656" t="s">
        <v>498</v>
      </c>
      <c r="P3591" s="656" t="s">
        <v>13052</v>
      </c>
      <c r="Q3591" s="656">
        <v>44216.768541666665</v>
      </c>
    </row>
    <row r="3592" spans="1:17">
      <c r="A3592" s="656" t="s">
        <v>4835</v>
      </c>
      <c r="B3592" s="657"/>
      <c r="C3592" s="656" t="s">
        <v>4836</v>
      </c>
      <c r="D3592" s="657" t="s">
        <v>14977</v>
      </c>
      <c r="E3592" s="657"/>
      <c r="F3592" s="656"/>
      <c r="G3592" s="656"/>
      <c r="H3592" s="656"/>
      <c r="I3592" s="656" t="s">
        <v>14976</v>
      </c>
      <c r="J3592" s="656"/>
      <c r="K3592" s="656"/>
      <c r="L3592" s="656" t="s">
        <v>4835</v>
      </c>
      <c r="M3592" s="657"/>
      <c r="N3592" s="1482"/>
      <c r="O3592" s="656" t="s">
        <v>498</v>
      </c>
      <c r="P3592" s="656" t="s">
        <v>13052</v>
      </c>
      <c r="Q3592" s="656">
        <v>44216.768530092595</v>
      </c>
    </row>
    <row r="3593" spans="1:17">
      <c r="A3593" s="656" t="s">
        <v>4837</v>
      </c>
      <c r="B3593" s="657" t="s">
        <v>202</v>
      </c>
      <c r="C3593" s="656" t="s">
        <v>4838</v>
      </c>
      <c r="D3593" s="657" t="s">
        <v>14977</v>
      </c>
      <c r="E3593" s="657"/>
      <c r="F3593" s="656" t="s">
        <v>655</v>
      </c>
      <c r="G3593" s="656" t="s">
        <v>4839</v>
      </c>
      <c r="H3593" s="656" t="s">
        <v>655</v>
      </c>
      <c r="I3593" s="656" t="s">
        <v>14976</v>
      </c>
      <c r="J3593" s="656" t="s">
        <v>15281</v>
      </c>
      <c r="K3593" s="656"/>
      <c r="L3593" s="656" t="s">
        <v>4837</v>
      </c>
      <c r="M3593" s="657"/>
      <c r="N3593" s="1482"/>
      <c r="O3593" s="656" t="s">
        <v>498</v>
      </c>
      <c r="P3593" s="656" t="s">
        <v>13052</v>
      </c>
      <c r="Q3593" s="656">
        <v>44216.768530092595</v>
      </c>
    </row>
    <row r="3594" spans="1:17">
      <c r="A3594" s="656" t="s">
        <v>4840</v>
      </c>
      <c r="B3594" s="657"/>
      <c r="C3594" s="656" t="s">
        <v>4841</v>
      </c>
      <c r="D3594" s="657" t="s">
        <v>14977</v>
      </c>
      <c r="E3594" s="657"/>
      <c r="F3594" s="656"/>
      <c r="G3594" s="656"/>
      <c r="H3594" s="656"/>
      <c r="I3594" s="656" t="s">
        <v>14976</v>
      </c>
      <c r="J3594" s="656"/>
      <c r="K3594" s="656"/>
      <c r="L3594" s="656" t="s">
        <v>4840</v>
      </c>
      <c r="M3594" s="657"/>
      <c r="N3594" s="1482"/>
      <c r="O3594" s="656" t="s">
        <v>498</v>
      </c>
      <c r="P3594" s="656" t="s">
        <v>13052</v>
      </c>
      <c r="Q3594" s="656">
        <v>44216.768518518518</v>
      </c>
    </row>
    <row r="3595" spans="1:17">
      <c r="A3595" s="656" t="s">
        <v>4842</v>
      </c>
      <c r="B3595" s="657"/>
      <c r="C3595" s="656" t="s">
        <v>4843</v>
      </c>
      <c r="D3595" s="657" t="s">
        <v>14977</v>
      </c>
      <c r="E3595" s="657"/>
      <c r="F3595" s="656"/>
      <c r="G3595" s="656"/>
      <c r="H3595" s="656"/>
      <c r="I3595" s="656" t="s">
        <v>14976</v>
      </c>
      <c r="J3595" s="656"/>
      <c r="K3595" s="656"/>
      <c r="L3595" s="656" t="s">
        <v>4842</v>
      </c>
      <c r="M3595" s="657"/>
      <c r="N3595" s="1482"/>
      <c r="O3595" s="656" t="s">
        <v>498</v>
      </c>
      <c r="P3595" s="656" t="s">
        <v>13052</v>
      </c>
      <c r="Q3595" s="656">
        <v>44216.768518518518</v>
      </c>
    </row>
    <row r="3596" spans="1:17">
      <c r="A3596" s="656" t="s">
        <v>4844</v>
      </c>
      <c r="B3596" s="657"/>
      <c r="C3596" s="656" t="s">
        <v>4845</v>
      </c>
      <c r="D3596" s="657" t="s">
        <v>14977</v>
      </c>
      <c r="E3596" s="657"/>
      <c r="F3596" s="656"/>
      <c r="G3596" s="656"/>
      <c r="H3596" s="656"/>
      <c r="I3596" s="656" t="s">
        <v>14976</v>
      </c>
      <c r="J3596" s="656"/>
      <c r="K3596" s="656"/>
      <c r="L3596" s="656" t="s">
        <v>4844</v>
      </c>
      <c r="M3596" s="657"/>
      <c r="N3596" s="1482"/>
      <c r="O3596" s="656" t="s">
        <v>498</v>
      </c>
      <c r="P3596" s="656" t="s">
        <v>13052</v>
      </c>
      <c r="Q3596" s="656">
        <v>44216.768506944441</v>
      </c>
    </row>
    <row r="3597" spans="1:17">
      <c r="A3597" s="656" t="s">
        <v>4846</v>
      </c>
      <c r="B3597" s="657"/>
      <c r="C3597" s="656" t="s">
        <v>4847</v>
      </c>
      <c r="D3597" s="657" t="s">
        <v>14977</v>
      </c>
      <c r="E3597" s="657"/>
      <c r="F3597" s="656"/>
      <c r="G3597" s="656"/>
      <c r="H3597" s="656"/>
      <c r="I3597" s="656" t="s">
        <v>14976</v>
      </c>
      <c r="J3597" s="656"/>
      <c r="K3597" s="656"/>
      <c r="L3597" s="656" t="s">
        <v>4846</v>
      </c>
      <c r="M3597" s="657"/>
      <c r="N3597" s="1482"/>
      <c r="O3597" s="656" t="s">
        <v>498</v>
      </c>
      <c r="P3597" s="656" t="s">
        <v>13052</v>
      </c>
      <c r="Q3597" s="656">
        <v>44216.768506944441</v>
      </c>
    </row>
    <row r="3598" spans="1:17">
      <c r="A3598" s="656" t="s">
        <v>4848</v>
      </c>
      <c r="B3598" s="657"/>
      <c r="C3598" s="656" t="s">
        <v>4849</v>
      </c>
      <c r="D3598" s="657" t="s">
        <v>14977</v>
      </c>
      <c r="E3598" s="657"/>
      <c r="F3598" s="656"/>
      <c r="G3598" s="656"/>
      <c r="H3598" s="656"/>
      <c r="I3598" s="656" t="s">
        <v>14976</v>
      </c>
      <c r="J3598" s="656"/>
      <c r="K3598" s="656"/>
      <c r="L3598" s="656" t="s">
        <v>4848</v>
      </c>
      <c r="M3598" s="657"/>
      <c r="N3598" s="1482"/>
      <c r="O3598" s="656" t="s">
        <v>498</v>
      </c>
      <c r="P3598" s="656" t="s">
        <v>13052</v>
      </c>
      <c r="Q3598" s="656">
        <v>44216.768506944441</v>
      </c>
    </row>
    <row r="3599" spans="1:17">
      <c r="A3599" s="656" t="s">
        <v>4850</v>
      </c>
      <c r="B3599" s="657"/>
      <c r="C3599" s="656" t="s">
        <v>4851</v>
      </c>
      <c r="D3599" s="657" t="s">
        <v>14977</v>
      </c>
      <c r="E3599" s="657"/>
      <c r="F3599" s="656"/>
      <c r="G3599" s="656"/>
      <c r="H3599" s="656"/>
      <c r="I3599" s="656" t="s">
        <v>14976</v>
      </c>
      <c r="J3599" s="656"/>
      <c r="K3599" s="656"/>
      <c r="L3599" s="656" t="s">
        <v>4850</v>
      </c>
      <c r="M3599" s="657"/>
      <c r="N3599" s="1482"/>
      <c r="O3599" s="656" t="s">
        <v>498</v>
      </c>
      <c r="P3599" s="656" t="s">
        <v>13052</v>
      </c>
      <c r="Q3599" s="656">
        <v>44216.768495370372</v>
      </c>
    </row>
    <row r="3600" spans="1:17">
      <c r="A3600" s="656" t="s">
        <v>4852</v>
      </c>
      <c r="B3600" s="657"/>
      <c r="C3600" s="656" t="s">
        <v>4853</v>
      </c>
      <c r="D3600" s="657" t="s">
        <v>14977</v>
      </c>
      <c r="E3600" s="657"/>
      <c r="F3600" s="656"/>
      <c r="G3600" s="656"/>
      <c r="H3600" s="656"/>
      <c r="I3600" s="656" t="s">
        <v>14976</v>
      </c>
      <c r="J3600" s="656"/>
      <c r="K3600" s="656"/>
      <c r="L3600" s="656" t="s">
        <v>4852</v>
      </c>
      <c r="M3600" s="657"/>
      <c r="N3600" s="1482"/>
      <c r="O3600" s="656" t="s">
        <v>498</v>
      </c>
      <c r="P3600" s="656" t="s">
        <v>13052</v>
      </c>
      <c r="Q3600" s="656">
        <v>44216.768483796295</v>
      </c>
    </row>
    <row r="3601" spans="1:17">
      <c r="A3601" s="656" t="s">
        <v>4854</v>
      </c>
      <c r="B3601" s="657" t="s">
        <v>531</v>
      </c>
      <c r="C3601" s="656" t="s">
        <v>4855</v>
      </c>
      <c r="D3601" s="657" t="s">
        <v>14977</v>
      </c>
      <c r="E3601" s="657"/>
      <c r="F3601" s="656" t="s">
        <v>1394</v>
      </c>
      <c r="G3601" s="656"/>
      <c r="H3601" s="656" t="s">
        <v>1394</v>
      </c>
      <c r="I3601" s="656" t="s">
        <v>14976</v>
      </c>
      <c r="J3601" s="656"/>
      <c r="K3601" s="656"/>
      <c r="L3601" s="656" t="s">
        <v>4854</v>
      </c>
      <c r="M3601" s="657"/>
      <c r="N3601" s="1482"/>
      <c r="O3601" s="656" t="s">
        <v>498</v>
      </c>
      <c r="P3601" s="656" t="s">
        <v>13052</v>
      </c>
      <c r="Q3601" s="656">
        <v>44216.768483796295</v>
      </c>
    </row>
    <row r="3602" spans="1:17">
      <c r="A3602" s="656" t="s">
        <v>4856</v>
      </c>
      <c r="B3602" s="657"/>
      <c r="C3602" s="656" t="s">
        <v>4857</v>
      </c>
      <c r="D3602" s="657" t="s">
        <v>14977</v>
      </c>
      <c r="E3602" s="657"/>
      <c r="F3602" s="656"/>
      <c r="G3602" s="656"/>
      <c r="H3602" s="656"/>
      <c r="I3602" s="656" t="s">
        <v>14976</v>
      </c>
      <c r="J3602" s="656"/>
      <c r="K3602" s="656"/>
      <c r="L3602" s="656" t="s">
        <v>4856</v>
      </c>
      <c r="M3602" s="657"/>
      <c r="N3602" s="1482"/>
      <c r="O3602" s="656" t="s">
        <v>498</v>
      </c>
      <c r="P3602" s="656" t="s">
        <v>13052</v>
      </c>
      <c r="Q3602" s="656">
        <v>44216.768472222226</v>
      </c>
    </row>
    <row r="3603" spans="1:17">
      <c r="A3603" s="656" t="s">
        <v>4858</v>
      </c>
      <c r="B3603" s="657" t="s">
        <v>531</v>
      </c>
      <c r="C3603" s="656" t="s">
        <v>4859</v>
      </c>
      <c r="D3603" s="657" t="s">
        <v>14977</v>
      </c>
      <c r="E3603" s="657"/>
      <c r="F3603" s="656" t="s">
        <v>472</v>
      </c>
      <c r="G3603" s="656" t="s">
        <v>1395</v>
      </c>
      <c r="H3603" s="656" t="s">
        <v>472</v>
      </c>
      <c r="I3603" s="656" t="s">
        <v>14976</v>
      </c>
      <c r="J3603" s="656" t="s">
        <v>12368</v>
      </c>
      <c r="K3603" s="656"/>
      <c r="L3603" s="656"/>
      <c r="M3603" s="657"/>
      <c r="N3603" s="1482"/>
      <c r="O3603" s="656" t="s">
        <v>498</v>
      </c>
      <c r="P3603" s="656" t="s">
        <v>13052</v>
      </c>
      <c r="Q3603" s="656">
        <v>44216.768472222226</v>
      </c>
    </row>
    <row r="3604" spans="1:17">
      <c r="A3604" s="656" t="s">
        <v>4860</v>
      </c>
      <c r="B3604" s="657" t="s">
        <v>531</v>
      </c>
      <c r="C3604" s="656" t="s">
        <v>4861</v>
      </c>
      <c r="D3604" s="657" t="s">
        <v>14977</v>
      </c>
      <c r="E3604" s="657"/>
      <c r="F3604" s="656" t="s">
        <v>472</v>
      </c>
      <c r="G3604" s="656" t="s">
        <v>1395</v>
      </c>
      <c r="H3604" s="656" t="s">
        <v>472</v>
      </c>
      <c r="I3604" s="656" t="s">
        <v>14976</v>
      </c>
      <c r="J3604" s="656" t="s">
        <v>12368</v>
      </c>
      <c r="K3604" s="656"/>
      <c r="L3604" s="656"/>
      <c r="M3604" s="657"/>
      <c r="N3604" s="1482"/>
      <c r="O3604" s="656" t="s">
        <v>498</v>
      </c>
      <c r="P3604" s="656" t="s">
        <v>13052</v>
      </c>
      <c r="Q3604" s="656">
        <v>44216.768460648149</v>
      </c>
    </row>
    <row r="3605" spans="1:17">
      <c r="A3605" s="656" t="s">
        <v>4862</v>
      </c>
      <c r="B3605" s="657"/>
      <c r="C3605" s="656" t="s">
        <v>4863</v>
      </c>
      <c r="D3605" s="657" t="s">
        <v>14977</v>
      </c>
      <c r="E3605" s="657"/>
      <c r="F3605" s="656"/>
      <c r="G3605" s="656"/>
      <c r="H3605" s="656"/>
      <c r="I3605" s="656" t="s">
        <v>14976</v>
      </c>
      <c r="J3605" s="656"/>
      <c r="K3605" s="656"/>
      <c r="L3605" s="656" t="s">
        <v>4862</v>
      </c>
      <c r="M3605" s="657"/>
      <c r="N3605" s="1482"/>
      <c r="O3605" s="656" t="s">
        <v>498</v>
      </c>
      <c r="P3605" s="656" t="s">
        <v>13052</v>
      </c>
      <c r="Q3605" s="656">
        <v>44216.768460648149</v>
      </c>
    </row>
    <row r="3606" spans="1:17">
      <c r="A3606" s="656" t="s">
        <v>4864</v>
      </c>
      <c r="B3606" s="657" t="s">
        <v>202</v>
      </c>
      <c r="C3606" s="656" t="s">
        <v>4865</v>
      </c>
      <c r="D3606" s="657" t="s">
        <v>14977</v>
      </c>
      <c r="E3606" s="657"/>
      <c r="F3606" s="656" t="s">
        <v>655</v>
      </c>
      <c r="G3606" s="656"/>
      <c r="H3606" s="656" t="s">
        <v>655</v>
      </c>
      <c r="I3606" s="656" t="s">
        <v>14976</v>
      </c>
      <c r="J3606" s="656" t="s">
        <v>15281</v>
      </c>
      <c r="K3606" s="656"/>
      <c r="L3606" s="656" t="s">
        <v>4864</v>
      </c>
      <c r="M3606" s="657"/>
      <c r="N3606" s="1482"/>
      <c r="O3606" s="656" t="s">
        <v>498</v>
      </c>
      <c r="P3606" s="656" t="s">
        <v>13052</v>
      </c>
      <c r="Q3606" s="656">
        <v>44216.768460648149</v>
      </c>
    </row>
    <row r="3607" spans="1:17">
      <c r="A3607" s="656" t="s">
        <v>4866</v>
      </c>
      <c r="B3607" s="657"/>
      <c r="C3607" s="656" t="s">
        <v>4867</v>
      </c>
      <c r="D3607" s="657" t="s">
        <v>14977</v>
      </c>
      <c r="E3607" s="657"/>
      <c r="F3607" s="656"/>
      <c r="G3607" s="656"/>
      <c r="H3607" s="656"/>
      <c r="I3607" s="656" t="s">
        <v>14976</v>
      </c>
      <c r="J3607" s="656"/>
      <c r="K3607" s="656"/>
      <c r="L3607" s="656" t="s">
        <v>4866</v>
      </c>
      <c r="M3607" s="657"/>
      <c r="N3607" s="1482"/>
      <c r="O3607" s="656" t="s">
        <v>498</v>
      </c>
      <c r="P3607" s="656" t="s">
        <v>13052</v>
      </c>
      <c r="Q3607" s="656">
        <v>44216.768449074072</v>
      </c>
    </row>
    <row r="3608" spans="1:17">
      <c r="A3608" s="656" t="s">
        <v>4868</v>
      </c>
      <c r="B3608" s="657" t="s">
        <v>504</v>
      </c>
      <c r="C3608" s="656" t="s">
        <v>4869</v>
      </c>
      <c r="D3608" s="657" t="s">
        <v>14977</v>
      </c>
      <c r="E3608" s="657"/>
      <c r="F3608" s="656"/>
      <c r="G3608" s="656"/>
      <c r="H3608" s="656"/>
      <c r="I3608" s="656"/>
      <c r="J3608" s="656"/>
      <c r="K3608" s="656"/>
      <c r="L3608" s="656"/>
      <c r="M3608" s="657"/>
      <c r="N3608" s="1482"/>
      <c r="O3608" s="656" t="s">
        <v>498</v>
      </c>
      <c r="P3608" s="656" t="s">
        <v>13052</v>
      </c>
      <c r="Q3608" s="656">
        <v>44216.768449074072</v>
      </c>
    </row>
    <row r="3609" spans="1:17">
      <c r="A3609" s="656" t="s">
        <v>4870</v>
      </c>
      <c r="B3609" s="657"/>
      <c r="C3609" s="656" t="s">
        <v>4871</v>
      </c>
      <c r="D3609" s="657" t="s">
        <v>14977</v>
      </c>
      <c r="E3609" s="657"/>
      <c r="F3609" s="656"/>
      <c r="G3609" s="656"/>
      <c r="H3609" s="656"/>
      <c r="I3609" s="656" t="s">
        <v>14976</v>
      </c>
      <c r="J3609" s="656"/>
      <c r="K3609" s="656"/>
      <c r="L3609" s="656" t="s">
        <v>4870</v>
      </c>
      <c r="M3609" s="657"/>
      <c r="N3609" s="1482"/>
      <c r="O3609" s="656" t="s">
        <v>498</v>
      </c>
      <c r="P3609" s="656" t="s">
        <v>13052</v>
      </c>
      <c r="Q3609" s="656">
        <v>44216.768437500003</v>
      </c>
    </row>
    <row r="3610" spans="1:17">
      <c r="A3610" s="656" t="s">
        <v>4872</v>
      </c>
      <c r="B3610" s="657" t="s">
        <v>202</v>
      </c>
      <c r="C3610" s="656" t="s">
        <v>4873</v>
      </c>
      <c r="D3610" s="657" t="s">
        <v>14977</v>
      </c>
      <c r="E3610" s="657"/>
      <c r="F3610" s="656" t="s">
        <v>1300</v>
      </c>
      <c r="G3610" s="656"/>
      <c r="H3610" s="656" t="s">
        <v>1300</v>
      </c>
      <c r="I3610" s="656" t="s">
        <v>14976</v>
      </c>
      <c r="J3610" s="656" t="s">
        <v>15285</v>
      </c>
      <c r="K3610" s="656"/>
      <c r="L3610" s="656" t="s">
        <v>4872</v>
      </c>
      <c r="M3610" s="657"/>
      <c r="N3610" s="1482"/>
      <c r="O3610" s="656" t="s">
        <v>498</v>
      </c>
      <c r="P3610" s="656" t="s">
        <v>13052</v>
      </c>
      <c r="Q3610" s="656">
        <v>44216.768437500003</v>
      </c>
    </row>
    <row r="3611" spans="1:17">
      <c r="A3611" s="656" t="s">
        <v>4874</v>
      </c>
      <c r="B3611" s="657" t="s">
        <v>202</v>
      </c>
      <c r="C3611" s="656" t="s">
        <v>4875</v>
      </c>
      <c r="D3611" s="657" t="s">
        <v>14977</v>
      </c>
      <c r="E3611" s="657"/>
      <c r="F3611" s="656" t="s">
        <v>655</v>
      </c>
      <c r="G3611" s="656" t="s">
        <v>1051</v>
      </c>
      <c r="H3611" s="656" t="s">
        <v>655</v>
      </c>
      <c r="I3611" s="656" t="s">
        <v>14976</v>
      </c>
      <c r="J3611" s="656" t="s">
        <v>15281</v>
      </c>
      <c r="K3611" s="656"/>
      <c r="L3611" s="656" t="s">
        <v>4874</v>
      </c>
      <c r="M3611" s="657"/>
      <c r="N3611" s="1482"/>
      <c r="O3611" s="656" t="s">
        <v>498</v>
      </c>
      <c r="P3611" s="656" t="s">
        <v>13052</v>
      </c>
      <c r="Q3611" s="656">
        <v>44216.768437500003</v>
      </c>
    </row>
    <row r="3612" spans="1:17">
      <c r="A3612" s="656" t="s">
        <v>4876</v>
      </c>
      <c r="B3612" s="657"/>
      <c r="C3612" s="656" t="s">
        <v>4877</v>
      </c>
      <c r="D3612" s="657" t="s">
        <v>14977</v>
      </c>
      <c r="E3612" s="657"/>
      <c r="F3612" s="656"/>
      <c r="G3612" s="656"/>
      <c r="H3612" s="656"/>
      <c r="I3612" s="656" t="s">
        <v>14976</v>
      </c>
      <c r="J3612" s="656"/>
      <c r="K3612" s="656"/>
      <c r="L3612" s="656" t="s">
        <v>4876</v>
      </c>
      <c r="M3612" s="657"/>
      <c r="N3612" s="1482"/>
      <c r="O3612" s="656" t="s">
        <v>498</v>
      </c>
      <c r="P3612" s="656" t="s">
        <v>13052</v>
      </c>
      <c r="Q3612" s="656">
        <v>44216.768425925926</v>
      </c>
    </row>
    <row r="3613" spans="1:17">
      <c r="A3613" s="656" t="s">
        <v>4878</v>
      </c>
      <c r="B3613" s="657"/>
      <c r="C3613" s="656" t="s">
        <v>4879</v>
      </c>
      <c r="D3613" s="657" t="s">
        <v>14977</v>
      </c>
      <c r="E3613" s="657"/>
      <c r="F3613" s="656"/>
      <c r="G3613" s="656"/>
      <c r="H3613" s="656"/>
      <c r="I3613" s="656" t="s">
        <v>14976</v>
      </c>
      <c r="J3613" s="656"/>
      <c r="K3613" s="656"/>
      <c r="L3613" s="656" t="s">
        <v>4878</v>
      </c>
      <c r="M3613" s="657"/>
      <c r="N3613" s="1482"/>
      <c r="O3613" s="656" t="s">
        <v>498</v>
      </c>
      <c r="P3613" s="656" t="s">
        <v>13052</v>
      </c>
      <c r="Q3613" s="656">
        <v>44216.768425925926</v>
      </c>
    </row>
    <row r="3614" spans="1:17">
      <c r="A3614" s="656" t="s">
        <v>4880</v>
      </c>
      <c r="B3614" s="657"/>
      <c r="C3614" s="656" t="s">
        <v>4881</v>
      </c>
      <c r="D3614" s="657" t="s">
        <v>14977</v>
      </c>
      <c r="E3614" s="657"/>
      <c r="F3614" s="656"/>
      <c r="G3614" s="656"/>
      <c r="H3614" s="656"/>
      <c r="I3614" s="656" t="s">
        <v>14976</v>
      </c>
      <c r="J3614" s="656"/>
      <c r="K3614" s="656"/>
      <c r="L3614" s="656" t="s">
        <v>4880</v>
      </c>
      <c r="M3614" s="657"/>
      <c r="N3614" s="1482"/>
      <c r="O3614" s="656" t="s">
        <v>498</v>
      </c>
      <c r="P3614" s="656" t="s">
        <v>13052</v>
      </c>
      <c r="Q3614" s="656">
        <v>44216.768414351849</v>
      </c>
    </row>
    <row r="3615" spans="1:17">
      <c r="A3615" s="656" t="s">
        <v>4882</v>
      </c>
      <c r="B3615" s="657"/>
      <c r="C3615" s="656" t="s">
        <v>4883</v>
      </c>
      <c r="D3615" s="657" t="s">
        <v>14977</v>
      </c>
      <c r="E3615" s="657"/>
      <c r="F3615" s="656"/>
      <c r="G3615" s="656"/>
      <c r="H3615" s="656"/>
      <c r="I3615" s="656" t="s">
        <v>14976</v>
      </c>
      <c r="J3615" s="656"/>
      <c r="K3615" s="656"/>
      <c r="L3615" s="656" t="s">
        <v>4882</v>
      </c>
      <c r="M3615" s="657"/>
      <c r="N3615" s="1482"/>
      <c r="O3615" s="656" t="s">
        <v>498</v>
      </c>
      <c r="P3615" s="656" t="s">
        <v>13052</v>
      </c>
      <c r="Q3615" s="656">
        <v>44216.768414351849</v>
      </c>
    </row>
    <row r="3616" spans="1:17">
      <c r="A3616" s="656" t="s">
        <v>4884</v>
      </c>
      <c r="B3616" s="657"/>
      <c r="C3616" s="656" t="s">
        <v>4885</v>
      </c>
      <c r="D3616" s="657" t="s">
        <v>14977</v>
      </c>
      <c r="E3616" s="657"/>
      <c r="F3616" s="656"/>
      <c r="G3616" s="656"/>
      <c r="H3616" s="656"/>
      <c r="I3616" s="656" t="s">
        <v>14976</v>
      </c>
      <c r="J3616" s="656"/>
      <c r="K3616" s="656"/>
      <c r="L3616" s="656" t="s">
        <v>4884</v>
      </c>
      <c r="M3616" s="657"/>
      <c r="N3616" s="1482"/>
      <c r="O3616" s="656" t="s">
        <v>498</v>
      </c>
      <c r="P3616" s="656" t="s">
        <v>13052</v>
      </c>
      <c r="Q3616" s="656">
        <v>44216.768414351849</v>
      </c>
    </row>
    <row r="3617" spans="1:17">
      <c r="A3617" s="656" t="s">
        <v>4886</v>
      </c>
      <c r="B3617" s="657" t="s">
        <v>531</v>
      </c>
      <c r="C3617" s="656" t="s">
        <v>4887</v>
      </c>
      <c r="D3617" s="657" t="s">
        <v>14977</v>
      </c>
      <c r="E3617" s="657"/>
      <c r="F3617" s="656" t="s">
        <v>472</v>
      </c>
      <c r="G3617" s="656" t="s">
        <v>1395</v>
      </c>
      <c r="H3617" s="656" t="s">
        <v>472</v>
      </c>
      <c r="I3617" s="656" t="s">
        <v>14976</v>
      </c>
      <c r="J3617" s="656" t="s">
        <v>12368</v>
      </c>
      <c r="K3617" s="656"/>
      <c r="L3617" s="656"/>
      <c r="M3617" s="657"/>
      <c r="N3617" s="1482"/>
      <c r="O3617" s="656" t="s">
        <v>498</v>
      </c>
      <c r="P3617" s="656" t="s">
        <v>13052</v>
      </c>
      <c r="Q3617" s="656">
        <v>44216.76840277778</v>
      </c>
    </row>
    <row r="3618" spans="1:17">
      <c r="A3618" s="656" t="s">
        <v>4888</v>
      </c>
      <c r="B3618" s="657"/>
      <c r="C3618" s="656" t="s">
        <v>4889</v>
      </c>
      <c r="D3618" s="657" t="s">
        <v>14977</v>
      </c>
      <c r="E3618" s="657"/>
      <c r="F3618" s="656"/>
      <c r="G3618" s="656"/>
      <c r="H3618" s="656"/>
      <c r="I3618" s="656" t="s">
        <v>14976</v>
      </c>
      <c r="J3618" s="656"/>
      <c r="K3618" s="656"/>
      <c r="L3618" s="656" t="s">
        <v>4888</v>
      </c>
      <c r="M3618" s="657"/>
      <c r="N3618" s="1482"/>
      <c r="O3618" s="656" t="s">
        <v>498</v>
      </c>
      <c r="P3618" s="656" t="s">
        <v>13052</v>
      </c>
      <c r="Q3618" s="656">
        <v>44216.768391203703</v>
      </c>
    </row>
    <row r="3619" spans="1:17">
      <c r="A3619" s="656" t="s">
        <v>4890</v>
      </c>
      <c r="B3619" s="657" t="s">
        <v>202</v>
      </c>
      <c r="C3619" s="656" t="s">
        <v>4891</v>
      </c>
      <c r="D3619" s="657" t="s">
        <v>14977</v>
      </c>
      <c r="E3619" s="657"/>
      <c r="F3619" s="656" t="s">
        <v>655</v>
      </c>
      <c r="G3619" s="656" t="s">
        <v>1051</v>
      </c>
      <c r="H3619" s="656" t="s">
        <v>655</v>
      </c>
      <c r="I3619" s="656" t="s">
        <v>14976</v>
      </c>
      <c r="J3619" s="656" t="s">
        <v>15281</v>
      </c>
      <c r="K3619" s="656"/>
      <c r="L3619" s="656" t="s">
        <v>4890</v>
      </c>
      <c r="M3619" s="657"/>
      <c r="N3619" s="1482"/>
      <c r="O3619" s="656" t="s">
        <v>498</v>
      </c>
      <c r="P3619" s="656" t="s">
        <v>13052</v>
      </c>
      <c r="Q3619" s="656">
        <v>44216.768391203703</v>
      </c>
    </row>
    <row r="3620" spans="1:17">
      <c r="A3620" s="656" t="s">
        <v>4892</v>
      </c>
      <c r="B3620" s="657"/>
      <c r="C3620" s="656" t="s">
        <v>4893</v>
      </c>
      <c r="D3620" s="657" t="s">
        <v>14977</v>
      </c>
      <c r="E3620" s="657"/>
      <c r="F3620" s="656"/>
      <c r="G3620" s="656"/>
      <c r="H3620" s="656"/>
      <c r="I3620" s="656" t="s">
        <v>14976</v>
      </c>
      <c r="J3620" s="656"/>
      <c r="K3620" s="656"/>
      <c r="L3620" s="656" t="s">
        <v>4892</v>
      </c>
      <c r="M3620" s="657"/>
      <c r="N3620" s="1482"/>
      <c r="O3620" s="656" t="s">
        <v>498</v>
      </c>
      <c r="P3620" s="656" t="s">
        <v>13052</v>
      </c>
      <c r="Q3620" s="656">
        <v>44216.768379629626</v>
      </c>
    </row>
    <row r="3621" spans="1:17">
      <c r="A3621" s="656" t="s">
        <v>4894</v>
      </c>
      <c r="B3621" s="657"/>
      <c r="C3621" s="656" t="s">
        <v>4895</v>
      </c>
      <c r="D3621" s="657" t="s">
        <v>14977</v>
      </c>
      <c r="E3621" s="657"/>
      <c r="F3621" s="656"/>
      <c r="G3621" s="656"/>
      <c r="H3621" s="656"/>
      <c r="I3621" s="656" t="s">
        <v>14976</v>
      </c>
      <c r="J3621" s="656"/>
      <c r="K3621" s="656"/>
      <c r="L3621" s="656" t="s">
        <v>4894</v>
      </c>
      <c r="M3621" s="657"/>
      <c r="N3621" s="1482"/>
      <c r="O3621" s="656" t="s">
        <v>498</v>
      </c>
      <c r="P3621" s="656" t="s">
        <v>13052</v>
      </c>
      <c r="Q3621" s="656">
        <v>44216.768379629626</v>
      </c>
    </row>
    <row r="3622" spans="1:17">
      <c r="A3622" s="656" t="s">
        <v>4896</v>
      </c>
      <c r="B3622" s="657"/>
      <c r="C3622" s="656" t="s">
        <v>4897</v>
      </c>
      <c r="D3622" s="657" t="s">
        <v>14977</v>
      </c>
      <c r="E3622" s="657"/>
      <c r="F3622" s="656"/>
      <c r="G3622" s="656"/>
      <c r="H3622" s="656"/>
      <c r="I3622" s="656" t="s">
        <v>14976</v>
      </c>
      <c r="J3622" s="656"/>
      <c r="K3622" s="656"/>
      <c r="L3622" s="656" t="s">
        <v>4896</v>
      </c>
      <c r="M3622" s="657"/>
      <c r="N3622" s="1482"/>
      <c r="O3622" s="656" t="s">
        <v>498</v>
      </c>
      <c r="P3622" s="656" t="s">
        <v>13052</v>
      </c>
      <c r="Q3622" s="656">
        <v>44216.768368055556</v>
      </c>
    </row>
    <row r="3623" spans="1:17">
      <c r="A3623" s="656" t="s">
        <v>4898</v>
      </c>
      <c r="B3623" s="657"/>
      <c r="C3623" s="656" t="s">
        <v>4899</v>
      </c>
      <c r="D3623" s="657" t="s">
        <v>14977</v>
      </c>
      <c r="E3623" s="657"/>
      <c r="F3623" s="656"/>
      <c r="G3623" s="656"/>
      <c r="H3623" s="656"/>
      <c r="I3623" s="656" t="s">
        <v>14976</v>
      </c>
      <c r="J3623" s="656"/>
      <c r="K3623" s="656"/>
      <c r="L3623" s="656" t="s">
        <v>4898</v>
      </c>
      <c r="M3623" s="657"/>
      <c r="N3623" s="1482"/>
      <c r="O3623" s="656" t="s">
        <v>498</v>
      </c>
      <c r="P3623" s="656" t="s">
        <v>13052</v>
      </c>
      <c r="Q3623" s="656">
        <v>44216.768368055556</v>
      </c>
    </row>
    <row r="3624" spans="1:17">
      <c r="A3624" s="656" t="s">
        <v>4900</v>
      </c>
      <c r="B3624" s="657"/>
      <c r="C3624" s="656" t="s">
        <v>4901</v>
      </c>
      <c r="D3624" s="657" t="s">
        <v>14977</v>
      </c>
      <c r="E3624" s="657"/>
      <c r="F3624" s="656"/>
      <c r="G3624" s="656"/>
      <c r="H3624" s="656"/>
      <c r="I3624" s="656" t="s">
        <v>14976</v>
      </c>
      <c r="J3624" s="656"/>
      <c r="K3624" s="656"/>
      <c r="L3624" s="656" t="s">
        <v>4900</v>
      </c>
      <c r="M3624" s="657"/>
      <c r="N3624" s="1482"/>
      <c r="O3624" s="656" t="s">
        <v>498</v>
      </c>
      <c r="P3624" s="656" t="s">
        <v>13052</v>
      </c>
      <c r="Q3624" s="656">
        <v>44216.76835648148</v>
      </c>
    </row>
    <row r="3625" spans="1:17">
      <c r="A3625" s="656" t="s">
        <v>4902</v>
      </c>
      <c r="B3625" s="657" t="s">
        <v>202</v>
      </c>
      <c r="C3625" s="656" t="s">
        <v>4903</v>
      </c>
      <c r="D3625" s="657" t="s">
        <v>14977</v>
      </c>
      <c r="E3625" s="657"/>
      <c r="F3625" s="656" t="s">
        <v>1300</v>
      </c>
      <c r="G3625" s="656"/>
      <c r="H3625" s="656" t="s">
        <v>1300</v>
      </c>
      <c r="I3625" s="656" t="s">
        <v>14976</v>
      </c>
      <c r="J3625" s="656" t="s">
        <v>15285</v>
      </c>
      <c r="K3625" s="656"/>
      <c r="L3625" s="656" t="s">
        <v>4902</v>
      </c>
      <c r="M3625" s="657"/>
      <c r="N3625" s="1482"/>
      <c r="O3625" s="656" t="s">
        <v>498</v>
      </c>
      <c r="P3625" s="656" t="s">
        <v>13052</v>
      </c>
      <c r="Q3625" s="656">
        <v>44216.76835648148</v>
      </c>
    </row>
    <row r="3626" spans="1:17">
      <c r="A3626" s="656" t="s">
        <v>4904</v>
      </c>
      <c r="B3626" s="657"/>
      <c r="C3626" s="656" t="s">
        <v>4905</v>
      </c>
      <c r="D3626" s="657" t="s">
        <v>14977</v>
      </c>
      <c r="E3626" s="657"/>
      <c r="F3626" s="656"/>
      <c r="G3626" s="656"/>
      <c r="H3626" s="656"/>
      <c r="I3626" s="656" t="s">
        <v>14976</v>
      </c>
      <c r="J3626" s="656"/>
      <c r="K3626" s="656"/>
      <c r="L3626" s="656" t="s">
        <v>4904</v>
      </c>
      <c r="M3626" s="657"/>
      <c r="N3626" s="1482"/>
      <c r="O3626" s="656" t="s">
        <v>498</v>
      </c>
      <c r="P3626" s="656" t="s">
        <v>13052</v>
      </c>
      <c r="Q3626" s="656">
        <v>44216.76834490741</v>
      </c>
    </row>
    <row r="3627" spans="1:17">
      <c r="A3627" s="656" t="s">
        <v>4906</v>
      </c>
      <c r="B3627" s="657"/>
      <c r="C3627" s="656" t="s">
        <v>4907</v>
      </c>
      <c r="D3627" s="657" t="s">
        <v>14977</v>
      </c>
      <c r="E3627" s="657"/>
      <c r="F3627" s="656"/>
      <c r="G3627" s="656"/>
      <c r="H3627" s="656"/>
      <c r="I3627" s="656" t="s">
        <v>14976</v>
      </c>
      <c r="J3627" s="656"/>
      <c r="K3627" s="656"/>
      <c r="L3627" s="656" t="s">
        <v>4906</v>
      </c>
      <c r="M3627" s="657"/>
      <c r="N3627" s="1482"/>
      <c r="O3627" s="656" t="s">
        <v>498</v>
      </c>
      <c r="P3627" s="656" t="s">
        <v>13052</v>
      </c>
      <c r="Q3627" s="656">
        <v>44216.76834490741</v>
      </c>
    </row>
    <row r="3628" spans="1:17">
      <c r="A3628" s="656" t="s">
        <v>4908</v>
      </c>
      <c r="B3628" s="657"/>
      <c r="C3628" s="656" t="s">
        <v>4909</v>
      </c>
      <c r="D3628" s="657" t="s">
        <v>14977</v>
      </c>
      <c r="E3628" s="657"/>
      <c r="F3628" s="656"/>
      <c r="G3628" s="656"/>
      <c r="H3628" s="656"/>
      <c r="I3628" s="656" t="s">
        <v>14976</v>
      </c>
      <c r="J3628" s="656"/>
      <c r="K3628" s="656"/>
      <c r="L3628" s="656" t="s">
        <v>4908</v>
      </c>
      <c r="M3628" s="657"/>
      <c r="N3628" s="1482"/>
      <c r="O3628" s="656" t="s">
        <v>498</v>
      </c>
      <c r="P3628" s="656" t="s">
        <v>13052</v>
      </c>
      <c r="Q3628" s="656">
        <v>44216.768333333333</v>
      </c>
    </row>
    <row r="3629" spans="1:17">
      <c r="A3629" s="656" t="s">
        <v>4910</v>
      </c>
      <c r="B3629" s="657"/>
      <c r="C3629" s="656" t="s">
        <v>4911</v>
      </c>
      <c r="D3629" s="657" t="s">
        <v>14977</v>
      </c>
      <c r="E3629" s="657"/>
      <c r="F3629" s="656"/>
      <c r="G3629" s="656"/>
      <c r="H3629" s="656"/>
      <c r="I3629" s="656" t="s">
        <v>14976</v>
      </c>
      <c r="J3629" s="656"/>
      <c r="K3629" s="656"/>
      <c r="L3629" s="656" t="s">
        <v>4910</v>
      </c>
      <c r="M3629" s="657"/>
      <c r="N3629" s="1482"/>
      <c r="O3629" s="656" t="s">
        <v>498</v>
      </c>
      <c r="P3629" s="656" t="s">
        <v>13052</v>
      </c>
      <c r="Q3629" s="656">
        <v>44216.768333333333</v>
      </c>
    </row>
    <row r="3630" spans="1:17">
      <c r="A3630" s="656" t="s">
        <v>4912</v>
      </c>
      <c r="B3630" s="657" t="s">
        <v>202</v>
      </c>
      <c r="C3630" s="656" t="s">
        <v>4913</v>
      </c>
      <c r="D3630" s="657" t="s">
        <v>14977</v>
      </c>
      <c r="E3630" s="657"/>
      <c r="F3630" s="656" t="s">
        <v>655</v>
      </c>
      <c r="G3630" s="656"/>
      <c r="H3630" s="656" t="s">
        <v>655</v>
      </c>
      <c r="I3630" s="656" t="s">
        <v>14976</v>
      </c>
      <c r="J3630" s="656" t="s">
        <v>15281</v>
      </c>
      <c r="K3630" s="656"/>
      <c r="L3630" s="656" t="s">
        <v>4912</v>
      </c>
      <c r="M3630" s="657"/>
      <c r="N3630" s="1482"/>
      <c r="O3630" s="656" t="s">
        <v>498</v>
      </c>
      <c r="P3630" s="656" t="s">
        <v>13052</v>
      </c>
      <c r="Q3630" s="656">
        <v>44216.768321759257</v>
      </c>
    </row>
    <row r="3631" spans="1:17">
      <c r="A3631" s="656" t="s">
        <v>12536</v>
      </c>
      <c r="B3631" s="657" t="s">
        <v>202</v>
      </c>
      <c r="C3631" s="656" t="s">
        <v>12492</v>
      </c>
      <c r="D3631" s="657" t="s">
        <v>13789</v>
      </c>
      <c r="E3631" s="657" t="s">
        <v>7437</v>
      </c>
      <c r="F3631" s="656" t="s">
        <v>475</v>
      </c>
      <c r="G3631" s="656" t="s">
        <v>475</v>
      </c>
      <c r="H3631" s="656" t="s">
        <v>475</v>
      </c>
      <c r="I3631" s="656" t="s">
        <v>14976</v>
      </c>
      <c r="J3631" s="656" t="s">
        <v>12371</v>
      </c>
      <c r="K3631" s="656" t="s">
        <v>475</v>
      </c>
      <c r="L3631" s="656"/>
      <c r="M3631" s="657"/>
      <c r="N3631" s="1482"/>
      <c r="O3631" s="656" t="s">
        <v>498</v>
      </c>
      <c r="P3631" s="656" t="s">
        <v>13052</v>
      </c>
      <c r="Q3631" s="656">
        <v>44216.768321759257</v>
      </c>
    </row>
    <row r="3632" spans="1:17">
      <c r="A3632" s="656" t="s">
        <v>12537</v>
      </c>
      <c r="B3632" s="657" t="s">
        <v>202</v>
      </c>
      <c r="C3632" s="656" t="s">
        <v>12491</v>
      </c>
      <c r="D3632" s="657" t="s">
        <v>13789</v>
      </c>
      <c r="E3632" s="657" t="s">
        <v>7437</v>
      </c>
      <c r="F3632" s="656" t="s">
        <v>475</v>
      </c>
      <c r="G3632" s="656" t="s">
        <v>475</v>
      </c>
      <c r="H3632" s="656" t="s">
        <v>475</v>
      </c>
      <c r="I3632" s="656" t="s">
        <v>14976</v>
      </c>
      <c r="J3632" s="656" t="s">
        <v>12371</v>
      </c>
      <c r="K3632" s="656" t="s">
        <v>475</v>
      </c>
      <c r="L3632" s="656"/>
      <c r="M3632" s="657"/>
      <c r="N3632" s="1482"/>
      <c r="O3632" s="656" t="s">
        <v>498</v>
      </c>
      <c r="P3632" s="656" t="s">
        <v>13052</v>
      </c>
      <c r="Q3632" s="656">
        <v>44216.768310185187</v>
      </c>
    </row>
    <row r="3633" spans="1:17">
      <c r="A3633" s="656" t="s">
        <v>12538</v>
      </c>
      <c r="B3633" s="657" t="s">
        <v>202</v>
      </c>
      <c r="C3633" s="656" t="s">
        <v>12490</v>
      </c>
      <c r="D3633" s="657" t="s">
        <v>13789</v>
      </c>
      <c r="E3633" s="657" t="s">
        <v>7437</v>
      </c>
      <c r="F3633" s="656" t="s">
        <v>475</v>
      </c>
      <c r="G3633" s="656" t="s">
        <v>475</v>
      </c>
      <c r="H3633" s="656" t="s">
        <v>475</v>
      </c>
      <c r="I3633" s="656" t="s">
        <v>14976</v>
      </c>
      <c r="J3633" s="656" t="s">
        <v>12371</v>
      </c>
      <c r="K3633" s="656" t="s">
        <v>475</v>
      </c>
      <c r="L3633" s="656"/>
      <c r="M3633" s="657"/>
      <c r="N3633" s="1482"/>
      <c r="O3633" s="656" t="s">
        <v>498</v>
      </c>
      <c r="P3633" s="656" t="s">
        <v>13052</v>
      </c>
      <c r="Q3633" s="656">
        <v>44216.76829861111</v>
      </c>
    </row>
    <row r="3634" spans="1:17">
      <c r="A3634" s="656" t="s">
        <v>12539</v>
      </c>
      <c r="B3634" s="657" t="s">
        <v>202</v>
      </c>
      <c r="C3634" s="656" t="s">
        <v>12489</v>
      </c>
      <c r="D3634" s="657" t="s">
        <v>13789</v>
      </c>
      <c r="E3634" s="657" t="s">
        <v>7437</v>
      </c>
      <c r="F3634" s="656" t="s">
        <v>475</v>
      </c>
      <c r="G3634" s="656" t="s">
        <v>475</v>
      </c>
      <c r="H3634" s="656" t="s">
        <v>475</v>
      </c>
      <c r="I3634" s="656" t="s">
        <v>14976</v>
      </c>
      <c r="J3634" s="656" t="s">
        <v>12371</v>
      </c>
      <c r="K3634" s="656" t="s">
        <v>475</v>
      </c>
      <c r="L3634" s="656"/>
      <c r="M3634" s="657"/>
      <c r="N3634" s="1482"/>
      <c r="O3634" s="656" t="s">
        <v>498</v>
      </c>
      <c r="P3634" s="656" t="s">
        <v>13052</v>
      </c>
      <c r="Q3634" s="656">
        <v>44216.76829861111</v>
      </c>
    </row>
    <row r="3635" spans="1:17">
      <c r="A3635" s="656" t="s">
        <v>12540</v>
      </c>
      <c r="B3635" s="657" t="s">
        <v>202</v>
      </c>
      <c r="C3635" s="656" t="s">
        <v>12488</v>
      </c>
      <c r="D3635" s="657" t="s">
        <v>13789</v>
      </c>
      <c r="E3635" s="657" t="s">
        <v>7437</v>
      </c>
      <c r="F3635" s="656" t="s">
        <v>475</v>
      </c>
      <c r="G3635" s="656" t="s">
        <v>475</v>
      </c>
      <c r="H3635" s="656" t="s">
        <v>475</v>
      </c>
      <c r="I3635" s="656" t="s">
        <v>14976</v>
      </c>
      <c r="J3635" s="656" t="s">
        <v>12371</v>
      </c>
      <c r="K3635" s="656" t="s">
        <v>475</v>
      </c>
      <c r="L3635" s="656"/>
      <c r="M3635" s="657"/>
      <c r="N3635" s="1482"/>
      <c r="O3635" s="656" t="s">
        <v>498</v>
      </c>
      <c r="P3635" s="656" t="s">
        <v>13052</v>
      </c>
      <c r="Q3635" s="656">
        <v>44216.768287037034</v>
      </c>
    </row>
    <row r="3636" spans="1:17">
      <c r="A3636" s="656" t="s">
        <v>12541</v>
      </c>
      <c r="B3636" s="657" t="s">
        <v>202</v>
      </c>
      <c r="C3636" s="656" t="s">
        <v>12487</v>
      </c>
      <c r="D3636" s="657" t="s">
        <v>13789</v>
      </c>
      <c r="E3636" s="657" t="s">
        <v>7437</v>
      </c>
      <c r="F3636" s="656" t="s">
        <v>475</v>
      </c>
      <c r="G3636" s="656" t="s">
        <v>475</v>
      </c>
      <c r="H3636" s="656" t="s">
        <v>475</v>
      </c>
      <c r="I3636" s="656" t="s">
        <v>14976</v>
      </c>
      <c r="J3636" s="656" t="s">
        <v>12371</v>
      </c>
      <c r="K3636" s="656" t="s">
        <v>475</v>
      </c>
      <c r="L3636" s="656"/>
      <c r="M3636" s="657"/>
      <c r="N3636" s="1482"/>
      <c r="O3636" s="656" t="s">
        <v>498</v>
      </c>
      <c r="P3636" s="656" t="s">
        <v>13052</v>
      </c>
      <c r="Q3636" s="656">
        <v>44216.768287037034</v>
      </c>
    </row>
    <row r="3637" spans="1:17">
      <c r="A3637" s="656" t="s">
        <v>9656</v>
      </c>
      <c r="B3637" s="657" t="s">
        <v>202</v>
      </c>
      <c r="C3637" s="656" t="s">
        <v>9655</v>
      </c>
      <c r="D3637" s="657" t="s">
        <v>14978</v>
      </c>
      <c r="E3637" s="657" t="s">
        <v>7437</v>
      </c>
      <c r="F3637" s="656" t="s">
        <v>475</v>
      </c>
      <c r="G3637" s="656" t="s">
        <v>475</v>
      </c>
      <c r="H3637" s="656" t="s">
        <v>475</v>
      </c>
      <c r="I3637" s="656" t="s">
        <v>14976</v>
      </c>
      <c r="J3637" s="656" t="s">
        <v>12371</v>
      </c>
      <c r="K3637" s="656" t="s">
        <v>475</v>
      </c>
      <c r="L3637" s="656" t="s">
        <v>4920</v>
      </c>
      <c r="M3637" s="657"/>
      <c r="N3637" s="1482"/>
      <c r="O3637" s="656" t="s">
        <v>498</v>
      </c>
      <c r="P3637" s="656" t="s">
        <v>13052</v>
      </c>
      <c r="Q3637" s="656">
        <v>44216.768287037034</v>
      </c>
    </row>
    <row r="3638" spans="1:17">
      <c r="A3638" s="656" t="s">
        <v>9658</v>
      </c>
      <c r="B3638" s="657" t="s">
        <v>202</v>
      </c>
      <c r="C3638" s="656" t="s">
        <v>9657</v>
      </c>
      <c r="D3638" s="657" t="s">
        <v>14978</v>
      </c>
      <c r="E3638" s="657" t="s">
        <v>7437</v>
      </c>
      <c r="F3638" s="656" t="s">
        <v>475</v>
      </c>
      <c r="G3638" s="656" t="s">
        <v>475</v>
      </c>
      <c r="H3638" s="656" t="s">
        <v>475</v>
      </c>
      <c r="I3638" s="656" t="s">
        <v>14976</v>
      </c>
      <c r="J3638" s="656" t="s">
        <v>12371</v>
      </c>
      <c r="K3638" s="656" t="s">
        <v>475</v>
      </c>
      <c r="L3638" s="656" t="s">
        <v>4920</v>
      </c>
      <c r="M3638" s="657"/>
      <c r="N3638" s="1482"/>
      <c r="O3638" s="656" t="s">
        <v>498</v>
      </c>
      <c r="P3638" s="656" t="s">
        <v>13052</v>
      </c>
      <c r="Q3638" s="656">
        <v>44216.768275462964</v>
      </c>
    </row>
    <row r="3639" spans="1:17">
      <c r="A3639" s="656" t="s">
        <v>9660</v>
      </c>
      <c r="B3639" s="657" t="s">
        <v>202</v>
      </c>
      <c r="C3639" s="656" t="s">
        <v>9659</v>
      </c>
      <c r="D3639" s="657" t="s">
        <v>14978</v>
      </c>
      <c r="E3639" s="657" t="s">
        <v>7437</v>
      </c>
      <c r="F3639" s="656" t="s">
        <v>475</v>
      </c>
      <c r="G3639" s="656" t="s">
        <v>475</v>
      </c>
      <c r="H3639" s="656" t="s">
        <v>475</v>
      </c>
      <c r="I3639" s="656" t="s">
        <v>14976</v>
      </c>
      <c r="J3639" s="656" t="s">
        <v>12371</v>
      </c>
      <c r="K3639" s="656" t="s">
        <v>475</v>
      </c>
      <c r="L3639" s="656" t="s">
        <v>4920</v>
      </c>
      <c r="M3639" s="657"/>
      <c r="N3639" s="1482"/>
      <c r="O3639" s="656" t="s">
        <v>498</v>
      </c>
      <c r="P3639" s="656" t="s">
        <v>13052</v>
      </c>
      <c r="Q3639" s="656">
        <v>44216.768263888887</v>
      </c>
    </row>
    <row r="3640" spans="1:17">
      <c r="A3640" s="656" t="s">
        <v>9662</v>
      </c>
      <c r="B3640" s="657" t="s">
        <v>202</v>
      </c>
      <c r="C3640" s="656" t="s">
        <v>9661</v>
      </c>
      <c r="D3640" s="657" t="s">
        <v>14978</v>
      </c>
      <c r="E3640" s="657" t="s">
        <v>7437</v>
      </c>
      <c r="F3640" s="656" t="s">
        <v>475</v>
      </c>
      <c r="G3640" s="656"/>
      <c r="H3640" s="656" t="s">
        <v>475</v>
      </c>
      <c r="I3640" s="656" t="s">
        <v>14976</v>
      </c>
      <c r="J3640" s="656" t="s">
        <v>12371</v>
      </c>
      <c r="K3640" s="656" t="s">
        <v>1058</v>
      </c>
      <c r="L3640" s="656" t="s">
        <v>4920</v>
      </c>
      <c r="M3640" s="657"/>
      <c r="N3640" s="1482"/>
      <c r="O3640" s="656" t="s">
        <v>498</v>
      </c>
      <c r="P3640" s="656" t="s">
        <v>13052</v>
      </c>
      <c r="Q3640" s="656">
        <v>44216.768252314818</v>
      </c>
    </row>
    <row r="3641" spans="1:17">
      <c r="A3641" s="656" t="s">
        <v>8798</v>
      </c>
      <c r="B3641" s="657" t="s">
        <v>202</v>
      </c>
      <c r="C3641" s="656" t="s">
        <v>13392</v>
      </c>
      <c r="D3641" s="657" t="s">
        <v>14978</v>
      </c>
      <c r="E3641" s="657" t="s">
        <v>9406</v>
      </c>
      <c r="F3641" s="656" t="s">
        <v>475</v>
      </c>
      <c r="G3641" s="656" t="s">
        <v>475</v>
      </c>
      <c r="H3641" s="656" t="s">
        <v>475</v>
      </c>
      <c r="I3641" s="656" t="s">
        <v>14976</v>
      </c>
      <c r="J3641" s="656" t="s">
        <v>12371</v>
      </c>
      <c r="K3641" s="656" t="s">
        <v>475</v>
      </c>
      <c r="L3641" s="656" t="s">
        <v>4920</v>
      </c>
      <c r="M3641" s="657"/>
      <c r="N3641" s="1482"/>
      <c r="O3641" s="656" t="s">
        <v>498</v>
      </c>
      <c r="P3641" s="656" t="s">
        <v>13052</v>
      </c>
      <c r="Q3641" s="656">
        <v>44216.768252314818</v>
      </c>
    </row>
    <row r="3642" spans="1:17">
      <c r="A3642" s="656" t="s">
        <v>4914</v>
      </c>
      <c r="B3642" s="657" t="s">
        <v>202</v>
      </c>
      <c r="C3642" s="656" t="s">
        <v>4915</v>
      </c>
      <c r="D3642" s="657" t="s">
        <v>14978</v>
      </c>
      <c r="E3642" s="657"/>
      <c r="F3642" s="656" t="s">
        <v>475</v>
      </c>
      <c r="G3642" s="656" t="s">
        <v>13</v>
      </c>
      <c r="H3642" s="656" t="s">
        <v>475</v>
      </c>
      <c r="I3642" s="656" t="s">
        <v>14976</v>
      </c>
      <c r="J3642" s="656" t="s">
        <v>15285</v>
      </c>
      <c r="K3642" s="656"/>
      <c r="L3642" s="656" t="s">
        <v>4920</v>
      </c>
      <c r="M3642" s="657"/>
      <c r="N3642" s="1482"/>
      <c r="O3642" s="656" t="s">
        <v>498</v>
      </c>
      <c r="P3642" s="656" t="s">
        <v>13052</v>
      </c>
      <c r="Q3642" s="656">
        <v>44216.768252314818</v>
      </c>
    </row>
    <row r="3643" spans="1:17">
      <c r="A3643" s="656" t="s">
        <v>4916</v>
      </c>
      <c r="B3643" s="657" t="s">
        <v>202</v>
      </c>
      <c r="C3643" s="656" t="s">
        <v>4917</v>
      </c>
      <c r="D3643" s="657" t="s">
        <v>14978</v>
      </c>
      <c r="E3643" s="657"/>
      <c r="F3643" s="656" t="s">
        <v>475</v>
      </c>
      <c r="G3643" s="656" t="s">
        <v>13</v>
      </c>
      <c r="H3643" s="656" t="s">
        <v>475</v>
      </c>
      <c r="I3643" s="656" t="s">
        <v>14976</v>
      </c>
      <c r="J3643" s="656" t="s">
        <v>15285</v>
      </c>
      <c r="K3643" s="656"/>
      <c r="L3643" s="656" t="s">
        <v>4920</v>
      </c>
      <c r="M3643" s="657"/>
      <c r="N3643" s="1482"/>
      <c r="O3643" s="656" t="s">
        <v>498</v>
      </c>
      <c r="P3643" s="656" t="s">
        <v>13052</v>
      </c>
      <c r="Q3643" s="656">
        <v>44216.768240740741</v>
      </c>
    </row>
    <row r="3644" spans="1:17">
      <c r="A3644" s="656" t="s">
        <v>4918</v>
      </c>
      <c r="B3644" s="657" t="s">
        <v>202</v>
      </c>
      <c r="C3644" s="656" t="s">
        <v>4919</v>
      </c>
      <c r="D3644" s="657" t="s">
        <v>14978</v>
      </c>
      <c r="E3644" s="657"/>
      <c r="F3644" s="656" t="s">
        <v>475</v>
      </c>
      <c r="G3644" s="656" t="s">
        <v>13</v>
      </c>
      <c r="H3644" s="656" t="s">
        <v>475</v>
      </c>
      <c r="I3644" s="656" t="s">
        <v>14976</v>
      </c>
      <c r="J3644" s="656" t="s">
        <v>15285</v>
      </c>
      <c r="K3644" s="656"/>
      <c r="L3644" s="656" t="s">
        <v>4920</v>
      </c>
      <c r="M3644" s="657"/>
      <c r="N3644" s="1482"/>
      <c r="O3644" s="656" t="s">
        <v>498</v>
      </c>
      <c r="P3644" s="656" t="s">
        <v>13052</v>
      </c>
      <c r="Q3644" s="656">
        <v>44216.768240740741</v>
      </c>
    </row>
    <row r="3645" spans="1:17">
      <c r="A3645" s="656" t="s">
        <v>8800</v>
      </c>
      <c r="B3645" s="657" t="s">
        <v>202</v>
      </c>
      <c r="C3645" s="656" t="s">
        <v>8799</v>
      </c>
      <c r="D3645" s="657" t="s">
        <v>14978</v>
      </c>
      <c r="E3645" s="657" t="s">
        <v>9406</v>
      </c>
      <c r="F3645" s="656" t="s">
        <v>475</v>
      </c>
      <c r="G3645" s="656" t="s">
        <v>475</v>
      </c>
      <c r="H3645" s="656" t="s">
        <v>475</v>
      </c>
      <c r="I3645" s="656" t="s">
        <v>14976</v>
      </c>
      <c r="J3645" s="656" t="s">
        <v>12371</v>
      </c>
      <c r="K3645" s="656" t="s">
        <v>475</v>
      </c>
      <c r="L3645" s="656" t="s">
        <v>4920</v>
      </c>
      <c r="M3645" s="657"/>
      <c r="N3645" s="1482"/>
      <c r="O3645" s="656" t="s">
        <v>498</v>
      </c>
      <c r="P3645" s="656" t="s">
        <v>13052</v>
      </c>
      <c r="Q3645" s="656">
        <v>44216.768229166664</v>
      </c>
    </row>
    <row r="3646" spans="1:17">
      <c r="A3646" s="656" t="s">
        <v>4920</v>
      </c>
      <c r="B3646" s="657" t="s">
        <v>202</v>
      </c>
      <c r="C3646" s="656" t="s">
        <v>4921</v>
      </c>
      <c r="D3646" s="657" t="s">
        <v>14977</v>
      </c>
      <c r="E3646" s="657"/>
      <c r="F3646" s="656" t="s">
        <v>475</v>
      </c>
      <c r="G3646" s="656" t="s">
        <v>475</v>
      </c>
      <c r="H3646" s="656" t="s">
        <v>475</v>
      </c>
      <c r="I3646" s="656" t="s">
        <v>14976</v>
      </c>
      <c r="J3646" s="656" t="s">
        <v>12371</v>
      </c>
      <c r="K3646" s="656" t="s">
        <v>475</v>
      </c>
      <c r="L3646" s="656" t="s">
        <v>4920</v>
      </c>
      <c r="M3646" s="657"/>
      <c r="N3646" s="1482"/>
      <c r="O3646" s="656" t="s">
        <v>498</v>
      </c>
      <c r="P3646" s="656" t="s">
        <v>13052</v>
      </c>
      <c r="Q3646" s="656">
        <v>44216.768229166664</v>
      </c>
    </row>
    <row r="3647" spans="1:17">
      <c r="A3647" s="656" t="s">
        <v>4922</v>
      </c>
      <c r="B3647" s="657" t="s">
        <v>202</v>
      </c>
      <c r="C3647" s="656" t="s">
        <v>4923</v>
      </c>
      <c r="D3647" s="657" t="s">
        <v>14977</v>
      </c>
      <c r="E3647" s="657"/>
      <c r="F3647" s="656" t="s">
        <v>1620</v>
      </c>
      <c r="G3647" s="656" t="s">
        <v>1620</v>
      </c>
      <c r="H3647" s="656" t="s">
        <v>1620</v>
      </c>
      <c r="I3647" s="656" t="s">
        <v>14976</v>
      </c>
      <c r="J3647" s="656" t="s">
        <v>15288</v>
      </c>
      <c r="K3647" s="656"/>
      <c r="L3647" s="656" t="s">
        <v>4922</v>
      </c>
      <c r="M3647" s="657"/>
      <c r="N3647" s="1482"/>
      <c r="O3647" s="656" t="s">
        <v>498</v>
      </c>
      <c r="P3647" s="656" t="s">
        <v>13052</v>
      </c>
      <c r="Q3647" s="656">
        <v>44216.768217592595</v>
      </c>
    </row>
    <row r="3648" spans="1:17">
      <c r="A3648" s="656" t="s">
        <v>4924</v>
      </c>
      <c r="B3648" s="657" t="s">
        <v>202</v>
      </c>
      <c r="C3648" s="656" t="s">
        <v>4925</v>
      </c>
      <c r="D3648" s="657" t="s">
        <v>14977</v>
      </c>
      <c r="E3648" s="657"/>
      <c r="F3648" s="656" t="s">
        <v>655</v>
      </c>
      <c r="G3648" s="656"/>
      <c r="H3648" s="656" t="s">
        <v>655</v>
      </c>
      <c r="I3648" s="656" t="s">
        <v>14976</v>
      </c>
      <c r="J3648" s="656" t="s">
        <v>15281</v>
      </c>
      <c r="K3648" s="656"/>
      <c r="L3648" s="656" t="s">
        <v>4924</v>
      </c>
      <c r="M3648" s="657"/>
      <c r="N3648" s="1482"/>
      <c r="O3648" s="656" t="s">
        <v>498</v>
      </c>
      <c r="P3648" s="656" t="s">
        <v>13052</v>
      </c>
      <c r="Q3648" s="656">
        <v>44216.768217592595</v>
      </c>
    </row>
    <row r="3649" spans="1:17">
      <c r="A3649" s="656" t="s">
        <v>4926</v>
      </c>
      <c r="B3649" s="657" t="s">
        <v>202</v>
      </c>
      <c r="C3649" s="656" t="s">
        <v>4927</v>
      </c>
      <c r="D3649" s="657" t="s">
        <v>14978</v>
      </c>
      <c r="E3649" s="657"/>
      <c r="F3649" s="656" t="s">
        <v>442</v>
      </c>
      <c r="G3649" s="656" t="s">
        <v>561</v>
      </c>
      <c r="H3649" s="656" t="s">
        <v>442</v>
      </c>
      <c r="I3649" s="656" t="s">
        <v>14976</v>
      </c>
      <c r="J3649" s="656" t="s">
        <v>12369</v>
      </c>
      <c r="K3649" s="656"/>
      <c r="L3649" s="656"/>
      <c r="M3649" s="657"/>
      <c r="N3649" s="1482"/>
      <c r="O3649" s="656" t="s">
        <v>498</v>
      </c>
      <c r="P3649" s="656" t="s">
        <v>13052</v>
      </c>
      <c r="Q3649" s="656">
        <v>44216.768206018518</v>
      </c>
    </row>
    <row r="3650" spans="1:17">
      <c r="A3650" s="656" t="s">
        <v>4928</v>
      </c>
      <c r="B3650" s="657" t="s">
        <v>531</v>
      </c>
      <c r="C3650" s="656" t="s">
        <v>4929</v>
      </c>
      <c r="D3650" s="657" t="s">
        <v>14978</v>
      </c>
      <c r="E3650" s="657"/>
      <c r="F3650" s="656" t="s">
        <v>442</v>
      </c>
      <c r="G3650" s="656" t="s">
        <v>561</v>
      </c>
      <c r="H3650" s="656" t="s">
        <v>442</v>
      </c>
      <c r="I3650" s="656" t="s">
        <v>14976</v>
      </c>
      <c r="J3650" s="656" t="s">
        <v>12369</v>
      </c>
      <c r="K3650" s="656"/>
      <c r="L3650" s="656"/>
      <c r="M3650" s="657"/>
      <c r="N3650" s="1482"/>
      <c r="O3650" s="656" t="s">
        <v>498</v>
      </c>
      <c r="P3650" s="656" t="s">
        <v>13052</v>
      </c>
      <c r="Q3650" s="656">
        <v>44216.768206018518</v>
      </c>
    </row>
    <row r="3651" spans="1:17">
      <c r="A3651" s="656" t="s">
        <v>4930</v>
      </c>
      <c r="B3651" s="657" t="s">
        <v>531</v>
      </c>
      <c r="C3651" s="656" t="s">
        <v>4931</v>
      </c>
      <c r="D3651" s="657" t="s">
        <v>14978</v>
      </c>
      <c r="E3651" s="657"/>
      <c r="F3651" s="656" t="s">
        <v>442</v>
      </c>
      <c r="G3651" s="656" t="s">
        <v>561</v>
      </c>
      <c r="H3651" s="656" t="s">
        <v>442</v>
      </c>
      <c r="I3651" s="656" t="s">
        <v>14976</v>
      </c>
      <c r="J3651" s="656" t="s">
        <v>12369</v>
      </c>
      <c r="K3651" s="656"/>
      <c r="L3651" s="656"/>
      <c r="M3651" s="657"/>
      <c r="N3651" s="1482"/>
      <c r="O3651" s="656" t="s">
        <v>498</v>
      </c>
      <c r="P3651" s="656" t="s">
        <v>13052</v>
      </c>
      <c r="Q3651" s="656">
        <v>44216.768194444441</v>
      </c>
    </row>
    <row r="3652" spans="1:17">
      <c r="A3652" s="656" t="s">
        <v>4932</v>
      </c>
      <c r="B3652" s="657" t="s">
        <v>531</v>
      </c>
      <c r="C3652" s="656" t="s">
        <v>4933</v>
      </c>
      <c r="D3652" s="657" t="s">
        <v>14978</v>
      </c>
      <c r="E3652" s="657"/>
      <c r="F3652" s="656" t="s">
        <v>442</v>
      </c>
      <c r="G3652" s="656" t="s">
        <v>561</v>
      </c>
      <c r="H3652" s="656" t="s">
        <v>442</v>
      </c>
      <c r="I3652" s="656" t="s">
        <v>14976</v>
      </c>
      <c r="J3652" s="656" t="s">
        <v>12369</v>
      </c>
      <c r="K3652" s="656"/>
      <c r="L3652" s="656"/>
      <c r="M3652" s="657"/>
      <c r="N3652" s="1482"/>
      <c r="O3652" s="656" t="s">
        <v>498</v>
      </c>
      <c r="P3652" s="656" t="s">
        <v>13052</v>
      </c>
      <c r="Q3652" s="656">
        <v>44216.768194444441</v>
      </c>
    </row>
    <row r="3653" spans="1:17">
      <c r="A3653" s="656" t="s">
        <v>4934</v>
      </c>
      <c r="B3653" s="657" t="s">
        <v>531</v>
      </c>
      <c r="C3653" s="656" t="s">
        <v>4935</v>
      </c>
      <c r="D3653" s="657" t="s">
        <v>14978</v>
      </c>
      <c r="E3653" s="657"/>
      <c r="F3653" s="656" t="s">
        <v>442</v>
      </c>
      <c r="G3653" s="656" t="s">
        <v>282</v>
      </c>
      <c r="H3653" s="656" t="s">
        <v>442</v>
      </c>
      <c r="I3653" s="656" t="s">
        <v>14976</v>
      </c>
      <c r="J3653" s="656" t="s">
        <v>12369</v>
      </c>
      <c r="K3653" s="656"/>
      <c r="L3653" s="656"/>
      <c r="M3653" s="657"/>
      <c r="N3653" s="1482"/>
      <c r="O3653" s="656" t="s">
        <v>498</v>
      </c>
      <c r="P3653" s="656" t="s">
        <v>13052</v>
      </c>
      <c r="Q3653" s="656">
        <v>44216.768194444441</v>
      </c>
    </row>
    <row r="3654" spans="1:17">
      <c r="A3654" s="656" t="s">
        <v>4936</v>
      </c>
      <c r="B3654" s="657" t="s">
        <v>531</v>
      </c>
      <c r="C3654" s="656" t="s">
        <v>4937</v>
      </c>
      <c r="D3654" s="657" t="s">
        <v>14978</v>
      </c>
      <c r="E3654" s="657"/>
      <c r="F3654" s="656" t="s">
        <v>442</v>
      </c>
      <c r="G3654" s="656" t="s">
        <v>282</v>
      </c>
      <c r="H3654" s="656" t="s">
        <v>442</v>
      </c>
      <c r="I3654" s="656" t="s">
        <v>14976</v>
      </c>
      <c r="J3654" s="656" t="s">
        <v>12369</v>
      </c>
      <c r="K3654" s="656"/>
      <c r="L3654" s="656"/>
      <c r="M3654" s="657"/>
      <c r="N3654" s="1482"/>
      <c r="O3654" s="656" t="s">
        <v>498</v>
      </c>
      <c r="P3654" s="656" t="s">
        <v>13052</v>
      </c>
      <c r="Q3654" s="656">
        <v>44216.768182870372</v>
      </c>
    </row>
    <row r="3655" spans="1:17">
      <c r="A3655" s="656" t="s">
        <v>4938</v>
      </c>
      <c r="B3655" s="657" t="s">
        <v>531</v>
      </c>
      <c r="C3655" s="656" t="s">
        <v>4939</v>
      </c>
      <c r="D3655" s="657" t="s">
        <v>14978</v>
      </c>
      <c r="E3655" s="657"/>
      <c r="F3655" s="656" t="s">
        <v>442</v>
      </c>
      <c r="G3655" s="656" t="s">
        <v>282</v>
      </c>
      <c r="H3655" s="656" t="s">
        <v>442</v>
      </c>
      <c r="I3655" s="656" t="s">
        <v>14976</v>
      </c>
      <c r="J3655" s="656" t="s">
        <v>12369</v>
      </c>
      <c r="K3655" s="656"/>
      <c r="L3655" s="656"/>
      <c r="M3655" s="657"/>
      <c r="N3655" s="1482"/>
      <c r="O3655" s="656" t="s">
        <v>498</v>
      </c>
      <c r="P3655" s="656" t="s">
        <v>13052</v>
      </c>
      <c r="Q3655" s="656">
        <v>44216.768182870372</v>
      </c>
    </row>
    <row r="3656" spans="1:17">
      <c r="A3656" s="656" t="s">
        <v>4940</v>
      </c>
      <c r="B3656" s="657" t="s">
        <v>531</v>
      </c>
      <c r="C3656" s="656" t="s">
        <v>4941</v>
      </c>
      <c r="D3656" s="657" t="s">
        <v>14978</v>
      </c>
      <c r="E3656" s="657"/>
      <c r="F3656" s="656" t="s">
        <v>442</v>
      </c>
      <c r="G3656" s="656" t="s">
        <v>282</v>
      </c>
      <c r="H3656" s="656" t="s">
        <v>442</v>
      </c>
      <c r="I3656" s="656" t="s">
        <v>14976</v>
      </c>
      <c r="J3656" s="656" t="s">
        <v>12369</v>
      </c>
      <c r="K3656" s="656"/>
      <c r="L3656" s="656"/>
      <c r="M3656" s="657"/>
      <c r="N3656" s="1482"/>
      <c r="O3656" s="656" t="s">
        <v>498</v>
      </c>
      <c r="P3656" s="656" t="s">
        <v>13052</v>
      </c>
      <c r="Q3656" s="656">
        <v>44216.768171296295</v>
      </c>
    </row>
    <row r="3657" spans="1:17">
      <c r="A3657" s="656" t="s">
        <v>4942</v>
      </c>
      <c r="B3657" s="657" t="s">
        <v>531</v>
      </c>
      <c r="C3657" s="656" t="s">
        <v>4943</v>
      </c>
      <c r="D3657" s="657" t="s">
        <v>14978</v>
      </c>
      <c r="E3657" s="657"/>
      <c r="F3657" s="656" t="s">
        <v>442</v>
      </c>
      <c r="G3657" s="656" t="s">
        <v>561</v>
      </c>
      <c r="H3657" s="656" t="s">
        <v>442</v>
      </c>
      <c r="I3657" s="656" t="s">
        <v>14976</v>
      </c>
      <c r="J3657" s="656" t="s">
        <v>12369</v>
      </c>
      <c r="K3657" s="656"/>
      <c r="L3657" s="656"/>
      <c r="M3657" s="657"/>
      <c r="N3657" s="1482"/>
      <c r="O3657" s="656" t="s">
        <v>498</v>
      </c>
      <c r="P3657" s="656" t="s">
        <v>13052</v>
      </c>
      <c r="Q3657" s="656">
        <v>44216.768171296295</v>
      </c>
    </row>
    <row r="3658" spans="1:17">
      <c r="A3658" s="656" t="s">
        <v>4944</v>
      </c>
      <c r="B3658" s="657" t="s">
        <v>531</v>
      </c>
      <c r="C3658" s="656" t="s">
        <v>4943</v>
      </c>
      <c r="D3658" s="657" t="s">
        <v>14978</v>
      </c>
      <c r="E3658" s="657"/>
      <c r="F3658" s="656" t="s">
        <v>442</v>
      </c>
      <c r="G3658" s="656" t="s">
        <v>561</v>
      </c>
      <c r="H3658" s="656" t="s">
        <v>442</v>
      </c>
      <c r="I3658" s="656" t="s">
        <v>14976</v>
      </c>
      <c r="J3658" s="656" t="s">
        <v>12369</v>
      </c>
      <c r="K3658" s="656"/>
      <c r="L3658" s="656"/>
      <c r="M3658" s="657"/>
      <c r="N3658" s="1482"/>
      <c r="O3658" s="656" t="s">
        <v>498</v>
      </c>
      <c r="P3658" s="656" t="s">
        <v>13052</v>
      </c>
      <c r="Q3658" s="656">
        <v>44216.768159722225</v>
      </c>
    </row>
    <row r="3659" spans="1:17">
      <c r="A3659" s="656" t="s">
        <v>4945</v>
      </c>
      <c r="B3659" s="657" t="s">
        <v>531</v>
      </c>
      <c r="C3659" s="656" t="s">
        <v>4943</v>
      </c>
      <c r="D3659" s="657" t="s">
        <v>14978</v>
      </c>
      <c r="E3659" s="657"/>
      <c r="F3659" s="656" t="s">
        <v>442</v>
      </c>
      <c r="G3659" s="656" t="s">
        <v>561</v>
      </c>
      <c r="H3659" s="656" t="s">
        <v>442</v>
      </c>
      <c r="I3659" s="656" t="s">
        <v>14976</v>
      </c>
      <c r="J3659" s="656" t="s">
        <v>12369</v>
      </c>
      <c r="K3659" s="656"/>
      <c r="L3659" s="656"/>
      <c r="M3659" s="657"/>
      <c r="N3659" s="1482"/>
      <c r="O3659" s="656" t="s">
        <v>498</v>
      </c>
      <c r="P3659" s="656" t="s">
        <v>13052</v>
      </c>
      <c r="Q3659" s="656">
        <v>44216.768159722225</v>
      </c>
    </row>
    <row r="3660" spans="1:17">
      <c r="A3660" s="656" t="s">
        <v>4946</v>
      </c>
      <c r="B3660" s="657" t="s">
        <v>531</v>
      </c>
      <c r="C3660" s="656" t="s">
        <v>4947</v>
      </c>
      <c r="D3660" s="657" t="s">
        <v>14978</v>
      </c>
      <c r="E3660" s="657"/>
      <c r="F3660" s="656" t="s">
        <v>442</v>
      </c>
      <c r="G3660" s="656" t="s">
        <v>1058</v>
      </c>
      <c r="H3660" s="656" t="s">
        <v>442</v>
      </c>
      <c r="I3660" s="656" t="s">
        <v>14976</v>
      </c>
      <c r="J3660" s="656" t="s">
        <v>12369</v>
      </c>
      <c r="K3660" s="656"/>
      <c r="L3660" s="656"/>
      <c r="M3660" s="657"/>
      <c r="N3660" s="1482"/>
      <c r="O3660" s="656" t="s">
        <v>498</v>
      </c>
      <c r="P3660" s="656" t="s">
        <v>13052</v>
      </c>
      <c r="Q3660" s="656">
        <v>44216.768148148149</v>
      </c>
    </row>
    <row r="3661" spans="1:17">
      <c r="A3661" s="656" t="s">
        <v>4948</v>
      </c>
      <c r="B3661" s="657" t="s">
        <v>504</v>
      </c>
      <c r="C3661" s="656" t="s">
        <v>4949</v>
      </c>
      <c r="D3661" s="657" t="s">
        <v>14978</v>
      </c>
      <c r="E3661" s="657"/>
      <c r="F3661" s="656"/>
      <c r="G3661" s="656"/>
      <c r="H3661" s="656"/>
      <c r="I3661" s="656"/>
      <c r="J3661" s="656"/>
      <c r="K3661" s="656"/>
      <c r="L3661" s="656"/>
      <c r="M3661" s="657"/>
      <c r="N3661" s="1482"/>
      <c r="O3661" s="656" t="s">
        <v>498</v>
      </c>
      <c r="P3661" s="656" t="s">
        <v>13052</v>
      </c>
      <c r="Q3661" s="656">
        <v>44216.768148148149</v>
      </c>
    </row>
    <row r="3662" spans="1:17">
      <c r="A3662" s="656" t="s">
        <v>4950</v>
      </c>
      <c r="B3662" s="657" t="s">
        <v>202</v>
      </c>
      <c r="C3662" s="656" t="s">
        <v>4951</v>
      </c>
      <c r="D3662" s="657" t="s">
        <v>14978</v>
      </c>
      <c r="E3662" s="657"/>
      <c r="F3662" s="656" t="s">
        <v>442</v>
      </c>
      <c r="G3662" s="656" t="s">
        <v>561</v>
      </c>
      <c r="H3662" s="656" t="s">
        <v>442</v>
      </c>
      <c r="I3662" s="656" t="s">
        <v>14976</v>
      </c>
      <c r="J3662" s="656" t="s">
        <v>12369</v>
      </c>
      <c r="K3662" s="656"/>
      <c r="L3662" s="656"/>
      <c r="M3662" s="657"/>
      <c r="N3662" s="1482"/>
      <c r="O3662" s="656" t="s">
        <v>498</v>
      </c>
      <c r="P3662" s="656" t="s">
        <v>13052</v>
      </c>
      <c r="Q3662" s="656">
        <v>44216.768136574072</v>
      </c>
    </row>
    <row r="3663" spans="1:17">
      <c r="A3663" s="656" t="s">
        <v>4952</v>
      </c>
      <c r="B3663" s="657" t="s">
        <v>504</v>
      </c>
      <c r="C3663" s="656" t="s">
        <v>4953</v>
      </c>
      <c r="D3663" s="657" t="s">
        <v>14978</v>
      </c>
      <c r="E3663" s="657"/>
      <c r="F3663" s="656"/>
      <c r="G3663" s="656"/>
      <c r="H3663" s="656"/>
      <c r="I3663" s="656"/>
      <c r="J3663" s="656"/>
      <c r="K3663" s="656"/>
      <c r="L3663" s="656"/>
      <c r="M3663" s="657"/>
      <c r="N3663" s="1482"/>
      <c r="O3663" s="656" t="s">
        <v>498</v>
      </c>
      <c r="P3663" s="656" t="s">
        <v>13052</v>
      </c>
      <c r="Q3663" s="656">
        <v>44216.768136574072</v>
      </c>
    </row>
    <row r="3664" spans="1:17">
      <c r="A3664" s="656" t="s">
        <v>4954</v>
      </c>
      <c r="B3664" s="657" t="s">
        <v>531</v>
      </c>
      <c r="C3664" s="656" t="s">
        <v>4955</v>
      </c>
      <c r="D3664" s="657" t="s">
        <v>14978</v>
      </c>
      <c r="E3664" s="657"/>
      <c r="F3664" s="656" t="s">
        <v>442</v>
      </c>
      <c r="G3664" s="656" t="s">
        <v>561</v>
      </c>
      <c r="H3664" s="656" t="s">
        <v>442</v>
      </c>
      <c r="I3664" s="656" t="s">
        <v>14976</v>
      </c>
      <c r="J3664" s="656" t="s">
        <v>12369</v>
      </c>
      <c r="K3664" s="656" t="s">
        <v>1058</v>
      </c>
      <c r="L3664" s="656"/>
      <c r="M3664" s="657"/>
      <c r="N3664" s="1482"/>
      <c r="O3664" s="656" t="s">
        <v>498</v>
      </c>
      <c r="P3664" s="656" t="s">
        <v>13052</v>
      </c>
      <c r="Q3664" s="656">
        <v>44216.768136574072</v>
      </c>
    </row>
    <row r="3665" spans="1:17">
      <c r="A3665" s="656" t="s">
        <v>4956</v>
      </c>
      <c r="B3665" s="657" t="s">
        <v>531</v>
      </c>
      <c r="C3665" s="656" t="s">
        <v>4957</v>
      </c>
      <c r="D3665" s="657" t="s">
        <v>14978</v>
      </c>
      <c r="E3665" s="657"/>
      <c r="F3665" s="656" t="s">
        <v>442</v>
      </c>
      <c r="G3665" s="656" t="s">
        <v>561</v>
      </c>
      <c r="H3665" s="656" t="s">
        <v>442</v>
      </c>
      <c r="I3665" s="656" t="s">
        <v>14976</v>
      </c>
      <c r="J3665" s="656" t="s">
        <v>12369</v>
      </c>
      <c r="K3665" s="656"/>
      <c r="L3665" s="656"/>
      <c r="M3665" s="657"/>
      <c r="N3665" s="1482"/>
      <c r="O3665" s="656" t="s">
        <v>498</v>
      </c>
      <c r="P3665" s="656" t="s">
        <v>13052</v>
      </c>
      <c r="Q3665" s="656">
        <v>44216.768125000002</v>
      </c>
    </row>
    <row r="3666" spans="1:17">
      <c r="A3666" s="656" t="s">
        <v>4958</v>
      </c>
      <c r="B3666" s="657" t="s">
        <v>531</v>
      </c>
      <c r="C3666" s="656" t="s">
        <v>4959</v>
      </c>
      <c r="D3666" s="657" t="s">
        <v>14978</v>
      </c>
      <c r="E3666" s="657"/>
      <c r="F3666" s="656" t="s">
        <v>442</v>
      </c>
      <c r="G3666" s="656" t="s">
        <v>561</v>
      </c>
      <c r="H3666" s="656" t="s">
        <v>442</v>
      </c>
      <c r="I3666" s="656" t="s">
        <v>14976</v>
      </c>
      <c r="J3666" s="656" t="s">
        <v>12369</v>
      </c>
      <c r="K3666" s="656"/>
      <c r="L3666" s="656"/>
      <c r="M3666" s="657"/>
      <c r="N3666" s="1482"/>
      <c r="O3666" s="656" t="s">
        <v>498</v>
      </c>
      <c r="P3666" s="656" t="s">
        <v>13052</v>
      </c>
      <c r="Q3666" s="656">
        <v>44216.768125000002</v>
      </c>
    </row>
    <row r="3667" spans="1:17">
      <c r="A3667" s="656" t="s">
        <v>4960</v>
      </c>
      <c r="B3667" s="657" t="s">
        <v>531</v>
      </c>
      <c r="C3667" s="656" t="s">
        <v>4961</v>
      </c>
      <c r="D3667" s="657" t="s">
        <v>14978</v>
      </c>
      <c r="E3667" s="657"/>
      <c r="F3667" s="656" t="s">
        <v>442</v>
      </c>
      <c r="G3667" s="656" t="s">
        <v>561</v>
      </c>
      <c r="H3667" s="656" t="s">
        <v>442</v>
      </c>
      <c r="I3667" s="656" t="s">
        <v>14976</v>
      </c>
      <c r="J3667" s="656" t="s">
        <v>12369</v>
      </c>
      <c r="K3667" s="656"/>
      <c r="L3667" s="656"/>
      <c r="M3667" s="657"/>
      <c r="N3667" s="1482"/>
      <c r="O3667" s="656" t="s">
        <v>498</v>
      </c>
      <c r="P3667" s="656" t="s">
        <v>13052</v>
      </c>
      <c r="Q3667" s="656">
        <v>44216.768113425926</v>
      </c>
    </row>
    <row r="3668" spans="1:17">
      <c r="A3668" s="656" t="s">
        <v>4962</v>
      </c>
      <c r="B3668" s="657" t="s">
        <v>531</v>
      </c>
      <c r="C3668" s="656" t="s">
        <v>4963</v>
      </c>
      <c r="D3668" s="657" t="s">
        <v>14978</v>
      </c>
      <c r="E3668" s="657"/>
      <c r="F3668" s="656" t="s">
        <v>442</v>
      </c>
      <c r="G3668" s="656" t="s">
        <v>561</v>
      </c>
      <c r="H3668" s="656" t="s">
        <v>442</v>
      </c>
      <c r="I3668" s="656" t="s">
        <v>14976</v>
      </c>
      <c r="J3668" s="656" t="s">
        <v>12369</v>
      </c>
      <c r="K3668" s="656"/>
      <c r="L3668" s="656"/>
      <c r="M3668" s="657"/>
      <c r="N3668" s="1482"/>
      <c r="O3668" s="656" t="s">
        <v>498</v>
      </c>
      <c r="P3668" s="656" t="s">
        <v>13052</v>
      </c>
      <c r="Q3668" s="656">
        <v>44216.768113425926</v>
      </c>
    </row>
    <row r="3669" spans="1:17">
      <c r="A3669" s="656" t="s">
        <v>4964</v>
      </c>
      <c r="B3669" s="657" t="s">
        <v>531</v>
      </c>
      <c r="C3669" s="656" t="s">
        <v>4965</v>
      </c>
      <c r="D3669" s="657" t="s">
        <v>14978</v>
      </c>
      <c r="E3669" s="657"/>
      <c r="F3669" s="656" t="s">
        <v>442</v>
      </c>
      <c r="G3669" s="656" t="s">
        <v>561</v>
      </c>
      <c r="H3669" s="656" t="s">
        <v>442</v>
      </c>
      <c r="I3669" s="656" t="s">
        <v>14976</v>
      </c>
      <c r="J3669" s="656" t="s">
        <v>12369</v>
      </c>
      <c r="K3669" s="656"/>
      <c r="L3669" s="656"/>
      <c r="M3669" s="657"/>
      <c r="N3669" s="1482"/>
      <c r="O3669" s="656" t="s">
        <v>498</v>
      </c>
      <c r="P3669" s="656" t="s">
        <v>13052</v>
      </c>
      <c r="Q3669" s="656">
        <v>44216.768101851849</v>
      </c>
    </row>
    <row r="3670" spans="1:17">
      <c r="A3670" s="656" t="s">
        <v>9715</v>
      </c>
      <c r="B3670" s="657" t="s">
        <v>202</v>
      </c>
      <c r="C3670" s="656" t="s">
        <v>13389</v>
      </c>
      <c r="D3670" s="657" t="s">
        <v>14978</v>
      </c>
      <c r="E3670" s="657"/>
      <c r="F3670" s="656" t="s">
        <v>442</v>
      </c>
      <c r="G3670" s="656" t="s">
        <v>561</v>
      </c>
      <c r="H3670" s="656" t="s">
        <v>442</v>
      </c>
      <c r="I3670" s="656" t="s">
        <v>14976</v>
      </c>
      <c r="J3670" s="656" t="s">
        <v>12369</v>
      </c>
      <c r="K3670" s="656"/>
      <c r="L3670" s="656"/>
      <c r="M3670" s="657"/>
      <c r="N3670" s="1482"/>
      <c r="O3670" s="656" t="s">
        <v>498</v>
      </c>
      <c r="P3670" s="656" t="s">
        <v>13052</v>
      </c>
      <c r="Q3670" s="656">
        <v>44216.768101851849</v>
      </c>
    </row>
    <row r="3671" spans="1:17">
      <c r="A3671" s="656" t="s">
        <v>4966</v>
      </c>
      <c r="B3671" s="657" t="s">
        <v>504</v>
      </c>
      <c r="C3671" s="656" t="s">
        <v>4967</v>
      </c>
      <c r="D3671" s="657" t="s">
        <v>14978</v>
      </c>
      <c r="E3671" s="657"/>
      <c r="F3671" s="656"/>
      <c r="G3671" s="656"/>
      <c r="H3671" s="656"/>
      <c r="I3671" s="656"/>
      <c r="J3671" s="656"/>
      <c r="K3671" s="656"/>
      <c r="L3671" s="656"/>
      <c r="M3671" s="657"/>
      <c r="N3671" s="1482"/>
      <c r="O3671" s="656" t="s">
        <v>498</v>
      </c>
      <c r="P3671" s="656" t="s">
        <v>13052</v>
      </c>
      <c r="Q3671" s="656">
        <v>44216.768090277779</v>
      </c>
    </row>
    <row r="3672" spans="1:17">
      <c r="A3672" s="656" t="s">
        <v>4968</v>
      </c>
      <c r="B3672" s="657" t="s">
        <v>531</v>
      </c>
      <c r="C3672" s="656" t="s">
        <v>4969</v>
      </c>
      <c r="D3672" s="657" t="s">
        <v>14978</v>
      </c>
      <c r="E3672" s="657"/>
      <c r="F3672" s="656" t="s">
        <v>442</v>
      </c>
      <c r="G3672" s="656" t="s">
        <v>561</v>
      </c>
      <c r="H3672" s="656" t="s">
        <v>442</v>
      </c>
      <c r="I3672" s="656" t="s">
        <v>14976</v>
      </c>
      <c r="J3672" s="656" t="s">
        <v>12369</v>
      </c>
      <c r="K3672" s="656"/>
      <c r="L3672" s="656"/>
      <c r="M3672" s="657"/>
      <c r="N3672" s="1482"/>
      <c r="O3672" s="656" t="s">
        <v>498</v>
      </c>
      <c r="P3672" s="656" t="s">
        <v>13052</v>
      </c>
      <c r="Q3672" s="656">
        <v>44216.768090277779</v>
      </c>
    </row>
    <row r="3673" spans="1:17">
      <c r="A3673" s="656" t="s">
        <v>4970</v>
      </c>
      <c r="B3673" s="657" t="s">
        <v>531</v>
      </c>
      <c r="C3673" s="656" t="s">
        <v>4971</v>
      </c>
      <c r="D3673" s="657" t="s">
        <v>14978</v>
      </c>
      <c r="E3673" s="657"/>
      <c r="F3673" s="656" t="s">
        <v>442</v>
      </c>
      <c r="G3673" s="656" t="s">
        <v>561</v>
      </c>
      <c r="H3673" s="656" t="s">
        <v>442</v>
      </c>
      <c r="I3673" s="656" t="s">
        <v>14976</v>
      </c>
      <c r="J3673" s="656" t="s">
        <v>12369</v>
      </c>
      <c r="K3673" s="656"/>
      <c r="L3673" s="656"/>
      <c r="M3673" s="657"/>
      <c r="N3673" s="1482"/>
      <c r="O3673" s="656" t="s">
        <v>498</v>
      </c>
      <c r="P3673" s="656" t="s">
        <v>13052</v>
      </c>
      <c r="Q3673" s="656">
        <v>44216.768078703702</v>
      </c>
    </row>
    <row r="3674" spans="1:17">
      <c r="A3674" s="656" t="s">
        <v>4972</v>
      </c>
      <c r="B3674" s="657" t="s">
        <v>531</v>
      </c>
      <c r="C3674" s="656" t="s">
        <v>4973</v>
      </c>
      <c r="D3674" s="657" t="s">
        <v>14977</v>
      </c>
      <c r="E3674" s="657"/>
      <c r="F3674" s="656" t="s">
        <v>442</v>
      </c>
      <c r="G3674" s="656" t="s">
        <v>561</v>
      </c>
      <c r="H3674" s="656" t="s">
        <v>442</v>
      </c>
      <c r="I3674" s="656" t="s">
        <v>14976</v>
      </c>
      <c r="J3674" s="656" t="s">
        <v>12369</v>
      </c>
      <c r="K3674" s="656"/>
      <c r="L3674" s="656"/>
      <c r="M3674" s="657"/>
      <c r="N3674" s="1482"/>
      <c r="O3674" s="656" t="s">
        <v>498</v>
      </c>
      <c r="P3674" s="656" t="s">
        <v>13052</v>
      </c>
      <c r="Q3674" s="656">
        <v>44216.768078703702</v>
      </c>
    </row>
    <row r="3675" spans="1:17">
      <c r="A3675" s="656" t="s">
        <v>4974</v>
      </c>
      <c r="B3675" s="657" t="s">
        <v>202</v>
      </c>
      <c r="C3675" s="656" t="s">
        <v>4975</v>
      </c>
      <c r="D3675" s="657" t="s">
        <v>14977</v>
      </c>
      <c r="E3675" s="657"/>
      <c r="F3675" s="656" t="s">
        <v>655</v>
      </c>
      <c r="G3675" s="656"/>
      <c r="H3675" s="656" t="s">
        <v>655</v>
      </c>
      <c r="I3675" s="656" t="s">
        <v>14976</v>
      </c>
      <c r="J3675" s="656" t="s">
        <v>15281</v>
      </c>
      <c r="K3675" s="656"/>
      <c r="L3675" s="656" t="s">
        <v>4974</v>
      </c>
      <c r="M3675" s="657"/>
      <c r="N3675" s="1482"/>
      <c r="O3675" s="656" t="s">
        <v>498</v>
      </c>
      <c r="P3675" s="656" t="s">
        <v>13052</v>
      </c>
      <c r="Q3675" s="656">
        <v>44216.768078703702</v>
      </c>
    </row>
    <row r="3676" spans="1:17">
      <c r="A3676" s="656" t="s">
        <v>4976</v>
      </c>
      <c r="B3676" s="657" t="s">
        <v>202</v>
      </c>
      <c r="C3676" s="656" t="s">
        <v>4977</v>
      </c>
      <c r="D3676" s="657" t="s">
        <v>14977</v>
      </c>
      <c r="E3676" s="657"/>
      <c r="F3676" s="656" t="s">
        <v>1394</v>
      </c>
      <c r="G3676" s="656"/>
      <c r="H3676" s="656" t="s">
        <v>1394</v>
      </c>
      <c r="I3676" s="656" t="s">
        <v>14976</v>
      </c>
      <c r="J3676" s="656" t="s">
        <v>15285</v>
      </c>
      <c r="K3676" s="656"/>
      <c r="L3676" s="656" t="s">
        <v>4976</v>
      </c>
      <c r="M3676" s="657"/>
      <c r="N3676" s="1482"/>
      <c r="O3676" s="656" t="s">
        <v>498</v>
      </c>
      <c r="P3676" s="656" t="s">
        <v>13052</v>
      </c>
      <c r="Q3676" s="656">
        <v>44216.768067129633</v>
      </c>
    </row>
    <row r="3677" spans="1:17">
      <c r="A3677" s="656" t="s">
        <v>4978</v>
      </c>
      <c r="B3677" s="657"/>
      <c r="C3677" s="656" t="s">
        <v>4979</v>
      </c>
      <c r="D3677" s="657" t="s">
        <v>14977</v>
      </c>
      <c r="E3677" s="657"/>
      <c r="F3677" s="656"/>
      <c r="G3677" s="656"/>
      <c r="H3677" s="656"/>
      <c r="I3677" s="656" t="s">
        <v>14976</v>
      </c>
      <c r="J3677" s="656"/>
      <c r="K3677" s="656"/>
      <c r="L3677" s="656" t="s">
        <v>4978</v>
      </c>
      <c r="M3677" s="657"/>
      <c r="N3677" s="1482"/>
      <c r="O3677" s="656" t="s">
        <v>498</v>
      </c>
      <c r="P3677" s="656" t="s">
        <v>13052</v>
      </c>
      <c r="Q3677" s="656">
        <v>44216.768067129633</v>
      </c>
    </row>
    <row r="3678" spans="1:17">
      <c r="A3678" s="656" t="s">
        <v>13385</v>
      </c>
      <c r="B3678" s="657" t="s">
        <v>202</v>
      </c>
      <c r="C3678" s="656" t="s">
        <v>13386</v>
      </c>
      <c r="D3678" s="657" t="s">
        <v>14977</v>
      </c>
      <c r="E3678" s="657"/>
      <c r="F3678" s="656" t="s">
        <v>500</v>
      </c>
      <c r="G3678" s="656" t="s">
        <v>500</v>
      </c>
      <c r="H3678" s="656" t="s">
        <v>500</v>
      </c>
      <c r="I3678" s="656" t="s">
        <v>14976</v>
      </c>
      <c r="J3678" s="656" t="s">
        <v>15282</v>
      </c>
      <c r="K3678" s="656"/>
      <c r="L3678" s="656" t="s">
        <v>13385</v>
      </c>
      <c r="M3678" s="657"/>
      <c r="N3678" s="1482"/>
      <c r="O3678" s="656" t="s">
        <v>498</v>
      </c>
      <c r="P3678" s="656" t="s">
        <v>13052</v>
      </c>
      <c r="Q3678" s="656">
        <v>44216.768055555556</v>
      </c>
    </row>
    <row r="3679" spans="1:17">
      <c r="A3679" s="656" t="s">
        <v>4980</v>
      </c>
      <c r="B3679" s="657" t="s">
        <v>504</v>
      </c>
      <c r="C3679" s="656" t="s">
        <v>4981</v>
      </c>
      <c r="D3679" s="657" t="s">
        <v>1239</v>
      </c>
      <c r="E3679" s="657"/>
      <c r="F3679" s="656"/>
      <c r="G3679" s="656"/>
      <c r="H3679" s="656"/>
      <c r="I3679" s="656"/>
      <c r="J3679" s="656"/>
      <c r="K3679" s="656"/>
      <c r="L3679" s="656"/>
      <c r="M3679" s="657"/>
      <c r="N3679" s="1482"/>
      <c r="O3679" s="656" t="s">
        <v>498</v>
      </c>
      <c r="P3679" s="656" t="s">
        <v>13052</v>
      </c>
      <c r="Q3679" s="656">
        <v>44216.768043981479</v>
      </c>
    </row>
    <row r="3680" spans="1:17">
      <c r="A3680" s="656" t="s">
        <v>4982</v>
      </c>
      <c r="B3680" s="657"/>
      <c r="C3680" s="656" t="s">
        <v>4983</v>
      </c>
      <c r="D3680" s="657" t="s">
        <v>14977</v>
      </c>
      <c r="E3680" s="657"/>
      <c r="F3680" s="656"/>
      <c r="G3680" s="656"/>
      <c r="H3680" s="656"/>
      <c r="I3680" s="656" t="s">
        <v>14976</v>
      </c>
      <c r="J3680" s="656"/>
      <c r="K3680" s="656"/>
      <c r="L3680" s="656" t="s">
        <v>4982</v>
      </c>
      <c r="M3680" s="657"/>
      <c r="N3680" s="1482"/>
      <c r="O3680" s="656" t="s">
        <v>498</v>
      </c>
      <c r="P3680" s="656" t="s">
        <v>13052</v>
      </c>
      <c r="Q3680" s="656">
        <v>44216.768043981479</v>
      </c>
    </row>
    <row r="3681" spans="1:17">
      <c r="A3681" s="656" t="s">
        <v>4984</v>
      </c>
      <c r="B3681" s="657"/>
      <c r="C3681" s="656" t="s">
        <v>4985</v>
      </c>
      <c r="D3681" s="657" t="s">
        <v>14977</v>
      </c>
      <c r="E3681" s="657"/>
      <c r="F3681" s="656"/>
      <c r="G3681" s="656"/>
      <c r="H3681" s="656"/>
      <c r="I3681" s="656" t="s">
        <v>14976</v>
      </c>
      <c r="J3681" s="656"/>
      <c r="K3681" s="656"/>
      <c r="L3681" s="656" t="s">
        <v>4984</v>
      </c>
      <c r="M3681" s="657"/>
      <c r="N3681" s="1482"/>
      <c r="O3681" s="656" t="s">
        <v>498</v>
      </c>
      <c r="P3681" s="656" t="s">
        <v>13052</v>
      </c>
      <c r="Q3681" s="656">
        <v>44216.768043981479</v>
      </c>
    </row>
    <row r="3682" spans="1:17">
      <c r="A3682" s="656" t="s">
        <v>4986</v>
      </c>
      <c r="B3682" s="657"/>
      <c r="C3682" s="656" t="s">
        <v>4987</v>
      </c>
      <c r="D3682" s="657" t="s">
        <v>14977</v>
      </c>
      <c r="E3682" s="657"/>
      <c r="F3682" s="656"/>
      <c r="G3682" s="656"/>
      <c r="H3682" s="656"/>
      <c r="I3682" s="656" t="s">
        <v>14976</v>
      </c>
      <c r="J3682" s="656"/>
      <c r="K3682" s="656"/>
      <c r="L3682" s="656" t="s">
        <v>4986</v>
      </c>
      <c r="M3682" s="657"/>
      <c r="N3682" s="1482"/>
      <c r="O3682" s="656" t="s">
        <v>498</v>
      </c>
      <c r="P3682" s="656" t="s">
        <v>13052</v>
      </c>
      <c r="Q3682" s="656">
        <v>44216.76803240741</v>
      </c>
    </row>
    <row r="3683" spans="1:17">
      <c r="A3683" s="656" t="s">
        <v>4988</v>
      </c>
      <c r="B3683" s="657"/>
      <c r="C3683" s="656" t="s">
        <v>4989</v>
      </c>
      <c r="D3683" s="657" t="s">
        <v>14977</v>
      </c>
      <c r="E3683" s="657"/>
      <c r="F3683" s="656"/>
      <c r="G3683" s="656"/>
      <c r="H3683" s="656"/>
      <c r="I3683" s="656" t="s">
        <v>14976</v>
      </c>
      <c r="J3683" s="656"/>
      <c r="K3683" s="656"/>
      <c r="L3683" s="656" t="s">
        <v>4988</v>
      </c>
      <c r="M3683" s="657"/>
      <c r="N3683" s="1482"/>
      <c r="O3683" s="656" t="s">
        <v>498</v>
      </c>
      <c r="P3683" s="656" t="s">
        <v>13052</v>
      </c>
      <c r="Q3683" s="656">
        <v>44216.76803240741</v>
      </c>
    </row>
    <row r="3684" spans="1:17">
      <c r="A3684" s="656" t="s">
        <v>4990</v>
      </c>
      <c r="B3684" s="657"/>
      <c r="C3684" s="656" t="s">
        <v>4991</v>
      </c>
      <c r="D3684" s="657" t="s">
        <v>14977</v>
      </c>
      <c r="E3684" s="657"/>
      <c r="F3684" s="656"/>
      <c r="G3684" s="656"/>
      <c r="H3684" s="656"/>
      <c r="I3684" s="656" t="s">
        <v>14976</v>
      </c>
      <c r="J3684" s="656"/>
      <c r="K3684" s="656"/>
      <c r="L3684" s="656" t="s">
        <v>4990</v>
      </c>
      <c r="M3684" s="657"/>
      <c r="N3684" s="1482"/>
      <c r="O3684" s="656" t="s">
        <v>498</v>
      </c>
      <c r="P3684" s="656" t="s">
        <v>13052</v>
      </c>
      <c r="Q3684" s="656">
        <v>44216.768020833333</v>
      </c>
    </row>
    <row r="3685" spans="1:17">
      <c r="A3685" s="656" t="s">
        <v>4992</v>
      </c>
      <c r="B3685" s="657"/>
      <c r="C3685" s="656" t="s">
        <v>4993</v>
      </c>
      <c r="D3685" s="657" t="s">
        <v>14977</v>
      </c>
      <c r="E3685" s="657"/>
      <c r="F3685" s="656"/>
      <c r="G3685" s="656"/>
      <c r="H3685" s="656"/>
      <c r="I3685" s="656" t="s">
        <v>14976</v>
      </c>
      <c r="J3685" s="656"/>
      <c r="K3685" s="656"/>
      <c r="L3685" s="656" t="s">
        <v>4992</v>
      </c>
      <c r="M3685" s="657"/>
      <c r="N3685" s="1482"/>
      <c r="O3685" s="656" t="s">
        <v>498</v>
      </c>
      <c r="P3685" s="656" t="s">
        <v>13052</v>
      </c>
      <c r="Q3685" s="656">
        <v>44216.767997685187</v>
      </c>
    </row>
    <row r="3686" spans="1:17">
      <c r="A3686" s="656" t="s">
        <v>4994</v>
      </c>
      <c r="B3686" s="657"/>
      <c r="C3686" s="656" t="s">
        <v>4995</v>
      </c>
      <c r="D3686" s="657" t="s">
        <v>14977</v>
      </c>
      <c r="E3686" s="657"/>
      <c r="F3686" s="656"/>
      <c r="G3686" s="656"/>
      <c r="H3686" s="656"/>
      <c r="I3686" s="656" t="s">
        <v>14976</v>
      </c>
      <c r="J3686" s="656"/>
      <c r="K3686" s="656"/>
      <c r="L3686" s="656" t="s">
        <v>4994</v>
      </c>
      <c r="M3686" s="657"/>
      <c r="N3686" s="1482"/>
      <c r="O3686" s="656" t="s">
        <v>498</v>
      </c>
      <c r="P3686" s="656" t="s">
        <v>13052</v>
      </c>
      <c r="Q3686" s="656">
        <v>44216.767997685187</v>
      </c>
    </row>
    <row r="3687" spans="1:17">
      <c r="A3687" s="656" t="s">
        <v>4996</v>
      </c>
      <c r="B3687" s="657"/>
      <c r="C3687" s="656" t="s">
        <v>4997</v>
      </c>
      <c r="D3687" s="657" t="s">
        <v>14977</v>
      </c>
      <c r="E3687" s="657"/>
      <c r="F3687" s="656"/>
      <c r="G3687" s="656"/>
      <c r="H3687" s="656"/>
      <c r="I3687" s="656" t="s">
        <v>14976</v>
      </c>
      <c r="J3687" s="656"/>
      <c r="K3687" s="656"/>
      <c r="L3687" s="656" t="s">
        <v>4996</v>
      </c>
      <c r="M3687" s="657"/>
      <c r="N3687" s="1482"/>
      <c r="O3687" s="656" t="s">
        <v>498</v>
      </c>
      <c r="P3687" s="656" t="s">
        <v>13052</v>
      </c>
      <c r="Q3687" s="656">
        <v>44216.76798611111</v>
      </c>
    </row>
    <row r="3688" spans="1:17">
      <c r="A3688" s="656" t="s">
        <v>4998</v>
      </c>
      <c r="B3688" s="657" t="s">
        <v>202</v>
      </c>
      <c r="C3688" s="656" t="s">
        <v>4999</v>
      </c>
      <c r="D3688" s="657" t="s">
        <v>14978</v>
      </c>
      <c r="E3688" s="657"/>
      <c r="F3688" s="656" t="s">
        <v>500</v>
      </c>
      <c r="G3688" s="656" t="s">
        <v>500</v>
      </c>
      <c r="H3688" s="656" t="s">
        <v>500</v>
      </c>
      <c r="I3688" s="656" t="s">
        <v>14976</v>
      </c>
      <c r="J3688" s="656" t="s">
        <v>15282</v>
      </c>
      <c r="K3688" s="656"/>
      <c r="L3688" s="656" t="s">
        <v>5000</v>
      </c>
      <c r="M3688" s="657"/>
      <c r="N3688" s="1482"/>
      <c r="O3688" s="656" t="s">
        <v>498</v>
      </c>
      <c r="P3688" s="656" t="s">
        <v>13052</v>
      </c>
      <c r="Q3688" s="656">
        <v>44216.76798611111</v>
      </c>
    </row>
    <row r="3689" spans="1:17">
      <c r="A3689" s="656" t="s">
        <v>5000</v>
      </c>
      <c r="B3689" s="657" t="s">
        <v>202</v>
      </c>
      <c r="C3689" s="656" t="s">
        <v>5001</v>
      </c>
      <c r="D3689" s="657" t="s">
        <v>14977</v>
      </c>
      <c r="E3689" s="657"/>
      <c r="F3689" s="656" t="s">
        <v>500</v>
      </c>
      <c r="G3689" s="656" t="s">
        <v>500</v>
      </c>
      <c r="H3689" s="656" t="s">
        <v>500</v>
      </c>
      <c r="I3689" s="656" t="s">
        <v>14976</v>
      </c>
      <c r="J3689" s="656" t="s">
        <v>15293</v>
      </c>
      <c r="K3689" s="656"/>
      <c r="L3689" s="656" t="s">
        <v>5000</v>
      </c>
      <c r="M3689" s="657"/>
      <c r="N3689" s="1482"/>
      <c r="O3689" s="656" t="s">
        <v>498</v>
      </c>
      <c r="P3689" s="656" t="s">
        <v>13052</v>
      </c>
      <c r="Q3689" s="656">
        <v>44216.767974537041</v>
      </c>
    </row>
    <row r="3690" spans="1:17">
      <c r="A3690" s="656" t="s">
        <v>5002</v>
      </c>
      <c r="B3690" s="657"/>
      <c r="C3690" s="656" t="s">
        <v>5003</v>
      </c>
      <c r="D3690" s="657" t="s">
        <v>14977</v>
      </c>
      <c r="E3690" s="657"/>
      <c r="F3690" s="656"/>
      <c r="G3690" s="656"/>
      <c r="H3690" s="656"/>
      <c r="I3690" s="656" t="s">
        <v>14976</v>
      </c>
      <c r="J3690" s="656"/>
      <c r="K3690" s="656"/>
      <c r="L3690" s="656" t="s">
        <v>5002</v>
      </c>
      <c r="M3690" s="657"/>
      <c r="N3690" s="1482"/>
      <c r="O3690" s="656" t="s">
        <v>498</v>
      </c>
      <c r="P3690" s="656" t="s">
        <v>13052</v>
      </c>
      <c r="Q3690" s="656">
        <v>44216.767974537041</v>
      </c>
    </row>
    <row r="3691" spans="1:17">
      <c r="A3691" s="656" t="s">
        <v>5004</v>
      </c>
      <c r="B3691" s="657"/>
      <c r="C3691" s="656" t="s">
        <v>5005</v>
      </c>
      <c r="D3691" s="657" t="s">
        <v>14977</v>
      </c>
      <c r="E3691" s="657"/>
      <c r="F3691" s="656"/>
      <c r="G3691" s="656"/>
      <c r="H3691" s="656"/>
      <c r="I3691" s="656" t="s">
        <v>14976</v>
      </c>
      <c r="J3691" s="656"/>
      <c r="K3691" s="656"/>
      <c r="L3691" s="656" t="s">
        <v>5004</v>
      </c>
      <c r="M3691" s="657"/>
      <c r="N3691" s="1482"/>
      <c r="O3691" s="656" t="s">
        <v>498</v>
      </c>
      <c r="P3691" s="656" t="s">
        <v>13052</v>
      </c>
      <c r="Q3691" s="656">
        <v>44216.767962962964</v>
      </c>
    </row>
    <row r="3692" spans="1:17">
      <c r="A3692" s="656" t="s">
        <v>5006</v>
      </c>
      <c r="B3692" s="657" t="s">
        <v>504</v>
      </c>
      <c r="C3692" s="656" t="s">
        <v>5007</v>
      </c>
      <c r="D3692" s="657" t="s">
        <v>14977</v>
      </c>
      <c r="E3692" s="657"/>
      <c r="F3692" s="656"/>
      <c r="G3692" s="656" t="s">
        <v>5008</v>
      </c>
      <c r="H3692" s="656"/>
      <c r="I3692" s="656"/>
      <c r="J3692" s="656"/>
      <c r="K3692" s="656"/>
      <c r="L3692" s="656"/>
      <c r="M3692" s="657"/>
      <c r="N3692" s="1482"/>
      <c r="O3692" s="656" t="s">
        <v>498</v>
      </c>
      <c r="P3692" s="656" t="s">
        <v>13052</v>
      </c>
      <c r="Q3692" s="656">
        <v>44216.767974537041</v>
      </c>
    </row>
    <row r="3693" spans="1:17">
      <c r="A3693" s="656" t="s">
        <v>5009</v>
      </c>
      <c r="B3693" s="657"/>
      <c r="C3693" s="656" t="s">
        <v>4010</v>
      </c>
      <c r="D3693" s="657" t="s">
        <v>14977</v>
      </c>
      <c r="E3693" s="657"/>
      <c r="F3693" s="656"/>
      <c r="G3693" s="656"/>
      <c r="H3693" s="656"/>
      <c r="I3693" s="656" t="s">
        <v>14976</v>
      </c>
      <c r="J3693" s="656"/>
      <c r="K3693" s="656"/>
      <c r="L3693" s="656" t="s">
        <v>5009</v>
      </c>
      <c r="M3693" s="657"/>
      <c r="N3693" s="1482"/>
      <c r="O3693" s="656" t="s">
        <v>498</v>
      </c>
      <c r="P3693" s="656" t="s">
        <v>13052</v>
      </c>
      <c r="Q3693" s="656">
        <v>44216.767962962964</v>
      </c>
    </row>
    <row r="3694" spans="1:17">
      <c r="A3694" s="656" t="s">
        <v>5010</v>
      </c>
      <c r="B3694" s="657"/>
      <c r="C3694" s="656" t="s">
        <v>5011</v>
      </c>
      <c r="D3694" s="657" t="s">
        <v>14977</v>
      </c>
      <c r="E3694" s="657"/>
      <c r="F3694" s="656"/>
      <c r="G3694" s="656" t="s">
        <v>4198</v>
      </c>
      <c r="H3694" s="656"/>
      <c r="I3694" s="656" t="s">
        <v>14976</v>
      </c>
      <c r="J3694" s="656"/>
      <c r="K3694" s="656"/>
      <c r="L3694" s="656" t="s">
        <v>5010</v>
      </c>
      <c r="M3694" s="657"/>
      <c r="N3694" s="1482"/>
      <c r="O3694" s="656" t="s">
        <v>498</v>
      </c>
      <c r="P3694" s="656" t="s">
        <v>13052</v>
      </c>
      <c r="Q3694" s="656">
        <v>44216.767951388887</v>
      </c>
    </row>
    <row r="3695" spans="1:17">
      <c r="A3695" s="656" t="s">
        <v>5012</v>
      </c>
      <c r="B3695" s="657"/>
      <c r="C3695" s="656" t="s">
        <v>5013</v>
      </c>
      <c r="D3695" s="657" t="s">
        <v>14977</v>
      </c>
      <c r="E3695" s="657"/>
      <c r="F3695" s="656"/>
      <c r="G3695" s="656" t="s">
        <v>4198</v>
      </c>
      <c r="H3695" s="656"/>
      <c r="I3695" s="656" t="s">
        <v>14976</v>
      </c>
      <c r="J3695" s="656"/>
      <c r="K3695" s="656"/>
      <c r="L3695" s="656" t="s">
        <v>5012</v>
      </c>
      <c r="M3695" s="657"/>
      <c r="N3695" s="1482"/>
      <c r="O3695" s="656" t="s">
        <v>498</v>
      </c>
      <c r="P3695" s="656" t="s">
        <v>13052</v>
      </c>
      <c r="Q3695" s="656">
        <v>44216.767951388887</v>
      </c>
    </row>
    <row r="3696" spans="1:17">
      <c r="A3696" s="656" t="s">
        <v>5014</v>
      </c>
      <c r="B3696" s="657" t="s">
        <v>504</v>
      </c>
      <c r="C3696" s="656" t="s">
        <v>5015</v>
      </c>
      <c r="D3696" s="657"/>
      <c r="E3696" s="657"/>
      <c r="F3696" s="656" t="s">
        <v>505</v>
      </c>
      <c r="G3696" s="656" t="s">
        <v>4324</v>
      </c>
      <c r="H3696" s="656" t="s">
        <v>505</v>
      </c>
      <c r="I3696" s="656"/>
      <c r="J3696" s="656"/>
      <c r="K3696" s="656"/>
      <c r="L3696" s="656"/>
      <c r="M3696" s="657"/>
      <c r="N3696" s="1482"/>
      <c r="O3696" s="656" t="s">
        <v>498</v>
      </c>
      <c r="P3696" s="656" t="s">
        <v>13052</v>
      </c>
      <c r="Q3696" s="656">
        <v>44216.767939814818</v>
      </c>
    </row>
    <row r="3697" spans="1:17">
      <c r="A3697" s="656" t="s">
        <v>5016</v>
      </c>
      <c r="B3697" s="657" t="s">
        <v>504</v>
      </c>
      <c r="C3697" s="656" t="s">
        <v>5017</v>
      </c>
      <c r="D3697" s="657"/>
      <c r="E3697" s="657"/>
      <c r="F3697" s="656" t="s">
        <v>505</v>
      </c>
      <c r="G3697" s="656" t="s">
        <v>4324</v>
      </c>
      <c r="H3697" s="656" t="s">
        <v>505</v>
      </c>
      <c r="I3697" s="656"/>
      <c r="J3697" s="656"/>
      <c r="K3697" s="656"/>
      <c r="L3697" s="656"/>
      <c r="M3697" s="657"/>
      <c r="N3697" s="1482"/>
      <c r="O3697" s="656" t="s">
        <v>498</v>
      </c>
      <c r="P3697" s="656" t="s">
        <v>13052</v>
      </c>
      <c r="Q3697" s="656">
        <v>44216.767939814818</v>
      </c>
    </row>
    <row r="3698" spans="1:17">
      <c r="A3698" s="656" t="s">
        <v>5018</v>
      </c>
      <c r="B3698" s="657" t="s">
        <v>504</v>
      </c>
      <c r="C3698" s="656" t="s">
        <v>5019</v>
      </c>
      <c r="D3698" s="657"/>
      <c r="E3698" s="657"/>
      <c r="F3698" s="656" t="s">
        <v>505</v>
      </c>
      <c r="G3698" s="656" t="s">
        <v>4324</v>
      </c>
      <c r="H3698" s="656" t="s">
        <v>505</v>
      </c>
      <c r="I3698" s="656"/>
      <c r="J3698" s="656"/>
      <c r="K3698" s="656"/>
      <c r="L3698" s="656"/>
      <c r="M3698" s="657"/>
      <c r="N3698" s="1482"/>
      <c r="O3698" s="656" t="s">
        <v>498</v>
      </c>
      <c r="P3698" s="656" t="s">
        <v>13052</v>
      </c>
      <c r="Q3698" s="656">
        <v>44216.767939814818</v>
      </c>
    </row>
    <row r="3699" spans="1:17">
      <c r="A3699" s="656" t="s">
        <v>5020</v>
      </c>
      <c r="B3699" s="657" t="s">
        <v>504</v>
      </c>
      <c r="C3699" s="656" t="s">
        <v>5021</v>
      </c>
      <c r="D3699" s="657"/>
      <c r="E3699" s="657"/>
      <c r="F3699" s="656" t="s">
        <v>505</v>
      </c>
      <c r="G3699" s="656" t="s">
        <v>4324</v>
      </c>
      <c r="H3699" s="656" t="s">
        <v>505</v>
      </c>
      <c r="I3699" s="656"/>
      <c r="J3699" s="656"/>
      <c r="K3699" s="656"/>
      <c r="L3699" s="656"/>
      <c r="M3699" s="657"/>
      <c r="N3699" s="1482"/>
      <c r="O3699" s="656" t="s">
        <v>498</v>
      </c>
      <c r="P3699" s="656" t="s">
        <v>13052</v>
      </c>
      <c r="Q3699" s="656">
        <v>44216.767928240741</v>
      </c>
    </row>
    <row r="3700" spans="1:17">
      <c r="A3700" s="656" t="s">
        <v>5022</v>
      </c>
      <c r="B3700" s="657" t="s">
        <v>504</v>
      </c>
      <c r="C3700" s="656" t="s">
        <v>5023</v>
      </c>
      <c r="D3700" s="657"/>
      <c r="E3700" s="657"/>
      <c r="F3700" s="656" t="s">
        <v>505</v>
      </c>
      <c r="G3700" s="656" t="s">
        <v>4324</v>
      </c>
      <c r="H3700" s="656" t="s">
        <v>505</v>
      </c>
      <c r="I3700" s="656"/>
      <c r="J3700" s="656"/>
      <c r="K3700" s="656"/>
      <c r="L3700" s="656"/>
      <c r="M3700" s="657"/>
      <c r="N3700" s="1482"/>
      <c r="O3700" s="656" t="s">
        <v>498</v>
      </c>
      <c r="P3700" s="656" t="s">
        <v>13052</v>
      </c>
      <c r="Q3700" s="656">
        <v>44216.767916666664</v>
      </c>
    </row>
    <row r="3701" spans="1:17">
      <c r="A3701" s="656" t="s">
        <v>5024</v>
      </c>
      <c r="B3701" s="657" t="s">
        <v>504</v>
      </c>
      <c r="C3701" s="656" t="s">
        <v>5025</v>
      </c>
      <c r="D3701" s="657"/>
      <c r="E3701" s="657"/>
      <c r="F3701" s="656" t="s">
        <v>505</v>
      </c>
      <c r="G3701" s="656" t="s">
        <v>4324</v>
      </c>
      <c r="H3701" s="656" t="s">
        <v>505</v>
      </c>
      <c r="I3701" s="656"/>
      <c r="J3701" s="656"/>
      <c r="K3701" s="656"/>
      <c r="L3701" s="656"/>
      <c r="M3701" s="657"/>
      <c r="N3701" s="1482"/>
      <c r="O3701" s="656" t="s">
        <v>498</v>
      </c>
      <c r="P3701" s="656" t="s">
        <v>13052</v>
      </c>
      <c r="Q3701" s="656">
        <v>44216.767905092594</v>
      </c>
    </row>
    <row r="3702" spans="1:17">
      <c r="A3702" s="656" t="s">
        <v>5026</v>
      </c>
      <c r="B3702" s="657" t="s">
        <v>504</v>
      </c>
      <c r="C3702" s="656" t="s">
        <v>4303</v>
      </c>
      <c r="D3702" s="657"/>
      <c r="E3702" s="657"/>
      <c r="F3702" s="656" t="s">
        <v>505</v>
      </c>
      <c r="G3702" s="656" t="s">
        <v>4324</v>
      </c>
      <c r="H3702" s="656" t="s">
        <v>505</v>
      </c>
      <c r="I3702" s="656"/>
      <c r="J3702" s="656"/>
      <c r="K3702" s="656"/>
      <c r="L3702" s="656"/>
      <c r="M3702" s="657"/>
      <c r="N3702" s="1482"/>
      <c r="O3702" s="656" t="s">
        <v>498</v>
      </c>
      <c r="P3702" s="656" t="s">
        <v>13052</v>
      </c>
      <c r="Q3702" s="656">
        <v>44216.767905092594</v>
      </c>
    </row>
    <row r="3703" spans="1:17">
      <c r="A3703" s="656" t="s">
        <v>5027</v>
      </c>
      <c r="B3703" s="657" t="s">
        <v>504</v>
      </c>
      <c r="C3703" s="656" t="s">
        <v>5028</v>
      </c>
      <c r="D3703" s="657"/>
      <c r="E3703" s="657"/>
      <c r="F3703" s="656" t="s">
        <v>505</v>
      </c>
      <c r="G3703" s="656" t="s">
        <v>4324</v>
      </c>
      <c r="H3703" s="656" t="s">
        <v>505</v>
      </c>
      <c r="I3703" s="656"/>
      <c r="J3703" s="656"/>
      <c r="K3703" s="656"/>
      <c r="L3703" s="656"/>
      <c r="M3703" s="657"/>
      <c r="N3703" s="1482"/>
      <c r="O3703" s="656" t="s">
        <v>498</v>
      </c>
      <c r="P3703" s="656" t="s">
        <v>13052</v>
      </c>
      <c r="Q3703" s="656">
        <v>44216.767893518518</v>
      </c>
    </row>
    <row r="3704" spans="1:17">
      <c r="A3704" s="656" t="s">
        <v>5029</v>
      </c>
      <c r="B3704" s="657" t="s">
        <v>504</v>
      </c>
      <c r="C3704" s="656" t="s">
        <v>5030</v>
      </c>
      <c r="D3704" s="657"/>
      <c r="E3704" s="657"/>
      <c r="F3704" s="656" t="s">
        <v>505</v>
      </c>
      <c r="G3704" s="656" t="s">
        <v>4324</v>
      </c>
      <c r="H3704" s="656" t="s">
        <v>505</v>
      </c>
      <c r="I3704" s="656"/>
      <c r="J3704" s="656"/>
      <c r="K3704" s="656"/>
      <c r="L3704" s="656"/>
      <c r="M3704" s="657"/>
      <c r="N3704" s="1482"/>
      <c r="O3704" s="656" t="s">
        <v>498</v>
      </c>
      <c r="P3704" s="656" t="s">
        <v>13052</v>
      </c>
      <c r="Q3704" s="656">
        <v>44216.767893518518</v>
      </c>
    </row>
    <row r="3705" spans="1:17">
      <c r="A3705" s="656" t="s">
        <v>5031</v>
      </c>
      <c r="B3705" s="657" t="s">
        <v>504</v>
      </c>
      <c r="C3705" s="656" t="s">
        <v>5032</v>
      </c>
      <c r="D3705" s="657"/>
      <c r="E3705" s="657"/>
      <c r="F3705" s="656" t="s">
        <v>505</v>
      </c>
      <c r="G3705" s="656" t="s">
        <v>4324</v>
      </c>
      <c r="H3705" s="656" t="s">
        <v>505</v>
      </c>
      <c r="I3705" s="656"/>
      <c r="J3705" s="656"/>
      <c r="K3705" s="656"/>
      <c r="L3705" s="656"/>
      <c r="M3705" s="657"/>
      <c r="N3705" s="1482"/>
      <c r="O3705" s="656" t="s">
        <v>498</v>
      </c>
      <c r="P3705" s="656" t="s">
        <v>13052</v>
      </c>
      <c r="Q3705" s="656">
        <v>44216.767893518518</v>
      </c>
    </row>
    <row r="3706" spans="1:17">
      <c r="A3706" s="656" t="s">
        <v>5033</v>
      </c>
      <c r="B3706" s="657" t="s">
        <v>504</v>
      </c>
      <c r="C3706" s="656" t="s">
        <v>5034</v>
      </c>
      <c r="D3706" s="657"/>
      <c r="E3706" s="657"/>
      <c r="F3706" s="656" t="s">
        <v>505</v>
      </c>
      <c r="G3706" s="656" t="s">
        <v>4324</v>
      </c>
      <c r="H3706" s="656" t="s">
        <v>505</v>
      </c>
      <c r="I3706" s="656"/>
      <c r="J3706" s="656"/>
      <c r="K3706" s="656"/>
      <c r="L3706" s="656"/>
      <c r="M3706" s="657"/>
      <c r="N3706" s="1482"/>
      <c r="O3706" s="656" t="s">
        <v>498</v>
      </c>
      <c r="P3706" s="656" t="s">
        <v>13052</v>
      </c>
      <c r="Q3706" s="656">
        <v>44216.767881944441</v>
      </c>
    </row>
    <row r="3707" spans="1:17">
      <c r="A3707" s="656" t="s">
        <v>5035</v>
      </c>
      <c r="B3707" s="657" t="s">
        <v>504</v>
      </c>
      <c r="C3707" s="656" t="s">
        <v>5036</v>
      </c>
      <c r="D3707" s="657"/>
      <c r="E3707" s="657"/>
      <c r="F3707" s="656" t="s">
        <v>505</v>
      </c>
      <c r="G3707" s="656" t="s">
        <v>4324</v>
      </c>
      <c r="H3707" s="656" t="s">
        <v>505</v>
      </c>
      <c r="I3707" s="656"/>
      <c r="J3707" s="656"/>
      <c r="K3707" s="656"/>
      <c r="L3707" s="656"/>
      <c r="M3707" s="657"/>
      <c r="N3707" s="1482"/>
      <c r="O3707" s="656" t="s">
        <v>498</v>
      </c>
      <c r="P3707" s="656" t="s">
        <v>13052</v>
      </c>
      <c r="Q3707" s="656">
        <v>44216.767881944441</v>
      </c>
    </row>
    <row r="3708" spans="1:17">
      <c r="A3708" s="656" t="s">
        <v>5037</v>
      </c>
      <c r="B3708" s="657" t="s">
        <v>504</v>
      </c>
      <c r="C3708" s="656" t="s">
        <v>5038</v>
      </c>
      <c r="D3708" s="657"/>
      <c r="E3708" s="657"/>
      <c r="F3708" s="656" t="s">
        <v>505</v>
      </c>
      <c r="G3708" s="656" t="s">
        <v>4324</v>
      </c>
      <c r="H3708" s="656" t="s">
        <v>505</v>
      </c>
      <c r="I3708" s="656"/>
      <c r="J3708" s="656"/>
      <c r="K3708" s="656"/>
      <c r="L3708" s="656"/>
      <c r="M3708" s="657"/>
      <c r="N3708" s="1482"/>
      <c r="O3708" s="656" t="s">
        <v>498</v>
      </c>
      <c r="P3708" s="656" t="s">
        <v>13052</v>
      </c>
      <c r="Q3708" s="656">
        <v>44216.767870370371</v>
      </c>
    </row>
    <row r="3709" spans="1:17">
      <c r="A3709" s="656" t="s">
        <v>5039</v>
      </c>
      <c r="B3709" s="657" t="s">
        <v>504</v>
      </c>
      <c r="C3709" s="656" t="s">
        <v>5040</v>
      </c>
      <c r="D3709" s="657"/>
      <c r="E3709" s="657"/>
      <c r="F3709" s="656" t="s">
        <v>505</v>
      </c>
      <c r="G3709" s="656" t="s">
        <v>4324</v>
      </c>
      <c r="H3709" s="656" t="s">
        <v>505</v>
      </c>
      <c r="I3709" s="656"/>
      <c r="J3709" s="656"/>
      <c r="K3709" s="656"/>
      <c r="L3709" s="656"/>
      <c r="M3709" s="657"/>
      <c r="N3709" s="1482"/>
      <c r="O3709" s="656" t="s">
        <v>498</v>
      </c>
      <c r="P3709" s="656" t="s">
        <v>13052</v>
      </c>
      <c r="Q3709" s="656">
        <v>44216.767870370371</v>
      </c>
    </row>
    <row r="3710" spans="1:17">
      <c r="A3710" s="656" t="s">
        <v>5041</v>
      </c>
      <c r="B3710" s="657" t="s">
        <v>504</v>
      </c>
      <c r="C3710" s="656" t="s">
        <v>5042</v>
      </c>
      <c r="D3710" s="657" t="s">
        <v>14977</v>
      </c>
      <c r="E3710" s="657"/>
      <c r="F3710" s="656"/>
      <c r="G3710" s="656" t="s">
        <v>4347</v>
      </c>
      <c r="H3710" s="656"/>
      <c r="I3710" s="656"/>
      <c r="J3710" s="656"/>
      <c r="K3710" s="656"/>
      <c r="L3710" s="656"/>
      <c r="M3710" s="657"/>
      <c r="N3710" s="1482"/>
      <c r="O3710" s="656" t="s">
        <v>498</v>
      </c>
      <c r="P3710" s="656" t="s">
        <v>13052</v>
      </c>
      <c r="Q3710" s="656">
        <v>44216.767858796295</v>
      </c>
    </row>
    <row r="3711" spans="1:17">
      <c r="A3711" s="656" t="s">
        <v>13377</v>
      </c>
      <c r="B3711" s="657" t="s">
        <v>202</v>
      </c>
      <c r="C3711" s="656" t="s">
        <v>13378</v>
      </c>
      <c r="D3711" s="657" t="s">
        <v>14977</v>
      </c>
      <c r="E3711" s="657"/>
      <c r="F3711" s="656" t="s">
        <v>1300</v>
      </c>
      <c r="G3711" s="656"/>
      <c r="H3711" s="656" t="s">
        <v>1300</v>
      </c>
      <c r="I3711" s="656" t="s">
        <v>14976</v>
      </c>
      <c r="J3711" s="656" t="s">
        <v>15285</v>
      </c>
      <c r="K3711" s="656"/>
      <c r="L3711" s="656" t="s">
        <v>13377</v>
      </c>
      <c r="M3711" s="657"/>
      <c r="N3711" s="1482"/>
      <c r="O3711" s="656" t="s">
        <v>498</v>
      </c>
      <c r="P3711" s="656" t="s">
        <v>13052</v>
      </c>
      <c r="Q3711" s="656">
        <v>44216.767847222225</v>
      </c>
    </row>
    <row r="3712" spans="1:17">
      <c r="A3712" s="656" t="s">
        <v>5043</v>
      </c>
      <c r="B3712" s="657"/>
      <c r="C3712" s="656" t="s">
        <v>5044</v>
      </c>
      <c r="D3712" s="657" t="s">
        <v>14977</v>
      </c>
      <c r="E3712" s="657"/>
      <c r="F3712" s="656"/>
      <c r="G3712" s="656" t="s">
        <v>5045</v>
      </c>
      <c r="H3712" s="656"/>
      <c r="I3712" s="656" t="s">
        <v>14976</v>
      </c>
      <c r="J3712" s="656"/>
      <c r="K3712" s="656"/>
      <c r="L3712" s="656" t="s">
        <v>5043</v>
      </c>
      <c r="M3712" s="657"/>
      <c r="N3712" s="1482"/>
      <c r="O3712" s="656" t="s">
        <v>498</v>
      </c>
      <c r="P3712" s="656" t="s">
        <v>13052</v>
      </c>
      <c r="Q3712" s="656">
        <v>44216.767847222225</v>
      </c>
    </row>
    <row r="3713" spans="1:17">
      <c r="A3713" s="656" t="s">
        <v>5046</v>
      </c>
      <c r="B3713" s="657"/>
      <c r="C3713" s="656" t="s">
        <v>5047</v>
      </c>
      <c r="D3713" s="657" t="s">
        <v>14977</v>
      </c>
      <c r="E3713" s="657"/>
      <c r="F3713" s="656"/>
      <c r="G3713" s="656" t="s">
        <v>4198</v>
      </c>
      <c r="H3713" s="656"/>
      <c r="I3713" s="656" t="s">
        <v>14976</v>
      </c>
      <c r="J3713" s="656"/>
      <c r="K3713" s="656"/>
      <c r="L3713" s="656" t="s">
        <v>5046</v>
      </c>
      <c r="M3713" s="657"/>
      <c r="N3713" s="1482"/>
      <c r="O3713" s="656" t="s">
        <v>498</v>
      </c>
      <c r="P3713" s="656" t="s">
        <v>13052</v>
      </c>
      <c r="Q3713" s="656">
        <v>44216.767847222225</v>
      </c>
    </row>
    <row r="3714" spans="1:17">
      <c r="A3714" s="656" t="s">
        <v>5048</v>
      </c>
      <c r="B3714" s="657" t="s">
        <v>504</v>
      </c>
      <c r="C3714" s="656" t="s">
        <v>5049</v>
      </c>
      <c r="D3714" s="657"/>
      <c r="E3714" s="657"/>
      <c r="F3714" s="656" t="s">
        <v>505</v>
      </c>
      <c r="G3714" s="656" t="s">
        <v>4394</v>
      </c>
      <c r="H3714" s="656" t="s">
        <v>505</v>
      </c>
      <c r="I3714" s="656"/>
      <c r="J3714" s="656"/>
      <c r="K3714" s="656"/>
      <c r="L3714" s="656"/>
      <c r="M3714" s="657"/>
      <c r="N3714" s="1482"/>
      <c r="O3714" s="656" t="s">
        <v>498</v>
      </c>
      <c r="P3714" s="656" t="s">
        <v>13052</v>
      </c>
      <c r="Q3714" s="656">
        <v>44216.767835648148</v>
      </c>
    </row>
    <row r="3715" spans="1:17">
      <c r="A3715" s="656" t="s">
        <v>5050</v>
      </c>
      <c r="B3715" s="657" t="s">
        <v>504</v>
      </c>
      <c r="C3715" s="656" t="s">
        <v>5051</v>
      </c>
      <c r="D3715" s="657"/>
      <c r="E3715" s="657"/>
      <c r="F3715" s="656" t="s">
        <v>505</v>
      </c>
      <c r="G3715" s="656" t="s">
        <v>4324</v>
      </c>
      <c r="H3715" s="656" t="s">
        <v>505</v>
      </c>
      <c r="I3715" s="656"/>
      <c r="J3715" s="656"/>
      <c r="K3715" s="656"/>
      <c r="L3715" s="656"/>
      <c r="M3715" s="657"/>
      <c r="N3715" s="1482"/>
      <c r="O3715" s="656" t="s">
        <v>498</v>
      </c>
      <c r="P3715" s="656" t="s">
        <v>13052</v>
      </c>
      <c r="Q3715" s="656">
        <v>44216.767835648148</v>
      </c>
    </row>
    <row r="3716" spans="1:17">
      <c r="A3716" s="656" t="s">
        <v>5052</v>
      </c>
      <c r="B3716" s="657" t="s">
        <v>504</v>
      </c>
      <c r="C3716" s="656" t="s">
        <v>5053</v>
      </c>
      <c r="D3716" s="657"/>
      <c r="E3716" s="657"/>
      <c r="F3716" s="656" t="s">
        <v>505</v>
      </c>
      <c r="G3716" s="656" t="s">
        <v>4324</v>
      </c>
      <c r="H3716" s="656" t="s">
        <v>505</v>
      </c>
      <c r="I3716" s="656"/>
      <c r="J3716" s="656"/>
      <c r="K3716" s="656"/>
      <c r="L3716" s="656"/>
      <c r="M3716" s="657"/>
      <c r="N3716" s="1482"/>
      <c r="O3716" s="656" t="s">
        <v>498</v>
      </c>
      <c r="P3716" s="656" t="s">
        <v>13052</v>
      </c>
      <c r="Q3716" s="656">
        <v>44216.767824074072</v>
      </c>
    </row>
    <row r="3717" spans="1:17">
      <c r="A3717" s="656" t="s">
        <v>5054</v>
      </c>
      <c r="B3717" s="657" t="s">
        <v>504</v>
      </c>
      <c r="C3717" s="656" t="s">
        <v>5055</v>
      </c>
      <c r="D3717" s="657"/>
      <c r="E3717" s="657"/>
      <c r="F3717" s="656" t="s">
        <v>505</v>
      </c>
      <c r="G3717" s="656" t="s">
        <v>4324</v>
      </c>
      <c r="H3717" s="656" t="s">
        <v>505</v>
      </c>
      <c r="I3717" s="656"/>
      <c r="J3717" s="656"/>
      <c r="K3717" s="656"/>
      <c r="L3717" s="656"/>
      <c r="M3717" s="657"/>
      <c r="N3717" s="1482"/>
      <c r="O3717" s="656" t="s">
        <v>498</v>
      </c>
      <c r="P3717" s="656" t="s">
        <v>13052</v>
      </c>
      <c r="Q3717" s="656">
        <v>44216.767824074072</v>
      </c>
    </row>
    <row r="3718" spans="1:17">
      <c r="A3718" s="656" t="s">
        <v>5056</v>
      </c>
      <c r="B3718" s="657" t="s">
        <v>504</v>
      </c>
      <c r="C3718" s="656" t="s">
        <v>5057</v>
      </c>
      <c r="D3718" s="657"/>
      <c r="E3718" s="657"/>
      <c r="F3718" s="656" t="s">
        <v>505</v>
      </c>
      <c r="G3718" s="656" t="s">
        <v>4324</v>
      </c>
      <c r="H3718" s="656" t="s">
        <v>505</v>
      </c>
      <c r="I3718" s="656"/>
      <c r="J3718" s="656"/>
      <c r="K3718" s="656"/>
      <c r="L3718" s="656"/>
      <c r="M3718" s="657"/>
      <c r="N3718" s="1482"/>
      <c r="O3718" s="656" t="s">
        <v>498</v>
      </c>
      <c r="P3718" s="656" t="s">
        <v>13052</v>
      </c>
      <c r="Q3718" s="656">
        <v>44216.767812500002</v>
      </c>
    </row>
    <row r="3719" spans="1:17">
      <c r="A3719" s="656" t="s">
        <v>13373</v>
      </c>
      <c r="B3719" s="657" t="s">
        <v>504</v>
      </c>
      <c r="C3719" s="656" t="s">
        <v>13374</v>
      </c>
      <c r="D3719" s="657" t="s">
        <v>14978</v>
      </c>
      <c r="E3719" s="657" t="s">
        <v>9654</v>
      </c>
      <c r="F3719" s="656" t="s">
        <v>540</v>
      </c>
      <c r="G3719" s="656" t="s">
        <v>625</v>
      </c>
      <c r="H3719" s="656" t="s">
        <v>540</v>
      </c>
      <c r="I3719" s="656"/>
      <c r="J3719" s="656"/>
      <c r="K3719" s="656"/>
      <c r="L3719" s="656" t="s">
        <v>5060</v>
      </c>
      <c r="M3719" s="657"/>
      <c r="N3719" s="1482"/>
      <c r="O3719" s="656" t="s">
        <v>498</v>
      </c>
      <c r="P3719" s="656" t="s">
        <v>13052</v>
      </c>
      <c r="Q3719" s="656">
        <v>44216.767812500002</v>
      </c>
    </row>
    <row r="3720" spans="1:17">
      <c r="A3720" s="656" t="s">
        <v>5058</v>
      </c>
      <c r="B3720" s="657"/>
      <c r="C3720" s="656" t="s">
        <v>5059</v>
      </c>
      <c r="D3720" s="657" t="s">
        <v>14978</v>
      </c>
      <c r="E3720" s="657"/>
      <c r="F3720" s="656" t="s">
        <v>1394</v>
      </c>
      <c r="G3720" s="656" t="s">
        <v>717</v>
      </c>
      <c r="H3720" s="656" t="s">
        <v>1394</v>
      </c>
      <c r="I3720" s="656" t="s">
        <v>14976</v>
      </c>
      <c r="J3720" s="656"/>
      <c r="K3720" s="656"/>
      <c r="L3720" s="656" t="s">
        <v>5072</v>
      </c>
      <c r="M3720" s="657"/>
      <c r="N3720" s="1482"/>
      <c r="O3720" s="656" t="s">
        <v>498</v>
      </c>
      <c r="P3720" s="656" t="s">
        <v>13052</v>
      </c>
      <c r="Q3720" s="656">
        <v>44216.767800925925</v>
      </c>
    </row>
    <row r="3721" spans="1:17">
      <c r="A3721" s="656" t="s">
        <v>5060</v>
      </c>
      <c r="B3721" s="657"/>
      <c r="C3721" s="656" t="s">
        <v>5061</v>
      </c>
      <c r="D3721" s="657" t="s">
        <v>14978</v>
      </c>
      <c r="E3721" s="657"/>
      <c r="F3721" s="656"/>
      <c r="G3721" s="656"/>
      <c r="H3721" s="656"/>
      <c r="I3721" s="656" t="s">
        <v>14976</v>
      </c>
      <c r="J3721" s="656"/>
      <c r="K3721" s="656"/>
      <c r="L3721" s="656" t="s">
        <v>5072</v>
      </c>
      <c r="M3721" s="657"/>
      <c r="N3721" s="1482"/>
      <c r="O3721" s="656" t="s">
        <v>498</v>
      </c>
      <c r="P3721" s="656" t="s">
        <v>13052</v>
      </c>
      <c r="Q3721" s="656">
        <v>44216.767800925925</v>
      </c>
    </row>
    <row r="3722" spans="1:17">
      <c r="A3722" s="656" t="s">
        <v>5062</v>
      </c>
      <c r="B3722" s="657"/>
      <c r="C3722" s="656" t="s">
        <v>5063</v>
      </c>
      <c r="D3722" s="657" t="s">
        <v>14978</v>
      </c>
      <c r="E3722" s="657"/>
      <c r="F3722" s="656"/>
      <c r="G3722" s="656"/>
      <c r="H3722" s="656"/>
      <c r="I3722" s="656" t="s">
        <v>14976</v>
      </c>
      <c r="J3722" s="656"/>
      <c r="K3722" s="656"/>
      <c r="L3722" s="656" t="s">
        <v>5072</v>
      </c>
      <c r="M3722" s="657"/>
      <c r="N3722" s="1482"/>
      <c r="O3722" s="656" t="s">
        <v>498</v>
      </c>
      <c r="P3722" s="656" t="s">
        <v>13052</v>
      </c>
      <c r="Q3722" s="656">
        <v>44216.767789351848</v>
      </c>
    </row>
    <row r="3723" spans="1:17">
      <c r="A3723" s="656" t="s">
        <v>5064</v>
      </c>
      <c r="B3723" s="657"/>
      <c r="C3723" s="656" t="s">
        <v>5065</v>
      </c>
      <c r="D3723" s="657" t="s">
        <v>14978</v>
      </c>
      <c r="E3723" s="657"/>
      <c r="F3723" s="656" t="s">
        <v>1394</v>
      </c>
      <c r="G3723" s="656" t="s">
        <v>717</v>
      </c>
      <c r="H3723" s="656" t="s">
        <v>1394</v>
      </c>
      <c r="I3723" s="656" t="s">
        <v>14976</v>
      </c>
      <c r="J3723" s="656"/>
      <c r="K3723" s="656"/>
      <c r="L3723" s="656" t="s">
        <v>5072</v>
      </c>
      <c r="M3723" s="657"/>
      <c r="N3723" s="1482"/>
      <c r="O3723" s="656" t="s">
        <v>498</v>
      </c>
      <c r="P3723" s="656" t="s">
        <v>13052</v>
      </c>
      <c r="Q3723" s="656">
        <v>44216.767789351848</v>
      </c>
    </row>
    <row r="3724" spans="1:17">
      <c r="A3724" s="656" t="s">
        <v>5066</v>
      </c>
      <c r="B3724" s="657"/>
      <c r="C3724" s="656" t="s">
        <v>5067</v>
      </c>
      <c r="D3724" s="657" t="s">
        <v>14978</v>
      </c>
      <c r="E3724" s="657"/>
      <c r="F3724" s="656" t="s">
        <v>1394</v>
      </c>
      <c r="G3724" s="656" t="s">
        <v>717</v>
      </c>
      <c r="H3724" s="656" t="s">
        <v>1394</v>
      </c>
      <c r="I3724" s="656" t="s">
        <v>14976</v>
      </c>
      <c r="J3724" s="656"/>
      <c r="K3724" s="656"/>
      <c r="L3724" s="656" t="s">
        <v>5072</v>
      </c>
      <c r="M3724" s="657"/>
      <c r="N3724" s="1482"/>
      <c r="O3724" s="656" t="s">
        <v>498</v>
      </c>
      <c r="P3724" s="656" t="s">
        <v>13052</v>
      </c>
      <c r="Q3724" s="656">
        <v>44216.767777777779</v>
      </c>
    </row>
    <row r="3725" spans="1:17">
      <c r="A3725" s="656" t="s">
        <v>5068</v>
      </c>
      <c r="B3725" s="657"/>
      <c r="C3725" s="656" t="s">
        <v>5069</v>
      </c>
      <c r="D3725" s="657" t="s">
        <v>14978</v>
      </c>
      <c r="E3725" s="657"/>
      <c r="F3725" s="656" t="s">
        <v>1394</v>
      </c>
      <c r="G3725" s="656" t="s">
        <v>717</v>
      </c>
      <c r="H3725" s="656" t="s">
        <v>1394</v>
      </c>
      <c r="I3725" s="656" t="s">
        <v>14976</v>
      </c>
      <c r="J3725" s="656"/>
      <c r="K3725" s="656"/>
      <c r="L3725" s="656" t="s">
        <v>5072</v>
      </c>
      <c r="M3725" s="657"/>
      <c r="N3725" s="1482"/>
      <c r="O3725" s="656" t="s">
        <v>498</v>
      </c>
      <c r="P3725" s="656" t="s">
        <v>13052</v>
      </c>
      <c r="Q3725" s="656">
        <v>44216.767777777779</v>
      </c>
    </row>
    <row r="3726" spans="1:17">
      <c r="A3726" s="656" t="s">
        <v>5070</v>
      </c>
      <c r="B3726" s="657"/>
      <c r="C3726" s="656" t="s">
        <v>5071</v>
      </c>
      <c r="D3726" s="657" t="s">
        <v>14978</v>
      </c>
      <c r="E3726" s="657"/>
      <c r="F3726" s="656" t="s">
        <v>1394</v>
      </c>
      <c r="G3726" s="656" t="s">
        <v>717</v>
      </c>
      <c r="H3726" s="656" t="s">
        <v>1394</v>
      </c>
      <c r="I3726" s="656" t="s">
        <v>14976</v>
      </c>
      <c r="J3726" s="656"/>
      <c r="K3726" s="656"/>
      <c r="L3726" s="656" t="s">
        <v>5072</v>
      </c>
      <c r="M3726" s="657"/>
      <c r="N3726" s="1482"/>
      <c r="O3726" s="656" t="s">
        <v>498</v>
      </c>
      <c r="P3726" s="656" t="s">
        <v>13052</v>
      </c>
      <c r="Q3726" s="656">
        <v>44216.767766203702</v>
      </c>
    </row>
    <row r="3727" spans="1:17">
      <c r="A3727" s="656" t="s">
        <v>5072</v>
      </c>
      <c r="B3727" s="657" t="s">
        <v>531</v>
      </c>
      <c r="C3727" s="656" t="s">
        <v>1948</v>
      </c>
      <c r="D3727" s="657" t="s">
        <v>14977</v>
      </c>
      <c r="E3727" s="657"/>
      <c r="F3727" s="656" t="s">
        <v>1394</v>
      </c>
      <c r="G3727" s="656" t="s">
        <v>717</v>
      </c>
      <c r="H3727" s="656" t="s">
        <v>1394</v>
      </c>
      <c r="I3727" s="656" t="s">
        <v>14976</v>
      </c>
      <c r="J3727" s="656" t="s">
        <v>532</v>
      </c>
      <c r="K3727" s="656"/>
      <c r="L3727" s="656" t="s">
        <v>5072</v>
      </c>
      <c r="M3727" s="657"/>
      <c r="N3727" s="1482"/>
      <c r="O3727" s="656" t="s">
        <v>498</v>
      </c>
      <c r="P3727" s="656" t="s">
        <v>13052</v>
      </c>
      <c r="Q3727" s="656">
        <v>44216.767766203702</v>
      </c>
    </row>
    <row r="3728" spans="1:17">
      <c r="A3728" s="656" t="s">
        <v>5073</v>
      </c>
      <c r="B3728" s="657" t="s">
        <v>202</v>
      </c>
      <c r="C3728" s="656" t="s">
        <v>5074</v>
      </c>
      <c r="D3728" s="657" t="s">
        <v>14977</v>
      </c>
      <c r="E3728" s="657"/>
      <c r="F3728" s="656" t="s">
        <v>1620</v>
      </c>
      <c r="G3728" s="656" t="s">
        <v>1620</v>
      </c>
      <c r="H3728" s="656" t="s">
        <v>1620</v>
      </c>
      <c r="I3728" s="656" t="s">
        <v>14976</v>
      </c>
      <c r="J3728" s="656" t="s">
        <v>15288</v>
      </c>
      <c r="K3728" s="656"/>
      <c r="L3728" s="656" t="s">
        <v>5073</v>
      </c>
      <c r="M3728" s="657"/>
      <c r="N3728" s="1482"/>
      <c r="O3728" s="656" t="s">
        <v>498</v>
      </c>
      <c r="P3728" s="656" t="s">
        <v>13052</v>
      </c>
      <c r="Q3728" s="656">
        <v>44216.767754629633</v>
      </c>
    </row>
    <row r="3729" spans="1:17">
      <c r="A3729" s="656" t="s">
        <v>5075</v>
      </c>
      <c r="B3729" s="657"/>
      <c r="C3729" s="656" t="s">
        <v>5076</v>
      </c>
      <c r="D3729" s="657" t="s">
        <v>14977</v>
      </c>
      <c r="E3729" s="657"/>
      <c r="F3729" s="656"/>
      <c r="G3729" s="656" t="s">
        <v>4198</v>
      </c>
      <c r="H3729" s="656"/>
      <c r="I3729" s="656" t="s">
        <v>14976</v>
      </c>
      <c r="J3729" s="656"/>
      <c r="K3729" s="656"/>
      <c r="L3729" s="656" t="s">
        <v>5075</v>
      </c>
      <c r="M3729" s="657"/>
      <c r="N3729" s="1482"/>
      <c r="O3729" s="656" t="s">
        <v>498</v>
      </c>
      <c r="P3729" s="656" t="s">
        <v>13052</v>
      </c>
      <c r="Q3729" s="656">
        <v>44216.767743055556</v>
      </c>
    </row>
    <row r="3730" spans="1:17">
      <c r="A3730" s="656" t="s">
        <v>5077</v>
      </c>
      <c r="B3730" s="657" t="s">
        <v>504</v>
      </c>
      <c r="C3730" s="656" t="s">
        <v>5078</v>
      </c>
      <c r="D3730" s="657"/>
      <c r="E3730" s="657"/>
      <c r="F3730" s="656" t="s">
        <v>505</v>
      </c>
      <c r="G3730" s="656" t="s">
        <v>4324</v>
      </c>
      <c r="H3730" s="656" t="s">
        <v>505</v>
      </c>
      <c r="I3730" s="656"/>
      <c r="J3730" s="656"/>
      <c r="K3730" s="656"/>
      <c r="L3730" s="656"/>
      <c r="M3730" s="657"/>
      <c r="N3730" s="1482"/>
      <c r="O3730" s="656" t="s">
        <v>498</v>
      </c>
      <c r="P3730" s="656" t="s">
        <v>13052</v>
      </c>
      <c r="Q3730" s="656">
        <v>44216.767743055556</v>
      </c>
    </row>
    <row r="3731" spans="1:17">
      <c r="A3731" s="656" t="s">
        <v>5079</v>
      </c>
      <c r="B3731" s="657" t="s">
        <v>504</v>
      </c>
      <c r="C3731" s="656" t="s">
        <v>5080</v>
      </c>
      <c r="D3731" s="657"/>
      <c r="E3731" s="657"/>
      <c r="F3731" s="656" t="s">
        <v>505</v>
      </c>
      <c r="G3731" s="656" t="s">
        <v>4394</v>
      </c>
      <c r="H3731" s="656" t="s">
        <v>505</v>
      </c>
      <c r="I3731" s="656"/>
      <c r="J3731" s="656"/>
      <c r="K3731" s="656"/>
      <c r="L3731" s="656"/>
      <c r="M3731" s="657"/>
      <c r="N3731" s="1482"/>
      <c r="O3731" s="656" t="s">
        <v>498</v>
      </c>
      <c r="P3731" s="656" t="s">
        <v>13052</v>
      </c>
      <c r="Q3731" s="656">
        <v>44216.767731481479</v>
      </c>
    </row>
    <row r="3732" spans="1:17">
      <c r="A3732" s="656" t="s">
        <v>5081</v>
      </c>
      <c r="B3732" s="657" t="s">
        <v>504</v>
      </c>
      <c r="C3732" s="656" t="s">
        <v>5082</v>
      </c>
      <c r="D3732" s="657"/>
      <c r="E3732" s="657"/>
      <c r="F3732" s="656" t="s">
        <v>505</v>
      </c>
      <c r="G3732" s="656" t="s">
        <v>4394</v>
      </c>
      <c r="H3732" s="656" t="s">
        <v>505</v>
      </c>
      <c r="I3732" s="656"/>
      <c r="J3732" s="656"/>
      <c r="K3732" s="656"/>
      <c r="L3732" s="656"/>
      <c r="M3732" s="657"/>
      <c r="N3732" s="1482"/>
      <c r="O3732" s="656" t="s">
        <v>498</v>
      </c>
      <c r="P3732" s="656" t="s">
        <v>13052</v>
      </c>
      <c r="Q3732" s="656">
        <v>44216.767731481479</v>
      </c>
    </row>
    <row r="3733" spans="1:17">
      <c r="A3733" s="656" t="s">
        <v>5083</v>
      </c>
      <c r="B3733" s="657" t="s">
        <v>202</v>
      </c>
      <c r="C3733" s="656" t="s">
        <v>5084</v>
      </c>
      <c r="D3733" s="657" t="s">
        <v>14977</v>
      </c>
      <c r="E3733" s="657"/>
      <c r="F3733" s="656" t="s">
        <v>500</v>
      </c>
      <c r="G3733" s="656" t="s">
        <v>500</v>
      </c>
      <c r="H3733" s="656" t="s">
        <v>500</v>
      </c>
      <c r="I3733" s="656" t="s">
        <v>14976</v>
      </c>
      <c r="J3733" s="656" t="s">
        <v>15282</v>
      </c>
      <c r="K3733" s="656"/>
      <c r="L3733" s="656" t="s">
        <v>5083</v>
      </c>
      <c r="M3733" s="657"/>
      <c r="N3733" s="1482"/>
      <c r="O3733" s="656" t="s">
        <v>498</v>
      </c>
      <c r="P3733" s="656" t="s">
        <v>13052</v>
      </c>
      <c r="Q3733" s="656">
        <v>44216.76771990741</v>
      </c>
    </row>
    <row r="3734" spans="1:17">
      <c r="A3734" s="656" t="s">
        <v>5085</v>
      </c>
      <c r="B3734" s="657" t="s">
        <v>504</v>
      </c>
      <c r="C3734" s="656" t="s">
        <v>5086</v>
      </c>
      <c r="D3734" s="657" t="s">
        <v>14977</v>
      </c>
      <c r="E3734" s="657"/>
      <c r="F3734" s="656"/>
      <c r="G3734" s="656" t="s">
        <v>4198</v>
      </c>
      <c r="H3734" s="656"/>
      <c r="I3734" s="656"/>
      <c r="J3734" s="656"/>
      <c r="K3734" s="656"/>
      <c r="L3734" s="656"/>
      <c r="M3734" s="657"/>
      <c r="N3734" s="1482"/>
      <c r="O3734" s="656" t="s">
        <v>498</v>
      </c>
      <c r="P3734" s="656" t="s">
        <v>13052</v>
      </c>
      <c r="Q3734" s="656">
        <v>44216.76771990741</v>
      </c>
    </row>
    <row r="3735" spans="1:17">
      <c r="A3735" s="656" t="s">
        <v>5087</v>
      </c>
      <c r="B3735" s="657"/>
      <c r="C3735" s="656" t="s">
        <v>5088</v>
      </c>
      <c r="D3735" s="657" t="s">
        <v>14977</v>
      </c>
      <c r="E3735" s="657"/>
      <c r="F3735" s="656"/>
      <c r="G3735" s="656" t="s">
        <v>4198</v>
      </c>
      <c r="H3735" s="656"/>
      <c r="I3735" s="656" t="s">
        <v>14976</v>
      </c>
      <c r="J3735" s="656"/>
      <c r="K3735" s="656"/>
      <c r="L3735" s="656" t="s">
        <v>5087</v>
      </c>
      <c r="M3735" s="657"/>
      <c r="N3735" s="1482"/>
      <c r="O3735" s="656" t="s">
        <v>498</v>
      </c>
      <c r="P3735" s="656" t="s">
        <v>13052</v>
      </c>
      <c r="Q3735" s="656">
        <v>44216.76771990741</v>
      </c>
    </row>
    <row r="3736" spans="1:17">
      <c r="A3736" s="656" t="s">
        <v>5089</v>
      </c>
      <c r="B3736" s="657" t="s">
        <v>202</v>
      </c>
      <c r="C3736" s="656" t="s">
        <v>5090</v>
      </c>
      <c r="D3736" s="657" t="s">
        <v>14977</v>
      </c>
      <c r="E3736" s="657"/>
      <c r="F3736" s="656" t="s">
        <v>1620</v>
      </c>
      <c r="G3736" s="656" t="s">
        <v>1620</v>
      </c>
      <c r="H3736" s="656" t="s">
        <v>1620</v>
      </c>
      <c r="I3736" s="656" t="s">
        <v>14976</v>
      </c>
      <c r="J3736" s="656" t="s">
        <v>15288</v>
      </c>
      <c r="K3736" s="656"/>
      <c r="L3736" s="656" t="s">
        <v>5089</v>
      </c>
      <c r="M3736" s="657"/>
      <c r="N3736" s="1482"/>
      <c r="O3736" s="656" t="s">
        <v>498</v>
      </c>
      <c r="P3736" s="656" t="s">
        <v>13052</v>
      </c>
      <c r="Q3736" s="656">
        <v>44216.767708333333</v>
      </c>
    </row>
    <row r="3737" spans="1:17">
      <c r="A3737" s="656" t="s">
        <v>5091</v>
      </c>
      <c r="B3737" s="657"/>
      <c r="C3737" s="656" t="s">
        <v>5092</v>
      </c>
      <c r="D3737" s="657" t="s">
        <v>14977</v>
      </c>
      <c r="E3737" s="657"/>
      <c r="F3737" s="656"/>
      <c r="G3737" s="656" t="s">
        <v>4198</v>
      </c>
      <c r="H3737" s="656"/>
      <c r="I3737" s="656" t="s">
        <v>14976</v>
      </c>
      <c r="J3737" s="656"/>
      <c r="K3737" s="656"/>
      <c r="L3737" s="656" t="s">
        <v>5091</v>
      </c>
      <c r="M3737" s="657"/>
      <c r="N3737" s="1482"/>
      <c r="O3737" s="656" t="s">
        <v>498</v>
      </c>
      <c r="P3737" s="656" t="s">
        <v>13052</v>
      </c>
      <c r="Q3737" s="656">
        <v>44216.767708333333</v>
      </c>
    </row>
    <row r="3738" spans="1:17">
      <c r="A3738" s="656" t="s">
        <v>5093</v>
      </c>
      <c r="B3738" s="657" t="s">
        <v>504</v>
      </c>
      <c r="C3738" s="656" t="s">
        <v>5094</v>
      </c>
      <c r="D3738" s="657" t="s">
        <v>14977</v>
      </c>
      <c r="E3738" s="657"/>
      <c r="F3738" s="656"/>
      <c r="G3738" s="656" t="s">
        <v>4347</v>
      </c>
      <c r="H3738" s="656"/>
      <c r="I3738" s="656"/>
      <c r="J3738" s="656"/>
      <c r="K3738" s="656"/>
      <c r="L3738" s="656"/>
      <c r="M3738" s="657"/>
      <c r="N3738" s="1482"/>
      <c r="O3738" s="656" t="s">
        <v>498</v>
      </c>
      <c r="P3738" s="656" t="s">
        <v>13052</v>
      </c>
      <c r="Q3738" s="656">
        <v>44216.767696759256</v>
      </c>
    </row>
    <row r="3739" spans="1:17">
      <c r="A3739" s="656" t="s">
        <v>5095</v>
      </c>
      <c r="B3739" s="657" t="s">
        <v>504</v>
      </c>
      <c r="C3739" s="656" t="s">
        <v>5096</v>
      </c>
      <c r="D3739" s="657" t="s">
        <v>14977</v>
      </c>
      <c r="E3739" s="657"/>
      <c r="F3739" s="656"/>
      <c r="G3739" s="656" t="s">
        <v>4347</v>
      </c>
      <c r="H3739" s="656"/>
      <c r="I3739" s="656"/>
      <c r="J3739" s="656"/>
      <c r="K3739" s="656"/>
      <c r="L3739" s="656"/>
      <c r="M3739" s="657"/>
      <c r="N3739" s="1482"/>
      <c r="O3739" s="656" t="s">
        <v>498</v>
      </c>
      <c r="P3739" s="656" t="s">
        <v>13052</v>
      </c>
      <c r="Q3739" s="656">
        <v>44216.767696759256</v>
      </c>
    </row>
    <row r="3740" spans="1:17">
      <c r="A3740" s="656" t="s">
        <v>5097</v>
      </c>
      <c r="B3740" s="657" t="s">
        <v>504</v>
      </c>
      <c r="C3740" s="656" t="s">
        <v>5098</v>
      </c>
      <c r="D3740" s="657" t="s">
        <v>14977</v>
      </c>
      <c r="E3740" s="657"/>
      <c r="F3740" s="656"/>
      <c r="G3740" s="656" t="s">
        <v>4347</v>
      </c>
      <c r="H3740" s="656"/>
      <c r="I3740" s="656"/>
      <c r="J3740" s="656"/>
      <c r="K3740" s="656"/>
      <c r="L3740" s="656"/>
      <c r="M3740" s="657"/>
      <c r="N3740" s="1482"/>
      <c r="O3740" s="656" t="s">
        <v>498</v>
      </c>
      <c r="P3740" s="656" t="s">
        <v>13052</v>
      </c>
      <c r="Q3740" s="656">
        <v>44216.767685185187</v>
      </c>
    </row>
    <row r="3741" spans="1:17">
      <c r="A3741" s="656" t="s">
        <v>5099</v>
      </c>
      <c r="B3741" s="657" t="s">
        <v>504</v>
      </c>
      <c r="C3741" s="656" t="s">
        <v>5100</v>
      </c>
      <c r="D3741" s="657"/>
      <c r="E3741" s="657"/>
      <c r="F3741" s="656" t="s">
        <v>505</v>
      </c>
      <c r="G3741" s="656" t="s">
        <v>4324</v>
      </c>
      <c r="H3741" s="656" t="s">
        <v>505</v>
      </c>
      <c r="I3741" s="656"/>
      <c r="J3741" s="656"/>
      <c r="K3741" s="656"/>
      <c r="L3741" s="656"/>
      <c r="M3741" s="657"/>
      <c r="N3741" s="1482"/>
      <c r="O3741" s="656" t="s">
        <v>498</v>
      </c>
      <c r="P3741" s="656" t="s">
        <v>13052</v>
      </c>
      <c r="Q3741" s="656">
        <v>44216.767685185187</v>
      </c>
    </row>
    <row r="3742" spans="1:17">
      <c r="A3742" s="656" t="s">
        <v>5101</v>
      </c>
      <c r="B3742" s="657"/>
      <c r="C3742" s="656" t="s">
        <v>5102</v>
      </c>
      <c r="D3742" s="657" t="s">
        <v>14977</v>
      </c>
      <c r="E3742" s="657"/>
      <c r="F3742" s="656"/>
      <c r="G3742" s="656" t="s">
        <v>5103</v>
      </c>
      <c r="H3742" s="656"/>
      <c r="I3742" s="656" t="s">
        <v>14976</v>
      </c>
      <c r="J3742" s="656"/>
      <c r="K3742" s="656"/>
      <c r="L3742" s="656" t="s">
        <v>5101</v>
      </c>
      <c r="M3742" s="657"/>
      <c r="N3742" s="1482"/>
      <c r="O3742" s="656" t="s">
        <v>498</v>
      </c>
      <c r="P3742" s="656" t="s">
        <v>13052</v>
      </c>
      <c r="Q3742" s="656">
        <v>44216.76767361111</v>
      </c>
    </row>
    <row r="3743" spans="1:17">
      <c r="A3743" s="656" t="s">
        <v>5104</v>
      </c>
      <c r="B3743" s="657"/>
      <c r="C3743" s="656" t="s">
        <v>5105</v>
      </c>
      <c r="D3743" s="657" t="s">
        <v>14977</v>
      </c>
      <c r="E3743" s="657"/>
      <c r="F3743" s="656"/>
      <c r="G3743" s="656" t="s">
        <v>5103</v>
      </c>
      <c r="H3743" s="656"/>
      <c r="I3743" s="656" t="s">
        <v>14976</v>
      </c>
      <c r="J3743" s="656"/>
      <c r="K3743" s="656"/>
      <c r="L3743" s="656" t="s">
        <v>5104</v>
      </c>
      <c r="M3743" s="657"/>
      <c r="N3743" s="1482"/>
      <c r="O3743" s="656" t="s">
        <v>498</v>
      </c>
      <c r="P3743" s="656" t="s">
        <v>13052</v>
      </c>
      <c r="Q3743" s="656">
        <v>44216.76767361111</v>
      </c>
    </row>
    <row r="3744" spans="1:17">
      <c r="A3744" s="656" t="s">
        <v>5106</v>
      </c>
      <c r="B3744" s="657" t="s">
        <v>504</v>
      </c>
      <c r="C3744" s="656" t="s">
        <v>5107</v>
      </c>
      <c r="D3744" s="657" t="s">
        <v>14977</v>
      </c>
      <c r="E3744" s="657"/>
      <c r="F3744" s="656"/>
      <c r="G3744" s="656" t="s">
        <v>4347</v>
      </c>
      <c r="H3744" s="656"/>
      <c r="I3744" s="656"/>
      <c r="J3744" s="656"/>
      <c r="K3744" s="656"/>
      <c r="L3744" s="656"/>
      <c r="M3744" s="657"/>
      <c r="N3744" s="1482"/>
      <c r="O3744" s="656" t="s">
        <v>498</v>
      </c>
      <c r="P3744" s="656" t="s">
        <v>13052</v>
      </c>
      <c r="Q3744" s="656">
        <v>44216.76767361111</v>
      </c>
    </row>
    <row r="3745" spans="1:17">
      <c r="A3745" s="656" t="s">
        <v>5108</v>
      </c>
      <c r="B3745" s="657" t="s">
        <v>504</v>
      </c>
      <c r="C3745" s="656" t="s">
        <v>5109</v>
      </c>
      <c r="D3745" s="657" t="s">
        <v>14977</v>
      </c>
      <c r="E3745" s="657"/>
      <c r="F3745" s="656"/>
      <c r="G3745" s="656" t="s">
        <v>4347</v>
      </c>
      <c r="H3745" s="656"/>
      <c r="I3745" s="656"/>
      <c r="J3745" s="656"/>
      <c r="K3745" s="656"/>
      <c r="L3745" s="656"/>
      <c r="M3745" s="657"/>
      <c r="N3745" s="1482"/>
      <c r="O3745" s="656" t="s">
        <v>498</v>
      </c>
      <c r="P3745" s="656" t="s">
        <v>13052</v>
      </c>
      <c r="Q3745" s="656">
        <v>44216.76766203704</v>
      </c>
    </row>
    <row r="3746" spans="1:17">
      <c r="A3746" s="656" t="s">
        <v>5110</v>
      </c>
      <c r="B3746" s="657" t="s">
        <v>504</v>
      </c>
      <c r="C3746" s="656" t="s">
        <v>5111</v>
      </c>
      <c r="D3746" s="657" t="s">
        <v>14977</v>
      </c>
      <c r="E3746" s="657"/>
      <c r="F3746" s="656"/>
      <c r="G3746" s="656" t="s">
        <v>4347</v>
      </c>
      <c r="H3746" s="656"/>
      <c r="I3746" s="656"/>
      <c r="J3746" s="656"/>
      <c r="K3746" s="656"/>
      <c r="L3746" s="656"/>
      <c r="M3746" s="657"/>
      <c r="N3746" s="1482"/>
      <c r="O3746" s="656" t="s">
        <v>498</v>
      </c>
      <c r="P3746" s="656" t="s">
        <v>13052</v>
      </c>
      <c r="Q3746" s="656">
        <v>44216.767650462964</v>
      </c>
    </row>
    <row r="3747" spans="1:17">
      <c r="A3747" s="656" t="s">
        <v>5112</v>
      </c>
      <c r="B3747" s="657" t="s">
        <v>504</v>
      </c>
      <c r="C3747" s="656" t="s">
        <v>5113</v>
      </c>
      <c r="D3747" s="657" t="s">
        <v>14977</v>
      </c>
      <c r="E3747" s="657"/>
      <c r="F3747" s="656"/>
      <c r="G3747" s="656" t="s">
        <v>4347</v>
      </c>
      <c r="H3747" s="656"/>
      <c r="I3747" s="656"/>
      <c r="J3747" s="656"/>
      <c r="K3747" s="656"/>
      <c r="L3747" s="656"/>
      <c r="M3747" s="657"/>
      <c r="N3747" s="1482"/>
      <c r="O3747" s="656" t="s">
        <v>498</v>
      </c>
      <c r="P3747" s="656" t="s">
        <v>13052</v>
      </c>
      <c r="Q3747" s="656">
        <v>44216.76766203704</v>
      </c>
    </row>
    <row r="3748" spans="1:17">
      <c r="A3748" s="656" t="s">
        <v>5114</v>
      </c>
      <c r="B3748" s="657" t="s">
        <v>504</v>
      </c>
      <c r="C3748" s="656" t="s">
        <v>5115</v>
      </c>
      <c r="D3748" s="657" t="s">
        <v>14977</v>
      </c>
      <c r="E3748" s="657"/>
      <c r="F3748" s="656"/>
      <c r="G3748" s="656" t="s">
        <v>4347</v>
      </c>
      <c r="H3748" s="656"/>
      <c r="I3748" s="656"/>
      <c r="J3748" s="656"/>
      <c r="K3748" s="656"/>
      <c r="L3748" s="656"/>
      <c r="M3748" s="657"/>
      <c r="N3748" s="1482"/>
      <c r="O3748" s="656" t="s">
        <v>498</v>
      </c>
      <c r="P3748" s="656" t="s">
        <v>13052</v>
      </c>
      <c r="Q3748" s="656">
        <v>44216.767638888887</v>
      </c>
    </row>
    <row r="3749" spans="1:17">
      <c r="A3749" s="656" t="s">
        <v>5116</v>
      </c>
      <c r="B3749" s="657" t="s">
        <v>504</v>
      </c>
      <c r="C3749" s="656" t="s">
        <v>5117</v>
      </c>
      <c r="D3749" s="657" t="s">
        <v>14977</v>
      </c>
      <c r="E3749" s="657"/>
      <c r="F3749" s="656"/>
      <c r="G3749" s="656" t="s">
        <v>4347</v>
      </c>
      <c r="H3749" s="656"/>
      <c r="I3749" s="656"/>
      <c r="J3749" s="656"/>
      <c r="K3749" s="656"/>
      <c r="L3749" s="656"/>
      <c r="M3749" s="657"/>
      <c r="N3749" s="1482"/>
      <c r="O3749" s="656" t="s">
        <v>498</v>
      </c>
      <c r="P3749" s="656" t="s">
        <v>13052</v>
      </c>
      <c r="Q3749" s="656">
        <v>44216.767638888887</v>
      </c>
    </row>
    <row r="3750" spans="1:17">
      <c r="A3750" s="656" t="s">
        <v>5118</v>
      </c>
      <c r="B3750" s="657"/>
      <c r="C3750" s="656" t="s">
        <v>5119</v>
      </c>
      <c r="D3750" s="657" t="s">
        <v>14977</v>
      </c>
      <c r="E3750" s="657"/>
      <c r="F3750" s="656"/>
      <c r="G3750" s="656" t="s">
        <v>5103</v>
      </c>
      <c r="H3750" s="656"/>
      <c r="I3750" s="656" t="s">
        <v>14976</v>
      </c>
      <c r="J3750" s="656"/>
      <c r="K3750" s="656"/>
      <c r="L3750" s="656" t="s">
        <v>5118</v>
      </c>
      <c r="M3750" s="657"/>
      <c r="N3750" s="1482"/>
      <c r="O3750" s="656" t="s">
        <v>498</v>
      </c>
      <c r="P3750" s="656" t="s">
        <v>13052</v>
      </c>
      <c r="Q3750" s="656">
        <v>44216.767638888887</v>
      </c>
    </row>
    <row r="3751" spans="1:17">
      <c r="A3751" s="656" t="s">
        <v>5120</v>
      </c>
      <c r="B3751" s="657"/>
      <c r="C3751" s="656" t="s">
        <v>5121</v>
      </c>
      <c r="D3751" s="657" t="s">
        <v>14977</v>
      </c>
      <c r="E3751" s="657"/>
      <c r="F3751" s="656"/>
      <c r="G3751" s="656" t="s">
        <v>5103</v>
      </c>
      <c r="H3751" s="656"/>
      <c r="I3751" s="656" t="s">
        <v>14976</v>
      </c>
      <c r="J3751" s="656"/>
      <c r="K3751" s="656"/>
      <c r="L3751" s="656" t="s">
        <v>5120</v>
      </c>
      <c r="M3751" s="657"/>
      <c r="N3751" s="1482"/>
      <c r="O3751" s="656" t="s">
        <v>498</v>
      </c>
      <c r="P3751" s="656" t="s">
        <v>13052</v>
      </c>
      <c r="Q3751" s="656">
        <v>44216.767627314817</v>
      </c>
    </row>
    <row r="3752" spans="1:17">
      <c r="A3752" s="656" t="s">
        <v>5122</v>
      </c>
      <c r="B3752" s="657"/>
      <c r="C3752" s="656" t="s">
        <v>5123</v>
      </c>
      <c r="D3752" s="657" t="s">
        <v>14977</v>
      </c>
      <c r="E3752" s="657"/>
      <c r="F3752" s="656"/>
      <c r="G3752" s="656" t="s">
        <v>5103</v>
      </c>
      <c r="H3752" s="656"/>
      <c r="I3752" s="656" t="s">
        <v>14976</v>
      </c>
      <c r="J3752" s="656"/>
      <c r="K3752" s="656"/>
      <c r="L3752" s="656" t="s">
        <v>5122</v>
      </c>
      <c r="M3752" s="657"/>
      <c r="N3752" s="1482"/>
      <c r="O3752" s="656" t="s">
        <v>498</v>
      </c>
      <c r="P3752" s="656" t="s">
        <v>13052</v>
      </c>
      <c r="Q3752" s="656">
        <v>44216.767627314817</v>
      </c>
    </row>
    <row r="3753" spans="1:17">
      <c r="A3753" s="656" t="s">
        <v>5124</v>
      </c>
      <c r="B3753" s="657"/>
      <c r="C3753" s="656" t="s">
        <v>5125</v>
      </c>
      <c r="D3753" s="657" t="s">
        <v>14977</v>
      </c>
      <c r="E3753" s="657"/>
      <c r="F3753" s="656"/>
      <c r="G3753" s="656" t="s">
        <v>5103</v>
      </c>
      <c r="H3753" s="656"/>
      <c r="I3753" s="656" t="s">
        <v>14976</v>
      </c>
      <c r="J3753" s="656"/>
      <c r="K3753" s="656"/>
      <c r="L3753" s="656" t="s">
        <v>5124</v>
      </c>
      <c r="M3753" s="657"/>
      <c r="N3753" s="1482"/>
      <c r="O3753" s="656" t="s">
        <v>498</v>
      </c>
      <c r="P3753" s="656" t="s">
        <v>13052</v>
      </c>
      <c r="Q3753" s="656">
        <v>44216.767627314817</v>
      </c>
    </row>
    <row r="3754" spans="1:17">
      <c r="A3754" s="656" t="s">
        <v>5126</v>
      </c>
      <c r="B3754" s="657"/>
      <c r="C3754" s="656" t="s">
        <v>5127</v>
      </c>
      <c r="D3754" s="657" t="s">
        <v>14977</v>
      </c>
      <c r="E3754" s="657"/>
      <c r="F3754" s="656"/>
      <c r="G3754" s="656" t="s">
        <v>5103</v>
      </c>
      <c r="H3754" s="656"/>
      <c r="I3754" s="656" t="s">
        <v>14976</v>
      </c>
      <c r="J3754" s="656"/>
      <c r="K3754" s="656"/>
      <c r="L3754" s="656" t="s">
        <v>5126</v>
      </c>
      <c r="M3754" s="657"/>
      <c r="N3754" s="1482"/>
      <c r="O3754" s="656" t="s">
        <v>498</v>
      </c>
      <c r="P3754" s="656" t="s">
        <v>13052</v>
      </c>
      <c r="Q3754" s="656">
        <v>44216.76761574074</v>
      </c>
    </row>
    <row r="3755" spans="1:17">
      <c r="A3755" s="656" t="s">
        <v>5128</v>
      </c>
      <c r="B3755" s="657"/>
      <c r="C3755" s="656" t="s">
        <v>5129</v>
      </c>
      <c r="D3755" s="657" t="s">
        <v>14977</v>
      </c>
      <c r="E3755" s="657"/>
      <c r="F3755" s="656"/>
      <c r="G3755" s="656" t="s">
        <v>5103</v>
      </c>
      <c r="H3755" s="656"/>
      <c r="I3755" s="656" t="s">
        <v>14976</v>
      </c>
      <c r="J3755" s="656"/>
      <c r="K3755" s="656"/>
      <c r="L3755" s="656" t="s">
        <v>5128</v>
      </c>
      <c r="M3755" s="657"/>
      <c r="N3755" s="1482"/>
      <c r="O3755" s="656" t="s">
        <v>498</v>
      </c>
      <c r="P3755" s="656" t="s">
        <v>13052</v>
      </c>
      <c r="Q3755" s="656">
        <v>44216.76761574074</v>
      </c>
    </row>
    <row r="3756" spans="1:17">
      <c r="A3756" s="656" t="s">
        <v>5130</v>
      </c>
      <c r="B3756" s="657"/>
      <c r="C3756" s="656" t="s">
        <v>5131</v>
      </c>
      <c r="D3756" s="657" t="s">
        <v>14977</v>
      </c>
      <c r="E3756" s="657"/>
      <c r="F3756" s="656"/>
      <c r="G3756" s="656" t="s">
        <v>5045</v>
      </c>
      <c r="H3756" s="656"/>
      <c r="I3756" s="656" t="s">
        <v>14976</v>
      </c>
      <c r="J3756" s="656"/>
      <c r="K3756" s="656"/>
      <c r="L3756" s="656" t="s">
        <v>5130</v>
      </c>
      <c r="M3756" s="657"/>
      <c r="N3756" s="1482"/>
      <c r="O3756" s="656" t="s">
        <v>498</v>
      </c>
      <c r="P3756" s="656" t="s">
        <v>13052</v>
      </c>
      <c r="Q3756" s="656">
        <v>44216.767604166664</v>
      </c>
    </row>
    <row r="3757" spans="1:17">
      <c r="A3757" s="656" t="s">
        <v>5132</v>
      </c>
      <c r="B3757" s="657"/>
      <c r="C3757" s="656" t="s">
        <v>5133</v>
      </c>
      <c r="D3757" s="657" t="s">
        <v>14977</v>
      </c>
      <c r="E3757" s="657"/>
      <c r="F3757" s="656" t="s">
        <v>1394</v>
      </c>
      <c r="G3757" s="656"/>
      <c r="H3757" s="656" t="s">
        <v>1394</v>
      </c>
      <c r="I3757" s="656" t="s">
        <v>14976</v>
      </c>
      <c r="J3757" s="656"/>
      <c r="K3757" s="656"/>
      <c r="L3757" s="656" t="s">
        <v>5132</v>
      </c>
      <c r="M3757" s="657"/>
      <c r="N3757" s="1482"/>
      <c r="O3757" s="656" t="s">
        <v>498</v>
      </c>
      <c r="P3757" s="656" t="s">
        <v>13052</v>
      </c>
      <c r="Q3757" s="656">
        <v>44216.767604166664</v>
      </c>
    </row>
    <row r="3758" spans="1:17">
      <c r="A3758" s="656" t="s">
        <v>5134</v>
      </c>
      <c r="B3758" s="657" t="s">
        <v>504</v>
      </c>
      <c r="C3758" s="656" t="s">
        <v>5135</v>
      </c>
      <c r="D3758" s="657"/>
      <c r="E3758" s="657" t="s">
        <v>7439</v>
      </c>
      <c r="F3758" s="656" t="s">
        <v>540</v>
      </c>
      <c r="G3758" s="656" t="s">
        <v>625</v>
      </c>
      <c r="H3758" s="656" t="s">
        <v>540</v>
      </c>
      <c r="I3758" s="656"/>
      <c r="J3758" s="656"/>
      <c r="K3758" s="656"/>
      <c r="L3758" s="656"/>
      <c r="M3758" s="657"/>
      <c r="N3758" s="1482"/>
      <c r="O3758" s="656" t="s">
        <v>498</v>
      </c>
      <c r="P3758" s="656" t="s">
        <v>13052</v>
      </c>
      <c r="Q3758" s="656">
        <v>44216.767604166664</v>
      </c>
    </row>
    <row r="3759" spans="1:17">
      <c r="A3759" s="656" t="s">
        <v>5136</v>
      </c>
      <c r="B3759" s="657" t="s">
        <v>504</v>
      </c>
      <c r="C3759" s="656" t="s">
        <v>5137</v>
      </c>
      <c r="D3759" s="657"/>
      <c r="E3759" s="657"/>
      <c r="F3759" s="656" t="s">
        <v>1394</v>
      </c>
      <c r="G3759" s="656"/>
      <c r="H3759" s="656" t="s">
        <v>1394</v>
      </c>
      <c r="I3759" s="656"/>
      <c r="J3759" s="656"/>
      <c r="K3759" s="656"/>
      <c r="L3759" s="656"/>
      <c r="M3759" s="657"/>
      <c r="N3759" s="1482"/>
      <c r="O3759" s="656" t="s">
        <v>498</v>
      </c>
      <c r="P3759" s="656" t="s">
        <v>13052</v>
      </c>
      <c r="Q3759" s="656">
        <v>44216.767592592594</v>
      </c>
    </row>
    <row r="3760" spans="1:17">
      <c r="A3760" s="656" t="s">
        <v>5138</v>
      </c>
      <c r="B3760" s="657" t="s">
        <v>531</v>
      </c>
      <c r="C3760" s="656" t="s">
        <v>5139</v>
      </c>
      <c r="D3760" s="657" t="s">
        <v>14977</v>
      </c>
      <c r="E3760" s="657"/>
      <c r="F3760" s="656" t="s">
        <v>472</v>
      </c>
      <c r="G3760" s="656" t="s">
        <v>1395</v>
      </c>
      <c r="H3760" s="656" t="s">
        <v>472</v>
      </c>
      <c r="I3760" s="656" t="s">
        <v>14976</v>
      </c>
      <c r="J3760" s="656" t="s">
        <v>12368</v>
      </c>
      <c r="K3760" s="656"/>
      <c r="L3760" s="656"/>
      <c r="M3760" s="657"/>
      <c r="N3760" s="1482"/>
      <c r="O3760" s="656" t="s">
        <v>498</v>
      </c>
      <c r="P3760" s="656" t="s">
        <v>13052</v>
      </c>
      <c r="Q3760" s="656">
        <v>44216.767581018517</v>
      </c>
    </row>
    <row r="3761" spans="1:17">
      <c r="A3761" s="656" t="s">
        <v>5140</v>
      </c>
      <c r="B3761" s="657" t="s">
        <v>504</v>
      </c>
      <c r="C3761" s="656" t="s">
        <v>5141</v>
      </c>
      <c r="D3761" s="657" t="s">
        <v>14977</v>
      </c>
      <c r="E3761" s="657"/>
      <c r="F3761" s="656"/>
      <c r="G3761" s="656" t="s">
        <v>4362</v>
      </c>
      <c r="H3761" s="656"/>
      <c r="I3761" s="656"/>
      <c r="J3761" s="656"/>
      <c r="K3761" s="656"/>
      <c r="L3761" s="656"/>
      <c r="M3761" s="657"/>
      <c r="N3761" s="1482"/>
      <c r="O3761" s="656" t="s">
        <v>498</v>
      </c>
      <c r="P3761" s="656" t="s">
        <v>13052</v>
      </c>
      <c r="Q3761" s="656">
        <v>44216.767581018517</v>
      </c>
    </row>
    <row r="3762" spans="1:17">
      <c r="A3762" s="656" t="s">
        <v>5142</v>
      </c>
      <c r="B3762" s="657" t="s">
        <v>504</v>
      </c>
      <c r="C3762" s="656" t="s">
        <v>5143</v>
      </c>
      <c r="D3762" s="657" t="s">
        <v>14977</v>
      </c>
      <c r="E3762" s="657"/>
      <c r="F3762" s="656"/>
      <c r="G3762" s="656" t="s">
        <v>4362</v>
      </c>
      <c r="H3762" s="656"/>
      <c r="I3762" s="656"/>
      <c r="J3762" s="656"/>
      <c r="K3762" s="656"/>
      <c r="L3762" s="656"/>
      <c r="M3762" s="657"/>
      <c r="N3762" s="1482"/>
      <c r="O3762" s="656" t="s">
        <v>498</v>
      </c>
      <c r="P3762" s="656" t="s">
        <v>13052</v>
      </c>
      <c r="Q3762" s="656">
        <v>44216.767569444448</v>
      </c>
    </row>
    <row r="3763" spans="1:17">
      <c r="A3763" s="656" t="s">
        <v>5144</v>
      </c>
      <c r="B3763" s="657" t="s">
        <v>504</v>
      </c>
      <c r="C3763" s="656" t="s">
        <v>5145</v>
      </c>
      <c r="D3763" s="657" t="s">
        <v>14977</v>
      </c>
      <c r="E3763" s="657"/>
      <c r="F3763" s="656"/>
      <c r="G3763" s="656" t="s">
        <v>4362</v>
      </c>
      <c r="H3763" s="656"/>
      <c r="I3763" s="656"/>
      <c r="J3763" s="656"/>
      <c r="K3763" s="656"/>
      <c r="L3763" s="656"/>
      <c r="M3763" s="657"/>
      <c r="N3763" s="1482"/>
      <c r="O3763" s="656" t="s">
        <v>498</v>
      </c>
      <c r="P3763" s="656" t="s">
        <v>13052</v>
      </c>
      <c r="Q3763" s="656">
        <v>44216.767569444448</v>
      </c>
    </row>
    <row r="3764" spans="1:17">
      <c r="A3764" s="656" t="s">
        <v>5146</v>
      </c>
      <c r="B3764" s="657" t="s">
        <v>504</v>
      </c>
      <c r="C3764" s="656" t="s">
        <v>5147</v>
      </c>
      <c r="D3764" s="657" t="s">
        <v>14977</v>
      </c>
      <c r="E3764" s="657"/>
      <c r="F3764" s="656"/>
      <c r="G3764" s="656" t="s">
        <v>4362</v>
      </c>
      <c r="H3764" s="656"/>
      <c r="I3764" s="656"/>
      <c r="J3764" s="656"/>
      <c r="K3764" s="656"/>
      <c r="L3764" s="656"/>
      <c r="M3764" s="657"/>
      <c r="N3764" s="1482"/>
      <c r="O3764" s="656" t="s">
        <v>498</v>
      </c>
      <c r="P3764" s="656" t="s">
        <v>13052</v>
      </c>
      <c r="Q3764" s="656">
        <v>44216.767557870371</v>
      </c>
    </row>
    <row r="3765" spans="1:17">
      <c r="A3765" s="656" t="s">
        <v>5148</v>
      </c>
      <c r="B3765" s="657" t="s">
        <v>504</v>
      </c>
      <c r="C3765" s="656" t="s">
        <v>5149</v>
      </c>
      <c r="D3765" s="657" t="s">
        <v>14977</v>
      </c>
      <c r="E3765" s="657"/>
      <c r="F3765" s="656"/>
      <c r="G3765" s="656" t="s">
        <v>4362</v>
      </c>
      <c r="H3765" s="656"/>
      <c r="I3765" s="656"/>
      <c r="J3765" s="656"/>
      <c r="K3765" s="656"/>
      <c r="L3765" s="656"/>
      <c r="M3765" s="657"/>
      <c r="N3765" s="1482"/>
      <c r="O3765" s="656" t="s">
        <v>498</v>
      </c>
      <c r="P3765" s="656" t="s">
        <v>13052</v>
      </c>
      <c r="Q3765" s="656">
        <v>44216.767557870371</v>
      </c>
    </row>
    <row r="3766" spans="1:17">
      <c r="A3766" s="656" t="s">
        <v>5150</v>
      </c>
      <c r="B3766" s="657" t="s">
        <v>504</v>
      </c>
      <c r="C3766" s="656" t="s">
        <v>3996</v>
      </c>
      <c r="D3766" s="657" t="s">
        <v>14977</v>
      </c>
      <c r="E3766" s="657"/>
      <c r="F3766" s="656"/>
      <c r="G3766" s="656" t="s">
        <v>4362</v>
      </c>
      <c r="H3766" s="656"/>
      <c r="I3766" s="656"/>
      <c r="J3766" s="656"/>
      <c r="K3766" s="656"/>
      <c r="L3766" s="656"/>
      <c r="M3766" s="657"/>
      <c r="N3766" s="1482"/>
      <c r="O3766" s="656" t="s">
        <v>498</v>
      </c>
      <c r="P3766" s="656" t="s">
        <v>13052</v>
      </c>
      <c r="Q3766" s="656">
        <v>44216.767546296294</v>
      </c>
    </row>
    <row r="3767" spans="1:17">
      <c r="A3767" s="656" t="s">
        <v>5151</v>
      </c>
      <c r="B3767" s="657" t="s">
        <v>504</v>
      </c>
      <c r="C3767" s="656" t="s">
        <v>5152</v>
      </c>
      <c r="D3767" s="657" t="s">
        <v>14977</v>
      </c>
      <c r="E3767" s="657"/>
      <c r="F3767" s="656"/>
      <c r="G3767" s="656" t="s">
        <v>4362</v>
      </c>
      <c r="H3767" s="656"/>
      <c r="I3767" s="656"/>
      <c r="J3767" s="656"/>
      <c r="K3767" s="656"/>
      <c r="L3767" s="656"/>
      <c r="M3767" s="657"/>
      <c r="N3767" s="1482"/>
      <c r="O3767" s="656" t="s">
        <v>498</v>
      </c>
      <c r="P3767" s="656" t="s">
        <v>13052</v>
      </c>
      <c r="Q3767" s="656">
        <v>44216.767546296294</v>
      </c>
    </row>
    <row r="3768" spans="1:17">
      <c r="A3768" s="656" t="s">
        <v>5153</v>
      </c>
      <c r="B3768" s="657" t="s">
        <v>504</v>
      </c>
      <c r="C3768" s="656" t="s">
        <v>5154</v>
      </c>
      <c r="D3768" s="657" t="s">
        <v>14977</v>
      </c>
      <c r="E3768" s="657"/>
      <c r="F3768" s="656"/>
      <c r="G3768" s="656" t="s">
        <v>4362</v>
      </c>
      <c r="H3768" s="656"/>
      <c r="I3768" s="656"/>
      <c r="J3768" s="656"/>
      <c r="K3768" s="656"/>
      <c r="L3768" s="656"/>
      <c r="M3768" s="657"/>
      <c r="N3768" s="1482"/>
      <c r="O3768" s="656" t="s">
        <v>498</v>
      </c>
      <c r="P3768" s="656" t="s">
        <v>13052</v>
      </c>
      <c r="Q3768" s="656">
        <v>44216.767500000002</v>
      </c>
    </row>
    <row r="3769" spans="1:17">
      <c r="A3769" s="656" t="s">
        <v>5155</v>
      </c>
      <c r="B3769" s="657" t="s">
        <v>504</v>
      </c>
      <c r="C3769" s="656" t="s">
        <v>5156</v>
      </c>
      <c r="D3769" s="657" t="s">
        <v>14977</v>
      </c>
      <c r="E3769" s="657"/>
      <c r="F3769" s="656"/>
      <c r="G3769" s="656" t="s">
        <v>4362</v>
      </c>
      <c r="H3769" s="656"/>
      <c r="I3769" s="656"/>
      <c r="J3769" s="656"/>
      <c r="K3769" s="656"/>
      <c r="L3769" s="656"/>
      <c r="M3769" s="657"/>
      <c r="N3769" s="1482"/>
      <c r="O3769" s="656" t="s">
        <v>498</v>
      </c>
      <c r="P3769" s="656" t="s">
        <v>13052</v>
      </c>
      <c r="Q3769" s="656">
        <v>44216.767500000002</v>
      </c>
    </row>
    <row r="3770" spans="1:17">
      <c r="A3770" s="656" t="s">
        <v>5157</v>
      </c>
      <c r="B3770" s="657" t="s">
        <v>504</v>
      </c>
      <c r="C3770" s="656" t="s">
        <v>5158</v>
      </c>
      <c r="D3770" s="657" t="s">
        <v>14977</v>
      </c>
      <c r="E3770" s="657"/>
      <c r="F3770" s="656"/>
      <c r="G3770" s="656" t="s">
        <v>4362</v>
      </c>
      <c r="H3770" s="656"/>
      <c r="I3770" s="656"/>
      <c r="J3770" s="656"/>
      <c r="K3770" s="656"/>
      <c r="L3770" s="656"/>
      <c r="M3770" s="657"/>
      <c r="N3770" s="1482"/>
      <c r="O3770" s="656" t="s">
        <v>498</v>
      </c>
      <c r="P3770" s="656" t="s">
        <v>13052</v>
      </c>
      <c r="Q3770" s="656">
        <v>44216.767488425925</v>
      </c>
    </row>
    <row r="3771" spans="1:17">
      <c r="A3771" s="656" t="s">
        <v>5159</v>
      </c>
      <c r="B3771" s="657" t="s">
        <v>504</v>
      </c>
      <c r="C3771" s="656" t="s">
        <v>5160</v>
      </c>
      <c r="D3771" s="657" t="s">
        <v>14977</v>
      </c>
      <c r="E3771" s="657"/>
      <c r="F3771" s="656"/>
      <c r="G3771" s="656" t="s">
        <v>4362</v>
      </c>
      <c r="H3771" s="656"/>
      <c r="I3771" s="656"/>
      <c r="J3771" s="656"/>
      <c r="K3771" s="656"/>
      <c r="L3771" s="656"/>
      <c r="M3771" s="657"/>
      <c r="N3771" s="1482"/>
      <c r="O3771" s="656" t="s">
        <v>498</v>
      </c>
      <c r="P3771" s="656" t="s">
        <v>13052</v>
      </c>
      <c r="Q3771" s="656">
        <v>44216.767488425925</v>
      </c>
    </row>
    <row r="3772" spans="1:17">
      <c r="A3772" s="656" t="s">
        <v>5161</v>
      </c>
      <c r="B3772" s="657" t="s">
        <v>504</v>
      </c>
      <c r="C3772" s="656" t="s">
        <v>5162</v>
      </c>
      <c r="D3772" s="657" t="s">
        <v>14977</v>
      </c>
      <c r="E3772" s="657"/>
      <c r="F3772" s="656"/>
      <c r="G3772" s="656" t="s">
        <v>4362</v>
      </c>
      <c r="H3772" s="656"/>
      <c r="I3772" s="656"/>
      <c r="J3772" s="656"/>
      <c r="K3772" s="656"/>
      <c r="L3772" s="656"/>
      <c r="M3772" s="657"/>
      <c r="N3772" s="1482"/>
      <c r="O3772" s="656" t="s">
        <v>498</v>
      </c>
      <c r="P3772" s="656" t="s">
        <v>13052</v>
      </c>
      <c r="Q3772" s="656">
        <v>44216.767476851855</v>
      </c>
    </row>
    <row r="3773" spans="1:17">
      <c r="A3773" s="656" t="s">
        <v>5163</v>
      </c>
      <c r="B3773" s="657" t="s">
        <v>504</v>
      </c>
      <c r="C3773" s="656" t="s">
        <v>5164</v>
      </c>
      <c r="D3773" s="657" t="s">
        <v>14977</v>
      </c>
      <c r="E3773" s="657"/>
      <c r="F3773" s="656"/>
      <c r="G3773" s="656" t="s">
        <v>4362</v>
      </c>
      <c r="H3773" s="656"/>
      <c r="I3773" s="656"/>
      <c r="J3773" s="656"/>
      <c r="K3773" s="656"/>
      <c r="L3773" s="656"/>
      <c r="M3773" s="657"/>
      <c r="N3773" s="1482"/>
      <c r="O3773" s="656" t="s">
        <v>498</v>
      </c>
      <c r="P3773" s="656" t="s">
        <v>13052</v>
      </c>
      <c r="Q3773" s="656">
        <v>44216.767476851855</v>
      </c>
    </row>
    <row r="3774" spans="1:17">
      <c r="A3774" s="656" t="s">
        <v>5165</v>
      </c>
      <c r="B3774" s="657" t="s">
        <v>504</v>
      </c>
      <c r="C3774" s="656" t="s">
        <v>5166</v>
      </c>
      <c r="D3774" s="657"/>
      <c r="E3774" s="657"/>
      <c r="F3774" s="656" t="s">
        <v>505</v>
      </c>
      <c r="G3774" s="656" t="s">
        <v>4324</v>
      </c>
      <c r="H3774" s="656" t="s">
        <v>505</v>
      </c>
      <c r="I3774" s="656"/>
      <c r="J3774" s="656"/>
      <c r="K3774" s="656"/>
      <c r="L3774" s="656"/>
      <c r="M3774" s="657"/>
      <c r="N3774" s="1482"/>
      <c r="O3774" s="656" t="s">
        <v>498</v>
      </c>
      <c r="P3774" s="656" t="s">
        <v>13052</v>
      </c>
      <c r="Q3774" s="656">
        <v>44216.767476851855</v>
      </c>
    </row>
    <row r="3775" spans="1:17">
      <c r="A3775" s="656" t="s">
        <v>5167</v>
      </c>
      <c r="B3775" s="657" t="s">
        <v>504</v>
      </c>
      <c r="C3775" s="656" t="s">
        <v>5168</v>
      </c>
      <c r="D3775" s="657"/>
      <c r="E3775" s="657"/>
      <c r="F3775" s="656" t="s">
        <v>505</v>
      </c>
      <c r="G3775" s="656" t="s">
        <v>4324</v>
      </c>
      <c r="H3775" s="656" t="s">
        <v>505</v>
      </c>
      <c r="I3775" s="656"/>
      <c r="J3775" s="656"/>
      <c r="K3775" s="656"/>
      <c r="L3775" s="656"/>
      <c r="M3775" s="657"/>
      <c r="N3775" s="1482"/>
      <c r="O3775" s="656" t="s">
        <v>498</v>
      </c>
      <c r="P3775" s="656" t="s">
        <v>13052</v>
      </c>
      <c r="Q3775" s="656">
        <v>44216.767465277779</v>
      </c>
    </row>
    <row r="3776" spans="1:17">
      <c r="A3776" s="656" t="s">
        <v>5169</v>
      </c>
      <c r="B3776" s="657" t="s">
        <v>504</v>
      </c>
      <c r="C3776" s="656" t="s">
        <v>5170</v>
      </c>
      <c r="D3776" s="657"/>
      <c r="E3776" s="657"/>
      <c r="F3776" s="656" t="s">
        <v>505</v>
      </c>
      <c r="G3776" s="656" t="s">
        <v>4324</v>
      </c>
      <c r="H3776" s="656" t="s">
        <v>505</v>
      </c>
      <c r="I3776" s="656"/>
      <c r="J3776" s="656"/>
      <c r="K3776" s="656"/>
      <c r="L3776" s="656"/>
      <c r="M3776" s="657"/>
      <c r="N3776" s="1482"/>
      <c r="O3776" s="656" t="s">
        <v>498</v>
      </c>
      <c r="P3776" s="656" t="s">
        <v>13052</v>
      </c>
      <c r="Q3776" s="656">
        <v>44216.767453703702</v>
      </c>
    </row>
    <row r="3777" spans="1:17">
      <c r="A3777" s="656" t="s">
        <v>5171</v>
      </c>
      <c r="B3777" s="657" t="s">
        <v>504</v>
      </c>
      <c r="C3777" s="656" t="s">
        <v>5172</v>
      </c>
      <c r="D3777" s="657"/>
      <c r="E3777" s="657"/>
      <c r="F3777" s="656" t="s">
        <v>505</v>
      </c>
      <c r="G3777" s="656" t="s">
        <v>4324</v>
      </c>
      <c r="H3777" s="656" t="s">
        <v>505</v>
      </c>
      <c r="I3777" s="656"/>
      <c r="J3777" s="656"/>
      <c r="K3777" s="656"/>
      <c r="L3777" s="656"/>
      <c r="M3777" s="657"/>
      <c r="N3777" s="1482"/>
      <c r="O3777" s="656" t="s">
        <v>498</v>
      </c>
      <c r="P3777" s="656" t="s">
        <v>13052</v>
      </c>
      <c r="Q3777" s="656">
        <v>44216.767453703702</v>
      </c>
    </row>
    <row r="3778" spans="1:17">
      <c r="A3778" s="656" t="s">
        <v>5173</v>
      </c>
      <c r="B3778" s="657" t="s">
        <v>504</v>
      </c>
      <c r="C3778" s="656" t="s">
        <v>5174</v>
      </c>
      <c r="D3778" s="657"/>
      <c r="E3778" s="657"/>
      <c r="F3778" s="656" t="s">
        <v>505</v>
      </c>
      <c r="G3778" s="656" t="s">
        <v>4394</v>
      </c>
      <c r="H3778" s="656" t="s">
        <v>505</v>
      </c>
      <c r="I3778" s="656"/>
      <c r="J3778" s="656"/>
      <c r="K3778" s="656"/>
      <c r="L3778" s="656"/>
      <c r="M3778" s="657"/>
      <c r="N3778" s="1482"/>
      <c r="O3778" s="656" t="s">
        <v>498</v>
      </c>
      <c r="P3778" s="656" t="s">
        <v>13052</v>
      </c>
      <c r="Q3778" s="656">
        <v>44216.767442129632</v>
      </c>
    </row>
    <row r="3779" spans="1:17">
      <c r="A3779" s="656" t="s">
        <v>5175</v>
      </c>
      <c r="B3779" s="657" t="s">
        <v>504</v>
      </c>
      <c r="C3779" s="656" t="s">
        <v>5176</v>
      </c>
      <c r="D3779" s="657"/>
      <c r="E3779" s="657"/>
      <c r="F3779" s="656" t="s">
        <v>505</v>
      </c>
      <c r="G3779" s="656" t="s">
        <v>4394</v>
      </c>
      <c r="H3779" s="656" t="s">
        <v>505</v>
      </c>
      <c r="I3779" s="656"/>
      <c r="J3779" s="656"/>
      <c r="K3779" s="656"/>
      <c r="L3779" s="656"/>
      <c r="M3779" s="657"/>
      <c r="N3779" s="1482"/>
      <c r="O3779" s="656" t="s">
        <v>498</v>
      </c>
      <c r="P3779" s="656" t="s">
        <v>13052</v>
      </c>
      <c r="Q3779" s="656">
        <v>44216.767442129632</v>
      </c>
    </row>
    <row r="3780" spans="1:17">
      <c r="A3780" s="656" t="s">
        <v>5177</v>
      </c>
      <c r="B3780" s="657" t="s">
        <v>504</v>
      </c>
      <c r="C3780" s="656" t="s">
        <v>5178</v>
      </c>
      <c r="D3780" s="657"/>
      <c r="E3780" s="657"/>
      <c r="F3780" s="656" t="s">
        <v>505</v>
      </c>
      <c r="G3780" s="656" t="s">
        <v>4394</v>
      </c>
      <c r="H3780" s="656" t="s">
        <v>505</v>
      </c>
      <c r="I3780" s="656"/>
      <c r="J3780" s="656"/>
      <c r="K3780" s="656"/>
      <c r="L3780" s="656"/>
      <c r="M3780" s="657"/>
      <c r="N3780" s="1482"/>
      <c r="O3780" s="656" t="s">
        <v>498</v>
      </c>
      <c r="P3780" s="656" t="s">
        <v>13052</v>
      </c>
      <c r="Q3780" s="656">
        <v>44216.767430555556</v>
      </c>
    </row>
    <row r="3781" spans="1:17">
      <c r="A3781" s="656" t="s">
        <v>5179</v>
      </c>
      <c r="B3781" s="657" t="s">
        <v>504</v>
      </c>
      <c r="C3781" s="656" t="s">
        <v>5180</v>
      </c>
      <c r="D3781" s="657"/>
      <c r="E3781" s="657"/>
      <c r="F3781" s="656" t="s">
        <v>505</v>
      </c>
      <c r="G3781" s="656" t="s">
        <v>4394</v>
      </c>
      <c r="H3781" s="656" t="s">
        <v>505</v>
      </c>
      <c r="I3781" s="656"/>
      <c r="J3781" s="656"/>
      <c r="K3781" s="656"/>
      <c r="L3781" s="656"/>
      <c r="M3781" s="657"/>
      <c r="N3781" s="1482"/>
      <c r="O3781" s="656" t="s">
        <v>498</v>
      </c>
      <c r="P3781" s="656" t="s">
        <v>13052</v>
      </c>
      <c r="Q3781" s="656">
        <v>44216.767430555556</v>
      </c>
    </row>
    <row r="3782" spans="1:17">
      <c r="A3782" s="656" t="s">
        <v>5181</v>
      </c>
      <c r="B3782" s="657" t="s">
        <v>504</v>
      </c>
      <c r="C3782" s="656" t="s">
        <v>5182</v>
      </c>
      <c r="D3782" s="657"/>
      <c r="E3782" s="657"/>
      <c r="F3782" s="656" t="s">
        <v>505</v>
      </c>
      <c r="G3782" s="656" t="s">
        <v>4394</v>
      </c>
      <c r="H3782" s="656" t="s">
        <v>505</v>
      </c>
      <c r="I3782" s="656"/>
      <c r="J3782" s="656"/>
      <c r="K3782" s="656"/>
      <c r="L3782" s="656"/>
      <c r="M3782" s="657"/>
      <c r="N3782" s="1482"/>
      <c r="O3782" s="656" t="s">
        <v>498</v>
      </c>
      <c r="P3782" s="656" t="s">
        <v>13052</v>
      </c>
      <c r="Q3782" s="656">
        <v>44216.767418981479</v>
      </c>
    </row>
    <row r="3783" spans="1:17">
      <c r="A3783" s="656" t="s">
        <v>5183</v>
      </c>
      <c r="B3783" s="657"/>
      <c r="C3783" s="656" t="s">
        <v>5184</v>
      </c>
      <c r="D3783" s="657" t="s">
        <v>14977</v>
      </c>
      <c r="E3783" s="657"/>
      <c r="F3783" s="656"/>
      <c r="G3783" s="656" t="s">
        <v>4198</v>
      </c>
      <c r="H3783" s="656"/>
      <c r="I3783" s="656" t="s">
        <v>14976</v>
      </c>
      <c r="J3783" s="656"/>
      <c r="K3783" s="656"/>
      <c r="L3783" s="656" t="s">
        <v>5183</v>
      </c>
      <c r="M3783" s="657"/>
      <c r="N3783" s="1482"/>
      <c r="O3783" s="656" t="s">
        <v>498</v>
      </c>
      <c r="P3783" s="656" t="s">
        <v>13052</v>
      </c>
      <c r="Q3783" s="656">
        <v>44216.767418981479</v>
      </c>
    </row>
    <row r="3784" spans="1:17">
      <c r="A3784" s="656" t="s">
        <v>5185</v>
      </c>
      <c r="B3784" s="657" t="s">
        <v>504</v>
      </c>
      <c r="C3784" s="656" t="s">
        <v>5186</v>
      </c>
      <c r="D3784" s="657"/>
      <c r="E3784" s="657"/>
      <c r="F3784" s="656" t="s">
        <v>505</v>
      </c>
      <c r="G3784" s="656" t="s">
        <v>4394</v>
      </c>
      <c r="H3784" s="656" t="s">
        <v>505</v>
      </c>
      <c r="I3784" s="656"/>
      <c r="J3784" s="656"/>
      <c r="K3784" s="656"/>
      <c r="L3784" s="656"/>
      <c r="M3784" s="657"/>
      <c r="N3784" s="1482"/>
      <c r="O3784" s="656" t="s">
        <v>498</v>
      </c>
      <c r="P3784" s="656" t="s">
        <v>13052</v>
      </c>
      <c r="Q3784" s="656">
        <v>44216.767407407409</v>
      </c>
    </row>
    <row r="3785" spans="1:17">
      <c r="A3785" s="656" t="s">
        <v>5187</v>
      </c>
      <c r="B3785" s="657"/>
      <c r="C3785" s="656" t="s">
        <v>5188</v>
      </c>
      <c r="D3785" s="657" t="s">
        <v>14977</v>
      </c>
      <c r="E3785" s="657"/>
      <c r="F3785" s="656"/>
      <c r="G3785" s="656" t="s">
        <v>4198</v>
      </c>
      <c r="H3785" s="656"/>
      <c r="I3785" s="656" t="s">
        <v>14976</v>
      </c>
      <c r="J3785" s="656"/>
      <c r="K3785" s="656"/>
      <c r="L3785" s="656" t="s">
        <v>5187</v>
      </c>
      <c r="M3785" s="657"/>
      <c r="N3785" s="1482"/>
      <c r="O3785" s="656" t="s">
        <v>498</v>
      </c>
      <c r="P3785" s="656" t="s">
        <v>13052</v>
      </c>
      <c r="Q3785" s="656">
        <v>44216.767407407409</v>
      </c>
    </row>
    <row r="3786" spans="1:17">
      <c r="A3786" s="656" t="s">
        <v>5189</v>
      </c>
      <c r="B3786" s="657" t="s">
        <v>504</v>
      </c>
      <c r="C3786" s="656" t="s">
        <v>5190</v>
      </c>
      <c r="D3786" s="657"/>
      <c r="E3786" s="657"/>
      <c r="F3786" s="656" t="s">
        <v>505</v>
      </c>
      <c r="G3786" s="656" t="s">
        <v>4394</v>
      </c>
      <c r="H3786" s="656" t="s">
        <v>505</v>
      </c>
      <c r="I3786" s="656"/>
      <c r="J3786" s="656"/>
      <c r="K3786" s="656"/>
      <c r="L3786" s="656"/>
      <c r="M3786" s="657"/>
      <c r="N3786" s="1482"/>
      <c r="O3786" s="656" t="s">
        <v>498</v>
      </c>
      <c r="P3786" s="656" t="s">
        <v>13052</v>
      </c>
      <c r="Q3786" s="656">
        <v>44216.767407407409</v>
      </c>
    </row>
    <row r="3787" spans="1:17">
      <c r="A3787" s="656" t="s">
        <v>5191</v>
      </c>
      <c r="B3787" s="657" t="s">
        <v>504</v>
      </c>
      <c r="C3787" s="656" t="s">
        <v>5192</v>
      </c>
      <c r="D3787" s="657"/>
      <c r="E3787" s="657"/>
      <c r="F3787" s="656" t="s">
        <v>505</v>
      </c>
      <c r="G3787" s="656" t="s">
        <v>4324</v>
      </c>
      <c r="H3787" s="656" t="s">
        <v>505</v>
      </c>
      <c r="I3787" s="656"/>
      <c r="J3787" s="656"/>
      <c r="K3787" s="656"/>
      <c r="L3787" s="656"/>
      <c r="M3787" s="657"/>
      <c r="N3787" s="1482"/>
      <c r="O3787" s="656" t="s">
        <v>498</v>
      </c>
      <c r="P3787" s="656" t="s">
        <v>13052</v>
      </c>
      <c r="Q3787" s="656">
        <v>44216.767384259256</v>
      </c>
    </row>
    <row r="3788" spans="1:17">
      <c r="A3788" s="656" t="s">
        <v>5193</v>
      </c>
      <c r="B3788" s="657" t="s">
        <v>504</v>
      </c>
      <c r="C3788" s="656" t="s">
        <v>5194</v>
      </c>
      <c r="D3788" s="657"/>
      <c r="E3788" s="657"/>
      <c r="F3788" s="656" t="s">
        <v>505</v>
      </c>
      <c r="G3788" s="656" t="s">
        <v>4324</v>
      </c>
      <c r="H3788" s="656" t="s">
        <v>505</v>
      </c>
      <c r="I3788" s="656"/>
      <c r="J3788" s="656"/>
      <c r="K3788" s="656"/>
      <c r="L3788" s="656"/>
      <c r="M3788" s="657"/>
      <c r="N3788" s="1482"/>
      <c r="O3788" s="656" t="s">
        <v>498</v>
      </c>
      <c r="P3788" s="656" t="s">
        <v>13052</v>
      </c>
      <c r="Q3788" s="656">
        <v>44216.767384259256</v>
      </c>
    </row>
    <row r="3789" spans="1:17">
      <c r="A3789" s="656" t="s">
        <v>5195</v>
      </c>
      <c r="B3789" s="657" t="s">
        <v>504</v>
      </c>
      <c r="C3789" s="656" t="s">
        <v>5196</v>
      </c>
      <c r="D3789" s="657" t="s">
        <v>14977</v>
      </c>
      <c r="E3789" s="657"/>
      <c r="F3789" s="656"/>
      <c r="G3789" s="656" t="s">
        <v>3757</v>
      </c>
      <c r="H3789" s="656"/>
      <c r="I3789" s="656"/>
      <c r="J3789" s="656"/>
      <c r="K3789" s="656"/>
      <c r="L3789" s="656"/>
      <c r="M3789" s="657"/>
      <c r="N3789" s="1482"/>
      <c r="O3789" s="656" t="s">
        <v>498</v>
      </c>
      <c r="P3789" s="656" t="s">
        <v>13052</v>
      </c>
      <c r="Q3789" s="656">
        <v>44216.767372685186</v>
      </c>
    </row>
    <row r="3790" spans="1:17">
      <c r="A3790" s="656" t="s">
        <v>5197</v>
      </c>
      <c r="B3790" s="657" t="s">
        <v>504</v>
      </c>
      <c r="C3790" s="656" t="s">
        <v>5198</v>
      </c>
      <c r="D3790" s="657" t="s">
        <v>14977</v>
      </c>
      <c r="E3790" s="657"/>
      <c r="F3790" s="656"/>
      <c r="G3790" s="656" t="s">
        <v>3757</v>
      </c>
      <c r="H3790" s="656"/>
      <c r="I3790" s="656"/>
      <c r="J3790" s="656"/>
      <c r="K3790" s="656"/>
      <c r="L3790" s="656"/>
      <c r="M3790" s="657"/>
      <c r="N3790" s="1482"/>
      <c r="O3790" s="656" t="s">
        <v>498</v>
      </c>
      <c r="P3790" s="656" t="s">
        <v>13052</v>
      </c>
      <c r="Q3790" s="656">
        <v>44216.767372685186</v>
      </c>
    </row>
    <row r="3791" spans="1:17">
      <c r="A3791" s="656" t="s">
        <v>5199</v>
      </c>
      <c r="B3791" s="657" t="s">
        <v>504</v>
      </c>
      <c r="C3791" s="656" t="s">
        <v>5200</v>
      </c>
      <c r="D3791" s="657"/>
      <c r="E3791" s="657"/>
      <c r="F3791" s="656" t="s">
        <v>505</v>
      </c>
      <c r="G3791" s="656" t="s">
        <v>4324</v>
      </c>
      <c r="H3791" s="656" t="s">
        <v>505</v>
      </c>
      <c r="I3791" s="656"/>
      <c r="J3791" s="656"/>
      <c r="K3791" s="656"/>
      <c r="L3791" s="656"/>
      <c r="M3791" s="657"/>
      <c r="N3791" s="1482"/>
      <c r="O3791" s="656" t="s">
        <v>498</v>
      </c>
      <c r="P3791" s="656" t="s">
        <v>13052</v>
      </c>
      <c r="Q3791" s="656">
        <v>44216.767372685186</v>
      </c>
    </row>
    <row r="3792" spans="1:17">
      <c r="A3792" s="656" t="s">
        <v>5201</v>
      </c>
      <c r="B3792" s="657"/>
      <c r="C3792" s="656" t="s">
        <v>5202</v>
      </c>
      <c r="D3792" s="657" t="s">
        <v>14977</v>
      </c>
      <c r="E3792" s="657"/>
      <c r="F3792" s="656"/>
      <c r="G3792" s="656" t="s">
        <v>4198</v>
      </c>
      <c r="H3792" s="656"/>
      <c r="I3792" s="656" t="s">
        <v>14976</v>
      </c>
      <c r="J3792" s="656"/>
      <c r="K3792" s="656"/>
      <c r="L3792" s="656" t="s">
        <v>5201</v>
      </c>
      <c r="M3792" s="657"/>
      <c r="N3792" s="1482"/>
      <c r="O3792" s="656" t="s">
        <v>498</v>
      </c>
      <c r="P3792" s="656" t="s">
        <v>13052</v>
      </c>
      <c r="Q3792" s="656">
        <v>44216.767361111109</v>
      </c>
    </row>
    <row r="3793" spans="1:17">
      <c r="A3793" s="656" t="s">
        <v>5203</v>
      </c>
      <c r="B3793" s="657" t="s">
        <v>504</v>
      </c>
      <c r="C3793" s="656" t="s">
        <v>5204</v>
      </c>
      <c r="D3793" s="657" t="s">
        <v>14977</v>
      </c>
      <c r="E3793" s="657"/>
      <c r="F3793" s="656"/>
      <c r="G3793" s="656" t="s">
        <v>4347</v>
      </c>
      <c r="H3793" s="656"/>
      <c r="I3793" s="656"/>
      <c r="J3793" s="656"/>
      <c r="K3793" s="656"/>
      <c r="L3793" s="656"/>
      <c r="M3793" s="657"/>
      <c r="N3793" s="1482"/>
      <c r="O3793" s="656" t="s">
        <v>498</v>
      </c>
      <c r="P3793" s="656" t="s">
        <v>13052</v>
      </c>
      <c r="Q3793" s="656">
        <v>44216.767361111109</v>
      </c>
    </row>
    <row r="3794" spans="1:17">
      <c r="A3794" s="656" t="s">
        <v>5205</v>
      </c>
      <c r="B3794" s="657" t="s">
        <v>504</v>
      </c>
      <c r="C3794" s="656" t="s">
        <v>5206</v>
      </c>
      <c r="D3794" s="657" t="s">
        <v>14977</v>
      </c>
      <c r="E3794" s="657"/>
      <c r="F3794" s="656"/>
      <c r="G3794" s="656" t="s">
        <v>4347</v>
      </c>
      <c r="H3794" s="656"/>
      <c r="I3794" s="656"/>
      <c r="J3794" s="656"/>
      <c r="K3794" s="656"/>
      <c r="L3794" s="656"/>
      <c r="M3794" s="657"/>
      <c r="N3794" s="1482"/>
      <c r="O3794" s="656" t="s">
        <v>498</v>
      </c>
      <c r="P3794" s="656" t="s">
        <v>13052</v>
      </c>
      <c r="Q3794" s="656">
        <v>44216.76734953704</v>
      </c>
    </row>
    <row r="3795" spans="1:17">
      <c r="A3795" s="656" t="s">
        <v>5207</v>
      </c>
      <c r="B3795" s="657" t="s">
        <v>504</v>
      </c>
      <c r="C3795" s="656" t="s">
        <v>5208</v>
      </c>
      <c r="D3795" s="657" t="s">
        <v>14977</v>
      </c>
      <c r="E3795" s="657"/>
      <c r="F3795" s="656"/>
      <c r="G3795" s="656" t="s">
        <v>4347</v>
      </c>
      <c r="H3795" s="656"/>
      <c r="I3795" s="656"/>
      <c r="J3795" s="656"/>
      <c r="K3795" s="656"/>
      <c r="L3795" s="656"/>
      <c r="M3795" s="657"/>
      <c r="N3795" s="1482"/>
      <c r="O3795" s="656" t="s">
        <v>498</v>
      </c>
      <c r="P3795" s="656" t="s">
        <v>13052</v>
      </c>
      <c r="Q3795" s="656">
        <v>44216.76734953704</v>
      </c>
    </row>
    <row r="3796" spans="1:17">
      <c r="A3796" s="656" t="s">
        <v>5209</v>
      </c>
      <c r="B3796" s="657" t="s">
        <v>504</v>
      </c>
      <c r="C3796" s="656" t="s">
        <v>5210</v>
      </c>
      <c r="D3796" s="657" t="s">
        <v>14977</v>
      </c>
      <c r="E3796" s="657"/>
      <c r="F3796" s="656"/>
      <c r="G3796" s="656" t="s">
        <v>4347</v>
      </c>
      <c r="H3796" s="656"/>
      <c r="I3796" s="656"/>
      <c r="J3796" s="656"/>
      <c r="K3796" s="656"/>
      <c r="L3796" s="656"/>
      <c r="M3796" s="657"/>
      <c r="N3796" s="1482"/>
      <c r="O3796" s="656" t="s">
        <v>498</v>
      </c>
      <c r="P3796" s="656" t="s">
        <v>13052</v>
      </c>
      <c r="Q3796" s="656">
        <v>44216.767337962963</v>
      </c>
    </row>
    <row r="3797" spans="1:17">
      <c r="A3797" s="656" t="s">
        <v>5211</v>
      </c>
      <c r="B3797" s="657"/>
      <c r="C3797" s="656" t="s">
        <v>5212</v>
      </c>
      <c r="D3797" s="657" t="s">
        <v>14977</v>
      </c>
      <c r="E3797" s="657"/>
      <c r="F3797" s="656"/>
      <c r="G3797" s="656"/>
      <c r="H3797" s="656"/>
      <c r="I3797" s="656" t="s">
        <v>14976</v>
      </c>
      <c r="J3797" s="656"/>
      <c r="K3797" s="656"/>
      <c r="L3797" s="656" t="s">
        <v>5211</v>
      </c>
      <c r="M3797" s="657"/>
      <c r="N3797" s="1482"/>
      <c r="O3797" s="656" t="s">
        <v>498</v>
      </c>
      <c r="P3797" s="656" t="s">
        <v>13052</v>
      </c>
      <c r="Q3797" s="656">
        <v>44216.767337962963</v>
      </c>
    </row>
    <row r="3798" spans="1:17">
      <c r="A3798" s="656" t="s">
        <v>5213</v>
      </c>
      <c r="B3798" s="657"/>
      <c r="C3798" s="656" t="s">
        <v>5214</v>
      </c>
      <c r="D3798" s="657" t="s">
        <v>14977</v>
      </c>
      <c r="E3798" s="657"/>
      <c r="F3798" s="656"/>
      <c r="G3798" s="656"/>
      <c r="H3798" s="656"/>
      <c r="I3798" s="656" t="s">
        <v>14976</v>
      </c>
      <c r="J3798" s="656"/>
      <c r="K3798" s="656"/>
      <c r="L3798" s="656" t="s">
        <v>5213</v>
      </c>
      <c r="M3798" s="657"/>
      <c r="N3798" s="1482"/>
      <c r="O3798" s="656" t="s">
        <v>498</v>
      </c>
      <c r="P3798" s="656" t="s">
        <v>13052</v>
      </c>
      <c r="Q3798" s="656">
        <v>44216.767337962963</v>
      </c>
    </row>
    <row r="3799" spans="1:17">
      <c r="A3799" s="656" t="s">
        <v>5215</v>
      </c>
      <c r="B3799" s="657" t="s">
        <v>504</v>
      </c>
      <c r="C3799" s="656" t="s">
        <v>5216</v>
      </c>
      <c r="D3799" s="657" t="s">
        <v>14977</v>
      </c>
      <c r="E3799" s="657"/>
      <c r="F3799" s="656"/>
      <c r="G3799" s="656" t="s">
        <v>4362</v>
      </c>
      <c r="H3799" s="656"/>
      <c r="I3799" s="656"/>
      <c r="J3799" s="656"/>
      <c r="K3799" s="656"/>
      <c r="L3799" s="656"/>
      <c r="M3799" s="657"/>
      <c r="N3799" s="1482"/>
      <c r="O3799" s="656" t="s">
        <v>498</v>
      </c>
      <c r="P3799" s="656" t="s">
        <v>13052</v>
      </c>
      <c r="Q3799" s="656">
        <v>44216.767326388886</v>
      </c>
    </row>
    <row r="3800" spans="1:17">
      <c r="A3800" s="656" t="s">
        <v>5217</v>
      </c>
      <c r="B3800" s="657" t="s">
        <v>504</v>
      </c>
      <c r="C3800" s="656" t="s">
        <v>5218</v>
      </c>
      <c r="D3800" s="657" t="s">
        <v>14977</v>
      </c>
      <c r="E3800" s="657"/>
      <c r="F3800" s="656"/>
      <c r="G3800" s="656" t="s">
        <v>3757</v>
      </c>
      <c r="H3800" s="656"/>
      <c r="I3800" s="656"/>
      <c r="J3800" s="656"/>
      <c r="K3800" s="656"/>
      <c r="L3800" s="656"/>
      <c r="M3800" s="657"/>
      <c r="N3800" s="1482"/>
      <c r="O3800" s="656" t="s">
        <v>498</v>
      </c>
      <c r="P3800" s="656" t="s">
        <v>13052</v>
      </c>
      <c r="Q3800" s="656">
        <v>44216.767326388886</v>
      </c>
    </row>
    <row r="3801" spans="1:17">
      <c r="A3801" s="656" t="s">
        <v>5219</v>
      </c>
      <c r="B3801" s="657"/>
      <c r="C3801" s="656" t="s">
        <v>5220</v>
      </c>
      <c r="D3801" s="657" t="s">
        <v>14977</v>
      </c>
      <c r="E3801" s="657"/>
      <c r="F3801" s="656" t="s">
        <v>1394</v>
      </c>
      <c r="G3801" s="656"/>
      <c r="H3801" s="656" t="s">
        <v>1394</v>
      </c>
      <c r="I3801" s="656" t="s">
        <v>14976</v>
      </c>
      <c r="J3801" s="656"/>
      <c r="K3801" s="656"/>
      <c r="L3801" s="656" t="s">
        <v>5219</v>
      </c>
      <c r="M3801" s="657"/>
      <c r="N3801" s="1482"/>
      <c r="O3801" s="656" t="s">
        <v>498</v>
      </c>
      <c r="P3801" s="656" t="s">
        <v>13052</v>
      </c>
      <c r="Q3801" s="656">
        <v>44216.767314814817</v>
      </c>
    </row>
    <row r="3802" spans="1:17">
      <c r="A3802" s="656" t="s">
        <v>5221</v>
      </c>
      <c r="B3802" s="657" t="s">
        <v>504</v>
      </c>
      <c r="C3802" s="656" t="s">
        <v>5222</v>
      </c>
      <c r="D3802" s="657" t="s">
        <v>14977</v>
      </c>
      <c r="E3802" s="657"/>
      <c r="F3802" s="656"/>
      <c r="G3802" s="656" t="s">
        <v>4347</v>
      </c>
      <c r="H3802" s="656"/>
      <c r="I3802" s="656"/>
      <c r="J3802" s="656"/>
      <c r="K3802" s="656"/>
      <c r="L3802" s="656"/>
      <c r="M3802" s="657"/>
      <c r="N3802" s="1482"/>
      <c r="O3802" s="656" t="s">
        <v>498</v>
      </c>
      <c r="P3802" s="656" t="s">
        <v>13052</v>
      </c>
      <c r="Q3802" s="656">
        <v>44216.767314814817</v>
      </c>
    </row>
    <row r="3803" spans="1:17">
      <c r="A3803" s="656" t="s">
        <v>5223</v>
      </c>
      <c r="B3803" s="657" t="s">
        <v>504</v>
      </c>
      <c r="C3803" s="656" t="s">
        <v>5224</v>
      </c>
      <c r="D3803" s="657" t="s">
        <v>14977</v>
      </c>
      <c r="E3803" s="657"/>
      <c r="F3803" s="656"/>
      <c r="G3803" s="656" t="s">
        <v>4347</v>
      </c>
      <c r="H3803" s="656"/>
      <c r="I3803" s="656"/>
      <c r="J3803" s="656"/>
      <c r="K3803" s="656"/>
      <c r="L3803" s="656"/>
      <c r="M3803" s="657"/>
      <c r="N3803" s="1482"/>
      <c r="O3803" s="656" t="s">
        <v>498</v>
      </c>
      <c r="P3803" s="656" t="s">
        <v>13052</v>
      </c>
      <c r="Q3803" s="656">
        <v>44216.76730324074</v>
      </c>
    </row>
    <row r="3804" spans="1:17">
      <c r="A3804" s="656" t="s">
        <v>5225</v>
      </c>
      <c r="B3804" s="657"/>
      <c r="C3804" s="656" t="s">
        <v>5226</v>
      </c>
      <c r="D3804" s="657" t="s">
        <v>14977</v>
      </c>
      <c r="E3804" s="657"/>
      <c r="F3804" s="656"/>
      <c r="G3804" s="656" t="s">
        <v>4198</v>
      </c>
      <c r="H3804" s="656"/>
      <c r="I3804" s="656" t="s">
        <v>14976</v>
      </c>
      <c r="J3804" s="656"/>
      <c r="K3804" s="656"/>
      <c r="L3804" s="656" t="s">
        <v>5225</v>
      </c>
      <c r="M3804" s="657"/>
      <c r="N3804" s="1482"/>
      <c r="O3804" s="656" t="s">
        <v>498</v>
      </c>
      <c r="P3804" s="656" t="s">
        <v>13052</v>
      </c>
      <c r="Q3804" s="656">
        <v>44216.76730324074</v>
      </c>
    </row>
    <row r="3805" spans="1:17">
      <c r="A3805" s="656" t="s">
        <v>13355</v>
      </c>
      <c r="B3805" s="657" t="s">
        <v>202</v>
      </c>
      <c r="C3805" s="656" t="s">
        <v>13356</v>
      </c>
      <c r="D3805" s="657" t="s">
        <v>14977</v>
      </c>
      <c r="E3805" s="657"/>
      <c r="F3805" s="656"/>
      <c r="G3805" s="656" t="s">
        <v>5103</v>
      </c>
      <c r="H3805" s="656"/>
      <c r="I3805" s="656" t="s">
        <v>14976</v>
      </c>
      <c r="J3805" s="656"/>
      <c r="K3805" s="656"/>
      <c r="L3805" s="656" t="s">
        <v>13355</v>
      </c>
      <c r="M3805" s="657"/>
      <c r="N3805" s="1482"/>
      <c r="O3805" s="656" t="s">
        <v>498</v>
      </c>
      <c r="P3805" s="656" t="s">
        <v>13052</v>
      </c>
      <c r="Q3805" s="656">
        <v>44216.76730324074</v>
      </c>
    </row>
    <row r="3806" spans="1:17">
      <c r="A3806" s="656" t="s">
        <v>5227</v>
      </c>
      <c r="B3806" s="657" t="s">
        <v>531</v>
      </c>
      <c r="C3806" s="656" t="s">
        <v>5228</v>
      </c>
      <c r="D3806" s="657" t="s">
        <v>14977</v>
      </c>
      <c r="E3806" s="657"/>
      <c r="F3806" s="656" t="s">
        <v>472</v>
      </c>
      <c r="G3806" s="656" t="s">
        <v>1395</v>
      </c>
      <c r="H3806" s="656" t="s">
        <v>472</v>
      </c>
      <c r="I3806" s="656" t="s">
        <v>14976</v>
      </c>
      <c r="J3806" s="656" t="s">
        <v>12368</v>
      </c>
      <c r="K3806" s="656"/>
      <c r="L3806" s="656"/>
      <c r="M3806" s="657"/>
      <c r="N3806" s="1482"/>
      <c r="O3806" s="656" t="s">
        <v>498</v>
      </c>
      <c r="P3806" s="656" t="s">
        <v>13052</v>
      </c>
      <c r="Q3806" s="656">
        <v>44216.767291666663</v>
      </c>
    </row>
    <row r="3807" spans="1:17">
      <c r="A3807" s="656" t="s">
        <v>13353</v>
      </c>
      <c r="B3807" s="657" t="s">
        <v>202</v>
      </c>
      <c r="C3807" s="656" t="s">
        <v>13354</v>
      </c>
      <c r="D3807" s="657" t="s">
        <v>14977</v>
      </c>
      <c r="E3807" s="657"/>
      <c r="F3807" s="656" t="s">
        <v>783</v>
      </c>
      <c r="G3807" s="656" t="s">
        <v>5229</v>
      </c>
      <c r="H3807" s="656" t="s">
        <v>783</v>
      </c>
      <c r="I3807" s="656" t="s">
        <v>14976</v>
      </c>
      <c r="J3807" s="656" t="s">
        <v>15282</v>
      </c>
      <c r="K3807" s="656"/>
      <c r="L3807" s="656" t="s">
        <v>13353</v>
      </c>
      <c r="M3807" s="657"/>
      <c r="N3807" s="1482"/>
      <c r="O3807" s="656" t="s">
        <v>498</v>
      </c>
      <c r="P3807" s="656" t="s">
        <v>13052</v>
      </c>
      <c r="Q3807" s="656">
        <v>44216.767291666663</v>
      </c>
    </row>
    <row r="3808" spans="1:17">
      <c r="A3808" s="656" t="s">
        <v>5230</v>
      </c>
      <c r="B3808" s="657" t="s">
        <v>504</v>
      </c>
      <c r="C3808" s="656" t="s">
        <v>5231</v>
      </c>
      <c r="D3808" s="657" t="s">
        <v>14977</v>
      </c>
      <c r="E3808" s="657"/>
      <c r="F3808" s="656"/>
      <c r="G3808" s="656" t="s">
        <v>4362</v>
      </c>
      <c r="H3808" s="656"/>
      <c r="I3808" s="656"/>
      <c r="J3808" s="656"/>
      <c r="K3808" s="656"/>
      <c r="L3808" s="656"/>
      <c r="M3808" s="657"/>
      <c r="N3808" s="1482"/>
      <c r="O3808" s="656" t="s">
        <v>498</v>
      </c>
      <c r="P3808" s="656" t="s">
        <v>13052</v>
      </c>
      <c r="Q3808" s="656">
        <v>44216.767280092594</v>
      </c>
    </row>
    <row r="3809" spans="1:17">
      <c r="A3809" s="656" t="s">
        <v>13349</v>
      </c>
      <c r="B3809" s="657" t="s">
        <v>202</v>
      </c>
      <c r="C3809" s="656" t="s">
        <v>13350</v>
      </c>
      <c r="D3809" s="657" t="s">
        <v>14977</v>
      </c>
      <c r="E3809" s="657"/>
      <c r="F3809" s="656" t="s">
        <v>783</v>
      </c>
      <c r="G3809" s="656" t="s">
        <v>5229</v>
      </c>
      <c r="H3809" s="656" t="s">
        <v>783</v>
      </c>
      <c r="I3809" s="656" t="s">
        <v>14976</v>
      </c>
      <c r="J3809" s="656" t="s">
        <v>15282</v>
      </c>
      <c r="K3809" s="656"/>
      <c r="L3809" s="656" t="s">
        <v>13349</v>
      </c>
      <c r="M3809" s="657"/>
      <c r="N3809" s="1482"/>
      <c r="O3809" s="656" t="s">
        <v>498</v>
      </c>
      <c r="P3809" s="656" t="s">
        <v>13052</v>
      </c>
      <c r="Q3809" s="656">
        <v>44216.767280092594</v>
      </c>
    </row>
    <row r="3810" spans="1:17">
      <c r="A3810" s="656" t="s">
        <v>13347</v>
      </c>
      <c r="B3810" s="657" t="s">
        <v>202</v>
      </c>
      <c r="C3810" s="656" t="s">
        <v>13348</v>
      </c>
      <c r="D3810" s="657" t="s">
        <v>14977</v>
      </c>
      <c r="E3810" s="657"/>
      <c r="F3810" s="656" t="s">
        <v>783</v>
      </c>
      <c r="G3810" s="656" t="s">
        <v>5229</v>
      </c>
      <c r="H3810" s="656" t="s">
        <v>783</v>
      </c>
      <c r="I3810" s="656" t="s">
        <v>14976</v>
      </c>
      <c r="J3810" s="656" t="s">
        <v>15282</v>
      </c>
      <c r="K3810" s="656"/>
      <c r="L3810" s="656" t="s">
        <v>13347</v>
      </c>
      <c r="M3810" s="657"/>
      <c r="N3810" s="1482"/>
      <c r="O3810" s="656" t="s">
        <v>498</v>
      </c>
      <c r="P3810" s="656" t="s">
        <v>13052</v>
      </c>
      <c r="Q3810" s="656">
        <v>44216.767280092594</v>
      </c>
    </row>
    <row r="3811" spans="1:17">
      <c r="A3811" s="656" t="s">
        <v>13345</v>
      </c>
      <c r="B3811" s="657" t="s">
        <v>202</v>
      </c>
      <c r="C3811" s="656" t="s">
        <v>13346</v>
      </c>
      <c r="D3811" s="657" t="s">
        <v>14977</v>
      </c>
      <c r="E3811" s="657"/>
      <c r="F3811" s="656" t="s">
        <v>783</v>
      </c>
      <c r="G3811" s="656" t="s">
        <v>5229</v>
      </c>
      <c r="H3811" s="656" t="s">
        <v>783</v>
      </c>
      <c r="I3811" s="656" t="s">
        <v>14976</v>
      </c>
      <c r="J3811" s="656" t="s">
        <v>15282</v>
      </c>
      <c r="K3811" s="656"/>
      <c r="L3811" s="656" t="s">
        <v>13345</v>
      </c>
      <c r="M3811" s="657"/>
      <c r="N3811" s="1482"/>
      <c r="O3811" s="656" t="s">
        <v>498</v>
      </c>
      <c r="P3811" s="656" t="s">
        <v>13052</v>
      </c>
      <c r="Q3811" s="656">
        <v>44216.767268518517</v>
      </c>
    </row>
    <row r="3812" spans="1:17">
      <c r="A3812" s="656" t="s">
        <v>5232</v>
      </c>
      <c r="B3812" s="657" t="s">
        <v>202</v>
      </c>
      <c r="C3812" s="656" t="s">
        <v>5233</v>
      </c>
      <c r="D3812" s="657" t="s">
        <v>14977</v>
      </c>
      <c r="E3812" s="657"/>
      <c r="F3812" s="656" t="s">
        <v>4052</v>
      </c>
      <c r="G3812" s="656"/>
      <c r="H3812" s="656" t="s">
        <v>455</v>
      </c>
      <c r="I3812" s="656" t="s">
        <v>14976</v>
      </c>
      <c r="J3812" s="656" t="s">
        <v>451</v>
      </c>
      <c r="K3812" s="656"/>
      <c r="L3812" s="656" t="s">
        <v>5232</v>
      </c>
      <c r="M3812" s="657"/>
      <c r="N3812" s="1482"/>
      <c r="O3812" s="656" t="s">
        <v>498</v>
      </c>
      <c r="P3812" s="656" t="s">
        <v>13052</v>
      </c>
      <c r="Q3812" s="656">
        <v>44216.767268518517</v>
      </c>
    </row>
    <row r="3813" spans="1:17">
      <c r="A3813" s="656" t="s">
        <v>13343</v>
      </c>
      <c r="B3813" s="657" t="s">
        <v>202</v>
      </c>
      <c r="C3813" s="656" t="s">
        <v>13344</v>
      </c>
      <c r="D3813" s="657" t="s">
        <v>14977</v>
      </c>
      <c r="E3813" s="657"/>
      <c r="F3813" s="656" t="s">
        <v>783</v>
      </c>
      <c r="G3813" s="656" t="s">
        <v>5229</v>
      </c>
      <c r="H3813" s="656" t="s">
        <v>783</v>
      </c>
      <c r="I3813" s="656" t="s">
        <v>14976</v>
      </c>
      <c r="J3813" s="656" t="s">
        <v>15282</v>
      </c>
      <c r="K3813" s="656"/>
      <c r="L3813" s="656" t="s">
        <v>13343</v>
      </c>
      <c r="M3813" s="657"/>
      <c r="N3813" s="1482"/>
      <c r="O3813" s="656" t="s">
        <v>498</v>
      </c>
      <c r="P3813" s="656" t="s">
        <v>13052</v>
      </c>
      <c r="Q3813" s="656">
        <v>44216.767256944448</v>
      </c>
    </row>
    <row r="3814" spans="1:17">
      <c r="A3814" s="656" t="s">
        <v>5234</v>
      </c>
      <c r="B3814" s="657" t="s">
        <v>504</v>
      </c>
      <c r="C3814" s="656" t="s">
        <v>5235</v>
      </c>
      <c r="D3814" s="657" t="s">
        <v>14977</v>
      </c>
      <c r="E3814" s="657"/>
      <c r="F3814" s="656"/>
      <c r="G3814" s="656" t="s">
        <v>4347</v>
      </c>
      <c r="H3814" s="656"/>
      <c r="I3814" s="656"/>
      <c r="J3814" s="656"/>
      <c r="K3814" s="656"/>
      <c r="L3814" s="656"/>
      <c r="M3814" s="657"/>
      <c r="N3814" s="1482"/>
      <c r="O3814" s="656" t="s">
        <v>498</v>
      </c>
      <c r="P3814" s="656" t="s">
        <v>13052</v>
      </c>
      <c r="Q3814" s="656">
        <v>44216.767256944448</v>
      </c>
    </row>
    <row r="3815" spans="1:17">
      <c r="A3815" s="656" t="s">
        <v>5236</v>
      </c>
      <c r="B3815" s="657" t="s">
        <v>202</v>
      </c>
      <c r="C3815" s="656" t="s">
        <v>5237</v>
      </c>
      <c r="D3815" s="657" t="s">
        <v>14977</v>
      </c>
      <c r="E3815" s="657"/>
      <c r="F3815" s="656"/>
      <c r="G3815" s="656" t="s">
        <v>5238</v>
      </c>
      <c r="H3815" s="656"/>
      <c r="I3815" s="656" t="s">
        <v>14976</v>
      </c>
      <c r="J3815" s="656"/>
      <c r="K3815" s="656"/>
      <c r="L3815" s="656" t="s">
        <v>5236</v>
      </c>
      <c r="M3815" s="657"/>
      <c r="N3815" s="1482"/>
      <c r="O3815" s="656" t="s">
        <v>498</v>
      </c>
      <c r="P3815" s="656" t="s">
        <v>13052</v>
      </c>
      <c r="Q3815" s="656">
        <v>44216.767245370371</v>
      </c>
    </row>
    <row r="3816" spans="1:17">
      <c r="A3816" s="656" t="s">
        <v>5239</v>
      </c>
      <c r="B3816" s="657" t="s">
        <v>202</v>
      </c>
      <c r="C3816" s="656" t="s">
        <v>5240</v>
      </c>
      <c r="D3816" s="657" t="s">
        <v>14977</v>
      </c>
      <c r="E3816" s="657"/>
      <c r="F3816" s="656" t="s">
        <v>655</v>
      </c>
      <c r="G3816" s="656" t="s">
        <v>1078</v>
      </c>
      <c r="H3816" s="656" t="s">
        <v>655</v>
      </c>
      <c r="I3816" s="656" t="s">
        <v>14976</v>
      </c>
      <c r="J3816" s="656" t="s">
        <v>15281</v>
      </c>
      <c r="K3816" s="656"/>
      <c r="L3816" s="656" t="s">
        <v>5239</v>
      </c>
      <c r="M3816" s="657"/>
      <c r="N3816" s="1482"/>
      <c r="O3816" s="656" t="s">
        <v>498</v>
      </c>
      <c r="P3816" s="656" t="s">
        <v>13052</v>
      </c>
      <c r="Q3816" s="656">
        <v>44216.767256944448</v>
      </c>
    </row>
    <row r="3817" spans="1:17">
      <c r="A3817" s="656" t="s">
        <v>5241</v>
      </c>
      <c r="B3817" s="657" t="s">
        <v>504</v>
      </c>
      <c r="C3817" s="656" t="s">
        <v>5242</v>
      </c>
      <c r="D3817" s="657" t="s">
        <v>14977</v>
      </c>
      <c r="E3817" s="657"/>
      <c r="F3817" s="656"/>
      <c r="G3817" s="656" t="s">
        <v>4347</v>
      </c>
      <c r="H3817" s="656"/>
      <c r="I3817" s="656"/>
      <c r="J3817" s="656"/>
      <c r="K3817" s="656"/>
      <c r="L3817" s="656"/>
      <c r="M3817" s="657"/>
      <c r="N3817" s="1482"/>
      <c r="O3817" s="656" t="s">
        <v>498</v>
      </c>
      <c r="P3817" s="656" t="s">
        <v>13052</v>
      </c>
      <c r="Q3817" s="656">
        <v>44216.767233796294</v>
      </c>
    </row>
    <row r="3818" spans="1:17">
      <c r="A3818" s="656" t="s">
        <v>5243</v>
      </c>
      <c r="B3818" s="657" t="s">
        <v>504</v>
      </c>
      <c r="C3818" s="656" t="s">
        <v>5244</v>
      </c>
      <c r="D3818" s="657" t="s">
        <v>14977</v>
      </c>
      <c r="E3818" s="657"/>
      <c r="F3818" s="656"/>
      <c r="G3818" s="656" t="s">
        <v>4347</v>
      </c>
      <c r="H3818" s="656"/>
      <c r="I3818" s="656"/>
      <c r="J3818" s="656"/>
      <c r="K3818" s="656"/>
      <c r="L3818" s="656"/>
      <c r="M3818" s="657"/>
      <c r="N3818" s="1482"/>
      <c r="O3818" s="656" t="s">
        <v>498</v>
      </c>
      <c r="P3818" s="656" t="s">
        <v>13052</v>
      </c>
      <c r="Q3818" s="656">
        <v>44216.767233796294</v>
      </c>
    </row>
    <row r="3819" spans="1:17">
      <c r="A3819" s="656" t="s">
        <v>5245</v>
      </c>
      <c r="B3819" s="657"/>
      <c r="C3819" s="656" t="s">
        <v>5246</v>
      </c>
      <c r="D3819" s="657" t="s">
        <v>14977</v>
      </c>
      <c r="E3819" s="657"/>
      <c r="F3819" s="656"/>
      <c r="G3819" s="656" t="s">
        <v>4198</v>
      </c>
      <c r="H3819" s="656"/>
      <c r="I3819" s="656" t="s">
        <v>14976</v>
      </c>
      <c r="J3819" s="656"/>
      <c r="K3819" s="656"/>
      <c r="L3819" s="656" t="s">
        <v>5245</v>
      </c>
      <c r="M3819" s="657"/>
      <c r="N3819" s="1482"/>
      <c r="O3819" s="656" t="s">
        <v>498</v>
      </c>
      <c r="P3819" s="656" t="s">
        <v>13052</v>
      </c>
      <c r="Q3819" s="656">
        <v>44216.767222222225</v>
      </c>
    </row>
    <row r="3820" spans="1:17">
      <c r="A3820" s="656" t="s">
        <v>5247</v>
      </c>
      <c r="B3820" s="657" t="s">
        <v>202</v>
      </c>
      <c r="C3820" s="656" t="s">
        <v>5248</v>
      </c>
      <c r="D3820" s="657" t="s">
        <v>14977</v>
      </c>
      <c r="E3820" s="657"/>
      <c r="F3820" s="656" t="s">
        <v>1620</v>
      </c>
      <c r="G3820" s="656" t="s">
        <v>1620</v>
      </c>
      <c r="H3820" s="656" t="s">
        <v>1620</v>
      </c>
      <c r="I3820" s="656" t="s">
        <v>14976</v>
      </c>
      <c r="J3820" s="656" t="s">
        <v>15288</v>
      </c>
      <c r="K3820" s="656"/>
      <c r="L3820" s="656" t="s">
        <v>5247</v>
      </c>
      <c r="M3820" s="657"/>
      <c r="N3820" s="1482"/>
      <c r="O3820" s="656" t="s">
        <v>498</v>
      </c>
      <c r="P3820" s="656" t="s">
        <v>13052</v>
      </c>
      <c r="Q3820" s="656">
        <v>44216.767222222225</v>
      </c>
    </row>
    <row r="3821" spans="1:17">
      <c r="A3821" s="656" t="s">
        <v>5249</v>
      </c>
      <c r="B3821" s="657"/>
      <c r="C3821" s="656" t="s">
        <v>5250</v>
      </c>
      <c r="D3821" s="657" t="s">
        <v>14977</v>
      </c>
      <c r="E3821" s="657"/>
      <c r="F3821" s="656"/>
      <c r="G3821" s="656" t="s">
        <v>5045</v>
      </c>
      <c r="H3821" s="656"/>
      <c r="I3821" s="656" t="s">
        <v>14976</v>
      </c>
      <c r="J3821" s="656"/>
      <c r="K3821" s="656"/>
      <c r="L3821" s="656" t="s">
        <v>5249</v>
      </c>
      <c r="M3821" s="657"/>
      <c r="N3821" s="1482"/>
      <c r="O3821" s="656" t="s">
        <v>498</v>
      </c>
      <c r="P3821" s="656" t="s">
        <v>13052</v>
      </c>
      <c r="Q3821" s="656">
        <v>44216.767210648148</v>
      </c>
    </row>
    <row r="3822" spans="1:17">
      <c r="A3822" s="656" t="s">
        <v>5251</v>
      </c>
      <c r="B3822" s="657"/>
      <c r="C3822" s="656" t="s">
        <v>5252</v>
      </c>
      <c r="D3822" s="657" t="s">
        <v>14977</v>
      </c>
      <c r="E3822" s="657"/>
      <c r="F3822" s="656"/>
      <c r="G3822" s="656" t="s">
        <v>5045</v>
      </c>
      <c r="H3822" s="656"/>
      <c r="I3822" s="656" t="s">
        <v>14976</v>
      </c>
      <c r="J3822" s="656"/>
      <c r="K3822" s="656"/>
      <c r="L3822" s="656" t="s">
        <v>5251</v>
      </c>
      <c r="M3822" s="657"/>
      <c r="N3822" s="1482"/>
      <c r="O3822" s="656" t="s">
        <v>498</v>
      </c>
      <c r="P3822" s="656" t="s">
        <v>13052</v>
      </c>
      <c r="Q3822" s="656">
        <v>44216.767210648148</v>
      </c>
    </row>
    <row r="3823" spans="1:17">
      <c r="A3823" s="656" t="s">
        <v>5253</v>
      </c>
      <c r="B3823" s="657"/>
      <c r="C3823" s="656" t="s">
        <v>5254</v>
      </c>
      <c r="D3823" s="657" t="s">
        <v>14977</v>
      </c>
      <c r="E3823" s="657"/>
      <c r="F3823" s="656"/>
      <c r="G3823" s="656" t="s">
        <v>5045</v>
      </c>
      <c r="H3823" s="656"/>
      <c r="I3823" s="656" t="s">
        <v>14976</v>
      </c>
      <c r="J3823" s="656"/>
      <c r="K3823" s="656"/>
      <c r="L3823" s="656" t="s">
        <v>5253</v>
      </c>
      <c r="M3823" s="657"/>
      <c r="N3823" s="1482"/>
      <c r="O3823" s="656" t="s">
        <v>498</v>
      </c>
      <c r="P3823" s="656" t="s">
        <v>13052</v>
      </c>
      <c r="Q3823" s="656">
        <v>44216.767210648148</v>
      </c>
    </row>
    <row r="3824" spans="1:17">
      <c r="A3824" s="656" t="s">
        <v>5255</v>
      </c>
      <c r="B3824" s="657" t="s">
        <v>504</v>
      </c>
      <c r="C3824" s="656" t="s">
        <v>5256</v>
      </c>
      <c r="D3824" s="657"/>
      <c r="E3824" s="657"/>
      <c r="F3824" s="656" t="s">
        <v>505</v>
      </c>
      <c r="G3824" s="656" t="s">
        <v>4324</v>
      </c>
      <c r="H3824" s="656" t="s">
        <v>505</v>
      </c>
      <c r="I3824" s="656"/>
      <c r="J3824" s="656"/>
      <c r="K3824" s="656"/>
      <c r="L3824" s="656"/>
      <c r="M3824" s="657"/>
      <c r="N3824" s="1482"/>
      <c r="O3824" s="656" t="s">
        <v>498</v>
      </c>
      <c r="P3824" s="656" t="s">
        <v>13052</v>
      </c>
      <c r="Q3824" s="656">
        <v>44216.767199074071</v>
      </c>
    </row>
    <row r="3825" spans="1:17">
      <c r="A3825" s="656" t="s">
        <v>5257</v>
      </c>
      <c r="B3825" s="657"/>
      <c r="C3825" s="656" t="s">
        <v>5258</v>
      </c>
      <c r="D3825" s="657" t="s">
        <v>14977</v>
      </c>
      <c r="E3825" s="657"/>
      <c r="F3825" s="656"/>
      <c r="G3825" s="656" t="s">
        <v>4198</v>
      </c>
      <c r="H3825" s="656"/>
      <c r="I3825" s="656" t="s">
        <v>14976</v>
      </c>
      <c r="J3825" s="656"/>
      <c r="K3825" s="656"/>
      <c r="L3825" s="656" t="s">
        <v>5257</v>
      </c>
      <c r="M3825" s="657"/>
      <c r="N3825" s="1482"/>
      <c r="O3825" s="656" t="s">
        <v>498</v>
      </c>
      <c r="P3825" s="656" t="s">
        <v>13052</v>
      </c>
      <c r="Q3825" s="656">
        <v>44216.767187500001</v>
      </c>
    </row>
    <row r="3826" spans="1:17">
      <c r="A3826" s="656" t="s">
        <v>5259</v>
      </c>
      <c r="B3826" s="657"/>
      <c r="C3826" s="656" t="s">
        <v>5260</v>
      </c>
      <c r="D3826" s="657" t="s">
        <v>14977</v>
      </c>
      <c r="E3826" s="657"/>
      <c r="F3826" s="656"/>
      <c r="G3826" s="656" t="s">
        <v>5045</v>
      </c>
      <c r="H3826" s="656"/>
      <c r="I3826" s="656" t="s">
        <v>14976</v>
      </c>
      <c r="J3826" s="656"/>
      <c r="K3826" s="656"/>
      <c r="L3826" s="656" t="s">
        <v>5259</v>
      </c>
      <c r="M3826" s="657"/>
      <c r="N3826" s="1482"/>
      <c r="O3826" s="656" t="s">
        <v>498</v>
      </c>
      <c r="P3826" s="656" t="s">
        <v>13052</v>
      </c>
      <c r="Q3826" s="656">
        <v>44216.767175925925</v>
      </c>
    </row>
    <row r="3827" spans="1:17">
      <c r="A3827" s="656" t="s">
        <v>5261</v>
      </c>
      <c r="B3827" s="657" t="s">
        <v>504</v>
      </c>
      <c r="C3827" s="656" t="s">
        <v>5262</v>
      </c>
      <c r="D3827" s="657" t="s">
        <v>13789</v>
      </c>
      <c r="E3827" s="657" t="s">
        <v>9654</v>
      </c>
      <c r="F3827" s="656" t="s">
        <v>505</v>
      </c>
      <c r="G3827" s="656" t="s">
        <v>506</v>
      </c>
      <c r="H3827" s="656" t="s">
        <v>505</v>
      </c>
      <c r="I3827" s="656" t="s">
        <v>14976</v>
      </c>
      <c r="J3827" s="656"/>
      <c r="K3827" s="656"/>
      <c r="L3827" s="656"/>
      <c r="M3827" s="657"/>
      <c r="N3827" s="1482"/>
      <c r="O3827" s="656" t="s">
        <v>498</v>
      </c>
      <c r="P3827" s="656" t="s">
        <v>13052</v>
      </c>
      <c r="Q3827" s="656">
        <v>44216.767175925925</v>
      </c>
    </row>
    <row r="3828" spans="1:17">
      <c r="A3828" s="656" t="s">
        <v>5263</v>
      </c>
      <c r="B3828" s="657" t="s">
        <v>504</v>
      </c>
      <c r="C3828" s="656" t="s">
        <v>5264</v>
      </c>
      <c r="D3828" s="657"/>
      <c r="E3828" s="657"/>
      <c r="F3828" s="656" t="s">
        <v>505</v>
      </c>
      <c r="G3828" s="656" t="s">
        <v>4394</v>
      </c>
      <c r="H3828" s="656" t="s">
        <v>505</v>
      </c>
      <c r="I3828" s="656"/>
      <c r="J3828" s="656"/>
      <c r="K3828" s="656"/>
      <c r="L3828" s="656"/>
      <c r="M3828" s="657"/>
      <c r="N3828" s="1482"/>
      <c r="O3828" s="656" t="s">
        <v>498</v>
      </c>
      <c r="P3828" s="656" t="s">
        <v>13052</v>
      </c>
      <c r="Q3828" s="656">
        <v>44216.767164351855</v>
      </c>
    </row>
    <row r="3829" spans="1:17">
      <c r="A3829" s="656" t="s">
        <v>5265</v>
      </c>
      <c r="B3829" s="657" t="s">
        <v>504</v>
      </c>
      <c r="C3829" s="656" t="s">
        <v>5266</v>
      </c>
      <c r="D3829" s="657" t="s">
        <v>14977</v>
      </c>
      <c r="E3829" s="657"/>
      <c r="F3829" s="656"/>
      <c r="G3829" s="656" t="s">
        <v>4347</v>
      </c>
      <c r="H3829" s="656"/>
      <c r="I3829" s="656"/>
      <c r="J3829" s="656"/>
      <c r="K3829" s="656"/>
      <c r="L3829" s="656"/>
      <c r="M3829" s="657"/>
      <c r="N3829" s="1482"/>
      <c r="O3829" s="656" t="s">
        <v>498</v>
      </c>
      <c r="P3829" s="656" t="s">
        <v>13052</v>
      </c>
      <c r="Q3829" s="656">
        <v>44216.767152777778</v>
      </c>
    </row>
    <row r="3830" spans="1:17">
      <c r="A3830" s="656" t="s">
        <v>5267</v>
      </c>
      <c r="B3830" s="657"/>
      <c r="C3830" s="656" t="s">
        <v>5268</v>
      </c>
      <c r="D3830" s="657" t="s">
        <v>14977</v>
      </c>
      <c r="E3830" s="657"/>
      <c r="F3830" s="656"/>
      <c r="G3830" s="656" t="s">
        <v>5045</v>
      </c>
      <c r="H3830" s="656"/>
      <c r="I3830" s="656" t="s">
        <v>14976</v>
      </c>
      <c r="J3830" s="656"/>
      <c r="K3830" s="656"/>
      <c r="L3830" s="656" t="s">
        <v>5267</v>
      </c>
      <c r="M3830" s="657"/>
      <c r="N3830" s="1482"/>
      <c r="O3830" s="656" t="s">
        <v>498</v>
      </c>
      <c r="P3830" s="656" t="s">
        <v>13052</v>
      </c>
      <c r="Q3830" s="656">
        <v>44216.767152777778</v>
      </c>
    </row>
    <row r="3831" spans="1:17">
      <c r="A3831" s="656" t="s">
        <v>5269</v>
      </c>
      <c r="B3831" s="657"/>
      <c r="C3831" s="656" t="s">
        <v>5270</v>
      </c>
      <c r="D3831" s="657" t="s">
        <v>14977</v>
      </c>
      <c r="E3831" s="657"/>
      <c r="F3831" s="656"/>
      <c r="G3831" s="656" t="s">
        <v>4198</v>
      </c>
      <c r="H3831" s="656"/>
      <c r="I3831" s="656" t="s">
        <v>14976</v>
      </c>
      <c r="J3831" s="656"/>
      <c r="K3831" s="656"/>
      <c r="L3831" s="656" t="s">
        <v>5269</v>
      </c>
      <c r="M3831" s="657"/>
      <c r="N3831" s="1482"/>
      <c r="O3831" s="656" t="s">
        <v>498</v>
      </c>
      <c r="P3831" s="656" t="s">
        <v>13052</v>
      </c>
      <c r="Q3831" s="656">
        <v>44216.767141203702</v>
      </c>
    </row>
    <row r="3832" spans="1:17">
      <c r="A3832" s="656" t="s">
        <v>5271</v>
      </c>
      <c r="B3832" s="657" t="s">
        <v>504</v>
      </c>
      <c r="C3832" s="656" t="s">
        <v>5272</v>
      </c>
      <c r="D3832" s="657"/>
      <c r="E3832" s="657"/>
      <c r="F3832" s="656" t="s">
        <v>505</v>
      </c>
      <c r="G3832" s="656" t="s">
        <v>4324</v>
      </c>
      <c r="H3832" s="656" t="s">
        <v>505</v>
      </c>
      <c r="I3832" s="656"/>
      <c r="J3832" s="656"/>
      <c r="K3832" s="656"/>
      <c r="L3832" s="656"/>
      <c r="M3832" s="657"/>
      <c r="N3832" s="1482"/>
      <c r="O3832" s="656" t="s">
        <v>498</v>
      </c>
      <c r="P3832" s="656" t="s">
        <v>13052</v>
      </c>
      <c r="Q3832" s="656">
        <v>44216.767141203702</v>
      </c>
    </row>
    <row r="3833" spans="1:17">
      <c r="A3833" s="656" t="s">
        <v>5273</v>
      </c>
      <c r="B3833" s="657" t="s">
        <v>202</v>
      </c>
      <c r="C3833" s="656" t="s">
        <v>5274</v>
      </c>
      <c r="D3833" s="657" t="s">
        <v>14977</v>
      </c>
      <c r="E3833" s="657"/>
      <c r="F3833" s="656" t="s">
        <v>1394</v>
      </c>
      <c r="G3833" s="656" t="s">
        <v>1620</v>
      </c>
      <c r="H3833" s="656" t="s">
        <v>1394</v>
      </c>
      <c r="I3833" s="656" t="s">
        <v>14976</v>
      </c>
      <c r="J3833" s="656" t="s">
        <v>15288</v>
      </c>
      <c r="K3833" s="656"/>
      <c r="L3833" s="656" t="s">
        <v>5273</v>
      </c>
      <c r="M3833" s="657"/>
      <c r="N3833" s="1482"/>
      <c r="O3833" s="656" t="s">
        <v>498</v>
      </c>
      <c r="P3833" s="656" t="s">
        <v>13052</v>
      </c>
      <c r="Q3833" s="656">
        <v>44216.767129629632</v>
      </c>
    </row>
    <row r="3834" spans="1:17">
      <c r="A3834" s="656" t="s">
        <v>5275</v>
      </c>
      <c r="B3834" s="657"/>
      <c r="C3834" s="656" t="s">
        <v>5276</v>
      </c>
      <c r="D3834" s="657" t="s">
        <v>14977</v>
      </c>
      <c r="E3834" s="657"/>
      <c r="F3834" s="656"/>
      <c r="G3834" s="656" t="s">
        <v>4198</v>
      </c>
      <c r="H3834" s="656"/>
      <c r="I3834" s="656" t="s">
        <v>14976</v>
      </c>
      <c r="J3834" s="656"/>
      <c r="K3834" s="656"/>
      <c r="L3834" s="656" t="s">
        <v>5275</v>
      </c>
      <c r="M3834" s="657"/>
      <c r="N3834" s="1482"/>
      <c r="O3834" s="656" t="s">
        <v>498</v>
      </c>
      <c r="P3834" s="656" t="s">
        <v>13052</v>
      </c>
      <c r="Q3834" s="656">
        <v>44216.767118055555</v>
      </c>
    </row>
    <row r="3835" spans="1:17">
      <c r="A3835" s="656" t="s">
        <v>5277</v>
      </c>
      <c r="B3835" s="657" t="s">
        <v>504</v>
      </c>
      <c r="C3835" s="656" t="s">
        <v>5278</v>
      </c>
      <c r="D3835" s="657" t="s">
        <v>14977</v>
      </c>
      <c r="E3835" s="657"/>
      <c r="F3835" s="656"/>
      <c r="G3835" s="656" t="s">
        <v>4347</v>
      </c>
      <c r="H3835" s="656"/>
      <c r="I3835" s="656"/>
      <c r="J3835" s="656"/>
      <c r="K3835" s="656"/>
      <c r="L3835" s="656"/>
      <c r="M3835" s="657"/>
      <c r="N3835" s="1482"/>
      <c r="O3835" s="656" t="s">
        <v>498</v>
      </c>
      <c r="P3835" s="656" t="s">
        <v>13052</v>
      </c>
      <c r="Q3835" s="656">
        <v>44216.767106481479</v>
      </c>
    </row>
    <row r="3836" spans="1:17">
      <c r="A3836" s="656" t="s">
        <v>5279</v>
      </c>
      <c r="B3836" s="657"/>
      <c r="C3836" s="656" t="s">
        <v>5280</v>
      </c>
      <c r="D3836" s="657" t="s">
        <v>14977</v>
      </c>
      <c r="E3836" s="657"/>
      <c r="F3836" s="656"/>
      <c r="G3836" s="656" t="s">
        <v>5045</v>
      </c>
      <c r="H3836" s="656"/>
      <c r="I3836" s="656" t="s">
        <v>14976</v>
      </c>
      <c r="J3836" s="656"/>
      <c r="K3836" s="656"/>
      <c r="L3836" s="656" t="s">
        <v>5279</v>
      </c>
      <c r="M3836" s="657"/>
      <c r="N3836" s="1482"/>
      <c r="O3836" s="656" t="s">
        <v>498</v>
      </c>
      <c r="P3836" s="656" t="s">
        <v>13052</v>
      </c>
      <c r="Q3836" s="656">
        <v>44216.767106481479</v>
      </c>
    </row>
    <row r="3837" spans="1:17">
      <c r="A3837" s="656" t="s">
        <v>5281</v>
      </c>
      <c r="B3837" s="657" t="s">
        <v>504</v>
      </c>
      <c r="C3837" s="656" t="s">
        <v>5282</v>
      </c>
      <c r="D3837" s="657"/>
      <c r="E3837" s="657"/>
      <c r="F3837" s="656" t="s">
        <v>505</v>
      </c>
      <c r="G3837" s="656" t="s">
        <v>4324</v>
      </c>
      <c r="H3837" s="656" t="s">
        <v>505</v>
      </c>
      <c r="I3837" s="656"/>
      <c r="J3837" s="656"/>
      <c r="K3837" s="656"/>
      <c r="L3837" s="656"/>
      <c r="M3837" s="657"/>
      <c r="N3837" s="1482"/>
      <c r="O3837" s="656" t="s">
        <v>498</v>
      </c>
      <c r="P3837" s="656" t="s">
        <v>13052</v>
      </c>
      <c r="Q3837" s="656">
        <v>44216.767094907409</v>
      </c>
    </row>
    <row r="3838" spans="1:17">
      <c r="A3838" s="656" t="s">
        <v>5283</v>
      </c>
      <c r="B3838" s="657" t="s">
        <v>504</v>
      </c>
      <c r="C3838" s="656" t="s">
        <v>5284</v>
      </c>
      <c r="D3838" s="657" t="s">
        <v>14977</v>
      </c>
      <c r="E3838" s="657"/>
      <c r="F3838" s="656"/>
      <c r="G3838" s="656" t="s">
        <v>3757</v>
      </c>
      <c r="H3838" s="656"/>
      <c r="I3838" s="656"/>
      <c r="J3838" s="656"/>
      <c r="K3838" s="656"/>
      <c r="L3838" s="656"/>
      <c r="M3838" s="657"/>
      <c r="N3838" s="1482"/>
      <c r="O3838" s="656" t="s">
        <v>498</v>
      </c>
      <c r="P3838" s="656" t="s">
        <v>13052</v>
      </c>
      <c r="Q3838" s="656">
        <v>44216.767083333332</v>
      </c>
    </row>
    <row r="3839" spans="1:17">
      <c r="A3839" s="656" t="s">
        <v>5285</v>
      </c>
      <c r="B3839" s="657" t="s">
        <v>504</v>
      </c>
      <c r="C3839" s="656" t="s">
        <v>5286</v>
      </c>
      <c r="D3839" s="657"/>
      <c r="E3839" s="657"/>
      <c r="F3839" s="656" t="s">
        <v>505</v>
      </c>
      <c r="G3839" s="656" t="s">
        <v>4394</v>
      </c>
      <c r="H3839" s="656" t="s">
        <v>505</v>
      </c>
      <c r="I3839" s="656"/>
      <c r="J3839" s="656"/>
      <c r="K3839" s="656"/>
      <c r="L3839" s="656"/>
      <c r="M3839" s="657"/>
      <c r="N3839" s="1482"/>
      <c r="O3839" s="656" t="s">
        <v>498</v>
      </c>
      <c r="P3839" s="656" t="s">
        <v>13052</v>
      </c>
      <c r="Q3839" s="656">
        <v>44216.767083333332</v>
      </c>
    </row>
    <row r="3840" spans="1:17">
      <c r="A3840" s="656" t="s">
        <v>5287</v>
      </c>
      <c r="B3840" s="657" t="s">
        <v>504</v>
      </c>
      <c r="C3840" s="656" t="s">
        <v>5288</v>
      </c>
      <c r="D3840" s="657"/>
      <c r="E3840" s="657"/>
      <c r="F3840" s="656" t="s">
        <v>505</v>
      </c>
      <c r="G3840" s="656" t="s">
        <v>4394</v>
      </c>
      <c r="H3840" s="656" t="s">
        <v>505</v>
      </c>
      <c r="I3840" s="656"/>
      <c r="J3840" s="656"/>
      <c r="K3840" s="656"/>
      <c r="L3840" s="656"/>
      <c r="M3840" s="657"/>
      <c r="N3840" s="1482"/>
      <c r="O3840" s="656" t="s">
        <v>498</v>
      </c>
      <c r="P3840" s="656" t="s">
        <v>13052</v>
      </c>
      <c r="Q3840" s="656">
        <v>44216.767071759263</v>
      </c>
    </row>
    <row r="3841" spans="1:17">
      <c r="A3841" s="656" t="s">
        <v>5289</v>
      </c>
      <c r="B3841" s="657" t="s">
        <v>504</v>
      </c>
      <c r="C3841" s="656" t="s">
        <v>5290</v>
      </c>
      <c r="D3841" s="657"/>
      <c r="E3841" s="657"/>
      <c r="F3841" s="656" t="s">
        <v>505</v>
      </c>
      <c r="G3841" s="656" t="s">
        <v>4324</v>
      </c>
      <c r="H3841" s="656" t="s">
        <v>505</v>
      </c>
      <c r="I3841" s="656"/>
      <c r="J3841" s="656"/>
      <c r="K3841" s="656"/>
      <c r="L3841" s="656"/>
      <c r="M3841" s="657"/>
      <c r="N3841" s="1482"/>
      <c r="O3841" s="656" t="s">
        <v>498</v>
      </c>
      <c r="P3841" s="656" t="s">
        <v>13052</v>
      </c>
      <c r="Q3841" s="656">
        <v>44216.767071759263</v>
      </c>
    </row>
    <row r="3842" spans="1:17">
      <c r="A3842" s="656" t="s">
        <v>5291</v>
      </c>
      <c r="B3842" s="657"/>
      <c r="C3842" s="656" t="s">
        <v>5292</v>
      </c>
      <c r="D3842" s="657" t="s">
        <v>14977</v>
      </c>
      <c r="E3842" s="657"/>
      <c r="F3842" s="656"/>
      <c r="G3842" s="656"/>
      <c r="H3842" s="656"/>
      <c r="I3842" s="656" t="s">
        <v>14976</v>
      </c>
      <c r="J3842" s="656"/>
      <c r="K3842" s="656"/>
      <c r="L3842" s="656" t="s">
        <v>5291</v>
      </c>
      <c r="M3842" s="657"/>
      <c r="N3842" s="1482"/>
      <c r="O3842" s="656" t="s">
        <v>498</v>
      </c>
      <c r="P3842" s="656" t="s">
        <v>13052</v>
      </c>
      <c r="Q3842" s="656">
        <v>44216.767071759263</v>
      </c>
    </row>
    <row r="3843" spans="1:17">
      <c r="A3843" s="656" t="s">
        <v>5293</v>
      </c>
      <c r="B3843" s="657"/>
      <c r="C3843" s="656" t="s">
        <v>5294</v>
      </c>
      <c r="D3843" s="657" t="s">
        <v>14977</v>
      </c>
      <c r="E3843" s="657"/>
      <c r="F3843" s="656"/>
      <c r="G3843" s="656"/>
      <c r="H3843" s="656"/>
      <c r="I3843" s="656" t="s">
        <v>14976</v>
      </c>
      <c r="J3843" s="656"/>
      <c r="K3843" s="656"/>
      <c r="L3843" s="656" t="s">
        <v>5293</v>
      </c>
      <c r="M3843" s="657"/>
      <c r="N3843" s="1482"/>
      <c r="O3843" s="656" t="s">
        <v>498</v>
      </c>
      <c r="P3843" s="656" t="s">
        <v>13052</v>
      </c>
      <c r="Q3843" s="656">
        <v>44216.767060185186</v>
      </c>
    </row>
    <row r="3844" spans="1:17">
      <c r="A3844" s="656" t="s">
        <v>5295</v>
      </c>
      <c r="B3844" s="657"/>
      <c r="C3844" s="656" t="s">
        <v>5292</v>
      </c>
      <c r="D3844" s="657" t="s">
        <v>14977</v>
      </c>
      <c r="E3844" s="657"/>
      <c r="F3844" s="656"/>
      <c r="G3844" s="656"/>
      <c r="H3844" s="656"/>
      <c r="I3844" s="656" t="s">
        <v>14976</v>
      </c>
      <c r="J3844" s="656"/>
      <c r="K3844" s="656"/>
      <c r="L3844" s="656" t="s">
        <v>5295</v>
      </c>
      <c r="M3844" s="657"/>
      <c r="N3844" s="1482"/>
      <c r="O3844" s="656" t="s">
        <v>498</v>
      </c>
      <c r="P3844" s="656" t="s">
        <v>13052</v>
      </c>
      <c r="Q3844" s="656">
        <v>44216.767060185186</v>
      </c>
    </row>
    <row r="3845" spans="1:17">
      <c r="A3845" s="656" t="s">
        <v>5296</v>
      </c>
      <c r="B3845" s="657"/>
      <c r="C3845" s="656" t="s">
        <v>5297</v>
      </c>
      <c r="D3845" s="657" t="s">
        <v>14977</v>
      </c>
      <c r="E3845" s="657"/>
      <c r="F3845" s="656"/>
      <c r="G3845" s="656"/>
      <c r="H3845" s="656"/>
      <c r="I3845" s="656" t="s">
        <v>14976</v>
      </c>
      <c r="J3845" s="656"/>
      <c r="K3845" s="656"/>
      <c r="L3845" s="656" t="s">
        <v>5296</v>
      </c>
      <c r="M3845" s="657"/>
      <c r="N3845" s="1482"/>
      <c r="O3845" s="656" t="s">
        <v>498</v>
      </c>
      <c r="P3845" s="656" t="s">
        <v>13052</v>
      </c>
      <c r="Q3845" s="656">
        <v>44216.767060185186</v>
      </c>
    </row>
    <row r="3846" spans="1:17">
      <c r="A3846" s="656" t="s">
        <v>5298</v>
      </c>
      <c r="B3846" s="657"/>
      <c r="C3846" s="656" t="s">
        <v>5292</v>
      </c>
      <c r="D3846" s="657" t="s">
        <v>14977</v>
      </c>
      <c r="E3846" s="657"/>
      <c r="F3846" s="656"/>
      <c r="G3846" s="656"/>
      <c r="H3846" s="656"/>
      <c r="I3846" s="656" t="s">
        <v>14976</v>
      </c>
      <c r="J3846" s="656"/>
      <c r="K3846" s="656"/>
      <c r="L3846" s="656" t="s">
        <v>5298</v>
      </c>
      <c r="M3846" s="657"/>
      <c r="N3846" s="1482"/>
      <c r="O3846" s="656" t="s">
        <v>498</v>
      </c>
      <c r="P3846" s="656" t="s">
        <v>13052</v>
      </c>
      <c r="Q3846" s="656">
        <v>44216.767048611109</v>
      </c>
    </row>
    <row r="3847" spans="1:17">
      <c r="A3847" s="656" t="s">
        <v>5299</v>
      </c>
      <c r="B3847" s="657"/>
      <c r="C3847" s="656" t="s">
        <v>5300</v>
      </c>
      <c r="D3847" s="657" t="s">
        <v>14977</v>
      </c>
      <c r="E3847" s="657"/>
      <c r="F3847" s="656"/>
      <c r="G3847" s="656"/>
      <c r="H3847" s="656"/>
      <c r="I3847" s="656" t="s">
        <v>14976</v>
      </c>
      <c r="J3847" s="656"/>
      <c r="K3847" s="656"/>
      <c r="L3847" s="656" t="s">
        <v>5299</v>
      </c>
      <c r="M3847" s="657"/>
      <c r="N3847" s="1482"/>
      <c r="O3847" s="656" t="s">
        <v>498</v>
      </c>
      <c r="P3847" s="656" t="s">
        <v>13052</v>
      </c>
      <c r="Q3847" s="656">
        <v>44216.767048611109</v>
      </c>
    </row>
    <row r="3848" spans="1:17">
      <c r="A3848" s="656" t="s">
        <v>5301</v>
      </c>
      <c r="B3848" s="657"/>
      <c r="C3848" s="656" t="s">
        <v>5302</v>
      </c>
      <c r="D3848" s="657" t="s">
        <v>14977</v>
      </c>
      <c r="E3848" s="657"/>
      <c r="F3848" s="656"/>
      <c r="G3848" s="656" t="s">
        <v>5103</v>
      </c>
      <c r="H3848" s="656"/>
      <c r="I3848" s="656" t="s">
        <v>14976</v>
      </c>
      <c r="J3848" s="656"/>
      <c r="K3848" s="656"/>
      <c r="L3848" s="656" t="s">
        <v>5301</v>
      </c>
      <c r="M3848" s="657"/>
      <c r="N3848" s="1482"/>
      <c r="O3848" s="656" t="s">
        <v>498</v>
      </c>
      <c r="P3848" s="656" t="s">
        <v>13052</v>
      </c>
      <c r="Q3848" s="656">
        <v>44216.76703703704</v>
      </c>
    </row>
    <row r="3849" spans="1:17">
      <c r="A3849" s="656" t="s">
        <v>5303</v>
      </c>
      <c r="B3849" s="657"/>
      <c r="C3849" s="656" t="s">
        <v>1239</v>
      </c>
      <c r="D3849" s="657" t="s">
        <v>1239</v>
      </c>
      <c r="E3849" s="657"/>
      <c r="F3849" s="656"/>
      <c r="G3849" s="656"/>
      <c r="H3849" s="656"/>
      <c r="I3849" s="656" t="s">
        <v>14976</v>
      </c>
      <c r="J3849" s="656"/>
      <c r="K3849" s="656"/>
      <c r="L3849" s="656"/>
      <c r="M3849" s="657"/>
      <c r="N3849" s="1482"/>
      <c r="O3849" s="656" t="s">
        <v>498</v>
      </c>
      <c r="P3849" s="656" t="s">
        <v>13052</v>
      </c>
      <c r="Q3849" s="656">
        <v>44216.767025462963</v>
      </c>
    </row>
    <row r="3850" spans="1:17">
      <c r="A3850" s="656" t="s">
        <v>5304</v>
      </c>
      <c r="B3850" s="657"/>
      <c r="C3850" s="656" t="s">
        <v>5305</v>
      </c>
      <c r="D3850" s="657" t="s">
        <v>13789</v>
      </c>
      <c r="E3850" s="657"/>
      <c r="F3850" s="656"/>
      <c r="G3850" s="656" t="s">
        <v>4198</v>
      </c>
      <c r="H3850" s="656"/>
      <c r="I3850" s="656" t="s">
        <v>14976</v>
      </c>
      <c r="J3850" s="656"/>
      <c r="K3850" s="656"/>
      <c r="L3850" s="656"/>
      <c r="M3850" s="657"/>
      <c r="N3850" s="1482"/>
      <c r="O3850" s="656" t="s">
        <v>498</v>
      </c>
      <c r="P3850" s="656" t="s">
        <v>13052</v>
      </c>
      <c r="Q3850" s="656">
        <v>44216.767025462963</v>
      </c>
    </row>
    <row r="3851" spans="1:17">
      <c r="A3851" s="656" t="s">
        <v>5306</v>
      </c>
      <c r="B3851" s="657"/>
      <c r="C3851" s="656" t="s">
        <v>5307</v>
      </c>
      <c r="D3851" s="657" t="s">
        <v>13789</v>
      </c>
      <c r="E3851" s="657"/>
      <c r="F3851" s="656"/>
      <c r="G3851" s="656" t="s">
        <v>4198</v>
      </c>
      <c r="H3851" s="656"/>
      <c r="I3851" s="656" t="s">
        <v>14976</v>
      </c>
      <c r="J3851" s="656"/>
      <c r="K3851" s="656"/>
      <c r="L3851" s="656"/>
      <c r="M3851" s="657"/>
      <c r="N3851" s="1482"/>
      <c r="O3851" s="656" t="s">
        <v>498</v>
      </c>
      <c r="P3851" s="656" t="s">
        <v>13052</v>
      </c>
      <c r="Q3851" s="656">
        <v>44216.767013888886</v>
      </c>
    </row>
    <row r="3852" spans="1:17">
      <c r="A3852" s="656" t="s">
        <v>5308</v>
      </c>
      <c r="B3852" s="657"/>
      <c r="C3852" s="656" t="s">
        <v>5309</v>
      </c>
      <c r="D3852" s="657" t="s">
        <v>13789</v>
      </c>
      <c r="E3852" s="657"/>
      <c r="F3852" s="656"/>
      <c r="G3852" s="656" t="s">
        <v>4198</v>
      </c>
      <c r="H3852" s="656"/>
      <c r="I3852" s="656" t="s">
        <v>14976</v>
      </c>
      <c r="J3852" s="656"/>
      <c r="K3852" s="656"/>
      <c r="L3852" s="656"/>
      <c r="M3852" s="657"/>
      <c r="N3852" s="1482"/>
      <c r="O3852" s="656" t="s">
        <v>498</v>
      </c>
      <c r="P3852" s="656" t="s">
        <v>13052</v>
      </c>
      <c r="Q3852" s="656">
        <v>44216.767013888886</v>
      </c>
    </row>
    <row r="3853" spans="1:17">
      <c r="A3853" s="656" t="s">
        <v>5310</v>
      </c>
      <c r="B3853" s="657"/>
      <c r="C3853" s="656" t="s">
        <v>5311</v>
      </c>
      <c r="D3853" s="657" t="s">
        <v>13789</v>
      </c>
      <c r="E3853" s="657"/>
      <c r="F3853" s="656"/>
      <c r="G3853" s="656" t="s">
        <v>4198</v>
      </c>
      <c r="H3853" s="656"/>
      <c r="I3853" s="656" t="s">
        <v>14976</v>
      </c>
      <c r="J3853" s="656"/>
      <c r="K3853" s="656"/>
      <c r="L3853" s="656"/>
      <c r="M3853" s="657"/>
      <c r="N3853" s="1482"/>
      <c r="O3853" s="656" t="s">
        <v>498</v>
      </c>
      <c r="P3853" s="656" t="s">
        <v>13052</v>
      </c>
      <c r="Q3853" s="656">
        <v>44216.767002314817</v>
      </c>
    </row>
    <row r="3854" spans="1:17">
      <c r="A3854" s="656" t="s">
        <v>5312</v>
      </c>
      <c r="B3854" s="657"/>
      <c r="C3854" s="656" t="s">
        <v>5313</v>
      </c>
      <c r="D3854" s="657" t="s">
        <v>13789</v>
      </c>
      <c r="E3854" s="657"/>
      <c r="F3854" s="656"/>
      <c r="G3854" s="656" t="s">
        <v>4198</v>
      </c>
      <c r="H3854" s="656"/>
      <c r="I3854" s="656" t="s">
        <v>14976</v>
      </c>
      <c r="J3854" s="656"/>
      <c r="K3854" s="656"/>
      <c r="L3854" s="656"/>
      <c r="M3854" s="657"/>
      <c r="N3854" s="1482"/>
      <c r="O3854" s="656" t="s">
        <v>498</v>
      </c>
      <c r="P3854" s="656" t="s">
        <v>13052</v>
      </c>
      <c r="Q3854" s="656">
        <v>44216.767013888886</v>
      </c>
    </row>
    <row r="3855" spans="1:17">
      <c r="A3855" s="656" t="s">
        <v>5314</v>
      </c>
      <c r="B3855" s="657"/>
      <c r="C3855" s="656" t="s">
        <v>5315</v>
      </c>
      <c r="D3855" s="657" t="s">
        <v>13789</v>
      </c>
      <c r="E3855" s="657"/>
      <c r="F3855" s="656"/>
      <c r="G3855" s="656" t="s">
        <v>4198</v>
      </c>
      <c r="H3855" s="656"/>
      <c r="I3855" s="656" t="s">
        <v>14976</v>
      </c>
      <c r="J3855" s="656"/>
      <c r="K3855" s="656"/>
      <c r="L3855" s="656"/>
      <c r="M3855" s="657"/>
      <c r="N3855" s="1482"/>
      <c r="O3855" s="656" t="s">
        <v>498</v>
      </c>
      <c r="P3855" s="656" t="s">
        <v>13052</v>
      </c>
      <c r="Q3855" s="656">
        <v>44216.767002314817</v>
      </c>
    </row>
    <row r="3856" spans="1:17">
      <c r="A3856" s="656" t="s">
        <v>5316</v>
      </c>
      <c r="B3856" s="657"/>
      <c r="C3856" s="656" t="s">
        <v>5317</v>
      </c>
      <c r="D3856" s="657" t="s">
        <v>13789</v>
      </c>
      <c r="E3856" s="657"/>
      <c r="F3856" s="656"/>
      <c r="G3856" s="656" t="s">
        <v>4198</v>
      </c>
      <c r="H3856" s="656"/>
      <c r="I3856" s="656" t="s">
        <v>14976</v>
      </c>
      <c r="J3856" s="656"/>
      <c r="K3856" s="656"/>
      <c r="L3856" s="656"/>
      <c r="M3856" s="657"/>
      <c r="N3856" s="1482"/>
      <c r="O3856" s="656" t="s">
        <v>498</v>
      </c>
      <c r="P3856" s="656" t="s">
        <v>13052</v>
      </c>
      <c r="Q3856" s="656">
        <v>44216.76699074074</v>
      </c>
    </row>
    <row r="3857" spans="1:17">
      <c r="A3857" s="656" t="s">
        <v>13338</v>
      </c>
      <c r="B3857" s="657" t="s">
        <v>504</v>
      </c>
      <c r="C3857" s="656" t="s">
        <v>5318</v>
      </c>
      <c r="D3857" s="657" t="s">
        <v>13789</v>
      </c>
      <c r="E3857" s="657" t="s">
        <v>9458</v>
      </c>
      <c r="F3857" s="656" t="s">
        <v>505</v>
      </c>
      <c r="G3857" s="656" t="s">
        <v>522</v>
      </c>
      <c r="H3857" s="656" t="s">
        <v>505</v>
      </c>
      <c r="I3857" s="656" t="s">
        <v>14976</v>
      </c>
      <c r="J3857" s="656"/>
      <c r="K3857" s="656"/>
      <c r="L3857" s="656"/>
      <c r="M3857" s="657"/>
      <c r="N3857" s="1482"/>
      <c r="O3857" s="656" t="s">
        <v>498</v>
      </c>
      <c r="P3857" s="656" t="s">
        <v>13052</v>
      </c>
      <c r="Q3857" s="656">
        <v>44216.76699074074</v>
      </c>
    </row>
    <row r="3858" spans="1:17">
      <c r="A3858" s="656" t="s">
        <v>5319</v>
      </c>
      <c r="B3858" s="657" t="s">
        <v>504</v>
      </c>
      <c r="C3858" s="656" t="s">
        <v>5320</v>
      </c>
      <c r="D3858" s="657"/>
      <c r="E3858" s="657" t="s">
        <v>9654</v>
      </c>
      <c r="F3858" s="656" t="s">
        <v>505</v>
      </c>
      <c r="G3858" s="656" t="s">
        <v>522</v>
      </c>
      <c r="H3858" s="656" t="s">
        <v>505</v>
      </c>
      <c r="I3858" s="656"/>
      <c r="J3858" s="656"/>
      <c r="K3858" s="656"/>
      <c r="L3858" s="656"/>
      <c r="M3858" s="657"/>
      <c r="N3858" s="1482"/>
      <c r="O3858" s="656" t="s">
        <v>498</v>
      </c>
      <c r="P3858" s="656" t="s">
        <v>13052</v>
      </c>
      <c r="Q3858" s="656">
        <v>44216.766979166663</v>
      </c>
    </row>
    <row r="3859" spans="1:17">
      <c r="A3859" s="656" t="s">
        <v>5321</v>
      </c>
      <c r="B3859" s="657" t="s">
        <v>504</v>
      </c>
      <c r="C3859" s="656" t="s">
        <v>5322</v>
      </c>
      <c r="D3859" s="657"/>
      <c r="E3859" s="657"/>
      <c r="F3859" s="656" t="s">
        <v>505</v>
      </c>
      <c r="G3859" s="656"/>
      <c r="H3859" s="656" t="s">
        <v>505</v>
      </c>
      <c r="I3859" s="656"/>
      <c r="J3859" s="656"/>
      <c r="K3859" s="656"/>
      <c r="L3859" s="656"/>
      <c r="M3859" s="657"/>
      <c r="N3859" s="1482"/>
      <c r="O3859" s="656" t="s">
        <v>498</v>
      </c>
      <c r="P3859" s="656" t="s">
        <v>13052</v>
      </c>
      <c r="Q3859" s="656">
        <v>44216.766979166663</v>
      </c>
    </row>
    <row r="3860" spans="1:17">
      <c r="A3860" s="656" t="s">
        <v>5323</v>
      </c>
      <c r="B3860" s="657" t="s">
        <v>504</v>
      </c>
      <c r="C3860" s="656" t="s">
        <v>5320</v>
      </c>
      <c r="D3860" s="657"/>
      <c r="E3860" s="657"/>
      <c r="F3860" s="656" t="s">
        <v>505</v>
      </c>
      <c r="G3860" s="656"/>
      <c r="H3860" s="656" t="s">
        <v>505</v>
      </c>
      <c r="I3860" s="656"/>
      <c r="J3860" s="656"/>
      <c r="K3860" s="656"/>
      <c r="L3860" s="656"/>
      <c r="M3860" s="657"/>
      <c r="N3860" s="1482"/>
      <c r="O3860" s="656" t="s">
        <v>498</v>
      </c>
      <c r="P3860" s="656" t="s">
        <v>13052</v>
      </c>
      <c r="Q3860" s="656">
        <v>44216.766967592594</v>
      </c>
    </row>
    <row r="3861" spans="1:17">
      <c r="A3861" s="656" t="s">
        <v>5324</v>
      </c>
      <c r="B3861" s="657" t="s">
        <v>504</v>
      </c>
      <c r="C3861" s="656" t="s">
        <v>5325</v>
      </c>
      <c r="D3861" s="657" t="s">
        <v>13789</v>
      </c>
      <c r="E3861" s="657"/>
      <c r="F3861" s="656"/>
      <c r="G3861" s="656" t="s">
        <v>4198</v>
      </c>
      <c r="H3861" s="656"/>
      <c r="I3861" s="656"/>
      <c r="J3861" s="656"/>
      <c r="K3861" s="656"/>
      <c r="L3861" s="656"/>
      <c r="M3861" s="657"/>
      <c r="N3861" s="1482"/>
      <c r="O3861" s="656" t="s">
        <v>498</v>
      </c>
      <c r="P3861" s="656" t="s">
        <v>13052</v>
      </c>
      <c r="Q3861" s="656">
        <v>44216.766967592594</v>
      </c>
    </row>
    <row r="3862" spans="1:17">
      <c r="A3862" s="656" t="s">
        <v>5326</v>
      </c>
      <c r="B3862" s="657" t="s">
        <v>504</v>
      </c>
      <c r="C3862" s="656" t="s">
        <v>5327</v>
      </c>
      <c r="D3862" s="657" t="s">
        <v>13789</v>
      </c>
      <c r="E3862" s="657"/>
      <c r="F3862" s="656"/>
      <c r="G3862" s="656" t="s">
        <v>4198</v>
      </c>
      <c r="H3862" s="656"/>
      <c r="I3862" s="656"/>
      <c r="J3862" s="656"/>
      <c r="K3862" s="656"/>
      <c r="L3862" s="656"/>
      <c r="M3862" s="657"/>
      <c r="N3862" s="1482"/>
      <c r="O3862" s="656" t="s">
        <v>498</v>
      </c>
      <c r="P3862" s="656" t="s">
        <v>13052</v>
      </c>
      <c r="Q3862" s="656">
        <v>44216.766967592594</v>
      </c>
    </row>
    <row r="3863" spans="1:17">
      <c r="A3863" s="656" t="s">
        <v>5328</v>
      </c>
      <c r="B3863" s="657" t="s">
        <v>504</v>
      </c>
      <c r="C3863" s="656" t="s">
        <v>5329</v>
      </c>
      <c r="D3863" s="657" t="s">
        <v>13789</v>
      </c>
      <c r="E3863" s="657"/>
      <c r="F3863" s="656"/>
      <c r="G3863" s="656" t="s">
        <v>4198</v>
      </c>
      <c r="H3863" s="656"/>
      <c r="I3863" s="656"/>
      <c r="J3863" s="656"/>
      <c r="K3863" s="656"/>
      <c r="L3863" s="656"/>
      <c r="M3863" s="657"/>
      <c r="N3863" s="1482"/>
      <c r="O3863" s="656" t="s">
        <v>498</v>
      </c>
      <c r="P3863" s="656" t="s">
        <v>13052</v>
      </c>
      <c r="Q3863" s="656">
        <v>44216.766956018517</v>
      </c>
    </row>
    <row r="3864" spans="1:17">
      <c r="A3864" s="656" t="s">
        <v>5330</v>
      </c>
      <c r="B3864" s="657"/>
      <c r="C3864" s="656" t="s">
        <v>5331</v>
      </c>
      <c r="D3864" s="657" t="s">
        <v>13789</v>
      </c>
      <c r="E3864" s="657"/>
      <c r="F3864" s="656"/>
      <c r="G3864" s="656" t="s">
        <v>4198</v>
      </c>
      <c r="H3864" s="656"/>
      <c r="I3864" s="656" t="s">
        <v>14976</v>
      </c>
      <c r="J3864" s="656"/>
      <c r="K3864" s="656"/>
      <c r="L3864" s="656"/>
      <c r="M3864" s="657"/>
      <c r="N3864" s="1482"/>
      <c r="O3864" s="656" t="s">
        <v>498</v>
      </c>
      <c r="P3864" s="656" t="s">
        <v>13052</v>
      </c>
      <c r="Q3864" s="656">
        <v>44216.766944444447</v>
      </c>
    </row>
    <row r="3865" spans="1:17">
      <c r="A3865" s="656" t="s">
        <v>5332</v>
      </c>
      <c r="B3865" s="657" t="s">
        <v>531</v>
      </c>
      <c r="C3865" s="656" t="s">
        <v>5333</v>
      </c>
      <c r="D3865" s="657" t="s">
        <v>1239</v>
      </c>
      <c r="E3865" s="657"/>
      <c r="F3865" s="656" t="s">
        <v>1394</v>
      </c>
      <c r="G3865" s="656"/>
      <c r="H3865" s="656" t="s">
        <v>1394</v>
      </c>
      <c r="I3865" s="656" t="s">
        <v>14976</v>
      </c>
      <c r="J3865" s="656" t="s">
        <v>532</v>
      </c>
      <c r="K3865" s="656"/>
      <c r="L3865" s="656"/>
      <c r="M3865" s="657"/>
      <c r="N3865" s="1482"/>
      <c r="O3865" s="656" t="s">
        <v>498</v>
      </c>
      <c r="P3865" s="656" t="s">
        <v>13052</v>
      </c>
      <c r="Q3865" s="656">
        <v>44216.766944444447</v>
      </c>
    </row>
    <row r="3866" spans="1:17">
      <c r="A3866" s="656" t="s">
        <v>5334</v>
      </c>
      <c r="B3866" s="657"/>
      <c r="C3866" s="656" t="s">
        <v>5335</v>
      </c>
      <c r="D3866" s="657" t="s">
        <v>14977</v>
      </c>
      <c r="E3866" s="657"/>
      <c r="F3866" s="656"/>
      <c r="G3866" s="656" t="s">
        <v>5103</v>
      </c>
      <c r="H3866" s="656"/>
      <c r="I3866" s="656" t="s">
        <v>14976</v>
      </c>
      <c r="J3866" s="656"/>
      <c r="K3866" s="656"/>
      <c r="L3866" s="656" t="s">
        <v>5334</v>
      </c>
      <c r="M3866" s="657"/>
      <c r="N3866" s="1482"/>
      <c r="O3866" s="656" t="s">
        <v>498</v>
      </c>
      <c r="P3866" s="656" t="s">
        <v>13052</v>
      </c>
      <c r="Q3866" s="656">
        <v>44216.766944444447</v>
      </c>
    </row>
    <row r="3867" spans="1:17">
      <c r="A3867" s="656" t="s">
        <v>5336</v>
      </c>
      <c r="B3867" s="657"/>
      <c r="C3867" s="656" t="s">
        <v>5337</v>
      </c>
      <c r="D3867" s="657" t="s">
        <v>14977</v>
      </c>
      <c r="E3867" s="657"/>
      <c r="F3867" s="656"/>
      <c r="G3867" s="656" t="s">
        <v>5103</v>
      </c>
      <c r="H3867" s="656"/>
      <c r="I3867" s="656" t="s">
        <v>14976</v>
      </c>
      <c r="J3867" s="656"/>
      <c r="K3867" s="656"/>
      <c r="L3867" s="656" t="s">
        <v>5336</v>
      </c>
      <c r="M3867" s="657"/>
      <c r="N3867" s="1482"/>
      <c r="O3867" s="656" t="s">
        <v>498</v>
      </c>
      <c r="P3867" s="656" t="s">
        <v>13052</v>
      </c>
      <c r="Q3867" s="656">
        <v>44216.766932870371</v>
      </c>
    </row>
    <row r="3868" spans="1:17">
      <c r="A3868" s="656" t="s">
        <v>5338</v>
      </c>
      <c r="B3868" s="657"/>
      <c r="C3868" s="656" t="s">
        <v>5339</v>
      </c>
      <c r="D3868" s="657" t="s">
        <v>14977</v>
      </c>
      <c r="E3868" s="657"/>
      <c r="F3868" s="656"/>
      <c r="G3868" s="656" t="s">
        <v>5103</v>
      </c>
      <c r="H3868" s="656"/>
      <c r="I3868" s="656" t="s">
        <v>14976</v>
      </c>
      <c r="J3868" s="656"/>
      <c r="K3868" s="656"/>
      <c r="L3868" s="656" t="s">
        <v>5338</v>
      </c>
      <c r="M3868" s="657"/>
      <c r="N3868" s="1482"/>
      <c r="O3868" s="656" t="s">
        <v>498</v>
      </c>
      <c r="P3868" s="656" t="s">
        <v>13052</v>
      </c>
      <c r="Q3868" s="656">
        <v>44216.766932870371</v>
      </c>
    </row>
    <row r="3869" spans="1:17">
      <c r="A3869" s="656" t="s">
        <v>5340</v>
      </c>
      <c r="B3869" s="657"/>
      <c r="C3869" s="656" t="s">
        <v>5341</v>
      </c>
      <c r="D3869" s="657" t="s">
        <v>14977</v>
      </c>
      <c r="E3869" s="657"/>
      <c r="F3869" s="656"/>
      <c r="G3869" s="656" t="s">
        <v>5103</v>
      </c>
      <c r="H3869" s="656"/>
      <c r="I3869" s="656" t="s">
        <v>14976</v>
      </c>
      <c r="J3869" s="656"/>
      <c r="K3869" s="656"/>
      <c r="L3869" s="656" t="s">
        <v>5340</v>
      </c>
      <c r="M3869" s="657"/>
      <c r="N3869" s="1482"/>
      <c r="O3869" s="656" t="s">
        <v>498</v>
      </c>
      <c r="P3869" s="656" t="s">
        <v>13052</v>
      </c>
      <c r="Q3869" s="656">
        <v>44216.766921296294</v>
      </c>
    </row>
    <row r="3870" spans="1:17">
      <c r="A3870" s="656" t="s">
        <v>5342</v>
      </c>
      <c r="B3870" s="657"/>
      <c r="C3870" s="656" t="s">
        <v>5343</v>
      </c>
      <c r="D3870" s="657" t="s">
        <v>14977</v>
      </c>
      <c r="E3870" s="657"/>
      <c r="F3870" s="656"/>
      <c r="G3870" s="656" t="s">
        <v>5103</v>
      </c>
      <c r="H3870" s="656"/>
      <c r="I3870" s="656" t="s">
        <v>14976</v>
      </c>
      <c r="J3870" s="656"/>
      <c r="K3870" s="656"/>
      <c r="L3870" s="656" t="s">
        <v>5342</v>
      </c>
      <c r="M3870" s="657"/>
      <c r="N3870" s="1482"/>
      <c r="O3870" s="656" t="s">
        <v>498</v>
      </c>
      <c r="P3870" s="656" t="s">
        <v>13052</v>
      </c>
      <c r="Q3870" s="656">
        <v>44216.766909722224</v>
      </c>
    </row>
    <row r="3871" spans="1:17">
      <c r="A3871" s="656" t="s">
        <v>5344</v>
      </c>
      <c r="B3871" s="657"/>
      <c r="C3871" s="656" t="s">
        <v>5345</v>
      </c>
      <c r="D3871" s="657" t="s">
        <v>14977</v>
      </c>
      <c r="E3871" s="657"/>
      <c r="F3871" s="656"/>
      <c r="G3871" s="656" t="s">
        <v>5103</v>
      </c>
      <c r="H3871" s="656"/>
      <c r="I3871" s="656" t="s">
        <v>14976</v>
      </c>
      <c r="J3871" s="656"/>
      <c r="K3871" s="656"/>
      <c r="L3871" s="656" t="s">
        <v>5344</v>
      </c>
      <c r="M3871" s="657"/>
      <c r="N3871" s="1482"/>
      <c r="O3871" s="656" t="s">
        <v>498</v>
      </c>
      <c r="P3871" s="656" t="s">
        <v>13052</v>
      </c>
      <c r="Q3871" s="656">
        <v>44216.766898148147</v>
      </c>
    </row>
    <row r="3872" spans="1:17">
      <c r="A3872" s="656" t="s">
        <v>8558</v>
      </c>
      <c r="B3872" s="657" t="s">
        <v>531</v>
      </c>
      <c r="C3872" s="656" t="s">
        <v>5346</v>
      </c>
      <c r="D3872" s="657" t="s">
        <v>14978</v>
      </c>
      <c r="E3872" s="657" t="s">
        <v>9406</v>
      </c>
      <c r="F3872" s="656" t="s">
        <v>2849</v>
      </c>
      <c r="G3872" s="656" t="s">
        <v>552</v>
      </c>
      <c r="H3872" s="656" t="s">
        <v>469</v>
      </c>
      <c r="I3872" s="656" t="s">
        <v>14976</v>
      </c>
      <c r="J3872" s="656" t="s">
        <v>459</v>
      </c>
      <c r="K3872" s="656" t="s">
        <v>477</v>
      </c>
      <c r="L3872" s="656" t="s">
        <v>5349</v>
      </c>
      <c r="M3872" s="657"/>
      <c r="N3872" s="1482"/>
      <c r="O3872" s="656" t="s">
        <v>498</v>
      </c>
      <c r="P3872" s="656" t="s">
        <v>13052</v>
      </c>
      <c r="Q3872" s="656">
        <v>44216.766898148147</v>
      </c>
    </row>
    <row r="3873" spans="1:17">
      <c r="A3873" s="656" t="s">
        <v>5347</v>
      </c>
      <c r="B3873" s="657" t="s">
        <v>531</v>
      </c>
      <c r="C3873" s="656" t="s">
        <v>5348</v>
      </c>
      <c r="D3873" s="657" t="s">
        <v>14978</v>
      </c>
      <c r="E3873" s="657" t="s">
        <v>9406</v>
      </c>
      <c r="F3873" s="656" t="s">
        <v>2849</v>
      </c>
      <c r="G3873" s="656" t="s">
        <v>552</v>
      </c>
      <c r="H3873" s="656" t="s">
        <v>469</v>
      </c>
      <c r="I3873" s="656" t="s">
        <v>14976</v>
      </c>
      <c r="J3873" s="656" t="s">
        <v>459</v>
      </c>
      <c r="K3873" s="656" t="s">
        <v>477</v>
      </c>
      <c r="L3873" s="656" t="s">
        <v>5349</v>
      </c>
      <c r="M3873" s="657"/>
      <c r="N3873" s="1482"/>
      <c r="O3873" s="656" t="s">
        <v>498</v>
      </c>
      <c r="P3873" s="656" t="s">
        <v>13052</v>
      </c>
      <c r="Q3873" s="656">
        <v>44216.766886574071</v>
      </c>
    </row>
    <row r="3874" spans="1:17">
      <c r="A3874" s="656" t="s">
        <v>5349</v>
      </c>
      <c r="B3874" s="657" t="s">
        <v>531</v>
      </c>
      <c r="C3874" s="656" t="s">
        <v>5350</v>
      </c>
      <c r="D3874" s="657" t="s">
        <v>14977</v>
      </c>
      <c r="E3874" s="657" t="s">
        <v>7439</v>
      </c>
      <c r="F3874" s="656" t="s">
        <v>2849</v>
      </c>
      <c r="G3874" s="656" t="s">
        <v>552</v>
      </c>
      <c r="H3874" s="656" t="s">
        <v>469</v>
      </c>
      <c r="I3874" s="656" t="s">
        <v>14976</v>
      </c>
      <c r="J3874" s="656" t="s">
        <v>459</v>
      </c>
      <c r="K3874" s="656" t="s">
        <v>477</v>
      </c>
      <c r="L3874" s="656" t="s">
        <v>5349</v>
      </c>
      <c r="M3874" s="657"/>
      <c r="N3874" s="1482"/>
      <c r="O3874" s="656" t="s">
        <v>498</v>
      </c>
      <c r="P3874" s="656" t="s">
        <v>13052</v>
      </c>
      <c r="Q3874" s="656">
        <v>44216.766886574071</v>
      </c>
    </row>
    <row r="3875" spans="1:17">
      <c r="A3875" s="656" t="s">
        <v>5351</v>
      </c>
      <c r="B3875" s="657" t="s">
        <v>531</v>
      </c>
      <c r="C3875" s="656" t="s">
        <v>5352</v>
      </c>
      <c r="D3875" s="657" t="s">
        <v>14977</v>
      </c>
      <c r="E3875" s="657"/>
      <c r="F3875" s="656" t="s">
        <v>472</v>
      </c>
      <c r="G3875" s="656" t="s">
        <v>1395</v>
      </c>
      <c r="H3875" s="656" t="s">
        <v>472</v>
      </c>
      <c r="I3875" s="656" t="s">
        <v>14976</v>
      </c>
      <c r="J3875" s="656" t="s">
        <v>12368</v>
      </c>
      <c r="K3875" s="656"/>
      <c r="L3875" s="656"/>
      <c r="M3875" s="657"/>
      <c r="N3875" s="1482"/>
      <c r="O3875" s="656" t="s">
        <v>498</v>
      </c>
      <c r="P3875" s="656" t="s">
        <v>13052</v>
      </c>
      <c r="Q3875" s="656">
        <v>44216.766875000001</v>
      </c>
    </row>
    <row r="3876" spans="1:17">
      <c r="A3876" s="656" t="s">
        <v>5353</v>
      </c>
      <c r="B3876" s="657"/>
      <c r="C3876" s="656" t="s">
        <v>5354</v>
      </c>
      <c r="D3876" s="657" t="s">
        <v>14977</v>
      </c>
      <c r="E3876" s="657"/>
      <c r="F3876" s="656"/>
      <c r="G3876" s="656" t="s">
        <v>5103</v>
      </c>
      <c r="H3876" s="656"/>
      <c r="I3876" s="656" t="s">
        <v>14976</v>
      </c>
      <c r="J3876" s="656"/>
      <c r="K3876" s="656"/>
      <c r="L3876" s="656" t="s">
        <v>5353</v>
      </c>
      <c r="M3876" s="657"/>
      <c r="N3876" s="1482"/>
      <c r="O3876" s="656" t="s">
        <v>498</v>
      </c>
      <c r="P3876" s="656" t="s">
        <v>13052</v>
      </c>
      <c r="Q3876" s="656">
        <v>44216.766875000001</v>
      </c>
    </row>
    <row r="3877" spans="1:17">
      <c r="A3877" s="656" t="s">
        <v>5355</v>
      </c>
      <c r="B3877" s="657"/>
      <c r="C3877" s="656" t="s">
        <v>5356</v>
      </c>
      <c r="D3877" s="657" t="s">
        <v>14977</v>
      </c>
      <c r="E3877" s="657"/>
      <c r="F3877" s="656"/>
      <c r="G3877" s="656" t="s">
        <v>5103</v>
      </c>
      <c r="H3877" s="656"/>
      <c r="I3877" s="656" t="s">
        <v>14976</v>
      </c>
      <c r="J3877" s="656"/>
      <c r="K3877" s="656"/>
      <c r="L3877" s="656" t="s">
        <v>5355</v>
      </c>
      <c r="M3877" s="657"/>
      <c r="N3877" s="1482"/>
      <c r="O3877" s="656" t="s">
        <v>498</v>
      </c>
      <c r="P3877" s="656" t="s">
        <v>13052</v>
      </c>
      <c r="Q3877" s="656">
        <v>44216.766863425924</v>
      </c>
    </row>
    <row r="3878" spans="1:17">
      <c r="A3878" s="656" t="s">
        <v>5357</v>
      </c>
      <c r="B3878" s="657" t="s">
        <v>531</v>
      </c>
      <c r="C3878" s="656" t="s">
        <v>5358</v>
      </c>
      <c r="D3878" s="657" t="s">
        <v>14977</v>
      </c>
      <c r="E3878" s="657" t="s">
        <v>7439</v>
      </c>
      <c r="F3878" s="656" t="s">
        <v>472</v>
      </c>
      <c r="G3878" s="656"/>
      <c r="H3878" s="656" t="s">
        <v>472</v>
      </c>
      <c r="I3878" s="656" t="s">
        <v>14976</v>
      </c>
      <c r="J3878" s="656" t="s">
        <v>12374</v>
      </c>
      <c r="K3878" s="656"/>
      <c r="L3878" s="656" t="s">
        <v>5357</v>
      </c>
      <c r="M3878" s="657"/>
      <c r="N3878" s="1482"/>
      <c r="O3878" s="656" t="s">
        <v>498</v>
      </c>
      <c r="P3878" s="656" t="s">
        <v>13052</v>
      </c>
      <c r="Q3878" s="656">
        <v>44216.766851851855</v>
      </c>
    </row>
    <row r="3879" spans="1:17">
      <c r="A3879" s="656" t="s">
        <v>5359</v>
      </c>
      <c r="B3879" s="657" t="s">
        <v>531</v>
      </c>
      <c r="C3879" s="656" t="s">
        <v>5360</v>
      </c>
      <c r="D3879" s="657" t="s">
        <v>14977</v>
      </c>
      <c r="E3879" s="657"/>
      <c r="F3879" s="656" t="s">
        <v>472</v>
      </c>
      <c r="G3879" s="656"/>
      <c r="H3879" s="656" t="s">
        <v>472</v>
      </c>
      <c r="I3879" s="656" t="s">
        <v>14976</v>
      </c>
      <c r="J3879" s="656" t="s">
        <v>12374</v>
      </c>
      <c r="K3879" s="656"/>
      <c r="L3879" s="656" t="s">
        <v>5359</v>
      </c>
      <c r="M3879" s="657"/>
      <c r="N3879" s="1482"/>
      <c r="O3879" s="656" t="s">
        <v>498</v>
      </c>
      <c r="P3879" s="656" t="s">
        <v>13052</v>
      </c>
      <c r="Q3879" s="656">
        <v>44216.766851851855</v>
      </c>
    </row>
    <row r="3880" spans="1:17">
      <c r="A3880" s="656" t="s">
        <v>5361</v>
      </c>
      <c r="B3880" s="657" t="s">
        <v>531</v>
      </c>
      <c r="C3880" s="656" t="s">
        <v>5362</v>
      </c>
      <c r="D3880" s="657" t="s">
        <v>14977</v>
      </c>
      <c r="E3880" s="657"/>
      <c r="F3880" s="656" t="s">
        <v>472</v>
      </c>
      <c r="G3880" s="656" t="s">
        <v>1395</v>
      </c>
      <c r="H3880" s="656" t="s">
        <v>472</v>
      </c>
      <c r="I3880" s="656" t="s">
        <v>14976</v>
      </c>
      <c r="J3880" s="656" t="s">
        <v>12368</v>
      </c>
      <c r="K3880" s="656"/>
      <c r="L3880" s="656"/>
      <c r="M3880" s="657"/>
      <c r="N3880" s="1482"/>
      <c r="O3880" s="656" t="s">
        <v>498</v>
      </c>
      <c r="P3880" s="656" t="s">
        <v>13052</v>
      </c>
      <c r="Q3880" s="656">
        <v>44216.766840277778</v>
      </c>
    </row>
    <row r="3881" spans="1:17">
      <c r="A3881" s="656" t="s">
        <v>5363</v>
      </c>
      <c r="B3881" s="657" t="s">
        <v>531</v>
      </c>
      <c r="C3881" s="656" t="s">
        <v>5292</v>
      </c>
      <c r="D3881" s="657" t="s">
        <v>14977</v>
      </c>
      <c r="E3881" s="657" t="s">
        <v>7439</v>
      </c>
      <c r="F3881" s="656" t="s">
        <v>472</v>
      </c>
      <c r="G3881" s="656" t="s">
        <v>1395</v>
      </c>
      <c r="H3881" s="656" t="s">
        <v>472</v>
      </c>
      <c r="I3881" s="656" t="s">
        <v>14976</v>
      </c>
      <c r="J3881" s="656" t="s">
        <v>12368</v>
      </c>
      <c r="K3881" s="656"/>
      <c r="L3881" s="656"/>
      <c r="M3881" s="657"/>
      <c r="N3881" s="1482"/>
      <c r="O3881" s="656" t="s">
        <v>498</v>
      </c>
      <c r="P3881" s="656" t="s">
        <v>13052</v>
      </c>
      <c r="Q3881" s="656">
        <v>44216.766840277778</v>
      </c>
    </row>
    <row r="3882" spans="1:17">
      <c r="A3882" s="656" t="s">
        <v>5364</v>
      </c>
      <c r="B3882" s="657" t="s">
        <v>504</v>
      </c>
      <c r="C3882" s="656" t="s">
        <v>1239</v>
      </c>
      <c r="D3882" s="657" t="s">
        <v>1239</v>
      </c>
      <c r="E3882" s="657"/>
      <c r="F3882" s="656"/>
      <c r="G3882" s="656" t="s">
        <v>4347</v>
      </c>
      <c r="H3882" s="656"/>
      <c r="I3882" s="656"/>
      <c r="J3882" s="656"/>
      <c r="K3882" s="656"/>
      <c r="L3882" s="656"/>
      <c r="M3882" s="657"/>
      <c r="N3882" s="1482"/>
      <c r="O3882" s="656" t="s">
        <v>498</v>
      </c>
      <c r="P3882" s="656" t="s">
        <v>13052</v>
      </c>
      <c r="Q3882" s="656">
        <v>44216.766828703701</v>
      </c>
    </row>
    <row r="3883" spans="1:17">
      <c r="A3883" s="656" t="s">
        <v>5365</v>
      </c>
      <c r="B3883" s="657" t="s">
        <v>504</v>
      </c>
      <c r="C3883" s="656" t="s">
        <v>5366</v>
      </c>
      <c r="D3883" s="657" t="s">
        <v>14977</v>
      </c>
      <c r="E3883" s="657"/>
      <c r="F3883" s="656"/>
      <c r="G3883" s="656" t="s">
        <v>4347</v>
      </c>
      <c r="H3883" s="656"/>
      <c r="I3883" s="656"/>
      <c r="J3883" s="656"/>
      <c r="K3883" s="656"/>
      <c r="L3883" s="656"/>
      <c r="M3883" s="657"/>
      <c r="N3883" s="1482"/>
      <c r="O3883" s="656" t="s">
        <v>498</v>
      </c>
      <c r="P3883" s="656" t="s">
        <v>13052</v>
      </c>
      <c r="Q3883" s="656">
        <v>44216.766828703701</v>
      </c>
    </row>
    <row r="3884" spans="1:17">
      <c r="A3884" s="656" t="s">
        <v>5367</v>
      </c>
      <c r="B3884" s="657" t="s">
        <v>504</v>
      </c>
      <c r="C3884" s="656" t="s">
        <v>5368</v>
      </c>
      <c r="D3884" s="657" t="s">
        <v>14977</v>
      </c>
      <c r="E3884" s="657"/>
      <c r="F3884" s="656"/>
      <c r="G3884" s="656" t="s">
        <v>4347</v>
      </c>
      <c r="H3884" s="656"/>
      <c r="I3884" s="656"/>
      <c r="J3884" s="656"/>
      <c r="K3884" s="656"/>
      <c r="L3884" s="656"/>
      <c r="M3884" s="657"/>
      <c r="N3884" s="1482"/>
      <c r="O3884" s="656" t="s">
        <v>498</v>
      </c>
      <c r="P3884" s="656" t="s">
        <v>13052</v>
      </c>
      <c r="Q3884" s="656">
        <v>44216.766817129632</v>
      </c>
    </row>
    <row r="3885" spans="1:17">
      <c r="A3885" s="656" t="s">
        <v>5369</v>
      </c>
      <c r="B3885" s="657" t="s">
        <v>504</v>
      </c>
      <c r="C3885" s="656" t="s">
        <v>5370</v>
      </c>
      <c r="D3885" s="657" t="s">
        <v>14977</v>
      </c>
      <c r="E3885" s="657"/>
      <c r="F3885" s="656"/>
      <c r="G3885" s="656" t="s">
        <v>4347</v>
      </c>
      <c r="H3885" s="656"/>
      <c r="I3885" s="656"/>
      <c r="J3885" s="656"/>
      <c r="K3885" s="656"/>
      <c r="L3885" s="656"/>
      <c r="M3885" s="657"/>
      <c r="N3885" s="1482"/>
      <c r="O3885" s="656" t="s">
        <v>498</v>
      </c>
      <c r="P3885" s="656" t="s">
        <v>13052</v>
      </c>
      <c r="Q3885" s="656">
        <v>44216.766817129632</v>
      </c>
    </row>
    <row r="3886" spans="1:17">
      <c r="A3886" s="656" t="s">
        <v>5371</v>
      </c>
      <c r="B3886" s="657" t="s">
        <v>504</v>
      </c>
      <c r="C3886" s="656" t="s">
        <v>5372</v>
      </c>
      <c r="D3886" s="657" t="s">
        <v>14977</v>
      </c>
      <c r="E3886" s="657"/>
      <c r="F3886" s="656"/>
      <c r="G3886" s="656" t="s">
        <v>4347</v>
      </c>
      <c r="H3886" s="656"/>
      <c r="I3886" s="656"/>
      <c r="J3886" s="656"/>
      <c r="K3886" s="656"/>
      <c r="L3886" s="656"/>
      <c r="M3886" s="657"/>
      <c r="N3886" s="1482"/>
      <c r="O3886" s="656" t="s">
        <v>498</v>
      </c>
      <c r="P3886" s="656" t="s">
        <v>13052</v>
      </c>
      <c r="Q3886" s="656">
        <v>44216.766805555555</v>
      </c>
    </row>
    <row r="3887" spans="1:17">
      <c r="A3887" s="656" t="s">
        <v>5373</v>
      </c>
      <c r="B3887" s="657"/>
      <c r="C3887" s="656" t="s">
        <v>5374</v>
      </c>
      <c r="D3887" s="657" t="s">
        <v>14977</v>
      </c>
      <c r="E3887" s="657"/>
      <c r="F3887" s="656"/>
      <c r="G3887" s="656" t="s">
        <v>4198</v>
      </c>
      <c r="H3887" s="656"/>
      <c r="I3887" s="656" t="s">
        <v>14976</v>
      </c>
      <c r="J3887" s="656"/>
      <c r="K3887" s="656"/>
      <c r="L3887" s="656" t="s">
        <v>5373</v>
      </c>
      <c r="M3887" s="657"/>
      <c r="N3887" s="1482"/>
      <c r="O3887" s="656" t="s">
        <v>498</v>
      </c>
      <c r="P3887" s="656" t="s">
        <v>13052</v>
      </c>
      <c r="Q3887" s="656">
        <v>44216.766805555555</v>
      </c>
    </row>
    <row r="3888" spans="1:17">
      <c r="A3888" s="656" t="s">
        <v>5375</v>
      </c>
      <c r="B3888" s="657"/>
      <c r="C3888" s="656" t="s">
        <v>5376</v>
      </c>
      <c r="D3888" s="657" t="s">
        <v>14977</v>
      </c>
      <c r="E3888" s="657"/>
      <c r="F3888" s="656"/>
      <c r="G3888" s="656" t="s">
        <v>5045</v>
      </c>
      <c r="H3888" s="656"/>
      <c r="I3888" s="656" t="s">
        <v>14976</v>
      </c>
      <c r="J3888" s="656"/>
      <c r="K3888" s="656"/>
      <c r="L3888" s="656" t="s">
        <v>5375</v>
      </c>
      <c r="M3888" s="657"/>
      <c r="N3888" s="1482"/>
      <c r="O3888" s="656" t="s">
        <v>498</v>
      </c>
      <c r="P3888" s="656" t="s">
        <v>13052</v>
      </c>
      <c r="Q3888" s="656">
        <v>44216.766793981478</v>
      </c>
    </row>
    <row r="3889" spans="1:17">
      <c r="A3889" s="656" t="s">
        <v>5377</v>
      </c>
      <c r="B3889" s="657" t="s">
        <v>202</v>
      </c>
      <c r="C3889" s="656" t="s">
        <v>5378</v>
      </c>
      <c r="D3889" s="657" t="s">
        <v>14977</v>
      </c>
      <c r="E3889" s="657"/>
      <c r="F3889" s="656" t="s">
        <v>1620</v>
      </c>
      <c r="G3889" s="656" t="s">
        <v>1620</v>
      </c>
      <c r="H3889" s="656" t="s">
        <v>1620</v>
      </c>
      <c r="I3889" s="656" t="s">
        <v>14976</v>
      </c>
      <c r="J3889" s="656" t="s">
        <v>15288</v>
      </c>
      <c r="K3889" s="656"/>
      <c r="L3889" s="656" t="s">
        <v>5377</v>
      </c>
      <c r="M3889" s="657"/>
      <c r="N3889" s="1482"/>
      <c r="O3889" s="656" t="s">
        <v>498</v>
      </c>
      <c r="P3889" s="656" t="s">
        <v>13052</v>
      </c>
      <c r="Q3889" s="656">
        <v>44216.766782407409</v>
      </c>
    </row>
    <row r="3890" spans="1:17">
      <c r="A3890" s="656" t="s">
        <v>5379</v>
      </c>
      <c r="B3890" s="657" t="s">
        <v>202</v>
      </c>
      <c r="C3890" s="656" t="s">
        <v>5380</v>
      </c>
      <c r="D3890" s="657" t="s">
        <v>14977</v>
      </c>
      <c r="E3890" s="657"/>
      <c r="F3890" s="656" t="s">
        <v>655</v>
      </c>
      <c r="G3890" s="656"/>
      <c r="H3890" s="656" t="s">
        <v>655</v>
      </c>
      <c r="I3890" s="656" t="s">
        <v>14976</v>
      </c>
      <c r="J3890" s="656" t="s">
        <v>15281</v>
      </c>
      <c r="K3890" s="656"/>
      <c r="L3890" s="656" t="s">
        <v>5379</v>
      </c>
      <c r="M3890" s="657"/>
      <c r="N3890" s="1482"/>
      <c r="O3890" s="656" t="s">
        <v>498</v>
      </c>
      <c r="P3890" s="656" t="s">
        <v>13052</v>
      </c>
      <c r="Q3890" s="656">
        <v>44216.766782407409</v>
      </c>
    </row>
    <row r="3891" spans="1:17">
      <c r="A3891" s="656" t="s">
        <v>5381</v>
      </c>
      <c r="B3891" s="657"/>
      <c r="C3891" s="656" t="s">
        <v>5382</v>
      </c>
      <c r="D3891" s="657" t="s">
        <v>14977</v>
      </c>
      <c r="E3891" s="657"/>
      <c r="F3891" s="656"/>
      <c r="G3891" s="656" t="s">
        <v>5045</v>
      </c>
      <c r="H3891" s="656"/>
      <c r="I3891" s="656" t="s">
        <v>14976</v>
      </c>
      <c r="J3891" s="656"/>
      <c r="K3891" s="656"/>
      <c r="L3891" s="656" t="s">
        <v>5381</v>
      </c>
      <c r="M3891" s="657"/>
      <c r="N3891" s="1482"/>
      <c r="O3891" s="656" t="s">
        <v>498</v>
      </c>
      <c r="P3891" s="656" t="s">
        <v>13052</v>
      </c>
      <c r="Q3891" s="656">
        <v>44216.766770833332</v>
      </c>
    </row>
    <row r="3892" spans="1:17">
      <c r="A3892" s="656" t="s">
        <v>5383</v>
      </c>
      <c r="B3892" s="657" t="s">
        <v>504</v>
      </c>
      <c r="C3892" s="656" t="s">
        <v>5384</v>
      </c>
      <c r="D3892" s="657" t="s">
        <v>14977</v>
      </c>
      <c r="E3892" s="657"/>
      <c r="F3892" s="656"/>
      <c r="G3892" s="656" t="s">
        <v>4347</v>
      </c>
      <c r="H3892" s="656"/>
      <c r="I3892" s="656"/>
      <c r="J3892" s="656"/>
      <c r="K3892" s="656"/>
      <c r="L3892" s="656"/>
      <c r="M3892" s="657"/>
      <c r="N3892" s="1482"/>
      <c r="O3892" s="656" t="s">
        <v>498</v>
      </c>
      <c r="P3892" s="656" t="s">
        <v>13052</v>
      </c>
      <c r="Q3892" s="656">
        <v>44216.766770833332</v>
      </c>
    </row>
    <row r="3893" spans="1:17">
      <c r="A3893" s="656" t="s">
        <v>5385</v>
      </c>
      <c r="B3893" s="657" t="s">
        <v>202</v>
      </c>
      <c r="C3893" s="656" t="s">
        <v>5386</v>
      </c>
      <c r="D3893" s="657" t="s">
        <v>14977</v>
      </c>
      <c r="E3893" s="657"/>
      <c r="F3893" s="656" t="s">
        <v>1300</v>
      </c>
      <c r="G3893" s="656"/>
      <c r="H3893" s="656" t="s">
        <v>1300</v>
      </c>
      <c r="I3893" s="656" t="s">
        <v>14976</v>
      </c>
      <c r="J3893" s="656" t="s">
        <v>15285</v>
      </c>
      <c r="K3893" s="656"/>
      <c r="L3893" s="656" t="s">
        <v>5385</v>
      </c>
      <c r="M3893" s="657"/>
      <c r="N3893" s="1482"/>
      <c r="O3893" s="656" t="s">
        <v>498</v>
      </c>
      <c r="P3893" s="656" t="s">
        <v>13052</v>
      </c>
      <c r="Q3893" s="656">
        <v>44216.766759259262</v>
      </c>
    </row>
    <row r="3894" spans="1:17">
      <c r="A3894" s="656" t="s">
        <v>5387</v>
      </c>
      <c r="B3894" s="657" t="s">
        <v>504</v>
      </c>
      <c r="C3894" s="656" t="s">
        <v>5388</v>
      </c>
      <c r="D3894" s="657"/>
      <c r="E3894" s="657"/>
      <c r="F3894" s="656" t="s">
        <v>505</v>
      </c>
      <c r="G3894" s="656" t="s">
        <v>4324</v>
      </c>
      <c r="H3894" s="656" t="s">
        <v>505</v>
      </c>
      <c r="I3894" s="656"/>
      <c r="J3894" s="656"/>
      <c r="K3894" s="656"/>
      <c r="L3894" s="656"/>
      <c r="M3894" s="657"/>
      <c r="N3894" s="1482"/>
      <c r="O3894" s="656" t="s">
        <v>498</v>
      </c>
      <c r="P3894" s="656" t="s">
        <v>13052</v>
      </c>
      <c r="Q3894" s="656">
        <v>44216.766770833332</v>
      </c>
    </row>
    <row r="3895" spans="1:17">
      <c r="A3895" s="656" t="s">
        <v>5389</v>
      </c>
      <c r="B3895" s="657"/>
      <c r="C3895" s="656" t="s">
        <v>5390</v>
      </c>
      <c r="D3895" s="657" t="s">
        <v>14977</v>
      </c>
      <c r="E3895" s="657"/>
      <c r="F3895" s="656"/>
      <c r="G3895" s="656" t="s">
        <v>5103</v>
      </c>
      <c r="H3895" s="656"/>
      <c r="I3895" s="656" t="s">
        <v>14976</v>
      </c>
      <c r="J3895" s="656"/>
      <c r="K3895" s="656"/>
      <c r="L3895" s="656" t="s">
        <v>5389</v>
      </c>
      <c r="M3895" s="657"/>
      <c r="N3895" s="1482"/>
      <c r="O3895" s="656" t="s">
        <v>498</v>
      </c>
      <c r="P3895" s="656" t="s">
        <v>13052</v>
      </c>
      <c r="Q3895" s="656">
        <v>44216.766747685186</v>
      </c>
    </row>
    <row r="3896" spans="1:17">
      <c r="A3896" s="656" t="s">
        <v>5391</v>
      </c>
      <c r="B3896" s="657" t="s">
        <v>504</v>
      </c>
      <c r="C3896" s="656" t="s">
        <v>5392</v>
      </c>
      <c r="D3896" s="657"/>
      <c r="E3896" s="657"/>
      <c r="F3896" s="656" t="s">
        <v>505</v>
      </c>
      <c r="G3896" s="656" t="s">
        <v>4324</v>
      </c>
      <c r="H3896" s="656" t="s">
        <v>505</v>
      </c>
      <c r="I3896" s="656"/>
      <c r="J3896" s="656"/>
      <c r="K3896" s="656"/>
      <c r="L3896" s="656"/>
      <c r="M3896" s="657"/>
      <c r="N3896" s="1482"/>
      <c r="O3896" s="656" t="s">
        <v>498</v>
      </c>
      <c r="P3896" s="656" t="s">
        <v>13052</v>
      </c>
      <c r="Q3896" s="656">
        <v>44216.766747685186</v>
      </c>
    </row>
    <row r="3897" spans="1:17">
      <c r="A3897" s="656" t="s">
        <v>5393</v>
      </c>
      <c r="B3897" s="657" t="s">
        <v>504</v>
      </c>
      <c r="C3897" s="656" t="s">
        <v>5394</v>
      </c>
      <c r="D3897" s="657"/>
      <c r="E3897" s="657"/>
      <c r="F3897" s="656" t="s">
        <v>505</v>
      </c>
      <c r="G3897" s="656" t="s">
        <v>4324</v>
      </c>
      <c r="H3897" s="656" t="s">
        <v>505</v>
      </c>
      <c r="I3897" s="656"/>
      <c r="J3897" s="656"/>
      <c r="K3897" s="656"/>
      <c r="L3897" s="656"/>
      <c r="M3897" s="657"/>
      <c r="N3897" s="1482"/>
      <c r="O3897" s="656" t="s">
        <v>498</v>
      </c>
      <c r="P3897" s="656" t="s">
        <v>13052</v>
      </c>
      <c r="Q3897" s="656">
        <v>44216.766736111109</v>
      </c>
    </row>
    <row r="3898" spans="1:17">
      <c r="A3898" s="656" t="s">
        <v>5395</v>
      </c>
      <c r="B3898" s="657" t="s">
        <v>504</v>
      </c>
      <c r="C3898" s="656" t="s">
        <v>5396</v>
      </c>
      <c r="D3898" s="657" t="s">
        <v>14977</v>
      </c>
      <c r="E3898" s="657"/>
      <c r="F3898" s="656"/>
      <c r="G3898" s="656" t="s">
        <v>4347</v>
      </c>
      <c r="H3898" s="656"/>
      <c r="I3898" s="656"/>
      <c r="J3898" s="656"/>
      <c r="K3898" s="656"/>
      <c r="L3898" s="656"/>
      <c r="M3898" s="657"/>
      <c r="N3898" s="1482"/>
      <c r="O3898" s="656" t="s">
        <v>498</v>
      </c>
      <c r="P3898" s="656" t="s">
        <v>13052</v>
      </c>
      <c r="Q3898" s="656">
        <v>44216.766736111109</v>
      </c>
    </row>
    <row r="3899" spans="1:17">
      <c r="A3899" s="656" t="s">
        <v>5397</v>
      </c>
      <c r="B3899" s="657" t="s">
        <v>504</v>
      </c>
      <c r="C3899" s="656" t="s">
        <v>5398</v>
      </c>
      <c r="D3899" s="657" t="s">
        <v>14977</v>
      </c>
      <c r="E3899" s="657"/>
      <c r="F3899" s="656"/>
      <c r="G3899" s="656" t="s">
        <v>4347</v>
      </c>
      <c r="H3899" s="656"/>
      <c r="I3899" s="656"/>
      <c r="J3899" s="656"/>
      <c r="K3899" s="656"/>
      <c r="L3899" s="656"/>
      <c r="M3899" s="657"/>
      <c r="N3899" s="1482"/>
      <c r="O3899" s="656" t="s">
        <v>498</v>
      </c>
      <c r="P3899" s="656" t="s">
        <v>13052</v>
      </c>
      <c r="Q3899" s="656">
        <v>44216.766724537039</v>
      </c>
    </row>
    <row r="3900" spans="1:17">
      <c r="A3900" s="656" t="s">
        <v>5399</v>
      </c>
      <c r="B3900" s="657" t="s">
        <v>202</v>
      </c>
      <c r="C3900" s="656" t="s">
        <v>5400</v>
      </c>
      <c r="D3900" s="657" t="s">
        <v>14978</v>
      </c>
      <c r="E3900" s="657"/>
      <c r="F3900" s="656" t="s">
        <v>1620</v>
      </c>
      <c r="G3900" s="656" t="s">
        <v>1620</v>
      </c>
      <c r="H3900" s="656" t="s">
        <v>1620</v>
      </c>
      <c r="I3900" s="656" t="s">
        <v>14976</v>
      </c>
      <c r="J3900" s="656" t="s">
        <v>15288</v>
      </c>
      <c r="K3900" s="656"/>
      <c r="L3900" s="656" t="s">
        <v>5401</v>
      </c>
      <c r="M3900" s="657"/>
      <c r="N3900" s="1482"/>
      <c r="O3900" s="656" t="s">
        <v>498</v>
      </c>
      <c r="P3900" s="656" t="s">
        <v>13052</v>
      </c>
      <c r="Q3900" s="656">
        <v>44216.766724537039</v>
      </c>
    </row>
    <row r="3901" spans="1:17">
      <c r="A3901" s="656" t="s">
        <v>5401</v>
      </c>
      <c r="B3901" s="657"/>
      <c r="C3901" s="656" t="s">
        <v>5402</v>
      </c>
      <c r="D3901" s="657" t="s">
        <v>14977</v>
      </c>
      <c r="E3901" s="657"/>
      <c r="F3901" s="656"/>
      <c r="G3901" s="656" t="s">
        <v>5045</v>
      </c>
      <c r="H3901" s="656"/>
      <c r="I3901" s="656" t="s">
        <v>14976</v>
      </c>
      <c r="J3901" s="656"/>
      <c r="K3901" s="656"/>
      <c r="L3901" s="656" t="s">
        <v>5401</v>
      </c>
      <c r="M3901" s="657"/>
      <c r="N3901" s="1482"/>
      <c r="O3901" s="656" t="s">
        <v>498</v>
      </c>
      <c r="P3901" s="656" t="s">
        <v>13052</v>
      </c>
      <c r="Q3901" s="656">
        <v>44216.766724537039</v>
      </c>
    </row>
    <row r="3902" spans="1:17">
      <c r="A3902" s="656" t="s">
        <v>5403</v>
      </c>
      <c r="B3902" s="657"/>
      <c r="C3902" s="656" t="s">
        <v>5404</v>
      </c>
      <c r="D3902" s="657" t="s">
        <v>14977</v>
      </c>
      <c r="E3902" s="657"/>
      <c r="F3902" s="656"/>
      <c r="G3902" s="656" t="s">
        <v>5045</v>
      </c>
      <c r="H3902" s="656"/>
      <c r="I3902" s="656" t="s">
        <v>14976</v>
      </c>
      <c r="J3902" s="656"/>
      <c r="K3902" s="656"/>
      <c r="L3902" s="656" t="s">
        <v>5403</v>
      </c>
      <c r="M3902" s="657"/>
      <c r="N3902" s="1482"/>
      <c r="O3902" s="656" t="s">
        <v>498</v>
      </c>
      <c r="P3902" s="656" t="s">
        <v>13052</v>
      </c>
      <c r="Q3902" s="656">
        <v>44216.766712962963</v>
      </c>
    </row>
    <row r="3903" spans="1:17">
      <c r="A3903" s="656" t="s">
        <v>5405</v>
      </c>
      <c r="B3903" s="657"/>
      <c r="C3903" s="656" t="s">
        <v>5406</v>
      </c>
      <c r="D3903" s="657" t="s">
        <v>14977</v>
      </c>
      <c r="E3903" s="657"/>
      <c r="F3903" s="656"/>
      <c r="G3903" s="656" t="s">
        <v>4198</v>
      </c>
      <c r="H3903" s="656"/>
      <c r="I3903" s="656" t="s">
        <v>14976</v>
      </c>
      <c r="J3903" s="656"/>
      <c r="K3903" s="656"/>
      <c r="L3903" s="656" t="s">
        <v>5405</v>
      </c>
      <c r="M3903" s="657"/>
      <c r="N3903" s="1482"/>
      <c r="O3903" s="656" t="s">
        <v>498</v>
      </c>
      <c r="P3903" s="656" t="s">
        <v>13052</v>
      </c>
      <c r="Q3903" s="656">
        <v>44216.766712962963</v>
      </c>
    </row>
    <row r="3904" spans="1:17">
      <c r="A3904" s="656" t="s">
        <v>5407</v>
      </c>
      <c r="B3904" s="657" t="s">
        <v>531</v>
      </c>
      <c r="C3904" s="656" t="s">
        <v>5408</v>
      </c>
      <c r="D3904" s="657" t="s">
        <v>14977</v>
      </c>
      <c r="E3904" s="657"/>
      <c r="F3904" s="656"/>
      <c r="G3904" s="656" t="s">
        <v>5103</v>
      </c>
      <c r="H3904" s="656"/>
      <c r="I3904" s="656" t="s">
        <v>14976</v>
      </c>
      <c r="J3904" s="656"/>
      <c r="K3904" s="656"/>
      <c r="L3904" s="656" t="s">
        <v>5407</v>
      </c>
      <c r="M3904" s="657"/>
      <c r="N3904" s="1482"/>
      <c r="O3904" s="656" t="s">
        <v>498</v>
      </c>
      <c r="P3904" s="656" t="s">
        <v>13052</v>
      </c>
      <c r="Q3904" s="656">
        <v>44216.766701388886</v>
      </c>
    </row>
    <row r="3905" spans="1:17">
      <c r="A3905" s="656" t="s">
        <v>5409</v>
      </c>
      <c r="B3905" s="657"/>
      <c r="C3905" s="656" t="s">
        <v>5410</v>
      </c>
      <c r="D3905" s="657" t="s">
        <v>14977</v>
      </c>
      <c r="E3905" s="657"/>
      <c r="F3905" s="656"/>
      <c r="G3905" s="656" t="s">
        <v>4198</v>
      </c>
      <c r="H3905" s="656"/>
      <c r="I3905" s="656" t="s">
        <v>14976</v>
      </c>
      <c r="J3905" s="656"/>
      <c r="K3905" s="656"/>
      <c r="L3905" s="656" t="s">
        <v>5409</v>
      </c>
      <c r="M3905" s="657"/>
      <c r="N3905" s="1482"/>
      <c r="O3905" s="656" t="s">
        <v>498</v>
      </c>
      <c r="P3905" s="656" t="s">
        <v>13052</v>
      </c>
      <c r="Q3905" s="656">
        <v>44216.766701388886</v>
      </c>
    </row>
    <row r="3906" spans="1:17">
      <c r="A3906" s="656" t="s">
        <v>5411</v>
      </c>
      <c r="B3906" s="657" t="s">
        <v>504</v>
      </c>
      <c r="C3906" s="656" t="s">
        <v>5412</v>
      </c>
      <c r="D3906" s="657" t="s">
        <v>14977</v>
      </c>
      <c r="E3906" s="657"/>
      <c r="F3906" s="656"/>
      <c r="G3906" s="656" t="s">
        <v>4347</v>
      </c>
      <c r="H3906" s="656"/>
      <c r="I3906" s="656"/>
      <c r="J3906" s="656"/>
      <c r="K3906" s="656"/>
      <c r="L3906" s="656"/>
      <c r="M3906" s="657"/>
      <c r="N3906" s="1482"/>
      <c r="O3906" s="656" t="s">
        <v>498</v>
      </c>
      <c r="P3906" s="656" t="s">
        <v>13052</v>
      </c>
      <c r="Q3906" s="656">
        <v>44216.766689814816</v>
      </c>
    </row>
    <row r="3907" spans="1:17">
      <c r="A3907" s="656" t="s">
        <v>5413</v>
      </c>
      <c r="B3907" s="657"/>
      <c r="C3907" s="656" t="s">
        <v>5414</v>
      </c>
      <c r="D3907" s="657" t="s">
        <v>14977</v>
      </c>
      <c r="E3907" s="657"/>
      <c r="F3907" s="656" t="s">
        <v>1394</v>
      </c>
      <c r="G3907" s="656"/>
      <c r="H3907" s="656" t="s">
        <v>1394</v>
      </c>
      <c r="I3907" s="656" t="s">
        <v>14976</v>
      </c>
      <c r="J3907" s="656"/>
      <c r="K3907" s="656"/>
      <c r="L3907" s="656" t="s">
        <v>5413</v>
      </c>
      <c r="M3907" s="657"/>
      <c r="N3907" s="1482"/>
      <c r="O3907" s="656" t="s">
        <v>498</v>
      </c>
      <c r="P3907" s="656" t="s">
        <v>13052</v>
      </c>
      <c r="Q3907" s="656">
        <v>44216.766689814816</v>
      </c>
    </row>
    <row r="3908" spans="1:17">
      <c r="A3908" s="656" t="s">
        <v>5415</v>
      </c>
      <c r="B3908" s="657"/>
      <c r="C3908" s="656" t="s">
        <v>5416</v>
      </c>
      <c r="D3908" s="657" t="s">
        <v>14977</v>
      </c>
      <c r="E3908" s="657"/>
      <c r="F3908" s="656"/>
      <c r="G3908" s="656" t="s">
        <v>4198</v>
      </c>
      <c r="H3908" s="656"/>
      <c r="I3908" s="656" t="s">
        <v>14976</v>
      </c>
      <c r="J3908" s="656"/>
      <c r="K3908" s="656"/>
      <c r="L3908" s="656" t="s">
        <v>5415</v>
      </c>
      <c r="M3908" s="657"/>
      <c r="N3908" s="1482"/>
      <c r="O3908" s="656" t="s">
        <v>498</v>
      </c>
      <c r="P3908" s="656" t="s">
        <v>13052</v>
      </c>
      <c r="Q3908" s="656">
        <v>44216.76667824074</v>
      </c>
    </row>
    <row r="3909" spans="1:17">
      <c r="A3909" s="656" t="s">
        <v>5417</v>
      </c>
      <c r="B3909" s="657" t="s">
        <v>504</v>
      </c>
      <c r="C3909" s="656" t="s">
        <v>5418</v>
      </c>
      <c r="D3909" s="657"/>
      <c r="E3909" s="657"/>
      <c r="F3909" s="656" t="s">
        <v>505</v>
      </c>
      <c r="G3909" s="656" t="s">
        <v>4324</v>
      </c>
      <c r="H3909" s="656" t="s">
        <v>505</v>
      </c>
      <c r="I3909" s="656"/>
      <c r="J3909" s="656"/>
      <c r="K3909" s="656"/>
      <c r="L3909" s="656"/>
      <c r="M3909" s="657"/>
      <c r="N3909" s="1482"/>
      <c r="O3909" s="656" t="s">
        <v>498</v>
      </c>
      <c r="P3909" s="656" t="s">
        <v>13052</v>
      </c>
      <c r="Q3909" s="656">
        <v>44216.76667824074</v>
      </c>
    </row>
    <row r="3910" spans="1:17">
      <c r="A3910" s="656" t="s">
        <v>5419</v>
      </c>
      <c r="B3910" s="657"/>
      <c r="C3910" s="656" t="s">
        <v>5420</v>
      </c>
      <c r="D3910" s="657" t="s">
        <v>14977</v>
      </c>
      <c r="E3910" s="657"/>
      <c r="F3910" s="656"/>
      <c r="G3910" s="656" t="s">
        <v>4198</v>
      </c>
      <c r="H3910" s="656"/>
      <c r="I3910" s="656" t="s">
        <v>14976</v>
      </c>
      <c r="J3910" s="656"/>
      <c r="K3910" s="656"/>
      <c r="L3910" s="656" t="s">
        <v>5419</v>
      </c>
      <c r="M3910" s="657"/>
      <c r="N3910" s="1482"/>
      <c r="O3910" s="656" t="s">
        <v>498</v>
      </c>
      <c r="P3910" s="656" t="s">
        <v>13052</v>
      </c>
      <c r="Q3910" s="656">
        <v>44216.76667824074</v>
      </c>
    </row>
    <row r="3911" spans="1:17">
      <c r="A3911" s="656" t="s">
        <v>5421</v>
      </c>
      <c r="B3911" s="657" t="s">
        <v>504</v>
      </c>
      <c r="C3911" s="656" t="s">
        <v>5422</v>
      </c>
      <c r="D3911" s="657"/>
      <c r="E3911" s="657"/>
      <c r="F3911" s="656" t="s">
        <v>505</v>
      </c>
      <c r="G3911" s="656" t="s">
        <v>4394</v>
      </c>
      <c r="H3911" s="656" t="s">
        <v>505</v>
      </c>
      <c r="I3911" s="656"/>
      <c r="J3911" s="656"/>
      <c r="K3911" s="656"/>
      <c r="L3911" s="656"/>
      <c r="M3911" s="657"/>
      <c r="N3911" s="1482"/>
      <c r="O3911" s="656" t="s">
        <v>498</v>
      </c>
      <c r="P3911" s="656" t="s">
        <v>13052</v>
      </c>
      <c r="Q3911" s="656">
        <v>44216.76666666667</v>
      </c>
    </row>
    <row r="3912" spans="1:17">
      <c r="A3912" s="656" t="s">
        <v>5423</v>
      </c>
      <c r="B3912" s="657"/>
      <c r="C3912" s="656" t="s">
        <v>5424</v>
      </c>
      <c r="D3912" s="657" t="s">
        <v>14977</v>
      </c>
      <c r="E3912" s="657"/>
      <c r="F3912" s="656"/>
      <c r="G3912" s="656" t="s">
        <v>4198</v>
      </c>
      <c r="H3912" s="656"/>
      <c r="I3912" s="656" t="s">
        <v>14976</v>
      </c>
      <c r="J3912" s="656"/>
      <c r="K3912" s="656"/>
      <c r="L3912" s="656" t="s">
        <v>5423</v>
      </c>
      <c r="M3912" s="657"/>
      <c r="N3912" s="1482"/>
      <c r="O3912" s="656" t="s">
        <v>498</v>
      </c>
      <c r="P3912" s="656" t="s">
        <v>13052</v>
      </c>
      <c r="Q3912" s="656">
        <v>44216.76666666667</v>
      </c>
    </row>
    <row r="3913" spans="1:17">
      <c r="A3913" s="656" t="s">
        <v>5425</v>
      </c>
      <c r="B3913" s="657" t="s">
        <v>202</v>
      </c>
      <c r="C3913" s="656" t="s">
        <v>5426</v>
      </c>
      <c r="D3913" s="657" t="s">
        <v>14977</v>
      </c>
      <c r="E3913" s="657"/>
      <c r="F3913" s="656" t="s">
        <v>1394</v>
      </c>
      <c r="G3913" s="656"/>
      <c r="H3913" s="656" t="s">
        <v>1394</v>
      </c>
      <c r="I3913" s="656" t="s">
        <v>14976</v>
      </c>
      <c r="J3913" s="656" t="s">
        <v>15297</v>
      </c>
      <c r="K3913" s="656"/>
      <c r="L3913" s="656" t="s">
        <v>5425</v>
      </c>
      <c r="M3913" s="657"/>
      <c r="N3913" s="1482"/>
      <c r="O3913" s="656" t="s">
        <v>498</v>
      </c>
      <c r="P3913" s="656" t="s">
        <v>13052</v>
      </c>
      <c r="Q3913" s="656">
        <v>44216.766655092593</v>
      </c>
    </row>
    <row r="3914" spans="1:17">
      <c r="A3914" s="656" t="s">
        <v>5427</v>
      </c>
      <c r="B3914" s="657" t="s">
        <v>504</v>
      </c>
      <c r="C3914" s="656" t="s">
        <v>5428</v>
      </c>
      <c r="D3914" s="657"/>
      <c r="E3914" s="657"/>
      <c r="F3914" s="656" t="s">
        <v>505</v>
      </c>
      <c r="G3914" s="656" t="s">
        <v>4394</v>
      </c>
      <c r="H3914" s="656" t="s">
        <v>505</v>
      </c>
      <c r="I3914" s="656"/>
      <c r="J3914" s="656"/>
      <c r="K3914" s="656"/>
      <c r="L3914" s="656"/>
      <c r="M3914" s="657"/>
      <c r="N3914" s="1482"/>
      <c r="O3914" s="656" t="s">
        <v>498</v>
      </c>
      <c r="P3914" s="656" t="s">
        <v>13052</v>
      </c>
      <c r="Q3914" s="656">
        <v>44216.766655092593</v>
      </c>
    </row>
    <row r="3915" spans="1:17">
      <c r="A3915" s="656" t="s">
        <v>5429</v>
      </c>
      <c r="B3915" s="657" t="s">
        <v>504</v>
      </c>
      <c r="C3915" s="656" t="s">
        <v>5430</v>
      </c>
      <c r="D3915" s="657"/>
      <c r="E3915" s="657"/>
      <c r="F3915" s="656" t="s">
        <v>505</v>
      </c>
      <c r="G3915" s="656" t="s">
        <v>4394</v>
      </c>
      <c r="H3915" s="656" t="s">
        <v>505</v>
      </c>
      <c r="I3915" s="656"/>
      <c r="J3915" s="656"/>
      <c r="K3915" s="656"/>
      <c r="L3915" s="656"/>
      <c r="M3915" s="657"/>
      <c r="N3915" s="1482"/>
      <c r="O3915" s="656" t="s">
        <v>498</v>
      </c>
      <c r="P3915" s="656" t="s">
        <v>13052</v>
      </c>
      <c r="Q3915" s="656">
        <v>44216.766655092593</v>
      </c>
    </row>
    <row r="3916" spans="1:17">
      <c r="A3916" s="656" t="s">
        <v>5431</v>
      </c>
      <c r="B3916" s="657" t="s">
        <v>504</v>
      </c>
      <c r="C3916" s="656" t="s">
        <v>5432</v>
      </c>
      <c r="D3916" s="657"/>
      <c r="E3916" s="657"/>
      <c r="F3916" s="656" t="s">
        <v>505</v>
      </c>
      <c r="G3916" s="656" t="s">
        <v>4394</v>
      </c>
      <c r="H3916" s="656" t="s">
        <v>505</v>
      </c>
      <c r="I3916" s="656"/>
      <c r="J3916" s="656"/>
      <c r="K3916" s="656"/>
      <c r="L3916" s="656"/>
      <c r="M3916" s="657"/>
      <c r="N3916" s="1482"/>
      <c r="O3916" s="656" t="s">
        <v>498</v>
      </c>
      <c r="P3916" s="656" t="s">
        <v>13052</v>
      </c>
      <c r="Q3916" s="656">
        <v>44216.766643518517</v>
      </c>
    </row>
    <row r="3917" spans="1:17">
      <c r="A3917" s="656" t="s">
        <v>5433</v>
      </c>
      <c r="B3917" s="657"/>
      <c r="C3917" s="656" t="s">
        <v>5434</v>
      </c>
      <c r="D3917" s="657" t="s">
        <v>14977</v>
      </c>
      <c r="E3917" s="657"/>
      <c r="F3917" s="656"/>
      <c r="G3917" s="656" t="s">
        <v>4198</v>
      </c>
      <c r="H3917" s="656"/>
      <c r="I3917" s="656" t="s">
        <v>14976</v>
      </c>
      <c r="J3917" s="656"/>
      <c r="K3917" s="656"/>
      <c r="L3917" s="656" t="s">
        <v>5433</v>
      </c>
      <c r="M3917" s="657"/>
      <c r="N3917" s="1482"/>
      <c r="O3917" s="656" t="s">
        <v>498</v>
      </c>
      <c r="P3917" s="656" t="s">
        <v>13052</v>
      </c>
      <c r="Q3917" s="656">
        <v>44216.766643518517</v>
      </c>
    </row>
    <row r="3918" spans="1:17">
      <c r="A3918" s="656" t="s">
        <v>5435</v>
      </c>
      <c r="B3918" s="657"/>
      <c r="C3918" s="656" t="s">
        <v>5436</v>
      </c>
      <c r="D3918" s="657" t="s">
        <v>14977</v>
      </c>
      <c r="E3918" s="657"/>
      <c r="F3918" s="656" t="s">
        <v>1394</v>
      </c>
      <c r="G3918" s="656"/>
      <c r="H3918" s="656" t="s">
        <v>1394</v>
      </c>
      <c r="I3918" s="656" t="s">
        <v>14976</v>
      </c>
      <c r="J3918" s="656"/>
      <c r="K3918" s="656"/>
      <c r="L3918" s="656" t="s">
        <v>5435</v>
      </c>
      <c r="M3918" s="657"/>
      <c r="N3918" s="1482"/>
      <c r="O3918" s="656" t="s">
        <v>498</v>
      </c>
      <c r="P3918" s="656" t="s">
        <v>13052</v>
      </c>
      <c r="Q3918" s="656">
        <v>44216.766631944447</v>
      </c>
    </row>
    <row r="3919" spans="1:17">
      <c r="A3919" s="656" t="s">
        <v>13330</v>
      </c>
      <c r="B3919" s="657" t="s">
        <v>202</v>
      </c>
      <c r="C3919" s="656" t="s">
        <v>13331</v>
      </c>
      <c r="D3919" s="657" t="s">
        <v>14977</v>
      </c>
      <c r="E3919" s="657"/>
      <c r="F3919" s="656"/>
      <c r="G3919" s="656" t="s">
        <v>5238</v>
      </c>
      <c r="H3919" s="656"/>
      <c r="I3919" s="656" t="s">
        <v>14976</v>
      </c>
      <c r="J3919" s="656"/>
      <c r="K3919" s="656"/>
      <c r="L3919" s="656" t="s">
        <v>13330</v>
      </c>
      <c r="M3919" s="657"/>
      <c r="N3919" s="1482"/>
      <c r="O3919" s="656" t="s">
        <v>498</v>
      </c>
      <c r="P3919" s="656" t="s">
        <v>13052</v>
      </c>
      <c r="Q3919" s="656">
        <v>44216.766631944447</v>
      </c>
    </row>
    <row r="3920" spans="1:17">
      <c r="A3920" s="656" t="s">
        <v>5437</v>
      </c>
      <c r="B3920" s="657" t="s">
        <v>504</v>
      </c>
      <c r="C3920" s="656" t="s">
        <v>5438</v>
      </c>
      <c r="D3920" s="657" t="s">
        <v>14977</v>
      </c>
      <c r="E3920" s="657"/>
      <c r="F3920" s="656"/>
      <c r="G3920" s="656" t="s">
        <v>4347</v>
      </c>
      <c r="H3920" s="656"/>
      <c r="I3920" s="656"/>
      <c r="J3920" s="656"/>
      <c r="K3920" s="656"/>
      <c r="L3920" s="656"/>
      <c r="M3920" s="657"/>
      <c r="N3920" s="1482"/>
      <c r="O3920" s="656" t="s">
        <v>498</v>
      </c>
      <c r="P3920" s="656" t="s">
        <v>13052</v>
      </c>
      <c r="Q3920" s="656">
        <v>44216.76662037037</v>
      </c>
    </row>
    <row r="3921" spans="1:17">
      <c r="A3921" s="656" t="s">
        <v>5439</v>
      </c>
      <c r="B3921" s="657" t="s">
        <v>504</v>
      </c>
      <c r="C3921" s="656" t="s">
        <v>5440</v>
      </c>
      <c r="D3921" s="657" t="s">
        <v>14977</v>
      </c>
      <c r="E3921" s="657"/>
      <c r="F3921" s="656"/>
      <c r="G3921" s="656" t="s">
        <v>4347</v>
      </c>
      <c r="H3921" s="656"/>
      <c r="I3921" s="656"/>
      <c r="J3921" s="656"/>
      <c r="K3921" s="656"/>
      <c r="L3921" s="656"/>
      <c r="M3921" s="657"/>
      <c r="N3921" s="1482"/>
      <c r="O3921" s="656" t="s">
        <v>498</v>
      </c>
      <c r="P3921" s="656" t="s">
        <v>13052</v>
      </c>
      <c r="Q3921" s="656">
        <v>44216.76662037037</v>
      </c>
    </row>
    <row r="3922" spans="1:17">
      <c r="A3922" s="656" t="s">
        <v>5441</v>
      </c>
      <c r="B3922" s="657" t="s">
        <v>504</v>
      </c>
      <c r="C3922" s="656" t="s">
        <v>5442</v>
      </c>
      <c r="D3922" s="657" t="s">
        <v>14977</v>
      </c>
      <c r="E3922" s="657"/>
      <c r="F3922" s="656"/>
      <c r="G3922" s="656" t="s">
        <v>4347</v>
      </c>
      <c r="H3922" s="656"/>
      <c r="I3922" s="656"/>
      <c r="J3922" s="656"/>
      <c r="K3922" s="656"/>
      <c r="L3922" s="656"/>
      <c r="M3922" s="657"/>
      <c r="N3922" s="1482"/>
      <c r="O3922" s="656" t="s">
        <v>498</v>
      </c>
      <c r="P3922" s="656" t="s">
        <v>13052</v>
      </c>
      <c r="Q3922" s="656">
        <v>44216.76662037037</v>
      </c>
    </row>
    <row r="3923" spans="1:17">
      <c r="A3923" s="656" t="s">
        <v>5443</v>
      </c>
      <c r="B3923" s="657" t="s">
        <v>504</v>
      </c>
      <c r="C3923" s="656" t="s">
        <v>5444</v>
      </c>
      <c r="D3923" s="657" t="s">
        <v>14977</v>
      </c>
      <c r="E3923" s="657"/>
      <c r="F3923" s="656"/>
      <c r="G3923" s="656" t="s">
        <v>4347</v>
      </c>
      <c r="H3923" s="656"/>
      <c r="I3923" s="656"/>
      <c r="J3923" s="656"/>
      <c r="K3923" s="656"/>
      <c r="L3923" s="656"/>
      <c r="M3923" s="657"/>
      <c r="N3923" s="1482"/>
      <c r="O3923" s="656" t="s">
        <v>498</v>
      </c>
      <c r="P3923" s="656" t="s">
        <v>13052</v>
      </c>
      <c r="Q3923" s="656">
        <v>44216.766608796293</v>
      </c>
    </row>
    <row r="3924" spans="1:17">
      <c r="A3924" s="656" t="s">
        <v>5445</v>
      </c>
      <c r="B3924" s="657" t="s">
        <v>202</v>
      </c>
      <c r="C3924" s="656" t="s">
        <v>5446</v>
      </c>
      <c r="D3924" s="657" t="s">
        <v>14977</v>
      </c>
      <c r="E3924" s="657"/>
      <c r="F3924" s="656" t="s">
        <v>475</v>
      </c>
      <c r="G3924" s="656"/>
      <c r="H3924" s="656" t="s">
        <v>475</v>
      </c>
      <c r="I3924" s="656" t="s">
        <v>14976</v>
      </c>
      <c r="J3924" s="656"/>
      <c r="K3924" s="656"/>
      <c r="L3924" s="656" t="s">
        <v>5445</v>
      </c>
      <c r="M3924" s="657"/>
      <c r="N3924" s="1482"/>
      <c r="O3924" s="656" t="s">
        <v>498</v>
      </c>
      <c r="P3924" s="656" t="s">
        <v>13052</v>
      </c>
      <c r="Q3924" s="656">
        <v>44216.766608796293</v>
      </c>
    </row>
    <row r="3925" spans="1:17">
      <c r="A3925" s="656" t="s">
        <v>5447</v>
      </c>
      <c r="B3925" s="657" t="s">
        <v>202</v>
      </c>
      <c r="C3925" s="656" t="s">
        <v>5448</v>
      </c>
      <c r="D3925" s="657" t="s">
        <v>14977</v>
      </c>
      <c r="E3925" s="657"/>
      <c r="F3925" s="656" t="s">
        <v>475</v>
      </c>
      <c r="G3925" s="656"/>
      <c r="H3925" s="656" t="s">
        <v>475</v>
      </c>
      <c r="I3925" s="656" t="s">
        <v>14976</v>
      </c>
      <c r="J3925" s="656"/>
      <c r="K3925" s="656"/>
      <c r="L3925" s="656" t="s">
        <v>5447</v>
      </c>
      <c r="M3925" s="657"/>
      <c r="N3925" s="1482"/>
      <c r="O3925" s="656" t="s">
        <v>498</v>
      </c>
      <c r="P3925" s="656" t="s">
        <v>13052</v>
      </c>
      <c r="Q3925" s="656">
        <v>44216.766597222224</v>
      </c>
    </row>
    <row r="3926" spans="1:17">
      <c r="A3926" s="656" t="s">
        <v>5449</v>
      </c>
      <c r="B3926" s="657" t="s">
        <v>202</v>
      </c>
      <c r="C3926" s="656" t="s">
        <v>5450</v>
      </c>
      <c r="D3926" s="657" t="s">
        <v>14977</v>
      </c>
      <c r="E3926" s="657"/>
      <c r="F3926" s="656" t="s">
        <v>475</v>
      </c>
      <c r="G3926" s="656" t="s">
        <v>475</v>
      </c>
      <c r="H3926" s="656" t="s">
        <v>475</v>
      </c>
      <c r="I3926" s="656" t="s">
        <v>14976</v>
      </c>
      <c r="J3926" s="656" t="s">
        <v>15297</v>
      </c>
      <c r="K3926" s="656"/>
      <c r="L3926" s="656" t="s">
        <v>5449</v>
      </c>
      <c r="M3926" s="657"/>
      <c r="N3926" s="1482"/>
      <c r="O3926" s="656" t="s">
        <v>498</v>
      </c>
      <c r="P3926" s="656" t="s">
        <v>13052</v>
      </c>
      <c r="Q3926" s="656">
        <v>44216.766597222224</v>
      </c>
    </row>
    <row r="3927" spans="1:17">
      <c r="A3927" s="656" t="s">
        <v>5451</v>
      </c>
      <c r="B3927" s="657"/>
      <c r="C3927" s="656" t="s">
        <v>5452</v>
      </c>
      <c r="D3927" s="657" t="s">
        <v>14977</v>
      </c>
      <c r="E3927" s="657"/>
      <c r="F3927" s="656"/>
      <c r="G3927" s="656" t="s">
        <v>5045</v>
      </c>
      <c r="H3927" s="656"/>
      <c r="I3927" s="656" t="s">
        <v>14976</v>
      </c>
      <c r="J3927" s="656"/>
      <c r="K3927" s="656"/>
      <c r="L3927" s="656" t="s">
        <v>5451</v>
      </c>
      <c r="M3927" s="657"/>
      <c r="N3927" s="1482"/>
      <c r="O3927" s="656" t="s">
        <v>498</v>
      </c>
      <c r="P3927" s="656" t="s">
        <v>13052</v>
      </c>
      <c r="Q3927" s="656">
        <v>44216.766597222224</v>
      </c>
    </row>
    <row r="3928" spans="1:17">
      <c r="A3928" s="656" t="s">
        <v>5453</v>
      </c>
      <c r="B3928" s="657" t="s">
        <v>202</v>
      </c>
      <c r="C3928" s="656" t="s">
        <v>5454</v>
      </c>
      <c r="D3928" s="657" t="s">
        <v>14977</v>
      </c>
      <c r="E3928" s="657"/>
      <c r="F3928" s="656" t="s">
        <v>655</v>
      </c>
      <c r="G3928" s="656" t="s">
        <v>1078</v>
      </c>
      <c r="H3928" s="656" t="s">
        <v>655</v>
      </c>
      <c r="I3928" s="656" t="s">
        <v>14976</v>
      </c>
      <c r="J3928" s="656" t="s">
        <v>15281</v>
      </c>
      <c r="K3928" s="656"/>
      <c r="L3928" s="656" t="s">
        <v>5453</v>
      </c>
      <c r="M3928" s="657"/>
      <c r="N3928" s="1482"/>
      <c r="O3928" s="656" t="s">
        <v>498</v>
      </c>
      <c r="P3928" s="656" t="s">
        <v>13052</v>
      </c>
      <c r="Q3928" s="656">
        <v>44216.766585648147</v>
      </c>
    </row>
    <row r="3929" spans="1:17">
      <c r="A3929" s="656" t="s">
        <v>5455</v>
      </c>
      <c r="B3929" s="657" t="s">
        <v>202</v>
      </c>
      <c r="C3929" s="656" t="s">
        <v>5456</v>
      </c>
      <c r="D3929" s="657" t="s">
        <v>14977</v>
      </c>
      <c r="E3929" s="657"/>
      <c r="F3929" s="656" t="s">
        <v>500</v>
      </c>
      <c r="G3929" s="656" t="s">
        <v>500</v>
      </c>
      <c r="H3929" s="656" t="s">
        <v>500</v>
      </c>
      <c r="I3929" s="656" t="s">
        <v>14976</v>
      </c>
      <c r="J3929" s="656" t="s">
        <v>15282</v>
      </c>
      <c r="K3929" s="656"/>
      <c r="L3929" s="656" t="s">
        <v>5455</v>
      </c>
      <c r="M3929" s="657"/>
      <c r="N3929" s="1482"/>
      <c r="O3929" s="656" t="s">
        <v>498</v>
      </c>
      <c r="P3929" s="656" t="s">
        <v>13052</v>
      </c>
      <c r="Q3929" s="656">
        <v>44216.766585648147</v>
      </c>
    </row>
    <row r="3930" spans="1:17">
      <c r="A3930" s="656" t="s">
        <v>5457</v>
      </c>
      <c r="B3930" s="657" t="s">
        <v>504</v>
      </c>
      <c r="C3930" s="656" t="s">
        <v>5458</v>
      </c>
      <c r="D3930" s="657"/>
      <c r="E3930" s="657"/>
      <c r="F3930" s="656" t="s">
        <v>505</v>
      </c>
      <c r="G3930" s="656" t="s">
        <v>4324</v>
      </c>
      <c r="H3930" s="656" t="s">
        <v>505</v>
      </c>
      <c r="I3930" s="656"/>
      <c r="J3930" s="656"/>
      <c r="K3930" s="656"/>
      <c r="L3930" s="656"/>
      <c r="M3930" s="657"/>
      <c r="N3930" s="1482"/>
      <c r="O3930" s="656" t="s">
        <v>498</v>
      </c>
      <c r="P3930" s="656" t="s">
        <v>13052</v>
      </c>
      <c r="Q3930" s="656">
        <v>44216.766574074078</v>
      </c>
    </row>
    <row r="3931" spans="1:17">
      <c r="A3931" s="656" t="s">
        <v>5459</v>
      </c>
      <c r="B3931" s="657" t="s">
        <v>202</v>
      </c>
      <c r="C3931" s="656" t="s">
        <v>5460</v>
      </c>
      <c r="D3931" s="657" t="s">
        <v>14978</v>
      </c>
      <c r="E3931" s="657"/>
      <c r="F3931" s="656" t="s">
        <v>1300</v>
      </c>
      <c r="G3931" s="656" t="s">
        <v>1301</v>
      </c>
      <c r="H3931" s="656" t="s">
        <v>1300</v>
      </c>
      <c r="I3931" s="656" t="s">
        <v>14976</v>
      </c>
      <c r="J3931" s="656" t="s">
        <v>15285</v>
      </c>
      <c r="K3931" s="656"/>
      <c r="L3931" s="656" t="s">
        <v>5467</v>
      </c>
      <c r="M3931" s="657"/>
      <c r="N3931" s="1482"/>
      <c r="O3931" s="656" t="s">
        <v>498</v>
      </c>
      <c r="P3931" s="656" t="s">
        <v>13052</v>
      </c>
      <c r="Q3931" s="656">
        <v>44216.766574074078</v>
      </c>
    </row>
    <row r="3932" spans="1:17">
      <c r="A3932" s="656" t="s">
        <v>5461</v>
      </c>
      <c r="B3932" s="657" t="s">
        <v>202</v>
      </c>
      <c r="C3932" s="656" t="s">
        <v>5462</v>
      </c>
      <c r="D3932" s="657" t="s">
        <v>14978</v>
      </c>
      <c r="E3932" s="657"/>
      <c r="F3932" s="656" t="s">
        <v>1300</v>
      </c>
      <c r="G3932" s="656" t="s">
        <v>1301</v>
      </c>
      <c r="H3932" s="656" t="s">
        <v>1300</v>
      </c>
      <c r="I3932" s="656" t="s">
        <v>14976</v>
      </c>
      <c r="J3932" s="656" t="s">
        <v>15285</v>
      </c>
      <c r="K3932" s="656"/>
      <c r="L3932" s="656" t="s">
        <v>5467</v>
      </c>
      <c r="M3932" s="657"/>
      <c r="N3932" s="1482"/>
      <c r="O3932" s="656" t="s">
        <v>498</v>
      </c>
      <c r="P3932" s="656" t="s">
        <v>13052</v>
      </c>
      <c r="Q3932" s="656">
        <v>44216.766562500001</v>
      </c>
    </row>
    <row r="3933" spans="1:17">
      <c r="A3933" s="656" t="s">
        <v>5463</v>
      </c>
      <c r="B3933" s="657" t="s">
        <v>202</v>
      </c>
      <c r="C3933" s="656" t="s">
        <v>5464</v>
      </c>
      <c r="D3933" s="657" t="s">
        <v>14978</v>
      </c>
      <c r="E3933" s="657"/>
      <c r="F3933" s="656" t="s">
        <v>1300</v>
      </c>
      <c r="G3933" s="656" t="s">
        <v>1301</v>
      </c>
      <c r="H3933" s="656" t="s">
        <v>1300</v>
      </c>
      <c r="I3933" s="656" t="s">
        <v>14976</v>
      </c>
      <c r="J3933" s="656" t="s">
        <v>15285</v>
      </c>
      <c r="K3933" s="656"/>
      <c r="L3933" s="656" t="s">
        <v>5467</v>
      </c>
      <c r="M3933" s="657"/>
      <c r="N3933" s="1482"/>
      <c r="O3933" s="656" t="s">
        <v>498</v>
      </c>
      <c r="P3933" s="656" t="s">
        <v>13052</v>
      </c>
      <c r="Q3933" s="656">
        <v>44216.766562500001</v>
      </c>
    </row>
    <row r="3934" spans="1:17">
      <c r="A3934" s="656" t="s">
        <v>5465</v>
      </c>
      <c r="B3934" s="657" t="s">
        <v>202</v>
      </c>
      <c r="C3934" s="656" t="s">
        <v>5466</v>
      </c>
      <c r="D3934" s="657" t="s">
        <v>14978</v>
      </c>
      <c r="E3934" s="657"/>
      <c r="F3934" s="656" t="s">
        <v>1300</v>
      </c>
      <c r="G3934" s="656" t="s">
        <v>1301</v>
      </c>
      <c r="H3934" s="656" t="s">
        <v>1300</v>
      </c>
      <c r="I3934" s="656" t="s">
        <v>14976</v>
      </c>
      <c r="J3934" s="656" t="s">
        <v>15285</v>
      </c>
      <c r="K3934" s="656"/>
      <c r="L3934" s="656" t="s">
        <v>5467</v>
      </c>
      <c r="M3934" s="657"/>
      <c r="N3934" s="1482"/>
      <c r="O3934" s="656" t="s">
        <v>498</v>
      </c>
      <c r="P3934" s="656" t="s">
        <v>13052</v>
      </c>
      <c r="Q3934" s="656">
        <v>44216.766550925924</v>
      </c>
    </row>
    <row r="3935" spans="1:17">
      <c r="A3935" s="656" t="s">
        <v>5467</v>
      </c>
      <c r="B3935" s="657"/>
      <c r="C3935" s="656" t="s">
        <v>5464</v>
      </c>
      <c r="D3935" s="657" t="s">
        <v>14977</v>
      </c>
      <c r="E3935" s="657"/>
      <c r="F3935" s="656"/>
      <c r="G3935" s="656" t="s">
        <v>4198</v>
      </c>
      <c r="H3935" s="656"/>
      <c r="I3935" s="656" t="s">
        <v>14976</v>
      </c>
      <c r="J3935" s="656"/>
      <c r="K3935" s="656"/>
      <c r="L3935" s="656" t="s">
        <v>5467</v>
      </c>
      <c r="M3935" s="657"/>
      <c r="N3935" s="1482"/>
      <c r="O3935" s="656" t="s">
        <v>498</v>
      </c>
      <c r="P3935" s="656" t="s">
        <v>13052</v>
      </c>
      <c r="Q3935" s="656">
        <v>44216.766550925924</v>
      </c>
    </row>
    <row r="3936" spans="1:17">
      <c r="A3936" s="656" t="s">
        <v>5468</v>
      </c>
      <c r="B3936" s="657" t="s">
        <v>202</v>
      </c>
      <c r="C3936" s="656" t="s">
        <v>5469</v>
      </c>
      <c r="D3936" s="657" t="s">
        <v>14977</v>
      </c>
      <c r="E3936" s="657"/>
      <c r="F3936" s="656" t="s">
        <v>1667</v>
      </c>
      <c r="G3936" s="656"/>
      <c r="H3936" s="656" t="s">
        <v>1667</v>
      </c>
      <c r="I3936" s="656" t="s">
        <v>14976</v>
      </c>
      <c r="J3936" s="656"/>
      <c r="K3936" s="656"/>
      <c r="L3936" s="656" t="s">
        <v>5468</v>
      </c>
      <c r="M3936" s="657"/>
      <c r="N3936" s="1482"/>
      <c r="O3936" s="656" t="s">
        <v>498</v>
      </c>
      <c r="P3936" s="656" t="s">
        <v>13052</v>
      </c>
      <c r="Q3936" s="656">
        <v>44216.766539351855</v>
      </c>
    </row>
    <row r="3937" spans="1:17">
      <c r="A3937" s="656" t="s">
        <v>5470</v>
      </c>
      <c r="B3937" s="657" t="s">
        <v>504</v>
      </c>
      <c r="C3937" s="656" t="s">
        <v>5471</v>
      </c>
      <c r="D3937" s="657" t="s">
        <v>14977</v>
      </c>
      <c r="E3937" s="657"/>
      <c r="F3937" s="656"/>
      <c r="G3937" s="656" t="s">
        <v>4198</v>
      </c>
      <c r="H3937" s="656"/>
      <c r="I3937" s="656"/>
      <c r="J3937" s="656"/>
      <c r="K3937" s="656"/>
      <c r="L3937" s="656"/>
      <c r="M3937" s="657"/>
      <c r="N3937" s="1482"/>
      <c r="O3937" s="656" t="s">
        <v>498</v>
      </c>
      <c r="P3937" s="656" t="s">
        <v>13052</v>
      </c>
      <c r="Q3937" s="656">
        <v>44216.766539351855</v>
      </c>
    </row>
    <row r="3938" spans="1:17">
      <c r="A3938" s="656" t="s">
        <v>5472</v>
      </c>
      <c r="B3938" s="657"/>
      <c r="C3938" s="656" t="s">
        <v>5473</v>
      </c>
      <c r="D3938" s="657" t="s">
        <v>1239</v>
      </c>
      <c r="E3938" s="657"/>
      <c r="F3938" s="656"/>
      <c r="G3938" s="656" t="s">
        <v>4198</v>
      </c>
      <c r="H3938" s="656"/>
      <c r="I3938" s="656" t="s">
        <v>14976</v>
      </c>
      <c r="J3938" s="656"/>
      <c r="K3938" s="656"/>
      <c r="L3938" s="656"/>
      <c r="M3938" s="657"/>
      <c r="N3938" s="1482"/>
      <c r="O3938" s="656" t="s">
        <v>498</v>
      </c>
      <c r="P3938" s="656" t="s">
        <v>13052</v>
      </c>
      <c r="Q3938" s="656">
        <v>44216.766527777778</v>
      </c>
    </row>
    <row r="3939" spans="1:17">
      <c r="A3939" s="656" t="s">
        <v>5474</v>
      </c>
      <c r="B3939" s="657" t="s">
        <v>504</v>
      </c>
      <c r="C3939" s="656" t="s">
        <v>5475</v>
      </c>
      <c r="D3939" s="657"/>
      <c r="E3939" s="657"/>
      <c r="F3939" s="656" t="s">
        <v>1394</v>
      </c>
      <c r="G3939" s="656"/>
      <c r="H3939" s="656" t="s">
        <v>1394</v>
      </c>
      <c r="I3939" s="656"/>
      <c r="J3939" s="656"/>
      <c r="K3939" s="656"/>
      <c r="L3939" s="656"/>
      <c r="M3939" s="657"/>
      <c r="N3939" s="1482"/>
      <c r="O3939" s="656" t="s">
        <v>498</v>
      </c>
      <c r="P3939" s="656" t="s">
        <v>13052</v>
      </c>
      <c r="Q3939" s="656">
        <v>44216.766516203701</v>
      </c>
    </row>
    <row r="3940" spans="1:17">
      <c r="A3940" s="656" t="s">
        <v>5476</v>
      </c>
      <c r="B3940" s="657" t="s">
        <v>504</v>
      </c>
      <c r="C3940" s="656" t="s">
        <v>5477</v>
      </c>
      <c r="D3940" s="657" t="s">
        <v>14977</v>
      </c>
      <c r="E3940" s="657"/>
      <c r="F3940" s="656"/>
      <c r="G3940" s="656" t="s">
        <v>4198</v>
      </c>
      <c r="H3940" s="656"/>
      <c r="I3940" s="656"/>
      <c r="J3940" s="656"/>
      <c r="K3940" s="656"/>
      <c r="L3940" s="656"/>
      <c r="M3940" s="657"/>
      <c r="N3940" s="1482"/>
      <c r="O3940" s="656" t="s">
        <v>498</v>
      </c>
      <c r="P3940" s="656" t="s">
        <v>13052</v>
      </c>
      <c r="Q3940" s="656">
        <v>44216.766504629632</v>
      </c>
    </row>
    <row r="3941" spans="1:17">
      <c r="A3941" s="656" t="s">
        <v>5478</v>
      </c>
      <c r="B3941" s="657" t="s">
        <v>531</v>
      </c>
      <c r="C3941" s="656" t="s">
        <v>5292</v>
      </c>
      <c r="D3941" s="657" t="s">
        <v>14977</v>
      </c>
      <c r="E3941" s="657"/>
      <c r="F3941" s="656" t="s">
        <v>1394</v>
      </c>
      <c r="G3941" s="656" t="s">
        <v>717</v>
      </c>
      <c r="H3941" s="656" t="s">
        <v>1394</v>
      </c>
      <c r="I3941" s="656" t="s">
        <v>14976</v>
      </c>
      <c r="J3941" s="656" t="s">
        <v>532</v>
      </c>
      <c r="K3941" s="656"/>
      <c r="L3941" s="656" t="s">
        <v>5478</v>
      </c>
      <c r="M3941" s="657"/>
      <c r="N3941" s="1482"/>
      <c r="O3941" s="656" t="s">
        <v>498</v>
      </c>
      <c r="P3941" s="656" t="s">
        <v>13052</v>
      </c>
      <c r="Q3941" s="656">
        <v>44216.766504629632</v>
      </c>
    </row>
    <row r="3942" spans="1:17">
      <c r="A3942" s="656" t="s">
        <v>5479</v>
      </c>
      <c r="B3942" s="657" t="s">
        <v>504</v>
      </c>
      <c r="C3942" s="656" t="s">
        <v>5480</v>
      </c>
      <c r="D3942" s="657" t="s">
        <v>14977</v>
      </c>
      <c r="E3942" s="657"/>
      <c r="F3942" s="656"/>
      <c r="G3942" s="656" t="s">
        <v>4198</v>
      </c>
      <c r="H3942" s="656"/>
      <c r="I3942" s="656"/>
      <c r="J3942" s="656"/>
      <c r="K3942" s="656"/>
      <c r="L3942" s="656"/>
      <c r="M3942" s="657"/>
      <c r="N3942" s="1482"/>
      <c r="O3942" s="656" t="s">
        <v>498</v>
      </c>
      <c r="P3942" s="656" t="s">
        <v>13052</v>
      </c>
      <c r="Q3942" s="656">
        <v>44216.766493055555</v>
      </c>
    </row>
    <row r="3943" spans="1:17">
      <c r="A3943" s="656" t="s">
        <v>5481</v>
      </c>
      <c r="B3943" s="657" t="s">
        <v>504</v>
      </c>
      <c r="C3943" s="656" t="s">
        <v>5482</v>
      </c>
      <c r="D3943" s="657" t="s">
        <v>14977</v>
      </c>
      <c r="E3943" s="657"/>
      <c r="F3943" s="656"/>
      <c r="G3943" s="656" t="s">
        <v>4198</v>
      </c>
      <c r="H3943" s="656"/>
      <c r="I3943" s="656"/>
      <c r="J3943" s="656"/>
      <c r="K3943" s="656"/>
      <c r="L3943" s="656"/>
      <c r="M3943" s="657"/>
      <c r="N3943" s="1482"/>
      <c r="O3943" s="656" t="s">
        <v>498</v>
      </c>
      <c r="P3943" s="656" t="s">
        <v>13052</v>
      </c>
      <c r="Q3943" s="656">
        <v>44216.766493055555</v>
      </c>
    </row>
    <row r="3944" spans="1:17">
      <c r="A3944" s="656" t="s">
        <v>5483</v>
      </c>
      <c r="B3944" s="657"/>
      <c r="C3944" s="656" t="s">
        <v>5484</v>
      </c>
      <c r="D3944" s="657" t="s">
        <v>14978</v>
      </c>
      <c r="E3944" s="657"/>
      <c r="F3944" s="656"/>
      <c r="G3944" s="656"/>
      <c r="H3944" s="656"/>
      <c r="I3944" s="656" t="s">
        <v>14976</v>
      </c>
      <c r="J3944" s="656"/>
      <c r="K3944" s="656"/>
      <c r="L3944" s="656" t="s">
        <v>5485</v>
      </c>
      <c r="M3944" s="657"/>
      <c r="N3944" s="1482"/>
      <c r="O3944" s="656" t="s">
        <v>498</v>
      </c>
      <c r="P3944" s="656" t="s">
        <v>13052</v>
      </c>
      <c r="Q3944" s="656">
        <v>44216.766481481478</v>
      </c>
    </row>
    <row r="3945" spans="1:17">
      <c r="A3945" s="656" t="s">
        <v>5485</v>
      </c>
      <c r="B3945" s="657" t="s">
        <v>504</v>
      </c>
      <c r="C3945" s="656" t="s">
        <v>5486</v>
      </c>
      <c r="D3945" s="657" t="s">
        <v>14977</v>
      </c>
      <c r="E3945" s="657"/>
      <c r="F3945" s="656"/>
      <c r="G3945" s="656" t="s">
        <v>4198</v>
      </c>
      <c r="H3945" s="656"/>
      <c r="I3945" s="656"/>
      <c r="J3945" s="656"/>
      <c r="K3945" s="656"/>
      <c r="L3945" s="656"/>
      <c r="M3945" s="657"/>
      <c r="N3945" s="1482"/>
      <c r="O3945" s="656" t="s">
        <v>498</v>
      </c>
      <c r="P3945" s="656" t="s">
        <v>13052</v>
      </c>
      <c r="Q3945" s="656">
        <v>44216.766481481478</v>
      </c>
    </row>
    <row r="3946" spans="1:17">
      <c r="A3946" s="656" t="s">
        <v>5487</v>
      </c>
      <c r="B3946" s="657"/>
      <c r="C3946" s="656" t="s">
        <v>5488</v>
      </c>
      <c r="D3946" s="657" t="s">
        <v>14977</v>
      </c>
      <c r="E3946" s="657"/>
      <c r="F3946" s="656"/>
      <c r="G3946" s="656" t="s">
        <v>4198</v>
      </c>
      <c r="H3946" s="656"/>
      <c r="I3946" s="656" t="s">
        <v>14976</v>
      </c>
      <c r="J3946" s="656"/>
      <c r="K3946" s="656"/>
      <c r="L3946" s="656" t="s">
        <v>5487</v>
      </c>
      <c r="M3946" s="657"/>
      <c r="N3946" s="1482"/>
      <c r="O3946" s="656" t="s">
        <v>498</v>
      </c>
      <c r="P3946" s="656" t="s">
        <v>13052</v>
      </c>
      <c r="Q3946" s="656">
        <v>44216.766469907408</v>
      </c>
    </row>
    <row r="3947" spans="1:17">
      <c r="A3947" s="656" t="s">
        <v>5489</v>
      </c>
      <c r="B3947" s="657"/>
      <c r="C3947" s="656" t="s">
        <v>5292</v>
      </c>
      <c r="D3947" s="657" t="s">
        <v>14977</v>
      </c>
      <c r="E3947" s="657"/>
      <c r="F3947" s="656"/>
      <c r="G3947" s="656"/>
      <c r="H3947" s="656"/>
      <c r="I3947" s="656" t="s">
        <v>14976</v>
      </c>
      <c r="J3947" s="656"/>
      <c r="K3947" s="656"/>
      <c r="L3947" s="656" t="s">
        <v>5489</v>
      </c>
      <c r="M3947" s="657"/>
      <c r="N3947" s="1482"/>
      <c r="O3947" s="656" t="s">
        <v>498</v>
      </c>
      <c r="P3947" s="656" t="s">
        <v>13052</v>
      </c>
      <c r="Q3947" s="656">
        <v>44216.766469907408</v>
      </c>
    </row>
    <row r="3948" spans="1:17">
      <c r="A3948" s="656" t="s">
        <v>5490</v>
      </c>
      <c r="B3948" s="657" t="s">
        <v>504</v>
      </c>
      <c r="C3948" s="656" t="s">
        <v>5491</v>
      </c>
      <c r="D3948" s="657" t="s">
        <v>14977</v>
      </c>
      <c r="E3948" s="657"/>
      <c r="F3948" s="656"/>
      <c r="G3948" s="656" t="s">
        <v>4198</v>
      </c>
      <c r="H3948" s="656"/>
      <c r="I3948" s="656"/>
      <c r="J3948" s="656"/>
      <c r="K3948" s="656"/>
      <c r="L3948" s="656"/>
      <c r="M3948" s="657"/>
      <c r="N3948" s="1482"/>
      <c r="O3948" s="656" t="s">
        <v>498</v>
      </c>
      <c r="P3948" s="656" t="s">
        <v>13052</v>
      </c>
      <c r="Q3948" s="656">
        <v>44216.766469907408</v>
      </c>
    </row>
    <row r="3949" spans="1:17">
      <c r="A3949" s="656" t="s">
        <v>5492</v>
      </c>
      <c r="B3949" s="657"/>
      <c r="C3949" s="656" t="s">
        <v>5493</v>
      </c>
      <c r="D3949" s="657" t="s">
        <v>14977</v>
      </c>
      <c r="E3949" s="657"/>
      <c r="F3949" s="656"/>
      <c r="G3949" s="656" t="s">
        <v>5103</v>
      </c>
      <c r="H3949" s="656"/>
      <c r="I3949" s="656" t="s">
        <v>14976</v>
      </c>
      <c r="J3949" s="656"/>
      <c r="K3949" s="656"/>
      <c r="L3949" s="656" t="s">
        <v>5492</v>
      </c>
      <c r="M3949" s="657"/>
      <c r="N3949" s="1482"/>
      <c r="O3949" s="656" t="s">
        <v>498</v>
      </c>
      <c r="P3949" s="656" t="s">
        <v>13052</v>
      </c>
      <c r="Q3949" s="656">
        <v>44216.766458333332</v>
      </c>
    </row>
    <row r="3950" spans="1:17">
      <c r="A3950" s="656" t="s">
        <v>5494</v>
      </c>
      <c r="B3950" s="657"/>
      <c r="C3950" s="656" t="s">
        <v>5292</v>
      </c>
      <c r="D3950" s="657" t="s">
        <v>14977</v>
      </c>
      <c r="E3950" s="657"/>
      <c r="F3950" s="656"/>
      <c r="G3950" s="656"/>
      <c r="H3950" s="656"/>
      <c r="I3950" s="656" t="s">
        <v>14976</v>
      </c>
      <c r="J3950" s="656"/>
      <c r="K3950" s="656"/>
      <c r="L3950" s="656" t="s">
        <v>5494</v>
      </c>
      <c r="M3950" s="657"/>
      <c r="N3950" s="1482"/>
      <c r="O3950" s="656" t="s">
        <v>498</v>
      </c>
      <c r="P3950" s="656" t="s">
        <v>13052</v>
      </c>
      <c r="Q3950" s="656">
        <v>44216.766458333332</v>
      </c>
    </row>
    <row r="3951" spans="1:17">
      <c r="A3951" s="656" t="s">
        <v>5495</v>
      </c>
      <c r="B3951" s="657"/>
      <c r="C3951" s="656" t="s">
        <v>5496</v>
      </c>
      <c r="D3951" s="657" t="s">
        <v>14977</v>
      </c>
      <c r="E3951" s="657"/>
      <c r="F3951" s="656"/>
      <c r="G3951" s="656" t="s">
        <v>5103</v>
      </c>
      <c r="H3951" s="656"/>
      <c r="I3951" s="656" t="s">
        <v>14976</v>
      </c>
      <c r="J3951" s="656"/>
      <c r="K3951" s="656"/>
      <c r="L3951" s="656" t="s">
        <v>5495</v>
      </c>
      <c r="M3951" s="657"/>
      <c r="N3951" s="1482"/>
      <c r="O3951" s="656" t="s">
        <v>498</v>
      </c>
      <c r="P3951" s="656" t="s">
        <v>13052</v>
      </c>
      <c r="Q3951" s="656">
        <v>44216.766446759262</v>
      </c>
    </row>
    <row r="3952" spans="1:17">
      <c r="A3952" s="656" t="s">
        <v>5497</v>
      </c>
      <c r="B3952" s="657"/>
      <c r="C3952" s="656" t="s">
        <v>5498</v>
      </c>
      <c r="D3952" s="657" t="s">
        <v>14977</v>
      </c>
      <c r="E3952" s="657"/>
      <c r="F3952" s="656"/>
      <c r="G3952" s="656" t="s">
        <v>5103</v>
      </c>
      <c r="H3952" s="656"/>
      <c r="I3952" s="656" t="s">
        <v>14976</v>
      </c>
      <c r="J3952" s="656"/>
      <c r="K3952" s="656"/>
      <c r="L3952" s="656" t="s">
        <v>5497</v>
      </c>
      <c r="M3952" s="657"/>
      <c r="N3952" s="1482"/>
      <c r="O3952" s="656" t="s">
        <v>498</v>
      </c>
      <c r="P3952" s="656" t="s">
        <v>13052</v>
      </c>
      <c r="Q3952" s="656">
        <v>44216.766446759262</v>
      </c>
    </row>
    <row r="3953" spans="1:17">
      <c r="A3953" s="656" t="s">
        <v>5499</v>
      </c>
      <c r="B3953" s="657"/>
      <c r="C3953" s="656" t="s">
        <v>5500</v>
      </c>
      <c r="D3953" s="657" t="s">
        <v>14977</v>
      </c>
      <c r="E3953" s="657"/>
      <c r="F3953" s="656"/>
      <c r="G3953" s="656" t="s">
        <v>5103</v>
      </c>
      <c r="H3953" s="656"/>
      <c r="I3953" s="656" t="s">
        <v>14976</v>
      </c>
      <c r="J3953" s="656"/>
      <c r="K3953" s="656"/>
      <c r="L3953" s="656" t="s">
        <v>5499</v>
      </c>
      <c r="M3953" s="657"/>
      <c r="N3953" s="1482"/>
      <c r="O3953" s="656" t="s">
        <v>498</v>
      </c>
      <c r="P3953" s="656" t="s">
        <v>13052</v>
      </c>
      <c r="Q3953" s="656">
        <v>44216.766446759262</v>
      </c>
    </row>
    <row r="3954" spans="1:17">
      <c r="A3954" s="656" t="s">
        <v>5501</v>
      </c>
      <c r="B3954" s="657" t="s">
        <v>504</v>
      </c>
      <c r="C3954" s="656" t="s">
        <v>5502</v>
      </c>
      <c r="D3954" s="657" t="s">
        <v>13789</v>
      </c>
      <c r="E3954" s="657" t="s">
        <v>7439</v>
      </c>
      <c r="F3954" s="656" t="s">
        <v>540</v>
      </c>
      <c r="G3954" s="656" t="s">
        <v>541</v>
      </c>
      <c r="H3954" s="656" t="s">
        <v>540</v>
      </c>
      <c r="I3954" s="656" t="s">
        <v>14976</v>
      </c>
      <c r="J3954" s="656"/>
      <c r="K3954" s="656"/>
      <c r="L3954" s="656"/>
      <c r="M3954" s="657"/>
      <c r="N3954" s="1482"/>
      <c r="O3954" s="656" t="s">
        <v>498</v>
      </c>
      <c r="P3954" s="656" t="s">
        <v>13052</v>
      </c>
      <c r="Q3954" s="656">
        <v>44216.766435185185</v>
      </c>
    </row>
    <row r="3955" spans="1:17">
      <c r="A3955" s="656" t="s">
        <v>5503</v>
      </c>
      <c r="B3955" s="657" t="s">
        <v>531</v>
      </c>
      <c r="C3955" s="656" t="s">
        <v>5504</v>
      </c>
      <c r="D3955" s="657" t="s">
        <v>1239</v>
      </c>
      <c r="E3955" s="657"/>
      <c r="F3955" s="656" t="s">
        <v>472</v>
      </c>
      <c r="G3955" s="656" t="s">
        <v>1395</v>
      </c>
      <c r="H3955" s="656" t="s">
        <v>472</v>
      </c>
      <c r="I3955" s="656" t="s">
        <v>14976</v>
      </c>
      <c r="J3955" s="656" t="s">
        <v>12368</v>
      </c>
      <c r="K3955" s="656"/>
      <c r="L3955" s="656"/>
      <c r="M3955" s="657"/>
      <c r="N3955" s="1482"/>
      <c r="O3955" s="656" t="s">
        <v>498</v>
      </c>
      <c r="P3955" s="656" t="s">
        <v>13052</v>
      </c>
      <c r="Q3955" s="656">
        <v>44216.766435185185</v>
      </c>
    </row>
    <row r="3956" spans="1:17">
      <c r="A3956" s="656" t="s">
        <v>5505</v>
      </c>
      <c r="B3956" s="657"/>
      <c r="C3956" s="656" t="s">
        <v>5292</v>
      </c>
      <c r="D3956" s="657" t="s">
        <v>14977</v>
      </c>
      <c r="E3956" s="657"/>
      <c r="F3956" s="656"/>
      <c r="G3956" s="656"/>
      <c r="H3956" s="656"/>
      <c r="I3956" s="656" t="s">
        <v>14976</v>
      </c>
      <c r="J3956" s="656"/>
      <c r="K3956" s="656"/>
      <c r="L3956" s="656" t="s">
        <v>5505</v>
      </c>
      <c r="M3956" s="657"/>
      <c r="N3956" s="1482"/>
      <c r="O3956" s="656" t="s">
        <v>498</v>
      </c>
      <c r="P3956" s="656" t="s">
        <v>13052</v>
      </c>
      <c r="Q3956" s="656">
        <v>44216.766423611109</v>
      </c>
    </row>
    <row r="3957" spans="1:17">
      <c r="A3957" s="656" t="s">
        <v>5506</v>
      </c>
      <c r="B3957" s="657"/>
      <c r="C3957" s="656" t="s">
        <v>5507</v>
      </c>
      <c r="D3957" s="657" t="s">
        <v>14977</v>
      </c>
      <c r="E3957" s="657"/>
      <c r="F3957" s="656"/>
      <c r="G3957" s="656" t="s">
        <v>5103</v>
      </c>
      <c r="H3957" s="656"/>
      <c r="I3957" s="656" t="s">
        <v>14976</v>
      </c>
      <c r="J3957" s="656"/>
      <c r="K3957" s="656"/>
      <c r="L3957" s="656" t="s">
        <v>5506</v>
      </c>
      <c r="M3957" s="657"/>
      <c r="N3957" s="1482"/>
      <c r="O3957" s="656" t="s">
        <v>498</v>
      </c>
      <c r="P3957" s="656" t="s">
        <v>13052</v>
      </c>
      <c r="Q3957" s="656">
        <v>44216.766412037039</v>
      </c>
    </row>
    <row r="3958" spans="1:17">
      <c r="A3958" s="656" t="s">
        <v>5508</v>
      </c>
      <c r="B3958" s="657"/>
      <c r="C3958" s="656" t="s">
        <v>5509</v>
      </c>
      <c r="D3958" s="657" t="s">
        <v>14977</v>
      </c>
      <c r="E3958" s="657"/>
      <c r="F3958" s="656"/>
      <c r="G3958" s="656" t="s">
        <v>5103</v>
      </c>
      <c r="H3958" s="656"/>
      <c r="I3958" s="656" t="s">
        <v>14976</v>
      </c>
      <c r="J3958" s="656"/>
      <c r="K3958" s="656"/>
      <c r="L3958" s="656" t="s">
        <v>5508</v>
      </c>
      <c r="M3958" s="657"/>
      <c r="N3958" s="1482"/>
      <c r="O3958" s="656" t="s">
        <v>498</v>
      </c>
      <c r="P3958" s="656" t="s">
        <v>13052</v>
      </c>
      <c r="Q3958" s="656">
        <v>44216.766412037039</v>
      </c>
    </row>
    <row r="3959" spans="1:17">
      <c r="A3959" s="656" t="s">
        <v>5510</v>
      </c>
      <c r="B3959" s="657"/>
      <c r="C3959" s="656" t="s">
        <v>5511</v>
      </c>
      <c r="D3959" s="657" t="s">
        <v>14977</v>
      </c>
      <c r="E3959" s="657"/>
      <c r="F3959" s="656"/>
      <c r="G3959" s="656" t="s">
        <v>5103</v>
      </c>
      <c r="H3959" s="656"/>
      <c r="I3959" s="656" t="s">
        <v>14976</v>
      </c>
      <c r="J3959" s="656"/>
      <c r="K3959" s="656"/>
      <c r="L3959" s="656" t="s">
        <v>5510</v>
      </c>
      <c r="M3959" s="657"/>
      <c r="N3959" s="1482"/>
      <c r="O3959" s="656" t="s">
        <v>498</v>
      </c>
      <c r="P3959" s="656" t="s">
        <v>13052</v>
      </c>
      <c r="Q3959" s="656">
        <v>44216.766400462962</v>
      </c>
    </row>
    <row r="3960" spans="1:17">
      <c r="A3960" s="656" t="s">
        <v>5512</v>
      </c>
      <c r="B3960" s="657"/>
      <c r="C3960" s="656" t="s">
        <v>5513</v>
      </c>
      <c r="D3960" s="657" t="s">
        <v>14977</v>
      </c>
      <c r="E3960" s="657"/>
      <c r="F3960" s="656"/>
      <c r="G3960" s="656" t="s">
        <v>5103</v>
      </c>
      <c r="H3960" s="656"/>
      <c r="I3960" s="656" t="s">
        <v>14976</v>
      </c>
      <c r="J3960" s="656"/>
      <c r="K3960" s="656"/>
      <c r="L3960" s="656" t="s">
        <v>5512</v>
      </c>
      <c r="M3960" s="657"/>
      <c r="N3960" s="1482"/>
      <c r="O3960" s="656" t="s">
        <v>498</v>
      </c>
      <c r="P3960" s="656" t="s">
        <v>13052</v>
      </c>
      <c r="Q3960" s="656">
        <v>44216.766400462962</v>
      </c>
    </row>
    <row r="3961" spans="1:17">
      <c r="A3961" s="656" t="s">
        <v>5514</v>
      </c>
      <c r="B3961" s="657"/>
      <c r="C3961" s="656" t="s">
        <v>5292</v>
      </c>
      <c r="D3961" s="657" t="s">
        <v>14977</v>
      </c>
      <c r="E3961" s="657"/>
      <c r="F3961" s="656"/>
      <c r="G3961" s="656"/>
      <c r="H3961" s="656"/>
      <c r="I3961" s="656" t="s">
        <v>14976</v>
      </c>
      <c r="J3961" s="656"/>
      <c r="K3961" s="656"/>
      <c r="L3961" s="656" t="s">
        <v>5514</v>
      </c>
      <c r="M3961" s="657"/>
      <c r="N3961" s="1482"/>
      <c r="O3961" s="656" t="s">
        <v>498</v>
      </c>
      <c r="P3961" s="656" t="s">
        <v>13052</v>
      </c>
      <c r="Q3961" s="656">
        <v>44216.766400462962</v>
      </c>
    </row>
    <row r="3962" spans="1:17">
      <c r="A3962" s="656" t="s">
        <v>5515</v>
      </c>
      <c r="B3962" s="657"/>
      <c r="C3962" s="656" t="s">
        <v>5516</v>
      </c>
      <c r="D3962" s="657" t="s">
        <v>14977</v>
      </c>
      <c r="E3962" s="657"/>
      <c r="F3962" s="656"/>
      <c r="G3962" s="656" t="s">
        <v>5103</v>
      </c>
      <c r="H3962" s="656"/>
      <c r="I3962" s="656" t="s">
        <v>14976</v>
      </c>
      <c r="J3962" s="656"/>
      <c r="K3962" s="656"/>
      <c r="L3962" s="656" t="s">
        <v>5515</v>
      </c>
      <c r="M3962" s="657"/>
      <c r="N3962" s="1482"/>
      <c r="O3962" s="656" t="s">
        <v>498</v>
      </c>
      <c r="P3962" s="656" t="s">
        <v>13052</v>
      </c>
      <c r="Q3962" s="656">
        <v>44216.766388888886</v>
      </c>
    </row>
    <row r="3963" spans="1:17">
      <c r="A3963" s="656" t="s">
        <v>5517</v>
      </c>
      <c r="B3963" s="657"/>
      <c r="C3963" s="656" t="s">
        <v>5518</v>
      </c>
      <c r="D3963" s="657" t="s">
        <v>14977</v>
      </c>
      <c r="E3963" s="657"/>
      <c r="F3963" s="656"/>
      <c r="G3963" s="656" t="s">
        <v>5103</v>
      </c>
      <c r="H3963" s="656"/>
      <c r="I3963" s="656" t="s">
        <v>14976</v>
      </c>
      <c r="J3963" s="656"/>
      <c r="K3963" s="656"/>
      <c r="L3963" s="656" t="s">
        <v>5517</v>
      </c>
      <c r="M3963" s="657"/>
      <c r="N3963" s="1482"/>
      <c r="O3963" s="656" t="s">
        <v>498</v>
      </c>
      <c r="P3963" s="656" t="s">
        <v>13052</v>
      </c>
      <c r="Q3963" s="656">
        <v>44216.766377314816</v>
      </c>
    </row>
    <row r="3964" spans="1:17">
      <c r="A3964" s="656" t="s">
        <v>5519</v>
      </c>
      <c r="B3964" s="657"/>
      <c r="C3964" s="656" t="s">
        <v>5520</v>
      </c>
      <c r="D3964" s="657" t="s">
        <v>14977</v>
      </c>
      <c r="E3964" s="657"/>
      <c r="F3964" s="656"/>
      <c r="G3964" s="656" t="s">
        <v>5103</v>
      </c>
      <c r="H3964" s="656"/>
      <c r="I3964" s="656" t="s">
        <v>14976</v>
      </c>
      <c r="J3964" s="656"/>
      <c r="K3964" s="656"/>
      <c r="L3964" s="656" t="s">
        <v>5519</v>
      </c>
      <c r="M3964" s="657"/>
      <c r="N3964" s="1482"/>
      <c r="O3964" s="656" t="s">
        <v>498</v>
      </c>
      <c r="P3964" s="656" t="s">
        <v>13052</v>
      </c>
      <c r="Q3964" s="656">
        <v>44216.766377314816</v>
      </c>
    </row>
    <row r="3965" spans="1:17">
      <c r="A3965" s="656" t="s">
        <v>5521</v>
      </c>
      <c r="B3965" s="657" t="s">
        <v>504</v>
      </c>
      <c r="C3965" s="656" t="s">
        <v>5522</v>
      </c>
      <c r="D3965" s="657"/>
      <c r="E3965" s="657"/>
      <c r="F3965" s="656" t="s">
        <v>505</v>
      </c>
      <c r="G3965" s="656" t="s">
        <v>4394</v>
      </c>
      <c r="H3965" s="656" t="s">
        <v>505</v>
      </c>
      <c r="I3965" s="656"/>
      <c r="J3965" s="656"/>
      <c r="K3965" s="656"/>
      <c r="L3965" s="656"/>
      <c r="M3965" s="657"/>
      <c r="N3965" s="1482"/>
      <c r="O3965" s="656" t="s">
        <v>498</v>
      </c>
      <c r="P3965" s="656" t="s">
        <v>13052</v>
      </c>
      <c r="Q3965" s="656">
        <v>44216.766365740739</v>
      </c>
    </row>
    <row r="3966" spans="1:17">
      <c r="A3966" s="656" t="s">
        <v>5523</v>
      </c>
      <c r="B3966" s="657" t="s">
        <v>202</v>
      </c>
      <c r="C3966" s="656" t="s">
        <v>5524</v>
      </c>
      <c r="D3966" s="657" t="s">
        <v>14977</v>
      </c>
      <c r="E3966" s="657"/>
      <c r="F3966" s="656" t="s">
        <v>500</v>
      </c>
      <c r="G3966" s="656"/>
      <c r="H3966" s="656" t="s">
        <v>500</v>
      </c>
      <c r="I3966" s="656" t="s">
        <v>14976</v>
      </c>
      <c r="J3966" s="656"/>
      <c r="K3966" s="656"/>
      <c r="L3966" s="656" t="s">
        <v>5523</v>
      </c>
      <c r="M3966" s="657"/>
      <c r="N3966" s="1482"/>
      <c r="O3966" s="656" t="s">
        <v>498</v>
      </c>
      <c r="P3966" s="656" t="s">
        <v>13052</v>
      </c>
      <c r="Q3966" s="656">
        <v>44216.766365740739</v>
      </c>
    </row>
    <row r="3967" spans="1:17">
      <c r="A3967" s="656" t="s">
        <v>5525</v>
      </c>
      <c r="B3967" s="657"/>
      <c r="C3967" s="656" t="s">
        <v>5526</v>
      </c>
      <c r="D3967" s="657" t="s">
        <v>14977</v>
      </c>
      <c r="E3967" s="657"/>
      <c r="F3967" s="656"/>
      <c r="G3967" s="656" t="s">
        <v>5103</v>
      </c>
      <c r="H3967" s="656"/>
      <c r="I3967" s="656" t="s">
        <v>14976</v>
      </c>
      <c r="J3967" s="656"/>
      <c r="K3967" s="656"/>
      <c r="L3967" s="656" t="s">
        <v>5525</v>
      </c>
      <c r="M3967" s="657"/>
      <c r="N3967" s="1482"/>
      <c r="O3967" s="656" t="s">
        <v>498</v>
      </c>
      <c r="P3967" s="656" t="s">
        <v>13052</v>
      </c>
      <c r="Q3967" s="656">
        <v>44216.76635416667</v>
      </c>
    </row>
    <row r="3968" spans="1:17">
      <c r="A3968" s="656" t="s">
        <v>5527</v>
      </c>
      <c r="B3968" s="657"/>
      <c r="C3968" s="656" t="s">
        <v>5528</v>
      </c>
      <c r="D3968" s="657" t="s">
        <v>14977</v>
      </c>
      <c r="E3968" s="657"/>
      <c r="F3968" s="656"/>
      <c r="G3968" s="656" t="s">
        <v>5103</v>
      </c>
      <c r="H3968" s="656"/>
      <c r="I3968" s="656" t="s">
        <v>14976</v>
      </c>
      <c r="J3968" s="656"/>
      <c r="K3968" s="656"/>
      <c r="L3968" s="656" t="s">
        <v>5527</v>
      </c>
      <c r="M3968" s="657"/>
      <c r="N3968" s="1482"/>
      <c r="O3968" s="656" t="s">
        <v>498</v>
      </c>
      <c r="P3968" s="656" t="s">
        <v>13052</v>
      </c>
      <c r="Q3968" s="656">
        <v>44216.766342592593</v>
      </c>
    </row>
    <row r="3969" spans="1:17">
      <c r="A3969" s="656" t="s">
        <v>5529</v>
      </c>
      <c r="B3969" s="657"/>
      <c r="C3969" s="656" t="s">
        <v>5530</v>
      </c>
      <c r="D3969" s="657" t="s">
        <v>14977</v>
      </c>
      <c r="E3969" s="657"/>
      <c r="F3969" s="656"/>
      <c r="G3969" s="656" t="s">
        <v>5103</v>
      </c>
      <c r="H3969" s="656"/>
      <c r="I3969" s="656" t="s">
        <v>14976</v>
      </c>
      <c r="J3969" s="656"/>
      <c r="K3969" s="656"/>
      <c r="L3969" s="656" t="s">
        <v>5529</v>
      </c>
      <c r="M3969" s="657"/>
      <c r="N3969" s="1482"/>
      <c r="O3969" s="656" t="s">
        <v>498</v>
      </c>
      <c r="P3969" s="656" t="s">
        <v>13052</v>
      </c>
      <c r="Q3969" s="656">
        <v>44216.766342592593</v>
      </c>
    </row>
    <row r="3970" spans="1:17">
      <c r="A3970" s="656" t="s">
        <v>5531</v>
      </c>
      <c r="B3970" s="657"/>
      <c r="C3970" s="656" t="s">
        <v>5105</v>
      </c>
      <c r="D3970" s="657" t="s">
        <v>14977</v>
      </c>
      <c r="E3970" s="657"/>
      <c r="F3970" s="656"/>
      <c r="G3970" s="656" t="s">
        <v>5103</v>
      </c>
      <c r="H3970" s="656"/>
      <c r="I3970" s="656" t="s">
        <v>14976</v>
      </c>
      <c r="J3970" s="656"/>
      <c r="K3970" s="656"/>
      <c r="L3970" s="656" t="s">
        <v>5531</v>
      </c>
      <c r="M3970" s="657"/>
      <c r="N3970" s="1482"/>
      <c r="O3970" s="656" t="s">
        <v>498</v>
      </c>
      <c r="P3970" s="656" t="s">
        <v>13052</v>
      </c>
      <c r="Q3970" s="656">
        <v>44216.766331018516</v>
      </c>
    </row>
    <row r="3971" spans="1:17">
      <c r="A3971" s="656" t="s">
        <v>5532</v>
      </c>
      <c r="B3971" s="657"/>
      <c r="C3971" s="656" t="s">
        <v>5533</v>
      </c>
      <c r="D3971" s="657" t="s">
        <v>14977</v>
      </c>
      <c r="E3971" s="657"/>
      <c r="F3971" s="656"/>
      <c r="G3971" s="656" t="s">
        <v>5103</v>
      </c>
      <c r="H3971" s="656"/>
      <c r="I3971" s="656" t="s">
        <v>14976</v>
      </c>
      <c r="J3971" s="656"/>
      <c r="K3971" s="656"/>
      <c r="L3971" s="656" t="s">
        <v>5532</v>
      </c>
      <c r="M3971" s="657"/>
      <c r="N3971" s="1482"/>
      <c r="O3971" s="656" t="s">
        <v>498</v>
      </c>
      <c r="P3971" s="656" t="s">
        <v>13052</v>
      </c>
      <c r="Q3971" s="656">
        <v>44216.766319444447</v>
      </c>
    </row>
    <row r="3972" spans="1:17">
      <c r="A3972" s="656" t="s">
        <v>5534</v>
      </c>
      <c r="B3972" s="657" t="s">
        <v>504</v>
      </c>
      <c r="C3972" s="656" t="s">
        <v>5535</v>
      </c>
      <c r="D3972" s="657"/>
      <c r="E3972" s="657"/>
      <c r="F3972" s="656" t="s">
        <v>505</v>
      </c>
      <c r="G3972" s="656" t="s">
        <v>4394</v>
      </c>
      <c r="H3972" s="656" t="s">
        <v>505</v>
      </c>
      <c r="I3972" s="656"/>
      <c r="J3972" s="656"/>
      <c r="K3972" s="656"/>
      <c r="L3972" s="656"/>
      <c r="M3972" s="657"/>
      <c r="N3972" s="1482"/>
      <c r="O3972" s="656" t="s">
        <v>498</v>
      </c>
      <c r="P3972" s="656" t="s">
        <v>13052</v>
      </c>
      <c r="Q3972" s="656">
        <v>44216.766319444447</v>
      </c>
    </row>
    <row r="3973" spans="1:17">
      <c r="A3973" s="656" t="s">
        <v>13324</v>
      </c>
      <c r="B3973" s="657" t="s">
        <v>202</v>
      </c>
      <c r="C3973" s="656" t="s">
        <v>13325</v>
      </c>
      <c r="D3973" s="657" t="s">
        <v>14977</v>
      </c>
      <c r="E3973" s="657"/>
      <c r="F3973" s="656"/>
      <c r="G3973" s="656" t="s">
        <v>5238</v>
      </c>
      <c r="H3973" s="656"/>
      <c r="I3973" s="656" t="s">
        <v>14976</v>
      </c>
      <c r="J3973" s="656"/>
      <c r="K3973" s="656"/>
      <c r="L3973" s="656" t="s">
        <v>13324</v>
      </c>
      <c r="M3973" s="657"/>
      <c r="N3973" s="1482"/>
      <c r="O3973" s="656" t="s">
        <v>498</v>
      </c>
      <c r="P3973" s="656" t="s">
        <v>13052</v>
      </c>
      <c r="Q3973" s="656">
        <v>44216.76630787037</v>
      </c>
    </row>
    <row r="3974" spans="1:17">
      <c r="A3974" s="656" t="s">
        <v>5536</v>
      </c>
      <c r="B3974" s="657" t="s">
        <v>504</v>
      </c>
      <c r="C3974" s="656" t="s">
        <v>5537</v>
      </c>
      <c r="D3974" s="657" t="s">
        <v>14977</v>
      </c>
      <c r="E3974" s="657"/>
      <c r="F3974" s="656"/>
      <c r="G3974" s="656" t="s">
        <v>4347</v>
      </c>
      <c r="H3974" s="656"/>
      <c r="I3974" s="656"/>
      <c r="J3974" s="656"/>
      <c r="K3974" s="656"/>
      <c r="L3974" s="656"/>
      <c r="M3974" s="657"/>
      <c r="N3974" s="1482"/>
      <c r="O3974" s="656" t="s">
        <v>498</v>
      </c>
      <c r="P3974" s="656" t="s">
        <v>13052</v>
      </c>
      <c r="Q3974" s="656">
        <v>44216.766296296293</v>
      </c>
    </row>
    <row r="3975" spans="1:17">
      <c r="A3975" s="656" t="s">
        <v>5538</v>
      </c>
      <c r="B3975" s="657" t="s">
        <v>504</v>
      </c>
      <c r="C3975" s="656" t="s">
        <v>5539</v>
      </c>
      <c r="D3975" s="657" t="s">
        <v>14977</v>
      </c>
      <c r="E3975" s="657"/>
      <c r="F3975" s="656"/>
      <c r="G3975" s="656" t="s">
        <v>4347</v>
      </c>
      <c r="H3975" s="656"/>
      <c r="I3975" s="656"/>
      <c r="J3975" s="656"/>
      <c r="K3975" s="656"/>
      <c r="L3975" s="656"/>
      <c r="M3975" s="657"/>
      <c r="N3975" s="1482"/>
      <c r="O3975" s="656" t="s">
        <v>498</v>
      </c>
      <c r="P3975" s="656" t="s">
        <v>13052</v>
      </c>
      <c r="Q3975" s="656">
        <v>44216.766296296293</v>
      </c>
    </row>
    <row r="3976" spans="1:17">
      <c r="A3976" s="656" t="s">
        <v>5540</v>
      </c>
      <c r="B3976" s="657"/>
      <c r="C3976" s="656" t="s">
        <v>5541</v>
      </c>
      <c r="D3976" s="657" t="s">
        <v>14977</v>
      </c>
      <c r="E3976" s="657"/>
      <c r="F3976" s="656"/>
      <c r="G3976" s="656" t="s">
        <v>5045</v>
      </c>
      <c r="H3976" s="656"/>
      <c r="I3976" s="656" t="s">
        <v>14976</v>
      </c>
      <c r="J3976" s="656"/>
      <c r="K3976" s="656"/>
      <c r="L3976" s="656" t="s">
        <v>5540</v>
      </c>
      <c r="M3976" s="657"/>
      <c r="N3976" s="1482"/>
      <c r="O3976" s="656" t="s">
        <v>498</v>
      </c>
      <c r="P3976" s="656" t="s">
        <v>13052</v>
      </c>
      <c r="Q3976" s="656">
        <v>44216.766284722224</v>
      </c>
    </row>
    <row r="3977" spans="1:17">
      <c r="A3977" s="656" t="s">
        <v>5542</v>
      </c>
      <c r="B3977" s="657" t="s">
        <v>504</v>
      </c>
      <c r="C3977" s="656" t="s">
        <v>5543</v>
      </c>
      <c r="D3977" s="657"/>
      <c r="E3977" s="657"/>
      <c r="F3977" s="656" t="s">
        <v>505</v>
      </c>
      <c r="G3977" s="656" t="s">
        <v>4394</v>
      </c>
      <c r="H3977" s="656" t="s">
        <v>505</v>
      </c>
      <c r="I3977" s="656"/>
      <c r="J3977" s="656"/>
      <c r="K3977" s="656"/>
      <c r="L3977" s="656"/>
      <c r="M3977" s="657"/>
      <c r="N3977" s="1482"/>
      <c r="O3977" s="656" t="s">
        <v>498</v>
      </c>
      <c r="P3977" s="656" t="s">
        <v>13052</v>
      </c>
      <c r="Q3977" s="656">
        <v>44216.766273148147</v>
      </c>
    </row>
    <row r="3978" spans="1:17">
      <c r="A3978" s="656" t="s">
        <v>5544</v>
      </c>
      <c r="B3978" s="657"/>
      <c r="C3978" s="656" t="s">
        <v>5545</v>
      </c>
      <c r="D3978" s="657" t="s">
        <v>14977</v>
      </c>
      <c r="E3978" s="657"/>
      <c r="F3978" s="656"/>
      <c r="G3978" s="656" t="s">
        <v>4198</v>
      </c>
      <c r="H3978" s="656"/>
      <c r="I3978" s="656" t="s">
        <v>14976</v>
      </c>
      <c r="J3978" s="656"/>
      <c r="K3978" s="656"/>
      <c r="L3978" s="656" t="s">
        <v>5544</v>
      </c>
      <c r="M3978" s="657"/>
      <c r="N3978" s="1482"/>
      <c r="O3978" s="656" t="s">
        <v>498</v>
      </c>
      <c r="P3978" s="656" t="s">
        <v>13052</v>
      </c>
      <c r="Q3978" s="656">
        <v>44216.766273148147</v>
      </c>
    </row>
    <row r="3979" spans="1:17">
      <c r="A3979" s="656" t="s">
        <v>5546</v>
      </c>
      <c r="B3979" s="657" t="s">
        <v>504</v>
      </c>
      <c r="C3979" s="656" t="s">
        <v>5547</v>
      </c>
      <c r="D3979" s="657" t="s">
        <v>14977</v>
      </c>
      <c r="E3979" s="657"/>
      <c r="F3979" s="656"/>
      <c r="G3979" s="656" t="s">
        <v>4347</v>
      </c>
      <c r="H3979" s="656"/>
      <c r="I3979" s="656"/>
      <c r="J3979" s="656"/>
      <c r="K3979" s="656"/>
      <c r="L3979" s="656"/>
      <c r="M3979" s="657"/>
      <c r="N3979" s="1482"/>
      <c r="O3979" s="656" t="s">
        <v>498</v>
      </c>
      <c r="P3979" s="656" t="s">
        <v>13052</v>
      </c>
      <c r="Q3979" s="656">
        <v>44216.766261574077</v>
      </c>
    </row>
    <row r="3980" spans="1:17">
      <c r="A3980" s="656" t="s">
        <v>5548</v>
      </c>
      <c r="B3980" s="657" t="s">
        <v>504</v>
      </c>
      <c r="C3980" s="656" t="s">
        <v>5549</v>
      </c>
      <c r="D3980" s="657" t="s">
        <v>14977</v>
      </c>
      <c r="E3980" s="657"/>
      <c r="F3980" s="656"/>
      <c r="G3980" s="656" t="s">
        <v>4347</v>
      </c>
      <c r="H3980" s="656"/>
      <c r="I3980" s="656"/>
      <c r="J3980" s="656"/>
      <c r="K3980" s="656"/>
      <c r="L3980" s="656"/>
      <c r="M3980" s="657"/>
      <c r="N3980" s="1482"/>
      <c r="O3980" s="656" t="s">
        <v>498</v>
      </c>
      <c r="P3980" s="656" t="s">
        <v>13052</v>
      </c>
      <c r="Q3980" s="656">
        <v>44216.766261574077</v>
      </c>
    </row>
    <row r="3981" spans="1:17">
      <c r="A3981" s="656" t="s">
        <v>13320</v>
      </c>
      <c r="B3981" s="657" t="s">
        <v>202</v>
      </c>
      <c r="C3981" s="656" t="s">
        <v>13321</v>
      </c>
      <c r="D3981" s="657" t="s">
        <v>14977</v>
      </c>
      <c r="E3981" s="657"/>
      <c r="F3981" s="656"/>
      <c r="G3981" s="656" t="s">
        <v>3757</v>
      </c>
      <c r="H3981" s="656"/>
      <c r="I3981" s="656" t="s">
        <v>14976</v>
      </c>
      <c r="J3981" s="656"/>
      <c r="K3981" s="656"/>
      <c r="L3981" s="656" t="s">
        <v>13320</v>
      </c>
      <c r="M3981" s="657"/>
      <c r="N3981" s="1482"/>
      <c r="O3981" s="656" t="s">
        <v>498</v>
      </c>
      <c r="P3981" s="656" t="s">
        <v>13052</v>
      </c>
      <c r="Q3981" s="656">
        <v>44216.766250000001</v>
      </c>
    </row>
    <row r="3982" spans="1:17">
      <c r="A3982" s="656" t="s">
        <v>5550</v>
      </c>
      <c r="B3982" s="657" t="s">
        <v>504</v>
      </c>
      <c r="C3982" s="656" t="s">
        <v>5551</v>
      </c>
      <c r="D3982" s="657"/>
      <c r="E3982" s="657"/>
      <c r="F3982" s="656" t="s">
        <v>505</v>
      </c>
      <c r="G3982" s="656" t="s">
        <v>4324</v>
      </c>
      <c r="H3982" s="656" t="s">
        <v>505</v>
      </c>
      <c r="I3982" s="656"/>
      <c r="J3982" s="656"/>
      <c r="K3982" s="656"/>
      <c r="L3982" s="656"/>
      <c r="M3982" s="657"/>
      <c r="N3982" s="1482"/>
      <c r="O3982" s="656" t="s">
        <v>498</v>
      </c>
      <c r="P3982" s="656" t="s">
        <v>13052</v>
      </c>
      <c r="Q3982" s="656">
        <v>44216.766250000001</v>
      </c>
    </row>
    <row r="3983" spans="1:17">
      <c r="A3983" s="656" t="s">
        <v>5552</v>
      </c>
      <c r="B3983" s="657" t="s">
        <v>504</v>
      </c>
      <c r="C3983" s="656" t="s">
        <v>5553</v>
      </c>
      <c r="D3983" s="657"/>
      <c r="E3983" s="657"/>
      <c r="F3983" s="656" t="s">
        <v>505</v>
      </c>
      <c r="G3983" s="656" t="s">
        <v>4324</v>
      </c>
      <c r="H3983" s="656" t="s">
        <v>505</v>
      </c>
      <c r="I3983" s="656"/>
      <c r="J3983" s="656"/>
      <c r="K3983" s="656"/>
      <c r="L3983" s="656"/>
      <c r="M3983" s="657"/>
      <c r="N3983" s="1482"/>
      <c r="O3983" s="656" t="s">
        <v>498</v>
      </c>
      <c r="P3983" s="656" t="s">
        <v>13052</v>
      </c>
      <c r="Q3983" s="656">
        <v>44216.766238425924</v>
      </c>
    </row>
    <row r="3984" spans="1:17">
      <c r="A3984" s="656" t="s">
        <v>5554</v>
      </c>
      <c r="B3984" s="657"/>
      <c r="C3984" s="656" t="s">
        <v>5555</v>
      </c>
      <c r="D3984" s="657" t="s">
        <v>14977</v>
      </c>
      <c r="E3984" s="657"/>
      <c r="F3984" s="656"/>
      <c r="G3984" s="656" t="s">
        <v>4198</v>
      </c>
      <c r="H3984" s="656"/>
      <c r="I3984" s="656" t="s">
        <v>14976</v>
      </c>
      <c r="J3984" s="656"/>
      <c r="K3984" s="656"/>
      <c r="L3984" s="656" t="s">
        <v>5554</v>
      </c>
      <c r="M3984" s="657"/>
      <c r="N3984" s="1482"/>
      <c r="O3984" s="656" t="s">
        <v>498</v>
      </c>
      <c r="P3984" s="656" t="s">
        <v>13052</v>
      </c>
      <c r="Q3984" s="656">
        <v>44216.766238425924</v>
      </c>
    </row>
    <row r="3985" spans="1:17">
      <c r="A3985" s="656" t="s">
        <v>5556</v>
      </c>
      <c r="B3985" s="657" t="s">
        <v>504</v>
      </c>
      <c r="C3985" s="656" t="s">
        <v>5557</v>
      </c>
      <c r="D3985" s="657"/>
      <c r="E3985" s="657"/>
      <c r="F3985" s="656" t="s">
        <v>505</v>
      </c>
      <c r="G3985" s="656" t="s">
        <v>4324</v>
      </c>
      <c r="H3985" s="656" t="s">
        <v>505</v>
      </c>
      <c r="I3985" s="656"/>
      <c r="J3985" s="656"/>
      <c r="K3985" s="656"/>
      <c r="L3985" s="656"/>
      <c r="M3985" s="657"/>
      <c r="N3985" s="1482"/>
      <c r="O3985" s="656" t="s">
        <v>498</v>
      </c>
      <c r="P3985" s="656" t="s">
        <v>13052</v>
      </c>
      <c r="Q3985" s="656">
        <v>44216.766226851854</v>
      </c>
    </row>
    <row r="3986" spans="1:17">
      <c r="A3986" s="656" t="s">
        <v>5558</v>
      </c>
      <c r="B3986" s="657" t="s">
        <v>504</v>
      </c>
      <c r="C3986" s="656" t="s">
        <v>5559</v>
      </c>
      <c r="D3986" s="657" t="s">
        <v>14977</v>
      </c>
      <c r="E3986" s="657"/>
      <c r="F3986" s="656"/>
      <c r="G3986" s="656" t="s">
        <v>4347</v>
      </c>
      <c r="H3986" s="656"/>
      <c r="I3986" s="656"/>
      <c r="J3986" s="656"/>
      <c r="K3986" s="656"/>
      <c r="L3986" s="656"/>
      <c r="M3986" s="657"/>
      <c r="N3986" s="1482"/>
      <c r="O3986" s="656" t="s">
        <v>498</v>
      </c>
      <c r="P3986" s="656" t="s">
        <v>13052</v>
      </c>
      <c r="Q3986" s="656">
        <v>44216.766226851854</v>
      </c>
    </row>
    <row r="3987" spans="1:17">
      <c r="A3987" s="656" t="s">
        <v>5560</v>
      </c>
      <c r="B3987" s="657" t="s">
        <v>202</v>
      </c>
      <c r="C3987" s="656" t="s">
        <v>5561</v>
      </c>
      <c r="D3987" s="657" t="s">
        <v>14977</v>
      </c>
      <c r="E3987" s="657"/>
      <c r="F3987" s="656" t="s">
        <v>1300</v>
      </c>
      <c r="G3987" s="656"/>
      <c r="H3987" s="656" t="s">
        <v>1300</v>
      </c>
      <c r="I3987" s="656" t="s">
        <v>14976</v>
      </c>
      <c r="J3987" s="656"/>
      <c r="K3987" s="656"/>
      <c r="L3987" s="656" t="s">
        <v>5560</v>
      </c>
      <c r="M3987" s="657"/>
      <c r="N3987" s="1482"/>
      <c r="O3987" s="656" t="s">
        <v>498</v>
      </c>
      <c r="P3987" s="656" t="s">
        <v>13052</v>
      </c>
      <c r="Q3987" s="656">
        <v>44216.766215277778</v>
      </c>
    </row>
    <row r="3988" spans="1:17">
      <c r="A3988" s="656" t="s">
        <v>5562</v>
      </c>
      <c r="B3988" s="657" t="s">
        <v>202</v>
      </c>
      <c r="C3988" s="656" t="s">
        <v>5563</v>
      </c>
      <c r="D3988" s="657" t="s">
        <v>14977</v>
      </c>
      <c r="E3988" s="657"/>
      <c r="F3988" s="656" t="s">
        <v>475</v>
      </c>
      <c r="G3988" s="656"/>
      <c r="H3988" s="656" t="s">
        <v>475</v>
      </c>
      <c r="I3988" s="656" t="s">
        <v>14976</v>
      </c>
      <c r="J3988" s="656" t="s">
        <v>15285</v>
      </c>
      <c r="K3988" s="656"/>
      <c r="L3988" s="656" t="s">
        <v>5562</v>
      </c>
      <c r="M3988" s="657"/>
      <c r="N3988" s="1482"/>
      <c r="O3988" s="656" t="s">
        <v>498</v>
      </c>
      <c r="P3988" s="656" t="s">
        <v>13052</v>
      </c>
      <c r="Q3988" s="656">
        <v>44216.766215277778</v>
      </c>
    </row>
    <row r="3989" spans="1:17">
      <c r="A3989" s="656" t="s">
        <v>5564</v>
      </c>
      <c r="B3989" s="657" t="s">
        <v>202</v>
      </c>
      <c r="C3989" s="656" t="s">
        <v>5565</v>
      </c>
      <c r="D3989" s="657" t="s">
        <v>14978</v>
      </c>
      <c r="E3989" s="657"/>
      <c r="F3989" s="656" t="s">
        <v>1667</v>
      </c>
      <c r="G3989" s="656"/>
      <c r="H3989" s="656" t="s">
        <v>1667</v>
      </c>
      <c r="I3989" s="656" t="s">
        <v>14976</v>
      </c>
      <c r="J3989" s="656"/>
      <c r="K3989" s="656"/>
      <c r="L3989" s="656" t="s">
        <v>13317</v>
      </c>
      <c r="M3989" s="657"/>
      <c r="N3989" s="1482"/>
      <c r="O3989" s="656" t="s">
        <v>498</v>
      </c>
      <c r="P3989" s="656" t="s">
        <v>13052</v>
      </c>
      <c r="Q3989" s="656">
        <v>44216.766203703701</v>
      </c>
    </row>
    <row r="3990" spans="1:17">
      <c r="A3990" s="656" t="s">
        <v>5566</v>
      </c>
      <c r="B3990" s="657"/>
      <c r="C3990" s="656" t="s">
        <v>5567</v>
      </c>
      <c r="D3990" s="657" t="s">
        <v>14978</v>
      </c>
      <c r="E3990" s="657"/>
      <c r="F3990" s="656"/>
      <c r="G3990" s="656" t="s">
        <v>5045</v>
      </c>
      <c r="H3990" s="656"/>
      <c r="I3990" s="656" t="s">
        <v>14976</v>
      </c>
      <c r="J3990" s="656"/>
      <c r="K3990" s="656"/>
      <c r="L3990" s="656" t="s">
        <v>13317</v>
      </c>
      <c r="M3990" s="657"/>
      <c r="N3990" s="1482"/>
      <c r="O3990" s="656" t="s">
        <v>498</v>
      </c>
      <c r="P3990" s="656" t="s">
        <v>13052</v>
      </c>
      <c r="Q3990" s="656">
        <v>44216.766203703701</v>
      </c>
    </row>
    <row r="3991" spans="1:17">
      <c r="A3991" s="656" t="s">
        <v>5568</v>
      </c>
      <c r="B3991" s="657"/>
      <c r="C3991" s="656" t="s">
        <v>5569</v>
      </c>
      <c r="D3991" s="657" t="s">
        <v>14978</v>
      </c>
      <c r="E3991" s="657"/>
      <c r="F3991" s="656"/>
      <c r="G3991" s="656" t="s">
        <v>5045</v>
      </c>
      <c r="H3991" s="656"/>
      <c r="I3991" s="656" t="s">
        <v>14976</v>
      </c>
      <c r="J3991" s="656"/>
      <c r="K3991" s="656"/>
      <c r="L3991" s="656" t="s">
        <v>13317</v>
      </c>
      <c r="M3991" s="657"/>
      <c r="N3991" s="1482"/>
      <c r="O3991" s="656" t="s">
        <v>498</v>
      </c>
      <c r="P3991" s="656" t="s">
        <v>13052</v>
      </c>
      <c r="Q3991" s="656">
        <v>44216.766192129631</v>
      </c>
    </row>
    <row r="3992" spans="1:17">
      <c r="A3992" s="656" t="s">
        <v>5570</v>
      </c>
      <c r="B3992" s="657"/>
      <c r="C3992" s="656" t="s">
        <v>5571</v>
      </c>
      <c r="D3992" s="657" t="s">
        <v>14978</v>
      </c>
      <c r="E3992" s="657"/>
      <c r="F3992" s="656"/>
      <c r="G3992" s="656" t="s">
        <v>5045</v>
      </c>
      <c r="H3992" s="656"/>
      <c r="I3992" s="656" t="s">
        <v>14976</v>
      </c>
      <c r="J3992" s="656"/>
      <c r="K3992" s="656"/>
      <c r="L3992" s="656" t="s">
        <v>13317</v>
      </c>
      <c r="M3992" s="657"/>
      <c r="N3992" s="1482"/>
      <c r="O3992" s="656" t="s">
        <v>498</v>
      </c>
      <c r="P3992" s="656" t="s">
        <v>13052</v>
      </c>
      <c r="Q3992" s="656">
        <v>44216.766192129631</v>
      </c>
    </row>
    <row r="3993" spans="1:17">
      <c r="A3993" s="656" t="s">
        <v>5572</v>
      </c>
      <c r="B3993" s="657" t="s">
        <v>504</v>
      </c>
      <c r="C3993" s="656" t="s">
        <v>5573</v>
      </c>
      <c r="D3993" s="657" t="s">
        <v>14977</v>
      </c>
      <c r="E3993" s="657"/>
      <c r="F3993" s="656"/>
      <c r="G3993" s="656" t="s">
        <v>4347</v>
      </c>
      <c r="H3993" s="656"/>
      <c r="I3993" s="656"/>
      <c r="J3993" s="656"/>
      <c r="K3993" s="656"/>
      <c r="L3993" s="656"/>
      <c r="M3993" s="657"/>
      <c r="N3993" s="1482"/>
      <c r="O3993" s="656" t="s">
        <v>498</v>
      </c>
      <c r="P3993" s="656" t="s">
        <v>13052</v>
      </c>
      <c r="Q3993" s="656">
        <v>44216.766180555554</v>
      </c>
    </row>
    <row r="3994" spans="1:17">
      <c r="A3994" s="656" t="s">
        <v>5574</v>
      </c>
      <c r="B3994" s="657" t="s">
        <v>504</v>
      </c>
      <c r="C3994" s="656" t="s">
        <v>5575</v>
      </c>
      <c r="D3994" s="657"/>
      <c r="E3994" s="657"/>
      <c r="F3994" s="656" t="s">
        <v>505</v>
      </c>
      <c r="G3994" s="656" t="s">
        <v>4394</v>
      </c>
      <c r="H3994" s="656" t="s">
        <v>505</v>
      </c>
      <c r="I3994" s="656"/>
      <c r="J3994" s="656"/>
      <c r="K3994" s="656"/>
      <c r="L3994" s="656"/>
      <c r="M3994" s="657"/>
      <c r="N3994" s="1482"/>
      <c r="O3994" s="656" t="s">
        <v>498</v>
      </c>
      <c r="P3994" s="656" t="s">
        <v>13052</v>
      </c>
      <c r="Q3994" s="656">
        <v>44216.766180555554</v>
      </c>
    </row>
    <row r="3995" spans="1:17">
      <c r="A3995" s="656" t="s">
        <v>5576</v>
      </c>
      <c r="B3995" s="657" t="s">
        <v>504</v>
      </c>
      <c r="C3995" s="656" t="s">
        <v>5577</v>
      </c>
      <c r="D3995" s="657" t="s">
        <v>14977</v>
      </c>
      <c r="E3995" s="657"/>
      <c r="F3995" s="656"/>
      <c r="G3995" s="656" t="s">
        <v>4347</v>
      </c>
      <c r="H3995" s="656"/>
      <c r="I3995" s="656"/>
      <c r="J3995" s="656"/>
      <c r="K3995" s="656"/>
      <c r="L3995" s="656"/>
      <c r="M3995" s="657"/>
      <c r="N3995" s="1482"/>
      <c r="O3995" s="656" t="s">
        <v>498</v>
      </c>
      <c r="P3995" s="656" t="s">
        <v>13052</v>
      </c>
      <c r="Q3995" s="656">
        <v>44216.766168981485</v>
      </c>
    </row>
    <row r="3996" spans="1:17">
      <c r="A3996" s="656" t="s">
        <v>5578</v>
      </c>
      <c r="B3996" s="657" t="s">
        <v>504</v>
      </c>
      <c r="C3996" s="656" t="s">
        <v>5579</v>
      </c>
      <c r="D3996" s="657"/>
      <c r="E3996" s="657"/>
      <c r="F3996" s="656" t="s">
        <v>505</v>
      </c>
      <c r="G3996" s="656" t="s">
        <v>4394</v>
      </c>
      <c r="H3996" s="656" t="s">
        <v>505</v>
      </c>
      <c r="I3996" s="656"/>
      <c r="J3996" s="656"/>
      <c r="K3996" s="656"/>
      <c r="L3996" s="656"/>
      <c r="M3996" s="657"/>
      <c r="N3996" s="1482"/>
      <c r="O3996" s="656" t="s">
        <v>498</v>
      </c>
      <c r="P3996" s="656" t="s">
        <v>13052</v>
      </c>
      <c r="Q3996" s="656">
        <v>44216.766168981485</v>
      </c>
    </row>
    <row r="3997" spans="1:17">
      <c r="A3997" s="656" t="s">
        <v>5580</v>
      </c>
      <c r="B3997" s="657" t="s">
        <v>504</v>
      </c>
      <c r="C3997" s="656" t="s">
        <v>5581</v>
      </c>
      <c r="D3997" s="657" t="s">
        <v>14977</v>
      </c>
      <c r="E3997" s="657"/>
      <c r="F3997" s="656"/>
      <c r="G3997" s="656" t="s">
        <v>4347</v>
      </c>
      <c r="H3997" s="656"/>
      <c r="I3997" s="656"/>
      <c r="J3997" s="656"/>
      <c r="K3997" s="656"/>
      <c r="L3997" s="656"/>
      <c r="M3997" s="657"/>
      <c r="N3997" s="1482"/>
      <c r="O3997" s="656" t="s">
        <v>498</v>
      </c>
      <c r="P3997" s="656" t="s">
        <v>13052</v>
      </c>
      <c r="Q3997" s="656">
        <v>44216.766157407408</v>
      </c>
    </row>
    <row r="3998" spans="1:17">
      <c r="A3998" s="656" t="s">
        <v>5582</v>
      </c>
      <c r="B3998" s="657" t="s">
        <v>504</v>
      </c>
      <c r="C3998" s="656" t="s">
        <v>5583</v>
      </c>
      <c r="D3998" s="657" t="s">
        <v>14977</v>
      </c>
      <c r="E3998" s="657"/>
      <c r="F3998" s="656"/>
      <c r="G3998" s="656" t="s">
        <v>4347</v>
      </c>
      <c r="H3998" s="656"/>
      <c r="I3998" s="656"/>
      <c r="J3998" s="656"/>
      <c r="K3998" s="656"/>
      <c r="L3998" s="656"/>
      <c r="M3998" s="657"/>
      <c r="N3998" s="1482"/>
      <c r="O3998" s="656" t="s">
        <v>498</v>
      </c>
      <c r="P3998" s="656" t="s">
        <v>13052</v>
      </c>
      <c r="Q3998" s="656">
        <v>44216.766157407408</v>
      </c>
    </row>
    <row r="3999" spans="1:17">
      <c r="A3999" s="656" t="s">
        <v>5584</v>
      </c>
      <c r="B3999" s="657" t="s">
        <v>504</v>
      </c>
      <c r="C3999" s="656" t="s">
        <v>5585</v>
      </c>
      <c r="D3999" s="657" t="s">
        <v>14977</v>
      </c>
      <c r="E3999" s="657"/>
      <c r="F3999" s="656"/>
      <c r="G3999" s="656" t="s">
        <v>4347</v>
      </c>
      <c r="H3999" s="656"/>
      <c r="I3999" s="656"/>
      <c r="J3999" s="656"/>
      <c r="K3999" s="656"/>
      <c r="L3999" s="656"/>
      <c r="M3999" s="657"/>
      <c r="N3999" s="1482"/>
      <c r="O3999" s="656" t="s">
        <v>498</v>
      </c>
      <c r="P3999" s="656" t="s">
        <v>13052</v>
      </c>
      <c r="Q3999" s="656">
        <v>44216.766157407408</v>
      </c>
    </row>
    <row r="4000" spans="1:17">
      <c r="A4000" s="656" t="s">
        <v>5586</v>
      </c>
      <c r="B4000" s="657" t="s">
        <v>504</v>
      </c>
      <c r="C4000" s="656" t="s">
        <v>5587</v>
      </c>
      <c r="D4000" s="657" t="s">
        <v>14977</v>
      </c>
      <c r="E4000" s="657"/>
      <c r="F4000" s="656"/>
      <c r="G4000" s="656" t="s">
        <v>4347</v>
      </c>
      <c r="H4000" s="656"/>
      <c r="I4000" s="656"/>
      <c r="J4000" s="656"/>
      <c r="K4000" s="656"/>
      <c r="L4000" s="656"/>
      <c r="M4000" s="657"/>
      <c r="N4000" s="1482"/>
      <c r="O4000" s="656" t="s">
        <v>498</v>
      </c>
      <c r="P4000" s="656" t="s">
        <v>13052</v>
      </c>
      <c r="Q4000" s="656">
        <v>44216.766145833331</v>
      </c>
    </row>
    <row r="4001" spans="1:17">
      <c r="A4001" s="656" t="s">
        <v>5588</v>
      </c>
      <c r="B4001" s="657" t="s">
        <v>504</v>
      </c>
      <c r="C4001" s="656" t="s">
        <v>5589</v>
      </c>
      <c r="D4001" s="657" t="s">
        <v>14977</v>
      </c>
      <c r="E4001" s="657"/>
      <c r="F4001" s="656"/>
      <c r="G4001" s="656" t="s">
        <v>4347</v>
      </c>
      <c r="H4001" s="656"/>
      <c r="I4001" s="656"/>
      <c r="J4001" s="656"/>
      <c r="K4001" s="656"/>
      <c r="L4001" s="656"/>
      <c r="M4001" s="657"/>
      <c r="N4001" s="1482"/>
      <c r="O4001" s="656" t="s">
        <v>498</v>
      </c>
      <c r="P4001" s="656" t="s">
        <v>13052</v>
      </c>
      <c r="Q4001" s="656">
        <v>44216.766145833331</v>
      </c>
    </row>
    <row r="4002" spans="1:17">
      <c r="A4002" s="656" t="s">
        <v>5590</v>
      </c>
      <c r="B4002" s="657"/>
      <c r="C4002" s="656" t="s">
        <v>5591</v>
      </c>
      <c r="D4002" s="657" t="s">
        <v>14977</v>
      </c>
      <c r="E4002" s="657"/>
      <c r="F4002" s="656"/>
      <c r="G4002" s="656" t="s">
        <v>4198</v>
      </c>
      <c r="H4002" s="656"/>
      <c r="I4002" s="656" t="s">
        <v>14976</v>
      </c>
      <c r="J4002" s="656"/>
      <c r="K4002" s="656"/>
      <c r="L4002" s="656" t="s">
        <v>5590</v>
      </c>
      <c r="M4002" s="657"/>
      <c r="N4002" s="1482"/>
      <c r="O4002" s="656" t="s">
        <v>498</v>
      </c>
      <c r="P4002" s="656" t="s">
        <v>13052</v>
      </c>
      <c r="Q4002" s="656">
        <v>44216.766134259262</v>
      </c>
    </row>
    <row r="4003" spans="1:17">
      <c r="A4003" s="656" t="s">
        <v>5592</v>
      </c>
      <c r="B4003" s="657"/>
      <c r="C4003" s="656" t="s">
        <v>5593</v>
      </c>
      <c r="D4003" s="657" t="s">
        <v>14977</v>
      </c>
      <c r="E4003" s="657"/>
      <c r="F4003" s="656"/>
      <c r="G4003" s="656" t="s">
        <v>4198</v>
      </c>
      <c r="H4003" s="656"/>
      <c r="I4003" s="656" t="s">
        <v>14976</v>
      </c>
      <c r="J4003" s="656"/>
      <c r="K4003" s="656"/>
      <c r="L4003" s="656" t="s">
        <v>5592</v>
      </c>
      <c r="M4003" s="657"/>
      <c r="N4003" s="1482"/>
      <c r="O4003" s="656" t="s">
        <v>498</v>
      </c>
      <c r="P4003" s="656" t="s">
        <v>13052</v>
      </c>
      <c r="Q4003" s="656">
        <v>44216.766134259262</v>
      </c>
    </row>
    <row r="4004" spans="1:17">
      <c r="A4004" s="656" t="s">
        <v>5594</v>
      </c>
      <c r="B4004" s="657" t="s">
        <v>504</v>
      </c>
      <c r="C4004" s="656" t="s">
        <v>5595</v>
      </c>
      <c r="D4004" s="657" t="s">
        <v>14977</v>
      </c>
      <c r="E4004" s="657"/>
      <c r="F4004" s="656"/>
      <c r="G4004" s="656" t="s">
        <v>4347</v>
      </c>
      <c r="H4004" s="656"/>
      <c r="I4004" s="656"/>
      <c r="J4004" s="656"/>
      <c r="K4004" s="656"/>
      <c r="L4004" s="656"/>
      <c r="M4004" s="657"/>
      <c r="N4004" s="1482"/>
      <c r="O4004" s="656" t="s">
        <v>498</v>
      </c>
      <c r="P4004" s="656" t="s">
        <v>13052</v>
      </c>
      <c r="Q4004" s="656">
        <v>44216.766122685185</v>
      </c>
    </row>
    <row r="4005" spans="1:17">
      <c r="A4005" s="656" t="s">
        <v>5596</v>
      </c>
      <c r="B4005" s="657"/>
      <c r="C4005" s="656" t="s">
        <v>5597</v>
      </c>
      <c r="D4005" s="657" t="s">
        <v>14977</v>
      </c>
      <c r="E4005" s="657"/>
      <c r="F4005" s="656" t="s">
        <v>1394</v>
      </c>
      <c r="G4005" s="656"/>
      <c r="H4005" s="656" t="s">
        <v>1394</v>
      </c>
      <c r="I4005" s="656" t="s">
        <v>14976</v>
      </c>
      <c r="J4005" s="656"/>
      <c r="K4005" s="656"/>
      <c r="L4005" s="656" t="s">
        <v>5596</v>
      </c>
      <c r="M4005" s="657"/>
      <c r="N4005" s="1482"/>
      <c r="O4005" s="656" t="s">
        <v>498</v>
      </c>
      <c r="P4005" s="656" t="s">
        <v>13052</v>
      </c>
      <c r="Q4005" s="656">
        <v>44216.766111111108</v>
      </c>
    </row>
    <row r="4006" spans="1:17">
      <c r="A4006" s="656" t="s">
        <v>5598</v>
      </c>
      <c r="B4006" s="657"/>
      <c r="C4006" s="656" t="s">
        <v>5599</v>
      </c>
      <c r="D4006" s="657" t="s">
        <v>14977</v>
      </c>
      <c r="E4006" s="657"/>
      <c r="F4006" s="656"/>
      <c r="G4006" s="656" t="s">
        <v>5045</v>
      </c>
      <c r="H4006" s="656"/>
      <c r="I4006" s="656" t="s">
        <v>14976</v>
      </c>
      <c r="J4006" s="656"/>
      <c r="K4006" s="656"/>
      <c r="L4006" s="656" t="s">
        <v>5598</v>
      </c>
      <c r="M4006" s="657"/>
      <c r="N4006" s="1482"/>
      <c r="O4006" s="656" t="s">
        <v>498</v>
      </c>
      <c r="P4006" s="656" t="s">
        <v>13052</v>
      </c>
      <c r="Q4006" s="656">
        <v>44216.766111111108</v>
      </c>
    </row>
    <row r="4007" spans="1:17">
      <c r="A4007" s="656" t="s">
        <v>5600</v>
      </c>
      <c r="B4007" s="657" t="s">
        <v>504</v>
      </c>
      <c r="C4007" s="656" t="s">
        <v>5601</v>
      </c>
      <c r="D4007" s="657"/>
      <c r="E4007" s="657"/>
      <c r="F4007" s="656" t="s">
        <v>505</v>
      </c>
      <c r="G4007" s="656" t="s">
        <v>4324</v>
      </c>
      <c r="H4007" s="656" t="s">
        <v>505</v>
      </c>
      <c r="I4007" s="656"/>
      <c r="J4007" s="656"/>
      <c r="K4007" s="656"/>
      <c r="L4007" s="656"/>
      <c r="M4007" s="657"/>
      <c r="N4007" s="1482"/>
      <c r="O4007" s="656" t="s">
        <v>498</v>
      </c>
      <c r="P4007" s="656" t="s">
        <v>13052</v>
      </c>
      <c r="Q4007" s="656">
        <v>44216.766099537039</v>
      </c>
    </row>
    <row r="4008" spans="1:17">
      <c r="A4008" s="656" t="s">
        <v>5602</v>
      </c>
      <c r="B4008" s="657"/>
      <c r="C4008" s="656" t="s">
        <v>5603</v>
      </c>
      <c r="D4008" s="657" t="s">
        <v>14977</v>
      </c>
      <c r="E4008" s="657"/>
      <c r="F4008" s="656" t="s">
        <v>1394</v>
      </c>
      <c r="G4008" s="656"/>
      <c r="H4008" s="656" t="s">
        <v>1394</v>
      </c>
      <c r="I4008" s="656" t="s">
        <v>14976</v>
      </c>
      <c r="J4008" s="656"/>
      <c r="K4008" s="656"/>
      <c r="L4008" s="656" t="s">
        <v>5602</v>
      </c>
      <c r="M4008" s="657"/>
      <c r="N4008" s="1482"/>
      <c r="O4008" s="656" t="s">
        <v>498</v>
      </c>
      <c r="P4008" s="656" t="s">
        <v>13052</v>
      </c>
      <c r="Q4008" s="656">
        <v>44216.766099537039</v>
      </c>
    </row>
    <row r="4009" spans="1:17">
      <c r="A4009" s="656" t="s">
        <v>5604</v>
      </c>
      <c r="B4009" s="657" t="s">
        <v>504</v>
      </c>
      <c r="C4009" s="656" t="s">
        <v>5605</v>
      </c>
      <c r="D4009" s="657" t="s">
        <v>14977</v>
      </c>
      <c r="E4009" s="657"/>
      <c r="F4009" s="656"/>
      <c r="G4009" s="656" t="s">
        <v>4362</v>
      </c>
      <c r="H4009" s="656"/>
      <c r="I4009" s="656"/>
      <c r="J4009" s="656"/>
      <c r="K4009" s="656"/>
      <c r="L4009" s="656"/>
      <c r="M4009" s="657"/>
      <c r="N4009" s="1482"/>
      <c r="O4009" s="656" t="s">
        <v>498</v>
      </c>
      <c r="P4009" s="656" t="s">
        <v>13052</v>
      </c>
      <c r="Q4009" s="656">
        <v>44216.766099537039</v>
      </c>
    </row>
    <row r="4010" spans="1:17">
      <c r="A4010" s="656" t="s">
        <v>5606</v>
      </c>
      <c r="B4010" s="657" t="s">
        <v>504</v>
      </c>
      <c r="C4010" s="656" t="s">
        <v>5607</v>
      </c>
      <c r="D4010" s="657" t="s">
        <v>14977</v>
      </c>
      <c r="E4010" s="657"/>
      <c r="F4010" s="656"/>
      <c r="G4010" s="656" t="s">
        <v>4347</v>
      </c>
      <c r="H4010" s="656"/>
      <c r="I4010" s="656"/>
      <c r="J4010" s="656"/>
      <c r="K4010" s="656"/>
      <c r="L4010" s="656"/>
      <c r="M4010" s="657"/>
      <c r="N4010" s="1482"/>
      <c r="O4010" s="656" t="s">
        <v>498</v>
      </c>
      <c r="P4010" s="656" t="s">
        <v>13052</v>
      </c>
      <c r="Q4010" s="656">
        <v>44216.766087962962</v>
      </c>
    </row>
    <row r="4011" spans="1:17">
      <c r="A4011" s="656" t="s">
        <v>5608</v>
      </c>
      <c r="B4011" s="657" t="s">
        <v>504</v>
      </c>
      <c r="C4011" s="656" t="s">
        <v>5609</v>
      </c>
      <c r="D4011" s="657" t="s">
        <v>14977</v>
      </c>
      <c r="E4011" s="657"/>
      <c r="F4011" s="656"/>
      <c r="G4011" s="656" t="s">
        <v>4362</v>
      </c>
      <c r="H4011" s="656"/>
      <c r="I4011" s="656"/>
      <c r="J4011" s="656"/>
      <c r="K4011" s="656"/>
      <c r="L4011" s="656"/>
      <c r="M4011" s="657"/>
      <c r="N4011" s="1482"/>
      <c r="O4011" s="656" t="s">
        <v>498</v>
      </c>
      <c r="P4011" s="656" t="s">
        <v>13052</v>
      </c>
      <c r="Q4011" s="656">
        <v>44216.766076388885</v>
      </c>
    </row>
    <row r="4012" spans="1:17">
      <c r="A4012" s="656" t="s">
        <v>5610</v>
      </c>
      <c r="B4012" s="657" t="s">
        <v>504</v>
      </c>
      <c r="C4012" s="656" t="s">
        <v>5611</v>
      </c>
      <c r="D4012" s="657"/>
      <c r="E4012" s="657"/>
      <c r="F4012" s="656" t="s">
        <v>505</v>
      </c>
      <c r="G4012" s="656" t="s">
        <v>4394</v>
      </c>
      <c r="H4012" s="656" t="s">
        <v>505</v>
      </c>
      <c r="I4012" s="656"/>
      <c r="J4012" s="656"/>
      <c r="K4012" s="656"/>
      <c r="L4012" s="656"/>
      <c r="M4012" s="657"/>
      <c r="N4012" s="1482"/>
      <c r="O4012" s="656" t="s">
        <v>498</v>
      </c>
      <c r="P4012" s="656" t="s">
        <v>13052</v>
      </c>
      <c r="Q4012" s="656">
        <v>44216.766087962962</v>
      </c>
    </row>
    <row r="4013" spans="1:17">
      <c r="A4013" s="656" t="s">
        <v>5612</v>
      </c>
      <c r="B4013" s="657" t="s">
        <v>504</v>
      </c>
      <c r="C4013" s="656" t="s">
        <v>5613</v>
      </c>
      <c r="D4013" s="657"/>
      <c r="E4013" s="657"/>
      <c r="F4013" s="656" t="s">
        <v>505</v>
      </c>
      <c r="G4013" s="656" t="s">
        <v>4394</v>
      </c>
      <c r="H4013" s="656" t="s">
        <v>505</v>
      </c>
      <c r="I4013" s="656"/>
      <c r="J4013" s="656"/>
      <c r="K4013" s="656"/>
      <c r="L4013" s="656"/>
      <c r="M4013" s="657"/>
      <c r="N4013" s="1482"/>
      <c r="O4013" s="656" t="s">
        <v>498</v>
      </c>
      <c r="P4013" s="656" t="s">
        <v>13052</v>
      </c>
      <c r="Q4013" s="656">
        <v>44216.766076388885</v>
      </c>
    </row>
    <row r="4014" spans="1:17">
      <c r="A4014" s="656" t="s">
        <v>5614</v>
      </c>
      <c r="B4014" s="657" t="s">
        <v>504</v>
      </c>
      <c r="C4014" s="656" t="s">
        <v>5615</v>
      </c>
      <c r="D4014" s="657"/>
      <c r="E4014" s="657"/>
      <c r="F4014" s="656" t="s">
        <v>505</v>
      </c>
      <c r="G4014" s="656" t="s">
        <v>4394</v>
      </c>
      <c r="H4014" s="656" t="s">
        <v>505</v>
      </c>
      <c r="I4014" s="656"/>
      <c r="J4014" s="656"/>
      <c r="K4014" s="656"/>
      <c r="L4014" s="656"/>
      <c r="M4014" s="657"/>
      <c r="N4014" s="1482"/>
      <c r="O4014" s="656" t="s">
        <v>498</v>
      </c>
      <c r="P4014" s="656" t="s">
        <v>13052</v>
      </c>
      <c r="Q4014" s="656">
        <v>44216.766064814816</v>
      </c>
    </row>
    <row r="4015" spans="1:17">
      <c r="A4015" s="656" t="s">
        <v>5616</v>
      </c>
      <c r="B4015" s="657" t="s">
        <v>504</v>
      </c>
      <c r="C4015" s="656" t="s">
        <v>5617</v>
      </c>
      <c r="D4015" s="657" t="s">
        <v>14977</v>
      </c>
      <c r="E4015" s="657"/>
      <c r="F4015" s="656"/>
      <c r="G4015" s="656" t="s">
        <v>4347</v>
      </c>
      <c r="H4015" s="656"/>
      <c r="I4015" s="656"/>
      <c r="J4015" s="656"/>
      <c r="K4015" s="656"/>
      <c r="L4015" s="656"/>
      <c r="M4015" s="657"/>
      <c r="N4015" s="1482"/>
      <c r="O4015" s="656" t="s">
        <v>498</v>
      </c>
      <c r="P4015" s="656" t="s">
        <v>13052</v>
      </c>
      <c r="Q4015" s="656">
        <v>44216.766064814816</v>
      </c>
    </row>
    <row r="4016" spans="1:17">
      <c r="A4016" s="656" t="s">
        <v>5618</v>
      </c>
      <c r="B4016" s="657" t="s">
        <v>504</v>
      </c>
      <c r="C4016" s="656" t="s">
        <v>5619</v>
      </c>
      <c r="D4016" s="657" t="s">
        <v>14977</v>
      </c>
      <c r="E4016" s="657"/>
      <c r="F4016" s="656"/>
      <c r="G4016" s="656" t="s">
        <v>4347</v>
      </c>
      <c r="H4016" s="656"/>
      <c r="I4016" s="656"/>
      <c r="J4016" s="656"/>
      <c r="K4016" s="656"/>
      <c r="L4016" s="656"/>
      <c r="M4016" s="657"/>
      <c r="N4016" s="1482"/>
      <c r="O4016" s="656" t="s">
        <v>498</v>
      </c>
      <c r="P4016" s="656" t="s">
        <v>13052</v>
      </c>
      <c r="Q4016" s="656">
        <v>44216.766053240739</v>
      </c>
    </row>
    <row r="4017" spans="1:17">
      <c r="A4017" s="656" t="s">
        <v>5620</v>
      </c>
      <c r="B4017" s="657" t="s">
        <v>504</v>
      </c>
      <c r="C4017" s="656" t="s">
        <v>5621</v>
      </c>
      <c r="D4017" s="657" t="s">
        <v>14977</v>
      </c>
      <c r="E4017" s="657"/>
      <c r="F4017" s="656"/>
      <c r="G4017" s="656" t="s">
        <v>4347</v>
      </c>
      <c r="H4017" s="656"/>
      <c r="I4017" s="656"/>
      <c r="J4017" s="656"/>
      <c r="K4017" s="656"/>
      <c r="L4017" s="656"/>
      <c r="M4017" s="657"/>
      <c r="N4017" s="1482"/>
      <c r="O4017" s="656" t="s">
        <v>498</v>
      </c>
      <c r="P4017" s="656" t="s">
        <v>13052</v>
      </c>
      <c r="Q4017" s="656">
        <v>44216.766053240739</v>
      </c>
    </row>
    <row r="4018" spans="1:17">
      <c r="A4018" s="656" t="s">
        <v>5622</v>
      </c>
      <c r="B4018" s="657"/>
      <c r="C4018" s="656" t="s">
        <v>5623</v>
      </c>
      <c r="D4018" s="657" t="s">
        <v>14977</v>
      </c>
      <c r="E4018" s="657"/>
      <c r="F4018" s="656"/>
      <c r="G4018" s="656" t="s">
        <v>4198</v>
      </c>
      <c r="H4018" s="656"/>
      <c r="I4018" s="656" t="s">
        <v>14976</v>
      </c>
      <c r="J4018" s="656"/>
      <c r="K4018" s="656"/>
      <c r="L4018" s="656" t="s">
        <v>5622</v>
      </c>
      <c r="M4018" s="657"/>
      <c r="N4018" s="1482"/>
      <c r="O4018" s="656" t="s">
        <v>498</v>
      </c>
      <c r="P4018" s="656" t="s">
        <v>13052</v>
      </c>
      <c r="Q4018" s="656">
        <v>44216.766053240739</v>
      </c>
    </row>
    <row r="4019" spans="1:17">
      <c r="A4019" s="656" t="s">
        <v>5624</v>
      </c>
      <c r="B4019" s="657" t="s">
        <v>504</v>
      </c>
      <c r="C4019" s="656" t="s">
        <v>5625</v>
      </c>
      <c r="D4019" s="657"/>
      <c r="E4019" s="657"/>
      <c r="F4019" s="656" t="s">
        <v>505</v>
      </c>
      <c r="G4019" s="656" t="s">
        <v>4394</v>
      </c>
      <c r="H4019" s="656" t="s">
        <v>505</v>
      </c>
      <c r="I4019" s="656"/>
      <c r="J4019" s="656"/>
      <c r="K4019" s="656"/>
      <c r="L4019" s="656"/>
      <c r="M4019" s="657"/>
      <c r="N4019" s="1482"/>
      <c r="O4019" s="656" t="s">
        <v>498</v>
      </c>
      <c r="P4019" s="656" t="s">
        <v>13052</v>
      </c>
      <c r="Q4019" s="656">
        <v>44216.766041666669</v>
      </c>
    </row>
    <row r="4020" spans="1:17">
      <c r="A4020" s="656" t="s">
        <v>5626</v>
      </c>
      <c r="B4020" s="657"/>
      <c r="C4020" s="656" t="s">
        <v>5627</v>
      </c>
      <c r="D4020" s="657" t="s">
        <v>14977</v>
      </c>
      <c r="E4020" s="657"/>
      <c r="F4020" s="656"/>
      <c r="G4020" s="656" t="s">
        <v>4198</v>
      </c>
      <c r="H4020" s="656"/>
      <c r="I4020" s="656" t="s">
        <v>14976</v>
      </c>
      <c r="J4020" s="656"/>
      <c r="K4020" s="656"/>
      <c r="L4020" s="656" t="s">
        <v>5626</v>
      </c>
      <c r="M4020" s="657"/>
      <c r="N4020" s="1482"/>
      <c r="O4020" s="656" t="s">
        <v>498</v>
      </c>
      <c r="P4020" s="656" t="s">
        <v>13052</v>
      </c>
      <c r="Q4020" s="656">
        <v>44216.766041666669</v>
      </c>
    </row>
    <row r="4021" spans="1:17">
      <c r="A4021" s="656" t="s">
        <v>5628</v>
      </c>
      <c r="B4021" s="657" t="s">
        <v>202</v>
      </c>
      <c r="C4021" s="656" t="s">
        <v>5629</v>
      </c>
      <c r="D4021" s="657" t="s">
        <v>14978</v>
      </c>
      <c r="E4021" s="657"/>
      <c r="F4021" s="656" t="s">
        <v>1300</v>
      </c>
      <c r="G4021" s="656" t="s">
        <v>1924</v>
      </c>
      <c r="H4021" s="656" t="s">
        <v>1300</v>
      </c>
      <c r="I4021" s="656" t="s">
        <v>14976</v>
      </c>
      <c r="J4021" s="656" t="s">
        <v>15285</v>
      </c>
      <c r="K4021" s="656"/>
      <c r="L4021" s="656" t="s">
        <v>5630</v>
      </c>
      <c r="M4021" s="657"/>
      <c r="N4021" s="1482"/>
      <c r="O4021" s="656" t="s">
        <v>498</v>
      </c>
      <c r="P4021" s="656" t="s">
        <v>13052</v>
      </c>
      <c r="Q4021" s="656">
        <v>44216.766030092593</v>
      </c>
    </row>
    <row r="4022" spans="1:17">
      <c r="A4022" s="656" t="s">
        <v>5630</v>
      </c>
      <c r="B4022" s="657" t="s">
        <v>202</v>
      </c>
      <c r="C4022" s="656" t="s">
        <v>5631</v>
      </c>
      <c r="D4022" s="657" t="s">
        <v>14977</v>
      </c>
      <c r="E4022" s="657"/>
      <c r="F4022" s="656" t="s">
        <v>1300</v>
      </c>
      <c r="G4022" s="656"/>
      <c r="H4022" s="656" t="s">
        <v>1300</v>
      </c>
      <c r="I4022" s="656" t="s">
        <v>14976</v>
      </c>
      <c r="J4022" s="656"/>
      <c r="K4022" s="656"/>
      <c r="L4022" s="656" t="s">
        <v>5630</v>
      </c>
      <c r="M4022" s="657"/>
      <c r="N4022" s="1482"/>
      <c r="O4022" s="656" t="s">
        <v>498</v>
      </c>
      <c r="P4022" s="656" t="s">
        <v>13052</v>
      </c>
      <c r="Q4022" s="656">
        <v>44216.766030092593</v>
      </c>
    </row>
    <row r="4023" spans="1:17">
      <c r="A4023" s="656" t="s">
        <v>5632</v>
      </c>
      <c r="B4023" s="657" t="s">
        <v>504</v>
      </c>
      <c r="C4023" s="656" t="s">
        <v>5633</v>
      </c>
      <c r="D4023" s="657"/>
      <c r="E4023" s="657"/>
      <c r="F4023" s="656" t="s">
        <v>505</v>
      </c>
      <c r="G4023" s="656" t="s">
        <v>4394</v>
      </c>
      <c r="H4023" s="656" t="s">
        <v>505</v>
      </c>
      <c r="I4023" s="656"/>
      <c r="J4023" s="656"/>
      <c r="K4023" s="656"/>
      <c r="L4023" s="656"/>
      <c r="M4023" s="657"/>
      <c r="N4023" s="1482"/>
      <c r="O4023" s="656" t="s">
        <v>498</v>
      </c>
      <c r="P4023" s="656" t="s">
        <v>13052</v>
      </c>
      <c r="Q4023" s="656">
        <v>44216.766018518516</v>
      </c>
    </row>
    <row r="4024" spans="1:17">
      <c r="A4024" s="656" t="s">
        <v>5634</v>
      </c>
      <c r="B4024" s="657"/>
      <c r="C4024" s="656" t="s">
        <v>5635</v>
      </c>
      <c r="D4024" s="657" t="s">
        <v>14977</v>
      </c>
      <c r="E4024" s="657"/>
      <c r="F4024" s="656"/>
      <c r="G4024" s="656" t="s">
        <v>4198</v>
      </c>
      <c r="H4024" s="656"/>
      <c r="I4024" s="656" t="s">
        <v>14976</v>
      </c>
      <c r="J4024" s="656"/>
      <c r="K4024" s="656"/>
      <c r="L4024" s="656" t="s">
        <v>5634</v>
      </c>
      <c r="M4024" s="657"/>
      <c r="N4024" s="1482"/>
      <c r="O4024" s="656" t="s">
        <v>498</v>
      </c>
      <c r="P4024" s="656" t="s">
        <v>13052</v>
      </c>
      <c r="Q4024" s="656">
        <v>44216.766018518516</v>
      </c>
    </row>
    <row r="4025" spans="1:17">
      <c r="A4025" s="656" t="s">
        <v>5636</v>
      </c>
      <c r="B4025" s="657"/>
      <c r="C4025" s="656" t="s">
        <v>5637</v>
      </c>
      <c r="D4025" s="657" t="s">
        <v>14977</v>
      </c>
      <c r="E4025" s="657"/>
      <c r="F4025" s="656"/>
      <c r="G4025" s="656" t="s">
        <v>4198</v>
      </c>
      <c r="H4025" s="656"/>
      <c r="I4025" s="656" t="s">
        <v>14976</v>
      </c>
      <c r="J4025" s="656"/>
      <c r="K4025" s="656"/>
      <c r="L4025" s="656" t="s">
        <v>5636</v>
      </c>
      <c r="M4025" s="657"/>
      <c r="N4025" s="1482"/>
      <c r="O4025" s="656" t="s">
        <v>498</v>
      </c>
      <c r="P4025" s="656" t="s">
        <v>13052</v>
      </c>
      <c r="Q4025" s="656">
        <v>44216.766006944446</v>
      </c>
    </row>
    <row r="4026" spans="1:17">
      <c r="A4026" s="656" t="s">
        <v>5638</v>
      </c>
      <c r="B4026" s="657" t="s">
        <v>504</v>
      </c>
      <c r="C4026" s="656" t="s">
        <v>5639</v>
      </c>
      <c r="D4026" s="657"/>
      <c r="E4026" s="657"/>
      <c r="F4026" s="656" t="s">
        <v>505</v>
      </c>
      <c r="G4026" s="656" t="s">
        <v>4394</v>
      </c>
      <c r="H4026" s="656" t="s">
        <v>505</v>
      </c>
      <c r="I4026" s="656"/>
      <c r="J4026" s="656"/>
      <c r="K4026" s="656"/>
      <c r="L4026" s="656"/>
      <c r="M4026" s="657"/>
      <c r="N4026" s="1482"/>
      <c r="O4026" s="656" t="s">
        <v>498</v>
      </c>
      <c r="P4026" s="656" t="s">
        <v>13052</v>
      </c>
      <c r="Q4026" s="656">
        <v>44216.76599537037</v>
      </c>
    </row>
    <row r="4027" spans="1:17">
      <c r="A4027" s="656" t="s">
        <v>5640</v>
      </c>
      <c r="B4027" s="657" t="s">
        <v>504</v>
      </c>
      <c r="C4027" s="656" t="s">
        <v>5641</v>
      </c>
      <c r="D4027" s="657" t="s">
        <v>14977</v>
      </c>
      <c r="E4027" s="657"/>
      <c r="F4027" s="656"/>
      <c r="G4027" s="656" t="s">
        <v>5642</v>
      </c>
      <c r="H4027" s="656"/>
      <c r="I4027" s="656"/>
      <c r="J4027" s="656"/>
      <c r="K4027" s="656"/>
      <c r="L4027" s="656"/>
      <c r="M4027" s="657"/>
      <c r="N4027" s="1482"/>
      <c r="O4027" s="656" t="s">
        <v>498</v>
      </c>
      <c r="P4027" s="656" t="s">
        <v>13052</v>
      </c>
      <c r="Q4027" s="656">
        <v>44216.76599537037</v>
      </c>
    </row>
    <row r="4028" spans="1:17">
      <c r="A4028" s="656" t="s">
        <v>5643</v>
      </c>
      <c r="B4028" s="657" t="s">
        <v>504</v>
      </c>
      <c r="C4028" s="656" t="s">
        <v>5644</v>
      </c>
      <c r="D4028" s="657"/>
      <c r="E4028" s="657"/>
      <c r="F4028" s="656" t="s">
        <v>505</v>
      </c>
      <c r="G4028" s="656" t="s">
        <v>4394</v>
      </c>
      <c r="H4028" s="656" t="s">
        <v>505</v>
      </c>
      <c r="I4028" s="656"/>
      <c r="J4028" s="656"/>
      <c r="K4028" s="656"/>
      <c r="L4028" s="656"/>
      <c r="M4028" s="657"/>
      <c r="N4028" s="1482"/>
      <c r="O4028" s="656" t="s">
        <v>498</v>
      </c>
      <c r="P4028" s="656" t="s">
        <v>13052</v>
      </c>
      <c r="Q4028" s="656">
        <v>44216.76599537037</v>
      </c>
    </row>
    <row r="4029" spans="1:17">
      <c r="A4029" s="656" t="s">
        <v>5645</v>
      </c>
      <c r="B4029" s="657" t="s">
        <v>504</v>
      </c>
      <c r="C4029" s="656" t="s">
        <v>5646</v>
      </c>
      <c r="D4029" s="657"/>
      <c r="E4029" s="657"/>
      <c r="F4029" s="656" t="s">
        <v>505</v>
      </c>
      <c r="G4029" s="656" t="s">
        <v>4394</v>
      </c>
      <c r="H4029" s="656" t="s">
        <v>505</v>
      </c>
      <c r="I4029" s="656"/>
      <c r="J4029" s="656"/>
      <c r="K4029" s="656"/>
      <c r="L4029" s="656"/>
      <c r="M4029" s="657"/>
      <c r="N4029" s="1482"/>
      <c r="O4029" s="656" t="s">
        <v>498</v>
      </c>
      <c r="P4029" s="656" t="s">
        <v>13052</v>
      </c>
      <c r="Q4029" s="656">
        <v>44216.765983796293</v>
      </c>
    </row>
    <row r="4030" spans="1:17">
      <c r="A4030" s="656" t="s">
        <v>5647</v>
      </c>
      <c r="B4030" s="657" t="s">
        <v>504</v>
      </c>
      <c r="C4030" s="656" t="s">
        <v>5648</v>
      </c>
      <c r="D4030" s="657"/>
      <c r="E4030" s="657"/>
      <c r="F4030" s="656" t="s">
        <v>505</v>
      </c>
      <c r="G4030" s="656" t="s">
        <v>4394</v>
      </c>
      <c r="H4030" s="656" t="s">
        <v>505</v>
      </c>
      <c r="I4030" s="656"/>
      <c r="J4030" s="656"/>
      <c r="K4030" s="656"/>
      <c r="L4030" s="656"/>
      <c r="M4030" s="657"/>
      <c r="N4030" s="1482"/>
      <c r="O4030" s="656" t="s">
        <v>498</v>
      </c>
      <c r="P4030" s="656" t="s">
        <v>13052</v>
      </c>
      <c r="Q4030" s="656">
        <v>44216.765972222223</v>
      </c>
    </row>
    <row r="4031" spans="1:17">
      <c r="A4031" s="656" t="s">
        <v>13310</v>
      </c>
      <c r="B4031" s="657" t="s">
        <v>202</v>
      </c>
      <c r="C4031" s="656" t="s">
        <v>13311</v>
      </c>
      <c r="D4031" s="657" t="s">
        <v>1239</v>
      </c>
      <c r="E4031" s="657"/>
      <c r="F4031" s="656"/>
      <c r="G4031" s="656" t="s">
        <v>3757</v>
      </c>
      <c r="H4031" s="656"/>
      <c r="I4031" s="656" t="s">
        <v>14976</v>
      </c>
      <c r="J4031" s="656"/>
      <c r="K4031" s="656"/>
      <c r="L4031" s="656"/>
      <c r="M4031" s="657"/>
      <c r="N4031" s="1482"/>
      <c r="O4031" s="656" t="s">
        <v>498</v>
      </c>
      <c r="P4031" s="656" t="s">
        <v>13052</v>
      </c>
      <c r="Q4031" s="656">
        <v>44216.765960648147</v>
      </c>
    </row>
    <row r="4032" spans="1:17">
      <c r="A4032" s="656" t="s">
        <v>13308</v>
      </c>
      <c r="B4032" s="657" t="s">
        <v>202</v>
      </c>
      <c r="C4032" s="656" t="s">
        <v>13309</v>
      </c>
      <c r="D4032" s="657" t="s">
        <v>1239</v>
      </c>
      <c r="E4032" s="657"/>
      <c r="F4032" s="656"/>
      <c r="G4032" s="656" t="s">
        <v>3757</v>
      </c>
      <c r="H4032" s="656"/>
      <c r="I4032" s="656" t="s">
        <v>14976</v>
      </c>
      <c r="J4032" s="656"/>
      <c r="K4032" s="656"/>
      <c r="L4032" s="656"/>
      <c r="M4032" s="657"/>
      <c r="N4032" s="1482"/>
      <c r="O4032" s="656" t="s">
        <v>498</v>
      </c>
      <c r="P4032" s="656" t="s">
        <v>13052</v>
      </c>
      <c r="Q4032" s="656">
        <v>44216.765960648147</v>
      </c>
    </row>
    <row r="4033" spans="1:17">
      <c r="A4033" s="656" t="s">
        <v>5649</v>
      </c>
      <c r="B4033" s="657"/>
      <c r="C4033" s="656" t="s">
        <v>5650</v>
      </c>
      <c r="D4033" s="657" t="s">
        <v>14977</v>
      </c>
      <c r="E4033" s="657"/>
      <c r="F4033" s="656"/>
      <c r="G4033" s="656" t="s">
        <v>4198</v>
      </c>
      <c r="H4033" s="656"/>
      <c r="I4033" s="656" t="s">
        <v>14976</v>
      </c>
      <c r="J4033" s="656"/>
      <c r="K4033" s="656"/>
      <c r="L4033" s="656" t="s">
        <v>5649</v>
      </c>
      <c r="M4033" s="657"/>
      <c r="N4033" s="1482"/>
      <c r="O4033" s="656" t="s">
        <v>498</v>
      </c>
      <c r="P4033" s="656" t="s">
        <v>13052</v>
      </c>
      <c r="Q4033" s="656">
        <v>44216.765949074077</v>
      </c>
    </row>
    <row r="4034" spans="1:17">
      <c r="A4034" s="656" t="s">
        <v>5651</v>
      </c>
      <c r="B4034" s="657"/>
      <c r="C4034" s="656" t="s">
        <v>5652</v>
      </c>
      <c r="D4034" s="657" t="s">
        <v>14977</v>
      </c>
      <c r="E4034" s="657"/>
      <c r="F4034" s="656"/>
      <c r="G4034" s="656"/>
      <c r="H4034" s="656"/>
      <c r="I4034" s="656" t="s">
        <v>14976</v>
      </c>
      <c r="J4034" s="656"/>
      <c r="K4034" s="656"/>
      <c r="L4034" s="656" t="s">
        <v>5651</v>
      </c>
      <c r="M4034" s="657"/>
      <c r="N4034" s="1482"/>
      <c r="O4034" s="656" t="s">
        <v>498</v>
      </c>
      <c r="P4034" s="656" t="s">
        <v>13052</v>
      </c>
      <c r="Q4034" s="656">
        <v>44216.765949074077</v>
      </c>
    </row>
    <row r="4035" spans="1:17">
      <c r="A4035" s="656" t="s">
        <v>5653</v>
      </c>
      <c r="B4035" s="657" t="s">
        <v>504</v>
      </c>
      <c r="C4035" s="656" t="s">
        <v>5654</v>
      </c>
      <c r="D4035" s="657" t="s">
        <v>14977</v>
      </c>
      <c r="E4035" s="657"/>
      <c r="F4035" s="656"/>
      <c r="G4035" s="656" t="s">
        <v>4347</v>
      </c>
      <c r="H4035" s="656"/>
      <c r="I4035" s="656"/>
      <c r="J4035" s="656"/>
      <c r="K4035" s="656"/>
      <c r="L4035" s="656"/>
      <c r="M4035" s="657"/>
      <c r="N4035" s="1482"/>
      <c r="O4035" s="656" t="s">
        <v>498</v>
      </c>
      <c r="P4035" s="656" t="s">
        <v>13052</v>
      </c>
      <c r="Q4035" s="656">
        <v>44216.7659375</v>
      </c>
    </row>
    <row r="4036" spans="1:17">
      <c r="A4036" s="656" t="s">
        <v>5655</v>
      </c>
      <c r="B4036" s="657" t="s">
        <v>504</v>
      </c>
      <c r="C4036" s="656" t="s">
        <v>5656</v>
      </c>
      <c r="D4036" s="657" t="s">
        <v>14977</v>
      </c>
      <c r="E4036" s="657"/>
      <c r="F4036" s="656"/>
      <c r="G4036" s="656" t="s">
        <v>4347</v>
      </c>
      <c r="H4036" s="656"/>
      <c r="I4036" s="656"/>
      <c r="J4036" s="656"/>
      <c r="K4036" s="656"/>
      <c r="L4036" s="656"/>
      <c r="M4036" s="657"/>
      <c r="N4036" s="1482"/>
      <c r="O4036" s="656" t="s">
        <v>498</v>
      </c>
      <c r="P4036" s="656" t="s">
        <v>13052</v>
      </c>
      <c r="Q4036" s="656">
        <v>44216.7659375</v>
      </c>
    </row>
    <row r="4037" spans="1:17">
      <c r="A4037" s="656" t="s">
        <v>5657</v>
      </c>
      <c r="B4037" s="657" t="s">
        <v>504</v>
      </c>
      <c r="C4037" s="656" t="s">
        <v>5658</v>
      </c>
      <c r="D4037" s="657" t="s">
        <v>14977</v>
      </c>
      <c r="E4037" s="657"/>
      <c r="F4037" s="656"/>
      <c r="G4037" s="656" t="s">
        <v>4347</v>
      </c>
      <c r="H4037" s="656"/>
      <c r="I4037" s="656"/>
      <c r="J4037" s="656"/>
      <c r="K4037" s="656"/>
      <c r="L4037" s="656"/>
      <c r="M4037" s="657"/>
      <c r="N4037" s="1482"/>
      <c r="O4037" s="656" t="s">
        <v>498</v>
      </c>
      <c r="P4037" s="656" t="s">
        <v>13052</v>
      </c>
      <c r="Q4037" s="656">
        <v>44216.765925925924</v>
      </c>
    </row>
    <row r="4038" spans="1:17">
      <c r="A4038" s="656" t="s">
        <v>5659</v>
      </c>
      <c r="B4038" s="657"/>
      <c r="C4038" s="656" t="s">
        <v>5660</v>
      </c>
      <c r="D4038" s="657" t="s">
        <v>14977</v>
      </c>
      <c r="E4038" s="657"/>
      <c r="F4038" s="656"/>
      <c r="G4038" s="656" t="s">
        <v>4198</v>
      </c>
      <c r="H4038" s="656"/>
      <c r="I4038" s="656" t="s">
        <v>14976</v>
      </c>
      <c r="J4038" s="656"/>
      <c r="K4038" s="656"/>
      <c r="L4038" s="656" t="s">
        <v>5659</v>
      </c>
      <c r="M4038" s="657"/>
      <c r="N4038" s="1482"/>
      <c r="O4038" s="656" t="s">
        <v>498</v>
      </c>
      <c r="P4038" s="656" t="s">
        <v>13052</v>
      </c>
      <c r="Q4038" s="656">
        <v>44216.765914351854</v>
      </c>
    </row>
    <row r="4039" spans="1:17">
      <c r="A4039" s="656" t="s">
        <v>13306</v>
      </c>
      <c r="B4039" s="657" t="s">
        <v>202</v>
      </c>
      <c r="C4039" s="656" t="s">
        <v>13307</v>
      </c>
      <c r="D4039" s="657" t="s">
        <v>14978</v>
      </c>
      <c r="E4039" s="657"/>
      <c r="F4039" s="656"/>
      <c r="G4039" s="656" t="s">
        <v>5661</v>
      </c>
      <c r="H4039" s="656"/>
      <c r="I4039" s="656" t="s">
        <v>14976</v>
      </c>
      <c r="J4039" s="656"/>
      <c r="K4039" s="656"/>
      <c r="L4039" s="656" t="s">
        <v>5662</v>
      </c>
      <c r="M4039" s="657"/>
      <c r="N4039" s="1482"/>
      <c r="O4039" s="656" t="s">
        <v>498</v>
      </c>
      <c r="P4039" s="656" t="s">
        <v>13052</v>
      </c>
      <c r="Q4039" s="656">
        <v>44216.765914351854</v>
      </c>
    </row>
    <row r="4040" spans="1:17">
      <c r="A4040" s="656" t="s">
        <v>5662</v>
      </c>
      <c r="B4040" s="657" t="s">
        <v>202</v>
      </c>
      <c r="C4040" s="656" t="s">
        <v>5663</v>
      </c>
      <c r="D4040" s="657" t="s">
        <v>14977</v>
      </c>
      <c r="E4040" s="657"/>
      <c r="F4040" s="656" t="s">
        <v>1667</v>
      </c>
      <c r="G4040" s="656"/>
      <c r="H4040" s="656" t="s">
        <v>1667</v>
      </c>
      <c r="I4040" s="656" t="s">
        <v>14976</v>
      </c>
      <c r="J4040" s="656"/>
      <c r="K4040" s="656"/>
      <c r="L4040" s="656" t="s">
        <v>5662</v>
      </c>
      <c r="M4040" s="657"/>
      <c r="N4040" s="1482"/>
      <c r="O4040" s="656" t="s">
        <v>498</v>
      </c>
      <c r="P4040" s="656" t="s">
        <v>13052</v>
      </c>
      <c r="Q4040" s="656">
        <v>44216.765902777777</v>
      </c>
    </row>
    <row r="4041" spans="1:17">
      <c r="A4041" s="656" t="s">
        <v>5664</v>
      </c>
      <c r="B4041" s="657"/>
      <c r="C4041" s="656" t="s">
        <v>5665</v>
      </c>
      <c r="D4041" s="657" t="s">
        <v>14977</v>
      </c>
      <c r="E4041" s="657"/>
      <c r="F4041" s="656"/>
      <c r="G4041" s="656"/>
      <c r="H4041" s="656"/>
      <c r="I4041" s="656" t="s">
        <v>14976</v>
      </c>
      <c r="J4041" s="656"/>
      <c r="K4041" s="656"/>
      <c r="L4041" s="656" t="s">
        <v>5664</v>
      </c>
      <c r="M4041" s="657"/>
      <c r="N4041" s="1482"/>
      <c r="O4041" s="656" t="s">
        <v>498</v>
      </c>
      <c r="P4041" s="656" t="s">
        <v>13052</v>
      </c>
      <c r="Q4041" s="656">
        <v>44216.7658912037</v>
      </c>
    </row>
    <row r="4042" spans="1:17">
      <c r="A4042" s="656" t="s">
        <v>5666</v>
      </c>
      <c r="B4042" s="657"/>
      <c r="C4042" s="656" t="s">
        <v>5667</v>
      </c>
      <c r="D4042" s="657" t="s">
        <v>14977</v>
      </c>
      <c r="E4042" s="657"/>
      <c r="F4042" s="656"/>
      <c r="G4042" s="656"/>
      <c r="H4042" s="656"/>
      <c r="I4042" s="656" t="s">
        <v>14976</v>
      </c>
      <c r="J4042" s="656"/>
      <c r="K4042" s="656"/>
      <c r="L4042" s="656" t="s">
        <v>5666</v>
      </c>
      <c r="M4042" s="657"/>
      <c r="N4042" s="1482"/>
      <c r="O4042" s="656" t="s">
        <v>498</v>
      </c>
      <c r="P4042" s="656" t="s">
        <v>13052</v>
      </c>
      <c r="Q4042" s="656">
        <v>44216.7658912037</v>
      </c>
    </row>
    <row r="4043" spans="1:17">
      <c r="A4043" s="656" t="s">
        <v>5668</v>
      </c>
      <c r="B4043" s="657"/>
      <c r="C4043" s="656" t="s">
        <v>5667</v>
      </c>
      <c r="D4043" s="657" t="s">
        <v>14977</v>
      </c>
      <c r="E4043" s="657"/>
      <c r="F4043" s="656"/>
      <c r="G4043" s="656"/>
      <c r="H4043" s="656"/>
      <c r="I4043" s="656" t="s">
        <v>14976</v>
      </c>
      <c r="J4043" s="656"/>
      <c r="K4043" s="656"/>
      <c r="L4043" s="656" t="s">
        <v>5668</v>
      </c>
      <c r="M4043" s="657"/>
      <c r="N4043" s="1482"/>
      <c r="O4043" s="656" t="s">
        <v>498</v>
      </c>
      <c r="P4043" s="656" t="s">
        <v>13052</v>
      </c>
      <c r="Q4043" s="656">
        <v>44216.7658912037</v>
      </c>
    </row>
    <row r="4044" spans="1:17">
      <c r="A4044" s="656" t="s">
        <v>5669</v>
      </c>
      <c r="B4044" s="657"/>
      <c r="C4044" s="656" t="s">
        <v>5667</v>
      </c>
      <c r="D4044" s="657" t="s">
        <v>14977</v>
      </c>
      <c r="E4044" s="657"/>
      <c r="F4044" s="656"/>
      <c r="G4044" s="656"/>
      <c r="H4044" s="656"/>
      <c r="I4044" s="656" t="s">
        <v>14976</v>
      </c>
      <c r="J4044" s="656"/>
      <c r="K4044" s="656"/>
      <c r="L4044" s="656" t="s">
        <v>5669</v>
      </c>
      <c r="M4044" s="657"/>
      <c r="N4044" s="1482"/>
      <c r="O4044" s="656" t="s">
        <v>498</v>
      </c>
      <c r="P4044" s="656" t="s">
        <v>13052</v>
      </c>
      <c r="Q4044" s="656">
        <v>44216.765879629631</v>
      </c>
    </row>
    <row r="4045" spans="1:17">
      <c r="A4045" s="656" t="s">
        <v>5670</v>
      </c>
      <c r="B4045" s="657"/>
      <c r="C4045" s="656" t="s">
        <v>5667</v>
      </c>
      <c r="D4045" s="657" t="s">
        <v>14977</v>
      </c>
      <c r="E4045" s="657"/>
      <c r="F4045" s="656"/>
      <c r="G4045" s="656"/>
      <c r="H4045" s="656"/>
      <c r="I4045" s="656" t="s">
        <v>14976</v>
      </c>
      <c r="J4045" s="656"/>
      <c r="K4045" s="656"/>
      <c r="L4045" s="656" t="s">
        <v>5670</v>
      </c>
      <c r="M4045" s="657"/>
      <c r="N4045" s="1482"/>
      <c r="O4045" s="656" t="s">
        <v>498</v>
      </c>
      <c r="P4045" s="656" t="s">
        <v>13052</v>
      </c>
      <c r="Q4045" s="656">
        <v>44216.765868055554</v>
      </c>
    </row>
    <row r="4046" spans="1:17">
      <c r="A4046" s="656" t="s">
        <v>5671</v>
      </c>
      <c r="B4046" s="657" t="s">
        <v>504</v>
      </c>
      <c r="C4046" s="656" t="s">
        <v>5672</v>
      </c>
      <c r="D4046" s="657"/>
      <c r="E4046" s="657"/>
      <c r="F4046" s="656" t="s">
        <v>505</v>
      </c>
      <c r="G4046" s="656" t="s">
        <v>4324</v>
      </c>
      <c r="H4046" s="656" t="s">
        <v>505</v>
      </c>
      <c r="I4046" s="656"/>
      <c r="J4046" s="656"/>
      <c r="K4046" s="656"/>
      <c r="L4046" s="656"/>
      <c r="M4046" s="657"/>
      <c r="N4046" s="1482"/>
      <c r="O4046" s="656" t="s">
        <v>498</v>
      </c>
      <c r="P4046" s="656" t="s">
        <v>13052</v>
      </c>
      <c r="Q4046" s="656">
        <v>44216.765868055554</v>
      </c>
    </row>
    <row r="4047" spans="1:17">
      <c r="A4047" s="656" t="s">
        <v>5673</v>
      </c>
      <c r="B4047" s="657" t="s">
        <v>504</v>
      </c>
      <c r="C4047" s="656" t="s">
        <v>5674</v>
      </c>
      <c r="D4047" s="657"/>
      <c r="E4047" s="657"/>
      <c r="F4047" s="656" t="s">
        <v>505</v>
      </c>
      <c r="G4047" s="656" t="s">
        <v>4324</v>
      </c>
      <c r="H4047" s="656" t="s">
        <v>505</v>
      </c>
      <c r="I4047" s="656"/>
      <c r="J4047" s="656"/>
      <c r="K4047" s="656"/>
      <c r="L4047" s="656"/>
      <c r="M4047" s="657"/>
      <c r="N4047" s="1482"/>
      <c r="O4047" s="656" t="s">
        <v>498</v>
      </c>
      <c r="P4047" s="656" t="s">
        <v>13052</v>
      </c>
      <c r="Q4047" s="656">
        <v>44216.765868055554</v>
      </c>
    </row>
    <row r="4048" spans="1:17">
      <c r="A4048" s="656" t="s">
        <v>5675</v>
      </c>
      <c r="B4048" s="657" t="s">
        <v>504</v>
      </c>
      <c r="C4048" s="656" t="s">
        <v>5676</v>
      </c>
      <c r="D4048" s="657"/>
      <c r="E4048" s="657"/>
      <c r="F4048" s="656" t="s">
        <v>505</v>
      </c>
      <c r="G4048" s="656" t="s">
        <v>4324</v>
      </c>
      <c r="H4048" s="656" t="s">
        <v>505</v>
      </c>
      <c r="I4048" s="656"/>
      <c r="J4048" s="656"/>
      <c r="K4048" s="656"/>
      <c r="L4048" s="656"/>
      <c r="M4048" s="657"/>
      <c r="N4048" s="1482"/>
      <c r="O4048" s="656" t="s">
        <v>498</v>
      </c>
      <c r="P4048" s="656" t="s">
        <v>13052</v>
      </c>
      <c r="Q4048" s="656">
        <v>44216.765856481485</v>
      </c>
    </row>
    <row r="4049" spans="1:17">
      <c r="A4049" s="656" t="s">
        <v>5677</v>
      </c>
      <c r="B4049" s="657"/>
      <c r="C4049" s="656" t="s">
        <v>5678</v>
      </c>
      <c r="D4049" s="657" t="s">
        <v>1239</v>
      </c>
      <c r="E4049" s="657"/>
      <c r="F4049" s="656"/>
      <c r="G4049" s="656"/>
      <c r="H4049" s="656"/>
      <c r="I4049" s="656" t="s">
        <v>14976</v>
      </c>
      <c r="J4049" s="656"/>
      <c r="K4049" s="656"/>
      <c r="L4049" s="656"/>
      <c r="M4049" s="657"/>
      <c r="N4049" s="1482"/>
      <c r="O4049" s="656" t="s">
        <v>498</v>
      </c>
      <c r="P4049" s="656" t="s">
        <v>13052</v>
      </c>
      <c r="Q4049" s="656">
        <v>44216.765856481485</v>
      </c>
    </row>
    <row r="4050" spans="1:17">
      <c r="A4050" s="656" t="s">
        <v>5679</v>
      </c>
      <c r="B4050" s="657" t="s">
        <v>504</v>
      </c>
      <c r="C4050" s="656" t="s">
        <v>5680</v>
      </c>
      <c r="D4050" s="657" t="s">
        <v>14977</v>
      </c>
      <c r="E4050" s="657"/>
      <c r="F4050" s="656"/>
      <c r="G4050" s="656" t="s">
        <v>4347</v>
      </c>
      <c r="H4050" s="656"/>
      <c r="I4050" s="656"/>
      <c r="J4050" s="656"/>
      <c r="K4050" s="656"/>
      <c r="L4050" s="656"/>
      <c r="M4050" s="657"/>
      <c r="N4050" s="1482"/>
      <c r="O4050" s="656" t="s">
        <v>498</v>
      </c>
      <c r="P4050" s="656" t="s">
        <v>13052</v>
      </c>
      <c r="Q4050" s="656">
        <v>44216.765844907408</v>
      </c>
    </row>
    <row r="4051" spans="1:17">
      <c r="A4051" s="656" t="s">
        <v>5681</v>
      </c>
      <c r="B4051" s="657" t="s">
        <v>504</v>
      </c>
      <c r="C4051" s="656" t="s">
        <v>5682</v>
      </c>
      <c r="D4051" s="657" t="s">
        <v>14977</v>
      </c>
      <c r="E4051" s="657"/>
      <c r="F4051" s="656"/>
      <c r="G4051" s="656" t="s">
        <v>4347</v>
      </c>
      <c r="H4051" s="656"/>
      <c r="I4051" s="656"/>
      <c r="J4051" s="656"/>
      <c r="K4051" s="656"/>
      <c r="L4051" s="656"/>
      <c r="M4051" s="657"/>
      <c r="N4051" s="1482"/>
      <c r="O4051" s="656" t="s">
        <v>498</v>
      </c>
      <c r="P4051" s="656" t="s">
        <v>13052</v>
      </c>
      <c r="Q4051" s="656">
        <v>44216.765844907408</v>
      </c>
    </row>
    <row r="4052" spans="1:17">
      <c r="A4052" s="656" t="s">
        <v>13304</v>
      </c>
      <c r="B4052" s="657" t="s">
        <v>202</v>
      </c>
      <c r="C4052" s="656" t="s">
        <v>13305</v>
      </c>
      <c r="D4052" s="657" t="s">
        <v>14977</v>
      </c>
      <c r="E4052" s="657"/>
      <c r="F4052" s="656"/>
      <c r="G4052" s="656" t="s">
        <v>3757</v>
      </c>
      <c r="H4052" s="656"/>
      <c r="I4052" s="656" t="s">
        <v>14976</v>
      </c>
      <c r="J4052" s="656"/>
      <c r="K4052" s="656"/>
      <c r="L4052" s="656" t="s">
        <v>13304</v>
      </c>
      <c r="M4052" s="657"/>
      <c r="N4052" s="1482"/>
      <c r="O4052" s="656" t="s">
        <v>498</v>
      </c>
      <c r="P4052" s="656" t="s">
        <v>13052</v>
      </c>
      <c r="Q4052" s="656">
        <v>44216.765833333331</v>
      </c>
    </row>
    <row r="4053" spans="1:17">
      <c r="A4053" s="656" t="s">
        <v>13302</v>
      </c>
      <c r="B4053" s="657" t="s">
        <v>202</v>
      </c>
      <c r="C4053" s="656" t="s">
        <v>13303</v>
      </c>
      <c r="D4053" s="657" t="s">
        <v>14977</v>
      </c>
      <c r="E4053" s="657"/>
      <c r="F4053" s="656"/>
      <c r="G4053" s="656" t="s">
        <v>3757</v>
      </c>
      <c r="H4053" s="656"/>
      <c r="I4053" s="656" t="s">
        <v>14976</v>
      </c>
      <c r="J4053" s="656"/>
      <c r="K4053" s="656"/>
      <c r="L4053" s="656" t="s">
        <v>13302</v>
      </c>
      <c r="M4053" s="657"/>
      <c r="N4053" s="1482"/>
      <c r="O4053" s="656" t="s">
        <v>498</v>
      </c>
      <c r="P4053" s="656" t="s">
        <v>13052</v>
      </c>
      <c r="Q4053" s="656">
        <v>44216.765833333331</v>
      </c>
    </row>
    <row r="4054" spans="1:17">
      <c r="A4054" s="656" t="s">
        <v>13300</v>
      </c>
      <c r="B4054" s="657" t="s">
        <v>202</v>
      </c>
      <c r="C4054" s="656" t="s">
        <v>13301</v>
      </c>
      <c r="D4054" s="657" t="s">
        <v>14977</v>
      </c>
      <c r="E4054" s="657"/>
      <c r="F4054" s="656"/>
      <c r="G4054" s="656" t="s">
        <v>3757</v>
      </c>
      <c r="H4054" s="656"/>
      <c r="I4054" s="656" t="s">
        <v>14976</v>
      </c>
      <c r="J4054" s="656"/>
      <c r="K4054" s="656"/>
      <c r="L4054" s="656" t="s">
        <v>13300</v>
      </c>
      <c r="M4054" s="657"/>
      <c r="N4054" s="1482"/>
      <c r="O4054" s="656" t="s">
        <v>498</v>
      </c>
      <c r="P4054" s="656" t="s">
        <v>13052</v>
      </c>
      <c r="Q4054" s="656">
        <v>44216.765821759262</v>
      </c>
    </row>
    <row r="4055" spans="1:17">
      <c r="A4055" s="656" t="s">
        <v>13298</v>
      </c>
      <c r="B4055" s="657" t="s">
        <v>202</v>
      </c>
      <c r="C4055" s="656" t="s">
        <v>13299</v>
      </c>
      <c r="D4055" s="657" t="s">
        <v>14977</v>
      </c>
      <c r="E4055" s="657"/>
      <c r="F4055" s="656"/>
      <c r="G4055" s="656" t="s">
        <v>3757</v>
      </c>
      <c r="H4055" s="656"/>
      <c r="I4055" s="656" t="s">
        <v>14976</v>
      </c>
      <c r="J4055" s="656"/>
      <c r="K4055" s="656"/>
      <c r="L4055" s="656" t="s">
        <v>13298</v>
      </c>
      <c r="M4055" s="657"/>
      <c r="N4055" s="1482"/>
      <c r="O4055" s="656" t="s">
        <v>498</v>
      </c>
      <c r="P4055" s="656" t="s">
        <v>13052</v>
      </c>
      <c r="Q4055" s="656">
        <v>44216.765821759262</v>
      </c>
    </row>
    <row r="4056" spans="1:17">
      <c r="A4056" s="656" t="s">
        <v>13296</v>
      </c>
      <c r="B4056" s="657" t="s">
        <v>202</v>
      </c>
      <c r="C4056" s="656" t="s">
        <v>13297</v>
      </c>
      <c r="D4056" s="657" t="s">
        <v>14977</v>
      </c>
      <c r="E4056" s="657"/>
      <c r="F4056" s="656"/>
      <c r="G4056" s="656" t="s">
        <v>3757</v>
      </c>
      <c r="H4056" s="656"/>
      <c r="I4056" s="656" t="s">
        <v>14976</v>
      </c>
      <c r="J4056" s="656"/>
      <c r="K4056" s="656"/>
      <c r="L4056" s="656" t="s">
        <v>13296</v>
      </c>
      <c r="M4056" s="657"/>
      <c r="N4056" s="1482"/>
      <c r="O4056" s="656" t="s">
        <v>498</v>
      </c>
      <c r="P4056" s="656" t="s">
        <v>13052</v>
      </c>
      <c r="Q4056" s="656">
        <v>44216.765810185185</v>
      </c>
    </row>
    <row r="4057" spans="1:17">
      <c r="A4057" s="656" t="s">
        <v>5683</v>
      </c>
      <c r="B4057" s="657"/>
      <c r="C4057" s="656" t="s">
        <v>5684</v>
      </c>
      <c r="D4057" s="657" t="s">
        <v>14977</v>
      </c>
      <c r="E4057" s="657"/>
      <c r="F4057" s="656"/>
      <c r="G4057" s="656" t="s">
        <v>4198</v>
      </c>
      <c r="H4057" s="656"/>
      <c r="I4057" s="656" t="s">
        <v>14976</v>
      </c>
      <c r="J4057" s="656"/>
      <c r="K4057" s="656"/>
      <c r="L4057" s="656" t="s">
        <v>5683</v>
      </c>
      <c r="M4057" s="657"/>
      <c r="N4057" s="1482"/>
      <c r="O4057" s="656" t="s">
        <v>498</v>
      </c>
      <c r="P4057" s="656" t="s">
        <v>13052</v>
      </c>
      <c r="Q4057" s="656">
        <v>44216.765810185185</v>
      </c>
    </row>
    <row r="4058" spans="1:17">
      <c r="A4058" s="656" t="s">
        <v>5685</v>
      </c>
      <c r="B4058" s="657" t="s">
        <v>504</v>
      </c>
      <c r="C4058" s="656" t="s">
        <v>5686</v>
      </c>
      <c r="D4058" s="657" t="s">
        <v>14977</v>
      </c>
      <c r="E4058" s="657"/>
      <c r="F4058" s="656"/>
      <c r="G4058" s="656" t="s">
        <v>4347</v>
      </c>
      <c r="H4058" s="656"/>
      <c r="I4058" s="656"/>
      <c r="J4058" s="656"/>
      <c r="K4058" s="656"/>
      <c r="L4058" s="656"/>
      <c r="M4058" s="657"/>
      <c r="N4058" s="1482"/>
      <c r="O4058" s="656" t="s">
        <v>498</v>
      </c>
      <c r="P4058" s="656" t="s">
        <v>13052</v>
      </c>
      <c r="Q4058" s="656">
        <v>44216.765798611108</v>
      </c>
    </row>
    <row r="4059" spans="1:17">
      <c r="A4059" s="656" t="s">
        <v>5687</v>
      </c>
      <c r="B4059" s="657"/>
      <c r="C4059" s="656" t="s">
        <v>5688</v>
      </c>
      <c r="D4059" s="657" t="s">
        <v>14977</v>
      </c>
      <c r="E4059" s="657"/>
      <c r="F4059" s="656"/>
      <c r="G4059" s="656"/>
      <c r="H4059" s="656"/>
      <c r="I4059" s="656" t="s">
        <v>14976</v>
      </c>
      <c r="J4059" s="656"/>
      <c r="K4059" s="656"/>
      <c r="L4059" s="656" t="s">
        <v>5687</v>
      </c>
      <c r="M4059" s="657"/>
      <c r="N4059" s="1482"/>
      <c r="O4059" s="656" t="s">
        <v>498</v>
      </c>
      <c r="P4059" s="656" t="s">
        <v>13052</v>
      </c>
      <c r="Q4059" s="656">
        <v>44216.765798611108</v>
      </c>
    </row>
    <row r="4060" spans="1:17">
      <c r="A4060" s="656" t="s">
        <v>5689</v>
      </c>
      <c r="B4060" s="657"/>
      <c r="C4060" s="656" t="s">
        <v>5667</v>
      </c>
      <c r="D4060" s="657" t="s">
        <v>14977</v>
      </c>
      <c r="E4060" s="657"/>
      <c r="F4060" s="656"/>
      <c r="G4060" s="656"/>
      <c r="H4060" s="656"/>
      <c r="I4060" s="656" t="s">
        <v>14976</v>
      </c>
      <c r="J4060" s="656"/>
      <c r="K4060" s="656"/>
      <c r="L4060" s="656" t="s">
        <v>5689</v>
      </c>
      <c r="M4060" s="657"/>
      <c r="N4060" s="1482"/>
      <c r="O4060" s="656" t="s">
        <v>498</v>
      </c>
      <c r="P4060" s="656" t="s">
        <v>13052</v>
      </c>
      <c r="Q4060" s="656">
        <v>44216.765798611108</v>
      </c>
    </row>
    <row r="4061" spans="1:17">
      <c r="A4061" s="656" t="s">
        <v>5690</v>
      </c>
      <c r="B4061" s="657"/>
      <c r="C4061" s="656" t="s">
        <v>5667</v>
      </c>
      <c r="D4061" s="657" t="s">
        <v>14977</v>
      </c>
      <c r="E4061" s="657"/>
      <c r="F4061" s="656"/>
      <c r="G4061" s="656"/>
      <c r="H4061" s="656"/>
      <c r="I4061" s="656" t="s">
        <v>14976</v>
      </c>
      <c r="J4061" s="656"/>
      <c r="K4061" s="656"/>
      <c r="L4061" s="656" t="s">
        <v>5690</v>
      </c>
      <c r="M4061" s="657"/>
      <c r="N4061" s="1482"/>
      <c r="O4061" s="656" t="s">
        <v>498</v>
      </c>
      <c r="P4061" s="656" t="s">
        <v>13052</v>
      </c>
      <c r="Q4061" s="656">
        <v>44216.765787037039</v>
      </c>
    </row>
    <row r="4062" spans="1:17">
      <c r="A4062" s="656" t="s">
        <v>5691</v>
      </c>
      <c r="B4062" s="657"/>
      <c r="C4062" s="656" t="s">
        <v>5692</v>
      </c>
      <c r="D4062" s="657" t="s">
        <v>14977</v>
      </c>
      <c r="E4062" s="657"/>
      <c r="F4062" s="656"/>
      <c r="G4062" s="656"/>
      <c r="H4062" s="656"/>
      <c r="I4062" s="656" t="s">
        <v>14976</v>
      </c>
      <c r="J4062" s="656"/>
      <c r="K4062" s="656"/>
      <c r="L4062" s="656" t="s">
        <v>5691</v>
      </c>
      <c r="M4062" s="657"/>
      <c r="N4062" s="1482"/>
      <c r="O4062" s="656" t="s">
        <v>498</v>
      </c>
      <c r="P4062" s="656" t="s">
        <v>13052</v>
      </c>
      <c r="Q4062" s="656">
        <v>44216.765787037039</v>
      </c>
    </row>
    <row r="4063" spans="1:17">
      <c r="A4063" s="656" t="s">
        <v>5693</v>
      </c>
      <c r="B4063" s="657"/>
      <c r="C4063" s="656" t="s">
        <v>5694</v>
      </c>
      <c r="D4063" s="657" t="s">
        <v>14977</v>
      </c>
      <c r="E4063" s="657"/>
      <c r="F4063" s="656"/>
      <c r="G4063" s="656"/>
      <c r="H4063" s="656"/>
      <c r="I4063" s="656" t="s">
        <v>14976</v>
      </c>
      <c r="J4063" s="656"/>
      <c r="K4063" s="656"/>
      <c r="L4063" s="656" t="s">
        <v>5693</v>
      </c>
      <c r="M4063" s="657"/>
      <c r="N4063" s="1482"/>
      <c r="O4063" s="656" t="s">
        <v>498</v>
      </c>
      <c r="P4063" s="656" t="s">
        <v>13052</v>
      </c>
      <c r="Q4063" s="656">
        <v>44216.765775462962</v>
      </c>
    </row>
    <row r="4064" spans="1:17">
      <c r="A4064" s="656" t="s">
        <v>5695</v>
      </c>
      <c r="B4064" s="657"/>
      <c r="C4064" s="656" t="s">
        <v>5696</v>
      </c>
      <c r="D4064" s="657" t="s">
        <v>14977</v>
      </c>
      <c r="E4064" s="657"/>
      <c r="F4064" s="656"/>
      <c r="G4064" s="656"/>
      <c r="H4064" s="656"/>
      <c r="I4064" s="656" t="s">
        <v>14976</v>
      </c>
      <c r="J4064" s="656"/>
      <c r="K4064" s="656"/>
      <c r="L4064" s="656" t="s">
        <v>5695</v>
      </c>
      <c r="M4064" s="657"/>
      <c r="N4064" s="1482"/>
      <c r="O4064" s="656" t="s">
        <v>498</v>
      </c>
      <c r="P4064" s="656" t="s">
        <v>13052</v>
      </c>
      <c r="Q4064" s="656">
        <v>44216.765775462962</v>
      </c>
    </row>
    <row r="4065" spans="1:17">
      <c r="A4065" s="656" t="s">
        <v>5697</v>
      </c>
      <c r="B4065" s="657"/>
      <c r="C4065" s="656" t="s">
        <v>5698</v>
      </c>
      <c r="D4065" s="657" t="s">
        <v>14977</v>
      </c>
      <c r="E4065" s="657"/>
      <c r="F4065" s="656"/>
      <c r="G4065" s="656"/>
      <c r="H4065" s="656"/>
      <c r="I4065" s="656" t="s">
        <v>14976</v>
      </c>
      <c r="J4065" s="656"/>
      <c r="K4065" s="656"/>
      <c r="L4065" s="656" t="s">
        <v>5697</v>
      </c>
      <c r="M4065" s="657"/>
      <c r="N4065" s="1482"/>
      <c r="O4065" s="656" t="s">
        <v>498</v>
      </c>
      <c r="P4065" s="656" t="s">
        <v>13052</v>
      </c>
      <c r="Q4065" s="656">
        <v>44216.765763888892</v>
      </c>
    </row>
    <row r="4066" spans="1:17">
      <c r="A4066" s="656" t="s">
        <v>5699</v>
      </c>
      <c r="B4066" s="657"/>
      <c r="C4066" s="656" t="s">
        <v>5700</v>
      </c>
      <c r="D4066" s="657" t="s">
        <v>14977</v>
      </c>
      <c r="E4066" s="657"/>
      <c r="F4066" s="656"/>
      <c r="G4066" s="656"/>
      <c r="H4066" s="656"/>
      <c r="I4066" s="656" t="s">
        <v>14976</v>
      </c>
      <c r="J4066" s="656"/>
      <c r="K4066" s="656"/>
      <c r="L4066" s="656" t="s">
        <v>5699</v>
      </c>
      <c r="M4066" s="657"/>
      <c r="N4066" s="1482"/>
      <c r="O4066" s="656" t="s">
        <v>498</v>
      </c>
      <c r="P4066" s="656" t="s">
        <v>13052</v>
      </c>
      <c r="Q4066" s="656">
        <v>44216.765752314815</v>
      </c>
    </row>
    <row r="4067" spans="1:17">
      <c r="A4067" s="656" t="s">
        <v>5701</v>
      </c>
      <c r="B4067" s="657"/>
      <c r="C4067" s="656" t="s">
        <v>5702</v>
      </c>
      <c r="D4067" s="657" t="s">
        <v>14977</v>
      </c>
      <c r="E4067" s="657"/>
      <c r="F4067" s="656"/>
      <c r="G4067" s="656"/>
      <c r="H4067" s="656"/>
      <c r="I4067" s="656" t="s">
        <v>14976</v>
      </c>
      <c r="J4067" s="656"/>
      <c r="K4067" s="656"/>
      <c r="L4067" s="656" t="s">
        <v>5701</v>
      </c>
      <c r="M4067" s="657"/>
      <c r="N4067" s="1482"/>
      <c r="O4067" s="656" t="s">
        <v>498</v>
      </c>
      <c r="P4067" s="656" t="s">
        <v>13052</v>
      </c>
      <c r="Q4067" s="656">
        <v>44216.765752314815</v>
      </c>
    </row>
    <row r="4068" spans="1:17">
      <c r="A4068" s="656" t="s">
        <v>5703</v>
      </c>
      <c r="B4068" s="657"/>
      <c r="C4068" s="656" t="s">
        <v>5704</v>
      </c>
      <c r="D4068" s="657" t="s">
        <v>14977</v>
      </c>
      <c r="E4068" s="657"/>
      <c r="F4068" s="656"/>
      <c r="G4068" s="656"/>
      <c r="H4068" s="656"/>
      <c r="I4068" s="656" t="s">
        <v>14976</v>
      </c>
      <c r="J4068" s="656"/>
      <c r="K4068" s="656"/>
      <c r="L4068" s="656" t="s">
        <v>5703</v>
      </c>
      <c r="M4068" s="657"/>
      <c r="N4068" s="1482"/>
      <c r="O4068" s="656" t="s">
        <v>498</v>
      </c>
      <c r="P4068" s="656" t="s">
        <v>13052</v>
      </c>
      <c r="Q4068" s="656">
        <v>44216.765752314815</v>
      </c>
    </row>
    <row r="4069" spans="1:17">
      <c r="A4069" s="656" t="s">
        <v>5705</v>
      </c>
      <c r="B4069" s="657"/>
      <c r="C4069" s="656" t="s">
        <v>5706</v>
      </c>
      <c r="D4069" s="657" t="s">
        <v>14977</v>
      </c>
      <c r="E4069" s="657"/>
      <c r="F4069" s="656"/>
      <c r="G4069" s="656"/>
      <c r="H4069" s="656"/>
      <c r="I4069" s="656" t="s">
        <v>14976</v>
      </c>
      <c r="J4069" s="656"/>
      <c r="K4069" s="656"/>
      <c r="L4069" s="656" t="s">
        <v>5705</v>
      </c>
      <c r="M4069" s="657"/>
      <c r="N4069" s="1482"/>
      <c r="O4069" s="656" t="s">
        <v>498</v>
      </c>
      <c r="P4069" s="656" t="s">
        <v>13052</v>
      </c>
      <c r="Q4069" s="656">
        <v>44216.765740740739</v>
      </c>
    </row>
    <row r="4070" spans="1:17">
      <c r="A4070" s="656" t="s">
        <v>5707</v>
      </c>
      <c r="B4070" s="657"/>
      <c r="C4070" s="656" t="s">
        <v>5667</v>
      </c>
      <c r="D4070" s="657" t="s">
        <v>14977</v>
      </c>
      <c r="E4070" s="657"/>
      <c r="F4070" s="656"/>
      <c r="G4070" s="656"/>
      <c r="H4070" s="656"/>
      <c r="I4070" s="656" t="s">
        <v>14976</v>
      </c>
      <c r="J4070" s="656"/>
      <c r="K4070" s="656"/>
      <c r="L4070" s="656" t="s">
        <v>5707</v>
      </c>
      <c r="M4070" s="657"/>
      <c r="N4070" s="1482"/>
      <c r="O4070" s="656" t="s">
        <v>498</v>
      </c>
      <c r="P4070" s="656" t="s">
        <v>13052</v>
      </c>
      <c r="Q4070" s="656">
        <v>44216.765740740739</v>
      </c>
    </row>
    <row r="4071" spans="1:17">
      <c r="A4071" s="656" t="s">
        <v>5708</v>
      </c>
      <c r="B4071" s="657"/>
      <c r="C4071" s="656" t="s">
        <v>5667</v>
      </c>
      <c r="D4071" s="657" t="s">
        <v>14977</v>
      </c>
      <c r="E4071" s="657"/>
      <c r="F4071" s="656"/>
      <c r="G4071" s="656"/>
      <c r="H4071" s="656"/>
      <c r="I4071" s="656" t="s">
        <v>14976</v>
      </c>
      <c r="J4071" s="656"/>
      <c r="K4071" s="656"/>
      <c r="L4071" s="656" t="s">
        <v>5708</v>
      </c>
      <c r="M4071" s="657"/>
      <c r="N4071" s="1482"/>
      <c r="O4071" s="656" t="s">
        <v>498</v>
      </c>
      <c r="P4071" s="656" t="s">
        <v>13052</v>
      </c>
      <c r="Q4071" s="656">
        <v>44216.765729166669</v>
      </c>
    </row>
    <row r="4072" spans="1:17">
      <c r="A4072" s="656" t="s">
        <v>5709</v>
      </c>
      <c r="B4072" s="657"/>
      <c r="C4072" s="656" t="s">
        <v>5710</v>
      </c>
      <c r="D4072" s="657" t="s">
        <v>14977</v>
      </c>
      <c r="E4072" s="657"/>
      <c r="F4072" s="656"/>
      <c r="G4072" s="656"/>
      <c r="H4072" s="656"/>
      <c r="I4072" s="656" t="s">
        <v>14976</v>
      </c>
      <c r="J4072" s="656"/>
      <c r="K4072" s="656"/>
      <c r="L4072" s="656" t="s">
        <v>5709</v>
      </c>
      <c r="M4072" s="657"/>
      <c r="N4072" s="1482"/>
      <c r="O4072" s="656" t="s">
        <v>498</v>
      </c>
      <c r="P4072" s="656" t="s">
        <v>13052</v>
      </c>
      <c r="Q4072" s="656">
        <v>44216.765729166669</v>
      </c>
    </row>
    <row r="4073" spans="1:17">
      <c r="A4073" s="656" t="s">
        <v>5711</v>
      </c>
      <c r="B4073" s="657"/>
      <c r="C4073" s="656" t="s">
        <v>5712</v>
      </c>
      <c r="D4073" s="657" t="s">
        <v>14977</v>
      </c>
      <c r="E4073" s="657"/>
      <c r="F4073" s="656"/>
      <c r="G4073" s="656"/>
      <c r="H4073" s="656"/>
      <c r="I4073" s="656" t="s">
        <v>14976</v>
      </c>
      <c r="J4073" s="656"/>
      <c r="K4073" s="656"/>
      <c r="L4073" s="656" t="s">
        <v>5711</v>
      </c>
      <c r="M4073" s="657"/>
      <c r="N4073" s="1482"/>
      <c r="O4073" s="656" t="s">
        <v>498</v>
      </c>
      <c r="P4073" s="656" t="s">
        <v>13052</v>
      </c>
      <c r="Q4073" s="656">
        <v>44216.765717592592</v>
      </c>
    </row>
    <row r="4074" spans="1:17">
      <c r="A4074" s="656" t="s">
        <v>5713</v>
      </c>
      <c r="B4074" s="657"/>
      <c r="C4074" s="656" t="s">
        <v>5714</v>
      </c>
      <c r="D4074" s="657" t="s">
        <v>14977</v>
      </c>
      <c r="E4074" s="657"/>
      <c r="F4074" s="656"/>
      <c r="G4074" s="656"/>
      <c r="H4074" s="656"/>
      <c r="I4074" s="656" t="s">
        <v>14976</v>
      </c>
      <c r="J4074" s="656"/>
      <c r="K4074" s="656"/>
      <c r="L4074" s="656" t="s">
        <v>5713</v>
      </c>
      <c r="M4074" s="657"/>
      <c r="N4074" s="1482"/>
      <c r="O4074" s="656" t="s">
        <v>498</v>
      </c>
      <c r="P4074" s="656" t="s">
        <v>13052</v>
      </c>
      <c r="Q4074" s="656">
        <v>44216.765717592592</v>
      </c>
    </row>
    <row r="4075" spans="1:17">
      <c r="A4075" s="656" t="s">
        <v>5715</v>
      </c>
      <c r="B4075" s="657"/>
      <c r="C4075" s="656" t="s">
        <v>5667</v>
      </c>
      <c r="D4075" s="657" t="s">
        <v>14977</v>
      </c>
      <c r="E4075" s="657"/>
      <c r="F4075" s="656"/>
      <c r="G4075" s="656"/>
      <c r="H4075" s="656"/>
      <c r="I4075" s="656" t="s">
        <v>14976</v>
      </c>
      <c r="J4075" s="656"/>
      <c r="K4075" s="656"/>
      <c r="L4075" s="656" t="s">
        <v>5715</v>
      </c>
      <c r="M4075" s="657"/>
      <c r="N4075" s="1482"/>
      <c r="O4075" s="656" t="s">
        <v>498</v>
      </c>
      <c r="P4075" s="656" t="s">
        <v>13052</v>
      </c>
      <c r="Q4075" s="656">
        <v>44216.765706018516</v>
      </c>
    </row>
    <row r="4076" spans="1:17">
      <c r="A4076" s="656" t="s">
        <v>5716</v>
      </c>
      <c r="B4076" s="657"/>
      <c r="C4076" s="656" t="s">
        <v>5717</v>
      </c>
      <c r="D4076" s="657" t="s">
        <v>14977</v>
      </c>
      <c r="E4076" s="657"/>
      <c r="F4076" s="656"/>
      <c r="G4076" s="656"/>
      <c r="H4076" s="656"/>
      <c r="I4076" s="656" t="s">
        <v>14976</v>
      </c>
      <c r="J4076" s="656"/>
      <c r="K4076" s="656"/>
      <c r="L4076" s="656" t="s">
        <v>5716</v>
      </c>
      <c r="M4076" s="657"/>
      <c r="N4076" s="1482"/>
      <c r="O4076" s="656" t="s">
        <v>498</v>
      </c>
      <c r="P4076" s="656" t="s">
        <v>13052</v>
      </c>
      <c r="Q4076" s="656">
        <v>44216.765706018516</v>
      </c>
    </row>
    <row r="4077" spans="1:17">
      <c r="A4077" s="656" t="s">
        <v>5718</v>
      </c>
      <c r="B4077" s="657"/>
      <c r="C4077" s="656" t="s">
        <v>5667</v>
      </c>
      <c r="D4077" s="657" t="s">
        <v>14977</v>
      </c>
      <c r="E4077" s="657"/>
      <c r="F4077" s="656"/>
      <c r="G4077" s="656"/>
      <c r="H4077" s="656"/>
      <c r="I4077" s="656" t="s">
        <v>14976</v>
      </c>
      <c r="J4077" s="656"/>
      <c r="K4077" s="656"/>
      <c r="L4077" s="656" t="s">
        <v>5718</v>
      </c>
      <c r="M4077" s="657"/>
      <c r="N4077" s="1482"/>
      <c r="O4077" s="656" t="s">
        <v>498</v>
      </c>
      <c r="P4077" s="656" t="s">
        <v>13052</v>
      </c>
      <c r="Q4077" s="656">
        <v>44216.765706018516</v>
      </c>
    </row>
    <row r="4078" spans="1:17">
      <c r="A4078" s="656" t="s">
        <v>5719</v>
      </c>
      <c r="B4078" s="657"/>
      <c r="C4078" s="656" t="s">
        <v>5667</v>
      </c>
      <c r="D4078" s="657" t="s">
        <v>14977</v>
      </c>
      <c r="E4078" s="657"/>
      <c r="F4078" s="656"/>
      <c r="G4078" s="656"/>
      <c r="H4078" s="656"/>
      <c r="I4078" s="656" t="s">
        <v>14976</v>
      </c>
      <c r="J4078" s="656"/>
      <c r="K4078" s="656"/>
      <c r="L4078" s="656" t="s">
        <v>5719</v>
      </c>
      <c r="M4078" s="657"/>
      <c r="N4078" s="1482"/>
      <c r="O4078" s="656" t="s">
        <v>498</v>
      </c>
      <c r="P4078" s="656" t="s">
        <v>13052</v>
      </c>
      <c r="Q4078" s="656">
        <v>44216.765694444446</v>
      </c>
    </row>
    <row r="4079" spans="1:17">
      <c r="A4079" s="656" t="s">
        <v>5720</v>
      </c>
      <c r="B4079" s="657"/>
      <c r="C4079" s="656" t="s">
        <v>5721</v>
      </c>
      <c r="D4079" s="657" t="s">
        <v>14977</v>
      </c>
      <c r="E4079" s="657"/>
      <c r="F4079" s="656"/>
      <c r="G4079" s="656"/>
      <c r="H4079" s="656"/>
      <c r="I4079" s="656" t="s">
        <v>14976</v>
      </c>
      <c r="J4079" s="656"/>
      <c r="K4079" s="656"/>
      <c r="L4079" s="656" t="s">
        <v>5720</v>
      </c>
      <c r="M4079" s="657"/>
      <c r="N4079" s="1482"/>
      <c r="O4079" s="656" t="s">
        <v>498</v>
      </c>
      <c r="P4079" s="656" t="s">
        <v>13052</v>
      </c>
      <c r="Q4079" s="656">
        <v>44216.765694444446</v>
      </c>
    </row>
    <row r="4080" spans="1:17">
      <c r="A4080" s="656" t="s">
        <v>5722</v>
      </c>
      <c r="B4080" s="657"/>
      <c r="C4080" s="656" t="s">
        <v>5723</v>
      </c>
      <c r="D4080" s="657" t="s">
        <v>14977</v>
      </c>
      <c r="E4080" s="657"/>
      <c r="F4080" s="656"/>
      <c r="G4080" s="656"/>
      <c r="H4080" s="656"/>
      <c r="I4080" s="656" t="s">
        <v>14976</v>
      </c>
      <c r="J4080" s="656"/>
      <c r="K4080" s="656"/>
      <c r="L4080" s="656" t="s">
        <v>5722</v>
      </c>
      <c r="M4080" s="657"/>
      <c r="N4080" s="1482"/>
      <c r="O4080" s="656" t="s">
        <v>498</v>
      </c>
      <c r="P4080" s="656" t="s">
        <v>13052</v>
      </c>
      <c r="Q4080" s="656">
        <v>44216.765682870369</v>
      </c>
    </row>
    <row r="4081" spans="1:17">
      <c r="A4081" s="656" t="s">
        <v>5724</v>
      </c>
      <c r="B4081" s="657"/>
      <c r="C4081" s="656" t="s">
        <v>5725</v>
      </c>
      <c r="D4081" s="657" t="s">
        <v>14977</v>
      </c>
      <c r="E4081" s="657"/>
      <c r="F4081" s="656"/>
      <c r="G4081" s="656"/>
      <c r="H4081" s="656"/>
      <c r="I4081" s="656" t="s">
        <v>14976</v>
      </c>
      <c r="J4081" s="656"/>
      <c r="K4081" s="656"/>
      <c r="L4081" s="656" t="s">
        <v>5724</v>
      </c>
      <c r="M4081" s="657"/>
      <c r="N4081" s="1482"/>
      <c r="O4081" s="656" t="s">
        <v>498</v>
      </c>
      <c r="P4081" s="656" t="s">
        <v>13052</v>
      </c>
      <c r="Q4081" s="656">
        <v>44216.765682870369</v>
      </c>
    </row>
    <row r="4082" spans="1:17">
      <c r="A4082" s="656" t="s">
        <v>5726</v>
      </c>
      <c r="B4082" s="657" t="s">
        <v>202</v>
      </c>
      <c r="C4082" s="656" t="s">
        <v>5727</v>
      </c>
      <c r="D4082" s="657" t="s">
        <v>14977</v>
      </c>
      <c r="E4082" s="657"/>
      <c r="F4082" s="656" t="s">
        <v>1667</v>
      </c>
      <c r="G4082" s="656"/>
      <c r="H4082" s="656" t="s">
        <v>1667</v>
      </c>
      <c r="I4082" s="656" t="s">
        <v>14976</v>
      </c>
      <c r="J4082" s="656" t="s">
        <v>15296</v>
      </c>
      <c r="K4082" s="656"/>
      <c r="L4082" s="656" t="s">
        <v>5726</v>
      </c>
      <c r="M4082" s="657"/>
      <c r="N4082" s="1482"/>
      <c r="O4082" s="656" t="s">
        <v>498</v>
      </c>
      <c r="P4082" s="656" t="s">
        <v>13052</v>
      </c>
      <c r="Q4082" s="656">
        <v>44216.7656712963</v>
      </c>
    </row>
    <row r="4083" spans="1:17">
      <c r="A4083" s="656" t="s">
        <v>5728</v>
      </c>
      <c r="B4083" s="657"/>
      <c r="C4083" s="656" t="s">
        <v>5729</v>
      </c>
      <c r="D4083" s="657" t="s">
        <v>14977</v>
      </c>
      <c r="E4083" s="657"/>
      <c r="F4083" s="656"/>
      <c r="G4083" s="656"/>
      <c r="H4083" s="656"/>
      <c r="I4083" s="656" t="s">
        <v>14976</v>
      </c>
      <c r="J4083" s="656"/>
      <c r="K4083" s="656"/>
      <c r="L4083" s="656" t="s">
        <v>5728</v>
      </c>
      <c r="M4083" s="657"/>
      <c r="N4083" s="1482"/>
      <c r="O4083" s="656" t="s">
        <v>498</v>
      </c>
      <c r="P4083" s="656" t="s">
        <v>13052</v>
      </c>
      <c r="Q4083" s="656">
        <v>44216.7656712963</v>
      </c>
    </row>
    <row r="4084" spans="1:17">
      <c r="A4084" s="656" t="s">
        <v>5730</v>
      </c>
      <c r="B4084" s="657"/>
      <c r="C4084" s="656" t="s">
        <v>5731</v>
      </c>
      <c r="D4084" s="657" t="s">
        <v>14977</v>
      </c>
      <c r="E4084" s="657"/>
      <c r="F4084" s="656"/>
      <c r="G4084" s="656"/>
      <c r="H4084" s="656"/>
      <c r="I4084" s="656" t="s">
        <v>14976</v>
      </c>
      <c r="J4084" s="656"/>
      <c r="K4084" s="656"/>
      <c r="L4084" s="656" t="s">
        <v>5730</v>
      </c>
      <c r="M4084" s="657"/>
      <c r="N4084" s="1482"/>
      <c r="O4084" s="656" t="s">
        <v>498</v>
      </c>
      <c r="P4084" s="656" t="s">
        <v>13052</v>
      </c>
      <c r="Q4084" s="656">
        <v>44216.765659722223</v>
      </c>
    </row>
    <row r="4085" spans="1:17">
      <c r="A4085" s="656" t="s">
        <v>5732</v>
      </c>
      <c r="B4085" s="657"/>
      <c r="C4085" s="656" t="s">
        <v>5733</v>
      </c>
      <c r="D4085" s="657" t="s">
        <v>14977</v>
      </c>
      <c r="E4085" s="657"/>
      <c r="F4085" s="656"/>
      <c r="G4085" s="656"/>
      <c r="H4085" s="656"/>
      <c r="I4085" s="656" t="s">
        <v>14976</v>
      </c>
      <c r="J4085" s="656"/>
      <c r="K4085" s="656"/>
      <c r="L4085" s="656" t="s">
        <v>5732</v>
      </c>
      <c r="M4085" s="657"/>
      <c r="N4085" s="1482"/>
      <c r="O4085" s="656" t="s">
        <v>498</v>
      </c>
      <c r="P4085" s="656" t="s">
        <v>13052</v>
      </c>
      <c r="Q4085" s="656">
        <v>44216.765648148146</v>
      </c>
    </row>
    <row r="4086" spans="1:17">
      <c r="A4086" s="656" t="s">
        <v>5734</v>
      </c>
      <c r="B4086" s="657" t="s">
        <v>504</v>
      </c>
      <c r="C4086" s="656" t="s">
        <v>5735</v>
      </c>
      <c r="D4086" s="657"/>
      <c r="E4086" s="657"/>
      <c r="F4086" s="656" t="s">
        <v>505</v>
      </c>
      <c r="G4086" s="656" t="s">
        <v>4324</v>
      </c>
      <c r="H4086" s="656" t="s">
        <v>505</v>
      </c>
      <c r="I4086" s="656"/>
      <c r="J4086" s="656"/>
      <c r="K4086" s="656"/>
      <c r="L4086" s="656"/>
      <c r="M4086" s="657"/>
      <c r="N4086" s="1482"/>
      <c r="O4086" s="656" t="s">
        <v>498</v>
      </c>
      <c r="P4086" s="656" t="s">
        <v>13052</v>
      </c>
      <c r="Q4086" s="656">
        <v>44216.765648148146</v>
      </c>
    </row>
    <row r="4087" spans="1:17">
      <c r="A4087" s="656" t="s">
        <v>5736</v>
      </c>
      <c r="B4087" s="657"/>
      <c r="C4087" s="656" t="s">
        <v>5737</v>
      </c>
      <c r="D4087" s="657" t="s">
        <v>14978</v>
      </c>
      <c r="E4087" s="657"/>
      <c r="F4087" s="656"/>
      <c r="G4087" s="656" t="s">
        <v>4198</v>
      </c>
      <c r="H4087" s="656"/>
      <c r="I4087" s="656" t="s">
        <v>14976</v>
      </c>
      <c r="J4087" s="656"/>
      <c r="K4087" s="656"/>
      <c r="L4087" s="656" t="s">
        <v>13295</v>
      </c>
      <c r="M4087" s="657"/>
      <c r="N4087" s="1482"/>
      <c r="O4087" s="656" t="s">
        <v>498</v>
      </c>
      <c r="P4087" s="656" t="s">
        <v>13052</v>
      </c>
      <c r="Q4087" s="656">
        <v>44216.765636574077</v>
      </c>
    </row>
    <row r="4088" spans="1:17">
      <c r="A4088" s="656" t="s">
        <v>5738</v>
      </c>
      <c r="B4088" s="657"/>
      <c r="C4088" s="656" t="s">
        <v>5739</v>
      </c>
      <c r="D4088" s="657" t="s">
        <v>14978</v>
      </c>
      <c r="E4088" s="657"/>
      <c r="F4088" s="656" t="s">
        <v>1394</v>
      </c>
      <c r="G4088" s="656"/>
      <c r="H4088" s="656" t="s">
        <v>1394</v>
      </c>
      <c r="I4088" s="656" t="s">
        <v>14976</v>
      </c>
      <c r="J4088" s="656"/>
      <c r="K4088" s="656"/>
      <c r="L4088" s="656" t="s">
        <v>13295</v>
      </c>
      <c r="M4088" s="657"/>
      <c r="N4088" s="1482"/>
      <c r="O4088" s="656" t="s">
        <v>498</v>
      </c>
      <c r="P4088" s="656" t="s">
        <v>13052</v>
      </c>
      <c r="Q4088" s="656">
        <v>44216.765636574077</v>
      </c>
    </row>
    <row r="4089" spans="1:17">
      <c r="A4089" s="656" t="s">
        <v>5740</v>
      </c>
      <c r="B4089" s="657" t="s">
        <v>504</v>
      </c>
      <c r="C4089" s="656" t="s">
        <v>5741</v>
      </c>
      <c r="D4089" s="657" t="s">
        <v>14977</v>
      </c>
      <c r="E4089" s="657"/>
      <c r="F4089" s="656"/>
      <c r="G4089" s="656" t="s">
        <v>4347</v>
      </c>
      <c r="H4089" s="656"/>
      <c r="I4089" s="656"/>
      <c r="J4089" s="656"/>
      <c r="K4089" s="656"/>
      <c r="L4089" s="656"/>
      <c r="M4089" s="657"/>
      <c r="N4089" s="1482"/>
      <c r="O4089" s="656" t="s">
        <v>498</v>
      </c>
      <c r="P4089" s="656" t="s">
        <v>13052</v>
      </c>
      <c r="Q4089" s="656">
        <v>44216.765625</v>
      </c>
    </row>
    <row r="4090" spans="1:17">
      <c r="A4090" s="656" t="s">
        <v>13293</v>
      </c>
      <c r="B4090" s="657" t="s">
        <v>202</v>
      </c>
      <c r="C4090" s="656" t="s">
        <v>13294</v>
      </c>
      <c r="D4090" s="657" t="s">
        <v>14977</v>
      </c>
      <c r="E4090" s="657"/>
      <c r="F4090" s="656"/>
      <c r="G4090" s="656" t="s">
        <v>5661</v>
      </c>
      <c r="H4090" s="656"/>
      <c r="I4090" s="656" t="s">
        <v>14976</v>
      </c>
      <c r="J4090" s="656"/>
      <c r="K4090" s="656"/>
      <c r="L4090" s="656" t="s">
        <v>13293</v>
      </c>
      <c r="M4090" s="657"/>
      <c r="N4090" s="1482"/>
      <c r="O4090" s="656" t="s">
        <v>498</v>
      </c>
      <c r="P4090" s="656" t="s">
        <v>13052</v>
      </c>
      <c r="Q4090" s="656">
        <v>44216.765613425923</v>
      </c>
    </row>
    <row r="4091" spans="1:17">
      <c r="A4091" s="656" t="s">
        <v>5742</v>
      </c>
      <c r="B4091" s="657"/>
      <c r="C4091" s="656" t="s">
        <v>5667</v>
      </c>
      <c r="D4091" s="657" t="s">
        <v>14977</v>
      </c>
      <c r="E4091" s="657"/>
      <c r="F4091" s="656"/>
      <c r="G4091" s="656"/>
      <c r="H4091" s="656"/>
      <c r="I4091" s="656" t="s">
        <v>14976</v>
      </c>
      <c r="J4091" s="656"/>
      <c r="K4091" s="656"/>
      <c r="L4091" s="656" t="s">
        <v>5742</v>
      </c>
      <c r="M4091" s="657"/>
      <c r="N4091" s="1482"/>
      <c r="O4091" s="656" t="s">
        <v>498</v>
      </c>
      <c r="P4091" s="656" t="s">
        <v>13052</v>
      </c>
      <c r="Q4091" s="656">
        <v>44216.765613425923</v>
      </c>
    </row>
    <row r="4092" spans="1:17">
      <c r="A4092" s="656" t="s">
        <v>5743</v>
      </c>
      <c r="B4092" s="657"/>
      <c r="C4092" s="656" t="s">
        <v>5667</v>
      </c>
      <c r="D4092" s="657" t="s">
        <v>14977</v>
      </c>
      <c r="E4092" s="657"/>
      <c r="F4092" s="656"/>
      <c r="G4092" s="656"/>
      <c r="H4092" s="656"/>
      <c r="I4092" s="656" t="s">
        <v>14976</v>
      </c>
      <c r="J4092" s="656"/>
      <c r="K4092" s="656"/>
      <c r="L4092" s="656" t="s">
        <v>5743</v>
      </c>
      <c r="M4092" s="657"/>
      <c r="N4092" s="1482"/>
      <c r="O4092" s="656" t="s">
        <v>498</v>
      </c>
      <c r="P4092" s="656" t="s">
        <v>13052</v>
      </c>
      <c r="Q4092" s="656">
        <v>44216.765601851854</v>
      </c>
    </row>
    <row r="4093" spans="1:17">
      <c r="A4093" s="656" t="s">
        <v>5744</v>
      </c>
      <c r="B4093" s="657"/>
      <c r="C4093" s="656" t="s">
        <v>5667</v>
      </c>
      <c r="D4093" s="657" t="s">
        <v>14977</v>
      </c>
      <c r="E4093" s="657"/>
      <c r="F4093" s="656"/>
      <c r="G4093" s="656"/>
      <c r="H4093" s="656"/>
      <c r="I4093" s="656" t="s">
        <v>14976</v>
      </c>
      <c r="J4093" s="656"/>
      <c r="K4093" s="656"/>
      <c r="L4093" s="656" t="s">
        <v>5744</v>
      </c>
      <c r="M4093" s="657"/>
      <c r="N4093" s="1482"/>
      <c r="O4093" s="656" t="s">
        <v>498</v>
      </c>
      <c r="P4093" s="656" t="s">
        <v>13052</v>
      </c>
      <c r="Q4093" s="656">
        <v>44216.765601851854</v>
      </c>
    </row>
    <row r="4094" spans="1:17">
      <c r="A4094" s="656" t="s">
        <v>5745</v>
      </c>
      <c r="B4094" s="657"/>
      <c r="C4094" s="656" t="s">
        <v>5667</v>
      </c>
      <c r="D4094" s="657" t="s">
        <v>14977</v>
      </c>
      <c r="E4094" s="657"/>
      <c r="F4094" s="656"/>
      <c r="G4094" s="656"/>
      <c r="H4094" s="656"/>
      <c r="I4094" s="656" t="s">
        <v>14976</v>
      </c>
      <c r="J4094" s="656"/>
      <c r="K4094" s="656"/>
      <c r="L4094" s="656" t="s">
        <v>5745</v>
      </c>
      <c r="M4094" s="657"/>
      <c r="N4094" s="1482"/>
      <c r="O4094" s="656" t="s">
        <v>498</v>
      </c>
      <c r="P4094" s="656" t="s">
        <v>13052</v>
      </c>
      <c r="Q4094" s="656">
        <v>44216.765590277777</v>
      </c>
    </row>
    <row r="4095" spans="1:17">
      <c r="A4095" s="656" t="s">
        <v>5746</v>
      </c>
      <c r="B4095" s="657"/>
      <c r="C4095" s="656" t="s">
        <v>5667</v>
      </c>
      <c r="D4095" s="657" t="s">
        <v>14977</v>
      </c>
      <c r="E4095" s="657"/>
      <c r="F4095" s="656"/>
      <c r="G4095" s="656"/>
      <c r="H4095" s="656"/>
      <c r="I4095" s="656" t="s">
        <v>14976</v>
      </c>
      <c r="J4095" s="656"/>
      <c r="K4095" s="656"/>
      <c r="L4095" s="656" t="s">
        <v>5746</v>
      </c>
      <c r="M4095" s="657"/>
      <c r="N4095" s="1482"/>
      <c r="O4095" s="656" t="s">
        <v>498</v>
      </c>
      <c r="P4095" s="656" t="s">
        <v>13052</v>
      </c>
      <c r="Q4095" s="656">
        <v>44216.765590277777</v>
      </c>
    </row>
    <row r="4096" spans="1:17">
      <c r="A4096" s="656" t="s">
        <v>5747</v>
      </c>
      <c r="B4096" s="657"/>
      <c r="C4096" s="656" t="s">
        <v>5667</v>
      </c>
      <c r="D4096" s="657" t="s">
        <v>14977</v>
      </c>
      <c r="E4096" s="657"/>
      <c r="F4096" s="656"/>
      <c r="G4096" s="656"/>
      <c r="H4096" s="656"/>
      <c r="I4096" s="656" t="s">
        <v>14976</v>
      </c>
      <c r="J4096" s="656"/>
      <c r="K4096" s="656"/>
      <c r="L4096" s="656" t="s">
        <v>5747</v>
      </c>
      <c r="M4096" s="657"/>
      <c r="N4096" s="1482"/>
      <c r="O4096" s="656" t="s">
        <v>498</v>
      </c>
      <c r="P4096" s="656" t="s">
        <v>13052</v>
      </c>
      <c r="Q4096" s="656">
        <v>44216.7655787037</v>
      </c>
    </row>
    <row r="4097" spans="1:17">
      <c r="A4097" s="656" t="s">
        <v>5748</v>
      </c>
      <c r="B4097" s="657"/>
      <c r="C4097" s="656" t="s">
        <v>5749</v>
      </c>
      <c r="D4097" s="657" t="s">
        <v>14977</v>
      </c>
      <c r="E4097" s="657"/>
      <c r="F4097" s="656"/>
      <c r="G4097" s="656" t="s">
        <v>4198</v>
      </c>
      <c r="H4097" s="656"/>
      <c r="I4097" s="656" t="s">
        <v>14976</v>
      </c>
      <c r="J4097" s="656"/>
      <c r="K4097" s="656"/>
      <c r="L4097" s="656" t="s">
        <v>5748</v>
      </c>
      <c r="M4097" s="657"/>
      <c r="N4097" s="1482"/>
      <c r="O4097" s="656" t="s">
        <v>498</v>
      </c>
      <c r="P4097" s="656" t="s">
        <v>13052</v>
      </c>
      <c r="Q4097" s="656">
        <v>44216.7655787037</v>
      </c>
    </row>
    <row r="4098" spans="1:17">
      <c r="A4098" s="656" t="s">
        <v>13291</v>
      </c>
      <c r="B4098" s="657" t="s">
        <v>202</v>
      </c>
      <c r="C4098" s="656" t="s">
        <v>13292</v>
      </c>
      <c r="D4098" s="657" t="s">
        <v>14977</v>
      </c>
      <c r="E4098" s="657"/>
      <c r="F4098" s="656"/>
      <c r="G4098" s="656" t="s">
        <v>5661</v>
      </c>
      <c r="H4098" s="656"/>
      <c r="I4098" s="656" t="s">
        <v>14976</v>
      </c>
      <c r="J4098" s="656"/>
      <c r="K4098" s="656"/>
      <c r="L4098" s="656" t="s">
        <v>13291</v>
      </c>
      <c r="M4098" s="657"/>
      <c r="N4098" s="1482"/>
      <c r="O4098" s="656" t="s">
        <v>498</v>
      </c>
      <c r="P4098" s="656" t="s">
        <v>13052</v>
      </c>
      <c r="Q4098" s="656">
        <v>44216.765567129631</v>
      </c>
    </row>
    <row r="4099" spans="1:17">
      <c r="A4099" s="656" t="s">
        <v>5750</v>
      </c>
      <c r="B4099" s="657" t="s">
        <v>504</v>
      </c>
      <c r="C4099" s="656" t="s">
        <v>5751</v>
      </c>
      <c r="D4099" s="657" t="s">
        <v>14977</v>
      </c>
      <c r="E4099" s="657"/>
      <c r="F4099" s="656"/>
      <c r="G4099" s="656" t="s">
        <v>4347</v>
      </c>
      <c r="H4099" s="656"/>
      <c r="I4099" s="656"/>
      <c r="J4099" s="656"/>
      <c r="K4099" s="656"/>
      <c r="L4099" s="656"/>
      <c r="M4099" s="657"/>
      <c r="N4099" s="1482"/>
      <c r="O4099" s="656" t="s">
        <v>498</v>
      </c>
      <c r="P4099" s="656" t="s">
        <v>13052</v>
      </c>
      <c r="Q4099" s="656">
        <v>44216.765555555554</v>
      </c>
    </row>
    <row r="4100" spans="1:17">
      <c r="A4100" s="656" t="s">
        <v>5752</v>
      </c>
      <c r="B4100" s="657" t="s">
        <v>504</v>
      </c>
      <c r="C4100" s="656" t="s">
        <v>5753</v>
      </c>
      <c r="D4100" s="657" t="s">
        <v>14977</v>
      </c>
      <c r="E4100" s="657"/>
      <c r="F4100" s="656"/>
      <c r="G4100" s="656" t="s">
        <v>4347</v>
      </c>
      <c r="H4100" s="656"/>
      <c r="I4100" s="656"/>
      <c r="J4100" s="656"/>
      <c r="K4100" s="656"/>
      <c r="L4100" s="656"/>
      <c r="M4100" s="657"/>
      <c r="N4100" s="1482"/>
      <c r="O4100" s="656" t="s">
        <v>498</v>
      </c>
      <c r="P4100" s="656" t="s">
        <v>13052</v>
      </c>
      <c r="Q4100" s="656">
        <v>44216.765555555554</v>
      </c>
    </row>
    <row r="4101" spans="1:17">
      <c r="A4101" s="656" t="s">
        <v>5754</v>
      </c>
      <c r="B4101" s="657" t="s">
        <v>504</v>
      </c>
      <c r="C4101" s="656" t="s">
        <v>5755</v>
      </c>
      <c r="D4101" s="657" t="s">
        <v>14977</v>
      </c>
      <c r="E4101" s="657"/>
      <c r="F4101" s="656"/>
      <c r="G4101" s="656" t="s">
        <v>4198</v>
      </c>
      <c r="H4101" s="656"/>
      <c r="I4101" s="656"/>
      <c r="J4101" s="656"/>
      <c r="K4101" s="656"/>
      <c r="L4101" s="656"/>
      <c r="M4101" s="657"/>
      <c r="N4101" s="1482"/>
      <c r="O4101" s="656" t="s">
        <v>498</v>
      </c>
      <c r="P4101" s="656" t="s">
        <v>13052</v>
      </c>
      <c r="Q4101" s="656">
        <v>44216.765543981484</v>
      </c>
    </row>
    <row r="4102" spans="1:17">
      <c r="A4102" s="656" t="s">
        <v>5756</v>
      </c>
      <c r="B4102" s="657" t="s">
        <v>504</v>
      </c>
      <c r="C4102" s="656" t="s">
        <v>5757</v>
      </c>
      <c r="D4102" s="657" t="s">
        <v>14977</v>
      </c>
      <c r="E4102" s="657"/>
      <c r="F4102" s="656"/>
      <c r="G4102" s="656" t="s">
        <v>4347</v>
      </c>
      <c r="H4102" s="656"/>
      <c r="I4102" s="656"/>
      <c r="J4102" s="656"/>
      <c r="K4102" s="656"/>
      <c r="L4102" s="656"/>
      <c r="M4102" s="657"/>
      <c r="N4102" s="1482"/>
      <c r="O4102" s="656" t="s">
        <v>498</v>
      </c>
      <c r="P4102" s="656" t="s">
        <v>13052</v>
      </c>
      <c r="Q4102" s="656">
        <v>44216.765543981484</v>
      </c>
    </row>
    <row r="4103" spans="1:17">
      <c r="A4103" s="656" t="s">
        <v>13289</v>
      </c>
      <c r="B4103" s="657" t="s">
        <v>202</v>
      </c>
      <c r="C4103" s="656" t="s">
        <v>13290</v>
      </c>
      <c r="D4103" s="657" t="s">
        <v>1239</v>
      </c>
      <c r="E4103" s="657"/>
      <c r="F4103" s="656"/>
      <c r="G4103" s="656" t="s">
        <v>3757</v>
      </c>
      <c r="H4103" s="656"/>
      <c r="I4103" s="656" t="s">
        <v>14976</v>
      </c>
      <c r="J4103" s="656"/>
      <c r="K4103" s="656"/>
      <c r="L4103" s="656"/>
      <c r="M4103" s="657"/>
      <c r="N4103" s="1482"/>
      <c r="O4103" s="656" t="s">
        <v>498</v>
      </c>
      <c r="P4103" s="656" t="s">
        <v>13052</v>
      </c>
      <c r="Q4103" s="656">
        <v>44216.765532407408</v>
      </c>
    </row>
    <row r="4104" spans="1:17">
      <c r="A4104" s="656" t="s">
        <v>13287</v>
      </c>
      <c r="B4104" s="657" t="s">
        <v>202</v>
      </c>
      <c r="C4104" s="656" t="s">
        <v>13288</v>
      </c>
      <c r="D4104" s="657" t="s">
        <v>1239</v>
      </c>
      <c r="E4104" s="657"/>
      <c r="F4104" s="656"/>
      <c r="G4104" s="656" t="s">
        <v>3757</v>
      </c>
      <c r="H4104" s="656"/>
      <c r="I4104" s="656" t="s">
        <v>14976</v>
      </c>
      <c r="J4104" s="656"/>
      <c r="K4104" s="656"/>
      <c r="L4104" s="656"/>
      <c r="M4104" s="657"/>
      <c r="N4104" s="1482"/>
      <c r="O4104" s="656" t="s">
        <v>498</v>
      </c>
      <c r="P4104" s="656" t="s">
        <v>13052</v>
      </c>
      <c r="Q4104" s="656">
        <v>44216.765532407408</v>
      </c>
    </row>
    <row r="4105" spans="1:17">
      <c r="A4105" s="656" t="s">
        <v>13285</v>
      </c>
      <c r="B4105" s="657" t="s">
        <v>202</v>
      </c>
      <c r="C4105" s="656" t="s">
        <v>13286</v>
      </c>
      <c r="D4105" s="657" t="s">
        <v>1239</v>
      </c>
      <c r="E4105" s="657"/>
      <c r="F4105" s="656"/>
      <c r="G4105" s="656" t="s">
        <v>3757</v>
      </c>
      <c r="H4105" s="656"/>
      <c r="I4105" s="656" t="s">
        <v>14976</v>
      </c>
      <c r="J4105" s="656"/>
      <c r="K4105" s="656"/>
      <c r="L4105" s="656"/>
      <c r="M4105" s="657"/>
      <c r="N4105" s="1482"/>
      <c r="O4105" s="656" t="s">
        <v>498</v>
      </c>
      <c r="P4105" s="656" t="s">
        <v>13052</v>
      </c>
      <c r="Q4105" s="656">
        <v>44216.765532407408</v>
      </c>
    </row>
    <row r="4106" spans="1:17">
      <c r="A4106" s="656" t="s">
        <v>13283</v>
      </c>
      <c r="B4106" s="657" t="s">
        <v>202</v>
      </c>
      <c r="C4106" s="656" t="s">
        <v>13284</v>
      </c>
      <c r="D4106" s="657" t="s">
        <v>1239</v>
      </c>
      <c r="E4106" s="657"/>
      <c r="F4106" s="656"/>
      <c r="G4106" s="656" t="s">
        <v>3757</v>
      </c>
      <c r="H4106" s="656"/>
      <c r="I4106" s="656" t="s">
        <v>14976</v>
      </c>
      <c r="J4106" s="656"/>
      <c r="K4106" s="656"/>
      <c r="L4106" s="656"/>
      <c r="M4106" s="657"/>
      <c r="N4106" s="1482"/>
      <c r="O4106" s="656" t="s">
        <v>498</v>
      </c>
      <c r="P4106" s="656" t="s">
        <v>13052</v>
      </c>
      <c r="Q4106" s="656">
        <v>44216.765520833331</v>
      </c>
    </row>
    <row r="4107" spans="1:17">
      <c r="A4107" s="656" t="s">
        <v>13281</v>
      </c>
      <c r="B4107" s="657" t="s">
        <v>202</v>
      </c>
      <c r="C4107" s="656" t="s">
        <v>13282</v>
      </c>
      <c r="D4107" s="657" t="s">
        <v>1239</v>
      </c>
      <c r="E4107" s="657"/>
      <c r="F4107" s="656"/>
      <c r="G4107" s="656" t="s">
        <v>3757</v>
      </c>
      <c r="H4107" s="656"/>
      <c r="I4107" s="656" t="s">
        <v>14976</v>
      </c>
      <c r="J4107" s="656"/>
      <c r="K4107" s="656"/>
      <c r="L4107" s="656"/>
      <c r="M4107" s="657"/>
      <c r="N4107" s="1482"/>
      <c r="O4107" s="656" t="s">
        <v>498</v>
      </c>
      <c r="P4107" s="656" t="s">
        <v>13052</v>
      </c>
      <c r="Q4107" s="656">
        <v>44216.765520833331</v>
      </c>
    </row>
    <row r="4108" spans="1:17">
      <c r="A4108" s="656" t="s">
        <v>13279</v>
      </c>
      <c r="B4108" s="657" t="s">
        <v>202</v>
      </c>
      <c r="C4108" s="656" t="s">
        <v>13280</v>
      </c>
      <c r="D4108" s="657" t="s">
        <v>1239</v>
      </c>
      <c r="E4108" s="657"/>
      <c r="F4108" s="656"/>
      <c r="G4108" s="656" t="s">
        <v>3757</v>
      </c>
      <c r="H4108" s="656"/>
      <c r="I4108" s="656" t="s">
        <v>14976</v>
      </c>
      <c r="J4108" s="656"/>
      <c r="K4108" s="656"/>
      <c r="L4108" s="656"/>
      <c r="M4108" s="657"/>
      <c r="N4108" s="1482"/>
      <c r="O4108" s="656" t="s">
        <v>498</v>
      </c>
      <c r="P4108" s="656" t="s">
        <v>13052</v>
      </c>
      <c r="Q4108" s="656">
        <v>44216.765509259261</v>
      </c>
    </row>
    <row r="4109" spans="1:17">
      <c r="A4109" s="656" t="s">
        <v>13277</v>
      </c>
      <c r="B4109" s="657" t="s">
        <v>202</v>
      </c>
      <c r="C4109" s="656" t="s">
        <v>13278</v>
      </c>
      <c r="D4109" s="657" t="s">
        <v>1239</v>
      </c>
      <c r="E4109" s="657"/>
      <c r="F4109" s="656"/>
      <c r="G4109" s="656" t="s">
        <v>3757</v>
      </c>
      <c r="H4109" s="656"/>
      <c r="I4109" s="656" t="s">
        <v>14976</v>
      </c>
      <c r="J4109" s="656"/>
      <c r="K4109" s="656"/>
      <c r="L4109" s="656"/>
      <c r="M4109" s="657"/>
      <c r="N4109" s="1482"/>
      <c r="O4109" s="656" t="s">
        <v>498</v>
      </c>
      <c r="P4109" s="656" t="s">
        <v>13052</v>
      </c>
      <c r="Q4109" s="656">
        <v>44216.765509259261</v>
      </c>
    </row>
    <row r="4110" spans="1:17">
      <c r="A4110" s="656" t="s">
        <v>13275</v>
      </c>
      <c r="B4110" s="657" t="s">
        <v>202</v>
      </c>
      <c r="C4110" s="656" t="s">
        <v>13276</v>
      </c>
      <c r="D4110" s="657" t="s">
        <v>14977</v>
      </c>
      <c r="E4110" s="657"/>
      <c r="F4110" s="656"/>
      <c r="G4110" s="656" t="s">
        <v>3757</v>
      </c>
      <c r="H4110" s="656"/>
      <c r="I4110" s="656" t="s">
        <v>14976</v>
      </c>
      <c r="J4110" s="656"/>
      <c r="K4110" s="656"/>
      <c r="L4110" s="656" t="s">
        <v>13275</v>
      </c>
      <c r="M4110" s="657"/>
      <c r="N4110" s="1482"/>
      <c r="O4110" s="656" t="s">
        <v>498</v>
      </c>
      <c r="P4110" s="656" t="s">
        <v>13052</v>
      </c>
      <c r="Q4110" s="656">
        <v>44216.765497685185</v>
      </c>
    </row>
    <row r="4111" spans="1:17">
      <c r="A4111" s="656" t="s">
        <v>13273</v>
      </c>
      <c r="B4111" s="657" t="s">
        <v>202</v>
      </c>
      <c r="C4111" s="656" t="s">
        <v>13274</v>
      </c>
      <c r="D4111" s="657" t="s">
        <v>1239</v>
      </c>
      <c r="E4111" s="657"/>
      <c r="F4111" s="656"/>
      <c r="G4111" s="656" t="s">
        <v>3757</v>
      </c>
      <c r="H4111" s="656"/>
      <c r="I4111" s="656" t="s">
        <v>14976</v>
      </c>
      <c r="J4111" s="656"/>
      <c r="K4111" s="656"/>
      <c r="L4111" s="656"/>
      <c r="M4111" s="657"/>
      <c r="N4111" s="1482"/>
      <c r="O4111" s="656" t="s">
        <v>498</v>
      </c>
      <c r="P4111" s="656" t="s">
        <v>13052</v>
      </c>
      <c r="Q4111" s="656">
        <v>44216.765497685185</v>
      </c>
    </row>
    <row r="4112" spans="1:17">
      <c r="A4112" s="656" t="s">
        <v>13271</v>
      </c>
      <c r="B4112" s="657" t="s">
        <v>202</v>
      </c>
      <c r="C4112" s="656" t="s">
        <v>13272</v>
      </c>
      <c r="D4112" s="657" t="s">
        <v>14977</v>
      </c>
      <c r="E4112" s="657"/>
      <c r="F4112" s="656"/>
      <c r="G4112" s="656" t="s">
        <v>3757</v>
      </c>
      <c r="H4112" s="656"/>
      <c r="I4112" s="656" t="s">
        <v>14976</v>
      </c>
      <c r="J4112" s="656"/>
      <c r="K4112" s="656"/>
      <c r="L4112" s="656" t="s">
        <v>13271</v>
      </c>
      <c r="M4112" s="657"/>
      <c r="N4112" s="1482"/>
      <c r="O4112" s="656" t="s">
        <v>498</v>
      </c>
      <c r="P4112" s="656" t="s">
        <v>13052</v>
      </c>
      <c r="Q4112" s="656">
        <v>44216.765497685185</v>
      </c>
    </row>
    <row r="4113" spans="1:17">
      <c r="A4113" s="656" t="s">
        <v>13269</v>
      </c>
      <c r="B4113" s="657" t="s">
        <v>202</v>
      </c>
      <c r="C4113" s="656" t="s">
        <v>13270</v>
      </c>
      <c r="D4113" s="657" t="s">
        <v>14977</v>
      </c>
      <c r="E4113" s="657"/>
      <c r="F4113" s="656"/>
      <c r="G4113" s="656" t="s">
        <v>3757</v>
      </c>
      <c r="H4113" s="656"/>
      <c r="I4113" s="656" t="s">
        <v>14976</v>
      </c>
      <c r="J4113" s="656"/>
      <c r="K4113" s="656"/>
      <c r="L4113" s="656" t="s">
        <v>13269</v>
      </c>
      <c r="M4113" s="657"/>
      <c r="N4113" s="1482"/>
      <c r="O4113" s="656" t="s">
        <v>498</v>
      </c>
      <c r="P4113" s="656" t="s">
        <v>13052</v>
      </c>
      <c r="Q4113" s="656">
        <v>44216.765486111108</v>
      </c>
    </row>
    <row r="4114" spans="1:17">
      <c r="A4114" s="656" t="s">
        <v>13267</v>
      </c>
      <c r="B4114" s="657" t="s">
        <v>202</v>
      </c>
      <c r="C4114" s="656" t="s">
        <v>13268</v>
      </c>
      <c r="D4114" s="657" t="s">
        <v>14977</v>
      </c>
      <c r="E4114" s="657"/>
      <c r="F4114" s="656"/>
      <c r="G4114" s="656" t="s">
        <v>3757</v>
      </c>
      <c r="H4114" s="656"/>
      <c r="I4114" s="656" t="s">
        <v>14976</v>
      </c>
      <c r="J4114" s="656"/>
      <c r="K4114" s="656"/>
      <c r="L4114" s="656" t="s">
        <v>13267</v>
      </c>
      <c r="M4114" s="657"/>
      <c r="N4114" s="1482"/>
      <c r="O4114" s="656" t="s">
        <v>498</v>
      </c>
      <c r="P4114" s="656" t="s">
        <v>13052</v>
      </c>
      <c r="Q4114" s="656">
        <v>44216.765486111108</v>
      </c>
    </row>
    <row r="4115" spans="1:17">
      <c r="A4115" s="656" t="s">
        <v>13265</v>
      </c>
      <c r="B4115" s="657" t="s">
        <v>202</v>
      </c>
      <c r="C4115" s="656" t="s">
        <v>13266</v>
      </c>
      <c r="D4115" s="657" t="s">
        <v>1239</v>
      </c>
      <c r="E4115" s="657"/>
      <c r="F4115" s="656"/>
      <c r="G4115" s="656" t="s">
        <v>3757</v>
      </c>
      <c r="H4115" s="656"/>
      <c r="I4115" s="656" t="s">
        <v>14976</v>
      </c>
      <c r="J4115" s="656"/>
      <c r="K4115" s="656"/>
      <c r="L4115" s="656"/>
      <c r="M4115" s="657"/>
      <c r="N4115" s="1482"/>
      <c r="O4115" s="656" t="s">
        <v>498</v>
      </c>
      <c r="P4115" s="656" t="s">
        <v>13052</v>
      </c>
      <c r="Q4115" s="656">
        <v>44216.765474537038</v>
      </c>
    </row>
    <row r="4116" spans="1:17">
      <c r="A4116" s="656" t="s">
        <v>13263</v>
      </c>
      <c r="B4116" s="657" t="s">
        <v>202</v>
      </c>
      <c r="C4116" s="656" t="s">
        <v>13264</v>
      </c>
      <c r="D4116" s="657" t="s">
        <v>1239</v>
      </c>
      <c r="E4116" s="657"/>
      <c r="F4116" s="656"/>
      <c r="G4116" s="656" t="s">
        <v>3757</v>
      </c>
      <c r="H4116" s="656"/>
      <c r="I4116" s="656" t="s">
        <v>14976</v>
      </c>
      <c r="J4116" s="656"/>
      <c r="K4116" s="656"/>
      <c r="L4116" s="656"/>
      <c r="M4116" s="657"/>
      <c r="N4116" s="1482"/>
      <c r="O4116" s="656" t="s">
        <v>498</v>
      </c>
      <c r="P4116" s="656" t="s">
        <v>13052</v>
      </c>
      <c r="Q4116" s="656">
        <v>44216.765474537038</v>
      </c>
    </row>
    <row r="4117" spans="1:17">
      <c r="A4117" s="656" t="s">
        <v>13261</v>
      </c>
      <c r="B4117" s="657" t="s">
        <v>202</v>
      </c>
      <c r="C4117" s="656" t="s">
        <v>13262</v>
      </c>
      <c r="D4117" s="657" t="s">
        <v>14977</v>
      </c>
      <c r="E4117" s="657"/>
      <c r="F4117" s="656"/>
      <c r="G4117" s="656" t="s">
        <v>3757</v>
      </c>
      <c r="H4117" s="656"/>
      <c r="I4117" s="656" t="s">
        <v>14976</v>
      </c>
      <c r="J4117" s="656"/>
      <c r="K4117" s="656"/>
      <c r="L4117" s="656" t="s">
        <v>13261</v>
      </c>
      <c r="M4117" s="657"/>
      <c r="N4117" s="1482"/>
      <c r="O4117" s="656" t="s">
        <v>498</v>
      </c>
      <c r="P4117" s="656" t="s">
        <v>13052</v>
      </c>
      <c r="Q4117" s="656">
        <v>44216.765474537038</v>
      </c>
    </row>
    <row r="4118" spans="1:17">
      <c r="A4118" s="656" t="s">
        <v>5758</v>
      </c>
      <c r="B4118" s="657" t="s">
        <v>202</v>
      </c>
      <c r="C4118" s="656" t="s">
        <v>5759</v>
      </c>
      <c r="D4118" s="657" t="s">
        <v>1239</v>
      </c>
      <c r="E4118" s="657"/>
      <c r="F4118" s="656" t="s">
        <v>475</v>
      </c>
      <c r="G4118" s="656"/>
      <c r="H4118" s="656" t="s">
        <v>475</v>
      </c>
      <c r="I4118" s="656" t="s">
        <v>14976</v>
      </c>
      <c r="J4118" s="656"/>
      <c r="K4118" s="656"/>
      <c r="L4118" s="656" t="s">
        <v>5764</v>
      </c>
      <c r="M4118" s="657"/>
      <c r="N4118" s="1482"/>
      <c r="O4118" s="656" t="s">
        <v>498</v>
      </c>
      <c r="P4118" s="656" t="s">
        <v>13052</v>
      </c>
      <c r="Q4118" s="656">
        <v>44216.765462962961</v>
      </c>
    </row>
    <row r="4119" spans="1:17">
      <c r="A4119" s="656" t="s">
        <v>5760</v>
      </c>
      <c r="B4119" s="657" t="s">
        <v>202</v>
      </c>
      <c r="C4119" s="656" t="s">
        <v>5761</v>
      </c>
      <c r="D4119" s="657" t="s">
        <v>14978</v>
      </c>
      <c r="E4119" s="657"/>
      <c r="F4119" s="656" t="s">
        <v>475</v>
      </c>
      <c r="G4119" s="656"/>
      <c r="H4119" s="656" t="s">
        <v>475</v>
      </c>
      <c r="I4119" s="656" t="s">
        <v>14976</v>
      </c>
      <c r="J4119" s="656"/>
      <c r="K4119" s="656"/>
      <c r="L4119" s="656" t="s">
        <v>5764</v>
      </c>
      <c r="M4119" s="657"/>
      <c r="N4119" s="1482"/>
      <c r="O4119" s="656" t="s">
        <v>498</v>
      </c>
      <c r="P4119" s="656" t="s">
        <v>13052</v>
      </c>
      <c r="Q4119" s="656">
        <v>44216.765451388892</v>
      </c>
    </row>
    <row r="4120" spans="1:17">
      <c r="A4120" s="656" t="s">
        <v>5762</v>
      </c>
      <c r="B4120" s="657" t="s">
        <v>202</v>
      </c>
      <c r="C4120" s="656" t="s">
        <v>5763</v>
      </c>
      <c r="D4120" s="657" t="s">
        <v>14978</v>
      </c>
      <c r="E4120" s="657"/>
      <c r="F4120" s="656" t="s">
        <v>475</v>
      </c>
      <c r="G4120" s="656"/>
      <c r="H4120" s="656" t="s">
        <v>475</v>
      </c>
      <c r="I4120" s="656" t="s">
        <v>14976</v>
      </c>
      <c r="J4120" s="656"/>
      <c r="K4120" s="656"/>
      <c r="L4120" s="656" t="s">
        <v>5764</v>
      </c>
      <c r="M4120" s="657"/>
      <c r="N4120" s="1482"/>
      <c r="O4120" s="656" t="s">
        <v>498</v>
      </c>
      <c r="P4120" s="656" t="s">
        <v>13052</v>
      </c>
      <c r="Q4120" s="656">
        <v>44216.765451388892</v>
      </c>
    </row>
    <row r="4121" spans="1:17">
      <c r="A4121" s="656" t="s">
        <v>5764</v>
      </c>
      <c r="B4121" s="657" t="s">
        <v>202</v>
      </c>
      <c r="C4121" s="656" t="s">
        <v>5765</v>
      </c>
      <c r="D4121" s="657" t="s">
        <v>1239</v>
      </c>
      <c r="E4121" s="657"/>
      <c r="F4121" s="656" t="s">
        <v>475</v>
      </c>
      <c r="G4121" s="656"/>
      <c r="H4121" s="656" t="s">
        <v>475</v>
      </c>
      <c r="I4121" s="656" t="s">
        <v>14976</v>
      </c>
      <c r="J4121" s="656"/>
      <c r="K4121" s="656"/>
      <c r="L4121" s="656"/>
      <c r="M4121" s="657"/>
      <c r="N4121" s="1482"/>
      <c r="O4121" s="656" t="s">
        <v>498</v>
      </c>
      <c r="P4121" s="656" t="s">
        <v>13052</v>
      </c>
      <c r="Q4121" s="656">
        <v>44216.765439814815</v>
      </c>
    </row>
    <row r="4122" spans="1:17">
      <c r="A4122" s="656" t="s">
        <v>5766</v>
      </c>
      <c r="B4122" s="657"/>
      <c r="C4122" s="656" t="s">
        <v>5767</v>
      </c>
      <c r="D4122" s="657" t="s">
        <v>14977</v>
      </c>
      <c r="E4122" s="657"/>
      <c r="F4122" s="656"/>
      <c r="G4122" s="656" t="s">
        <v>5045</v>
      </c>
      <c r="H4122" s="656"/>
      <c r="I4122" s="656" t="s">
        <v>14976</v>
      </c>
      <c r="J4122" s="656"/>
      <c r="K4122" s="656"/>
      <c r="L4122" s="656" t="s">
        <v>5766</v>
      </c>
      <c r="M4122" s="657"/>
      <c r="N4122" s="1482"/>
      <c r="O4122" s="656" t="s">
        <v>498</v>
      </c>
      <c r="P4122" s="656" t="s">
        <v>13052</v>
      </c>
      <c r="Q4122" s="656">
        <v>44216.765451388892</v>
      </c>
    </row>
    <row r="4123" spans="1:17">
      <c r="A4123" s="656" t="s">
        <v>5768</v>
      </c>
      <c r="B4123" s="657"/>
      <c r="C4123" s="656" t="s">
        <v>5769</v>
      </c>
      <c r="D4123" s="657" t="s">
        <v>14977</v>
      </c>
      <c r="E4123" s="657"/>
      <c r="F4123" s="656"/>
      <c r="G4123" s="656" t="s">
        <v>5045</v>
      </c>
      <c r="H4123" s="656"/>
      <c r="I4123" s="656" t="s">
        <v>14976</v>
      </c>
      <c r="J4123" s="656"/>
      <c r="K4123" s="656"/>
      <c r="L4123" s="656" t="s">
        <v>5768</v>
      </c>
      <c r="M4123" s="657"/>
      <c r="N4123" s="1482"/>
      <c r="O4123" s="656" t="s">
        <v>498</v>
      </c>
      <c r="P4123" s="656" t="s">
        <v>13052</v>
      </c>
      <c r="Q4123" s="656">
        <v>44216.765428240738</v>
      </c>
    </row>
    <row r="4124" spans="1:17">
      <c r="A4124" s="656" t="s">
        <v>13259</v>
      </c>
      <c r="B4124" s="657" t="s">
        <v>202</v>
      </c>
      <c r="C4124" s="656" t="s">
        <v>13260</v>
      </c>
      <c r="D4124" s="657" t="s">
        <v>14977</v>
      </c>
      <c r="E4124" s="657"/>
      <c r="F4124" s="656"/>
      <c r="G4124" s="656" t="s">
        <v>3757</v>
      </c>
      <c r="H4124" s="656"/>
      <c r="I4124" s="656" t="s">
        <v>14976</v>
      </c>
      <c r="J4124" s="656"/>
      <c r="K4124" s="656"/>
      <c r="L4124" s="656" t="s">
        <v>13259</v>
      </c>
      <c r="M4124" s="657"/>
      <c r="N4124" s="1482"/>
      <c r="O4124" s="656" t="s">
        <v>498</v>
      </c>
      <c r="P4124" s="656" t="s">
        <v>13052</v>
      </c>
      <c r="Q4124" s="656">
        <v>44216.765428240738</v>
      </c>
    </row>
    <row r="4125" spans="1:17">
      <c r="A4125" s="656" t="s">
        <v>13257</v>
      </c>
      <c r="B4125" s="657" t="s">
        <v>202</v>
      </c>
      <c r="C4125" s="656" t="s">
        <v>13258</v>
      </c>
      <c r="D4125" s="657" t="s">
        <v>14977</v>
      </c>
      <c r="E4125" s="657"/>
      <c r="F4125" s="656"/>
      <c r="G4125" s="656" t="s">
        <v>3757</v>
      </c>
      <c r="H4125" s="656"/>
      <c r="I4125" s="656" t="s">
        <v>14976</v>
      </c>
      <c r="J4125" s="656"/>
      <c r="K4125" s="656"/>
      <c r="L4125" s="656" t="s">
        <v>13257</v>
      </c>
      <c r="M4125" s="657"/>
      <c r="N4125" s="1482"/>
      <c r="O4125" s="656" t="s">
        <v>498</v>
      </c>
      <c r="P4125" s="656" t="s">
        <v>13052</v>
      </c>
      <c r="Q4125" s="656">
        <v>44216.765428240738</v>
      </c>
    </row>
    <row r="4126" spans="1:17">
      <c r="A4126" s="656" t="s">
        <v>5770</v>
      </c>
      <c r="B4126" s="657"/>
      <c r="C4126" s="656" t="s">
        <v>5667</v>
      </c>
      <c r="D4126" s="657" t="s">
        <v>14977</v>
      </c>
      <c r="E4126" s="657"/>
      <c r="F4126" s="656"/>
      <c r="G4126" s="656"/>
      <c r="H4126" s="656"/>
      <c r="I4126" s="656" t="s">
        <v>14976</v>
      </c>
      <c r="J4126" s="656"/>
      <c r="K4126" s="656"/>
      <c r="L4126" s="656" t="s">
        <v>5770</v>
      </c>
      <c r="M4126" s="657"/>
      <c r="N4126" s="1482"/>
      <c r="O4126" s="656" t="s">
        <v>498</v>
      </c>
      <c r="P4126" s="656" t="s">
        <v>13052</v>
      </c>
      <c r="Q4126" s="656">
        <v>44216.765416666669</v>
      </c>
    </row>
    <row r="4127" spans="1:17">
      <c r="A4127" s="656" t="s">
        <v>5771</v>
      </c>
      <c r="B4127" s="657" t="s">
        <v>504</v>
      </c>
      <c r="C4127" s="656" t="s">
        <v>5772</v>
      </c>
      <c r="D4127" s="657" t="s">
        <v>14977</v>
      </c>
      <c r="E4127" s="657"/>
      <c r="F4127" s="656"/>
      <c r="G4127" s="656" t="s">
        <v>4347</v>
      </c>
      <c r="H4127" s="656"/>
      <c r="I4127" s="656"/>
      <c r="J4127" s="656"/>
      <c r="K4127" s="656"/>
      <c r="L4127" s="656"/>
      <c r="M4127" s="657"/>
      <c r="N4127" s="1482"/>
      <c r="O4127" s="656" t="s">
        <v>498</v>
      </c>
      <c r="P4127" s="656" t="s">
        <v>13052</v>
      </c>
      <c r="Q4127" s="656">
        <v>44216.765416666669</v>
      </c>
    </row>
    <row r="4128" spans="1:17">
      <c r="A4128" s="656" t="s">
        <v>5773</v>
      </c>
      <c r="B4128" s="657"/>
      <c r="C4128" s="656" t="s">
        <v>5774</v>
      </c>
      <c r="D4128" s="657" t="s">
        <v>14977</v>
      </c>
      <c r="E4128" s="657"/>
      <c r="F4128" s="656" t="s">
        <v>1394</v>
      </c>
      <c r="G4128" s="656"/>
      <c r="H4128" s="656" t="s">
        <v>1394</v>
      </c>
      <c r="I4128" s="656" t="s">
        <v>14976</v>
      </c>
      <c r="J4128" s="656"/>
      <c r="K4128" s="656"/>
      <c r="L4128" s="656" t="s">
        <v>5773</v>
      </c>
      <c r="M4128" s="657"/>
      <c r="N4128" s="1482"/>
      <c r="O4128" s="656" t="s">
        <v>498</v>
      </c>
      <c r="P4128" s="656" t="s">
        <v>13052</v>
      </c>
      <c r="Q4128" s="656">
        <v>44216.765405092592</v>
      </c>
    </row>
    <row r="4129" spans="1:17">
      <c r="A4129" s="656" t="s">
        <v>5775</v>
      </c>
      <c r="B4129" s="657"/>
      <c r="C4129" s="656" t="s">
        <v>5776</v>
      </c>
      <c r="D4129" s="657" t="s">
        <v>14977</v>
      </c>
      <c r="E4129" s="657"/>
      <c r="F4129" s="656"/>
      <c r="G4129" s="656" t="s">
        <v>4198</v>
      </c>
      <c r="H4129" s="656"/>
      <c r="I4129" s="656" t="s">
        <v>14976</v>
      </c>
      <c r="J4129" s="656"/>
      <c r="K4129" s="656"/>
      <c r="L4129" s="656" t="s">
        <v>5775</v>
      </c>
      <c r="M4129" s="657"/>
      <c r="N4129" s="1482"/>
      <c r="O4129" s="656" t="s">
        <v>498</v>
      </c>
      <c r="P4129" s="656" t="s">
        <v>13052</v>
      </c>
      <c r="Q4129" s="656">
        <v>44216.765393518515</v>
      </c>
    </row>
    <row r="4130" spans="1:17">
      <c r="A4130" s="656" t="s">
        <v>5777</v>
      </c>
      <c r="B4130" s="657" t="s">
        <v>504</v>
      </c>
      <c r="C4130" s="656" t="s">
        <v>5778</v>
      </c>
      <c r="D4130" s="657" t="s">
        <v>14977</v>
      </c>
      <c r="E4130" s="657"/>
      <c r="F4130" s="656"/>
      <c r="G4130" s="656" t="s">
        <v>4347</v>
      </c>
      <c r="H4130" s="656"/>
      <c r="I4130" s="656"/>
      <c r="J4130" s="656"/>
      <c r="K4130" s="656"/>
      <c r="L4130" s="656"/>
      <c r="M4130" s="657"/>
      <c r="N4130" s="1482"/>
      <c r="O4130" s="656" t="s">
        <v>498</v>
      </c>
      <c r="P4130" s="656" t="s">
        <v>13052</v>
      </c>
      <c r="Q4130" s="656">
        <v>44216.765393518515</v>
      </c>
    </row>
    <row r="4131" spans="1:17">
      <c r="A4131" s="656" t="s">
        <v>5779</v>
      </c>
      <c r="B4131" s="657" t="s">
        <v>504</v>
      </c>
      <c r="C4131" s="656" t="s">
        <v>5780</v>
      </c>
      <c r="D4131" s="657" t="s">
        <v>14977</v>
      </c>
      <c r="E4131" s="657"/>
      <c r="F4131" s="656"/>
      <c r="G4131" s="656" t="s">
        <v>4347</v>
      </c>
      <c r="H4131" s="656"/>
      <c r="I4131" s="656"/>
      <c r="J4131" s="656"/>
      <c r="K4131" s="656"/>
      <c r="L4131" s="656"/>
      <c r="M4131" s="657"/>
      <c r="N4131" s="1482"/>
      <c r="O4131" s="656" t="s">
        <v>498</v>
      </c>
      <c r="P4131" s="656" t="s">
        <v>13052</v>
      </c>
      <c r="Q4131" s="656">
        <v>44216.765381944446</v>
      </c>
    </row>
    <row r="4132" spans="1:17">
      <c r="A4132" s="656" t="s">
        <v>5781</v>
      </c>
      <c r="B4132" s="657"/>
      <c r="C4132" s="656" t="s">
        <v>5782</v>
      </c>
      <c r="D4132" s="657" t="s">
        <v>14977</v>
      </c>
      <c r="E4132" s="657"/>
      <c r="F4132" s="656"/>
      <c r="G4132" s="656" t="s">
        <v>4198</v>
      </c>
      <c r="H4132" s="656"/>
      <c r="I4132" s="656" t="s">
        <v>14976</v>
      </c>
      <c r="J4132" s="656"/>
      <c r="K4132" s="656"/>
      <c r="L4132" s="656" t="s">
        <v>5781</v>
      </c>
      <c r="M4132" s="657"/>
      <c r="N4132" s="1482"/>
      <c r="O4132" s="656" t="s">
        <v>498</v>
      </c>
      <c r="P4132" s="656" t="s">
        <v>13052</v>
      </c>
      <c r="Q4132" s="656">
        <v>44216.765381944446</v>
      </c>
    </row>
    <row r="4133" spans="1:17">
      <c r="A4133" s="656" t="s">
        <v>5783</v>
      </c>
      <c r="B4133" s="657" t="s">
        <v>504</v>
      </c>
      <c r="C4133" s="656" t="s">
        <v>5784</v>
      </c>
      <c r="D4133" s="657" t="s">
        <v>14977</v>
      </c>
      <c r="E4133" s="657"/>
      <c r="F4133" s="656"/>
      <c r="G4133" s="656" t="s">
        <v>4347</v>
      </c>
      <c r="H4133" s="656"/>
      <c r="I4133" s="656"/>
      <c r="J4133" s="656"/>
      <c r="K4133" s="656"/>
      <c r="L4133" s="656"/>
      <c r="M4133" s="657"/>
      <c r="N4133" s="1482"/>
      <c r="O4133" s="656" t="s">
        <v>498</v>
      </c>
      <c r="P4133" s="656" t="s">
        <v>13052</v>
      </c>
      <c r="Q4133" s="656">
        <v>44216.765370370369</v>
      </c>
    </row>
    <row r="4134" spans="1:17">
      <c r="A4134" s="656" t="s">
        <v>5785</v>
      </c>
      <c r="B4134" s="657" t="s">
        <v>504</v>
      </c>
      <c r="C4134" s="656" t="s">
        <v>5786</v>
      </c>
      <c r="D4134" s="657" t="s">
        <v>14977</v>
      </c>
      <c r="E4134" s="657"/>
      <c r="F4134" s="656"/>
      <c r="G4134" s="656" t="s">
        <v>4362</v>
      </c>
      <c r="H4134" s="656"/>
      <c r="I4134" s="656"/>
      <c r="J4134" s="656"/>
      <c r="K4134" s="656"/>
      <c r="L4134" s="656"/>
      <c r="M4134" s="657"/>
      <c r="N4134" s="1482"/>
      <c r="O4134" s="656" t="s">
        <v>498</v>
      </c>
      <c r="P4134" s="656" t="s">
        <v>13052</v>
      </c>
      <c r="Q4134" s="656">
        <v>44216.765370370369</v>
      </c>
    </row>
    <row r="4135" spans="1:17">
      <c r="A4135" s="656" t="s">
        <v>5787</v>
      </c>
      <c r="B4135" s="657" t="s">
        <v>504</v>
      </c>
      <c r="C4135" s="656" t="s">
        <v>5788</v>
      </c>
      <c r="D4135" s="657"/>
      <c r="E4135" s="657"/>
      <c r="F4135" s="656" t="s">
        <v>505</v>
      </c>
      <c r="G4135" s="656" t="s">
        <v>4394</v>
      </c>
      <c r="H4135" s="656" t="s">
        <v>505</v>
      </c>
      <c r="I4135" s="656"/>
      <c r="J4135" s="656"/>
      <c r="K4135" s="656"/>
      <c r="L4135" s="656"/>
      <c r="M4135" s="657"/>
      <c r="N4135" s="1482"/>
      <c r="O4135" s="656" t="s">
        <v>498</v>
      </c>
      <c r="P4135" s="656" t="s">
        <v>13052</v>
      </c>
      <c r="Q4135" s="656">
        <v>44216.7653587963</v>
      </c>
    </row>
    <row r="4136" spans="1:17">
      <c r="A4136" s="656" t="s">
        <v>5789</v>
      </c>
      <c r="B4136" s="657" t="s">
        <v>504</v>
      </c>
      <c r="C4136" s="656" t="s">
        <v>5790</v>
      </c>
      <c r="D4136" s="657"/>
      <c r="E4136" s="657"/>
      <c r="F4136" s="656" t="s">
        <v>505</v>
      </c>
      <c r="G4136" s="656" t="s">
        <v>4394</v>
      </c>
      <c r="H4136" s="656" t="s">
        <v>505</v>
      </c>
      <c r="I4136" s="656"/>
      <c r="J4136" s="656"/>
      <c r="K4136" s="656"/>
      <c r="L4136" s="656"/>
      <c r="M4136" s="657"/>
      <c r="N4136" s="1482"/>
      <c r="O4136" s="656" t="s">
        <v>498</v>
      </c>
      <c r="P4136" s="656" t="s">
        <v>13052</v>
      </c>
      <c r="Q4136" s="656">
        <v>44216.7653587963</v>
      </c>
    </row>
    <row r="4137" spans="1:17">
      <c r="A4137" s="656" t="s">
        <v>5791</v>
      </c>
      <c r="B4137" s="657" t="s">
        <v>504</v>
      </c>
      <c r="C4137" s="656" t="s">
        <v>5792</v>
      </c>
      <c r="D4137" s="657"/>
      <c r="E4137" s="657"/>
      <c r="F4137" s="656" t="s">
        <v>505</v>
      </c>
      <c r="G4137" s="656" t="s">
        <v>4394</v>
      </c>
      <c r="H4137" s="656" t="s">
        <v>505</v>
      </c>
      <c r="I4137" s="656"/>
      <c r="J4137" s="656"/>
      <c r="K4137" s="656"/>
      <c r="L4137" s="656"/>
      <c r="M4137" s="657"/>
      <c r="N4137" s="1482"/>
      <c r="O4137" s="656" t="s">
        <v>498</v>
      </c>
      <c r="P4137" s="656" t="s">
        <v>13052</v>
      </c>
      <c r="Q4137" s="656">
        <v>44216.765347222223</v>
      </c>
    </row>
    <row r="4138" spans="1:17">
      <c r="A4138" s="656" t="s">
        <v>5793</v>
      </c>
      <c r="B4138" s="657" t="s">
        <v>504</v>
      </c>
      <c r="C4138" s="656" t="s">
        <v>5794</v>
      </c>
      <c r="D4138" s="657"/>
      <c r="E4138" s="657"/>
      <c r="F4138" s="656" t="s">
        <v>505</v>
      </c>
      <c r="G4138" s="656" t="s">
        <v>4324</v>
      </c>
      <c r="H4138" s="656" t="s">
        <v>505</v>
      </c>
      <c r="I4138" s="656"/>
      <c r="J4138" s="656"/>
      <c r="K4138" s="656"/>
      <c r="L4138" s="656"/>
      <c r="M4138" s="657"/>
      <c r="N4138" s="1482"/>
      <c r="O4138" s="656" t="s">
        <v>498</v>
      </c>
      <c r="P4138" s="656" t="s">
        <v>13052</v>
      </c>
      <c r="Q4138" s="656">
        <v>44216.765347222223</v>
      </c>
    </row>
    <row r="4139" spans="1:17">
      <c r="A4139" s="656" t="s">
        <v>5795</v>
      </c>
      <c r="B4139" s="657" t="s">
        <v>504</v>
      </c>
      <c r="C4139" s="656" t="s">
        <v>5796</v>
      </c>
      <c r="D4139" s="657"/>
      <c r="E4139" s="657"/>
      <c r="F4139" s="656" t="s">
        <v>505</v>
      </c>
      <c r="G4139" s="656" t="s">
        <v>4394</v>
      </c>
      <c r="H4139" s="656" t="s">
        <v>505</v>
      </c>
      <c r="I4139" s="656"/>
      <c r="J4139" s="656"/>
      <c r="K4139" s="656"/>
      <c r="L4139" s="656"/>
      <c r="M4139" s="657"/>
      <c r="N4139" s="1482"/>
      <c r="O4139" s="656" t="s">
        <v>498</v>
      </c>
      <c r="P4139" s="656" t="s">
        <v>13052</v>
      </c>
      <c r="Q4139" s="656">
        <v>44216.765335648146</v>
      </c>
    </row>
    <row r="4140" spans="1:17">
      <c r="A4140" s="656" t="s">
        <v>5797</v>
      </c>
      <c r="B4140" s="657" t="s">
        <v>504</v>
      </c>
      <c r="C4140" s="656" t="s">
        <v>5798</v>
      </c>
      <c r="D4140" s="657"/>
      <c r="E4140" s="657"/>
      <c r="F4140" s="656" t="s">
        <v>505</v>
      </c>
      <c r="G4140" s="656" t="s">
        <v>4394</v>
      </c>
      <c r="H4140" s="656" t="s">
        <v>505</v>
      </c>
      <c r="I4140" s="656"/>
      <c r="J4140" s="656"/>
      <c r="K4140" s="656"/>
      <c r="L4140" s="656"/>
      <c r="M4140" s="657"/>
      <c r="N4140" s="1482"/>
      <c r="O4140" s="656" t="s">
        <v>498</v>
      </c>
      <c r="P4140" s="656" t="s">
        <v>13052</v>
      </c>
      <c r="Q4140" s="656">
        <v>44216.765335648146</v>
      </c>
    </row>
    <row r="4141" spans="1:17">
      <c r="A4141" s="656" t="s">
        <v>5799</v>
      </c>
      <c r="B4141" s="657" t="s">
        <v>504</v>
      </c>
      <c r="C4141" s="656" t="s">
        <v>5800</v>
      </c>
      <c r="D4141" s="657"/>
      <c r="E4141" s="657"/>
      <c r="F4141" s="656" t="s">
        <v>505</v>
      </c>
      <c r="G4141" s="656" t="s">
        <v>4394</v>
      </c>
      <c r="H4141" s="656" t="s">
        <v>505</v>
      </c>
      <c r="I4141" s="656"/>
      <c r="J4141" s="656"/>
      <c r="K4141" s="656"/>
      <c r="L4141" s="656"/>
      <c r="M4141" s="657"/>
      <c r="N4141" s="1482"/>
      <c r="O4141" s="656" t="s">
        <v>498</v>
      </c>
      <c r="P4141" s="656" t="s">
        <v>13052</v>
      </c>
      <c r="Q4141" s="656">
        <v>44216.765324074076</v>
      </c>
    </row>
    <row r="4142" spans="1:17">
      <c r="A4142" s="656" t="s">
        <v>5801</v>
      </c>
      <c r="B4142" s="657" t="s">
        <v>504</v>
      </c>
      <c r="C4142" s="656" t="s">
        <v>5802</v>
      </c>
      <c r="D4142" s="657"/>
      <c r="E4142" s="657"/>
      <c r="F4142" s="656" t="s">
        <v>505</v>
      </c>
      <c r="G4142" s="656" t="s">
        <v>4394</v>
      </c>
      <c r="H4142" s="656" t="s">
        <v>505</v>
      </c>
      <c r="I4142" s="656"/>
      <c r="J4142" s="656"/>
      <c r="K4142" s="656"/>
      <c r="L4142" s="656"/>
      <c r="M4142" s="657"/>
      <c r="N4142" s="1482"/>
      <c r="O4142" s="656" t="s">
        <v>498</v>
      </c>
      <c r="P4142" s="656" t="s">
        <v>13052</v>
      </c>
      <c r="Q4142" s="656">
        <v>44216.765324074076</v>
      </c>
    </row>
    <row r="4143" spans="1:17">
      <c r="A4143" s="656" t="s">
        <v>5803</v>
      </c>
      <c r="B4143" s="657" t="s">
        <v>504</v>
      </c>
      <c r="C4143" s="656" t="s">
        <v>5804</v>
      </c>
      <c r="D4143" s="657"/>
      <c r="E4143" s="657"/>
      <c r="F4143" s="656" t="s">
        <v>505</v>
      </c>
      <c r="G4143" s="656" t="s">
        <v>4394</v>
      </c>
      <c r="H4143" s="656" t="s">
        <v>505</v>
      </c>
      <c r="I4143" s="656"/>
      <c r="J4143" s="656"/>
      <c r="K4143" s="656"/>
      <c r="L4143" s="656"/>
      <c r="M4143" s="657"/>
      <c r="N4143" s="1482"/>
      <c r="O4143" s="656" t="s">
        <v>498</v>
      </c>
      <c r="P4143" s="656" t="s">
        <v>13052</v>
      </c>
      <c r="Q4143" s="656">
        <v>44216.7653125</v>
      </c>
    </row>
    <row r="4144" spans="1:17">
      <c r="A4144" s="656" t="s">
        <v>5805</v>
      </c>
      <c r="B4144" s="657" t="s">
        <v>504</v>
      </c>
      <c r="C4144" s="656" t="s">
        <v>5806</v>
      </c>
      <c r="D4144" s="657"/>
      <c r="E4144" s="657"/>
      <c r="F4144" s="656" t="s">
        <v>505</v>
      </c>
      <c r="G4144" s="656" t="s">
        <v>4394</v>
      </c>
      <c r="H4144" s="656" t="s">
        <v>505</v>
      </c>
      <c r="I4144" s="656"/>
      <c r="J4144" s="656"/>
      <c r="K4144" s="656"/>
      <c r="L4144" s="656"/>
      <c r="M4144" s="657"/>
      <c r="N4144" s="1482"/>
      <c r="O4144" s="656" t="s">
        <v>498</v>
      </c>
      <c r="P4144" s="656" t="s">
        <v>13052</v>
      </c>
      <c r="Q4144" s="656">
        <v>44216.7653125</v>
      </c>
    </row>
    <row r="4145" spans="1:17">
      <c r="A4145" s="656" t="s">
        <v>5807</v>
      </c>
      <c r="B4145" s="657" t="s">
        <v>504</v>
      </c>
      <c r="C4145" s="656" t="s">
        <v>5808</v>
      </c>
      <c r="D4145" s="657"/>
      <c r="E4145" s="657"/>
      <c r="F4145" s="656" t="s">
        <v>505</v>
      </c>
      <c r="G4145" s="656" t="s">
        <v>4394</v>
      </c>
      <c r="H4145" s="656" t="s">
        <v>505</v>
      </c>
      <c r="I4145" s="656"/>
      <c r="J4145" s="656"/>
      <c r="K4145" s="656"/>
      <c r="L4145" s="656"/>
      <c r="M4145" s="657"/>
      <c r="N4145" s="1482"/>
      <c r="O4145" s="656" t="s">
        <v>498</v>
      </c>
      <c r="P4145" s="656" t="s">
        <v>13052</v>
      </c>
      <c r="Q4145" s="656">
        <v>44216.7653125</v>
      </c>
    </row>
    <row r="4146" spans="1:17">
      <c r="A4146" s="656" t="s">
        <v>5809</v>
      </c>
      <c r="B4146" s="657" t="s">
        <v>504</v>
      </c>
      <c r="C4146" s="656" t="s">
        <v>5808</v>
      </c>
      <c r="D4146" s="657"/>
      <c r="E4146" s="657"/>
      <c r="F4146" s="656" t="s">
        <v>505</v>
      </c>
      <c r="G4146" s="656" t="s">
        <v>4394</v>
      </c>
      <c r="H4146" s="656" t="s">
        <v>505</v>
      </c>
      <c r="I4146" s="656"/>
      <c r="J4146" s="656"/>
      <c r="K4146" s="656"/>
      <c r="L4146" s="656"/>
      <c r="M4146" s="657"/>
      <c r="N4146" s="1482"/>
      <c r="O4146" s="656" t="s">
        <v>498</v>
      </c>
      <c r="P4146" s="656" t="s">
        <v>13052</v>
      </c>
      <c r="Q4146" s="656">
        <v>44216.765300925923</v>
      </c>
    </row>
    <row r="4147" spans="1:17">
      <c r="A4147" s="656" t="s">
        <v>5810</v>
      </c>
      <c r="B4147" s="657" t="s">
        <v>504</v>
      </c>
      <c r="C4147" s="656" t="s">
        <v>5811</v>
      </c>
      <c r="D4147" s="657"/>
      <c r="E4147" s="657"/>
      <c r="F4147" s="656" t="s">
        <v>505</v>
      </c>
      <c r="G4147" s="656" t="s">
        <v>4394</v>
      </c>
      <c r="H4147" s="656" t="s">
        <v>505</v>
      </c>
      <c r="I4147" s="656"/>
      <c r="J4147" s="656"/>
      <c r="K4147" s="656"/>
      <c r="L4147" s="656"/>
      <c r="M4147" s="657"/>
      <c r="N4147" s="1482"/>
      <c r="O4147" s="656" t="s">
        <v>498</v>
      </c>
      <c r="P4147" s="656" t="s">
        <v>13052</v>
      </c>
      <c r="Q4147" s="656">
        <v>44216.765300925923</v>
      </c>
    </row>
    <row r="4148" spans="1:17">
      <c r="A4148" s="656" t="s">
        <v>5812</v>
      </c>
      <c r="B4148" s="657" t="s">
        <v>504</v>
      </c>
      <c r="C4148" s="656" t="s">
        <v>5813</v>
      </c>
      <c r="D4148" s="657"/>
      <c r="E4148" s="657"/>
      <c r="F4148" s="656" t="s">
        <v>505</v>
      </c>
      <c r="G4148" s="656" t="s">
        <v>4324</v>
      </c>
      <c r="H4148" s="656" t="s">
        <v>505</v>
      </c>
      <c r="I4148" s="656"/>
      <c r="J4148" s="656"/>
      <c r="K4148" s="656"/>
      <c r="L4148" s="656"/>
      <c r="M4148" s="657"/>
      <c r="N4148" s="1482"/>
      <c r="O4148" s="656" t="s">
        <v>498</v>
      </c>
      <c r="P4148" s="656" t="s">
        <v>13052</v>
      </c>
      <c r="Q4148" s="656">
        <v>44216.765289351853</v>
      </c>
    </row>
    <row r="4149" spans="1:17">
      <c r="A4149" s="656" t="s">
        <v>5814</v>
      </c>
      <c r="B4149" s="657" t="s">
        <v>504</v>
      </c>
      <c r="C4149" s="656" t="s">
        <v>5815</v>
      </c>
      <c r="D4149" s="657"/>
      <c r="E4149" s="657"/>
      <c r="F4149" s="656" t="s">
        <v>505</v>
      </c>
      <c r="G4149" s="656" t="s">
        <v>4324</v>
      </c>
      <c r="H4149" s="656" t="s">
        <v>505</v>
      </c>
      <c r="I4149" s="656"/>
      <c r="J4149" s="656"/>
      <c r="K4149" s="656"/>
      <c r="L4149" s="656"/>
      <c r="M4149" s="657"/>
      <c r="N4149" s="1482"/>
      <c r="O4149" s="656" t="s">
        <v>498</v>
      </c>
      <c r="P4149" s="656" t="s">
        <v>13052</v>
      </c>
      <c r="Q4149" s="656">
        <v>44216.765289351853</v>
      </c>
    </row>
    <row r="4150" spans="1:17">
      <c r="A4150" s="656" t="s">
        <v>5816</v>
      </c>
      <c r="B4150" s="657" t="s">
        <v>504</v>
      </c>
      <c r="C4150" s="656" t="s">
        <v>5817</v>
      </c>
      <c r="D4150" s="657"/>
      <c r="E4150" s="657"/>
      <c r="F4150" s="656" t="s">
        <v>505</v>
      </c>
      <c r="G4150" s="656" t="s">
        <v>4324</v>
      </c>
      <c r="H4150" s="656" t="s">
        <v>505</v>
      </c>
      <c r="I4150" s="656"/>
      <c r="J4150" s="656"/>
      <c r="K4150" s="656"/>
      <c r="L4150" s="656"/>
      <c r="M4150" s="657"/>
      <c r="N4150" s="1482"/>
      <c r="O4150" s="656" t="s">
        <v>498</v>
      </c>
      <c r="P4150" s="656" t="s">
        <v>13052</v>
      </c>
      <c r="Q4150" s="656">
        <v>44216.765277777777</v>
      </c>
    </row>
    <row r="4151" spans="1:17">
      <c r="A4151" s="656" t="s">
        <v>5818</v>
      </c>
      <c r="B4151" s="657" t="s">
        <v>504</v>
      </c>
      <c r="C4151" s="656" t="s">
        <v>5819</v>
      </c>
      <c r="D4151" s="657"/>
      <c r="E4151" s="657"/>
      <c r="F4151" s="656" t="s">
        <v>505</v>
      </c>
      <c r="G4151" s="656" t="s">
        <v>4324</v>
      </c>
      <c r="H4151" s="656" t="s">
        <v>505</v>
      </c>
      <c r="I4151" s="656"/>
      <c r="J4151" s="656"/>
      <c r="K4151" s="656"/>
      <c r="L4151" s="656"/>
      <c r="M4151" s="657"/>
      <c r="N4151" s="1482"/>
      <c r="O4151" s="656" t="s">
        <v>498</v>
      </c>
      <c r="P4151" s="656" t="s">
        <v>13052</v>
      </c>
      <c r="Q4151" s="656">
        <v>44216.765266203707</v>
      </c>
    </row>
    <row r="4152" spans="1:17">
      <c r="A4152" s="656" t="s">
        <v>5820</v>
      </c>
      <c r="B4152" s="657" t="s">
        <v>504</v>
      </c>
      <c r="C4152" s="656" t="s">
        <v>5821</v>
      </c>
      <c r="D4152" s="657"/>
      <c r="E4152" s="657"/>
      <c r="F4152" s="656" t="s">
        <v>505</v>
      </c>
      <c r="G4152" s="656" t="s">
        <v>4324</v>
      </c>
      <c r="H4152" s="656" t="s">
        <v>505</v>
      </c>
      <c r="I4152" s="656"/>
      <c r="J4152" s="656"/>
      <c r="K4152" s="656"/>
      <c r="L4152" s="656"/>
      <c r="M4152" s="657"/>
      <c r="N4152" s="1482"/>
      <c r="O4152" s="656" t="s">
        <v>498</v>
      </c>
      <c r="P4152" s="656" t="s">
        <v>13052</v>
      </c>
      <c r="Q4152" s="656">
        <v>44216.765266203707</v>
      </c>
    </row>
    <row r="4153" spans="1:17">
      <c r="A4153" s="656" t="s">
        <v>5822</v>
      </c>
      <c r="B4153" s="657" t="s">
        <v>504</v>
      </c>
      <c r="C4153" s="656" t="s">
        <v>5823</v>
      </c>
      <c r="D4153" s="657"/>
      <c r="E4153" s="657"/>
      <c r="F4153" s="656" t="s">
        <v>505</v>
      </c>
      <c r="G4153" s="656" t="s">
        <v>4324</v>
      </c>
      <c r="H4153" s="656" t="s">
        <v>505</v>
      </c>
      <c r="I4153" s="656"/>
      <c r="J4153" s="656"/>
      <c r="K4153" s="656"/>
      <c r="L4153" s="656"/>
      <c r="M4153" s="657"/>
      <c r="N4153" s="1482"/>
      <c r="O4153" s="656" t="s">
        <v>498</v>
      </c>
      <c r="P4153" s="656" t="s">
        <v>13052</v>
      </c>
      <c r="Q4153" s="656">
        <v>44216.765208333331</v>
      </c>
    </row>
    <row r="4154" spans="1:17">
      <c r="A4154" s="656" t="s">
        <v>5824</v>
      </c>
      <c r="B4154" s="657" t="s">
        <v>504</v>
      </c>
      <c r="C4154" s="656" t="s">
        <v>5825</v>
      </c>
      <c r="D4154" s="657"/>
      <c r="E4154" s="657"/>
      <c r="F4154" s="656" t="s">
        <v>505</v>
      </c>
      <c r="G4154" s="656" t="s">
        <v>4324</v>
      </c>
      <c r="H4154" s="656" t="s">
        <v>505</v>
      </c>
      <c r="I4154" s="656"/>
      <c r="J4154" s="656"/>
      <c r="K4154" s="656"/>
      <c r="L4154" s="656"/>
      <c r="M4154" s="657"/>
      <c r="N4154" s="1482"/>
      <c r="O4154" s="656" t="s">
        <v>498</v>
      </c>
      <c r="P4154" s="656" t="s">
        <v>13052</v>
      </c>
      <c r="Q4154" s="656">
        <v>44216.765196759261</v>
      </c>
    </row>
    <row r="4155" spans="1:17">
      <c r="A4155" s="656" t="s">
        <v>5826</v>
      </c>
      <c r="B4155" s="657" t="s">
        <v>504</v>
      </c>
      <c r="C4155" s="656" t="s">
        <v>5827</v>
      </c>
      <c r="D4155" s="657"/>
      <c r="E4155" s="657"/>
      <c r="F4155" s="656" t="s">
        <v>505</v>
      </c>
      <c r="G4155" s="656" t="s">
        <v>4324</v>
      </c>
      <c r="H4155" s="656" t="s">
        <v>505</v>
      </c>
      <c r="I4155" s="656"/>
      <c r="J4155" s="656"/>
      <c r="K4155" s="656"/>
      <c r="L4155" s="656"/>
      <c r="M4155" s="657"/>
      <c r="N4155" s="1482"/>
      <c r="O4155" s="656" t="s">
        <v>498</v>
      </c>
      <c r="P4155" s="656" t="s">
        <v>13052</v>
      </c>
      <c r="Q4155" s="656">
        <v>44216.765196759261</v>
      </c>
    </row>
    <row r="4156" spans="1:17">
      <c r="A4156" s="656" t="s">
        <v>5828</v>
      </c>
      <c r="B4156" s="657" t="s">
        <v>504</v>
      </c>
      <c r="C4156" s="656" t="s">
        <v>5829</v>
      </c>
      <c r="D4156" s="657"/>
      <c r="E4156" s="657"/>
      <c r="F4156" s="656" t="s">
        <v>505</v>
      </c>
      <c r="G4156" s="656" t="s">
        <v>4324</v>
      </c>
      <c r="H4156" s="656" t="s">
        <v>505</v>
      </c>
      <c r="I4156" s="656"/>
      <c r="J4156" s="656"/>
      <c r="K4156" s="656"/>
      <c r="L4156" s="656"/>
      <c r="M4156" s="657"/>
      <c r="N4156" s="1482"/>
      <c r="O4156" s="656" t="s">
        <v>498</v>
      </c>
      <c r="P4156" s="656" t="s">
        <v>13052</v>
      </c>
      <c r="Q4156" s="656">
        <v>44216.765185185184</v>
      </c>
    </row>
    <row r="4157" spans="1:17">
      <c r="A4157" s="656" t="s">
        <v>5830</v>
      </c>
      <c r="B4157" s="657"/>
      <c r="C4157" s="656" t="s">
        <v>5831</v>
      </c>
      <c r="D4157" s="657" t="s">
        <v>1239</v>
      </c>
      <c r="E4157" s="657"/>
      <c r="F4157" s="656"/>
      <c r="G4157" s="656" t="s">
        <v>5103</v>
      </c>
      <c r="H4157" s="656"/>
      <c r="I4157" s="656" t="s">
        <v>14976</v>
      </c>
      <c r="J4157" s="656"/>
      <c r="K4157" s="656"/>
      <c r="L4157" s="656"/>
      <c r="M4157" s="657"/>
      <c r="N4157" s="1482"/>
      <c r="O4157" s="656" t="s">
        <v>498</v>
      </c>
      <c r="P4157" s="656" t="s">
        <v>13052</v>
      </c>
      <c r="Q4157" s="656">
        <v>44216.765185185184</v>
      </c>
    </row>
    <row r="4158" spans="1:17">
      <c r="A4158" s="656" t="s">
        <v>5832</v>
      </c>
      <c r="B4158" s="657" t="s">
        <v>504</v>
      </c>
      <c r="C4158" s="656" t="s">
        <v>5833</v>
      </c>
      <c r="D4158" s="657"/>
      <c r="E4158" s="657"/>
      <c r="F4158" s="656" t="s">
        <v>505</v>
      </c>
      <c r="G4158" s="656" t="s">
        <v>4324</v>
      </c>
      <c r="H4158" s="656" t="s">
        <v>505</v>
      </c>
      <c r="I4158" s="656"/>
      <c r="J4158" s="656"/>
      <c r="K4158" s="656"/>
      <c r="L4158" s="656"/>
      <c r="M4158" s="657"/>
      <c r="N4158" s="1482"/>
      <c r="O4158" s="656" t="s">
        <v>498</v>
      </c>
      <c r="P4158" s="656" t="s">
        <v>13052</v>
      </c>
      <c r="Q4158" s="656">
        <v>44216.765173611115</v>
      </c>
    </row>
    <row r="4159" spans="1:17">
      <c r="A4159" s="656" t="s">
        <v>5834</v>
      </c>
      <c r="B4159" s="657"/>
      <c r="C4159" s="656" t="s">
        <v>5667</v>
      </c>
      <c r="D4159" s="657" t="s">
        <v>14977</v>
      </c>
      <c r="E4159" s="657"/>
      <c r="F4159" s="656"/>
      <c r="G4159" s="656"/>
      <c r="H4159" s="656"/>
      <c r="I4159" s="656" t="s">
        <v>14976</v>
      </c>
      <c r="J4159" s="656"/>
      <c r="K4159" s="656"/>
      <c r="L4159" s="656" t="s">
        <v>5834</v>
      </c>
      <c r="M4159" s="657"/>
      <c r="N4159" s="1482"/>
      <c r="O4159" s="656" t="s">
        <v>498</v>
      </c>
      <c r="P4159" s="656" t="s">
        <v>13052</v>
      </c>
      <c r="Q4159" s="656">
        <v>44216.765162037038</v>
      </c>
    </row>
    <row r="4160" spans="1:17">
      <c r="A4160" s="656" t="s">
        <v>5835</v>
      </c>
      <c r="B4160" s="657"/>
      <c r="C4160" s="656" t="s">
        <v>5667</v>
      </c>
      <c r="D4160" s="657" t="s">
        <v>14977</v>
      </c>
      <c r="E4160" s="657"/>
      <c r="F4160" s="656"/>
      <c r="G4160" s="656"/>
      <c r="H4160" s="656"/>
      <c r="I4160" s="656" t="s">
        <v>14976</v>
      </c>
      <c r="J4160" s="656"/>
      <c r="K4160" s="656"/>
      <c r="L4160" s="656" t="s">
        <v>5835</v>
      </c>
      <c r="M4160" s="657"/>
      <c r="N4160" s="1482"/>
      <c r="O4160" s="656" t="s">
        <v>498</v>
      </c>
      <c r="P4160" s="656" t="s">
        <v>13052</v>
      </c>
      <c r="Q4160" s="656">
        <v>44216.765162037038</v>
      </c>
    </row>
    <row r="4161" spans="1:17">
      <c r="A4161" s="656" t="s">
        <v>5836</v>
      </c>
      <c r="B4161" s="657"/>
      <c r="C4161" s="656" t="s">
        <v>5667</v>
      </c>
      <c r="D4161" s="657" t="s">
        <v>14977</v>
      </c>
      <c r="E4161" s="657"/>
      <c r="F4161" s="656"/>
      <c r="G4161" s="656"/>
      <c r="H4161" s="656"/>
      <c r="I4161" s="656" t="s">
        <v>14976</v>
      </c>
      <c r="J4161" s="656"/>
      <c r="K4161" s="656"/>
      <c r="L4161" s="656" t="s">
        <v>5836</v>
      </c>
      <c r="M4161" s="657"/>
      <c r="N4161" s="1482"/>
      <c r="O4161" s="656" t="s">
        <v>498</v>
      </c>
      <c r="P4161" s="656" t="s">
        <v>13052</v>
      </c>
      <c r="Q4161" s="656">
        <v>44216.765150462961</v>
      </c>
    </row>
    <row r="4162" spans="1:17">
      <c r="A4162" s="656" t="s">
        <v>5837</v>
      </c>
      <c r="B4162" s="657"/>
      <c r="C4162" s="656" t="s">
        <v>5667</v>
      </c>
      <c r="D4162" s="657" t="s">
        <v>14977</v>
      </c>
      <c r="E4162" s="657"/>
      <c r="F4162" s="656"/>
      <c r="G4162" s="656"/>
      <c r="H4162" s="656"/>
      <c r="I4162" s="656" t="s">
        <v>14976</v>
      </c>
      <c r="J4162" s="656"/>
      <c r="K4162" s="656"/>
      <c r="L4162" s="656" t="s">
        <v>5837</v>
      </c>
      <c r="M4162" s="657"/>
      <c r="N4162" s="1482"/>
      <c r="O4162" s="656" t="s">
        <v>498</v>
      </c>
      <c r="P4162" s="656" t="s">
        <v>13052</v>
      </c>
      <c r="Q4162" s="656">
        <v>44216.765150462961</v>
      </c>
    </row>
    <row r="4163" spans="1:17">
      <c r="A4163" s="656" t="s">
        <v>5838</v>
      </c>
      <c r="B4163" s="657"/>
      <c r="C4163" s="656" t="s">
        <v>5667</v>
      </c>
      <c r="D4163" s="657" t="s">
        <v>14977</v>
      </c>
      <c r="E4163" s="657"/>
      <c r="F4163" s="656"/>
      <c r="G4163" s="656"/>
      <c r="H4163" s="656"/>
      <c r="I4163" s="656" t="s">
        <v>14976</v>
      </c>
      <c r="J4163" s="656"/>
      <c r="K4163" s="656"/>
      <c r="L4163" s="656" t="s">
        <v>5838</v>
      </c>
      <c r="M4163" s="657"/>
      <c r="N4163" s="1482"/>
      <c r="O4163" s="656" t="s">
        <v>498</v>
      </c>
      <c r="P4163" s="656" t="s">
        <v>13052</v>
      </c>
      <c r="Q4163" s="656">
        <v>44216.765138888892</v>
      </c>
    </row>
    <row r="4164" spans="1:17">
      <c r="A4164" s="656" t="s">
        <v>5839</v>
      </c>
      <c r="B4164" s="657" t="s">
        <v>504</v>
      </c>
      <c r="C4164" s="656" t="s">
        <v>5840</v>
      </c>
      <c r="D4164" s="657"/>
      <c r="E4164" s="657"/>
      <c r="F4164" s="656" t="s">
        <v>505</v>
      </c>
      <c r="G4164" s="656" t="s">
        <v>4394</v>
      </c>
      <c r="H4164" s="656" t="s">
        <v>505</v>
      </c>
      <c r="I4164" s="656"/>
      <c r="J4164" s="656"/>
      <c r="K4164" s="656"/>
      <c r="L4164" s="656"/>
      <c r="M4164" s="657"/>
      <c r="N4164" s="1482"/>
      <c r="O4164" s="656" t="s">
        <v>498</v>
      </c>
      <c r="P4164" s="656" t="s">
        <v>13052</v>
      </c>
      <c r="Q4164" s="656">
        <v>44216.765138888892</v>
      </c>
    </row>
    <row r="4165" spans="1:17">
      <c r="A4165" s="656" t="s">
        <v>5841</v>
      </c>
      <c r="B4165" s="657" t="s">
        <v>504</v>
      </c>
      <c r="C4165" s="656" t="s">
        <v>5842</v>
      </c>
      <c r="D4165" s="657"/>
      <c r="E4165" s="657"/>
      <c r="F4165" s="656" t="s">
        <v>505</v>
      </c>
      <c r="G4165" s="656" t="s">
        <v>4394</v>
      </c>
      <c r="H4165" s="656" t="s">
        <v>505</v>
      </c>
      <c r="I4165" s="656"/>
      <c r="J4165" s="656"/>
      <c r="K4165" s="656"/>
      <c r="L4165" s="656"/>
      <c r="M4165" s="657"/>
      <c r="N4165" s="1482"/>
      <c r="O4165" s="656" t="s">
        <v>498</v>
      </c>
      <c r="P4165" s="656" t="s">
        <v>13052</v>
      </c>
      <c r="Q4165" s="656">
        <v>44216.765127314815</v>
      </c>
    </row>
    <row r="4166" spans="1:17">
      <c r="A4166" s="656" t="s">
        <v>5843</v>
      </c>
      <c r="B4166" s="657" t="s">
        <v>504</v>
      </c>
      <c r="C4166" s="656" t="s">
        <v>5844</v>
      </c>
      <c r="D4166" s="657"/>
      <c r="E4166" s="657"/>
      <c r="F4166" s="656" t="s">
        <v>505</v>
      </c>
      <c r="G4166" s="656" t="s">
        <v>4394</v>
      </c>
      <c r="H4166" s="656" t="s">
        <v>505</v>
      </c>
      <c r="I4166" s="656"/>
      <c r="J4166" s="656"/>
      <c r="K4166" s="656"/>
      <c r="L4166" s="656"/>
      <c r="M4166" s="657"/>
      <c r="N4166" s="1482"/>
      <c r="O4166" s="656" t="s">
        <v>498</v>
      </c>
      <c r="P4166" s="656" t="s">
        <v>13052</v>
      </c>
      <c r="Q4166" s="656">
        <v>44216.765115740738</v>
      </c>
    </row>
    <row r="4167" spans="1:17">
      <c r="A4167" s="656" t="s">
        <v>5845</v>
      </c>
      <c r="B4167" s="657" t="s">
        <v>504</v>
      </c>
      <c r="C4167" s="656" t="s">
        <v>5846</v>
      </c>
      <c r="D4167" s="657"/>
      <c r="E4167" s="657"/>
      <c r="F4167" s="656" t="s">
        <v>505</v>
      </c>
      <c r="G4167" s="656" t="s">
        <v>4394</v>
      </c>
      <c r="H4167" s="656" t="s">
        <v>505</v>
      </c>
      <c r="I4167" s="656"/>
      <c r="J4167" s="656"/>
      <c r="K4167" s="656"/>
      <c r="L4167" s="656"/>
      <c r="M4167" s="657"/>
      <c r="N4167" s="1482"/>
      <c r="O4167" s="656" t="s">
        <v>498</v>
      </c>
      <c r="P4167" s="656" t="s">
        <v>13052</v>
      </c>
      <c r="Q4167" s="656">
        <v>44216.765115740738</v>
      </c>
    </row>
    <row r="4168" spans="1:17">
      <c r="A4168" s="656" t="s">
        <v>5847</v>
      </c>
      <c r="B4168" s="657" t="s">
        <v>504</v>
      </c>
      <c r="C4168" s="656" t="s">
        <v>5848</v>
      </c>
      <c r="D4168" s="657"/>
      <c r="E4168" s="657"/>
      <c r="F4168" s="656" t="s">
        <v>505</v>
      </c>
      <c r="G4168" s="656" t="s">
        <v>4394</v>
      </c>
      <c r="H4168" s="656" t="s">
        <v>505</v>
      </c>
      <c r="I4168" s="656"/>
      <c r="J4168" s="656"/>
      <c r="K4168" s="656"/>
      <c r="L4168" s="656"/>
      <c r="M4168" s="657"/>
      <c r="N4168" s="1482"/>
      <c r="O4168" s="656" t="s">
        <v>498</v>
      </c>
      <c r="P4168" s="656" t="s">
        <v>13052</v>
      </c>
      <c r="Q4168" s="656">
        <v>44216.765115740738</v>
      </c>
    </row>
    <row r="4169" spans="1:17">
      <c r="A4169" s="656" t="s">
        <v>5849</v>
      </c>
      <c r="B4169" s="657"/>
      <c r="C4169" s="656" t="s">
        <v>5667</v>
      </c>
      <c r="D4169" s="657" t="s">
        <v>14977</v>
      </c>
      <c r="E4169" s="657"/>
      <c r="F4169" s="656"/>
      <c r="G4169" s="656"/>
      <c r="H4169" s="656"/>
      <c r="I4169" s="656" t="s">
        <v>14976</v>
      </c>
      <c r="J4169" s="656"/>
      <c r="K4169" s="656"/>
      <c r="L4169" s="656" t="s">
        <v>5849</v>
      </c>
      <c r="M4169" s="657"/>
      <c r="N4169" s="1482"/>
      <c r="O4169" s="656" t="s">
        <v>498</v>
      </c>
      <c r="P4169" s="656" t="s">
        <v>13052</v>
      </c>
      <c r="Q4169" s="656">
        <v>44216.765104166669</v>
      </c>
    </row>
    <row r="4170" spans="1:17">
      <c r="A4170" s="656" t="s">
        <v>15822</v>
      </c>
      <c r="B4170" s="657" t="s">
        <v>504</v>
      </c>
      <c r="C4170" s="656" t="s">
        <v>15823</v>
      </c>
      <c r="D4170" s="657" t="s">
        <v>13789</v>
      </c>
      <c r="E4170" s="657" t="s">
        <v>7435</v>
      </c>
      <c r="F4170" s="656"/>
      <c r="G4170" s="656"/>
      <c r="H4170" s="656"/>
      <c r="I4170" s="656" t="s">
        <v>13051</v>
      </c>
      <c r="J4170" s="656"/>
      <c r="K4170" s="656"/>
      <c r="L4170" s="656"/>
      <c r="M4170" s="657"/>
      <c r="N4170" s="1482">
        <v>196</v>
      </c>
      <c r="O4170" s="656" t="s">
        <v>498</v>
      </c>
      <c r="P4170" s="656" t="s">
        <v>13052</v>
      </c>
      <c r="Q4170" s="656">
        <v>44266.151516203703</v>
      </c>
    </row>
    <row r="4171" spans="1:17">
      <c r="A4171" s="656" t="s">
        <v>5850</v>
      </c>
      <c r="B4171" s="657" t="s">
        <v>504</v>
      </c>
      <c r="C4171" s="656" t="s">
        <v>5851</v>
      </c>
      <c r="D4171" s="657" t="s">
        <v>13789</v>
      </c>
      <c r="E4171" s="657" t="s">
        <v>9510</v>
      </c>
      <c r="F4171" s="656" t="s">
        <v>505</v>
      </c>
      <c r="G4171" s="656" t="s">
        <v>525</v>
      </c>
      <c r="H4171" s="656" t="s">
        <v>505</v>
      </c>
      <c r="I4171" s="656" t="s">
        <v>14976</v>
      </c>
      <c r="J4171" s="656"/>
      <c r="K4171" s="656"/>
      <c r="L4171" s="656"/>
      <c r="M4171" s="657"/>
      <c r="N4171" s="1482"/>
      <c r="O4171" s="656" t="s">
        <v>498</v>
      </c>
      <c r="P4171" s="656" t="s">
        <v>13052</v>
      </c>
      <c r="Q4171" s="656">
        <v>44216.765104166669</v>
      </c>
    </row>
    <row r="4172" spans="1:17">
      <c r="A4172" s="656" t="s">
        <v>5852</v>
      </c>
      <c r="B4172" s="657" t="s">
        <v>504</v>
      </c>
      <c r="C4172" s="656" t="s">
        <v>5853</v>
      </c>
      <c r="D4172" s="657" t="s">
        <v>13789</v>
      </c>
      <c r="E4172" s="657" t="s">
        <v>9458</v>
      </c>
      <c r="F4172" s="656" t="s">
        <v>505</v>
      </c>
      <c r="G4172" s="656" t="s">
        <v>525</v>
      </c>
      <c r="H4172" s="656" t="s">
        <v>505</v>
      </c>
      <c r="I4172" s="656" t="s">
        <v>14976</v>
      </c>
      <c r="J4172" s="656"/>
      <c r="K4172" s="656"/>
      <c r="L4172" s="656"/>
      <c r="M4172" s="657"/>
      <c r="N4172" s="1482"/>
      <c r="O4172" s="656" t="s">
        <v>498</v>
      </c>
      <c r="P4172" s="656" t="s">
        <v>13052</v>
      </c>
      <c r="Q4172" s="656">
        <v>44216.765081018515</v>
      </c>
    </row>
    <row r="4173" spans="1:17">
      <c r="A4173" s="656" t="s">
        <v>13256</v>
      </c>
      <c r="B4173" s="657" t="s">
        <v>504</v>
      </c>
      <c r="C4173" s="656" t="s">
        <v>5854</v>
      </c>
      <c r="D4173" s="657" t="s">
        <v>14978</v>
      </c>
      <c r="E4173" s="657" t="s">
        <v>7439</v>
      </c>
      <c r="F4173" s="656" t="s">
        <v>505</v>
      </c>
      <c r="G4173" s="656" t="s">
        <v>525</v>
      </c>
      <c r="H4173" s="656" t="s">
        <v>505</v>
      </c>
      <c r="I4173" s="656" t="s">
        <v>14976</v>
      </c>
      <c r="J4173" s="656"/>
      <c r="K4173" s="656"/>
      <c r="L4173" s="656" t="s">
        <v>5864</v>
      </c>
      <c r="M4173" s="657"/>
      <c r="N4173" s="1482"/>
      <c r="O4173" s="656" t="s">
        <v>498</v>
      </c>
      <c r="P4173" s="656" t="s">
        <v>13052</v>
      </c>
      <c r="Q4173" s="656">
        <v>44216.765081018515</v>
      </c>
    </row>
    <row r="4174" spans="1:17">
      <c r="A4174" s="656" t="s">
        <v>5855</v>
      </c>
      <c r="B4174" s="657" t="s">
        <v>504</v>
      </c>
      <c r="C4174" s="656" t="s">
        <v>5856</v>
      </c>
      <c r="D4174" s="657"/>
      <c r="E4174" s="657" t="s">
        <v>7439</v>
      </c>
      <c r="F4174" s="656" t="s">
        <v>505</v>
      </c>
      <c r="G4174" s="656" t="s">
        <v>525</v>
      </c>
      <c r="H4174" s="656" t="s">
        <v>505</v>
      </c>
      <c r="I4174" s="656"/>
      <c r="J4174" s="656"/>
      <c r="K4174" s="656"/>
      <c r="L4174" s="656"/>
      <c r="M4174" s="657"/>
      <c r="N4174" s="1482"/>
      <c r="O4174" s="656" t="s">
        <v>498</v>
      </c>
      <c r="P4174" s="656" t="s">
        <v>13052</v>
      </c>
      <c r="Q4174" s="656">
        <v>44216.765069444446</v>
      </c>
    </row>
    <row r="4175" spans="1:17">
      <c r="A4175" s="656" t="s">
        <v>5857</v>
      </c>
      <c r="B4175" s="657" t="s">
        <v>504</v>
      </c>
      <c r="C4175" s="656" t="s">
        <v>5858</v>
      </c>
      <c r="D4175" s="657"/>
      <c r="E4175" s="657"/>
      <c r="F4175" s="656" t="s">
        <v>505</v>
      </c>
      <c r="G4175" s="656"/>
      <c r="H4175" s="656" t="s">
        <v>505</v>
      </c>
      <c r="I4175" s="656"/>
      <c r="J4175" s="656"/>
      <c r="K4175" s="656"/>
      <c r="L4175" s="656"/>
      <c r="M4175" s="657"/>
      <c r="N4175" s="1482"/>
      <c r="O4175" s="656" t="s">
        <v>498</v>
      </c>
      <c r="P4175" s="656" t="s">
        <v>13052</v>
      </c>
      <c r="Q4175" s="656">
        <v>44216.765069444446</v>
      </c>
    </row>
    <row r="4176" spans="1:17">
      <c r="A4176" s="656" t="s">
        <v>5859</v>
      </c>
      <c r="B4176" s="657" t="s">
        <v>504</v>
      </c>
      <c r="C4176" s="656" t="s">
        <v>5856</v>
      </c>
      <c r="D4176" s="657"/>
      <c r="E4176" s="657"/>
      <c r="F4176" s="656" t="s">
        <v>505</v>
      </c>
      <c r="G4176" s="656" t="s">
        <v>525</v>
      </c>
      <c r="H4176" s="656" t="s">
        <v>505</v>
      </c>
      <c r="I4176" s="656"/>
      <c r="J4176" s="656"/>
      <c r="K4176" s="656"/>
      <c r="L4176" s="656"/>
      <c r="M4176" s="657"/>
      <c r="N4176" s="1482"/>
      <c r="O4176" s="656" t="s">
        <v>498</v>
      </c>
      <c r="P4176" s="656" t="s">
        <v>13052</v>
      </c>
      <c r="Q4176" s="656">
        <v>44216.765057870369</v>
      </c>
    </row>
    <row r="4177" spans="1:17">
      <c r="A4177" s="656" t="s">
        <v>5860</v>
      </c>
      <c r="B4177" s="657" t="s">
        <v>504</v>
      </c>
      <c r="C4177" s="656" t="s">
        <v>5861</v>
      </c>
      <c r="D4177" s="657"/>
      <c r="E4177" s="657"/>
      <c r="F4177" s="656" t="s">
        <v>505</v>
      </c>
      <c r="G4177" s="656" t="s">
        <v>4394</v>
      </c>
      <c r="H4177" s="656" t="s">
        <v>505</v>
      </c>
      <c r="I4177" s="656"/>
      <c r="J4177" s="656"/>
      <c r="K4177" s="656"/>
      <c r="L4177" s="656"/>
      <c r="M4177" s="657"/>
      <c r="N4177" s="1482"/>
      <c r="O4177" s="656" t="s">
        <v>498</v>
      </c>
      <c r="P4177" s="656" t="s">
        <v>13052</v>
      </c>
      <c r="Q4177" s="656">
        <v>44216.765057870369</v>
      </c>
    </row>
    <row r="4178" spans="1:17">
      <c r="A4178" s="656" t="s">
        <v>5862</v>
      </c>
      <c r="B4178" s="657" t="s">
        <v>504</v>
      </c>
      <c r="C4178" s="656" t="s">
        <v>5863</v>
      </c>
      <c r="D4178" s="657"/>
      <c r="E4178" s="657"/>
      <c r="F4178" s="656" t="s">
        <v>505</v>
      </c>
      <c r="G4178" s="656" t="s">
        <v>4394</v>
      </c>
      <c r="H4178" s="656" t="s">
        <v>505</v>
      </c>
      <c r="I4178" s="656"/>
      <c r="J4178" s="656"/>
      <c r="K4178" s="656"/>
      <c r="L4178" s="656"/>
      <c r="M4178" s="657"/>
      <c r="N4178" s="1482"/>
      <c r="O4178" s="656" t="s">
        <v>498</v>
      </c>
      <c r="P4178" s="656" t="s">
        <v>13052</v>
      </c>
      <c r="Q4178" s="656">
        <v>44216.765057870369</v>
      </c>
    </row>
    <row r="4179" spans="1:17">
      <c r="A4179" s="656" t="s">
        <v>5864</v>
      </c>
      <c r="B4179" s="657" t="s">
        <v>504</v>
      </c>
      <c r="C4179" s="656" t="s">
        <v>5865</v>
      </c>
      <c r="D4179" s="657"/>
      <c r="E4179" s="657"/>
      <c r="F4179" s="656" t="s">
        <v>505</v>
      </c>
      <c r="G4179" s="656" t="s">
        <v>4394</v>
      </c>
      <c r="H4179" s="656" t="s">
        <v>505</v>
      </c>
      <c r="I4179" s="656"/>
      <c r="J4179" s="656"/>
      <c r="K4179" s="656"/>
      <c r="L4179" s="656"/>
      <c r="M4179" s="657"/>
      <c r="N4179" s="1482"/>
      <c r="O4179" s="656" t="s">
        <v>498</v>
      </c>
      <c r="P4179" s="656" t="s">
        <v>13052</v>
      </c>
      <c r="Q4179" s="656">
        <v>44216.765046296299</v>
      </c>
    </row>
    <row r="4180" spans="1:17">
      <c r="A4180" s="656" t="s">
        <v>5866</v>
      </c>
      <c r="B4180" s="657"/>
      <c r="C4180" s="656" t="s">
        <v>5867</v>
      </c>
      <c r="D4180" s="657" t="s">
        <v>13789</v>
      </c>
      <c r="E4180" s="657"/>
      <c r="F4180" s="656"/>
      <c r="G4180" s="656" t="s">
        <v>4198</v>
      </c>
      <c r="H4180" s="656"/>
      <c r="I4180" s="656" t="s">
        <v>14976</v>
      </c>
      <c r="J4180" s="656"/>
      <c r="K4180" s="656"/>
      <c r="L4180" s="656"/>
      <c r="M4180" s="657"/>
      <c r="N4180" s="1482"/>
      <c r="O4180" s="656" t="s">
        <v>498</v>
      </c>
      <c r="P4180" s="656" t="s">
        <v>13052</v>
      </c>
      <c r="Q4180" s="656">
        <v>44216.765046296299</v>
      </c>
    </row>
    <row r="4181" spans="1:17">
      <c r="A4181" s="656" t="s">
        <v>5868</v>
      </c>
      <c r="B4181" s="657"/>
      <c r="C4181" s="656" t="s">
        <v>5667</v>
      </c>
      <c r="D4181" s="657" t="s">
        <v>13789</v>
      </c>
      <c r="E4181" s="657"/>
      <c r="F4181" s="656"/>
      <c r="G4181" s="656"/>
      <c r="H4181" s="656"/>
      <c r="I4181" s="656" t="s">
        <v>14976</v>
      </c>
      <c r="J4181" s="656"/>
      <c r="K4181" s="656"/>
      <c r="L4181" s="656"/>
      <c r="M4181" s="657"/>
      <c r="N4181" s="1482"/>
      <c r="O4181" s="656" t="s">
        <v>498</v>
      </c>
      <c r="P4181" s="656" t="s">
        <v>13052</v>
      </c>
      <c r="Q4181" s="656">
        <v>44216.765046296299</v>
      </c>
    </row>
    <row r="4182" spans="1:17">
      <c r="A4182" s="656" t="s">
        <v>5869</v>
      </c>
      <c r="B4182" s="657"/>
      <c r="C4182" s="656" t="s">
        <v>5667</v>
      </c>
      <c r="D4182" s="657" t="s">
        <v>13789</v>
      </c>
      <c r="E4182" s="657"/>
      <c r="F4182" s="656"/>
      <c r="G4182" s="656"/>
      <c r="H4182" s="656"/>
      <c r="I4182" s="656" t="s">
        <v>14976</v>
      </c>
      <c r="J4182" s="656"/>
      <c r="K4182" s="656"/>
      <c r="L4182" s="656"/>
      <c r="M4182" s="657"/>
      <c r="N4182" s="1482"/>
      <c r="O4182" s="656" t="s">
        <v>498</v>
      </c>
      <c r="P4182" s="656" t="s">
        <v>13052</v>
      </c>
      <c r="Q4182" s="656">
        <v>44216.765034722222</v>
      </c>
    </row>
    <row r="4183" spans="1:17">
      <c r="A4183" s="656" t="s">
        <v>5870</v>
      </c>
      <c r="B4183" s="657"/>
      <c r="C4183" s="656" t="s">
        <v>5667</v>
      </c>
      <c r="D4183" s="657" t="s">
        <v>13789</v>
      </c>
      <c r="E4183" s="657"/>
      <c r="F4183" s="656"/>
      <c r="G4183" s="656"/>
      <c r="H4183" s="656"/>
      <c r="I4183" s="656" t="s">
        <v>14976</v>
      </c>
      <c r="J4183" s="656"/>
      <c r="K4183" s="656"/>
      <c r="L4183" s="656"/>
      <c r="M4183" s="657"/>
      <c r="N4183" s="1482"/>
      <c r="O4183" s="656" t="s">
        <v>498</v>
      </c>
      <c r="P4183" s="656" t="s">
        <v>13052</v>
      </c>
      <c r="Q4183" s="656">
        <v>44216.765034722222</v>
      </c>
    </row>
    <row r="4184" spans="1:17">
      <c r="A4184" s="656" t="s">
        <v>5871</v>
      </c>
      <c r="B4184" s="657"/>
      <c r="C4184" s="656" t="s">
        <v>5667</v>
      </c>
      <c r="D4184" s="657" t="s">
        <v>13789</v>
      </c>
      <c r="E4184" s="657"/>
      <c r="F4184" s="656"/>
      <c r="G4184" s="656"/>
      <c r="H4184" s="656"/>
      <c r="I4184" s="656" t="s">
        <v>14976</v>
      </c>
      <c r="J4184" s="656"/>
      <c r="K4184" s="656"/>
      <c r="L4184" s="656"/>
      <c r="M4184" s="657"/>
      <c r="N4184" s="1482"/>
      <c r="O4184" s="656" t="s">
        <v>498</v>
      </c>
      <c r="P4184" s="656" t="s">
        <v>13052</v>
      </c>
      <c r="Q4184" s="656">
        <v>44216.765023148146</v>
      </c>
    </row>
    <row r="4185" spans="1:17">
      <c r="A4185" s="656" t="s">
        <v>5872</v>
      </c>
      <c r="B4185" s="657"/>
      <c r="C4185" s="656" t="s">
        <v>5667</v>
      </c>
      <c r="D4185" s="657" t="s">
        <v>13789</v>
      </c>
      <c r="E4185" s="657"/>
      <c r="F4185" s="656"/>
      <c r="G4185" s="656"/>
      <c r="H4185" s="656"/>
      <c r="I4185" s="656" t="s">
        <v>14976</v>
      </c>
      <c r="J4185" s="656"/>
      <c r="K4185" s="656"/>
      <c r="L4185" s="656"/>
      <c r="M4185" s="657"/>
      <c r="N4185" s="1482"/>
      <c r="O4185" s="656" t="s">
        <v>498</v>
      </c>
      <c r="P4185" s="656" t="s">
        <v>13052</v>
      </c>
      <c r="Q4185" s="656">
        <v>44216.765011574076</v>
      </c>
    </row>
    <row r="4186" spans="1:17">
      <c r="A4186" s="656" t="s">
        <v>5873</v>
      </c>
      <c r="B4186" s="657"/>
      <c r="C4186" s="656" t="s">
        <v>5667</v>
      </c>
      <c r="D4186" s="657" t="s">
        <v>13789</v>
      </c>
      <c r="E4186" s="657"/>
      <c r="F4186" s="656"/>
      <c r="G4186" s="656"/>
      <c r="H4186" s="656"/>
      <c r="I4186" s="656" t="s">
        <v>14976</v>
      </c>
      <c r="J4186" s="656"/>
      <c r="K4186" s="656"/>
      <c r="L4186" s="656"/>
      <c r="M4186" s="657"/>
      <c r="N4186" s="1482"/>
      <c r="O4186" s="656" t="s">
        <v>498</v>
      </c>
      <c r="P4186" s="656" t="s">
        <v>13052</v>
      </c>
      <c r="Q4186" s="656">
        <v>44216.765011574076</v>
      </c>
    </row>
    <row r="4187" spans="1:17">
      <c r="A4187" s="656" t="s">
        <v>5874</v>
      </c>
      <c r="B4187" s="657"/>
      <c r="C4187" s="656" t="s">
        <v>5667</v>
      </c>
      <c r="D4187" s="657" t="s">
        <v>13789</v>
      </c>
      <c r="E4187" s="657"/>
      <c r="F4187" s="656"/>
      <c r="G4187" s="656"/>
      <c r="H4187" s="656"/>
      <c r="I4187" s="656" t="s">
        <v>14976</v>
      </c>
      <c r="J4187" s="656"/>
      <c r="K4187" s="656"/>
      <c r="L4187" s="656"/>
      <c r="M4187" s="657"/>
      <c r="N4187" s="1482"/>
      <c r="O4187" s="656" t="s">
        <v>498</v>
      </c>
      <c r="P4187" s="656" t="s">
        <v>13052</v>
      </c>
      <c r="Q4187" s="656">
        <v>44216.765011574076</v>
      </c>
    </row>
    <row r="4188" spans="1:17">
      <c r="A4188" s="656" t="s">
        <v>5875</v>
      </c>
      <c r="B4188" s="657"/>
      <c r="C4188" s="656" t="s">
        <v>5667</v>
      </c>
      <c r="D4188" s="657" t="s">
        <v>13789</v>
      </c>
      <c r="E4188" s="657"/>
      <c r="F4188" s="656"/>
      <c r="G4188" s="656"/>
      <c r="H4188" s="656"/>
      <c r="I4188" s="656" t="s">
        <v>14976</v>
      </c>
      <c r="J4188" s="656"/>
      <c r="K4188" s="656"/>
      <c r="L4188" s="656"/>
      <c r="M4188" s="657"/>
      <c r="N4188" s="1482"/>
      <c r="O4188" s="656" t="s">
        <v>498</v>
      </c>
      <c r="P4188" s="656" t="s">
        <v>13052</v>
      </c>
      <c r="Q4188" s="656">
        <v>44216.764999999999</v>
      </c>
    </row>
    <row r="4189" spans="1:17">
      <c r="A4189" s="656" t="s">
        <v>5876</v>
      </c>
      <c r="B4189" s="657"/>
      <c r="C4189" s="656" t="s">
        <v>5667</v>
      </c>
      <c r="D4189" s="657" t="s">
        <v>13789</v>
      </c>
      <c r="E4189" s="657"/>
      <c r="F4189" s="656"/>
      <c r="G4189" s="656"/>
      <c r="H4189" s="656"/>
      <c r="I4189" s="656" t="s">
        <v>14976</v>
      </c>
      <c r="J4189" s="656"/>
      <c r="K4189" s="656"/>
      <c r="L4189" s="656"/>
      <c r="M4189" s="657"/>
      <c r="N4189" s="1482"/>
      <c r="O4189" s="656" t="s">
        <v>498</v>
      </c>
      <c r="P4189" s="656" t="s">
        <v>13052</v>
      </c>
      <c r="Q4189" s="656">
        <v>44216.764999999999</v>
      </c>
    </row>
    <row r="4190" spans="1:17">
      <c r="A4190" s="656" t="s">
        <v>5877</v>
      </c>
      <c r="B4190" s="657" t="s">
        <v>504</v>
      </c>
      <c r="C4190" s="656" t="s">
        <v>5878</v>
      </c>
      <c r="D4190" s="657"/>
      <c r="E4190" s="657"/>
      <c r="F4190" s="656" t="s">
        <v>505</v>
      </c>
      <c r="G4190" s="656" t="s">
        <v>4218</v>
      </c>
      <c r="H4190" s="656" t="s">
        <v>505</v>
      </c>
      <c r="I4190" s="656"/>
      <c r="J4190" s="656"/>
      <c r="K4190" s="656"/>
      <c r="L4190" s="656"/>
      <c r="M4190" s="657"/>
      <c r="N4190" s="1482"/>
      <c r="O4190" s="656" t="s">
        <v>498</v>
      </c>
      <c r="P4190" s="656" t="s">
        <v>13052</v>
      </c>
      <c r="Q4190" s="656">
        <v>44216.764988425923</v>
      </c>
    </row>
    <row r="4191" spans="1:17">
      <c r="A4191" s="656" t="s">
        <v>5879</v>
      </c>
      <c r="B4191" s="657" t="s">
        <v>504</v>
      </c>
      <c r="C4191" s="656" t="s">
        <v>5880</v>
      </c>
      <c r="D4191" s="657"/>
      <c r="E4191" s="657"/>
      <c r="F4191" s="656" t="s">
        <v>505</v>
      </c>
      <c r="G4191" s="656" t="s">
        <v>4218</v>
      </c>
      <c r="H4191" s="656" t="s">
        <v>505</v>
      </c>
      <c r="I4191" s="656"/>
      <c r="J4191" s="656"/>
      <c r="K4191" s="656"/>
      <c r="L4191" s="656"/>
      <c r="M4191" s="657"/>
      <c r="N4191" s="1482"/>
      <c r="O4191" s="656" t="s">
        <v>498</v>
      </c>
      <c r="P4191" s="656" t="s">
        <v>13052</v>
      </c>
      <c r="Q4191" s="656">
        <v>44216.764976851853</v>
      </c>
    </row>
    <row r="4192" spans="1:17">
      <c r="A4192" s="656" t="s">
        <v>5881</v>
      </c>
      <c r="B4192" s="657"/>
      <c r="C4192" s="656" t="s">
        <v>5667</v>
      </c>
      <c r="D4192" s="657" t="s">
        <v>13789</v>
      </c>
      <c r="E4192" s="657"/>
      <c r="F4192" s="656"/>
      <c r="G4192" s="656"/>
      <c r="H4192" s="656"/>
      <c r="I4192" s="656" t="s">
        <v>14976</v>
      </c>
      <c r="J4192" s="656"/>
      <c r="K4192" s="656"/>
      <c r="L4192" s="656"/>
      <c r="M4192" s="657"/>
      <c r="N4192" s="1482"/>
      <c r="O4192" s="656" t="s">
        <v>498</v>
      </c>
      <c r="P4192" s="656" t="s">
        <v>13052</v>
      </c>
      <c r="Q4192" s="656">
        <v>44216.764976851853</v>
      </c>
    </row>
    <row r="4193" spans="1:17">
      <c r="A4193" s="656" t="s">
        <v>5882</v>
      </c>
      <c r="B4193" s="657"/>
      <c r="C4193" s="656" t="s">
        <v>5667</v>
      </c>
      <c r="D4193" s="657" t="s">
        <v>13789</v>
      </c>
      <c r="E4193" s="657"/>
      <c r="F4193" s="656"/>
      <c r="G4193" s="656"/>
      <c r="H4193" s="656"/>
      <c r="I4193" s="656" t="s">
        <v>14976</v>
      </c>
      <c r="J4193" s="656"/>
      <c r="K4193" s="656"/>
      <c r="L4193" s="656"/>
      <c r="M4193" s="657"/>
      <c r="N4193" s="1482"/>
      <c r="O4193" s="656" t="s">
        <v>498</v>
      </c>
      <c r="P4193" s="656" t="s">
        <v>13052</v>
      </c>
      <c r="Q4193" s="656">
        <v>44216.764965277776</v>
      </c>
    </row>
    <row r="4194" spans="1:17">
      <c r="A4194" s="656" t="s">
        <v>5883</v>
      </c>
      <c r="B4194" s="657"/>
      <c r="C4194" s="656" t="s">
        <v>5667</v>
      </c>
      <c r="D4194" s="657" t="s">
        <v>13789</v>
      </c>
      <c r="E4194" s="657"/>
      <c r="F4194" s="656"/>
      <c r="G4194" s="656"/>
      <c r="H4194" s="656"/>
      <c r="I4194" s="656" t="s">
        <v>14976</v>
      </c>
      <c r="J4194" s="656"/>
      <c r="K4194" s="656"/>
      <c r="L4194" s="656"/>
      <c r="M4194" s="657"/>
      <c r="N4194" s="1482"/>
      <c r="O4194" s="656" t="s">
        <v>498</v>
      </c>
      <c r="P4194" s="656" t="s">
        <v>13052</v>
      </c>
      <c r="Q4194" s="656">
        <v>44216.764965277776</v>
      </c>
    </row>
    <row r="4195" spans="1:17">
      <c r="A4195" s="656" t="s">
        <v>5884</v>
      </c>
      <c r="B4195" s="657"/>
      <c r="C4195" s="656" t="s">
        <v>5667</v>
      </c>
      <c r="D4195" s="657" t="s">
        <v>13789</v>
      </c>
      <c r="E4195" s="657"/>
      <c r="F4195" s="656"/>
      <c r="G4195" s="656"/>
      <c r="H4195" s="656"/>
      <c r="I4195" s="656" t="s">
        <v>14976</v>
      </c>
      <c r="J4195" s="656"/>
      <c r="K4195" s="656"/>
      <c r="L4195" s="656"/>
      <c r="M4195" s="657"/>
      <c r="N4195" s="1482"/>
      <c r="O4195" s="656" t="s">
        <v>498</v>
      </c>
      <c r="P4195" s="656" t="s">
        <v>13052</v>
      </c>
      <c r="Q4195" s="656">
        <v>44216.764953703707</v>
      </c>
    </row>
    <row r="4196" spans="1:17">
      <c r="A4196" s="656" t="s">
        <v>13255</v>
      </c>
      <c r="B4196" s="657" t="s">
        <v>504</v>
      </c>
      <c r="C4196" s="656" t="s">
        <v>5885</v>
      </c>
      <c r="D4196" s="657" t="s">
        <v>13789</v>
      </c>
      <c r="E4196" s="657" t="s">
        <v>7439</v>
      </c>
      <c r="F4196" s="656" t="s">
        <v>505</v>
      </c>
      <c r="G4196" s="656" t="s">
        <v>525</v>
      </c>
      <c r="H4196" s="656" t="s">
        <v>505</v>
      </c>
      <c r="I4196" s="656" t="s">
        <v>14976</v>
      </c>
      <c r="J4196" s="656"/>
      <c r="K4196" s="656"/>
      <c r="L4196" s="656" t="s">
        <v>5886</v>
      </c>
      <c r="M4196" s="657"/>
      <c r="N4196" s="1482"/>
      <c r="O4196" s="656" t="s">
        <v>498</v>
      </c>
      <c r="P4196" s="656" t="s">
        <v>13052</v>
      </c>
      <c r="Q4196" s="656">
        <v>44216.764953703707</v>
      </c>
    </row>
    <row r="4197" spans="1:17">
      <c r="A4197" s="656" t="s">
        <v>5886</v>
      </c>
      <c r="B4197" s="657" t="s">
        <v>504</v>
      </c>
      <c r="C4197" s="656" t="s">
        <v>5887</v>
      </c>
      <c r="D4197" s="657"/>
      <c r="E4197" s="657"/>
      <c r="F4197" s="656" t="s">
        <v>505</v>
      </c>
      <c r="G4197" s="656" t="s">
        <v>4394</v>
      </c>
      <c r="H4197" s="656" t="s">
        <v>505</v>
      </c>
      <c r="I4197" s="656"/>
      <c r="J4197" s="656"/>
      <c r="K4197" s="656"/>
      <c r="L4197" s="656"/>
      <c r="M4197" s="657"/>
      <c r="N4197" s="1482"/>
      <c r="O4197" s="656" t="s">
        <v>498</v>
      </c>
      <c r="P4197" s="656" t="s">
        <v>13052</v>
      </c>
      <c r="Q4197" s="656">
        <v>44216.76494212963</v>
      </c>
    </row>
    <row r="4198" spans="1:17">
      <c r="A4198" s="656" t="s">
        <v>5888</v>
      </c>
      <c r="B4198" s="657"/>
      <c r="C4198" s="656" t="s">
        <v>5667</v>
      </c>
      <c r="D4198" s="657" t="s">
        <v>14977</v>
      </c>
      <c r="E4198" s="657"/>
      <c r="F4198" s="656"/>
      <c r="G4198" s="656"/>
      <c r="H4198" s="656"/>
      <c r="I4198" s="656" t="s">
        <v>14976</v>
      </c>
      <c r="J4198" s="656"/>
      <c r="K4198" s="656"/>
      <c r="L4198" s="656" t="s">
        <v>5888</v>
      </c>
      <c r="M4198" s="657"/>
      <c r="N4198" s="1482"/>
      <c r="O4198" s="656" t="s">
        <v>498</v>
      </c>
      <c r="P4198" s="656" t="s">
        <v>13052</v>
      </c>
      <c r="Q4198" s="656">
        <v>44216.76494212963</v>
      </c>
    </row>
    <row r="4199" spans="1:17">
      <c r="A4199" s="656" t="s">
        <v>5889</v>
      </c>
      <c r="B4199" s="657"/>
      <c r="C4199" s="656" t="s">
        <v>5667</v>
      </c>
      <c r="D4199" s="657" t="s">
        <v>14977</v>
      </c>
      <c r="E4199" s="657"/>
      <c r="F4199" s="656"/>
      <c r="G4199" s="656"/>
      <c r="H4199" s="656"/>
      <c r="I4199" s="656" t="s">
        <v>14976</v>
      </c>
      <c r="J4199" s="656"/>
      <c r="K4199" s="656"/>
      <c r="L4199" s="656" t="s">
        <v>5889</v>
      </c>
      <c r="M4199" s="657"/>
      <c r="N4199" s="1482"/>
      <c r="O4199" s="656" t="s">
        <v>498</v>
      </c>
      <c r="P4199" s="656" t="s">
        <v>13052</v>
      </c>
      <c r="Q4199" s="656">
        <v>44216.764930555553</v>
      </c>
    </row>
    <row r="4200" spans="1:17">
      <c r="A4200" s="656" t="s">
        <v>5890</v>
      </c>
      <c r="B4200" s="657"/>
      <c r="C4200" s="656" t="s">
        <v>5667</v>
      </c>
      <c r="D4200" s="657" t="s">
        <v>14977</v>
      </c>
      <c r="E4200" s="657"/>
      <c r="F4200" s="656"/>
      <c r="G4200" s="656"/>
      <c r="H4200" s="656"/>
      <c r="I4200" s="656" t="s">
        <v>14976</v>
      </c>
      <c r="J4200" s="656"/>
      <c r="K4200" s="656"/>
      <c r="L4200" s="656" t="s">
        <v>5890</v>
      </c>
      <c r="M4200" s="657"/>
      <c r="N4200" s="1482"/>
      <c r="O4200" s="656" t="s">
        <v>498</v>
      </c>
      <c r="P4200" s="656" t="s">
        <v>13052</v>
      </c>
      <c r="Q4200" s="656">
        <v>44216.764930555553</v>
      </c>
    </row>
    <row r="4201" spans="1:17">
      <c r="A4201" s="656" t="s">
        <v>5891</v>
      </c>
      <c r="B4201" s="657"/>
      <c r="C4201" s="656" t="s">
        <v>5667</v>
      </c>
      <c r="D4201" s="657" t="s">
        <v>14977</v>
      </c>
      <c r="E4201" s="657"/>
      <c r="F4201" s="656"/>
      <c r="G4201" s="656"/>
      <c r="H4201" s="656"/>
      <c r="I4201" s="656" t="s">
        <v>14976</v>
      </c>
      <c r="J4201" s="656"/>
      <c r="K4201" s="656"/>
      <c r="L4201" s="656" t="s">
        <v>5891</v>
      </c>
      <c r="M4201" s="657"/>
      <c r="N4201" s="1482"/>
      <c r="O4201" s="656" t="s">
        <v>498</v>
      </c>
      <c r="P4201" s="656" t="s">
        <v>13052</v>
      </c>
      <c r="Q4201" s="656">
        <v>44216.764918981484</v>
      </c>
    </row>
    <row r="4202" spans="1:17">
      <c r="A4202" s="656" t="s">
        <v>5892</v>
      </c>
      <c r="B4202" s="657"/>
      <c r="C4202" s="656" t="s">
        <v>5667</v>
      </c>
      <c r="D4202" s="657" t="s">
        <v>14977</v>
      </c>
      <c r="E4202" s="657"/>
      <c r="F4202" s="656"/>
      <c r="G4202" s="656"/>
      <c r="H4202" s="656"/>
      <c r="I4202" s="656" t="s">
        <v>14976</v>
      </c>
      <c r="J4202" s="656"/>
      <c r="K4202" s="656"/>
      <c r="L4202" s="656" t="s">
        <v>5892</v>
      </c>
      <c r="M4202" s="657"/>
      <c r="N4202" s="1482"/>
      <c r="O4202" s="656" t="s">
        <v>498</v>
      </c>
      <c r="P4202" s="656" t="s">
        <v>13052</v>
      </c>
      <c r="Q4202" s="656">
        <v>44216.764907407407</v>
      </c>
    </row>
    <row r="4203" spans="1:17">
      <c r="A4203" s="656" t="s">
        <v>5893</v>
      </c>
      <c r="B4203" s="657"/>
      <c r="C4203" s="656" t="s">
        <v>5667</v>
      </c>
      <c r="D4203" s="657" t="s">
        <v>14977</v>
      </c>
      <c r="E4203" s="657"/>
      <c r="F4203" s="656"/>
      <c r="G4203" s="656"/>
      <c r="H4203" s="656"/>
      <c r="I4203" s="656" t="s">
        <v>14976</v>
      </c>
      <c r="J4203" s="656"/>
      <c r="K4203" s="656"/>
      <c r="L4203" s="656" t="s">
        <v>5893</v>
      </c>
      <c r="M4203" s="657"/>
      <c r="N4203" s="1482"/>
      <c r="O4203" s="656" t="s">
        <v>498</v>
      </c>
      <c r="P4203" s="656" t="s">
        <v>13052</v>
      </c>
      <c r="Q4203" s="656">
        <v>44216.764907407407</v>
      </c>
    </row>
    <row r="4204" spans="1:17">
      <c r="A4204" s="656" t="s">
        <v>5894</v>
      </c>
      <c r="B4204" s="657"/>
      <c r="C4204" s="656" t="s">
        <v>5667</v>
      </c>
      <c r="D4204" s="657" t="s">
        <v>14977</v>
      </c>
      <c r="E4204" s="657"/>
      <c r="F4204" s="656"/>
      <c r="G4204" s="656"/>
      <c r="H4204" s="656"/>
      <c r="I4204" s="656" t="s">
        <v>14976</v>
      </c>
      <c r="J4204" s="656"/>
      <c r="K4204" s="656"/>
      <c r="L4204" s="656" t="s">
        <v>5894</v>
      </c>
      <c r="M4204" s="657"/>
      <c r="N4204" s="1482"/>
      <c r="O4204" s="656" t="s">
        <v>498</v>
      </c>
      <c r="P4204" s="656" t="s">
        <v>13052</v>
      </c>
      <c r="Q4204" s="656">
        <v>44216.764907407407</v>
      </c>
    </row>
    <row r="4205" spans="1:17">
      <c r="A4205" s="656" t="s">
        <v>5895</v>
      </c>
      <c r="B4205" s="657"/>
      <c r="C4205" s="656" t="s">
        <v>5896</v>
      </c>
      <c r="D4205" s="657" t="s">
        <v>14977</v>
      </c>
      <c r="E4205" s="657"/>
      <c r="F4205" s="656"/>
      <c r="G4205" s="656" t="s">
        <v>4198</v>
      </c>
      <c r="H4205" s="656"/>
      <c r="I4205" s="656" t="s">
        <v>14976</v>
      </c>
      <c r="J4205" s="656"/>
      <c r="K4205" s="656"/>
      <c r="L4205" s="656" t="s">
        <v>5895</v>
      </c>
      <c r="M4205" s="657"/>
      <c r="N4205" s="1482"/>
      <c r="O4205" s="656" t="s">
        <v>498</v>
      </c>
      <c r="P4205" s="656" t="s">
        <v>13052</v>
      </c>
      <c r="Q4205" s="656">
        <v>44216.76489583333</v>
      </c>
    </row>
    <row r="4206" spans="1:17">
      <c r="A4206" s="656" t="s">
        <v>5897</v>
      </c>
      <c r="B4206" s="657"/>
      <c r="C4206" s="656" t="s">
        <v>5898</v>
      </c>
      <c r="D4206" s="657" t="s">
        <v>14977</v>
      </c>
      <c r="E4206" s="657"/>
      <c r="F4206" s="656"/>
      <c r="G4206" s="656" t="s">
        <v>5045</v>
      </c>
      <c r="H4206" s="656"/>
      <c r="I4206" s="656" t="s">
        <v>14976</v>
      </c>
      <c r="J4206" s="656"/>
      <c r="K4206" s="656"/>
      <c r="L4206" s="656" t="s">
        <v>5897</v>
      </c>
      <c r="M4206" s="657"/>
      <c r="N4206" s="1482"/>
      <c r="O4206" s="656" t="s">
        <v>498</v>
      </c>
      <c r="P4206" s="656" t="s">
        <v>13052</v>
      </c>
      <c r="Q4206" s="656">
        <v>44216.764884259261</v>
      </c>
    </row>
    <row r="4207" spans="1:17">
      <c r="A4207" s="656" t="s">
        <v>5899</v>
      </c>
      <c r="B4207" s="657"/>
      <c r="C4207" s="656" t="s">
        <v>5900</v>
      </c>
      <c r="D4207" s="657" t="s">
        <v>14977</v>
      </c>
      <c r="E4207" s="657"/>
      <c r="F4207" s="656"/>
      <c r="G4207" s="656" t="s">
        <v>5045</v>
      </c>
      <c r="H4207" s="656"/>
      <c r="I4207" s="656" t="s">
        <v>14976</v>
      </c>
      <c r="J4207" s="656"/>
      <c r="K4207" s="656"/>
      <c r="L4207" s="656" t="s">
        <v>5899</v>
      </c>
      <c r="M4207" s="657"/>
      <c r="N4207" s="1482"/>
      <c r="O4207" s="656" t="s">
        <v>498</v>
      </c>
      <c r="P4207" s="656" t="s">
        <v>13052</v>
      </c>
      <c r="Q4207" s="656">
        <v>44216.764884259261</v>
      </c>
    </row>
    <row r="4208" spans="1:17">
      <c r="A4208" s="656" t="s">
        <v>5901</v>
      </c>
      <c r="B4208" s="657" t="s">
        <v>202</v>
      </c>
      <c r="C4208" s="656" t="s">
        <v>5902</v>
      </c>
      <c r="D4208" s="657" t="s">
        <v>14977</v>
      </c>
      <c r="E4208" s="657"/>
      <c r="F4208" s="656" t="s">
        <v>655</v>
      </c>
      <c r="G4208" s="656" t="s">
        <v>1078</v>
      </c>
      <c r="H4208" s="656" t="s">
        <v>655</v>
      </c>
      <c r="I4208" s="656" t="s">
        <v>14976</v>
      </c>
      <c r="J4208" s="656" t="s">
        <v>15281</v>
      </c>
      <c r="K4208" s="656"/>
      <c r="L4208" s="656" t="s">
        <v>5901</v>
      </c>
      <c r="M4208" s="657"/>
      <c r="N4208" s="1482"/>
      <c r="O4208" s="656" t="s">
        <v>498</v>
      </c>
      <c r="P4208" s="656" t="s">
        <v>13052</v>
      </c>
      <c r="Q4208" s="656">
        <v>44216.764872685184</v>
      </c>
    </row>
    <row r="4209" spans="1:17">
      <c r="A4209" s="656" t="s">
        <v>5903</v>
      </c>
      <c r="B4209" s="657" t="s">
        <v>504</v>
      </c>
      <c r="C4209" s="656" t="s">
        <v>5904</v>
      </c>
      <c r="D4209" s="657"/>
      <c r="E4209" s="657"/>
      <c r="F4209" s="656" t="s">
        <v>505</v>
      </c>
      <c r="G4209" s="656" t="s">
        <v>4394</v>
      </c>
      <c r="H4209" s="656" t="s">
        <v>505</v>
      </c>
      <c r="I4209" s="656"/>
      <c r="J4209" s="656"/>
      <c r="K4209" s="656"/>
      <c r="L4209" s="656"/>
      <c r="M4209" s="657"/>
      <c r="N4209" s="1482"/>
      <c r="O4209" s="656" t="s">
        <v>498</v>
      </c>
      <c r="P4209" s="656" t="s">
        <v>13052</v>
      </c>
      <c r="Q4209" s="656">
        <v>44216.764872685184</v>
      </c>
    </row>
    <row r="4210" spans="1:17">
      <c r="A4210" s="656" t="s">
        <v>5905</v>
      </c>
      <c r="B4210" s="657" t="s">
        <v>504</v>
      </c>
      <c r="C4210" s="656" t="s">
        <v>5906</v>
      </c>
      <c r="D4210" s="657"/>
      <c r="E4210" s="657"/>
      <c r="F4210" s="656" t="s">
        <v>505</v>
      </c>
      <c r="G4210" s="656" t="s">
        <v>4324</v>
      </c>
      <c r="H4210" s="656" t="s">
        <v>505</v>
      </c>
      <c r="I4210" s="656"/>
      <c r="J4210" s="656"/>
      <c r="K4210" s="656"/>
      <c r="L4210" s="656"/>
      <c r="M4210" s="657"/>
      <c r="N4210" s="1482"/>
      <c r="O4210" s="656" t="s">
        <v>498</v>
      </c>
      <c r="P4210" s="656" t="s">
        <v>13052</v>
      </c>
      <c r="Q4210" s="656">
        <v>44216.764861111114</v>
      </c>
    </row>
    <row r="4211" spans="1:17">
      <c r="A4211" s="656" t="s">
        <v>5907</v>
      </c>
      <c r="B4211" s="657" t="s">
        <v>504</v>
      </c>
      <c r="C4211" s="656" t="s">
        <v>5908</v>
      </c>
      <c r="D4211" s="657"/>
      <c r="E4211" s="657"/>
      <c r="F4211" s="656" t="s">
        <v>505</v>
      </c>
      <c r="G4211" s="656" t="s">
        <v>4324</v>
      </c>
      <c r="H4211" s="656" t="s">
        <v>505</v>
      </c>
      <c r="I4211" s="656"/>
      <c r="J4211" s="656"/>
      <c r="K4211" s="656"/>
      <c r="L4211" s="656"/>
      <c r="M4211" s="657"/>
      <c r="N4211" s="1482"/>
      <c r="O4211" s="656" t="s">
        <v>498</v>
      </c>
      <c r="P4211" s="656" t="s">
        <v>13052</v>
      </c>
      <c r="Q4211" s="656">
        <v>44216.764861111114</v>
      </c>
    </row>
    <row r="4212" spans="1:17">
      <c r="A4212" s="656" t="s">
        <v>5909</v>
      </c>
      <c r="B4212" s="657" t="s">
        <v>504</v>
      </c>
      <c r="C4212" s="656" t="s">
        <v>5910</v>
      </c>
      <c r="D4212" s="657"/>
      <c r="E4212" s="657"/>
      <c r="F4212" s="656" t="s">
        <v>505</v>
      </c>
      <c r="G4212" s="656" t="s">
        <v>4324</v>
      </c>
      <c r="H4212" s="656" t="s">
        <v>505</v>
      </c>
      <c r="I4212" s="656"/>
      <c r="J4212" s="656"/>
      <c r="K4212" s="656"/>
      <c r="L4212" s="656"/>
      <c r="M4212" s="657"/>
      <c r="N4212" s="1482"/>
      <c r="O4212" s="656" t="s">
        <v>498</v>
      </c>
      <c r="P4212" s="656" t="s">
        <v>13052</v>
      </c>
      <c r="Q4212" s="656">
        <v>44216.764849537038</v>
      </c>
    </row>
    <row r="4213" spans="1:17">
      <c r="A4213" s="656" t="s">
        <v>5911</v>
      </c>
      <c r="B4213" s="657"/>
      <c r="C4213" s="656" t="s">
        <v>5912</v>
      </c>
      <c r="D4213" s="657" t="s">
        <v>14977</v>
      </c>
      <c r="E4213" s="657"/>
      <c r="F4213" s="656"/>
      <c r="G4213" s="656" t="s">
        <v>5103</v>
      </c>
      <c r="H4213" s="656"/>
      <c r="I4213" s="656" t="s">
        <v>14976</v>
      </c>
      <c r="J4213" s="656"/>
      <c r="K4213" s="656"/>
      <c r="L4213" s="656" t="s">
        <v>5911</v>
      </c>
      <c r="M4213" s="657"/>
      <c r="N4213" s="1482"/>
      <c r="O4213" s="656" t="s">
        <v>498</v>
      </c>
      <c r="P4213" s="656" t="s">
        <v>13052</v>
      </c>
      <c r="Q4213" s="656">
        <v>44216.764849537038</v>
      </c>
    </row>
    <row r="4214" spans="1:17">
      <c r="A4214" s="656" t="s">
        <v>13253</v>
      </c>
      <c r="B4214" s="657" t="s">
        <v>202</v>
      </c>
      <c r="C4214" s="656" t="s">
        <v>13254</v>
      </c>
      <c r="D4214" s="657" t="s">
        <v>14977</v>
      </c>
      <c r="E4214" s="657"/>
      <c r="F4214" s="656" t="s">
        <v>1300</v>
      </c>
      <c r="G4214" s="656" t="s">
        <v>4198</v>
      </c>
      <c r="H4214" s="656" t="s">
        <v>1300</v>
      </c>
      <c r="I4214" s="656" t="s">
        <v>14976</v>
      </c>
      <c r="J4214" s="656"/>
      <c r="K4214" s="656"/>
      <c r="L4214" s="656" t="s">
        <v>13253</v>
      </c>
      <c r="M4214" s="657"/>
      <c r="N4214" s="1482"/>
      <c r="O4214" s="656" t="s">
        <v>498</v>
      </c>
      <c r="P4214" s="656" t="s">
        <v>13052</v>
      </c>
      <c r="Q4214" s="656">
        <v>44216.764849537038</v>
      </c>
    </row>
    <row r="4215" spans="1:17">
      <c r="A4215" s="656" t="s">
        <v>5913</v>
      </c>
      <c r="B4215" s="657"/>
      <c r="C4215" s="656" t="s">
        <v>5914</v>
      </c>
      <c r="D4215" s="657" t="s">
        <v>14977</v>
      </c>
      <c r="E4215" s="657"/>
      <c r="F4215" s="656"/>
      <c r="G4215" s="656" t="s">
        <v>4198</v>
      </c>
      <c r="H4215" s="656"/>
      <c r="I4215" s="656" t="s">
        <v>14976</v>
      </c>
      <c r="J4215" s="656"/>
      <c r="K4215" s="656"/>
      <c r="L4215" s="656" t="s">
        <v>5913</v>
      </c>
      <c r="M4215" s="657"/>
      <c r="N4215" s="1482"/>
      <c r="O4215" s="656" t="s">
        <v>498</v>
      </c>
      <c r="P4215" s="656" t="s">
        <v>13052</v>
      </c>
      <c r="Q4215" s="656">
        <v>44216.764837962961</v>
      </c>
    </row>
    <row r="4216" spans="1:17">
      <c r="A4216" s="656" t="s">
        <v>13251</v>
      </c>
      <c r="B4216" s="657" t="s">
        <v>202</v>
      </c>
      <c r="C4216" s="656" t="s">
        <v>13252</v>
      </c>
      <c r="D4216" s="657" t="s">
        <v>14977</v>
      </c>
      <c r="E4216" s="657"/>
      <c r="F4216" s="656"/>
      <c r="G4216" s="656" t="s">
        <v>5238</v>
      </c>
      <c r="H4216" s="656"/>
      <c r="I4216" s="656" t="s">
        <v>14976</v>
      </c>
      <c r="J4216" s="656"/>
      <c r="K4216" s="656"/>
      <c r="L4216" s="656" t="s">
        <v>13251</v>
      </c>
      <c r="M4216" s="657"/>
      <c r="N4216" s="1482"/>
      <c r="O4216" s="656" t="s">
        <v>498</v>
      </c>
      <c r="P4216" s="656" t="s">
        <v>13052</v>
      </c>
      <c r="Q4216" s="656">
        <v>44216.764837962961</v>
      </c>
    </row>
    <row r="4217" spans="1:17">
      <c r="A4217" s="656" t="s">
        <v>5915</v>
      </c>
      <c r="B4217" s="657"/>
      <c r="C4217" s="656" t="s">
        <v>5916</v>
      </c>
      <c r="D4217" s="657" t="s">
        <v>14977</v>
      </c>
      <c r="E4217" s="657"/>
      <c r="F4217" s="656"/>
      <c r="G4217" s="656" t="s">
        <v>4198</v>
      </c>
      <c r="H4217" s="656"/>
      <c r="I4217" s="656" t="s">
        <v>14976</v>
      </c>
      <c r="J4217" s="656"/>
      <c r="K4217" s="656"/>
      <c r="L4217" s="656" t="s">
        <v>5915</v>
      </c>
      <c r="M4217" s="657"/>
      <c r="N4217" s="1482"/>
      <c r="O4217" s="656" t="s">
        <v>498</v>
      </c>
      <c r="P4217" s="656" t="s">
        <v>13052</v>
      </c>
      <c r="Q4217" s="656">
        <v>44216.764826388891</v>
      </c>
    </row>
    <row r="4218" spans="1:17">
      <c r="A4218" s="656" t="s">
        <v>5917</v>
      </c>
      <c r="B4218" s="657" t="s">
        <v>531</v>
      </c>
      <c r="C4218" s="656" t="s">
        <v>5918</v>
      </c>
      <c r="D4218" s="657" t="s">
        <v>14977</v>
      </c>
      <c r="E4218" s="657"/>
      <c r="F4218" s="656"/>
      <c r="G4218" s="656" t="s">
        <v>5661</v>
      </c>
      <c r="H4218" s="656"/>
      <c r="I4218" s="656" t="s">
        <v>14976</v>
      </c>
      <c r="J4218" s="656"/>
      <c r="K4218" s="656"/>
      <c r="L4218" s="656" t="s">
        <v>5917</v>
      </c>
      <c r="M4218" s="657"/>
      <c r="N4218" s="1482"/>
      <c r="O4218" s="656" t="s">
        <v>498</v>
      </c>
      <c r="P4218" s="656" t="s">
        <v>13052</v>
      </c>
      <c r="Q4218" s="656">
        <v>44216.764826388891</v>
      </c>
    </row>
    <row r="4219" spans="1:17">
      <c r="A4219" s="656" t="s">
        <v>5919</v>
      </c>
      <c r="B4219" s="657" t="s">
        <v>504</v>
      </c>
      <c r="C4219" s="656" t="s">
        <v>5920</v>
      </c>
      <c r="D4219" s="657" t="s">
        <v>14977</v>
      </c>
      <c r="E4219" s="657"/>
      <c r="F4219" s="656"/>
      <c r="G4219" s="656" t="s">
        <v>5103</v>
      </c>
      <c r="H4219" s="656"/>
      <c r="I4219" s="656"/>
      <c r="J4219" s="656"/>
      <c r="K4219" s="656"/>
      <c r="L4219" s="656"/>
      <c r="M4219" s="657"/>
      <c r="N4219" s="1482"/>
      <c r="O4219" s="656" t="s">
        <v>498</v>
      </c>
      <c r="P4219" s="656" t="s">
        <v>13052</v>
      </c>
      <c r="Q4219" s="656">
        <v>44216.764826388891</v>
      </c>
    </row>
    <row r="4220" spans="1:17">
      <c r="A4220" s="656" t="s">
        <v>5921</v>
      </c>
      <c r="B4220" s="657" t="s">
        <v>202</v>
      </c>
      <c r="C4220" s="656" t="s">
        <v>5922</v>
      </c>
      <c r="D4220" s="657" t="s">
        <v>14978</v>
      </c>
      <c r="E4220" s="657"/>
      <c r="F4220" s="656" t="s">
        <v>1394</v>
      </c>
      <c r="G4220" s="656" t="s">
        <v>717</v>
      </c>
      <c r="H4220" s="656" t="s">
        <v>1394</v>
      </c>
      <c r="I4220" s="656" t="s">
        <v>14976</v>
      </c>
      <c r="J4220" s="656" t="s">
        <v>532</v>
      </c>
      <c r="K4220" s="656"/>
      <c r="L4220" s="656" t="s">
        <v>5925</v>
      </c>
      <c r="M4220" s="657"/>
      <c r="N4220" s="1482"/>
      <c r="O4220" s="656" t="s">
        <v>498</v>
      </c>
      <c r="P4220" s="656" t="s">
        <v>13052</v>
      </c>
      <c r="Q4220" s="656">
        <v>44216.764803240738</v>
      </c>
    </row>
    <row r="4221" spans="1:17">
      <c r="A4221" s="656" t="s">
        <v>5923</v>
      </c>
      <c r="B4221" s="657"/>
      <c r="C4221" s="656" t="s">
        <v>5924</v>
      </c>
      <c r="D4221" s="657" t="s">
        <v>14978</v>
      </c>
      <c r="E4221" s="657"/>
      <c r="F4221" s="656" t="s">
        <v>1394</v>
      </c>
      <c r="G4221" s="656"/>
      <c r="H4221" s="656" t="s">
        <v>1394</v>
      </c>
      <c r="I4221" s="656" t="s">
        <v>14976</v>
      </c>
      <c r="J4221" s="656" t="s">
        <v>532</v>
      </c>
      <c r="K4221" s="656"/>
      <c r="L4221" s="656" t="s">
        <v>5925</v>
      </c>
      <c r="M4221" s="657"/>
      <c r="N4221" s="1482"/>
      <c r="O4221" s="656" t="s">
        <v>498</v>
      </c>
      <c r="P4221" s="656" t="s">
        <v>13052</v>
      </c>
      <c r="Q4221" s="656">
        <v>44216.764803240738</v>
      </c>
    </row>
    <row r="4222" spans="1:17">
      <c r="A4222" s="656" t="s">
        <v>5925</v>
      </c>
      <c r="B4222" s="657"/>
      <c r="C4222" s="656" t="s">
        <v>5926</v>
      </c>
      <c r="D4222" s="657" t="s">
        <v>13789</v>
      </c>
      <c r="E4222" s="657"/>
      <c r="F4222" s="656"/>
      <c r="G4222" s="656" t="s">
        <v>4198</v>
      </c>
      <c r="H4222" s="656"/>
      <c r="I4222" s="656" t="s">
        <v>14976</v>
      </c>
      <c r="J4222" s="656"/>
      <c r="K4222" s="656"/>
      <c r="L4222" s="656"/>
      <c r="M4222" s="657"/>
      <c r="N4222" s="1482"/>
      <c r="O4222" s="656" t="s">
        <v>498</v>
      </c>
      <c r="P4222" s="656" t="s">
        <v>13052</v>
      </c>
      <c r="Q4222" s="656">
        <v>44216.764803240738</v>
      </c>
    </row>
    <row r="4223" spans="1:17">
      <c r="A4223" s="656" t="s">
        <v>5927</v>
      </c>
      <c r="B4223" s="657"/>
      <c r="C4223" s="656" t="s">
        <v>5928</v>
      </c>
      <c r="D4223" s="657" t="s">
        <v>13789</v>
      </c>
      <c r="E4223" s="657"/>
      <c r="F4223" s="656"/>
      <c r="G4223" s="656" t="s">
        <v>5045</v>
      </c>
      <c r="H4223" s="656"/>
      <c r="I4223" s="656" t="s">
        <v>14976</v>
      </c>
      <c r="J4223" s="656"/>
      <c r="K4223" s="656"/>
      <c r="L4223" s="656"/>
      <c r="M4223" s="657"/>
      <c r="N4223" s="1482"/>
      <c r="O4223" s="656" t="s">
        <v>498</v>
      </c>
      <c r="P4223" s="656" t="s">
        <v>13052</v>
      </c>
      <c r="Q4223" s="656">
        <v>44216.764791666668</v>
      </c>
    </row>
    <row r="4224" spans="1:17">
      <c r="A4224" s="656" t="s">
        <v>5929</v>
      </c>
      <c r="B4224" s="657" t="s">
        <v>504</v>
      </c>
      <c r="C4224" s="656" t="s">
        <v>5930</v>
      </c>
      <c r="D4224" s="657"/>
      <c r="E4224" s="657"/>
      <c r="F4224" s="656" t="s">
        <v>505</v>
      </c>
      <c r="G4224" s="656" t="s">
        <v>4324</v>
      </c>
      <c r="H4224" s="656" t="s">
        <v>505</v>
      </c>
      <c r="I4224" s="656"/>
      <c r="J4224" s="656"/>
      <c r="K4224" s="656"/>
      <c r="L4224" s="656"/>
      <c r="M4224" s="657"/>
      <c r="N4224" s="1482"/>
      <c r="O4224" s="656" t="s">
        <v>498</v>
      </c>
      <c r="P4224" s="656" t="s">
        <v>13052</v>
      </c>
      <c r="Q4224" s="656">
        <v>44216.764780092592</v>
      </c>
    </row>
    <row r="4225" spans="1:17">
      <c r="A4225" s="656" t="s">
        <v>5931</v>
      </c>
      <c r="B4225" s="657" t="s">
        <v>504</v>
      </c>
      <c r="C4225" s="656" t="s">
        <v>5806</v>
      </c>
      <c r="D4225" s="657"/>
      <c r="E4225" s="657"/>
      <c r="F4225" s="656" t="s">
        <v>505</v>
      </c>
      <c r="G4225" s="656" t="s">
        <v>4394</v>
      </c>
      <c r="H4225" s="656" t="s">
        <v>505</v>
      </c>
      <c r="I4225" s="656"/>
      <c r="J4225" s="656"/>
      <c r="K4225" s="656"/>
      <c r="L4225" s="656"/>
      <c r="M4225" s="657"/>
      <c r="N4225" s="1482"/>
      <c r="O4225" s="656" t="s">
        <v>498</v>
      </c>
      <c r="P4225" s="656" t="s">
        <v>13052</v>
      </c>
      <c r="Q4225" s="656">
        <v>44216.764780092592</v>
      </c>
    </row>
    <row r="4226" spans="1:17">
      <c r="A4226" s="656" t="s">
        <v>5932</v>
      </c>
      <c r="B4226" s="657" t="s">
        <v>504</v>
      </c>
      <c r="C4226" s="656" t="s">
        <v>5798</v>
      </c>
      <c r="D4226" s="657"/>
      <c r="E4226" s="657"/>
      <c r="F4226" s="656" t="s">
        <v>505</v>
      </c>
      <c r="G4226" s="656" t="s">
        <v>4394</v>
      </c>
      <c r="H4226" s="656" t="s">
        <v>505</v>
      </c>
      <c r="I4226" s="656"/>
      <c r="J4226" s="656"/>
      <c r="K4226" s="656"/>
      <c r="L4226" s="656"/>
      <c r="M4226" s="657"/>
      <c r="N4226" s="1482"/>
      <c r="O4226" s="656" t="s">
        <v>498</v>
      </c>
      <c r="P4226" s="656" t="s">
        <v>13052</v>
      </c>
      <c r="Q4226" s="656">
        <v>44216.764780092592</v>
      </c>
    </row>
    <row r="4227" spans="1:17">
      <c r="A4227" s="656" t="s">
        <v>5933</v>
      </c>
      <c r="B4227" s="657" t="s">
        <v>504</v>
      </c>
      <c r="C4227" s="656" t="s">
        <v>5934</v>
      </c>
      <c r="D4227" s="657"/>
      <c r="E4227" s="657"/>
      <c r="F4227" s="656" t="s">
        <v>505</v>
      </c>
      <c r="G4227" s="656" t="s">
        <v>4394</v>
      </c>
      <c r="H4227" s="656" t="s">
        <v>505</v>
      </c>
      <c r="I4227" s="656"/>
      <c r="J4227" s="656"/>
      <c r="K4227" s="656"/>
      <c r="L4227" s="656"/>
      <c r="M4227" s="657"/>
      <c r="N4227" s="1482"/>
      <c r="O4227" s="656" t="s">
        <v>498</v>
      </c>
      <c r="P4227" s="656" t="s">
        <v>13052</v>
      </c>
      <c r="Q4227" s="656">
        <v>44216.764768518522</v>
      </c>
    </row>
    <row r="4228" spans="1:17">
      <c r="A4228" s="656" t="s">
        <v>5935</v>
      </c>
      <c r="B4228" s="657" t="s">
        <v>504</v>
      </c>
      <c r="C4228" s="656" t="s">
        <v>5936</v>
      </c>
      <c r="D4228" s="657"/>
      <c r="E4228" s="657"/>
      <c r="F4228" s="656" t="s">
        <v>505</v>
      </c>
      <c r="G4228" s="656" t="s">
        <v>4394</v>
      </c>
      <c r="H4228" s="656" t="s">
        <v>505</v>
      </c>
      <c r="I4228" s="656"/>
      <c r="J4228" s="656"/>
      <c r="K4228" s="656"/>
      <c r="L4228" s="656"/>
      <c r="M4228" s="657"/>
      <c r="N4228" s="1482"/>
      <c r="O4228" s="656" t="s">
        <v>498</v>
      </c>
      <c r="P4228" s="656" t="s">
        <v>13052</v>
      </c>
      <c r="Q4228" s="656">
        <v>44216.764768518522</v>
      </c>
    </row>
    <row r="4229" spans="1:17">
      <c r="A4229" s="656" t="s">
        <v>5937</v>
      </c>
      <c r="B4229" s="657" t="s">
        <v>504</v>
      </c>
      <c r="C4229" s="656" t="s">
        <v>5938</v>
      </c>
      <c r="D4229" s="657"/>
      <c r="E4229" s="657"/>
      <c r="F4229" s="656" t="s">
        <v>505</v>
      </c>
      <c r="G4229" s="656" t="s">
        <v>4394</v>
      </c>
      <c r="H4229" s="656" t="s">
        <v>505</v>
      </c>
      <c r="I4229" s="656"/>
      <c r="J4229" s="656"/>
      <c r="K4229" s="656"/>
      <c r="L4229" s="656"/>
      <c r="M4229" s="657"/>
      <c r="N4229" s="1482"/>
      <c r="O4229" s="656" t="s">
        <v>498</v>
      </c>
      <c r="P4229" s="656" t="s">
        <v>13052</v>
      </c>
      <c r="Q4229" s="656">
        <v>44216.764756944445</v>
      </c>
    </row>
    <row r="4230" spans="1:17">
      <c r="A4230" s="656" t="s">
        <v>12844</v>
      </c>
      <c r="B4230" s="657" t="s">
        <v>504</v>
      </c>
      <c r="C4230" s="656" t="s">
        <v>12843</v>
      </c>
      <c r="D4230" s="657" t="s">
        <v>13789</v>
      </c>
      <c r="E4230" s="657" t="s">
        <v>7437</v>
      </c>
      <c r="F4230" s="656" t="s">
        <v>505</v>
      </c>
      <c r="G4230" s="656" t="s">
        <v>1293</v>
      </c>
      <c r="H4230" s="656" t="s">
        <v>505</v>
      </c>
      <c r="I4230" s="656" t="s">
        <v>14976</v>
      </c>
      <c r="J4230" s="656"/>
      <c r="K4230" s="656"/>
      <c r="L4230" s="656" t="s">
        <v>15295</v>
      </c>
      <c r="M4230" s="657"/>
      <c r="N4230" s="1482"/>
      <c r="O4230" s="656" t="s">
        <v>498</v>
      </c>
      <c r="P4230" s="656" t="s">
        <v>13052</v>
      </c>
      <c r="Q4230" s="656">
        <v>44216.764756944445</v>
      </c>
    </row>
    <row r="4231" spans="1:17">
      <c r="A4231" s="656" t="s">
        <v>13250</v>
      </c>
      <c r="B4231" s="657" t="s">
        <v>504</v>
      </c>
      <c r="C4231" s="656" t="s">
        <v>5939</v>
      </c>
      <c r="D4231" s="657" t="s">
        <v>13789</v>
      </c>
      <c r="E4231" s="657" t="s">
        <v>9654</v>
      </c>
      <c r="F4231" s="656" t="s">
        <v>505</v>
      </c>
      <c r="G4231" s="656" t="s">
        <v>1293</v>
      </c>
      <c r="H4231" s="656" t="s">
        <v>505</v>
      </c>
      <c r="I4231" s="656" t="s">
        <v>14976</v>
      </c>
      <c r="J4231" s="656"/>
      <c r="K4231" s="656"/>
      <c r="L4231" s="656" t="s">
        <v>15294</v>
      </c>
      <c r="M4231" s="657"/>
      <c r="N4231" s="1482"/>
      <c r="O4231" s="656" t="s">
        <v>498</v>
      </c>
      <c r="P4231" s="656" t="s">
        <v>13052</v>
      </c>
      <c r="Q4231" s="656">
        <v>44216.764745370368</v>
      </c>
    </row>
    <row r="4232" spans="1:17">
      <c r="A4232" s="656" t="s">
        <v>5940</v>
      </c>
      <c r="B4232" s="657" t="s">
        <v>504</v>
      </c>
      <c r="C4232" s="656" t="s">
        <v>5941</v>
      </c>
      <c r="D4232" s="657"/>
      <c r="E4232" s="657"/>
      <c r="F4232" s="656" t="s">
        <v>505</v>
      </c>
      <c r="G4232" s="656" t="s">
        <v>4394</v>
      </c>
      <c r="H4232" s="656" t="s">
        <v>505</v>
      </c>
      <c r="I4232" s="656"/>
      <c r="J4232" s="656"/>
      <c r="K4232" s="656"/>
      <c r="L4232" s="656"/>
      <c r="M4232" s="657"/>
      <c r="N4232" s="1482"/>
      <c r="O4232" s="656" t="s">
        <v>498</v>
      </c>
      <c r="P4232" s="656" t="s">
        <v>13052</v>
      </c>
      <c r="Q4232" s="656">
        <v>44216.764745370368</v>
      </c>
    </row>
    <row r="4233" spans="1:17">
      <c r="A4233" s="656" t="s">
        <v>5942</v>
      </c>
      <c r="B4233" s="657" t="s">
        <v>504</v>
      </c>
      <c r="C4233" s="656" t="s">
        <v>5943</v>
      </c>
      <c r="D4233" s="657"/>
      <c r="E4233" s="657"/>
      <c r="F4233" s="656" t="s">
        <v>505</v>
      </c>
      <c r="G4233" s="656" t="s">
        <v>4394</v>
      </c>
      <c r="H4233" s="656" t="s">
        <v>505</v>
      </c>
      <c r="I4233" s="656"/>
      <c r="J4233" s="656"/>
      <c r="K4233" s="656"/>
      <c r="L4233" s="656"/>
      <c r="M4233" s="657"/>
      <c r="N4233" s="1482"/>
      <c r="O4233" s="656" t="s">
        <v>498</v>
      </c>
      <c r="P4233" s="656" t="s">
        <v>13052</v>
      </c>
      <c r="Q4233" s="656">
        <v>44216.764733796299</v>
      </c>
    </row>
    <row r="4234" spans="1:17">
      <c r="A4234" s="656" t="s">
        <v>5944</v>
      </c>
      <c r="B4234" s="657" t="s">
        <v>504</v>
      </c>
      <c r="C4234" s="656" t="s">
        <v>5945</v>
      </c>
      <c r="D4234" s="657"/>
      <c r="E4234" s="657"/>
      <c r="F4234" s="656" t="s">
        <v>505</v>
      </c>
      <c r="G4234" s="656" t="s">
        <v>4394</v>
      </c>
      <c r="H4234" s="656" t="s">
        <v>505</v>
      </c>
      <c r="I4234" s="656"/>
      <c r="J4234" s="656"/>
      <c r="K4234" s="656"/>
      <c r="L4234" s="656"/>
      <c r="M4234" s="657"/>
      <c r="N4234" s="1482"/>
      <c r="O4234" s="656" t="s">
        <v>498</v>
      </c>
      <c r="P4234" s="656" t="s">
        <v>13052</v>
      </c>
      <c r="Q4234" s="656">
        <v>44216.764722222222</v>
      </c>
    </row>
    <row r="4235" spans="1:17">
      <c r="A4235" s="656" t="s">
        <v>5946</v>
      </c>
      <c r="B4235" s="657" t="s">
        <v>504</v>
      </c>
      <c r="C4235" s="656" t="s">
        <v>5796</v>
      </c>
      <c r="D4235" s="657"/>
      <c r="E4235" s="657"/>
      <c r="F4235" s="656" t="s">
        <v>505</v>
      </c>
      <c r="G4235" s="656" t="s">
        <v>4394</v>
      </c>
      <c r="H4235" s="656" t="s">
        <v>505</v>
      </c>
      <c r="I4235" s="656"/>
      <c r="J4235" s="656"/>
      <c r="K4235" s="656"/>
      <c r="L4235" s="656"/>
      <c r="M4235" s="657"/>
      <c r="N4235" s="1482"/>
      <c r="O4235" s="656" t="s">
        <v>498</v>
      </c>
      <c r="P4235" s="656" t="s">
        <v>13052</v>
      </c>
      <c r="Q4235" s="656">
        <v>44216.764722222222</v>
      </c>
    </row>
    <row r="4236" spans="1:17">
      <c r="A4236" s="656" t="s">
        <v>5947</v>
      </c>
      <c r="B4236" s="657"/>
      <c r="C4236" s="656" t="s">
        <v>5948</v>
      </c>
      <c r="D4236" s="657" t="s">
        <v>13789</v>
      </c>
      <c r="E4236" s="657"/>
      <c r="F4236" s="656"/>
      <c r="G4236" s="656" t="s">
        <v>5103</v>
      </c>
      <c r="H4236" s="656"/>
      <c r="I4236" s="656" t="s">
        <v>14976</v>
      </c>
      <c r="J4236" s="656"/>
      <c r="K4236" s="656"/>
      <c r="L4236" s="656"/>
      <c r="M4236" s="657"/>
      <c r="N4236" s="1482"/>
      <c r="O4236" s="656" t="s">
        <v>498</v>
      </c>
      <c r="P4236" s="656" t="s">
        <v>13052</v>
      </c>
      <c r="Q4236" s="656">
        <v>44216.764722222222</v>
      </c>
    </row>
    <row r="4237" spans="1:17">
      <c r="A4237" s="656" t="s">
        <v>5949</v>
      </c>
      <c r="B4237" s="657"/>
      <c r="C4237" s="656" t="s">
        <v>5950</v>
      </c>
      <c r="D4237" s="657" t="s">
        <v>14977</v>
      </c>
      <c r="E4237" s="657"/>
      <c r="F4237" s="656" t="s">
        <v>1394</v>
      </c>
      <c r="G4237" s="656"/>
      <c r="H4237" s="656" t="s">
        <v>1394</v>
      </c>
      <c r="I4237" s="656" t="s">
        <v>14976</v>
      </c>
      <c r="J4237" s="656"/>
      <c r="K4237" s="656"/>
      <c r="L4237" s="656" t="s">
        <v>5949</v>
      </c>
      <c r="M4237" s="657"/>
      <c r="N4237" s="1482"/>
      <c r="O4237" s="656" t="s">
        <v>498</v>
      </c>
      <c r="P4237" s="656" t="s">
        <v>13052</v>
      </c>
      <c r="Q4237" s="656">
        <v>44216.764710648145</v>
      </c>
    </row>
    <row r="4238" spans="1:17">
      <c r="A4238" s="656" t="s">
        <v>13248</v>
      </c>
      <c r="B4238" s="657" t="s">
        <v>202</v>
      </c>
      <c r="C4238" s="656" t="s">
        <v>13249</v>
      </c>
      <c r="D4238" s="657" t="s">
        <v>13789</v>
      </c>
      <c r="E4238" s="657"/>
      <c r="F4238" s="656" t="s">
        <v>1300</v>
      </c>
      <c r="G4238" s="656" t="s">
        <v>4198</v>
      </c>
      <c r="H4238" s="656" t="s">
        <v>1300</v>
      </c>
      <c r="I4238" s="656" t="s">
        <v>14976</v>
      </c>
      <c r="J4238" s="656"/>
      <c r="K4238" s="656"/>
      <c r="L4238" s="656"/>
      <c r="M4238" s="657"/>
      <c r="N4238" s="1482"/>
      <c r="O4238" s="656" t="s">
        <v>498</v>
      </c>
      <c r="P4238" s="656" t="s">
        <v>13052</v>
      </c>
      <c r="Q4238" s="656">
        <v>44216.764710648145</v>
      </c>
    </row>
    <row r="4239" spans="1:17">
      <c r="A4239" s="656" t="s">
        <v>5951</v>
      </c>
      <c r="B4239" s="657" t="s">
        <v>504</v>
      </c>
      <c r="C4239" s="656" t="s">
        <v>5952</v>
      </c>
      <c r="D4239" s="657"/>
      <c r="E4239" s="657"/>
      <c r="F4239" s="656" t="s">
        <v>505</v>
      </c>
      <c r="G4239" s="656" t="s">
        <v>4394</v>
      </c>
      <c r="H4239" s="656" t="s">
        <v>505</v>
      </c>
      <c r="I4239" s="656"/>
      <c r="J4239" s="656"/>
      <c r="K4239" s="656"/>
      <c r="L4239" s="656"/>
      <c r="M4239" s="657"/>
      <c r="N4239" s="1482"/>
      <c r="O4239" s="656" t="s">
        <v>498</v>
      </c>
      <c r="P4239" s="656" t="s">
        <v>13052</v>
      </c>
      <c r="Q4239" s="656">
        <v>44216.764699074076</v>
      </c>
    </row>
    <row r="4240" spans="1:17">
      <c r="A4240" s="656" t="s">
        <v>5953</v>
      </c>
      <c r="B4240" s="657" t="s">
        <v>504</v>
      </c>
      <c r="C4240" s="656" t="s">
        <v>5954</v>
      </c>
      <c r="D4240" s="657"/>
      <c r="E4240" s="657"/>
      <c r="F4240" s="656" t="s">
        <v>505</v>
      </c>
      <c r="G4240" s="656" t="s">
        <v>4324</v>
      </c>
      <c r="H4240" s="656" t="s">
        <v>505</v>
      </c>
      <c r="I4240" s="656"/>
      <c r="J4240" s="656"/>
      <c r="K4240" s="656"/>
      <c r="L4240" s="656"/>
      <c r="M4240" s="657"/>
      <c r="N4240" s="1482"/>
      <c r="O4240" s="656" t="s">
        <v>498</v>
      </c>
      <c r="P4240" s="656" t="s">
        <v>13052</v>
      </c>
      <c r="Q4240" s="656">
        <v>44216.764687499999</v>
      </c>
    </row>
    <row r="4241" spans="1:17">
      <c r="A4241" s="656" t="s">
        <v>5955</v>
      </c>
      <c r="B4241" s="657" t="s">
        <v>504</v>
      </c>
      <c r="C4241" s="656" t="s">
        <v>5956</v>
      </c>
      <c r="D4241" s="657"/>
      <c r="E4241" s="657"/>
      <c r="F4241" s="656" t="s">
        <v>505</v>
      </c>
      <c r="G4241" s="656" t="s">
        <v>4324</v>
      </c>
      <c r="H4241" s="656" t="s">
        <v>505</v>
      </c>
      <c r="I4241" s="656"/>
      <c r="J4241" s="656"/>
      <c r="K4241" s="656"/>
      <c r="L4241" s="656"/>
      <c r="M4241" s="657"/>
      <c r="N4241" s="1482"/>
      <c r="O4241" s="656" t="s">
        <v>498</v>
      </c>
      <c r="P4241" s="656" t="s">
        <v>13052</v>
      </c>
      <c r="Q4241" s="656">
        <v>44216.764687499999</v>
      </c>
    </row>
    <row r="4242" spans="1:17">
      <c r="A4242" s="656" t="s">
        <v>13246</v>
      </c>
      <c r="B4242" s="657" t="s">
        <v>202</v>
      </c>
      <c r="C4242" s="656" t="s">
        <v>13247</v>
      </c>
      <c r="D4242" s="657" t="s">
        <v>13789</v>
      </c>
      <c r="E4242" s="657"/>
      <c r="F4242" s="656" t="s">
        <v>1300</v>
      </c>
      <c r="G4242" s="656" t="s">
        <v>4198</v>
      </c>
      <c r="H4242" s="656" t="s">
        <v>1300</v>
      </c>
      <c r="I4242" s="656" t="s">
        <v>14976</v>
      </c>
      <c r="J4242" s="656"/>
      <c r="K4242" s="656"/>
      <c r="L4242" s="656"/>
      <c r="M4242" s="657"/>
      <c r="N4242" s="1482"/>
      <c r="O4242" s="656" t="s">
        <v>498</v>
      </c>
      <c r="P4242" s="656" t="s">
        <v>13052</v>
      </c>
      <c r="Q4242" s="656">
        <v>44216.764687499999</v>
      </c>
    </row>
    <row r="4243" spans="1:17">
      <c r="A4243" s="656" t="s">
        <v>13244</v>
      </c>
      <c r="B4243" s="657" t="s">
        <v>202</v>
      </c>
      <c r="C4243" s="656" t="s">
        <v>13245</v>
      </c>
      <c r="D4243" s="657" t="s">
        <v>13789</v>
      </c>
      <c r="E4243" s="657"/>
      <c r="F4243" s="656"/>
      <c r="G4243" s="656" t="s">
        <v>5238</v>
      </c>
      <c r="H4243" s="656"/>
      <c r="I4243" s="656" t="s">
        <v>14976</v>
      </c>
      <c r="J4243" s="656"/>
      <c r="K4243" s="656"/>
      <c r="L4243" s="656"/>
      <c r="M4243" s="657"/>
      <c r="N4243" s="1482"/>
      <c r="O4243" s="656" t="s">
        <v>498</v>
      </c>
      <c r="P4243" s="656" t="s">
        <v>13052</v>
      </c>
      <c r="Q4243" s="656">
        <v>44216.764675925922</v>
      </c>
    </row>
    <row r="4244" spans="1:17">
      <c r="A4244" s="656" t="s">
        <v>13242</v>
      </c>
      <c r="B4244" s="657" t="s">
        <v>202</v>
      </c>
      <c r="C4244" s="656" t="s">
        <v>13243</v>
      </c>
      <c r="D4244" s="657" t="s">
        <v>13789</v>
      </c>
      <c r="E4244" s="657"/>
      <c r="F4244" s="656"/>
      <c r="G4244" s="656" t="s">
        <v>5238</v>
      </c>
      <c r="H4244" s="656"/>
      <c r="I4244" s="656" t="s">
        <v>14976</v>
      </c>
      <c r="J4244" s="656"/>
      <c r="K4244" s="656"/>
      <c r="L4244" s="656"/>
      <c r="M4244" s="657"/>
      <c r="N4244" s="1482"/>
      <c r="O4244" s="656" t="s">
        <v>498</v>
      </c>
      <c r="P4244" s="656" t="s">
        <v>13052</v>
      </c>
      <c r="Q4244" s="656">
        <v>44216.764675925922</v>
      </c>
    </row>
    <row r="4245" spans="1:17">
      <c r="A4245" s="656" t="s">
        <v>13240</v>
      </c>
      <c r="B4245" s="657" t="s">
        <v>202</v>
      </c>
      <c r="C4245" s="656" t="s">
        <v>13241</v>
      </c>
      <c r="D4245" s="657" t="s">
        <v>13789</v>
      </c>
      <c r="E4245" s="657"/>
      <c r="F4245" s="656" t="s">
        <v>1300</v>
      </c>
      <c r="G4245" s="656" t="s">
        <v>5103</v>
      </c>
      <c r="H4245" s="656" t="s">
        <v>1300</v>
      </c>
      <c r="I4245" s="656" t="s">
        <v>14976</v>
      </c>
      <c r="J4245" s="656"/>
      <c r="K4245" s="656"/>
      <c r="L4245" s="656"/>
      <c r="M4245" s="657"/>
      <c r="N4245" s="1482"/>
      <c r="O4245" s="656" t="s">
        <v>498</v>
      </c>
      <c r="P4245" s="656" t="s">
        <v>13052</v>
      </c>
      <c r="Q4245" s="656">
        <v>44216.764664351853</v>
      </c>
    </row>
    <row r="4246" spans="1:17">
      <c r="A4246" s="656" t="s">
        <v>13238</v>
      </c>
      <c r="B4246" s="657" t="s">
        <v>202</v>
      </c>
      <c r="C4246" s="656" t="s">
        <v>13239</v>
      </c>
      <c r="D4246" s="657" t="s">
        <v>13789</v>
      </c>
      <c r="E4246" s="657"/>
      <c r="F4246" s="656" t="s">
        <v>1300</v>
      </c>
      <c r="G4246" s="656" t="s">
        <v>4198</v>
      </c>
      <c r="H4246" s="656" t="s">
        <v>1300</v>
      </c>
      <c r="I4246" s="656" t="s">
        <v>14976</v>
      </c>
      <c r="J4246" s="656"/>
      <c r="K4246" s="656"/>
      <c r="L4246" s="656"/>
      <c r="M4246" s="657"/>
      <c r="N4246" s="1482"/>
      <c r="O4246" s="656" t="s">
        <v>498</v>
      </c>
      <c r="P4246" s="656" t="s">
        <v>13052</v>
      </c>
      <c r="Q4246" s="656">
        <v>44216.764664351853</v>
      </c>
    </row>
    <row r="4247" spans="1:17">
      <c r="A4247" s="656" t="s">
        <v>10873</v>
      </c>
      <c r="B4247" s="657" t="s">
        <v>202</v>
      </c>
      <c r="C4247" s="656" t="s">
        <v>13237</v>
      </c>
      <c r="D4247" s="657" t="s">
        <v>13789</v>
      </c>
      <c r="E4247" s="657"/>
      <c r="F4247" s="656"/>
      <c r="G4247" s="656" t="s">
        <v>5238</v>
      </c>
      <c r="H4247" s="656"/>
      <c r="I4247" s="656" t="s">
        <v>14976</v>
      </c>
      <c r="J4247" s="656"/>
      <c r="K4247" s="656"/>
      <c r="L4247" s="656"/>
      <c r="M4247" s="657"/>
      <c r="N4247" s="1482"/>
      <c r="O4247" s="656" t="s">
        <v>498</v>
      </c>
      <c r="P4247" s="656" t="s">
        <v>13052</v>
      </c>
      <c r="Q4247" s="656">
        <v>44216.764652777776</v>
      </c>
    </row>
    <row r="4248" spans="1:17">
      <c r="A4248" s="656" t="s">
        <v>5957</v>
      </c>
      <c r="B4248" s="657"/>
      <c r="C4248" s="656" t="s">
        <v>5958</v>
      </c>
      <c r="D4248" s="657" t="s">
        <v>13789</v>
      </c>
      <c r="E4248" s="657"/>
      <c r="F4248" s="656"/>
      <c r="G4248" s="656" t="s">
        <v>5103</v>
      </c>
      <c r="H4248" s="656"/>
      <c r="I4248" s="656" t="s">
        <v>14976</v>
      </c>
      <c r="J4248" s="656"/>
      <c r="K4248" s="656"/>
      <c r="L4248" s="656"/>
      <c r="M4248" s="657"/>
      <c r="N4248" s="1482"/>
      <c r="O4248" s="656" t="s">
        <v>498</v>
      </c>
      <c r="P4248" s="656" t="s">
        <v>13052</v>
      </c>
      <c r="Q4248" s="656">
        <v>44216.764652777776</v>
      </c>
    </row>
    <row r="4249" spans="1:17">
      <c r="A4249" s="656" t="s">
        <v>5959</v>
      </c>
      <c r="B4249" s="657"/>
      <c r="C4249" s="656" t="s">
        <v>5960</v>
      </c>
      <c r="D4249" s="657" t="s">
        <v>13789</v>
      </c>
      <c r="E4249" s="657"/>
      <c r="F4249" s="656"/>
      <c r="G4249" s="656" t="s">
        <v>5045</v>
      </c>
      <c r="H4249" s="656"/>
      <c r="I4249" s="656" t="s">
        <v>14976</v>
      </c>
      <c r="J4249" s="656"/>
      <c r="K4249" s="656"/>
      <c r="L4249" s="656"/>
      <c r="M4249" s="657"/>
      <c r="N4249" s="1482"/>
      <c r="O4249" s="656" t="s">
        <v>498</v>
      </c>
      <c r="P4249" s="656" t="s">
        <v>13052</v>
      </c>
      <c r="Q4249" s="656">
        <v>44216.764641203707</v>
      </c>
    </row>
    <row r="4250" spans="1:17">
      <c r="A4250" s="656" t="s">
        <v>5961</v>
      </c>
      <c r="B4250" s="657" t="s">
        <v>504</v>
      </c>
      <c r="C4250" s="656" t="s">
        <v>5962</v>
      </c>
      <c r="D4250" s="657"/>
      <c r="E4250" s="657"/>
      <c r="F4250" s="656"/>
      <c r="G4250" s="656" t="s">
        <v>5103</v>
      </c>
      <c r="H4250" s="656"/>
      <c r="I4250" s="656"/>
      <c r="J4250" s="656"/>
      <c r="K4250" s="656"/>
      <c r="L4250" s="656"/>
      <c r="M4250" s="657"/>
      <c r="N4250" s="1482"/>
      <c r="O4250" s="656" t="s">
        <v>498</v>
      </c>
      <c r="P4250" s="656" t="s">
        <v>13052</v>
      </c>
      <c r="Q4250" s="656">
        <v>44216.764641203707</v>
      </c>
    </row>
    <row r="4251" spans="1:17">
      <c r="A4251" s="656" t="s">
        <v>5963</v>
      </c>
      <c r="B4251" s="657" t="s">
        <v>504</v>
      </c>
      <c r="C4251" s="656" t="s">
        <v>5964</v>
      </c>
      <c r="D4251" s="657"/>
      <c r="E4251" s="657"/>
      <c r="F4251" s="656" t="s">
        <v>505</v>
      </c>
      <c r="G4251" s="656" t="s">
        <v>4394</v>
      </c>
      <c r="H4251" s="656" t="s">
        <v>505</v>
      </c>
      <c r="I4251" s="656"/>
      <c r="J4251" s="656"/>
      <c r="K4251" s="656"/>
      <c r="L4251" s="656"/>
      <c r="M4251" s="657"/>
      <c r="N4251" s="1482"/>
      <c r="O4251" s="656" t="s">
        <v>498</v>
      </c>
      <c r="P4251" s="656" t="s">
        <v>13052</v>
      </c>
      <c r="Q4251" s="656">
        <v>44216.76462962963</v>
      </c>
    </row>
    <row r="4252" spans="1:17">
      <c r="A4252" s="656" t="s">
        <v>5965</v>
      </c>
      <c r="B4252" s="657" t="s">
        <v>504</v>
      </c>
      <c r="C4252" s="656" t="s">
        <v>5966</v>
      </c>
      <c r="D4252" s="657"/>
      <c r="E4252" s="657"/>
      <c r="F4252" s="656" t="s">
        <v>505</v>
      </c>
      <c r="G4252" s="656" t="s">
        <v>4394</v>
      </c>
      <c r="H4252" s="656" t="s">
        <v>505</v>
      </c>
      <c r="I4252" s="656"/>
      <c r="J4252" s="656"/>
      <c r="K4252" s="656"/>
      <c r="L4252" s="656"/>
      <c r="M4252" s="657"/>
      <c r="N4252" s="1482"/>
      <c r="O4252" s="656" t="s">
        <v>498</v>
      </c>
      <c r="P4252" s="656" t="s">
        <v>13052</v>
      </c>
      <c r="Q4252" s="656">
        <v>44216.764618055553</v>
      </c>
    </row>
    <row r="4253" spans="1:17">
      <c r="A4253" s="656" t="s">
        <v>5967</v>
      </c>
      <c r="B4253" s="657"/>
      <c r="C4253" s="656" t="s">
        <v>5968</v>
      </c>
      <c r="D4253" s="657" t="s">
        <v>13789</v>
      </c>
      <c r="E4253" s="657"/>
      <c r="F4253" s="656"/>
      <c r="G4253" s="656" t="s">
        <v>5045</v>
      </c>
      <c r="H4253" s="656"/>
      <c r="I4253" s="656" t="s">
        <v>14976</v>
      </c>
      <c r="J4253" s="656"/>
      <c r="K4253" s="656"/>
      <c r="L4253" s="656"/>
      <c r="M4253" s="657"/>
      <c r="N4253" s="1482"/>
      <c r="O4253" s="656" t="s">
        <v>498</v>
      </c>
      <c r="P4253" s="656" t="s">
        <v>13052</v>
      </c>
      <c r="Q4253" s="656">
        <v>44216.764618055553</v>
      </c>
    </row>
    <row r="4254" spans="1:17">
      <c r="A4254" s="656" t="s">
        <v>5969</v>
      </c>
      <c r="B4254" s="657" t="s">
        <v>504</v>
      </c>
      <c r="C4254" s="656" t="s">
        <v>5970</v>
      </c>
      <c r="D4254" s="657"/>
      <c r="E4254" s="657"/>
      <c r="F4254" s="656"/>
      <c r="G4254" s="656" t="s">
        <v>4198</v>
      </c>
      <c r="H4254" s="656"/>
      <c r="I4254" s="656"/>
      <c r="J4254" s="656"/>
      <c r="K4254" s="656"/>
      <c r="L4254" s="656"/>
      <c r="M4254" s="657"/>
      <c r="N4254" s="1482"/>
      <c r="O4254" s="656" t="s">
        <v>498</v>
      </c>
      <c r="P4254" s="656" t="s">
        <v>13052</v>
      </c>
      <c r="Q4254" s="656">
        <v>44216.764618055553</v>
      </c>
    </row>
    <row r="4255" spans="1:17">
      <c r="A4255" s="656" t="s">
        <v>13235</v>
      </c>
      <c r="B4255" s="657" t="s">
        <v>202</v>
      </c>
      <c r="C4255" s="656" t="s">
        <v>13236</v>
      </c>
      <c r="D4255" s="657" t="s">
        <v>13789</v>
      </c>
      <c r="E4255" s="657"/>
      <c r="F4255" s="656" t="s">
        <v>1300</v>
      </c>
      <c r="G4255" s="656" t="s">
        <v>4198</v>
      </c>
      <c r="H4255" s="656" t="s">
        <v>1300</v>
      </c>
      <c r="I4255" s="656" t="s">
        <v>14976</v>
      </c>
      <c r="J4255" s="656"/>
      <c r="K4255" s="656"/>
      <c r="L4255" s="656"/>
      <c r="M4255" s="657"/>
      <c r="N4255" s="1482"/>
      <c r="O4255" s="656" t="s">
        <v>498</v>
      </c>
      <c r="P4255" s="656" t="s">
        <v>13052</v>
      </c>
      <c r="Q4255" s="656">
        <v>44216.764606481483</v>
      </c>
    </row>
    <row r="4256" spans="1:17">
      <c r="A4256" s="656" t="s">
        <v>13233</v>
      </c>
      <c r="B4256" s="657" t="s">
        <v>202</v>
      </c>
      <c r="C4256" s="656" t="s">
        <v>13234</v>
      </c>
      <c r="D4256" s="657" t="s">
        <v>13789</v>
      </c>
      <c r="E4256" s="657"/>
      <c r="F4256" s="656" t="s">
        <v>1300</v>
      </c>
      <c r="G4256" s="656" t="s">
        <v>4198</v>
      </c>
      <c r="H4256" s="656" t="s">
        <v>1300</v>
      </c>
      <c r="I4256" s="656" t="s">
        <v>14976</v>
      </c>
      <c r="J4256" s="656"/>
      <c r="K4256" s="656"/>
      <c r="L4256" s="656"/>
      <c r="M4256" s="657"/>
      <c r="N4256" s="1482"/>
      <c r="O4256" s="656" t="s">
        <v>498</v>
      </c>
      <c r="P4256" s="656" t="s">
        <v>13052</v>
      </c>
      <c r="Q4256" s="656">
        <v>44216.764594907407</v>
      </c>
    </row>
    <row r="4257" spans="1:17">
      <c r="A4257" s="656" t="s">
        <v>13231</v>
      </c>
      <c r="B4257" s="657" t="s">
        <v>202</v>
      </c>
      <c r="C4257" s="656" t="s">
        <v>13232</v>
      </c>
      <c r="D4257" s="657" t="s">
        <v>13789</v>
      </c>
      <c r="E4257" s="657"/>
      <c r="F4257" s="656" t="s">
        <v>1300</v>
      </c>
      <c r="G4257" s="656" t="s">
        <v>4198</v>
      </c>
      <c r="H4257" s="656" t="s">
        <v>1300</v>
      </c>
      <c r="I4257" s="656" t="s">
        <v>14976</v>
      </c>
      <c r="J4257" s="656"/>
      <c r="K4257" s="656"/>
      <c r="L4257" s="656"/>
      <c r="M4257" s="657"/>
      <c r="N4257" s="1482"/>
      <c r="O4257" s="656" t="s">
        <v>498</v>
      </c>
      <c r="P4257" s="656" t="s">
        <v>13052</v>
      </c>
      <c r="Q4257" s="656">
        <v>44216.764594907407</v>
      </c>
    </row>
    <row r="4258" spans="1:17">
      <c r="A4258" s="656" t="s">
        <v>5971</v>
      </c>
      <c r="B4258" s="657" t="s">
        <v>504</v>
      </c>
      <c r="C4258" s="656" t="s">
        <v>5972</v>
      </c>
      <c r="D4258" s="657"/>
      <c r="E4258" s="657"/>
      <c r="F4258" s="656" t="s">
        <v>505</v>
      </c>
      <c r="G4258" s="656" t="s">
        <v>4394</v>
      </c>
      <c r="H4258" s="656" t="s">
        <v>505</v>
      </c>
      <c r="I4258" s="656"/>
      <c r="J4258" s="656"/>
      <c r="K4258" s="656"/>
      <c r="L4258" s="656"/>
      <c r="M4258" s="657"/>
      <c r="N4258" s="1482"/>
      <c r="O4258" s="656" t="s">
        <v>498</v>
      </c>
      <c r="P4258" s="656" t="s">
        <v>13052</v>
      </c>
      <c r="Q4258" s="656">
        <v>44216.76458333333</v>
      </c>
    </row>
    <row r="4259" spans="1:17">
      <c r="A4259" s="656" t="s">
        <v>13229</v>
      </c>
      <c r="B4259" s="657" t="s">
        <v>202</v>
      </c>
      <c r="C4259" s="656" t="s">
        <v>13230</v>
      </c>
      <c r="D4259" s="657" t="s">
        <v>13789</v>
      </c>
      <c r="E4259" s="657"/>
      <c r="F4259" s="656" t="s">
        <v>1300</v>
      </c>
      <c r="G4259" s="656" t="s">
        <v>4198</v>
      </c>
      <c r="H4259" s="656" t="s">
        <v>1300</v>
      </c>
      <c r="I4259" s="656" t="s">
        <v>14976</v>
      </c>
      <c r="J4259" s="656"/>
      <c r="K4259" s="656"/>
      <c r="L4259" s="656"/>
      <c r="M4259" s="657"/>
      <c r="N4259" s="1482"/>
      <c r="O4259" s="656" t="s">
        <v>498</v>
      </c>
      <c r="P4259" s="656" t="s">
        <v>13052</v>
      </c>
      <c r="Q4259" s="656">
        <v>44216.76457175926</v>
      </c>
    </row>
    <row r="4260" spans="1:17">
      <c r="A4260" s="656" t="s">
        <v>13227</v>
      </c>
      <c r="B4260" s="657" t="s">
        <v>202</v>
      </c>
      <c r="C4260" s="656" t="s">
        <v>13228</v>
      </c>
      <c r="D4260" s="657" t="s">
        <v>13789</v>
      </c>
      <c r="E4260" s="657"/>
      <c r="F4260" s="656" t="s">
        <v>1300</v>
      </c>
      <c r="G4260" s="656" t="s">
        <v>4198</v>
      </c>
      <c r="H4260" s="656" t="s">
        <v>1300</v>
      </c>
      <c r="I4260" s="656" t="s">
        <v>14976</v>
      </c>
      <c r="J4260" s="656"/>
      <c r="K4260" s="656"/>
      <c r="L4260" s="656"/>
      <c r="M4260" s="657"/>
      <c r="N4260" s="1482"/>
      <c r="O4260" s="656" t="s">
        <v>498</v>
      </c>
      <c r="P4260" s="656" t="s">
        <v>13052</v>
      </c>
      <c r="Q4260" s="656">
        <v>44216.76457175926</v>
      </c>
    </row>
    <row r="4261" spans="1:17">
      <c r="A4261" s="656" t="s">
        <v>13225</v>
      </c>
      <c r="B4261" s="657" t="s">
        <v>202</v>
      </c>
      <c r="C4261" s="656" t="s">
        <v>13226</v>
      </c>
      <c r="D4261" s="657" t="s">
        <v>13789</v>
      </c>
      <c r="E4261" s="657"/>
      <c r="F4261" s="656" t="s">
        <v>1300</v>
      </c>
      <c r="G4261" s="656" t="s">
        <v>4198</v>
      </c>
      <c r="H4261" s="656" t="s">
        <v>1300</v>
      </c>
      <c r="I4261" s="656" t="s">
        <v>14976</v>
      </c>
      <c r="J4261" s="656"/>
      <c r="K4261" s="656"/>
      <c r="L4261" s="656"/>
      <c r="M4261" s="657"/>
      <c r="N4261" s="1482"/>
      <c r="O4261" s="656" t="s">
        <v>498</v>
      </c>
      <c r="P4261" s="656" t="s">
        <v>13052</v>
      </c>
      <c r="Q4261" s="656">
        <v>44216.764560185184</v>
      </c>
    </row>
    <row r="4262" spans="1:17">
      <c r="A4262" s="656" t="s">
        <v>5973</v>
      </c>
      <c r="B4262" s="657" t="s">
        <v>504</v>
      </c>
      <c r="C4262" s="656" t="s">
        <v>5974</v>
      </c>
      <c r="D4262" s="657"/>
      <c r="E4262" s="657"/>
      <c r="F4262" s="656"/>
      <c r="G4262" s="656" t="s">
        <v>4198</v>
      </c>
      <c r="H4262" s="656"/>
      <c r="I4262" s="656"/>
      <c r="J4262" s="656"/>
      <c r="K4262" s="656"/>
      <c r="L4262" s="656"/>
      <c r="M4262" s="657"/>
      <c r="N4262" s="1482"/>
      <c r="O4262" s="656" t="s">
        <v>498</v>
      </c>
      <c r="P4262" s="656" t="s">
        <v>13052</v>
      </c>
      <c r="Q4262" s="656">
        <v>44216.764560185184</v>
      </c>
    </row>
    <row r="4263" spans="1:17">
      <c r="A4263" s="656" t="s">
        <v>13223</v>
      </c>
      <c r="B4263" s="657" t="s">
        <v>202</v>
      </c>
      <c r="C4263" s="656" t="s">
        <v>13224</v>
      </c>
      <c r="D4263" s="657" t="s">
        <v>13789</v>
      </c>
      <c r="E4263" s="657"/>
      <c r="F4263" s="656" t="s">
        <v>1300</v>
      </c>
      <c r="G4263" s="656" t="s">
        <v>4198</v>
      </c>
      <c r="H4263" s="656" t="s">
        <v>1300</v>
      </c>
      <c r="I4263" s="656" t="s">
        <v>14976</v>
      </c>
      <c r="J4263" s="656"/>
      <c r="K4263" s="656"/>
      <c r="L4263" s="656"/>
      <c r="M4263" s="657"/>
      <c r="N4263" s="1482"/>
      <c r="O4263" s="656" t="s">
        <v>498</v>
      </c>
      <c r="P4263" s="656" t="s">
        <v>13052</v>
      </c>
      <c r="Q4263" s="656">
        <v>44216.764560185184</v>
      </c>
    </row>
    <row r="4264" spans="1:17">
      <c r="A4264" s="656" t="s">
        <v>13221</v>
      </c>
      <c r="B4264" s="657" t="s">
        <v>202</v>
      </c>
      <c r="C4264" s="656" t="s">
        <v>13222</v>
      </c>
      <c r="D4264" s="657" t="s">
        <v>13789</v>
      </c>
      <c r="E4264" s="657"/>
      <c r="F4264" s="656" t="s">
        <v>1300</v>
      </c>
      <c r="G4264" s="656" t="s">
        <v>4198</v>
      </c>
      <c r="H4264" s="656" t="s">
        <v>1300</v>
      </c>
      <c r="I4264" s="656" t="s">
        <v>14976</v>
      </c>
      <c r="J4264" s="656"/>
      <c r="K4264" s="656"/>
      <c r="L4264" s="656"/>
      <c r="M4264" s="657"/>
      <c r="N4264" s="1482"/>
      <c r="O4264" s="656" t="s">
        <v>498</v>
      </c>
      <c r="P4264" s="656" t="s">
        <v>13052</v>
      </c>
      <c r="Q4264" s="656">
        <v>44216.764548611114</v>
      </c>
    </row>
    <row r="4265" spans="1:17">
      <c r="A4265" s="656" t="s">
        <v>13219</v>
      </c>
      <c r="B4265" s="657" t="s">
        <v>202</v>
      </c>
      <c r="C4265" s="656" t="s">
        <v>13220</v>
      </c>
      <c r="D4265" s="657" t="s">
        <v>13789</v>
      </c>
      <c r="E4265" s="657"/>
      <c r="F4265" s="656" t="s">
        <v>1300</v>
      </c>
      <c r="G4265" s="656" t="s">
        <v>4198</v>
      </c>
      <c r="H4265" s="656" t="s">
        <v>1300</v>
      </c>
      <c r="I4265" s="656" t="s">
        <v>14976</v>
      </c>
      <c r="J4265" s="656"/>
      <c r="K4265" s="656"/>
      <c r="L4265" s="656"/>
      <c r="M4265" s="657"/>
      <c r="N4265" s="1482"/>
      <c r="O4265" s="656" t="s">
        <v>498</v>
      </c>
      <c r="P4265" s="656" t="s">
        <v>13052</v>
      </c>
      <c r="Q4265" s="656">
        <v>44216.764548611114</v>
      </c>
    </row>
    <row r="4266" spans="1:17">
      <c r="A4266" s="656" t="s">
        <v>5975</v>
      </c>
      <c r="B4266" s="657"/>
      <c r="C4266" s="656" t="s">
        <v>5976</v>
      </c>
      <c r="D4266" s="657" t="s">
        <v>13789</v>
      </c>
      <c r="E4266" s="657"/>
      <c r="F4266" s="656"/>
      <c r="G4266" s="656" t="s">
        <v>5045</v>
      </c>
      <c r="H4266" s="656"/>
      <c r="I4266" s="656" t="s">
        <v>14976</v>
      </c>
      <c r="J4266" s="656"/>
      <c r="K4266" s="656"/>
      <c r="L4266" s="656"/>
      <c r="M4266" s="657"/>
      <c r="N4266" s="1482"/>
      <c r="O4266" s="656" t="s">
        <v>498</v>
      </c>
      <c r="P4266" s="656" t="s">
        <v>13052</v>
      </c>
      <c r="Q4266" s="656">
        <v>44216.764537037037</v>
      </c>
    </row>
    <row r="4267" spans="1:17">
      <c r="A4267" s="656" t="s">
        <v>13217</v>
      </c>
      <c r="B4267" s="657" t="s">
        <v>202</v>
      </c>
      <c r="C4267" s="656" t="s">
        <v>13218</v>
      </c>
      <c r="D4267" s="657" t="s">
        <v>13789</v>
      </c>
      <c r="E4267" s="657"/>
      <c r="F4267" s="656"/>
      <c r="G4267" s="656" t="s">
        <v>5238</v>
      </c>
      <c r="H4267" s="656"/>
      <c r="I4267" s="656" t="s">
        <v>14976</v>
      </c>
      <c r="J4267" s="656"/>
      <c r="K4267" s="656"/>
      <c r="L4267" s="656"/>
      <c r="M4267" s="657"/>
      <c r="N4267" s="1482"/>
      <c r="O4267" s="656" t="s">
        <v>498</v>
      </c>
      <c r="P4267" s="656" t="s">
        <v>13052</v>
      </c>
      <c r="Q4267" s="656">
        <v>44216.764525462961</v>
      </c>
    </row>
    <row r="4268" spans="1:17">
      <c r="A4268" s="656" t="s">
        <v>13215</v>
      </c>
      <c r="B4268" s="657" t="s">
        <v>202</v>
      </c>
      <c r="C4268" s="656" t="s">
        <v>13216</v>
      </c>
      <c r="D4268" s="657" t="s">
        <v>13789</v>
      </c>
      <c r="E4268" s="657"/>
      <c r="F4268" s="656" t="s">
        <v>1300</v>
      </c>
      <c r="G4268" s="656" t="s">
        <v>4198</v>
      </c>
      <c r="H4268" s="656" t="s">
        <v>1300</v>
      </c>
      <c r="I4268" s="656" t="s">
        <v>14976</v>
      </c>
      <c r="J4268" s="656"/>
      <c r="K4268" s="656"/>
      <c r="L4268" s="656"/>
      <c r="M4268" s="657"/>
      <c r="N4268" s="1482"/>
      <c r="O4268" s="656" t="s">
        <v>498</v>
      </c>
      <c r="P4268" s="656" t="s">
        <v>13052</v>
      </c>
      <c r="Q4268" s="656">
        <v>44216.764525462961</v>
      </c>
    </row>
    <row r="4269" spans="1:17">
      <c r="A4269" s="656" t="s">
        <v>5977</v>
      </c>
      <c r="B4269" s="657" t="s">
        <v>504</v>
      </c>
      <c r="C4269" s="656" t="s">
        <v>5978</v>
      </c>
      <c r="D4269" s="657"/>
      <c r="E4269" s="657"/>
      <c r="F4269" s="656"/>
      <c r="G4269" s="656" t="s">
        <v>4198</v>
      </c>
      <c r="H4269" s="656"/>
      <c r="I4269" s="656"/>
      <c r="J4269" s="656"/>
      <c r="K4269" s="656"/>
      <c r="L4269" s="656"/>
      <c r="M4269" s="657"/>
      <c r="N4269" s="1482"/>
      <c r="O4269" s="656" t="s">
        <v>498</v>
      </c>
      <c r="P4269" s="656" t="s">
        <v>13052</v>
      </c>
      <c r="Q4269" s="656">
        <v>44216.764513888891</v>
      </c>
    </row>
    <row r="4270" spans="1:17">
      <c r="A4270" s="656" t="s">
        <v>5979</v>
      </c>
      <c r="B4270" s="657" t="s">
        <v>504</v>
      </c>
      <c r="C4270" s="656" t="s">
        <v>5980</v>
      </c>
      <c r="D4270" s="657"/>
      <c r="E4270" s="657"/>
      <c r="F4270" s="656"/>
      <c r="G4270" s="656" t="s">
        <v>4198</v>
      </c>
      <c r="H4270" s="656"/>
      <c r="I4270" s="656"/>
      <c r="J4270" s="656"/>
      <c r="K4270" s="656"/>
      <c r="L4270" s="656"/>
      <c r="M4270" s="657"/>
      <c r="N4270" s="1482"/>
      <c r="O4270" s="656" t="s">
        <v>498</v>
      </c>
      <c r="P4270" s="656" t="s">
        <v>13052</v>
      </c>
      <c r="Q4270" s="656">
        <v>44216.764513888891</v>
      </c>
    </row>
    <row r="4271" spans="1:17">
      <c r="A4271" s="656" t="s">
        <v>5981</v>
      </c>
      <c r="B4271" s="657" t="s">
        <v>504</v>
      </c>
      <c r="C4271" s="656" t="s">
        <v>5982</v>
      </c>
      <c r="D4271" s="657"/>
      <c r="E4271" s="657"/>
      <c r="F4271" s="656"/>
      <c r="G4271" s="656" t="s">
        <v>4198</v>
      </c>
      <c r="H4271" s="656"/>
      <c r="I4271" s="656"/>
      <c r="J4271" s="656"/>
      <c r="K4271" s="656"/>
      <c r="L4271" s="656"/>
      <c r="M4271" s="657"/>
      <c r="N4271" s="1482"/>
      <c r="O4271" s="656" t="s">
        <v>498</v>
      </c>
      <c r="P4271" s="656" t="s">
        <v>13052</v>
      </c>
      <c r="Q4271" s="656">
        <v>44216.764502314814</v>
      </c>
    </row>
    <row r="4272" spans="1:17">
      <c r="A4272" s="656" t="s">
        <v>5983</v>
      </c>
      <c r="B4272" s="657"/>
      <c r="C4272" s="656" t="s">
        <v>5984</v>
      </c>
      <c r="D4272" s="657" t="s">
        <v>14977</v>
      </c>
      <c r="E4272" s="657"/>
      <c r="F4272" s="656" t="s">
        <v>1394</v>
      </c>
      <c r="G4272" s="656"/>
      <c r="H4272" s="656" t="s">
        <v>1394</v>
      </c>
      <c r="I4272" s="656" t="s">
        <v>14976</v>
      </c>
      <c r="J4272" s="656"/>
      <c r="K4272" s="656"/>
      <c r="L4272" s="656" t="s">
        <v>5983</v>
      </c>
      <c r="M4272" s="657"/>
      <c r="N4272" s="1482"/>
      <c r="O4272" s="656" t="s">
        <v>498</v>
      </c>
      <c r="P4272" s="656" t="s">
        <v>13052</v>
      </c>
      <c r="Q4272" s="656">
        <v>44216.764502314814</v>
      </c>
    </row>
    <row r="4273" spans="1:17">
      <c r="A4273" s="656" t="s">
        <v>5985</v>
      </c>
      <c r="B4273" s="657"/>
      <c r="C4273" s="656" t="s">
        <v>5986</v>
      </c>
      <c r="D4273" s="657" t="s">
        <v>13789</v>
      </c>
      <c r="E4273" s="657"/>
      <c r="F4273" s="656"/>
      <c r="G4273" s="656" t="s">
        <v>5045</v>
      </c>
      <c r="H4273" s="656"/>
      <c r="I4273" s="656" t="s">
        <v>14976</v>
      </c>
      <c r="J4273" s="656"/>
      <c r="K4273" s="656"/>
      <c r="L4273" s="656"/>
      <c r="M4273" s="657"/>
      <c r="N4273" s="1482"/>
      <c r="O4273" s="656" t="s">
        <v>498</v>
      </c>
      <c r="P4273" s="656" t="s">
        <v>13052</v>
      </c>
      <c r="Q4273" s="656">
        <v>44216.764490740738</v>
      </c>
    </row>
    <row r="4274" spans="1:17">
      <c r="A4274" s="656" t="s">
        <v>5987</v>
      </c>
      <c r="B4274" s="657" t="s">
        <v>504</v>
      </c>
      <c r="C4274" s="656" t="s">
        <v>5988</v>
      </c>
      <c r="D4274" s="657"/>
      <c r="E4274" s="657"/>
      <c r="F4274" s="656" t="s">
        <v>505</v>
      </c>
      <c r="G4274" s="656" t="s">
        <v>4324</v>
      </c>
      <c r="H4274" s="656" t="s">
        <v>505</v>
      </c>
      <c r="I4274" s="656"/>
      <c r="J4274" s="656"/>
      <c r="K4274" s="656"/>
      <c r="L4274" s="656"/>
      <c r="M4274" s="657"/>
      <c r="N4274" s="1482"/>
      <c r="O4274" s="656" t="s">
        <v>498</v>
      </c>
      <c r="P4274" s="656" t="s">
        <v>13052</v>
      </c>
      <c r="Q4274" s="656">
        <v>44216.764490740738</v>
      </c>
    </row>
    <row r="4275" spans="1:17">
      <c r="A4275" s="656" t="s">
        <v>5989</v>
      </c>
      <c r="B4275" s="657" t="s">
        <v>504</v>
      </c>
      <c r="C4275" s="656" t="s">
        <v>5990</v>
      </c>
      <c r="D4275" s="657"/>
      <c r="E4275" s="657"/>
      <c r="F4275" s="656" t="s">
        <v>505</v>
      </c>
      <c r="G4275" s="656" t="s">
        <v>4324</v>
      </c>
      <c r="H4275" s="656" t="s">
        <v>505</v>
      </c>
      <c r="I4275" s="656"/>
      <c r="J4275" s="656"/>
      <c r="K4275" s="656"/>
      <c r="L4275" s="656"/>
      <c r="M4275" s="657"/>
      <c r="N4275" s="1482"/>
      <c r="O4275" s="656" t="s">
        <v>498</v>
      </c>
      <c r="P4275" s="656" t="s">
        <v>13052</v>
      </c>
      <c r="Q4275" s="656">
        <v>44216.764479166668</v>
      </c>
    </row>
    <row r="4276" spans="1:17">
      <c r="A4276" s="656" t="s">
        <v>5991</v>
      </c>
      <c r="B4276" s="657" t="s">
        <v>504</v>
      </c>
      <c r="C4276" s="656" t="s">
        <v>5992</v>
      </c>
      <c r="D4276" s="657"/>
      <c r="E4276" s="657"/>
      <c r="F4276" s="656" t="s">
        <v>505</v>
      </c>
      <c r="G4276" s="656" t="s">
        <v>4324</v>
      </c>
      <c r="H4276" s="656" t="s">
        <v>505</v>
      </c>
      <c r="I4276" s="656"/>
      <c r="J4276" s="656"/>
      <c r="K4276" s="656"/>
      <c r="L4276" s="656"/>
      <c r="M4276" s="657"/>
      <c r="N4276" s="1482"/>
      <c r="O4276" s="656" t="s">
        <v>498</v>
      </c>
      <c r="P4276" s="656" t="s">
        <v>13052</v>
      </c>
      <c r="Q4276" s="656">
        <v>44216.764479166668</v>
      </c>
    </row>
    <row r="4277" spans="1:17">
      <c r="A4277" s="656" t="s">
        <v>5993</v>
      </c>
      <c r="B4277" s="657"/>
      <c r="C4277" s="656" t="s">
        <v>5994</v>
      </c>
      <c r="D4277" s="657" t="s">
        <v>13789</v>
      </c>
      <c r="E4277" s="657"/>
      <c r="F4277" s="656"/>
      <c r="G4277" s="656" t="s">
        <v>5103</v>
      </c>
      <c r="H4277" s="656"/>
      <c r="I4277" s="656" t="s">
        <v>14976</v>
      </c>
      <c r="J4277" s="656"/>
      <c r="K4277" s="656"/>
      <c r="L4277" s="656"/>
      <c r="M4277" s="657"/>
      <c r="N4277" s="1482"/>
      <c r="O4277" s="656" t="s">
        <v>498</v>
      </c>
      <c r="P4277" s="656" t="s">
        <v>13052</v>
      </c>
      <c r="Q4277" s="656">
        <v>44216.764467592591</v>
      </c>
    </row>
    <row r="4278" spans="1:17">
      <c r="A4278" s="656" t="s">
        <v>5995</v>
      </c>
      <c r="B4278" s="657" t="s">
        <v>504</v>
      </c>
      <c r="C4278" s="656" t="s">
        <v>5996</v>
      </c>
      <c r="D4278" s="657"/>
      <c r="E4278" s="657"/>
      <c r="F4278" s="656"/>
      <c r="G4278" s="656" t="s">
        <v>4362</v>
      </c>
      <c r="H4278" s="656"/>
      <c r="I4278" s="656"/>
      <c r="J4278" s="656"/>
      <c r="K4278" s="656"/>
      <c r="L4278" s="656"/>
      <c r="M4278" s="657"/>
      <c r="N4278" s="1482"/>
      <c r="O4278" s="656" t="s">
        <v>498</v>
      </c>
      <c r="P4278" s="656" t="s">
        <v>13052</v>
      </c>
      <c r="Q4278" s="656">
        <v>44216.764467592591</v>
      </c>
    </row>
    <row r="4279" spans="1:17">
      <c r="A4279" s="656" t="s">
        <v>5997</v>
      </c>
      <c r="B4279" s="657" t="s">
        <v>504</v>
      </c>
      <c r="C4279" s="656" t="s">
        <v>5998</v>
      </c>
      <c r="D4279" s="657"/>
      <c r="E4279" s="657"/>
      <c r="F4279" s="656"/>
      <c r="G4279" s="656" t="s">
        <v>4362</v>
      </c>
      <c r="H4279" s="656"/>
      <c r="I4279" s="656"/>
      <c r="J4279" s="656"/>
      <c r="K4279" s="656"/>
      <c r="L4279" s="656"/>
      <c r="M4279" s="657"/>
      <c r="N4279" s="1482"/>
      <c r="O4279" s="656" t="s">
        <v>498</v>
      </c>
      <c r="P4279" s="656" t="s">
        <v>13052</v>
      </c>
      <c r="Q4279" s="656">
        <v>44216.764456018522</v>
      </c>
    </row>
    <row r="4280" spans="1:17">
      <c r="A4280" s="656" t="s">
        <v>5999</v>
      </c>
      <c r="B4280" s="657"/>
      <c r="C4280" s="656" t="s">
        <v>6000</v>
      </c>
      <c r="D4280" s="657" t="s">
        <v>13789</v>
      </c>
      <c r="E4280" s="657"/>
      <c r="F4280" s="656"/>
      <c r="G4280" s="656" t="s">
        <v>5045</v>
      </c>
      <c r="H4280" s="656"/>
      <c r="I4280" s="656" t="s">
        <v>14976</v>
      </c>
      <c r="J4280" s="656"/>
      <c r="K4280" s="656"/>
      <c r="L4280" s="656"/>
      <c r="M4280" s="657"/>
      <c r="N4280" s="1482"/>
      <c r="O4280" s="656" t="s">
        <v>498</v>
      </c>
      <c r="P4280" s="656" t="s">
        <v>13052</v>
      </c>
      <c r="Q4280" s="656">
        <v>44216.764456018522</v>
      </c>
    </row>
    <row r="4281" spans="1:17">
      <c r="A4281" s="656" t="s">
        <v>6001</v>
      </c>
      <c r="B4281" s="657"/>
      <c r="C4281" s="656" t="s">
        <v>6002</v>
      </c>
      <c r="D4281" s="657" t="s">
        <v>13789</v>
      </c>
      <c r="E4281" s="657"/>
      <c r="F4281" s="656"/>
      <c r="G4281" s="656" t="s">
        <v>5045</v>
      </c>
      <c r="H4281" s="656"/>
      <c r="I4281" s="656" t="s">
        <v>14976</v>
      </c>
      <c r="J4281" s="656"/>
      <c r="K4281" s="656"/>
      <c r="L4281" s="656"/>
      <c r="M4281" s="657"/>
      <c r="N4281" s="1482"/>
      <c r="O4281" s="656" t="s">
        <v>498</v>
      </c>
      <c r="P4281" s="656" t="s">
        <v>13052</v>
      </c>
      <c r="Q4281" s="656">
        <v>44216.764444444445</v>
      </c>
    </row>
    <row r="4282" spans="1:17">
      <c r="A4282" s="656" t="s">
        <v>6003</v>
      </c>
      <c r="B4282" s="657"/>
      <c r="C4282" s="656" t="s">
        <v>6004</v>
      </c>
      <c r="D4282" s="657" t="s">
        <v>13789</v>
      </c>
      <c r="E4282" s="657"/>
      <c r="F4282" s="656"/>
      <c r="G4282" s="656" t="s">
        <v>5045</v>
      </c>
      <c r="H4282" s="656"/>
      <c r="I4282" s="656" t="s">
        <v>14976</v>
      </c>
      <c r="J4282" s="656"/>
      <c r="K4282" s="656"/>
      <c r="L4282" s="656"/>
      <c r="M4282" s="657"/>
      <c r="N4282" s="1482"/>
      <c r="O4282" s="656" t="s">
        <v>498</v>
      </c>
      <c r="P4282" s="656" t="s">
        <v>13052</v>
      </c>
      <c r="Q4282" s="656">
        <v>44216.764444444445</v>
      </c>
    </row>
    <row r="4283" spans="1:17">
      <c r="A4283" s="656" t="s">
        <v>6005</v>
      </c>
      <c r="B4283" s="657" t="s">
        <v>202</v>
      </c>
      <c r="C4283" s="656" t="s">
        <v>6006</v>
      </c>
      <c r="D4283" s="657" t="s">
        <v>14977</v>
      </c>
      <c r="E4283" s="657"/>
      <c r="F4283" s="656" t="s">
        <v>1620</v>
      </c>
      <c r="G4283" s="656" t="s">
        <v>1620</v>
      </c>
      <c r="H4283" s="656" t="s">
        <v>1620</v>
      </c>
      <c r="I4283" s="656" t="s">
        <v>14976</v>
      </c>
      <c r="J4283" s="656" t="s">
        <v>15288</v>
      </c>
      <c r="K4283" s="656"/>
      <c r="L4283" s="656" t="s">
        <v>6005</v>
      </c>
      <c r="M4283" s="657"/>
      <c r="N4283" s="1482"/>
      <c r="O4283" s="656" t="s">
        <v>498</v>
      </c>
      <c r="P4283" s="656" t="s">
        <v>13052</v>
      </c>
      <c r="Q4283" s="656">
        <v>44216.764432870368</v>
      </c>
    </row>
    <row r="4284" spans="1:17">
      <c r="A4284" s="656" t="s">
        <v>6007</v>
      </c>
      <c r="B4284" s="657"/>
      <c r="C4284" s="656" t="s">
        <v>6008</v>
      </c>
      <c r="D4284" s="657" t="s">
        <v>13789</v>
      </c>
      <c r="E4284" s="657"/>
      <c r="F4284" s="656"/>
      <c r="G4284" s="656" t="s">
        <v>5045</v>
      </c>
      <c r="H4284" s="656"/>
      <c r="I4284" s="656" t="s">
        <v>14976</v>
      </c>
      <c r="J4284" s="656"/>
      <c r="K4284" s="656"/>
      <c r="L4284" s="656"/>
      <c r="M4284" s="657"/>
      <c r="N4284" s="1482"/>
      <c r="O4284" s="656" t="s">
        <v>498</v>
      </c>
      <c r="P4284" s="656" t="s">
        <v>13052</v>
      </c>
      <c r="Q4284" s="656">
        <v>44216.764432870368</v>
      </c>
    </row>
    <row r="4285" spans="1:17">
      <c r="A4285" s="656" t="s">
        <v>6009</v>
      </c>
      <c r="B4285" s="657"/>
      <c r="C4285" s="656" t="s">
        <v>6010</v>
      </c>
      <c r="D4285" s="657" t="s">
        <v>13789</v>
      </c>
      <c r="E4285" s="657"/>
      <c r="F4285" s="656"/>
      <c r="G4285" s="656" t="s">
        <v>5045</v>
      </c>
      <c r="H4285" s="656"/>
      <c r="I4285" s="656" t="s">
        <v>14976</v>
      </c>
      <c r="J4285" s="656"/>
      <c r="K4285" s="656"/>
      <c r="L4285" s="656"/>
      <c r="M4285" s="657"/>
      <c r="N4285" s="1482"/>
      <c r="O4285" s="656" t="s">
        <v>498</v>
      </c>
      <c r="P4285" s="656" t="s">
        <v>13052</v>
      </c>
      <c r="Q4285" s="656">
        <v>44216.764421296299</v>
      </c>
    </row>
    <row r="4286" spans="1:17">
      <c r="A4286" s="656" t="s">
        <v>6011</v>
      </c>
      <c r="B4286" s="657"/>
      <c r="C4286" s="656" t="s">
        <v>6012</v>
      </c>
      <c r="D4286" s="657" t="s">
        <v>13789</v>
      </c>
      <c r="E4286" s="657"/>
      <c r="F4286" s="656"/>
      <c r="G4286" s="656" t="s">
        <v>5045</v>
      </c>
      <c r="H4286" s="656"/>
      <c r="I4286" s="656" t="s">
        <v>14976</v>
      </c>
      <c r="J4286" s="656"/>
      <c r="K4286" s="656"/>
      <c r="L4286" s="656"/>
      <c r="M4286" s="657"/>
      <c r="N4286" s="1482"/>
      <c r="O4286" s="656" t="s">
        <v>498</v>
      </c>
      <c r="P4286" s="656" t="s">
        <v>13052</v>
      </c>
      <c r="Q4286" s="656">
        <v>44216.764421296299</v>
      </c>
    </row>
    <row r="4287" spans="1:17">
      <c r="A4287" s="656" t="s">
        <v>6013</v>
      </c>
      <c r="B4287" s="657"/>
      <c r="C4287" s="656" t="s">
        <v>6014</v>
      </c>
      <c r="D4287" s="657" t="s">
        <v>13789</v>
      </c>
      <c r="E4287" s="657"/>
      <c r="F4287" s="656"/>
      <c r="G4287" s="656" t="s">
        <v>5045</v>
      </c>
      <c r="H4287" s="656"/>
      <c r="I4287" s="656" t="s">
        <v>14976</v>
      </c>
      <c r="J4287" s="656"/>
      <c r="K4287" s="656"/>
      <c r="L4287" s="656"/>
      <c r="M4287" s="657"/>
      <c r="N4287" s="1482"/>
      <c r="O4287" s="656" t="s">
        <v>498</v>
      </c>
      <c r="P4287" s="656" t="s">
        <v>13052</v>
      </c>
      <c r="Q4287" s="656">
        <v>44216.764409722222</v>
      </c>
    </row>
    <row r="4288" spans="1:17">
      <c r="A4288" s="656" t="s">
        <v>6015</v>
      </c>
      <c r="B4288" s="657"/>
      <c r="C4288" s="656" t="s">
        <v>6016</v>
      </c>
      <c r="D4288" s="657" t="s">
        <v>13789</v>
      </c>
      <c r="E4288" s="657"/>
      <c r="F4288" s="656"/>
      <c r="G4288" s="656" t="s">
        <v>4198</v>
      </c>
      <c r="H4288" s="656"/>
      <c r="I4288" s="656" t="s">
        <v>14976</v>
      </c>
      <c r="J4288" s="656"/>
      <c r="K4288" s="656"/>
      <c r="L4288" s="656"/>
      <c r="M4288" s="657"/>
      <c r="N4288" s="1482"/>
      <c r="O4288" s="656" t="s">
        <v>498</v>
      </c>
      <c r="P4288" s="656" t="s">
        <v>13052</v>
      </c>
      <c r="Q4288" s="656">
        <v>44216.764409722222</v>
      </c>
    </row>
    <row r="4289" spans="1:17">
      <c r="A4289" s="656" t="s">
        <v>6017</v>
      </c>
      <c r="B4289" s="657"/>
      <c r="C4289" s="656" t="s">
        <v>6018</v>
      </c>
      <c r="D4289" s="657" t="s">
        <v>13789</v>
      </c>
      <c r="E4289" s="657"/>
      <c r="F4289" s="656"/>
      <c r="G4289" s="656" t="s">
        <v>5045</v>
      </c>
      <c r="H4289" s="656"/>
      <c r="I4289" s="656" t="s">
        <v>14976</v>
      </c>
      <c r="J4289" s="656"/>
      <c r="K4289" s="656"/>
      <c r="L4289" s="656"/>
      <c r="M4289" s="657"/>
      <c r="N4289" s="1482"/>
      <c r="O4289" s="656" t="s">
        <v>498</v>
      </c>
      <c r="P4289" s="656" t="s">
        <v>13052</v>
      </c>
      <c r="Q4289" s="656">
        <v>44216.764398148145</v>
      </c>
    </row>
    <row r="4290" spans="1:17">
      <c r="A4290" s="656" t="s">
        <v>6019</v>
      </c>
      <c r="B4290" s="657" t="s">
        <v>202</v>
      </c>
      <c r="C4290" s="656" t="s">
        <v>6020</v>
      </c>
      <c r="D4290" s="657" t="s">
        <v>14977</v>
      </c>
      <c r="E4290" s="657"/>
      <c r="F4290" s="656" t="s">
        <v>1620</v>
      </c>
      <c r="G4290" s="656" t="s">
        <v>1620</v>
      </c>
      <c r="H4290" s="656" t="s">
        <v>1620</v>
      </c>
      <c r="I4290" s="656" t="s">
        <v>14976</v>
      </c>
      <c r="J4290" s="656" t="s">
        <v>15288</v>
      </c>
      <c r="K4290" s="656"/>
      <c r="L4290" s="656" t="s">
        <v>6019</v>
      </c>
      <c r="M4290" s="657"/>
      <c r="N4290" s="1482"/>
      <c r="O4290" s="656" t="s">
        <v>498</v>
      </c>
      <c r="P4290" s="656" t="s">
        <v>13052</v>
      </c>
      <c r="Q4290" s="656">
        <v>44216.764398148145</v>
      </c>
    </row>
    <row r="4291" spans="1:17">
      <c r="A4291" s="656" t="s">
        <v>6021</v>
      </c>
      <c r="B4291" s="657"/>
      <c r="C4291" s="656" t="s">
        <v>6022</v>
      </c>
      <c r="D4291" s="657" t="s">
        <v>13789</v>
      </c>
      <c r="E4291" s="657"/>
      <c r="F4291" s="656"/>
      <c r="G4291" s="656" t="s">
        <v>5045</v>
      </c>
      <c r="H4291" s="656"/>
      <c r="I4291" s="656" t="s">
        <v>14976</v>
      </c>
      <c r="J4291" s="656"/>
      <c r="K4291" s="656"/>
      <c r="L4291" s="656"/>
      <c r="M4291" s="657"/>
      <c r="N4291" s="1482"/>
      <c r="O4291" s="656" t="s">
        <v>498</v>
      </c>
      <c r="P4291" s="656" t="s">
        <v>13052</v>
      </c>
      <c r="Q4291" s="656">
        <v>44216.764386574076</v>
      </c>
    </row>
    <row r="4292" spans="1:17">
      <c r="A4292" s="656" t="s">
        <v>6023</v>
      </c>
      <c r="B4292" s="657"/>
      <c r="C4292" s="656" t="s">
        <v>6024</v>
      </c>
      <c r="D4292" s="657" t="s">
        <v>13789</v>
      </c>
      <c r="E4292" s="657"/>
      <c r="F4292" s="656"/>
      <c r="G4292" s="656" t="s">
        <v>5045</v>
      </c>
      <c r="H4292" s="656"/>
      <c r="I4292" s="656" t="s">
        <v>14976</v>
      </c>
      <c r="J4292" s="656"/>
      <c r="K4292" s="656"/>
      <c r="L4292" s="656"/>
      <c r="M4292" s="657"/>
      <c r="N4292" s="1482"/>
      <c r="O4292" s="656" t="s">
        <v>498</v>
      </c>
      <c r="P4292" s="656" t="s">
        <v>13052</v>
      </c>
      <c r="Q4292" s="656">
        <v>44216.764386574076</v>
      </c>
    </row>
    <row r="4293" spans="1:17">
      <c r="A4293" s="656" t="s">
        <v>6025</v>
      </c>
      <c r="B4293" s="657"/>
      <c r="C4293" s="656" t="s">
        <v>6026</v>
      </c>
      <c r="D4293" s="657" t="s">
        <v>13789</v>
      </c>
      <c r="E4293" s="657"/>
      <c r="F4293" s="656"/>
      <c r="G4293" s="656" t="s">
        <v>5045</v>
      </c>
      <c r="H4293" s="656"/>
      <c r="I4293" s="656" t="s">
        <v>14976</v>
      </c>
      <c r="J4293" s="656"/>
      <c r="K4293" s="656"/>
      <c r="L4293" s="656"/>
      <c r="M4293" s="657"/>
      <c r="N4293" s="1482"/>
      <c r="O4293" s="656" t="s">
        <v>498</v>
      </c>
      <c r="P4293" s="656" t="s">
        <v>13052</v>
      </c>
      <c r="Q4293" s="656">
        <v>44216.764374999999</v>
      </c>
    </row>
    <row r="4294" spans="1:17">
      <c r="A4294" s="656" t="s">
        <v>6027</v>
      </c>
      <c r="B4294" s="657"/>
      <c r="C4294" s="656" t="s">
        <v>6028</v>
      </c>
      <c r="D4294" s="657" t="s">
        <v>13789</v>
      </c>
      <c r="E4294" s="657"/>
      <c r="F4294" s="656"/>
      <c r="G4294" s="656" t="s">
        <v>5045</v>
      </c>
      <c r="H4294" s="656"/>
      <c r="I4294" s="656" t="s">
        <v>14976</v>
      </c>
      <c r="J4294" s="656"/>
      <c r="K4294" s="656"/>
      <c r="L4294" s="656"/>
      <c r="M4294" s="657"/>
      <c r="N4294" s="1482"/>
      <c r="O4294" s="656" t="s">
        <v>498</v>
      </c>
      <c r="P4294" s="656" t="s">
        <v>13052</v>
      </c>
      <c r="Q4294" s="656">
        <v>44216.764363425929</v>
      </c>
    </row>
    <row r="4295" spans="1:17">
      <c r="A4295" s="656" t="s">
        <v>6029</v>
      </c>
      <c r="B4295" s="657"/>
      <c r="C4295" s="656" t="s">
        <v>6030</v>
      </c>
      <c r="D4295" s="657" t="s">
        <v>13789</v>
      </c>
      <c r="E4295" s="657"/>
      <c r="F4295" s="656"/>
      <c r="G4295" s="656" t="s">
        <v>5045</v>
      </c>
      <c r="H4295" s="656"/>
      <c r="I4295" s="656" t="s">
        <v>14976</v>
      </c>
      <c r="J4295" s="656"/>
      <c r="K4295" s="656"/>
      <c r="L4295" s="656"/>
      <c r="M4295" s="657"/>
      <c r="N4295" s="1482"/>
      <c r="O4295" s="656" t="s">
        <v>498</v>
      </c>
      <c r="P4295" s="656" t="s">
        <v>13052</v>
      </c>
      <c r="Q4295" s="656">
        <v>44216.764351851853</v>
      </c>
    </row>
    <row r="4296" spans="1:17">
      <c r="A4296" s="656" t="s">
        <v>6031</v>
      </c>
      <c r="B4296" s="657"/>
      <c r="C4296" s="656" t="s">
        <v>6032</v>
      </c>
      <c r="D4296" s="657" t="s">
        <v>13789</v>
      </c>
      <c r="E4296" s="657"/>
      <c r="F4296" s="656"/>
      <c r="G4296" s="656" t="s">
        <v>5045</v>
      </c>
      <c r="H4296" s="656"/>
      <c r="I4296" s="656" t="s">
        <v>14976</v>
      </c>
      <c r="J4296" s="656"/>
      <c r="K4296" s="656"/>
      <c r="L4296" s="656"/>
      <c r="M4296" s="657"/>
      <c r="N4296" s="1482"/>
      <c r="O4296" s="656" t="s">
        <v>498</v>
      </c>
      <c r="P4296" s="656" t="s">
        <v>13052</v>
      </c>
      <c r="Q4296" s="656">
        <v>44216.764351851853</v>
      </c>
    </row>
    <row r="4297" spans="1:17">
      <c r="A4297" s="656" t="s">
        <v>6033</v>
      </c>
      <c r="B4297" s="657"/>
      <c r="C4297" s="656" t="s">
        <v>6034</v>
      </c>
      <c r="D4297" s="657" t="s">
        <v>13789</v>
      </c>
      <c r="E4297" s="657"/>
      <c r="F4297" s="656"/>
      <c r="G4297" s="656" t="s">
        <v>5045</v>
      </c>
      <c r="H4297" s="656"/>
      <c r="I4297" s="656" t="s">
        <v>14976</v>
      </c>
      <c r="J4297" s="656"/>
      <c r="K4297" s="656"/>
      <c r="L4297" s="656"/>
      <c r="M4297" s="657"/>
      <c r="N4297" s="1482"/>
      <c r="O4297" s="656" t="s">
        <v>498</v>
      </c>
      <c r="P4297" s="656" t="s">
        <v>13052</v>
      </c>
      <c r="Q4297" s="656">
        <v>44216.764340277776</v>
      </c>
    </row>
    <row r="4298" spans="1:17">
      <c r="A4298" s="656" t="s">
        <v>6035</v>
      </c>
      <c r="B4298" s="657"/>
      <c r="C4298" s="656" t="s">
        <v>6036</v>
      </c>
      <c r="D4298" s="657" t="s">
        <v>13789</v>
      </c>
      <c r="E4298" s="657"/>
      <c r="F4298" s="656"/>
      <c r="G4298" s="656" t="s">
        <v>5045</v>
      </c>
      <c r="H4298" s="656"/>
      <c r="I4298" s="656" t="s">
        <v>14976</v>
      </c>
      <c r="J4298" s="656"/>
      <c r="K4298" s="656"/>
      <c r="L4298" s="656"/>
      <c r="M4298" s="657"/>
      <c r="N4298" s="1482"/>
      <c r="O4298" s="656" t="s">
        <v>498</v>
      </c>
      <c r="P4298" s="656" t="s">
        <v>13052</v>
      </c>
      <c r="Q4298" s="656">
        <v>44216.764328703706</v>
      </c>
    </row>
    <row r="4299" spans="1:17">
      <c r="A4299" s="656" t="s">
        <v>6037</v>
      </c>
      <c r="B4299" s="657"/>
      <c r="C4299" s="656" t="s">
        <v>6038</v>
      </c>
      <c r="D4299" s="657" t="s">
        <v>13789</v>
      </c>
      <c r="E4299" s="657"/>
      <c r="F4299" s="656"/>
      <c r="G4299" s="656" t="s">
        <v>5045</v>
      </c>
      <c r="H4299" s="656"/>
      <c r="I4299" s="656" t="s">
        <v>14976</v>
      </c>
      <c r="J4299" s="656"/>
      <c r="K4299" s="656"/>
      <c r="L4299" s="656"/>
      <c r="M4299" s="657"/>
      <c r="N4299" s="1482"/>
      <c r="O4299" s="656" t="s">
        <v>498</v>
      </c>
      <c r="P4299" s="656" t="s">
        <v>13052</v>
      </c>
      <c r="Q4299" s="656">
        <v>44216.764328703706</v>
      </c>
    </row>
    <row r="4300" spans="1:17">
      <c r="A4300" s="656" t="s">
        <v>6039</v>
      </c>
      <c r="B4300" s="657"/>
      <c r="C4300" s="656" t="s">
        <v>6040</v>
      </c>
      <c r="D4300" s="657" t="s">
        <v>14978</v>
      </c>
      <c r="E4300" s="657"/>
      <c r="F4300" s="656"/>
      <c r="G4300" s="656" t="s">
        <v>5045</v>
      </c>
      <c r="H4300" s="656"/>
      <c r="I4300" s="656" t="s">
        <v>14976</v>
      </c>
      <c r="J4300" s="656"/>
      <c r="K4300" s="656"/>
      <c r="L4300" s="656" t="s">
        <v>6043</v>
      </c>
      <c r="M4300" s="657"/>
      <c r="N4300" s="1482"/>
      <c r="O4300" s="656" t="s">
        <v>498</v>
      </c>
      <c r="P4300" s="656" t="s">
        <v>13052</v>
      </c>
      <c r="Q4300" s="656">
        <v>44216.764328703706</v>
      </c>
    </row>
    <row r="4301" spans="1:17">
      <c r="A4301" s="656" t="s">
        <v>6041</v>
      </c>
      <c r="B4301" s="657"/>
      <c r="C4301" s="656" t="s">
        <v>6042</v>
      </c>
      <c r="D4301" s="657" t="s">
        <v>14978</v>
      </c>
      <c r="E4301" s="657"/>
      <c r="F4301" s="656"/>
      <c r="G4301" s="656" t="s">
        <v>5045</v>
      </c>
      <c r="H4301" s="656"/>
      <c r="I4301" s="656" t="s">
        <v>14976</v>
      </c>
      <c r="J4301" s="656"/>
      <c r="K4301" s="656"/>
      <c r="L4301" s="656" t="s">
        <v>6043</v>
      </c>
      <c r="M4301" s="657"/>
      <c r="N4301" s="1482"/>
      <c r="O4301" s="656" t="s">
        <v>498</v>
      </c>
      <c r="P4301" s="656" t="s">
        <v>13052</v>
      </c>
      <c r="Q4301" s="656">
        <v>44216.764317129629</v>
      </c>
    </row>
    <row r="4302" spans="1:17">
      <c r="A4302" s="656" t="s">
        <v>6043</v>
      </c>
      <c r="B4302" s="657"/>
      <c r="C4302" s="656" t="s">
        <v>6044</v>
      </c>
      <c r="D4302" s="657" t="s">
        <v>13789</v>
      </c>
      <c r="E4302" s="657"/>
      <c r="F4302" s="656"/>
      <c r="G4302" s="656" t="s">
        <v>5045</v>
      </c>
      <c r="H4302" s="656"/>
      <c r="I4302" s="656" t="s">
        <v>14976</v>
      </c>
      <c r="J4302" s="656"/>
      <c r="K4302" s="656"/>
      <c r="L4302" s="656"/>
      <c r="M4302" s="657"/>
      <c r="N4302" s="1482"/>
      <c r="O4302" s="656" t="s">
        <v>498</v>
      </c>
      <c r="P4302" s="656" t="s">
        <v>13052</v>
      </c>
      <c r="Q4302" s="656">
        <v>44216.764317129629</v>
      </c>
    </row>
    <row r="4303" spans="1:17">
      <c r="A4303" s="656" t="s">
        <v>6045</v>
      </c>
      <c r="B4303" s="657" t="s">
        <v>504</v>
      </c>
      <c r="C4303" s="656" t="s">
        <v>6046</v>
      </c>
      <c r="D4303" s="657"/>
      <c r="E4303" s="657"/>
      <c r="F4303" s="656" t="s">
        <v>505</v>
      </c>
      <c r="G4303" s="656" t="s">
        <v>4324</v>
      </c>
      <c r="H4303" s="656" t="s">
        <v>505</v>
      </c>
      <c r="I4303" s="656"/>
      <c r="J4303" s="656"/>
      <c r="K4303" s="656"/>
      <c r="L4303" s="656"/>
      <c r="M4303" s="657"/>
      <c r="N4303" s="1482"/>
      <c r="O4303" s="656" t="s">
        <v>498</v>
      </c>
      <c r="P4303" s="656" t="s">
        <v>13052</v>
      </c>
      <c r="Q4303" s="656">
        <v>44216.764305555553</v>
      </c>
    </row>
    <row r="4304" spans="1:17">
      <c r="A4304" s="656" t="s">
        <v>6047</v>
      </c>
      <c r="B4304" s="657" t="s">
        <v>504</v>
      </c>
      <c r="C4304" s="656" t="s">
        <v>6048</v>
      </c>
      <c r="D4304" s="657"/>
      <c r="E4304" s="657"/>
      <c r="F4304" s="656" t="s">
        <v>505</v>
      </c>
      <c r="G4304" s="656" t="s">
        <v>4324</v>
      </c>
      <c r="H4304" s="656" t="s">
        <v>505</v>
      </c>
      <c r="I4304" s="656"/>
      <c r="J4304" s="656"/>
      <c r="K4304" s="656"/>
      <c r="L4304" s="656"/>
      <c r="M4304" s="657"/>
      <c r="N4304" s="1482"/>
      <c r="O4304" s="656" t="s">
        <v>498</v>
      </c>
      <c r="P4304" s="656" t="s">
        <v>13052</v>
      </c>
      <c r="Q4304" s="656">
        <v>44216.764305555553</v>
      </c>
    </row>
    <row r="4305" spans="1:17">
      <c r="A4305" s="656" t="s">
        <v>6049</v>
      </c>
      <c r="B4305" s="657"/>
      <c r="C4305" s="656" t="s">
        <v>6050</v>
      </c>
      <c r="D4305" s="657" t="s">
        <v>13789</v>
      </c>
      <c r="E4305" s="657"/>
      <c r="F4305" s="656"/>
      <c r="G4305" s="656" t="s">
        <v>4198</v>
      </c>
      <c r="H4305" s="656"/>
      <c r="I4305" s="656" t="s">
        <v>14976</v>
      </c>
      <c r="J4305" s="656"/>
      <c r="K4305" s="656"/>
      <c r="L4305" s="656"/>
      <c r="M4305" s="657"/>
      <c r="N4305" s="1482"/>
      <c r="O4305" s="656" t="s">
        <v>498</v>
      </c>
      <c r="P4305" s="656" t="s">
        <v>13052</v>
      </c>
      <c r="Q4305" s="656">
        <v>44216.764293981483</v>
      </c>
    </row>
    <row r="4306" spans="1:17">
      <c r="A4306" s="656" t="s">
        <v>6051</v>
      </c>
      <c r="B4306" s="657" t="s">
        <v>504</v>
      </c>
      <c r="C4306" s="656" t="s">
        <v>6052</v>
      </c>
      <c r="D4306" s="657"/>
      <c r="E4306" s="657"/>
      <c r="F4306" s="656"/>
      <c r="G4306" s="656" t="s">
        <v>5103</v>
      </c>
      <c r="H4306" s="656"/>
      <c r="I4306" s="656"/>
      <c r="J4306" s="656"/>
      <c r="K4306" s="656"/>
      <c r="L4306" s="656"/>
      <c r="M4306" s="657"/>
      <c r="N4306" s="1482"/>
      <c r="O4306" s="656" t="s">
        <v>498</v>
      </c>
      <c r="P4306" s="656" t="s">
        <v>13052</v>
      </c>
      <c r="Q4306" s="656">
        <v>44216.764293981483</v>
      </c>
    </row>
    <row r="4307" spans="1:17">
      <c r="A4307" s="656" t="s">
        <v>6053</v>
      </c>
      <c r="B4307" s="657" t="s">
        <v>531</v>
      </c>
      <c r="C4307" s="656" t="s">
        <v>6054</v>
      </c>
      <c r="D4307" s="657" t="s">
        <v>14977</v>
      </c>
      <c r="E4307" s="657"/>
      <c r="F4307" s="656" t="s">
        <v>1394</v>
      </c>
      <c r="G4307" s="656"/>
      <c r="H4307" s="656" t="s">
        <v>1394</v>
      </c>
      <c r="I4307" s="656" t="s">
        <v>14976</v>
      </c>
      <c r="J4307" s="656" t="s">
        <v>532</v>
      </c>
      <c r="K4307" s="656"/>
      <c r="L4307" s="656" t="s">
        <v>6053</v>
      </c>
      <c r="M4307" s="657"/>
      <c r="N4307" s="1482"/>
      <c r="O4307" s="656" t="s">
        <v>498</v>
      </c>
      <c r="P4307" s="656" t="s">
        <v>13052</v>
      </c>
      <c r="Q4307" s="656">
        <v>44216.764282407406</v>
      </c>
    </row>
    <row r="4308" spans="1:17">
      <c r="A4308" s="656" t="s">
        <v>6055</v>
      </c>
      <c r="B4308" s="657" t="s">
        <v>202</v>
      </c>
      <c r="C4308" s="656" t="s">
        <v>6056</v>
      </c>
      <c r="D4308" s="657" t="s">
        <v>14977</v>
      </c>
      <c r="E4308" s="657"/>
      <c r="F4308" s="656" t="s">
        <v>442</v>
      </c>
      <c r="G4308" s="656" t="s">
        <v>561</v>
      </c>
      <c r="H4308" s="656" t="s">
        <v>442</v>
      </c>
      <c r="I4308" s="656" t="s">
        <v>14976</v>
      </c>
      <c r="J4308" s="656" t="s">
        <v>12369</v>
      </c>
      <c r="K4308" s="656"/>
      <c r="L4308" s="656"/>
      <c r="M4308" s="657"/>
      <c r="N4308" s="1482"/>
      <c r="O4308" s="656" t="s">
        <v>498</v>
      </c>
      <c r="P4308" s="656" t="s">
        <v>13052</v>
      </c>
      <c r="Q4308" s="656">
        <v>44216.764282407406</v>
      </c>
    </row>
    <row r="4309" spans="1:17">
      <c r="A4309" s="656" t="s">
        <v>6057</v>
      </c>
      <c r="B4309" s="657" t="s">
        <v>202</v>
      </c>
      <c r="C4309" s="656" t="s">
        <v>6058</v>
      </c>
      <c r="D4309" s="657" t="s">
        <v>14977</v>
      </c>
      <c r="E4309" s="657"/>
      <c r="F4309" s="656" t="s">
        <v>442</v>
      </c>
      <c r="G4309" s="656" t="s">
        <v>561</v>
      </c>
      <c r="H4309" s="656" t="s">
        <v>442</v>
      </c>
      <c r="I4309" s="656" t="s">
        <v>14976</v>
      </c>
      <c r="J4309" s="656" t="s">
        <v>12369</v>
      </c>
      <c r="K4309" s="656"/>
      <c r="L4309" s="656"/>
      <c r="M4309" s="657"/>
      <c r="N4309" s="1482"/>
      <c r="O4309" s="656" t="s">
        <v>498</v>
      </c>
      <c r="P4309" s="656" t="s">
        <v>13052</v>
      </c>
      <c r="Q4309" s="656">
        <v>44216.764270833337</v>
      </c>
    </row>
    <row r="4310" spans="1:17">
      <c r="A4310" s="656" t="s">
        <v>6059</v>
      </c>
      <c r="B4310" s="657" t="s">
        <v>504</v>
      </c>
      <c r="C4310" s="656" t="s">
        <v>6060</v>
      </c>
      <c r="D4310" s="657"/>
      <c r="E4310" s="657"/>
      <c r="F4310" s="656" t="s">
        <v>505</v>
      </c>
      <c r="G4310" s="656" t="s">
        <v>4324</v>
      </c>
      <c r="H4310" s="656" t="s">
        <v>505</v>
      </c>
      <c r="I4310" s="656"/>
      <c r="J4310" s="656"/>
      <c r="K4310" s="656"/>
      <c r="L4310" s="656"/>
      <c r="M4310" s="657"/>
      <c r="N4310" s="1482"/>
      <c r="O4310" s="656" t="s">
        <v>498</v>
      </c>
      <c r="P4310" s="656" t="s">
        <v>13052</v>
      </c>
      <c r="Q4310" s="656">
        <v>44216.764270833337</v>
      </c>
    </row>
    <row r="4311" spans="1:17">
      <c r="A4311" s="656" t="s">
        <v>6061</v>
      </c>
      <c r="B4311" s="657" t="s">
        <v>504</v>
      </c>
      <c r="C4311" s="656" t="s">
        <v>6062</v>
      </c>
      <c r="D4311" s="657"/>
      <c r="E4311" s="657"/>
      <c r="F4311" s="656" t="s">
        <v>505</v>
      </c>
      <c r="G4311" s="656" t="s">
        <v>4324</v>
      </c>
      <c r="H4311" s="656" t="s">
        <v>505</v>
      </c>
      <c r="I4311" s="656"/>
      <c r="J4311" s="656"/>
      <c r="K4311" s="656"/>
      <c r="L4311" s="656"/>
      <c r="M4311" s="657"/>
      <c r="N4311" s="1482"/>
      <c r="O4311" s="656" t="s">
        <v>498</v>
      </c>
      <c r="P4311" s="656" t="s">
        <v>13052</v>
      </c>
      <c r="Q4311" s="656">
        <v>44216.76425925926</v>
      </c>
    </row>
    <row r="4312" spans="1:17">
      <c r="A4312" s="656" t="s">
        <v>6063</v>
      </c>
      <c r="B4312" s="657" t="s">
        <v>504</v>
      </c>
      <c r="C4312" s="656" t="s">
        <v>6064</v>
      </c>
      <c r="D4312" s="657"/>
      <c r="E4312" s="657"/>
      <c r="F4312" s="656" t="s">
        <v>505</v>
      </c>
      <c r="G4312" s="656" t="s">
        <v>4324</v>
      </c>
      <c r="H4312" s="656" t="s">
        <v>505</v>
      </c>
      <c r="I4312" s="656"/>
      <c r="J4312" s="656"/>
      <c r="K4312" s="656"/>
      <c r="L4312" s="656"/>
      <c r="M4312" s="657"/>
      <c r="N4312" s="1482"/>
      <c r="O4312" s="656" t="s">
        <v>498</v>
      </c>
      <c r="P4312" s="656" t="s">
        <v>13052</v>
      </c>
      <c r="Q4312" s="656">
        <v>44216.76425925926</v>
      </c>
    </row>
    <row r="4313" spans="1:17">
      <c r="A4313" s="656" t="s">
        <v>6065</v>
      </c>
      <c r="B4313" s="657" t="s">
        <v>504</v>
      </c>
      <c r="C4313" s="656" t="s">
        <v>6066</v>
      </c>
      <c r="D4313" s="657"/>
      <c r="E4313" s="657"/>
      <c r="F4313" s="656" t="s">
        <v>505</v>
      </c>
      <c r="G4313" s="656" t="s">
        <v>4324</v>
      </c>
      <c r="H4313" s="656" t="s">
        <v>505</v>
      </c>
      <c r="I4313" s="656"/>
      <c r="J4313" s="656"/>
      <c r="K4313" s="656"/>
      <c r="L4313" s="656"/>
      <c r="M4313" s="657"/>
      <c r="N4313" s="1482"/>
      <c r="O4313" s="656" t="s">
        <v>498</v>
      </c>
      <c r="P4313" s="656" t="s">
        <v>13052</v>
      </c>
      <c r="Q4313" s="656">
        <v>44216.764247685183</v>
      </c>
    </row>
    <row r="4314" spans="1:17">
      <c r="A4314" s="656" t="s">
        <v>6067</v>
      </c>
      <c r="B4314" s="657" t="s">
        <v>504</v>
      </c>
      <c r="C4314" s="656" t="s">
        <v>6068</v>
      </c>
      <c r="D4314" s="657"/>
      <c r="E4314" s="657"/>
      <c r="F4314" s="656" t="s">
        <v>505</v>
      </c>
      <c r="G4314" s="656" t="s">
        <v>4324</v>
      </c>
      <c r="H4314" s="656" t="s">
        <v>505</v>
      </c>
      <c r="I4314" s="656"/>
      <c r="J4314" s="656"/>
      <c r="K4314" s="656"/>
      <c r="L4314" s="656"/>
      <c r="M4314" s="657"/>
      <c r="N4314" s="1482"/>
      <c r="O4314" s="656" t="s">
        <v>498</v>
      </c>
      <c r="P4314" s="656" t="s">
        <v>13052</v>
      </c>
      <c r="Q4314" s="656">
        <v>44216.764247685183</v>
      </c>
    </row>
    <row r="4315" spans="1:17">
      <c r="A4315" s="656" t="s">
        <v>6069</v>
      </c>
      <c r="B4315" s="657"/>
      <c r="C4315" s="656" t="s">
        <v>6070</v>
      </c>
      <c r="D4315" s="657" t="s">
        <v>13789</v>
      </c>
      <c r="E4315" s="657"/>
      <c r="F4315" s="656"/>
      <c r="G4315" s="656" t="s">
        <v>4198</v>
      </c>
      <c r="H4315" s="656"/>
      <c r="I4315" s="656" t="s">
        <v>14976</v>
      </c>
      <c r="J4315" s="656"/>
      <c r="K4315" s="656"/>
      <c r="L4315" s="656"/>
      <c r="M4315" s="657"/>
      <c r="N4315" s="1482"/>
      <c r="O4315" s="656" t="s">
        <v>498</v>
      </c>
      <c r="P4315" s="656" t="s">
        <v>13052</v>
      </c>
      <c r="Q4315" s="656">
        <v>44216.764247685183</v>
      </c>
    </row>
    <row r="4316" spans="1:17">
      <c r="A4316" s="656" t="s">
        <v>13210</v>
      </c>
      <c r="B4316" s="657" t="s">
        <v>202</v>
      </c>
      <c r="C4316" s="656" t="s">
        <v>13211</v>
      </c>
      <c r="D4316" s="657" t="s">
        <v>14977</v>
      </c>
      <c r="E4316" s="657"/>
      <c r="F4316" s="656" t="s">
        <v>2849</v>
      </c>
      <c r="G4316" s="656"/>
      <c r="H4316" s="656" t="s">
        <v>1338</v>
      </c>
      <c r="I4316" s="656" t="s">
        <v>14976</v>
      </c>
      <c r="J4316" s="656"/>
      <c r="K4316" s="656"/>
      <c r="L4316" s="656" t="s">
        <v>13210</v>
      </c>
      <c r="M4316" s="657"/>
      <c r="N4316" s="1482"/>
      <c r="O4316" s="656" t="s">
        <v>498</v>
      </c>
      <c r="P4316" s="656" t="s">
        <v>13052</v>
      </c>
      <c r="Q4316" s="656">
        <v>44216.764236111114</v>
      </c>
    </row>
    <row r="4317" spans="1:17">
      <c r="A4317" s="656" t="s">
        <v>6071</v>
      </c>
      <c r="B4317" s="657" t="s">
        <v>531</v>
      </c>
      <c r="C4317" s="656" t="s">
        <v>6072</v>
      </c>
      <c r="D4317" s="657" t="s">
        <v>14977</v>
      </c>
      <c r="E4317" s="657"/>
      <c r="F4317" s="656" t="s">
        <v>1949</v>
      </c>
      <c r="G4317" s="656"/>
      <c r="H4317" s="656" t="s">
        <v>1949</v>
      </c>
      <c r="I4317" s="656" t="s">
        <v>14976</v>
      </c>
      <c r="J4317" s="656" t="s">
        <v>459</v>
      </c>
      <c r="K4317" s="656"/>
      <c r="L4317" s="656" t="s">
        <v>6071</v>
      </c>
      <c r="M4317" s="657"/>
      <c r="N4317" s="1482"/>
      <c r="O4317" s="656" t="s">
        <v>498</v>
      </c>
      <c r="P4317" s="656" t="s">
        <v>13052</v>
      </c>
      <c r="Q4317" s="656">
        <v>44216.764236111114</v>
      </c>
    </row>
    <row r="4318" spans="1:17">
      <c r="A4318" s="656" t="s">
        <v>6073</v>
      </c>
      <c r="B4318" s="657" t="s">
        <v>504</v>
      </c>
      <c r="C4318" s="656" t="s">
        <v>6074</v>
      </c>
      <c r="D4318" s="657"/>
      <c r="E4318" s="657"/>
      <c r="F4318" s="656"/>
      <c r="G4318" s="656" t="s">
        <v>5103</v>
      </c>
      <c r="H4318" s="656"/>
      <c r="I4318" s="656"/>
      <c r="J4318" s="656"/>
      <c r="K4318" s="656"/>
      <c r="L4318" s="656"/>
      <c r="M4318" s="657"/>
      <c r="N4318" s="1482"/>
      <c r="O4318" s="656" t="s">
        <v>498</v>
      </c>
      <c r="P4318" s="656" t="s">
        <v>13052</v>
      </c>
      <c r="Q4318" s="656">
        <v>44216.764224537037</v>
      </c>
    </row>
    <row r="4319" spans="1:17">
      <c r="A4319" s="656" t="s">
        <v>13208</v>
      </c>
      <c r="B4319" s="657" t="s">
        <v>202</v>
      </c>
      <c r="C4319" s="656" t="s">
        <v>13209</v>
      </c>
      <c r="D4319" s="657" t="s">
        <v>14978</v>
      </c>
      <c r="E4319" s="657"/>
      <c r="F4319" s="656"/>
      <c r="G4319" s="656" t="s">
        <v>5103</v>
      </c>
      <c r="H4319" s="656"/>
      <c r="I4319" s="656" t="s">
        <v>14976</v>
      </c>
      <c r="J4319" s="656"/>
      <c r="K4319" s="656"/>
      <c r="L4319" s="656" t="s">
        <v>13207</v>
      </c>
      <c r="M4319" s="657"/>
      <c r="N4319" s="1482"/>
      <c r="O4319" s="656" t="s">
        <v>498</v>
      </c>
      <c r="P4319" s="656" t="s">
        <v>13052</v>
      </c>
      <c r="Q4319" s="656">
        <v>44216.764224537037</v>
      </c>
    </row>
    <row r="4320" spans="1:17">
      <c r="A4320" s="656" t="s">
        <v>6075</v>
      </c>
      <c r="B4320" s="657" t="s">
        <v>531</v>
      </c>
      <c r="C4320" s="656" t="s">
        <v>6076</v>
      </c>
      <c r="D4320" s="657" t="s">
        <v>14978</v>
      </c>
      <c r="E4320" s="657"/>
      <c r="F4320" s="656" t="s">
        <v>1394</v>
      </c>
      <c r="G4320" s="656"/>
      <c r="H4320" s="656" t="s">
        <v>1394</v>
      </c>
      <c r="I4320" s="656" t="s">
        <v>14976</v>
      </c>
      <c r="J4320" s="656" t="s">
        <v>532</v>
      </c>
      <c r="K4320" s="656"/>
      <c r="L4320" s="656" t="s">
        <v>13207</v>
      </c>
      <c r="M4320" s="657"/>
      <c r="N4320" s="1482"/>
      <c r="O4320" s="656" t="s">
        <v>498</v>
      </c>
      <c r="P4320" s="656" t="s">
        <v>13052</v>
      </c>
      <c r="Q4320" s="656">
        <v>44216.76421296296</v>
      </c>
    </row>
    <row r="4321" spans="1:17">
      <c r="A4321" s="656" t="s">
        <v>6077</v>
      </c>
      <c r="B4321" s="657" t="s">
        <v>504</v>
      </c>
      <c r="C4321" s="656" t="s">
        <v>6078</v>
      </c>
      <c r="D4321" s="657"/>
      <c r="E4321" s="657"/>
      <c r="F4321" s="656"/>
      <c r="G4321" s="656" t="s">
        <v>5103</v>
      </c>
      <c r="H4321" s="656"/>
      <c r="I4321" s="656"/>
      <c r="J4321" s="656"/>
      <c r="K4321" s="656"/>
      <c r="L4321" s="656"/>
      <c r="M4321" s="657"/>
      <c r="N4321" s="1482"/>
      <c r="O4321" s="656" t="s">
        <v>498</v>
      </c>
      <c r="P4321" s="656" t="s">
        <v>13052</v>
      </c>
      <c r="Q4321" s="656">
        <v>44216.76421296296</v>
      </c>
    </row>
    <row r="4322" spans="1:17">
      <c r="A4322" s="656" t="s">
        <v>6079</v>
      </c>
      <c r="B4322" s="657" t="s">
        <v>504</v>
      </c>
      <c r="C4322" s="656" t="s">
        <v>6080</v>
      </c>
      <c r="D4322" s="657" t="s">
        <v>13789</v>
      </c>
      <c r="E4322" s="657"/>
      <c r="F4322" s="656"/>
      <c r="G4322" s="656" t="s">
        <v>3756</v>
      </c>
      <c r="H4322" s="656"/>
      <c r="I4322" s="656"/>
      <c r="J4322" s="656"/>
      <c r="K4322" s="656"/>
      <c r="L4322" s="656"/>
      <c r="M4322" s="657"/>
      <c r="N4322" s="1482"/>
      <c r="O4322" s="656" t="s">
        <v>498</v>
      </c>
      <c r="P4322" s="656" t="s">
        <v>13052</v>
      </c>
      <c r="Q4322" s="656">
        <v>44216.76421296296</v>
      </c>
    </row>
    <row r="4323" spans="1:17">
      <c r="A4323" s="656" t="s">
        <v>6081</v>
      </c>
      <c r="B4323" s="657" t="s">
        <v>504</v>
      </c>
      <c r="C4323" s="656" t="s">
        <v>6082</v>
      </c>
      <c r="D4323" s="657"/>
      <c r="E4323" s="657"/>
      <c r="F4323" s="656"/>
      <c r="G4323" s="656" t="s">
        <v>5103</v>
      </c>
      <c r="H4323" s="656"/>
      <c r="I4323" s="656"/>
      <c r="J4323" s="656"/>
      <c r="K4323" s="656"/>
      <c r="L4323" s="656"/>
      <c r="M4323" s="657"/>
      <c r="N4323" s="1482"/>
      <c r="O4323" s="656" t="s">
        <v>498</v>
      </c>
      <c r="P4323" s="656" t="s">
        <v>13052</v>
      </c>
      <c r="Q4323" s="656">
        <v>44216.764201388891</v>
      </c>
    </row>
    <row r="4324" spans="1:17">
      <c r="A4324" s="656" t="s">
        <v>13205</v>
      </c>
      <c r="B4324" s="657" t="s">
        <v>202</v>
      </c>
      <c r="C4324" s="656" t="s">
        <v>13206</v>
      </c>
      <c r="D4324" s="657" t="s">
        <v>14977</v>
      </c>
      <c r="E4324" s="657"/>
      <c r="F4324" s="656" t="s">
        <v>783</v>
      </c>
      <c r="G4324" s="656" t="s">
        <v>4066</v>
      </c>
      <c r="H4324" s="656" t="s">
        <v>783</v>
      </c>
      <c r="I4324" s="656" t="s">
        <v>14976</v>
      </c>
      <c r="J4324" s="656" t="s">
        <v>15282</v>
      </c>
      <c r="K4324" s="656"/>
      <c r="L4324" s="656" t="s">
        <v>13205</v>
      </c>
      <c r="M4324" s="657"/>
      <c r="N4324" s="1482"/>
      <c r="O4324" s="656" t="s">
        <v>498</v>
      </c>
      <c r="P4324" s="656" t="s">
        <v>13052</v>
      </c>
      <c r="Q4324" s="656">
        <v>44216.764201388891</v>
      </c>
    </row>
    <row r="4325" spans="1:17">
      <c r="A4325" s="656" t="s">
        <v>13203</v>
      </c>
      <c r="B4325" s="657" t="s">
        <v>202</v>
      </c>
      <c r="C4325" s="656" t="s">
        <v>13204</v>
      </c>
      <c r="D4325" s="657" t="s">
        <v>13789</v>
      </c>
      <c r="E4325" s="657"/>
      <c r="F4325" s="656"/>
      <c r="G4325" s="656" t="s">
        <v>5661</v>
      </c>
      <c r="H4325" s="656"/>
      <c r="I4325" s="656" t="s">
        <v>14976</v>
      </c>
      <c r="J4325" s="656"/>
      <c r="K4325" s="656"/>
      <c r="L4325" s="656"/>
      <c r="M4325" s="657"/>
      <c r="N4325" s="1482"/>
      <c r="O4325" s="656" t="s">
        <v>498</v>
      </c>
      <c r="P4325" s="656" t="s">
        <v>13052</v>
      </c>
      <c r="Q4325" s="656">
        <v>44216.764189814814</v>
      </c>
    </row>
    <row r="4326" spans="1:17">
      <c r="A4326" s="656" t="s">
        <v>13201</v>
      </c>
      <c r="B4326" s="657" t="s">
        <v>202</v>
      </c>
      <c r="C4326" s="656" t="s">
        <v>13202</v>
      </c>
      <c r="D4326" s="657" t="s">
        <v>13789</v>
      </c>
      <c r="E4326" s="657"/>
      <c r="F4326" s="656"/>
      <c r="G4326" s="656" t="s">
        <v>5661</v>
      </c>
      <c r="H4326" s="656"/>
      <c r="I4326" s="656" t="s">
        <v>14976</v>
      </c>
      <c r="J4326" s="656"/>
      <c r="K4326" s="656"/>
      <c r="L4326" s="656"/>
      <c r="M4326" s="657"/>
      <c r="N4326" s="1482"/>
      <c r="O4326" s="656" t="s">
        <v>498</v>
      </c>
      <c r="P4326" s="656" t="s">
        <v>13052</v>
      </c>
      <c r="Q4326" s="656">
        <v>44216.764189814814</v>
      </c>
    </row>
    <row r="4327" spans="1:17">
      <c r="A4327" s="656" t="s">
        <v>13199</v>
      </c>
      <c r="B4327" s="657" t="s">
        <v>202</v>
      </c>
      <c r="C4327" s="656" t="s">
        <v>13200</v>
      </c>
      <c r="D4327" s="657" t="s">
        <v>13789</v>
      </c>
      <c r="E4327" s="657"/>
      <c r="F4327" s="656"/>
      <c r="G4327" s="656" t="s">
        <v>5661</v>
      </c>
      <c r="H4327" s="656"/>
      <c r="I4327" s="656" t="s">
        <v>14976</v>
      </c>
      <c r="J4327" s="656"/>
      <c r="K4327" s="656"/>
      <c r="L4327" s="656"/>
      <c r="M4327" s="657"/>
      <c r="N4327" s="1482"/>
      <c r="O4327" s="656" t="s">
        <v>498</v>
      </c>
      <c r="P4327" s="656" t="s">
        <v>13052</v>
      </c>
      <c r="Q4327" s="656">
        <v>44216.764178240737</v>
      </c>
    </row>
    <row r="4328" spans="1:17">
      <c r="A4328" s="656" t="s">
        <v>13197</v>
      </c>
      <c r="B4328" s="657" t="s">
        <v>202</v>
      </c>
      <c r="C4328" s="656" t="s">
        <v>13198</v>
      </c>
      <c r="D4328" s="657" t="s">
        <v>13789</v>
      </c>
      <c r="E4328" s="657"/>
      <c r="F4328" s="656"/>
      <c r="G4328" s="656" t="s">
        <v>5661</v>
      </c>
      <c r="H4328" s="656"/>
      <c r="I4328" s="656" t="s">
        <v>14976</v>
      </c>
      <c r="J4328" s="656"/>
      <c r="K4328" s="656"/>
      <c r="L4328" s="656"/>
      <c r="M4328" s="657"/>
      <c r="N4328" s="1482"/>
      <c r="O4328" s="656" t="s">
        <v>498</v>
      </c>
      <c r="P4328" s="656" t="s">
        <v>13052</v>
      </c>
      <c r="Q4328" s="656">
        <v>44216.764178240737</v>
      </c>
    </row>
    <row r="4329" spans="1:17">
      <c r="A4329" s="656" t="s">
        <v>6083</v>
      </c>
      <c r="B4329" s="657" t="s">
        <v>202</v>
      </c>
      <c r="C4329" s="656" t="s">
        <v>6084</v>
      </c>
      <c r="D4329" s="657" t="s">
        <v>14978</v>
      </c>
      <c r="E4329" s="657"/>
      <c r="F4329" s="656" t="s">
        <v>655</v>
      </c>
      <c r="G4329" s="656"/>
      <c r="H4329" s="656" t="s">
        <v>655</v>
      </c>
      <c r="I4329" s="656" t="s">
        <v>14976</v>
      </c>
      <c r="J4329" s="656"/>
      <c r="K4329" s="656"/>
      <c r="L4329" s="656" t="s">
        <v>13196</v>
      </c>
      <c r="M4329" s="657"/>
      <c r="N4329" s="1482"/>
      <c r="O4329" s="656" t="s">
        <v>498</v>
      </c>
      <c r="P4329" s="656" t="s">
        <v>13052</v>
      </c>
      <c r="Q4329" s="656">
        <v>44216.764166666668</v>
      </c>
    </row>
    <row r="4330" spans="1:17">
      <c r="A4330" s="656" t="s">
        <v>6085</v>
      </c>
      <c r="B4330" s="657" t="s">
        <v>202</v>
      </c>
      <c r="C4330" s="656" t="s">
        <v>6084</v>
      </c>
      <c r="D4330" s="657" t="s">
        <v>14978</v>
      </c>
      <c r="E4330" s="657"/>
      <c r="F4330" s="656" t="s">
        <v>655</v>
      </c>
      <c r="G4330" s="656"/>
      <c r="H4330" s="656" t="s">
        <v>655</v>
      </c>
      <c r="I4330" s="656" t="s">
        <v>14976</v>
      </c>
      <c r="J4330" s="656"/>
      <c r="K4330" s="656"/>
      <c r="L4330" s="656" t="s">
        <v>13196</v>
      </c>
      <c r="M4330" s="657"/>
      <c r="N4330" s="1482"/>
      <c r="O4330" s="656" t="s">
        <v>498</v>
      </c>
      <c r="P4330" s="656" t="s">
        <v>13052</v>
      </c>
      <c r="Q4330" s="656">
        <v>44216.764166666668</v>
      </c>
    </row>
    <row r="4331" spans="1:17">
      <c r="A4331" s="656" t="s">
        <v>13196</v>
      </c>
      <c r="B4331" s="657" t="s">
        <v>202</v>
      </c>
      <c r="C4331" s="656" t="s">
        <v>6084</v>
      </c>
      <c r="D4331" s="657" t="s">
        <v>14977</v>
      </c>
      <c r="E4331" s="657"/>
      <c r="F4331" s="656" t="s">
        <v>655</v>
      </c>
      <c r="G4331" s="656"/>
      <c r="H4331" s="656" t="s">
        <v>655</v>
      </c>
      <c r="I4331" s="656" t="s">
        <v>14976</v>
      </c>
      <c r="J4331" s="656"/>
      <c r="K4331" s="656"/>
      <c r="L4331" s="656" t="s">
        <v>13196</v>
      </c>
      <c r="M4331" s="657"/>
      <c r="N4331" s="1482"/>
      <c r="O4331" s="656" t="s">
        <v>498</v>
      </c>
      <c r="P4331" s="656" t="s">
        <v>13052</v>
      </c>
      <c r="Q4331" s="656">
        <v>44216.764155092591</v>
      </c>
    </row>
    <row r="4332" spans="1:17">
      <c r="A4332" s="656" t="s">
        <v>6086</v>
      </c>
      <c r="B4332" s="657"/>
      <c r="C4332" s="656" t="s">
        <v>6087</v>
      </c>
      <c r="D4332" s="657" t="s">
        <v>13789</v>
      </c>
      <c r="E4332" s="657"/>
      <c r="F4332" s="656"/>
      <c r="G4332" s="656" t="s">
        <v>5045</v>
      </c>
      <c r="H4332" s="656"/>
      <c r="I4332" s="656" t="s">
        <v>14976</v>
      </c>
      <c r="J4332" s="656"/>
      <c r="K4332" s="656"/>
      <c r="L4332" s="656"/>
      <c r="M4332" s="657"/>
      <c r="N4332" s="1482"/>
      <c r="O4332" s="656" t="s">
        <v>498</v>
      </c>
      <c r="P4332" s="656" t="s">
        <v>13052</v>
      </c>
      <c r="Q4332" s="656">
        <v>44216.764155092591</v>
      </c>
    </row>
    <row r="4333" spans="1:17">
      <c r="A4333" s="656" t="s">
        <v>6088</v>
      </c>
      <c r="B4333" s="657" t="s">
        <v>202</v>
      </c>
      <c r="C4333" s="656" t="s">
        <v>6089</v>
      </c>
      <c r="D4333" s="657" t="s">
        <v>14978</v>
      </c>
      <c r="E4333" s="657"/>
      <c r="F4333" s="656" t="s">
        <v>655</v>
      </c>
      <c r="G4333" s="656"/>
      <c r="H4333" s="656" t="s">
        <v>655</v>
      </c>
      <c r="I4333" s="656" t="s">
        <v>14976</v>
      </c>
      <c r="J4333" s="656" t="s">
        <v>15281</v>
      </c>
      <c r="K4333" s="656"/>
      <c r="L4333" s="656" t="s">
        <v>6090</v>
      </c>
      <c r="M4333" s="657"/>
      <c r="N4333" s="1482"/>
      <c r="O4333" s="656" t="s">
        <v>498</v>
      </c>
      <c r="P4333" s="656" t="s">
        <v>13052</v>
      </c>
      <c r="Q4333" s="656">
        <v>44216.764143518521</v>
      </c>
    </row>
    <row r="4334" spans="1:17">
      <c r="A4334" s="656" t="s">
        <v>6090</v>
      </c>
      <c r="B4334" s="657" t="s">
        <v>202</v>
      </c>
      <c r="C4334" s="656" t="s">
        <v>6091</v>
      </c>
      <c r="D4334" s="657" t="s">
        <v>14977</v>
      </c>
      <c r="E4334" s="657"/>
      <c r="F4334" s="656" t="s">
        <v>655</v>
      </c>
      <c r="G4334" s="656"/>
      <c r="H4334" s="656" t="s">
        <v>655</v>
      </c>
      <c r="I4334" s="656" t="s">
        <v>14976</v>
      </c>
      <c r="J4334" s="656"/>
      <c r="K4334" s="656"/>
      <c r="L4334" s="656" t="s">
        <v>6090</v>
      </c>
      <c r="M4334" s="657"/>
      <c r="N4334" s="1482"/>
      <c r="O4334" s="656" t="s">
        <v>498</v>
      </c>
      <c r="P4334" s="656" t="s">
        <v>13052</v>
      </c>
      <c r="Q4334" s="656">
        <v>44216.764143518521</v>
      </c>
    </row>
    <row r="4335" spans="1:17">
      <c r="A4335" s="656" t="s">
        <v>6092</v>
      </c>
      <c r="B4335" s="657" t="s">
        <v>504</v>
      </c>
      <c r="C4335" s="656" t="s">
        <v>6093</v>
      </c>
      <c r="D4335" s="657"/>
      <c r="E4335" s="657"/>
      <c r="F4335" s="656" t="s">
        <v>505</v>
      </c>
      <c r="G4335" s="656" t="s">
        <v>4324</v>
      </c>
      <c r="H4335" s="656" t="s">
        <v>505</v>
      </c>
      <c r="I4335" s="656"/>
      <c r="J4335" s="656"/>
      <c r="K4335" s="656"/>
      <c r="L4335" s="656"/>
      <c r="M4335" s="657"/>
      <c r="N4335" s="1482"/>
      <c r="O4335" s="656" t="s">
        <v>498</v>
      </c>
      <c r="P4335" s="656" t="s">
        <v>13052</v>
      </c>
      <c r="Q4335" s="656">
        <v>44216.764143518521</v>
      </c>
    </row>
    <row r="4336" spans="1:17">
      <c r="A4336" s="656" t="s">
        <v>6094</v>
      </c>
      <c r="B4336" s="657"/>
      <c r="C4336" s="656" t="s">
        <v>6095</v>
      </c>
      <c r="D4336" s="657" t="s">
        <v>14977</v>
      </c>
      <c r="E4336" s="657"/>
      <c r="F4336" s="656" t="s">
        <v>1394</v>
      </c>
      <c r="G4336" s="656"/>
      <c r="H4336" s="656" t="s">
        <v>1394</v>
      </c>
      <c r="I4336" s="656" t="s">
        <v>14976</v>
      </c>
      <c r="J4336" s="656"/>
      <c r="K4336" s="656"/>
      <c r="L4336" s="656" t="s">
        <v>6094</v>
      </c>
      <c r="M4336" s="657"/>
      <c r="N4336" s="1482"/>
      <c r="O4336" s="656" t="s">
        <v>498</v>
      </c>
      <c r="P4336" s="656" t="s">
        <v>13052</v>
      </c>
      <c r="Q4336" s="656">
        <v>44216.764131944445</v>
      </c>
    </row>
    <row r="4337" spans="1:17">
      <c r="A4337" s="656" t="s">
        <v>6096</v>
      </c>
      <c r="B4337" s="657"/>
      <c r="C4337" s="656" t="s">
        <v>6097</v>
      </c>
      <c r="D4337" s="657" t="s">
        <v>13789</v>
      </c>
      <c r="E4337" s="657"/>
      <c r="F4337" s="656"/>
      <c r="G4337" s="656" t="s">
        <v>5103</v>
      </c>
      <c r="H4337" s="656"/>
      <c r="I4337" s="656" t="s">
        <v>14976</v>
      </c>
      <c r="J4337" s="656"/>
      <c r="K4337" s="656"/>
      <c r="L4337" s="656"/>
      <c r="M4337" s="657"/>
      <c r="N4337" s="1482"/>
      <c r="O4337" s="656" t="s">
        <v>498</v>
      </c>
      <c r="P4337" s="656" t="s">
        <v>13052</v>
      </c>
      <c r="Q4337" s="656">
        <v>44216.764131944445</v>
      </c>
    </row>
    <row r="4338" spans="1:17">
      <c r="A4338" s="656" t="s">
        <v>6098</v>
      </c>
      <c r="B4338" s="657" t="s">
        <v>504</v>
      </c>
      <c r="C4338" s="656" t="s">
        <v>6099</v>
      </c>
      <c r="D4338" s="657"/>
      <c r="E4338" s="657"/>
      <c r="F4338" s="656"/>
      <c r="G4338" s="656" t="s">
        <v>5103</v>
      </c>
      <c r="H4338" s="656"/>
      <c r="I4338" s="656"/>
      <c r="J4338" s="656"/>
      <c r="K4338" s="656"/>
      <c r="L4338" s="656"/>
      <c r="M4338" s="657"/>
      <c r="N4338" s="1482"/>
      <c r="O4338" s="656" t="s">
        <v>498</v>
      </c>
      <c r="P4338" s="656" t="s">
        <v>13052</v>
      </c>
      <c r="Q4338" s="656">
        <v>44216.764120370368</v>
      </c>
    </row>
    <row r="4339" spans="1:17">
      <c r="A4339" s="656" t="s">
        <v>6100</v>
      </c>
      <c r="B4339" s="657"/>
      <c r="C4339" s="656" t="s">
        <v>6101</v>
      </c>
      <c r="D4339" s="657" t="s">
        <v>13789</v>
      </c>
      <c r="E4339" s="657"/>
      <c r="F4339" s="656"/>
      <c r="G4339" s="656" t="s">
        <v>5103</v>
      </c>
      <c r="H4339" s="656"/>
      <c r="I4339" s="656" t="s">
        <v>14976</v>
      </c>
      <c r="J4339" s="656"/>
      <c r="K4339" s="656"/>
      <c r="L4339" s="656"/>
      <c r="M4339" s="657"/>
      <c r="N4339" s="1482"/>
      <c r="O4339" s="656" t="s">
        <v>498</v>
      </c>
      <c r="P4339" s="656" t="s">
        <v>13052</v>
      </c>
      <c r="Q4339" s="656">
        <v>44216.764120370368</v>
      </c>
    </row>
    <row r="4340" spans="1:17">
      <c r="A4340" s="656" t="s">
        <v>6102</v>
      </c>
      <c r="B4340" s="657" t="s">
        <v>504</v>
      </c>
      <c r="C4340" s="656" t="s">
        <v>6103</v>
      </c>
      <c r="D4340" s="657"/>
      <c r="E4340" s="657"/>
      <c r="F4340" s="656"/>
      <c r="G4340" s="656" t="s">
        <v>5103</v>
      </c>
      <c r="H4340" s="656"/>
      <c r="I4340" s="656"/>
      <c r="J4340" s="656"/>
      <c r="K4340" s="656"/>
      <c r="L4340" s="656"/>
      <c r="M4340" s="657"/>
      <c r="N4340" s="1482"/>
      <c r="O4340" s="656" t="s">
        <v>498</v>
      </c>
      <c r="P4340" s="656" t="s">
        <v>13052</v>
      </c>
      <c r="Q4340" s="656">
        <v>44216.764120370368</v>
      </c>
    </row>
    <row r="4341" spans="1:17">
      <c r="A4341" s="656" t="s">
        <v>6104</v>
      </c>
      <c r="B4341" s="657"/>
      <c r="C4341" s="656" t="s">
        <v>6105</v>
      </c>
      <c r="D4341" s="657" t="s">
        <v>14978</v>
      </c>
      <c r="E4341" s="657"/>
      <c r="F4341" s="656" t="s">
        <v>1394</v>
      </c>
      <c r="G4341" s="656"/>
      <c r="H4341" s="656" t="s">
        <v>1394</v>
      </c>
      <c r="I4341" s="656" t="s">
        <v>14976</v>
      </c>
      <c r="J4341" s="656"/>
      <c r="K4341" s="656"/>
      <c r="L4341" s="656" t="s">
        <v>13194</v>
      </c>
      <c r="M4341" s="657"/>
      <c r="N4341" s="1482"/>
      <c r="O4341" s="656" t="s">
        <v>498</v>
      </c>
      <c r="P4341" s="656" t="s">
        <v>13052</v>
      </c>
      <c r="Q4341" s="656">
        <v>44216.764108796298</v>
      </c>
    </row>
    <row r="4342" spans="1:17">
      <c r="A4342" s="656" t="s">
        <v>6106</v>
      </c>
      <c r="B4342" s="657"/>
      <c r="C4342" s="656" t="s">
        <v>6107</v>
      </c>
      <c r="D4342" s="657" t="s">
        <v>14978</v>
      </c>
      <c r="E4342" s="657"/>
      <c r="F4342" s="656" t="s">
        <v>1394</v>
      </c>
      <c r="G4342" s="656"/>
      <c r="H4342" s="656" t="s">
        <v>1394</v>
      </c>
      <c r="I4342" s="656" t="s">
        <v>14976</v>
      </c>
      <c r="J4342" s="656"/>
      <c r="K4342" s="656"/>
      <c r="L4342" s="656" t="s">
        <v>13194</v>
      </c>
      <c r="M4342" s="657"/>
      <c r="N4342" s="1482"/>
      <c r="O4342" s="656" t="s">
        <v>498</v>
      </c>
      <c r="P4342" s="656" t="s">
        <v>13052</v>
      </c>
      <c r="Q4342" s="656">
        <v>44216.764120370368</v>
      </c>
    </row>
    <row r="4343" spans="1:17">
      <c r="A4343" s="656" t="s">
        <v>13194</v>
      </c>
      <c r="B4343" s="657" t="s">
        <v>202</v>
      </c>
      <c r="C4343" s="656" t="s">
        <v>13195</v>
      </c>
      <c r="D4343" s="657" t="s">
        <v>13789</v>
      </c>
      <c r="E4343" s="657"/>
      <c r="F4343" s="656" t="s">
        <v>442</v>
      </c>
      <c r="G4343" s="656" t="s">
        <v>561</v>
      </c>
      <c r="H4343" s="656" t="s">
        <v>442</v>
      </c>
      <c r="I4343" s="656" t="s">
        <v>14976</v>
      </c>
      <c r="J4343" s="656" t="s">
        <v>12369</v>
      </c>
      <c r="K4343" s="656"/>
      <c r="L4343" s="656"/>
      <c r="M4343" s="657"/>
      <c r="N4343" s="1482"/>
      <c r="O4343" s="656" t="s">
        <v>498</v>
      </c>
      <c r="P4343" s="656" t="s">
        <v>13052</v>
      </c>
      <c r="Q4343" s="656">
        <v>44216.764097222222</v>
      </c>
    </row>
    <row r="4344" spans="1:17">
      <c r="A4344" s="656" t="s">
        <v>6108</v>
      </c>
      <c r="B4344" s="657" t="s">
        <v>531</v>
      </c>
      <c r="C4344" s="656" t="s">
        <v>6109</v>
      </c>
      <c r="D4344" s="657" t="s">
        <v>14978</v>
      </c>
      <c r="E4344" s="657"/>
      <c r="F4344" s="656" t="s">
        <v>442</v>
      </c>
      <c r="G4344" s="656" t="s">
        <v>561</v>
      </c>
      <c r="H4344" s="656" t="s">
        <v>442</v>
      </c>
      <c r="I4344" s="656" t="s">
        <v>14976</v>
      </c>
      <c r="J4344" s="656" t="s">
        <v>12369</v>
      </c>
      <c r="K4344" s="656"/>
      <c r="L4344" s="656"/>
      <c r="M4344" s="657"/>
      <c r="N4344" s="1482"/>
      <c r="O4344" s="656" t="s">
        <v>498</v>
      </c>
      <c r="P4344" s="656" t="s">
        <v>13052</v>
      </c>
      <c r="Q4344" s="656">
        <v>44216.764097222222</v>
      </c>
    </row>
    <row r="4345" spans="1:17">
      <c r="A4345" s="656" t="s">
        <v>6110</v>
      </c>
      <c r="B4345" s="657"/>
      <c r="C4345" s="656" t="s">
        <v>6111</v>
      </c>
      <c r="D4345" s="657" t="s">
        <v>14978</v>
      </c>
      <c r="E4345" s="657"/>
      <c r="F4345" s="656" t="s">
        <v>1394</v>
      </c>
      <c r="G4345" s="656"/>
      <c r="H4345" s="656" t="s">
        <v>1394</v>
      </c>
      <c r="I4345" s="656" t="s">
        <v>14976</v>
      </c>
      <c r="J4345" s="656"/>
      <c r="K4345" s="656"/>
      <c r="L4345" s="656" t="s">
        <v>6112</v>
      </c>
      <c r="M4345" s="657"/>
      <c r="N4345" s="1482"/>
      <c r="O4345" s="656" t="s">
        <v>498</v>
      </c>
      <c r="P4345" s="656" t="s">
        <v>13052</v>
      </c>
      <c r="Q4345" s="656">
        <v>44216.764085648145</v>
      </c>
    </row>
    <row r="4346" spans="1:17">
      <c r="A4346" s="656" t="s">
        <v>6112</v>
      </c>
      <c r="B4346" s="657"/>
      <c r="C4346" s="656" t="s">
        <v>6113</v>
      </c>
      <c r="D4346" s="657" t="s">
        <v>14977</v>
      </c>
      <c r="E4346" s="657"/>
      <c r="F4346" s="656" t="s">
        <v>1394</v>
      </c>
      <c r="G4346" s="656"/>
      <c r="H4346" s="656" t="s">
        <v>1394</v>
      </c>
      <c r="I4346" s="656" t="s">
        <v>14976</v>
      </c>
      <c r="J4346" s="656"/>
      <c r="K4346" s="656"/>
      <c r="L4346" s="656" t="s">
        <v>6112</v>
      </c>
      <c r="M4346" s="657"/>
      <c r="N4346" s="1482"/>
      <c r="O4346" s="656" t="s">
        <v>498</v>
      </c>
      <c r="P4346" s="656" t="s">
        <v>13052</v>
      </c>
      <c r="Q4346" s="656">
        <v>44216.764085648145</v>
      </c>
    </row>
    <row r="4347" spans="1:17">
      <c r="A4347" s="656" t="s">
        <v>6114</v>
      </c>
      <c r="B4347" s="657"/>
      <c r="C4347" s="656" t="s">
        <v>6115</v>
      </c>
      <c r="D4347" s="657" t="s">
        <v>14977</v>
      </c>
      <c r="E4347" s="657"/>
      <c r="F4347" s="656" t="s">
        <v>1394</v>
      </c>
      <c r="G4347" s="656"/>
      <c r="H4347" s="656" t="s">
        <v>1394</v>
      </c>
      <c r="I4347" s="656" t="s">
        <v>14976</v>
      </c>
      <c r="J4347" s="656"/>
      <c r="K4347" s="656"/>
      <c r="L4347" s="656" t="s">
        <v>6114</v>
      </c>
      <c r="M4347" s="657"/>
      <c r="N4347" s="1482"/>
      <c r="O4347" s="656" t="s">
        <v>498</v>
      </c>
      <c r="P4347" s="656" t="s">
        <v>13052</v>
      </c>
      <c r="Q4347" s="656">
        <v>44216.764074074075</v>
      </c>
    </row>
    <row r="4348" spans="1:17">
      <c r="A4348" s="656" t="s">
        <v>6116</v>
      </c>
      <c r="B4348" s="657" t="s">
        <v>504</v>
      </c>
      <c r="C4348" s="656" t="s">
        <v>6117</v>
      </c>
      <c r="D4348" s="657"/>
      <c r="E4348" s="657"/>
      <c r="F4348" s="656"/>
      <c r="G4348" s="656" t="s">
        <v>5103</v>
      </c>
      <c r="H4348" s="656"/>
      <c r="I4348" s="656"/>
      <c r="J4348" s="656"/>
      <c r="K4348" s="656"/>
      <c r="L4348" s="656"/>
      <c r="M4348" s="657"/>
      <c r="N4348" s="1482"/>
      <c r="O4348" s="656" t="s">
        <v>498</v>
      </c>
      <c r="P4348" s="656" t="s">
        <v>13052</v>
      </c>
      <c r="Q4348" s="656">
        <v>44216.764074074075</v>
      </c>
    </row>
    <row r="4349" spans="1:17">
      <c r="A4349" s="656" t="s">
        <v>6118</v>
      </c>
      <c r="B4349" s="657" t="s">
        <v>202</v>
      </c>
      <c r="C4349" s="656" t="s">
        <v>6119</v>
      </c>
      <c r="D4349" s="657" t="s">
        <v>14977</v>
      </c>
      <c r="E4349" s="657"/>
      <c r="F4349" s="656" t="s">
        <v>1667</v>
      </c>
      <c r="G4349" s="656"/>
      <c r="H4349" s="656" t="s">
        <v>1667</v>
      </c>
      <c r="I4349" s="656" t="s">
        <v>14976</v>
      </c>
      <c r="J4349" s="656"/>
      <c r="K4349" s="656"/>
      <c r="L4349" s="656" t="s">
        <v>6118</v>
      </c>
      <c r="M4349" s="657"/>
      <c r="N4349" s="1482"/>
      <c r="O4349" s="656" t="s">
        <v>498</v>
      </c>
      <c r="P4349" s="656" t="s">
        <v>13052</v>
      </c>
      <c r="Q4349" s="656">
        <v>44216.764062499999</v>
      </c>
    </row>
    <row r="4350" spans="1:17">
      <c r="A4350" s="656" t="s">
        <v>6120</v>
      </c>
      <c r="B4350" s="657"/>
      <c r="C4350" s="656" t="s">
        <v>6121</v>
      </c>
      <c r="D4350" s="657" t="s">
        <v>14977</v>
      </c>
      <c r="E4350" s="657"/>
      <c r="F4350" s="656" t="s">
        <v>1394</v>
      </c>
      <c r="G4350" s="656"/>
      <c r="H4350" s="656" t="s">
        <v>1394</v>
      </c>
      <c r="I4350" s="656" t="s">
        <v>14976</v>
      </c>
      <c r="J4350" s="656" t="s">
        <v>532</v>
      </c>
      <c r="K4350" s="656"/>
      <c r="L4350" s="656" t="s">
        <v>6120</v>
      </c>
      <c r="M4350" s="657"/>
      <c r="N4350" s="1482"/>
      <c r="O4350" s="656" t="s">
        <v>498</v>
      </c>
      <c r="P4350" s="656" t="s">
        <v>13052</v>
      </c>
      <c r="Q4350" s="656">
        <v>44216.764062499999</v>
      </c>
    </row>
    <row r="4351" spans="1:17">
      <c r="A4351" s="656" t="s">
        <v>6122</v>
      </c>
      <c r="B4351" s="657"/>
      <c r="C4351" s="656" t="s">
        <v>6123</v>
      </c>
      <c r="D4351" s="657" t="s">
        <v>13789</v>
      </c>
      <c r="E4351" s="657"/>
      <c r="F4351" s="656"/>
      <c r="G4351" s="656" t="s">
        <v>5103</v>
      </c>
      <c r="H4351" s="656"/>
      <c r="I4351" s="656" t="s">
        <v>14976</v>
      </c>
      <c r="J4351" s="656"/>
      <c r="K4351" s="656"/>
      <c r="L4351" s="656"/>
      <c r="M4351" s="657"/>
      <c r="N4351" s="1482"/>
      <c r="O4351" s="656" t="s">
        <v>498</v>
      </c>
      <c r="P4351" s="656" t="s">
        <v>13052</v>
      </c>
      <c r="Q4351" s="656">
        <v>44216.764050925929</v>
      </c>
    </row>
    <row r="4352" spans="1:17">
      <c r="A4352" s="656" t="s">
        <v>6124</v>
      </c>
      <c r="B4352" s="657" t="s">
        <v>531</v>
      </c>
      <c r="C4352" s="656" t="s">
        <v>6125</v>
      </c>
      <c r="D4352" s="657" t="s">
        <v>14977</v>
      </c>
      <c r="E4352" s="657"/>
      <c r="F4352" s="656" t="s">
        <v>442</v>
      </c>
      <c r="G4352" s="656" t="s">
        <v>561</v>
      </c>
      <c r="H4352" s="656" t="s">
        <v>442</v>
      </c>
      <c r="I4352" s="656" t="s">
        <v>14976</v>
      </c>
      <c r="J4352" s="656" t="s">
        <v>12369</v>
      </c>
      <c r="K4352" s="656"/>
      <c r="L4352" s="656"/>
      <c r="M4352" s="657"/>
      <c r="N4352" s="1482"/>
      <c r="O4352" s="656" t="s">
        <v>498</v>
      </c>
      <c r="P4352" s="656" t="s">
        <v>13052</v>
      </c>
      <c r="Q4352" s="656">
        <v>44216.764039351852</v>
      </c>
    </row>
    <row r="4353" spans="1:17">
      <c r="A4353" s="656" t="s">
        <v>6126</v>
      </c>
      <c r="B4353" s="657"/>
      <c r="C4353" s="656" t="s">
        <v>6127</v>
      </c>
      <c r="D4353" s="657" t="s">
        <v>14977</v>
      </c>
      <c r="E4353" s="657"/>
      <c r="F4353" s="656" t="s">
        <v>1394</v>
      </c>
      <c r="G4353" s="656"/>
      <c r="H4353" s="656" t="s">
        <v>1394</v>
      </c>
      <c r="I4353" s="656" t="s">
        <v>14976</v>
      </c>
      <c r="J4353" s="656"/>
      <c r="K4353" s="656"/>
      <c r="L4353" s="656" t="s">
        <v>6126</v>
      </c>
      <c r="M4353" s="657"/>
      <c r="N4353" s="1482"/>
      <c r="O4353" s="656" t="s">
        <v>498</v>
      </c>
      <c r="P4353" s="656" t="s">
        <v>13052</v>
      </c>
      <c r="Q4353" s="656">
        <v>44216.764027777775</v>
      </c>
    </row>
    <row r="4354" spans="1:17">
      <c r="A4354" s="656" t="s">
        <v>6128</v>
      </c>
      <c r="B4354" s="657"/>
      <c r="C4354" s="656" t="s">
        <v>6129</v>
      </c>
      <c r="D4354" s="657" t="s">
        <v>13789</v>
      </c>
      <c r="E4354" s="657"/>
      <c r="F4354" s="656"/>
      <c r="G4354" s="656"/>
      <c r="H4354" s="656"/>
      <c r="I4354" s="656" t="s">
        <v>14976</v>
      </c>
      <c r="J4354" s="656"/>
      <c r="K4354" s="656"/>
      <c r="L4354" s="656"/>
      <c r="M4354" s="657"/>
      <c r="N4354" s="1482"/>
      <c r="O4354" s="656" t="s">
        <v>498</v>
      </c>
      <c r="P4354" s="656" t="s">
        <v>13052</v>
      </c>
      <c r="Q4354" s="656">
        <v>44216.764027777775</v>
      </c>
    </row>
    <row r="4355" spans="1:17">
      <c r="A4355" s="656" t="s">
        <v>6130</v>
      </c>
      <c r="B4355" s="657" t="s">
        <v>531</v>
      </c>
      <c r="C4355" s="656" t="s">
        <v>6131</v>
      </c>
      <c r="D4355" s="657" t="s">
        <v>14978</v>
      </c>
      <c r="E4355" s="657"/>
      <c r="F4355" s="656" t="s">
        <v>1394</v>
      </c>
      <c r="G4355" s="656"/>
      <c r="H4355" s="656" t="s">
        <v>1394</v>
      </c>
      <c r="I4355" s="656" t="s">
        <v>14976</v>
      </c>
      <c r="J4355" s="656" t="s">
        <v>532</v>
      </c>
      <c r="K4355" s="656"/>
      <c r="L4355" s="656" t="s">
        <v>6132</v>
      </c>
      <c r="M4355" s="657"/>
      <c r="N4355" s="1482"/>
      <c r="O4355" s="656" t="s">
        <v>498</v>
      </c>
      <c r="P4355" s="656" t="s">
        <v>13052</v>
      </c>
      <c r="Q4355" s="656">
        <v>44216.764016203706</v>
      </c>
    </row>
    <row r="4356" spans="1:17">
      <c r="A4356" s="656" t="s">
        <v>6132</v>
      </c>
      <c r="B4356" s="657"/>
      <c r="C4356" s="656" t="s">
        <v>6133</v>
      </c>
      <c r="D4356" s="657" t="s">
        <v>14977</v>
      </c>
      <c r="E4356" s="657"/>
      <c r="F4356" s="656" t="s">
        <v>1394</v>
      </c>
      <c r="G4356" s="656"/>
      <c r="H4356" s="656" t="s">
        <v>1394</v>
      </c>
      <c r="I4356" s="656" t="s">
        <v>14976</v>
      </c>
      <c r="J4356" s="656"/>
      <c r="K4356" s="656"/>
      <c r="L4356" s="656" t="s">
        <v>6132</v>
      </c>
      <c r="M4356" s="657"/>
      <c r="N4356" s="1482"/>
      <c r="O4356" s="656" t="s">
        <v>498</v>
      </c>
      <c r="P4356" s="656" t="s">
        <v>13052</v>
      </c>
      <c r="Q4356" s="656">
        <v>44216.764004629629</v>
      </c>
    </row>
    <row r="4357" spans="1:17">
      <c r="A4357" s="656" t="s">
        <v>6134</v>
      </c>
      <c r="B4357" s="657"/>
      <c r="C4357" s="656" t="s">
        <v>6135</v>
      </c>
      <c r="D4357" s="657" t="s">
        <v>13789</v>
      </c>
      <c r="E4357" s="657"/>
      <c r="F4357" s="656"/>
      <c r="G4357" s="656" t="s">
        <v>4198</v>
      </c>
      <c r="H4357" s="656"/>
      <c r="I4357" s="656" t="s">
        <v>14976</v>
      </c>
      <c r="J4357" s="656"/>
      <c r="K4357" s="656"/>
      <c r="L4357" s="656"/>
      <c r="M4357" s="657"/>
      <c r="N4357" s="1482"/>
      <c r="O4357" s="656" t="s">
        <v>498</v>
      </c>
      <c r="P4357" s="656" t="s">
        <v>13052</v>
      </c>
      <c r="Q4357" s="656">
        <v>44216.764004629629</v>
      </c>
    </row>
    <row r="4358" spans="1:17">
      <c r="A4358" s="656" t="s">
        <v>6136</v>
      </c>
      <c r="B4358" s="657"/>
      <c r="C4358" s="656" t="s">
        <v>6137</v>
      </c>
      <c r="D4358" s="657" t="s">
        <v>13789</v>
      </c>
      <c r="E4358" s="657"/>
      <c r="F4358" s="656"/>
      <c r="G4358" s="656" t="s">
        <v>4198</v>
      </c>
      <c r="H4358" s="656"/>
      <c r="I4358" s="656" t="s">
        <v>14976</v>
      </c>
      <c r="J4358" s="656"/>
      <c r="K4358" s="656"/>
      <c r="L4358" s="656"/>
      <c r="M4358" s="657"/>
      <c r="N4358" s="1482"/>
      <c r="O4358" s="656" t="s">
        <v>498</v>
      </c>
      <c r="P4358" s="656" t="s">
        <v>13052</v>
      </c>
      <c r="Q4358" s="656">
        <v>44216.763993055552</v>
      </c>
    </row>
    <row r="4359" spans="1:17">
      <c r="A4359" s="656" t="s">
        <v>6138</v>
      </c>
      <c r="B4359" s="657"/>
      <c r="C4359" s="656" t="s">
        <v>6139</v>
      </c>
      <c r="D4359" s="657" t="s">
        <v>13789</v>
      </c>
      <c r="E4359" s="657"/>
      <c r="F4359" s="656"/>
      <c r="G4359" s="656" t="s">
        <v>4198</v>
      </c>
      <c r="H4359" s="656"/>
      <c r="I4359" s="656" t="s">
        <v>14976</v>
      </c>
      <c r="J4359" s="656"/>
      <c r="K4359" s="656"/>
      <c r="L4359" s="656"/>
      <c r="M4359" s="657"/>
      <c r="N4359" s="1482"/>
      <c r="O4359" s="656" t="s">
        <v>498</v>
      </c>
      <c r="P4359" s="656" t="s">
        <v>13052</v>
      </c>
      <c r="Q4359" s="656">
        <v>44216.763993055552</v>
      </c>
    </row>
    <row r="4360" spans="1:17">
      <c r="A4360" s="656" t="s">
        <v>6140</v>
      </c>
      <c r="B4360" s="657"/>
      <c r="C4360" s="656" t="s">
        <v>6141</v>
      </c>
      <c r="D4360" s="657" t="s">
        <v>13789</v>
      </c>
      <c r="E4360" s="657"/>
      <c r="F4360" s="656"/>
      <c r="G4360" s="656" t="s">
        <v>4198</v>
      </c>
      <c r="H4360" s="656"/>
      <c r="I4360" s="656" t="s">
        <v>14976</v>
      </c>
      <c r="J4360" s="656"/>
      <c r="K4360" s="656"/>
      <c r="L4360" s="656"/>
      <c r="M4360" s="657"/>
      <c r="N4360" s="1482"/>
      <c r="O4360" s="656" t="s">
        <v>498</v>
      </c>
      <c r="P4360" s="656" t="s">
        <v>13052</v>
      </c>
      <c r="Q4360" s="656">
        <v>44216.763981481483</v>
      </c>
    </row>
    <row r="4361" spans="1:17">
      <c r="A4361" s="656" t="s">
        <v>6142</v>
      </c>
      <c r="B4361" s="657" t="s">
        <v>202</v>
      </c>
      <c r="C4361" s="656" t="s">
        <v>6143</v>
      </c>
      <c r="D4361" s="657" t="s">
        <v>14978</v>
      </c>
      <c r="E4361" s="657"/>
      <c r="F4361" s="656" t="s">
        <v>500</v>
      </c>
      <c r="G4361" s="656" t="s">
        <v>500</v>
      </c>
      <c r="H4361" s="656" t="s">
        <v>500</v>
      </c>
      <c r="I4361" s="656" t="s">
        <v>14976</v>
      </c>
      <c r="J4361" s="656" t="s">
        <v>15293</v>
      </c>
      <c r="K4361" s="656"/>
      <c r="L4361" s="656" t="s">
        <v>6146</v>
      </c>
      <c r="M4361" s="657"/>
      <c r="N4361" s="1482"/>
      <c r="O4361" s="656" t="s">
        <v>498</v>
      </c>
      <c r="P4361" s="656" t="s">
        <v>13052</v>
      </c>
      <c r="Q4361" s="656">
        <v>44216.763981481483</v>
      </c>
    </row>
    <row r="4362" spans="1:17">
      <c r="A4362" s="656" t="s">
        <v>6144</v>
      </c>
      <c r="B4362" s="657" t="s">
        <v>202</v>
      </c>
      <c r="C4362" s="656" t="s">
        <v>6145</v>
      </c>
      <c r="D4362" s="657" t="s">
        <v>14978</v>
      </c>
      <c r="E4362" s="657"/>
      <c r="F4362" s="656" t="s">
        <v>500</v>
      </c>
      <c r="G4362" s="656" t="s">
        <v>500</v>
      </c>
      <c r="H4362" s="656" t="s">
        <v>500</v>
      </c>
      <c r="I4362" s="656" t="s">
        <v>14976</v>
      </c>
      <c r="J4362" s="656"/>
      <c r="K4362" s="656"/>
      <c r="L4362" s="656" t="s">
        <v>6146</v>
      </c>
      <c r="M4362" s="657"/>
      <c r="N4362" s="1482"/>
      <c r="O4362" s="656" t="s">
        <v>498</v>
      </c>
      <c r="P4362" s="656" t="s">
        <v>13052</v>
      </c>
      <c r="Q4362" s="656">
        <v>44216.763969907406</v>
      </c>
    </row>
    <row r="4363" spans="1:17">
      <c r="A4363" s="656" t="s">
        <v>6146</v>
      </c>
      <c r="B4363" s="657"/>
      <c r="C4363" s="656" t="s">
        <v>6147</v>
      </c>
      <c r="D4363" s="657" t="s">
        <v>13789</v>
      </c>
      <c r="E4363" s="657"/>
      <c r="F4363" s="656"/>
      <c r="G4363" s="656" t="s">
        <v>4198</v>
      </c>
      <c r="H4363" s="656"/>
      <c r="I4363" s="656" t="s">
        <v>14976</v>
      </c>
      <c r="J4363" s="656"/>
      <c r="K4363" s="656"/>
      <c r="L4363" s="656"/>
      <c r="M4363" s="657"/>
      <c r="N4363" s="1482"/>
      <c r="O4363" s="656" t="s">
        <v>498</v>
      </c>
      <c r="P4363" s="656" t="s">
        <v>13052</v>
      </c>
      <c r="Q4363" s="656">
        <v>44216.763969907406</v>
      </c>
    </row>
    <row r="4364" spans="1:17">
      <c r="A4364" s="656" t="s">
        <v>6148</v>
      </c>
      <c r="B4364" s="657"/>
      <c r="C4364" s="656" t="s">
        <v>6149</v>
      </c>
      <c r="D4364" s="657" t="s">
        <v>14978</v>
      </c>
      <c r="E4364" s="657"/>
      <c r="F4364" s="656"/>
      <c r="G4364" s="656" t="s">
        <v>4198</v>
      </c>
      <c r="H4364" s="656"/>
      <c r="I4364" s="656" t="s">
        <v>14976</v>
      </c>
      <c r="J4364" s="656"/>
      <c r="K4364" s="656"/>
      <c r="L4364" s="656" t="s">
        <v>13192</v>
      </c>
      <c r="M4364" s="657"/>
      <c r="N4364" s="1482"/>
      <c r="O4364" s="656" t="s">
        <v>498</v>
      </c>
      <c r="P4364" s="656" t="s">
        <v>13052</v>
      </c>
      <c r="Q4364" s="656">
        <v>44216.763958333337</v>
      </c>
    </row>
    <row r="4365" spans="1:17">
      <c r="A4365" s="656" t="s">
        <v>6150</v>
      </c>
      <c r="B4365" s="657"/>
      <c r="C4365" s="656" t="s">
        <v>6151</v>
      </c>
      <c r="D4365" s="657" t="s">
        <v>14978</v>
      </c>
      <c r="E4365" s="657"/>
      <c r="F4365" s="656"/>
      <c r="G4365" s="656" t="s">
        <v>4198</v>
      </c>
      <c r="H4365" s="656"/>
      <c r="I4365" s="656" t="s">
        <v>14976</v>
      </c>
      <c r="J4365" s="656"/>
      <c r="K4365" s="656"/>
      <c r="L4365" s="656" t="s">
        <v>13192</v>
      </c>
      <c r="M4365" s="657"/>
      <c r="N4365" s="1482"/>
      <c r="O4365" s="656" t="s">
        <v>498</v>
      </c>
      <c r="P4365" s="656" t="s">
        <v>13052</v>
      </c>
      <c r="Q4365" s="656">
        <v>44216.76394675926</v>
      </c>
    </row>
    <row r="4366" spans="1:17">
      <c r="A4366" s="656" t="s">
        <v>13192</v>
      </c>
      <c r="B4366" s="657" t="s">
        <v>202</v>
      </c>
      <c r="C4366" s="656" t="s">
        <v>13193</v>
      </c>
      <c r="D4366" s="657" t="s">
        <v>14977</v>
      </c>
      <c r="E4366" s="657"/>
      <c r="F4366" s="656" t="s">
        <v>1300</v>
      </c>
      <c r="G4366" s="656" t="s">
        <v>1301</v>
      </c>
      <c r="H4366" s="656" t="s">
        <v>1300</v>
      </c>
      <c r="I4366" s="656" t="s">
        <v>14976</v>
      </c>
      <c r="J4366" s="656" t="s">
        <v>15285</v>
      </c>
      <c r="K4366" s="656"/>
      <c r="L4366" s="656" t="s">
        <v>13192</v>
      </c>
      <c r="M4366" s="657"/>
      <c r="N4366" s="1482"/>
      <c r="O4366" s="656" t="s">
        <v>498</v>
      </c>
      <c r="P4366" s="656" t="s">
        <v>13052</v>
      </c>
      <c r="Q4366" s="656">
        <v>44216.76394675926</v>
      </c>
    </row>
    <row r="4367" spans="1:17">
      <c r="A4367" s="656" t="s">
        <v>6152</v>
      </c>
      <c r="B4367" s="657"/>
      <c r="C4367" s="656" t="s">
        <v>6153</v>
      </c>
      <c r="D4367" s="657" t="s">
        <v>13789</v>
      </c>
      <c r="E4367" s="657"/>
      <c r="F4367" s="656"/>
      <c r="G4367" s="656" t="s">
        <v>4198</v>
      </c>
      <c r="H4367" s="656"/>
      <c r="I4367" s="656" t="s">
        <v>14976</v>
      </c>
      <c r="J4367" s="656"/>
      <c r="K4367" s="656"/>
      <c r="L4367" s="656"/>
      <c r="M4367" s="657"/>
      <c r="N4367" s="1482"/>
      <c r="O4367" s="656" t="s">
        <v>498</v>
      </c>
      <c r="P4367" s="656" t="s">
        <v>13052</v>
      </c>
      <c r="Q4367" s="656">
        <v>44216.763935185183</v>
      </c>
    </row>
    <row r="4368" spans="1:17">
      <c r="A4368" s="656" t="s">
        <v>13190</v>
      </c>
      <c r="B4368" s="657" t="s">
        <v>202</v>
      </c>
      <c r="C4368" s="656" t="s">
        <v>13191</v>
      </c>
      <c r="D4368" s="657" t="s">
        <v>13789</v>
      </c>
      <c r="E4368" s="657"/>
      <c r="F4368" s="656" t="s">
        <v>2849</v>
      </c>
      <c r="G4368" s="656" t="s">
        <v>4198</v>
      </c>
      <c r="H4368" s="656" t="s">
        <v>1338</v>
      </c>
      <c r="I4368" s="656" t="s">
        <v>14976</v>
      </c>
      <c r="J4368" s="656"/>
      <c r="K4368" s="656"/>
      <c r="L4368" s="656"/>
      <c r="M4368" s="657"/>
      <c r="N4368" s="1482"/>
      <c r="O4368" s="656" t="s">
        <v>498</v>
      </c>
      <c r="P4368" s="656" t="s">
        <v>13052</v>
      </c>
      <c r="Q4368" s="656">
        <v>44216.763935185183</v>
      </c>
    </row>
    <row r="4369" spans="1:17">
      <c r="A4369" s="656" t="s">
        <v>6154</v>
      </c>
      <c r="B4369" s="657" t="s">
        <v>202</v>
      </c>
      <c r="C4369" s="656" t="s">
        <v>6155</v>
      </c>
      <c r="D4369" s="657" t="s">
        <v>14977</v>
      </c>
      <c r="E4369" s="657"/>
      <c r="F4369" s="656" t="s">
        <v>1300</v>
      </c>
      <c r="G4369" s="656"/>
      <c r="H4369" s="656" t="s">
        <v>1300</v>
      </c>
      <c r="I4369" s="656" t="s">
        <v>14976</v>
      </c>
      <c r="J4369" s="656"/>
      <c r="K4369" s="656"/>
      <c r="L4369" s="656" t="s">
        <v>6154</v>
      </c>
      <c r="M4369" s="657"/>
      <c r="N4369" s="1482"/>
      <c r="O4369" s="656" t="s">
        <v>498</v>
      </c>
      <c r="P4369" s="656" t="s">
        <v>13052</v>
      </c>
      <c r="Q4369" s="656">
        <v>44216.763923611114</v>
      </c>
    </row>
    <row r="4370" spans="1:17">
      <c r="A4370" s="656" t="s">
        <v>6156</v>
      </c>
      <c r="B4370" s="657"/>
      <c r="C4370" s="656" t="s">
        <v>6157</v>
      </c>
      <c r="D4370" s="657" t="s">
        <v>13789</v>
      </c>
      <c r="E4370" s="657"/>
      <c r="F4370" s="656"/>
      <c r="G4370" s="656" t="s">
        <v>4198</v>
      </c>
      <c r="H4370" s="656"/>
      <c r="I4370" s="656" t="s">
        <v>14976</v>
      </c>
      <c r="J4370" s="656"/>
      <c r="K4370" s="656"/>
      <c r="L4370" s="656"/>
      <c r="M4370" s="657"/>
      <c r="N4370" s="1482"/>
      <c r="O4370" s="656" t="s">
        <v>498</v>
      </c>
      <c r="P4370" s="656" t="s">
        <v>13052</v>
      </c>
      <c r="Q4370" s="656">
        <v>44216.763923611114</v>
      </c>
    </row>
    <row r="4371" spans="1:17">
      <c r="A4371" s="656" t="s">
        <v>6158</v>
      </c>
      <c r="B4371" s="657"/>
      <c r="C4371" s="656" t="s">
        <v>6159</v>
      </c>
      <c r="D4371" s="657" t="s">
        <v>13789</v>
      </c>
      <c r="E4371" s="657"/>
      <c r="F4371" s="656"/>
      <c r="G4371" s="656" t="s">
        <v>4198</v>
      </c>
      <c r="H4371" s="656"/>
      <c r="I4371" s="656" t="s">
        <v>14976</v>
      </c>
      <c r="J4371" s="656"/>
      <c r="K4371" s="656"/>
      <c r="L4371" s="656"/>
      <c r="M4371" s="657"/>
      <c r="N4371" s="1482"/>
      <c r="O4371" s="656" t="s">
        <v>498</v>
      </c>
      <c r="P4371" s="656" t="s">
        <v>13052</v>
      </c>
      <c r="Q4371" s="656">
        <v>44216.763923611114</v>
      </c>
    </row>
    <row r="4372" spans="1:17">
      <c r="A4372" s="656" t="s">
        <v>6160</v>
      </c>
      <c r="B4372" s="657"/>
      <c r="C4372" s="656" t="s">
        <v>6161</v>
      </c>
      <c r="D4372" s="657" t="s">
        <v>14978</v>
      </c>
      <c r="E4372" s="657"/>
      <c r="F4372" s="656"/>
      <c r="G4372" s="656" t="s">
        <v>4198</v>
      </c>
      <c r="H4372" s="656"/>
      <c r="I4372" s="656" t="s">
        <v>14976</v>
      </c>
      <c r="J4372" s="656"/>
      <c r="K4372" s="656"/>
      <c r="L4372" s="656" t="s">
        <v>6164</v>
      </c>
      <c r="M4372" s="657"/>
      <c r="N4372" s="1482"/>
      <c r="O4372" s="656" t="s">
        <v>498</v>
      </c>
      <c r="P4372" s="656" t="s">
        <v>13052</v>
      </c>
      <c r="Q4372" s="656">
        <v>44216.763912037037</v>
      </c>
    </row>
    <row r="4373" spans="1:17">
      <c r="A4373" s="656" t="s">
        <v>6162</v>
      </c>
      <c r="B4373" s="657"/>
      <c r="C4373" s="656" t="s">
        <v>6163</v>
      </c>
      <c r="D4373" s="657" t="s">
        <v>14978</v>
      </c>
      <c r="E4373" s="657"/>
      <c r="F4373" s="656"/>
      <c r="G4373" s="656"/>
      <c r="H4373" s="656"/>
      <c r="I4373" s="656" t="s">
        <v>14976</v>
      </c>
      <c r="J4373" s="656"/>
      <c r="K4373" s="656"/>
      <c r="L4373" s="656" t="s">
        <v>6164</v>
      </c>
      <c r="M4373" s="657"/>
      <c r="N4373" s="1482"/>
      <c r="O4373" s="656" t="s">
        <v>498</v>
      </c>
      <c r="P4373" s="656" t="s">
        <v>13052</v>
      </c>
      <c r="Q4373" s="656">
        <v>44216.763912037037</v>
      </c>
    </row>
    <row r="4374" spans="1:17">
      <c r="A4374" s="656" t="s">
        <v>6164</v>
      </c>
      <c r="B4374" s="657" t="s">
        <v>202</v>
      </c>
      <c r="C4374" s="656" t="s">
        <v>6163</v>
      </c>
      <c r="D4374" s="657" t="s">
        <v>14977</v>
      </c>
      <c r="E4374" s="657"/>
      <c r="F4374" s="656" t="s">
        <v>1300</v>
      </c>
      <c r="G4374" s="656"/>
      <c r="H4374" s="656" t="s">
        <v>1300</v>
      </c>
      <c r="I4374" s="656" t="s">
        <v>14976</v>
      </c>
      <c r="J4374" s="656" t="s">
        <v>15285</v>
      </c>
      <c r="K4374" s="656"/>
      <c r="L4374" s="656" t="s">
        <v>6164</v>
      </c>
      <c r="M4374" s="657"/>
      <c r="N4374" s="1482"/>
      <c r="O4374" s="656" t="s">
        <v>498</v>
      </c>
      <c r="P4374" s="656" t="s">
        <v>13052</v>
      </c>
      <c r="Q4374" s="656">
        <v>44216.76390046296</v>
      </c>
    </row>
    <row r="4375" spans="1:17">
      <c r="A4375" s="656" t="s">
        <v>6165</v>
      </c>
      <c r="B4375" s="657"/>
      <c r="C4375" s="656" t="s">
        <v>6166</v>
      </c>
      <c r="D4375" s="657" t="s">
        <v>13789</v>
      </c>
      <c r="E4375" s="657"/>
      <c r="F4375" s="656"/>
      <c r="G4375" s="656" t="s">
        <v>5045</v>
      </c>
      <c r="H4375" s="656"/>
      <c r="I4375" s="656" t="s">
        <v>14976</v>
      </c>
      <c r="J4375" s="656"/>
      <c r="K4375" s="656"/>
      <c r="L4375" s="656"/>
      <c r="M4375" s="657"/>
      <c r="N4375" s="1482"/>
      <c r="O4375" s="656" t="s">
        <v>498</v>
      </c>
      <c r="P4375" s="656" t="s">
        <v>13052</v>
      </c>
      <c r="Q4375" s="656">
        <v>44216.76390046296</v>
      </c>
    </row>
    <row r="4376" spans="1:17">
      <c r="A4376" s="656" t="s">
        <v>6167</v>
      </c>
      <c r="B4376" s="657"/>
      <c r="C4376" s="656" t="s">
        <v>6168</v>
      </c>
      <c r="D4376" s="657" t="s">
        <v>14978</v>
      </c>
      <c r="E4376" s="657"/>
      <c r="F4376" s="656"/>
      <c r="G4376" s="656" t="s">
        <v>4198</v>
      </c>
      <c r="H4376" s="656"/>
      <c r="I4376" s="656" t="s">
        <v>14976</v>
      </c>
      <c r="J4376" s="656"/>
      <c r="K4376" s="656"/>
      <c r="L4376" s="656" t="s">
        <v>6179</v>
      </c>
      <c r="M4376" s="657"/>
      <c r="N4376" s="1482"/>
      <c r="O4376" s="656" t="s">
        <v>498</v>
      </c>
      <c r="P4376" s="656" t="s">
        <v>13052</v>
      </c>
      <c r="Q4376" s="656">
        <v>44216.763888888891</v>
      </c>
    </row>
    <row r="4377" spans="1:17">
      <c r="A4377" s="656" t="s">
        <v>6169</v>
      </c>
      <c r="B4377" s="657"/>
      <c r="C4377" s="656" t="s">
        <v>6170</v>
      </c>
      <c r="D4377" s="657" t="s">
        <v>14978</v>
      </c>
      <c r="E4377" s="657"/>
      <c r="F4377" s="656"/>
      <c r="G4377" s="656" t="s">
        <v>4198</v>
      </c>
      <c r="H4377" s="656"/>
      <c r="I4377" s="656" t="s">
        <v>14976</v>
      </c>
      <c r="J4377" s="656"/>
      <c r="K4377" s="656"/>
      <c r="L4377" s="656" t="s">
        <v>6179</v>
      </c>
      <c r="M4377" s="657"/>
      <c r="N4377" s="1482"/>
      <c r="O4377" s="656" t="s">
        <v>498</v>
      </c>
      <c r="P4377" s="656" t="s">
        <v>13052</v>
      </c>
      <c r="Q4377" s="656">
        <v>44216.763888888891</v>
      </c>
    </row>
    <row r="4378" spans="1:17">
      <c r="A4378" s="656" t="s">
        <v>6171</v>
      </c>
      <c r="B4378" s="657"/>
      <c r="C4378" s="656" t="s">
        <v>6172</v>
      </c>
      <c r="D4378" s="657" t="s">
        <v>14978</v>
      </c>
      <c r="E4378" s="657"/>
      <c r="F4378" s="656"/>
      <c r="G4378" s="656" t="s">
        <v>4198</v>
      </c>
      <c r="H4378" s="656"/>
      <c r="I4378" s="656" t="s">
        <v>14976</v>
      </c>
      <c r="J4378" s="656"/>
      <c r="K4378" s="656"/>
      <c r="L4378" s="656" t="s">
        <v>6179</v>
      </c>
      <c r="M4378" s="657"/>
      <c r="N4378" s="1482"/>
      <c r="O4378" s="656" t="s">
        <v>498</v>
      </c>
      <c r="P4378" s="656" t="s">
        <v>13052</v>
      </c>
      <c r="Q4378" s="656">
        <v>44216.763877314814</v>
      </c>
    </row>
    <row r="4379" spans="1:17">
      <c r="A4379" s="656" t="s">
        <v>6173</v>
      </c>
      <c r="B4379" s="657"/>
      <c r="C4379" s="656" t="s">
        <v>6174</v>
      </c>
      <c r="D4379" s="657" t="s">
        <v>14978</v>
      </c>
      <c r="E4379" s="657"/>
      <c r="F4379" s="656"/>
      <c r="G4379" s="656" t="s">
        <v>4198</v>
      </c>
      <c r="H4379" s="656"/>
      <c r="I4379" s="656" t="s">
        <v>14976</v>
      </c>
      <c r="J4379" s="656"/>
      <c r="K4379" s="656"/>
      <c r="L4379" s="656" t="s">
        <v>6179</v>
      </c>
      <c r="M4379" s="657"/>
      <c r="N4379" s="1482"/>
      <c r="O4379" s="656" t="s">
        <v>498</v>
      </c>
      <c r="P4379" s="656" t="s">
        <v>13052</v>
      </c>
      <c r="Q4379" s="656">
        <v>44216.763877314814</v>
      </c>
    </row>
    <row r="4380" spans="1:17">
      <c r="A4380" s="656" t="s">
        <v>6175</v>
      </c>
      <c r="B4380" s="657"/>
      <c r="C4380" s="656" t="s">
        <v>6176</v>
      </c>
      <c r="D4380" s="657" t="s">
        <v>14978</v>
      </c>
      <c r="E4380" s="657"/>
      <c r="F4380" s="656"/>
      <c r="G4380" s="656" t="s">
        <v>4198</v>
      </c>
      <c r="H4380" s="656"/>
      <c r="I4380" s="656" t="s">
        <v>14976</v>
      </c>
      <c r="J4380" s="656"/>
      <c r="K4380" s="656"/>
      <c r="L4380" s="656" t="s">
        <v>6179</v>
      </c>
      <c r="M4380" s="657"/>
      <c r="N4380" s="1482"/>
      <c r="O4380" s="656" t="s">
        <v>498</v>
      </c>
      <c r="P4380" s="656" t="s">
        <v>13052</v>
      </c>
      <c r="Q4380" s="656">
        <v>44216.763877314814</v>
      </c>
    </row>
    <row r="4381" spans="1:17">
      <c r="A4381" s="656" t="s">
        <v>6177</v>
      </c>
      <c r="B4381" s="657"/>
      <c r="C4381" s="656" t="s">
        <v>6178</v>
      </c>
      <c r="D4381" s="657" t="s">
        <v>14978</v>
      </c>
      <c r="E4381" s="657"/>
      <c r="F4381" s="656"/>
      <c r="G4381" s="656" t="s">
        <v>4198</v>
      </c>
      <c r="H4381" s="656"/>
      <c r="I4381" s="656" t="s">
        <v>14976</v>
      </c>
      <c r="J4381" s="656"/>
      <c r="K4381" s="656"/>
      <c r="L4381" s="656" t="s">
        <v>6179</v>
      </c>
      <c r="M4381" s="657"/>
      <c r="N4381" s="1482"/>
      <c r="O4381" s="656" t="s">
        <v>498</v>
      </c>
      <c r="P4381" s="656" t="s">
        <v>13052</v>
      </c>
      <c r="Q4381" s="656">
        <v>44216.763865740744</v>
      </c>
    </row>
    <row r="4382" spans="1:17">
      <c r="A4382" s="656" t="s">
        <v>6179</v>
      </c>
      <c r="B4382" s="657"/>
      <c r="C4382" s="656" t="s">
        <v>6180</v>
      </c>
      <c r="D4382" s="657" t="s">
        <v>13789</v>
      </c>
      <c r="E4382" s="657"/>
      <c r="F4382" s="656"/>
      <c r="G4382" s="656" t="s">
        <v>5045</v>
      </c>
      <c r="H4382" s="656"/>
      <c r="I4382" s="656" t="s">
        <v>14976</v>
      </c>
      <c r="J4382" s="656"/>
      <c r="K4382" s="656"/>
      <c r="L4382" s="656"/>
      <c r="M4382" s="657"/>
      <c r="N4382" s="1482"/>
      <c r="O4382" s="656" t="s">
        <v>498</v>
      </c>
      <c r="P4382" s="656" t="s">
        <v>13052</v>
      </c>
      <c r="Q4382" s="656">
        <v>44216.763865740744</v>
      </c>
    </row>
    <row r="4383" spans="1:17">
      <c r="A4383" s="656" t="s">
        <v>6181</v>
      </c>
      <c r="B4383" s="657"/>
      <c r="C4383" s="656" t="s">
        <v>6182</v>
      </c>
      <c r="D4383" s="657" t="s">
        <v>14977</v>
      </c>
      <c r="E4383" s="657"/>
      <c r="F4383" s="656" t="s">
        <v>1394</v>
      </c>
      <c r="G4383" s="656"/>
      <c r="H4383" s="656" t="s">
        <v>1394</v>
      </c>
      <c r="I4383" s="656" t="s">
        <v>14976</v>
      </c>
      <c r="J4383" s="656"/>
      <c r="K4383" s="656"/>
      <c r="L4383" s="656" t="s">
        <v>6181</v>
      </c>
      <c r="M4383" s="657"/>
      <c r="N4383" s="1482"/>
      <c r="O4383" s="656" t="s">
        <v>498</v>
      </c>
      <c r="P4383" s="656" t="s">
        <v>13052</v>
      </c>
      <c r="Q4383" s="656">
        <v>44216.763854166667</v>
      </c>
    </row>
    <row r="4384" spans="1:17">
      <c r="A4384" s="656" t="s">
        <v>6183</v>
      </c>
      <c r="B4384" s="657"/>
      <c r="C4384" s="656" t="s">
        <v>6184</v>
      </c>
      <c r="D4384" s="657" t="s">
        <v>13789</v>
      </c>
      <c r="E4384" s="657"/>
      <c r="F4384" s="656"/>
      <c r="G4384" s="656" t="s">
        <v>5045</v>
      </c>
      <c r="H4384" s="656"/>
      <c r="I4384" s="656" t="s">
        <v>14976</v>
      </c>
      <c r="J4384" s="656"/>
      <c r="K4384" s="656"/>
      <c r="L4384" s="656"/>
      <c r="M4384" s="657"/>
      <c r="N4384" s="1482"/>
      <c r="O4384" s="656" t="s">
        <v>498</v>
      </c>
      <c r="P4384" s="656" t="s">
        <v>13052</v>
      </c>
      <c r="Q4384" s="656">
        <v>44216.763854166667</v>
      </c>
    </row>
    <row r="4385" spans="1:17">
      <c r="A4385" s="656" t="s">
        <v>6185</v>
      </c>
      <c r="B4385" s="657"/>
      <c r="C4385" s="656" t="s">
        <v>6186</v>
      </c>
      <c r="D4385" s="657" t="s">
        <v>13789</v>
      </c>
      <c r="E4385" s="657"/>
      <c r="F4385" s="656"/>
      <c r="G4385" s="656" t="s">
        <v>4198</v>
      </c>
      <c r="H4385" s="656"/>
      <c r="I4385" s="656" t="s">
        <v>14976</v>
      </c>
      <c r="J4385" s="656"/>
      <c r="K4385" s="656"/>
      <c r="L4385" s="656"/>
      <c r="M4385" s="657"/>
      <c r="N4385" s="1482"/>
      <c r="O4385" s="656" t="s">
        <v>498</v>
      </c>
      <c r="P4385" s="656" t="s">
        <v>13052</v>
      </c>
      <c r="Q4385" s="656">
        <v>44216.763842592591</v>
      </c>
    </row>
    <row r="4386" spans="1:17">
      <c r="A4386" s="656" t="s">
        <v>6187</v>
      </c>
      <c r="B4386" s="657" t="s">
        <v>531</v>
      </c>
      <c r="C4386" s="656" t="s">
        <v>6188</v>
      </c>
      <c r="D4386" s="657" t="s">
        <v>14977</v>
      </c>
      <c r="E4386" s="657"/>
      <c r="F4386" s="656" t="s">
        <v>1394</v>
      </c>
      <c r="G4386" s="656" t="s">
        <v>717</v>
      </c>
      <c r="H4386" s="656" t="s">
        <v>1394</v>
      </c>
      <c r="I4386" s="656" t="s">
        <v>14976</v>
      </c>
      <c r="J4386" s="656" t="s">
        <v>15285</v>
      </c>
      <c r="K4386" s="656"/>
      <c r="L4386" s="656" t="s">
        <v>6187</v>
      </c>
      <c r="M4386" s="657"/>
      <c r="N4386" s="1482"/>
      <c r="O4386" s="656" t="s">
        <v>498</v>
      </c>
      <c r="P4386" s="656" t="s">
        <v>13052</v>
      </c>
      <c r="Q4386" s="656">
        <v>44216.763842592591</v>
      </c>
    </row>
    <row r="4387" spans="1:17">
      <c r="A4387" s="656" t="s">
        <v>6189</v>
      </c>
      <c r="B4387" s="657" t="s">
        <v>531</v>
      </c>
      <c r="C4387" s="656" t="s">
        <v>6190</v>
      </c>
      <c r="D4387" s="657" t="s">
        <v>14977</v>
      </c>
      <c r="E4387" s="657"/>
      <c r="F4387" s="656" t="s">
        <v>1394</v>
      </c>
      <c r="G4387" s="656"/>
      <c r="H4387" s="656" t="s">
        <v>1394</v>
      </c>
      <c r="I4387" s="656" t="s">
        <v>14976</v>
      </c>
      <c r="J4387" s="656" t="s">
        <v>532</v>
      </c>
      <c r="K4387" s="656"/>
      <c r="L4387" s="656" t="s">
        <v>6189</v>
      </c>
      <c r="M4387" s="657"/>
      <c r="N4387" s="1482"/>
      <c r="O4387" s="656" t="s">
        <v>498</v>
      </c>
      <c r="P4387" s="656" t="s">
        <v>13052</v>
      </c>
      <c r="Q4387" s="656">
        <v>44216.763831018521</v>
      </c>
    </row>
    <row r="4388" spans="1:17">
      <c r="A4388" s="656" t="s">
        <v>6191</v>
      </c>
      <c r="B4388" s="657"/>
      <c r="C4388" s="656" t="s">
        <v>6192</v>
      </c>
      <c r="D4388" s="657" t="s">
        <v>13789</v>
      </c>
      <c r="E4388" s="657"/>
      <c r="F4388" s="656"/>
      <c r="G4388" s="656" t="s">
        <v>5103</v>
      </c>
      <c r="H4388" s="656"/>
      <c r="I4388" s="656" t="s">
        <v>14976</v>
      </c>
      <c r="J4388" s="656"/>
      <c r="K4388" s="656"/>
      <c r="L4388" s="656"/>
      <c r="M4388" s="657"/>
      <c r="N4388" s="1482"/>
      <c r="O4388" s="656" t="s">
        <v>498</v>
      </c>
      <c r="P4388" s="656" t="s">
        <v>13052</v>
      </c>
      <c r="Q4388" s="656">
        <v>44216.763831018521</v>
      </c>
    </row>
    <row r="4389" spans="1:17">
      <c r="A4389" s="656" t="s">
        <v>6193</v>
      </c>
      <c r="B4389" s="657" t="s">
        <v>202</v>
      </c>
      <c r="C4389" s="656" t="s">
        <v>6194</v>
      </c>
      <c r="D4389" s="657" t="s">
        <v>14977</v>
      </c>
      <c r="E4389" s="657"/>
      <c r="F4389" s="656" t="s">
        <v>655</v>
      </c>
      <c r="G4389" s="656" t="s">
        <v>1078</v>
      </c>
      <c r="H4389" s="656" t="s">
        <v>655</v>
      </c>
      <c r="I4389" s="656" t="s">
        <v>14976</v>
      </c>
      <c r="J4389" s="656" t="s">
        <v>15281</v>
      </c>
      <c r="K4389" s="656"/>
      <c r="L4389" s="656" t="s">
        <v>6193</v>
      </c>
      <c r="M4389" s="657"/>
      <c r="N4389" s="1482"/>
      <c r="O4389" s="656" t="s">
        <v>498</v>
      </c>
      <c r="P4389" s="656" t="s">
        <v>13052</v>
      </c>
      <c r="Q4389" s="656">
        <v>44216.763819444444</v>
      </c>
    </row>
    <row r="4390" spans="1:17">
      <c r="A4390" s="656" t="s">
        <v>6195</v>
      </c>
      <c r="B4390" s="657"/>
      <c r="C4390" s="656" t="s">
        <v>6196</v>
      </c>
      <c r="D4390" s="657" t="s">
        <v>13789</v>
      </c>
      <c r="E4390" s="657"/>
      <c r="F4390" s="656"/>
      <c r="G4390" s="656" t="s">
        <v>5103</v>
      </c>
      <c r="H4390" s="656"/>
      <c r="I4390" s="656" t="s">
        <v>14976</v>
      </c>
      <c r="J4390" s="656"/>
      <c r="K4390" s="656"/>
      <c r="L4390" s="656"/>
      <c r="M4390" s="657"/>
      <c r="N4390" s="1482"/>
      <c r="O4390" s="656" t="s">
        <v>498</v>
      </c>
      <c r="P4390" s="656" t="s">
        <v>13052</v>
      </c>
      <c r="Q4390" s="656">
        <v>44216.763819444444</v>
      </c>
    </row>
    <row r="4391" spans="1:17">
      <c r="A4391" s="656" t="s">
        <v>6197</v>
      </c>
      <c r="B4391" s="657"/>
      <c r="C4391" s="656" t="s">
        <v>6198</v>
      </c>
      <c r="D4391" s="657" t="s">
        <v>13789</v>
      </c>
      <c r="E4391" s="657"/>
      <c r="F4391" s="656"/>
      <c r="G4391" s="656" t="s">
        <v>5103</v>
      </c>
      <c r="H4391" s="656"/>
      <c r="I4391" s="656" t="s">
        <v>14976</v>
      </c>
      <c r="J4391" s="656"/>
      <c r="K4391" s="656"/>
      <c r="L4391" s="656"/>
      <c r="M4391" s="657"/>
      <c r="N4391" s="1482"/>
      <c r="O4391" s="656" t="s">
        <v>498</v>
      </c>
      <c r="P4391" s="656" t="s">
        <v>13052</v>
      </c>
      <c r="Q4391" s="656">
        <v>44216.763807870368</v>
      </c>
    </row>
    <row r="4392" spans="1:17">
      <c r="A4392" s="656" t="s">
        <v>6199</v>
      </c>
      <c r="B4392" s="657"/>
      <c r="C4392" s="656" t="s">
        <v>6200</v>
      </c>
      <c r="D4392" s="657" t="s">
        <v>13789</v>
      </c>
      <c r="E4392" s="657"/>
      <c r="F4392" s="656"/>
      <c r="G4392" s="656" t="s">
        <v>5103</v>
      </c>
      <c r="H4392" s="656"/>
      <c r="I4392" s="656" t="s">
        <v>14976</v>
      </c>
      <c r="J4392" s="656"/>
      <c r="K4392" s="656"/>
      <c r="L4392" s="656"/>
      <c r="M4392" s="657"/>
      <c r="N4392" s="1482"/>
      <c r="O4392" s="656" t="s">
        <v>498</v>
      </c>
      <c r="P4392" s="656" t="s">
        <v>13052</v>
      </c>
      <c r="Q4392" s="656">
        <v>44216.763807870368</v>
      </c>
    </row>
    <row r="4393" spans="1:17">
      <c r="A4393" s="656" t="s">
        <v>6201</v>
      </c>
      <c r="B4393" s="657"/>
      <c r="C4393" s="656" t="s">
        <v>6202</v>
      </c>
      <c r="D4393" s="657" t="s">
        <v>13789</v>
      </c>
      <c r="E4393" s="657"/>
      <c r="F4393" s="656"/>
      <c r="G4393" s="656" t="s">
        <v>5103</v>
      </c>
      <c r="H4393" s="656"/>
      <c r="I4393" s="656" t="s">
        <v>14976</v>
      </c>
      <c r="J4393" s="656"/>
      <c r="K4393" s="656"/>
      <c r="L4393" s="656"/>
      <c r="M4393" s="657"/>
      <c r="N4393" s="1482"/>
      <c r="O4393" s="656" t="s">
        <v>498</v>
      </c>
      <c r="P4393" s="656" t="s">
        <v>13052</v>
      </c>
      <c r="Q4393" s="656">
        <v>44216.763796296298</v>
      </c>
    </row>
    <row r="4394" spans="1:17">
      <c r="A4394" s="656" t="s">
        <v>6203</v>
      </c>
      <c r="B4394" s="657"/>
      <c r="C4394" s="656" t="s">
        <v>6204</v>
      </c>
      <c r="D4394" s="657" t="s">
        <v>14978</v>
      </c>
      <c r="E4394" s="657"/>
      <c r="F4394" s="656"/>
      <c r="G4394" s="656" t="s">
        <v>5103</v>
      </c>
      <c r="H4394" s="656"/>
      <c r="I4394" s="656" t="s">
        <v>14976</v>
      </c>
      <c r="J4394" s="656"/>
      <c r="K4394" s="656"/>
      <c r="L4394" s="656" t="s">
        <v>6207</v>
      </c>
      <c r="M4394" s="657"/>
      <c r="N4394" s="1482"/>
      <c r="O4394" s="656" t="s">
        <v>498</v>
      </c>
      <c r="P4394" s="656" t="s">
        <v>13052</v>
      </c>
      <c r="Q4394" s="656">
        <v>44216.763796296298</v>
      </c>
    </row>
    <row r="4395" spans="1:17">
      <c r="A4395" s="656" t="s">
        <v>6205</v>
      </c>
      <c r="B4395" s="657"/>
      <c r="C4395" s="656" t="s">
        <v>6206</v>
      </c>
      <c r="D4395" s="657" t="s">
        <v>14978</v>
      </c>
      <c r="E4395" s="657"/>
      <c r="F4395" s="656"/>
      <c r="G4395" s="656" t="s">
        <v>5103</v>
      </c>
      <c r="H4395" s="656"/>
      <c r="I4395" s="656" t="s">
        <v>14976</v>
      </c>
      <c r="J4395" s="656"/>
      <c r="K4395" s="656"/>
      <c r="L4395" s="656" t="s">
        <v>6207</v>
      </c>
      <c r="M4395" s="657"/>
      <c r="N4395" s="1482"/>
      <c r="O4395" s="656" t="s">
        <v>498</v>
      </c>
      <c r="P4395" s="656" t="s">
        <v>13052</v>
      </c>
      <c r="Q4395" s="656">
        <v>44216.763784722221</v>
      </c>
    </row>
    <row r="4396" spans="1:17">
      <c r="A4396" s="656" t="s">
        <v>6207</v>
      </c>
      <c r="B4396" s="657" t="s">
        <v>531</v>
      </c>
      <c r="C4396" s="656" t="s">
        <v>6208</v>
      </c>
      <c r="D4396" s="657" t="s">
        <v>14977</v>
      </c>
      <c r="E4396" s="657"/>
      <c r="F4396" s="656" t="s">
        <v>472</v>
      </c>
      <c r="G4396" s="656" t="s">
        <v>1395</v>
      </c>
      <c r="H4396" s="656" t="s">
        <v>472</v>
      </c>
      <c r="I4396" s="656" t="s">
        <v>14976</v>
      </c>
      <c r="J4396" s="656" t="s">
        <v>12368</v>
      </c>
      <c r="K4396" s="656"/>
      <c r="L4396" s="656"/>
      <c r="M4396" s="657"/>
      <c r="N4396" s="1482"/>
      <c r="O4396" s="656" t="s">
        <v>498</v>
      </c>
      <c r="P4396" s="656" t="s">
        <v>13052</v>
      </c>
      <c r="Q4396" s="656">
        <v>44216.763784722221</v>
      </c>
    </row>
    <row r="4397" spans="1:17">
      <c r="A4397" s="656" t="s">
        <v>6209</v>
      </c>
      <c r="B4397" s="657"/>
      <c r="C4397" s="656" t="s">
        <v>6210</v>
      </c>
      <c r="D4397" s="657" t="s">
        <v>13789</v>
      </c>
      <c r="E4397" s="657"/>
      <c r="F4397" s="656"/>
      <c r="G4397" s="656" t="s">
        <v>5103</v>
      </c>
      <c r="H4397" s="656"/>
      <c r="I4397" s="656" t="s">
        <v>14976</v>
      </c>
      <c r="J4397" s="656"/>
      <c r="K4397" s="656"/>
      <c r="L4397" s="656"/>
      <c r="M4397" s="657"/>
      <c r="N4397" s="1482"/>
      <c r="O4397" s="656" t="s">
        <v>498</v>
      </c>
      <c r="P4397" s="656" t="s">
        <v>13052</v>
      </c>
      <c r="Q4397" s="656">
        <v>44216.763773148145</v>
      </c>
    </row>
    <row r="4398" spans="1:17">
      <c r="A4398" s="656" t="s">
        <v>6211</v>
      </c>
      <c r="B4398" s="657"/>
      <c r="C4398" s="656" t="s">
        <v>6212</v>
      </c>
      <c r="D4398" s="657" t="s">
        <v>14978</v>
      </c>
      <c r="E4398" s="657"/>
      <c r="F4398" s="656"/>
      <c r="G4398" s="656" t="s">
        <v>5103</v>
      </c>
      <c r="H4398" s="656"/>
      <c r="I4398" s="656" t="s">
        <v>14976</v>
      </c>
      <c r="J4398" s="656"/>
      <c r="K4398" s="656"/>
      <c r="L4398" s="656" t="s">
        <v>6213</v>
      </c>
      <c r="M4398" s="657"/>
      <c r="N4398" s="1482"/>
      <c r="O4398" s="656" t="s">
        <v>498</v>
      </c>
      <c r="P4398" s="656" t="s">
        <v>13052</v>
      </c>
      <c r="Q4398" s="656">
        <v>44216.763773148145</v>
      </c>
    </row>
    <row r="4399" spans="1:17">
      <c r="A4399" s="656" t="s">
        <v>6213</v>
      </c>
      <c r="B4399" s="657"/>
      <c r="C4399" s="656" t="s">
        <v>6214</v>
      </c>
      <c r="D4399" s="657" t="s">
        <v>13789</v>
      </c>
      <c r="E4399" s="657"/>
      <c r="F4399" s="656"/>
      <c r="G4399" s="656" t="s">
        <v>5103</v>
      </c>
      <c r="H4399" s="656"/>
      <c r="I4399" s="656" t="s">
        <v>14976</v>
      </c>
      <c r="J4399" s="656"/>
      <c r="K4399" s="656"/>
      <c r="L4399" s="656"/>
      <c r="M4399" s="657"/>
      <c r="N4399" s="1482"/>
      <c r="O4399" s="656" t="s">
        <v>498</v>
      </c>
      <c r="P4399" s="656" t="s">
        <v>13052</v>
      </c>
      <c r="Q4399" s="656">
        <v>44216.763773148145</v>
      </c>
    </row>
    <row r="4400" spans="1:17">
      <c r="A4400" s="656" t="s">
        <v>6215</v>
      </c>
      <c r="B4400" s="657"/>
      <c r="C4400" s="656" t="s">
        <v>6216</v>
      </c>
      <c r="D4400" s="657" t="s">
        <v>13789</v>
      </c>
      <c r="E4400" s="657"/>
      <c r="F4400" s="656"/>
      <c r="G4400" s="656" t="s">
        <v>5103</v>
      </c>
      <c r="H4400" s="656"/>
      <c r="I4400" s="656" t="s">
        <v>14976</v>
      </c>
      <c r="J4400" s="656"/>
      <c r="K4400" s="656"/>
      <c r="L4400" s="656"/>
      <c r="M4400" s="657"/>
      <c r="N4400" s="1482"/>
      <c r="O4400" s="656" t="s">
        <v>498</v>
      </c>
      <c r="P4400" s="656" t="s">
        <v>13052</v>
      </c>
      <c r="Q4400" s="656">
        <v>44216.763761574075</v>
      </c>
    </row>
    <row r="4401" spans="1:17">
      <c r="A4401" s="656" t="s">
        <v>6217</v>
      </c>
      <c r="B4401" s="657"/>
      <c r="C4401" s="656" t="s">
        <v>6218</v>
      </c>
      <c r="D4401" s="657" t="s">
        <v>1239</v>
      </c>
      <c r="E4401" s="657"/>
      <c r="F4401" s="656"/>
      <c r="G4401" s="656"/>
      <c r="H4401" s="656"/>
      <c r="I4401" s="656" t="s">
        <v>14976</v>
      </c>
      <c r="J4401" s="656"/>
      <c r="K4401" s="656"/>
      <c r="L4401" s="656" t="s">
        <v>6223</v>
      </c>
      <c r="M4401" s="657"/>
      <c r="N4401" s="1482"/>
      <c r="O4401" s="656" t="s">
        <v>498</v>
      </c>
      <c r="P4401" s="656" t="s">
        <v>13052</v>
      </c>
      <c r="Q4401" s="656">
        <v>44216.763749999998</v>
      </c>
    </row>
    <row r="4402" spans="1:17">
      <c r="A4402" s="656" t="s">
        <v>6219</v>
      </c>
      <c r="B4402" s="657"/>
      <c r="C4402" s="656" t="s">
        <v>6220</v>
      </c>
      <c r="D4402" s="657" t="s">
        <v>1239</v>
      </c>
      <c r="E4402" s="657"/>
      <c r="F4402" s="656"/>
      <c r="G4402" s="656"/>
      <c r="H4402" s="656"/>
      <c r="I4402" s="656" t="s">
        <v>14976</v>
      </c>
      <c r="J4402" s="656"/>
      <c r="K4402" s="656"/>
      <c r="L4402" s="656" t="s">
        <v>6223</v>
      </c>
      <c r="M4402" s="657"/>
      <c r="N4402" s="1482"/>
      <c r="O4402" s="656" t="s">
        <v>498</v>
      </c>
      <c r="P4402" s="656" t="s">
        <v>13052</v>
      </c>
      <c r="Q4402" s="656">
        <v>44216.763749999998</v>
      </c>
    </row>
    <row r="4403" spans="1:17">
      <c r="A4403" s="656" t="s">
        <v>6221</v>
      </c>
      <c r="B4403" s="657"/>
      <c r="C4403" s="656" t="s">
        <v>6222</v>
      </c>
      <c r="D4403" s="657" t="s">
        <v>1239</v>
      </c>
      <c r="E4403" s="657"/>
      <c r="F4403" s="656"/>
      <c r="G4403" s="656"/>
      <c r="H4403" s="656"/>
      <c r="I4403" s="656" t="s">
        <v>14976</v>
      </c>
      <c r="J4403" s="656"/>
      <c r="K4403" s="656"/>
      <c r="L4403" s="656" t="s">
        <v>6223</v>
      </c>
      <c r="M4403" s="657"/>
      <c r="N4403" s="1482"/>
      <c r="O4403" s="656" t="s">
        <v>498</v>
      </c>
      <c r="P4403" s="656" t="s">
        <v>13052</v>
      </c>
      <c r="Q4403" s="656">
        <v>44216.763749999998</v>
      </c>
    </row>
    <row r="4404" spans="1:17">
      <c r="A4404" s="656" t="s">
        <v>6223</v>
      </c>
      <c r="B4404" s="657" t="s">
        <v>202</v>
      </c>
      <c r="C4404" s="656" t="s">
        <v>6224</v>
      </c>
      <c r="D4404" s="657" t="s">
        <v>1239</v>
      </c>
      <c r="E4404" s="657"/>
      <c r="F4404" s="656" t="s">
        <v>1394</v>
      </c>
      <c r="G4404" s="656"/>
      <c r="H4404" s="656" t="s">
        <v>1394</v>
      </c>
      <c r="I4404" s="656" t="s">
        <v>14976</v>
      </c>
      <c r="J4404" s="656" t="s">
        <v>532</v>
      </c>
      <c r="K4404" s="656"/>
      <c r="L4404" s="656"/>
      <c r="M4404" s="657"/>
      <c r="N4404" s="1482"/>
      <c r="O4404" s="656" t="s">
        <v>498</v>
      </c>
      <c r="P4404" s="656" t="s">
        <v>13052</v>
      </c>
      <c r="Q4404" s="656">
        <v>44216.763749999998</v>
      </c>
    </row>
    <row r="4405" spans="1:17">
      <c r="A4405" s="656" t="s">
        <v>6225</v>
      </c>
      <c r="B4405" s="657"/>
      <c r="C4405" s="656" t="s">
        <v>6226</v>
      </c>
      <c r="D4405" s="657" t="s">
        <v>13789</v>
      </c>
      <c r="E4405" s="657"/>
      <c r="F4405" s="656"/>
      <c r="G4405" s="656" t="s">
        <v>5103</v>
      </c>
      <c r="H4405" s="656"/>
      <c r="I4405" s="656" t="s">
        <v>14976</v>
      </c>
      <c r="J4405" s="656"/>
      <c r="K4405" s="656"/>
      <c r="L4405" s="656"/>
      <c r="M4405" s="657"/>
      <c r="N4405" s="1482"/>
      <c r="O4405" s="656" t="s">
        <v>498</v>
      </c>
      <c r="P4405" s="656" t="s">
        <v>13052</v>
      </c>
      <c r="Q4405" s="656">
        <v>44216.763726851852</v>
      </c>
    </row>
    <row r="4406" spans="1:17">
      <c r="A4406" s="656" t="s">
        <v>6227</v>
      </c>
      <c r="B4406" s="657"/>
      <c r="C4406" s="656" t="s">
        <v>6228</v>
      </c>
      <c r="D4406" s="657" t="s">
        <v>13789</v>
      </c>
      <c r="E4406" s="657"/>
      <c r="F4406" s="656"/>
      <c r="G4406" s="656" t="s">
        <v>5103</v>
      </c>
      <c r="H4406" s="656"/>
      <c r="I4406" s="656" t="s">
        <v>14976</v>
      </c>
      <c r="J4406" s="656"/>
      <c r="K4406" s="656"/>
      <c r="L4406" s="656"/>
      <c r="M4406" s="657"/>
      <c r="N4406" s="1482"/>
      <c r="O4406" s="656" t="s">
        <v>498</v>
      </c>
      <c r="P4406" s="656" t="s">
        <v>13052</v>
      </c>
      <c r="Q4406" s="656">
        <v>44216.763738425929</v>
      </c>
    </row>
    <row r="4407" spans="1:17">
      <c r="A4407" s="656" t="s">
        <v>6229</v>
      </c>
      <c r="B4407" s="657" t="s">
        <v>531</v>
      </c>
      <c r="C4407" s="656" t="s">
        <v>6230</v>
      </c>
      <c r="D4407" s="657" t="s">
        <v>14977</v>
      </c>
      <c r="E4407" s="657"/>
      <c r="F4407" s="656" t="s">
        <v>472</v>
      </c>
      <c r="G4407" s="656" t="s">
        <v>1395</v>
      </c>
      <c r="H4407" s="656" t="s">
        <v>472</v>
      </c>
      <c r="I4407" s="656" t="s">
        <v>14976</v>
      </c>
      <c r="J4407" s="656" t="s">
        <v>12368</v>
      </c>
      <c r="K4407" s="656"/>
      <c r="L4407" s="656"/>
      <c r="M4407" s="657"/>
      <c r="N4407" s="1482"/>
      <c r="O4407" s="656" t="s">
        <v>498</v>
      </c>
      <c r="P4407" s="656" t="s">
        <v>13052</v>
      </c>
      <c r="Q4407" s="656">
        <v>44216.763726851852</v>
      </c>
    </row>
    <row r="4408" spans="1:17">
      <c r="A4408" s="656" t="s">
        <v>6231</v>
      </c>
      <c r="B4408" s="657"/>
      <c r="C4408" s="656" t="s">
        <v>6232</v>
      </c>
      <c r="D4408" s="657" t="s">
        <v>13789</v>
      </c>
      <c r="E4408" s="657"/>
      <c r="F4408" s="656"/>
      <c r="G4408" s="656" t="s">
        <v>5103</v>
      </c>
      <c r="H4408" s="656"/>
      <c r="I4408" s="656" t="s">
        <v>14976</v>
      </c>
      <c r="J4408" s="656"/>
      <c r="K4408" s="656"/>
      <c r="L4408" s="656"/>
      <c r="M4408" s="657"/>
      <c r="N4408" s="1482"/>
      <c r="O4408" s="656" t="s">
        <v>498</v>
      </c>
      <c r="P4408" s="656" t="s">
        <v>13052</v>
      </c>
      <c r="Q4408" s="656">
        <v>44216.763715277775</v>
      </c>
    </row>
    <row r="4409" spans="1:17">
      <c r="A4409" s="656" t="s">
        <v>13188</v>
      </c>
      <c r="B4409" s="657" t="s">
        <v>202</v>
      </c>
      <c r="C4409" s="656" t="s">
        <v>13189</v>
      </c>
      <c r="D4409" s="657" t="s">
        <v>14977</v>
      </c>
      <c r="E4409" s="657"/>
      <c r="F4409" s="656" t="s">
        <v>783</v>
      </c>
      <c r="G4409" s="656" t="s">
        <v>4066</v>
      </c>
      <c r="H4409" s="656" t="s">
        <v>783</v>
      </c>
      <c r="I4409" s="656" t="s">
        <v>14976</v>
      </c>
      <c r="J4409" s="656" t="s">
        <v>15282</v>
      </c>
      <c r="K4409" s="656"/>
      <c r="L4409" s="656" t="s">
        <v>13188</v>
      </c>
      <c r="M4409" s="657"/>
      <c r="N4409" s="1482"/>
      <c r="O4409" s="656" t="s">
        <v>498</v>
      </c>
      <c r="P4409" s="656" t="s">
        <v>13052</v>
      </c>
      <c r="Q4409" s="656">
        <v>44216.763715277775</v>
      </c>
    </row>
    <row r="4410" spans="1:17">
      <c r="A4410" s="656" t="s">
        <v>6233</v>
      </c>
      <c r="B4410" s="657" t="s">
        <v>504</v>
      </c>
      <c r="C4410" s="656" t="s">
        <v>6234</v>
      </c>
      <c r="D4410" s="657"/>
      <c r="E4410" s="657"/>
      <c r="F4410" s="656"/>
      <c r="G4410" s="656" t="s">
        <v>5103</v>
      </c>
      <c r="H4410" s="656"/>
      <c r="I4410" s="656"/>
      <c r="J4410" s="656"/>
      <c r="K4410" s="656"/>
      <c r="L4410" s="656"/>
      <c r="M4410" s="657"/>
      <c r="N4410" s="1482"/>
      <c r="O4410" s="656" t="s">
        <v>498</v>
      </c>
      <c r="P4410" s="656" t="s">
        <v>13052</v>
      </c>
      <c r="Q4410" s="656">
        <v>44216.763703703706</v>
      </c>
    </row>
    <row r="4411" spans="1:17">
      <c r="A4411" s="656" t="s">
        <v>6235</v>
      </c>
      <c r="B4411" s="657"/>
      <c r="C4411" s="656" t="s">
        <v>6236</v>
      </c>
      <c r="D4411" s="657" t="s">
        <v>13789</v>
      </c>
      <c r="E4411" s="657"/>
      <c r="F4411" s="656"/>
      <c r="G4411" s="656" t="s">
        <v>5103</v>
      </c>
      <c r="H4411" s="656"/>
      <c r="I4411" s="656" t="s">
        <v>14976</v>
      </c>
      <c r="J4411" s="656"/>
      <c r="K4411" s="656"/>
      <c r="L4411" s="656"/>
      <c r="M4411" s="657"/>
      <c r="N4411" s="1482"/>
      <c r="O4411" s="656" t="s">
        <v>498</v>
      </c>
      <c r="P4411" s="656" t="s">
        <v>13052</v>
      </c>
      <c r="Q4411" s="656">
        <v>44216.763703703706</v>
      </c>
    </row>
    <row r="4412" spans="1:17">
      <c r="A4412" s="656" t="s">
        <v>6237</v>
      </c>
      <c r="B4412" s="657"/>
      <c r="C4412" s="656" t="s">
        <v>6238</v>
      </c>
      <c r="D4412" s="657" t="s">
        <v>13789</v>
      </c>
      <c r="E4412" s="657"/>
      <c r="F4412" s="656"/>
      <c r="G4412" s="656" t="s">
        <v>5103</v>
      </c>
      <c r="H4412" s="656"/>
      <c r="I4412" s="656" t="s">
        <v>14976</v>
      </c>
      <c r="J4412" s="656"/>
      <c r="K4412" s="656"/>
      <c r="L4412" s="656"/>
      <c r="M4412" s="657"/>
      <c r="N4412" s="1482"/>
      <c r="O4412" s="656" t="s">
        <v>498</v>
      </c>
      <c r="P4412" s="656" t="s">
        <v>13052</v>
      </c>
      <c r="Q4412" s="656">
        <v>44216.763703703706</v>
      </c>
    </row>
    <row r="4413" spans="1:17">
      <c r="A4413" s="656" t="s">
        <v>6239</v>
      </c>
      <c r="B4413" s="657"/>
      <c r="C4413" s="656" t="s">
        <v>6240</v>
      </c>
      <c r="D4413" s="657" t="s">
        <v>13789</v>
      </c>
      <c r="E4413" s="657"/>
      <c r="F4413" s="656"/>
      <c r="G4413" s="656" t="s">
        <v>5103</v>
      </c>
      <c r="H4413" s="656"/>
      <c r="I4413" s="656" t="s">
        <v>14976</v>
      </c>
      <c r="J4413" s="656"/>
      <c r="K4413" s="656"/>
      <c r="L4413" s="656"/>
      <c r="M4413" s="657"/>
      <c r="N4413" s="1482"/>
      <c r="O4413" s="656" t="s">
        <v>498</v>
      </c>
      <c r="P4413" s="656" t="s">
        <v>13052</v>
      </c>
      <c r="Q4413" s="656">
        <v>44216.763692129629</v>
      </c>
    </row>
    <row r="4414" spans="1:17">
      <c r="A4414" s="656" t="s">
        <v>6241</v>
      </c>
      <c r="B4414" s="657"/>
      <c r="C4414" s="656" t="s">
        <v>6242</v>
      </c>
      <c r="D4414" s="657" t="s">
        <v>13789</v>
      </c>
      <c r="E4414" s="657"/>
      <c r="F4414" s="656"/>
      <c r="G4414" s="656" t="s">
        <v>5103</v>
      </c>
      <c r="H4414" s="656"/>
      <c r="I4414" s="656" t="s">
        <v>14976</v>
      </c>
      <c r="J4414" s="656"/>
      <c r="K4414" s="656"/>
      <c r="L4414" s="656"/>
      <c r="M4414" s="657"/>
      <c r="N4414" s="1482"/>
      <c r="O4414" s="656" t="s">
        <v>498</v>
      </c>
      <c r="P4414" s="656" t="s">
        <v>13052</v>
      </c>
      <c r="Q4414" s="656">
        <v>44216.763692129629</v>
      </c>
    </row>
    <row r="4415" spans="1:17">
      <c r="A4415" s="656" t="s">
        <v>6243</v>
      </c>
      <c r="B4415" s="657"/>
      <c r="C4415" s="656" t="s">
        <v>6244</v>
      </c>
      <c r="D4415" s="657" t="s">
        <v>13789</v>
      </c>
      <c r="E4415" s="657"/>
      <c r="F4415" s="656"/>
      <c r="G4415" s="656" t="s">
        <v>5103</v>
      </c>
      <c r="H4415" s="656"/>
      <c r="I4415" s="656" t="s">
        <v>14976</v>
      </c>
      <c r="J4415" s="656"/>
      <c r="K4415" s="656"/>
      <c r="L4415" s="656"/>
      <c r="M4415" s="657"/>
      <c r="N4415" s="1482"/>
      <c r="O4415" s="656" t="s">
        <v>498</v>
      </c>
      <c r="P4415" s="656" t="s">
        <v>13052</v>
      </c>
      <c r="Q4415" s="656">
        <v>44216.763680555552</v>
      </c>
    </row>
    <row r="4416" spans="1:17">
      <c r="A4416" s="656" t="s">
        <v>6245</v>
      </c>
      <c r="B4416" s="657"/>
      <c r="C4416" s="656" t="s">
        <v>6246</v>
      </c>
      <c r="D4416" s="657" t="s">
        <v>14977</v>
      </c>
      <c r="E4416" s="657"/>
      <c r="F4416" s="656" t="s">
        <v>1394</v>
      </c>
      <c r="G4416" s="656"/>
      <c r="H4416" s="656" t="s">
        <v>1394</v>
      </c>
      <c r="I4416" s="656" t="s">
        <v>14976</v>
      </c>
      <c r="J4416" s="656"/>
      <c r="K4416" s="656"/>
      <c r="L4416" s="656" t="s">
        <v>6245</v>
      </c>
      <c r="M4416" s="657"/>
      <c r="N4416" s="1482"/>
      <c r="O4416" s="656" t="s">
        <v>498</v>
      </c>
      <c r="P4416" s="656" t="s">
        <v>13052</v>
      </c>
      <c r="Q4416" s="656">
        <v>44216.763680555552</v>
      </c>
    </row>
    <row r="4417" spans="1:17">
      <c r="A4417" s="656" t="s">
        <v>13186</v>
      </c>
      <c r="B4417" s="657" t="s">
        <v>202</v>
      </c>
      <c r="C4417" s="656" t="s">
        <v>13187</v>
      </c>
      <c r="D4417" s="657" t="s">
        <v>13789</v>
      </c>
      <c r="E4417" s="657"/>
      <c r="F4417" s="656"/>
      <c r="G4417" s="656" t="s">
        <v>5661</v>
      </c>
      <c r="H4417" s="656"/>
      <c r="I4417" s="656" t="s">
        <v>14976</v>
      </c>
      <c r="J4417" s="656"/>
      <c r="K4417" s="656"/>
      <c r="L4417" s="656"/>
      <c r="M4417" s="657"/>
      <c r="N4417" s="1482"/>
      <c r="O4417" s="656" t="s">
        <v>498</v>
      </c>
      <c r="P4417" s="656" t="s">
        <v>13052</v>
      </c>
      <c r="Q4417" s="656">
        <v>44216.763680555552</v>
      </c>
    </row>
    <row r="4418" spans="1:17">
      <c r="A4418" s="656" t="s">
        <v>13184</v>
      </c>
      <c r="B4418" s="657" t="s">
        <v>202</v>
      </c>
      <c r="C4418" s="656" t="s">
        <v>13185</v>
      </c>
      <c r="D4418" s="657" t="s">
        <v>13789</v>
      </c>
      <c r="E4418" s="657"/>
      <c r="F4418" s="656"/>
      <c r="G4418" s="656" t="s">
        <v>5661</v>
      </c>
      <c r="H4418" s="656"/>
      <c r="I4418" s="656" t="s">
        <v>14976</v>
      </c>
      <c r="J4418" s="656"/>
      <c r="K4418" s="656"/>
      <c r="L4418" s="656"/>
      <c r="M4418" s="657"/>
      <c r="N4418" s="1482"/>
      <c r="O4418" s="656" t="s">
        <v>498</v>
      </c>
      <c r="P4418" s="656" t="s">
        <v>13052</v>
      </c>
      <c r="Q4418" s="656">
        <v>44216.763668981483</v>
      </c>
    </row>
    <row r="4419" spans="1:17">
      <c r="A4419" s="656" t="s">
        <v>13182</v>
      </c>
      <c r="B4419" s="657" t="s">
        <v>202</v>
      </c>
      <c r="C4419" s="656" t="s">
        <v>13183</v>
      </c>
      <c r="D4419" s="657" t="s">
        <v>13789</v>
      </c>
      <c r="E4419" s="657"/>
      <c r="F4419" s="656"/>
      <c r="G4419" s="656" t="s">
        <v>5661</v>
      </c>
      <c r="H4419" s="656"/>
      <c r="I4419" s="656" t="s">
        <v>14976</v>
      </c>
      <c r="J4419" s="656"/>
      <c r="K4419" s="656"/>
      <c r="L4419" s="656"/>
      <c r="M4419" s="657"/>
      <c r="N4419" s="1482"/>
      <c r="O4419" s="656" t="s">
        <v>498</v>
      </c>
      <c r="P4419" s="656" t="s">
        <v>13052</v>
      </c>
      <c r="Q4419" s="656">
        <v>44216.763657407406</v>
      </c>
    </row>
    <row r="4420" spans="1:17">
      <c r="A4420" s="656" t="s">
        <v>6247</v>
      </c>
      <c r="B4420" s="657" t="s">
        <v>202</v>
      </c>
      <c r="C4420" s="656" t="s">
        <v>6248</v>
      </c>
      <c r="D4420" s="657" t="s">
        <v>14977</v>
      </c>
      <c r="E4420" s="657"/>
      <c r="F4420" s="656" t="s">
        <v>655</v>
      </c>
      <c r="G4420" s="656"/>
      <c r="H4420" s="656" t="s">
        <v>655</v>
      </c>
      <c r="I4420" s="656" t="s">
        <v>14976</v>
      </c>
      <c r="J4420" s="656" t="s">
        <v>15290</v>
      </c>
      <c r="K4420" s="656"/>
      <c r="L4420" s="656" t="s">
        <v>6247</v>
      </c>
      <c r="M4420" s="657"/>
      <c r="N4420" s="1482"/>
      <c r="O4420" s="656" t="s">
        <v>498</v>
      </c>
      <c r="P4420" s="656" t="s">
        <v>13052</v>
      </c>
      <c r="Q4420" s="656">
        <v>44216.763657407406</v>
      </c>
    </row>
    <row r="4421" spans="1:17">
      <c r="A4421" s="656" t="s">
        <v>6249</v>
      </c>
      <c r="B4421" s="657"/>
      <c r="C4421" s="656" t="s">
        <v>6250</v>
      </c>
      <c r="D4421" s="657" t="s">
        <v>14978</v>
      </c>
      <c r="E4421" s="657"/>
      <c r="F4421" s="656" t="s">
        <v>1394</v>
      </c>
      <c r="G4421" s="656"/>
      <c r="H4421" s="656" t="s">
        <v>1394</v>
      </c>
      <c r="I4421" s="656" t="s">
        <v>14976</v>
      </c>
      <c r="J4421" s="656"/>
      <c r="K4421" s="656"/>
      <c r="L4421" s="656" t="s">
        <v>6251</v>
      </c>
      <c r="M4421" s="657"/>
      <c r="N4421" s="1482"/>
      <c r="O4421" s="656" t="s">
        <v>498</v>
      </c>
      <c r="P4421" s="656" t="s">
        <v>13052</v>
      </c>
      <c r="Q4421" s="656">
        <v>44216.763645833336</v>
      </c>
    </row>
    <row r="4422" spans="1:17">
      <c r="A4422" s="656" t="s">
        <v>6251</v>
      </c>
      <c r="B4422" s="657"/>
      <c r="C4422" s="656" t="s">
        <v>6250</v>
      </c>
      <c r="D4422" s="657" t="s">
        <v>14977</v>
      </c>
      <c r="E4422" s="657"/>
      <c r="F4422" s="656" t="s">
        <v>1394</v>
      </c>
      <c r="G4422" s="656"/>
      <c r="H4422" s="656" t="s">
        <v>1394</v>
      </c>
      <c r="I4422" s="656" t="s">
        <v>14976</v>
      </c>
      <c r="J4422" s="656"/>
      <c r="K4422" s="656"/>
      <c r="L4422" s="656" t="s">
        <v>6251</v>
      </c>
      <c r="M4422" s="657"/>
      <c r="N4422" s="1482"/>
      <c r="O4422" s="656" t="s">
        <v>498</v>
      </c>
      <c r="P4422" s="656" t="s">
        <v>13052</v>
      </c>
      <c r="Q4422" s="656">
        <v>44216.763645833336</v>
      </c>
    </row>
    <row r="4423" spans="1:17">
      <c r="A4423" s="656" t="s">
        <v>6252</v>
      </c>
      <c r="B4423" s="657" t="s">
        <v>202</v>
      </c>
      <c r="C4423" s="656" t="s">
        <v>6253</v>
      </c>
      <c r="D4423" s="657" t="s">
        <v>14978</v>
      </c>
      <c r="E4423" s="657"/>
      <c r="F4423" s="656" t="s">
        <v>1300</v>
      </c>
      <c r="G4423" s="656"/>
      <c r="H4423" s="656" t="s">
        <v>1300</v>
      </c>
      <c r="I4423" s="656" t="s">
        <v>14976</v>
      </c>
      <c r="J4423" s="656" t="s">
        <v>15285</v>
      </c>
      <c r="K4423" s="656"/>
      <c r="L4423" s="656" t="s">
        <v>6254</v>
      </c>
      <c r="M4423" s="657"/>
      <c r="N4423" s="1482"/>
      <c r="O4423" s="656" t="s">
        <v>498</v>
      </c>
      <c r="P4423" s="656" t="s">
        <v>13052</v>
      </c>
      <c r="Q4423" s="656">
        <v>44216.763645833336</v>
      </c>
    </row>
    <row r="4424" spans="1:17">
      <c r="A4424" s="656" t="s">
        <v>6254</v>
      </c>
      <c r="B4424" s="657" t="s">
        <v>202</v>
      </c>
      <c r="C4424" s="656" t="s">
        <v>6255</v>
      </c>
      <c r="D4424" s="657" t="s">
        <v>14977</v>
      </c>
      <c r="E4424" s="657"/>
      <c r="F4424" s="656" t="s">
        <v>6256</v>
      </c>
      <c r="G4424" s="656"/>
      <c r="H4424" s="656" t="s">
        <v>6256</v>
      </c>
      <c r="I4424" s="656" t="s">
        <v>14976</v>
      </c>
      <c r="J4424" s="656"/>
      <c r="K4424" s="656"/>
      <c r="L4424" s="656" t="s">
        <v>6254</v>
      </c>
      <c r="M4424" s="657"/>
      <c r="N4424" s="1482"/>
      <c r="O4424" s="656" t="s">
        <v>498</v>
      </c>
      <c r="P4424" s="656" t="s">
        <v>13052</v>
      </c>
      <c r="Q4424" s="656">
        <v>44216.76363425926</v>
      </c>
    </row>
    <row r="4425" spans="1:17">
      <c r="A4425" s="656" t="s">
        <v>13180</v>
      </c>
      <c r="B4425" s="657" t="s">
        <v>202</v>
      </c>
      <c r="C4425" s="656" t="s">
        <v>13181</v>
      </c>
      <c r="D4425" s="657" t="s">
        <v>13789</v>
      </c>
      <c r="E4425" s="657"/>
      <c r="F4425" s="656"/>
      <c r="G4425" s="656" t="s">
        <v>5661</v>
      </c>
      <c r="H4425" s="656"/>
      <c r="I4425" s="656" t="s">
        <v>14976</v>
      </c>
      <c r="J4425" s="656"/>
      <c r="K4425" s="656"/>
      <c r="L4425" s="656"/>
      <c r="M4425" s="657"/>
      <c r="N4425" s="1482"/>
      <c r="O4425" s="656" t="s">
        <v>498</v>
      </c>
      <c r="P4425" s="656" t="s">
        <v>13052</v>
      </c>
      <c r="Q4425" s="656">
        <v>44216.76363425926</v>
      </c>
    </row>
    <row r="4426" spans="1:17">
      <c r="A4426" s="656" t="s">
        <v>6257</v>
      </c>
      <c r="B4426" s="657"/>
      <c r="C4426" s="656" t="s">
        <v>6258</v>
      </c>
      <c r="D4426" s="657" t="s">
        <v>13789</v>
      </c>
      <c r="E4426" s="657"/>
      <c r="F4426" s="656"/>
      <c r="G4426" s="656"/>
      <c r="H4426" s="656"/>
      <c r="I4426" s="656" t="s">
        <v>14976</v>
      </c>
      <c r="J4426" s="656"/>
      <c r="K4426" s="656"/>
      <c r="L4426" s="656"/>
      <c r="M4426" s="657"/>
      <c r="N4426" s="1482"/>
      <c r="O4426" s="656" t="s">
        <v>498</v>
      </c>
      <c r="P4426" s="656" t="s">
        <v>13052</v>
      </c>
      <c r="Q4426" s="656">
        <v>44216.763622685183</v>
      </c>
    </row>
    <row r="4427" spans="1:17">
      <c r="A4427" s="656" t="s">
        <v>6259</v>
      </c>
      <c r="B4427" s="657"/>
      <c r="C4427" s="656" t="s">
        <v>6260</v>
      </c>
      <c r="D4427" s="657" t="s">
        <v>13789</v>
      </c>
      <c r="E4427" s="657"/>
      <c r="F4427" s="656"/>
      <c r="G4427" s="656"/>
      <c r="H4427" s="656"/>
      <c r="I4427" s="656" t="s">
        <v>14976</v>
      </c>
      <c r="J4427" s="656"/>
      <c r="K4427" s="656"/>
      <c r="L4427" s="656"/>
      <c r="M4427" s="657"/>
      <c r="N4427" s="1482"/>
      <c r="O4427" s="656" t="s">
        <v>498</v>
      </c>
      <c r="P4427" s="656" t="s">
        <v>13052</v>
      </c>
      <c r="Q4427" s="656">
        <v>44216.763622685183</v>
      </c>
    </row>
    <row r="4428" spans="1:17">
      <c r="A4428" s="656" t="s">
        <v>6261</v>
      </c>
      <c r="B4428" s="657"/>
      <c r="C4428" s="656" t="s">
        <v>6262</v>
      </c>
      <c r="D4428" s="657" t="s">
        <v>13789</v>
      </c>
      <c r="E4428" s="657"/>
      <c r="F4428" s="656"/>
      <c r="G4428" s="656" t="s">
        <v>5045</v>
      </c>
      <c r="H4428" s="656"/>
      <c r="I4428" s="656" t="s">
        <v>14976</v>
      </c>
      <c r="J4428" s="656"/>
      <c r="K4428" s="656"/>
      <c r="L4428" s="656"/>
      <c r="M4428" s="657"/>
      <c r="N4428" s="1482"/>
      <c r="O4428" s="656" t="s">
        <v>498</v>
      </c>
      <c r="P4428" s="656" t="s">
        <v>13052</v>
      </c>
      <c r="Q4428" s="656">
        <v>44216.763611111113</v>
      </c>
    </row>
    <row r="4429" spans="1:17">
      <c r="A4429" s="656" t="s">
        <v>6263</v>
      </c>
      <c r="B4429" s="657"/>
      <c r="C4429" s="656" t="s">
        <v>6264</v>
      </c>
      <c r="D4429" s="657" t="s">
        <v>13789</v>
      </c>
      <c r="E4429" s="657"/>
      <c r="F4429" s="656"/>
      <c r="G4429" s="656" t="s">
        <v>5045</v>
      </c>
      <c r="H4429" s="656"/>
      <c r="I4429" s="656" t="s">
        <v>14976</v>
      </c>
      <c r="J4429" s="656"/>
      <c r="K4429" s="656"/>
      <c r="L4429" s="656"/>
      <c r="M4429" s="657"/>
      <c r="N4429" s="1482"/>
      <c r="O4429" s="656" t="s">
        <v>498</v>
      </c>
      <c r="P4429" s="656" t="s">
        <v>13052</v>
      </c>
      <c r="Q4429" s="656">
        <v>44216.763611111113</v>
      </c>
    </row>
    <row r="4430" spans="1:17">
      <c r="A4430" s="656" t="s">
        <v>6265</v>
      </c>
      <c r="B4430" s="657"/>
      <c r="C4430" s="656" t="s">
        <v>5723</v>
      </c>
      <c r="D4430" s="657" t="s">
        <v>13789</v>
      </c>
      <c r="E4430" s="657"/>
      <c r="F4430" s="656"/>
      <c r="G4430" s="656" t="s">
        <v>5045</v>
      </c>
      <c r="H4430" s="656"/>
      <c r="I4430" s="656" t="s">
        <v>14976</v>
      </c>
      <c r="J4430" s="656"/>
      <c r="K4430" s="656"/>
      <c r="L4430" s="656"/>
      <c r="M4430" s="657"/>
      <c r="N4430" s="1482"/>
      <c r="O4430" s="656" t="s">
        <v>498</v>
      </c>
      <c r="P4430" s="656" t="s">
        <v>13052</v>
      </c>
      <c r="Q4430" s="656">
        <v>44216.763599537036</v>
      </c>
    </row>
    <row r="4431" spans="1:17">
      <c r="A4431" s="656" t="s">
        <v>6266</v>
      </c>
      <c r="B4431" s="657"/>
      <c r="C4431" s="656" t="s">
        <v>6267</v>
      </c>
      <c r="D4431" s="657" t="s">
        <v>14977</v>
      </c>
      <c r="E4431" s="657"/>
      <c r="F4431" s="656" t="s">
        <v>1394</v>
      </c>
      <c r="G4431" s="656"/>
      <c r="H4431" s="656" t="s">
        <v>1394</v>
      </c>
      <c r="I4431" s="656" t="s">
        <v>14976</v>
      </c>
      <c r="J4431" s="656"/>
      <c r="K4431" s="656"/>
      <c r="L4431" s="656" t="s">
        <v>6266</v>
      </c>
      <c r="M4431" s="657"/>
      <c r="N4431" s="1482"/>
      <c r="O4431" s="656" t="s">
        <v>498</v>
      </c>
      <c r="P4431" s="656" t="s">
        <v>13052</v>
      </c>
      <c r="Q4431" s="656">
        <v>44216.76358796296</v>
      </c>
    </row>
    <row r="4432" spans="1:17">
      <c r="A4432" s="656" t="s">
        <v>13178</v>
      </c>
      <c r="B4432" s="657" t="s">
        <v>202</v>
      </c>
      <c r="C4432" s="656" t="s">
        <v>13179</v>
      </c>
      <c r="D4432" s="657" t="s">
        <v>13789</v>
      </c>
      <c r="E4432" s="657"/>
      <c r="F4432" s="656"/>
      <c r="G4432" s="656" t="s">
        <v>5661</v>
      </c>
      <c r="H4432" s="656"/>
      <c r="I4432" s="656" t="s">
        <v>14976</v>
      </c>
      <c r="J4432" s="656"/>
      <c r="K4432" s="656"/>
      <c r="L4432" s="656"/>
      <c r="M4432" s="657"/>
      <c r="N4432" s="1482"/>
      <c r="O4432" s="656" t="s">
        <v>498</v>
      </c>
      <c r="P4432" s="656" t="s">
        <v>13052</v>
      </c>
      <c r="Q4432" s="656">
        <v>44216.76358796296</v>
      </c>
    </row>
    <row r="4433" spans="1:17">
      <c r="A4433" s="656" t="s">
        <v>13176</v>
      </c>
      <c r="B4433" s="657" t="s">
        <v>202</v>
      </c>
      <c r="C4433" s="656" t="s">
        <v>13177</v>
      </c>
      <c r="D4433" s="657" t="s">
        <v>14978</v>
      </c>
      <c r="E4433" s="657"/>
      <c r="F4433" s="656"/>
      <c r="G4433" s="656" t="s">
        <v>5661</v>
      </c>
      <c r="H4433" s="656"/>
      <c r="I4433" s="656" t="s">
        <v>14976</v>
      </c>
      <c r="J4433" s="656"/>
      <c r="K4433" s="656"/>
      <c r="L4433" s="656" t="s">
        <v>6270</v>
      </c>
      <c r="M4433" s="657"/>
      <c r="N4433" s="1482"/>
      <c r="O4433" s="656" t="s">
        <v>498</v>
      </c>
      <c r="P4433" s="656" t="s">
        <v>13052</v>
      </c>
      <c r="Q4433" s="656">
        <v>44216.76357638889</v>
      </c>
    </row>
    <row r="4434" spans="1:17">
      <c r="A4434" s="656" t="s">
        <v>6268</v>
      </c>
      <c r="B4434" s="657" t="s">
        <v>202</v>
      </c>
      <c r="C4434" s="656" t="s">
        <v>6269</v>
      </c>
      <c r="D4434" s="657" t="s">
        <v>14978</v>
      </c>
      <c r="E4434" s="657"/>
      <c r="F4434" s="656" t="s">
        <v>1667</v>
      </c>
      <c r="G4434" s="656"/>
      <c r="H4434" s="656" t="s">
        <v>1667</v>
      </c>
      <c r="I4434" s="656" t="s">
        <v>14976</v>
      </c>
      <c r="J4434" s="656" t="s">
        <v>15282</v>
      </c>
      <c r="K4434" s="656"/>
      <c r="L4434" s="656" t="s">
        <v>6270</v>
      </c>
      <c r="M4434" s="657"/>
      <c r="N4434" s="1482"/>
      <c r="O4434" s="656" t="s">
        <v>498</v>
      </c>
      <c r="P4434" s="656" t="s">
        <v>13052</v>
      </c>
      <c r="Q4434" s="656">
        <v>44216.76357638889</v>
      </c>
    </row>
    <row r="4435" spans="1:17">
      <c r="A4435" s="656" t="s">
        <v>13174</v>
      </c>
      <c r="B4435" s="657" t="s">
        <v>202</v>
      </c>
      <c r="C4435" s="656" t="s">
        <v>13175</v>
      </c>
      <c r="D4435" s="657" t="s">
        <v>14978</v>
      </c>
      <c r="E4435" s="657"/>
      <c r="F4435" s="656"/>
      <c r="G4435" s="656" t="s">
        <v>5661</v>
      </c>
      <c r="H4435" s="656"/>
      <c r="I4435" s="656" t="s">
        <v>14976</v>
      </c>
      <c r="J4435" s="656"/>
      <c r="K4435" s="656"/>
      <c r="L4435" s="656" t="s">
        <v>6270</v>
      </c>
      <c r="M4435" s="657"/>
      <c r="N4435" s="1482"/>
      <c r="O4435" s="656" t="s">
        <v>498</v>
      </c>
      <c r="P4435" s="656" t="s">
        <v>13052</v>
      </c>
      <c r="Q4435" s="656">
        <v>44216.763564814813</v>
      </c>
    </row>
    <row r="4436" spans="1:17">
      <c r="A4436" s="656" t="s">
        <v>13172</v>
      </c>
      <c r="B4436" s="657" t="s">
        <v>202</v>
      </c>
      <c r="C4436" s="656" t="s">
        <v>13173</v>
      </c>
      <c r="D4436" s="657" t="s">
        <v>14978</v>
      </c>
      <c r="E4436" s="657"/>
      <c r="F4436" s="656"/>
      <c r="G4436" s="656" t="s">
        <v>5661</v>
      </c>
      <c r="H4436" s="656"/>
      <c r="I4436" s="656" t="s">
        <v>14976</v>
      </c>
      <c r="J4436" s="656"/>
      <c r="K4436" s="656"/>
      <c r="L4436" s="656" t="s">
        <v>6270</v>
      </c>
      <c r="M4436" s="657"/>
      <c r="N4436" s="1482"/>
      <c r="O4436" s="656" t="s">
        <v>498</v>
      </c>
      <c r="P4436" s="656" t="s">
        <v>13052</v>
      </c>
      <c r="Q4436" s="656">
        <v>44216.763564814813</v>
      </c>
    </row>
    <row r="4437" spans="1:17">
      <c r="A4437" s="656" t="s">
        <v>6270</v>
      </c>
      <c r="B4437" s="657" t="s">
        <v>202</v>
      </c>
      <c r="C4437" s="656" t="s">
        <v>6271</v>
      </c>
      <c r="D4437" s="657" t="s">
        <v>1239</v>
      </c>
      <c r="E4437" s="657"/>
      <c r="F4437" s="656" t="s">
        <v>1667</v>
      </c>
      <c r="G4437" s="656" t="s">
        <v>4064</v>
      </c>
      <c r="H4437" s="656" t="s">
        <v>1667</v>
      </c>
      <c r="I4437" s="656" t="s">
        <v>14976</v>
      </c>
      <c r="J4437" s="656" t="s">
        <v>15282</v>
      </c>
      <c r="K4437" s="656"/>
      <c r="L4437" s="656"/>
      <c r="M4437" s="657"/>
      <c r="N4437" s="1482"/>
      <c r="O4437" s="656" t="s">
        <v>498</v>
      </c>
      <c r="P4437" s="656" t="s">
        <v>13052</v>
      </c>
      <c r="Q4437" s="656">
        <v>44216.763553240744</v>
      </c>
    </row>
    <row r="4438" spans="1:17">
      <c r="A4438" s="656" t="s">
        <v>13170</v>
      </c>
      <c r="B4438" s="657" t="s">
        <v>202</v>
      </c>
      <c r="C4438" s="656" t="s">
        <v>13171</v>
      </c>
      <c r="D4438" s="657" t="s">
        <v>13789</v>
      </c>
      <c r="E4438" s="657"/>
      <c r="F4438" s="656"/>
      <c r="G4438" s="656" t="s">
        <v>5661</v>
      </c>
      <c r="H4438" s="656"/>
      <c r="I4438" s="656" t="s">
        <v>14976</v>
      </c>
      <c r="J4438" s="656"/>
      <c r="K4438" s="656"/>
      <c r="L4438" s="656"/>
      <c r="M4438" s="657"/>
      <c r="N4438" s="1482"/>
      <c r="O4438" s="656" t="s">
        <v>498</v>
      </c>
      <c r="P4438" s="656" t="s">
        <v>13052</v>
      </c>
      <c r="Q4438" s="656">
        <v>44216.763541666667</v>
      </c>
    </row>
    <row r="4439" spans="1:17">
      <c r="A4439" s="656" t="s">
        <v>13167</v>
      </c>
      <c r="B4439" s="657" t="s">
        <v>202</v>
      </c>
      <c r="C4439" s="656" t="s">
        <v>13168</v>
      </c>
      <c r="D4439" s="657" t="s">
        <v>13789</v>
      </c>
      <c r="E4439" s="657"/>
      <c r="F4439" s="656"/>
      <c r="G4439" s="656" t="s">
        <v>5661</v>
      </c>
      <c r="H4439" s="656"/>
      <c r="I4439" s="656" t="s">
        <v>14976</v>
      </c>
      <c r="J4439" s="656"/>
      <c r="K4439" s="656"/>
      <c r="L4439" s="656"/>
      <c r="M4439" s="657"/>
      <c r="N4439" s="1482"/>
      <c r="O4439" s="656" t="s">
        <v>498</v>
      </c>
      <c r="P4439" s="656" t="s">
        <v>13052</v>
      </c>
      <c r="Q4439" s="656">
        <v>44216.76353009259</v>
      </c>
    </row>
    <row r="4440" spans="1:17">
      <c r="A4440" s="656" t="s">
        <v>13165</v>
      </c>
      <c r="B4440" s="657" t="s">
        <v>202</v>
      </c>
      <c r="C4440" s="656" t="s">
        <v>13166</v>
      </c>
      <c r="D4440" s="657" t="s">
        <v>13789</v>
      </c>
      <c r="E4440" s="657"/>
      <c r="F4440" s="656"/>
      <c r="G4440" s="656" t="s">
        <v>5238</v>
      </c>
      <c r="H4440" s="656"/>
      <c r="I4440" s="656" t="s">
        <v>14976</v>
      </c>
      <c r="J4440" s="656"/>
      <c r="K4440" s="656"/>
      <c r="L4440" s="656"/>
      <c r="M4440" s="657"/>
      <c r="N4440" s="1482"/>
      <c r="O4440" s="656" t="s">
        <v>498</v>
      </c>
      <c r="P4440" s="656" t="s">
        <v>13052</v>
      </c>
      <c r="Q4440" s="656">
        <v>44216.76353009259</v>
      </c>
    </row>
    <row r="4441" spans="1:17">
      <c r="A4441" s="656" t="s">
        <v>13163</v>
      </c>
      <c r="B4441" s="657" t="s">
        <v>202</v>
      </c>
      <c r="C4441" s="656" t="s">
        <v>13164</v>
      </c>
      <c r="D4441" s="657" t="s">
        <v>13789</v>
      </c>
      <c r="E4441" s="657"/>
      <c r="F4441" s="656"/>
      <c r="G4441" s="656" t="s">
        <v>5238</v>
      </c>
      <c r="H4441" s="656"/>
      <c r="I4441" s="656" t="s">
        <v>14976</v>
      </c>
      <c r="J4441" s="656"/>
      <c r="K4441" s="656"/>
      <c r="L4441" s="656"/>
      <c r="M4441" s="657"/>
      <c r="N4441" s="1482"/>
      <c r="O4441" s="656" t="s">
        <v>498</v>
      </c>
      <c r="P4441" s="656" t="s">
        <v>13052</v>
      </c>
      <c r="Q4441" s="656">
        <v>44216.763518518521</v>
      </c>
    </row>
    <row r="4442" spans="1:17">
      <c r="A4442" s="656" t="s">
        <v>13161</v>
      </c>
      <c r="B4442" s="657" t="s">
        <v>202</v>
      </c>
      <c r="C4442" s="656" t="s">
        <v>13162</v>
      </c>
      <c r="D4442" s="657" t="s">
        <v>13789</v>
      </c>
      <c r="E4442" s="657"/>
      <c r="F4442" s="656"/>
      <c r="G4442" s="656" t="s">
        <v>5238</v>
      </c>
      <c r="H4442" s="656"/>
      <c r="I4442" s="656" t="s">
        <v>14976</v>
      </c>
      <c r="J4442" s="656"/>
      <c r="K4442" s="656"/>
      <c r="L4442" s="656"/>
      <c r="M4442" s="657"/>
      <c r="N4442" s="1482"/>
      <c r="O4442" s="656" t="s">
        <v>498</v>
      </c>
      <c r="P4442" s="656" t="s">
        <v>13052</v>
      </c>
      <c r="Q4442" s="656">
        <v>44216.763518518521</v>
      </c>
    </row>
    <row r="4443" spans="1:17">
      <c r="A4443" s="656" t="s">
        <v>13159</v>
      </c>
      <c r="B4443" s="657" t="s">
        <v>202</v>
      </c>
      <c r="C4443" s="656" t="s">
        <v>13160</v>
      </c>
      <c r="D4443" s="657" t="s">
        <v>13789</v>
      </c>
      <c r="E4443" s="657"/>
      <c r="F4443" s="656"/>
      <c r="G4443" s="656" t="s">
        <v>5238</v>
      </c>
      <c r="H4443" s="656"/>
      <c r="I4443" s="656" t="s">
        <v>14976</v>
      </c>
      <c r="J4443" s="656"/>
      <c r="K4443" s="656"/>
      <c r="L4443" s="656"/>
      <c r="M4443" s="657"/>
      <c r="N4443" s="1482"/>
      <c r="O4443" s="656" t="s">
        <v>498</v>
      </c>
      <c r="P4443" s="656" t="s">
        <v>13052</v>
      </c>
      <c r="Q4443" s="656">
        <v>44216.763506944444</v>
      </c>
    </row>
    <row r="4444" spans="1:17">
      <c r="A4444" s="656" t="s">
        <v>6272</v>
      </c>
      <c r="B4444" s="657" t="s">
        <v>202</v>
      </c>
      <c r="C4444" s="656" t="s">
        <v>6273</v>
      </c>
      <c r="D4444" s="657" t="s">
        <v>14977</v>
      </c>
      <c r="E4444" s="657"/>
      <c r="F4444" s="656" t="s">
        <v>655</v>
      </c>
      <c r="G4444" s="656" t="s">
        <v>1051</v>
      </c>
      <c r="H4444" s="656" t="s">
        <v>655</v>
      </c>
      <c r="I4444" s="656" t="s">
        <v>14976</v>
      </c>
      <c r="J4444" s="656" t="s">
        <v>15281</v>
      </c>
      <c r="K4444" s="656"/>
      <c r="L4444" s="656" t="s">
        <v>6272</v>
      </c>
      <c r="M4444" s="657"/>
      <c r="N4444" s="1482"/>
      <c r="O4444" s="656" t="s">
        <v>498</v>
      </c>
      <c r="P4444" s="656" t="s">
        <v>13052</v>
      </c>
      <c r="Q4444" s="656">
        <v>44216.763506944444</v>
      </c>
    </row>
    <row r="4445" spans="1:17">
      <c r="A4445" s="656" t="s">
        <v>13157</v>
      </c>
      <c r="B4445" s="657" t="s">
        <v>202</v>
      </c>
      <c r="C4445" s="656" t="s">
        <v>13158</v>
      </c>
      <c r="D4445" s="657" t="s">
        <v>13789</v>
      </c>
      <c r="E4445" s="657"/>
      <c r="F4445" s="656"/>
      <c r="G4445" s="656" t="s">
        <v>5238</v>
      </c>
      <c r="H4445" s="656"/>
      <c r="I4445" s="656" t="s">
        <v>14976</v>
      </c>
      <c r="J4445" s="656"/>
      <c r="K4445" s="656"/>
      <c r="L4445" s="656"/>
      <c r="M4445" s="657"/>
      <c r="N4445" s="1482"/>
      <c r="O4445" s="656" t="s">
        <v>498</v>
      </c>
      <c r="P4445" s="656" t="s">
        <v>13052</v>
      </c>
      <c r="Q4445" s="656">
        <v>44216.763495370367</v>
      </c>
    </row>
    <row r="4446" spans="1:17">
      <c r="A4446" s="656" t="s">
        <v>13155</v>
      </c>
      <c r="B4446" s="657" t="s">
        <v>202</v>
      </c>
      <c r="C4446" s="656" t="s">
        <v>13156</v>
      </c>
      <c r="D4446" s="657" t="s">
        <v>13789</v>
      </c>
      <c r="E4446" s="657"/>
      <c r="F4446" s="656"/>
      <c r="G4446" s="656" t="s">
        <v>5238</v>
      </c>
      <c r="H4446" s="656"/>
      <c r="I4446" s="656" t="s">
        <v>14976</v>
      </c>
      <c r="J4446" s="656"/>
      <c r="K4446" s="656"/>
      <c r="L4446" s="656"/>
      <c r="M4446" s="657"/>
      <c r="N4446" s="1482"/>
      <c r="O4446" s="656" t="s">
        <v>498</v>
      </c>
      <c r="P4446" s="656" t="s">
        <v>13052</v>
      </c>
      <c r="Q4446" s="656">
        <v>44216.763495370367</v>
      </c>
    </row>
    <row r="4447" spans="1:17">
      <c r="A4447" s="656" t="s">
        <v>6274</v>
      </c>
      <c r="B4447" s="657"/>
      <c r="C4447" s="656" t="s">
        <v>6275</v>
      </c>
      <c r="D4447" s="657" t="s">
        <v>13789</v>
      </c>
      <c r="E4447" s="657"/>
      <c r="F4447" s="656"/>
      <c r="G4447" s="656" t="s">
        <v>5045</v>
      </c>
      <c r="H4447" s="656"/>
      <c r="I4447" s="656" t="s">
        <v>14976</v>
      </c>
      <c r="J4447" s="656"/>
      <c r="K4447" s="656"/>
      <c r="L4447" s="656"/>
      <c r="M4447" s="657"/>
      <c r="N4447" s="1482"/>
      <c r="O4447" s="656" t="s">
        <v>498</v>
      </c>
      <c r="P4447" s="656" t="s">
        <v>13052</v>
      </c>
      <c r="Q4447" s="656">
        <v>44216.763495370367</v>
      </c>
    </row>
    <row r="4448" spans="1:17">
      <c r="A4448" s="656" t="s">
        <v>6276</v>
      </c>
      <c r="B4448" s="657" t="s">
        <v>202</v>
      </c>
      <c r="C4448" s="656" t="s">
        <v>6277</v>
      </c>
      <c r="D4448" s="657" t="s">
        <v>14977</v>
      </c>
      <c r="E4448" s="657"/>
      <c r="F4448" s="656" t="s">
        <v>1667</v>
      </c>
      <c r="G4448" s="656"/>
      <c r="H4448" s="656" t="s">
        <v>1667</v>
      </c>
      <c r="I4448" s="656" t="s">
        <v>14976</v>
      </c>
      <c r="J4448" s="656" t="s">
        <v>15282</v>
      </c>
      <c r="K4448" s="656"/>
      <c r="L4448" s="656" t="s">
        <v>6276</v>
      </c>
      <c r="M4448" s="657"/>
      <c r="N4448" s="1482"/>
      <c r="O4448" s="656" t="s">
        <v>498</v>
      </c>
      <c r="P4448" s="656" t="s">
        <v>13052</v>
      </c>
      <c r="Q4448" s="656">
        <v>44216.763495370367</v>
      </c>
    </row>
    <row r="4449" spans="1:17">
      <c r="A4449" s="656" t="s">
        <v>6278</v>
      </c>
      <c r="B4449" s="657" t="s">
        <v>202</v>
      </c>
      <c r="C4449" s="656" t="s">
        <v>6279</v>
      </c>
      <c r="D4449" s="657" t="s">
        <v>14977</v>
      </c>
      <c r="E4449" s="657"/>
      <c r="F4449" s="656" t="s">
        <v>1667</v>
      </c>
      <c r="G4449" s="656"/>
      <c r="H4449" s="656" t="s">
        <v>1667</v>
      </c>
      <c r="I4449" s="656" t="s">
        <v>14976</v>
      </c>
      <c r="J4449" s="656" t="s">
        <v>15282</v>
      </c>
      <c r="K4449" s="656"/>
      <c r="L4449" s="656" t="s">
        <v>6278</v>
      </c>
      <c r="M4449" s="657"/>
      <c r="N4449" s="1482"/>
      <c r="O4449" s="656" t="s">
        <v>498</v>
      </c>
      <c r="P4449" s="656" t="s">
        <v>13052</v>
      </c>
      <c r="Q4449" s="656">
        <v>44216.763472222221</v>
      </c>
    </row>
    <row r="4450" spans="1:17">
      <c r="A4450" s="656" t="s">
        <v>6280</v>
      </c>
      <c r="B4450" s="657"/>
      <c r="C4450" s="656" t="s">
        <v>6281</v>
      </c>
      <c r="D4450" s="657" t="s">
        <v>13789</v>
      </c>
      <c r="E4450" s="657"/>
      <c r="F4450" s="656"/>
      <c r="G4450" s="656" t="s">
        <v>5045</v>
      </c>
      <c r="H4450" s="656"/>
      <c r="I4450" s="656" t="s">
        <v>14976</v>
      </c>
      <c r="J4450" s="656"/>
      <c r="K4450" s="656"/>
      <c r="L4450" s="656"/>
      <c r="M4450" s="657"/>
      <c r="N4450" s="1482"/>
      <c r="O4450" s="656" t="s">
        <v>498</v>
      </c>
      <c r="P4450" s="656" t="s">
        <v>13052</v>
      </c>
      <c r="Q4450" s="656">
        <v>44216.763472222221</v>
      </c>
    </row>
    <row r="4451" spans="1:17">
      <c r="A4451" s="656" t="s">
        <v>6282</v>
      </c>
      <c r="B4451" s="657"/>
      <c r="C4451" s="656" t="s">
        <v>6283</v>
      </c>
      <c r="D4451" s="657" t="s">
        <v>1239</v>
      </c>
      <c r="E4451" s="657"/>
      <c r="F4451" s="656" t="s">
        <v>1394</v>
      </c>
      <c r="G4451" s="656"/>
      <c r="H4451" s="656" t="s">
        <v>1394</v>
      </c>
      <c r="I4451" s="656" t="s">
        <v>14976</v>
      </c>
      <c r="J4451" s="656"/>
      <c r="K4451" s="656"/>
      <c r="L4451" s="656"/>
      <c r="M4451" s="657"/>
      <c r="N4451" s="1482"/>
      <c r="O4451" s="656" t="s">
        <v>498</v>
      </c>
      <c r="P4451" s="656" t="s">
        <v>13052</v>
      </c>
      <c r="Q4451" s="656">
        <v>44216.763460648152</v>
      </c>
    </row>
    <row r="4452" spans="1:17">
      <c r="A4452" s="656" t="s">
        <v>6284</v>
      </c>
      <c r="B4452" s="657" t="s">
        <v>202</v>
      </c>
      <c r="C4452" s="656" t="s">
        <v>6285</v>
      </c>
      <c r="D4452" s="657" t="s">
        <v>1239</v>
      </c>
      <c r="E4452" s="657"/>
      <c r="F4452" s="656" t="s">
        <v>1300</v>
      </c>
      <c r="G4452" s="656" t="s">
        <v>1301</v>
      </c>
      <c r="H4452" s="656" t="s">
        <v>1300</v>
      </c>
      <c r="I4452" s="656" t="s">
        <v>14976</v>
      </c>
      <c r="J4452" s="656" t="s">
        <v>15285</v>
      </c>
      <c r="K4452" s="656"/>
      <c r="L4452" s="656" t="s">
        <v>6294</v>
      </c>
      <c r="M4452" s="657"/>
      <c r="N4452" s="1482"/>
      <c r="O4452" s="656" t="s">
        <v>498</v>
      </c>
      <c r="P4452" s="656" t="s">
        <v>13052</v>
      </c>
      <c r="Q4452" s="656">
        <v>44216.763460648152</v>
      </c>
    </row>
    <row r="4453" spans="1:17">
      <c r="A4453" s="656" t="s">
        <v>6286</v>
      </c>
      <c r="B4453" s="657" t="s">
        <v>202</v>
      </c>
      <c r="C4453" s="656" t="s">
        <v>6287</v>
      </c>
      <c r="D4453" s="657" t="s">
        <v>1239</v>
      </c>
      <c r="E4453" s="657"/>
      <c r="F4453" s="656" t="s">
        <v>1300</v>
      </c>
      <c r="G4453" s="656" t="s">
        <v>1301</v>
      </c>
      <c r="H4453" s="656" t="s">
        <v>1300</v>
      </c>
      <c r="I4453" s="656" t="s">
        <v>14976</v>
      </c>
      <c r="J4453" s="656" t="s">
        <v>15285</v>
      </c>
      <c r="K4453" s="656"/>
      <c r="L4453" s="656" t="s">
        <v>6294</v>
      </c>
      <c r="M4453" s="657"/>
      <c r="N4453" s="1482"/>
      <c r="O4453" s="656" t="s">
        <v>498</v>
      </c>
      <c r="P4453" s="656" t="s">
        <v>13052</v>
      </c>
      <c r="Q4453" s="656">
        <v>44216.763449074075</v>
      </c>
    </row>
    <row r="4454" spans="1:17">
      <c r="A4454" s="656" t="s">
        <v>6288</v>
      </c>
      <c r="B4454" s="657" t="s">
        <v>202</v>
      </c>
      <c r="C4454" s="656" t="s">
        <v>6289</v>
      </c>
      <c r="D4454" s="657" t="s">
        <v>1239</v>
      </c>
      <c r="E4454" s="657"/>
      <c r="F4454" s="656" t="s">
        <v>1300</v>
      </c>
      <c r="G4454" s="656" t="s">
        <v>1301</v>
      </c>
      <c r="H4454" s="656" t="s">
        <v>1300</v>
      </c>
      <c r="I4454" s="656" t="s">
        <v>14976</v>
      </c>
      <c r="J4454" s="656" t="s">
        <v>15285</v>
      </c>
      <c r="K4454" s="656"/>
      <c r="L4454" s="656" t="s">
        <v>6294</v>
      </c>
      <c r="M4454" s="657"/>
      <c r="N4454" s="1482"/>
      <c r="O4454" s="656" t="s">
        <v>498</v>
      </c>
      <c r="P4454" s="656" t="s">
        <v>13052</v>
      </c>
      <c r="Q4454" s="656">
        <v>44216.763449074075</v>
      </c>
    </row>
    <row r="4455" spans="1:17">
      <c r="A4455" s="656" t="s">
        <v>6290</v>
      </c>
      <c r="B4455" s="657" t="s">
        <v>202</v>
      </c>
      <c r="C4455" s="656" t="s">
        <v>6291</v>
      </c>
      <c r="D4455" s="657" t="s">
        <v>1239</v>
      </c>
      <c r="E4455" s="657"/>
      <c r="F4455" s="656" t="s">
        <v>1300</v>
      </c>
      <c r="G4455" s="656" t="s">
        <v>1301</v>
      </c>
      <c r="H4455" s="656" t="s">
        <v>1300</v>
      </c>
      <c r="I4455" s="656" t="s">
        <v>14976</v>
      </c>
      <c r="J4455" s="656" t="s">
        <v>15285</v>
      </c>
      <c r="K4455" s="656"/>
      <c r="L4455" s="656" t="s">
        <v>6294</v>
      </c>
      <c r="M4455" s="657"/>
      <c r="N4455" s="1482"/>
      <c r="O4455" s="656" t="s">
        <v>498</v>
      </c>
      <c r="P4455" s="656" t="s">
        <v>13052</v>
      </c>
      <c r="Q4455" s="656">
        <v>44216.763437499998</v>
      </c>
    </row>
    <row r="4456" spans="1:17">
      <c r="A4456" s="656" t="s">
        <v>6292</v>
      </c>
      <c r="B4456" s="657" t="s">
        <v>202</v>
      </c>
      <c r="C4456" s="656" t="s">
        <v>6293</v>
      </c>
      <c r="D4456" s="657" t="s">
        <v>1239</v>
      </c>
      <c r="E4456" s="657"/>
      <c r="F4456" s="656" t="s">
        <v>1300</v>
      </c>
      <c r="G4456" s="656" t="s">
        <v>1301</v>
      </c>
      <c r="H4456" s="656" t="s">
        <v>1300</v>
      </c>
      <c r="I4456" s="656" t="s">
        <v>14976</v>
      </c>
      <c r="J4456" s="656" t="s">
        <v>15285</v>
      </c>
      <c r="K4456" s="656"/>
      <c r="L4456" s="656" t="s">
        <v>6294</v>
      </c>
      <c r="M4456" s="657"/>
      <c r="N4456" s="1482"/>
      <c r="O4456" s="656" t="s">
        <v>498</v>
      </c>
      <c r="P4456" s="656" t="s">
        <v>13052</v>
      </c>
      <c r="Q4456" s="656">
        <v>44216.763437499998</v>
      </c>
    </row>
    <row r="4457" spans="1:17">
      <c r="A4457" s="656" t="s">
        <v>6294</v>
      </c>
      <c r="B4457" s="657" t="s">
        <v>202</v>
      </c>
      <c r="C4457" s="656" t="s">
        <v>6295</v>
      </c>
      <c r="D4457" s="657" t="s">
        <v>1239</v>
      </c>
      <c r="E4457" s="657"/>
      <c r="F4457" s="656" t="s">
        <v>1300</v>
      </c>
      <c r="G4457" s="656" t="s">
        <v>1301</v>
      </c>
      <c r="H4457" s="656" t="s">
        <v>1300</v>
      </c>
      <c r="I4457" s="656" t="s">
        <v>14976</v>
      </c>
      <c r="J4457" s="656" t="s">
        <v>15285</v>
      </c>
      <c r="K4457" s="656"/>
      <c r="L4457" s="656"/>
      <c r="M4457" s="657"/>
      <c r="N4457" s="1482"/>
      <c r="O4457" s="656" t="s">
        <v>498</v>
      </c>
      <c r="P4457" s="656" t="s">
        <v>13052</v>
      </c>
      <c r="Q4457" s="656">
        <v>44216.763425925928</v>
      </c>
    </row>
    <row r="4458" spans="1:17">
      <c r="A4458" s="656" t="s">
        <v>6296</v>
      </c>
      <c r="B4458" s="657" t="s">
        <v>202</v>
      </c>
      <c r="C4458" s="656" t="s">
        <v>6297</v>
      </c>
      <c r="D4458" s="657" t="s">
        <v>14977</v>
      </c>
      <c r="E4458" s="657"/>
      <c r="F4458" s="656" t="s">
        <v>1300</v>
      </c>
      <c r="G4458" s="656"/>
      <c r="H4458" s="656" t="s">
        <v>1300</v>
      </c>
      <c r="I4458" s="656" t="s">
        <v>14976</v>
      </c>
      <c r="J4458" s="656" t="s">
        <v>15285</v>
      </c>
      <c r="K4458" s="656"/>
      <c r="L4458" s="656" t="s">
        <v>6296</v>
      </c>
      <c r="M4458" s="657"/>
      <c r="N4458" s="1482"/>
      <c r="O4458" s="656" t="s">
        <v>498</v>
      </c>
      <c r="P4458" s="656" t="s">
        <v>13052</v>
      </c>
      <c r="Q4458" s="656">
        <v>44216.763425925928</v>
      </c>
    </row>
    <row r="4459" spans="1:17">
      <c r="A4459" s="656" t="s">
        <v>6298</v>
      </c>
      <c r="B4459" s="657"/>
      <c r="C4459" s="656" t="s">
        <v>6299</v>
      </c>
      <c r="D4459" s="657" t="s">
        <v>13789</v>
      </c>
      <c r="E4459" s="657"/>
      <c r="F4459" s="656"/>
      <c r="G4459" s="656" t="s">
        <v>5045</v>
      </c>
      <c r="H4459" s="656"/>
      <c r="I4459" s="656" t="s">
        <v>14976</v>
      </c>
      <c r="J4459" s="656"/>
      <c r="K4459" s="656"/>
      <c r="L4459" s="656"/>
      <c r="M4459" s="657"/>
      <c r="N4459" s="1482"/>
      <c r="O4459" s="656" t="s">
        <v>498</v>
      </c>
      <c r="P4459" s="656" t="s">
        <v>13052</v>
      </c>
      <c r="Q4459" s="656">
        <v>44216.763414351852</v>
      </c>
    </row>
    <row r="4460" spans="1:17">
      <c r="A4460" s="656" t="s">
        <v>6300</v>
      </c>
      <c r="B4460" s="657"/>
      <c r="C4460" s="656" t="s">
        <v>6301</v>
      </c>
      <c r="D4460" s="657" t="s">
        <v>13789</v>
      </c>
      <c r="E4460" s="657"/>
      <c r="F4460" s="656"/>
      <c r="G4460" s="656" t="s">
        <v>5045</v>
      </c>
      <c r="H4460" s="656"/>
      <c r="I4460" s="656" t="s">
        <v>14976</v>
      </c>
      <c r="J4460" s="656"/>
      <c r="K4460" s="656"/>
      <c r="L4460" s="656"/>
      <c r="M4460" s="657"/>
      <c r="N4460" s="1482"/>
      <c r="O4460" s="656" t="s">
        <v>498</v>
      </c>
      <c r="P4460" s="656" t="s">
        <v>13052</v>
      </c>
      <c r="Q4460" s="656">
        <v>44216.763402777775</v>
      </c>
    </row>
    <row r="4461" spans="1:17">
      <c r="A4461" s="656" t="s">
        <v>6302</v>
      </c>
      <c r="B4461" s="657"/>
      <c r="C4461" s="656" t="s">
        <v>6303</v>
      </c>
      <c r="D4461" s="657" t="s">
        <v>13789</v>
      </c>
      <c r="E4461" s="657"/>
      <c r="F4461" s="656"/>
      <c r="G4461" s="656" t="s">
        <v>5045</v>
      </c>
      <c r="H4461" s="656"/>
      <c r="I4461" s="656" t="s">
        <v>14976</v>
      </c>
      <c r="J4461" s="656"/>
      <c r="K4461" s="656"/>
      <c r="L4461" s="656"/>
      <c r="M4461" s="657"/>
      <c r="N4461" s="1482"/>
      <c r="O4461" s="656" t="s">
        <v>498</v>
      </c>
      <c r="P4461" s="656" t="s">
        <v>13052</v>
      </c>
      <c r="Q4461" s="656">
        <v>44216.763402777775</v>
      </c>
    </row>
    <row r="4462" spans="1:17">
      <c r="A4462" s="656" t="s">
        <v>6304</v>
      </c>
      <c r="B4462" s="657"/>
      <c r="C4462" s="656" t="s">
        <v>6305</v>
      </c>
      <c r="D4462" s="657" t="s">
        <v>13789</v>
      </c>
      <c r="E4462" s="657"/>
      <c r="F4462" s="656"/>
      <c r="G4462" s="656" t="s">
        <v>5045</v>
      </c>
      <c r="H4462" s="656"/>
      <c r="I4462" s="656" t="s">
        <v>14976</v>
      </c>
      <c r="J4462" s="656"/>
      <c r="K4462" s="656"/>
      <c r="L4462" s="656"/>
      <c r="M4462" s="657"/>
      <c r="N4462" s="1482"/>
      <c r="O4462" s="656" t="s">
        <v>498</v>
      </c>
      <c r="P4462" s="656" t="s">
        <v>13052</v>
      </c>
      <c r="Q4462" s="656">
        <v>44216.763391203705</v>
      </c>
    </row>
    <row r="4463" spans="1:17">
      <c r="A4463" s="656" t="s">
        <v>6306</v>
      </c>
      <c r="B4463" s="657"/>
      <c r="C4463" s="656" t="s">
        <v>6307</v>
      </c>
      <c r="D4463" s="657" t="s">
        <v>13789</v>
      </c>
      <c r="E4463" s="657"/>
      <c r="F4463" s="656"/>
      <c r="G4463" s="656" t="s">
        <v>5045</v>
      </c>
      <c r="H4463" s="656"/>
      <c r="I4463" s="656" t="s">
        <v>14976</v>
      </c>
      <c r="J4463" s="656"/>
      <c r="K4463" s="656"/>
      <c r="L4463" s="656"/>
      <c r="M4463" s="657"/>
      <c r="N4463" s="1482"/>
      <c r="O4463" s="656" t="s">
        <v>498</v>
      </c>
      <c r="P4463" s="656" t="s">
        <v>13052</v>
      </c>
      <c r="Q4463" s="656">
        <v>44216.763391203705</v>
      </c>
    </row>
    <row r="4464" spans="1:17">
      <c r="A4464" s="656" t="s">
        <v>6308</v>
      </c>
      <c r="B4464" s="657"/>
      <c r="C4464" s="656" t="s">
        <v>6309</v>
      </c>
      <c r="D4464" s="657" t="s">
        <v>13789</v>
      </c>
      <c r="E4464" s="657"/>
      <c r="F4464" s="656"/>
      <c r="G4464" s="656" t="s">
        <v>5045</v>
      </c>
      <c r="H4464" s="656"/>
      <c r="I4464" s="656" t="s">
        <v>14976</v>
      </c>
      <c r="J4464" s="656"/>
      <c r="K4464" s="656"/>
      <c r="L4464" s="656"/>
      <c r="M4464" s="657"/>
      <c r="N4464" s="1482"/>
      <c r="O4464" s="656" t="s">
        <v>498</v>
      </c>
      <c r="P4464" s="656" t="s">
        <v>13052</v>
      </c>
      <c r="Q4464" s="656">
        <v>44216.763379629629</v>
      </c>
    </row>
    <row r="4465" spans="1:17">
      <c r="A4465" s="656" t="s">
        <v>6310</v>
      </c>
      <c r="B4465" s="657"/>
      <c r="C4465" s="656" t="s">
        <v>6311</v>
      </c>
      <c r="D4465" s="657" t="s">
        <v>13789</v>
      </c>
      <c r="E4465" s="657"/>
      <c r="F4465" s="656"/>
      <c r="G4465" s="656" t="s">
        <v>5045</v>
      </c>
      <c r="H4465" s="656"/>
      <c r="I4465" s="656" t="s">
        <v>14976</v>
      </c>
      <c r="J4465" s="656"/>
      <c r="K4465" s="656"/>
      <c r="L4465" s="656"/>
      <c r="M4465" s="657"/>
      <c r="N4465" s="1482"/>
      <c r="O4465" s="656" t="s">
        <v>498</v>
      </c>
      <c r="P4465" s="656" t="s">
        <v>13052</v>
      </c>
      <c r="Q4465" s="656">
        <v>44216.763379629629</v>
      </c>
    </row>
    <row r="4466" spans="1:17">
      <c r="A4466" s="656" t="s">
        <v>6312</v>
      </c>
      <c r="B4466" s="657"/>
      <c r="C4466" s="656" t="s">
        <v>6313</v>
      </c>
      <c r="D4466" s="657" t="s">
        <v>13789</v>
      </c>
      <c r="E4466" s="657"/>
      <c r="F4466" s="656"/>
      <c r="G4466" s="656" t="s">
        <v>5045</v>
      </c>
      <c r="H4466" s="656"/>
      <c r="I4466" s="656" t="s">
        <v>14976</v>
      </c>
      <c r="J4466" s="656"/>
      <c r="K4466" s="656"/>
      <c r="L4466" s="656"/>
      <c r="M4466" s="657"/>
      <c r="N4466" s="1482"/>
      <c r="O4466" s="656" t="s">
        <v>498</v>
      </c>
      <c r="P4466" s="656" t="s">
        <v>13052</v>
      </c>
      <c r="Q4466" s="656">
        <v>44216.763379629629</v>
      </c>
    </row>
    <row r="4467" spans="1:17">
      <c r="A4467" s="656" t="s">
        <v>6314</v>
      </c>
      <c r="B4467" s="657"/>
      <c r="C4467" s="656" t="s">
        <v>6315</v>
      </c>
      <c r="D4467" s="657" t="s">
        <v>13789</v>
      </c>
      <c r="E4467" s="657"/>
      <c r="F4467" s="656"/>
      <c r="G4467" s="656" t="s">
        <v>5045</v>
      </c>
      <c r="H4467" s="656"/>
      <c r="I4467" s="656" t="s">
        <v>14976</v>
      </c>
      <c r="J4467" s="656"/>
      <c r="K4467" s="656"/>
      <c r="L4467" s="656"/>
      <c r="M4467" s="657"/>
      <c r="N4467" s="1482"/>
      <c r="O4467" s="656" t="s">
        <v>498</v>
      </c>
      <c r="P4467" s="656" t="s">
        <v>13052</v>
      </c>
      <c r="Q4467" s="656">
        <v>44216.763368055559</v>
      </c>
    </row>
    <row r="4468" spans="1:17">
      <c r="A4468" s="656" t="s">
        <v>6316</v>
      </c>
      <c r="B4468" s="657"/>
      <c r="C4468" s="656" t="s">
        <v>6317</v>
      </c>
      <c r="D4468" s="657" t="s">
        <v>13789</v>
      </c>
      <c r="E4468" s="657"/>
      <c r="F4468" s="656"/>
      <c r="G4468" s="656" t="s">
        <v>5045</v>
      </c>
      <c r="H4468" s="656"/>
      <c r="I4468" s="656" t="s">
        <v>14976</v>
      </c>
      <c r="J4468" s="656"/>
      <c r="K4468" s="656"/>
      <c r="L4468" s="656"/>
      <c r="M4468" s="657"/>
      <c r="N4468" s="1482"/>
      <c r="O4468" s="656" t="s">
        <v>498</v>
      </c>
      <c r="P4468" s="656" t="s">
        <v>13052</v>
      </c>
      <c r="Q4468" s="656">
        <v>44216.763368055559</v>
      </c>
    </row>
    <row r="4469" spans="1:17">
      <c r="A4469" s="656" t="s">
        <v>6318</v>
      </c>
      <c r="B4469" s="657"/>
      <c r="C4469" s="656" t="s">
        <v>5725</v>
      </c>
      <c r="D4469" s="657" t="s">
        <v>13789</v>
      </c>
      <c r="E4469" s="657"/>
      <c r="F4469" s="656"/>
      <c r="G4469" s="656" t="s">
        <v>5045</v>
      </c>
      <c r="H4469" s="656"/>
      <c r="I4469" s="656" t="s">
        <v>14976</v>
      </c>
      <c r="J4469" s="656"/>
      <c r="K4469" s="656"/>
      <c r="L4469" s="656"/>
      <c r="M4469" s="657"/>
      <c r="N4469" s="1482"/>
      <c r="O4469" s="656" t="s">
        <v>498</v>
      </c>
      <c r="P4469" s="656" t="s">
        <v>13052</v>
      </c>
      <c r="Q4469" s="656">
        <v>44216.763356481482</v>
      </c>
    </row>
    <row r="4470" spans="1:17">
      <c r="A4470" s="656" t="s">
        <v>6319</v>
      </c>
      <c r="B4470" s="657"/>
      <c r="C4470" s="656" t="s">
        <v>6320</v>
      </c>
      <c r="D4470" s="657" t="s">
        <v>13789</v>
      </c>
      <c r="E4470" s="657"/>
      <c r="F4470" s="656"/>
      <c r="G4470" s="656" t="s">
        <v>5045</v>
      </c>
      <c r="H4470" s="656"/>
      <c r="I4470" s="656" t="s">
        <v>14976</v>
      </c>
      <c r="J4470" s="656"/>
      <c r="K4470" s="656"/>
      <c r="L4470" s="656"/>
      <c r="M4470" s="657"/>
      <c r="N4470" s="1482"/>
      <c r="O4470" s="656" t="s">
        <v>498</v>
      </c>
      <c r="P4470" s="656" t="s">
        <v>13052</v>
      </c>
      <c r="Q4470" s="656">
        <v>44216.763356481482</v>
      </c>
    </row>
    <row r="4471" spans="1:17">
      <c r="A4471" s="656" t="s">
        <v>6321</v>
      </c>
      <c r="B4471" s="657"/>
      <c r="C4471" s="656" t="s">
        <v>6322</v>
      </c>
      <c r="D4471" s="657" t="s">
        <v>13789</v>
      </c>
      <c r="E4471" s="657"/>
      <c r="F4471" s="656"/>
      <c r="G4471" s="656" t="s">
        <v>5045</v>
      </c>
      <c r="H4471" s="656"/>
      <c r="I4471" s="656" t="s">
        <v>14976</v>
      </c>
      <c r="J4471" s="656"/>
      <c r="K4471" s="656"/>
      <c r="L4471" s="656"/>
      <c r="M4471" s="657"/>
      <c r="N4471" s="1482"/>
      <c r="O4471" s="656" t="s">
        <v>498</v>
      </c>
      <c r="P4471" s="656" t="s">
        <v>13052</v>
      </c>
      <c r="Q4471" s="656">
        <v>44216.763344907406</v>
      </c>
    </row>
    <row r="4472" spans="1:17">
      <c r="A4472" s="656" t="s">
        <v>6323</v>
      </c>
      <c r="B4472" s="657"/>
      <c r="C4472" s="656" t="s">
        <v>6324</v>
      </c>
      <c r="D4472" s="657" t="s">
        <v>14977</v>
      </c>
      <c r="E4472" s="657"/>
      <c r="F4472" s="656" t="s">
        <v>1394</v>
      </c>
      <c r="G4472" s="656"/>
      <c r="H4472" s="656" t="s">
        <v>1394</v>
      </c>
      <c r="I4472" s="656" t="s">
        <v>14976</v>
      </c>
      <c r="J4472" s="656"/>
      <c r="K4472" s="656"/>
      <c r="L4472" s="656" t="s">
        <v>6323</v>
      </c>
      <c r="M4472" s="657"/>
      <c r="N4472" s="1482"/>
      <c r="O4472" s="656" t="s">
        <v>498</v>
      </c>
      <c r="P4472" s="656" t="s">
        <v>13052</v>
      </c>
      <c r="Q4472" s="656">
        <v>44216.763333333336</v>
      </c>
    </row>
    <row r="4473" spans="1:17">
      <c r="A4473" s="656" t="s">
        <v>6325</v>
      </c>
      <c r="B4473" s="657" t="s">
        <v>202</v>
      </c>
      <c r="C4473" s="656" t="s">
        <v>6326</v>
      </c>
      <c r="D4473" s="657" t="s">
        <v>14978</v>
      </c>
      <c r="E4473" s="657"/>
      <c r="F4473" s="656" t="s">
        <v>1667</v>
      </c>
      <c r="G4473" s="656"/>
      <c r="H4473" s="656" t="s">
        <v>1667</v>
      </c>
      <c r="I4473" s="656" t="s">
        <v>14976</v>
      </c>
      <c r="J4473" s="656"/>
      <c r="K4473" s="656"/>
      <c r="L4473" s="656" t="s">
        <v>6331</v>
      </c>
      <c r="M4473" s="657"/>
      <c r="N4473" s="1482"/>
      <c r="O4473" s="656" t="s">
        <v>498</v>
      </c>
      <c r="P4473" s="656" t="s">
        <v>13052</v>
      </c>
      <c r="Q4473" s="656">
        <v>44216.763321759259</v>
      </c>
    </row>
    <row r="4474" spans="1:17">
      <c r="A4474" s="656" t="s">
        <v>6327</v>
      </c>
      <c r="B4474" s="657" t="s">
        <v>202</v>
      </c>
      <c r="C4474" s="656" t="s">
        <v>6328</v>
      </c>
      <c r="D4474" s="657" t="s">
        <v>14978</v>
      </c>
      <c r="E4474" s="657"/>
      <c r="F4474" s="656" t="s">
        <v>1667</v>
      </c>
      <c r="G4474" s="656"/>
      <c r="H4474" s="656" t="s">
        <v>1667</v>
      </c>
      <c r="I4474" s="656" t="s">
        <v>14976</v>
      </c>
      <c r="J4474" s="656"/>
      <c r="K4474" s="656"/>
      <c r="L4474" s="656" t="s">
        <v>6331</v>
      </c>
      <c r="M4474" s="657"/>
      <c r="N4474" s="1482"/>
      <c r="O4474" s="656" t="s">
        <v>498</v>
      </c>
      <c r="P4474" s="656" t="s">
        <v>13052</v>
      </c>
      <c r="Q4474" s="656">
        <v>44216.763321759259</v>
      </c>
    </row>
    <row r="4475" spans="1:17">
      <c r="A4475" s="656" t="s">
        <v>6329</v>
      </c>
      <c r="B4475" s="657" t="s">
        <v>202</v>
      </c>
      <c r="C4475" s="656" t="s">
        <v>6330</v>
      </c>
      <c r="D4475" s="657" t="s">
        <v>14978</v>
      </c>
      <c r="E4475" s="657"/>
      <c r="F4475" s="656" t="s">
        <v>1667</v>
      </c>
      <c r="G4475" s="656"/>
      <c r="H4475" s="656" t="s">
        <v>1667</v>
      </c>
      <c r="I4475" s="656" t="s">
        <v>14976</v>
      </c>
      <c r="J4475" s="656"/>
      <c r="K4475" s="656"/>
      <c r="L4475" s="656" t="s">
        <v>6331</v>
      </c>
      <c r="M4475" s="657"/>
      <c r="N4475" s="1482"/>
      <c r="O4475" s="656" t="s">
        <v>498</v>
      </c>
      <c r="P4475" s="656" t="s">
        <v>13052</v>
      </c>
      <c r="Q4475" s="656">
        <v>44216.763310185182</v>
      </c>
    </row>
    <row r="4476" spans="1:17">
      <c r="A4476" s="656" t="s">
        <v>6331</v>
      </c>
      <c r="B4476" s="657" t="s">
        <v>202</v>
      </c>
      <c r="C4476" s="656" t="s">
        <v>6332</v>
      </c>
      <c r="D4476" s="657" t="s">
        <v>14977</v>
      </c>
      <c r="E4476" s="657"/>
      <c r="F4476" s="656" t="s">
        <v>1667</v>
      </c>
      <c r="G4476" s="656"/>
      <c r="H4476" s="656" t="s">
        <v>1667</v>
      </c>
      <c r="I4476" s="656" t="s">
        <v>14976</v>
      </c>
      <c r="J4476" s="656"/>
      <c r="K4476" s="656"/>
      <c r="L4476" s="656" t="s">
        <v>6331</v>
      </c>
      <c r="M4476" s="657"/>
      <c r="N4476" s="1482"/>
      <c r="O4476" s="656" t="s">
        <v>498</v>
      </c>
      <c r="P4476" s="656" t="s">
        <v>13052</v>
      </c>
      <c r="Q4476" s="656">
        <v>44216.763298611113</v>
      </c>
    </row>
    <row r="4477" spans="1:17">
      <c r="A4477" s="656" t="s">
        <v>6333</v>
      </c>
      <c r="B4477" s="657"/>
      <c r="C4477" s="656" t="s">
        <v>6334</v>
      </c>
      <c r="D4477" s="657" t="s">
        <v>13789</v>
      </c>
      <c r="E4477" s="657"/>
      <c r="F4477" s="656"/>
      <c r="G4477" s="656" t="s">
        <v>5045</v>
      </c>
      <c r="H4477" s="656"/>
      <c r="I4477" s="656" t="s">
        <v>14976</v>
      </c>
      <c r="J4477" s="656"/>
      <c r="K4477" s="656"/>
      <c r="L4477" s="656"/>
      <c r="M4477" s="657"/>
      <c r="N4477" s="1482"/>
      <c r="O4477" s="656" t="s">
        <v>498</v>
      </c>
      <c r="P4477" s="656" t="s">
        <v>13052</v>
      </c>
      <c r="Q4477" s="656">
        <v>44216.763298611113</v>
      </c>
    </row>
    <row r="4478" spans="1:17">
      <c r="A4478" s="656" t="s">
        <v>6335</v>
      </c>
      <c r="B4478" s="657"/>
      <c r="C4478" s="656" t="s">
        <v>6336</v>
      </c>
      <c r="D4478" s="657" t="s">
        <v>13789</v>
      </c>
      <c r="E4478" s="657"/>
      <c r="F4478" s="656"/>
      <c r="G4478" s="656" t="s">
        <v>5045</v>
      </c>
      <c r="H4478" s="656"/>
      <c r="I4478" s="656" t="s">
        <v>14976</v>
      </c>
      <c r="J4478" s="656"/>
      <c r="K4478" s="656"/>
      <c r="L4478" s="656"/>
      <c r="M4478" s="657"/>
      <c r="N4478" s="1482"/>
      <c r="O4478" s="656" t="s">
        <v>498</v>
      </c>
      <c r="P4478" s="656" t="s">
        <v>13052</v>
      </c>
      <c r="Q4478" s="656">
        <v>44216.763287037036</v>
      </c>
    </row>
    <row r="4479" spans="1:17">
      <c r="A4479" s="656" t="s">
        <v>6337</v>
      </c>
      <c r="B4479" s="657" t="s">
        <v>504</v>
      </c>
      <c r="C4479" s="656" t="s">
        <v>6338</v>
      </c>
      <c r="D4479" s="657"/>
      <c r="E4479" s="657"/>
      <c r="F4479" s="656"/>
      <c r="G4479" s="656" t="s">
        <v>4362</v>
      </c>
      <c r="H4479" s="656"/>
      <c r="I4479" s="656"/>
      <c r="J4479" s="656"/>
      <c r="K4479" s="656"/>
      <c r="L4479" s="656"/>
      <c r="M4479" s="657"/>
      <c r="N4479" s="1482"/>
      <c r="O4479" s="656" t="s">
        <v>498</v>
      </c>
      <c r="P4479" s="656" t="s">
        <v>13052</v>
      </c>
      <c r="Q4479" s="656">
        <v>44216.763287037036</v>
      </c>
    </row>
    <row r="4480" spans="1:17">
      <c r="A4480" s="656" t="s">
        <v>6339</v>
      </c>
      <c r="B4480" s="657" t="s">
        <v>504</v>
      </c>
      <c r="C4480" s="656" t="s">
        <v>6340</v>
      </c>
      <c r="D4480" s="657"/>
      <c r="E4480" s="657"/>
      <c r="F4480" s="656"/>
      <c r="G4480" s="656" t="s">
        <v>4362</v>
      </c>
      <c r="H4480" s="656"/>
      <c r="I4480" s="656"/>
      <c r="J4480" s="656"/>
      <c r="K4480" s="656"/>
      <c r="L4480" s="656"/>
      <c r="M4480" s="657"/>
      <c r="N4480" s="1482"/>
      <c r="O4480" s="656" t="s">
        <v>498</v>
      </c>
      <c r="P4480" s="656" t="s">
        <v>13052</v>
      </c>
      <c r="Q4480" s="656">
        <v>44216.763287037036</v>
      </c>
    </row>
    <row r="4481" spans="1:17">
      <c r="A4481" s="656" t="s">
        <v>6341</v>
      </c>
      <c r="B4481" s="657" t="s">
        <v>504</v>
      </c>
      <c r="C4481" s="656" t="s">
        <v>6342</v>
      </c>
      <c r="D4481" s="657"/>
      <c r="E4481" s="657"/>
      <c r="F4481" s="656"/>
      <c r="G4481" s="656" t="s">
        <v>4362</v>
      </c>
      <c r="H4481" s="656"/>
      <c r="I4481" s="656"/>
      <c r="J4481" s="656"/>
      <c r="K4481" s="656"/>
      <c r="L4481" s="656"/>
      <c r="M4481" s="657"/>
      <c r="N4481" s="1482"/>
      <c r="O4481" s="656" t="s">
        <v>498</v>
      </c>
      <c r="P4481" s="656" t="s">
        <v>13052</v>
      </c>
      <c r="Q4481" s="656">
        <v>44216.763275462959</v>
      </c>
    </row>
    <row r="4482" spans="1:17">
      <c r="A4482" s="656" t="s">
        <v>6343</v>
      </c>
      <c r="B4482" s="657" t="s">
        <v>504</v>
      </c>
      <c r="C4482" s="656" t="s">
        <v>6344</v>
      </c>
      <c r="D4482" s="657"/>
      <c r="E4482" s="657"/>
      <c r="F4482" s="656"/>
      <c r="G4482" s="656" t="s">
        <v>4362</v>
      </c>
      <c r="H4482" s="656"/>
      <c r="I4482" s="656"/>
      <c r="J4482" s="656"/>
      <c r="K4482" s="656"/>
      <c r="L4482" s="656"/>
      <c r="M4482" s="657"/>
      <c r="N4482" s="1482"/>
      <c r="O4482" s="656" t="s">
        <v>498</v>
      </c>
      <c r="P4482" s="656" t="s">
        <v>13052</v>
      </c>
      <c r="Q4482" s="656">
        <v>44216.763275462959</v>
      </c>
    </row>
    <row r="4483" spans="1:17">
      <c r="A4483" s="656" t="s">
        <v>6345</v>
      </c>
      <c r="B4483" s="657" t="s">
        <v>504</v>
      </c>
      <c r="C4483" s="656" t="s">
        <v>6346</v>
      </c>
      <c r="D4483" s="657"/>
      <c r="E4483" s="657"/>
      <c r="F4483" s="656"/>
      <c r="G4483" s="656" t="s">
        <v>4362</v>
      </c>
      <c r="H4483" s="656"/>
      <c r="I4483" s="656"/>
      <c r="J4483" s="656"/>
      <c r="K4483" s="656"/>
      <c r="L4483" s="656"/>
      <c r="M4483" s="657"/>
      <c r="N4483" s="1482"/>
      <c r="O4483" s="656" t="s">
        <v>498</v>
      </c>
      <c r="P4483" s="656" t="s">
        <v>13052</v>
      </c>
      <c r="Q4483" s="656">
        <v>44216.76326388889</v>
      </c>
    </row>
    <row r="4484" spans="1:17">
      <c r="A4484" s="656" t="s">
        <v>6347</v>
      </c>
      <c r="B4484" s="657" t="s">
        <v>504</v>
      </c>
      <c r="C4484" s="656" t="s">
        <v>6348</v>
      </c>
      <c r="D4484" s="657"/>
      <c r="E4484" s="657"/>
      <c r="F4484" s="656"/>
      <c r="G4484" s="656" t="s">
        <v>4362</v>
      </c>
      <c r="H4484" s="656"/>
      <c r="I4484" s="656"/>
      <c r="J4484" s="656"/>
      <c r="K4484" s="656"/>
      <c r="L4484" s="656"/>
      <c r="M4484" s="657"/>
      <c r="N4484" s="1482"/>
      <c r="O4484" s="656" t="s">
        <v>498</v>
      </c>
      <c r="P4484" s="656" t="s">
        <v>13052</v>
      </c>
      <c r="Q4484" s="656">
        <v>44216.76326388889</v>
      </c>
    </row>
    <row r="4485" spans="1:17">
      <c r="A4485" s="656" t="s">
        <v>6349</v>
      </c>
      <c r="B4485" s="657" t="s">
        <v>504</v>
      </c>
      <c r="C4485" s="656" t="s">
        <v>6350</v>
      </c>
      <c r="D4485" s="657"/>
      <c r="E4485" s="657"/>
      <c r="F4485" s="656"/>
      <c r="G4485" s="656" t="s">
        <v>4362</v>
      </c>
      <c r="H4485" s="656"/>
      <c r="I4485" s="656"/>
      <c r="J4485" s="656"/>
      <c r="K4485" s="656"/>
      <c r="L4485" s="656"/>
      <c r="M4485" s="657"/>
      <c r="N4485" s="1482"/>
      <c r="O4485" s="656" t="s">
        <v>498</v>
      </c>
      <c r="P4485" s="656" t="s">
        <v>13052</v>
      </c>
      <c r="Q4485" s="656">
        <v>44216.763252314813</v>
      </c>
    </row>
    <row r="4486" spans="1:17">
      <c r="A4486" s="656" t="s">
        <v>6351</v>
      </c>
      <c r="B4486" s="657" t="s">
        <v>504</v>
      </c>
      <c r="C4486" s="656" t="s">
        <v>6352</v>
      </c>
      <c r="D4486" s="657"/>
      <c r="E4486" s="657"/>
      <c r="F4486" s="656"/>
      <c r="G4486" s="656" t="s">
        <v>4362</v>
      </c>
      <c r="H4486" s="656"/>
      <c r="I4486" s="656"/>
      <c r="J4486" s="656"/>
      <c r="K4486" s="656"/>
      <c r="L4486" s="656"/>
      <c r="M4486" s="657"/>
      <c r="N4486" s="1482"/>
      <c r="O4486" s="656" t="s">
        <v>498</v>
      </c>
      <c r="P4486" s="656" t="s">
        <v>13052</v>
      </c>
      <c r="Q4486" s="656">
        <v>44216.763240740744</v>
      </c>
    </row>
    <row r="4487" spans="1:17">
      <c r="A4487" s="656" t="s">
        <v>6353</v>
      </c>
      <c r="B4487" s="657" t="s">
        <v>504</v>
      </c>
      <c r="C4487" s="656" t="s">
        <v>6354</v>
      </c>
      <c r="D4487" s="657"/>
      <c r="E4487" s="657"/>
      <c r="F4487" s="656"/>
      <c r="G4487" s="656" t="s">
        <v>4362</v>
      </c>
      <c r="H4487" s="656"/>
      <c r="I4487" s="656"/>
      <c r="J4487" s="656"/>
      <c r="K4487" s="656"/>
      <c r="L4487" s="656"/>
      <c r="M4487" s="657"/>
      <c r="N4487" s="1482"/>
      <c r="O4487" s="656" t="s">
        <v>498</v>
      </c>
      <c r="P4487" s="656" t="s">
        <v>13052</v>
      </c>
      <c r="Q4487" s="656">
        <v>44216.763240740744</v>
      </c>
    </row>
    <row r="4488" spans="1:17">
      <c r="A4488" s="656" t="s">
        <v>6355</v>
      </c>
      <c r="B4488" s="657" t="s">
        <v>504</v>
      </c>
      <c r="C4488" s="656" t="s">
        <v>6356</v>
      </c>
      <c r="D4488" s="657"/>
      <c r="E4488" s="657"/>
      <c r="F4488" s="656"/>
      <c r="G4488" s="656" t="s">
        <v>4362</v>
      </c>
      <c r="H4488" s="656"/>
      <c r="I4488" s="656"/>
      <c r="J4488" s="656"/>
      <c r="K4488" s="656"/>
      <c r="L4488" s="656"/>
      <c r="M4488" s="657"/>
      <c r="N4488" s="1482"/>
      <c r="O4488" s="656" t="s">
        <v>498</v>
      </c>
      <c r="P4488" s="656" t="s">
        <v>13052</v>
      </c>
      <c r="Q4488" s="656">
        <v>44216.763229166667</v>
      </c>
    </row>
    <row r="4489" spans="1:17">
      <c r="A4489" s="656" t="s">
        <v>6357</v>
      </c>
      <c r="B4489" s="657" t="s">
        <v>504</v>
      </c>
      <c r="C4489" s="656" t="s">
        <v>6358</v>
      </c>
      <c r="D4489" s="657"/>
      <c r="E4489" s="657"/>
      <c r="F4489" s="656"/>
      <c r="G4489" s="656" t="s">
        <v>4362</v>
      </c>
      <c r="H4489" s="656"/>
      <c r="I4489" s="656"/>
      <c r="J4489" s="656"/>
      <c r="K4489" s="656"/>
      <c r="L4489" s="656"/>
      <c r="M4489" s="657"/>
      <c r="N4489" s="1482"/>
      <c r="O4489" s="656" t="s">
        <v>498</v>
      </c>
      <c r="P4489" s="656" t="s">
        <v>13052</v>
      </c>
      <c r="Q4489" s="656">
        <v>44216.763229166667</v>
      </c>
    </row>
    <row r="4490" spans="1:17">
      <c r="A4490" s="656" t="s">
        <v>6359</v>
      </c>
      <c r="B4490" s="657" t="s">
        <v>504</v>
      </c>
      <c r="C4490" s="656" t="s">
        <v>6360</v>
      </c>
      <c r="D4490" s="657"/>
      <c r="E4490" s="657"/>
      <c r="F4490" s="656"/>
      <c r="G4490" s="656" t="s">
        <v>4362</v>
      </c>
      <c r="H4490" s="656"/>
      <c r="I4490" s="656"/>
      <c r="J4490" s="656"/>
      <c r="K4490" s="656"/>
      <c r="L4490" s="656"/>
      <c r="M4490" s="657"/>
      <c r="N4490" s="1482"/>
      <c r="O4490" s="656" t="s">
        <v>498</v>
      </c>
      <c r="P4490" s="656" t="s">
        <v>13052</v>
      </c>
      <c r="Q4490" s="656">
        <v>44216.76321759259</v>
      </c>
    </row>
    <row r="4491" spans="1:17">
      <c r="A4491" s="656" t="s">
        <v>6361</v>
      </c>
      <c r="B4491" s="657" t="s">
        <v>504</v>
      </c>
      <c r="C4491" s="656" t="s">
        <v>6362</v>
      </c>
      <c r="D4491" s="657"/>
      <c r="E4491" s="657"/>
      <c r="F4491" s="656"/>
      <c r="G4491" s="656" t="s">
        <v>4362</v>
      </c>
      <c r="H4491" s="656"/>
      <c r="I4491" s="656"/>
      <c r="J4491" s="656"/>
      <c r="K4491" s="656"/>
      <c r="L4491" s="656"/>
      <c r="M4491" s="657"/>
      <c r="N4491" s="1482"/>
      <c r="O4491" s="656" t="s">
        <v>498</v>
      </c>
      <c r="P4491" s="656" t="s">
        <v>13052</v>
      </c>
      <c r="Q4491" s="656">
        <v>44216.763206018521</v>
      </c>
    </row>
    <row r="4492" spans="1:17">
      <c r="A4492" s="656" t="s">
        <v>6363</v>
      </c>
      <c r="B4492" s="657" t="s">
        <v>504</v>
      </c>
      <c r="C4492" s="656" t="s">
        <v>6364</v>
      </c>
      <c r="D4492" s="657"/>
      <c r="E4492" s="657"/>
      <c r="F4492" s="656"/>
      <c r="G4492" s="656" t="s">
        <v>4362</v>
      </c>
      <c r="H4492" s="656"/>
      <c r="I4492" s="656"/>
      <c r="J4492" s="656"/>
      <c r="K4492" s="656"/>
      <c r="L4492" s="656"/>
      <c r="M4492" s="657"/>
      <c r="N4492" s="1482"/>
      <c r="O4492" s="656" t="s">
        <v>498</v>
      </c>
      <c r="P4492" s="656" t="s">
        <v>13052</v>
      </c>
      <c r="Q4492" s="656">
        <v>44216.763194444444</v>
      </c>
    </row>
    <row r="4493" spans="1:17">
      <c r="A4493" s="656" t="s">
        <v>6365</v>
      </c>
      <c r="B4493" s="657" t="s">
        <v>504</v>
      </c>
      <c r="C4493" s="656" t="s">
        <v>6366</v>
      </c>
      <c r="D4493" s="657"/>
      <c r="E4493" s="657"/>
      <c r="F4493" s="656"/>
      <c r="G4493" s="656" t="s">
        <v>4362</v>
      </c>
      <c r="H4493" s="656"/>
      <c r="I4493" s="656"/>
      <c r="J4493" s="656"/>
      <c r="K4493" s="656"/>
      <c r="L4493" s="656"/>
      <c r="M4493" s="657"/>
      <c r="N4493" s="1482"/>
      <c r="O4493" s="656" t="s">
        <v>498</v>
      </c>
      <c r="P4493" s="656" t="s">
        <v>13052</v>
      </c>
      <c r="Q4493" s="656">
        <v>44216.763182870367</v>
      </c>
    </row>
    <row r="4494" spans="1:17">
      <c r="A4494" s="656" t="s">
        <v>6367</v>
      </c>
      <c r="B4494" s="657" t="s">
        <v>504</v>
      </c>
      <c r="C4494" s="656" t="s">
        <v>6368</v>
      </c>
      <c r="D4494" s="657"/>
      <c r="E4494" s="657"/>
      <c r="F4494" s="656" t="s">
        <v>505</v>
      </c>
      <c r="G4494" s="656" t="s">
        <v>4324</v>
      </c>
      <c r="H4494" s="656" t="s">
        <v>505</v>
      </c>
      <c r="I4494" s="656"/>
      <c r="J4494" s="656"/>
      <c r="K4494" s="656"/>
      <c r="L4494" s="656"/>
      <c r="M4494" s="657"/>
      <c r="N4494" s="1482"/>
      <c r="O4494" s="656" t="s">
        <v>498</v>
      </c>
      <c r="P4494" s="656" t="s">
        <v>13052</v>
      </c>
      <c r="Q4494" s="656">
        <v>44216.762395833335</v>
      </c>
    </row>
    <row r="4495" spans="1:17">
      <c r="A4495" s="656" t="s">
        <v>6369</v>
      </c>
      <c r="B4495" s="657" t="s">
        <v>504</v>
      </c>
      <c r="C4495" s="656" t="s">
        <v>6370</v>
      </c>
      <c r="D4495" s="657"/>
      <c r="E4495" s="657"/>
      <c r="F4495" s="656" t="s">
        <v>505</v>
      </c>
      <c r="G4495" s="656" t="s">
        <v>4324</v>
      </c>
      <c r="H4495" s="656" t="s">
        <v>505</v>
      </c>
      <c r="I4495" s="656"/>
      <c r="J4495" s="656"/>
      <c r="K4495" s="656"/>
      <c r="L4495" s="656"/>
      <c r="M4495" s="657"/>
      <c r="N4495" s="1482"/>
      <c r="O4495" s="656" t="s">
        <v>498</v>
      </c>
      <c r="P4495" s="656" t="s">
        <v>13052</v>
      </c>
      <c r="Q4495" s="656">
        <v>44216.762395833335</v>
      </c>
    </row>
    <row r="4496" spans="1:17">
      <c r="A4496" s="656" t="s">
        <v>6371</v>
      </c>
      <c r="B4496" s="657" t="s">
        <v>504</v>
      </c>
      <c r="C4496" s="656" t="s">
        <v>6372</v>
      </c>
      <c r="D4496" s="657"/>
      <c r="E4496" s="657"/>
      <c r="F4496" s="656" t="s">
        <v>505</v>
      </c>
      <c r="G4496" s="656" t="s">
        <v>4324</v>
      </c>
      <c r="H4496" s="656" t="s">
        <v>505</v>
      </c>
      <c r="I4496" s="656"/>
      <c r="J4496" s="656"/>
      <c r="K4496" s="656"/>
      <c r="L4496" s="656"/>
      <c r="M4496" s="657"/>
      <c r="N4496" s="1482"/>
      <c r="O4496" s="656" t="s">
        <v>498</v>
      </c>
      <c r="P4496" s="656" t="s">
        <v>13052</v>
      </c>
      <c r="Q4496" s="656">
        <v>44216.762384259258</v>
      </c>
    </row>
    <row r="4497" spans="1:17">
      <c r="A4497" s="656" t="s">
        <v>6373</v>
      </c>
      <c r="B4497" s="657" t="s">
        <v>504</v>
      </c>
      <c r="C4497" s="656" t="s">
        <v>6374</v>
      </c>
      <c r="D4497" s="657"/>
      <c r="E4497" s="657"/>
      <c r="F4497" s="656" t="s">
        <v>505</v>
      </c>
      <c r="G4497" s="656" t="s">
        <v>4324</v>
      </c>
      <c r="H4497" s="656" t="s">
        <v>505</v>
      </c>
      <c r="I4497" s="656"/>
      <c r="J4497" s="656"/>
      <c r="K4497" s="656"/>
      <c r="L4497" s="656"/>
      <c r="M4497" s="657"/>
      <c r="N4497" s="1482"/>
      <c r="O4497" s="656" t="s">
        <v>498</v>
      </c>
      <c r="P4497" s="656" t="s">
        <v>13052</v>
      </c>
      <c r="Q4497" s="656">
        <v>44216.762372685182</v>
      </c>
    </row>
    <row r="4498" spans="1:17">
      <c r="A4498" s="656" t="s">
        <v>6375</v>
      </c>
      <c r="B4498" s="657" t="s">
        <v>504</v>
      </c>
      <c r="C4498" s="656" t="s">
        <v>6376</v>
      </c>
      <c r="D4498" s="657"/>
      <c r="E4498" s="657"/>
      <c r="F4498" s="656" t="s">
        <v>505</v>
      </c>
      <c r="G4498" s="656" t="s">
        <v>4324</v>
      </c>
      <c r="H4498" s="656" t="s">
        <v>505</v>
      </c>
      <c r="I4498" s="656"/>
      <c r="J4498" s="656"/>
      <c r="K4498" s="656"/>
      <c r="L4498" s="656"/>
      <c r="M4498" s="657"/>
      <c r="N4498" s="1482"/>
      <c r="O4498" s="656" t="s">
        <v>498</v>
      </c>
      <c r="P4498" s="656" t="s">
        <v>13052</v>
      </c>
      <c r="Q4498" s="656">
        <v>44216.762372685182</v>
      </c>
    </row>
    <row r="4499" spans="1:17">
      <c r="A4499" s="656" t="s">
        <v>6377</v>
      </c>
      <c r="B4499" s="657" t="s">
        <v>504</v>
      </c>
      <c r="C4499" s="656" t="s">
        <v>6378</v>
      </c>
      <c r="D4499" s="657"/>
      <c r="E4499" s="657"/>
      <c r="F4499" s="656" t="s">
        <v>505</v>
      </c>
      <c r="G4499" s="656" t="s">
        <v>4324</v>
      </c>
      <c r="H4499" s="656" t="s">
        <v>505</v>
      </c>
      <c r="I4499" s="656"/>
      <c r="J4499" s="656"/>
      <c r="K4499" s="656"/>
      <c r="L4499" s="656"/>
      <c r="M4499" s="657"/>
      <c r="N4499" s="1482"/>
      <c r="O4499" s="656" t="s">
        <v>498</v>
      </c>
      <c r="P4499" s="656" t="s">
        <v>13052</v>
      </c>
      <c r="Q4499" s="656">
        <v>44216.762361111112</v>
      </c>
    </row>
    <row r="4500" spans="1:17">
      <c r="A4500" s="656" t="s">
        <v>6379</v>
      </c>
      <c r="B4500" s="657" t="s">
        <v>504</v>
      </c>
      <c r="C4500" s="656" t="s">
        <v>6380</v>
      </c>
      <c r="D4500" s="657"/>
      <c r="E4500" s="657"/>
      <c r="F4500" s="656" t="s">
        <v>505</v>
      </c>
      <c r="G4500" s="656" t="s">
        <v>4324</v>
      </c>
      <c r="H4500" s="656" t="s">
        <v>505</v>
      </c>
      <c r="I4500" s="656"/>
      <c r="J4500" s="656"/>
      <c r="K4500" s="656"/>
      <c r="L4500" s="656"/>
      <c r="M4500" s="657"/>
      <c r="N4500" s="1482"/>
      <c r="O4500" s="656" t="s">
        <v>498</v>
      </c>
      <c r="P4500" s="656" t="s">
        <v>13052</v>
      </c>
      <c r="Q4500" s="656">
        <v>44216.762361111112</v>
      </c>
    </row>
    <row r="4501" spans="1:17">
      <c r="A4501" s="656" t="s">
        <v>6381</v>
      </c>
      <c r="B4501" s="657" t="s">
        <v>504</v>
      </c>
      <c r="C4501" s="656" t="s">
        <v>6382</v>
      </c>
      <c r="D4501" s="657"/>
      <c r="E4501" s="657"/>
      <c r="F4501" s="656"/>
      <c r="G4501" s="656" t="s">
        <v>4347</v>
      </c>
      <c r="H4501" s="656"/>
      <c r="I4501" s="656"/>
      <c r="J4501" s="656"/>
      <c r="K4501" s="656"/>
      <c r="L4501" s="656"/>
      <c r="M4501" s="657"/>
      <c r="N4501" s="1482"/>
      <c r="O4501" s="656" t="s">
        <v>498</v>
      </c>
      <c r="P4501" s="656" t="s">
        <v>13052</v>
      </c>
      <c r="Q4501" s="656">
        <v>44216.762349537035</v>
      </c>
    </row>
    <row r="4502" spans="1:17">
      <c r="A4502" s="656" t="s">
        <v>6383</v>
      </c>
      <c r="B4502" s="657" t="s">
        <v>504</v>
      </c>
      <c r="C4502" s="656" t="s">
        <v>6384</v>
      </c>
      <c r="D4502" s="657"/>
      <c r="E4502" s="657"/>
      <c r="F4502" s="656" t="s">
        <v>505</v>
      </c>
      <c r="G4502" s="656" t="s">
        <v>4394</v>
      </c>
      <c r="H4502" s="656" t="s">
        <v>505</v>
      </c>
      <c r="I4502" s="656"/>
      <c r="J4502" s="656"/>
      <c r="K4502" s="656"/>
      <c r="L4502" s="656"/>
      <c r="M4502" s="657"/>
      <c r="N4502" s="1482"/>
      <c r="O4502" s="656" t="s">
        <v>498</v>
      </c>
      <c r="P4502" s="656" t="s">
        <v>13052</v>
      </c>
      <c r="Q4502" s="656">
        <v>44216.762349537035</v>
      </c>
    </row>
    <row r="4503" spans="1:17">
      <c r="A4503" s="656" t="s">
        <v>6385</v>
      </c>
      <c r="B4503" s="657" t="s">
        <v>504</v>
      </c>
      <c r="C4503" s="656" t="s">
        <v>6386</v>
      </c>
      <c r="D4503" s="657"/>
      <c r="E4503" s="657"/>
      <c r="F4503" s="656" t="s">
        <v>505</v>
      </c>
      <c r="G4503" s="656" t="s">
        <v>4394</v>
      </c>
      <c r="H4503" s="656" t="s">
        <v>505</v>
      </c>
      <c r="I4503" s="656"/>
      <c r="J4503" s="656"/>
      <c r="K4503" s="656"/>
      <c r="L4503" s="656"/>
      <c r="M4503" s="657"/>
      <c r="N4503" s="1482"/>
      <c r="O4503" s="656" t="s">
        <v>498</v>
      </c>
      <c r="P4503" s="656" t="s">
        <v>13052</v>
      </c>
      <c r="Q4503" s="656">
        <v>44216.762337962966</v>
      </c>
    </row>
    <row r="4504" spans="1:17">
      <c r="A4504" s="656" t="s">
        <v>6387</v>
      </c>
      <c r="B4504" s="657"/>
      <c r="C4504" s="656" t="s">
        <v>6388</v>
      </c>
      <c r="D4504" s="657" t="s">
        <v>13789</v>
      </c>
      <c r="E4504" s="657"/>
      <c r="F4504" s="656"/>
      <c r="G4504" s="656" t="s">
        <v>5103</v>
      </c>
      <c r="H4504" s="656"/>
      <c r="I4504" s="656" t="s">
        <v>14976</v>
      </c>
      <c r="J4504" s="656"/>
      <c r="K4504" s="656"/>
      <c r="L4504" s="656"/>
      <c r="M4504" s="657"/>
      <c r="N4504" s="1482"/>
      <c r="O4504" s="656" t="s">
        <v>498</v>
      </c>
      <c r="P4504" s="656" t="s">
        <v>13052</v>
      </c>
      <c r="Q4504" s="656">
        <v>44216.762326388889</v>
      </c>
    </row>
    <row r="4505" spans="1:17">
      <c r="A4505" s="656" t="s">
        <v>6389</v>
      </c>
      <c r="B4505" s="657"/>
      <c r="C4505" s="656" t="s">
        <v>6390</v>
      </c>
      <c r="D4505" s="657" t="s">
        <v>13789</v>
      </c>
      <c r="E4505" s="657"/>
      <c r="F4505" s="656"/>
      <c r="G4505" s="656" t="s">
        <v>5103</v>
      </c>
      <c r="H4505" s="656"/>
      <c r="I4505" s="656" t="s">
        <v>14976</v>
      </c>
      <c r="J4505" s="656"/>
      <c r="K4505" s="656"/>
      <c r="L4505" s="656"/>
      <c r="M4505" s="657"/>
      <c r="N4505" s="1482"/>
      <c r="O4505" s="656" t="s">
        <v>498</v>
      </c>
      <c r="P4505" s="656" t="s">
        <v>13052</v>
      </c>
      <c r="Q4505" s="656">
        <v>44216.762326388889</v>
      </c>
    </row>
    <row r="4506" spans="1:17">
      <c r="A4506" s="656" t="s">
        <v>6391</v>
      </c>
      <c r="B4506" s="657"/>
      <c r="C4506" s="656" t="s">
        <v>6392</v>
      </c>
      <c r="D4506" s="657" t="s">
        <v>13789</v>
      </c>
      <c r="E4506" s="657"/>
      <c r="F4506" s="656"/>
      <c r="G4506" s="656" t="s">
        <v>5103</v>
      </c>
      <c r="H4506" s="656"/>
      <c r="I4506" s="656" t="s">
        <v>14976</v>
      </c>
      <c r="J4506" s="656"/>
      <c r="K4506" s="656"/>
      <c r="L4506" s="656"/>
      <c r="M4506" s="657"/>
      <c r="N4506" s="1482"/>
      <c r="O4506" s="656" t="s">
        <v>498</v>
      </c>
      <c r="P4506" s="656" t="s">
        <v>13052</v>
      </c>
      <c r="Q4506" s="656">
        <v>44216.762314814812</v>
      </c>
    </row>
    <row r="4507" spans="1:17">
      <c r="A4507" s="656" t="s">
        <v>6393</v>
      </c>
      <c r="B4507" s="657"/>
      <c r="C4507" s="656" t="s">
        <v>6394</v>
      </c>
      <c r="D4507" s="657" t="s">
        <v>13789</v>
      </c>
      <c r="E4507" s="657"/>
      <c r="F4507" s="656"/>
      <c r="G4507" s="656" t="s">
        <v>5103</v>
      </c>
      <c r="H4507" s="656"/>
      <c r="I4507" s="656" t="s">
        <v>14976</v>
      </c>
      <c r="J4507" s="656"/>
      <c r="K4507" s="656"/>
      <c r="L4507" s="656"/>
      <c r="M4507" s="657"/>
      <c r="N4507" s="1482"/>
      <c r="O4507" s="656" t="s">
        <v>498</v>
      </c>
      <c r="P4507" s="656" t="s">
        <v>13052</v>
      </c>
      <c r="Q4507" s="656">
        <v>44216.762314814812</v>
      </c>
    </row>
    <row r="4508" spans="1:17">
      <c r="A4508" s="656" t="s">
        <v>6395</v>
      </c>
      <c r="B4508" s="657"/>
      <c r="C4508" s="656" t="s">
        <v>6396</v>
      </c>
      <c r="D4508" s="657" t="s">
        <v>13789</v>
      </c>
      <c r="E4508" s="657"/>
      <c r="F4508" s="656"/>
      <c r="G4508" s="656" t="s">
        <v>5103</v>
      </c>
      <c r="H4508" s="656"/>
      <c r="I4508" s="656" t="s">
        <v>14976</v>
      </c>
      <c r="J4508" s="656"/>
      <c r="K4508" s="656"/>
      <c r="L4508" s="656"/>
      <c r="M4508" s="657"/>
      <c r="N4508" s="1482"/>
      <c r="O4508" s="656" t="s">
        <v>498</v>
      </c>
      <c r="P4508" s="656" t="s">
        <v>13052</v>
      </c>
      <c r="Q4508" s="656">
        <v>44216.762303240743</v>
      </c>
    </row>
    <row r="4509" spans="1:17">
      <c r="A4509" s="656" t="s">
        <v>13147</v>
      </c>
      <c r="B4509" s="657" t="s">
        <v>202</v>
      </c>
      <c r="C4509" s="656" t="s">
        <v>13148</v>
      </c>
      <c r="D4509" s="657" t="s">
        <v>13789</v>
      </c>
      <c r="E4509" s="657"/>
      <c r="F4509" s="656" t="s">
        <v>1300</v>
      </c>
      <c r="G4509" s="656" t="s">
        <v>4198</v>
      </c>
      <c r="H4509" s="656" t="s">
        <v>1300</v>
      </c>
      <c r="I4509" s="656" t="s">
        <v>14976</v>
      </c>
      <c r="J4509" s="656"/>
      <c r="K4509" s="656"/>
      <c r="L4509" s="656"/>
      <c r="M4509" s="657"/>
      <c r="N4509" s="1482"/>
      <c r="O4509" s="656" t="s">
        <v>498</v>
      </c>
      <c r="P4509" s="656" t="s">
        <v>13052</v>
      </c>
      <c r="Q4509" s="656">
        <v>44216.762303240743</v>
      </c>
    </row>
    <row r="4510" spans="1:17">
      <c r="A4510" s="656" t="s">
        <v>6397</v>
      </c>
      <c r="B4510" s="657"/>
      <c r="C4510" s="656" t="s">
        <v>6398</v>
      </c>
      <c r="D4510" s="657" t="s">
        <v>13789</v>
      </c>
      <c r="E4510" s="657"/>
      <c r="F4510" s="656"/>
      <c r="G4510" s="656" t="s">
        <v>5045</v>
      </c>
      <c r="H4510" s="656"/>
      <c r="I4510" s="656" t="s">
        <v>14976</v>
      </c>
      <c r="J4510" s="656"/>
      <c r="K4510" s="656"/>
      <c r="L4510" s="656"/>
      <c r="M4510" s="657"/>
      <c r="N4510" s="1482"/>
      <c r="O4510" s="656" t="s">
        <v>498</v>
      </c>
      <c r="P4510" s="656" t="s">
        <v>13052</v>
      </c>
      <c r="Q4510" s="656">
        <v>44216.762291666666</v>
      </c>
    </row>
    <row r="4511" spans="1:17">
      <c r="A4511" s="656" t="s">
        <v>6399</v>
      </c>
      <c r="B4511" s="657" t="s">
        <v>504</v>
      </c>
      <c r="C4511" s="656" t="s">
        <v>6400</v>
      </c>
      <c r="D4511" s="657"/>
      <c r="E4511" s="657"/>
      <c r="F4511" s="656" t="s">
        <v>505</v>
      </c>
      <c r="G4511" s="656" t="s">
        <v>4394</v>
      </c>
      <c r="H4511" s="656" t="s">
        <v>505</v>
      </c>
      <c r="I4511" s="656"/>
      <c r="J4511" s="656"/>
      <c r="K4511" s="656"/>
      <c r="L4511" s="656"/>
      <c r="M4511" s="657"/>
      <c r="N4511" s="1482"/>
      <c r="O4511" s="656" t="s">
        <v>498</v>
      </c>
      <c r="P4511" s="656" t="s">
        <v>13052</v>
      </c>
      <c r="Q4511" s="656">
        <v>44216.762291666666</v>
      </c>
    </row>
    <row r="4512" spans="1:17">
      <c r="A4512" s="656" t="s">
        <v>6401</v>
      </c>
      <c r="B4512" s="657" t="s">
        <v>504</v>
      </c>
      <c r="C4512" s="656" t="s">
        <v>6402</v>
      </c>
      <c r="D4512" s="657"/>
      <c r="E4512" s="657"/>
      <c r="F4512" s="656" t="s">
        <v>505</v>
      </c>
      <c r="G4512" s="656" t="s">
        <v>4394</v>
      </c>
      <c r="H4512" s="656" t="s">
        <v>505</v>
      </c>
      <c r="I4512" s="656"/>
      <c r="J4512" s="656"/>
      <c r="K4512" s="656"/>
      <c r="L4512" s="656"/>
      <c r="M4512" s="657"/>
      <c r="N4512" s="1482"/>
      <c r="O4512" s="656" t="s">
        <v>498</v>
      </c>
      <c r="P4512" s="656" t="s">
        <v>13052</v>
      </c>
      <c r="Q4512" s="656">
        <v>44216.762280092589</v>
      </c>
    </row>
    <row r="4513" spans="1:17">
      <c r="A4513" s="656" t="s">
        <v>6403</v>
      </c>
      <c r="B4513" s="657" t="s">
        <v>504</v>
      </c>
      <c r="C4513" s="656" t="s">
        <v>6404</v>
      </c>
      <c r="D4513" s="657"/>
      <c r="E4513" s="657"/>
      <c r="F4513" s="656" t="s">
        <v>505</v>
      </c>
      <c r="G4513" s="656" t="s">
        <v>4394</v>
      </c>
      <c r="H4513" s="656" t="s">
        <v>505</v>
      </c>
      <c r="I4513" s="656"/>
      <c r="J4513" s="656"/>
      <c r="K4513" s="656"/>
      <c r="L4513" s="656"/>
      <c r="M4513" s="657"/>
      <c r="N4513" s="1482"/>
      <c r="O4513" s="656" t="s">
        <v>498</v>
      </c>
      <c r="P4513" s="656" t="s">
        <v>13052</v>
      </c>
      <c r="Q4513" s="656">
        <v>44216.762280092589</v>
      </c>
    </row>
    <row r="4514" spans="1:17">
      <c r="A4514" s="656" t="s">
        <v>6405</v>
      </c>
      <c r="B4514" s="657" t="s">
        <v>504</v>
      </c>
      <c r="C4514" s="656" t="s">
        <v>6406</v>
      </c>
      <c r="D4514" s="657"/>
      <c r="E4514" s="657"/>
      <c r="F4514" s="656"/>
      <c r="G4514" s="656" t="s">
        <v>4198</v>
      </c>
      <c r="H4514" s="656"/>
      <c r="I4514" s="656"/>
      <c r="J4514" s="656"/>
      <c r="K4514" s="656"/>
      <c r="L4514" s="656"/>
      <c r="M4514" s="657"/>
      <c r="N4514" s="1482"/>
      <c r="O4514" s="656" t="s">
        <v>498</v>
      </c>
      <c r="P4514" s="656" t="s">
        <v>13052</v>
      </c>
      <c r="Q4514" s="656">
        <v>44216.76226851852</v>
      </c>
    </row>
    <row r="4515" spans="1:17">
      <c r="A4515" s="656" t="s">
        <v>6407</v>
      </c>
      <c r="B4515" s="657" t="s">
        <v>504</v>
      </c>
      <c r="C4515" s="656" t="s">
        <v>6408</v>
      </c>
      <c r="D4515" s="657"/>
      <c r="E4515" s="657"/>
      <c r="F4515" s="656" t="s">
        <v>505</v>
      </c>
      <c r="G4515" s="656" t="s">
        <v>4394</v>
      </c>
      <c r="H4515" s="656" t="s">
        <v>505</v>
      </c>
      <c r="I4515" s="656"/>
      <c r="J4515" s="656"/>
      <c r="K4515" s="656"/>
      <c r="L4515" s="656"/>
      <c r="M4515" s="657"/>
      <c r="N4515" s="1482"/>
      <c r="O4515" s="656" t="s">
        <v>498</v>
      </c>
      <c r="P4515" s="656" t="s">
        <v>13052</v>
      </c>
      <c r="Q4515" s="656">
        <v>44216.76226851852</v>
      </c>
    </row>
    <row r="4516" spans="1:17">
      <c r="A4516" s="656" t="s">
        <v>6409</v>
      </c>
      <c r="B4516" s="657" t="s">
        <v>504</v>
      </c>
      <c r="C4516" s="656" t="s">
        <v>6410</v>
      </c>
      <c r="D4516" s="657"/>
      <c r="E4516" s="657"/>
      <c r="F4516" s="656" t="s">
        <v>505</v>
      </c>
      <c r="G4516" s="656" t="s">
        <v>4394</v>
      </c>
      <c r="H4516" s="656" t="s">
        <v>505</v>
      </c>
      <c r="I4516" s="656"/>
      <c r="J4516" s="656"/>
      <c r="K4516" s="656"/>
      <c r="L4516" s="656"/>
      <c r="M4516" s="657"/>
      <c r="N4516" s="1482"/>
      <c r="O4516" s="656" t="s">
        <v>498</v>
      </c>
      <c r="P4516" s="656" t="s">
        <v>13052</v>
      </c>
      <c r="Q4516" s="656">
        <v>44216.762256944443</v>
      </c>
    </row>
    <row r="4517" spans="1:17">
      <c r="A4517" s="656" t="s">
        <v>10175</v>
      </c>
      <c r="B4517" s="657" t="s">
        <v>202</v>
      </c>
      <c r="C4517" s="656" t="s">
        <v>13146</v>
      </c>
      <c r="D4517" s="657" t="s">
        <v>13789</v>
      </c>
      <c r="E4517" s="657"/>
      <c r="F4517" s="656" t="s">
        <v>1300</v>
      </c>
      <c r="G4517" s="656" t="s">
        <v>4198</v>
      </c>
      <c r="H4517" s="656" t="s">
        <v>1300</v>
      </c>
      <c r="I4517" s="656" t="s">
        <v>14976</v>
      </c>
      <c r="J4517" s="656"/>
      <c r="K4517" s="656"/>
      <c r="L4517" s="656"/>
      <c r="M4517" s="657"/>
      <c r="N4517" s="1482"/>
      <c r="O4517" s="656" t="s">
        <v>498</v>
      </c>
      <c r="P4517" s="656" t="s">
        <v>13052</v>
      </c>
      <c r="Q4517" s="656">
        <v>44216.762256944443</v>
      </c>
    </row>
    <row r="4518" spans="1:17">
      <c r="A4518" s="656" t="s">
        <v>6411</v>
      </c>
      <c r="B4518" s="657"/>
      <c r="C4518" s="656" t="s">
        <v>6412</v>
      </c>
      <c r="D4518" s="657" t="s">
        <v>13789</v>
      </c>
      <c r="E4518" s="657"/>
      <c r="F4518" s="656"/>
      <c r="G4518" s="656" t="s">
        <v>5103</v>
      </c>
      <c r="H4518" s="656"/>
      <c r="I4518" s="656" t="s">
        <v>14976</v>
      </c>
      <c r="J4518" s="656"/>
      <c r="K4518" s="656"/>
      <c r="L4518" s="656"/>
      <c r="M4518" s="657"/>
      <c r="N4518" s="1482"/>
      <c r="O4518" s="656" t="s">
        <v>498</v>
      </c>
      <c r="P4518" s="656" t="s">
        <v>13052</v>
      </c>
      <c r="Q4518" s="656">
        <v>44216.762245370373</v>
      </c>
    </row>
    <row r="4519" spans="1:17">
      <c r="A4519" s="656" t="s">
        <v>6413</v>
      </c>
      <c r="B4519" s="657" t="s">
        <v>504</v>
      </c>
      <c r="C4519" s="656" t="s">
        <v>6414</v>
      </c>
      <c r="D4519" s="657"/>
      <c r="E4519" s="657"/>
      <c r="F4519" s="656" t="s">
        <v>1300</v>
      </c>
      <c r="G4519" s="656" t="s">
        <v>4198</v>
      </c>
      <c r="H4519" s="656" t="s">
        <v>1300</v>
      </c>
      <c r="I4519" s="656"/>
      <c r="J4519" s="656"/>
      <c r="K4519" s="656"/>
      <c r="L4519" s="656"/>
      <c r="M4519" s="657"/>
      <c r="N4519" s="1482"/>
      <c r="O4519" s="656" t="s">
        <v>498</v>
      </c>
      <c r="P4519" s="656" t="s">
        <v>13052</v>
      </c>
      <c r="Q4519" s="656">
        <v>44216.762245370373</v>
      </c>
    </row>
    <row r="4520" spans="1:17">
      <c r="A4520" s="656" t="s">
        <v>6415</v>
      </c>
      <c r="B4520" s="657"/>
      <c r="C4520" s="656" t="s">
        <v>6416</v>
      </c>
      <c r="D4520" s="657" t="s">
        <v>1239</v>
      </c>
      <c r="E4520" s="657"/>
      <c r="F4520" s="656"/>
      <c r="G4520" s="656" t="s">
        <v>5045</v>
      </c>
      <c r="H4520" s="656"/>
      <c r="I4520" s="656" t="s">
        <v>14976</v>
      </c>
      <c r="J4520" s="656"/>
      <c r="K4520" s="656"/>
      <c r="L4520" s="656"/>
      <c r="M4520" s="657"/>
      <c r="N4520" s="1482"/>
      <c r="O4520" s="656" t="s">
        <v>498</v>
      </c>
      <c r="P4520" s="656" t="s">
        <v>13052</v>
      </c>
      <c r="Q4520" s="656">
        <v>44216.762245370373</v>
      </c>
    </row>
    <row r="4521" spans="1:17">
      <c r="A4521" s="656" t="s">
        <v>6417</v>
      </c>
      <c r="B4521" s="657"/>
      <c r="C4521" s="656" t="s">
        <v>6418</v>
      </c>
      <c r="D4521" s="657" t="s">
        <v>13789</v>
      </c>
      <c r="E4521" s="657"/>
      <c r="F4521" s="656"/>
      <c r="G4521" s="656" t="s">
        <v>5045</v>
      </c>
      <c r="H4521" s="656"/>
      <c r="I4521" s="656" t="s">
        <v>14976</v>
      </c>
      <c r="J4521" s="656"/>
      <c r="K4521" s="656"/>
      <c r="L4521" s="656"/>
      <c r="M4521" s="657"/>
      <c r="N4521" s="1482"/>
      <c r="O4521" s="656" t="s">
        <v>498</v>
      </c>
      <c r="P4521" s="656" t="s">
        <v>13052</v>
      </c>
      <c r="Q4521" s="656">
        <v>44216.762233796297</v>
      </c>
    </row>
    <row r="4522" spans="1:17">
      <c r="A4522" s="656" t="s">
        <v>6419</v>
      </c>
      <c r="B4522" s="657" t="s">
        <v>504</v>
      </c>
      <c r="C4522" s="656" t="s">
        <v>6420</v>
      </c>
      <c r="D4522" s="657"/>
      <c r="E4522" s="657"/>
      <c r="F4522" s="656" t="s">
        <v>505</v>
      </c>
      <c r="G4522" s="656" t="s">
        <v>4394</v>
      </c>
      <c r="H4522" s="656" t="s">
        <v>505</v>
      </c>
      <c r="I4522" s="656"/>
      <c r="J4522" s="656"/>
      <c r="K4522" s="656"/>
      <c r="L4522" s="656"/>
      <c r="M4522" s="657"/>
      <c r="N4522" s="1482"/>
      <c r="O4522" s="656" t="s">
        <v>498</v>
      </c>
      <c r="P4522" s="656" t="s">
        <v>13052</v>
      </c>
      <c r="Q4522" s="656">
        <v>44216.762233796297</v>
      </c>
    </row>
    <row r="4523" spans="1:17">
      <c r="A4523" s="656" t="s">
        <v>6421</v>
      </c>
      <c r="B4523" s="657"/>
      <c r="C4523" s="656" t="s">
        <v>6054</v>
      </c>
      <c r="D4523" s="657" t="s">
        <v>13789</v>
      </c>
      <c r="E4523" s="657"/>
      <c r="F4523" s="656"/>
      <c r="G4523" s="656" t="s">
        <v>5103</v>
      </c>
      <c r="H4523" s="656"/>
      <c r="I4523" s="656" t="s">
        <v>14976</v>
      </c>
      <c r="J4523" s="656"/>
      <c r="K4523" s="656"/>
      <c r="L4523" s="656"/>
      <c r="M4523" s="657"/>
      <c r="N4523" s="1482"/>
      <c r="O4523" s="656" t="s">
        <v>498</v>
      </c>
      <c r="P4523" s="656" t="s">
        <v>13052</v>
      </c>
      <c r="Q4523" s="656">
        <v>44216.76222222222</v>
      </c>
    </row>
    <row r="4524" spans="1:17">
      <c r="A4524" s="656" t="s">
        <v>6422</v>
      </c>
      <c r="B4524" s="657"/>
      <c r="C4524" s="656" t="s">
        <v>6056</v>
      </c>
      <c r="D4524" s="657" t="s">
        <v>13789</v>
      </c>
      <c r="E4524" s="657"/>
      <c r="F4524" s="656"/>
      <c r="G4524" s="656" t="s">
        <v>5103</v>
      </c>
      <c r="H4524" s="656"/>
      <c r="I4524" s="656" t="s">
        <v>14976</v>
      </c>
      <c r="J4524" s="656"/>
      <c r="K4524" s="656"/>
      <c r="L4524" s="656"/>
      <c r="M4524" s="657"/>
      <c r="N4524" s="1482"/>
      <c r="O4524" s="656" t="s">
        <v>498</v>
      </c>
      <c r="P4524" s="656" t="s">
        <v>13052</v>
      </c>
      <c r="Q4524" s="656">
        <v>44216.76222222222</v>
      </c>
    </row>
    <row r="4525" spans="1:17">
      <c r="A4525" s="656" t="s">
        <v>6423</v>
      </c>
      <c r="B4525" s="657" t="s">
        <v>504</v>
      </c>
      <c r="C4525" s="656" t="s">
        <v>6424</v>
      </c>
      <c r="D4525" s="657"/>
      <c r="E4525" s="657"/>
      <c r="F4525" s="656" t="s">
        <v>505</v>
      </c>
      <c r="G4525" s="656" t="s">
        <v>4394</v>
      </c>
      <c r="H4525" s="656" t="s">
        <v>505</v>
      </c>
      <c r="I4525" s="656"/>
      <c r="J4525" s="656"/>
      <c r="K4525" s="656"/>
      <c r="L4525" s="656"/>
      <c r="M4525" s="657"/>
      <c r="N4525" s="1482"/>
      <c r="O4525" s="656" t="s">
        <v>498</v>
      </c>
      <c r="P4525" s="656" t="s">
        <v>13052</v>
      </c>
      <c r="Q4525" s="656">
        <v>44216.76221064815</v>
      </c>
    </row>
    <row r="4526" spans="1:17">
      <c r="A4526" s="656" t="s">
        <v>6425</v>
      </c>
      <c r="B4526" s="657" t="s">
        <v>504</v>
      </c>
      <c r="C4526" s="656" t="s">
        <v>6426</v>
      </c>
      <c r="D4526" s="657"/>
      <c r="E4526" s="657"/>
      <c r="F4526" s="656" t="s">
        <v>505</v>
      </c>
      <c r="G4526" s="656" t="s">
        <v>4394</v>
      </c>
      <c r="H4526" s="656" t="s">
        <v>505</v>
      </c>
      <c r="I4526" s="656"/>
      <c r="J4526" s="656"/>
      <c r="K4526" s="656"/>
      <c r="L4526" s="656"/>
      <c r="M4526" s="657"/>
      <c r="N4526" s="1482"/>
      <c r="O4526" s="656" t="s">
        <v>498</v>
      </c>
      <c r="P4526" s="656" t="s">
        <v>13052</v>
      </c>
      <c r="Q4526" s="656">
        <v>44216.76221064815</v>
      </c>
    </row>
    <row r="4527" spans="1:17">
      <c r="A4527" s="656" t="s">
        <v>6427</v>
      </c>
      <c r="B4527" s="657" t="s">
        <v>504</v>
      </c>
      <c r="C4527" s="656" t="s">
        <v>6428</v>
      </c>
      <c r="D4527" s="657"/>
      <c r="E4527" s="657"/>
      <c r="F4527" s="656" t="s">
        <v>505</v>
      </c>
      <c r="G4527" s="656" t="s">
        <v>4394</v>
      </c>
      <c r="H4527" s="656" t="s">
        <v>505</v>
      </c>
      <c r="I4527" s="656"/>
      <c r="J4527" s="656"/>
      <c r="K4527" s="656"/>
      <c r="L4527" s="656"/>
      <c r="M4527" s="657"/>
      <c r="N4527" s="1482"/>
      <c r="O4527" s="656" t="s">
        <v>498</v>
      </c>
      <c r="P4527" s="656" t="s">
        <v>13052</v>
      </c>
      <c r="Q4527" s="656">
        <v>44216.76221064815</v>
      </c>
    </row>
    <row r="4528" spans="1:17">
      <c r="A4528" s="656" t="s">
        <v>6429</v>
      </c>
      <c r="B4528" s="657" t="s">
        <v>504</v>
      </c>
      <c r="C4528" s="656" t="s">
        <v>6430</v>
      </c>
      <c r="D4528" s="657"/>
      <c r="E4528" s="657"/>
      <c r="F4528" s="656" t="s">
        <v>505</v>
      </c>
      <c r="G4528" s="656" t="s">
        <v>4394</v>
      </c>
      <c r="H4528" s="656" t="s">
        <v>505</v>
      </c>
      <c r="I4528" s="656"/>
      <c r="J4528" s="656"/>
      <c r="K4528" s="656"/>
      <c r="L4528" s="656"/>
      <c r="M4528" s="657"/>
      <c r="N4528" s="1482"/>
      <c r="O4528" s="656" t="s">
        <v>498</v>
      </c>
      <c r="P4528" s="656" t="s">
        <v>13052</v>
      </c>
      <c r="Q4528" s="656">
        <v>44216.762199074074</v>
      </c>
    </row>
    <row r="4529" spans="1:17">
      <c r="A4529" s="656" t="s">
        <v>6431</v>
      </c>
      <c r="B4529" s="657" t="s">
        <v>504</v>
      </c>
      <c r="C4529" s="656" t="s">
        <v>6432</v>
      </c>
      <c r="D4529" s="657"/>
      <c r="E4529" s="657"/>
      <c r="F4529" s="656" t="s">
        <v>505</v>
      </c>
      <c r="G4529" s="656" t="s">
        <v>4394</v>
      </c>
      <c r="H4529" s="656" t="s">
        <v>505</v>
      </c>
      <c r="I4529" s="656"/>
      <c r="J4529" s="656"/>
      <c r="K4529" s="656"/>
      <c r="L4529" s="656"/>
      <c r="M4529" s="657"/>
      <c r="N4529" s="1482"/>
      <c r="O4529" s="656" t="s">
        <v>498</v>
      </c>
      <c r="P4529" s="656" t="s">
        <v>13052</v>
      </c>
      <c r="Q4529" s="656">
        <v>44216.762199074074</v>
      </c>
    </row>
    <row r="4530" spans="1:17">
      <c r="A4530" s="656" t="s">
        <v>6433</v>
      </c>
      <c r="B4530" s="657" t="s">
        <v>504</v>
      </c>
      <c r="C4530" s="656" t="s">
        <v>6434</v>
      </c>
      <c r="D4530" s="657"/>
      <c r="E4530" s="657"/>
      <c r="F4530" s="656" t="s">
        <v>505</v>
      </c>
      <c r="G4530" s="656" t="s">
        <v>4394</v>
      </c>
      <c r="H4530" s="656" t="s">
        <v>505</v>
      </c>
      <c r="I4530" s="656"/>
      <c r="J4530" s="656"/>
      <c r="K4530" s="656"/>
      <c r="L4530" s="656"/>
      <c r="M4530" s="657"/>
      <c r="N4530" s="1482"/>
      <c r="O4530" s="656" t="s">
        <v>498</v>
      </c>
      <c r="P4530" s="656" t="s">
        <v>13052</v>
      </c>
      <c r="Q4530" s="656">
        <v>44216.762187499997</v>
      </c>
    </row>
    <row r="4531" spans="1:17">
      <c r="A4531" s="656" t="s">
        <v>13141</v>
      </c>
      <c r="B4531" s="657" t="s">
        <v>504</v>
      </c>
      <c r="C4531" s="656" t="s">
        <v>6435</v>
      </c>
      <c r="D4531" s="657" t="s">
        <v>14977</v>
      </c>
      <c r="E4531" s="657" t="s">
        <v>9654</v>
      </c>
      <c r="F4531" s="656" t="s">
        <v>505</v>
      </c>
      <c r="G4531" s="656" t="s">
        <v>525</v>
      </c>
      <c r="H4531" s="656" t="s">
        <v>505</v>
      </c>
      <c r="I4531" s="656" t="s">
        <v>14976</v>
      </c>
      <c r="J4531" s="656"/>
      <c r="K4531" s="656"/>
      <c r="L4531" s="656"/>
      <c r="M4531" s="657"/>
      <c r="N4531" s="1482"/>
      <c r="O4531" s="656" t="s">
        <v>498</v>
      </c>
      <c r="P4531" s="656" t="s">
        <v>13052</v>
      </c>
      <c r="Q4531" s="656">
        <v>44216.762175925927</v>
      </c>
    </row>
    <row r="4532" spans="1:17">
      <c r="A4532" s="656" t="s">
        <v>6436</v>
      </c>
      <c r="B4532" s="657" t="s">
        <v>504</v>
      </c>
      <c r="C4532" s="656" t="s">
        <v>6437</v>
      </c>
      <c r="D4532" s="657" t="s">
        <v>14977</v>
      </c>
      <c r="E4532" s="657" t="s">
        <v>9654</v>
      </c>
      <c r="F4532" s="656" t="s">
        <v>505</v>
      </c>
      <c r="G4532" s="656" t="s">
        <v>525</v>
      </c>
      <c r="H4532" s="656" t="s">
        <v>505</v>
      </c>
      <c r="I4532" s="656" t="s">
        <v>14976</v>
      </c>
      <c r="J4532" s="656"/>
      <c r="K4532" s="656"/>
      <c r="L4532" s="656"/>
      <c r="M4532" s="657"/>
      <c r="N4532" s="1482"/>
      <c r="O4532" s="656" t="s">
        <v>498</v>
      </c>
      <c r="P4532" s="656" t="s">
        <v>13052</v>
      </c>
      <c r="Q4532" s="656">
        <v>44216.762175925927</v>
      </c>
    </row>
    <row r="4533" spans="1:17">
      <c r="A4533" s="656" t="s">
        <v>6438</v>
      </c>
      <c r="B4533" s="657"/>
      <c r="C4533" s="656" t="s">
        <v>6054</v>
      </c>
      <c r="D4533" s="657" t="s">
        <v>13789</v>
      </c>
      <c r="E4533" s="657"/>
      <c r="F4533" s="656"/>
      <c r="G4533" s="656" t="s">
        <v>5103</v>
      </c>
      <c r="H4533" s="656"/>
      <c r="I4533" s="656" t="s">
        <v>14976</v>
      </c>
      <c r="J4533" s="656"/>
      <c r="K4533" s="656"/>
      <c r="L4533" s="656"/>
      <c r="M4533" s="657"/>
      <c r="N4533" s="1482"/>
      <c r="O4533" s="656" t="s">
        <v>498</v>
      </c>
      <c r="P4533" s="656" t="s">
        <v>13052</v>
      </c>
      <c r="Q4533" s="656">
        <v>44216.762164351851</v>
      </c>
    </row>
    <row r="4534" spans="1:17">
      <c r="A4534" s="656" t="s">
        <v>6439</v>
      </c>
      <c r="B4534" s="657"/>
      <c r="C4534" s="656" t="s">
        <v>6056</v>
      </c>
      <c r="D4534" s="657" t="s">
        <v>13789</v>
      </c>
      <c r="E4534" s="657"/>
      <c r="F4534" s="656"/>
      <c r="G4534" s="656" t="s">
        <v>5103</v>
      </c>
      <c r="H4534" s="656"/>
      <c r="I4534" s="656" t="s">
        <v>14976</v>
      </c>
      <c r="J4534" s="656"/>
      <c r="K4534" s="656"/>
      <c r="L4534" s="656"/>
      <c r="M4534" s="657"/>
      <c r="N4534" s="1482"/>
      <c r="O4534" s="656" t="s">
        <v>498</v>
      </c>
      <c r="P4534" s="656" t="s">
        <v>13052</v>
      </c>
      <c r="Q4534" s="656">
        <v>44216.762152777781</v>
      </c>
    </row>
    <row r="4535" spans="1:17">
      <c r="A4535" s="656" t="s">
        <v>6440</v>
      </c>
      <c r="B4535" s="657" t="s">
        <v>504</v>
      </c>
      <c r="C4535" s="656" t="s">
        <v>6441</v>
      </c>
      <c r="D4535" s="657"/>
      <c r="E4535" s="657"/>
      <c r="F4535" s="656" t="s">
        <v>505</v>
      </c>
      <c r="G4535" s="656" t="s">
        <v>4394</v>
      </c>
      <c r="H4535" s="656" t="s">
        <v>505</v>
      </c>
      <c r="I4535" s="656"/>
      <c r="J4535" s="656"/>
      <c r="K4535" s="656"/>
      <c r="L4535" s="656"/>
      <c r="M4535" s="657"/>
      <c r="N4535" s="1482"/>
      <c r="O4535" s="656" t="s">
        <v>498</v>
      </c>
      <c r="P4535" s="656" t="s">
        <v>13052</v>
      </c>
      <c r="Q4535" s="656">
        <v>44216.762152777781</v>
      </c>
    </row>
    <row r="4536" spans="1:17">
      <c r="A4536" s="656" t="s">
        <v>6442</v>
      </c>
      <c r="B4536" s="657" t="s">
        <v>504</v>
      </c>
      <c r="C4536" s="656" t="s">
        <v>6443</v>
      </c>
      <c r="D4536" s="657" t="s">
        <v>13789</v>
      </c>
      <c r="E4536" s="657" t="s">
        <v>9510</v>
      </c>
      <c r="F4536" s="656" t="s">
        <v>505</v>
      </c>
      <c r="G4536" s="656" t="s">
        <v>1293</v>
      </c>
      <c r="H4536" s="656" t="s">
        <v>505</v>
      </c>
      <c r="I4536" s="656" t="s">
        <v>14976</v>
      </c>
      <c r="J4536" s="656"/>
      <c r="K4536" s="656"/>
      <c r="L4536" s="656"/>
      <c r="M4536" s="657"/>
      <c r="N4536" s="1482"/>
      <c r="O4536" s="656" t="s">
        <v>498</v>
      </c>
      <c r="P4536" s="656" t="s">
        <v>13052</v>
      </c>
      <c r="Q4536" s="656">
        <v>44216.762141203704</v>
      </c>
    </row>
    <row r="4537" spans="1:17">
      <c r="A4537" s="656" t="s">
        <v>9664</v>
      </c>
      <c r="B4537" s="657" t="s">
        <v>504</v>
      </c>
      <c r="C4537" s="656" t="s">
        <v>9663</v>
      </c>
      <c r="D4537" s="657" t="s">
        <v>14977</v>
      </c>
      <c r="E4537" s="657" t="s">
        <v>7437</v>
      </c>
      <c r="F4537" s="656" t="s">
        <v>505</v>
      </c>
      <c r="G4537" s="656" t="s">
        <v>1293</v>
      </c>
      <c r="H4537" s="656" t="s">
        <v>505</v>
      </c>
      <c r="I4537" s="656" t="s">
        <v>14976</v>
      </c>
      <c r="J4537" s="656"/>
      <c r="K4537" s="656"/>
      <c r="L4537" s="656" t="s">
        <v>15292</v>
      </c>
      <c r="M4537" s="657"/>
      <c r="N4537" s="1482"/>
      <c r="O4537" s="656" t="s">
        <v>498</v>
      </c>
      <c r="P4537" s="656" t="s">
        <v>13052</v>
      </c>
      <c r="Q4537" s="656">
        <v>44216.762129629627</v>
      </c>
    </row>
    <row r="4538" spans="1:17">
      <c r="A4538" s="656" t="s">
        <v>6444</v>
      </c>
      <c r="B4538" s="657" t="s">
        <v>504</v>
      </c>
      <c r="C4538" s="656" t="s">
        <v>6445</v>
      </c>
      <c r="D4538" s="657"/>
      <c r="E4538" s="657"/>
      <c r="F4538" s="656" t="s">
        <v>505</v>
      </c>
      <c r="G4538" s="656" t="s">
        <v>4394</v>
      </c>
      <c r="H4538" s="656" t="s">
        <v>505</v>
      </c>
      <c r="I4538" s="656"/>
      <c r="J4538" s="656"/>
      <c r="K4538" s="656"/>
      <c r="L4538" s="656"/>
      <c r="M4538" s="657"/>
      <c r="N4538" s="1482"/>
      <c r="O4538" s="656" t="s">
        <v>498</v>
      </c>
      <c r="P4538" s="656" t="s">
        <v>13052</v>
      </c>
      <c r="Q4538" s="656">
        <v>44216.762141203704</v>
      </c>
    </row>
    <row r="4539" spans="1:17">
      <c r="A4539" s="656" t="s">
        <v>6446</v>
      </c>
      <c r="B4539" s="657" t="s">
        <v>504</v>
      </c>
      <c r="C4539" s="656" t="s">
        <v>6447</v>
      </c>
      <c r="D4539" s="657"/>
      <c r="E4539" s="657"/>
      <c r="F4539" s="656" t="s">
        <v>505</v>
      </c>
      <c r="G4539" s="656" t="s">
        <v>4394</v>
      </c>
      <c r="H4539" s="656" t="s">
        <v>505</v>
      </c>
      <c r="I4539" s="656"/>
      <c r="J4539" s="656"/>
      <c r="K4539" s="656"/>
      <c r="L4539" s="656"/>
      <c r="M4539" s="657"/>
      <c r="N4539" s="1482"/>
      <c r="O4539" s="656" t="s">
        <v>498</v>
      </c>
      <c r="P4539" s="656" t="s">
        <v>13052</v>
      </c>
      <c r="Q4539" s="656">
        <v>44216.762118055558</v>
      </c>
    </row>
    <row r="4540" spans="1:17">
      <c r="A4540" s="656" t="s">
        <v>6448</v>
      </c>
      <c r="B4540" s="657" t="s">
        <v>504</v>
      </c>
      <c r="C4540" s="656" t="s">
        <v>6449</v>
      </c>
      <c r="D4540" s="657"/>
      <c r="E4540" s="657"/>
      <c r="F4540" s="656" t="s">
        <v>505</v>
      </c>
      <c r="G4540" s="656" t="s">
        <v>4394</v>
      </c>
      <c r="H4540" s="656" t="s">
        <v>505</v>
      </c>
      <c r="I4540" s="656"/>
      <c r="J4540" s="656"/>
      <c r="K4540" s="656"/>
      <c r="L4540" s="656"/>
      <c r="M4540" s="657"/>
      <c r="N4540" s="1482"/>
      <c r="O4540" s="656" t="s">
        <v>498</v>
      </c>
      <c r="P4540" s="656" t="s">
        <v>13052</v>
      </c>
      <c r="Q4540" s="656">
        <v>44216.762118055558</v>
      </c>
    </row>
    <row r="4541" spans="1:17">
      <c r="A4541" s="656" t="s">
        <v>6450</v>
      </c>
      <c r="B4541" s="657" t="s">
        <v>504</v>
      </c>
      <c r="C4541" s="656" t="s">
        <v>6451</v>
      </c>
      <c r="D4541" s="657"/>
      <c r="E4541" s="657"/>
      <c r="F4541" s="656" t="s">
        <v>505</v>
      </c>
      <c r="G4541" s="656" t="s">
        <v>4394</v>
      </c>
      <c r="H4541" s="656" t="s">
        <v>505</v>
      </c>
      <c r="I4541" s="656"/>
      <c r="J4541" s="656"/>
      <c r="K4541" s="656"/>
      <c r="L4541" s="656"/>
      <c r="M4541" s="657"/>
      <c r="N4541" s="1482"/>
      <c r="O4541" s="656" t="s">
        <v>498</v>
      </c>
      <c r="P4541" s="656" t="s">
        <v>13052</v>
      </c>
      <c r="Q4541" s="656">
        <v>44216.762106481481</v>
      </c>
    </row>
    <row r="4542" spans="1:17">
      <c r="A4542" s="656" t="s">
        <v>6452</v>
      </c>
      <c r="B4542" s="657" t="s">
        <v>504</v>
      </c>
      <c r="C4542" s="656" t="s">
        <v>6453</v>
      </c>
      <c r="D4542" s="657"/>
      <c r="E4542" s="657"/>
      <c r="F4542" s="656" t="s">
        <v>505</v>
      </c>
      <c r="G4542" s="656" t="s">
        <v>4394</v>
      </c>
      <c r="H4542" s="656" t="s">
        <v>505</v>
      </c>
      <c r="I4542" s="656"/>
      <c r="J4542" s="656"/>
      <c r="K4542" s="656"/>
      <c r="L4542" s="656"/>
      <c r="M4542" s="657"/>
      <c r="N4542" s="1482"/>
      <c r="O4542" s="656" t="s">
        <v>498</v>
      </c>
      <c r="P4542" s="656" t="s">
        <v>13052</v>
      </c>
      <c r="Q4542" s="656">
        <v>44216.762106481481</v>
      </c>
    </row>
    <row r="4543" spans="1:17">
      <c r="A4543" s="656" t="s">
        <v>6454</v>
      </c>
      <c r="B4543" s="657" t="s">
        <v>504</v>
      </c>
      <c r="C4543" s="656" t="s">
        <v>6455</v>
      </c>
      <c r="D4543" s="657"/>
      <c r="E4543" s="657"/>
      <c r="F4543" s="656" t="s">
        <v>505</v>
      </c>
      <c r="G4543" s="656" t="s">
        <v>4394</v>
      </c>
      <c r="H4543" s="656" t="s">
        <v>505</v>
      </c>
      <c r="I4543" s="656"/>
      <c r="J4543" s="656"/>
      <c r="K4543" s="656"/>
      <c r="L4543" s="656"/>
      <c r="M4543" s="657"/>
      <c r="N4543" s="1482"/>
      <c r="O4543" s="656" t="s">
        <v>498</v>
      </c>
      <c r="P4543" s="656" t="s">
        <v>13052</v>
      </c>
      <c r="Q4543" s="656">
        <v>44216.762094907404</v>
      </c>
    </row>
    <row r="4544" spans="1:17">
      <c r="A4544" s="656" t="s">
        <v>6456</v>
      </c>
      <c r="B4544" s="657" t="s">
        <v>504</v>
      </c>
      <c r="C4544" s="656" t="s">
        <v>6457</v>
      </c>
      <c r="D4544" s="657"/>
      <c r="E4544" s="657"/>
      <c r="F4544" s="656" t="s">
        <v>505</v>
      </c>
      <c r="G4544" s="656" t="s">
        <v>4394</v>
      </c>
      <c r="H4544" s="656" t="s">
        <v>505</v>
      </c>
      <c r="I4544" s="656"/>
      <c r="J4544" s="656"/>
      <c r="K4544" s="656"/>
      <c r="L4544" s="656"/>
      <c r="M4544" s="657"/>
      <c r="N4544" s="1482"/>
      <c r="O4544" s="656" t="s">
        <v>498</v>
      </c>
      <c r="P4544" s="656" t="s">
        <v>13052</v>
      </c>
      <c r="Q4544" s="656">
        <v>44216.762094907404</v>
      </c>
    </row>
    <row r="4545" spans="1:17">
      <c r="A4545" s="656" t="s">
        <v>6458</v>
      </c>
      <c r="B4545" s="657"/>
      <c r="C4545" s="656" t="s">
        <v>6459</v>
      </c>
      <c r="D4545" s="657" t="s">
        <v>13789</v>
      </c>
      <c r="E4545" s="657"/>
      <c r="F4545" s="656"/>
      <c r="G4545" s="656" t="s">
        <v>5045</v>
      </c>
      <c r="H4545" s="656"/>
      <c r="I4545" s="656" t="s">
        <v>14976</v>
      </c>
      <c r="J4545" s="656"/>
      <c r="K4545" s="656"/>
      <c r="L4545" s="656"/>
      <c r="M4545" s="657"/>
      <c r="N4545" s="1482"/>
      <c r="O4545" s="656" t="s">
        <v>498</v>
      </c>
      <c r="P4545" s="656" t="s">
        <v>13052</v>
      </c>
      <c r="Q4545" s="656">
        <v>44216.762083333335</v>
      </c>
    </row>
    <row r="4546" spans="1:17">
      <c r="A4546" s="656" t="s">
        <v>6460</v>
      </c>
      <c r="B4546" s="657" t="s">
        <v>504</v>
      </c>
      <c r="C4546" s="656" t="s">
        <v>6461</v>
      </c>
      <c r="D4546" s="657"/>
      <c r="E4546" s="657"/>
      <c r="F4546" s="656" t="s">
        <v>505</v>
      </c>
      <c r="G4546" s="656" t="s">
        <v>4394</v>
      </c>
      <c r="H4546" s="656" t="s">
        <v>505</v>
      </c>
      <c r="I4546" s="656"/>
      <c r="J4546" s="656"/>
      <c r="K4546" s="656"/>
      <c r="L4546" s="656"/>
      <c r="M4546" s="657"/>
      <c r="N4546" s="1482"/>
      <c r="O4546" s="656" t="s">
        <v>498</v>
      </c>
      <c r="P4546" s="656" t="s">
        <v>13052</v>
      </c>
      <c r="Q4546" s="656">
        <v>44216.762083333335</v>
      </c>
    </row>
    <row r="4547" spans="1:17">
      <c r="A4547" s="656" t="s">
        <v>6462</v>
      </c>
      <c r="B4547" s="657" t="s">
        <v>504</v>
      </c>
      <c r="C4547" s="656" t="s">
        <v>6463</v>
      </c>
      <c r="D4547" s="657"/>
      <c r="E4547" s="657"/>
      <c r="F4547" s="656" t="s">
        <v>505</v>
      </c>
      <c r="G4547" s="656" t="s">
        <v>4394</v>
      </c>
      <c r="H4547" s="656" t="s">
        <v>505</v>
      </c>
      <c r="I4547" s="656"/>
      <c r="J4547" s="656"/>
      <c r="K4547" s="656"/>
      <c r="L4547" s="656"/>
      <c r="M4547" s="657"/>
      <c r="N4547" s="1482"/>
      <c r="O4547" s="656" t="s">
        <v>498</v>
      </c>
      <c r="P4547" s="656" t="s">
        <v>13052</v>
      </c>
      <c r="Q4547" s="656">
        <v>44216.762083333335</v>
      </c>
    </row>
    <row r="4548" spans="1:17">
      <c r="A4548" s="656" t="s">
        <v>6464</v>
      </c>
      <c r="B4548" s="657" t="s">
        <v>504</v>
      </c>
      <c r="C4548" s="656" t="s">
        <v>6465</v>
      </c>
      <c r="D4548" s="657"/>
      <c r="E4548" s="657"/>
      <c r="F4548" s="656" t="s">
        <v>505</v>
      </c>
      <c r="G4548" s="656" t="s">
        <v>4394</v>
      </c>
      <c r="H4548" s="656" t="s">
        <v>505</v>
      </c>
      <c r="I4548" s="656"/>
      <c r="J4548" s="656"/>
      <c r="K4548" s="656"/>
      <c r="L4548" s="656"/>
      <c r="M4548" s="657"/>
      <c r="N4548" s="1482"/>
      <c r="O4548" s="656" t="s">
        <v>498</v>
      </c>
      <c r="P4548" s="656" t="s">
        <v>13052</v>
      </c>
      <c r="Q4548" s="656">
        <v>44216.762071759258</v>
      </c>
    </row>
    <row r="4549" spans="1:17">
      <c r="A4549" s="656" t="s">
        <v>6466</v>
      </c>
      <c r="B4549" s="657"/>
      <c r="C4549" s="656" t="s">
        <v>6467</v>
      </c>
      <c r="D4549" s="657" t="s">
        <v>13789</v>
      </c>
      <c r="E4549" s="657"/>
      <c r="F4549" s="656"/>
      <c r="G4549" s="656" t="s">
        <v>5103</v>
      </c>
      <c r="H4549" s="656"/>
      <c r="I4549" s="656" t="s">
        <v>14976</v>
      </c>
      <c r="J4549" s="656"/>
      <c r="K4549" s="656"/>
      <c r="L4549" s="656"/>
      <c r="M4549" s="657"/>
      <c r="N4549" s="1482"/>
      <c r="O4549" s="656" t="s">
        <v>498</v>
      </c>
      <c r="P4549" s="656" t="s">
        <v>13052</v>
      </c>
      <c r="Q4549" s="656">
        <v>44216.762071759258</v>
      </c>
    </row>
    <row r="4550" spans="1:17">
      <c r="A4550" s="656" t="s">
        <v>6468</v>
      </c>
      <c r="B4550" s="657" t="s">
        <v>504</v>
      </c>
      <c r="C4550" s="656" t="s">
        <v>6469</v>
      </c>
      <c r="D4550" s="657"/>
      <c r="E4550" s="657"/>
      <c r="F4550" s="656" t="s">
        <v>505</v>
      </c>
      <c r="G4550" s="656" t="s">
        <v>4394</v>
      </c>
      <c r="H4550" s="656" t="s">
        <v>505</v>
      </c>
      <c r="I4550" s="656"/>
      <c r="J4550" s="656"/>
      <c r="K4550" s="656"/>
      <c r="L4550" s="656"/>
      <c r="M4550" s="657"/>
      <c r="N4550" s="1482"/>
      <c r="O4550" s="656" t="s">
        <v>498</v>
      </c>
      <c r="P4550" s="656" t="s">
        <v>13052</v>
      </c>
      <c r="Q4550" s="656">
        <v>44216.762060185189</v>
      </c>
    </row>
    <row r="4551" spans="1:17">
      <c r="A4551" s="656" t="s">
        <v>6470</v>
      </c>
      <c r="B4551" s="657" t="s">
        <v>504</v>
      </c>
      <c r="C4551" s="656" t="s">
        <v>6471</v>
      </c>
      <c r="D4551" s="657"/>
      <c r="E4551" s="657"/>
      <c r="F4551" s="656" t="s">
        <v>505</v>
      </c>
      <c r="G4551" s="656" t="s">
        <v>4394</v>
      </c>
      <c r="H4551" s="656" t="s">
        <v>505</v>
      </c>
      <c r="I4551" s="656"/>
      <c r="J4551" s="656"/>
      <c r="K4551" s="656"/>
      <c r="L4551" s="656"/>
      <c r="M4551" s="657"/>
      <c r="N4551" s="1482"/>
      <c r="O4551" s="656" t="s">
        <v>498</v>
      </c>
      <c r="P4551" s="656" t="s">
        <v>13052</v>
      </c>
      <c r="Q4551" s="656">
        <v>44216.762071759258</v>
      </c>
    </row>
    <row r="4552" spans="1:17">
      <c r="A4552" s="656" t="s">
        <v>6472</v>
      </c>
      <c r="B4552" s="657" t="s">
        <v>504</v>
      </c>
      <c r="C4552" s="656" t="s">
        <v>6473</v>
      </c>
      <c r="D4552" s="657"/>
      <c r="E4552" s="657"/>
      <c r="F4552" s="656" t="s">
        <v>505</v>
      </c>
      <c r="G4552" s="656" t="s">
        <v>4394</v>
      </c>
      <c r="H4552" s="656" t="s">
        <v>505</v>
      </c>
      <c r="I4552" s="656"/>
      <c r="J4552" s="656"/>
      <c r="K4552" s="656"/>
      <c r="L4552" s="656"/>
      <c r="M4552" s="657"/>
      <c r="N4552" s="1482"/>
      <c r="O4552" s="656" t="s">
        <v>498</v>
      </c>
      <c r="P4552" s="656" t="s">
        <v>13052</v>
      </c>
      <c r="Q4552" s="656">
        <v>44216.762060185189</v>
      </c>
    </row>
    <row r="4553" spans="1:17">
      <c r="A4553" s="656" t="s">
        <v>6474</v>
      </c>
      <c r="B4553" s="657" t="s">
        <v>504</v>
      </c>
      <c r="C4553" s="656" t="s">
        <v>6475</v>
      </c>
      <c r="D4553" s="657"/>
      <c r="E4553" s="657"/>
      <c r="F4553" s="656" t="s">
        <v>505</v>
      </c>
      <c r="G4553" s="656" t="s">
        <v>4394</v>
      </c>
      <c r="H4553" s="656" t="s">
        <v>505</v>
      </c>
      <c r="I4553" s="656"/>
      <c r="J4553" s="656"/>
      <c r="K4553" s="656"/>
      <c r="L4553" s="656"/>
      <c r="M4553" s="657"/>
      <c r="N4553" s="1482"/>
      <c r="O4553" s="656" t="s">
        <v>498</v>
      </c>
      <c r="P4553" s="656" t="s">
        <v>13052</v>
      </c>
      <c r="Q4553" s="656">
        <v>44216.762048611112</v>
      </c>
    </row>
    <row r="4554" spans="1:17">
      <c r="A4554" s="656" t="s">
        <v>6476</v>
      </c>
      <c r="B4554" s="657" t="s">
        <v>504</v>
      </c>
      <c r="C4554" s="656" t="s">
        <v>6477</v>
      </c>
      <c r="D4554" s="657"/>
      <c r="E4554" s="657"/>
      <c r="F4554" s="656" t="s">
        <v>505</v>
      </c>
      <c r="G4554" s="656" t="s">
        <v>4394</v>
      </c>
      <c r="H4554" s="656" t="s">
        <v>505</v>
      </c>
      <c r="I4554" s="656"/>
      <c r="J4554" s="656"/>
      <c r="K4554" s="656"/>
      <c r="L4554" s="656"/>
      <c r="M4554" s="657"/>
      <c r="N4554" s="1482"/>
      <c r="O4554" s="656" t="s">
        <v>498</v>
      </c>
      <c r="P4554" s="656" t="s">
        <v>13052</v>
      </c>
      <c r="Q4554" s="656">
        <v>44216.762048611112</v>
      </c>
    </row>
    <row r="4555" spans="1:17">
      <c r="A4555" s="656" t="s">
        <v>6478</v>
      </c>
      <c r="B4555" s="657" t="s">
        <v>504</v>
      </c>
      <c r="C4555" s="656" t="s">
        <v>6479</v>
      </c>
      <c r="D4555" s="657"/>
      <c r="E4555" s="657"/>
      <c r="F4555" s="656"/>
      <c r="G4555" s="656" t="s">
        <v>5642</v>
      </c>
      <c r="H4555" s="656"/>
      <c r="I4555" s="656"/>
      <c r="J4555" s="656"/>
      <c r="K4555" s="656"/>
      <c r="L4555" s="656"/>
      <c r="M4555" s="657"/>
      <c r="N4555" s="1482"/>
      <c r="O4555" s="656" t="s">
        <v>498</v>
      </c>
      <c r="P4555" s="656" t="s">
        <v>13052</v>
      </c>
      <c r="Q4555" s="656">
        <v>44216.762037037035</v>
      </c>
    </row>
    <row r="4556" spans="1:17">
      <c r="A4556" s="656" t="s">
        <v>6480</v>
      </c>
      <c r="B4556" s="657" t="s">
        <v>504</v>
      </c>
      <c r="C4556" s="656" t="s">
        <v>6481</v>
      </c>
      <c r="D4556" s="657"/>
      <c r="E4556" s="657"/>
      <c r="F4556" s="656"/>
      <c r="G4556" s="656" t="s">
        <v>5642</v>
      </c>
      <c r="H4556" s="656"/>
      <c r="I4556" s="656"/>
      <c r="J4556" s="656"/>
      <c r="K4556" s="656"/>
      <c r="L4556" s="656"/>
      <c r="M4556" s="657"/>
      <c r="N4556" s="1482"/>
      <c r="O4556" s="656" t="s">
        <v>498</v>
      </c>
      <c r="P4556" s="656" t="s">
        <v>13052</v>
      </c>
      <c r="Q4556" s="656">
        <v>44216.762037037035</v>
      </c>
    </row>
    <row r="4557" spans="1:17">
      <c r="A4557" s="656" t="s">
        <v>6482</v>
      </c>
      <c r="B4557" s="657" t="s">
        <v>504</v>
      </c>
      <c r="C4557" s="656" t="s">
        <v>6483</v>
      </c>
      <c r="D4557" s="657"/>
      <c r="E4557" s="657"/>
      <c r="F4557" s="656"/>
      <c r="G4557" s="656" t="s">
        <v>5642</v>
      </c>
      <c r="H4557" s="656"/>
      <c r="I4557" s="656"/>
      <c r="J4557" s="656"/>
      <c r="K4557" s="656"/>
      <c r="L4557" s="656"/>
      <c r="M4557" s="657"/>
      <c r="N4557" s="1482"/>
      <c r="O4557" s="656" t="s">
        <v>498</v>
      </c>
      <c r="P4557" s="656" t="s">
        <v>13052</v>
      </c>
      <c r="Q4557" s="656">
        <v>44216.762025462966</v>
      </c>
    </row>
    <row r="4558" spans="1:17">
      <c r="A4558" s="656" t="s">
        <v>6484</v>
      </c>
      <c r="B4558" s="657" t="s">
        <v>504</v>
      </c>
      <c r="C4558" s="656" t="s">
        <v>6485</v>
      </c>
      <c r="D4558" s="657"/>
      <c r="E4558" s="657"/>
      <c r="F4558" s="656"/>
      <c r="G4558" s="656" t="s">
        <v>5642</v>
      </c>
      <c r="H4558" s="656"/>
      <c r="I4558" s="656"/>
      <c r="J4558" s="656"/>
      <c r="K4558" s="656"/>
      <c r="L4558" s="656"/>
      <c r="M4558" s="657"/>
      <c r="N4558" s="1482"/>
      <c r="O4558" s="656" t="s">
        <v>498</v>
      </c>
      <c r="P4558" s="656" t="s">
        <v>13052</v>
      </c>
      <c r="Q4558" s="656">
        <v>44216.762013888889</v>
      </c>
    </row>
    <row r="4559" spans="1:17">
      <c r="A4559" s="656" t="s">
        <v>6486</v>
      </c>
      <c r="B4559" s="657"/>
      <c r="C4559" s="656" t="s">
        <v>6487</v>
      </c>
      <c r="D4559" s="657" t="s">
        <v>13789</v>
      </c>
      <c r="E4559" s="657"/>
      <c r="F4559" s="656"/>
      <c r="G4559" s="656" t="s">
        <v>5045</v>
      </c>
      <c r="H4559" s="656"/>
      <c r="I4559" s="656" t="s">
        <v>14976</v>
      </c>
      <c r="J4559" s="656"/>
      <c r="K4559" s="656"/>
      <c r="L4559" s="656"/>
      <c r="M4559" s="657"/>
      <c r="N4559" s="1482"/>
      <c r="O4559" s="656" t="s">
        <v>498</v>
      </c>
      <c r="P4559" s="656" t="s">
        <v>13052</v>
      </c>
      <c r="Q4559" s="656">
        <v>44216.762002314812</v>
      </c>
    </row>
    <row r="4560" spans="1:17">
      <c r="A4560" s="656" t="s">
        <v>13137</v>
      </c>
      <c r="B4560" s="657" t="s">
        <v>202</v>
      </c>
      <c r="C4560" s="656" t="s">
        <v>13138</v>
      </c>
      <c r="D4560" s="657" t="s">
        <v>13789</v>
      </c>
      <c r="E4560" s="657"/>
      <c r="F4560" s="656" t="s">
        <v>1300</v>
      </c>
      <c r="G4560" s="656" t="s">
        <v>4198</v>
      </c>
      <c r="H4560" s="656" t="s">
        <v>1300</v>
      </c>
      <c r="I4560" s="656" t="s">
        <v>14976</v>
      </c>
      <c r="J4560" s="656"/>
      <c r="K4560" s="656"/>
      <c r="L4560" s="656"/>
      <c r="M4560" s="657"/>
      <c r="N4560" s="1482"/>
      <c r="O4560" s="656" t="s">
        <v>498</v>
      </c>
      <c r="P4560" s="656" t="s">
        <v>13052</v>
      </c>
      <c r="Q4560" s="656">
        <v>44216.762002314812</v>
      </c>
    </row>
    <row r="4561" spans="1:17">
      <c r="A4561" s="656" t="s">
        <v>6488</v>
      </c>
      <c r="B4561" s="657" t="s">
        <v>504</v>
      </c>
      <c r="C4561" s="656" t="s">
        <v>6489</v>
      </c>
      <c r="D4561" s="657"/>
      <c r="E4561" s="657"/>
      <c r="F4561" s="656"/>
      <c r="G4561" s="656" t="s">
        <v>5103</v>
      </c>
      <c r="H4561" s="656"/>
      <c r="I4561" s="656"/>
      <c r="J4561" s="656"/>
      <c r="K4561" s="656"/>
      <c r="L4561" s="656"/>
      <c r="M4561" s="657"/>
      <c r="N4561" s="1482"/>
      <c r="O4561" s="656" t="s">
        <v>498</v>
      </c>
      <c r="P4561" s="656" t="s">
        <v>13052</v>
      </c>
      <c r="Q4561" s="656">
        <v>44216.761990740742</v>
      </c>
    </row>
    <row r="4562" spans="1:17">
      <c r="A4562" s="656" t="s">
        <v>6490</v>
      </c>
      <c r="B4562" s="657" t="s">
        <v>504</v>
      </c>
      <c r="C4562" s="656" t="s">
        <v>6491</v>
      </c>
      <c r="D4562" s="657"/>
      <c r="E4562" s="657"/>
      <c r="F4562" s="656"/>
      <c r="G4562" s="656" t="s">
        <v>5103</v>
      </c>
      <c r="H4562" s="656"/>
      <c r="I4562" s="656"/>
      <c r="J4562" s="656"/>
      <c r="K4562" s="656"/>
      <c r="L4562" s="656"/>
      <c r="M4562" s="657"/>
      <c r="N4562" s="1482"/>
      <c r="O4562" s="656" t="s">
        <v>498</v>
      </c>
      <c r="P4562" s="656" t="s">
        <v>13052</v>
      </c>
      <c r="Q4562" s="656">
        <v>44216.761979166666</v>
      </c>
    </row>
    <row r="4563" spans="1:17">
      <c r="A4563" s="656" t="s">
        <v>6492</v>
      </c>
      <c r="B4563" s="657" t="s">
        <v>504</v>
      </c>
      <c r="C4563" s="656" t="s">
        <v>6493</v>
      </c>
      <c r="D4563" s="657"/>
      <c r="E4563" s="657"/>
      <c r="F4563" s="656"/>
      <c r="G4563" s="656" t="s">
        <v>5103</v>
      </c>
      <c r="H4563" s="656"/>
      <c r="I4563" s="656"/>
      <c r="J4563" s="656"/>
      <c r="K4563" s="656"/>
      <c r="L4563" s="656"/>
      <c r="M4563" s="657"/>
      <c r="N4563" s="1482"/>
      <c r="O4563" s="656" t="s">
        <v>498</v>
      </c>
      <c r="P4563" s="656" t="s">
        <v>13052</v>
      </c>
      <c r="Q4563" s="656">
        <v>44216.761979166666</v>
      </c>
    </row>
    <row r="4564" spans="1:17">
      <c r="A4564" s="656" t="s">
        <v>6494</v>
      </c>
      <c r="B4564" s="657" t="s">
        <v>504</v>
      </c>
      <c r="C4564" s="656" t="s">
        <v>6495</v>
      </c>
      <c r="D4564" s="657"/>
      <c r="E4564" s="657"/>
      <c r="F4564" s="656"/>
      <c r="G4564" s="656" t="s">
        <v>5103</v>
      </c>
      <c r="H4564" s="656"/>
      <c r="I4564" s="656"/>
      <c r="J4564" s="656"/>
      <c r="K4564" s="656"/>
      <c r="L4564" s="656"/>
      <c r="M4564" s="657"/>
      <c r="N4564" s="1482"/>
      <c r="O4564" s="656" t="s">
        <v>498</v>
      </c>
      <c r="P4564" s="656" t="s">
        <v>13052</v>
      </c>
      <c r="Q4564" s="656">
        <v>44216.761967592596</v>
      </c>
    </row>
    <row r="4565" spans="1:17">
      <c r="A4565" s="656" t="s">
        <v>13135</v>
      </c>
      <c r="B4565" s="657" t="s">
        <v>202</v>
      </c>
      <c r="C4565" s="656" t="s">
        <v>13136</v>
      </c>
      <c r="D4565" s="657" t="s">
        <v>13789</v>
      </c>
      <c r="E4565" s="657"/>
      <c r="F4565" s="656"/>
      <c r="G4565" s="656" t="s">
        <v>5238</v>
      </c>
      <c r="H4565" s="656"/>
      <c r="I4565" s="656" t="s">
        <v>14976</v>
      </c>
      <c r="J4565" s="656"/>
      <c r="K4565" s="656"/>
      <c r="L4565" s="656"/>
      <c r="M4565" s="657"/>
      <c r="N4565" s="1482"/>
      <c r="O4565" s="656" t="s">
        <v>498</v>
      </c>
      <c r="P4565" s="656" t="s">
        <v>13052</v>
      </c>
      <c r="Q4565" s="656">
        <v>44216.761967592596</v>
      </c>
    </row>
    <row r="4566" spans="1:17">
      <c r="A4566" s="656" t="s">
        <v>6496</v>
      </c>
      <c r="B4566" s="657"/>
      <c r="C4566" s="656" t="s">
        <v>6497</v>
      </c>
      <c r="D4566" s="657" t="s">
        <v>13789</v>
      </c>
      <c r="E4566" s="657"/>
      <c r="F4566" s="656"/>
      <c r="G4566" s="656" t="s">
        <v>5103</v>
      </c>
      <c r="H4566" s="656"/>
      <c r="I4566" s="656" t="s">
        <v>14976</v>
      </c>
      <c r="J4566" s="656"/>
      <c r="K4566" s="656"/>
      <c r="L4566" s="656"/>
      <c r="M4566" s="657"/>
      <c r="N4566" s="1482"/>
      <c r="O4566" s="656" t="s">
        <v>498</v>
      </c>
      <c r="P4566" s="656" t="s">
        <v>13052</v>
      </c>
      <c r="Q4566" s="656">
        <v>44216.761956018519</v>
      </c>
    </row>
    <row r="4567" spans="1:17">
      <c r="A4567" s="656" t="s">
        <v>6498</v>
      </c>
      <c r="B4567" s="657"/>
      <c r="C4567" s="656" t="s">
        <v>6499</v>
      </c>
      <c r="D4567" s="657" t="s">
        <v>13789</v>
      </c>
      <c r="E4567" s="657"/>
      <c r="F4567" s="656"/>
      <c r="G4567" s="656" t="s">
        <v>4198</v>
      </c>
      <c r="H4567" s="656"/>
      <c r="I4567" s="656" t="s">
        <v>14976</v>
      </c>
      <c r="J4567" s="656"/>
      <c r="K4567" s="656"/>
      <c r="L4567" s="656"/>
      <c r="M4567" s="657"/>
      <c r="N4567" s="1482"/>
      <c r="O4567" s="656" t="s">
        <v>498</v>
      </c>
      <c r="P4567" s="656" t="s">
        <v>13052</v>
      </c>
      <c r="Q4567" s="656">
        <v>44216.761956018519</v>
      </c>
    </row>
    <row r="4568" spans="1:17">
      <c r="A4568" s="656" t="s">
        <v>13133</v>
      </c>
      <c r="B4568" s="657" t="s">
        <v>202</v>
      </c>
      <c r="C4568" s="656" t="s">
        <v>13134</v>
      </c>
      <c r="D4568" s="657" t="s">
        <v>13789</v>
      </c>
      <c r="E4568" s="657"/>
      <c r="F4568" s="656" t="s">
        <v>1300</v>
      </c>
      <c r="G4568" s="656" t="s">
        <v>4198</v>
      </c>
      <c r="H4568" s="656" t="s">
        <v>1300</v>
      </c>
      <c r="I4568" s="656" t="s">
        <v>14976</v>
      </c>
      <c r="J4568" s="656"/>
      <c r="K4568" s="656"/>
      <c r="L4568" s="656"/>
      <c r="M4568" s="657"/>
      <c r="N4568" s="1482"/>
      <c r="O4568" s="656" t="s">
        <v>498</v>
      </c>
      <c r="P4568" s="656" t="s">
        <v>13052</v>
      </c>
      <c r="Q4568" s="656">
        <v>44216.761944444443</v>
      </c>
    </row>
    <row r="4569" spans="1:17">
      <c r="A4569" s="656" t="s">
        <v>13131</v>
      </c>
      <c r="B4569" s="657" t="s">
        <v>202</v>
      </c>
      <c r="C4569" s="656" t="s">
        <v>13132</v>
      </c>
      <c r="D4569" s="657" t="s">
        <v>13789</v>
      </c>
      <c r="E4569" s="657"/>
      <c r="F4569" s="656"/>
      <c r="G4569" s="656" t="s">
        <v>5238</v>
      </c>
      <c r="H4569" s="656"/>
      <c r="I4569" s="656" t="s">
        <v>14976</v>
      </c>
      <c r="J4569" s="656"/>
      <c r="K4569" s="656"/>
      <c r="L4569" s="656"/>
      <c r="M4569" s="657"/>
      <c r="N4569" s="1482"/>
      <c r="O4569" s="656" t="s">
        <v>498</v>
      </c>
      <c r="P4569" s="656" t="s">
        <v>13052</v>
      </c>
      <c r="Q4569" s="656">
        <v>44216.761944444443</v>
      </c>
    </row>
    <row r="4570" spans="1:17">
      <c r="A4570" s="656" t="s">
        <v>6500</v>
      </c>
      <c r="B4570" s="657" t="s">
        <v>504</v>
      </c>
      <c r="C4570" s="656" t="s">
        <v>6501</v>
      </c>
      <c r="D4570" s="657"/>
      <c r="E4570" s="657"/>
      <c r="F4570" s="656"/>
      <c r="G4570" s="656" t="s">
        <v>4347</v>
      </c>
      <c r="H4570" s="656"/>
      <c r="I4570" s="656"/>
      <c r="J4570" s="656"/>
      <c r="K4570" s="656"/>
      <c r="L4570" s="656"/>
      <c r="M4570" s="657"/>
      <c r="N4570" s="1482"/>
      <c r="O4570" s="656" t="s">
        <v>498</v>
      </c>
      <c r="P4570" s="656" t="s">
        <v>13052</v>
      </c>
      <c r="Q4570" s="656">
        <v>44216.761944444443</v>
      </c>
    </row>
    <row r="4571" spans="1:17">
      <c r="A4571" s="656" t="s">
        <v>6502</v>
      </c>
      <c r="B4571" s="657" t="s">
        <v>504</v>
      </c>
      <c r="C4571" s="656" t="s">
        <v>6503</v>
      </c>
      <c r="D4571" s="657"/>
      <c r="E4571" s="657"/>
      <c r="F4571" s="656"/>
      <c r="G4571" s="656" t="s">
        <v>4347</v>
      </c>
      <c r="H4571" s="656"/>
      <c r="I4571" s="656"/>
      <c r="J4571" s="656"/>
      <c r="K4571" s="656"/>
      <c r="L4571" s="656"/>
      <c r="M4571" s="657"/>
      <c r="N4571" s="1482"/>
      <c r="O4571" s="656" t="s">
        <v>498</v>
      </c>
      <c r="P4571" s="656" t="s">
        <v>13052</v>
      </c>
      <c r="Q4571" s="656">
        <v>44216.761932870373</v>
      </c>
    </row>
    <row r="4572" spans="1:17">
      <c r="A4572" s="656" t="s">
        <v>6504</v>
      </c>
      <c r="B4572" s="657" t="s">
        <v>504</v>
      </c>
      <c r="C4572" s="656" t="s">
        <v>6505</v>
      </c>
      <c r="D4572" s="657"/>
      <c r="E4572" s="657"/>
      <c r="F4572" s="656"/>
      <c r="G4572" s="656" t="s">
        <v>4347</v>
      </c>
      <c r="H4572" s="656"/>
      <c r="I4572" s="656"/>
      <c r="J4572" s="656"/>
      <c r="K4572" s="656"/>
      <c r="L4572" s="656"/>
      <c r="M4572" s="657"/>
      <c r="N4572" s="1482"/>
      <c r="O4572" s="656" t="s">
        <v>498</v>
      </c>
      <c r="P4572" s="656" t="s">
        <v>13052</v>
      </c>
      <c r="Q4572" s="656">
        <v>44216.761921296296</v>
      </c>
    </row>
    <row r="4573" spans="1:17">
      <c r="A4573" s="656" t="s">
        <v>6506</v>
      </c>
      <c r="B4573" s="657" t="s">
        <v>504</v>
      </c>
      <c r="C4573" s="656" t="s">
        <v>6507</v>
      </c>
      <c r="D4573" s="657"/>
      <c r="E4573" s="657"/>
      <c r="F4573" s="656"/>
      <c r="G4573" s="656" t="s">
        <v>4347</v>
      </c>
      <c r="H4573" s="656"/>
      <c r="I4573" s="656"/>
      <c r="J4573" s="656"/>
      <c r="K4573" s="656"/>
      <c r="L4573" s="656"/>
      <c r="M4573" s="657"/>
      <c r="N4573" s="1482"/>
      <c r="O4573" s="656" t="s">
        <v>498</v>
      </c>
      <c r="P4573" s="656" t="s">
        <v>13052</v>
      </c>
      <c r="Q4573" s="656">
        <v>44216.761921296296</v>
      </c>
    </row>
    <row r="4574" spans="1:17">
      <c r="A4574" s="656" t="s">
        <v>6508</v>
      </c>
      <c r="B4574" s="657" t="s">
        <v>504</v>
      </c>
      <c r="C4574" s="656" t="s">
        <v>6509</v>
      </c>
      <c r="D4574" s="657"/>
      <c r="E4574" s="657"/>
      <c r="F4574" s="656"/>
      <c r="G4574" s="656" t="s">
        <v>4347</v>
      </c>
      <c r="H4574" s="656"/>
      <c r="I4574" s="656"/>
      <c r="J4574" s="656"/>
      <c r="K4574" s="656"/>
      <c r="L4574" s="656"/>
      <c r="M4574" s="657"/>
      <c r="N4574" s="1482"/>
      <c r="O4574" s="656" t="s">
        <v>498</v>
      </c>
      <c r="P4574" s="656" t="s">
        <v>13052</v>
      </c>
      <c r="Q4574" s="656">
        <v>44216.761921296296</v>
      </c>
    </row>
    <row r="4575" spans="1:17">
      <c r="A4575" s="656" t="s">
        <v>6510</v>
      </c>
      <c r="B4575" s="657" t="s">
        <v>504</v>
      </c>
      <c r="C4575" s="656" t="s">
        <v>6511</v>
      </c>
      <c r="D4575" s="657"/>
      <c r="E4575" s="657"/>
      <c r="F4575" s="656"/>
      <c r="G4575" s="656" t="s">
        <v>4347</v>
      </c>
      <c r="H4575" s="656"/>
      <c r="I4575" s="656"/>
      <c r="J4575" s="656"/>
      <c r="K4575" s="656"/>
      <c r="L4575" s="656"/>
      <c r="M4575" s="657"/>
      <c r="N4575" s="1482"/>
      <c r="O4575" s="656" t="s">
        <v>498</v>
      </c>
      <c r="P4575" s="656" t="s">
        <v>13052</v>
      </c>
      <c r="Q4575" s="656">
        <v>44216.76190972222</v>
      </c>
    </row>
    <row r="4576" spans="1:17">
      <c r="A4576" s="656" t="s">
        <v>6512</v>
      </c>
      <c r="B4576" s="657" t="s">
        <v>504</v>
      </c>
      <c r="C4576" s="656" t="s">
        <v>6513</v>
      </c>
      <c r="D4576" s="657"/>
      <c r="E4576" s="657"/>
      <c r="F4576" s="656"/>
      <c r="G4576" s="656" t="s">
        <v>4347</v>
      </c>
      <c r="H4576" s="656"/>
      <c r="I4576" s="656"/>
      <c r="J4576" s="656"/>
      <c r="K4576" s="656"/>
      <c r="L4576" s="656"/>
      <c r="M4576" s="657"/>
      <c r="N4576" s="1482"/>
      <c r="O4576" s="656" t="s">
        <v>498</v>
      </c>
      <c r="P4576" s="656" t="s">
        <v>13052</v>
      </c>
      <c r="Q4576" s="656">
        <v>44216.76190972222</v>
      </c>
    </row>
    <row r="4577" spans="1:17">
      <c r="A4577" s="656" t="s">
        <v>6514</v>
      </c>
      <c r="B4577" s="657" t="s">
        <v>504</v>
      </c>
      <c r="C4577" s="656" t="s">
        <v>6515</v>
      </c>
      <c r="D4577" s="657"/>
      <c r="E4577" s="657"/>
      <c r="F4577" s="656"/>
      <c r="G4577" s="656" t="s">
        <v>4347</v>
      </c>
      <c r="H4577" s="656"/>
      <c r="I4577" s="656"/>
      <c r="J4577" s="656"/>
      <c r="K4577" s="656"/>
      <c r="L4577" s="656"/>
      <c r="M4577" s="657"/>
      <c r="N4577" s="1482"/>
      <c r="O4577" s="656" t="s">
        <v>498</v>
      </c>
      <c r="P4577" s="656" t="s">
        <v>13052</v>
      </c>
      <c r="Q4577" s="656">
        <v>44216.76190972222</v>
      </c>
    </row>
    <row r="4578" spans="1:17">
      <c r="A4578" s="656" t="s">
        <v>6516</v>
      </c>
      <c r="B4578" s="657"/>
      <c r="C4578" s="656" t="s">
        <v>6517</v>
      </c>
      <c r="D4578" s="657" t="s">
        <v>13789</v>
      </c>
      <c r="E4578" s="657"/>
      <c r="F4578" s="656"/>
      <c r="G4578" s="656" t="s">
        <v>5103</v>
      </c>
      <c r="H4578" s="656"/>
      <c r="I4578" s="656" t="s">
        <v>14976</v>
      </c>
      <c r="J4578" s="656"/>
      <c r="K4578" s="656"/>
      <c r="L4578" s="656"/>
      <c r="M4578" s="657"/>
      <c r="N4578" s="1482"/>
      <c r="O4578" s="656" t="s">
        <v>498</v>
      </c>
      <c r="P4578" s="656" t="s">
        <v>13052</v>
      </c>
      <c r="Q4578" s="656">
        <v>44216.76189814815</v>
      </c>
    </row>
    <row r="4579" spans="1:17">
      <c r="A4579" s="656" t="s">
        <v>13129</v>
      </c>
      <c r="B4579" s="657" t="s">
        <v>202</v>
      </c>
      <c r="C4579" s="656" t="s">
        <v>13130</v>
      </c>
      <c r="D4579" s="657" t="s">
        <v>13789</v>
      </c>
      <c r="E4579" s="657"/>
      <c r="F4579" s="656"/>
      <c r="G4579" s="656" t="s">
        <v>5238</v>
      </c>
      <c r="H4579" s="656"/>
      <c r="I4579" s="656" t="s">
        <v>14976</v>
      </c>
      <c r="J4579" s="656"/>
      <c r="K4579" s="656"/>
      <c r="L4579" s="656"/>
      <c r="M4579" s="657"/>
      <c r="N4579" s="1482"/>
      <c r="O4579" s="656" t="s">
        <v>498</v>
      </c>
      <c r="P4579" s="656" t="s">
        <v>13052</v>
      </c>
      <c r="Q4579" s="656">
        <v>44216.76189814815</v>
      </c>
    </row>
    <row r="4580" spans="1:17">
      <c r="A4580" s="656" t="s">
        <v>6518</v>
      </c>
      <c r="B4580" s="657" t="s">
        <v>504</v>
      </c>
      <c r="C4580" s="656" t="s">
        <v>6519</v>
      </c>
      <c r="D4580" s="657"/>
      <c r="E4580" s="657"/>
      <c r="F4580" s="656" t="s">
        <v>505</v>
      </c>
      <c r="G4580" s="656" t="s">
        <v>4394</v>
      </c>
      <c r="H4580" s="656" t="s">
        <v>505</v>
      </c>
      <c r="I4580" s="656"/>
      <c r="J4580" s="656"/>
      <c r="K4580" s="656"/>
      <c r="L4580" s="656"/>
      <c r="M4580" s="657"/>
      <c r="N4580" s="1482"/>
      <c r="O4580" s="656" t="s">
        <v>498</v>
      </c>
      <c r="P4580" s="656" t="s">
        <v>13052</v>
      </c>
      <c r="Q4580" s="656">
        <v>44216.761886574073</v>
      </c>
    </row>
    <row r="4581" spans="1:17">
      <c r="A4581" s="656" t="s">
        <v>13127</v>
      </c>
      <c r="B4581" s="657" t="s">
        <v>202</v>
      </c>
      <c r="C4581" s="656" t="s">
        <v>13128</v>
      </c>
      <c r="D4581" s="657" t="s">
        <v>13789</v>
      </c>
      <c r="E4581" s="657"/>
      <c r="F4581" s="656" t="s">
        <v>1300</v>
      </c>
      <c r="G4581" s="656" t="s">
        <v>4198</v>
      </c>
      <c r="H4581" s="656" t="s">
        <v>1300</v>
      </c>
      <c r="I4581" s="656" t="s">
        <v>14976</v>
      </c>
      <c r="J4581" s="656"/>
      <c r="K4581" s="656"/>
      <c r="L4581" s="656"/>
      <c r="M4581" s="657"/>
      <c r="N4581" s="1482"/>
      <c r="O4581" s="656" t="s">
        <v>498</v>
      </c>
      <c r="P4581" s="656" t="s">
        <v>13052</v>
      </c>
      <c r="Q4581" s="656">
        <v>44216.76189814815</v>
      </c>
    </row>
    <row r="4582" spans="1:17">
      <c r="A4582" s="656" t="s">
        <v>6520</v>
      </c>
      <c r="B4582" s="657"/>
      <c r="C4582" s="656" t="s">
        <v>6521</v>
      </c>
      <c r="D4582" s="657" t="s">
        <v>13789</v>
      </c>
      <c r="E4582" s="657"/>
      <c r="F4582" s="656"/>
      <c r="G4582" s="656" t="s">
        <v>5045</v>
      </c>
      <c r="H4582" s="656"/>
      <c r="I4582" s="656" t="s">
        <v>14976</v>
      </c>
      <c r="J4582" s="656"/>
      <c r="K4582" s="656"/>
      <c r="L4582" s="656"/>
      <c r="M4582" s="657"/>
      <c r="N4582" s="1482"/>
      <c r="O4582" s="656" t="s">
        <v>498</v>
      </c>
      <c r="P4582" s="656" t="s">
        <v>13052</v>
      </c>
      <c r="Q4582" s="656">
        <v>44216.761886574073</v>
      </c>
    </row>
    <row r="4583" spans="1:17">
      <c r="A4583" s="656" t="s">
        <v>6522</v>
      </c>
      <c r="B4583" s="657"/>
      <c r="C4583" s="656" t="s">
        <v>6523</v>
      </c>
      <c r="D4583" s="657" t="s">
        <v>13789</v>
      </c>
      <c r="E4583" s="657"/>
      <c r="F4583" s="656"/>
      <c r="G4583" s="656" t="s">
        <v>5103</v>
      </c>
      <c r="H4583" s="656"/>
      <c r="I4583" s="656" t="s">
        <v>14976</v>
      </c>
      <c r="J4583" s="656"/>
      <c r="K4583" s="656"/>
      <c r="L4583" s="656"/>
      <c r="M4583" s="657"/>
      <c r="N4583" s="1482"/>
      <c r="O4583" s="656" t="s">
        <v>498</v>
      </c>
      <c r="P4583" s="656" t="s">
        <v>13052</v>
      </c>
      <c r="Q4583" s="656">
        <v>44216.761874999997</v>
      </c>
    </row>
    <row r="4584" spans="1:17">
      <c r="A4584" s="656" t="s">
        <v>6524</v>
      </c>
      <c r="B4584" s="657"/>
      <c r="C4584" s="656" t="s">
        <v>6525</v>
      </c>
      <c r="D4584" s="657" t="s">
        <v>13789</v>
      </c>
      <c r="E4584" s="657"/>
      <c r="F4584" s="656"/>
      <c r="G4584" s="656" t="s">
        <v>5045</v>
      </c>
      <c r="H4584" s="656"/>
      <c r="I4584" s="656" t="s">
        <v>14976</v>
      </c>
      <c r="J4584" s="656"/>
      <c r="K4584" s="656"/>
      <c r="L4584" s="656"/>
      <c r="M4584" s="657"/>
      <c r="N4584" s="1482"/>
      <c r="O4584" s="656" t="s">
        <v>498</v>
      </c>
      <c r="P4584" s="656" t="s">
        <v>13052</v>
      </c>
      <c r="Q4584" s="656">
        <v>44216.761874999997</v>
      </c>
    </row>
    <row r="4585" spans="1:17">
      <c r="A4585" s="656" t="s">
        <v>6526</v>
      </c>
      <c r="B4585" s="657"/>
      <c r="C4585" s="656" t="s">
        <v>6527</v>
      </c>
      <c r="D4585" s="657" t="s">
        <v>13789</v>
      </c>
      <c r="E4585" s="657"/>
      <c r="F4585" s="656"/>
      <c r="G4585" s="656" t="s">
        <v>5045</v>
      </c>
      <c r="H4585" s="656"/>
      <c r="I4585" s="656" t="s">
        <v>14976</v>
      </c>
      <c r="J4585" s="656"/>
      <c r="K4585" s="656"/>
      <c r="L4585" s="656"/>
      <c r="M4585" s="657"/>
      <c r="N4585" s="1482"/>
      <c r="O4585" s="656" t="s">
        <v>498</v>
      </c>
      <c r="P4585" s="656" t="s">
        <v>13052</v>
      </c>
      <c r="Q4585" s="656">
        <v>44216.761863425927</v>
      </c>
    </row>
    <row r="4586" spans="1:17">
      <c r="A4586" s="656" t="s">
        <v>6528</v>
      </c>
      <c r="B4586" s="657"/>
      <c r="C4586" s="656" t="s">
        <v>6529</v>
      </c>
      <c r="D4586" s="657" t="s">
        <v>13789</v>
      </c>
      <c r="E4586" s="657"/>
      <c r="F4586" s="656"/>
      <c r="G4586" s="656" t="s">
        <v>5045</v>
      </c>
      <c r="H4586" s="656"/>
      <c r="I4586" s="656" t="s">
        <v>14976</v>
      </c>
      <c r="J4586" s="656"/>
      <c r="K4586" s="656"/>
      <c r="L4586" s="656"/>
      <c r="M4586" s="657"/>
      <c r="N4586" s="1482"/>
      <c r="O4586" s="656" t="s">
        <v>498</v>
      </c>
      <c r="P4586" s="656" t="s">
        <v>13052</v>
      </c>
      <c r="Q4586" s="656">
        <v>44216.761863425927</v>
      </c>
    </row>
    <row r="4587" spans="1:17">
      <c r="A4587" s="656" t="s">
        <v>6530</v>
      </c>
      <c r="B4587" s="657"/>
      <c r="C4587" s="656" t="s">
        <v>6531</v>
      </c>
      <c r="D4587" s="657" t="s">
        <v>14977</v>
      </c>
      <c r="E4587" s="657"/>
      <c r="F4587" s="656" t="s">
        <v>1394</v>
      </c>
      <c r="G4587" s="656"/>
      <c r="H4587" s="656" t="s">
        <v>1394</v>
      </c>
      <c r="I4587" s="656" t="s">
        <v>14976</v>
      </c>
      <c r="J4587" s="656"/>
      <c r="K4587" s="656"/>
      <c r="L4587" s="656" t="s">
        <v>6530</v>
      </c>
      <c r="M4587" s="657"/>
      <c r="N4587" s="1482"/>
      <c r="O4587" s="656" t="s">
        <v>498</v>
      </c>
      <c r="P4587" s="656" t="s">
        <v>13052</v>
      </c>
      <c r="Q4587" s="656">
        <v>44216.761863425927</v>
      </c>
    </row>
    <row r="4588" spans="1:17">
      <c r="A4588" s="656" t="s">
        <v>6532</v>
      </c>
      <c r="B4588" s="657" t="s">
        <v>504</v>
      </c>
      <c r="C4588" s="656" t="s">
        <v>6533</v>
      </c>
      <c r="D4588" s="657"/>
      <c r="E4588" s="657"/>
      <c r="F4588" s="656" t="s">
        <v>505</v>
      </c>
      <c r="G4588" s="656" t="s">
        <v>4324</v>
      </c>
      <c r="H4588" s="656" t="s">
        <v>505</v>
      </c>
      <c r="I4588" s="656"/>
      <c r="J4588" s="656"/>
      <c r="K4588" s="656"/>
      <c r="L4588" s="656"/>
      <c r="M4588" s="657"/>
      <c r="N4588" s="1482"/>
      <c r="O4588" s="656" t="s">
        <v>498</v>
      </c>
      <c r="P4588" s="656" t="s">
        <v>13052</v>
      </c>
      <c r="Q4588" s="656">
        <v>44216.76185185185</v>
      </c>
    </row>
    <row r="4589" spans="1:17">
      <c r="A4589" s="656" t="s">
        <v>13125</v>
      </c>
      <c r="B4589" s="657" t="s">
        <v>202</v>
      </c>
      <c r="C4589" s="656" t="s">
        <v>13126</v>
      </c>
      <c r="D4589" s="657" t="s">
        <v>13789</v>
      </c>
      <c r="E4589" s="657"/>
      <c r="F4589" s="656"/>
      <c r="G4589" s="656" t="s">
        <v>5661</v>
      </c>
      <c r="H4589" s="656"/>
      <c r="I4589" s="656" t="s">
        <v>14976</v>
      </c>
      <c r="J4589" s="656"/>
      <c r="K4589" s="656"/>
      <c r="L4589" s="656"/>
      <c r="M4589" s="657"/>
      <c r="N4589" s="1482"/>
      <c r="O4589" s="656" t="s">
        <v>498</v>
      </c>
      <c r="P4589" s="656" t="s">
        <v>13052</v>
      </c>
      <c r="Q4589" s="656">
        <v>44216.761840277781</v>
      </c>
    </row>
    <row r="4590" spans="1:17">
      <c r="A4590" s="656" t="s">
        <v>6534</v>
      </c>
      <c r="B4590" s="657" t="s">
        <v>504</v>
      </c>
      <c r="C4590" s="656" t="s">
        <v>6535</v>
      </c>
      <c r="D4590" s="657"/>
      <c r="E4590" s="657"/>
      <c r="F4590" s="656" t="s">
        <v>505</v>
      </c>
      <c r="G4590" s="656" t="s">
        <v>4394</v>
      </c>
      <c r="H4590" s="656" t="s">
        <v>505</v>
      </c>
      <c r="I4590" s="656"/>
      <c r="J4590" s="656"/>
      <c r="K4590" s="656"/>
      <c r="L4590" s="656"/>
      <c r="M4590" s="657"/>
      <c r="N4590" s="1482"/>
      <c r="O4590" s="656" t="s">
        <v>498</v>
      </c>
      <c r="P4590" s="656" t="s">
        <v>13052</v>
      </c>
      <c r="Q4590" s="656">
        <v>44216.761840277781</v>
      </c>
    </row>
    <row r="4591" spans="1:17">
      <c r="A4591" s="656" t="s">
        <v>6536</v>
      </c>
      <c r="B4591" s="657" t="s">
        <v>504</v>
      </c>
      <c r="C4591" s="656" t="s">
        <v>6537</v>
      </c>
      <c r="D4591" s="657"/>
      <c r="E4591" s="657"/>
      <c r="F4591" s="656" t="s">
        <v>505</v>
      </c>
      <c r="G4591" s="656" t="s">
        <v>4394</v>
      </c>
      <c r="H4591" s="656" t="s">
        <v>505</v>
      </c>
      <c r="I4591" s="656"/>
      <c r="J4591" s="656"/>
      <c r="K4591" s="656"/>
      <c r="L4591" s="656"/>
      <c r="M4591" s="657"/>
      <c r="N4591" s="1482"/>
      <c r="O4591" s="656" t="s">
        <v>498</v>
      </c>
      <c r="P4591" s="656" t="s">
        <v>13052</v>
      </c>
      <c r="Q4591" s="656">
        <v>44216.761840277781</v>
      </c>
    </row>
    <row r="4592" spans="1:17">
      <c r="A4592" s="656" t="s">
        <v>6538</v>
      </c>
      <c r="B4592" s="657" t="s">
        <v>504</v>
      </c>
      <c r="C4592" s="656" t="s">
        <v>6539</v>
      </c>
      <c r="D4592" s="657"/>
      <c r="E4592" s="657"/>
      <c r="F4592" s="656" t="s">
        <v>505</v>
      </c>
      <c r="G4592" s="656" t="s">
        <v>4394</v>
      </c>
      <c r="H4592" s="656" t="s">
        <v>505</v>
      </c>
      <c r="I4592" s="656"/>
      <c r="J4592" s="656"/>
      <c r="K4592" s="656"/>
      <c r="L4592" s="656"/>
      <c r="M4592" s="657"/>
      <c r="N4592" s="1482"/>
      <c r="O4592" s="656" t="s">
        <v>498</v>
      </c>
      <c r="P4592" s="656" t="s">
        <v>13052</v>
      </c>
      <c r="Q4592" s="656">
        <v>44216.761828703704</v>
      </c>
    </row>
    <row r="4593" spans="1:17">
      <c r="A4593" s="656" t="s">
        <v>6540</v>
      </c>
      <c r="B4593" s="657" t="s">
        <v>504</v>
      </c>
      <c r="C4593" s="656" t="s">
        <v>6541</v>
      </c>
      <c r="D4593" s="657"/>
      <c r="E4593" s="657"/>
      <c r="F4593" s="656" t="s">
        <v>505</v>
      </c>
      <c r="G4593" s="656" t="s">
        <v>4394</v>
      </c>
      <c r="H4593" s="656" t="s">
        <v>505</v>
      </c>
      <c r="I4593" s="656"/>
      <c r="J4593" s="656"/>
      <c r="K4593" s="656"/>
      <c r="L4593" s="656"/>
      <c r="M4593" s="657"/>
      <c r="N4593" s="1482"/>
      <c r="O4593" s="656" t="s">
        <v>498</v>
      </c>
      <c r="P4593" s="656" t="s">
        <v>13052</v>
      </c>
      <c r="Q4593" s="656">
        <v>44216.761828703704</v>
      </c>
    </row>
    <row r="4594" spans="1:17">
      <c r="A4594" s="656" t="s">
        <v>6542</v>
      </c>
      <c r="B4594" s="657" t="s">
        <v>504</v>
      </c>
      <c r="C4594" s="656" t="s">
        <v>6543</v>
      </c>
      <c r="D4594" s="657"/>
      <c r="E4594" s="657"/>
      <c r="F4594" s="656" t="s">
        <v>505</v>
      </c>
      <c r="G4594" s="656" t="s">
        <v>4394</v>
      </c>
      <c r="H4594" s="656" t="s">
        <v>505</v>
      </c>
      <c r="I4594" s="656"/>
      <c r="J4594" s="656"/>
      <c r="K4594" s="656"/>
      <c r="L4594" s="656"/>
      <c r="M4594" s="657"/>
      <c r="N4594" s="1482"/>
      <c r="O4594" s="656" t="s">
        <v>498</v>
      </c>
      <c r="P4594" s="656" t="s">
        <v>13052</v>
      </c>
      <c r="Q4594" s="656">
        <v>44216.761817129627</v>
      </c>
    </row>
    <row r="4595" spans="1:17">
      <c r="A4595" s="656" t="s">
        <v>6544</v>
      </c>
      <c r="B4595" s="657" t="s">
        <v>504</v>
      </c>
      <c r="C4595" s="656" t="s">
        <v>6545</v>
      </c>
      <c r="D4595" s="657"/>
      <c r="E4595" s="657"/>
      <c r="F4595" s="656" t="s">
        <v>505</v>
      </c>
      <c r="G4595" s="656" t="s">
        <v>4394</v>
      </c>
      <c r="H4595" s="656" t="s">
        <v>505</v>
      </c>
      <c r="I4595" s="656"/>
      <c r="J4595" s="656"/>
      <c r="K4595" s="656"/>
      <c r="L4595" s="656"/>
      <c r="M4595" s="657"/>
      <c r="N4595" s="1482"/>
      <c r="O4595" s="656" t="s">
        <v>498</v>
      </c>
      <c r="P4595" s="656" t="s">
        <v>13052</v>
      </c>
      <c r="Q4595" s="656">
        <v>44216.761817129627</v>
      </c>
    </row>
    <row r="4596" spans="1:17">
      <c r="A4596" s="656" t="s">
        <v>6546</v>
      </c>
      <c r="B4596" s="657" t="s">
        <v>504</v>
      </c>
      <c r="C4596" s="656" t="s">
        <v>6547</v>
      </c>
      <c r="D4596" s="657"/>
      <c r="E4596" s="657"/>
      <c r="F4596" s="656" t="s">
        <v>505</v>
      </c>
      <c r="G4596" s="656" t="s">
        <v>4394</v>
      </c>
      <c r="H4596" s="656" t="s">
        <v>505</v>
      </c>
      <c r="I4596" s="656"/>
      <c r="J4596" s="656"/>
      <c r="K4596" s="656"/>
      <c r="L4596" s="656"/>
      <c r="M4596" s="657"/>
      <c r="N4596" s="1482"/>
      <c r="O4596" s="656" t="s">
        <v>498</v>
      </c>
      <c r="P4596" s="656" t="s">
        <v>13052</v>
      </c>
      <c r="Q4596" s="656">
        <v>44216.761805555558</v>
      </c>
    </row>
    <row r="4597" spans="1:17">
      <c r="A4597" s="656" t="s">
        <v>6548</v>
      </c>
      <c r="B4597" s="657" t="s">
        <v>504</v>
      </c>
      <c r="C4597" s="656" t="s">
        <v>6549</v>
      </c>
      <c r="D4597" s="657"/>
      <c r="E4597" s="657"/>
      <c r="F4597" s="656" t="s">
        <v>505</v>
      </c>
      <c r="G4597" s="656" t="s">
        <v>4394</v>
      </c>
      <c r="H4597" s="656" t="s">
        <v>505</v>
      </c>
      <c r="I4597" s="656"/>
      <c r="J4597" s="656"/>
      <c r="K4597" s="656"/>
      <c r="L4597" s="656"/>
      <c r="M4597" s="657"/>
      <c r="N4597" s="1482"/>
      <c r="O4597" s="656" t="s">
        <v>498</v>
      </c>
      <c r="P4597" s="656" t="s">
        <v>13052</v>
      </c>
      <c r="Q4597" s="656">
        <v>44216.761805555558</v>
      </c>
    </row>
    <row r="4598" spans="1:17">
      <c r="A4598" s="656" t="s">
        <v>6550</v>
      </c>
      <c r="B4598" s="657" t="s">
        <v>504</v>
      </c>
      <c r="C4598" s="656" t="s">
        <v>6551</v>
      </c>
      <c r="D4598" s="657"/>
      <c r="E4598" s="657"/>
      <c r="F4598" s="656" t="s">
        <v>505</v>
      </c>
      <c r="G4598" s="656" t="s">
        <v>4394</v>
      </c>
      <c r="H4598" s="656" t="s">
        <v>505</v>
      </c>
      <c r="I4598" s="656"/>
      <c r="J4598" s="656"/>
      <c r="K4598" s="656"/>
      <c r="L4598" s="656"/>
      <c r="M4598" s="657"/>
      <c r="N4598" s="1482"/>
      <c r="O4598" s="656" t="s">
        <v>498</v>
      </c>
      <c r="P4598" s="656" t="s">
        <v>13052</v>
      </c>
      <c r="Q4598" s="656">
        <v>44216.761793981481</v>
      </c>
    </row>
    <row r="4599" spans="1:17">
      <c r="A4599" s="656" t="s">
        <v>6552</v>
      </c>
      <c r="B4599" s="657" t="s">
        <v>504</v>
      </c>
      <c r="C4599" s="656" t="s">
        <v>6553</v>
      </c>
      <c r="D4599" s="657"/>
      <c r="E4599" s="657"/>
      <c r="F4599" s="656" t="s">
        <v>505</v>
      </c>
      <c r="G4599" s="656" t="s">
        <v>4394</v>
      </c>
      <c r="H4599" s="656" t="s">
        <v>505</v>
      </c>
      <c r="I4599" s="656"/>
      <c r="J4599" s="656"/>
      <c r="K4599" s="656"/>
      <c r="L4599" s="656"/>
      <c r="M4599" s="657"/>
      <c r="N4599" s="1482"/>
      <c r="O4599" s="656" t="s">
        <v>498</v>
      </c>
      <c r="P4599" s="656" t="s">
        <v>13052</v>
      </c>
      <c r="Q4599" s="656">
        <v>44216.761782407404</v>
      </c>
    </row>
    <row r="4600" spans="1:17">
      <c r="A4600" s="656" t="s">
        <v>6554</v>
      </c>
      <c r="B4600" s="657" t="s">
        <v>504</v>
      </c>
      <c r="C4600" s="656" t="s">
        <v>6555</v>
      </c>
      <c r="D4600" s="657"/>
      <c r="E4600" s="657"/>
      <c r="F4600" s="656" t="s">
        <v>505</v>
      </c>
      <c r="G4600" s="656" t="s">
        <v>4394</v>
      </c>
      <c r="H4600" s="656" t="s">
        <v>505</v>
      </c>
      <c r="I4600" s="656"/>
      <c r="J4600" s="656"/>
      <c r="K4600" s="656"/>
      <c r="L4600" s="656"/>
      <c r="M4600" s="657"/>
      <c r="N4600" s="1482"/>
      <c r="O4600" s="656" t="s">
        <v>498</v>
      </c>
      <c r="P4600" s="656" t="s">
        <v>13052</v>
      </c>
      <c r="Q4600" s="656">
        <v>44216.761782407404</v>
      </c>
    </row>
    <row r="4601" spans="1:17">
      <c r="A4601" s="656" t="s">
        <v>6556</v>
      </c>
      <c r="B4601" s="657"/>
      <c r="C4601" s="656" t="s">
        <v>6557</v>
      </c>
      <c r="D4601" s="657" t="s">
        <v>1239</v>
      </c>
      <c r="E4601" s="657"/>
      <c r="F4601" s="656" t="s">
        <v>1394</v>
      </c>
      <c r="G4601" s="656"/>
      <c r="H4601" s="656" t="s">
        <v>1394</v>
      </c>
      <c r="I4601" s="656" t="s">
        <v>14976</v>
      </c>
      <c r="J4601" s="656"/>
      <c r="K4601" s="656"/>
      <c r="L4601" s="656"/>
      <c r="M4601" s="657"/>
      <c r="N4601" s="1482"/>
      <c r="O4601" s="656" t="s">
        <v>498</v>
      </c>
      <c r="P4601" s="656" t="s">
        <v>13052</v>
      </c>
      <c r="Q4601" s="656">
        <v>44216.761770833335</v>
      </c>
    </row>
    <row r="4602" spans="1:17">
      <c r="A4602" s="656" t="s">
        <v>13123</v>
      </c>
      <c r="B4602" s="657" t="s">
        <v>202</v>
      </c>
      <c r="C4602" s="656" t="s">
        <v>13124</v>
      </c>
      <c r="D4602" s="657" t="s">
        <v>13789</v>
      </c>
      <c r="E4602" s="657"/>
      <c r="F4602" s="656" t="s">
        <v>1300</v>
      </c>
      <c r="G4602" s="656" t="s">
        <v>4198</v>
      </c>
      <c r="H4602" s="656" t="s">
        <v>1300</v>
      </c>
      <c r="I4602" s="656" t="s">
        <v>14976</v>
      </c>
      <c r="J4602" s="656"/>
      <c r="K4602" s="656"/>
      <c r="L4602" s="656"/>
      <c r="M4602" s="657"/>
      <c r="N4602" s="1482"/>
      <c r="O4602" s="656" t="s">
        <v>498</v>
      </c>
      <c r="P4602" s="656" t="s">
        <v>13052</v>
      </c>
      <c r="Q4602" s="656">
        <v>44216.761770833335</v>
      </c>
    </row>
    <row r="4603" spans="1:17">
      <c r="A4603" s="656" t="s">
        <v>6558</v>
      </c>
      <c r="B4603" s="657"/>
      <c r="C4603" s="656" t="s">
        <v>6559</v>
      </c>
      <c r="D4603" s="657" t="s">
        <v>13789</v>
      </c>
      <c r="E4603" s="657"/>
      <c r="F4603" s="656"/>
      <c r="G4603" s="656" t="s">
        <v>5103</v>
      </c>
      <c r="H4603" s="656"/>
      <c r="I4603" s="656" t="s">
        <v>14976</v>
      </c>
      <c r="J4603" s="656"/>
      <c r="K4603" s="656"/>
      <c r="L4603" s="656"/>
      <c r="M4603" s="657"/>
      <c r="N4603" s="1482"/>
      <c r="O4603" s="656" t="s">
        <v>498</v>
      </c>
      <c r="P4603" s="656" t="s">
        <v>13052</v>
      </c>
      <c r="Q4603" s="656">
        <v>44216.761759259258</v>
      </c>
    </row>
    <row r="4604" spans="1:17">
      <c r="A4604" s="656" t="s">
        <v>6560</v>
      </c>
      <c r="B4604" s="657" t="s">
        <v>504</v>
      </c>
      <c r="C4604" s="656" t="s">
        <v>6561</v>
      </c>
      <c r="D4604" s="657"/>
      <c r="E4604" s="657"/>
      <c r="F4604" s="656"/>
      <c r="G4604" s="656" t="s">
        <v>4347</v>
      </c>
      <c r="H4604" s="656"/>
      <c r="I4604" s="656"/>
      <c r="J4604" s="656"/>
      <c r="K4604" s="656"/>
      <c r="L4604" s="656"/>
      <c r="M4604" s="657"/>
      <c r="N4604" s="1482"/>
      <c r="O4604" s="656" t="s">
        <v>498</v>
      </c>
      <c r="P4604" s="656" t="s">
        <v>13052</v>
      </c>
      <c r="Q4604" s="656">
        <v>44216.761747685188</v>
      </c>
    </row>
    <row r="4605" spans="1:17">
      <c r="A4605" s="656" t="s">
        <v>6562</v>
      </c>
      <c r="B4605" s="657" t="s">
        <v>504</v>
      </c>
      <c r="C4605" s="656" t="s">
        <v>6563</v>
      </c>
      <c r="D4605" s="657"/>
      <c r="E4605" s="657"/>
      <c r="F4605" s="656"/>
      <c r="G4605" s="656" t="s">
        <v>4347</v>
      </c>
      <c r="H4605" s="656"/>
      <c r="I4605" s="656"/>
      <c r="J4605" s="656"/>
      <c r="K4605" s="656"/>
      <c r="L4605" s="656"/>
      <c r="M4605" s="657"/>
      <c r="N4605" s="1482"/>
      <c r="O4605" s="656" t="s">
        <v>498</v>
      </c>
      <c r="P4605" s="656" t="s">
        <v>13052</v>
      </c>
      <c r="Q4605" s="656">
        <v>44216.761747685188</v>
      </c>
    </row>
    <row r="4606" spans="1:17">
      <c r="A4606" s="656" t="s">
        <v>6564</v>
      </c>
      <c r="B4606" s="657" t="s">
        <v>504</v>
      </c>
      <c r="C4606" s="656" t="s">
        <v>6565</v>
      </c>
      <c r="D4606" s="657"/>
      <c r="E4606" s="657"/>
      <c r="F4606" s="656"/>
      <c r="G4606" s="656" t="s">
        <v>4347</v>
      </c>
      <c r="H4606" s="656"/>
      <c r="I4606" s="656"/>
      <c r="J4606" s="656"/>
      <c r="K4606" s="656"/>
      <c r="L4606" s="656"/>
      <c r="M4606" s="657"/>
      <c r="N4606" s="1482"/>
      <c r="O4606" s="656" t="s">
        <v>498</v>
      </c>
      <c r="P4606" s="656" t="s">
        <v>13052</v>
      </c>
      <c r="Q4606" s="656">
        <v>44216.761747685188</v>
      </c>
    </row>
    <row r="4607" spans="1:17">
      <c r="A4607" s="656" t="s">
        <v>6566</v>
      </c>
      <c r="B4607" s="657" t="s">
        <v>504</v>
      </c>
      <c r="C4607" s="656" t="s">
        <v>6567</v>
      </c>
      <c r="D4607" s="657"/>
      <c r="E4607" s="657"/>
      <c r="F4607" s="656"/>
      <c r="G4607" s="656" t="s">
        <v>4347</v>
      </c>
      <c r="H4607" s="656"/>
      <c r="I4607" s="656"/>
      <c r="J4607" s="656"/>
      <c r="K4607" s="656"/>
      <c r="L4607" s="656"/>
      <c r="M4607" s="657"/>
      <c r="N4607" s="1482"/>
      <c r="O4607" s="656" t="s">
        <v>498</v>
      </c>
      <c r="P4607" s="656" t="s">
        <v>13052</v>
      </c>
      <c r="Q4607" s="656">
        <v>44216.761736111112</v>
      </c>
    </row>
    <row r="4608" spans="1:17">
      <c r="A4608" s="656" t="s">
        <v>6568</v>
      </c>
      <c r="B4608" s="657" t="s">
        <v>504</v>
      </c>
      <c r="C4608" s="656" t="s">
        <v>6569</v>
      </c>
      <c r="D4608" s="657"/>
      <c r="E4608" s="657"/>
      <c r="F4608" s="656"/>
      <c r="G4608" s="656" t="s">
        <v>4347</v>
      </c>
      <c r="H4608" s="656"/>
      <c r="I4608" s="656"/>
      <c r="J4608" s="656"/>
      <c r="K4608" s="656"/>
      <c r="L4608" s="656"/>
      <c r="M4608" s="657"/>
      <c r="N4608" s="1482"/>
      <c r="O4608" s="656" t="s">
        <v>498</v>
      </c>
      <c r="P4608" s="656" t="s">
        <v>13052</v>
      </c>
      <c r="Q4608" s="656">
        <v>44216.761724537035</v>
      </c>
    </row>
    <row r="4609" spans="1:17">
      <c r="A4609" s="656" t="s">
        <v>6570</v>
      </c>
      <c r="B4609" s="657" t="s">
        <v>504</v>
      </c>
      <c r="C4609" s="656" t="s">
        <v>6571</v>
      </c>
      <c r="D4609" s="657"/>
      <c r="E4609" s="657"/>
      <c r="F4609" s="656"/>
      <c r="G4609" s="656" t="s">
        <v>4347</v>
      </c>
      <c r="H4609" s="656"/>
      <c r="I4609" s="656"/>
      <c r="J4609" s="656"/>
      <c r="K4609" s="656"/>
      <c r="L4609" s="656"/>
      <c r="M4609" s="657"/>
      <c r="N4609" s="1482"/>
      <c r="O4609" s="656" t="s">
        <v>498</v>
      </c>
      <c r="P4609" s="656" t="s">
        <v>13052</v>
      </c>
      <c r="Q4609" s="656">
        <v>44216.761724537035</v>
      </c>
    </row>
    <row r="4610" spans="1:17">
      <c r="A4610" s="656" t="s">
        <v>6572</v>
      </c>
      <c r="B4610" s="657" t="s">
        <v>504</v>
      </c>
      <c r="C4610" s="656" t="s">
        <v>6573</v>
      </c>
      <c r="D4610" s="657"/>
      <c r="E4610" s="657"/>
      <c r="F4610" s="656"/>
      <c r="G4610" s="656" t="s">
        <v>4347</v>
      </c>
      <c r="H4610" s="656"/>
      <c r="I4610" s="656"/>
      <c r="J4610" s="656"/>
      <c r="K4610" s="656"/>
      <c r="L4610" s="656"/>
      <c r="M4610" s="657"/>
      <c r="N4610" s="1482"/>
      <c r="O4610" s="656" t="s">
        <v>498</v>
      </c>
      <c r="P4610" s="656" t="s">
        <v>13052</v>
      </c>
      <c r="Q4610" s="656">
        <v>44216.761712962965</v>
      </c>
    </row>
    <row r="4611" spans="1:17">
      <c r="A4611" s="656" t="s">
        <v>13121</v>
      </c>
      <c r="B4611" s="657" t="s">
        <v>202</v>
      </c>
      <c r="C4611" s="656" t="s">
        <v>13122</v>
      </c>
      <c r="D4611" s="657" t="s">
        <v>13789</v>
      </c>
      <c r="E4611" s="657"/>
      <c r="F4611" s="656"/>
      <c r="G4611" s="656" t="s">
        <v>5661</v>
      </c>
      <c r="H4611" s="656"/>
      <c r="I4611" s="656" t="s">
        <v>14976</v>
      </c>
      <c r="J4611" s="656"/>
      <c r="K4611" s="656"/>
      <c r="L4611" s="656"/>
      <c r="M4611" s="657"/>
      <c r="N4611" s="1482"/>
      <c r="O4611" s="656" t="s">
        <v>498</v>
      </c>
      <c r="P4611" s="656" t="s">
        <v>13052</v>
      </c>
      <c r="Q4611" s="656">
        <v>44216.761701388888</v>
      </c>
    </row>
    <row r="4612" spans="1:17">
      <c r="A4612" s="656" t="s">
        <v>6574</v>
      </c>
      <c r="B4612" s="657" t="s">
        <v>504</v>
      </c>
      <c r="C4612" s="656" t="s">
        <v>6575</v>
      </c>
      <c r="D4612" s="657"/>
      <c r="E4612" s="657"/>
      <c r="F4612" s="656" t="s">
        <v>505</v>
      </c>
      <c r="G4612" s="656" t="s">
        <v>4394</v>
      </c>
      <c r="H4612" s="656" t="s">
        <v>505</v>
      </c>
      <c r="I4612" s="656"/>
      <c r="J4612" s="656"/>
      <c r="K4612" s="656"/>
      <c r="L4612" s="656"/>
      <c r="M4612" s="657"/>
      <c r="N4612" s="1482"/>
      <c r="O4612" s="656" t="s">
        <v>498</v>
      </c>
      <c r="P4612" s="656" t="s">
        <v>13052</v>
      </c>
      <c r="Q4612" s="656">
        <v>44216.761689814812</v>
      </c>
    </row>
    <row r="4613" spans="1:17">
      <c r="A4613" s="656" t="s">
        <v>6576</v>
      </c>
      <c r="B4613" s="657"/>
      <c r="C4613" s="656" t="s">
        <v>6577</v>
      </c>
      <c r="D4613" s="657" t="s">
        <v>13789</v>
      </c>
      <c r="E4613" s="657"/>
      <c r="F4613" s="656"/>
      <c r="G4613" s="656" t="s">
        <v>5103</v>
      </c>
      <c r="H4613" s="656"/>
      <c r="I4613" s="656" t="s">
        <v>14976</v>
      </c>
      <c r="J4613" s="656"/>
      <c r="K4613" s="656"/>
      <c r="L4613" s="656"/>
      <c r="M4613" s="657"/>
      <c r="N4613" s="1482"/>
      <c r="O4613" s="656" t="s">
        <v>498</v>
      </c>
      <c r="P4613" s="656" t="s">
        <v>13052</v>
      </c>
      <c r="Q4613" s="656">
        <v>44216.761678240742</v>
      </c>
    </row>
    <row r="4614" spans="1:17">
      <c r="A4614" s="656" t="s">
        <v>6578</v>
      </c>
      <c r="B4614" s="657" t="s">
        <v>504</v>
      </c>
      <c r="C4614" s="656" t="s">
        <v>6579</v>
      </c>
      <c r="D4614" s="657"/>
      <c r="E4614" s="657"/>
      <c r="F4614" s="656" t="s">
        <v>505</v>
      </c>
      <c r="G4614" s="656" t="s">
        <v>4324</v>
      </c>
      <c r="H4614" s="656" t="s">
        <v>505</v>
      </c>
      <c r="I4614" s="656"/>
      <c r="J4614" s="656"/>
      <c r="K4614" s="656"/>
      <c r="L4614" s="656"/>
      <c r="M4614" s="657"/>
      <c r="N4614" s="1482"/>
      <c r="O4614" s="656" t="s">
        <v>498</v>
      </c>
      <c r="P4614" s="656" t="s">
        <v>13052</v>
      </c>
      <c r="Q4614" s="656">
        <v>44216.761678240742</v>
      </c>
    </row>
    <row r="4615" spans="1:17">
      <c r="A4615" s="656" t="s">
        <v>6580</v>
      </c>
      <c r="B4615" s="657"/>
      <c r="C4615" s="656" t="s">
        <v>6581</v>
      </c>
      <c r="D4615" s="657" t="s">
        <v>13789</v>
      </c>
      <c r="E4615" s="657"/>
      <c r="F4615" s="656"/>
      <c r="G4615" s="656" t="s">
        <v>5103</v>
      </c>
      <c r="H4615" s="656"/>
      <c r="I4615" s="656" t="s">
        <v>14976</v>
      </c>
      <c r="J4615" s="656"/>
      <c r="K4615" s="656"/>
      <c r="L4615" s="656"/>
      <c r="M4615" s="657"/>
      <c r="N4615" s="1482"/>
      <c r="O4615" s="656" t="s">
        <v>498</v>
      </c>
      <c r="P4615" s="656" t="s">
        <v>13052</v>
      </c>
      <c r="Q4615" s="656">
        <v>44216.761666666665</v>
      </c>
    </row>
    <row r="4616" spans="1:17">
      <c r="A4616" s="656" t="s">
        <v>6582</v>
      </c>
      <c r="B4616" s="657"/>
      <c r="C4616" s="656" t="s">
        <v>6583</v>
      </c>
      <c r="D4616" s="657" t="s">
        <v>13789</v>
      </c>
      <c r="E4616" s="657"/>
      <c r="F4616" s="656"/>
      <c r="G4616" s="656" t="s">
        <v>5103</v>
      </c>
      <c r="H4616" s="656"/>
      <c r="I4616" s="656" t="s">
        <v>14976</v>
      </c>
      <c r="J4616" s="656"/>
      <c r="K4616" s="656"/>
      <c r="L4616" s="656"/>
      <c r="M4616" s="657"/>
      <c r="N4616" s="1482"/>
      <c r="O4616" s="656" t="s">
        <v>498</v>
      </c>
      <c r="P4616" s="656" t="s">
        <v>13052</v>
      </c>
      <c r="Q4616" s="656">
        <v>44216.761655092596</v>
      </c>
    </row>
    <row r="4617" spans="1:17">
      <c r="A4617" s="656" t="s">
        <v>6584</v>
      </c>
      <c r="B4617" s="657" t="s">
        <v>504</v>
      </c>
      <c r="C4617" s="656" t="s">
        <v>6585</v>
      </c>
      <c r="D4617" s="657"/>
      <c r="E4617" s="657"/>
      <c r="F4617" s="656" t="s">
        <v>505</v>
      </c>
      <c r="G4617" s="656" t="s">
        <v>4394</v>
      </c>
      <c r="H4617" s="656" t="s">
        <v>505</v>
      </c>
      <c r="I4617" s="656"/>
      <c r="J4617" s="656"/>
      <c r="K4617" s="656"/>
      <c r="L4617" s="656"/>
      <c r="M4617" s="657"/>
      <c r="N4617" s="1482"/>
      <c r="O4617" s="656" t="s">
        <v>498</v>
      </c>
      <c r="P4617" s="656" t="s">
        <v>13052</v>
      </c>
      <c r="Q4617" s="656">
        <v>44216.761655092596</v>
      </c>
    </row>
    <row r="4618" spans="1:17">
      <c r="A4618" s="656" t="s">
        <v>6586</v>
      </c>
      <c r="B4618" s="657" t="s">
        <v>504</v>
      </c>
      <c r="C4618" s="656" t="s">
        <v>6587</v>
      </c>
      <c r="D4618" s="657"/>
      <c r="E4618" s="657"/>
      <c r="F4618" s="656" t="s">
        <v>505</v>
      </c>
      <c r="G4618" s="656" t="s">
        <v>4394</v>
      </c>
      <c r="H4618" s="656" t="s">
        <v>505</v>
      </c>
      <c r="I4618" s="656"/>
      <c r="J4618" s="656"/>
      <c r="K4618" s="656"/>
      <c r="L4618" s="656"/>
      <c r="M4618" s="657"/>
      <c r="N4618" s="1482"/>
      <c r="O4618" s="656" t="s">
        <v>498</v>
      </c>
      <c r="P4618" s="656" t="s">
        <v>13052</v>
      </c>
      <c r="Q4618" s="656">
        <v>44216.761655092596</v>
      </c>
    </row>
    <row r="4619" spans="1:17">
      <c r="A4619" s="656" t="s">
        <v>6588</v>
      </c>
      <c r="B4619" s="657"/>
      <c r="C4619" s="656" t="s">
        <v>6589</v>
      </c>
      <c r="D4619" s="657" t="s">
        <v>13789</v>
      </c>
      <c r="E4619" s="657"/>
      <c r="F4619" s="656"/>
      <c r="G4619" s="656" t="s">
        <v>5045</v>
      </c>
      <c r="H4619" s="656"/>
      <c r="I4619" s="656" t="s">
        <v>14976</v>
      </c>
      <c r="J4619" s="656"/>
      <c r="K4619" s="656"/>
      <c r="L4619" s="656"/>
      <c r="M4619" s="657"/>
      <c r="N4619" s="1482"/>
      <c r="O4619" s="656" t="s">
        <v>498</v>
      </c>
      <c r="P4619" s="656" t="s">
        <v>13052</v>
      </c>
      <c r="Q4619" s="656">
        <v>44216.761643518519</v>
      </c>
    </row>
    <row r="4620" spans="1:17">
      <c r="A4620" s="656" t="s">
        <v>6590</v>
      </c>
      <c r="B4620" s="657"/>
      <c r="C4620" s="656" t="s">
        <v>6591</v>
      </c>
      <c r="D4620" s="657" t="s">
        <v>13789</v>
      </c>
      <c r="E4620" s="657"/>
      <c r="F4620" s="656"/>
      <c r="G4620" s="656" t="s">
        <v>5103</v>
      </c>
      <c r="H4620" s="656"/>
      <c r="I4620" s="656" t="s">
        <v>14976</v>
      </c>
      <c r="J4620" s="656"/>
      <c r="K4620" s="656"/>
      <c r="L4620" s="656"/>
      <c r="M4620" s="657"/>
      <c r="N4620" s="1482"/>
      <c r="O4620" s="656" t="s">
        <v>498</v>
      </c>
      <c r="P4620" s="656" t="s">
        <v>13052</v>
      </c>
      <c r="Q4620" s="656">
        <v>44216.761631944442</v>
      </c>
    </row>
    <row r="4621" spans="1:17">
      <c r="A4621" s="656" t="s">
        <v>6592</v>
      </c>
      <c r="B4621" s="657" t="s">
        <v>504</v>
      </c>
      <c r="C4621" s="656" t="s">
        <v>6593</v>
      </c>
      <c r="D4621" s="657"/>
      <c r="E4621" s="657"/>
      <c r="F4621" s="656" t="s">
        <v>505</v>
      </c>
      <c r="G4621" s="656" t="s">
        <v>4394</v>
      </c>
      <c r="H4621" s="656" t="s">
        <v>505</v>
      </c>
      <c r="I4621" s="656"/>
      <c r="J4621" s="656"/>
      <c r="K4621" s="656"/>
      <c r="L4621" s="656"/>
      <c r="M4621" s="657"/>
      <c r="N4621" s="1482"/>
      <c r="O4621" s="656" t="s">
        <v>498</v>
      </c>
      <c r="P4621" s="656" t="s">
        <v>13052</v>
      </c>
      <c r="Q4621" s="656">
        <v>44216.761631944442</v>
      </c>
    </row>
    <row r="4622" spans="1:17">
      <c r="A4622" s="656" t="s">
        <v>6594</v>
      </c>
      <c r="B4622" s="657" t="s">
        <v>202</v>
      </c>
      <c r="C4622" s="656" t="s">
        <v>6595</v>
      </c>
      <c r="D4622" s="657" t="s">
        <v>14977</v>
      </c>
      <c r="E4622" s="657"/>
      <c r="F4622" s="656" t="s">
        <v>1300</v>
      </c>
      <c r="G4622" s="656" t="s">
        <v>3280</v>
      </c>
      <c r="H4622" s="656" t="s">
        <v>1300</v>
      </c>
      <c r="I4622" s="656" t="s">
        <v>14976</v>
      </c>
      <c r="J4622" s="656" t="s">
        <v>15285</v>
      </c>
      <c r="K4622" s="656"/>
      <c r="L4622" s="656" t="s">
        <v>6594</v>
      </c>
      <c r="M4622" s="657"/>
      <c r="N4622" s="1482"/>
      <c r="O4622" s="656" t="s">
        <v>498</v>
      </c>
      <c r="P4622" s="656" t="s">
        <v>13052</v>
      </c>
      <c r="Q4622" s="656">
        <v>44216.761620370373</v>
      </c>
    </row>
    <row r="4623" spans="1:17">
      <c r="A4623" s="656" t="s">
        <v>6596</v>
      </c>
      <c r="B4623" s="657"/>
      <c r="C4623" s="656" t="s">
        <v>6597</v>
      </c>
      <c r="D4623" s="657" t="s">
        <v>14978</v>
      </c>
      <c r="E4623" s="657"/>
      <c r="F4623" s="656"/>
      <c r="G4623" s="656"/>
      <c r="H4623" s="656"/>
      <c r="I4623" s="656" t="s">
        <v>14976</v>
      </c>
      <c r="J4623" s="656"/>
      <c r="K4623" s="656"/>
      <c r="L4623" s="656" t="s">
        <v>6598</v>
      </c>
      <c r="M4623" s="657"/>
      <c r="N4623" s="1482"/>
      <c r="O4623" s="656" t="s">
        <v>498</v>
      </c>
      <c r="P4623" s="656" t="s">
        <v>13052</v>
      </c>
      <c r="Q4623" s="656">
        <v>44216.761608796296</v>
      </c>
    </row>
    <row r="4624" spans="1:17">
      <c r="A4624" s="656" t="s">
        <v>6598</v>
      </c>
      <c r="B4624" s="657" t="s">
        <v>202</v>
      </c>
      <c r="C4624" s="656" t="s">
        <v>6599</v>
      </c>
      <c r="D4624" s="657" t="s">
        <v>14977</v>
      </c>
      <c r="E4624" s="657"/>
      <c r="F4624" s="656" t="s">
        <v>500</v>
      </c>
      <c r="G4624" s="656" t="s">
        <v>500</v>
      </c>
      <c r="H4624" s="656" t="s">
        <v>500</v>
      </c>
      <c r="I4624" s="656" t="s">
        <v>14976</v>
      </c>
      <c r="J4624" s="656" t="s">
        <v>15282</v>
      </c>
      <c r="K4624" s="656"/>
      <c r="L4624" s="656" t="s">
        <v>6598</v>
      </c>
      <c r="M4624" s="657"/>
      <c r="N4624" s="1482"/>
      <c r="O4624" s="656" t="s">
        <v>498</v>
      </c>
      <c r="P4624" s="656" t="s">
        <v>13052</v>
      </c>
      <c r="Q4624" s="656">
        <v>44216.761608796296</v>
      </c>
    </row>
    <row r="4625" spans="1:17">
      <c r="A4625" s="656" t="s">
        <v>13119</v>
      </c>
      <c r="B4625" s="657" t="s">
        <v>202</v>
      </c>
      <c r="C4625" s="656" t="s">
        <v>13120</v>
      </c>
      <c r="D4625" s="657" t="s">
        <v>13789</v>
      </c>
      <c r="E4625" s="657"/>
      <c r="F4625" s="656"/>
      <c r="G4625" s="656" t="s">
        <v>5238</v>
      </c>
      <c r="H4625" s="656"/>
      <c r="I4625" s="656" t="s">
        <v>14976</v>
      </c>
      <c r="J4625" s="656"/>
      <c r="K4625" s="656"/>
      <c r="L4625" s="656"/>
      <c r="M4625" s="657"/>
      <c r="N4625" s="1482"/>
      <c r="O4625" s="656" t="s">
        <v>498</v>
      </c>
      <c r="P4625" s="656" t="s">
        <v>13052</v>
      </c>
      <c r="Q4625" s="656">
        <v>44216.761597222219</v>
      </c>
    </row>
    <row r="4626" spans="1:17">
      <c r="A4626" s="656" t="s">
        <v>6600</v>
      </c>
      <c r="B4626" s="657"/>
      <c r="C4626" s="656" t="s">
        <v>6601</v>
      </c>
      <c r="D4626" s="657" t="s">
        <v>13789</v>
      </c>
      <c r="E4626" s="657"/>
      <c r="F4626" s="656"/>
      <c r="G4626" s="656" t="s">
        <v>5045</v>
      </c>
      <c r="H4626" s="656"/>
      <c r="I4626" s="656" t="s">
        <v>14976</v>
      </c>
      <c r="J4626" s="656"/>
      <c r="K4626" s="656"/>
      <c r="L4626" s="656"/>
      <c r="M4626" s="657"/>
      <c r="N4626" s="1482"/>
      <c r="O4626" s="656" t="s">
        <v>498</v>
      </c>
      <c r="P4626" s="656" t="s">
        <v>13052</v>
      </c>
      <c r="Q4626" s="656">
        <v>44216.761597222219</v>
      </c>
    </row>
    <row r="4627" spans="1:17">
      <c r="A4627" s="656" t="s">
        <v>6602</v>
      </c>
      <c r="B4627" s="657"/>
      <c r="C4627" s="656" t="s">
        <v>6603</v>
      </c>
      <c r="D4627" s="657" t="s">
        <v>13789</v>
      </c>
      <c r="E4627" s="657"/>
      <c r="F4627" s="656"/>
      <c r="G4627" s="656" t="s">
        <v>5045</v>
      </c>
      <c r="H4627" s="656"/>
      <c r="I4627" s="656" t="s">
        <v>14976</v>
      </c>
      <c r="J4627" s="656"/>
      <c r="K4627" s="656"/>
      <c r="L4627" s="656"/>
      <c r="M4627" s="657"/>
      <c r="N4627" s="1482"/>
      <c r="O4627" s="656" t="s">
        <v>498</v>
      </c>
      <c r="P4627" s="656" t="s">
        <v>13052</v>
      </c>
      <c r="Q4627" s="656">
        <v>44216.76158564815</v>
      </c>
    </row>
    <row r="4628" spans="1:17">
      <c r="A4628" s="656" t="s">
        <v>6604</v>
      </c>
      <c r="B4628" s="657"/>
      <c r="C4628" s="656" t="s">
        <v>6605</v>
      </c>
      <c r="D4628" s="657" t="s">
        <v>13789</v>
      </c>
      <c r="E4628" s="657"/>
      <c r="F4628" s="656"/>
      <c r="G4628" s="656" t="s">
        <v>5045</v>
      </c>
      <c r="H4628" s="656"/>
      <c r="I4628" s="656" t="s">
        <v>14976</v>
      </c>
      <c r="J4628" s="656"/>
      <c r="K4628" s="656"/>
      <c r="L4628" s="656"/>
      <c r="M4628" s="657"/>
      <c r="N4628" s="1482"/>
      <c r="O4628" s="656" t="s">
        <v>498</v>
      </c>
      <c r="P4628" s="656" t="s">
        <v>13052</v>
      </c>
      <c r="Q4628" s="656">
        <v>44216.76158564815</v>
      </c>
    </row>
    <row r="4629" spans="1:17">
      <c r="A4629" s="656" t="s">
        <v>6606</v>
      </c>
      <c r="B4629" s="657" t="s">
        <v>202</v>
      </c>
      <c r="C4629" s="656" t="s">
        <v>6607</v>
      </c>
      <c r="D4629" s="657" t="s">
        <v>14978</v>
      </c>
      <c r="E4629" s="657"/>
      <c r="F4629" s="656" t="s">
        <v>655</v>
      </c>
      <c r="G4629" s="656" t="s">
        <v>1051</v>
      </c>
      <c r="H4629" s="656" t="s">
        <v>655</v>
      </c>
      <c r="I4629" s="656" t="s">
        <v>14976</v>
      </c>
      <c r="J4629" s="656" t="s">
        <v>15281</v>
      </c>
      <c r="K4629" s="656"/>
      <c r="L4629" s="656" t="s">
        <v>6608</v>
      </c>
      <c r="M4629" s="657"/>
      <c r="N4629" s="1482"/>
      <c r="O4629" s="656" t="s">
        <v>498</v>
      </c>
      <c r="P4629" s="656" t="s">
        <v>13052</v>
      </c>
      <c r="Q4629" s="656">
        <v>44216.761574074073</v>
      </c>
    </row>
    <row r="4630" spans="1:17">
      <c r="A4630" s="656" t="s">
        <v>13117</v>
      </c>
      <c r="B4630" s="657" t="s">
        <v>202</v>
      </c>
      <c r="C4630" s="656" t="s">
        <v>13118</v>
      </c>
      <c r="D4630" s="657" t="s">
        <v>14978</v>
      </c>
      <c r="E4630" s="657"/>
      <c r="F4630" s="656"/>
      <c r="G4630" s="656" t="s">
        <v>5238</v>
      </c>
      <c r="H4630" s="656"/>
      <c r="I4630" s="656" t="s">
        <v>14976</v>
      </c>
      <c r="J4630" s="656"/>
      <c r="K4630" s="656"/>
      <c r="L4630" s="656" t="s">
        <v>6608</v>
      </c>
      <c r="M4630" s="657"/>
      <c r="N4630" s="1482"/>
      <c r="O4630" s="656" t="s">
        <v>498</v>
      </c>
      <c r="P4630" s="656" t="s">
        <v>13052</v>
      </c>
      <c r="Q4630" s="656">
        <v>44216.761574074073</v>
      </c>
    </row>
    <row r="4631" spans="1:17">
      <c r="A4631" s="656" t="s">
        <v>6608</v>
      </c>
      <c r="B4631" s="657" t="s">
        <v>202</v>
      </c>
      <c r="C4631" s="656" t="s">
        <v>6609</v>
      </c>
      <c r="D4631" s="657" t="s">
        <v>14977</v>
      </c>
      <c r="E4631" s="657"/>
      <c r="F4631" s="656" t="s">
        <v>1667</v>
      </c>
      <c r="G4631" s="656" t="s">
        <v>1051</v>
      </c>
      <c r="H4631" s="656" t="s">
        <v>1667</v>
      </c>
      <c r="I4631" s="656" t="s">
        <v>14976</v>
      </c>
      <c r="J4631" s="656" t="s">
        <v>15281</v>
      </c>
      <c r="K4631" s="656"/>
      <c r="L4631" s="656" t="s">
        <v>6608</v>
      </c>
      <c r="M4631" s="657"/>
      <c r="N4631" s="1482"/>
      <c r="O4631" s="656" t="s">
        <v>498</v>
      </c>
      <c r="P4631" s="656" t="s">
        <v>13052</v>
      </c>
      <c r="Q4631" s="656">
        <v>44216.761562500003</v>
      </c>
    </row>
    <row r="4632" spans="1:17">
      <c r="A4632" s="656" t="s">
        <v>13115</v>
      </c>
      <c r="B4632" s="657" t="s">
        <v>202</v>
      </c>
      <c r="C4632" s="656" t="s">
        <v>13116</v>
      </c>
      <c r="D4632" s="657" t="s">
        <v>13789</v>
      </c>
      <c r="E4632" s="657"/>
      <c r="F4632" s="656"/>
      <c r="G4632" s="656" t="s">
        <v>5238</v>
      </c>
      <c r="H4632" s="656"/>
      <c r="I4632" s="656" t="s">
        <v>14976</v>
      </c>
      <c r="J4632" s="656"/>
      <c r="K4632" s="656"/>
      <c r="L4632" s="656"/>
      <c r="M4632" s="657"/>
      <c r="N4632" s="1482"/>
      <c r="O4632" s="656" t="s">
        <v>498</v>
      </c>
      <c r="P4632" s="656" t="s">
        <v>13052</v>
      </c>
      <c r="Q4632" s="656">
        <v>44216.761562500003</v>
      </c>
    </row>
    <row r="4633" spans="1:17">
      <c r="A4633" s="656" t="s">
        <v>13113</v>
      </c>
      <c r="B4633" s="657" t="s">
        <v>202</v>
      </c>
      <c r="C4633" s="656" t="s">
        <v>13114</v>
      </c>
      <c r="D4633" s="657" t="s">
        <v>14978</v>
      </c>
      <c r="E4633" s="657"/>
      <c r="F4633" s="656"/>
      <c r="G4633" s="656" t="s">
        <v>5238</v>
      </c>
      <c r="H4633" s="656"/>
      <c r="I4633" s="656" t="s">
        <v>14976</v>
      </c>
      <c r="J4633" s="656"/>
      <c r="K4633" s="656"/>
      <c r="L4633" s="656" t="s">
        <v>13109</v>
      </c>
      <c r="M4633" s="657"/>
      <c r="N4633" s="1482"/>
      <c r="O4633" s="656" t="s">
        <v>498</v>
      </c>
      <c r="P4633" s="656" t="s">
        <v>13052</v>
      </c>
      <c r="Q4633" s="656">
        <v>44216.761550925927</v>
      </c>
    </row>
    <row r="4634" spans="1:17">
      <c r="A4634" s="656" t="s">
        <v>13111</v>
      </c>
      <c r="B4634" s="657" t="s">
        <v>202</v>
      </c>
      <c r="C4634" s="656" t="s">
        <v>13112</v>
      </c>
      <c r="D4634" s="657" t="s">
        <v>14978</v>
      </c>
      <c r="E4634" s="657"/>
      <c r="F4634" s="656"/>
      <c r="G4634" s="656" t="s">
        <v>5238</v>
      </c>
      <c r="H4634" s="656"/>
      <c r="I4634" s="656" t="s">
        <v>14976</v>
      </c>
      <c r="J4634" s="656"/>
      <c r="K4634" s="656"/>
      <c r="L4634" s="656" t="s">
        <v>13109</v>
      </c>
      <c r="M4634" s="657"/>
      <c r="N4634" s="1482"/>
      <c r="O4634" s="656" t="s">
        <v>498</v>
      </c>
      <c r="P4634" s="656" t="s">
        <v>13052</v>
      </c>
      <c r="Q4634" s="656">
        <v>44216.761550925927</v>
      </c>
    </row>
    <row r="4635" spans="1:17">
      <c r="A4635" s="656" t="s">
        <v>6610</v>
      </c>
      <c r="B4635" s="657" t="s">
        <v>202</v>
      </c>
      <c r="C4635" s="656" t="s">
        <v>6611</v>
      </c>
      <c r="D4635" s="657" t="s">
        <v>14978</v>
      </c>
      <c r="E4635" s="657"/>
      <c r="F4635" s="656" t="s">
        <v>655</v>
      </c>
      <c r="G4635" s="656" t="s">
        <v>1051</v>
      </c>
      <c r="H4635" s="656" t="s">
        <v>655</v>
      </c>
      <c r="I4635" s="656" t="s">
        <v>14976</v>
      </c>
      <c r="J4635" s="656" t="s">
        <v>15281</v>
      </c>
      <c r="K4635" s="656"/>
      <c r="L4635" s="656" t="s">
        <v>13109</v>
      </c>
      <c r="M4635" s="657"/>
      <c r="N4635" s="1482"/>
      <c r="O4635" s="656" t="s">
        <v>498</v>
      </c>
      <c r="P4635" s="656" t="s">
        <v>13052</v>
      </c>
      <c r="Q4635" s="656">
        <v>44216.76153935185</v>
      </c>
    </row>
    <row r="4636" spans="1:17">
      <c r="A4636" s="656" t="s">
        <v>13109</v>
      </c>
      <c r="B4636" s="657" t="s">
        <v>202</v>
      </c>
      <c r="C4636" s="656" t="s">
        <v>13110</v>
      </c>
      <c r="D4636" s="657" t="s">
        <v>14977</v>
      </c>
      <c r="E4636" s="657"/>
      <c r="F4636" s="656" t="s">
        <v>655</v>
      </c>
      <c r="G4636" s="656" t="s">
        <v>1051</v>
      </c>
      <c r="H4636" s="656" t="s">
        <v>655</v>
      </c>
      <c r="I4636" s="656" t="s">
        <v>14976</v>
      </c>
      <c r="J4636" s="656" t="s">
        <v>15281</v>
      </c>
      <c r="K4636" s="656"/>
      <c r="L4636" s="656" t="s">
        <v>13109</v>
      </c>
      <c r="M4636" s="657"/>
      <c r="N4636" s="1482"/>
      <c r="O4636" s="656" t="s">
        <v>498</v>
      </c>
      <c r="P4636" s="656" t="s">
        <v>13052</v>
      </c>
      <c r="Q4636" s="656">
        <v>44216.76153935185</v>
      </c>
    </row>
    <row r="4637" spans="1:17">
      <c r="A4637" s="656" t="s">
        <v>13107</v>
      </c>
      <c r="B4637" s="657" t="s">
        <v>202</v>
      </c>
      <c r="C4637" s="656" t="s">
        <v>13108</v>
      </c>
      <c r="D4637" s="657" t="s">
        <v>13789</v>
      </c>
      <c r="E4637" s="657"/>
      <c r="F4637" s="656" t="s">
        <v>1300</v>
      </c>
      <c r="G4637" s="656"/>
      <c r="H4637" s="656" t="s">
        <v>1300</v>
      </c>
      <c r="I4637" s="656" t="s">
        <v>14976</v>
      </c>
      <c r="J4637" s="656"/>
      <c r="K4637" s="656"/>
      <c r="L4637" s="656"/>
      <c r="M4637" s="657"/>
      <c r="N4637" s="1482"/>
      <c r="O4637" s="656" t="s">
        <v>498</v>
      </c>
      <c r="P4637" s="656" t="s">
        <v>13052</v>
      </c>
      <c r="Q4637" s="656">
        <v>44216.76152777778</v>
      </c>
    </row>
    <row r="4638" spans="1:17">
      <c r="A4638" s="656" t="s">
        <v>6612</v>
      </c>
      <c r="B4638" s="657" t="s">
        <v>202</v>
      </c>
      <c r="C4638" s="656" t="s">
        <v>6613</v>
      </c>
      <c r="D4638" s="657" t="s">
        <v>14978</v>
      </c>
      <c r="E4638" s="657"/>
      <c r="F4638" s="656" t="s">
        <v>1667</v>
      </c>
      <c r="G4638" s="656"/>
      <c r="H4638" s="656" t="s">
        <v>1667</v>
      </c>
      <c r="I4638" s="656" t="s">
        <v>14976</v>
      </c>
      <c r="J4638" s="656" t="s">
        <v>15286</v>
      </c>
      <c r="K4638" s="656"/>
      <c r="L4638" s="656" t="s">
        <v>6614</v>
      </c>
      <c r="M4638" s="657"/>
      <c r="N4638" s="1482"/>
      <c r="O4638" s="656" t="s">
        <v>498</v>
      </c>
      <c r="P4638" s="656" t="s">
        <v>13052</v>
      </c>
      <c r="Q4638" s="656">
        <v>44216.76152777778</v>
      </c>
    </row>
    <row r="4639" spans="1:17">
      <c r="A4639" s="656" t="s">
        <v>6614</v>
      </c>
      <c r="B4639" s="657"/>
      <c r="C4639" s="656" t="s">
        <v>6615</v>
      </c>
      <c r="D4639" s="657" t="s">
        <v>13789</v>
      </c>
      <c r="E4639" s="657"/>
      <c r="F4639" s="656"/>
      <c r="G4639" s="656" t="s">
        <v>5045</v>
      </c>
      <c r="H4639" s="656"/>
      <c r="I4639" s="656" t="s">
        <v>14976</v>
      </c>
      <c r="J4639" s="656"/>
      <c r="K4639" s="656"/>
      <c r="L4639" s="656"/>
      <c r="M4639" s="657"/>
      <c r="N4639" s="1482"/>
      <c r="O4639" s="656" t="s">
        <v>498</v>
      </c>
      <c r="P4639" s="656" t="s">
        <v>13052</v>
      </c>
      <c r="Q4639" s="656">
        <v>44216.76152777778</v>
      </c>
    </row>
    <row r="4640" spans="1:17">
      <c r="A4640" s="656" t="s">
        <v>13105</v>
      </c>
      <c r="B4640" s="657" t="s">
        <v>202</v>
      </c>
      <c r="C4640" s="656" t="s">
        <v>13106</v>
      </c>
      <c r="D4640" s="657" t="s">
        <v>13789</v>
      </c>
      <c r="E4640" s="657"/>
      <c r="F4640" s="656" t="s">
        <v>1300</v>
      </c>
      <c r="G4640" s="656" t="s">
        <v>4198</v>
      </c>
      <c r="H4640" s="656" t="s">
        <v>1300</v>
      </c>
      <c r="I4640" s="656" t="s">
        <v>14976</v>
      </c>
      <c r="J4640" s="656"/>
      <c r="K4640" s="656"/>
      <c r="L4640" s="656"/>
      <c r="M4640" s="657"/>
      <c r="N4640" s="1482"/>
      <c r="O4640" s="656" t="s">
        <v>498</v>
      </c>
      <c r="P4640" s="656" t="s">
        <v>13052</v>
      </c>
      <c r="Q4640" s="656">
        <v>44216.761516203704</v>
      </c>
    </row>
    <row r="4641" spans="1:17">
      <c r="A4641" s="656" t="s">
        <v>13103</v>
      </c>
      <c r="B4641" s="657" t="s">
        <v>202</v>
      </c>
      <c r="C4641" s="656" t="s">
        <v>13104</v>
      </c>
      <c r="D4641" s="657" t="s">
        <v>13789</v>
      </c>
      <c r="E4641" s="657"/>
      <c r="F4641" s="656"/>
      <c r="G4641" s="656" t="s">
        <v>5238</v>
      </c>
      <c r="H4641" s="656"/>
      <c r="I4641" s="656" t="s">
        <v>14976</v>
      </c>
      <c r="J4641" s="656"/>
      <c r="K4641" s="656"/>
      <c r="L4641" s="656"/>
      <c r="M4641" s="657"/>
      <c r="N4641" s="1482"/>
      <c r="O4641" s="656" t="s">
        <v>498</v>
      </c>
      <c r="P4641" s="656" t="s">
        <v>13052</v>
      </c>
      <c r="Q4641" s="656">
        <v>44216.761504629627</v>
      </c>
    </row>
    <row r="4642" spans="1:17">
      <c r="A4642" s="656" t="s">
        <v>6616</v>
      </c>
      <c r="B4642" s="657" t="s">
        <v>504</v>
      </c>
      <c r="C4642" s="656" t="s">
        <v>6617</v>
      </c>
      <c r="D4642" s="657"/>
      <c r="E4642" s="657"/>
      <c r="F4642" s="656"/>
      <c r="G4642" s="656" t="s">
        <v>4347</v>
      </c>
      <c r="H4642" s="656"/>
      <c r="I4642" s="656"/>
      <c r="J4642" s="656"/>
      <c r="K4642" s="656"/>
      <c r="L4642" s="656"/>
      <c r="M4642" s="657"/>
      <c r="N4642" s="1482"/>
      <c r="O4642" s="656" t="s">
        <v>498</v>
      </c>
      <c r="P4642" s="656" t="s">
        <v>13052</v>
      </c>
      <c r="Q4642" s="656">
        <v>44216.761504629627</v>
      </c>
    </row>
    <row r="4643" spans="1:17">
      <c r="A4643" s="656" t="s">
        <v>13101</v>
      </c>
      <c r="B4643" s="657" t="s">
        <v>202</v>
      </c>
      <c r="C4643" s="656" t="s">
        <v>13102</v>
      </c>
      <c r="D4643" s="657" t="s">
        <v>13789</v>
      </c>
      <c r="E4643" s="657"/>
      <c r="F4643" s="656"/>
      <c r="G4643" s="656" t="s">
        <v>5238</v>
      </c>
      <c r="H4643" s="656"/>
      <c r="I4643" s="656" t="s">
        <v>14976</v>
      </c>
      <c r="J4643" s="656"/>
      <c r="K4643" s="656"/>
      <c r="L4643" s="656"/>
      <c r="M4643" s="657"/>
      <c r="N4643" s="1482"/>
      <c r="O4643" s="656" t="s">
        <v>498</v>
      </c>
      <c r="P4643" s="656" t="s">
        <v>13052</v>
      </c>
      <c r="Q4643" s="656">
        <v>44216.761493055557</v>
      </c>
    </row>
    <row r="4644" spans="1:17">
      <c r="A4644" s="656" t="s">
        <v>6618</v>
      </c>
      <c r="B4644" s="657" t="s">
        <v>504</v>
      </c>
      <c r="C4644" s="656" t="s">
        <v>6619</v>
      </c>
      <c r="D4644" s="657"/>
      <c r="E4644" s="657"/>
      <c r="F4644" s="656"/>
      <c r="G4644" s="656" t="s">
        <v>4347</v>
      </c>
      <c r="H4644" s="656"/>
      <c r="I4644" s="656"/>
      <c r="J4644" s="656"/>
      <c r="K4644" s="656"/>
      <c r="L4644" s="656"/>
      <c r="M4644" s="657"/>
      <c r="N4644" s="1482"/>
      <c r="O4644" s="656" t="s">
        <v>498</v>
      </c>
      <c r="P4644" s="656" t="s">
        <v>13052</v>
      </c>
      <c r="Q4644" s="656">
        <v>44216.761493055557</v>
      </c>
    </row>
    <row r="4645" spans="1:17">
      <c r="A4645" s="656" t="s">
        <v>13099</v>
      </c>
      <c r="B4645" s="657" t="s">
        <v>202</v>
      </c>
      <c r="C4645" s="656" t="s">
        <v>13100</v>
      </c>
      <c r="D4645" s="657" t="s">
        <v>13789</v>
      </c>
      <c r="E4645" s="657"/>
      <c r="F4645" s="656"/>
      <c r="G4645" s="656" t="s">
        <v>5238</v>
      </c>
      <c r="H4645" s="656"/>
      <c r="I4645" s="656" t="s">
        <v>14976</v>
      </c>
      <c r="J4645" s="656"/>
      <c r="K4645" s="656"/>
      <c r="L4645" s="656"/>
      <c r="M4645" s="657"/>
      <c r="N4645" s="1482"/>
      <c r="O4645" s="656" t="s">
        <v>498</v>
      </c>
      <c r="P4645" s="656" t="s">
        <v>13052</v>
      </c>
      <c r="Q4645" s="656">
        <v>44216.761481481481</v>
      </c>
    </row>
    <row r="4646" spans="1:17">
      <c r="A4646" s="656" t="s">
        <v>6620</v>
      </c>
      <c r="B4646" s="657" t="s">
        <v>504</v>
      </c>
      <c r="C4646" s="656" t="s">
        <v>6621</v>
      </c>
      <c r="D4646" s="657"/>
      <c r="E4646" s="657"/>
      <c r="F4646" s="656"/>
      <c r="G4646" s="656" t="s">
        <v>4347</v>
      </c>
      <c r="H4646" s="656"/>
      <c r="I4646" s="656"/>
      <c r="J4646" s="656"/>
      <c r="K4646" s="656"/>
      <c r="L4646" s="656"/>
      <c r="M4646" s="657"/>
      <c r="N4646" s="1482"/>
      <c r="O4646" s="656" t="s">
        <v>498</v>
      </c>
      <c r="P4646" s="656" t="s">
        <v>13052</v>
      </c>
      <c r="Q4646" s="656">
        <v>44216.761481481481</v>
      </c>
    </row>
    <row r="4647" spans="1:17">
      <c r="A4647" s="656" t="s">
        <v>6622</v>
      </c>
      <c r="B4647" s="657" t="s">
        <v>504</v>
      </c>
      <c r="C4647" s="656" t="s">
        <v>6623</v>
      </c>
      <c r="D4647" s="657"/>
      <c r="E4647" s="657"/>
      <c r="F4647" s="656"/>
      <c r="G4647" s="656" t="s">
        <v>4347</v>
      </c>
      <c r="H4647" s="656"/>
      <c r="I4647" s="656"/>
      <c r="J4647" s="656"/>
      <c r="K4647" s="656"/>
      <c r="L4647" s="656"/>
      <c r="M4647" s="657"/>
      <c r="N4647" s="1482"/>
      <c r="O4647" s="656" t="s">
        <v>498</v>
      </c>
      <c r="P4647" s="656" t="s">
        <v>13052</v>
      </c>
      <c r="Q4647" s="656">
        <v>44216.761469907404</v>
      </c>
    </row>
    <row r="4648" spans="1:17">
      <c r="A4648" s="656" t="s">
        <v>6624</v>
      </c>
      <c r="B4648" s="657" t="s">
        <v>504</v>
      </c>
      <c r="C4648" s="656" t="s">
        <v>6625</v>
      </c>
      <c r="D4648" s="657"/>
      <c r="E4648" s="657"/>
      <c r="F4648" s="656"/>
      <c r="G4648" s="656" t="s">
        <v>4347</v>
      </c>
      <c r="H4648" s="656"/>
      <c r="I4648" s="656"/>
      <c r="J4648" s="656"/>
      <c r="K4648" s="656"/>
      <c r="L4648" s="656"/>
      <c r="M4648" s="657"/>
      <c r="N4648" s="1482"/>
      <c r="O4648" s="656" t="s">
        <v>498</v>
      </c>
      <c r="P4648" s="656" t="s">
        <v>13052</v>
      </c>
      <c r="Q4648" s="656">
        <v>44216.761469907404</v>
      </c>
    </row>
    <row r="4649" spans="1:17">
      <c r="A4649" s="656" t="s">
        <v>6626</v>
      </c>
      <c r="B4649" s="657" t="s">
        <v>504</v>
      </c>
      <c r="C4649" s="656" t="s">
        <v>6627</v>
      </c>
      <c r="D4649" s="657"/>
      <c r="E4649" s="657"/>
      <c r="F4649" s="656"/>
      <c r="G4649" s="656" t="s">
        <v>4362</v>
      </c>
      <c r="H4649" s="656"/>
      <c r="I4649" s="656"/>
      <c r="J4649" s="656"/>
      <c r="K4649" s="656"/>
      <c r="L4649" s="656"/>
      <c r="M4649" s="657"/>
      <c r="N4649" s="1482"/>
      <c r="O4649" s="656" t="s">
        <v>498</v>
      </c>
      <c r="P4649" s="656" t="s">
        <v>13052</v>
      </c>
      <c r="Q4649" s="656">
        <v>44216.761469907404</v>
      </c>
    </row>
    <row r="4650" spans="1:17">
      <c r="A4650" s="656" t="s">
        <v>6628</v>
      </c>
      <c r="B4650" s="657"/>
      <c r="C4650" s="656" t="s">
        <v>6629</v>
      </c>
      <c r="D4650" s="657" t="s">
        <v>14978</v>
      </c>
      <c r="E4650" s="657"/>
      <c r="F4650" s="656"/>
      <c r="G4650" s="656" t="s">
        <v>5103</v>
      </c>
      <c r="H4650" s="656"/>
      <c r="I4650" s="656" t="s">
        <v>14976</v>
      </c>
      <c r="J4650" s="656"/>
      <c r="K4650" s="656"/>
      <c r="L4650" s="656" t="s">
        <v>13093</v>
      </c>
      <c r="M4650" s="657"/>
      <c r="N4650" s="1482"/>
      <c r="O4650" s="656" t="s">
        <v>498</v>
      </c>
      <c r="P4650" s="656" t="s">
        <v>13052</v>
      </c>
      <c r="Q4650" s="656">
        <v>44216.761458333334</v>
      </c>
    </row>
    <row r="4651" spans="1:17">
      <c r="A4651" s="656" t="s">
        <v>13097</v>
      </c>
      <c r="B4651" s="657" t="s">
        <v>202</v>
      </c>
      <c r="C4651" s="656" t="s">
        <v>13098</v>
      </c>
      <c r="D4651" s="657" t="s">
        <v>14978</v>
      </c>
      <c r="E4651" s="657"/>
      <c r="F4651" s="656" t="s">
        <v>1300</v>
      </c>
      <c r="G4651" s="656" t="s">
        <v>4198</v>
      </c>
      <c r="H4651" s="656" t="s">
        <v>1300</v>
      </c>
      <c r="I4651" s="656" t="s">
        <v>14976</v>
      </c>
      <c r="J4651" s="656"/>
      <c r="K4651" s="656"/>
      <c r="L4651" s="656" t="s">
        <v>13093</v>
      </c>
      <c r="M4651" s="657"/>
      <c r="N4651" s="1482"/>
      <c r="O4651" s="656" t="s">
        <v>498</v>
      </c>
      <c r="P4651" s="656" t="s">
        <v>13052</v>
      </c>
      <c r="Q4651" s="656">
        <v>44216.761458333334</v>
      </c>
    </row>
    <row r="4652" spans="1:17">
      <c r="A4652" s="656" t="s">
        <v>6630</v>
      </c>
      <c r="B4652" s="657" t="s">
        <v>504</v>
      </c>
      <c r="C4652" s="656" t="s">
        <v>6631</v>
      </c>
      <c r="D4652" s="657"/>
      <c r="E4652" s="657"/>
      <c r="F4652" s="656"/>
      <c r="G4652" s="656" t="s">
        <v>5103</v>
      </c>
      <c r="H4652" s="656"/>
      <c r="I4652" s="656"/>
      <c r="J4652" s="656"/>
      <c r="K4652" s="656"/>
      <c r="L4652" s="656"/>
      <c r="M4652" s="657"/>
      <c r="N4652" s="1482"/>
      <c r="O4652" s="656" t="s">
        <v>498</v>
      </c>
      <c r="P4652" s="656" t="s">
        <v>13052</v>
      </c>
      <c r="Q4652" s="656">
        <v>44216.761446759258</v>
      </c>
    </row>
    <row r="4653" spans="1:17">
      <c r="A4653" s="656" t="s">
        <v>6632</v>
      </c>
      <c r="B4653" s="657"/>
      <c r="C4653" s="656" t="s">
        <v>6633</v>
      </c>
      <c r="D4653" s="657" t="s">
        <v>14978</v>
      </c>
      <c r="E4653" s="657"/>
      <c r="F4653" s="656"/>
      <c r="G4653" s="656" t="s">
        <v>5103</v>
      </c>
      <c r="H4653" s="656"/>
      <c r="I4653" s="656" t="s">
        <v>14976</v>
      </c>
      <c r="J4653" s="656"/>
      <c r="K4653" s="656"/>
      <c r="L4653" s="656" t="s">
        <v>13093</v>
      </c>
      <c r="M4653" s="657"/>
      <c r="N4653" s="1482"/>
      <c r="O4653" s="656" t="s">
        <v>498</v>
      </c>
      <c r="P4653" s="656" t="s">
        <v>13052</v>
      </c>
      <c r="Q4653" s="656">
        <v>44216.761446759258</v>
      </c>
    </row>
    <row r="4654" spans="1:17">
      <c r="A4654" s="656" t="s">
        <v>6634</v>
      </c>
      <c r="B4654" s="657"/>
      <c r="C4654" s="656" t="s">
        <v>6635</v>
      </c>
      <c r="D4654" s="657" t="s">
        <v>14978</v>
      </c>
      <c r="E4654" s="657"/>
      <c r="F4654" s="656"/>
      <c r="G4654" s="656" t="s">
        <v>5103</v>
      </c>
      <c r="H4654" s="656"/>
      <c r="I4654" s="656" t="s">
        <v>14976</v>
      </c>
      <c r="J4654" s="656"/>
      <c r="K4654" s="656"/>
      <c r="L4654" s="656" t="s">
        <v>13093</v>
      </c>
      <c r="M4654" s="657"/>
      <c r="N4654" s="1482"/>
      <c r="O4654" s="656" t="s">
        <v>498</v>
      </c>
      <c r="P4654" s="656" t="s">
        <v>13052</v>
      </c>
      <c r="Q4654" s="656">
        <v>44216.761446759258</v>
      </c>
    </row>
    <row r="4655" spans="1:17">
      <c r="A4655" s="656" t="s">
        <v>6636</v>
      </c>
      <c r="B4655" s="657"/>
      <c r="C4655" s="656" t="s">
        <v>6637</v>
      </c>
      <c r="D4655" s="657" t="s">
        <v>14978</v>
      </c>
      <c r="E4655" s="657"/>
      <c r="F4655" s="656"/>
      <c r="G4655" s="656" t="s">
        <v>5103</v>
      </c>
      <c r="H4655" s="656"/>
      <c r="I4655" s="656" t="s">
        <v>14976</v>
      </c>
      <c r="J4655" s="656"/>
      <c r="K4655" s="656"/>
      <c r="L4655" s="656" t="s">
        <v>13093</v>
      </c>
      <c r="M4655" s="657"/>
      <c r="N4655" s="1482"/>
      <c r="O4655" s="656" t="s">
        <v>498</v>
      </c>
      <c r="P4655" s="656" t="s">
        <v>13052</v>
      </c>
      <c r="Q4655" s="656">
        <v>44216.761435185188</v>
      </c>
    </row>
    <row r="4656" spans="1:17">
      <c r="A4656" s="656" t="s">
        <v>6638</v>
      </c>
      <c r="B4656" s="657"/>
      <c r="C4656" s="656" t="s">
        <v>6639</v>
      </c>
      <c r="D4656" s="657" t="s">
        <v>14978</v>
      </c>
      <c r="E4656" s="657"/>
      <c r="F4656" s="656"/>
      <c r="G4656" s="656" t="s">
        <v>5103</v>
      </c>
      <c r="H4656" s="656"/>
      <c r="I4656" s="656" t="s">
        <v>14976</v>
      </c>
      <c r="J4656" s="656"/>
      <c r="K4656" s="656"/>
      <c r="L4656" s="656" t="s">
        <v>13093</v>
      </c>
      <c r="M4656" s="657"/>
      <c r="N4656" s="1482"/>
      <c r="O4656" s="656" t="s">
        <v>498</v>
      </c>
      <c r="P4656" s="656" t="s">
        <v>13052</v>
      </c>
      <c r="Q4656" s="656">
        <v>44216.761435185188</v>
      </c>
    </row>
    <row r="4657" spans="1:17">
      <c r="A4657" s="656" t="s">
        <v>6640</v>
      </c>
      <c r="B4657" s="657"/>
      <c r="C4657" s="656" t="s">
        <v>6641</v>
      </c>
      <c r="D4657" s="657" t="s">
        <v>14978</v>
      </c>
      <c r="E4657" s="657"/>
      <c r="F4657" s="656"/>
      <c r="G4657" s="656" t="s">
        <v>5103</v>
      </c>
      <c r="H4657" s="656"/>
      <c r="I4657" s="656" t="s">
        <v>14976</v>
      </c>
      <c r="J4657" s="656"/>
      <c r="K4657" s="656"/>
      <c r="L4657" s="656" t="s">
        <v>13093</v>
      </c>
      <c r="M4657" s="657"/>
      <c r="N4657" s="1482"/>
      <c r="O4657" s="656" t="s">
        <v>498</v>
      </c>
      <c r="P4657" s="656" t="s">
        <v>13052</v>
      </c>
      <c r="Q4657" s="656">
        <v>44216.761423611111</v>
      </c>
    </row>
    <row r="4658" spans="1:17">
      <c r="A4658" s="656" t="s">
        <v>6642</v>
      </c>
      <c r="B4658" s="657"/>
      <c r="C4658" s="656" t="s">
        <v>6643</v>
      </c>
      <c r="D4658" s="657" t="s">
        <v>14978</v>
      </c>
      <c r="E4658" s="657"/>
      <c r="F4658" s="656"/>
      <c r="G4658" s="656" t="s">
        <v>5103</v>
      </c>
      <c r="H4658" s="656"/>
      <c r="I4658" s="656" t="s">
        <v>14976</v>
      </c>
      <c r="J4658" s="656"/>
      <c r="K4658" s="656"/>
      <c r="L4658" s="656" t="s">
        <v>13093</v>
      </c>
      <c r="M4658" s="657"/>
      <c r="N4658" s="1482"/>
      <c r="O4658" s="656" t="s">
        <v>498</v>
      </c>
      <c r="P4658" s="656" t="s">
        <v>13052</v>
      </c>
      <c r="Q4658" s="656">
        <v>44216.761423611111</v>
      </c>
    </row>
    <row r="4659" spans="1:17">
      <c r="A4659" s="656" t="s">
        <v>6644</v>
      </c>
      <c r="B4659" s="657"/>
      <c r="C4659" s="656" t="s">
        <v>6645</v>
      </c>
      <c r="D4659" s="657" t="s">
        <v>14978</v>
      </c>
      <c r="E4659" s="657"/>
      <c r="F4659" s="656"/>
      <c r="G4659" s="656" t="s">
        <v>5103</v>
      </c>
      <c r="H4659" s="656"/>
      <c r="I4659" s="656" t="s">
        <v>14976</v>
      </c>
      <c r="J4659" s="656"/>
      <c r="K4659" s="656"/>
      <c r="L4659" s="656" t="s">
        <v>13093</v>
      </c>
      <c r="M4659" s="657"/>
      <c r="N4659" s="1482"/>
      <c r="O4659" s="656" t="s">
        <v>498</v>
      </c>
      <c r="P4659" s="656" t="s">
        <v>13052</v>
      </c>
      <c r="Q4659" s="656">
        <v>44216.761412037034</v>
      </c>
    </row>
    <row r="4660" spans="1:17">
      <c r="A4660" s="656" t="s">
        <v>6646</v>
      </c>
      <c r="B4660" s="657"/>
      <c r="C4660" s="656" t="s">
        <v>6647</v>
      </c>
      <c r="D4660" s="657" t="s">
        <v>14978</v>
      </c>
      <c r="E4660" s="657"/>
      <c r="F4660" s="656"/>
      <c r="G4660" s="656" t="s">
        <v>5103</v>
      </c>
      <c r="H4660" s="656"/>
      <c r="I4660" s="656" t="s">
        <v>14976</v>
      </c>
      <c r="J4660" s="656"/>
      <c r="K4660" s="656"/>
      <c r="L4660" s="656" t="s">
        <v>13093</v>
      </c>
      <c r="M4660" s="657"/>
      <c r="N4660" s="1482"/>
      <c r="O4660" s="656" t="s">
        <v>498</v>
      </c>
      <c r="P4660" s="656" t="s">
        <v>13052</v>
      </c>
      <c r="Q4660" s="656">
        <v>44216.761412037034</v>
      </c>
    </row>
    <row r="4661" spans="1:17">
      <c r="A4661" s="656" t="s">
        <v>6648</v>
      </c>
      <c r="B4661" s="657"/>
      <c r="C4661" s="656" t="s">
        <v>6649</v>
      </c>
      <c r="D4661" s="657" t="s">
        <v>14978</v>
      </c>
      <c r="E4661" s="657"/>
      <c r="F4661" s="656"/>
      <c r="G4661" s="656" t="s">
        <v>5103</v>
      </c>
      <c r="H4661" s="656"/>
      <c r="I4661" s="656" t="s">
        <v>14976</v>
      </c>
      <c r="J4661" s="656"/>
      <c r="K4661" s="656"/>
      <c r="L4661" s="656" t="s">
        <v>13093</v>
      </c>
      <c r="M4661" s="657"/>
      <c r="N4661" s="1482"/>
      <c r="O4661" s="656" t="s">
        <v>498</v>
      </c>
      <c r="P4661" s="656" t="s">
        <v>13052</v>
      </c>
      <c r="Q4661" s="656">
        <v>44216.761412037034</v>
      </c>
    </row>
    <row r="4662" spans="1:17">
      <c r="A4662" s="656" t="s">
        <v>6650</v>
      </c>
      <c r="B4662" s="657"/>
      <c r="C4662" s="656" t="s">
        <v>6651</v>
      </c>
      <c r="D4662" s="657" t="s">
        <v>14978</v>
      </c>
      <c r="E4662" s="657"/>
      <c r="F4662" s="656"/>
      <c r="G4662" s="656" t="s">
        <v>5103</v>
      </c>
      <c r="H4662" s="656"/>
      <c r="I4662" s="656" t="s">
        <v>14976</v>
      </c>
      <c r="J4662" s="656"/>
      <c r="K4662" s="656"/>
      <c r="L4662" s="656" t="s">
        <v>13093</v>
      </c>
      <c r="M4662" s="657"/>
      <c r="N4662" s="1482"/>
      <c r="O4662" s="656" t="s">
        <v>498</v>
      </c>
      <c r="P4662" s="656" t="s">
        <v>13052</v>
      </c>
      <c r="Q4662" s="656">
        <v>44216.761400462965</v>
      </c>
    </row>
    <row r="4663" spans="1:17">
      <c r="A4663" s="656" t="s">
        <v>6652</v>
      </c>
      <c r="B4663" s="657"/>
      <c r="C4663" s="656" t="s">
        <v>6653</v>
      </c>
      <c r="D4663" s="657" t="s">
        <v>14978</v>
      </c>
      <c r="E4663" s="657"/>
      <c r="F4663" s="656"/>
      <c r="G4663" s="656" t="s">
        <v>5103</v>
      </c>
      <c r="H4663" s="656"/>
      <c r="I4663" s="656" t="s">
        <v>14976</v>
      </c>
      <c r="J4663" s="656"/>
      <c r="K4663" s="656"/>
      <c r="L4663" s="656" t="s">
        <v>13093</v>
      </c>
      <c r="M4663" s="657"/>
      <c r="N4663" s="1482"/>
      <c r="O4663" s="656" t="s">
        <v>498</v>
      </c>
      <c r="P4663" s="656" t="s">
        <v>13052</v>
      </c>
      <c r="Q4663" s="656">
        <v>44216.761400462965</v>
      </c>
    </row>
    <row r="4664" spans="1:17">
      <c r="A4664" s="656" t="s">
        <v>13095</v>
      </c>
      <c r="B4664" s="657" t="s">
        <v>202</v>
      </c>
      <c r="C4664" s="656" t="s">
        <v>13096</v>
      </c>
      <c r="D4664" s="657" t="s">
        <v>14978</v>
      </c>
      <c r="E4664" s="657"/>
      <c r="F4664" s="656"/>
      <c r="G4664" s="656" t="s">
        <v>3757</v>
      </c>
      <c r="H4664" s="656"/>
      <c r="I4664" s="656" t="s">
        <v>14976</v>
      </c>
      <c r="J4664" s="656"/>
      <c r="K4664" s="656"/>
      <c r="L4664" s="656" t="s">
        <v>13093</v>
      </c>
      <c r="M4664" s="657"/>
      <c r="N4664" s="1482"/>
      <c r="O4664" s="656" t="s">
        <v>498</v>
      </c>
      <c r="P4664" s="656" t="s">
        <v>13052</v>
      </c>
      <c r="Q4664" s="656">
        <v>44216.761388888888</v>
      </c>
    </row>
    <row r="4665" spans="1:17">
      <c r="A4665" s="656" t="s">
        <v>13093</v>
      </c>
      <c r="B4665" s="657" t="s">
        <v>202</v>
      </c>
      <c r="C4665" s="656" t="s">
        <v>13094</v>
      </c>
      <c r="D4665" s="657" t="s">
        <v>14977</v>
      </c>
      <c r="E4665" s="657"/>
      <c r="F4665" s="656" t="s">
        <v>1394</v>
      </c>
      <c r="G4665" s="656"/>
      <c r="H4665" s="656" t="s">
        <v>1394</v>
      </c>
      <c r="I4665" s="656" t="s">
        <v>14976</v>
      </c>
      <c r="J4665" s="656"/>
      <c r="K4665" s="656"/>
      <c r="L4665" s="656" t="s">
        <v>13093</v>
      </c>
      <c r="M4665" s="657"/>
      <c r="N4665" s="1482"/>
      <c r="O4665" s="656" t="s">
        <v>498</v>
      </c>
      <c r="P4665" s="656" t="s">
        <v>13052</v>
      </c>
      <c r="Q4665" s="656">
        <v>44216.761388888888</v>
      </c>
    </row>
    <row r="4666" spans="1:17">
      <c r="A4666" s="656" t="s">
        <v>13091</v>
      </c>
      <c r="B4666" s="657" t="s">
        <v>202</v>
      </c>
      <c r="C4666" s="656" t="s">
        <v>13092</v>
      </c>
      <c r="D4666" s="657" t="s">
        <v>13789</v>
      </c>
      <c r="E4666" s="657"/>
      <c r="F4666" s="656" t="s">
        <v>1300</v>
      </c>
      <c r="G4666" s="656" t="s">
        <v>4198</v>
      </c>
      <c r="H4666" s="656" t="s">
        <v>1300</v>
      </c>
      <c r="I4666" s="656" t="s">
        <v>14976</v>
      </c>
      <c r="J4666" s="656"/>
      <c r="K4666" s="656"/>
      <c r="L4666" s="656"/>
      <c r="M4666" s="657"/>
      <c r="N4666" s="1482"/>
      <c r="O4666" s="656" t="s">
        <v>498</v>
      </c>
      <c r="P4666" s="656" t="s">
        <v>13052</v>
      </c>
      <c r="Q4666" s="656">
        <v>44216.761377314811</v>
      </c>
    </row>
    <row r="4667" spans="1:17">
      <c r="A4667" s="656" t="s">
        <v>13089</v>
      </c>
      <c r="B4667" s="657" t="s">
        <v>202</v>
      </c>
      <c r="C4667" s="656" t="s">
        <v>13090</v>
      </c>
      <c r="D4667" s="657" t="s">
        <v>13789</v>
      </c>
      <c r="E4667" s="657"/>
      <c r="F4667" s="656" t="s">
        <v>1300</v>
      </c>
      <c r="G4667" s="656" t="s">
        <v>4198</v>
      </c>
      <c r="H4667" s="656" t="s">
        <v>1300</v>
      </c>
      <c r="I4667" s="656" t="s">
        <v>14976</v>
      </c>
      <c r="J4667" s="656"/>
      <c r="K4667" s="656"/>
      <c r="L4667" s="656"/>
      <c r="M4667" s="657"/>
      <c r="N4667" s="1482"/>
      <c r="O4667" s="656" t="s">
        <v>498</v>
      </c>
      <c r="P4667" s="656" t="s">
        <v>13052</v>
      </c>
      <c r="Q4667" s="656">
        <v>44216.761388888888</v>
      </c>
    </row>
    <row r="4668" spans="1:17">
      <c r="A4668" s="656" t="s">
        <v>13087</v>
      </c>
      <c r="B4668" s="657" t="s">
        <v>202</v>
      </c>
      <c r="C4668" s="656" t="s">
        <v>13088</v>
      </c>
      <c r="D4668" s="657" t="s">
        <v>13789</v>
      </c>
      <c r="E4668" s="657"/>
      <c r="F4668" s="656" t="s">
        <v>1300</v>
      </c>
      <c r="G4668" s="656" t="s">
        <v>4198</v>
      </c>
      <c r="H4668" s="656" t="s">
        <v>1300</v>
      </c>
      <c r="I4668" s="656" t="s">
        <v>14976</v>
      </c>
      <c r="J4668" s="656"/>
      <c r="K4668" s="656"/>
      <c r="L4668" s="656"/>
      <c r="M4668" s="657"/>
      <c r="N4668" s="1482"/>
      <c r="O4668" s="656" t="s">
        <v>498</v>
      </c>
      <c r="P4668" s="656" t="s">
        <v>13052</v>
      </c>
      <c r="Q4668" s="656">
        <v>44216.761377314811</v>
      </c>
    </row>
    <row r="4669" spans="1:17">
      <c r="A4669" s="656" t="s">
        <v>13085</v>
      </c>
      <c r="B4669" s="657" t="s">
        <v>202</v>
      </c>
      <c r="C4669" s="656" t="s">
        <v>13086</v>
      </c>
      <c r="D4669" s="657" t="s">
        <v>13789</v>
      </c>
      <c r="E4669" s="657"/>
      <c r="F4669" s="656" t="s">
        <v>1300</v>
      </c>
      <c r="G4669" s="656" t="s">
        <v>4198</v>
      </c>
      <c r="H4669" s="656" t="s">
        <v>1300</v>
      </c>
      <c r="I4669" s="656" t="s">
        <v>14976</v>
      </c>
      <c r="J4669" s="656"/>
      <c r="K4669" s="656"/>
      <c r="L4669" s="656"/>
      <c r="M4669" s="657"/>
      <c r="N4669" s="1482"/>
      <c r="O4669" s="656" t="s">
        <v>498</v>
      </c>
      <c r="P4669" s="656" t="s">
        <v>13052</v>
      </c>
      <c r="Q4669" s="656">
        <v>44216.761377314811</v>
      </c>
    </row>
    <row r="4670" spans="1:17">
      <c r="A4670" s="656" t="s">
        <v>13083</v>
      </c>
      <c r="B4670" s="657" t="s">
        <v>202</v>
      </c>
      <c r="C4670" s="656" t="s">
        <v>13084</v>
      </c>
      <c r="D4670" s="657" t="s">
        <v>13789</v>
      </c>
      <c r="E4670" s="657"/>
      <c r="F4670" s="656" t="s">
        <v>1300</v>
      </c>
      <c r="G4670" s="656" t="s">
        <v>4198</v>
      </c>
      <c r="H4670" s="656" t="s">
        <v>1300</v>
      </c>
      <c r="I4670" s="656" t="s">
        <v>14976</v>
      </c>
      <c r="J4670" s="656"/>
      <c r="K4670" s="656"/>
      <c r="L4670" s="656"/>
      <c r="M4670" s="657"/>
      <c r="N4670" s="1482"/>
      <c r="O4670" s="656" t="s">
        <v>498</v>
      </c>
      <c r="P4670" s="656" t="s">
        <v>13052</v>
      </c>
      <c r="Q4670" s="656">
        <v>44216.761365740742</v>
      </c>
    </row>
    <row r="4671" spans="1:17">
      <c r="A4671" s="656" t="s">
        <v>6654</v>
      </c>
      <c r="B4671" s="657" t="s">
        <v>504</v>
      </c>
      <c r="C4671" s="656" t="s">
        <v>6655</v>
      </c>
      <c r="D4671" s="657"/>
      <c r="E4671" s="657"/>
      <c r="F4671" s="656" t="s">
        <v>505</v>
      </c>
      <c r="G4671" s="656" t="s">
        <v>4394</v>
      </c>
      <c r="H4671" s="656" t="s">
        <v>505</v>
      </c>
      <c r="I4671" s="656"/>
      <c r="J4671" s="656"/>
      <c r="K4671" s="656"/>
      <c r="L4671" s="656"/>
      <c r="M4671" s="657"/>
      <c r="N4671" s="1482"/>
      <c r="O4671" s="656" t="s">
        <v>498</v>
      </c>
      <c r="P4671" s="656" t="s">
        <v>13052</v>
      </c>
      <c r="Q4671" s="656">
        <v>44216.761354166665</v>
      </c>
    </row>
    <row r="4672" spans="1:17">
      <c r="A4672" s="656" t="s">
        <v>6656</v>
      </c>
      <c r="B4672" s="657" t="s">
        <v>504</v>
      </c>
      <c r="C4672" s="656" t="s">
        <v>6657</v>
      </c>
      <c r="D4672" s="657"/>
      <c r="E4672" s="657"/>
      <c r="F4672" s="656" t="s">
        <v>505</v>
      </c>
      <c r="G4672" s="656" t="s">
        <v>4394</v>
      </c>
      <c r="H4672" s="656" t="s">
        <v>505</v>
      </c>
      <c r="I4672" s="656"/>
      <c r="J4672" s="656"/>
      <c r="K4672" s="656"/>
      <c r="L4672" s="656"/>
      <c r="M4672" s="657"/>
      <c r="N4672" s="1482"/>
      <c r="O4672" s="656" t="s">
        <v>498</v>
      </c>
      <c r="P4672" s="656" t="s">
        <v>13052</v>
      </c>
      <c r="Q4672" s="656">
        <v>44216.761354166665</v>
      </c>
    </row>
    <row r="4673" spans="1:17">
      <c r="A4673" s="656" t="s">
        <v>6658</v>
      </c>
      <c r="B4673" s="657" t="s">
        <v>504</v>
      </c>
      <c r="C4673" s="656" t="s">
        <v>6659</v>
      </c>
      <c r="D4673" s="657"/>
      <c r="E4673" s="657"/>
      <c r="F4673" s="656"/>
      <c r="G4673" s="656" t="s">
        <v>4362</v>
      </c>
      <c r="H4673" s="656"/>
      <c r="I4673" s="656"/>
      <c r="J4673" s="656"/>
      <c r="K4673" s="656"/>
      <c r="L4673" s="656"/>
      <c r="M4673" s="657"/>
      <c r="N4673" s="1482"/>
      <c r="O4673" s="656" t="s">
        <v>498</v>
      </c>
      <c r="P4673" s="656" t="s">
        <v>13052</v>
      </c>
      <c r="Q4673" s="656">
        <v>44216.761342592596</v>
      </c>
    </row>
    <row r="4674" spans="1:17">
      <c r="A4674" s="656" t="s">
        <v>6660</v>
      </c>
      <c r="B4674" s="657" t="s">
        <v>504</v>
      </c>
      <c r="C4674" s="656" t="s">
        <v>6661</v>
      </c>
      <c r="D4674" s="657"/>
      <c r="E4674" s="657"/>
      <c r="F4674" s="656"/>
      <c r="G4674" s="656" t="s">
        <v>4362</v>
      </c>
      <c r="H4674" s="656"/>
      <c r="I4674" s="656"/>
      <c r="J4674" s="656"/>
      <c r="K4674" s="656"/>
      <c r="L4674" s="656"/>
      <c r="M4674" s="657"/>
      <c r="N4674" s="1482"/>
      <c r="O4674" s="656" t="s">
        <v>498</v>
      </c>
      <c r="P4674" s="656" t="s">
        <v>13052</v>
      </c>
      <c r="Q4674" s="656">
        <v>44216.761342592596</v>
      </c>
    </row>
    <row r="4675" spans="1:17">
      <c r="A4675" s="656" t="s">
        <v>6662</v>
      </c>
      <c r="B4675" s="657" t="s">
        <v>504</v>
      </c>
      <c r="C4675" s="656" t="s">
        <v>6663</v>
      </c>
      <c r="D4675" s="657"/>
      <c r="E4675" s="657"/>
      <c r="F4675" s="656"/>
      <c r="G4675" s="656" t="s">
        <v>4362</v>
      </c>
      <c r="H4675" s="656"/>
      <c r="I4675" s="656"/>
      <c r="J4675" s="656"/>
      <c r="K4675" s="656"/>
      <c r="L4675" s="656"/>
      <c r="M4675" s="657"/>
      <c r="N4675" s="1482"/>
      <c r="O4675" s="656" t="s">
        <v>498</v>
      </c>
      <c r="P4675" s="656" t="s">
        <v>13052</v>
      </c>
      <c r="Q4675" s="656">
        <v>44216.761331018519</v>
      </c>
    </row>
    <row r="4676" spans="1:17">
      <c r="A4676" s="656" t="s">
        <v>6664</v>
      </c>
      <c r="B4676" s="657" t="s">
        <v>504</v>
      </c>
      <c r="C4676" s="656" t="s">
        <v>6665</v>
      </c>
      <c r="D4676" s="657"/>
      <c r="E4676" s="657"/>
      <c r="F4676" s="656"/>
      <c r="G4676" s="656" t="s">
        <v>4362</v>
      </c>
      <c r="H4676" s="656"/>
      <c r="I4676" s="656"/>
      <c r="J4676" s="656"/>
      <c r="K4676" s="656"/>
      <c r="L4676" s="656"/>
      <c r="M4676" s="657"/>
      <c r="N4676" s="1482"/>
      <c r="O4676" s="656" t="s">
        <v>498</v>
      </c>
      <c r="P4676" s="656" t="s">
        <v>13052</v>
      </c>
      <c r="Q4676" s="656">
        <v>44216.761331018519</v>
      </c>
    </row>
    <row r="4677" spans="1:17">
      <c r="A4677" s="656" t="s">
        <v>6666</v>
      </c>
      <c r="B4677" s="657" t="s">
        <v>504</v>
      </c>
      <c r="C4677" s="656" t="s">
        <v>6667</v>
      </c>
      <c r="D4677" s="657"/>
      <c r="E4677" s="657"/>
      <c r="F4677" s="656"/>
      <c r="G4677" s="656" t="s">
        <v>4362</v>
      </c>
      <c r="H4677" s="656"/>
      <c r="I4677" s="656"/>
      <c r="J4677" s="656"/>
      <c r="K4677" s="656"/>
      <c r="L4677" s="656"/>
      <c r="M4677" s="657"/>
      <c r="N4677" s="1482"/>
      <c r="O4677" s="656" t="s">
        <v>498</v>
      </c>
      <c r="P4677" s="656" t="s">
        <v>13052</v>
      </c>
      <c r="Q4677" s="656">
        <v>44216.761319444442</v>
      </c>
    </row>
    <row r="4678" spans="1:17">
      <c r="A4678" s="656" t="s">
        <v>6668</v>
      </c>
      <c r="B4678" s="657" t="s">
        <v>504</v>
      </c>
      <c r="C4678" s="656" t="s">
        <v>6669</v>
      </c>
      <c r="D4678" s="657"/>
      <c r="E4678" s="657"/>
      <c r="F4678" s="656"/>
      <c r="G4678" s="656" t="s">
        <v>4362</v>
      </c>
      <c r="H4678" s="656"/>
      <c r="I4678" s="656"/>
      <c r="J4678" s="656"/>
      <c r="K4678" s="656"/>
      <c r="L4678" s="656"/>
      <c r="M4678" s="657"/>
      <c r="N4678" s="1482"/>
      <c r="O4678" s="656" t="s">
        <v>498</v>
      </c>
      <c r="P4678" s="656" t="s">
        <v>13052</v>
      </c>
      <c r="Q4678" s="656">
        <v>44216.761319444442</v>
      </c>
    </row>
    <row r="4679" spans="1:17">
      <c r="A4679" s="656" t="s">
        <v>6670</v>
      </c>
      <c r="B4679" s="657" t="s">
        <v>504</v>
      </c>
      <c r="C4679" s="656" t="s">
        <v>6671</v>
      </c>
      <c r="D4679" s="657"/>
      <c r="E4679" s="657"/>
      <c r="F4679" s="656"/>
      <c r="G4679" s="656" t="s">
        <v>4347</v>
      </c>
      <c r="H4679" s="656"/>
      <c r="I4679" s="656"/>
      <c r="J4679" s="656"/>
      <c r="K4679" s="656"/>
      <c r="L4679" s="656"/>
      <c r="M4679" s="657"/>
      <c r="N4679" s="1482"/>
      <c r="O4679" s="656" t="s">
        <v>498</v>
      </c>
      <c r="P4679" s="656" t="s">
        <v>13052</v>
      </c>
      <c r="Q4679" s="656">
        <v>44216.761319444442</v>
      </c>
    </row>
    <row r="4680" spans="1:17">
      <c r="A4680" s="656" t="s">
        <v>6672</v>
      </c>
      <c r="B4680" s="657"/>
      <c r="C4680" s="656" t="s">
        <v>6673</v>
      </c>
      <c r="D4680" s="657" t="s">
        <v>13789</v>
      </c>
      <c r="E4680" s="657"/>
      <c r="F4680" s="656"/>
      <c r="G4680" s="656" t="s">
        <v>5045</v>
      </c>
      <c r="H4680" s="656"/>
      <c r="I4680" s="656" t="s">
        <v>14976</v>
      </c>
      <c r="J4680" s="656"/>
      <c r="K4680" s="656"/>
      <c r="L4680" s="656"/>
      <c r="M4680" s="657"/>
      <c r="N4680" s="1482"/>
      <c r="O4680" s="656" t="s">
        <v>498</v>
      </c>
      <c r="P4680" s="656" t="s">
        <v>13052</v>
      </c>
      <c r="Q4680" s="656">
        <v>44216.761307870373</v>
      </c>
    </row>
    <row r="4681" spans="1:17">
      <c r="A4681" s="656" t="s">
        <v>13081</v>
      </c>
      <c r="B4681" s="657" t="s">
        <v>202</v>
      </c>
      <c r="C4681" s="656" t="s">
        <v>13082</v>
      </c>
      <c r="D4681" s="657" t="s">
        <v>13789</v>
      </c>
      <c r="E4681" s="657"/>
      <c r="F4681" s="656"/>
      <c r="G4681" s="656" t="s">
        <v>5238</v>
      </c>
      <c r="H4681" s="656"/>
      <c r="I4681" s="656" t="s">
        <v>14976</v>
      </c>
      <c r="J4681" s="656"/>
      <c r="K4681" s="656"/>
      <c r="L4681" s="656"/>
      <c r="M4681" s="657"/>
      <c r="N4681" s="1482"/>
      <c r="O4681" s="656" t="s">
        <v>498</v>
      </c>
      <c r="P4681" s="656" t="s">
        <v>13052</v>
      </c>
      <c r="Q4681" s="656">
        <v>44216.761307870373</v>
      </c>
    </row>
    <row r="4682" spans="1:17">
      <c r="A4682" s="656" t="s">
        <v>6674</v>
      </c>
      <c r="B4682" s="657" t="s">
        <v>504</v>
      </c>
      <c r="C4682" s="656" t="s">
        <v>6675</v>
      </c>
      <c r="D4682" s="657"/>
      <c r="E4682" s="657"/>
      <c r="F4682" s="656"/>
      <c r="G4682" s="656" t="s">
        <v>4362</v>
      </c>
      <c r="H4682" s="656"/>
      <c r="I4682" s="656"/>
      <c r="J4682" s="656"/>
      <c r="K4682" s="656"/>
      <c r="L4682" s="656"/>
      <c r="M4682" s="657"/>
      <c r="N4682" s="1482"/>
      <c r="O4682" s="656" t="s">
        <v>498</v>
      </c>
      <c r="P4682" s="656" t="s">
        <v>13052</v>
      </c>
      <c r="Q4682" s="656">
        <v>44216.761296296296</v>
      </c>
    </row>
    <row r="4683" spans="1:17">
      <c r="A4683" s="656" t="s">
        <v>6676</v>
      </c>
      <c r="B4683" s="657" t="s">
        <v>504</v>
      </c>
      <c r="C4683" s="656" t="s">
        <v>6677</v>
      </c>
      <c r="D4683" s="657"/>
      <c r="E4683" s="657"/>
      <c r="F4683" s="656" t="s">
        <v>505</v>
      </c>
      <c r="G4683" s="656" t="s">
        <v>4324</v>
      </c>
      <c r="H4683" s="656" t="s">
        <v>505</v>
      </c>
      <c r="I4683" s="656"/>
      <c r="J4683" s="656"/>
      <c r="K4683" s="656"/>
      <c r="L4683" s="656"/>
      <c r="M4683" s="657"/>
      <c r="N4683" s="1482"/>
      <c r="O4683" s="656" t="s">
        <v>498</v>
      </c>
      <c r="P4683" s="656" t="s">
        <v>13052</v>
      </c>
      <c r="Q4683" s="656">
        <v>44216.761284722219</v>
      </c>
    </row>
    <row r="4684" spans="1:17">
      <c r="A4684" s="656" t="s">
        <v>6678</v>
      </c>
      <c r="B4684" s="657" t="s">
        <v>504</v>
      </c>
      <c r="C4684" s="656" t="s">
        <v>6679</v>
      </c>
      <c r="D4684" s="657"/>
      <c r="E4684" s="657"/>
      <c r="F4684" s="656" t="s">
        <v>505</v>
      </c>
      <c r="G4684" s="656" t="s">
        <v>4324</v>
      </c>
      <c r="H4684" s="656" t="s">
        <v>505</v>
      </c>
      <c r="I4684" s="656"/>
      <c r="J4684" s="656"/>
      <c r="K4684" s="656"/>
      <c r="L4684" s="656"/>
      <c r="M4684" s="657"/>
      <c r="N4684" s="1482"/>
      <c r="O4684" s="656" t="s">
        <v>498</v>
      </c>
      <c r="P4684" s="656" t="s">
        <v>13052</v>
      </c>
      <c r="Q4684" s="656">
        <v>44216.761284722219</v>
      </c>
    </row>
    <row r="4685" spans="1:17">
      <c r="A4685" s="656" t="s">
        <v>6680</v>
      </c>
      <c r="B4685" s="657"/>
      <c r="C4685" s="656" t="s">
        <v>6681</v>
      </c>
      <c r="D4685" s="657" t="s">
        <v>13789</v>
      </c>
      <c r="E4685" s="657"/>
      <c r="F4685" s="656"/>
      <c r="G4685" s="656" t="s">
        <v>5103</v>
      </c>
      <c r="H4685" s="656"/>
      <c r="I4685" s="656" t="s">
        <v>14976</v>
      </c>
      <c r="J4685" s="656"/>
      <c r="K4685" s="656"/>
      <c r="L4685" s="656"/>
      <c r="M4685" s="657"/>
      <c r="N4685" s="1482"/>
      <c r="O4685" s="656" t="s">
        <v>498</v>
      </c>
      <c r="P4685" s="656" t="s">
        <v>13052</v>
      </c>
      <c r="Q4685" s="656">
        <v>44216.761273148149</v>
      </c>
    </row>
    <row r="4686" spans="1:17">
      <c r="A4686" s="656" t="s">
        <v>6682</v>
      </c>
      <c r="B4686" s="657"/>
      <c r="C4686" s="656" t="s">
        <v>6683</v>
      </c>
      <c r="D4686" s="657" t="s">
        <v>13789</v>
      </c>
      <c r="E4686" s="657"/>
      <c r="F4686" s="656"/>
      <c r="G4686" s="656" t="s">
        <v>5103</v>
      </c>
      <c r="H4686" s="656"/>
      <c r="I4686" s="656" t="s">
        <v>14976</v>
      </c>
      <c r="J4686" s="656"/>
      <c r="K4686" s="656"/>
      <c r="L4686" s="656"/>
      <c r="M4686" s="657"/>
      <c r="N4686" s="1482"/>
      <c r="O4686" s="656" t="s">
        <v>498</v>
      </c>
      <c r="P4686" s="656" t="s">
        <v>13052</v>
      </c>
      <c r="Q4686" s="656">
        <v>44216.761273148149</v>
      </c>
    </row>
    <row r="4687" spans="1:17">
      <c r="A4687" s="656" t="s">
        <v>13079</v>
      </c>
      <c r="B4687" s="657" t="s">
        <v>202</v>
      </c>
      <c r="C4687" s="656" t="s">
        <v>13080</v>
      </c>
      <c r="D4687" s="657" t="s">
        <v>13789</v>
      </c>
      <c r="E4687" s="657"/>
      <c r="F4687" s="656" t="s">
        <v>1300</v>
      </c>
      <c r="G4687" s="656" t="s">
        <v>4198</v>
      </c>
      <c r="H4687" s="656" t="s">
        <v>1300</v>
      </c>
      <c r="I4687" s="656" t="s">
        <v>14976</v>
      </c>
      <c r="J4687" s="656"/>
      <c r="K4687" s="656"/>
      <c r="L4687" s="656"/>
      <c r="M4687" s="657"/>
      <c r="N4687" s="1482"/>
      <c r="O4687" s="656" t="s">
        <v>498</v>
      </c>
      <c r="P4687" s="656" t="s">
        <v>13052</v>
      </c>
      <c r="Q4687" s="656">
        <v>44216.761273148149</v>
      </c>
    </row>
    <row r="4688" spans="1:17">
      <c r="A4688" s="656" t="s">
        <v>13077</v>
      </c>
      <c r="B4688" s="657" t="s">
        <v>202</v>
      </c>
      <c r="C4688" s="656" t="s">
        <v>13078</v>
      </c>
      <c r="D4688" s="657" t="s">
        <v>13789</v>
      </c>
      <c r="E4688" s="657"/>
      <c r="F4688" s="656" t="s">
        <v>1300</v>
      </c>
      <c r="G4688" s="656" t="s">
        <v>4198</v>
      </c>
      <c r="H4688" s="656" t="s">
        <v>1300</v>
      </c>
      <c r="I4688" s="656" t="s">
        <v>14976</v>
      </c>
      <c r="J4688" s="656"/>
      <c r="K4688" s="656"/>
      <c r="L4688" s="656"/>
      <c r="M4688" s="657"/>
      <c r="N4688" s="1482"/>
      <c r="O4688" s="656" t="s">
        <v>498</v>
      </c>
      <c r="P4688" s="656" t="s">
        <v>13052</v>
      </c>
      <c r="Q4688" s="656">
        <v>44216.761261574073</v>
      </c>
    </row>
    <row r="4689" spans="1:17">
      <c r="A4689" s="656" t="s">
        <v>13075</v>
      </c>
      <c r="B4689" s="657" t="s">
        <v>202</v>
      </c>
      <c r="C4689" s="656" t="s">
        <v>13076</v>
      </c>
      <c r="D4689" s="657" t="s">
        <v>13789</v>
      </c>
      <c r="E4689" s="657"/>
      <c r="F4689" s="656" t="s">
        <v>1300</v>
      </c>
      <c r="G4689" s="656" t="s">
        <v>4198</v>
      </c>
      <c r="H4689" s="656" t="s">
        <v>1300</v>
      </c>
      <c r="I4689" s="656" t="s">
        <v>14976</v>
      </c>
      <c r="J4689" s="656"/>
      <c r="K4689" s="656"/>
      <c r="L4689" s="656"/>
      <c r="M4689" s="657"/>
      <c r="N4689" s="1482"/>
      <c r="O4689" s="656" t="s">
        <v>498</v>
      </c>
      <c r="P4689" s="656" t="s">
        <v>13052</v>
      </c>
      <c r="Q4689" s="656">
        <v>44216.761261574073</v>
      </c>
    </row>
    <row r="4690" spans="1:17">
      <c r="A4690" s="656" t="s">
        <v>13073</v>
      </c>
      <c r="B4690" s="657" t="s">
        <v>202</v>
      </c>
      <c r="C4690" s="656" t="s">
        <v>13074</v>
      </c>
      <c r="D4690" s="657" t="s">
        <v>13789</v>
      </c>
      <c r="E4690" s="657"/>
      <c r="F4690" s="656" t="s">
        <v>1300</v>
      </c>
      <c r="G4690" s="656" t="s">
        <v>4198</v>
      </c>
      <c r="H4690" s="656" t="s">
        <v>1300</v>
      </c>
      <c r="I4690" s="656" t="s">
        <v>14976</v>
      </c>
      <c r="J4690" s="656"/>
      <c r="K4690" s="656"/>
      <c r="L4690" s="656"/>
      <c r="M4690" s="657"/>
      <c r="N4690" s="1482"/>
      <c r="O4690" s="656" t="s">
        <v>498</v>
      </c>
      <c r="P4690" s="656" t="s">
        <v>13052</v>
      </c>
      <c r="Q4690" s="656">
        <v>44216.761250000003</v>
      </c>
    </row>
    <row r="4691" spans="1:17">
      <c r="A4691" s="656" t="s">
        <v>13071</v>
      </c>
      <c r="B4691" s="657" t="s">
        <v>202</v>
      </c>
      <c r="C4691" s="656" t="s">
        <v>13072</v>
      </c>
      <c r="D4691" s="657" t="s">
        <v>13789</v>
      </c>
      <c r="E4691" s="657"/>
      <c r="F4691" s="656" t="s">
        <v>1300</v>
      </c>
      <c r="G4691" s="656" t="s">
        <v>4198</v>
      </c>
      <c r="H4691" s="656" t="s">
        <v>1300</v>
      </c>
      <c r="I4691" s="656" t="s">
        <v>14976</v>
      </c>
      <c r="J4691" s="656"/>
      <c r="K4691" s="656"/>
      <c r="L4691" s="656"/>
      <c r="M4691" s="657"/>
      <c r="N4691" s="1482"/>
      <c r="O4691" s="656" t="s">
        <v>498</v>
      </c>
      <c r="P4691" s="656" t="s">
        <v>13052</v>
      </c>
      <c r="Q4691" s="656">
        <v>44216.761250000003</v>
      </c>
    </row>
    <row r="4692" spans="1:17">
      <c r="A4692" s="656" t="s">
        <v>6684</v>
      </c>
      <c r="B4692" s="657"/>
      <c r="C4692" s="656" t="s">
        <v>6685</v>
      </c>
      <c r="D4692" s="657" t="s">
        <v>14977</v>
      </c>
      <c r="E4692" s="657"/>
      <c r="F4692" s="656" t="s">
        <v>1394</v>
      </c>
      <c r="G4692" s="656"/>
      <c r="H4692" s="656" t="s">
        <v>1394</v>
      </c>
      <c r="I4692" s="656" t="s">
        <v>14976</v>
      </c>
      <c r="J4692" s="656"/>
      <c r="K4692" s="656"/>
      <c r="L4692" s="656" t="s">
        <v>6684</v>
      </c>
      <c r="M4692" s="657"/>
      <c r="N4692" s="1482"/>
      <c r="O4692" s="656" t="s">
        <v>498</v>
      </c>
      <c r="P4692" s="656" t="s">
        <v>13052</v>
      </c>
      <c r="Q4692" s="656">
        <v>44216.761238425926</v>
      </c>
    </row>
    <row r="4693" spans="1:17">
      <c r="A4693" s="656" t="s">
        <v>6686</v>
      </c>
      <c r="B4693" s="657" t="s">
        <v>504</v>
      </c>
      <c r="C4693" s="656" t="s">
        <v>6687</v>
      </c>
      <c r="D4693" s="657"/>
      <c r="E4693" s="657"/>
      <c r="F4693" s="656" t="s">
        <v>505</v>
      </c>
      <c r="G4693" s="656" t="s">
        <v>4394</v>
      </c>
      <c r="H4693" s="656" t="s">
        <v>505</v>
      </c>
      <c r="I4693" s="656"/>
      <c r="J4693" s="656"/>
      <c r="K4693" s="656"/>
      <c r="L4693" s="656"/>
      <c r="M4693" s="657"/>
      <c r="N4693" s="1482"/>
      <c r="O4693" s="656" t="s">
        <v>498</v>
      </c>
      <c r="P4693" s="656" t="s">
        <v>13052</v>
      </c>
      <c r="Q4693" s="656">
        <v>44216.761238425926</v>
      </c>
    </row>
    <row r="4694" spans="1:17">
      <c r="A4694" s="656" t="s">
        <v>9026</v>
      </c>
      <c r="B4694" s="657" t="s">
        <v>504</v>
      </c>
      <c r="C4694" s="656" t="s">
        <v>9025</v>
      </c>
      <c r="D4694" s="657" t="s">
        <v>14978</v>
      </c>
      <c r="E4694" s="657" t="s">
        <v>7437</v>
      </c>
      <c r="F4694" s="656" t="s">
        <v>505</v>
      </c>
      <c r="G4694" s="656" t="s">
        <v>525</v>
      </c>
      <c r="H4694" s="656" t="s">
        <v>505</v>
      </c>
      <c r="I4694" s="656"/>
      <c r="J4694" s="656"/>
      <c r="K4694" s="656"/>
      <c r="L4694" s="656" t="s">
        <v>15291</v>
      </c>
      <c r="M4694" s="657"/>
      <c r="N4694" s="1482"/>
      <c r="O4694" s="656" t="s">
        <v>498</v>
      </c>
      <c r="P4694" s="656" t="s">
        <v>13052</v>
      </c>
      <c r="Q4694" s="656">
        <v>44216.761238425926</v>
      </c>
    </row>
    <row r="4695" spans="1:17">
      <c r="A4695" s="656" t="s">
        <v>6688</v>
      </c>
      <c r="B4695" s="657" t="s">
        <v>504</v>
      </c>
      <c r="C4695" s="656" t="s">
        <v>6689</v>
      </c>
      <c r="D4695" s="657" t="s">
        <v>13789</v>
      </c>
      <c r="E4695" s="657" t="s">
        <v>9458</v>
      </c>
      <c r="F4695" s="656" t="s">
        <v>505</v>
      </c>
      <c r="G4695" s="656" t="s">
        <v>525</v>
      </c>
      <c r="H4695" s="656" t="s">
        <v>505</v>
      </c>
      <c r="I4695" s="656" t="s">
        <v>14976</v>
      </c>
      <c r="J4695" s="656"/>
      <c r="K4695" s="656"/>
      <c r="L4695" s="656" t="s">
        <v>15291</v>
      </c>
      <c r="M4695" s="657"/>
      <c r="N4695" s="1482"/>
      <c r="O4695" s="656" t="s">
        <v>498</v>
      </c>
      <c r="P4695" s="656" t="s">
        <v>13052</v>
      </c>
      <c r="Q4695" s="656">
        <v>44216.76122685185</v>
      </c>
    </row>
    <row r="4696" spans="1:17">
      <c r="A4696" s="656" t="s">
        <v>6690</v>
      </c>
      <c r="B4696" s="657"/>
      <c r="C4696" s="656" t="s">
        <v>6691</v>
      </c>
      <c r="D4696" s="657" t="s">
        <v>14978</v>
      </c>
      <c r="E4696" s="657"/>
      <c r="F4696" s="656"/>
      <c r="G4696" s="656"/>
      <c r="H4696" s="656"/>
      <c r="I4696" s="656" t="s">
        <v>14976</v>
      </c>
      <c r="J4696" s="656"/>
      <c r="K4696" s="656"/>
      <c r="L4696" s="656" t="s">
        <v>6692</v>
      </c>
      <c r="M4696" s="657"/>
      <c r="N4696" s="1482"/>
      <c r="O4696" s="656" t="s">
        <v>498</v>
      </c>
      <c r="P4696" s="656" t="s">
        <v>13052</v>
      </c>
      <c r="Q4696" s="656">
        <v>44216.76122685185</v>
      </c>
    </row>
    <row r="4697" spans="1:17">
      <c r="A4697" s="656" t="s">
        <v>6692</v>
      </c>
      <c r="B4697" s="657" t="s">
        <v>504</v>
      </c>
      <c r="C4697" s="656" t="s">
        <v>6693</v>
      </c>
      <c r="D4697" s="657"/>
      <c r="E4697" s="657"/>
      <c r="F4697" s="656" t="s">
        <v>505</v>
      </c>
      <c r="G4697" s="656" t="s">
        <v>4394</v>
      </c>
      <c r="H4697" s="656" t="s">
        <v>505</v>
      </c>
      <c r="I4697" s="656"/>
      <c r="J4697" s="656"/>
      <c r="K4697" s="656"/>
      <c r="L4697" s="656"/>
      <c r="M4697" s="657"/>
      <c r="N4697" s="1482"/>
      <c r="O4697" s="656" t="s">
        <v>498</v>
      </c>
      <c r="P4697" s="656" t="s">
        <v>13052</v>
      </c>
      <c r="Q4697" s="656">
        <v>44216.76121527778</v>
      </c>
    </row>
    <row r="4698" spans="1:17">
      <c r="A4698" s="656" t="s">
        <v>6694</v>
      </c>
      <c r="B4698" s="657" t="s">
        <v>504</v>
      </c>
      <c r="C4698" s="656" t="s">
        <v>6695</v>
      </c>
      <c r="D4698" s="657"/>
      <c r="E4698" s="657"/>
      <c r="F4698" s="656" t="s">
        <v>505</v>
      </c>
      <c r="G4698" s="656" t="s">
        <v>4394</v>
      </c>
      <c r="H4698" s="656" t="s">
        <v>505</v>
      </c>
      <c r="I4698" s="656"/>
      <c r="J4698" s="656"/>
      <c r="K4698" s="656"/>
      <c r="L4698" s="656"/>
      <c r="M4698" s="657"/>
      <c r="N4698" s="1482"/>
      <c r="O4698" s="656" t="s">
        <v>498</v>
      </c>
      <c r="P4698" s="656" t="s">
        <v>13052</v>
      </c>
      <c r="Q4698" s="656">
        <v>44216.76122685185</v>
      </c>
    </row>
    <row r="4699" spans="1:17">
      <c r="A4699" s="656" t="s">
        <v>6696</v>
      </c>
      <c r="B4699" s="657" t="s">
        <v>504</v>
      </c>
      <c r="C4699" s="656" t="s">
        <v>6697</v>
      </c>
      <c r="D4699" s="657"/>
      <c r="E4699" s="657"/>
      <c r="F4699" s="656" t="s">
        <v>505</v>
      </c>
      <c r="G4699" s="656" t="s">
        <v>4394</v>
      </c>
      <c r="H4699" s="656" t="s">
        <v>505</v>
      </c>
      <c r="I4699" s="656"/>
      <c r="J4699" s="656"/>
      <c r="K4699" s="656"/>
      <c r="L4699" s="656"/>
      <c r="M4699" s="657"/>
      <c r="N4699" s="1482"/>
      <c r="O4699" s="656" t="s">
        <v>498</v>
      </c>
      <c r="P4699" s="656" t="s">
        <v>13052</v>
      </c>
      <c r="Q4699" s="656">
        <v>44216.761203703703</v>
      </c>
    </row>
    <row r="4700" spans="1:17">
      <c r="A4700" s="656" t="s">
        <v>6698</v>
      </c>
      <c r="B4700" s="657" t="s">
        <v>504</v>
      </c>
      <c r="C4700" s="656" t="s">
        <v>6699</v>
      </c>
      <c r="D4700" s="657"/>
      <c r="E4700" s="657"/>
      <c r="F4700" s="656" t="s">
        <v>505</v>
      </c>
      <c r="G4700" s="656" t="s">
        <v>4394</v>
      </c>
      <c r="H4700" s="656" t="s">
        <v>505</v>
      </c>
      <c r="I4700" s="656"/>
      <c r="J4700" s="656"/>
      <c r="K4700" s="656"/>
      <c r="L4700" s="656"/>
      <c r="M4700" s="657"/>
      <c r="N4700" s="1482"/>
      <c r="O4700" s="656" t="s">
        <v>498</v>
      </c>
      <c r="P4700" s="656" t="s">
        <v>13052</v>
      </c>
      <c r="Q4700" s="656">
        <v>44216.761203703703</v>
      </c>
    </row>
    <row r="4701" spans="1:17">
      <c r="A4701" s="656" t="s">
        <v>6700</v>
      </c>
      <c r="B4701" s="657" t="s">
        <v>504</v>
      </c>
      <c r="C4701" s="656" t="s">
        <v>6701</v>
      </c>
      <c r="D4701" s="657"/>
      <c r="E4701" s="657"/>
      <c r="F4701" s="656" t="s">
        <v>505</v>
      </c>
      <c r="G4701" s="656" t="s">
        <v>4324</v>
      </c>
      <c r="H4701" s="656" t="s">
        <v>505</v>
      </c>
      <c r="I4701" s="656"/>
      <c r="J4701" s="656"/>
      <c r="K4701" s="656"/>
      <c r="L4701" s="656"/>
      <c r="M4701" s="657"/>
      <c r="N4701" s="1482"/>
      <c r="O4701" s="656" t="s">
        <v>498</v>
      </c>
      <c r="P4701" s="656" t="s">
        <v>13052</v>
      </c>
      <c r="Q4701" s="656">
        <v>44216.761203703703</v>
      </c>
    </row>
    <row r="4702" spans="1:17">
      <c r="A4702" s="656" t="s">
        <v>6702</v>
      </c>
      <c r="B4702" s="657" t="s">
        <v>504</v>
      </c>
      <c r="C4702" s="656" t="s">
        <v>6703</v>
      </c>
      <c r="D4702" s="657"/>
      <c r="E4702" s="657"/>
      <c r="F4702" s="656" t="s">
        <v>505</v>
      </c>
      <c r="G4702" s="656" t="s">
        <v>4324</v>
      </c>
      <c r="H4702" s="656" t="s">
        <v>505</v>
      </c>
      <c r="I4702" s="656"/>
      <c r="J4702" s="656"/>
      <c r="K4702" s="656"/>
      <c r="L4702" s="656"/>
      <c r="M4702" s="657"/>
      <c r="N4702" s="1482"/>
      <c r="O4702" s="656" t="s">
        <v>498</v>
      </c>
      <c r="P4702" s="656" t="s">
        <v>13052</v>
      </c>
      <c r="Q4702" s="656">
        <v>44216.761192129627</v>
      </c>
    </row>
    <row r="4703" spans="1:17">
      <c r="A4703" s="656" t="s">
        <v>6704</v>
      </c>
      <c r="B4703" s="657" t="s">
        <v>504</v>
      </c>
      <c r="C4703" s="656" t="s">
        <v>6705</v>
      </c>
      <c r="D4703" s="657"/>
      <c r="E4703" s="657"/>
      <c r="F4703" s="656" t="s">
        <v>505</v>
      </c>
      <c r="G4703" s="656" t="s">
        <v>4324</v>
      </c>
      <c r="H4703" s="656" t="s">
        <v>505</v>
      </c>
      <c r="I4703" s="656"/>
      <c r="J4703" s="656"/>
      <c r="K4703" s="656"/>
      <c r="L4703" s="656"/>
      <c r="M4703" s="657"/>
      <c r="N4703" s="1482"/>
      <c r="O4703" s="656" t="s">
        <v>498</v>
      </c>
      <c r="P4703" s="656" t="s">
        <v>13052</v>
      </c>
      <c r="Q4703" s="656">
        <v>44216.761192129627</v>
      </c>
    </row>
    <row r="4704" spans="1:17">
      <c r="A4704" s="656" t="s">
        <v>6706</v>
      </c>
      <c r="B4704" s="657" t="s">
        <v>504</v>
      </c>
      <c r="C4704" s="656" t="s">
        <v>6707</v>
      </c>
      <c r="D4704" s="657"/>
      <c r="E4704" s="657"/>
      <c r="F4704" s="656"/>
      <c r="G4704" s="656" t="s">
        <v>4347</v>
      </c>
      <c r="H4704" s="656"/>
      <c r="I4704" s="656"/>
      <c r="J4704" s="656"/>
      <c r="K4704" s="656"/>
      <c r="L4704" s="656"/>
      <c r="M4704" s="657"/>
      <c r="N4704" s="1482"/>
      <c r="O4704" s="656" t="s">
        <v>498</v>
      </c>
      <c r="P4704" s="656" t="s">
        <v>13052</v>
      </c>
      <c r="Q4704" s="656">
        <v>44216.76116898148</v>
      </c>
    </row>
    <row r="4705" spans="1:17">
      <c r="A4705" s="656" t="s">
        <v>13069</v>
      </c>
      <c r="B4705" s="657" t="s">
        <v>202</v>
      </c>
      <c r="C4705" s="656" t="s">
        <v>13070</v>
      </c>
      <c r="D4705" s="657" t="s">
        <v>13789</v>
      </c>
      <c r="E4705" s="657"/>
      <c r="F4705" s="656" t="s">
        <v>1300</v>
      </c>
      <c r="G4705" s="656" t="s">
        <v>4198</v>
      </c>
      <c r="H4705" s="656" t="s">
        <v>1300</v>
      </c>
      <c r="I4705" s="656" t="s">
        <v>14976</v>
      </c>
      <c r="J4705" s="656"/>
      <c r="K4705" s="656"/>
      <c r="L4705" s="656"/>
      <c r="M4705" s="657"/>
      <c r="N4705" s="1482"/>
      <c r="O4705" s="656" t="s">
        <v>498</v>
      </c>
      <c r="P4705" s="656" t="s">
        <v>13052</v>
      </c>
      <c r="Q4705" s="656">
        <v>44216.761157407411</v>
      </c>
    </row>
    <row r="4706" spans="1:17">
      <c r="A4706" s="656" t="s">
        <v>6708</v>
      </c>
      <c r="B4706" s="657"/>
      <c r="C4706" s="656" t="s">
        <v>6709</v>
      </c>
      <c r="D4706" s="657" t="s">
        <v>13789</v>
      </c>
      <c r="E4706" s="657"/>
      <c r="F4706" s="656"/>
      <c r="G4706" s="656" t="s">
        <v>5103</v>
      </c>
      <c r="H4706" s="656"/>
      <c r="I4706" s="656" t="s">
        <v>14976</v>
      </c>
      <c r="J4706" s="656"/>
      <c r="K4706" s="656"/>
      <c r="L4706" s="656"/>
      <c r="M4706" s="657"/>
      <c r="N4706" s="1482"/>
      <c r="O4706" s="656" t="s">
        <v>498</v>
      </c>
      <c r="P4706" s="656" t="s">
        <v>13052</v>
      </c>
      <c r="Q4706" s="656">
        <v>44216.761145833334</v>
      </c>
    </row>
    <row r="4707" spans="1:17">
      <c r="A4707" s="656" t="s">
        <v>6710</v>
      </c>
      <c r="B4707" s="657" t="s">
        <v>531</v>
      </c>
      <c r="C4707" s="656" t="s">
        <v>6711</v>
      </c>
      <c r="D4707" s="657" t="s">
        <v>13789</v>
      </c>
      <c r="E4707" s="657"/>
      <c r="F4707" s="656"/>
      <c r="G4707" s="656" t="s">
        <v>5103</v>
      </c>
      <c r="H4707" s="656"/>
      <c r="I4707" s="656" t="s">
        <v>14976</v>
      </c>
      <c r="J4707" s="656"/>
      <c r="K4707" s="656"/>
      <c r="L4707" s="656"/>
      <c r="M4707" s="657"/>
      <c r="N4707" s="1482"/>
      <c r="O4707" s="656" t="s">
        <v>498</v>
      </c>
      <c r="P4707" s="656" t="s">
        <v>13052</v>
      </c>
      <c r="Q4707" s="656">
        <v>44216.761145833334</v>
      </c>
    </row>
    <row r="4708" spans="1:17">
      <c r="A4708" s="656" t="s">
        <v>13067</v>
      </c>
      <c r="B4708" s="657" t="s">
        <v>202</v>
      </c>
      <c r="C4708" s="656" t="s">
        <v>13068</v>
      </c>
      <c r="D4708" s="657" t="s">
        <v>13789</v>
      </c>
      <c r="E4708" s="657"/>
      <c r="F4708" s="656" t="s">
        <v>1300</v>
      </c>
      <c r="G4708" s="656" t="s">
        <v>4198</v>
      </c>
      <c r="H4708" s="656" t="s">
        <v>1300</v>
      </c>
      <c r="I4708" s="656" t="s">
        <v>14976</v>
      </c>
      <c r="J4708" s="656"/>
      <c r="K4708" s="656"/>
      <c r="L4708" s="656"/>
      <c r="M4708" s="657"/>
      <c r="N4708" s="1482"/>
      <c r="O4708" s="656" t="s">
        <v>498</v>
      </c>
      <c r="P4708" s="656" t="s">
        <v>13052</v>
      </c>
      <c r="Q4708" s="656">
        <v>44216.761145833334</v>
      </c>
    </row>
    <row r="4709" spans="1:17">
      <c r="A4709" s="656" t="s">
        <v>6712</v>
      </c>
      <c r="B4709" s="657" t="s">
        <v>202</v>
      </c>
      <c r="C4709" s="656" t="s">
        <v>6713</v>
      </c>
      <c r="D4709" s="657" t="s">
        <v>14977</v>
      </c>
      <c r="E4709" s="657"/>
      <c r="F4709" s="656" t="s">
        <v>500</v>
      </c>
      <c r="G4709" s="656"/>
      <c r="H4709" s="656" t="s">
        <v>500</v>
      </c>
      <c r="I4709" s="656" t="s">
        <v>14976</v>
      </c>
      <c r="J4709" s="656"/>
      <c r="K4709" s="656"/>
      <c r="L4709" s="656" t="s">
        <v>6712</v>
      </c>
      <c r="M4709" s="657"/>
      <c r="N4709" s="1482"/>
      <c r="O4709" s="656" t="s">
        <v>498</v>
      </c>
      <c r="P4709" s="656" t="s">
        <v>13052</v>
      </c>
      <c r="Q4709" s="656">
        <v>44216.761134259257</v>
      </c>
    </row>
    <row r="4710" spans="1:17">
      <c r="A4710" s="656" t="s">
        <v>13065</v>
      </c>
      <c r="B4710" s="657" t="s">
        <v>202</v>
      </c>
      <c r="C4710" s="656" t="s">
        <v>13066</v>
      </c>
      <c r="D4710" s="657" t="s">
        <v>13789</v>
      </c>
      <c r="E4710" s="657"/>
      <c r="F4710" s="656" t="s">
        <v>1300</v>
      </c>
      <c r="G4710" s="656" t="s">
        <v>4198</v>
      </c>
      <c r="H4710" s="656" t="s">
        <v>1300</v>
      </c>
      <c r="I4710" s="656" t="s">
        <v>14976</v>
      </c>
      <c r="J4710" s="656"/>
      <c r="K4710" s="656"/>
      <c r="L4710" s="656"/>
      <c r="M4710" s="657"/>
      <c r="N4710" s="1482"/>
      <c r="O4710" s="656" t="s">
        <v>498</v>
      </c>
      <c r="P4710" s="656" t="s">
        <v>13052</v>
      </c>
      <c r="Q4710" s="656">
        <v>44216.761134259257</v>
      </c>
    </row>
    <row r="4711" spans="1:17">
      <c r="A4711" s="656" t="s">
        <v>6714</v>
      </c>
      <c r="B4711" s="657" t="s">
        <v>504</v>
      </c>
      <c r="C4711" s="656" t="s">
        <v>6715</v>
      </c>
      <c r="D4711" s="657"/>
      <c r="E4711" s="657"/>
      <c r="F4711" s="656"/>
      <c r="G4711" s="656" t="s">
        <v>4362</v>
      </c>
      <c r="H4711" s="656"/>
      <c r="I4711" s="656"/>
      <c r="J4711" s="656"/>
      <c r="K4711" s="656"/>
      <c r="L4711" s="656"/>
      <c r="M4711" s="657"/>
      <c r="N4711" s="1482"/>
      <c r="O4711" s="656" t="s">
        <v>498</v>
      </c>
      <c r="P4711" s="656" t="s">
        <v>13052</v>
      </c>
      <c r="Q4711" s="656">
        <v>44216.761122685188</v>
      </c>
    </row>
    <row r="4712" spans="1:17">
      <c r="A4712" s="656" t="s">
        <v>6716</v>
      </c>
      <c r="B4712" s="657" t="s">
        <v>202</v>
      </c>
      <c r="C4712" s="656" t="s">
        <v>6717</v>
      </c>
      <c r="D4712" s="657" t="s">
        <v>14978</v>
      </c>
      <c r="E4712" s="657"/>
      <c r="F4712" s="656" t="s">
        <v>6718</v>
      </c>
      <c r="G4712" s="656" t="s">
        <v>6718</v>
      </c>
      <c r="H4712" s="656" t="s">
        <v>6718</v>
      </c>
      <c r="I4712" s="656" t="s">
        <v>14976</v>
      </c>
      <c r="J4712" s="656" t="s">
        <v>15285</v>
      </c>
      <c r="K4712" s="656"/>
      <c r="L4712" s="656" t="s">
        <v>6741</v>
      </c>
      <c r="M4712" s="657"/>
      <c r="N4712" s="1482"/>
      <c r="O4712" s="656" t="s">
        <v>498</v>
      </c>
      <c r="P4712" s="656" t="s">
        <v>13052</v>
      </c>
      <c r="Q4712" s="656">
        <v>44216.761111111111</v>
      </c>
    </row>
    <row r="4713" spans="1:17">
      <c r="A4713" s="656" t="s">
        <v>6719</v>
      </c>
      <c r="B4713" s="657" t="s">
        <v>202</v>
      </c>
      <c r="C4713" s="656" t="s">
        <v>6720</v>
      </c>
      <c r="D4713" s="657" t="s">
        <v>14978</v>
      </c>
      <c r="E4713" s="657"/>
      <c r="F4713" s="656" t="s">
        <v>6718</v>
      </c>
      <c r="G4713" s="656" t="s">
        <v>6718</v>
      </c>
      <c r="H4713" s="656" t="s">
        <v>6718</v>
      </c>
      <c r="I4713" s="656" t="s">
        <v>14976</v>
      </c>
      <c r="J4713" s="656" t="s">
        <v>15281</v>
      </c>
      <c r="K4713" s="656"/>
      <c r="L4713" s="656" t="s">
        <v>6741</v>
      </c>
      <c r="M4713" s="657"/>
      <c r="N4713" s="1482"/>
      <c r="O4713" s="656" t="s">
        <v>498</v>
      </c>
      <c r="P4713" s="656" t="s">
        <v>13052</v>
      </c>
      <c r="Q4713" s="656">
        <v>44216.761099537034</v>
      </c>
    </row>
    <row r="4714" spans="1:17">
      <c r="A4714" s="656" t="s">
        <v>6721</v>
      </c>
      <c r="B4714" s="657" t="s">
        <v>202</v>
      </c>
      <c r="C4714" s="656" t="s">
        <v>6722</v>
      </c>
      <c r="D4714" s="657" t="s">
        <v>14978</v>
      </c>
      <c r="E4714" s="657"/>
      <c r="F4714" s="656" t="s">
        <v>6718</v>
      </c>
      <c r="G4714" s="656" t="s">
        <v>6718</v>
      </c>
      <c r="H4714" s="656" t="s">
        <v>6718</v>
      </c>
      <c r="I4714" s="656" t="s">
        <v>14976</v>
      </c>
      <c r="J4714" s="656" t="s">
        <v>15281</v>
      </c>
      <c r="K4714" s="656"/>
      <c r="L4714" s="656" t="s">
        <v>6741</v>
      </c>
      <c r="M4714" s="657"/>
      <c r="N4714" s="1482"/>
      <c r="O4714" s="656" t="s">
        <v>498</v>
      </c>
      <c r="P4714" s="656" t="s">
        <v>13052</v>
      </c>
      <c r="Q4714" s="656">
        <v>44216.761099537034</v>
      </c>
    </row>
    <row r="4715" spans="1:17">
      <c r="A4715" s="656" t="s">
        <v>6723</v>
      </c>
      <c r="B4715" s="657" t="s">
        <v>202</v>
      </c>
      <c r="C4715" s="656" t="s">
        <v>6724</v>
      </c>
      <c r="D4715" s="657" t="s">
        <v>14978</v>
      </c>
      <c r="E4715" s="657"/>
      <c r="F4715" s="656" t="s">
        <v>6718</v>
      </c>
      <c r="G4715" s="656" t="s">
        <v>6718</v>
      </c>
      <c r="H4715" s="656" t="s">
        <v>6718</v>
      </c>
      <c r="I4715" s="656" t="s">
        <v>14976</v>
      </c>
      <c r="J4715" s="656" t="s">
        <v>15285</v>
      </c>
      <c r="K4715" s="656"/>
      <c r="L4715" s="656" t="s">
        <v>6741</v>
      </c>
      <c r="M4715" s="657"/>
      <c r="N4715" s="1482"/>
      <c r="O4715" s="656" t="s">
        <v>498</v>
      </c>
      <c r="P4715" s="656" t="s">
        <v>13052</v>
      </c>
      <c r="Q4715" s="656">
        <v>44216.761087962965</v>
      </c>
    </row>
    <row r="4716" spans="1:17">
      <c r="A4716" s="656" t="s">
        <v>6725</v>
      </c>
      <c r="B4716" s="657" t="s">
        <v>202</v>
      </c>
      <c r="C4716" s="656" t="s">
        <v>6726</v>
      </c>
      <c r="D4716" s="657" t="s">
        <v>14978</v>
      </c>
      <c r="E4716" s="657"/>
      <c r="F4716" s="656" t="s">
        <v>6718</v>
      </c>
      <c r="G4716" s="656" t="s">
        <v>6718</v>
      </c>
      <c r="H4716" s="656" t="s">
        <v>6718</v>
      </c>
      <c r="I4716" s="656" t="s">
        <v>14976</v>
      </c>
      <c r="J4716" s="656" t="s">
        <v>15282</v>
      </c>
      <c r="K4716" s="656"/>
      <c r="L4716" s="656" t="s">
        <v>6741</v>
      </c>
      <c r="M4716" s="657"/>
      <c r="N4716" s="1482"/>
      <c r="O4716" s="656" t="s">
        <v>498</v>
      </c>
      <c r="P4716" s="656" t="s">
        <v>13052</v>
      </c>
      <c r="Q4716" s="656">
        <v>44216.761087962965</v>
      </c>
    </row>
    <row r="4717" spans="1:17">
      <c r="A4717" s="656" t="s">
        <v>6727</v>
      </c>
      <c r="B4717" s="657" t="s">
        <v>202</v>
      </c>
      <c r="C4717" s="656" t="s">
        <v>6728</v>
      </c>
      <c r="D4717" s="657" t="s">
        <v>14978</v>
      </c>
      <c r="E4717" s="657"/>
      <c r="F4717" s="656" t="s">
        <v>6718</v>
      </c>
      <c r="G4717" s="656" t="s">
        <v>6718</v>
      </c>
      <c r="H4717" s="656" t="s">
        <v>6718</v>
      </c>
      <c r="I4717" s="656" t="s">
        <v>14976</v>
      </c>
      <c r="J4717" s="656" t="s">
        <v>15285</v>
      </c>
      <c r="K4717" s="656"/>
      <c r="L4717" s="656" t="s">
        <v>6741</v>
      </c>
      <c r="M4717" s="657"/>
      <c r="N4717" s="1482"/>
      <c r="O4717" s="656" t="s">
        <v>498</v>
      </c>
      <c r="P4717" s="656" t="s">
        <v>13052</v>
      </c>
      <c r="Q4717" s="656">
        <v>44216.761087962965</v>
      </c>
    </row>
    <row r="4718" spans="1:17">
      <c r="A4718" s="656" t="s">
        <v>6729</v>
      </c>
      <c r="B4718" s="657" t="s">
        <v>202</v>
      </c>
      <c r="C4718" s="656" t="s">
        <v>6730</v>
      </c>
      <c r="D4718" s="657" t="s">
        <v>14978</v>
      </c>
      <c r="E4718" s="657"/>
      <c r="F4718" s="656" t="s">
        <v>6718</v>
      </c>
      <c r="G4718" s="656"/>
      <c r="H4718" s="656" t="s">
        <v>6718</v>
      </c>
      <c r="I4718" s="656" t="s">
        <v>14976</v>
      </c>
      <c r="J4718" s="656" t="s">
        <v>15281</v>
      </c>
      <c r="K4718" s="656"/>
      <c r="L4718" s="656" t="s">
        <v>6741</v>
      </c>
      <c r="M4718" s="657"/>
      <c r="N4718" s="1482"/>
      <c r="O4718" s="656" t="s">
        <v>498</v>
      </c>
      <c r="P4718" s="656" t="s">
        <v>13052</v>
      </c>
      <c r="Q4718" s="656">
        <v>44216.761076388888</v>
      </c>
    </row>
    <row r="4719" spans="1:17">
      <c r="A4719" s="656" t="s">
        <v>6731</v>
      </c>
      <c r="B4719" s="657" t="s">
        <v>202</v>
      </c>
      <c r="C4719" s="656" t="s">
        <v>6732</v>
      </c>
      <c r="D4719" s="657" t="s">
        <v>14978</v>
      </c>
      <c r="E4719" s="657"/>
      <c r="F4719" s="656" t="s">
        <v>6718</v>
      </c>
      <c r="G4719" s="656" t="s">
        <v>6718</v>
      </c>
      <c r="H4719" s="656" t="s">
        <v>6718</v>
      </c>
      <c r="I4719" s="656" t="s">
        <v>14976</v>
      </c>
      <c r="J4719" s="656" t="s">
        <v>15281</v>
      </c>
      <c r="K4719" s="656"/>
      <c r="L4719" s="656" t="s">
        <v>6741</v>
      </c>
      <c r="M4719" s="657"/>
      <c r="N4719" s="1482"/>
      <c r="O4719" s="656" t="s">
        <v>498</v>
      </c>
      <c r="P4719" s="656" t="s">
        <v>13052</v>
      </c>
      <c r="Q4719" s="656">
        <v>44216.761076388888</v>
      </c>
    </row>
    <row r="4720" spans="1:17">
      <c r="A4720" s="656" t="s">
        <v>6733</v>
      </c>
      <c r="B4720" s="657" t="s">
        <v>202</v>
      </c>
      <c r="C4720" s="656" t="s">
        <v>6734</v>
      </c>
      <c r="D4720" s="657" t="s">
        <v>14978</v>
      </c>
      <c r="E4720" s="657"/>
      <c r="F4720" s="656" t="s">
        <v>6718</v>
      </c>
      <c r="G4720" s="656" t="s">
        <v>6718</v>
      </c>
      <c r="H4720" s="656" t="s">
        <v>6718</v>
      </c>
      <c r="I4720" s="656" t="s">
        <v>14976</v>
      </c>
      <c r="J4720" s="656" t="s">
        <v>15281</v>
      </c>
      <c r="K4720" s="656"/>
      <c r="L4720" s="656" t="s">
        <v>6741</v>
      </c>
      <c r="M4720" s="657"/>
      <c r="N4720" s="1482"/>
      <c r="O4720" s="656" t="s">
        <v>498</v>
      </c>
      <c r="P4720" s="656" t="s">
        <v>13052</v>
      </c>
      <c r="Q4720" s="656">
        <v>44216.761064814818</v>
      </c>
    </row>
    <row r="4721" spans="1:17">
      <c r="A4721" s="656" t="s">
        <v>6735</v>
      </c>
      <c r="B4721" s="657" t="s">
        <v>202</v>
      </c>
      <c r="C4721" s="656" t="s">
        <v>6736</v>
      </c>
      <c r="D4721" s="657" t="s">
        <v>14978</v>
      </c>
      <c r="E4721" s="657"/>
      <c r="F4721" s="656" t="s">
        <v>6718</v>
      </c>
      <c r="G4721" s="656"/>
      <c r="H4721" s="656" t="s">
        <v>6718</v>
      </c>
      <c r="I4721" s="656" t="s">
        <v>14976</v>
      </c>
      <c r="J4721" s="656"/>
      <c r="K4721" s="656"/>
      <c r="L4721" s="656" t="s">
        <v>6741</v>
      </c>
      <c r="M4721" s="657"/>
      <c r="N4721" s="1482"/>
      <c r="O4721" s="656" t="s">
        <v>498</v>
      </c>
      <c r="P4721" s="656" t="s">
        <v>13052</v>
      </c>
      <c r="Q4721" s="656">
        <v>44216.761064814818</v>
      </c>
    </row>
    <row r="4722" spans="1:17">
      <c r="A4722" s="656" t="s">
        <v>6737</v>
      </c>
      <c r="B4722" s="657" t="s">
        <v>202</v>
      </c>
      <c r="C4722" s="656" t="s">
        <v>6738</v>
      </c>
      <c r="D4722" s="657" t="s">
        <v>14978</v>
      </c>
      <c r="E4722" s="657"/>
      <c r="F4722" s="656" t="s">
        <v>6718</v>
      </c>
      <c r="G4722" s="656" t="s">
        <v>6718</v>
      </c>
      <c r="H4722" s="656" t="s">
        <v>6718</v>
      </c>
      <c r="I4722" s="656" t="s">
        <v>14976</v>
      </c>
      <c r="J4722" s="656" t="s">
        <v>15285</v>
      </c>
      <c r="K4722" s="656"/>
      <c r="L4722" s="656" t="s">
        <v>6741</v>
      </c>
      <c r="M4722" s="657"/>
      <c r="N4722" s="1482"/>
      <c r="O4722" s="656" t="s">
        <v>498</v>
      </c>
      <c r="P4722" s="656" t="s">
        <v>13052</v>
      </c>
      <c r="Q4722" s="656">
        <v>44216.761053240742</v>
      </c>
    </row>
    <row r="4723" spans="1:17">
      <c r="A4723" s="656" t="s">
        <v>6739</v>
      </c>
      <c r="B4723" s="657" t="s">
        <v>202</v>
      </c>
      <c r="C4723" s="656" t="s">
        <v>6740</v>
      </c>
      <c r="D4723" s="657" t="s">
        <v>14978</v>
      </c>
      <c r="E4723" s="657"/>
      <c r="F4723" s="656" t="s">
        <v>6718</v>
      </c>
      <c r="G4723" s="656"/>
      <c r="H4723" s="656" t="s">
        <v>6718</v>
      </c>
      <c r="I4723" s="656" t="s">
        <v>14976</v>
      </c>
      <c r="J4723" s="656"/>
      <c r="K4723" s="656"/>
      <c r="L4723" s="656" t="s">
        <v>6741</v>
      </c>
      <c r="M4723" s="657"/>
      <c r="N4723" s="1482"/>
      <c r="O4723" s="656" t="s">
        <v>498</v>
      </c>
      <c r="P4723" s="656" t="s">
        <v>13052</v>
      </c>
      <c r="Q4723" s="656">
        <v>44216.761053240742</v>
      </c>
    </row>
    <row r="4724" spans="1:17">
      <c r="A4724" s="656" t="s">
        <v>6741</v>
      </c>
      <c r="B4724" s="657" t="s">
        <v>504</v>
      </c>
      <c r="C4724" s="656" t="s">
        <v>6742</v>
      </c>
      <c r="D4724" s="657"/>
      <c r="E4724" s="657"/>
      <c r="F4724" s="656"/>
      <c r="G4724" s="656" t="s">
        <v>4362</v>
      </c>
      <c r="H4724" s="656"/>
      <c r="I4724" s="656"/>
      <c r="J4724" s="656"/>
      <c r="K4724" s="656"/>
      <c r="L4724" s="656"/>
      <c r="M4724" s="657"/>
      <c r="N4724" s="1482"/>
      <c r="O4724" s="656" t="s">
        <v>498</v>
      </c>
      <c r="P4724" s="656" t="s">
        <v>13052</v>
      </c>
      <c r="Q4724" s="656">
        <v>44216.761041666665</v>
      </c>
    </row>
    <row r="4725" spans="1:17">
      <c r="A4725" s="656" t="s">
        <v>6743</v>
      </c>
      <c r="B4725" s="657" t="s">
        <v>504</v>
      </c>
      <c r="C4725" s="656" t="s">
        <v>6744</v>
      </c>
      <c r="D4725" s="657"/>
      <c r="E4725" s="657"/>
      <c r="F4725" s="656"/>
      <c r="G4725" s="656" t="s">
        <v>4362</v>
      </c>
      <c r="H4725" s="656"/>
      <c r="I4725" s="656"/>
      <c r="J4725" s="656"/>
      <c r="K4725" s="656"/>
      <c r="L4725" s="656"/>
      <c r="M4725" s="657"/>
      <c r="N4725" s="1482"/>
      <c r="O4725" s="656" t="s">
        <v>498</v>
      </c>
      <c r="P4725" s="656" t="s">
        <v>13052</v>
      </c>
      <c r="Q4725" s="656">
        <v>44216.761041666665</v>
      </c>
    </row>
    <row r="4726" spans="1:17">
      <c r="A4726" s="656" t="s">
        <v>6745</v>
      </c>
      <c r="B4726" s="657" t="s">
        <v>504</v>
      </c>
      <c r="C4726" s="656" t="s">
        <v>6746</v>
      </c>
      <c r="D4726" s="657"/>
      <c r="E4726" s="657"/>
      <c r="F4726" s="656"/>
      <c r="G4726" s="656" t="s">
        <v>4362</v>
      </c>
      <c r="H4726" s="656"/>
      <c r="I4726" s="656"/>
      <c r="J4726" s="656"/>
      <c r="K4726" s="656"/>
      <c r="L4726" s="656"/>
      <c r="M4726" s="657"/>
      <c r="N4726" s="1482"/>
      <c r="O4726" s="656" t="s">
        <v>498</v>
      </c>
      <c r="P4726" s="656" t="s">
        <v>13052</v>
      </c>
      <c r="Q4726" s="656">
        <v>44216.761030092595</v>
      </c>
    </row>
    <row r="4727" spans="1:17">
      <c r="A4727" s="656" t="s">
        <v>6747</v>
      </c>
      <c r="B4727" s="657" t="s">
        <v>202</v>
      </c>
      <c r="C4727" s="656" t="s">
        <v>6748</v>
      </c>
      <c r="D4727" s="657" t="s">
        <v>14978</v>
      </c>
      <c r="E4727" s="657"/>
      <c r="F4727" s="656" t="s">
        <v>1667</v>
      </c>
      <c r="G4727" s="656"/>
      <c r="H4727" s="656" t="s">
        <v>1667</v>
      </c>
      <c r="I4727" s="656" t="s">
        <v>14976</v>
      </c>
      <c r="J4727" s="656" t="s">
        <v>15290</v>
      </c>
      <c r="K4727" s="656"/>
      <c r="L4727" s="656" t="s">
        <v>6759</v>
      </c>
      <c r="M4727" s="657"/>
      <c r="N4727" s="1482"/>
      <c r="O4727" s="656" t="s">
        <v>498</v>
      </c>
      <c r="P4727" s="656" t="s">
        <v>13052</v>
      </c>
      <c r="Q4727" s="656">
        <v>44216.761030092595</v>
      </c>
    </row>
    <row r="4728" spans="1:17">
      <c r="A4728" s="656" t="s">
        <v>6749</v>
      </c>
      <c r="B4728" s="657" t="s">
        <v>202</v>
      </c>
      <c r="C4728" s="656" t="s">
        <v>6750</v>
      </c>
      <c r="D4728" s="657" t="s">
        <v>14978</v>
      </c>
      <c r="E4728" s="657"/>
      <c r="F4728" s="656" t="s">
        <v>3077</v>
      </c>
      <c r="G4728" s="656"/>
      <c r="H4728" s="656" t="s">
        <v>465</v>
      </c>
      <c r="I4728" s="656" t="s">
        <v>14976</v>
      </c>
      <c r="J4728" s="656" t="s">
        <v>446</v>
      </c>
      <c r="K4728" s="656"/>
      <c r="L4728" s="656" t="s">
        <v>6759</v>
      </c>
      <c r="M4728" s="657"/>
      <c r="N4728" s="1482"/>
      <c r="O4728" s="656" t="s">
        <v>498</v>
      </c>
      <c r="P4728" s="656" t="s">
        <v>13052</v>
      </c>
      <c r="Q4728" s="656">
        <v>44216.761018518519</v>
      </c>
    </row>
    <row r="4729" spans="1:17">
      <c r="A4729" s="656" t="s">
        <v>6751</v>
      </c>
      <c r="B4729" s="657" t="s">
        <v>202</v>
      </c>
      <c r="C4729" s="656" t="s">
        <v>6752</v>
      </c>
      <c r="D4729" s="657" t="s">
        <v>14978</v>
      </c>
      <c r="E4729" s="657"/>
      <c r="F4729" s="656" t="s">
        <v>1667</v>
      </c>
      <c r="G4729" s="656" t="s">
        <v>4066</v>
      </c>
      <c r="H4729" s="656" t="s">
        <v>1667</v>
      </c>
      <c r="I4729" s="656" t="s">
        <v>14976</v>
      </c>
      <c r="J4729" s="656"/>
      <c r="K4729" s="656"/>
      <c r="L4729" s="656" t="s">
        <v>6759</v>
      </c>
      <c r="M4729" s="657"/>
      <c r="N4729" s="1482"/>
      <c r="O4729" s="656" t="s">
        <v>498</v>
      </c>
      <c r="P4729" s="656" t="s">
        <v>13052</v>
      </c>
      <c r="Q4729" s="656">
        <v>44216.761018518519</v>
      </c>
    </row>
    <row r="4730" spans="1:17">
      <c r="A4730" s="656" t="s">
        <v>6753</v>
      </c>
      <c r="B4730" s="657" t="s">
        <v>202</v>
      </c>
      <c r="C4730" s="656" t="s">
        <v>6754</v>
      </c>
      <c r="D4730" s="657" t="s">
        <v>14978</v>
      </c>
      <c r="E4730" s="657"/>
      <c r="F4730" s="656" t="s">
        <v>1667</v>
      </c>
      <c r="G4730" s="656"/>
      <c r="H4730" s="656" t="s">
        <v>1667</v>
      </c>
      <c r="I4730" s="656" t="s">
        <v>14976</v>
      </c>
      <c r="J4730" s="656"/>
      <c r="K4730" s="656"/>
      <c r="L4730" s="656" t="s">
        <v>6759</v>
      </c>
      <c r="M4730" s="657"/>
      <c r="N4730" s="1482"/>
      <c r="O4730" s="656" t="s">
        <v>498</v>
      </c>
      <c r="P4730" s="656" t="s">
        <v>13052</v>
      </c>
      <c r="Q4730" s="656">
        <v>44216.761018518519</v>
      </c>
    </row>
    <row r="4731" spans="1:17">
      <c r="A4731" s="656" t="s">
        <v>6755</v>
      </c>
      <c r="B4731" s="657"/>
      <c r="C4731" s="656" t="s">
        <v>6756</v>
      </c>
      <c r="D4731" s="657" t="s">
        <v>14978</v>
      </c>
      <c r="E4731" s="657"/>
      <c r="F4731" s="656" t="s">
        <v>1394</v>
      </c>
      <c r="G4731" s="656"/>
      <c r="H4731" s="656" t="s">
        <v>1394</v>
      </c>
      <c r="I4731" s="656" t="s">
        <v>14976</v>
      </c>
      <c r="J4731" s="656"/>
      <c r="K4731" s="656"/>
      <c r="L4731" s="656" t="s">
        <v>6759</v>
      </c>
      <c r="M4731" s="657"/>
      <c r="N4731" s="1482"/>
      <c r="O4731" s="656" t="s">
        <v>498</v>
      </c>
      <c r="P4731" s="656" t="s">
        <v>13052</v>
      </c>
      <c r="Q4731" s="656">
        <v>44216.761006944442</v>
      </c>
    </row>
    <row r="4732" spans="1:17">
      <c r="A4732" s="656" t="s">
        <v>13063</v>
      </c>
      <c r="B4732" s="657" t="s">
        <v>202</v>
      </c>
      <c r="C4732" s="656" t="s">
        <v>13064</v>
      </c>
      <c r="D4732" s="657" t="s">
        <v>14978</v>
      </c>
      <c r="E4732" s="657"/>
      <c r="F4732" s="656"/>
      <c r="G4732" s="656" t="s">
        <v>5238</v>
      </c>
      <c r="H4732" s="656"/>
      <c r="I4732" s="656" t="s">
        <v>14976</v>
      </c>
      <c r="J4732" s="656"/>
      <c r="K4732" s="656"/>
      <c r="L4732" s="656" t="s">
        <v>6759</v>
      </c>
      <c r="M4732" s="657"/>
      <c r="N4732" s="1482"/>
      <c r="O4732" s="656" t="s">
        <v>498</v>
      </c>
      <c r="P4732" s="656" t="s">
        <v>13052</v>
      </c>
      <c r="Q4732" s="656">
        <v>44216.761006944442</v>
      </c>
    </row>
    <row r="4733" spans="1:17">
      <c r="A4733" s="656" t="s">
        <v>6757</v>
      </c>
      <c r="B4733" s="657"/>
      <c r="C4733" s="656" t="s">
        <v>6758</v>
      </c>
      <c r="D4733" s="657" t="s">
        <v>14978</v>
      </c>
      <c r="E4733" s="657"/>
      <c r="F4733" s="656" t="s">
        <v>1394</v>
      </c>
      <c r="G4733" s="656"/>
      <c r="H4733" s="656" t="s">
        <v>1394</v>
      </c>
      <c r="I4733" s="656" t="s">
        <v>14976</v>
      </c>
      <c r="J4733" s="656"/>
      <c r="K4733" s="656"/>
      <c r="L4733" s="656" t="s">
        <v>6759</v>
      </c>
      <c r="M4733" s="657"/>
      <c r="N4733" s="1482"/>
      <c r="O4733" s="656" t="s">
        <v>498</v>
      </c>
      <c r="P4733" s="656" t="s">
        <v>13052</v>
      </c>
      <c r="Q4733" s="656">
        <v>44216.760995370372</v>
      </c>
    </row>
    <row r="4734" spans="1:17">
      <c r="A4734" s="656" t="s">
        <v>13061</v>
      </c>
      <c r="B4734" s="657" t="s">
        <v>202</v>
      </c>
      <c r="C4734" s="656" t="s">
        <v>13062</v>
      </c>
      <c r="D4734" s="657" t="s">
        <v>14978</v>
      </c>
      <c r="E4734" s="657"/>
      <c r="F4734" s="656"/>
      <c r="G4734" s="656" t="s">
        <v>5238</v>
      </c>
      <c r="H4734" s="656"/>
      <c r="I4734" s="656" t="s">
        <v>14976</v>
      </c>
      <c r="J4734" s="656"/>
      <c r="K4734" s="656"/>
      <c r="L4734" s="656" t="s">
        <v>6759</v>
      </c>
      <c r="M4734" s="657"/>
      <c r="N4734" s="1482"/>
      <c r="O4734" s="656" t="s">
        <v>498</v>
      </c>
      <c r="P4734" s="656" t="s">
        <v>13052</v>
      </c>
      <c r="Q4734" s="656">
        <v>44216.760995370372</v>
      </c>
    </row>
    <row r="4735" spans="1:17">
      <c r="A4735" s="656" t="s">
        <v>6759</v>
      </c>
      <c r="B4735" s="657" t="s">
        <v>202</v>
      </c>
      <c r="C4735" s="656" t="s">
        <v>6760</v>
      </c>
      <c r="D4735" s="657" t="s">
        <v>14977</v>
      </c>
      <c r="E4735" s="657"/>
      <c r="F4735" s="656" t="s">
        <v>475</v>
      </c>
      <c r="G4735" s="656" t="s">
        <v>820</v>
      </c>
      <c r="H4735" s="656" t="s">
        <v>475</v>
      </c>
      <c r="I4735" s="656" t="s">
        <v>14976</v>
      </c>
      <c r="J4735" s="656"/>
      <c r="K4735" s="656"/>
      <c r="L4735" s="656" t="s">
        <v>6759</v>
      </c>
      <c r="M4735" s="657"/>
      <c r="N4735" s="1482"/>
      <c r="O4735" s="656" t="s">
        <v>498</v>
      </c>
      <c r="P4735" s="656" t="s">
        <v>13052</v>
      </c>
      <c r="Q4735" s="656">
        <v>44216.760983796295</v>
      </c>
    </row>
    <row r="4736" spans="1:17">
      <c r="A4736" s="656" t="s">
        <v>6761</v>
      </c>
      <c r="B4736" s="657" t="s">
        <v>504</v>
      </c>
      <c r="C4736" s="656" t="s">
        <v>6762</v>
      </c>
      <c r="D4736" s="657"/>
      <c r="E4736" s="657"/>
      <c r="F4736" s="656" t="s">
        <v>505</v>
      </c>
      <c r="G4736" s="656" t="s">
        <v>4324</v>
      </c>
      <c r="H4736" s="656" t="s">
        <v>505</v>
      </c>
      <c r="I4736" s="656"/>
      <c r="J4736" s="656"/>
      <c r="K4736" s="656"/>
      <c r="L4736" s="656"/>
      <c r="M4736" s="657"/>
      <c r="N4736" s="1482"/>
      <c r="O4736" s="656" t="s">
        <v>498</v>
      </c>
      <c r="P4736" s="656" t="s">
        <v>13052</v>
      </c>
      <c r="Q4736" s="656">
        <v>44216.760983796295</v>
      </c>
    </row>
    <row r="4737" spans="1:17">
      <c r="A4737" s="656" t="s">
        <v>6763</v>
      </c>
      <c r="B4737" s="657" t="s">
        <v>504</v>
      </c>
      <c r="C4737" s="656" t="s">
        <v>6764</v>
      </c>
      <c r="D4737" s="657"/>
      <c r="E4737" s="657"/>
      <c r="F4737" s="656" t="s">
        <v>505</v>
      </c>
      <c r="G4737" s="656" t="s">
        <v>4324</v>
      </c>
      <c r="H4737" s="656" t="s">
        <v>505</v>
      </c>
      <c r="I4737" s="656"/>
      <c r="J4737" s="656"/>
      <c r="K4737" s="656"/>
      <c r="L4737" s="656"/>
      <c r="M4737" s="657"/>
      <c r="N4737" s="1482"/>
      <c r="O4737" s="656" t="s">
        <v>498</v>
      </c>
      <c r="P4737" s="656" t="s">
        <v>13052</v>
      </c>
      <c r="Q4737" s="656">
        <v>44216.760972222219</v>
      </c>
    </row>
    <row r="4738" spans="1:17">
      <c r="A4738" s="656" t="s">
        <v>6765</v>
      </c>
      <c r="B4738" s="657" t="s">
        <v>504</v>
      </c>
      <c r="C4738" s="656" t="s">
        <v>6766</v>
      </c>
      <c r="D4738" s="657"/>
      <c r="E4738" s="657"/>
      <c r="F4738" s="656" t="s">
        <v>505</v>
      </c>
      <c r="G4738" s="656" t="s">
        <v>4324</v>
      </c>
      <c r="H4738" s="656" t="s">
        <v>505</v>
      </c>
      <c r="I4738" s="656"/>
      <c r="J4738" s="656"/>
      <c r="K4738" s="656"/>
      <c r="L4738" s="656"/>
      <c r="M4738" s="657"/>
      <c r="N4738" s="1482"/>
      <c r="O4738" s="656" t="s">
        <v>498</v>
      </c>
      <c r="P4738" s="656" t="s">
        <v>13052</v>
      </c>
      <c r="Q4738" s="656">
        <v>44216.760972222219</v>
      </c>
    </row>
    <row r="4739" spans="1:17">
      <c r="A4739" s="656" t="s">
        <v>6767</v>
      </c>
      <c r="B4739" s="657" t="s">
        <v>504</v>
      </c>
      <c r="C4739" s="656" t="s">
        <v>6768</v>
      </c>
      <c r="D4739" s="657"/>
      <c r="E4739" s="657"/>
      <c r="F4739" s="656" t="s">
        <v>505</v>
      </c>
      <c r="G4739" s="656" t="s">
        <v>4324</v>
      </c>
      <c r="H4739" s="656" t="s">
        <v>505</v>
      </c>
      <c r="I4739" s="656"/>
      <c r="J4739" s="656"/>
      <c r="K4739" s="656"/>
      <c r="L4739" s="656"/>
      <c r="M4739" s="657"/>
      <c r="N4739" s="1482"/>
      <c r="O4739" s="656" t="s">
        <v>498</v>
      </c>
      <c r="P4739" s="656" t="s">
        <v>13052</v>
      </c>
      <c r="Q4739" s="656">
        <v>44216.760972222219</v>
      </c>
    </row>
    <row r="4740" spans="1:17">
      <c r="A4740" s="656" t="s">
        <v>6769</v>
      </c>
      <c r="B4740" s="657" t="s">
        <v>504</v>
      </c>
      <c r="C4740" s="656" t="s">
        <v>6770</v>
      </c>
      <c r="D4740" s="657"/>
      <c r="E4740" s="657"/>
      <c r="F4740" s="656"/>
      <c r="G4740" s="656" t="s">
        <v>4347</v>
      </c>
      <c r="H4740" s="656"/>
      <c r="I4740" s="656"/>
      <c r="J4740" s="656"/>
      <c r="K4740" s="656"/>
      <c r="L4740" s="656"/>
      <c r="M4740" s="657"/>
      <c r="N4740" s="1482"/>
      <c r="O4740" s="656" t="s">
        <v>498</v>
      </c>
      <c r="P4740" s="656" t="s">
        <v>13052</v>
      </c>
      <c r="Q4740" s="656">
        <v>44216.760960648149</v>
      </c>
    </row>
    <row r="4741" spans="1:17">
      <c r="A4741" s="656" t="s">
        <v>6771</v>
      </c>
      <c r="B4741" s="657" t="s">
        <v>504</v>
      </c>
      <c r="C4741" s="656" t="s">
        <v>6772</v>
      </c>
      <c r="D4741" s="657"/>
      <c r="E4741" s="657"/>
      <c r="F4741" s="656"/>
      <c r="G4741" s="656" t="s">
        <v>4347</v>
      </c>
      <c r="H4741" s="656"/>
      <c r="I4741" s="656"/>
      <c r="J4741" s="656"/>
      <c r="K4741" s="656"/>
      <c r="L4741" s="656"/>
      <c r="M4741" s="657"/>
      <c r="N4741" s="1482"/>
      <c r="O4741" s="656" t="s">
        <v>498</v>
      </c>
      <c r="P4741" s="656" t="s">
        <v>13052</v>
      </c>
      <c r="Q4741" s="656">
        <v>44216.760960648149</v>
      </c>
    </row>
    <row r="4742" spans="1:17">
      <c r="A4742" s="656" t="s">
        <v>6773</v>
      </c>
      <c r="B4742" s="657" t="s">
        <v>504</v>
      </c>
      <c r="C4742" s="656" t="s">
        <v>6774</v>
      </c>
      <c r="D4742" s="657"/>
      <c r="E4742" s="657"/>
      <c r="F4742" s="656"/>
      <c r="G4742" s="656" t="s">
        <v>4347</v>
      </c>
      <c r="H4742" s="656"/>
      <c r="I4742" s="656"/>
      <c r="J4742" s="656"/>
      <c r="K4742" s="656"/>
      <c r="L4742" s="656"/>
      <c r="M4742" s="657"/>
      <c r="N4742" s="1482"/>
      <c r="O4742" s="656" t="s">
        <v>498</v>
      </c>
      <c r="P4742" s="656" t="s">
        <v>13052</v>
      </c>
      <c r="Q4742" s="656">
        <v>44216.760949074072</v>
      </c>
    </row>
    <row r="4743" spans="1:17">
      <c r="A4743" s="656" t="s">
        <v>6775</v>
      </c>
      <c r="B4743" s="657" t="s">
        <v>504</v>
      </c>
      <c r="C4743" s="656" t="s">
        <v>6776</v>
      </c>
      <c r="D4743" s="657"/>
      <c r="E4743" s="657"/>
      <c r="F4743" s="656"/>
      <c r="G4743" s="656" t="s">
        <v>4347</v>
      </c>
      <c r="H4743" s="656"/>
      <c r="I4743" s="656"/>
      <c r="J4743" s="656"/>
      <c r="K4743" s="656"/>
      <c r="L4743" s="656"/>
      <c r="M4743" s="657"/>
      <c r="N4743" s="1482"/>
      <c r="O4743" s="656" t="s">
        <v>498</v>
      </c>
      <c r="P4743" s="656" t="s">
        <v>13052</v>
      </c>
      <c r="Q4743" s="656">
        <v>44216.760949074072</v>
      </c>
    </row>
    <row r="4744" spans="1:17">
      <c r="A4744" s="656" t="s">
        <v>6777</v>
      </c>
      <c r="B4744" s="657" t="s">
        <v>504</v>
      </c>
      <c r="C4744" s="656" t="s">
        <v>6778</v>
      </c>
      <c r="D4744" s="657"/>
      <c r="E4744" s="657"/>
      <c r="F4744" s="656"/>
      <c r="G4744" s="656" t="s">
        <v>4347</v>
      </c>
      <c r="H4744" s="656"/>
      <c r="I4744" s="656"/>
      <c r="J4744" s="656"/>
      <c r="K4744" s="656"/>
      <c r="L4744" s="656"/>
      <c r="M4744" s="657"/>
      <c r="N4744" s="1482"/>
      <c r="O4744" s="656" t="s">
        <v>498</v>
      </c>
      <c r="P4744" s="656" t="s">
        <v>13052</v>
      </c>
      <c r="Q4744" s="656">
        <v>44216.760937500003</v>
      </c>
    </row>
    <row r="4745" spans="1:17">
      <c r="A4745" s="656" t="s">
        <v>6779</v>
      </c>
      <c r="B4745" s="657" t="s">
        <v>504</v>
      </c>
      <c r="C4745" s="656" t="s">
        <v>6780</v>
      </c>
      <c r="D4745" s="657"/>
      <c r="E4745" s="657"/>
      <c r="F4745" s="656"/>
      <c r="G4745" s="656" t="s">
        <v>4347</v>
      </c>
      <c r="H4745" s="656"/>
      <c r="I4745" s="656"/>
      <c r="J4745" s="656"/>
      <c r="K4745" s="656"/>
      <c r="L4745" s="656"/>
      <c r="M4745" s="657"/>
      <c r="N4745" s="1482"/>
      <c r="O4745" s="656" t="s">
        <v>498</v>
      </c>
      <c r="P4745" s="656" t="s">
        <v>13052</v>
      </c>
      <c r="Q4745" s="656">
        <v>44216.760937500003</v>
      </c>
    </row>
    <row r="4746" spans="1:17">
      <c r="A4746" s="656" t="s">
        <v>6781</v>
      </c>
      <c r="B4746" s="657" t="s">
        <v>504</v>
      </c>
      <c r="C4746" s="656" t="s">
        <v>6782</v>
      </c>
      <c r="D4746" s="657"/>
      <c r="E4746" s="657"/>
      <c r="F4746" s="656"/>
      <c r="G4746" s="656" t="s">
        <v>4347</v>
      </c>
      <c r="H4746" s="656"/>
      <c r="I4746" s="656"/>
      <c r="J4746" s="656"/>
      <c r="K4746" s="656"/>
      <c r="L4746" s="656"/>
      <c r="M4746" s="657"/>
      <c r="N4746" s="1482"/>
      <c r="O4746" s="656" t="s">
        <v>498</v>
      </c>
      <c r="P4746" s="656" t="s">
        <v>13052</v>
      </c>
      <c r="Q4746" s="656">
        <v>44216.760925925926</v>
      </c>
    </row>
    <row r="4747" spans="1:17">
      <c r="A4747" s="656" t="s">
        <v>13059</v>
      </c>
      <c r="B4747" s="657" t="s">
        <v>202</v>
      </c>
      <c r="C4747" s="656" t="s">
        <v>13060</v>
      </c>
      <c r="D4747" s="657" t="s">
        <v>13789</v>
      </c>
      <c r="E4747" s="657"/>
      <c r="F4747" s="656"/>
      <c r="G4747" s="656" t="s">
        <v>5661</v>
      </c>
      <c r="H4747" s="656"/>
      <c r="I4747" s="656" t="s">
        <v>14976</v>
      </c>
      <c r="J4747" s="656"/>
      <c r="K4747" s="656"/>
      <c r="L4747" s="656"/>
      <c r="M4747" s="657"/>
      <c r="N4747" s="1482"/>
      <c r="O4747" s="656" t="s">
        <v>498</v>
      </c>
      <c r="P4747" s="656" t="s">
        <v>13052</v>
      </c>
      <c r="Q4747" s="656">
        <v>44216.760925925926</v>
      </c>
    </row>
    <row r="4748" spans="1:17">
      <c r="A4748" s="656" t="s">
        <v>13057</v>
      </c>
      <c r="B4748" s="657" t="s">
        <v>202</v>
      </c>
      <c r="C4748" s="656" t="s">
        <v>13058</v>
      </c>
      <c r="D4748" s="657" t="s">
        <v>13789</v>
      </c>
      <c r="E4748" s="657"/>
      <c r="F4748" s="656"/>
      <c r="G4748" s="656" t="s">
        <v>5661</v>
      </c>
      <c r="H4748" s="656"/>
      <c r="I4748" s="656" t="s">
        <v>14976</v>
      </c>
      <c r="J4748" s="656"/>
      <c r="K4748" s="656"/>
      <c r="L4748" s="656"/>
      <c r="M4748" s="657"/>
      <c r="N4748" s="1482"/>
      <c r="O4748" s="656" t="s">
        <v>498</v>
      </c>
      <c r="P4748" s="656" t="s">
        <v>13052</v>
      </c>
      <c r="Q4748" s="656">
        <v>44216.760914351849</v>
      </c>
    </row>
    <row r="4749" spans="1:17">
      <c r="A4749" s="656" t="s">
        <v>13055</v>
      </c>
      <c r="B4749" s="657" t="s">
        <v>202</v>
      </c>
      <c r="C4749" s="656" t="s">
        <v>13056</v>
      </c>
      <c r="D4749" s="657" t="s">
        <v>13789</v>
      </c>
      <c r="E4749" s="657"/>
      <c r="F4749" s="656"/>
      <c r="G4749" s="656" t="s">
        <v>5661</v>
      </c>
      <c r="H4749" s="656"/>
      <c r="I4749" s="656" t="s">
        <v>14976</v>
      </c>
      <c r="J4749" s="656"/>
      <c r="K4749" s="656"/>
      <c r="L4749" s="656"/>
      <c r="M4749" s="657"/>
      <c r="N4749" s="1482"/>
      <c r="O4749" s="656" t="s">
        <v>498</v>
      </c>
      <c r="P4749" s="656" t="s">
        <v>13052</v>
      </c>
      <c r="Q4749" s="656">
        <v>44216.760914351849</v>
      </c>
    </row>
    <row r="4750" spans="1:17">
      <c r="A4750" s="656" t="s">
        <v>6783</v>
      </c>
      <c r="B4750" s="657" t="s">
        <v>504</v>
      </c>
      <c r="C4750" s="656" t="s">
        <v>6784</v>
      </c>
      <c r="D4750" s="657"/>
      <c r="E4750" s="657"/>
      <c r="F4750" s="656" t="s">
        <v>505</v>
      </c>
      <c r="G4750" s="656" t="s">
        <v>4394</v>
      </c>
      <c r="H4750" s="656" t="s">
        <v>505</v>
      </c>
      <c r="I4750" s="656"/>
      <c r="J4750" s="656"/>
      <c r="K4750" s="656"/>
      <c r="L4750" s="656"/>
      <c r="M4750" s="657"/>
      <c r="N4750" s="1482"/>
      <c r="O4750" s="656" t="s">
        <v>498</v>
      </c>
      <c r="P4750" s="656" t="s">
        <v>13052</v>
      </c>
      <c r="Q4750" s="656">
        <v>44216.76090277778</v>
      </c>
    </row>
    <row r="4751" spans="1:17">
      <c r="A4751" s="656" t="s">
        <v>6785</v>
      </c>
      <c r="B4751" s="657" t="s">
        <v>504</v>
      </c>
      <c r="C4751" s="656" t="s">
        <v>6786</v>
      </c>
      <c r="D4751" s="657"/>
      <c r="E4751" s="657"/>
      <c r="F4751" s="656" t="s">
        <v>505</v>
      </c>
      <c r="G4751" s="656" t="s">
        <v>4394</v>
      </c>
      <c r="H4751" s="656" t="s">
        <v>505</v>
      </c>
      <c r="I4751" s="656"/>
      <c r="J4751" s="656"/>
      <c r="K4751" s="656"/>
      <c r="L4751" s="656"/>
      <c r="M4751" s="657"/>
      <c r="N4751" s="1482"/>
      <c r="O4751" s="656" t="s">
        <v>498</v>
      </c>
      <c r="P4751" s="656" t="s">
        <v>13052</v>
      </c>
      <c r="Q4751" s="656">
        <v>44216.76090277778</v>
      </c>
    </row>
    <row r="4752" spans="1:17">
      <c r="A4752" s="656" t="s">
        <v>6787</v>
      </c>
      <c r="B4752" s="657" t="s">
        <v>504</v>
      </c>
      <c r="C4752" s="656" t="s">
        <v>6788</v>
      </c>
      <c r="D4752" s="657"/>
      <c r="E4752" s="657"/>
      <c r="F4752" s="656" t="s">
        <v>505</v>
      </c>
      <c r="G4752" s="656" t="s">
        <v>4394</v>
      </c>
      <c r="H4752" s="656" t="s">
        <v>505</v>
      </c>
      <c r="I4752" s="656"/>
      <c r="J4752" s="656"/>
      <c r="K4752" s="656"/>
      <c r="L4752" s="656"/>
      <c r="M4752" s="657"/>
      <c r="N4752" s="1482"/>
      <c r="O4752" s="656" t="s">
        <v>498</v>
      </c>
      <c r="P4752" s="656" t="s">
        <v>13052</v>
      </c>
      <c r="Q4752" s="656">
        <v>44216.76090277778</v>
      </c>
    </row>
    <row r="4753" spans="1:17">
      <c r="A4753" s="656" t="s">
        <v>6789</v>
      </c>
      <c r="B4753" s="657" t="s">
        <v>504</v>
      </c>
      <c r="C4753" s="656" t="s">
        <v>6790</v>
      </c>
      <c r="D4753" s="657"/>
      <c r="E4753" s="657"/>
      <c r="F4753" s="656" t="s">
        <v>505</v>
      </c>
      <c r="G4753" s="656" t="s">
        <v>4394</v>
      </c>
      <c r="H4753" s="656" t="s">
        <v>505</v>
      </c>
      <c r="I4753" s="656"/>
      <c r="J4753" s="656"/>
      <c r="K4753" s="656"/>
      <c r="L4753" s="656"/>
      <c r="M4753" s="657"/>
      <c r="N4753" s="1482"/>
      <c r="O4753" s="656" t="s">
        <v>498</v>
      </c>
      <c r="P4753" s="656" t="s">
        <v>13052</v>
      </c>
      <c r="Q4753" s="656">
        <v>44216.760891203703</v>
      </c>
    </row>
    <row r="4754" spans="1:17">
      <c r="A4754" s="656" t="s">
        <v>6791</v>
      </c>
      <c r="B4754" s="657" t="s">
        <v>504</v>
      </c>
      <c r="C4754" s="656" t="s">
        <v>6792</v>
      </c>
      <c r="D4754" s="657" t="s">
        <v>14978</v>
      </c>
      <c r="E4754" s="657" t="s">
        <v>9458</v>
      </c>
      <c r="F4754" s="656" t="s">
        <v>505</v>
      </c>
      <c r="G4754" s="656" t="s">
        <v>525</v>
      </c>
      <c r="H4754" s="656" t="s">
        <v>505</v>
      </c>
      <c r="I4754" s="656" t="s">
        <v>14976</v>
      </c>
      <c r="J4754" s="656"/>
      <c r="K4754" s="656"/>
      <c r="L4754" s="656" t="s">
        <v>6793</v>
      </c>
      <c r="M4754" s="657"/>
      <c r="N4754" s="1482"/>
      <c r="O4754" s="656" t="s">
        <v>498</v>
      </c>
      <c r="P4754" s="656" t="s">
        <v>13052</v>
      </c>
      <c r="Q4754" s="656">
        <v>44216.760891203703</v>
      </c>
    </row>
    <row r="4755" spans="1:17">
      <c r="A4755" s="656" t="s">
        <v>6793</v>
      </c>
      <c r="B4755" s="657" t="s">
        <v>504</v>
      </c>
      <c r="C4755" s="656" t="s">
        <v>6794</v>
      </c>
      <c r="D4755" s="657"/>
      <c r="E4755" s="657"/>
      <c r="F4755" s="656" t="s">
        <v>505</v>
      </c>
      <c r="G4755" s="656" t="s">
        <v>4394</v>
      </c>
      <c r="H4755" s="656" t="s">
        <v>505</v>
      </c>
      <c r="I4755" s="656"/>
      <c r="J4755" s="656"/>
      <c r="K4755" s="656"/>
      <c r="L4755" s="656"/>
      <c r="M4755" s="657"/>
      <c r="N4755" s="1482"/>
      <c r="O4755" s="656" t="s">
        <v>498</v>
      </c>
      <c r="P4755" s="656" t="s">
        <v>13052</v>
      </c>
      <c r="Q4755" s="656">
        <v>44216.760879629626</v>
      </c>
    </row>
    <row r="4756" spans="1:17">
      <c r="A4756" s="656" t="s">
        <v>6795</v>
      </c>
      <c r="B4756" s="657" t="s">
        <v>504</v>
      </c>
      <c r="C4756" s="656" t="s">
        <v>6796</v>
      </c>
      <c r="D4756" s="657" t="s">
        <v>13789</v>
      </c>
      <c r="E4756" s="657" t="s">
        <v>9510</v>
      </c>
      <c r="F4756" s="656" t="s">
        <v>505</v>
      </c>
      <c r="G4756" s="656" t="s">
        <v>525</v>
      </c>
      <c r="H4756" s="656" t="s">
        <v>505</v>
      </c>
      <c r="I4756" s="656" t="s">
        <v>14976</v>
      </c>
      <c r="J4756" s="656"/>
      <c r="K4756" s="656"/>
      <c r="L4756" s="656"/>
      <c r="M4756" s="657"/>
      <c r="N4756" s="1482"/>
      <c r="O4756" s="656" t="s">
        <v>498</v>
      </c>
      <c r="P4756" s="656" t="s">
        <v>13052</v>
      </c>
      <c r="Q4756" s="656">
        <v>44216.760868055557</v>
      </c>
    </row>
    <row r="4757" spans="1:17">
      <c r="A4757" s="656" t="s">
        <v>6797</v>
      </c>
      <c r="B4757" s="657" t="s">
        <v>504</v>
      </c>
      <c r="C4757" s="656" t="s">
        <v>6796</v>
      </c>
      <c r="D4757" s="657"/>
      <c r="E4757" s="657"/>
      <c r="F4757" s="656" t="s">
        <v>505</v>
      </c>
      <c r="G4757" s="656" t="s">
        <v>525</v>
      </c>
      <c r="H4757" s="656" t="s">
        <v>505</v>
      </c>
      <c r="I4757" s="656"/>
      <c r="J4757" s="656"/>
      <c r="K4757" s="656"/>
      <c r="L4757" s="656"/>
      <c r="M4757" s="657"/>
      <c r="N4757" s="1482"/>
      <c r="O4757" s="656" t="s">
        <v>498</v>
      </c>
      <c r="P4757" s="656" t="s">
        <v>13052</v>
      </c>
      <c r="Q4757" s="656">
        <v>44216.760868055557</v>
      </c>
    </row>
    <row r="4758" spans="1:17">
      <c r="A4758" s="656" t="s">
        <v>6798</v>
      </c>
      <c r="B4758" s="657" t="s">
        <v>504</v>
      </c>
      <c r="C4758" s="656" t="s">
        <v>13054</v>
      </c>
      <c r="D4758" s="657" t="s">
        <v>14978</v>
      </c>
      <c r="E4758" s="657" t="s">
        <v>7439</v>
      </c>
      <c r="F4758" s="656" t="s">
        <v>505</v>
      </c>
      <c r="G4758" s="656" t="s">
        <v>525</v>
      </c>
      <c r="H4758" s="656" t="s">
        <v>505</v>
      </c>
      <c r="I4758" s="656" t="s">
        <v>14976</v>
      </c>
      <c r="J4758" s="656"/>
      <c r="K4758" s="656"/>
      <c r="L4758" s="656" t="s">
        <v>6805</v>
      </c>
      <c r="M4758" s="657"/>
      <c r="N4758" s="1482"/>
      <c r="O4758" s="656" t="s">
        <v>498</v>
      </c>
      <c r="P4758" s="656" t="s">
        <v>13052</v>
      </c>
      <c r="Q4758" s="656">
        <v>44216.76085648148</v>
      </c>
    </row>
    <row r="4759" spans="1:17">
      <c r="A4759" s="656" t="s">
        <v>6799</v>
      </c>
      <c r="B4759" s="657" t="s">
        <v>504</v>
      </c>
      <c r="C4759" s="656" t="s">
        <v>6800</v>
      </c>
      <c r="D4759" s="657" t="s">
        <v>14978</v>
      </c>
      <c r="E4759" s="657" t="s">
        <v>7439</v>
      </c>
      <c r="F4759" s="656" t="s">
        <v>505</v>
      </c>
      <c r="G4759" s="656" t="s">
        <v>525</v>
      </c>
      <c r="H4759" s="656" t="s">
        <v>505</v>
      </c>
      <c r="I4759" s="656" t="s">
        <v>14976</v>
      </c>
      <c r="J4759" s="656"/>
      <c r="K4759" s="656"/>
      <c r="L4759" s="656" t="s">
        <v>6805</v>
      </c>
      <c r="M4759" s="657"/>
      <c r="N4759" s="1482"/>
      <c r="O4759" s="656" t="s">
        <v>498</v>
      </c>
      <c r="P4759" s="656" t="s">
        <v>13052</v>
      </c>
      <c r="Q4759" s="656">
        <v>44216.76085648148</v>
      </c>
    </row>
    <row r="4760" spans="1:17">
      <c r="A4760" s="656" t="s">
        <v>6801</v>
      </c>
      <c r="B4760" s="657" t="s">
        <v>504</v>
      </c>
      <c r="C4760" s="656" t="s">
        <v>6802</v>
      </c>
      <c r="D4760" s="657" t="s">
        <v>14978</v>
      </c>
      <c r="E4760" s="657" t="s">
        <v>7439</v>
      </c>
      <c r="F4760" s="656" t="s">
        <v>505</v>
      </c>
      <c r="G4760" s="656" t="s">
        <v>525</v>
      </c>
      <c r="H4760" s="656" t="s">
        <v>505</v>
      </c>
      <c r="I4760" s="656" t="s">
        <v>14976</v>
      </c>
      <c r="J4760" s="656"/>
      <c r="K4760" s="656"/>
      <c r="L4760" s="656" t="s">
        <v>15289</v>
      </c>
      <c r="M4760" s="657"/>
      <c r="N4760" s="1482"/>
      <c r="O4760" s="656" t="s">
        <v>498</v>
      </c>
      <c r="P4760" s="656" t="s">
        <v>13052</v>
      </c>
      <c r="Q4760" s="656">
        <v>44216.76085648148</v>
      </c>
    </row>
    <row r="4761" spans="1:17">
      <c r="A4761" s="656" t="s">
        <v>6803</v>
      </c>
      <c r="B4761" s="657" t="s">
        <v>504</v>
      </c>
      <c r="C4761" s="656" t="s">
        <v>6804</v>
      </c>
      <c r="D4761" s="657" t="s">
        <v>14978</v>
      </c>
      <c r="E4761" s="657" t="s">
        <v>7439</v>
      </c>
      <c r="F4761" s="656" t="s">
        <v>505</v>
      </c>
      <c r="G4761" s="656" t="s">
        <v>525</v>
      </c>
      <c r="H4761" s="656" t="s">
        <v>505</v>
      </c>
      <c r="I4761" s="656" t="s">
        <v>14976</v>
      </c>
      <c r="J4761" s="656"/>
      <c r="K4761" s="656"/>
      <c r="L4761" s="656" t="s">
        <v>6805</v>
      </c>
      <c r="M4761" s="657"/>
      <c r="N4761" s="1482"/>
      <c r="O4761" s="656" t="s">
        <v>498</v>
      </c>
      <c r="P4761" s="656" t="s">
        <v>13052</v>
      </c>
      <c r="Q4761" s="656">
        <v>44216.760844907411</v>
      </c>
    </row>
    <row r="4762" spans="1:17">
      <c r="A4762" s="656" t="s">
        <v>6805</v>
      </c>
      <c r="B4762" s="657" t="s">
        <v>504</v>
      </c>
      <c r="C4762" s="656" t="s">
        <v>13053</v>
      </c>
      <c r="D4762" s="657" t="s">
        <v>14977</v>
      </c>
      <c r="E4762" s="657" t="s">
        <v>9654</v>
      </c>
      <c r="F4762" s="656" t="s">
        <v>505</v>
      </c>
      <c r="G4762" s="656" t="s">
        <v>525</v>
      </c>
      <c r="H4762" s="656" t="s">
        <v>505</v>
      </c>
      <c r="I4762" s="656" t="s">
        <v>14976</v>
      </c>
      <c r="J4762" s="656"/>
      <c r="K4762" s="656"/>
      <c r="L4762" s="656" t="s">
        <v>6808</v>
      </c>
      <c r="M4762" s="657"/>
      <c r="N4762" s="1482"/>
      <c r="O4762" s="656" t="s">
        <v>498</v>
      </c>
      <c r="P4762" s="656" t="s">
        <v>13052</v>
      </c>
      <c r="Q4762" s="656">
        <v>44216.760844907411</v>
      </c>
    </row>
    <row r="4763" spans="1:17">
      <c r="A4763" s="656" t="s">
        <v>6806</v>
      </c>
      <c r="B4763" s="657" t="s">
        <v>504</v>
      </c>
      <c r="C4763" s="656" t="s">
        <v>6807</v>
      </c>
      <c r="D4763" s="657" t="s">
        <v>14978</v>
      </c>
      <c r="E4763" s="657" t="s">
        <v>7439</v>
      </c>
      <c r="F4763" s="656" t="s">
        <v>505</v>
      </c>
      <c r="G4763" s="656" t="s">
        <v>525</v>
      </c>
      <c r="H4763" s="656" t="s">
        <v>505</v>
      </c>
      <c r="I4763" s="656" t="s">
        <v>14976</v>
      </c>
      <c r="J4763" s="656"/>
      <c r="K4763" s="656"/>
      <c r="L4763" s="656" t="s">
        <v>6808</v>
      </c>
      <c r="M4763" s="657"/>
      <c r="N4763" s="1482"/>
      <c r="O4763" s="656" t="s">
        <v>498</v>
      </c>
      <c r="P4763" s="656" t="s">
        <v>13052</v>
      </c>
      <c r="Q4763" s="656">
        <v>44216.760833333334</v>
      </c>
    </row>
    <row r="4764" spans="1:17">
      <c r="A4764" s="656" t="s">
        <v>6808</v>
      </c>
      <c r="B4764" s="657" t="s">
        <v>504</v>
      </c>
      <c r="C4764" s="656" t="s">
        <v>6809</v>
      </c>
      <c r="D4764" s="657"/>
      <c r="E4764" s="657"/>
      <c r="F4764" s="656" t="s">
        <v>505</v>
      </c>
      <c r="G4764" s="656" t="s">
        <v>4394</v>
      </c>
      <c r="H4764" s="656" t="s">
        <v>505</v>
      </c>
      <c r="I4764" s="656"/>
      <c r="J4764" s="656"/>
      <c r="K4764" s="656"/>
      <c r="L4764" s="656"/>
      <c r="M4764" s="657"/>
      <c r="N4764" s="1482"/>
      <c r="O4764" s="656" t="s">
        <v>498</v>
      </c>
      <c r="P4764" s="656" t="s">
        <v>13052</v>
      </c>
      <c r="Q4764" s="656">
        <v>44216.760833333334</v>
      </c>
    </row>
    <row r="4765" spans="1:17">
      <c r="A4765" s="656" t="s">
        <v>6810</v>
      </c>
      <c r="B4765" s="657" t="s">
        <v>504</v>
      </c>
      <c r="C4765" s="656" t="s">
        <v>6811</v>
      </c>
      <c r="D4765" s="657"/>
      <c r="E4765" s="657"/>
      <c r="F4765" s="656" t="s">
        <v>505</v>
      </c>
      <c r="G4765" s="656" t="s">
        <v>4394</v>
      </c>
      <c r="H4765" s="656" t="s">
        <v>505</v>
      </c>
      <c r="I4765" s="656"/>
      <c r="J4765" s="656"/>
      <c r="K4765" s="656"/>
      <c r="L4765" s="656"/>
      <c r="M4765" s="657"/>
      <c r="N4765" s="1482"/>
      <c r="O4765" s="656" t="s">
        <v>498</v>
      </c>
      <c r="P4765" s="656" t="s">
        <v>13052</v>
      </c>
      <c r="Q4765" s="656">
        <v>44216.760821759257</v>
      </c>
    </row>
    <row r="4766" spans="1:17">
      <c r="A4766" s="656" t="s">
        <v>6812</v>
      </c>
      <c r="B4766" s="657" t="s">
        <v>504</v>
      </c>
      <c r="C4766" s="656" t="s">
        <v>6813</v>
      </c>
      <c r="D4766" s="657"/>
      <c r="E4766" s="657"/>
      <c r="F4766" s="656" t="s">
        <v>505</v>
      </c>
      <c r="G4766" s="656" t="s">
        <v>4394</v>
      </c>
      <c r="H4766" s="656" t="s">
        <v>505</v>
      </c>
      <c r="I4766" s="656"/>
      <c r="J4766" s="656"/>
      <c r="K4766" s="656"/>
      <c r="L4766" s="656"/>
      <c r="M4766" s="657"/>
      <c r="N4766" s="1482"/>
      <c r="O4766" s="656" t="s">
        <v>498</v>
      </c>
      <c r="P4766" s="656" t="s">
        <v>13052</v>
      </c>
      <c r="Q4766" s="656">
        <v>44216.760810185187</v>
      </c>
    </row>
    <row r="4767" spans="1:17">
      <c r="A4767" s="656" t="s">
        <v>6814</v>
      </c>
      <c r="B4767" s="657" t="s">
        <v>504</v>
      </c>
      <c r="C4767" s="656" t="s">
        <v>6815</v>
      </c>
      <c r="D4767" s="657"/>
      <c r="E4767" s="657"/>
      <c r="F4767" s="656" t="s">
        <v>505</v>
      </c>
      <c r="G4767" s="656" t="s">
        <v>4394</v>
      </c>
      <c r="H4767" s="656" t="s">
        <v>505</v>
      </c>
      <c r="I4767" s="656"/>
      <c r="J4767" s="656"/>
      <c r="K4767" s="656"/>
      <c r="L4767" s="656"/>
      <c r="M4767" s="657"/>
      <c r="N4767" s="1482"/>
      <c r="O4767" s="656" t="s">
        <v>498</v>
      </c>
      <c r="P4767" s="656" t="s">
        <v>13052</v>
      </c>
      <c r="Q4767" s="656">
        <v>44216.760810185187</v>
      </c>
    </row>
    <row r="4768" spans="1:17">
      <c r="A4768" s="656" t="s">
        <v>6816</v>
      </c>
      <c r="B4768" s="657" t="s">
        <v>504</v>
      </c>
      <c r="C4768" s="656" t="s">
        <v>6817</v>
      </c>
      <c r="D4768" s="657"/>
      <c r="E4768" s="657"/>
      <c r="F4768" s="656" t="s">
        <v>505</v>
      </c>
      <c r="G4768" s="656" t="s">
        <v>4394</v>
      </c>
      <c r="H4768" s="656" t="s">
        <v>505</v>
      </c>
      <c r="I4768" s="656"/>
      <c r="J4768" s="656"/>
      <c r="K4768" s="656"/>
      <c r="L4768" s="656"/>
      <c r="M4768" s="657"/>
      <c r="N4768" s="1482"/>
      <c r="O4768" s="656" t="s">
        <v>498</v>
      </c>
      <c r="P4768" s="656" t="s">
        <v>13052</v>
      </c>
      <c r="Q4768" s="656">
        <v>44216.760798611111</v>
      </c>
    </row>
    <row r="4769" spans="1:17">
      <c r="A4769" s="656" t="s">
        <v>6818</v>
      </c>
      <c r="B4769" s="657" t="s">
        <v>504</v>
      </c>
      <c r="C4769" s="656" t="s">
        <v>6819</v>
      </c>
      <c r="D4769" s="657"/>
      <c r="E4769" s="657"/>
      <c r="F4769" s="656" t="s">
        <v>505</v>
      </c>
      <c r="G4769" s="656" t="s">
        <v>4394</v>
      </c>
      <c r="H4769" s="656" t="s">
        <v>505</v>
      </c>
      <c r="I4769" s="656"/>
      <c r="J4769" s="656"/>
      <c r="K4769" s="656"/>
      <c r="L4769" s="656"/>
      <c r="M4769" s="657"/>
      <c r="N4769" s="1482"/>
      <c r="O4769" s="656" t="s">
        <v>498</v>
      </c>
      <c r="P4769" s="656" t="s">
        <v>13052</v>
      </c>
      <c r="Q4769" s="656">
        <v>44216.760775462964</v>
      </c>
    </row>
    <row r="4770" spans="1:17">
      <c r="A4770" s="656" t="s">
        <v>6820</v>
      </c>
      <c r="B4770" s="657" t="s">
        <v>504</v>
      </c>
      <c r="C4770" s="656" t="s">
        <v>6821</v>
      </c>
      <c r="D4770" s="657" t="s">
        <v>13789</v>
      </c>
      <c r="E4770" s="657" t="s">
        <v>9654</v>
      </c>
      <c r="F4770" s="656" t="s">
        <v>505</v>
      </c>
      <c r="G4770" s="656" t="s">
        <v>525</v>
      </c>
      <c r="H4770" s="656" t="s">
        <v>505</v>
      </c>
      <c r="I4770" s="656" t="s">
        <v>14976</v>
      </c>
      <c r="J4770" s="656"/>
      <c r="K4770" s="656"/>
      <c r="L4770" s="656" t="s">
        <v>6822</v>
      </c>
      <c r="M4770" s="657"/>
      <c r="N4770" s="1482"/>
      <c r="O4770" s="656" t="s">
        <v>498</v>
      </c>
      <c r="P4770" s="656" t="s">
        <v>13052</v>
      </c>
      <c r="Q4770" s="656">
        <v>44216.760763888888</v>
      </c>
    </row>
    <row r="4771" spans="1:17">
      <c r="A4771" s="656" t="s">
        <v>6822</v>
      </c>
      <c r="B4771" s="657" t="s">
        <v>504</v>
      </c>
      <c r="C4771" s="656" t="s">
        <v>6823</v>
      </c>
      <c r="D4771" s="657"/>
      <c r="E4771" s="657"/>
      <c r="F4771" s="656" t="s">
        <v>505</v>
      </c>
      <c r="G4771" s="656" t="s">
        <v>4394</v>
      </c>
      <c r="H4771" s="656" t="s">
        <v>505</v>
      </c>
      <c r="I4771" s="656"/>
      <c r="J4771" s="656"/>
      <c r="K4771" s="656"/>
      <c r="L4771" s="656"/>
      <c r="M4771" s="657"/>
      <c r="N4771" s="1482"/>
      <c r="O4771" s="656" t="s">
        <v>498</v>
      </c>
      <c r="P4771" s="656" t="s">
        <v>13052</v>
      </c>
      <c r="Q4771" s="656">
        <v>44216.760763888888</v>
      </c>
    </row>
    <row r="4772" spans="1:17">
      <c r="A4772" s="656" t="s">
        <v>6824</v>
      </c>
      <c r="B4772" s="657" t="s">
        <v>504</v>
      </c>
      <c r="C4772" s="656" t="s">
        <v>6825</v>
      </c>
      <c r="D4772" s="657"/>
      <c r="E4772" s="657"/>
      <c r="F4772" s="656" t="s">
        <v>505</v>
      </c>
      <c r="G4772" s="656" t="s">
        <v>4394</v>
      </c>
      <c r="H4772" s="656" t="s">
        <v>505</v>
      </c>
      <c r="I4772" s="656"/>
      <c r="J4772" s="656"/>
      <c r="K4772" s="656"/>
      <c r="L4772" s="656"/>
      <c r="M4772" s="657"/>
      <c r="N4772" s="1482"/>
      <c r="O4772" s="656" t="s">
        <v>498</v>
      </c>
      <c r="P4772" s="656" t="s">
        <v>13052</v>
      </c>
      <c r="Q4772" s="656">
        <v>44216.760752314818</v>
      </c>
    </row>
    <row r="4773" spans="1:17">
      <c r="A4773" s="656" t="s">
        <v>6826</v>
      </c>
      <c r="B4773" s="657" t="s">
        <v>504</v>
      </c>
      <c r="C4773" s="656" t="s">
        <v>6827</v>
      </c>
      <c r="D4773" s="657"/>
      <c r="E4773" s="657"/>
      <c r="F4773" s="656" t="s">
        <v>505</v>
      </c>
      <c r="G4773" s="656" t="s">
        <v>4394</v>
      </c>
      <c r="H4773" s="656" t="s">
        <v>505</v>
      </c>
      <c r="I4773" s="656"/>
      <c r="J4773" s="656"/>
      <c r="K4773" s="656"/>
      <c r="L4773" s="656"/>
      <c r="M4773" s="657"/>
      <c r="N4773" s="1482"/>
      <c r="O4773" s="656" t="s">
        <v>498</v>
      </c>
      <c r="P4773" s="656" t="s">
        <v>13052</v>
      </c>
      <c r="Q4773" s="656">
        <v>44216.760763888888</v>
      </c>
    </row>
    <row r="4774" spans="1:17">
      <c r="A4774" s="656" t="s">
        <v>6828</v>
      </c>
      <c r="B4774" s="657" t="s">
        <v>504</v>
      </c>
      <c r="C4774" s="656" t="s">
        <v>6829</v>
      </c>
      <c r="D4774" s="657"/>
      <c r="E4774" s="657"/>
      <c r="F4774" s="656" t="s">
        <v>505</v>
      </c>
      <c r="G4774" s="656" t="s">
        <v>4394</v>
      </c>
      <c r="H4774" s="656" t="s">
        <v>505</v>
      </c>
      <c r="I4774" s="656"/>
      <c r="J4774" s="656"/>
      <c r="K4774" s="656"/>
      <c r="L4774" s="656"/>
      <c r="M4774" s="657"/>
      <c r="N4774" s="1482"/>
      <c r="O4774" s="656" t="s">
        <v>498</v>
      </c>
      <c r="P4774" s="656" t="s">
        <v>13052</v>
      </c>
      <c r="Q4774" s="656">
        <v>44216.760752314818</v>
      </c>
    </row>
    <row r="4775" spans="1:17">
      <c r="A4775" s="656" t="s">
        <v>6830</v>
      </c>
      <c r="B4775" s="657" t="s">
        <v>504</v>
      </c>
      <c r="C4775" s="656" t="s">
        <v>6831</v>
      </c>
      <c r="D4775" s="657"/>
      <c r="E4775" s="657"/>
      <c r="F4775" s="656" t="s">
        <v>505</v>
      </c>
      <c r="G4775" s="656" t="s">
        <v>4394</v>
      </c>
      <c r="H4775" s="656" t="s">
        <v>505</v>
      </c>
      <c r="I4775" s="656"/>
      <c r="J4775" s="656"/>
      <c r="K4775" s="656"/>
      <c r="L4775" s="656"/>
      <c r="M4775" s="657"/>
      <c r="N4775" s="1482"/>
      <c r="O4775" s="656" t="s">
        <v>498</v>
      </c>
      <c r="P4775" s="656" t="s">
        <v>13052</v>
      </c>
      <c r="Q4775" s="656">
        <v>44216.760740740741</v>
      </c>
    </row>
    <row r="4776" spans="1:17">
      <c r="A4776" s="656" t="s">
        <v>6832</v>
      </c>
      <c r="B4776" s="657" t="s">
        <v>504</v>
      </c>
      <c r="C4776" s="656" t="s">
        <v>6833</v>
      </c>
      <c r="D4776" s="657"/>
      <c r="E4776" s="657"/>
      <c r="F4776" s="656" t="s">
        <v>505</v>
      </c>
      <c r="G4776" s="656" t="s">
        <v>4394</v>
      </c>
      <c r="H4776" s="656" t="s">
        <v>505</v>
      </c>
      <c r="I4776" s="656"/>
      <c r="J4776" s="656"/>
      <c r="K4776" s="656"/>
      <c r="L4776" s="656"/>
      <c r="M4776" s="657"/>
      <c r="N4776" s="1482"/>
      <c r="O4776" s="656" t="s">
        <v>498</v>
      </c>
      <c r="P4776" s="656" t="s">
        <v>13052</v>
      </c>
      <c r="Q4776" s="656">
        <v>44216.760740740741</v>
      </c>
    </row>
    <row r="4777" spans="1:17">
      <c r="A4777" s="656" t="s">
        <v>6834</v>
      </c>
      <c r="B4777" s="657" t="s">
        <v>504</v>
      </c>
      <c r="C4777" s="656" t="s">
        <v>6835</v>
      </c>
      <c r="D4777" s="657"/>
      <c r="E4777" s="657"/>
      <c r="F4777" s="656" t="s">
        <v>505</v>
      </c>
      <c r="G4777" s="656" t="s">
        <v>4394</v>
      </c>
      <c r="H4777" s="656" t="s">
        <v>505</v>
      </c>
      <c r="I4777" s="656"/>
      <c r="J4777" s="656"/>
      <c r="K4777" s="656"/>
      <c r="L4777" s="656"/>
      <c r="M4777" s="657"/>
      <c r="N4777" s="1482"/>
      <c r="O4777" s="656" t="s">
        <v>498</v>
      </c>
      <c r="P4777" s="656" t="s">
        <v>13052</v>
      </c>
      <c r="Q4777" s="656">
        <v>44216.760729166665</v>
      </c>
    </row>
    <row r="4778" spans="1:17">
      <c r="A4778" s="656" t="s">
        <v>6836</v>
      </c>
      <c r="B4778" s="657" t="s">
        <v>504</v>
      </c>
      <c r="C4778" s="656" t="s">
        <v>6837</v>
      </c>
      <c r="D4778" s="657"/>
      <c r="E4778" s="657"/>
      <c r="F4778" s="656" t="s">
        <v>505</v>
      </c>
      <c r="G4778" s="656" t="s">
        <v>4394</v>
      </c>
      <c r="H4778" s="656" t="s">
        <v>505</v>
      </c>
      <c r="I4778" s="656"/>
      <c r="J4778" s="656"/>
      <c r="K4778" s="656"/>
      <c r="L4778" s="656"/>
      <c r="M4778" s="657"/>
      <c r="N4778" s="1482"/>
      <c r="O4778" s="656" t="s">
        <v>498</v>
      </c>
      <c r="P4778" s="656" t="s">
        <v>13052</v>
      </c>
      <c r="Q4778" s="656">
        <v>44216.760729166665</v>
      </c>
    </row>
    <row r="4779" spans="1:17">
      <c r="A4779" s="656" t="s">
        <v>6838</v>
      </c>
      <c r="B4779" s="657" t="s">
        <v>504</v>
      </c>
      <c r="C4779" s="656" t="s">
        <v>6839</v>
      </c>
      <c r="D4779" s="657"/>
      <c r="E4779" s="657"/>
      <c r="F4779" s="656" t="s">
        <v>505</v>
      </c>
      <c r="G4779" s="656" t="s">
        <v>4394</v>
      </c>
      <c r="H4779" s="656" t="s">
        <v>505</v>
      </c>
      <c r="I4779" s="656"/>
      <c r="J4779" s="656"/>
      <c r="K4779" s="656"/>
      <c r="L4779" s="656"/>
      <c r="M4779" s="657"/>
      <c r="N4779" s="1482"/>
      <c r="O4779" s="656" t="s">
        <v>498</v>
      </c>
      <c r="P4779" s="656" t="s">
        <v>13052</v>
      </c>
      <c r="Q4779" s="656">
        <v>44216.760717592595</v>
      </c>
    </row>
    <row r="4780" spans="1:17">
      <c r="A4780" s="656" t="s">
        <v>6840</v>
      </c>
      <c r="B4780" s="657" t="s">
        <v>504</v>
      </c>
      <c r="C4780" s="656" t="s">
        <v>6841</v>
      </c>
      <c r="D4780" s="657" t="s">
        <v>13789</v>
      </c>
      <c r="E4780" s="657" t="s">
        <v>9510</v>
      </c>
      <c r="F4780" s="656" t="s">
        <v>505</v>
      </c>
      <c r="G4780" s="656" t="s">
        <v>525</v>
      </c>
      <c r="H4780" s="656" t="s">
        <v>505</v>
      </c>
      <c r="I4780" s="656" t="s">
        <v>14976</v>
      </c>
      <c r="J4780" s="656"/>
      <c r="K4780" s="656"/>
      <c r="L4780" s="656"/>
      <c r="M4780" s="657"/>
      <c r="N4780" s="1482"/>
      <c r="O4780" s="656" t="s">
        <v>498</v>
      </c>
      <c r="P4780" s="656" t="s">
        <v>13052</v>
      </c>
      <c r="Q4780" s="656">
        <v>44216.760717592595</v>
      </c>
    </row>
    <row r="4781" spans="1:17">
      <c r="A4781" s="656" t="s">
        <v>6842</v>
      </c>
      <c r="B4781" s="657" t="s">
        <v>504</v>
      </c>
      <c r="C4781" s="656" t="s">
        <v>6843</v>
      </c>
      <c r="D4781" s="657"/>
      <c r="E4781" s="657"/>
      <c r="F4781" s="656" t="s">
        <v>505</v>
      </c>
      <c r="G4781" s="656" t="s">
        <v>4394</v>
      </c>
      <c r="H4781" s="656" t="s">
        <v>505</v>
      </c>
      <c r="I4781" s="656"/>
      <c r="J4781" s="656"/>
      <c r="K4781" s="656"/>
      <c r="L4781" s="656"/>
      <c r="M4781" s="657"/>
      <c r="N4781" s="1482"/>
      <c r="O4781" s="656" t="s">
        <v>498</v>
      </c>
      <c r="P4781" s="656" t="s">
        <v>13052</v>
      </c>
      <c r="Q4781" s="656">
        <v>44216.760706018518</v>
      </c>
    </row>
    <row r="4782" spans="1:17">
      <c r="A4782" s="656" t="s">
        <v>6844</v>
      </c>
      <c r="B4782" s="657" t="s">
        <v>504</v>
      </c>
      <c r="C4782" s="656" t="s">
        <v>6845</v>
      </c>
      <c r="D4782" s="657"/>
      <c r="E4782" s="657"/>
      <c r="F4782" s="656" t="s">
        <v>505</v>
      </c>
      <c r="G4782" s="656" t="s">
        <v>4394</v>
      </c>
      <c r="H4782" s="656" t="s">
        <v>505</v>
      </c>
      <c r="I4782" s="656"/>
      <c r="J4782" s="656"/>
      <c r="K4782" s="656"/>
      <c r="L4782" s="656"/>
      <c r="M4782" s="657"/>
      <c r="N4782" s="1482"/>
      <c r="O4782" s="656" t="s">
        <v>498</v>
      </c>
      <c r="P4782" s="656" t="s">
        <v>13052</v>
      </c>
      <c r="Q4782" s="656">
        <v>44216.760706018518</v>
      </c>
    </row>
    <row r="4783" spans="1:17">
      <c r="A4783" s="656" t="s">
        <v>6846</v>
      </c>
      <c r="B4783" s="657" t="s">
        <v>504</v>
      </c>
      <c r="C4783" s="656" t="s">
        <v>6847</v>
      </c>
      <c r="D4783" s="657"/>
      <c r="E4783" s="657"/>
      <c r="F4783" s="656" t="s">
        <v>505</v>
      </c>
      <c r="G4783" s="656" t="s">
        <v>4394</v>
      </c>
      <c r="H4783" s="656" t="s">
        <v>505</v>
      </c>
      <c r="I4783" s="656"/>
      <c r="J4783" s="656"/>
      <c r="K4783" s="656"/>
      <c r="L4783" s="656"/>
      <c r="M4783" s="657"/>
      <c r="N4783" s="1482"/>
      <c r="O4783" s="656" t="s">
        <v>498</v>
      </c>
      <c r="P4783" s="656" t="s">
        <v>13052</v>
      </c>
      <c r="Q4783" s="656">
        <v>44216.760694444441</v>
      </c>
    </row>
    <row r="4784" spans="1:17">
      <c r="A4784" s="656" t="s">
        <v>6848</v>
      </c>
      <c r="B4784" s="657" t="s">
        <v>504</v>
      </c>
      <c r="C4784" s="656" t="s">
        <v>6849</v>
      </c>
      <c r="D4784" s="657"/>
      <c r="E4784" s="657"/>
      <c r="F4784" s="656" t="s">
        <v>505</v>
      </c>
      <c r="G4784" s="656" t="s">
        <v>4394</v>
      </c>
      <c r="H4784" s="656" t="s">
        <v>505</v>
      </c>
      <c r="I4784" s="656"/>
      <c r="J4784" s="656"/>
      <c r="K4784" s="656"/>
      <c r="L4784" s="656"/>
      <c r="M4784" s="657"/>
      <c r="N4784" s="1482"/>
      <c r="O4784" s="656" t="s">
        <v>498</v>
      </c>
      <c r="P4784" s="656" t="s">
        <v>13052</v>
      </c>
      <c r="Q4784" s="656">
        <v>44216.760694444441</v>
      </c>
    </row>
    <row r="4785" spans="1:17">
      <c r="A4785" s="656" t="s">
        <v>6850</v>
      </c>
      <c r="B4785" s="657" t="s">
        <v>504</v>
      </c>
      <c r="C4785" s="656" t="s">
        <v>6851</v>
      </c>
      <c r="D4785" s="657"/>
      <c r="E4785" s="657"/>
      <c r="F4785" s="656" t="s">
        <v>505</v>
      </c>
      <c r="G4785" s="656" t="s">
        <v>4394</v>
      </c>
      <c r="H4785" s="656" t="s">
        <v>505</v>
      </c>
      <c r="I4785" s="656"/>
      <c r="J4785" s="656"/>
      <c r="K4785" s="656"/>
      <c r="L4785" s="656"/>
      <c r="M4785" s="657"/>
      <c r="N4785" s="1482"/>
      <c r="O4785" s="656" t="s">
        <v>498</v>
      </c>
      <c r="P4785" s="656" t="s">
        <v>13052</v>
      </c>
      <c r="Q4785" s="656">
        <v>44216.760682870372</v>
      </c>
    </row>
    <row r="4786" spans="1:17">
      <c r="A4786" s="656" t="s">
        <v>6852</v>
      </c>
      <c r="B4786" s="657" t="s">
        <v>504</v>
      </c>
      <c r="C4786" s="656" t="s">
        <v>6853</v>
      </c>
      <c r="D4786" s="657"/>
      <c r="E4786" s="657"/>
      <c r="F4786" s="656" t="s">
        <v>505</v>
      </c>
      <c r="G4786" s="656" t="s">
        <v>4394</v>
      </c>
      <c r="H4786" s="656" t="s">
        <v>505</v>
      </c>
      <c r="I4786" s="656"/>
      <c r="J4786" s="656"/>
      <c r="K4786" s="656"/>
      <c r="L4786" s="656"/>
      <c r="M4786" s="657"/>
      <c r="N4786" s="1482"/>
      <c r="O4786" s="656" t="s">
        <v>498</v>
      </c>
      <c r="P4786" s="656" t="s">
        <v>13052</v>
      </c>
      <c r="Q4786" s="656">
        <v>44216.760682870372</v>
      </c>
    </row>
    <row r="4787" spans="1:17">
      <c r="A4787" s="656" t="s">
        <v>6854</v>
      </c>
      <c r="B4787" s="657" t="s">
        <v>504</v>
      </c>
      <c r="C4787" s="656" t="s">
        <v>6855</v>
      </c>
      <c r="D4787" s="657"/>
      <c r="E4787" s="657"/>
      <c r="F4787" s="656" t="s">
        <v>505</v>
      </c>
      <c r="G4787" s="656" t="s">
        <v>4394</v>
      </c>
      <c r="H4787" s="656" t="s">
        <v>505</v>
      </c>
      <c r="I4787" s="656"/>
      <c r="J4787" s="656"/>
      <c r="K4787" s="656"/>
      <c r="L4787" s="656"/>
      <c r="M4787" s="657"/>
      <c r="N4787" s="1482"/>
      <c r="O4787" s="656" t="s">
        <v>498</v>
      </c>
      <c r="P4787" s="656" t="s">
        <v>13052</v>
      </c>
      <c r="Q4787" s="656">
        <v>44216.760671296295</v>
      </c>
    </row>
    <row r="4788" spans="1:17">
      <c r="A4788" s="656" t="s">
        <v>6856</v>
      </c>
      <c r="B4788" s="657" t="s">
        <v>504</v>
      </c>
      <c r="C4788" s="656" t="s">
        <v>6857</v>
      </c>
      <c r="D4788" s="657"/>
      <c r="E4788" s="657"/>
      <c r="F4788" s="656" t="s">
        <v>505</v>
      </c>
      <c r="G4788" s="656" t="s">
        <v>4394</v>
      </c>
      <c r="H4788" s="656" t="s">
        <v>505</v>
      </c>
      <c r="I4788" s="656"/>
      <c r="J4788" s="656"/>
      <c r="K4788" s="656"/>
      <c r="L4788" s="656"/>
      <c r="M4788" s="657"/>
      <c r="N4788" s="1482"/>
      <c r="O4788" s="656" t="s">
        <v>498</v>
      </c>
      <c r="P4788" s="656" t="s">
        <v>13052</v>
      </c>
      <c r="Q4788" s="656">
        <v>44216.760682870372</v>
      </c>
    </row>
    <row r="4789" spans="1:17">
      <c r="A4789" s="656" t="s">
        <v>6858</v>
      </c>
      <c r="B4789" s="657" t="s">
        <v>504</v>
      </c>
      <c r="C4789" s="656" t="s">
        <v>6859</v>
      </c>
      <c r="D4789" s="657"/>
      <c r="E4789" s="657"/>
      <c r="F4789" s="656" t="s">
        <v>505</v>
      </c>
      <c r="G4789" s="656" t="s">
        <v>4394</v>
      </c>
      <c r="H4789" s="656" t="s">
        <v>505</v>
      </c>
      <c r="I4789" s="656"/>
      <c r="J4789" s="656"/>
      <c r="K4789" s="656"/>
      <c r="L4789" s="656"/>
      <c r="M4789" s="657"/>
      <c r="N4789" s="1482"/>
      <c r="O4789" s="656" t="s">
        <v>498</v>
      </c>
      <c r="P4789" s="656" t="s">
        <v>13052</v>
      </c>
      <c r="Q4789" s="656">
        <v>44216.760671296295</v>
      </c>
    </row>
    <row r="4790" spans="1:17">
      <c r="A4790" s="656" t="s">
        <v>14267</v>
      </c>
      <c r="B4790" s="657" t="s">
        <v>202</v>
      </c>
      <c r="C4790" s="656" t="s">
        <v>14268</v>
      </c>
      <c r="D4790" s="657" t="s">
        <v>13789</v>
      </c>
      <c r="E4790" s="657"/>
      <c r="F4790" s="656" t="s">
        <v>1300</v>
      </c>
      <c r="G4790" s="656" t="s">
        <v>4198</v>
      </c>
      <c r="H4790" s="656" t="s">
        <v>1300</v>
      </c>
      <c r="I4790" s="656" t="s">
        <v>14976</v>
      </c>
      <c r="J4790" s="656"/>
      <c r="K4790" s="656"/>
      <c r="L4790" s="656"/>
      <c r="M4790" s="657"/>
      <c r="N4790" s="1482"/>
      <c r="O4790" s="656" t="s">
        <v>498</v>
      </c>
      <c r="P4790" s="656" t="s">
        <v>13052</v>
      </c>
      <c r="Q4790" s="656">
        <v>44216.760659722226</v>
      </c>
    </row>
    <row r="4791" spans="1:17">
      <c r="A4791" s="656" t="s">
        <v>6860</v>
      </c>
      <c r="B4791" s="657" t="s">
        <v>504</v>
      </c>
      <c r="C4791" s="656" t="s">
        <v>6861</v>
      </c>
      <c r="D4791" s="657"/>
      <c r="E4791" s="657"/>
      <c r="F4791" s="656" t="s">
        <v>505</v>
      </c>
      <c r="G4791" s="656" t="s">
        <v>4394</v>
      </c>
      <c r="H4791" s="656" t="s">
        <v>505</v>
      </c>
      <c r="I4791" s="656"/>
      <c r="J4791" s="656"/>
      <c r="K4791" s="656"/>
      <c r="L4791" s="656"/>
      <c r="M4791" s="657"/>
      <c r="N4791" s="1482"/>
      <c r="O4791" s="656" t="s">
        <v>498</v>
      </c>
      <c r="P4791" s="656" t="s">
        <v>13052</v>
      </c>
      <c r="Q4791" s="656">
        <v>44216.760659722226</v>
      </c>
    </row>
    <row r="4792" spans="1:17">
      <c r="A4792" s="656" t="s">
        <v>6862</v>
      </c>
      <c r="B4792" s="657" t="s">
        <v>504</v>
      </c>
      <c r="C4792" s="656" t="s">
        <v>6863</v>
      </c>
      <c r="D4792" s="657"/>
      <c r="E4792" s="657"/>
      <c r="F4792" s="656" t="s">
        <v>505</v>
      </c>
      <c r="G4792" s="656" t="s">
        <v>4394</v>
      </c>
      <c r="H4792" s="656" t="s">
        <v>505</v>
      </c>
      <c r="I4792" s="656"/>
      <c r="J4792" s="656"/>
      <c r="K4792" s="656"/>
      <c r="L4792" s="656"/>
      <c r="M4792" s="657"/>
      <c r="N4792" s="1482"/>
      <c r="O4792" s="656" t="s">
        <v>498</v>
      </c>
      <c r="P4792" s="656" t="s">
        <v>13052</v>
      </c>
      <c r="Q4792" s="656">
        <v>44216.760648148149</v>
      </c>
    </row>
    <row r="4793" spans="1:17">
      <c r="A4793" s="656" t="s">
        <v>6864</v>
      </c>
      <c r="B4793" s="657" t="s">
        <v>504</v>
      </c>
      <c r="C4793" s="656" t="s">
        <v>6865</v>
      </c>
      <c r="D4793" s="657"/>
      <c r="E4793" s="657"/>
      <c r="F4793" s="656" t="s">
        <v>505</v>
      </c>
      <c r="G4793" s="656" t="s">
        <v>4394</v>
      </c>
      <c r="H4793" s="656" t="s">
        <v>505</v>
      </c>
      <c r="I4793" s="656"/>
      <c r="J4793" s="656"/>
      <c r="K4793" s="656"/>
      <c r="L4793" s="656"/>
      <c r="M4793" s="657"/>
      <c r="N4793" s="1482"/>
      <c r="O4793" s="656" t="s">
        <v>498</v>
      </c>
      <c r="P4793" s="656" t="s">
        <v>13052</v>
      </c>
      <c r="Q4793" s="656">
        <v>44216.760648148149</v>
      </c>
    </row>
    <row r="4794" spans="1:17">
      <c r="A4794" s="656" t="s">
        <v>6866</v>
      </c>
      <c r="B4794" s="657" t="s">
        <v>504</v>
      </c>
      <c r="C4794" s="656" t="s">
        <v>6867</v>
      </c>
      <c r="D4794" s="657"/>
      <c r="E4794" s="657"/>
      <c r="F4794" s="656" t="s">
        <v>505</v>
      </c>
      <c r="G4794" s="656" t="s">
        <v>4394</v>
      </c>
      <c r="H4794" s="656" t="s">
        <v>505</v>
      </c>
      <c r="I4794" s="656"/>
      <c r="J4794" s="656"/>
      <c r="K4794" s="656"/>
      <c r="L4794" s="656"/>
      <c r="M4794" s="657"/>
      <c r="N4794" s="1482"/>
      <c r="O4794" s="656" t="s">
        <v>498</v>
      </c>
      <c r="P4794" s="656" t="s">
        <v>13052</v>
      </c>
      <c r="Q4794" s="656">
        <v>44216.760636574072</v>
      </c>
    </row>
    <row r="4795" spans="1:17">
      <c r="A4795" s="656" t="s">
        <v>6868</v>
      </c>
      <c r="B4795" s="657" t="s">
        <v>504</v>
      </c>
      <c r="C4795" s="656" t="s">
        <v>6869</v>
      </c>
      <c r="D4795" s="657"/>
      <c r="E4795" s="657"/>
      <c r="F4795" s="656" t="s">
        <v>505</v>
      </c>
      <c r="G4795" s="656" t="s">
        <v>4394</v>
      </c>
      <c r="H4795" s="656" t="s">
        <v>505</v>
      </c>
      <c r="I4795" s="656"/>
      <c r="J4795" s="656"/>
      <c r="K4795" s="656"/>
      <c r="L4795" s="656"/>
      <c r="M4795" s="657"/>
      <c r="N4795" s="1482"/>
      <c r="O4795" s="656" t="s">
        <v>498</v>
      </c>
      <c r="P4795" s="656" t="s">
        <v>13052</v>
      </c>
      <c r="Q4795" s="656">
        <v>44216.760636574072</v>
      </c>
    </row>
    <row r="4796" spans="1:17">
      <c r="A4796" s="656" t="s">
        <v>6870</v>
      </c>
      <c r="B4796" s="657" t="s">
        <v>504</v>
      </c>
      <c r="C4796" s="656" t="s">
        <v>6871</v>
      </c>
      <c r="D4796" s="657"/>
      <c r="E4796" s="657"/>
      <c r="F4796" s="656" t="s">
        <v>505</v>
      </c>
      <c r="G4796" s="656" t="s">
        <v>4394</v>
      </c>
      <c r="H4796" s="656" t="s">
        <v>505</v>
      </c>
      <c r="I4796" s="656"/>
      <c r="J4796" s="656"/>
      <c r="K4796" s="656"/>
      <c r="L4796" s="656"/>
      <c r="M4796" s="657"/>
      <c r="N4796" s="1482"/>
      <c r="O4796" s="656" t="s">
        <v>498</v>
      </c>
      <c r="P4796" s="656" t="s">
        <v>13052</v>
      </c>
      <c r="Q4796" s="656">
        <v>44216.760625000003</v>
      </c>
    </row>
    <row r="4797" spans="1:17">
      <c r="A4797" s="656" t="s">
        <v>6872</v>
      </c>
      <c r="B4797" s="657" t="s">
        <v>504</v>
      </c>
      <c r="C4797" s="656" t="s">
        <v>6873</v>
      </c>
      <c r="D4797" s="657"/>
      <c r="E4797" s="657"/>
      <c r="F4797" s="656" t="s">
        <v>505</v>
      </c>
      <c r="G4797" s="656" t="s">
        <v>4394</v>
      </c>
      <c r="H4797" s="656" t="s">
        <v>505</v>
      </c>
      <c r="I4797" s="656"/>
      <c r="J4797" s="656"/>
      <c r="K4797" s="656"/>
      <c r="L4797" s="656"/>
      <c r="M4797" s="657"/>
      <c r="N4797" s="1482"/>
      <c r="O4797" s="656" t="s">
        <v>498</v>
      </c>
      <c r="P4797" s="656" t="s">
        <v>13052</v>
      </c>
      <c r="Q4797" s="656">
        <v>44216.760625000003</v>
      </c>
    </row>
    <row r="4798" spans="1:17">
      <c r="A4798" s="656" t="s">
        <v>6874</v>
      </c>
      <c r="B4798" s="657" t="s">
        <v>504</v>
      </c>
      <c r="C4798" s="656" t="s">
        <v>6875</v>
      </c>
      <c r="D4798" s="657"/>
      <c r="E4798" s="657"/>
      <c r="F4798" s="656" t="s">
        <v>505</v>
      </c>
      <c r="G4798" s="656" t="s">
        <v>4394</v>
      </c>
      <c r="H4798" s="656" t="s">
        <v>505</v>
      </c>
      <c r="I4798" s="656"/>
      <c r="J4798" s="656"/>
      <c r="K4798" s="656"/>
      <c r="L4798" s="656"/>
      <c r="M4798" s="657"/>
      <c r="N4798" s="1482"/>
      <c r="O4798" s="656" t="s">
        <v>498</v>
      </c>
      <c r="P4798" s="656" t="s">
        <v>13052</v>
      </c>
      <c r="Q4798" s="656">
        <v>44216.760625000003</v>
      </c>
    </row>
    <row r="4799" spans="1:17">
      <c r="A4799" s="656" t="s">
        <v>6876</v>
      </c>
      <c r="B4799" s="657" t="s">
        <v>504</v>
      </c>
      <c r="C4799" s="656" t="s">
        <v>6877</v>
      </c>
      <c r="D4799" s="657"/>
      <c r="E4799" s="657"/>
      <c r="F4799" s="656" t="s">
        <v>505</v>
      </c>
      <c r="G4799" s="656" t="s">
        <v>4394</v>
      </c>
      <c r="H4799" s="656" t="s">
        <v>505</v>
      </c>
      <c r="I4799" s="656"/>
      <c r="J4799" s="656"/>
      <c r="K4799" s="656"/>
      <c r="L4799" s="656"/>
      <c r="M4799" s="657"/>
      <c r="N4799" s="1482"/>
      <c r="O4799" s="656" t="s">
        <v>498</v>
      </c>
      <c r="P4799" s="656" t="s">
        <v>13052</v>
      </c>
      <c r="Q4799" s="656">
        <v>44216.760613425926</v>
      </c>
    </row>
    <row r="4800" spans="1:17">
      <c r="A4800" s="656" t="s">
        <v>6878</v>
      </c>
      <c r="B4800" s="657" t="s">
        <v>504</v>
      </c>
      <c r="C4800" s="656" t="s">
        <v>6879</v>
      </c>
      <c r="D4800" s="657"/>
      <c r="E4800" s="657"/>
      <c r="F4800" s="656" t="s">
        <v>505</v>
      </c>
      <c r="G4800" s="656" t="s">
        <v>4394</v>
      </c>
      <c r="H4800" s="656" t="s">
        <v>505</v>
      </c>
      <c r="I4800" s="656"/>
      <c r="J4800" s="656"/>
      <c r="K4800" s="656"/>
      <c r="L4800" s="656"/>
      <c r="M4800" s="657"/>
      <c r="N4800" s="1482"/>
      <c r="O4800" s="656" t="s">
        <v>498</v>
      </c>
      <c r="P4800" s="656" t="s">
        <v>13052</v>
      </c>
      <c r="Q4800" s="656">
        <v>44216.760613425926</v>
      </c>
    </row>
    <row r="4801" spans="1:17">
      <c r="A4801" s="656" t="s">
        <v>6880</v>
      </c>
      <c r="B4801" s="657" t="s">
        <v>504</v>
      </c>
      <c r="C4801" s="656" t="s">
        <v>6881</v>
      </c>
      <c r="D4801" s="657"/>
      <c r="E4801" s="657"/>
      <c r="F4801" s="656" t="s">
        <v>505</v>
      </c>
      <c r="G4801" s="656" t="s">
        <v>4394</v>
      </c>
      <c r="H4801" s="656" t="s">
        <v>505</v>
      </c>
      <c r="I4801" s="656"/>
      <c r="J4801" s="656"/>
      <c r="K4801" s="656"/>
      <c r="L4801" s="656"/>
      <c r="M4801" s="657"/>
      <c r="N4801" s="1482"/>
      <c r="O4801" s="656" t="s">
        <v>498</v>
      </c>
      <c r="P4801" s="656" t="s">
        <v>13052</v>
      </c>
      <c r="Q4801" s="656">
        <v>44216.760613425926</v>
      </c>
    </row>
    <row r="4802" spans="1:17">
      <c r="A4802" s="656" t="s">
        <v>6882</v>
      </c>
      <c r="B4802" s="657" t="s">
        <v>504</v>
      </c>
      <c r="C4802" s="656" t="s">
        <v>6883</v>
      </c>
      <c r="D4802" s="657"/>
      <c r="E4802" s="657"/>
      <c r="F4802" s="656" t="s">
        <v>505</v>
      </c>
      <c r="G4802" s="656" t="s">
        <v>4394</v>
      </c>
      <c r="H4802" s="656" t="s">
        <v>505</v>
      </c>
      <c r="I4802" s="656"/>
      <c r="J4802" s="656"/>
      <c r="K4802" s="656"/>
      <c r="L4802" s="656"/>
      <c r="M4802" s="657"/>
      <c r="N4802" s="1482"/>
      <c r="O4802" s="656" t="s">
        <v>498</v>
      </c>
      <c r="P4802" s="656" t="s">
        <v>13052</v>
      </c>
      <c r="Q4802" s="656">
        <v>44216.760601851849</v>
      </c>
    </row>
    <row r="4803" spans="1:17">
      <c r="A4803" s="656" t="s">
        <v>6884</v>
      </c>
      <c r="B4803" s="657" t="s">
        <v>504</v>
      </c>
      <c r="C4803" s="656" t="s">
        <v>6885</v>
      </c>
      <c r="D4803" s="657"/>
      <c r="E4803" s="657"/>
      <c r="F4803" s="656" t="s">
        <v>505</v>
      </c>
      <c r="G4803" s="656" t="s">
        <v>4394</v>
      </c>
      <c r="H4803" s="656" t="s">
        <v>505</v>
      </c>
      <c r="I4803" s="656"/>
      <c r="J4803" s="656"/>
      <c r="K4803" s="656"/>
      <c r="L4803" s="656"/>
      <c r="M4803" s="657"/>
      <c r="N4803" s="1482"/>
      <c r="O4803" s="656" t="s">
        <v>498</v>
      </c>
      <c r="P4803" s="656" t="s">
        <v>13052</v>
      </c>
      <c r="Q4803" s="656">
        <v>44216.76059027778</v>
      </c>
    </row>
    <row r="4804" spans="1:17">
      <c r="A4804" s="656" t="s">
        <v>6886</v>
      </c>
      <c r="B4804" s="657" t="s">
        <v>504</v>
      </c>
      <c r="C4804" s="656" t="s">
        <v>6887</v>
      </c>
      <c r="D4804" s="657"/>
      <c r="E4804" s="657"/>
      <c r="F4804" s="656" t="s">
        <v>505</v>
      </c>
      <c r="G4804" s="656" t="s">
        <v>4394</v>
      </c>
      <c r="H4804" s="656" t="s">
        <v>505</v>
      </c>
      <c r="I4804" s="656"/>
      <c r="J4804" s="656"/>
      <c r="K4804" s="656"/>
      <c r="L4804" s="656"/>
      <c r="M4804" s="657"/>
      <c r="N4804" s="1482"/>
      <c r="O4804" s="656" t="s">
        <v>498</v>
      </c>
      <c r="P4804" s="656" t="s">
        <v>13052</v>
      </c>
      <c r="Q4804" s="656">
        <v>44216.76059027778</v>
      </c>
    </row>
    <row r="4805" spans="1:17">
      <c r="A4805" s="656" t="s">
        <v>6888</v>
      </c>
      <c r="B4805" s="657" t="s">
        <v>504</v>
      </c>
      <c r="C4805" s="656" t="s">
        <v>6889</v>
      </c>
      <c r="D4805" s="657"/>
      <c r="E4805" s="657"/>
      <c r="F4805" s="656" t="s">
        <v>505</v>
      </c>
      <c r="G4805" s="656" t="s">
        <v>4394</v>
      </c>
      <c r="H4805" s="656" t="s">
        <v>505</v>
      </c>
      <c r="I4805" s="656"/>
      <c r="J4805" s="656"/>
      <c r="K4805" s="656"/>
      <c r="L4805" s="656"/>
      <c r="M4805" s="657"/>
      <c r="N4805" s="1482"/>
      <c r="O4805" s="656" t="s">
        <v>498</v>
      </c>
      <c r="P4805" s="656" t="s">
        <v>13052</v>
      </c>
      <c r="Q4805" s="656">
        <v>44216.760578703703</v>
      </c>
    </row>
    <row r="4806" spans="1:17">
      <c r="A4806" s="656" t="s">
        <v>6890</v>
      </c>
      <c r="B4806" s="657" t="s">
        <v>504</v>
      </c>
      <c r="C4806" s="656" t="s">
        <v>6891</v>
      </c>
      <c r="D4806" s="657"/>
      <c r="E4806" s="657"/>
      <c r="F4806" s="656" t="s">
        <v>505</v>
      </c>
      <c r="G4806" s="656" t="s">
        <v>4394</v>
      </c>
      <c r="H4806" s="656" t="s">
        <v>505</v>
      </c>
      <c r="I4806" s="656"/>
      <c r="J4806" s="656"/>
      <c r="K4806" s="656"/>
      <c r="L4806" s="656"/>
      <c r="M4806" s="657"/>
      <c r="N4806" s="1482"/>
      <c r="O4806" s="656" t="s">
        <v>498</v>
      </c>
      <c r="P4806" s="656" t="s">
        <v>13052</v>
      </c>
      <c r="Q4806" s="656">
        <v>44216.760578703703</v>
      </c>
    </row>
    <row r="4807" spans="1:17">
      <c r="A4807" s="656" t="s">
        <v>6892</v>
      </c>
      <c r="B4807" s="657" t="s">
        <v>504</v>
      </c>
      <c r="C4807" s="656" t="s">
        <v>6893</v>
      </c>
      <c r="D4807" s="657"/>
      <c r="E4807" s="657"/>
      <c r="F4807" s="656" t="s">
        <v>505</v>
      </c>
      <c r="G4807" s="656" t="s">
        <v>4394</v>
      </c>
      <c r="H4807" s="656" t="s">
        <v>505</v>
      </c>
      <c r="I4807" s="656"/>
      <c r="J4807" s="656"/>
      <c r="K4807" s="656"/>
      <c r="L4807" s="656"/>
      <c r="M4807" s="657"/>
      <c r="N4807" s="1482"/>
      <c r="O4807" s="656" t="s">
        <v>498</v>
      </c>
      <c r="P4807" s="656" t="s">
        <v>13052</v>
      </c>
      <c r="Q4807" s="656">
        <v>44216.760578703703</v>
      </c>
    </row>
    <row r="4808" spans="1:17">
      <c r="A4808" s="656" t="s">
        <v>6894</v>
      </c>
      <c r="B4808" s="657" t="s">
        <v>504</v>
      </c>
      <c r="C4808" s="656" t="s">
        <v>6895</v>
      </c>
      <c r="D4808" s="657"/>
      <c r="E4808" s="657"/>
      <c r="F4808" s="656" t="s">
        <v>505</v>
      </c>
      <c r="G4808" s="656" t="s">
        <v>4394</v>
      </c>
      <c r="H4808" s="656" t="s">
        <v>505</v>
      </c>
      <c r="I4808" s="656"/>
      <c r="J4808" s="656"/>
      <c r="K4808" s="656"/>
      <c r="L4808" s="656"/>
      <c r="M4808" s="657"/>
      <c r="N4808" s="1482"/>
      <c r="O4808" s="656" t="s">
        <v>498</v>
      </c>
      <c r="P4808" s="656" t="s">
        <v>13052</v>
      </c>
      <c r="Q4808" s="656">
        <v>44216.760567129626</v>
      </c>
    </row>
    <row r="4809" spans="1:17">
      <c r="A4809" s="656" t="s">
        <v>6896</v>
      </c>
      <c r="B4809" s="657" t="s">
        <v>504</v>
      </c>
      <c r="C4809" s="656" t="s">
        <v>6897</v>
      </c>
      <c r="D4809" s="657"/>
      <c r="E4809" s="657"/>
      <c r="F4809" s="656" t="s">
        <v>505</v>
      </c>
      <c r="G4809" s="656" t="s">
        <v>4394</v>
      </c>
      <c r="H4809" s="656" t="s">
        <v>505</v>
      </c>
      <c r="I4809" s="656"/>
      <c r="J4809" s="656"/>
      <c r="K4809" s="656"/>
      <c r="L4809" s="656"/>
      <c r="M4809" s="657"/>
      <c r="N4809" s="1482"/>
      <c r="O4809" s="656" t="s">
        <v>498</v>
      </c>
      <c r="P4809" s="656" t="s">
        <v>13052</v>
      </c>
      <c r="Q4809" s="656">
        <v>44216.760567129626</v>
      </c>
    </row>
    <row r="4810" spans="1:17">
      <c r="A4810" s="656" t="s">
        <v>6898</v>
      </c>
      <c r="B4810" s="657" t="s">
        <v>504</v>
      </c>
      <c r="C4810" s="656" t="s">
        <v>6899</v>
      </c>
      <c r="D4810" s="657"/>
      <c r="E4810" s="657"/>
      <c r="F4810" s="656" t="s">
        <v>505</v>
      </c>
      <c r="G4810" s="656" t="s">
        <v>4394</v>
      </c>
      <c r="H4810" s="656" t="s">
        <v>505</v>
      </c>
      <c r="I4810" s="656"/>
      <c r="J4810" s="656"/>
      <c r="K4810" s="656"/>
      <c r="L4810" s="656"/>
      <c r="M4810" s="657"/>
      <c r="N4810" s="1482"/>
      <c r="O4810" s="656" t="s">
        <v>498</v>
      </c>
      <c r="P4810" s="656" t="s">
        <v>13052</v>
      </c>
      <c r="Q4810" s="656">
        <v>44216.760555555556</v>
      </c>
    </row>
    <row r="4811" spans="1:17">
      <c r="A4811" s="656" t="s">
        <v>6900</v>
      </c>
      <c r="B4811" s="657" t="s">
        <v>504</v>
      </c>
      <c r="C4811" s="656" t="s">
        <v>6901</v>
      </c>
      <c r="D4811" s="657"/>
      <c r="E4811" s="657"/>
      <c r="F4811" s="656" t="s">
        <v>505</v>
      </c>
      <c r="G4811" s="656" t="s">
        <v>4394</v>
      </c>
      <c r="H4811" s="656" t="s">
        <v>505</v>
      </c>
      <c r="I4811" s="656"/>
      <c r="J4811" s="656"/>
      <c r="K4811" s="656"/>
      <c r="L4811" s="656"/>
      <c r="M4811" s="657"/>
      <c r="N4811" s="1482"/>
      <c r="O4811" s="656" t="s">
        <v>498</v>
      </c>
      <c r="P4811" s="656" t="s">
        <v>13052</v>
      </c>
      <c r="Q4811" s="656">
        <v>44216.760555555556</v>
      </c>
    </row>
    <row r="4812" spans="1:17">
      <c r="A4812" s="656" t="s">
        <v>6902</v>
      </c>
      <c r="B4812" s="657" t="s">
        <v>504</v>
      </c>
      <c r="C4812" s="656" t="s">
        <v>6903</v>
      </c>
      <c r="D4812" s="657"/>
      <c r="E4812" s="657"/>
      <c r="F4812" s="656" t="s">
        <v>505</v>
      </c>
      <c r="G4812" s="656" t="s">
        <v>4394</v>
      </c>
      <c r="H4812" s="656" t="s">
        <v>505</v>
      </c>
      <c r="I4812" s="656"/>
      <c r="J4812" s="656"/>
      <c r="K4812" s="656"/>
      <c r="L4812" s="656"/>
      <c r="M4812" s="657"/>
      <c r="N4812" s="1482"/>
      <c r="O4812" s="656" t="s">
        <v>498</v>
      </c>
      <c r="P4812" s="656" t="s">
        <v>13052</v>
      </c>
      <c r="Q4812" s="656">
        <v>44216.76054398148</v>
      </c>
    </row>
    <row r="4813" spans="1:17">
      <c r="A4813" s="656" t="s">
        <v>6904</v>
      </c>
      <c r="B4813" s="657" t="s">
        <v>504</v>
      </c>
      <c r="C4813" s="656" t="s">
        <v>6905</v>
      </c>
      <c r="D4813" s="657"/>
      <c r="E4813" s="657"/>
      <c r="F4813" s="656" t="s">
        <v>505</v>
      </c>
      <c r="G4813" s="656" t="s">
        <v>4394</v>
      </c>
      <c r="H4813" s="656" t="s">
        <v>505</v>
      </c>
      <c r="I4813" s="656"/>
      <c r="J4813" s="656"/>
      <c r="K4813" s="656"/>
      <c r="L4813" s="656"/>
      <c r="M4813" s="657"/>
      <c r="N4813" s="1482"/>
      <c r="O4813" s="656" t="s">
        <v>498</v>
      </c>
      <c r="P4813" s="656" t="s">
        <v>13052</v>
      </c>
      <c r="Q4813" s="656">
        <v>44216.76054398148</v>
      </c>
    </row>
    <row r="4814" spans="1:17">
      <c r="A4814" s="656" t="s">
        <v>6906</v>
      </c>
      <c r="B4814" s="657" t="s">
        <v>504</v>
      </c>
      <c r="C4814" s="656" t="s">
        <v>6907</v>
      </c>
      <c r="D4814" s="657"/>
      <c r="E4814" s="657"/>
      <c r="F4814" s="656" t="s">
        <v>505</v>
      </c>
      <c r="G4814" s="656" t="s">
        <v>4394</v>
      </c>
      <c r="H4814" s="656" t="s">
        <v>505</v>
      </c>
      <c r="I4814" s="656"/>
      <c r="J4814" s="656"/>
      <c r="K4814" s="656"/>
      <c r="L4814" s="656"/>
      <c r="M4814" s="657"/>
      <c r="N4814" s="1482"/>
      <c r="O4814" s="656" t="s">
        <v>498</v>
      </c>
      <c r="P4814" s="656" t="s">
        <v>13052</v>
      </c>
      <c r="Q4814" s="656">
        <v>44216.76054398148</v>
      </c>
    </row>
    <row r="4815" spans="1:17">
      <c r="A4815" s="656" t="s">
        <v>6908</v>
      </c>
      <c r="B4815" s="657" t="s">
        <v>504</v>
      </c>
      <c r="C4815" s="656" t="s">
        <v>6909</v>
      </c>
      <c r="D4815" s="657"/>
      <c r="E4815" s="657"/>
      <c r="F4815" s="656" t="s">
        <v>505</v>
      </c>
      <c r="G4815" s="656" t="s">
        <v>4394</v>
      </c>
      <c r="H4815" s="656" t="s">
        <v>505</v>
      </c>
      <c r="I4815" s="656"/>
      <c r="J4815" s="656"/>
      <c r="K4815" s="656"/>
      <c r="L4815" s="656"/>
      <c r="M4815" s="657"/>
      <c r="N4815" s="1482"/>
      <c r="O4815" s="656" t="s">
        <v>498</v>
      </c>
      <c r="P4815" s="656" t="s">
        <v>13052</v>
      </c>
      <c r="Q4815" s="656">
        <v>44216.76053240741</v>
      </c>
    </row>
    <row r="4816" spans="1:17">
      <c r="A4816" s="656" t="s">
        <v>6910</v>
      </c>
      <c r="B4816" s="657" t="s">
        <v>504</v>
      </c>
      <c r="C4816" s="656" t="s">
        <v>6911</v>
      </c>
      <c r="D4816" s="657"/>
      <c r="E4816" s="657"/>
      <c r="F4816" s="656" t="s">
        <v>505</v>
      </c>
      <c r="G4816" s="656" t="s">
        <v>4394</v>
      </c>
      <c r="H4816" s="656" t="s">
        <v>505</v>
      </c>
      <c r="I4816" s="656"/>
      <c r="J4816" s="656"/>
      <c r="K4816" s="656"/>
      <c r="L4816" s="656"/>
      <c r="M4816" s="657"/>
      <c r="N4816" s="1482"/>
      <c r="O4816" s="656" t="s">
        <v>498</v>
      </c>
      <c r="P4816" s="656" t="s">
        <v>13052</v>
      </c>
      <c r="Q4816" s="656">
        <v>44216.76053240741</v>
      </c>
    </row>
    <row r="4817" spans="1:17">
      <c r="A4817" s="656" t="s">
        <v>6912</v>
      </c>
      <c r="B4817" s="657" t="s">
        <v>504</v>
      </c>
      <c r="C4817" s="656" t="s">
        <v>6913</v>
      </c>
      <c r="D4817" s="657"/>
      <c r="E4817" s="657"/>
      <c r="F4817" s="656" t="s">
        <v>505</v>
      </c>
      <c r="G4817" s="656" t="s">
        <v>4394</v>
      </c>
      <c r="H4817" s="656" t="s">
        <v>505</v>
      </c>
      <c r="I4817" s="656"/>
      <c r="J4817" s="656"/>
      <c r="K4817" s="656"/>
      <c r="L4817" s="656"/>
      <c r="M4817" s="657"/>
      <c r="N4817" s="1482"/>
      <c r="O4817" s="656" t="s">
        <v>498</v>
      </c>
      <c r="P4817" s="656" t="s">
        <v>13052</v>
      </c>
      <c r="Q4817" s="656">
        <v>44216.760520833333</v>
      </c>
    </row>
    <row r="4818" spans="1:17">
      <c r="A4818" s="656" t="s">
        <v>6914</v>
      </c>
      <c r="B4818" s="657"/>
      <c r="C4818" s="656" t="s">
        <v>6915</v>
      </c>
      <c r="D4818" s="657" t="s">
        <v>14978</v>
      </c>
      <c r="E4818" s="657"/>
      <c r="F4818" s="656"/>
      <c r="G4818" s="656"/>
      <c r="H4818" s="656"/>
      <c r="I4818" s="656" t="s">
        <v>14976</v>
      </c>
      <c r="J4818" s="656"/>
      <c r="K4818" s="656"/>
      <c r="L4818" s="656" t="s">
        <v>6930</v>
      </c>
      <c r="M4818" s="657"/>
      <c r="N4818" s="1482"/>
      <c r="O4818" s="656" t="s">
        <v>498</v>
      </c>
      <c r="P4818" s="656" t="s">
        <v>13052</v>
      </c>
      <c r="Q4818" s="656">
        <v>44216.760520833333</v>
      </c>
    </row>
    <row r="4819" spans="1:17">
      <c r="A4819" s="656" t="s">
        <v>6916</v>
      </c>
      <c r="B4819" s="657"/>
      <c r="C4819" s="656" t="s">
        <v>6917</v>
      </c>
      <c r="D4819" s="657" t="s">
        <v>14978</v>
      </c>
      <c r="E4819" s="657"/>
      <c r="F4819" s="656"/>
      <c r="G4819" s="656"/>
      <c r="H4819" s="656"/>
      <c r="I4819" s="656" t="s">
        <v>14976</v>
      </c>
      <c r="J4819" s="656"/>
      <c r="K4819" s="656"/>
      <c r="L4819" s="656" t="s">
        <v>6930</v>
      </c>
      <c r="M4819" s="657"/>
      <c r="N4819" s="1482"/>
      <c r="O4819" s="656" t="s">
        <v>498</v>
      </c>
      <c r="P4819" s="656" t="s">
        <v>13052</v>
      </c>
      <c r="Q4819" s="656">
        <v>44216.760509259257</v>
      </c>
    </row>
    <row r="4820" spans="1:17">
      <c r="A4820" s="656" t="s">
        <v>6918</v>
      </c>
      <c r="B4820" s="657" t="s">
        <v>504</v>
      </c>
      <c r="C4820" s="656" t="s">
        <v>6919</v>
      </c>
      <c r="D4820" s="657"/>
      <c r="E4820" s="657"/>
      <c r="F4820" s="656" t="s">
        <v>505</v>
      </c>
      <c r="G4820" s="656" t="s">
        <v>4394</v>
      </c>
      <c r="H4820" s="656" t="s">
        <v>505</v>
      </c>
      <c r="I4820" s="656"/>
      <c r="J4820" s="656"/>
      <c r="K4820" s="656"/>
      <c r="L4820" s="656"/>
      <c r="M4820" s="657"/>
      <c r="N4820" s="1482"/>
      <c r="O4820" s="656" t="s">
        <v>498</v>
      </c>
      <c r="P4820" s="656" t="s">
        <v>13052</v>
      </c>
      <c r="Q4820" s="656">
        <v>44216.760509259257</v>
      </c>
    </row>
    <row r="4821" spans="1:17">
      <c r="A4821" s="656" t="s">
        <v>6920</v>
      </c>
      <c r="B4821" s="657" t="s">
        <v>504</v>
      </c>
      <c r="C4821" s="656" t="s">
        <v>6921</v>
      </c>
      <c r="D4821" s="657"/>
      <c r="E4821" s="657"/>
      <c r="F4821" s="656" t="s">
        <v>505</v>
      </c>
      <c r="G4821" s="656" t="s">
        <v>4394</v>
      </c>
      <c r="H4821" s="656" t="s">
        <v>505</v>
      </c>
      <c r="I4821" s="656"/>
      <c r="J4821" s="656"/>
      <c r="K4821" s="656"/>
      <c r="L4821" s="656"/>
      <c r="M4821" s="657"/>
      <c r="N4821" s="1482"/>
      <c r="O4821" s="656" t="s">
        <v>498</v>
      </c>
      <c r="P4821" s="656" t="s">
        <v>13052</v>
      </c>
      <c r="Q4821" s="656">
        <v>44216.760497685187</v>
      </c>
    </row>
    <row r="4822" spans="1:17">
      <c r="A4822" s="656" t="s">
        <v>6922</v>
      </c>
      <c r="B4822" s="657" t="s">
        <v>504</v>
      </c>
      <c r="C4822" s="656" t="s">
        <v>6923</v>
      </c>
      <c r="D4822" s="657"/>
      <c r="E4822" s="657"/>
      <c r="F4822" s="656" t="s">
        <v>505</v>
      </c>
      <c r="G4822" s="656" t="s">
        <v>4394</v>
      </c>
      <c r="H4822" s="656" t="s">
        <v>505</v>
      </c>
      <c r="I4822" s="656"/>
      <c r="J4822" s="656"/>
      <c r="K4822" s="656"/>
      <c r="L4822" s="656"/>
      <c r="M4822" s="657"/>
      <c r="N4822" s="1482"/>
      <c r="O4822" s="656" t="s">
        <v>498</v>
      </c>
      <c r="P4822" s="656" t="s">
        <v>13052</v>
      </c>
      <c r="Q4822" s="656">
        <v>44216.760497685187</v>
      </c>
    </row>
    <row r="4823" spans="1:17">
      <c r="A4823" s="656" t="s">
        <v>6924</v>
      </c>
      <c r="B4823" s="657" t="s">
        <v>504</v>
      </c>
      <c r="C4823" s="656" t="s">
        <v>6925</v>
      </c>
      <c r="D4823" s="657"/>
      <c r="E4823" s="657"/>
      <c r="F4823" s="656" t="s">
        <v>505</v>
      </c>
      <c r="G4823" s="656" t="s">
        <v>4394</v>
      </c>
      <c r="H4823" s="656" t="s">
        <v>505</v>
      </c>
      <c r="I4823" s="656"/>
      <c r="J4823" s="656"/>
      <c r="K4823" s="656"/>
      <c r="L4823" s="656"/>
      <c r="M4823" s="657"/>
      <c r="N4823" s="1482"/>
      <c r="O4823" s="656" t="s">
        <v>498</v>
      </c>
      <c r="P4823" s="656" t="s">
        <v>13052</v>
      </c>
      <c r="Q4823" s="656">
        <v>44216.76048611111</v>
      </c>
    </row>
    <row r="4824" spans="1:17">
      <c r="A4824" s="656" t="s">
        <v>6926</v>
      </c>
      <c r="B4824" s="657" t="s">
        <v>504</v>
      </c>
      <c r="C4824" s="656" t="s">
        <v>6927</v>
      </c>
      <c r="D4824" s="657"/>
      <c r="E4824" s="657"/>
      <c r="F4824" s="656" t="s">
        <v>505</v>
      </c>
      <c r="G4824" s="656" t="s">
        <v>4394</v>
      </c>
      <c r="H4824" s="656" t="s">
        <v>505</v>
      </c>
      <c r="I4824" s="656"/>
      <c r="J4824" s="656"/>
      <c r="K4824" s="656"/>
      <c r="L4824" s="656"/>
      <c r="M4824" s="657"/>
      <c r="N4824" s="1482"/>
      <c r="O4824" s="656" t="s">
        <v>498</v>
      </c>
      <c r="P4824" s="656" t="s">
        <v>13052</v>
      </c>
      <c r="Q4824" s="656">
        <v>44216.76048611111</v>
      </c>
    </row>
    <row r="4825" spans="1:17">
      <c r="A4825" s="656" t="s">
        <v>6928</v>
      </c>
      <c r="B4825" s="657" t="s">
        <v>504</v>
      </c>
      <c r="C4825" s="656" t="s">
        <v>6929</v>
      </c>
      <c r="D4825" s="657"/>
      <c r="E4825" s="657"/>
      <c r="F4825" s="656" t="s">
        <v>505</v>
      </c>
      <c r="G4825" s="656" t="s">
        <v>4394</v>
      </c>
      <c r="H4825" s="656" t="s">
        <v>505</v>
      </c>
      <c r="I4825" s="656"/>
      <c r="J4825" s="656"/>
      <c r="K4825" s="656"/>
      <c r="L4825" s="656"/>
      <c r="M4825" s="657"/>
      <c r="N4825" s="1482"/>
      <c r="O4825" s="656" t="s">
        <v>498</v>
      </c>
      <c r="P4825" s="656" t="s">
        <v>13052</v>
      </c>
      <c r="Q4825" s="656">
        <v>44216.760474537034</v>
      </c>
    </row>
    <row r="4826" spans="1:17">
      <c r="A4826" s="656" t="s">
        <v>6930</v>
      </c>
      <c r="B4826" s="657" t="s">
        <v>504</v>
      </c>
      <c r="C4826" s="656" t="s">
        <v>6931</v>
      </c>
      <c r="D4826" s="657"/>
      <c r="E4826" s="657"/>
      <c r="F4826" s="656" t="s">
        <v>505</v>
      </c>
      <c r="G4826" s="656" t="s">
        <v>4394</v>
      </c>
      <c r="H4826" s="656" t="s">
        <v>505</v>
      </c>
      <c r="I4826" s="656"/>
      <c r="J4826" s="656"/>
      <c r="K4826" s="656"/>
      <c r="L4826" s="656"/>
      <c r="M4826" s="657"/>
      <c r="N4826" s="1482"/>
      <c r="O4826" s="656" t="s">
        <v>498</v>
      </c>
      <c r="P4826" s="656" t="s">
        <v>13052</v>
      </c>
      <c r="Q4826" s="656">
        <v>44216.760474537034</v>
      </c>
    </row>
    <row r="4827" spans="1:17">
      <c r="A4827" s="656" t="s">
        <v>6932</v>
      </c>
      <c r="B4827" s="657" t="s">
        <v>504</v>
      </c>
      <c r="C4827" s="656" t="s">
        <v>6933</v>
      </c>
      <c r="D4827" s="657"/>
      <c r="E4827" s="657"/>
      <c r="F4827" s="656" t="s">
        <v>505</v>
      </c>
      <c r="G4827" s="656" t="s">
        <v>4394</v>
      </c>
      <c r="H4827" s="656" t="s">
        <v>505</v>
      </c>
      <c r="I4827" s="656"/>
      <c r="J4827" s="656"/>
      <c r="K4827" s="656"/>
      <c r="L4827" s="656"/>
      <c r="M4827" s="657"/>
      <c r="N4827" s="1482"/>
      <c r="O4827" s="656" t="s">
        <v>498</v>
      </c>
      <c r="P4827" s="656" t="s">
        <v>13052</v>
      </c>
      <c r="Q4827" s="656">
        <v>44216.760462962964</v>
      </c>
    </row>
    <row r="4828" spans="1:17">
      <c r="A4828" s="656" t="s">
        <v>6934</v>
      </c>
      <c r="B4828" s="657" t="s">
        <v>504</v>
      </c>
      <c r="C4828" s="656" t="s">
        <v>6935</v>
      </c>
      <c r="D4828" s="657"/>
      <c r="E4828" s="657"/>
      <c r="F4828" s="656" t="s">
        <v>505</v>
      </c>
      <c r="G4828" s="656" t="s">
        <v>4394</v>
      </c>
      <c r="H4828" s="656" t="s">
        <v>505</v>
      </c>
      <c r="I4828" s="656"/>
      <c r="J4828" s="656"/>
      <c r="K4828" s="656"/>
      <c r="L4828" s="656"/>
      <c r="M4828" s="657"/>
      <c r="N4828" s="1482"/>
      <c r="O4828" s="656" t="s">
        <v>498</v>
      </c>
      <c r="P4828" s="656" t="s">
        <v>13052</v>
      </c>
      <c r="Q4828" s="656">
        <v>44216.760462962964</v>
      </c>
    </row>
    <row r="4829" spans="1:17">
      <c r="A4829" s="656" t="s">
        <v>6936</v>
      </c>
      <c r="B4829" s="657" t="s">
        <v>504</v>
      </c>
      <c r="C4829" s="656" t="s">
        <v>6937</v>
      </c>
      <c r="D4829" s="657"/>
      <c r="E4829" s="657"/>
      <c r="F4829" s="656" t="s">
        <v>505</v>
      </c>
      <c r="G4829" s="656" t="s">
        <v>4394</v>
      </c>
      <c r="H4829" s="656" t="s">
        <v>505</v>
      </c>
      <c r="I4829" s="656"/>
      <c r="J4829" s="656"/>
      <c r="K4829" s="656"/>
      <c r="L4829" s="656"/>
      <c r="M4829" s="657"/>
      <c r="N4829" s="1482"/>
      <c r="O4829" s="656" t="s">
        <v>498</v>
      </c>
      <c r="P4829" s="656" t="s">
        <v>13052</v>
      </c>
      <c r="Q4829" s="656">
        <v>44216.760451388887</v>
      </c>
    </row>
    <row r="4830" spans="1:17">
      <c r="A4830" s="656" t="s">
        <v>6938</v>
      </c>
      <c r="B4830" s="657" t="s">
        <v>504</v>
      </c>
      <c r="C4830" s="656" t="s">
        <v>6939</v>
      </c>
      <c r="D4830" s="657"/>
      <c r="E4830" s="657"/>
      <c r="F4830" s="656" t="s">
        <v>505</v>
      </c>
      <c r="G4830" s="656" t="s">
        <v>4394</v>
      </c>
      <c r="H4830" s="656" t="s">
        <v>505</v>
      </c>
      <c r="I4830" s="656"/>
      <c r="J4830" s="656"/>
      <c r="K4830" s="656"/>
      <c r="L4830" s="656"/>
      <c r="M4830" s="657"/>
      <c r="N4830" s="1482"/>
      <c r="O4830" s="656" t="s">
        <v>498</v>
      </c>
      <c r="P4830" s="656" t="s">
        <v>13052</v>
      </c>
      <c r="Q4830" s="656">
        <v>44216.760451388887</v>
      </c>
    </row>
    <row r="4831" spans="1:17">
      <c r="A4831" s="656" t="s">
        <v>6940</v>
      </c>
      <c r="B4831" s="657" t="s">
        <v>504</v>
      </c>
      <c r="C4831" s="656" t="s">
        <v>6941</v>
      </c>
      <c r="D4831" s="657"/>
      <c r="E4831" s="657"/>
      <c r="F4831" s="656" t="s">
        <v>505</v>
      </c>
      <c r="G4831" s="656" t="s">
        <v>4394</v>
      </c>
      <c r="H4831" s="656" t="s">
        <v>505</v>
      </c>
      <c r="I4831" s="656"/>
      <c r="J4831" s="656"/>
      <c r="K4831" s="656"/>
      <c r="L4831" s="656"/>
      <c r="M4831" s="657"/>
      <c r="N4831" s="1482"/>
      <c r="O4831" s="656" t="s">
        <v>498</v>
      </c>
      <c r="P4831" s="656" t="s">
        <v>13052</v>
      </c>
      <c r="Q4831" s="656">
        <v>44216.760439814818</v>
      </c>
    </row>
    <row r="4832" spans="1:17">
      <c r="A4832" s="656" t="s">
        <v>6942</v>
      </c>
      <c r="B4832" s="657" t="s">
        <v>504</v>
      </c>
      <c r="C4832" s="656" t="s">
        <v>6943</v>
      </c>
      <c r="D4832" s="657"/>
      <c r="E4832" s="657"/>
      <c r="F4832" s="656" t="s">
        <v>505</v>
      </c>
      <c r="G4832" s="656" t="s">
        <v>4394</v>
      </c>
      <c r="H4832" s="656" t="s">
        <v>505</v>
      </c>
      <c r="I4832" s="656"/>
      <c r="J4832" s="656"/>
      <c r="K4832" s="656"/>
      <c r="L4832" s="656"/>
      <c r="M4832" s="657"/>
      <c r="N4832" s="1482"/>
      <c r="O4832" s="656" t="s">
        <v>498</v>
      </c>
      <c r="P4832" s="656" t="s">
        <v>13052</v>
      </c>
      <c r="Q4832" s="656">
        <v>44216.760428240741</v>
      </c>
    </row>
    <row r="4833" spans="1:17">
      <c r="A4833" s="656" t="s">
        <v>6944</v>
      </c>
      <c r="B4833" s="657" t="s">
        <v>504</v>
      </c>
      <c r="C4833" s="656" t="s">
        <v>6945</v>
      </c>
      <c r="D4833" s="657"/>
      <c r="E4833" s="657"/>
      <c r="F4833" s="656" t="s">
        <v>505</v>
      </c>
      <c r="G4833" s="656" t="s">
        <v>4394</v>
      </c>
      <c r="H4833" s="656" t="s">
        <v>505</v>
      </c>
      <c r="I4833" s="656"/>
      <c r="J4833" s="656"/>
      <c r="K4833" s="656"/>
      <c r="L4833" s="656"/>
      <c r="M4833" s="657"/>
      <c r="N4833" s="1482"/>
      <c r="O4833" s="656" t="s">
        <v>498</v>
      </c>
      <c r="P4833" s="656" t="s">
        <v>13052</v>
      </c>
      <c r="Q4833" s="656">
        <v>44216.760439814818</v>
      </c>
    </row>
    <row r="4834" spans="1:17">
      <c r="A4834" s="656" t="s">
        <v>6946</v>
      </c>
      <c r="B4834" s="657" t="s">
        <v>504</v>
      </c>
      <c r="C4834" s="656" t="s">
        <v>6947</v>
      </c>
      <c r="D4834" s="657"/>
      <c r="E4834" s="657"/>
      <c r="F4834" s="656" t="s">
        <v>505</v>
      </c>
      <c r="G4834" s="656" t="s">
        <v>4394</v>
      </c>
      <c r="H4834" s="656" t="s">
        <v>505</v>
      </c>
      <c r="I4834" s="656"/>
      <c r="J4834" s="656"/>
      <c r="K4834" s="656"/>
      <c r="L4834" s="656"/>
      <c r="M4834" s="657"/>
      <c r="N4834" s="1482"/>
      <c r="O4834" s="656" t="s">
        <v>498</v>
      </c>
      <c r="P4834" s="656" t="s">
        <v>13052</v>
      </c>
      <c r="Q4834" s="656">
        <v>44216.760416666664</v>
      </c>
    </row>
    <row r="4835" spans="1:17">
      <c r="A4835" s="656" t="s">
        <v>6948</v>
      </c>
      <c r="B4835" s="657" t="s">
        <v>504</v>
      </c>
      <c r="C4835" s="656" t="s">
        <v>6949</v>
      </c>
      <c r="D4835" s="657"/>
      <c r="E4835" s="657"/>
      <c r="F4835" s="656" t="s">
        <v>505</v>
      </c>
      <c r="G4835" s="656" t="s">
        <v>4394</v>
      </c>
      <c r="H4835" s="656" t="s">
        <v>505</v>
      </c>
      <c r="I4835" s="656"/>
      <c r="J4835" s="656"/>
      <c r="K4835" s="656"/>
      <c r="L4835" s="656"/>
      <c r="M4835" s="657"/>
      <c r="N4835" s="1482"/>
      <c r="O4835" s="656" t="s">
        <v>498</v>
      </c>
      <c r="P4835" s="656" t="s">
        <v>13052</v>
      </c>
      <c r="Q4835" s="656">
        <v>44216.760416666664</v>
      </c>
    </row>
    <row r="4836" spans="1:17">
      <c r="A4836" s="656" t="s">
        <v>6950</v>
      </c>
      <c r="B4836" s="657" t="s">
        <v>504</v>
      </c>
      <c r="C4836" s="656" t="s">
        <v>6951</v>
      </c>
      <c r="D4836" s="657"/>
      <c r="E4836" s="657"/>
      <c r="F4836" s="656" t="s">
        <v>505</v>
      </c>
      <c r="G4836" s="656" t="s">
        <v>4394</v>
      </c>
      <c r="H4836" s="656" t="s">
        <v>505</v>
      </c>
      <c r="I4836" s="656"/>
      <c r="J4836" s="656"/>
      <c r="K4836" s="656"/>
      <c r="L4836" s="656"/>
      <c r="M4836" s="657"/>
      <c r="N4836" s="1482"/>
      <c r="O4836" s="656" t="s">
        <v>498</v>
      </c>
      <c r="P4836" s="656" t="s">
        <v>13052</v>
      </c>
      <c r="Q4836" s="656">
        <v>44216.760405092595</v>
      </c>
    </row>
    <row r="4837" spans="1:17">
      <c r="A4837" s="656" t="s">
        <v>6952</v>
      </c>
      <c r="B4837" s="657" t="s">
        <v>504</v>
      </c>
      <c r="C4837" s="656" t="s">
        <v>6953</v>
      </c>
      <c r="D4837" s="657"/>
      <c r="E4837" s="657"/>
      <c r="F4837" s="656" t="s">
        <v>505</v>
      </c>
      <c r="G4837" s="656" t="s">
        <v>4394</v>
      </c>
      <c r="H4837" s="656" t="s">
        <v>505</v>
      </c>
      <c r="I4837" s="656"/>
      <c r="J4837" s="656"/>
      <c r="K4837" s="656"/>
      <c r="L4837" s="656"/>
      <c r="M4837" s="657"/>
      <c r="N4837" s="1482"/>
      <c r="O4837" s="656" t="s">
        <v>498</v>
      </c>
      <c r="P4837" s="656" t="s">
        <v>13052</v>
      </c>
      <c r="Q4837" s="656">
        <v>44216.760405092595</v>
      </c>
    </row>
    <row r="4838" spans="1:17">
      <c r="A4838" s="656" t="s">
        <v>6954</v>
      </c>
      <c r="B4838" s="657" t="s">
        <v>504</v>
      </c>
      <c r="C4838" s="656" t="s">
        <v>6955</v>
      </c>
      <c r="D4838" s="657"/>
      <c r="E4838" s="657"/>
      <c r="F4838" s="656" t="s">
        <v>505</v>
      </c>
      <c r="G4838" s="656" t="s">
        <v>4394</v>
      </c>
      <c r="H4838" s="656" t="s">
        <v>505</v>
      </c>
      <c r="I4838" s="656"/>
      <c r="J4838" s="656"/>
      <c r="K4838" s="656"/>
      <c r="L4838" s="656"/>
      <c r="M4838" s="657"/>
      <c r="N4838" s="1482"/>
      <c r="O4838" s="656" t="s">
        <v>498</v>
      </c>
      <c r="P4838" s="656" t="s">
        <v>13052</v>
      </c>
      <c r="Q4838" s="656">
        <v>44216.760405092595</v>
      </c>
    </row>
    <row r="4839" spans="1:17">
      <c r="A4839" s="656" t="s">
        <v>6956</v>
      </c>
      <c r="B4839" s="657" t="s">
        <v>504</v>
      </c>
      <c r="C4839" s="656" t="s">
        <v>6957</v>
      </c>
      <c r="D4839" s="657"/>
      <c r="E4839" s="657"/>
      <c r="F4839" s="656" t="s">
        <v>505</v>
      </c>
      <c r="G4839" s="656" t="s">
        <v>4394</v>
      </c>
      <c r="H4839" s="656" t="s">
        <v>505</v>
      </c>
      <c r="I4839" s="656"/>
      <c r="J4839" s="656"/>
      <c r="K4839" s="656"/>
      <c r="L4839" s="656"/>
      <c r="M4839" s="657"/>
      <c r="N4839" s="1482"/>
      <c r="O4839" s="656" t="s">
        <v>498</v>
      </c>
      <c r="P4839" s="656" t="s">
        <v>13052</v>
      </c>
      <c r="Q4839" s="656">
        <v>44216.760393518518</v>
      </c>
    </row>
    <row r="4840" spans="1:17">
      <c r="A4840" s="656" t="s">
        <v>6958</v>
      </c>
      <c r="B4840" s="657" t="s">
        <v>504</v>
      </c>
      <c r="C4840" s="656" t="s">
        <v>6959</v>
      </c>
      <c r="D4840" s="657"/>
      <c r="E4840" s="657"/>
      <c r="F4840" s="656" t="s">
        <v>505</v>
      </c>
      <c r="G4840" s="656" t="s">
        <v>4394</v>
      </c>
      <c r="H4840" s="656" t="s">
        <v>505</v>
      </c>
      <c r="I4840" s="656"/>
      <c r="J4840" s="656"/>
      <c r="K4840" s="656"/>
      <c r="L4840" s="656"/>
      <c r="M4840" s="657"/>
      <c r="N4840" s="1482"/>
      <c r="O4840" s="656" t="s">
        <v>498</v>
      </c>
      <c r="P4840" s="656" t="s">
        <v>13052</v>
      </c>
      <c r="Q4840" s="656">
        <v>44216.760393518518</v>
      </c>
    </row>
    <row r="4841" spans="1:17">
      <c r="A4841" s="656" t="s">
        <v>6960</v>
      </c>
      <c r="B4841" s="657" t="s">
        <v>504</v>
      </c>
      <c r="C4841" s="656" t="s">
        <v>6961</v>
      </c>
      <c r="D4841" s="657"/>
      <c r="E4841" s="657"/>
      <c r="F4841" s="656" t="s">
        <v>505</v>
      </c>
      <c r="G4841" s="656" t="s">
        <v>4394</v>
      </c>
      <c r="H4841" s="656" t="s">
        <v>505</v>
      </c>
      <c r="I4841" s="656"/>
      <c r="J4841" s="656"/>
      <c r="K4841" s="656"/>
      <c r="L4841" s="656"/>
      <c r="M4841" s="657"/>
      <c r="N4841" s="1482"/>
      <c r="O4841" s="656" t="s">
        <v>498</v>
      </c>
      <c r="P4841" s="656" t="s">
        <v>13052</v>
      </c>
      <c r="Q4841" s="656">
        <v>44216.760381944441</v>
      </c>
    </row>
    <row r="4842" spans="1:17">
      <c r="A4842" s="656" t="s">
        <v>6962</v>
      </c>
      <c r="B4842" s="657" t="s">
        <v>504</v>
      </c>
      <c r="C4842" s="656" t="s">
        <v>6963</v>
      </c>
      <c r="D4842" s="657"/>
      <c r="E4842" s="657"/>
      <c r="F4842" s="656" t="s">
        <v>505</v>
      </c>
      <c r="G4842" s="656" t="s">
        <v>4394</v>
      </c>
      <c r="H4842" s="656" t="s">
        <v>505</v>
      </c>
      <c r="I4842" s="656"/>
      <c r="J4842" s="656"/>
      <c r="K4842" s="656"/>
      <c r="L4842" s="656"/>
      <c r="M4842" s="657"/>
      <c r="N4842" s="1482"/>
      <c r="O4842" s="656" t="s">
        <v>498</v>
      </c>
      <c r="P4842" s="656" t="s">
        <v>13052</v>
      </c>
      <c r="Q4842" s="656">
        <v>44216.760381944441</v>
      </c>
    </row>
    <row r="4843" spans="1:17">
      <c r="A4843" s="656" t="s">
        <v>6964</v>
      </c>
      <c r="B4843" s="657" t="s">
        <v>504</v>
      </c>
      <c r="C4843" s="656" t="s">
        <v>6965</v>
      </c>
      <c r="D4843" s="657"/>
      <c r="E4843" s="657"/>
      <c r="F4843" s="656" t="s">
        <v>505</v>
      </c>
      <c r="G4843" s="656" t="s">
        <v>4394</v>
      </c>
      <c r="H4843" s="656" t="s">
        <v>505</v>
      </c>
      <c r="I4843" s="656"/>
      <c r="J4843" s="656"/>
      <c r="K4843" s="656"/>
      <c r="L4843" s="656"/>
      <c r="M4843" s="657"/>
      <c r="N4843" s="1482"/>
      <c r="O4843" s="656" t="s">
        <v>498</v>
      </c>
      <c r="P4843" s="656" t="s">
        <v>13052</v>
      </c>
      <c r="Q4843" s="656">
        <v>44216.760370370372</v>
      </c>
    </row>
    <row r="4844" spans="1:17">
      <c r="A4844" s="656" t="s">
        <v>6966</v>
      </c>
      <c r="B4844" s="657" t="s">
        <v>504</v>
      </c>
      <c r="C4844" s="656" t="s">
        <v>6967</v>
      </c>
      <c r="D4844" s="657"/>
      <c r="E4844" s="657"/>
      <c r="F4844" s="656" t="s">
        <v>505</v>
      </c>
      <c r="G4844" s="656" t="s">
        <v>4394</v>
      </c>
      <c r="H4844" s="656" t="s">
        <v>505</v>
      </c>
      <c r="I4844" s="656"/>
      <c r="J4844" s="656"/>
      <c r="K4844" s="656"/>
      <c r="L4844" s="656"/>
      <c r="M4844" s="657"/>
      <c r="N4844" s="1482"/>
      <c r="O4844" s="656" t="s">
        <v>498</v>
      </c>
      <c r="P4844" s="656" t="s">
        <v>13052</v>
      </c>
      <c r="Q4844" s="656">
        <v>44216.760370370372</v>
      </c>
    </row>
    <row r="4845" spans="1:17">
      <c r="A4845" s="656" t="s">
        <v>6968</v>
      </c>
      <c r="B4845" s="657" t="s">
        <v>504</v>
      </c>
      <c r="C4845" s="656" t="s">
        <v>6969</v>
      </c>
      <c r="D4845" s="657"/>
      <c r="E4845" s="657"/>
      <c r="F4845" s="656" t="s">
        <v>505</v>
      </c>
      <c r="G4845" s="656" t="s">
        <v>4394</v>
      </c>
      <c r="H4845" s="656" t="s">
        <v>505</v>
      </c>
      <c r="I4845" s="656"/>
      <c r="J4845" s="656"/>
      <c r="K4845" s="656"/>
      <c r="L4845" s="656"/>
      <c r="M4845" s="657"/>
      <c r="N4845" s="1482"/>
      <c r="O4845" s="656" t="s">
        <v>498</v>
      </c>
      <c r="P4845" s="656" t="s">
        <v>13052</v>
      </c>
      <c r="Q4845" s="656">
        <v>44216.760358796295</v>
      </c>
    </row>
    <row r="4846" spans="1:17">
      <c r="A4846" s="656" t="s">
        <v>6970</v>
      </c>
      <c r="B4846" s="657" t="s">
        <v>504</v>
      </c>
      <c r="C4846" s="656" t="s">
        <v>6971</v>
      </c>
      <c r="D4846" s="657"/>
      <c r="E4846" s="657"/>
      <c r="F4846" s="656" t="s">
        <v>505</v>
      </c>
      <c r="G4846" s="656" t="s">
        <v>4394</v>
      </c>
      <c r="H4846" s="656" t="s">
        <v>505</v>
      </c>
      <c r="I4846" s="656"/>
      <c r="J4846" s="656"/>
      <c r="K4846" s="656"/>
      <c r="L4846" s="656"/>
      <c r="M4846" s="657"/>
      <c r="N4846" s="1482"/>
      <c r="O4846" s="656" t="s">
        <v>498</v>
      </c>
      <c r="P4846" s="656" t="s">
        <v>13052</v>
      </c>
      <c r="Q4846" s="656">
        <v>44216.760347222225</v>
      </c>
    </row>
    <row r="4847" spans="1:17">
      <c r="A4847" s="656" t="s">
        <v>6972</v>
      </c>
      <c r="B4847" s="657" t="s">
        <v>504</v>
      </c>
      <c r="C4847" s="656" t="s">
        <v>6973</v>
      </c>
      <c r="D4847" s="657"/>
      <c r="E4847" s="657"/>
      <c r="F4847" s="656"/>
      <c r="G4847" s="656" t="s">
        <v>4347</v>
      </c>
      <c r="H4847" s="656"/>
      <c r="I4847" s="656"/>
      <c r="J4847" s="656"/>
      <c r="K4847" s="656"/>
      <c r="L4847" s="656"/>
      <c r="M4847" s="657"/>
      <c r="N4847" s="1482"/>
      <c r="O4847" s="656" t="s">
        <v>498</v>
      </c>
      <c r="P4847" s="656" t="s">
        <v>13052</v>
      </c>
      <c r="Q4847" s="656">
        <v>44216.760347222225</v>
      </c>
    </row>
    <row r="4848" spans="1:17">
      <c r="A4848" s="656" t="s">
        <v>6974</v>
      </c>
      <c r="B4848" s="657" t="s">
        <v>504</v>
      </c>
      <c r="C4848" s="656" t="s">
        <v>6975</v>
      </c>
      <c r="D4848" s="657" t="s">
        <v>13789</v>
      </c>
      <c r="E4848" s="657" t="s">
        <v>9458</v>
      </c>
      <c r="F4848" s="656" t="s">
        <v>505</v>
      </c>
      <c r="G4848" s="656" t="s">
        <v>1293</v>
      </c>
      <c r="H4848" s="656" t="s">
        <v>505</v>
      </c>
      <c r="I4848" s="656" t="s">
        <v>14976</v>
      </c>
      <c r="J4848" s="656"/>
      <c r="K4848" s="656"/>
      <c r="L4848" s="656"/>
      <c r="M4848" s="657"/>
      <c r="N4848" s="1482"/>
      <c r="O4848" s="656" t="s">
        <v>498</v>
      </c>
      <c r="P4848" s="656" t="s">
        <v>13052</v>
      </c>
      <c r="Q4848" s="656">
        <v>44216.760335648149</v>
      </c>
    </row>
    <row r="4849" spans="1:17">
      <c r="A4849" s="656" t="s">
        <v>6976</v>
      </c>
      <c r="B4849" s="657" t="s">
        <v>504</v>
      </c>
      <c r="C4849" s="656" t="s">
        <v>6977</v>
      </c>
      <c r="D4849" s="657" t="s">
        <v>13789</v>
      </c>
      <c r="E4849" s="657" t="s">
        <v>9510</v>
      </c>
      <c r="F4849" s="656" t="s">
        <v>505</v>
      </c>
      <c r="G4849" s="656" t="s">
        <v>1293</v>
      </c>
      <c r="H4849" s="656" t="s">
        <v>505</v>
      </c>
      <c r="I4849" s="656" t="s">
        <v>14976</v>
      </c>
      <c r="J4849" s="656"/>
      <c r="K4849" s="656"/>
      <c r="L4849" s="656" t="s">
        <v>15116</v>
      </c>
      <c r="M4849" s="657"/>
      <c r="N4849" s="1482"/>
      <c r="O4849" s="656" t="s">
        <v>498</v>
      </c>
      <c r="P4849" s="656" t="s">
        <v>13052</v>
      </c>
      <c r="Q4849" s="656">
        <v>44216.760335648149</v>
      </c>
    </row>
    <row r="4850" spans="1:17">
      <c r="A4850" s="656" t="s">
        <v>6978</v>
      </c>
      <c r="B4850" s="657" t="s">
        <v>504</v>
      </c>
      <c r="C4850" s="656" t="s">
        <v>6979</v>
      </c>
      <c r="D4850" s="657" t="s">
        <v>13789</v>
      </c>
      <c r="E4850" s="657" t="s">
        <v>9458</v>
      </c>
      <c r="F4850" s="656" t="s">
        <v>505</v>
      </c>
      <c r="G4850" s="656" t="s">
        <v>1293</v>
      </c>
      <c r="H4850" s="656" t="s">
        <v>505</v>
      </c>
      <c r="I4850" s="656" t="s">
        <v>14976</v>
      </c>
      <c r="J4850" s="656"/>
      <c r="K4850" s="656"/>
      <c r="L4850" s="656" t="s">
        <v>15116</v>
      </c>
      <c r="M4850" s="657"/>
      <c r="N4850" s="1482"/>
      <c r="O4850" s="656" t="s">
        <v>498</v>
      </c>
      <c r="P4850" s="656" t="s">
        <v>13052</v>
      </c>
      <c r="Q4850" s="656">
        <v>44216.760335648149</v>
      </c>
    </row>
    <row r="4851" spans="1:17">
      <c r="A4851" s="656" t="s">
        <v>6980</v>
      </c>
      <c r="B4851" s="657" t="s">
        <v>504</v>
      </c>
      <c r="C4851" s="656" t="s">
        <v>6981</v>
      </c>
      <c r="D4851" s="657"/>
      <c r="E4851" s="657"/>
      <c r="F4851" s="656"/>
      <c r="G4851" s="656" t="s">
        <v>4375</v>
      </c>
      <c r="H4851" s="656"/>
      <c r="I4851" s="656"/>
      <c r="J4851" s="656"/>
      <c r="K4851" s="656"/>
      <c r="L4851" s="656"/>
      <c r="M4851" s="657"/>
      <c r="N4851" s="1482"/>
      <c r="O4851" s="656" t="s">
        <v>498</v>
      </c>
      <c r="P4851" s="656" t="s">
        <v>13052</v>
      </c>
      <c r="Q4851" s="656">
        <v>44216.760324074072</v>
      </c>
    </row>
    <row r="4852" spans="1:17">
      <c r="A4852" s="656" t="s">
        <v>6982</v>
      </c>
      <c r="B4852" s="657" t="s">
        <v>504</v>
      </c>
      <c r="C4852" s="656" t="s">
        <v>6983</v>
      </c>
      <c r="D4852" s="657"/>
      <c r="E4852" s="657"/>
      <c r="F4852" s="656" t="s">
        <v>505</v>
      </c>
      <c r="G4852" s="656" t="s">
        <v>4394</v>
      </c>
      <c r="H4852" s="656" t="s">
        <v>505</v>
      </c>
      <c r="I4852" s="656"/>
      <c r="J4852" s="656"/>
      <c r="K4852" s="656"/>
      <c r="L4852" s="656"/>
      <c r="M4852" s="657"/>
      <c r="N4852" s="1482"/>
      <c r="O4852" s="656" t="s">
        <v>498</v>
      </c>
      <c r="P4852" s="656" t="s">
        <v>13052</v>
      </c>
      <c r="Q4852" s="656">
        <v>44216.760324074072</v>
      </c>
    </row>
    <row r="4853" spans="1:17">
      <c r="A4853" s="656" t="s">
        <v>6984</v>
      </c>
      <c r="B4853" s="657" t="s">
        <v>504</v>
      </c>
      <c r="C4853" s="656" t="s">
        <v>6985</v>
      </c>
      <c r="D4853" s="657"/>
      <c r="E4853" s="657"/>
      <c r="F4853" s="656" t="s">
        <v>505</v>
      </c>
      <c r="G4853" s="656" t="s">
        <v>4394</v>
      </c>
      <c r="H4853" s="656" t="s">
        <v>505</v>
      </c>
      <c r="I4853" s="656"/>
      <c r="J4853" s="656"/>
      <c r="K4853" s="656"/>
      <c r="L4853" s="656"/>
      <c r="M4853" s="657"/>
      <c r="N4853" s="1482"/>
      <c r="O4853" s="656" t="s">
        <v>498</v>
      </c>
      <c r="P4853" s="656" t="s">
        <v>13052</v>
      </c>
      <c r="Q4853" s="656">
        <v>44216.760324074072</v>
      </c>
    </row>
    <row r="4854" spans="1:17">
      <c r="A4854" s="656" t="s">
        <v>6986</v>
      </c>
      <c r="B4854" s="657"/>
      <c r="C4854" s="656" t="s">
        <v>6987</v>
      </c>
      <c r="D4854" s="657" t="s">
        <v>13789</v>
      </c>
      <c r="E4854" s="657"/>
      <c r="F4854" s="656"/>
      <c r="G4854" s="656" t="s">
        <v>5045</v>
      </c>
      <c r="H4854" s="656"/>
      <c r="I4854" s="656" t="s">
        <v>14976</v>
      </c>
      <c r="J4854" s="656"/>
      <c r="K4854" s="656"/>
      <c r="L4854" s="656"/>
      <c r="M4854" s="657"/>
      <c r="N4854" s="1482"/>
      <c r="O4854" s="656" t="s">
        <v>498</v>
      </c>
      <c r="P4854" s="656" t="s">
        <v>13052</v>
      </c>
      <c r="Q4854" s="656">
        <v>44216.760312500002</v>
      </c>
    </row>
    <row r="4855" spans="1:17">
      <c r="A4855" s="656" t="s">
        <v>6988</v>
      </c>
      <c r="B4855" s="657" t="s">
        <v>504</v>
      </c>
      <c r="C4855" s="656" t="s">
        <v>6989</v>
      </c>
      <c r="D4855" s="657"/>
      <c r="E4855" s="657"/>
      <c r="F4855" s="656" t="s">
        <v>1300</v>
      </c>
      <c r="G4855" s="656" t="s">
        <v>4198</v>
      </c>
      <c r="H4855" s="656" t="s">
        <v>1300</v>
      </c>
      <c r="I4855" s="656"/>
      <c r="J4855" s="656"/>
      <c r="K4855" s="656"/>
      <c r="L4855" s="656"/>
      <c r="M4855" s="657"/>
      <c r="N4855" s="1482"/>
      <c r="O4855" s="656" t="s">
        <v>498</v>
      </c>
      <c r="P4855" s="656" t="s">
        <v>13052</v>
      </c>
      <c r="Q4855" s="656">
        <v>44216.760312500002</v>
      </c>
    </row>
    <row r="4856" spans="1:17">
      <c r="A4856" s="656" t="s">
        <v>14266</v>
      </c>
      <c r="B4856" s="657" t="s">
        <v>202</v>
      </c>
      <c r="C4856" s="656" t="s">
        <v>6989</v>
      </c>
      <c r="D4856" s="657" t="s">
        <v>13789</v>
      </c>
      <c r="E4856" s="657"/>
      <c r="F4856" s="656" t="s">
        <v>1300</v>
      </c>
      <c r="G4856" s="656" t="s">
        <v>4198</v>
      </c>
      <c r="H4856" s="656" t="s">
        <v>1300</v>
      </c>
      <c r="I4856" s="656" t="s">
        <v>14976</v>
      </c>
      <c r="J4856" s="656"/>
      <c r="K4856" s="656"/>
      <c r="L4856" s="656"/>
      <c r="M4856" s="657"/>
      <c r="N4856" s="1482"/>
      <c r="O4856" s="656" t="s">
        <v>498</v>
      </c>
      <c r="P4856" s="656" t="s">
        <v>13052</v>
      </c>
      <c r="Q4856" s="656">
        <v>44216.760300925926</v>
      </c>
    </row>
    <row r="4857" spans="1:17">
      <c r="A4857" s="656" t="s">
        <v>6990</v>
      </c>
      <c r="B4857" s="657" t="s">
        <v>504</v>
      </c>
      <c r="C4857" s="656" t="s">
        <v>6991</v>
      </c>
      <c r="D4857" s="657"/>
      <c r="E4857" s="657"/>
      <c r="F4857" s="656" t="s">
        <v>1300</v>
      </c>
      <c r="G4857" s="656" t="s">
        <v>4198</v>
      </c>
      <c r="H4857" s="656" t="s">
        <v>1300</v>
      </c>
      <c r="I4857" s="656"/>
      <c r="J4857" s="656"/>
      <c r="K4857" s="656"/>
      <c r="L4857" s="656"/>
      <c r="M4857" s="657"/>
      <c r="N4857" s="1482"/>
      <c r="O4857" s="656" t="s">
        <v>498</v>
      </c>
      <c r="P4857" s="656" t="s">
        <v>13052</v>
      </c>
      <c r="Q4857" s="656">
        <v>44216.760300925926</v>
      </c>
    </row>
    <row r="4858" spans="1:17">
      <c r="A4858" s="656" t="s">
        <v>6992</v>
      </c>
      <c r="B4858" s="657" t="s">
        <v>504</v>
      </c>
      <c r="C4858" s="656" t="s">
        <v>6991</v>
      </c>
      <c r="D4858" s="657"/>
      <c r="E4858" s="657"/>
      <c r="F4858" s="656" t="s">
        <v>1300</v>
      </c>
      <c r="G4858" s="656" t="s">
        <v>4198</v>
      </c>
      <c r="H4858" s="656" t="s">
        <v>1300</v>
      </c>
      <c r="I4858" s="656"/>
      <c r="J4858" s="656"/>
      <c r="K4858" s="656"/>
      <c r="L4858" s="656"/>
      <c r="M4858" s="657"/>
      <c r="N4858" s="1482"/>
      <c r="O4858" s="656" t="s">
        <v>498</v>
      </c>
      <c r="P4858" s="656" t="s">
        <v>13052</v>
      </c>
      <c r="Q4858" s="656">
        <v>44216.760289351849</v>
      </c>
    </row>
    <row r="4859" spans="1:17">
      <c r="A4859" s="656" t="s">
        <v>6993</v>
      </c>
      <c r="B4859" s="657" t="s">
        <v>504</v>
      </c>
      <c r="C4859" s="656" t="s">
        <v>6994</v>
      </c>
      <c r="D4859" s="657"/>
      <c r="E4859" s="657"/>
      <c r="F4859" s="656" t="s">
        <v>505</v>
      </c>
      <c r="G4859" s="656" t="s">
        <v>4394</v>
      </c>
      <c r="H4859" s="656" t="s">
        <v>505</v>
      </c>
      <c r="I4859" s="656"/>
      <c r="J4859" s="656"/>
      <c r="K4859" s="656"/>
      <c r="L4859" s="656"/>
      <c r="M4859" s="657"/>
      <c r="N4859" s="1482"/>
      <c r="O4859" s="656" t="s">
        <v>498</v>
      </c>
      <c r="P4859" s="656" t="s">
        <v>13052</v>
      </c>
      <c r="Q4859" s="656">
        <v>44216.760277777779</v>
      </c>
    </row>
    <row r="4860" spans="1:17">
      <c r="A4860" s="656" t="s">
        <v>6995</v>
      </c>
      <c r="B4860" s="657" t="s">
        <v>504</v>
      </c>
      <c r="C4860" s="656" t="s">
        <v>6996</v>
      </c>
      <c r="D4860" s="657"/>
      <c r="E4860" s="657"/>
      <c r="F4860" s="656" t="s">
        <v>1300</v>
      </c>
      <c r="G4860" s="656" t="s">
        <v>4198</v>
      </c>
      <c r="H4860" s="656" t="s">
        <v>1300</v>
      </c>
      <c r="I4860" s="656"/>
      <c r="J4860" s="656"/>
      <c r="K4860" s="656"/>
      <c r="L4860" s="656"/>
      <c r="M4860" s="657"/>
      <c r="N4860" s="1482"/>
      <c r="O4860" s="656" t="s">
        <v>498</v>
      </c>
      <c r="P4860" s="656" t="s">
        <v>13052</v>
      </c>
      <c r="Q4860" s="656">
        <v>44216.760277777779</v>
      </c>
    </row>
    <row r="4861" spans="1:17">
      <c r="A4861" s="656" t="s">
        <v>6997</v>
      </c>
      <c r="B4861" s="657" t="s">
        <v>504</v>
      </c>
      <c r="C4861" s="656" t="s">
        <v>6998</v>
      </c>
      <c r="D4861" s="657"/>
      <c r="E4861" s="657"/>
      <c r="F4861" s="656"/>
      <c r="G4861" s="656" t="s">
        <v>4347</v>
      </c>
      <c r="H4861" s="656"/>
      <c r="I4861" s="656"/>
      <c r="J4861" s="656"/>
      <c r="K4861" s="656"/>
      <c r="L4861" s="656"/>
      <c r="M4861" s="657"/>
      <c r="N4861" s="1482"/>
      <c r="O4861" s="656" t="s">
        <v>498</v>
      </c>
      <c r="P4861" s="656" t="s">
        <v>13052</v>
      </c>
      <c r="Q4861" s="656">
        <v>44216.760266203702</v>
      </c>
    </row>
    <row r="4862" spans="1:17">
      <c r="A4862" s="656" t="s">
        <v>6999</v>
      </c>
      <c r="B4862" s="657" t="s">
        <v>504</v>
      </c>
      <c r="C4862" s="656" t="s">
        <v>7000</v>
      </c>
      <c r="D4862" s="657"/>
      <c r="E4862" s="657"/>
      <c r="F4862" s="656"/>
      <c r="G4862" s="656" t="s">
        <v>4347</v>
      </c>
      <c r="H4862" s="656"/>
      <c r="I4862" s="656"/>
      <c r="J4862" s="656"/>
      <c r="K4862" s="656"/>
      <c r="L4862" s="656"/>
      <c r="M4862" s="657"/>
      <c r="N4862" s="1482"/>
      <c r="O4862" s="656" t="s">
        <v>498</v>
      </c>
      <c r="P4862" s="656" t="s">
        <v>13052</v>
      </c>
      <c r="Q4862" s="656">
        <v>44216.760266203702</v>
      </c>
    </row>
    <row r="4863" spans="1:17">
      <c r="A4863" s="656" t="s">
        <v>7001</v>
      </c>
      <c r="B4863" s="657" t="s">
        <v>504</v>
      </c>
      <c r="C4863" s="656" t="s">
        <v>7002</v>
      </c>
      <c r="D4863" s="657"/>
      <c r="E4863" s="657"/>
      <c r="F4863" s="656"/>
      <c r="G4863" s="656" t="s">
        <v>4347</v>
      </c>
      <c r="H4863" s="656"/>
      <c r="I4863" s="656"/>
      <c r="J4863" s="656"/>
      <c r="K4863" s="656"/>
      <c r="L4863" s="656"/>
      <c r="M4863" s="657"/>
      <c r="N4863" s="1482"/>
      <c r="O4863" s="656" t="s">
        <v>498</v>
      </c>
      <c r="P4863" s="656" t="s">
        <v>13052</v>
      </c>
      <c r="Q4863" s="656">
        <v>44216.760254629633</v>
      </c>
    </row>
    <row r="4864" spans="1:17">
      <c r="A4864" s="656" t="s">
        <v>14264</v>
      </c>
      <c r="B4864" s="657" t="s">
        <v>202</v>
      </c>
      <c r="C4864" s="656" t="s">
        <v>14265</v>
      </c>
      <c r="D4864" s="657" t="s">
        <v>13789</v>
      </c>
      <c r="E4864" s="657"/>
      <c r="F4864" s="656" t="s">
        <v>1300</v>
      </c>
      <c r="G4864" s="656" t="s">
        <v>4198</v>
      </c>
      <c r="H4864" s="656" t="s">
        <v>1300</v>
      </c>
      <c r="I4864" s="656" t="s">
        <v>14976</v>
      </c>
      <c r="J4864" s="656"/>
      <c r="K4864" s="656"/>
      <c r="L4864" s="656"/>
      <c r="M4864" s="657"/>
      <c r="N4864" s="1482"/>
      <c r="O4864" s="656" t="s">
        <v>498</v>
      </c>
      <c r="P4864" s="656" t="s">
        <v>13052</v>
      </c>
      <c r="Q4864" s="656">
        <v>44216.760254629633</v>
      </c>
    </row>
    <row r="4865" spans="1:17">
      <c r="A4865" s="656" t="s">
        <v>14262</v>
      </c>
      <c r="B4865" s="657" t="s">
        <v>202</v>
      </c>
      <c r="C4865" s="656" t="s">
        <v>14263</v>
      </c>
      <c r="D4865" s="657" t="s">
        <v>13789</v>
      </c>
      <c r="E4865" s="657"/>
      <c r="F4865" s="656"/>
      <c r="G4865" s="656" t="s">
        <v>3757</v>
      </c>
      <c r="H4865" s="656"/>
      <c r="I4865" s="656" t="s">
        <v>14976</v>
      </c>
      <c r="J4865" s="656"/>
      <c r="K4865" s="656"/>
      <c r="L4865" s="656"/>
      <c r="M4865" s="657"/>
      <c r="N4865" s="1482"/>
      <c r="O4865" s="656" t="s">
        <v>498</v>
      </c>
      <c r="P4865" s="656" t="s">
        <v>13052</v>
      </c>
      <c r="Q4865" s="656">
        <v>44216.760243055556</v>
      </c>
    </row>
    <row r="4866" spans="1:17">
      <c r="A4866" s="656" t="s">
        <v>14260</v>
      </c>
      <c r="B4866" s="657" t="s">
        <v>202</v>
      </c>
      <c r="C4866" s="656" t="s">
        <v>14261</v>
      </c>
      <c r="D4866" s="657" t="s">
        <v>13789</v>
      </c>
      <c r="E4866" s="657"/>
      <c r="F4866" s="656"/>
      <c r="G4866" s="656" t="s">
        <v>5238</v>
      </c>
      <c r="H4866" s="656"/>
      <c r="I4866" s="656" t="s">
        <v>14976</v>
      </c>
      <c r="J4866" s="656"/>
      <c r="K4866" s="656"/>
      <c r="L4866" s="656"/>
      <c r="M4866" s="657"/>
      <c r="N4866" s="1482"/>
      <c r="O4866" s="656" t="s">
        <v>498</v>
      </c>
      <c r="P4866" s="656" t="s">
        <v>13052</v>
      </c>
      <c r="Q4866" s="656">
        <v>44216.760243055556</v>
      </c>
    </row>
    <row r="4867" spans="1:17">
      <c r="A4867" s="656" t="s">
        <v>7003</v>
      </c>
      <c r="B4867" s="657" t="s">
        <v>504</v>
      </c>
      <c r="C4867" s="656" t="s">
        <v>7004</v>
      </c>
      <c r="D4867" s="657"/>
      <c r="E4867" s="657"/>
      <c r="F4867" s="656"/>
      <c r="G4867" s="656" t="s">
        <v>4347</v>
      </c>
      <c r="H4867" s="656"/>
      <c r="I4867" s="656"/>
      <c r="J4867" s="656"/>
      <c r="K4867" s="656"/>
      <c r="L4867" s="656"/>
      <c r="M4867" s="657"/>
      <c r="N4867" s="1482"/>
      <c r="O4867" s="656" t="s">
        <v>498</v>
      </c>
      <c r="P4867" s="656" t="s">
        <v>13052</v>
      </c>
      <c r="Q4867" s="656">
        <v>44216.760231481479</v>
      </c>
    </row>
    <row r="4868" spans="1:17">
      <c r="A4868" s="656" t="s">
        <v>7005</v>
      </c>
      <c r="B4868" s="657" t="s">
        <v>504</v>
      </c>
      <c r="C4868" s="656" t="s">
        <v>7006</v>
      </c>
      <c r="D4868" s="657"/>
      <c r="E4868" s="657"/>
      <c r="F4868" s="656"/>
      <c r="G4868" s="656" t="s">
        <v>4347</v>
      </c>
      <c r="H4868" s="656"/>
      <c r="I4868" s="656"/>
      <c r="J4868" s="656"/>
      <c r="K4868" s="656"/>
      <c r="L4868" s="656"/>
      <c r="M4868" s="657"/>
      <c r="N4868" s="1482"/>
      <c r="O4868" s="656" t="s">
        <v>498</v>
      </c>
      <c r="P4868" s="656" t="s">
        <v>13052</v>
      </c>
      <c r="Q4868" s="656">
        <v>44216.760231481479</v>
      </c>
    </row>
    <row r="4869" spans="1:17">
      <c r="A4869" s="656" t="s">
        <v>7007</v>
      </c>
      <c r="B4869" s="657" t="s">
        <v>504</v>
      </c>
      <c r="C4869" s="656" t="s">
        <v>7008</v>
      </c>
      <c r="D4869" s="657"/>
      <c r="E4869" s="657"/>
      <c r="F4869" s="656"/>
      <c r="G4869" s="656" t="s">
        <v>4347</v>
      </c>
      <c r="H4869" s="656"/>
      <c r="I4869" s="656"/>
      <c r="J4869" s="656"/>
      <c r="K4869" s="656"/>
      <c r="L4869" s="656"/>
      <c r="M4869" s="657"/>
      <c r="N4869" s="1482"/>
      <c r="O4869" s="656" t="s">
        <v>498</v>
      </c>
      <c r="P4869" s="656" t="s">
        <v>13052</v>
      </c>
      <c r="Q4869" s="656">
        <v>44216.76021990741</v>
      </c>
    </row>
    <row r="4870" spans="1:17">
      <c r="A4870" s="656" t="s">
        <v>7009</v>
      </c>
      <c r="B4870" s="657" t="s">
        <v>504</v>
      </c>
      <c r="C4870" s="656" t="s">
        <v>7010</v>
      </c>
      <c r="D4870" s="657"/>
      <c r="E4870" s="657"/>
      <c r="F4870" s="656"/>
      <c r="G4870" s="656" t="s">
        <v>4347</v>
      </c>
      <c r="H4870" s="656"/>
      <c r="I4870" s="656"/>
      <c r="J4870" s="656"/>
      <c r="K4870" s="656"/>
      <c r="L4870" s="656"/>
      <c r="M4870" s="657"/>
      <c r="N4870" s="1482"/>
      <c r="O4870" s="656" t="s">
        <v>498</v>
      </c>
      <c r="P4870" s="656" t="s">
        <v>13052</v>
      </c>
      <c r="Q4870" s="656">
        <v>44216.76021990741</v>
      </c>
    </row>
    <row r="4871" spans="1:17">
      <c r="A4871" s="656" t="s">
        <v>7011</v>
      </c>
      <c r="B4871" s="657" t="s">
        <v>504</v>
      </c>
      <c r="C4871" s="656" t="s">
        <v>7012</v>
      </c>
      <c r="D4871" s="657"/>
      <c r="E4871" s="657"/>
      <c r="F4871" s="656"/>
      <c r="G4871" s="656" t="s">
        <v>4347</v>
      </c>
      <c r="H4871" s="656"/>
      <c r="I4871" s="656"/>
      <c r="J4871" s="656"/>
      <c r="K4871" s="656"/>
      <c r="L4871" s="656"/>
      <c r="M4871" s="657"/>
      <c r="N4871" s="1482"/>
      <c r="O4871" s="656" t="s">
        <v>498</v>
      </c>
      <c r="P4871" s="656" t="s">
        <v>13052</v>
      </c>
      <c r="Q4871" s="656">
        <v>44216.760208333333</v>
      </c>
    </row>
    <row r="4872" spans="1:17">
      <c r="A4872" s="656" t="s">
        <v>14258</v>
      </c>
      <c r="B4872" s="657" t="s">
        <v>202</v>
      </c>
      <c r="C4872" s="656" t="s">
        <v>14259</v>
      </c>
      <c r="D4872" s="657" t="s">
        <v>13789</v>
      </c>
      <c r="E4872" s="657"/>
      <c r="F4872" s="656" t="s">
        <v>1300</v>
      </c>
      <c r="G4872" s="656" t="s">
        <v>4198</v>
      </c>
      <c r="H4872" s="656" t="s">
        <v>1300</v>
      </c>
      <c r="I4872" s="656" t="s">
        <v>14976</v>
      </c>
      <c r="J4872" s="656"/>
      <c r="K4872" s="656"/>
      <c r="L4872" s="656"/>
      <c r="M4872" s="657"/>
      <c r="N4872" s="1482"/>
      <c r="O4872" s="656" t="s">
        <v>498</v>
      </c>
      <c r="P4872" s="656" t="s">
        <v>13052</v>
      </c>
      <c r="Q4872" s="656">
        <v>44216.760196759256</v>
      </c>
    </row>
    <row r="4873" spans="1:17">
      <c r="A4873" s="656" t="s">
        <v>7013</v>
      </c>
      <c r="B4873" s="657" t="s">
        <v>504</v>
      </c>
      <c r="C4873" s="656" t="s">
        <v>7014</v>
      </c>
      <c r="D4873" s="657"/>
      <c r="E4873" s="657"/>
      <c r="F4873" s="656"/>
      <c r="G4873" s="656" t="s">
        <v>4347</v>
      </c>
      <c r="H4873" s="656"/>
      <c r="I4873" s="656"/>
      <c r="J4873" s="656"/>
      <c r="K4873" s="656"/>
      <c r="L4873" s="656"/>
      <c r="M4873" s="657"/>
      <c r="N4873" s="1482"/>
      <c r="O4873" s="656" t="s">
        <v>498</v>
      </c>
      <c r="P4873" s="656" t="s">
        <v>13052</v>
      </c>
      <c r="Q4873" s="656">
        <v>44216.760208333333</v>
      </c>
    </row>
    <row r="4874" spans="1:17">
      <c r="A4874" s="656" t="s">
        <v>7015</v>
      </c>
      <c r="B4874" s="657" t="s">
        <v>504</v>
      </c>
      <c r="C4874" s="656" t="s">
        <v>7016</v>
      </c>
      <c r="D4874" s="657"/>
      <c r="E4874" s="657"/>
      <c r="F4874" s="656"/>
      <c r="G4874" s="656" t="s">
        <v>4347</v>
      </c>
      <c r="H4874" s="656"/>
      <c r="I4874" s="656"/>
      <c r="J4874" s="656"/>
      <c r="K4874" s="656"/>
      <c r="L4874" s="656"/>
      <c r="M4874" s="657"/>
      <c r="N4874" s="1482"/>
      <c r="O4874" s="656" t="s">
        <v>498</v>
      </c>
      <c r="P4874" s="656" t="s">
        <v>13052</v>
      </c>
      <c r="Q4874" s="656">
        <v>44216.760196759256</v>
      </c>
    </row>
    <row r="4875" spans="1:17">
      <c r="A4875" s="656" t="s">
        <v>7017</v>
      </c>
      <c r="B4875" s="657" t="s">
        <v>504</v>
      </c>
      <c r="C4875" s="656" t="s">
        <v>7018</v>
      </c>
      <c r="D4875" s="657"/>
      <c r="E4875" s="657"/>
      <c r="F4875" s="656"/>
      <c r="G4875" s="656" t="s">
        <v>4347</v>
      </c>
      <c r="H4875" s="656"/>
      <c r="I4875" s="656"/>
      <c r="J4875" s="656"/>
      <c r="K4875" s="656"/>
      <c r="L4875" s="656"/>
      <c r="M4875" s="657"/>
      <c r="N4875" s="1482"/>
      <c r="O4875" s="656" t="s">
        <v>498</v>
      </c>
      <c r="P4875" s="656" t="s">
        <v>13052</v>
      </c>
      <c r="Q4875" s="656">
        <v>44216.760185185187</v>
      </c>
    </row>
    <row r="4876" spans="1:17">
      <c r="A4876" s="656" t="s">
        <v>7019</v>
      </c>
      <c r="B4876" s="657" t="s">
        <v>504</v>
      </c>
      <c r="C4876" s="656" t="s">
        <v>7020</v>
      </c>
      <c r="D4876" s="657"/>
      <c r="E4876" s="657"/>
      <c r="F4876" s="656"/>
      <c r="G4876" s="656" t="s">
        <v>5661</v>
      </c>
      <c r="H4876" s="656"/>
      <c r="I4876" s="656"/>
      <c r="J4876" s="656"/>
      <c r="K4876" s="656"/>
      <c r="L4876" s="656"/>
      <c r="M4876" s="657"/>
      <c r="N4876" s="1482"/>
      <c r="O4876" s="656" t="s">
        <v>498</v>
      </c>
      <c r="P4876" s="656" t="s">
        <v>13052</v>
      </c>
      <c r="Q4876" s="656">
        <v>44216.760185185187</v>
      </c>
    </row>
    <row r="4877" spans="1:17">
      <c r="A4877" s="656" t="s">
        <v>7021</v>
      </c>
      <c r="B4877" s="657"/>
      <c r="C4877" s="656" t="s">
        <v>7022</v>
      </c>
      <c r="D4877" s="657" t="s">
        <v>13789</v>
      </c>
      <c r="E4877" s="657"/>
      <c r="F4877" s="656"/>
      <c r="G4877" s="656" t="s">
        <v>5103</v>
      </c>
      <c r="H4877" s="656"/>
      <c r="I4877" s="656" t="s">
        <v>14976</v>
      </c>
      <c r="J4877" s="656"/>
      <c r="K4877" s="656"/>
      <c r="L4877" s="656"/>
      <c r="M4877" s="657"/>
      <c r="N4877" s="1482"/>
      <c r="O4877" s="656" t="s">
        <v>498</v>
      </c>
      <c r="P4877" s="656" t="s">
        <v>13052</v>
      </c>
      <c r="Q4877" s="656">
        <v>44216.76017361111</v>
      </c>
    </row>
    <row r="4878" spans="1:17">
      <c r="A4878" s="656" t="s">
        <v>14257</v>
      </c>
      <c r="B4878" s="657" t="s">
        <v>202</v>
      </c>
      <c r="C4878" s="656" t="s">
        <v>14256</v>
      </c>
      <c r="D4878" s="657" t="s">
        <v>14978</v>
      </c>
      <c r="E4878" s="657"/>
      <c r="F4878" s="656" t="s">
        <v>1300</v>
      </c>
      <c r="G4878" s="656"/>
      <c r="H4878" s="656" t="s">
        <v>1300</v>
      </c>
      <c r="I4878" s="656" t="s">
        <v>14976</v>
      </c>
      <c r="J4878" s="656"/>
      <c r="K4878" s="656"/>
      <c r="L4878" s="656" t="s">
        <v>14255</v>
      </c>
      <c r="M4878" s="657"/>
      <c r="N4878" s="1482"/>
      <c r="O4878" s="656" t="s">
        <v>498</v>
      </c>
      <c r="P4878" s="656" t="s">
        <v>13052</v>
      </c>
      <c r="Q4878" s="656">
        <v>44216.76017361111</v>
      </c>
    </row>
    <row r="4879" spans="1:17">
      <c r="A4879" s="656" t="s">
        <v>14255</v>
      </c>
      <c r="B4879" s="657" t="s">
        <v>202</v>
      </c>
      <c r="C4879" s="656" t="s">
        <v>14256</v>
      </c>
      <c r="D4879" s="657" t="s">
        <v>13789</v>
      </c>
      <c r="E4879" s="657"/>
      <c r="F4879" s="656" t="s">
        <v>1300</v>
      </c>
      <c r="G4879" s="656"/>
      <c r="H4879" s="656" t="s">
        <v>1300</v>
      </c>
      <c r="I4879" s="656" t="s">
        <v>14976</v>
      </c>
      <c r="J4879" s="656"/>
      <c r="K4879" s="656"/>
      <c r="L4879" s="656"/>
      <c r="M4879" s="657"/>
      <c r="N4879" s="1482"/>
      <c r="O4879" s="656" t="s">
        <v>498</v>
      </c>
      <c r="P4879" s="656" t="s">
        <v>13052</v>
      </c>
      <c r="Q4879" s="656">
        <v>44216.760162037041</v>
      </c>
    </row>
    <row r="4880" spans="1:17">
      <c r="A4880" s="656" t="s">
        <v>7023</v>
      </c>
      <c r="B4880" s="657" t="s">
        <v>504</v>
      </c>
      <c r="C4880" s="656" t="s">
        <v>7024</v>
      </c>
      <c r="D4880" s="657"/>
      <c r="E4880" s="657"/>
      <c r="F4880" s="656"/>
      <c r="G4880" s="656" t="s">
        <v>4347</v>
      </c>
      <c r="H4880" s="656"/>
      <c r="I4880" s="656"/>
      <c r="J4880" s="656"/>
      <c r="K4880" s="656"/>
      <c r="L4880" s="656"/>
      <c r="M4880" s="657"/>
      <c r="N4880" s="1482"/>
      <c r="O4880" s="656" t="s">
        <v>498</v>
      </c>
      <c r="P4880" s="656" t="s">
        <v>13052</v>
      </c>
      <c r="Q4880" s="656">
        <v>44216.760162037041</v>
      </c>
    </row>
    <row r="4881" spans="1:17">
      <c r="A4881" s="656" t="s">
        <v>7025</v>
      </c>
      <c r="B4881" s="657" t="s">
        <v>504</v>
      </c>
      <c r="C4881" s="656" t="s">
        <v>7026</v>
      </c>
      <c r="D4881" s="657"/>
      <c r="E4881" s="657"/>
      <c r="F4881" s="656" t="s">
        <v>505</v>
      </c>
      <c r="G4881" s="656" t="s">
        <v>4394</v>
      </c>
      <c r="H4881" s="656" t="s">
        <v>505</v>
      </c>
      <c r="I4881" s="656"/>
      <c r="J4881" s="656"/>
      <c r="K4881" s="656"/>
      <c r="L4881" s="656"/>
      <c r="M4881" s="657"/>
      <c r="N4881" s="1482"/>
      <c r="O4881" s="656" t="s">
        <v>498</v>
      </c>
      <c r="P4881" s="656" t="s">
        <v>13052</v>
      </c>
      <c r="Q4881" s="656">
        <v>44216.760162037041</v>
      </c>
    </row>
    <row r="4882" spans="1:17">
      <c r="A4882" s="656" t="s">
        <v>7027</v>
      </c>
      <c r="B4882" s="657"/>
      <c r="C4882" s="656" t="s">
        <v>7028</v>
      </c>
      <c r="D4882" s="657" t="s">
        <v>13789</v>
      </c>
      <c r="E4882" s="657"/>
      <c r="F4882" s="656"/>
      <c r="G4882" s="656" t="s">
        <v>5103</v>
      </c>
      <c r="H4882" s="656"/>
      <c r="I4882" s="656" t="s">
        <v>14976</v>
      </c>
      <c r="J4882" s="656"/>
      <c r="K4882" s="656"/>
      <c r="L4882" s="656"/>
      <c r="M4882" s="657"/>
      <c r="N4882" s="1482"/>
      <c r="O4882" s="656" t="s">
        <v>498</v>
      </c>
      <c r="P4882" s="656" t="s">
        <v>13052</v>
      </c>
      <c r="Q4882" s="656">
        <v>44216.760150462964</v>
      </c>
    </row>
    <row r="4883" spans="1:17">
      <c r="A4883" s="656" t="s">
        <v>7029</v>
      </c>
      <c r="B4883" s="657" t="s">
        <v>504</v>
      </c>
      <c r="C4883" s="656" t="s">
        <v>7030</v>
      </c>
      <c r="D4883" s="657"/>
      <c r="E4883" s="657"/>
      <c r="F4883" s="656"/>
      <c r="G4883" s="656"/>
      <c r="H4883" s="656"/>
      <c r="I4883" s="656"/>
      <c r="J4883" s="656"/>
      <c r="K4883" s="656"/>
      <c r="L4883" s="656"/>
      <c r="M4883" s="657"/>
      <c r="N4883" s="1482"/>
      <c r="O4883" s="656" t="s">
        <v>498</v>
      </c>
      <c r="P4883" s="656" t="s">
        <v>13052</v>
      </c>
      <c r="Q4883" s="656">
        <v>44216.760150462964</v>
      </c>
    </row>
    <row r="4884" spans="1:17">
      <c r="A4884" s="656" t="s">
        <v>7031</v>
      </c>
      <c r="B4884" s="657" t="s">
        <v>504</v>
      </c>
      <c r="C4884" s="656" t="s">
        <v>7032</v>
      </c>
      <c r="D4884" s="657"/>
      <c r="E4884" s="657"/>
      <c r="F4884" s="656"/>
      <c r="G4884" s="656" t="s">
        <v>5238</v>
      </c>
      <c r="H4884" s="656"/>
      <c r="I4884" s="656"/>
      <c r="J4884" s="656"/>
      <c r="K4884" s="656"/>
      <c r="L4884" s="656"/>
      <c r="M4884" s="657"/>
      <c r="N4884" s="1482"/>
      <c r="O4884" s="656" t="s">
        <v>498</v>
      </c>
      <c r="P4884" s="656" t="s">
        <v>13052</v>
      </c>
      <c r="Q4884" s="656">
        <v>44216.760138888887</v>
      </c>
    </row>
    <row r="4885" spans="1:17">
      <c r="A4885" s="656" t="s">
        <v>7033</v>
      </c>
      <c r="B4885" s="657"/>
      <c r="C4885" s="656" t="s">
        <v>7034</v>
      </c>
      <c r="D4885" s="657" t="s">
        <v>13789</v>
      </c>
      <c r="E4885" s="657"/>
      <c r="F4885" s="656"/>
      <c r="G4885" s="656" t="s">
        <v>5045</v>
      </c>
      <c r="H4885" s="656"/>
      <c r="I4885" s="656" t="s">
        <v>14976</v>
      </c>
      <c r="J4885" s="656"/>
      <c r="K4885" s="656"/>
      <c r="L4885" s="656"/>
      <c r="M4885" s="657"/>
      <c r="N4885" s="1482"/>
      <c r="O4885" s="656" t="s">
        <v>498</v>
      </c>
      <c r="P4885" s="656" t="s">
        <v>13052</v>
      </c>
      <c r="Q4885" s="656">
        <v>44216.760138888887</v>
      </c>
    </row>
    <row r="4886" spans="1:17">
      <c r="A4886" s="656" t="s">
        <v>7035</v>
      </c>
      <c r="B4886" s="657" t="s">
        <v>202</v>
      </c>
      <c r="C4886" s="656" t="s">
        <v>7036</v>
      </c>
      <c r="D4886" s="657" t="s">
        <v>1239</v>
      </c>
      <c r="E4886" s="657"/>
      <c r="F4886" s="656" t="s">
        <v>1394</v>
      </c>
      <c r="G4886" s="656"/>
      <c r="H4886" s="656" t="s">
        <v>1394</v>
      </c>
      <c r="I4886" s="656" t="s">
        <v>14976</v>
      </c>
      <c r="J4886" s="656" t="s">
        <v>532</v>
      </c>
      <c r="K4886" s="656"/>
      <c r="L4886" s="656"/>
      <c r="M4886" s="657"/>
      <c r="N4886" s="1482"/>
      <c r="O4886" s="656" t="s">
        <v>498</v>
      </c>
      <c r="P4886" s="656" t="s">
        <v>13052</v>
      </c>
      <c r="Q4886" s="656">
        <v>44216.760127314818</v>
      </c>
    </row>
    <row r="4887" spans="1:17">
      <c r="A4887" s="656" t="s">
        <v>7037</v>
      </c>
      <c r="B4887" s="657"/>
      <c r="C4887" s="656" t="s">
        <v>7038</v>
      </c>
      <c r="D4887" s="657" t="s">
        <v>13789</v>
      </c>
      <c r="E4887" s="657"/>
      <c r="F4887" s="656"/>
      <c r="G4887" s="656" t="s">
        <v>5045</v>
      </c>
      <c r="H4887" s="656"/>
      <c r="I4887" s="656" t="s">
        <v>14976</v>
      </c>
      <c r="J4887" s="656"/>
      <c r="K4887" s="656"/>
      <c r="L4887" s="656"/>
      <c r="M4887" s="657"/>
      <c r="N4887" s="1482"/>
      <c r="O4887" s="656" t="s">
        <v>498</v>
      </c>
      <c r="P4887" s="656" t="s">
        <v>13052</v>
      </c>
      <c r="Q4887" s="656">
        <v>44216.760127314818</v>
      </c>
    </row>
    <row r="4888" spans="1:17">
      <c r="A4888" s="656" t="s">
        <v>7039</v>
      </c>
      <c r="B4888" s="657"/>
      <c r="C4888" s="656" t="s">
        <v>7040</v>
      </c>
      <c r="D4888" s="657" t="s">
        <v>13789</v>
      </c>
      <c r="E4888" s="657"/>
      <c r="F4888" s="656"/>
      <c r="G4888" s="656" t="s">
        <v>5045</v>
      </c>
      <c r="H4888" s="656"/>
      <c r="I4888" s="656" t="s">
        <v>14976</v>
      </c>
      <c r="J4888" s="656"/>
      <c r="K4888" s="656"/>
      <c r="L4888" s="656"/>
      <c r="M4888" s="657"/>
      <c r="N4888" s="1482"/>
      <c r="O4888" s="656" t="s">
        <v>498</v>
      </c>
      <c r="P4888" s="656" t="s">
        <v>13052</v>
      </c>
      <c r="Q4888" s="656">
        <v>44216.760115740741</v>
      </c>
    </row>
    <row r="4889" spans="1:17">
      <c r="A4889" s="656" t="s">
        <v>7041</v>
      </c>
      <c r="B4889" s="657" t="s">
        <v>504</v>
      </c>
      <c r="C4889" s="656" t="s">
        <v>7042</v>
      </c>
      <c r="D4889" s="657"/>
      <c r="E4889" s="657"/>
      <c r="F4889" s="656" t="s">
        <v>505</v>
      </c>
      <c r="G4889" s="656" t="s">
        <v>4394</v>
      </c>
      <c r="H4889" s="656" t="s">
        <v>505</v>
      </c>
      <c r="I4889" s="656"/>
      <c r="J4889" s="656"/>
      <c r="K4889" s="656"/>
      <c r="L4889" s="656"/>
      <c r="M4889" s="657"/>
      <c r="N4889" s="1482"/>
      <c r="O4889" s="656" t="s">
        <v>498</v>
      </c>
      <c r="P4889" s="656" t="s">
        <v>13052</v>
      </c>
      <c r="Q4889" s="656">
        <v>44216.760115740741</v>
      </c>
    </row>
    <row r="4890" spans="1:17">
      <c r="A4890" s="656" t="s">
        <v>14253</v>
      </c>
      <c r="B4890" s="657" t="s">
        <v>202</v>
      </c>
      <c r="C4890" s="656" t="s">
        <v>14254</v>
      </c>
      <c r="D4890" s="657" t="s">
        <v>13789</v>
      </c>
      <c r="E4890" s="657"/>
      <c r="F4890" s="656" t="s">
        <v>1300</v>
      </c>
      <c r="G4890" s="656" t="s">
        <v>4198</v>
      </c>
      <c r="H4890" s="656" t="s">
        <v>1300</v>
      </c>
      <c r="I4890" s="656" t="s">
        <v>14976</v>
      </c>
      <c r="J4890" s="656"/>
      <c r="K4890" s="656"/>
      <c r="L4890" s="656"/>
      <c r="M4890" s="657"/>
      <c r="N4890" s="1482"/>
      <c r="O4890" s="656" t="s">
        <v>498</v>
      </c>
      <c r="P4890" s="656" t="s">
        <v>13052</v>
      </c>
      <c r="Q4890" s="656">
        <v>44216.760104166664</v>
      </c>
    </row>
    <row r="4891" spans="1:17">
      <c r="A4891" s="656" t="s">
        <v>7043</v>
      </c>
      <c r="B4891" s="657" t="s">
        <v>504</v>
      </c>
      <c r="C4891" s="656" t="s">
        <v>7044</v>
      </c>
      <c r="D4891" s="657"/>
      <c r="E4891" s="657"/>
      <c r="F4891" s="656" t="s">
        <v>505</v>
      </c>
      <c r="G4891" s="656" t="s">
        <v>4394</v>
      </c>
      <c r="H4891" s="656" t="s">
        <v>505</v>
      </c>
      <c r="I4891" s="656"/>
      <c r="J4891" s="656"/>
      <c r="K4891" s="656"/>
      <c r="L4891" s="656"/>
      <c r="M4891" s="657"/>
      <c r="N4891" s="1482"/>
      <c r="O4891" s="656" t="s">
        <v>498</v>
      </c>
      <c r="P4891" s="656" t="s">
        <v>13052</v>
      </c>
      <c r="Q4891" s="656">
        <v>44216.760104166664</v>
      </c>
    </row>
    <row r="4892" spans="1:17">
      <c r="A4892" s="656" t="s">
        <v>7045</v>
      </c>
      <c r="B4892" s="657" t="s">
        <v>504</v>
      </c>
      <c r="C4892" s="656" t="s">
        <v>7046</v>
      </c>
      <c r="D4892" s="657"/>
      <c r="E4892" s="657"/>
      <c r="F4892" s="656" t="s">
        <v>505</v>
      </c>
      <c r="G4892" s="656" t="s">
        <v>4394</v>
      </c>
      <c r="H4892" s="656" t="s">
        <v>505</v>
      </c>
      <c r="I4892" s="656"/>
      <c r="J4892" s="656"/>
      <c r="K4892" s="656"/>
      <c r="L4892" s="656"/>
      <c r="M4892" s="657"/>
      <c r="N4892" s="1482"/>
      <c r="O4892" s="656" t="s">
        <v>498</v>
      </c>
      <c r="P4892" s="656" t="s">
        <v>13052</v>
      </c>
      <c r="Q4892" s="656">
        <v>44216.760092592594</v>
      </c>
    </row>
    <row r="4893" spans="1:17">
      <c r="A4893" s="656" t="s">
        <v>7047</v>
      </c>
      <c r="B4893" s="657"/>
      <c r="C4893" s="656" t="s">
        <v>7048</v>
      </c>
      <c r="D4893" s="657" t="s">
        <v>13789</v>
      </c>
      <c r="E4893" s="657"/>
      <c r="F4893" s="656"/>
      <c r="G4893" s="656" t="s">
        <v>5103</v>
      </c>
      <c r="H4893" s="656"/>
      <c r="I4893" s="656" t="s">
        <v>14976</v>
      </c>
      <c r="J4893" s="656"/>
      <c r="K4893" s="656"/>
      <c r="L4893" s="656"/>
      <c r="M4893" s="657"/>
      <c r="N4893" s="1482"/>
      <c r="O4893" s="656" t="s">
        <v>498</v>
      </c>
      <c r="P4893" s="656" t="s">
        <v>13052</v>
      </c>
      <c r="Q4893" s="656">
        <v>44216.760092592594</v>
      </c>
    </row>
    <row r="4894" spans="1:17">
      <c r="A4894" s="656" t="s">
        <v>7049</v>
      </c>
      <c r="B4894" s="657"/>
      <c r="C4894" s="656" t="s">
        <v>7050</v>
      </c>
      <c r="D4894" s="657" t="s">
        <v>13789</v>
      </c>
      <c r="E4894" s="657"/>
      <c r="F4894" s="656"/>
      <c r="G4894" s="656" t="s">
        <v>5103</v>
      </c>
      <c r="H4894" s="656"/>
      <c r="I4894" s="656" t="s">
        <v>14976</v>
      </c>
      <c r="J4894" s="656"/>
      <c r="K4894" s="656"/>
      <c r="L4894" s="656"/>
      <c r="M4894" s="657"/>
      <c r="N4894" s="1482"/>
      <c r="O4894" s="656" t="s">
        <v>498</v>
      </c>
      <c r="P4894" s="656" t="s">
        <v>13052</v>
      </c>
      <c r="Q4894" s="656">
        <v>44216.760092592594</v>
      </c>
    </row>
    <row r="4895" spans="1:17">
      <c r="A4895" s="656" t="s">
        <v>12098</v>
      </c>
      <c r="B4895" s="657" t="s">
        <v>202</v>
      </c>
      <c r="C4895" s="656" t="s">
        <v>12099</v>
      </c>
      <c r="D4895" s="657" t="s">
        <v>13789</v>
      </c>
      <c r="E4895" s="657"/>
      <c r="F4895" s="656"/>
      <c r="G4895" s="656" t="s">
        <v>5238</v>
      </c>
      <c r="H4895" s="656"/>
      <c r="I4895" s="656" t="s">
        <v>14976</v>
      </c>
      <c r="J4895" s="656"/>
      <c r="K4895" s="656"/>
      <c r="L4895" s="656"/>
      <c r="M4895" s="657"/>
      <c r="N4895" s="1482"/>
      <c r="O4895" s="656" t="s">
        <v>498</v>
      </c>
      <c r="P4895" s="656" t="s">
        <v>13052</v>
      </c>
      <c r="Q4895" s="656">
        <v>44216.760081018518</v>
      </c>
    </row>
    <row r="4896" spans="1:17">
      <c r="A4896" s="656" t="s">
        <v>14251</v>
      </c>
      <c r="B4896" s="657" t="s">
        <v>202</v>
      </c>
      <c r="C4896" s="656" t="s">
        <v>14252</v>
      </c>
      <c r="D4896" s="657" t="s">
        <v>13789</v>
      </c>
      <c r="E4896" s="657"/>
      <c r="F4896" s="656"/>
      <c r="G4896" s="656" t="s">
        <v>5238</v>
      </c>
      <c r="H4896" s="656"/>
      <c r="I4896" s="656" t="s">
        <v>14976</v>
      </c>
      <c r="J4896" s="656"/>
      <c r="K4896" s="656"/>
      <c r="L4896" s="656"/>
      <c r="M4896" s="657"/>
      <c r="N4896" s="1482"/>
      <c r="O4896" s="656" t="s">
        <v>498</v>
      </c>
      <c r="P4896" s="656" t="s">
        <v>13052</v>
      </c>
      <c r="Q4896" s="656">
        <v>44216.760069444441</v>
      </c>
    </row>
    <row r="4897" spans="1:17">
      <c r="A4897" s="656" t="s">
        <v>7051</v>
      </c>
      <c r="B4897" s="657" t="s">
        <v>504</v>
      </c>
      <c r="C4897" s="656" t="s">
        <v>7052</v>
      </c>
      <c r="D4897" s="657"/>
      <c r="E4897" s="657"/>
      <c r="F4897" s="656" t="s">
        <v>505</v>
      </c>
      <c r="G4897" s="656" t="s">
        <v>4324</v>
      </c>
      <c r="H4897" s="656" t="s">
        <v>505</v>
      </c>
      <c r="I4897" s="656"/>
      <c r="J4897" s="656"/>
      <c r="K4897" s="656"/>
      <c r="L4897" s="656"/>
      <c r="M4897" s="657"/>
      <c r="N4897" s="1482"/>
      <c r="O4897" s="656" t="s">
        <v>498</v>
      </c>
      <c r="P4897" s="656" t="s">
        <v>13052</v>
      </c>
      <c r="Q4897" s="656">
        <v>44216.760069444441</v>
      </c>
    </row>
    <row r="4898" spans="1:17">
      <c r="A4898" s="656" t="s">
        <v>7053</v>
      </c>
      <c r="B4898" s="657" t="s">
        <v>504</v>
      </c>
      <c r="C4898" s="656" t="s">
        <v>7054</v>
      </c>
      <c r="D4898" s="657"/>
      <c r="E4898" s="657"/>
      <c r="F4898" s="656" t="s">
        <v>505</v>
      </c>
      <c r="G4898" s="656" t="s">
        <v>4324</v>
      </c>
      <c r="H4898" s="656" t="s">
        <v>505</v>
      </c>
      <c r="I4898" s="656"/>
      <c r="J4898" s="656"/>
      <c r="K4898" s="656"/>
      <c r="L4898" s="656"/>
      <c r="M4898" s="657"/>
      <c r="N4898" s="1482"/>
      <c r="O4898" s="656" t="s">
        <v>498</v>
      </c>
      <c r="P4898" s="656" t="s">
        <v>13052</v>
      </c>
      <c r="Q4898" s="656">
        <v>44216.760069444441</v>
      </c>
    </row>
    <row r="4899" spans="1:17">
      <c r="A4899" s="656" t="s">
        <v>14249</v>
      </c>
      <c r="B4899" s="657" t="s">
        <v>202</v>
      </c>
      <c r="C4899" s="656" t="s">
        <v>14250</v>
      </c>
      <c r="D4899" s="657" t="s">
        <v>13789</v>
      </c>
      <c r="E4899" s="657"/>
      <c r="F4899" s="656" t="s">
        <v>1300</v>
      </c>
      <c r="G4899" s="656" t="s">
        <v>4198</v>
      </c>
      <c r="H4899" s="656" t="s">
        <v>1300</v>
      </c>
      <c r="I4899" s="656" t="s">
        <v>14976</v>
      </c>
      <c r="J4899" s="656"/>
      <c r="K4899" s="656"/>
      <c r="L4899" s="656"/>
      <c r="M4899" s="657"/>
      <c r="N4899" s="1482"/>
      <c r="O4899" s="656" t="s">
        <v>498</v>
      </c>
      <c r="P4899" s="656" t="s">
        <v>13052</v>
      </c>
      <c r="Q4899" s="656">
        <v>44216.760057870371</v>
      </c>
    </row>
    <row r="4900" spans="1:17">
      <c r="A4900" s="656" t="s">
        <v>7055</v>
      </c>
      <c r="B4900" s="657" t="s">
        <v>504</v>
      </c>
      <c r="C4900" s="656" t="s">
        <v>7056</v>
      </c>
      <c r="D4900" s="657"/>
      <c r="E4900" s="657"/>
      <c r="F4900" s="656" t="s">
        <v>1300</v>
      </c>
      <c r="G4900" s="656" t="s">
        <v>4198</v>
      </c>
      <c r="H4900" s="656" t="s">
        <v>1300</v>
      </c>
      <c r="I4900" s="656"/>
      <c r="J4900" s="656"/>
      <c r="K4900" s="656"/>
      <c r="L4900" s="656"/>
      <c r="M4900" s="657"/>
      <c r="N4900" s="1482"/>
      <c r="O4900" s="656" t="s">
        <v>498</v>
      </c>
      <c r="P4900" s="656" t="s">
        <v>13052</v>
      </c>
      <c r="Q4900" s="656">
        <v>44216.760057870371</v>
      </c>
    </row>
    <row r="4901" spans="1:17">
      <c r="A4901" s="656" t="s">
        <v>7057</v>
      </c>
      <c r="B4901" s="657" t="s">
        <v>202</v>
      </c>
      <c r="C4901" s="656" t="s">
        <v>7058</v>
      </c>
      <c r="D4901" s="657" t="s">
        <v>14977</v>
      </c>
      <c r="E4901" s="657"/>
      <c r="F4901" s="656" t="s">
        <v>1300</v>
      </c>
      <c r="G4901" s="656"/>
      <c r="H4901" s="656" t="s">
        <v>1300</v>
      </c>
      <c r="I4901" s="656" t="s">
        <v>14976</v>
      </c>
      <c r="J4901" s="656"/>
      <c r="K4901" s="656"/>
      <c r="L4901" s="656" t="s">
        <v>7057</v>
      </c>
      <c r="M4901" s="657"/>
      <c r="N4901" s="1482"/>
      <c r="O4901" s="656" t="s">
        <v>498</v>
      </c>
      <c r="P4901" s="656" t="s">
        <v>13052</v>
      </c>
      <c r="Q4901" s="656">
        <v>44216.760046296295</v>
      </c>
    </row>
    <row r="4902" spans="1:17">
      <c r="A4902" s="656" t="s">
        <v>14247</v>
      </c>
      <c r="B4902" s="657" t="s">
        <v>202</v>
      </c>
      <c r="C4902" s="656" t="s">
        <v>14248</v>
      </c>
      <c r="D4902" s="657" t="s">
        <v>13789</v>
      </c>
      <c r="E4902" s="657"/>
      <c r="F4902" s="656" t="s">
        <v>1300</v>
      </c>
      <c r="G4902" s="656" t="s">
        <v>4198</v>
      </c>
      <c r="H4902" s="656" t="s">
        <v>1300</v>
      </c>
      <c r="I4902" s="656" t="s">
        <v>14976</v>
      </c>
      <c r="J4902" s="656"/>
      <c r="K4902" s="656"/>
      <c r="L4902" s="656"/>
      <c r="M4902" s="657"/>
      <c r="N4902" s="1482"/>
      <c r="O4902" s="656" t="s">
        <v>498</v>
      </c>
      <c r="P4902" s="656" t="s">
        <v>13052</v>
      </c>
      <c r="Q4902" s="656">
        <v>44216.760046296295</v>
      </c>
    </row>
    <row r="4903" spans="1:17">
      <c r="A4903" s="656" t="s">
        <v>14245</v>
      </c>
      <c r="B4903" s="657" t="s">
        <v>202</v>
      </c>
      <c r="C4903" s="656" t="s">
        <v>14246</v>
      </c>
      <c r="D4903" s="657" t="s">
        <v>13789</v>
      </c>
      <c r="E4903" s="657"/>
      <c r="F4903" s="656" t="s">
        <v>1300</v>
      </c>
      <c r="G4903" s="656" t="s">
        <v>4198</v>
      </c>
      <c r="H4903" s="656" t="s">
        <v>1300</v>
      </c>
      <c r="I4903" s="656" t="s">
        <v>14976</v>
      </c>
      <c r="J4903" s="656"/>
      <c r="K4903" s="656"/>
      <c r="L4903" s="656"/>
      <c r="M4903" s="657"/>
      <c r="N4903" s="1482"/>
      <c r="O4903" s="656" t="s">
        <v>498</v>
      </c>
      <c r="P4903" s="656" t="s">
        <v>13052</v>
      </c>
      <c r="Q4903" s="656">
        <v>44216.760034722225</v>
      </c>
    </row>
    <row r="4904" spans="1:17">
      <c r="A4904" s="656" t="s">
        <v>14243</v>
      </c>
      <c r="B4904" s="657" t="s">
        <v>202</v>
      </c>
      <c r="C4904" s="656" t="s">
        <v>14244</v>
      </c>
      <c r="D4904" s="657" t="s">
        <v>13789</v>
      </c>
      <c r="E4904" s="657"/>
      <c r="F4904" s="656" t="s">
        <v>1300</v>
      </c>
      <c r="G4904" s="656" t="s">
        <v>4198</v>
      </c>
      <c r="H4904" s="656" t="s">
        <v>1300</v>
      </c>
      <c r="I4904" s="656" t="s">
        <v>14976</v>
      </c>
      <c r="J4904" s="656"/>
      <c r="K4904" s="656"/>
      <c r="L4904" s="656"/>
      <c r="M4904" s="657"/>
      <c r="N4904" s="1482"/>
      <c r="O4904" s="656" t="s">
        <v>498</v>
      </c>
      <c r="P4904" s="656" t="s">
        <v>13052</v>
      </c>
      <c r="Q4904" s="656">
        <v>44216.760034722225</v>
      </c>
    </row>
    <row r="4905" spans="1:17">
      <c r="A4905" s="656" t="s">
        <v>14241</v>
      </c>
      <c r="B4905" s="657" t="s">
        <v>202</v>
      </c>
      <c r="C4905" s="656" t="s">
        <v>14242</v>
      </c>
      <c r="D4905" s="657" t="s">
        <v>13789</v>
      </c>
      <c r="E4905" s="657"/>
      <c r="F4905" s="656" t="s">
        <v>1300</v>
      </c>
      <c r="G4905" s="656" t="s">
        <v>4198</v>
      </c>
      <c r="H4905" s="656" t="s">
        <v>1300</v>
      </c>
      <c r="I4905" s="656" t="s">
        <v>14976</v>
      </c>
      <c r="J4905" s="656"/>
      <c r="K4905" s="656"/>
      <c r="L4905" s="656"/>
      <c r="M4905" s="657"/>
      <c r="N4905" s="1482"/>
      <c r="O4905" s="656" t="s">
        <v>498</v>
      </c>
      <c r="P4905" s="656" t="s">
        <v>13052</v>
      </c>
      <c r="Q4905" s="656">
        <v>44216.760034722225</v>
      </c>
    </row>
    <row r="4906" spans="1:17">
      <c r="A4906" s="656" t="s">
        <v>14239</v>
      </c>
      <c r="B4906" s="657" t="s">
        <v>202</v>
      </c>
      <c r="C4906" s="656" t="s">
        <v>14240</v>
      </c>
      <c r="D4906" s="657" t="s">
        <v>13789</v>
      </c>
      <c r="E4906" s="657"/>
      <c r="F4906" s="656" t="s">
        <v>1300</v>
      </c>
      <c r="G4906" s="656" t="s">
        <v>4198</v>
      </c>
      <c r="H4906" s="656" t="s">
        <v>1300</v>
      </c>
      <c r="I4906" s="656" t="s">
        <v>14976</v>
      </c>
      <c r="J4906" s="656"/>
      <c r="K4906" s="656"/>
      <c r="L4906" s="656"/>
      <c r="M4906" s="657"/>
      <c r="N4906" s="1482"/>
      <c r="O4906" s="656" t="s">
        <v>498</v>
      </c>
      <c r="P4906" s="656" t="s">
        <v>13052</v>
      </c>
      <c r="Q4906" s="656">
        <v>44216.760023148148</v>
      </c>
    </row>
    <row r="4907" spans="1:17">
      <c r="A4907" s="656" t="s">
        <v>14237</v>
      </c>
      <c r="B4907" s="657" t="s">
        <v>202</v>
      </c>
      <c r="C4907" s="656" t="s">
        <v>14238</v>
      </c>
      <c r="D4907" s="657" t="s">
        <v>13789</v>
      </c>
      <c r="E4907" s="657"/>
      <c r="F4907" s="656" t="s">
        <v>1300</v>
      </c>
      <c r="G4907" s="656" t="s">
        <v>4198</v>
      </c>
      <c r="H4907" s="656" t="s">
        <v>1300</v>
      </c>
      <c r="I4907" s="656" t="s">
        <v>14976</v>
      </c>
      <c r="J4907" s="656"/>
      <c r="K4907" s="656"/>
      <c r="L4907" s="656"/>
      <c r="M4907" s="657"/>
      <c r="N4907" s="1482"/>
      <c r="O4907" s="656" t="s">
        <v>498</v>
      </c>
      <c r="P4907" s="656" t="s">
        <v>13052</v>
      </c>
      <c r="Q4907" s="656">
        <v>44216.760011574072</v>
      </c>
    </row>
    <row r="4908" spans="1:17">
      <c r="A4908" s="656" t="s">
        <v>14235</v>
      </c>
      <c r="B4908" s="657" t="s">
        <v>202</v>
      </c>
      <c r="C4908" s="656" t="s">
        <v>14236</v>
      </c>
      <c r="D4908" s="657" t="s">
        <v>13789</v>
      </c>
      <c r="E4908" s="657"/>
      <c r="F4908" s="656" t="s">
        <v>1300</v>
      </c>
      <c r="G4908" s="656" t="s">
        <v>4198</v>
      </c>
      <c r="H4908" s="656" t="s">
        <v>1300</v>
      </c>
      <c r="I4908" s="656" t="s">
        <v>14976</v>
      </c>
      <c r="J4908" s="656"/>
      <c r="K4908" s="656"/>
      <c r="L4908" s="656"/>
      <c r="M4908" s="657"/>
      <c r="N4908" s="1482"/>
      <c r="O4908" s="656" t="s">
        <v>498</v>
      </c>
      <c r="P4908" s="656" t="s">
        <v>13052</v>
      </c>
      <c r="Q4908" s="656">
        <v>44216.76</v>
      </c>
    </row>
    <row r="4909" spans="1:17">
      <c r="A4909" s="656" t="s">
        <v>14233</v>
      </c>
      <c r="B4909" s="657" t="s">
        <v>202</v>
      </c>
      <c r="C4909" s="656" t="s">
        <v>14234</v>
      </c>
      <c r="D4909" s="657" t="s">
        <v>14978</v>
      </c>
      <c r="E4909" s="657"/>
      <c r="F4909" s="656" t="s">
        <v>1300</v>
      </c>
      <c r="G4909" s="656" t="s">
        <v>4198</v>
      </c>
      <c r="H4909" s="656" t="s">
        <v>1300</v>
      </c>
      <c r="I4909" s="656" t="s">
        <v>14976</v>
      </c>
      <c r="J4909" s="656"/>
      <c r="K4909" s="656"/>
      <c r="L4909" s="656" t="s">
        <v>14231</v>
      </c>
      <c r="M4909" s="657"/>
      <c r="N4909" s="1482"/>
      <c r="O4909" s="656" t="s">
        <v>498</v>
      </c>
      <c r="P4909" s="656" t="s">
        <v>13052</v>
      </c>
      <c r="Q4909" s="656">
        <v>44216.76</v>
      </c>
    </row>
    <row r="4910" spans="1:17">
      <c r="A4910" s="656" t="s">
        <v>14231</v>
      </c>
      <c r="B4910" s="657" t="s">
        <v>202</v>
      </c>
      <c r="C4910" s="656" t="s">
        <v>14232</v>
      </c>
      <c r="D4910" s="657" t="s">
        <v>13789</v>
      </c>
      <c r="E4910" s="657"/>
      <c r="F4910" s="656" t="s">
        <v>1300</v>
      </c>
      <c r="G4910" s="656" t="s">
        <v>4198</v>
      </c>
      <c r="H4910" s="656" t="s">
        <v>1300</v>
      </c>
      <c r="I4910" s="656" t="s">
        <v>14976</v>
      </c>
      <c r="J4910" s="656"/>
      <c r="K4910" s="656"/>
      <c r="L4910" s="656"/>
      <c r="M4910" s="657"/>
      <c r="N4910" s="1482"/>
      <c r="O4910" s="656" t="s">
        <v>498</v>
      </c>
      <c r="P4910" s="656" t="s">
        <v>13052</v>
      </c>
      <c r="Q4910" s="656">
        <v>44216.759988425925</v>
      </c>
    </row>
    <row r="4911" spans="1:17">
      <c r="A4911" s="656" t="s">
        <v>7059</v>
      </c>
      <c r="B4911" s="657" t="s">
        <v>504</v>
      </c>
      <c r="C4911" s="656" t="s">
        <v>7060</v>
      </c>
      <c r="D4911" s="657"/>
      <c r="E4911" s="657"/>
      <c r="F4911" s="656"/>
      <c r="G4911" s="656" t="s">
        <v>4198</v>
      </c>
      <c r="H4911" s="656"/>
      <c r="I4911" s="656"/>
      <c r="J4911" s="656"/>
      <c r="K4911" s="656"/>
      <c r="L4911" s="656"/>
      <c r="M4911" s="657"/>
      <c r="N4911" s="1482"/>
      <c r="O4911" s="656" t="s">
        <v>498</v>
      </c>
      <c r="P4911" s="656" t="s">
        <v>13052</v>
      </c>
      <c r="Q4911" s="656">
        <v>44216.759976851848</v>
      </c>
    </row>
    <row r="4912" spans="1:17">
      <c r="A4912" s="656" t="s">
        <v>7061</v>
      </c>
      <c r="B4912" s="657" t="s">
        <v>504</v>
      </c>
      <c r="C4912" s="656" t="s">
        <v>7062</v>
      </c>
      <c r="D4912" s="657"/>
      <c r="E4912" s="657"/>
      <c r="F4912" s="656" t="s">
        <v>1394</v>
      </c>
      <c r="G4912" s="656"/>
      <c r="H4912" s="656" t="s">
        <v>1394</v>
      </c>
      <c r="I4912" s="656"/>
      <c r="J4912" s="656"/>
      <c r="K4912" s="656"/>
      <c r="L4912" s="656"/>
      <c r="M4912" s="657"/>
      <c r="N4912" s="1482"/>
      <c r="O4912" s="656" t="s">
        <v>498</v>
      </c>
      <c r="P4912" s="656" t="s">
        <v>13052</v>
      </c>
      <c r="Q4912" s="656">
        <v>44216.759976851848</v>
      </c>
    </row>
    <row r="4913" spans="1:17">
      <c r="A4913" s="656" t="s">
        <v>14229</v>
      </c>
      <c r="B4913" s="657" t="s">
        <v>202</v>
      </c>
      <c r="C4913" s="656" t="s">
        <v>14230</v>
      </c>
      <c r="D4913" s="657" t="s">
        <v>14978</v>
      </c>
      <c r="E4913" s="657"/>
      <c r="F4913" s="656" t="s">
        <v>1300</v>
      </c>
      <c r="G4913" s="656" t="s">
        <v>4198</v>
      </c>
      <c r="H4913" s="656" t="s">
        <v>1300</v>
      </c>
      <c r="I4913" s="656" t="s">
        <v>14976</v>
      </c>
      <c r="J4913" s="656"/>
      <c r="K4913" s="656"/>
      <c r="L4913" s="656" t="s">
        <v>7065</v>
      </c>
      <c r="M4913" s="657"/>
      <c r="N4913" s="1482"/>
      <c r="O4913" s="656" t="s">
        <v>498</v>
      </c>
      <c r="P4913" s="656" t="s">
        <v>13052</v>
      </c>
      <c r="Q4913" s="656">
        <v>44216.759965277779</v>
      </c>
    </row>
    <row r="4914" spans="1:17">
      <c r="A4914" s="656" t="s">
        <v>7063</v>
      </c>
      <c r="B4914" s="657"/>
      <c r="C4914" s="656" t="s">
        <v>7064</v>
      </c>
      <c r="D4914" s="657" t="s">
        <v>14978</v>
      </c>
      <c r="E4914" s="657"/>
      <c r="F4914" s="656"/>
      <c r="G4914" s="656" t="s">
        <v>4198</v>
      </c>
      <c r="H4914" s="656"/>
      <c r="I4914" s="656" t="s">
        <v>14976</v>
      </c>
      <c r="J4914" s="656"/>
      <c r="K4914" s="656"/>
      <c r="L4914" s="656" t="s">
        <v>7065</v>
      </c>
      <c r="M4914" s="657"/>
      <c r="N4914" s="1482"/>
      <c r="O4914" s="656" t="s">
        <v>498</v>
      </c>
      <c r="P4914" s="656" t="s">
        <v>13052</v>
      </c>
      <c r="Q4914" s="656">
        <v>44216.759965277779</v>
      </c>
    </row>
    <row r="4915" spans="1:17">
      <c r="A4915" s="656" t="s">
        <v>7065</v>
      </c>
      <c r="B4915" s="657" t="s">
        <v>202</v>
      </c>
      <c r="C4915" s="656" t="s">
        <v>7066</v>
      </c>
      <c r="D4915" s="657" t="s">
        <v>1239</v>
      </c>
      <c r="E4915" s="657"/>
      <c r="F4915" s="656" t="s">
        <v>1620</v>
      </c>
      <c r="G4915" s="656" t="s">
        <v>1620</v>
      </c>
      <c r="H4915" s="656" t="s">
        <v>1620</v>
      </c>
      <c r="I4915" s="656" t="s">
        <v>14976</v>
      </c>
      <c r="J4915" s="656" t="s">
        <v>15288</v>
      </c>
      <c r="K4915" s="656"/>
      <c r="L4915" s="656"/>
      <c r="M4915" s="657"/>
      <c r="N4915" s="1482"/>
      <c r="O4915" s="656" t="s">
        <v>498</v>
      </c>
      <c r="P4915" s="656" t="s">
        <v>13052</v>
      </c>
      <c r="Q4915" s="656">
        <v>44216.759953703702</v>
      </c>
    </row>
    <row r="4916" spans="1:17">
      <c r="A4916" s="656" t="s">
        <v>14227</v>
      </c>
      <c r="B4916" s="657" t="s">
        <v>202</v>
      </c>
      <c r="C4916" s="656" t="s">
        <v>14228</v>
      </c>
      <c r="D4916" s="657" t="s">
        <v>13789</v>
      </c>
      <c r="E4916" s="657"/>
      <c r="F4916" s="656" t="s">
        <v>1300</v>
      </c>
      <c r="G4916" s="656" t="s">
        <v>4198</v>
      </c>
      <c r="H4916" s="656" t="s">
        <v>1300</v>
      </c>
      <c r="I4916" s="656" t="s">
        <v>14976</v>
      </c>
      <c r="J4916" s="656"/>
      <c r="K4916" s="656"/>
      <c r="L4916" s="656"/>
      <c r="M4916" s="657"/>
      <c r="N4916" s="1482"/>
      <c r="O4916" s="656" t="s">
        <v>498</v>
      </c>
      <c r="P4916" s="656" t="s">
        <v>13052</v>
      </c>
      <c r="Q4916" s="656">
        <v>44216.759965277779</v>
      </c>
    </row>
    <row r="4917" spans="1:17">
      <c r="A4917" s="656" t="s">
        <v>14225</v>
      </c>
      <c r="B4917" s="657" t="s">
        <v>202</v>
      </c>
      <c r="C4917" s="656" t="s">
        <v>14226</v>
      </c>
      <c r="D4917" s="657" t="s">
        <v>13789</v>
      </c>
      <c r="E4917" s="657"/>
      <c r="F4917" s="656" t="s">
        <v>1300</v>
      </c>
      <c r="G4917" s="656" t="s">
        <v>4198</v>
      </c>
      <c r="H4917" s="656" t="s">
        <v>1300</v>
      </c>
      <c r="I4917" s="656" t="s">
        <v>14976</v>
      </c>
      <c r="J4917" s="656"/>
      <c r="K4917" s="656"/>
      <c r="L4917" s="656"/>
      <c r="M4917" s="657"/>
      <c r="N4917" s="1482"/>
      <c r="O4917" s="656" t="s">
        <v>498</v>
      </c>
      <c r="P4917" s="656" t="s">
        <v>13052</v>
      </c>
      <c r="Q4917" s="656">
        <v>44216.759953703702</v>
      </c>
    </row>
    <row r="4918" spans="1:17">
      <c r="A4918" s="656" t="s">
        <v>7067</v>
      </c>
      <c r="B4918" s="657" t="s">
        <v>504</v>
      </c>
      <c r="C4918" s="656" t="s">
        <v>7068</v>
      </c>
      <c r="D4918" s="657"/>
      <c r="E4918" s="657"/>
      <c r="F4918" s="656" t="s">
        <v>1394</v>
      </c>
      <c r="G4918" s="656"/>
      <c r="H4918" s="656" t="s">
        <v>1394</v>
      </c>
      <c r="I4918" s="656"/>
      <c r="J4918" s="656"/>
      <c r="K4918" s="656"/>
      <c r="L4918" s="656"/>
      <c r="M4918" s="657"/>
      <c r="N4918" s="1482"/>
      <c r="O4918" s="656" t="s">
        <v>498</v>
      </c>
      <c r="P4918" s="656" t="s">
        <v>13052</v>
      </c>
      <c r="Q4918" s="656">
        <v>44216.759942129633</v>
      </c>
    </row>
    <row r="4919" spans="1:17">
      <c r="A4919" s="656" t="s">
        <v>14221</v>
      </c>
      <c r="B4919" s="657" t="s">
        <v>202</v>
      </c>
      <c r="C4919" s="656" t="s">
        <v>14222</v>
      </c>
      <c r="D4919" s="657" t="s">
        <v>14977</v>
      </c>
      <c r="E4919" s="657"/>
      <c r="F4919" s="656" t="s">
        <v>655</v>
      </c>
      <c r="G4919" s="656" t="s">
        <v>1078</v>
      </c>
      <c r="H4919" s="656" t="s">
        <v>655</v>
      </c>
      <c r="I4919" s="656" t="s">
        <v>14976</v>
      </c>
      <c r="J4919" s="656" t="s">
        <v>15281</v>
      </c>
      <c r="K4919" s="656"/>
      <c r="L4919" s="656" t="s">
        <v>14221</v>
      </c>
      <c r="M4919" s="657"/>
      <c r="N4919" s="1482"/>
      <c r="O4919" s="656" t="s">
        <v>498</v>
      </c>
      <c r="P4919" s="656" t="s">
        <v>13052</v>
      </c>
      <c r="Q4919" s="656">
        <v>44216.759942129633</v>
      </c>
    </row>
    <row r="4920" spans="1:17">
      <c r="A4920" s="656" t="s">
        <v>14219</v>
      </c>
      <c r="B4920" s="657" t="s">
        <v>202</v>
      </c>
      <c r="C4920" s="656" t="s">
        <v>14220</v>
      </c>
      <c r="D4920" s="657" t="s">
        <v>13789</v>
      </c>
      <c r="E4920" s="657"/>
      <c r="F4920" s="656" t="s">
        <v>1300</v>
      </c>
      <c r="G4920" s="656" t="s">
        <v>4198</v>
      </c>
      <c r="H4920" s="656" t="s">
        <v>1300</v>
      </c>
      <c r="I4920" s="656" t="s">
        <v>14976</v>
      </c>
      <c r="J4920" s="656"/>
      <c r="K4920" s="656"/>
      <c r="L4920" s="656"/>
      <c r="M4920" s="657"/>
      <c r="N4920" s="1482"/>
      <c r="O4920" s="656" t="s">
        <v>498</v>
      </c>
      <c r="P4920" s="656" t="s">
        <v>13052</v>
      </c>
      <c r="Q4920" s="656">
        <v>44216.759930555556</v>
      </c>
    </row>
    <row r="4921" spans="1:17">
      <c r="A4921" s="656" t="s">
        <v>14218</v>
      </c>
      <c r="B4921" s="657" t="s">
        <v>504</v>
      </c>
      <c r="C4921" s="656" t="s">
        <v>7069</v>
      </c>
      <c r="D4921" s="657" t="s">
        <v>13789</v>
      </c>
      <c r="E4921" s="657" t="s">
        <v>9510</v>
      </c>
      <c r="F4921" s="656" t="s">
        <v>505</v>
      </c>
      <c r="G4921" s="656" t="s">
        <v>522</v>
      </c>
      <c r="H4921" s="656" t="s">
        <v>505</v>
      </c>
      <c r="I4921" s="656" t="s">
        <v>14976</v>
      </c>
      <c r="J4921" s="656"/>
      <c r="K4921" s="656"/>
      <c r="L4921" s="656"/>
      <c r="M4921" s="657"/>
      <c r="N4921" s="1482"/>
      <c r="O4921" s="656" t="s">
        <v>498</v>
      </c>
      <c r="P4921" s="656" t="s">
        <v>13052</v>
      </c>
      <c r="Q4921" s="656">
        <v>44216.759930555556</v>
      </c>
    </row>
    <row r="4922" spans="1:17">
      <c r="A4922" s="656" t="s">
        <v>14217</v>
      </c>
      <c r="B4922" s="657" t="s">
        <v>504</v>
      </c>
      <c r="C4922" s="656" t="s">
        <v>7070</v>
      </c>
      <c r="D4922" s="657" t="s">
        <v>13789</v>
      </c>
      <c r="E4922" s="657" t="s">
        <v>9458</v>
      </c>
      <c r="F4922" s="656" t="s">
        <v>505</v>
      </c>
      <c r="G4922" s="656" t="s">
        <v>522</v>
      </c>
      <c r="H4922" s="656" t="s">
        <v>505</v>
      </c>
      <c r="I4922" s="656" t="s">
        <v>14976</v>
      </c>
      <c r="J4922" s="656"/>
      <c r="K4922" s="656"/>
      <c r="L4922" s="656"/>
      <c r="M4922" s="657"/>
      <c r="N4922" s="1482"/>
      <c r="O4922" s="656" t="s">
        <v>498</v>
      </c>
      <c r="P4922" s="656" t="s">
        <v>13052</v>
      </c>
      <c r="Q4922" s="656">
        <v>44216.759930555556</v>
      </c>
    </row>
    <row r="4923" spans="1:17">
      <c r="A4923" s="656" t="s">
        <v>7071</v>
      </c>
      <c r="B4923" s="657" t="s">
        <v>504</v>
      </c>
      <c r="C4923" s="656" t="s">
        <v>7072</v>
      </c>
      <c r="D4923" s="657"/>
      <c r="E4923" s="657" t="s">
        <v>9654</v>
      </c>
      <c r="F4923" s="656" t="s">
        <v>505</v>
      </c>
      <c r="G4923" s="656" t="s">
        <v>522</v>
      </c>
      <c r="H4923" s="656" t="s">
        <v>505</v>
      </c>
      <c r="I4923" s="656"/>
      <c r="J4923" s="656"/>
      <c r="K4923" s="656"/>
      <c r="L4923" s="656"/>
      <c r="M4923" s="657"/>
      <c r="N4923" s="1482"/>
      <c r="O4923" s="656" t="s">
        <v>498</v>
      </c>
      <c r="P4923" s="656" t="s">
        <v>13052</v>
      </c>
      <c r="Q4923" s="656">
        <v>44216.759918981479</v>
      </c>
    </row>
    <row r="4924" spans="1:17">
      <c r="A4924" s="656" t="s">
        <v>7073</v>
      </c>
      <c r="B4924" s="657" t="s">
        <v>504</v>
      </c>
      <c r="C4924" s="656" t="s">
        <v>5755</v>
      </c>
      <c r="D4924" s="657"/>
      <c r="E4924" s="657"/>
      <c r="F4924" s="656"/>
      <c r="G4924" s="656" t="s">
        <v>4198</v>
      </c>
      <c r="H4924" s="656"/>
      <c r="I4924" s="656"/>
      <c r="J4924" s="656"/>
      <c r="K4924" s="656"/>
      <c r="L4924" s="656"/>
      <c r="M4924" s="657"/>
      <c r="N4924" s="1482"/>
      <c r="O4924" s="656" t="s">
        <v>498</v>
      </c>
      <c r="P4924" s="656" t="s">
        <v>13052</v>
      </c>
      <c r="Q4924" s="656">
        <v>44216.75990740741</v>
      </c>
    </row>
    <row r="4925" spans="1:17">
      <c r="A4925" s="656" t="s">
        <v>14215</v>
      </c>
      <c r="B4925" s="657" t="s">
        <v>202</v>
      </c>
      <c r="C4925" s="656" t="s">
        <v>14216</v>
      </c>
      <c r="D4925" s="657" t="s">
        <v>14978</v>
      </c>
      <c r="E4925" s="657"/>
      <c r="F4925" s="656" t="s">
        <v>1300</v>
      </c>
      <c r="G4925" s="656" t="s">
        <v>4198</v>
      </c>
      <c r="H4925" s="656" t="s">
        <v>1300</v>
      </c>
      <c r="I4925" s="656" t="s">
        <v>14976</v>
      </c>
      <c r="J4925" s="656"/>
      <c r="K4925" s="656"/>
      <c r="L4925" s="656" t="s">
        <v>7074</v>
      </c>
      <c r="M4925" s="657"/>
      <c r="N4925" s="1482"/>
      <c r="O4925" s="656" t="s">
        <v>498</v>
      </c>
      <c r="P4925" s="656" t="s">
        <v>13052</v>
      </c>
      <c r="Q4925" s="656">
        <v>44216.75990740741</v>
      </c>
    </row>
    <row r="4926" spans="1:17">
      <c r="A4926" s="656" t="s">
        <v>7074</v>
      </c>
      <c r="B4926" s="657" t="s">
        <v>504</v>
      </c>
      <c r="C4926" s="656" t="s">
        <v>7075</v>
      </c>
      <c r="D4926" s="657" t="s">
        <v>1239</v>
      </c>
      <c r="E4926" s="657"/>
      <c r="F4926" s="656"/>
      <c r="G4926" s="656" t="s">
        <v>4198</v>
      </c>
      <c r="H4926" s="656"/>
      <c r="I4926" s="656"/>
      <c r="J4926" s="656"/>
      <c r="K4926" s="656"/>
      <c r="L4926" s="656"/>
      <c r="M4926" s="657"/>
      <c r="N4926" s="1482"/>
      <c r="O4926" s="656" t="s">
        <v>498</v>
      </c>
      <c r="P4926" s="656" t="s">
        <v>13052</v>
      </c>
      <c r="Q4926" s="656">
        <v>44216.75990740741</v>
      </c>
    </row>
    <row r="4927" spans="1:17">
      <c r="A4927" s="656" t="s">
        <v>14213</v>
      </c>
      <c r="B4927" s="657" t="s">
        <v>202</v>
      </c>
      <c r="C4927" s="656" t="s">
        <v>14214</v>
      </c>
      <c r="D4927" s="657" t="s">
        <v>14978</v>
      </c>
      <c r="E4927" s="657"/>
      <c r="F4927" s="656" t="s">
        <v>1300</v>
      </c>
      <c r="G4927" s="656" t="s">
        <v>4198</v>
      </c>
      <c r="H4927" s="656" t="s">
        <v>1300</v>
      </c>
      <c r="I4927" s="656" t="s">
        <v>14976</v>
      </c>
      <c r="J4927" s="656"/>
      <c r="K4927" s="656"/>
      <c r="L4927" s="656" t="s">
        <v>7076</v>
      </c>
      <c r="M4927" s="657"/>
      <c r="N4927" s="1482"/>
      <c r="O4927" s="656" t="s">
        <v>498</v>
      </c>
      <c r="P4927" s="656" t="s">
        <v>13052</v>
      </c>
      <c r="Q4927" s="656">
        <v>44216.759895833333</v>
      </c>
    </row>
    <row r="4928" spans="1:17">
      <c r="A4928" s="656" t="s">
        <v>7076</v>
      </c>
      <c r="B4928" s="657" t="s">
        <v>504</v>
      </c>
      <c r="C4928" s="656" t="s">
        <v>7077</v>
      </c>
      <c r="D4928" s="657"/>
      <c r="E4928" s="657"/>
      <c r="F4928" s="656"/>
      <c r="G4928" s="656" t="s">
        <v>4198</v>
      </c>
      <c r="H4928" s="656"/>
      <c r="I4928" s="656"/>
      <c r="J4928" s="656"/>
      <c r="K4928" s="656"/>
      <c r="L4928" s="656"/>
      <c r="M4928" s="657"/>
      <c r="N4928" s="1482"/>
      <c r="O4928" s="656" t="s">
        <v>498</v>
      </c>
      <c r="P4928" s="656" t="s">
        <v>13052</v>
      </c>
      <c r="Q4928" s="656">
        <v>44216.759884259256</v>
      </c>
    </row>
    <row r="4929" spans="1:17">
      <c r="A4929" s="656" t="s">
        <v>7078</v>
      </c>
      <c r="B4929" s="657" t="s">
        <v>504</v>
      </c>
      <c r="C4929" s="656" t="s">
        <v>7079</v>
      </c>
      <c r="D4929" s="657"/>
      <c r="E4929" s="657"/>
      <c r="F4929" s="656" t="s">
        <v>1394</v>
      </c>
      <c r="G4929" s="656"/>
      <c r="H4929" s="656" t="s">
        <v>1394</v>
      </c>
      <c r="I4929" s="656"/>
      <c r="J4929" s="656"/>
      <c r="K4929" s="656"/>
      <c r="L4929" s="656"/>
      <c r="M4929" s="657"/>
      <c r="N4929" s="1482"/>
      <c r="O4929" s="656" t="s">
        <v>498</v>
      </c>
      <c r="P4929" s="656" t="s">
        <v>13052</v>
      </c>
      <c r="Q4929" s="656">
        <v>44216.759884259256</v>
      </c>
    </row>
    <row r="4930" spans="1:17">
      <c r="A4930" s="656" t="s">
        <v>14209</v>
      </c>
      <c r="B4930" s="657" t="s">
        <v>202</v>
      </c>
      <c r="C4930" s="656" t="s">
        <v>14210</v>
      </c>
      <c r="D4930" s="657" t="s">
        <v>13789</v>
      </c>
      <c r="E4930" s="657"/>
      <c r="F4930" s="656" t="s">
        <v>1300</v>
      </c>
      <c r="G4930" s="656" t="s">
        <v>4198</v>
      </c>
      <c r="H4930" s="656" t="s">
        <v>1300</v>
      </c>
      <c r="I4930" s="656" t="s">
        <v>14976</v>
      </c>
      <c r="J4930" s="656"/>
      <c r="K4930" s="656"/>
      <c r="L4930" s="656"/>
      <c r="M4930" s="657"/>
      <c r="N4930" s="1482"/>
      <c r="O4930" s="656" t="s">
        <v>498</v>
      </c>
      <c r="P4930" s="656" t="s">
        <v>13052</v>
      </c>
      <c r="Q4930" s="656">
        <v>44216.759872685187</v>
      </c>
    </row>
    <row r="4931" spans="1:17">
      <c r="A4931" s="656" t="s">
        <v>14207</v>
      </c>
      <c r="B4931" s="657" t="s">
        <v>202</v>
      </c>
      <c r="C4931" s="656" t="s">
        <v>14208</v>
      </c>
      <c r="D4931" s="657" t="s">
        <v>13789</v>
      </c>
      <c r="E4931" s="657"/>
      <c r="F4931" s="656" t="s">
        <v>1300</v>
      </c>
      <c r="G4931" s="656" t="s">
        <v>4198</v>
      </c>
      <c r="H4931" s="656" t="s">
        <v>1300</v>
      </c>
      <c r="I4931" s="656" t="s">
        <v>14976</v>
      </c>
      <c r="J4931" s="656"/>
      <c r="K4931" s="656"/>
      <c r="L4931" s="656"/>
      <c r="M4931" s="657"/>
      <c r="N4931" s="1482"/>
      <c r="O4931" s="656" t="s">
        <v>498</v>
      </c>
      <c r="P4931" s="656" t="s">
        <v>13052</v>
      </c>
      <c r="Q4931" s="656">
        <v>44216.759872685187</v>
      </c>
    </row>
    <row r="4932" spans="1:17">
      <c r="A4932" s="656" t="s">
        <v>7080</v>
      </c>
      <c r="B4932" s="657"/>
      <c r="C4932" s="656" t="s">
        <v>7081</v>
      </c>
      <c r="D4932" s="657" t="s">
        <v>14978</v>
      </c>
      <c r="E4932" s="657"/>
      <c r="F4932" s="656"/>
      <c r="G4932" s="656" t="s">
        <v>5103</v>
      </c>
      <c r="H4932" s="656"/>
      <c r="I4932" s="656" t="s">
        <v>14976</v>
      </c>
      <c r="J4932" s="656"/>
      <c r="K4932" s="656"/>
      <c r="L4932" s="656" t="s">
        <v>7088</v>
      </c>
      <c r="M4932" s="657"/>
      <c r="N4932" s="1482"/>
      <c r="O4932" s="656" t="s">
        <v>498</v>
      </c>
      <c r="P4932" s="656" t="s">
        <v>13052</v>
      </c>
      <c r="Q4932" s="656">
        <v>44216.759872685187</v>
      </c>
    </row>
    <row r="4933" spans="1:17">
      <c r="A4933" s="656" t="s">
        <v>7082</v>
      </c>
      <c r="B4933" s="657"/>
      <c r="C4933" s="656" t="s">
        <v>7083</v>
      </c>
      <c r="D4933" s="657" t="s">
        <v>14978</v>
      </c>
      <c r="E4933" s="657"/>
      <c r="F4933" s="656"/>
      <c r="G4933" s="656" t="s">
        <v>5103</v>
      </c>
      <c r="H4933" s="656"/>
      <c r="I4933" s="656" t="s">
        <v>14976</v>
      </c>
      <c r="J4933" s="656"/>
      <c r="K4933" s="656"/>
      <c r="L4933" s="656" t="s">
        <v>7088</v>
      </c>
      <c r="M4933" s="657"/>
      <c r="N4933" s="1482"/>
      <c r="O4933" s="656" t="s">
        <v>498</v>
      </c>
      <c r="P4933" s="656" t="s">
        <v>13052</v>
      </c>
      <c r="Q4933" s="656">
        <v>44216.75986111111</v>
      </c>
    </row>
    <row r="4934" spans="1:17">
      <c r="A4934" s="656" t="s">
        <v>7084</v>
      </c>
      <c r="B4934" s="657"/>
      <c r="C4934" s="656" t="s">
        <v>7085</v>
      </c>
      <c r="D4934" s="657" t="s">
        <v>14978</v>
      </c>
      <c r="E4934" s="657"/>
      <c r="F4934" s="656"/>
      <c r="G4934" s="656" t="s">
        <v>5103</v>
      </c>
      <c r="H4934" s="656"/>
      <c r="I4934" s="656" t="s">
        <v>14976</v>
      </c>
      <c r="J4934" s="656"/>
      <c r="K4934" s="656"/>
      <c r="L4934" s="656" t="s">
        <v>7088</v>
      </c>
      <c r="M4934" s="657"/>
      <c r="N4934" s="1482"/>
      <c r="O4934" s="656" t="s">
        <v>498</v>
      </c>
      <c r="P4934" s="656" t="s">
        <v>13052</v>
      </c>
      <c r="Q4934" s="656">
        <v>44216.75986111111</v>
      </c>
    </row>
    <row r="4935" spans="1:17">
      <c r="A4935" s="656" t="s">
        <v>7086</v>
      </c>
      <c r="B4935" s="657"/>
      <c r="C4935" s="656" t="s">
        <v>7087</v>
      </c>
      <c r="D4935" s="657" t="s">
        <v>14978</v>
      </c>
      <c r="E4935" s="657"/>
      <c r="F4935" s="656"/>
      <c r="G4935" s="656" t="s">
        <v>5103</v>
      </c>
      <c r="H4935" s="656"/>
      <c r="I4935" s="656" t="s">
        <v>14976</v>
      </c>
      <c r="J4935" s="656"/>
      <c r="K4935" s="656"/>
      <c r="L4935" s="656" t="s">
        <v>7088</v>
      </c>
      <c r="M4935" s="657"/>
      <c r="N4935" s="1482"/>
      <c r="O4935" s="656" t="s">
        <v>498</v>
      </c>
      <c r="P4935" s="656" t="s">
        <v>13052</v>
      </c>
      <c r="Q4935" s="656">
        <v>44216.75984953704</v>
      </c>
    </row>
    <row r="4936" spans="1:17">
      <c r="A4936" s="656" t="s">
        <v>7088</v>
      </c>
      <c r="B4936" s="657" t="s">
        <v>504</v>
      </c>
      <c r="C4936" s="656" t="s">
        <v>4826</v>
      </c>
      <c r="D4936" s="657" t="s">
        <v>1239</v>
      </c>
      <c r="E4936" s="657"/>
      <c r="F4936" s="656"/>
      <c r="G4936" s="656" t="s">
        <v>5103</v>
      </c>
      <c r="H4936" s="656"/>
      <c r="I4936" s="656"/>
      <c r="J4936" s="656"/>
      <c r="K4936" s="656"/>
      <c r="L4936" s="656"/>
      <c r="M4936" s="657"/>
      <c r="N4936" s="1482"/>
      <c r="O4936" s="656" t="s">
        <v>498</v>
      </c>
      <c r="P4936" s="656" t="s">
        <v>13052</v>
      </c>
      <c r="Q4936" s="656">
        <v>44216.759837962964</v>
      </c>
    </row>
    <row r="4937" spans="1:17">
      <c r="A4937" s="656" t="s">
        <v>7089</v>
      </c>
      <c r="B4937" s="657"/>
      <c r="C4937" s="656" t="s">
        <v>7090</v>
      </c>
      <c r="D4937" s="657" t="s">
        <v>13789</v>
      </c>
      <c r="E4937" s="657"/>
      <c r="F4937" s="656"/>
      <c r="G4937" s="656" t="s">
        <v>5103</v>
      </c>
      <c r="H4937" s="656"/>
      <c r="I4937" s="656" t="s">
        <v>14976</v>
      </c>
      <c r="J4937" s="656"/>
      <c r="K4937" s="656"/>
      <c r="L4937" s="656"/>
      <c r="M4937" s="657"/>
      <c r="N4937" s="1482"/>
      <c r="O4937" s="656" t="s">
        <v>498</v>
      </c>
      <c r="P4937" s="656" t="s">
        <v>13052</v>
      </c>
      <c r="Q4937" s="656">
        <v>44216.759837962964</v>
      </c>
    </row>
    <row r="4938" spans="1:17">
      <c r="A4938" s="656" t="s">
        <v>7091</v>
      </c>
      <c r="B4938" s="657"/>
      <c r="C4938" s="656" t="s">
        <v>7092</v>
      </c>
      <c r="D4938" s="657" t="s">
        <v>13789</v>
      </c>
      <c r="E4938" s="657"/>
      <c r="F4938" s="656"/>
      <c r="G4938" s="656" t="s">
        <v>5103</v>
      </c>
      <c r="H4938" s="656"/>
      <c r="I4938" s="656" t="s">
        <v>14976</v>
      </c>
      <c r="J4938" s="656"/>
      <c r="K4938" s="656"/>
      <c r="L4938" s="656"/>
      <c r="M4938" s="657"/>
      <c r="N4938" s="1482"/>
      <c r="O4938" s="656" t="s">
        <v>498</v>
      </c>
      <c r="P4938" s="656" t="s">
        <v>13052</v>
      </c>
      <c r="Q4938" s="656">
        <v>44216.759826388887</v>
      </c>
    </row>
    <row r="4939" spans="1:17">
      <c r="A4939" s="656" t="s">
        <v>7093</v>
      </c>
      <c r="B4939" s="657"/>
      <c r="C4939" s="656" t="s">
        <v>7094</v>
      </c>
      <c r="D4939" s="657" t="s">
        <v>13789</v>
      </c>
      <c r="E4939" s="657"/>
      <c r="F4939" s="656"/>
      <c r="G4939" s="656" t="s">
        <v>5103</v>
      </c>
      <c r="H4939" s="656"/>
      <c r="I4939" s="656" t="s">
        <v>14976</v>
      </c>
      <c r="J4939" s="656"/>
      <c r="K4939" s="656"/>
      <c r="L4939" s="656"/>
      <c r="M4939" s="657"/>
      <c r="N4939" s="1482"/>
      <c r="O4939" s="656" t="s">
        <v>498</v>
      </c>
      <c r="P4939" s="656" t="s">
        <v>13052</v>
      </c>
      <c r="Q4939" s="656">
        <v>44216.759826388887</v>
      </c>
    </row>
    <row r="4940" spans="1:17">
      <c r="A4940" s="656" t="s">
        <v>7095</v>
      </c>
      <c r="B4940" s="657"/>
      <c r="C4940" s="656" t="s">
        <v>7096</v>
      </c>
      <c r="D4940" s="657" t="s">
        <v>13789</v>
      </c>
      <c r="E4940" s="657"/>
      <c r="F4940" s="656"/>
      <c r="G4940" s="656" t="s">
        <v>5103</v>
      </c>
      <c r="H4940" s="656"/>
      <c r="I4940" s="656" t="s">
        <v>14976</v>
      </c>
      <c r="J4940" s="656"/>
      <c r="K4940" s="656"/>
      <c r="L4940" s="656"/>
      <c r="M4940" s="657"/>
      <c r="N4940" s="1482"/>
      <c r="O4940" s="656" t="s">
        <v>498</v>
      </c>
      <c r="P4940" s="656" t="s">
        <v>13052</v>
      </c>
      <c r="Q4940" s="656">
        <v>44216.759814814817</v>
      </c>
    </row>
    <row r="4941" spans="1:17">
      <c r="A4941" s="656" t="s">
        <v>7097</v>
      </c>
      <c r="B4941" s="657"/>
      <c r="C4941" s="656" t="s">
        <v>7098</v>
      </c>
      <c r="D4941" s="657" t="s">
        <v>13789</v>
      </c>
      <c r="E4941" s="657"/>
      <c r="F4941" s="656"/>
      <c r="G4941" s="656" t="s">
        <v>5103</v>
      </c>
      <c r="H4941" s="656"/>
      <c r="I4941" s="656" t="s">
        <v>14976</v>
      </c>
      <c r="J4941" s="656"/>
      <c r="K4941" s="656"/>
      <c r="L4941" s="656"/>
      <c r="M4941" s="657"/>
      <c r="N4941" s="1482"/>
      <c r="O4941" s="656" t="s">
        <v>498</v>
      </c>
      <c r="P4941" s="656" t="s">
        <v>13052</v>
      </c>
      <c r="Q4941" s="656">
        <v>44216.75980324074</v>
      </c>
    </row>
    <row r="4942" spans="1:17">
      <c r="A4942" s="656" t="s">
        <v>7099</v>
      </c>
      <c r="B4942" s="657"/>
      <c r="C4942" s="656" t="s">
        <v>7100</v>
      </c>
      <c r="D4942" s="657" t="s">
        <v>13789</v>
      </c>
      <c r="E4942" s="657"/>
      <c r="F4942" s="656"/>
      <c r="G4942" s="656" t="s">
        <v>5103</v>
      </c>
      <c r="H4942" s="656"/>
      <c r="I4942" s="656" t="s">
        <v>14976</v>
      </c>
      <c r="J4942" s="656"/>
      <c r="K4942" s="656"/>
      <c r="L4942" s="656"/>
      <c r="M4942" s="657"/>
      <c r="N4942" s="1482"/>
      <c r="O4942" s="656" t="s">
        <v>498</v>
      </c>
      <c r="P4942" s="656" t="s">
        <v>13052</v>
      </c>
      <c r="Q4942" s="656">
        <v>44216.75980324074</v>
      </c>
    </row>
    <row r="4943" spans="1:17">
      <c r="A4943" s="656" t="s">
        <v>7101</v>
      </c>
      <c r="B4943" s="657" t="s">
        <v>504</v>
      </c>
      <c r="C4943" s="656" t="s">
        <v>7102</v>
      </c>
      <c r="D4943" s="657"/>
      <c r="E4943" s="657"/>
      <c r="F4943" s="656"/>
      <c r="G4943" s="656" t="s">
        <v>5103</v>
      </c>
      <c r="H4943" s="656"/>
      <c r="I4943" s="656"/>
      <c r="J4943" s="656"/>
      <c r="K4943" s="656"/>
      <c r="L4943" s="656"/>
      <c r="M4943" s="657"/>
      <c r="N4943" s="1482"/>
      <c r="O4943" s="656" t="s">
        <v>498</v>
      </c>
      <c r="P4943" s="656" t="s">
        <v>13052</v>
      </c>
      <c r="Q4943" s="656">
        <v>44216.75980324074</v>
      </c>
    </row>
    <row r="4944" spans="1:17">
      <c r="A4944" s="656" t="s">
        <v>7103</v>
      </c>
      <c r="B4944" s="657"/>
      <c r="C4944" s="656" t="s">
        <v>6591</v>
      </c>
      <c r="D4944" s="657" t="s">
        <v>13789</v>
      </c>
      <c r="E4944" s="657"/>
      <c r="F4944" s="656"/>
      <c r="G4944" s="656" t="s">
        <v>5103</v>
      </c>
      <c r="H4944" s="656"/>
      <c r="I4944" s="656" t="s">
        <v>14976</v>
      </c>
      <c r="J4944" s="656"/>
      <c r="K4944" s="656"/>
      <c r="L4944" s="656"/>
      <c r="M4944" s="657"/>
      <c r="N4944" s="1482"/>
      <c r="O4944" s="656" t="s">
        <v>498</v>
      </c>
      <c r="P4944" s="656" t="s">
        <v>13052</v>
      </c>
      <c r="Q4944" s="656">
        <v>44216.759791666664</v>
      </c>
    </row>
    <row r="4945" spans="1:17">
      <c r="A4945" s="656" t="s">
        <v>7104</v>
      </c>
      <c r="B4945" s="657" t="s">
        <v>504</v>
      </c>
      <c r="C4945" s="656" t="s">
        <v>7105</v>
      </c>
      <c r="D4945" s="657"/>
      <c r="E4945" s="657"/>
      <c r="F4945" s="656" t="s">
        <v>3731</v>
      </c>
      <c r="G4945" s="656" t="s">
        <v>5103</v>
      </c>
      <c r="H4945" s="656" t="s">
        <v>3731</v>
      </c>
      <c r="I4945" s="656"/>
      <c r="J4945" s="656"/>
      <c r="K4945" s="656"/>
      <c r="L4945" s="656"/>
      <c r="M4945" s="657"/>
      <c r="N4945" s="1482"/>
      <c r="O4945" s="656" t="s">
        <v>498</v>
      </c>
      <c r="P4945" s="656" t="s">
        <v>13052</v>
      </c>
      <c r="Q4945" s="656">
        <v>44216.759791666664</v>
      </c>
    </row>
    <row r="4946" spans="1:17">
      <c r="A4946" s="656" t="s">
        <v>7106</v>
      </c>
      <c r="B4946" s="657" t="s">
        <v>504</v>
      </c>
      <c r="C4946" s="656" t="s">
        <v>7107</v>
      </c>
      <c r="D4946" s="657"/>
      <c r="E4946" s="657"/>
      <c r="F4946" s="656" t="s">
        <v>3731</v>
      </c>
      <c r="G4946" s="656" t="s">
        <v>5103</v>
      </c>
      <c r="H4946" s="656" t="s">
        <v>3731</v>
      </c>
      <c r="I4946" s="656"/>
      <c r="J4946" s="656"/>
      <c r="K4946" s="656"/>
      <c r="L4946" s="656"/>
      <c r="M4946" s="657"/>
      <c r="N4946" s="1482"/>
      <c r="O4946" s="656" t="s">
        <v>498</v>
      </c>
      <c r="P4946" s="656" t="s">
        <v>13052</v>
      </c>
      <c r="Q4946" s="656">
        <v>44216.759791666664</v>
      </c>
    </row>
    <row r="4947" spans="1:17">
      <c r="A4947" s="656" t="s">
        <v>7108</v>
      </c>
      <c r="B4947" s="657" t="s">
        <v>504</v>
      </c>
      <c r="C4947" s="656" t="s">
        <v>7109</v>
      </c>
      <c r="D4947" s="657"/>
      <c r="E4947" s="657"/>
      <c r="F4947" s="656"/>
      <c r="G4947" s="656" t="s">
        <v>4362</v>
      </c>
      <c r="H4947" s="656"/>
      <c r="I4947" s="656"/>
      <c r="J4947" s="656"/>
      <c r="K4947" s="656"/>
      <c r="L4947" s="656"/>
      <c r="M4947" s="657"/>
      <c r="N4947" s="1482"/>
      <c r="O4947" s="656" t="s">
        <v>498</v>
      </c>
      <c r="P4947" s="656" t="s">
        <v>13052</v>
      </c>
      <c r="Q4947" s="656">
        <v>44216.759780092594</v>
      </c>
    </row>
    <row r="4948" spans="1:17">
      <c r="A4948" s="656" t="s">
        <v>7110</v>
      </c>
      <c r="B4948" s="657" t="s">
        <v>504</v>
      </c>
      <c r="C4948" s="656" t="s">
        <v>7111</v>
      </c>
      <c r="D4948" s="657"/>
      <c r="E4948" s="657"/>
      <c r="F4948" s="656"/>
      <c r="G4948" s="656" t="s">
        <v>4362</v>
      </c>
      <c r="H4948" s="656"/>
      <c r="I4948" s="656"/>
      <c r="J4948" s="656"/>
      <c r="K4948" s="656"/>
      <c r="L4948" s="656"/>
      <c r="M4948" s="657"/>
      <c r="N4948" s="1482"/>
      <c r="O4948" s="656" t="s">
        <v>498</v>
      </c>
      <c r="P4948" s="656" t="s">
        <v>13052</v>
      </c>
      <c r="Q4948" s="656">
        <v>44216.759768518517</v>
      </c>
    </row>
    <row r="4949" spans="1:17">
      <c r="A4949" s="656" t="s">
        <v>7112</v>
      </c>
      <c r="B4949" s="657" t="s">
        <v>504</v>
      </c>
      <c r="C4949" s="656" t="s">
        <v>7113</v>
      </c>
      <c r="D4949" s="657"/>
      <c r="E4949" s="657"/>
      <c r="F4949" s="656"/>
      <c r="G4949" s="656" t="s">
        <v>4362</v>
      </c>
      <c r="H4949" s="656"/>
      <c r="I4949" s="656"/>
      <c r="J4949" s="656"/>
      <c r="K4949" s="656"/>
      <c r="L4949" s="656"/>
      <c r="M4949" s="657"/>
      <c r="N4949" s="1482"/>
      <c r="O4949" s="656" t="s">
        <v>498</v>
      </c>
      <c r="P4949" s="656" t="s">
        <v>13052</v>
      </c>
      <c r="Q4949" s="656">
        <v>44216.759780092594</v>
      </c>
    </row>
    <row r="4950" spans="1:17">
      <c r="A4950" s="656" t="s">
        <v>7114</v>
      </c>
      <c r="B4950" s="657" t="s">
        <v>504</v>
      </c>
      <c r="C4950" s="656" t="s">
        <v>7115</v>
      </c>
      <c r="D4950" s="657"/>
      <c r="E4950" s="657"/>
      <c r="F4950" s="656"/>
      <c r="G4950" s="656" t="s">
        <v>4362</v>
      </c>
      <c r="H4950" s="656"/>
      <c r="I4950" s="656"/>
      <c r="J4950" s="656"/>
      <c r="K4950" s="656"/>
      <c r="L4950" s="656"/>
      <c r="M4950" s="657"/>
      <c r="N4950" s="1482"/>
      <c r="O4950" s="656" t="s">
        <v>498</v>
      </c>
      <c r="P4950" s="656" t="s">
        <v>13052</v>
      </c>
      <c r="Q4950" s="656">
        <v>44216.759768518517</v>
      </c>
    </row>
    <row r="4951" spans="1:17">
      <c r="A4951" s="656" t="s">
        <v>7116</v>
      </c>
      <c r="B4951" s="657" t="s">
        <v>504</v>
      </c>
      <c r="C4951" s="656" t="s">
        <v>7117</v>
      </c>
      <c r="D4951" s="657"/>
      <c r="E4951" s="657"/>
      <c r="F4951" s="656"/>
      <c r="G4951" s="656" t="s">
        <v>4362</v>
      </c>
      <c r="H4951" s="656"/>
      <c r="I4951" s="656"/>
      <c r="J4951" s="656"/>
      <c r="K4951" s="656"/>
      <c r="L4951" s="656"/>
      <c r="M4951" s="657"/>
      <c r="N4951" s="1482"/>
      <c r="O4951" s="656" t="s">
        <v>498</v>
      </c>
      <c r="P4951" s="656" t="s">
        <v>13052</v>
      </c>
      <c r="Q4951" s="656">
        <v>44216.759756944448</v>
      </c>
    </row>
    <row r="4952" spans="1:17">
      <c r="A4952" s="656" t="s">
        <v>7118</v>
      </c>
      <c r="B4952" s="657" t="s">
        <v>504</v>
      </c>
      <c r="C4952" s="656" t="s">
        <v>7119</v>
      </c>
      <c r="D4952" s="657"/>
      <c r="E4952" s="657"/>
      <c r="F4952" s="656"/>
      <c r="G4952" s="656" t="s">
        <v>4362</v>
      </c>
      <c r="H4952" s="656"/>
      <c r="I4952" s="656"/>
      <c r="J4952" s="656"/>
      <c r="K4952" s="656"/>
      <c r="L4952" s="656"/>
      <c r="M4952" s="657"/>
      <c r="N4952" s="1482"/>
      <c r="O4952" s="656" t="s">
        <v>498</v>
      </c>
      <c r="P4952" s="656" t="s">
        <v>13052</v>
      </c>
      <c r="Q4952" s="656">
        <v>44216.759745370371</v>
      </c>
    </row>
    <row r="4953" spans="1:17">
      <c r="A4953" s="656" t="s">
        <v>14203</v>
      </c>
      <c r="B4953" s="657" t="s">
        <v>202</v>
      </c>
      <c r="C4953" s="656" t="s">
        <v>14204</v>
      </c>
      <c r="D4953" s="657" t="s">
        <v>13789</v>
      </c>
      <c r="E4953" s="657"/>
      <c r="F4953" s="656"/>
      <c r="G4953" s="656" t="s">
        <v>5238</v>
      </c>
      <c r="H4953" s="656"/>
      <c r="I4953" s="656" t="s">
        <v>14976</v>
      </c>
      <c r="J4953" s="656"/>
      <c r="K4953" s="656"/>
      <c r="L4953" s="656"/>
      <c r="M4953" s="657"/>
      <c r="N4953" s="1482"/>
      <c r="O4953" s="656" t="s">
        <v>498</v>
      </c>
      <c r="P4953" s="656" t="s">
        <v>13052</v>
      </c>
      <c r="Q4953" s="656">
        <v>44216.759745370371</v>
      </c>
    </row>
    <row r="4954" spans="1:17">
      <c r="A4954" s="656" t="s">
        <v>14201</v>
      </c>
      <c r="B4954" s="657" t="s">
        <v>202</v>
      </c>
      <c r="C4954" s="656" t="s">
        <v>14202</v>
      </c>
      <c r="D4954" s="657" t="s">
        <v>13789</v>
      </c>
      <c r="E4954" s="657"/>
      <c r="F4954" s="656"/>
      <c r="G4954" s="656" t="s">
        <v>5238</v>
      </c>
      <c r="H4954" s="656"/>
      <c r="I4954" s="656" t="s">
        <v>14976</v>
      </c>
      <c r="J4954" s="656"/>
      <c r="K4954" s="656"/>
      <c r="L4954" s="656"/>
      <c r="M4954" s="657"/>
      <c r="N4954" s="1482"/>
      <c r="O4954" s="656" t="s">
        <v>498</v>
      </c>
      <c r="P4954" s="656" t="s">
        <v>13052</v>
      </c>
      <c r="Q4954" s="656">
        <v>44216.759733796294</v>
      </c>
    </row>
    <row r="4955" spans="1:17">
      <c r="A4955" s="656" t="s">
        <v>7120</v>
      </c>
      <c r="B4955" s="657" t="s">
        <v>504</v>
      </c>
      <c r="C4955" s="656" t="s">
        <v>7121</v>
      </c>
      <c r="D4955" s="657"/>
      <c r="E4955" s="657"/>
      <c r="F4955" s="656"/>
      <c r="G4955" s="656" t="s">
        <v>5238</v>
      </c>
      <c r="H4955" s="656"/>
      <c r="I4955" s="656"/>
      <c r="J4955" s="656"/>
      <c r="K4955" s="656"/>
      <c r="L4955" s="656"/>
      <c r="M4955" s="657"/>
      <c r="N4955" s="1482"/>
      <c r="O4955" s="656" t="s">
        <v>498</v>
      </c>
      <c r="P4955" s="656" t="s">
        <v>13052</v>
      </c>
      <c r="Q4955" s="656">
        <v>44216.759733796294</v>
      </c>
    </row>
    <row r="4956" spans="1:17">
      <c r="A4956" s="656" t="s">
        <v>7122</v>
      </c>
      <c r="B4956" s="657" t="s">
        <v>504</v>
      </c>
      <c r="C4956" s="656" t="s">
        <v>7123</v>
      </c>
      <c r="D4956" s="657"/>
      <c r="E4956" s="657"/>
      <c r="F4956" s="656" t="s">
        <v>505</v>
      </c>
      <c r="G4956" s="656" t="s">
        <v>4324</v>
      </c>
      <c r="H4956" s="656" t="s">
        <v>505</v>
      </c>
      <c r="I4956" s="656"/>
      <c r="J4956" s="656"/>
      <c r="K4956" s="656"/>
      <c r="L4956" s="656"/>
      <c r="M4956" s="657"/>
      <c r="N4956" s="1482"/>
      <c r="O4956" s="656" t="s">
        <v>498</v>
      </c>
      <c r="P4956" s="656" t="s">
        <v>13052</v>
      </c>
      <c r="Q4956" s="656">
        <v>44216.759722222225</v>
      </c>
    </row>
    <row r="4957" spans="1:17">
      <c r="A4957" s="656" t="s">
        <v>7124</v>
      </c>
      <c r="B4957" s="657" t="s">
        <v>504</v>
      </c>
      <c r="C4957" s="656" t="s">
        <v>7125</v>
      </c>
      <c r="D4957" s="657"/>
      <c r="E4957" s="657"/>
      <c r="F4957" s="656" t="s">
        <v>505</v>
      </c>
      <c r="G4957" s="656" t="s">
        <v>4324</v>
      </c>
      <c r="H4957" s="656" t="s">
        <v>505</v>
      </c>
      <c r="I4957" s="656"/>
      <c r="J4957" s="656"/>
      <c r="K4957" s="656"/>
      <c r="L4957" s="656"/>
      <c r="M4957" s="657"/>
      <c r="N4957" s="1482"/>
      <c r="O4957" s="656" t="s">
        <v>498</v>
      </c>
      <c r="P4957" s="656" t="s">
        <v>13052</v>
      </c>
      <c r="Q4957" s="656">
        <v>44216.759722222225</v>
      </c>
    </row>
    <row r="4958" spans="1:17">
      <c r="A4958" s="656" t="s">
        <v>7126</v>
      </c>
      <c r="B4958" s="657" t="s">
        <v>504</v>
      </c>
      <c r="C4958" s="656" t="s">
        <v>7127</v>
      </c>
      <c r="D4958" s="657"/>
      <c r="E4958" s="657"/>
      <c r="F4958" s="656" t="s">
        <v>505</v>
      </c>
      <c r="G4958" s="656" t="s">
        <v>4324</v>
      </c>
      <c r="H4958" s="656" t="s">
        <v>505</v>
      </c>
      <c r="I4958" s="656"/>
      <c r="J4958" s="656"/>
      <c r="K4958" s="656"/>
      <c r="L4958" s="656"/>
      <c r="M4958" s="657"/>
      <c r="N4958" s="1482"/>
      <c r="O4958" s="656" t="s">
        <v>498</v>
      </c>
      <c r="P4958" s="656" t="s">
        <v>13052</v>
      </c>
      <c r="Q4958" s="656">
        <v>44216.759710648148</v>
      </c>
    </row>
    <row r="4959" spans="1:17">
      <c r="A4959" s="656" t="s">
        <v>7128</v>
      </c>
      <c r="B4959" s="657" t="s">
        <v>504</v>
      </c>
      <c r="C4959" s="656" t="s">
        <v>7129</v>
      </c>
      <c r="D4959" s="657"/>
      <c r="E4959" s="657"/>
      <c r="F4959" s="656" t="s">
        <v>505</v>
      </c>
      <c r="G4959" s="656" t="s">
        <v>4324</v>
      </c>
      <c r="H4959" s="656" t="s">
        <v>505</v>
      </c>
      <c r="I4959" s="656"/>
      <c r="J4959" s="656"/>
      <c r="K4959" s="656"/>
      <c r="L4959" s="656"/>
      <c r="M4959" s="657"/>
      <c r="N4959" s="1482"/>
      <c r="O4959" s="656" t="s">
        <v>498</v>
      </c>
      <c r="P4959" s="656" t="s">
        <v>13052</v>
      </c>
      <c r="Q4959" s="656">
        <v>44216.759710648148</v>
      </c>
    </row>
    <row r="4960" spans="1:17">
      <c r="A4960" s="656" t="s">
        <v>7130</v>
      </c>
      <c r="B4960" s="657" t="s">
        <v>504</v>
      </c>
      <c r="C4960" s="656" t="s">
        <v>7131</v>
      </c>
      <c r="D4960" s="657"/>
      <c r="E4960" s="657"/>
      <c r="F4960" s="656" t="s">
        <v>505</v>
      </c>
      <c r="G4960" s="656" t="s">
        <v>4394</v>
      </c>
      <c r="H4960" s="656" t="s">
        <v>505</v>
      </c>
      <c r="I4960" s="656"/>
      <c r="J4960" s="656"/>
      <c r="K4960" s="656"/>
      <c r="L4960" s="656"/>
      <c r="M4960" s="657"/>
      <c r="N4960" s="1482"/>
      <c r="O4960" s="656" t="s">
        <v>498</v>
      </c>
      <c r="P4960" s="656" t="s">
        <v>13052</v>
      </c>
      <c r="Q4960" s="656">
        <v>44216.759710648148</v>
      </c>
    </row>
    <row r="4961" spans="1:17">
      <c r="A4961" s="656" t="s">
        <v>7132</v>
      </c>
      <c r="B4961" s="657" t="s">
        <v>504</v>
      </c>
      <c r="C4961" s="656" t="s">
        <v>7133</v>
      </c>
      <c r="D4961" s="657"/>
      <c r="E4961" s="657"/>
      <c r="F4961" s="656"/>
      <c r="G4961" s="656" t="s">
        <v>4347</v>
      </c>
      <c r="H4961" s="656"/>
      <c r="I4961" s="656"/>
      <c r="J4961" s="656"/>
      <c r="K4961" s="656"/>
      <c r="L4961" s="656"/>
      <c r="M4961" s="657"/>
      <c r="N4961" s="1482"/>
      <c r="O4961" s="656" t="s">
        <v>498</v>
      </c>
      <c r="P4961" s="656" t="s">
        <v>13052</v>
      </c>
      <c r="Q4961" s="656">
        <v>44216.759699074071</v>
      </c>
    </row>
    <row r="4962" spans="1:17">
      <c r="A4962" s="656" t="s">
        <v>7134</v>
      </c>
      <c r="B4962" s="657" t="s">
        <v>504</v>
      </c>
      <c r="C4962" s="656" t="s">
        <v>7135</v>
      </c>
      <c r="D4962" s="657"/>
      <c r="E4962" s="657"/>
      <c r="F4962" s="656"/>
      <c r="G4962" s="656" t="s">
        <v>4347</v>
      </c>
      <c r="H4962" s="656"/>
      <c r="I4962" s="656"/>
      <c r="J4962" s="656"/>
      <c r="K4962" s="656"/>
      <c r="L4962" s="656"/>
      <c r="M4962" s="657"/>
      <c r="N4962" s="1482"/>
      <c r="O4962" s="656" t="s">
        <v>498</v>
      </c>
      <c r="P4962" s="656" t="s">
        <v>13052</v>
      </c>
      <c r="Q4962" s="656">
        <v>44216.759687500002</v>
      </c>
    </row>
    <row r="4963" spans="1:17">
      <c r="A4963" s="656" t="s">
        <v>7136</v>
      </c>
      <c r="B4963" s="657" t="s">
        <v>504</v>
      </c>
      <c r="C4963" s="656" t="s">
        <v>7137</v>
      </c>
      <c r="D4963" s="657"/>
      <c r="E4963" s="657"/>
      <c r="F4963" s="656"/>
      <c r="G4963" s="656" t="s">
        <v>4347</v>
      </c>
      <c r="H4963" s="656"/>
      <c r="I4963" s="656"/>
      <c r="J4963" s="656"/>
      <c r="K4963" s="656"/>
      <c r="L4963" s="656"/>
      <c r="M4963" s="657"/>
      <c r="N4963" s="1482"/>
      <c r="O4963" s="656" t="s">
        <v>498</v>
      </c>
      <c r="P4963" s="656" t="s">
        <v>13052</v>
      </c>
      <c r="Q4963" s="656">
        <v>44216.759687500002</v>
      </c>
    </row>
    <row r="4964" spans="1:17">
      <c r="A4964" s="656" t="s">
        <v>7138</v>
      </c>
      <c r="B4964" s="657" t="s">
        <v>504</v>
      </c>
      <c r="C4964" s="656" t="s">
        <v>7139</v>
      </c>
      <c r="D4964" s="657"/>
      <c r="E4964" s="657"/>
      <c r="F4964" s="656"/>
      <c r="G4964" s="656" t="s">
        <v>4347</v>
      </c>
      <c r="H4964" s="656"/>
      <c r="I4964" s="656"/>
      <c r="J4964" s="656"/>
      <c r="K4964" s="656"/>
      <c r="L4964" s="656"/>
      <c r="M4964" s="657"/>
      <c r="N4964" s="1482"/>
      <c r="O4964" s="656" t="s">
        <v>498</v>
      </c>
      <c r="P4964" s="656" t="s">
        <v>13052</v>
      </c>
      <c r="Q4964" s="656">
        <v>44216.759687500002</v>
      </c>
    </row>
    <row r="4965" spans="1:17">
      <c r="A4965" s="656" t="s">
        <v>7140</v>
      </c>
      <c r="B4965" s="657" t="s">
        <v>504</v>
      </c>
      <c r="C4965" s="656" t="s">
        <v>7141</v>
      </c>
      <c r="D4965" s="657"/>
      <c r="E4965" s="657"/>
      <c r="F4965" s="656"/>
      <c r="G4965" s="656" t="s">
        <v>4347</v>
      </c>
      <c r="H4965" s="656"/>
      <c r="I4965" s="656"/>
      <c r="J4965" s="656"/>
      <c r="K4965" s="656"/>
      <c r="L4965" s="656"/>
      <c r="M4965" s="657"/>
      <c r="N4965" s="1482"/>
      <c r="O4965" s="656" t="s">
        <v>498</v>
      </c>
      <c r="P4965" s="656" t="s">
        <v>13052</v>
      </c>
      <c r="Q4965" s="656">
        <v>44216.759675925925</v>
      </c>
    </row>
    <row r="4966" spans="1:17">
      <c r="A4966" s="656" t="s">
        <v>7142</v>
      </c>
      <c r="B4966" s="657" t="s">
        <v>504</v>
      </c>
      <c r="C4966" s="656" t="s">
        <v>7143</v>
      </c>
      <c r="D4966" s="657"/>
      <c r="E4966" s="657"/>
      <c r="F4966" s="656"/>
      <c r="G4966" s="656" t="s">
        <v>4347</v>
      </c>
      <c r="H4966" s="656"/>
      <c r="I4966" s="656"/>
      <c r="J4966" s="656"/>
      <c r="K4966" s="656"/>
      <c r="L4966" s="656"/>
      <c r="M4966" s="657"/>
      <c r="N4966" s="1482"/>
      <c r="O4966" s="656" t="s">
        <v>498</v>
      </c>
      <c r="P4966" s="656" t="s">
        <v>13052</v>
      </c>
      <c r="Q4966" s="656">
        <v>44216.759664351855</v>
      </c>
    </row>
    <row r="4967" spans="1:17">
      <c r="A4967" s="656" t="s">
        <v>7144</v>
      </c>
      <c r="B4967" s="657" t="s">
        <v>504</v>
      </c>
      <c r="C4967" s="656" t="s">
        <v>7145</v>
      </c>
      <c r="D4967" s="657"/>
      <c r="E4967" s="657"/>
      <c r="F4967" s="656"/>
      <c r="G4967" s="656" t="s">
        <v>4347</v>
      </c>
      <c r="H4967" s="656"/>
      <c r="I4967" s="656"/>
      <c r="J4967" s="656"/>
      <c r="K4967" s="656"/>
      <c r="L4967" s="656"/>
      <c r="M4967" s="657"/>
      <c r="N4967" s="1482"/>
      <c r="O4967" s="656" t="s">
        <v>498</v>
      </c>
      <c r="P4967" s="656" t="s">
        <v>13052</v>
      </c>
      <c r="Q4967" s="656">
        <v>44216.759664351855</v>
      </c>
    </row>
    <row r="4968" spans="1:17">
      <c r="A4968" s="656" t="s">
        <v>7146</v>
      </c>
      <c r="B4968" s="657" t="s">
        <v>504</v>
      </c>
      <c r="C4968" s="656" t="s">
        <v>7147</v>
      </c>
      <c r="D4968" s="657"/>
      <c r="E4968" s="657"/>
      <c r="F4968" s="656"/>
      <c r="G4968" s="656" t="s">
        <v>4347</v>
      </c>
      <c r="H4968" s="656"/>
      <c r="I4968" s="656"/>
      <c r="J4968" s="656"/>
      <c r="K4968" s="656"/>
      <c r="L4968" s="656"/>
      <c r="M4968" s="657"/>
      <c r="N4968" s="1482"/>
      <c r="O4968" s="656" t="s">
        <v>498</v>
      </c>
      <c r="P4968" s="656" t="s">
        <v>13052</v>
      </c>
      <c r="Q4968" s="656">
        <v>44216.759652777779</v>
      </c>
    </row>
    <row r="4969" spans="1:17">
      <c r="A4969" s="656" t="s">
        <v>7148</v>
      </c>
      <c r="B4969" s="657" t="s">
        <v>504</v>
      </c>
      <c r="C4969" s="656" t="s">
        <v>7149</v>
      </c>
      <c r="D4969" s="657"/>
      <c r="E4969" s="657"/>
      <c r="F4969" s="656"/>
      <c r="G4969" s="656" t="s">
        <v>4347</v>
      </c>
      <c r="H4969" s="656"/>
      <c r="I4969" s="656"/>
      <c r="J4969" s="656"/>
      <c r="K4969" s="656"/>
      <c r="L4969" s="656"/>
      <c r="M4969" s="657"/>
      <c r="N4969" s="1482"/>
      <c r="O4969" s="656" t="s">
        <v>498</v>
      </c>
      <c r="P4969" s="656" t="s">
        <v>13052</v>
      </c>
      <c r="Q4969" s="656">
        <v>44216.759652777779</v>
      </c>
    </row>
    <row r="4970" spans="1:17">
      <c r="A4970" s="656" t="s">
        <v>14195</v>
      </c>
      <c r="B4970" s="657" t="s">
        <v>202</v>
      </c>
      <c r="C4970" s="656" t="s">
        <v>14196</v>
      </c>
      <c r="D4970" s="657" t="s">
        <v>13789</v>
      </c>
      <c r="E4970" s="657"/>
      <c r="F4970" s="656"/>
      <c r="G4970" s="656" t="s">
        <v>5661</v>
      </c>
      <c r="H4970" s="656"/>
      <c r="I4970" s="656" t="s">
        <v>14976</v>
      </c>
      <c r="J4970" s="656"/>
      <c r="K4970" s="656"/>
      <c r="L4970" s="656"/>
      <c r="M4970" s="657"/>
      <c r="N4970" s="1482"/>
      <c r="O4970" s="656" t="s">
        <v>498</v>
      </c>
      <c r="P4970" s="656" t="s">
        <v>13052</v>
      </c>
      <c r="Q4970" s="656">
        <v>44216.759641203702</v>
      </c>
    </row>
    <row r="4971" spans="1:17">
      <c r="A4971" s="656" t="s">
        <v>14193</v>
      </c>
      <c r="B4971" s="657" t="s">
        <v>202</v>
      </c>
      <c r="C4971" s="656" t="s">
        <v>14194</v>
      </c>
      <c r="D4971" s="657" t="s">
        <v>13789</v>
      </c>
      <c r="E4971" s="657"/>
      <c r="F4971" s="656"/>
      <c r="G4971" s="656" t="s">
        <v>5661</v>
      </c>
      <c r="H4971" s="656"/>
      <c r="I4971" s="656" t="s">
        <v>14976</v>
      </c>
      <c r="J4971" s="656"/>
      <c r="K4971" s="656"/>
      <c r="L4971" s="656"/>
      <c r="M4971" s="657"/>
      <c r="N4971" s="1482"/>
      <c r="O4971" s="656" t="s">
        <v>498</v>
      </c>
      <c r="P4971" s="656" t="s">
        <v>13052</v>
      </c>
      <c r="Q4971" s="656">
        <v>44216.759641203702</v>
      </c>
    </row>
    <row r="4972" spans="1:17">
      <c r="A4972" s="656" t="s">
        <v>14191</v>
      </c>
      <c r="B4972" s="657" t="s">
        <v>202</v>
      </c>
      <c r="C4972" s="656" t="s">
        <v>14192</v>
      </c>
      <c r="D4972" s="657" t="s">
        <v>13789</v>
      </c>
      <c r="E4972" s="657"/>
      <c r="F4972" s="656"/>
      <c r="G4972" s="656" t="s">
        <v>5661</v>
      </c>
      <c r="H4972" s="656"/>
      <c r="I4972" s="656" t="s">
        <v>14976</v>
      </c>
      <c r="J4972" s="656"/>
      <c r="K4972" s="656"/>
      <c r="L4972" s="656"/>
      <c r="M4972" s="657"/>
      <c r="N4972" s="1482"/>
      <c r="O4972" s="656" t="s">
        <v>498</v>
      </c>
      <c r="P4972" s="656" t="s">
        <v>13052</v>
      </c>
      <c r="Q4972" s="656">
        <v>44216.759641203702</v>
      </c>
    </row>
    <row r="4973" spans="1:17">
      <c r="A4973" s="656" t="s">
        <v>14189</v>
      </c>
      <c r="B4973" s="657" t="s">
        <v>202</v>
      </c>
      <c r="C4973" s="656" t="s">
        <v>14190</v>
      </c>
      <c r="D4973" s="657" t="s">
        <v>13789</v>
      </c>
      <c r="E4973" s="657"/>
      <c r="F4973" s="656"/>
      <c r="G4973" s="656" t="s">
        <v>5661</v>
      </c>
      <c r="H4973" s="656"/>
      <c r="I4973" s="656" t="s">
        <v>14976</v>
      </c>
      <c r="J4973" s="656"/>
      <c r="K4973" s="656"/>
      <c r="L4973" s="656"/>
      <c r="M4973" s="657"/>
      <c r="N4973" s="1482"/>
      <c r="O4973" s="656" t="s">
        <v>498</v>
      </c>
      <c r="P4973" s="656" t="s">
        <v>13052</v>
      </c>
      <c r="Q4973" s="656">
        <v>44216.759629629632</v>
      </c>
    </row>
    <row r="4974" spans="1:17">
      <c r="A4974" s="656" t="s">
        <v>14187</v>
      </c>
      <c r="B4974" s="657" t="s">
        <v>202</v>
      </c>
      <c r="C4974" s="656" t="s">
        <v>14188</v>
      </c>
      <c r="D4974" s="657" t="s">
        <v>13789</v>
      </c>
      <c r="E4974" s="657"/>
      <c r="F4974" s="656"/>
      <c r="G4974" s="656" t="s">
        <v>5661</v>
      </c>
      <c r="H4974" s="656"/>
      <c r="I4974" s="656" t="s">
        <v>14976</v>
      </c>
      <c r="J4974" s="656"/>
      <c r="K4974" s="656"/>
      <c r="L4974" s="656"/>
      <c r="M4974" s="657"/>
      <c r="N4974" s="1482"/>
      <c r="O4974" s="656" t="s">
        <v>498</v>
      </c>
      <c r="P4974" s="656" t="s">
        <v>13052</v>
      </c>
      <c r="Q4974" s="656">
        <v>44216.759629629632</v>
      </c>
    </row>
    <row r="4975" spans="1:17">
      <c r="A4975" s="656" t="s">
        <v>14185</v>
      </c>
      <c r="B4975" s="657" t="s">
        <v>202</v>
      </c>
      <c r="C4975" s="656" t="s">
        <v>14186</v>
      </c>
      <c r="D4975" s="657" t="s">
        <v>13789</v>
      </c>
      <c r="E4975" s="657"/>
      <c r="F4975" s="656"/>
      <c r="G4975" s="656" t="s">
        <v>5661</v>
      </c>
      <c r="H4975" s="656"/>
      <c r="I4975" s="656" t="s">
        <v>14976</v>
      </c>
      <c r="J4975" s="656"/>
      <c r="K4975" s="656"/>
      <c r="L4975" s="656"/>
      <c r="M4975" s="657"/>
      <c r="N4975" s="1482"/>
      <c r="O4975" s="656" t="s">
        <v>498</v>
      </c>
      <c r="P4975" s="656" t="s">
        <v>13052</v>
      </c>
      <c r="Q4975" s="656">
        <v>44216.759618055556</v>
      </c>
    </row>
    <row r="4976" spans="1:17">
      <c r="A4976" s="656" t="s">
        <v>14183</v>
      </c>
      <c r="B4976" s="657" t="s">
        <v>202</v>
      </c>
      <c r="C4976" s="656" t="s">
        <v>14184</v>
      </c>
      <c r="D4976" s="657" t="s">
        <v>13789</v>
      </c>
      <c r="E4976" s="657"/>
      <c r="F4976" s="656"/>
      <c r="G4976" s="656" t="s">
        <v>5661</v>
      </c>
      <c r="H4976" s="656"/>
      <c r="I4976" s="656" t="s">
        <v>14976</v>
      </c>
      <c r="J4976" s="656"/>
      <c r="K4976" s="656"/>
      <c r="L4976" s="656"/>
      <c r="M4976" s="657"/>
      <c r="N4976" s="1482"/>
      <c r="O4976" s="656" t="s">
        <v>498</v>
      </c>
      <c r="P4976" s="656" t="s">
        <v>13052</v>
      </c>
      <c r="Q4976" s="656">
        <v>44216.759618055556</v>
      </c>
    </row>
    <row r="4977" spans="1:17">
      <c r="A4977" s="656" t="s">
        <v>14181</v>
      </c>
      <c r="B4977" s="657" t="s">
        <v>202</v>
      </c>
      <c r="C4977" s="656" t="s">
        <v>14182</v>
      </c>
      <c r="D4977" s="657" t="s">
        <v>13789</v>
      </c>
      <c r="E4977" s="657"/>
      <c r="F4977" s="656"/>
      <c r="G4977" s="656" t="s">
        <v>5661</v>
      </c>
      <c r="H4977" s="656"/>
      <c r="I4977" s="656" t="s">
        <v>14976</v>
      </c>
      <c r="J4977" s="656"/>
      <c r="K4977" s="656"/>
      <c r="L4977" s="656"/>
      <c r="M4977" s="657"/>
      <c r="N4977" s="1482"/>
      <c r="O4977" s="656" t="s">
        <v>498</v>
      </c>
      <c r="P4977" s="656" t="s">
        <v>13052</v>
      </c>
      <c r="Q4977" s="656">
        <v>44216.759606481479</v>
      </c>
    </row>
    <row r="4978" spans="1:17">
      <c r="A4978" s="656" t="s">
        <v>14179</v>
      </c>
      <c r="B4978" s="657" t="s">
        <v>202</v>
      </c>
      <c r="C4978" s="656" t="s">
        <v>14180</v>
      </c>
      <c r="D4978" s="657" t="s">
        <v>13789</v>
      </c>
      <c r="E4978" s="657"/>
      <c r="F4978" s="656"/>
      <c r="G4978" s="656" t="s">
        <v>5661</v>
      </c>
      <c r="H4978" s="656"/>
      <c r="I4978" s="656" t="s">
        <v>14976</v>
      </c>
      <c r="J4978" s="656"/>
      <c r="K4978" s="656"/>
      <c r="L4978" s="656"/>
      <c r="M4978" s="657"/>
      <c r="N4978" s="1482"/>
      <c r="O4978" s="656" t="s">
        <v>498</v>
      </c>
      <c r="P4978" s="656" t="s">
        <v>13052</v>
      </c>
      <c r="Q4978" s="656">
        <v>44216.759606481479</v>
      </c>
    </row>
    <row r="4979" spans="1:17">
      <c r="A4979" s="656" t="s">
        <v>14175</v>
      </c>
      <c r="B4979" s="657" t="s">
        <v>202</v>
      </c>
      <c r="C4979" s="656" t="s">
        <v>14176</v>
      </c>
      <c r="D4979" s="657" t="s">
        <v>13789</v>
      </c>
      <c r="E4979" s="657"/>
      <c r="F4979" s="656"/>
      <c r="G4979" s="656" t="s">
        <v>5661</v>
      </c>
      <c r="H4979" s="656"/>
      <c r="I4979" s="656" t="s">
        <v>14976</v>
      </c>
      <c r="J4979" s="656"/>
      <c r="K4979" s="656"/>
      <c r="L4979" s="656"/>
      <c r="M4979" s="657"/>
      <c r="N4979" s="1482"/>
      <c r="O4979" s="656" t="s">
        <v>498</v>
      </c>
      <c r="P4979" s="656" t="s">
        <v>13052</v>
      </c>
      <c r="Q4979" s="656">
        <v>44216.759606481479</v>
      </c>
    </row>
    <row r="4980" spans="1:17">
      <c r="A4980" s="656" t="s">
        <v>7150</v>
      </c>
      <c r="B4980" s="657" t="s">
        <v>504</v>
      </c>
      <c r="C4980" s="656" t="s">
        <v>7151</v>
      </c>
      <c r="D4980" s="657"/>
      <c r="E4980" s="657"/>
      <c r="F4980" s="656" t="s">
        <v>505</v>
      </c>
      <c r="G4980" s="656" t="s">
        <v>4394</v>
      </c>
      <c r="H4980" s="656" t="s">
        <v>505</v>
      </c>
      <c r="I4980" s="656"/>
      <c r="J4980" s="656"/>
      <c r="K4980" s="656"/>
      <c r="L4980" s="656"/>
      <c r="M4980" s="657"/>
      <c r="N4980" s="1482"/>
      <c r="O4980" s="656" t="s">
        <v>498</v>
      </c>
      <c r="P4980" s="656" t="s">
        <v>13052</v>
      </c>
      <c r="Q4980" s="656">
        <v>44216.759594907409</v>
      </c>
    </row>
    <row r="4981" spans="1:17">
      <c r="A4981" s="656" t="s">
        <v>7152</v>
      </c>
      <c r="B4981" s="657" t="s">
        <v>504</v>
      </c>
      <c r="C4981" s="656" t="s">
        <v>7153</v>
      </c>
      <c r="D4981" s="657"/>
      <c r="E4981" s="657"/>
      <c r="F4981" s="656" t="s">
        <v>505</v>
      </c>
      <c r="G4981" s="656" t="s">
        <v>4394</v>
      </c>
      <c r="H4981" s="656" t="s">
        <v>505</v>
      </c>
      <c r="I4981" s="656"/>
      <c r="J4981" s="656"/>
      <c r="K4981" s="656"/>
      <c r="L4981" s="656"/>
      <c r="M4981" s="657"/>
      <c r="N4981" s="1482"/>
      <c r="O4981" s="656" t="s">
        <v>498</v>
      </c>
      <c r="P4981" s="656" t="s">
        <v>13052</v>
      </c>
      <c r="Q4981" s="656">
        <v>44216.759594907409</v>
      </c>
    </row>
    <row r="4982" spans="1:17">
      <c r="A4982" s="656" t="s">
        <v>7154</v>
      </c>
      <c r="B4982" s="657" t="s">
        <v>504</v>
      </c>
      <c r="C4982" s="656" t="s">
        <v>7155</v>
      </c>
      <c r="D4982" s="657"/>
      <c r="E4982" s="657"/>
      <c r="F4982" s="656" t="s">
        <v>505</v>
      </c>
      <c r="G4982" s="656" t="s">
        <v>4394</v>
      </c>
      <c r="H4982" s="656" t="s">
        <v>505</v>
      </c>
      <c r="I4982" s="656"/>
      <c r="J4982" s="656"/>
      <c r="K4982" s="656"/>
      <c r="L4982" s="656"/>
      <c r="M4982" s="657"/>
      <c r="N4982" s="1482"/>
      <c r="O4982" s="656" t="s">
        <v>498</v>
      </c>
      <c r="P4982" s="656" t="s">
        <v>13052</v>
      </c>
      <c r="Q4982" s="656">
        <v>44216.759583333333</v>
      </c>
    </row>
    <row r="4983" spans="1:17">
      <c r="A4983" s="656" t="s">
        <v>7156</v>
      </c>
      <c r="B4983" s="657" t="s">
        <v>504</v>
      </c>
      <c r="C4983" s="656" t="s">
        <v>7157</v>
      </c>
      <c r="D4983" s="657"/>
      <c r="E4983" s="657"/>
      <c r="F4983" s="656" t="s">
        <v>505</v>
      </c>
      <c r="G4983" s="656" t="s">
        <v>4394</v>
      </c>
      <c r="H4983" s="656" t="s">
        <v>505</v>
      </c>
      <c r="I4983" s="656"/>
      <c r="J4983" s="656"/>
      <c r="K4983" s="656"/>
      <c r="L4983" s="656"/>
      <c r="M4983" s="657"/>
      <c r="N4983" s="1482"/>
      <c r="O4983" s="656" t="s">
        <v>498</v>
      </c>
      <c r="P4983" s="656" t="s">
        <v>13052</v>
      </c>
      <c r="Q4983" s="656">
        <v>44216.759583333333</v>
      </c>
    </row>
    <row r="4984" spans="1:17">
      <c r="A4984" s="656" t="s">
        <v>7158</v>
      </c>
      <c r="B4984" s="657" t="s">
        <v>504</v>
      </c>
      <c r="C4984" s="656" t="s">
        <v>7159</v>
      </c>
      <c r="D4984" s="657"/>
      <c r="E4984" s="657"/>
      <c r="F4984" s="656" t="s">
        <v>505</v>
      </c>
      <c r="G4984" s="656" t="s">
        <v>4394</v>
      </c>
      <c r="H4984" s="656" t="s">
        <v>505</v>
      </c>
      <c r="I4984" s="656"/>
      <c r="J4984" s="656"/>
      <c r="K4984" s="656"/>
      <c r="L4984" s="656"/>
      <c r="M4984" s="657"/>
      <c r="N4984" s="1482"/>
      <c r="O4984" s="656" t="s">
        <v>498</v>
      </c>
      <c r="P4984" s="656" t="s">
        <v>13052</v>
      </c>
      <c r="Q4984" s="656">
        <v>44216.759571759256</v>
      </c>
    </row>
    <row r="4985" spans="1:17">
      <c r="A4985" s="656" t="s">
        <v>7160</v>
      </c>
      <c r="B4985" s="657" t="s">
        <v>504</v>
      </c>
      <c r="C4985" s="656" t="s">
        <v>7161</v>
      </c>
      <c r="D4985" s="657"/>
      <c r="E4985" s="657"/>
      <c r="F4985" s="656" t="s">
        <v>505</v>
      </c>
      <c r="G4985" s="656" t="s">
        <v>4394</v>
      </c>
      <c r="H4985" s="656" t="s">
        <v>505</v>
      </c>
      <c r="I4985" s="656"/>
      <c r="J4985" s="656"/>
      <c r="K4985" s="656"/>
      <c r="L4985" s="656"/>
      <c r="M4985" s="657"/>
      <c r="N4985" s="1482"/>
      <c r="O4985" s="656" t="s">
        <v>498</v>
      </c>
      <c r="P4985" s="656" t="s">
        <v>13052</v>
      </c>
      <c r="Q4985" s="656">
        <v>44216.759571759256</v>
      </c>
    </row>
    <row r="4986" spans="1:17">
      <c r="A4986" s="656" t="s">
        <v>7162</v>
      </c>
      <c r="B4986" s="657" t="s">
        <v>504</v>
      </c>
      <c r="C4986" s="656" t="s">
        <v>7163</v>
      </c>
      <c r="D4986" s="657"/>
      <c r="E4986" s="657"/>
      <c r="F4986" s="656" t="s">
        <v>505</v>
      </c>
      <c r="G4986" s="656" t="s">
        <v>4394</v>
      </c>
      <c r="H4986" s="656" t="s">
        <v>505</v>
      </c>
      <c r="I4986" s="656"/>
      <c r="J4986" s="656"/>
      <c r="K4986" s="656"/>
      <c r="L4986" s="656"/>
      <c r="M4986" s="657"/>
      <c r="N4986" s="1482"/>
      <c r="O4986" s="656" t="s">
        <v>498</v>
      </c>
      <c r="P4986" s="656" t="s">
        <v>13052</v>
      </c>
      <c r="Q4986" s="656">
        <v>44216.759560185186</v>
      </c>
    </row>
    <row r="4987" spans="1:17">
      <c r="A4987" s="656" t="s">
        <v>7164</v>
      </c>
      <c r="B4987" s="657" t="s">
        <v>504</v>
      </c>
      <c r="C4987" s="656" t="s">
        <v>7165</v>
      </c>
      <c r="D4987" s="657"/>
      <c r="E4987" s="657"/>
      <c r="F4987" s="656" t="s">
        <v>505</v>
      </c>
      <c r="G4987" s="656" t="s">
        <v>4394</v>
      </c>
      <c r="H4987" s="656" t="s">
        <v>505</v>
      </c>
      <c r="I4987" s="656"/>
      <c r="J4987" s="656"/>
      <c r="K4987" s="656"/>
      <c r="L4987" s="656"/>
      <c r="M4987" s="657"/>
      <c r="N4987" s="1482"/>
      <c r="O4987" s="656" t="s">
        <v>498</v>
      </c>
      <c r="P4987" s="656" t="s">
        <v>13052</v>
      </c>
      <c r="Q4987" s="656">
        <v>44216.759560185186</v>
      </c>
    </row>
    <row r="4988" spans="1:17">
      <c r="A4988" s="656" t="s">
        <v>7166</v>
      </c>
      <c r="B4988" s="657" t="s">
        <v>504</v>
      </c>
      <c r="C4988" s="656" t="s">
        <v>7167</v>
      </c>
      <c r="D4988" s="657" t="s">
        <v>14978</v>
      </c>
      <c r="E4988" s="657" t="s">
        <v>7439</v>
      </c>
      <c r="F4988" s="656" t="s">
        <v>505</v>
      </c>
      <c r="G4988" s="656" t="s">
        <v>525</v>
      </c>
      <c r="H4988" s="656" t="s">
        <v>505</v>
      </c>
      <c r="I4988" s="656" t="s">
        <v>14976</v>
      </c>
      <c r="J4988" s="656"/>
      <c r="K4988" s="656"/>
      <c r="L4988" s="656" t="s">
        <v>7168</v>
      </c>
      <c r="M4988" s="657"/>
      <c r="N4988" s="1482"/>
      <c r="O4988" s="656" t="s">
        <v>498</v>
      </c>
      <c r="P4988" s="656" t="s">
        <v>13052</v>
      </c>
      <c r="Q4988" s="656">
        <v>44216.759560185186</v>
      </c>
    </row>
    <row r="4989" spans="1:17">
      <c r="A4989" s="656" t="s">
        <v>7168</v>
      </c>
      <c r="B4989" s="657" t="s">
        <v>504</v>
      </c>
      <c r="C4989" s="656" t="s">
        <v>7169</v>
      </c>
      <c r="D4989" s="657"/>
      <c r="E4989" s="657"/>
      <c r="F4989" s="656" t="s">
        <v>505</v>
      </c>
      <c r="G4989" s="656" t="s">
        <v>4394</v>
      </c>
      <c r="H4989" s="656" t="s">
        <v>505</v>
      </c>
      <c r="I4989" s="656"/>
      <c r="J4989" s="656"/>
      <c r="K4989" s="656"/>
      <c r="L4989" s="656"/>
      <c r="M4989" s="657"/>
      <c r="N4989" s="1482"/>
      <c r="O4989" s="656" t="s">
        <v>498</v>
      </c>
      <c r="P4989" s="656" t="s">
        <v>13052</v>
      </c>
      <c r="Q4989" s="656">
        <v>44216.759548611109</v>
      </c>
    </row>
    <row r="4990" spans="1:17">
      <c r="A4990" s="656" t="s">
        <v>7170</v>
      </c>
      <c r="B4990" s="657" t="s">
        <v>504</v>
      </c>
      <c r="C4990" s="656" t="s">
        <v>7171</v>
      </c>
      <c r="D4990" s="657"/>
      <c r="E4990" s="657"/>
      <c r="F4990" s="656" t="s">
        <v>505</v>
      </c>
      <c r="G4990" s="656" t="s">
        <v>4394</v>
      </c>
      <c r="H4990" s="656" t="s">
        <v>505</v>
      </c>
      <c r="I4990" s="656"/>
      <c r="J4990" s="656"/>
      <c r="K4990" s="656"/>
      <c r="L4990" s="656"/>
      <c r="M4990" s="657"/>
      <c r="N4990" s="1482"/>
      <c r="O4990" s="656" t="s">
        <v>498</v>
      </c>
      <c r="P4990" s="656" t="s">
        <v>13052</v>
      </c>
      <c r="Q4990" s="656">
        <v>44216.759548611109</v>
      </c>
    </row>
    <row r="4991" spans="1:17">
      <c r="A4991" s="656" t="s">
        <v>7172</v>
      </c>
      <c r="B4991" s="657" t="s">
        <v>504</v>
      </c>
      <c r="C4991" s="656" t="s">
        <v>7173</v>
      </c>
      <c r="D4991" s="657"/>
      <c r="E4991" s="657"/>
      <c r="F4991" s="656" t="s">
        <v>505</v>
      </c>
      <c r="G4991" s="656" t="s">
        <v>4394</v>
      </c>
      <c r="H4991" s="656" t="s">
        <v>505</v>
      </c>
      <c r="I4991" s="656"/>
      <c r="J4991" s="656"/>
      <c r="K4991" s="656"/>
      <c r="L4991" s="656"/>
      <c r="M4991" s="657"/>
      <c r="N4991" s="1482"/>
      <c r="O4991" s="656" t="s">
        <v>498</v>
      </c>
      <c r="P4991" s="656" t="s">
        <v>13052</v>
      </c>
      <c r="Q4991" s="656">
        <v>44216.75953703704</v>
      </c>
    </row>
    <row r="4992" spans="1:17">
      <c r="A4992" s="656" t="s">
        <v>7174</v>
      </c>
      <c r="B4992" s="657" t="s">
        <v>504</v>
      </c>
      <c r="C4992" s="656" t="s">
        <v>7175</v>
      </c>
      <c r="D4992" s="657"/>
      <c r="E4992" s="657"/>
      <c r="F4992" s="656" t="s">
        <v>505</v>
      </c>
      <c r="G4992" s="656" t="s">
        <v>4394</v>
      </c>
      <c r="H4992" s="656" t="s">
        <v>505</v>
      </c>
      <c r="I4992" s="656"/>
      <c r="J4992" s="656"/>
      <c r="K4992" s="656"/>
      <c r="L4992" s="656"/>
      <c r="M4992" s="657"/>
      <c r="N4992" s="1482"/>
      <c r="O4992" s="656" t="s">
        <v>498</v>
      </c>
      <c r="P4992" s="656" t="s">
        <v>13052</v>
      </c>
      <c r="Q4992" s="656">
        <v>44216.75953703704</v>
      </c>
    </row>
    <row r="4993" spans="1:17">
      <c r="A4993" s="656" t="s">
        <v>7176</v>
      </c>
      <c r="B4993" s="657" t="s">
        <v>504</v>
      </c>
      <c r="C4993" s="656" t="s">
        <v>7177</v>
      </c>
      <c r="D4993" s="657"/>
      <c r="E4993" s="657"/>
      <c r="F4993" s="656" t="s">
        <v>505</v>
      </c>
      <c r="G4993" s="656" t="s">
        <v>4394</v>
      </c>
      <c r="H4993" s="656" t="s">
        <v>505</v>
      </c>
      <c r="I4993" s="656"/>
      <c r="J4993" s="656"/>
      <c r="K4993" s="656"/>
      <c r="L4993" s="656"/>
      <c r="M4993" s="657"/>
      <c r="N4993" s="1482"/>
      <c r="O4993" s="656" t="s">
        <v>498</v>
      </c>
      <c r="P4993" s="656" t="s">
        <v>13052</v>
      </c>
      <c r="Q4993" s="656">
        <v>44216.75953703704</v>
      </c>
    </row>
    <row r="4994" spans="1:17">
      <c r="A4994" s="656" t="s">
        <v>7178</v>
      </c>
      <c r="B4994" s="657" t="s">
        <v>504</v>
      </c>
      <c r="C4994" s="656" t="s">
        <v>7179</v>
      </c>
      <c r="D4994" s="657"/>
      <c r="E4994" s="657"/>
      <c r="F4994" s="656" t="s">
        <v>505</v>
      </c>
      <c r="G4994" s="656" t="s">
        <v>4394</v>
      </c>
      <c r="H4994" s="656" t="s">
        <v>505</v>
      </c>
      <c r="I4994" s="656"/>
      <c r="J4994" s="656"/>
      <c r="K4994" s="656"/>
      <c r="L4994" s="656"/>
      <c r="M4994" s="657"/>
      <c r="N4994" s="1482"/>
      <c r="O4994" s="656" t="s">
        <v>498</v>
      </c>
      <c r="P4994" s="656" t="s">
        <v>13052</v>
      </c>
      <c r="Q4994" s="656">
        <v>44216.759525462963</v>
      </c>
    </row>
    <row r="4995" spans="1:17">
      <c r="A4995" s="656" t="s">
        <v>7180</v>
      </c>
      <c r="B4995" s="657" t="s">
        <v>504</v>
      </c>
      <c r="C4995" s="656" t="s">
        <v>7181</v>
      </c>
      <c r="D4995" s="657"/>
      <c r="E4995" s="657"/>
      <c r="F4995" s="656" t="s">
        <v>505</v>
      </c>
      <c r="G4995" s="656" t="s">
        <v>4394</v>
      </c>
      <c r="H4995" s="656" t="s">
        <v>505</v>
      </c>
      <c r="I4995" s="656"/>
      <c r="J4995" s="656"/>
      <c r="K4995" s="656"/>
      <c r="L4995" s="656"/>
      <c r="M4995" s="657"/>
      <c r="N4995" s="1482"/>
      <c r="O4995" s="656" t="s">
        <v>498</v>
      </c>
      <c r="P4995" s="656" t="s">
        <v>13052</v>
      </c>
      <c r="Q4995" s="656">
        <v>44216.759525462963</v>
      </c>
    </row>
    <row r="4996" spans="1:17">
      <c r="A4996" s="656" t="s">
        <v>7182</v>
      </c>
      <c r="B4996" s="657" t="s">
        <v>504</v>
      </c>
      <c r="C4996" s="656" t="s">
        <v>7183</v>
      </c>
      <c r="D4996" s="657"/>
      <c r="E4996" s="657"/>
      <c r="F4996" s="656" t="s">
        <v>505</v>
      </c>
      <c r="G4996" s="656" t="s">
        <v>4394</v>
      </c>
      <c r="H4996" s="656" t="s">
        <v>505</v>
      </c>
      <c r="I4996" s="656"/>
      <c r="J4996" s="656"/>
      <c r="K4996" s="656"/>
      <c r="L4996" s="656"/>
      <c r="M4996" s="657"/>
      <c r="N4996" s="1482"/>
      <c r="O4996" s="656" t="s">
        <v>498</v>
      </c>
      <c r="P4996" s="656" t="s">
        <v>13052</v>
      </c>
      <c r="Q4996" s="656">
        <v>44216.759513888886</v>
      </c>
    </row>
    <row r="4997" spans="1:17">
      <c r="A4997" s="656" t="s">
        <v>7184</v>
      </c>
      <c r="B4997" s="657" t="s">
        <v>504</v>
      </c>
      <c r="C4997" s="656" t="s">
        <v>7185</v>
      </c>
      <c r="D4997" s="657"/>
      <c r="E4997" s="657"/>
      <c r="F4997" s="656" t="s">
        <v>505</v>
      </c>
      <c r="G4997" s="656" t="s">
        <v>4394</v>
      </c>
      <c r="H4997" s="656" t="s">
        <v>505</v>
      </c>
      <c r="I4997" s="656"/>
      <c r="J4997" s="656"/>
      <c r="K4997" s="656"/>
      <c r="L4997" s="656"/>
      <c r="M4997" s="657"/>
      <c r="N4997" s="1482"/>
      <c r="O4997" s="656" t="s">
        <v>498</v>
      </c>
      <c r="P4997" s="656" t="s">
        <v>13052</v>
      </c>
      <c r="Q4997" s="656">
        <v>44216.759513888886</v>
      </c>
    </row>
    <row r="4998" spans="1:17">
      <c r="A4998" s="656" t="s">
        <v>7186</v>
      </c>
      <c r="B4998" s="657" t="s">
        <v>504</v>
      </c>
      <c r="C4998" s="656" t="s">
        <v>7187</v>
      </c>
      <c r="D4998" s="657"/>
      <c r="E4998" s="657"/>
      <c r="F4998" s="656" t="s">
        <v>505</v>
      </c>
      <c r="G4998" s="656" t="s">
        <v>4394</v>
      </c>
      <c r="H4998" s="656" t="s">
        <v>505</v>
      </c>
      <c r="I4998" s="656"/>
      <c r="J4998" s="656"/>
      <c r="K4998" s="656"/>
      <c r="L4998" s="656"/>
      <c r="M4998" s="657"/>
      <c r="N4998" s="1482"/>
      <c r="O4998" s="656" t="s">
        <v>498</v>
      </c>
      <c r="P4998" s="656" t="s">
        <v>13052</v>
      </c>
      <c r="Q4998" s="656">
        <v>44216.759502314817</v>
      </c>
    </row>
    <row r="4999" spans="1:17">
      <c r="A4999" s="656" t="s">
        <v>7188</v>
      </c>
      <c r="B4999" s="657" t="s">
        <v>504</v>
      </c>
      <c r="C4999" s="656" t="s">
        <v>5804</v>
      </c>
      <c r="D4999" s="657"/>
      <c r="E4999" s="657"/>
      <c r="F4999" s="656" t="s">
        <v>505</v>
      </c>
      <c r="G4999" s="656" t="s">
        <v>4394</v>
      </c>
      <c r="H4999" s="656" t="s">
        <v>505</v>
      </c>
      <c r="I4999" s="656"/>
      <c r="J4999" s="656"/>
      <c r="K4999" s="656"/>
      <c r="L4999" s="656"/>
      <c r="M4999" s="657"/>
      <c r="N4999" s="1482"/>
      <c r="O4999" s="656" t="s">
        <v>498</v>
      </c>
      <c r="P4999" s="656" t="s">
        <v>13052</v>
      </c>
      <c r="Q4999" s="656">
        <v>44216.759502314817</v>
      </c>
    </row>
    <row r="5000" spans="1:17">
      <c r="A5000" s="656" t="s">
        <v>7189</v>
      </c>
      <c r="B5000" s="657" t="s">
        <v>504</v>
      </c>
      <c r="C5000" s="656" t="s">
        <v>5800</v>
      </c>
      <c r="D5000" s="657"/>
      <c r="E5000" s="657"/>
      <c r="F5000" s="656" t="s">
        <v>505</v>
      </c>
      <c r="G5000" s="656" t="s">
        <v>4394</v>
      </c>
      <c r="H5000" s="656" t="s">
        <v>505</v>
      </c>
      <c r="I5000" s="656"/>
      <c r="J5000" s="656"/>
      <c r="K5000" s="656"/>
      <c r="L5000" s="656"/>
      <c r="M5000" s="657"/>
      <c r="N5000" s="1482"/>
      <c r="O5000" s="656" t="s">
        <v>498</v>
      </c>
      <c r="P5000" s="656" t="s">
        <v>13052</v>
      </c>
      <c r="Q5000" s="656">
        <v>44216.759502314817</v>
      </c>
    </row>
    <row r="5001" spans="1:17">
      <c r="A5001" s="656" t="s">
        <v>7190</v>
      </c>
      <c r="B5001" s="657" t="s">
        <v>504</v>
      </c>
      <c r="C5001" s="656" t="s">
        <v>5802</v>
      </c>
      <c r="D5001" s="657"/>
      <c r="E5001" s="657"/>
      <c r="F5001" s="656" t="s">
        <v>505</v>
      </c>
      <c r="G5001" s="656" t="s">
        <v>4394</v>
      </c>
      <c r="H5001" s="656" t="s">
        <v>505</v>
      </c>
      <c r="I5001" s="656"/>
      <c r="J5001" s="656"/>
      <c r="K5001" s="656"/>
      <c r="L5001" s="656"/>
      <c r="M5001" s="657"/>
      <c r="N5001" s="1482"/>
      <c r="O5001" s="656" t="s">
        <v>498</v>
      </c>
      <c r="P5001" s="656" t="s">
        <v>13052</v>
      </c>
      <c r="Q5001" s="656">
        <v>44216.75949074074</v>
      </c>
    </row>
    <row r="5002" spans="1:17">
      <c r="A5002" s="656" t="s">
        <v>7191</v>
      </c>
      <c r="B5002" s="657" t="s">
        <v>504</v>
      </c>
      <c r="C5002" s="656" t="s">
        <v>7192</v>
      </c>
      <c r="D5002" s="657"/>
      <c r="E5002" s="657"/>
      <c r="F5002" s="656" t="s">
        <v>505</v>
      </c>
      <c r="G5002" s="656" t="s">
        <v>4394</v>
      </c>
      <c r="H5002" s="656" t="s">
        <v>505</v>
      </c>
      <c r="I5002" s="656"/>
      <c r="J5002" s="656"/>
      <c r="K5002" s="656"/>
      <c r="L5002" s="656"/>
      <c r="M5002" s="657"/>
      <c r="N5002" s="1482"/>
      <c r="O5002" s="656" t="s">
        <v>498</v>
      </c>
      <c r="P5002" s="656" t="s">
        <v>13052</v>
      </c>
      <c r="Q5002" s="656">
        <v>44216.75949074074</v>
      </c>
    </row>
    <row r="5003" spans="1:17">
      <c r="A5003" s="656" t="s">
        <v>7193</v>
      </c>
      <c r="B5003" s="657" t="s">
        <v>504</v>
      </c>
      <c r="C5003" s="656" t="s">
        <v>7194</v>
      </c>
      <c r="D5003" s="657"/>
      <c r="E5003" s="657"/>
      <c r="F5003" s="656" t="s">
        <v>505</v>
      </c>
      <c r="G5003" s="656" t="s">
        <v>4394</v>
      </c>
      <c r="H5003" s="656" t="s">
        <v>505</v>
      </c>
      <c r="I5003" s="656"/>
      <c r="J5003" s="656"/>
      <c r="K5003" s="656"/>
      <c r="L5003" s="656"/>
      <c r="M5003" s="657"/>
      <c r="N5003" s="1482"/>
      <c r="O5003" s="656" t="s">
        <v>498</v>
      </c>
      <c r="P5003" s="656" t="s">
        <v>13052</v>
      </c>
      <c r="Q5003" s="656">
        <v>44216.759479166663</v>
      </c>
    </row>
    <row r="5004" spans="1:17">
      <c r="A5004" s="656" t="s">
        <v>7195</v>
      </c>
      <c r="B5004" s="657" t="s">
        <v>504</v>
      </c>
      <c r="C5004" s="656" t="s">
        <v>7196</v>
      </c>
      <c r="D5004" s="657"/>
      <c r="E5004" s="657"/>
      <c r="F5004" s="656" t="s">
        <v>505</v>
      </c>
      <c r="G5004" s="656" t="s">
        <v>4394</v>
      </c>
      <c r="H5004" s="656" t="s">
        <v>505</v>
      </c>
      <c r="I5004" s="656"/>
      <c r="J5004" s="656"/>
      <c r="K5004" s="656"/>
      <c r="L5004" s="656"/>
      <c r="M5004" s="657"/>
      <c r="N5004" s="1482"/>
      <c r="O5004" s="656" t="s">
        <v>498</v>
      </c>
      <c r="P5004" s="656" t="s">
        <v>13052</v>
      </c>
      <c r="Q5004" s="656">
        <v>44216.759479166663</v>
      </c>
    </row>
    <row r="5005" spans="1:17">
      <c r="A5005" s="656" t="s">
        <v>7197</v>
      </c>
      <c r="B5005" s="657" t="s">
        <v>504</v>
      </c>
      <c r="C5005" s="656" t="s">
        <v>7198</v>
      </c>
      <c r="D5005" s="657"/>
      <c r="E5005" s="657"/>
      <c r="F5005" s="656" t="s">
        <v>505</v>
      </c>
      <c r="G5005" s="656" t="s">
        <v>4394</v>
      </c>
      <c r="H5005" s="656" t="s">
        <v>505</v>
      </c>
      <c r="I5005" s="656"/>
      <c r="J5005" s="656"/>
      <c r="K5005" s="656"/>
      <c r="L5005" s="656"/>
      <c r="M5005" s="657"/>
      <c r="N5005" s="1482"/>
      <c r="O5005" s="656" t="s">
        <v>498</v>
      </c>
      <c r="P5005" s="656" t="s">
        <v>13052</v>
      </c>
      <c r="Q5005" s="656">
        <v>44216.759479166663</v>
      </c>
    </row>
    <row r="5006" spans="1:17">
      <c r="A5006" s="656" t="s">
        <v>7199</v>
      </c>
      <c r="B5006" s="657" t="s">
        <v>504</v>
      </c>
      <c r="C5006" s="656" t="s">
        <v>7200</v>
      </c>
      <c r="D5006" s="657"/>
      <c r="E5006" s="657"/>
      <c r="F5006" s="656" t="s">
        <v>505</v>
      </c>
      <c r="G5006" s="656" t="s">
        <v>4394</v>
      </c>
      <c r="H5006" s="656" t="s">
        <v>505</v>
      </c>
      <c r="I5006" s="656"/>
      <c r="J5006" s="656"/>
      <c r="K5006" s="656"/>
      <c r="L5006" s="656"/>
      <c r="M5006" s="657"/>
      <c r="N5006" s="1482"/>
      <c r="O5006" s="656" t="s">
        <v>498</v>
      </c>
      <c r="P5006" s="656" t="s">
        <v>13052</v>
      </c>
      <c r="Q5006" s="656">
        <v>44216.759467592594</v>
      </c>
    </row>
    <row r="5007" spans="1:17">
      <c r="A5007" s="656" t="s">
        <v>7201</v>
      </c>
      <c r="B5007" s="657" t="s">
        <v>504</v>
      </c>
      <c r="C5007" s="656" t="s">
        <v>7202</v>
      </c>
      <c r="D5007" s="657"/>
      <c r="E5007" s="657"/>
      <c r="F5007" s="656" t="s">
        <v>505</v>
      </c>
      <c r="G5007" s="656" t="s">
        <v>4394</v>
      </c>
      <c r="H5007" s="656" t="s">
        <v>505</v>
      </c>
      <c r="I5007" s="656"/>
      <c r="J5007" s="656"/>
      <c r="K5007" s="656"/>
      <c r="L5007" s="656"/>
      <c r="M5007" s="657"/>
      <c r="N5007" s="1482"/>
      <c r="O5007" s="656" t="s">
        <v>498</v>
      </c>
      <c r="P5007" s="656" t="s">
        <v>13052</v>
      </c>
      <c r="Q5007" s="656">
        <v>44216.759456018517</v>
      </c>
    </row>
    <row r="5008" spans="1:17">
      <c r="A5008" s="656" t="s">
        <v>7203</v>
      </c>
      <c r="B5008" s="657" t="s">
        <v>504</v>
      </c>
      <c r="C5008" s="656" t="s">
        <v>7204</v>
      </c>
      <c r="D5008" s="657"/>
      <c r="E5008" s="657"/>
      <c r="F5008" s="656" t="s">
        <v>505</v>
      </c>
      <c r="G5008" s="656" t="s">
        <v>4394</v>
      </c>
      <c r="H5008" s="656" t="s">
        <v>505</v>
      </c>
      <c r="I5008" s="656"/>
      <c r="J5008" s="656"/>
      <c r="K5008" s="656"/>
      <c r="L5008" s="656"/>
      <c r="M5008" s="657"/>
      <c r="N5008" s="1482"/>
      <c r="O5008" s="656" t="s">
        <v>498</v>
      </c>
      <c r="P5008" s="656" t="s">
        <v>13052</v>
      </c>
      <c r="Q5008" s="656">
        <v>44216.759444444448</v>
      </c>
    </row>
    <row r="5009" spans="1:17">
      <c r="A5009" s="656" t="s">
        <v>7205</v>
      </c>
      <c r="B5009" s="657" t="s">
        <v>504</v>
      </c>
      <c r="C5009" s="656" t="s">
        <v>7206</v>
      </c>
      <c r="D5009" s="657"/>
      <c r="E5009" s="657"/>
      <c r="F5009" s="656" t="s">
        <v>505</v>
      </c>
      <c r="G5009" s="656" t="s">
        <v>4394</v>
      </c>
      <c r="H5009" s="656" t="s">
        <v>505</v>
      </c>
      <c r="I5009" s="656"/>
      <c r="J5009" s="656"/>
      <c r="K5009" s="656"/>
      <c r="L5009" s="656"/>
      <c r="M5009" s="657"/>
      <c r="N5009" s="1482"/>
      <c r="O5009" s="656" t="s">
        <v>498</v>
      </c>
      <c r="P5009" s="656" t="s">
        <v>13052</v>
      </c>
      <c r="Q5009" s="656">
        <v>44216.759444444448</v>
      </c>
    </row>
    <row r="5010" spans="1:17">
      <c r="A5010" s="656" t="s">
        <v>7207</v>
      </c>
      <c r="B5010" s="657" t="s">
        <v>504</v>
      </c>
      <c r="C5010" s="656" t="s">
        <v>2232</v>
      </c>
      <c r="D5010" s="657"/>
      <c r="E5010" s="657"/>
      <c r="F5010" s="656" t="s">
        <v>505</v>
      </c>
      <c r="G5010" s="656" t="s">
        <v>4394</v>
      </c>
      <c r="H5010" s="656" t="s">
        <v>505</v>
      </c>
      <c r="I5010" s="656"/>
      <c r="J5010" s="656"/>
      <c r="K5010" s="656"/>
      <c r="L5010" s="656"/>
      <c r="M5010" s="657"/>
      <c r="N5010" s="1482"/>
      <c r="O5010" s="656" t="s">
        <v>498</v>
      </c>
      <c r="P5010" s="656" t="s">
        <v>13052</v>
      </c>
      <c r="Q5010" s="656">
        <v>44216.759444444448</v>
      </c>
    </row>
    <row r="5011" spans="1:17">
      <c r="A5011" s="656" t="s">
        <v>7208</v>
      </c>
      <c r="B5011" s="657" t="s">
        <v>504</v>
      </c>
      <c r="C5011" s="656" t="s">
        <v>7209</v>
      </c>
      <c r="D5011" s="657"/>
      <c r="E5011" s="657"/>
      <c r="F5011" s="656" t="s">
        <v>505</v>
      </c>
      <c r="G5011" s="656" t="s">
        <v>4394</v>
      </c>
      <c r="H5011" s="656" t="s">
        <v>505</v>
      </c>
      <c r="I5011" s="656"/>
      <c r="J5011" s="656"/>
      <c r="K5011" s="656"/>
      <c r="L5011" s="656"/>
      <c r="M5011" s="657"/>
      <c r="N5011" s="1482"/>
      <c r="O5011" s="656" t="s">
        <v>498</v>
      </c>
      <c r="P5011" s="656" t="s">
        <v>13052</v>
      </c>
      <c r="Q5011" s="656">
        <v>44216.759421296294</v>
      </c>
    </row>
    <row r="5012" spans="1:17">
      <c r="A5012" s="656" t="s">
        <v>7210</v>
      </c>
      <c r="B5012" s="657" t="s">
        <v>504</v>
      </c>
      <c r="C5012" s="656" t="s">
        <v>7211</v>
      </c>
      <c r="D5012" s="657"/>
      <c r="E5012" s="657"/>
      <c r="F5012" s="656" t="s">
        <v>505</v>
      </c>
      <c r="G5012" s="656" t="s">
        <v>4394</v>
      </c>
      <c r="H5012" s="656" t="s">
        <v>505</v>
      </c>
      <c r="I5012" s="656"/>
      <c r="J5012" s="656"/>
      <c r="K5012" s="656"/>
      <c r="L5012" s="656"/>
      <c r="M5012" s="657"/>
      <c r="N5012" s="1482"/>
      <c r="O5012" s="656" t="s">
        <v>498</v>
      </c>
      <c r="P5012" s="656" t="s">
        <v>13052</v>
      </c>
      <c r="Q5012" s="656">
        <v>44216.759421296294</v>
      </c>
    </row>
    <row r="5013" spans="1:17">
      <c r="A5013" s="656" t="s">
        <v>7212</v>
      </c>
      <c r="B5013" s="657" t="s">
        <v>504</v>
      </c>
      <c r="C5013" s="656" t="s">
        <v>7213</v>
      </c>
      <c r="D5013" s="657"/>
      <c r="E5013" s="657"/>
      <c r="F5013" s="656" t="s">
        <v>505</v>
      </c>
      <c r="G5013" s="656" t="s">
        <v>4394</v>
      </c>
      <c r="H5013" s="656" t="s">
        <v>505</v>
      </c>
      <c r="I5013" s="656"/>
      <c r="J5013" s="656"/>
      <c r="K5013" s="656"/>
      <c r="L5013" s="656"/>
      <c r="M5013" s="657"/>
      <c r="N5013" s="1482"/>
      <c r="O5013" s="656" t="s">
        <v>498</v>
      </c>
      <c r="P5013" s="656" t="s">
        <v>13052</v>
      </c>
      <c r="Q5013" s="656">
        <v>44216.759409722225</v>
      </c>
    </row>
    <row r="5014" spans="1:17">
      <c r="A5014" s="656" t="s">
        <v>7214</v>
      </c>
      <c r="B5014" s="657" t="s">
        <v>504</v>
      </c>
      <c r="C5014" s="656" t="s">
        <v>7215</v>
      </c>
      <c r="D5014" s="657"/>
      <c r="E5014" s="657"/>
      <c r="F5014" s="656" t="s">
        <v>505</v>
      </c>
      <c r="G5014" s="656" t="s">
        <v>4394</v>
      </c>
      <c r="H5014" s="656" t="s">
        <v>505</v>
      </c>
      <c r="I5014" s="656"/>
      <c r="J5014" s="656"/>
      <c r="K5014" s="656"/>
      <c r="L5014" s="656"/>
      <c r="M5014" s="657"/>
      <c r="N5014" s="1482"/>
      <c r="O5014" s="656" t="s">
        <v>498</v>
      </c>
      <c r="P5014" s="656" t="s">
        <v>13052</v>
      </c>
      <c r="Q5014" s="656">
        <v>44216.759409722225</v>
      </c>
    </row>
    <row r="5015" spans="1:17">
      <c r="A5015" s="656" t="s">
        <v>7216</v>
      </c>
      <c r="B5015" s="657" t="s">
        <v>504</v>
      </c>
      <c r="C5015" s="656" t="s">
        <v>7217</v>
      </c>
      <c r="D5015" s="657"/>
      <c r="E5015" s="657"/>
      <c r="F5015" s="656" t="s">
        <v>505</v>
      </c>
      <c r="G5015" s="656" t="s">
        <v>4394</v>
      </c>
      <c r="H5015" s="656" t="s">
        <v>505</v>
      </c>
      <c r="I5015" s="656"/>
      <c r="J5015" s="656"/>
      <c r="K5015" s="656"/>
      <c r="L5015" s="656"/>
      <c r="M5015" s="657"/>
      <c r="N5015" s="1482"/>
      <c r="O5015" s="656" t="s">
        <v>498</v>
      </c>
      <c r="P5015" s="656" t="s">
        <v>13052</v>
      </c>
      <c r="Q5015" s="656">
        <v>44216.759409722225</v>
      </c>
    </row>
    <row r="5016" spans="1:17">
      <c r="A5016" s="656" t="s">
        <v>7218</v>
      </c>
      <c r="B5016" s="657" t="s">
        <v>504</v>
      </c>
      <c r="C5016" s="656" t="s">
        <v>7219</v>
      </c>
      <c r="D5016" s="657"/>
      <c r="E5016" s="657"/>
      <c r="F5016" s="656" t="s">
        <v>505</v>
      </c>
      <c r="G5016" s="656" t="s">
        <v>4394</v>
      </c>
      <c r="H5016" s="656" t="s">
        <v>505</v>
      </c>
      <c r="I5016" s="656"/>
      <c r="J5016" s="656"/>
      <c r="K5016" s="656"/>
      <c r="L5016" s="656"/>
      <c r="M5016" s="657"/>
      <c r="N5016" s="1482"/>
      <c r="O5016" s="656" t="s">
        <v>498</v>
      </c>
      <c r="P5016" s="656" t="s">
        <v>13052</v>
      </c>
      <c r="Q5016" s="656">
        <v>44216.759398148148</v>
      </c>
    </row>
    <row r="5017" spans="1:17">
      <c r="A5017" s="656" t="s">
        <v>7220</v>
      </c>
      <c r="B5017" s="657" t="s">
        <v>504</v>
      </c>
      <c r="C5017" s="656" t="s">
        <v>7221</v>
      </c>
      <c r="D5017" s="657"/>
      <c r="E5017" s="657"/>
      <c r="F5017" s="656" t="s">
        <v>505</v>
      </c>
      <c r="G5017" s="656" t="s">
        <v>4394</v>
      </c>
      <c r="H5017" s="656" t="s">
        <v>505</v>
      </c>
      <c r="I5017" s="656"/>
      <c r="J5017" s="656"/>
      <c r="K5017" s="656"/>
      <c r="L5017" s="656"/>
      <c r="M5017" s="657"/>
      <c r="N5017" s="1482"/>
      <c r="O5017" s="656" t="s">
        <v>498</v>
      </c>
      <c r="P5017" s="656" t="s">
        <v>13052</v>
      </c>
      <c r="Q5017" s="656">
        <v>44216.759398148148</v>
      </c>
    </row>
    <row r="5018" spans="1:17">
      <c r="A5018" s="656" t="s">
        <v>7222</v>
      </c>
      <c r="B5018" s="657" t="s">
        <v>504</v>
      </c>
      <c r="C5018" s="656" t="s">
        <v>7223</v>
      </c>
      <c r="D5018" s="657"/>
      <c r="E5018" s="657"/>
      <c r="F5018" s="656" t="s">
        <v>505</v>
      </c>
      <c r="G5018" s="656" t="s">
        <v>4394</v>
      </c>
      <c r="H5018" s="656" t="s">
        <v>505</v>
      </c>
      <c r="I5018" s="656"/>
      <c r="J5018" s="656"/>
      <c r="K5018" s="656"/>
      <c r="L5018" s="656"/>
      <c r="M5018" s="657"/>
      <c r="N5018" s="1482"/>
      <c r="O5018" s="656" t="s">
        <v>498</v>
      </c>
      <c r="P5018" s="656" t="s">
        <v>13052</v>
      </c>
      <c r="Q5018" s="656">
        <v>44216.759386574071</v>
      </c>
    </row>
    <row r="5019" spans="1:17">
      <c r="A5019" s="656" t="s">
        <v>7224</v>
      </c>
      <c r="B5019" s="657" t="s">
        <v>504</v>
      </c>
      <c r="C5019" s="656" t="s">
        <v>7225</v>
      </c>
      <c r="D5019" s="657"/>
      <c r="E5019" s="657"/>
      <c r="F5019" s="656" t="s">
        <v>505</v>
      </c>
      <c r="G5019" s="656" t="s">
        <v>4394</v>
      </c>
      <c r="H5019" s="656" t="s">
        <v>505</v>
      </c>
      <c r="I5019" s="656"/>
      <c r="J5019" s="656"/>
      <c r="K5019" s="656"/>
      <c r="L5019" s="656"/>
      <c r="M5019" s="657"/>
      <c r="N5019" s="1482"/>
      <c r="O5019" s="656" t="s">
        <v>498</v>
      </c>
      <c r="P5019" s="656" t="s">
        <v>13052</v>
      </c>
      <c r="Q5019" s="656">
        <v>44216.759375000001</v>
      </c>
    </row>
    <row r="5020" spans="1:17">
      <c r="A5020" s="656" t="s">
        <v>7226</v>
      </c>
      <c r="B5020" s="657" t="s">
        <v>504</v>
      </c>
      <c r="C5020" s="656" t="s">
        <v>7227</v>
      </c>
      <c r="D5020" s="657"/>
      <c r="E5020" s="657"/>
      <c r="F5020" s="656" t="s">
        <v>505</v>
      </c>
      <c r="G5020" s="656" t="s">
        <v>4394</v>
      </c>
      <c r="H5020" s="656" t="s">
        <v>505</v>
      </c>
      <c r="I5020" s="656"/>
      <c r="J5020" s="656"/>
      <c r="K5020" s="656"/>
      <c r="L5020" s="656"/>
      <c r="M5020" s="657"/>
      <c r="N5020" s="1482"/>
      <c r="O5020" s="656" t="s">
        <v>498</v>
      </c>
      <c r="P5020" s="656" t="s">
        <v>13052</v>
      </c>
      <c r="Q5020" s="656">
        <v>44216.759363425925</v>
      </c>
    </row>
    <row r="5021" spans="1:17">
      <c r="A5021" s="656" t="s">
        <v>7228</v>
      </c>
      <c r="B5021" s="657" t="s">
        <v>504</v>
      </c>
      <c r="C5021" s="656" t="s">
        <v>7229</v>
      </c>
      <c r="D5021" s="657"/>
      <c r="E5021" s="657"/>
      <c r="F5021" s="656" t="s">
        <v>505</v>
      </c>
      <c r="G5021" s="656" t="s">
        <v>4394</v>
      </c>
      <c r="H5021" s="656" t="s">
        <v>505</v>
      </c>
      <c r="I5021" s="656"/>
      <c r="J5021" s="656"/>
      <c r="K5021" s="656"/>
      <c r="L5021" s="656"/>
      <c r="M5021" s="657"/>
      <c r="N5021" s="1482"/>
      <c r="O5021" s="656" t="s">
        <v>498</v>
      </c>
      <c r="P5021" s="656" t="s">
        <v>13052</v>
      </c>
      <c r="Q5021" s="656">
        <v>44216.759363425925</v>
      </c>
    </row>
    <row r="5022" spans="1:17">
      <c r="A5022" s="656" t="s">
        <v>7230</v>
      </c>
      <c r="B5022" s="657" t="s">
        <v>504</v>
      </c>
      <c r="C5022" s="656" t="s">
        <v>7231</v>
      </c>
      <c r="D5022" s="657"/>
      <c r="E5022" s="657"/>
      <c r="F5022" s="656" t="s">
        <v>505</v>
      </c>
      <c r="G5022" s="656" t="s">
        <v>4394</v>
      </c>
      <c r="H5022" s="656" t="s">
        <v>505</v>
      </c>
      <c r="I5022" s="656"/>
      <c r="J5022" s="656"/>
      <c r="K5022" s="656"/>
      <c r="L5022" s="656"/>
      <c r="M5022" s="657"/>
      <c r="N5022" s="1482"/>
      <c r="O5022" s="656" t="s">
        <v>498</v>
      </c>
      <c r="P5022" s="656" t="s">
        <v>13052</v>
      </c>
      <c r="Q5022" s="656">
        <v>44216.759363425925</v>
      </c>
    </row>
    <row r="5023" spans="1:17">
      <c r="A5023" s="656" t="s">
        <v>7232</v>
      </c>
      <c r="B5023" s="657" t="s">
        <v>504</v>
      </c>
      <c r="C5023" s="656" t="s">
        <v>7233</v>
      </c>
      <c r="D5023" s="657"/>
      <c r="E5023" s="657"/>
      <c r="F5023" s="656" t="s">
        <v>505</v>
      </c>
      <c r="G5023" s="656" t="s">
        <v>4394</v>
      </c>
      <c r="H5023" s="656" t="s">
        <v>505</v>
      </c>
      <c r="I5023" s="656"/>
      <c r="J5023" s="656"/>
      <c r="K5023" s="656"/>
      <c r="L5023" s="656"/>
      <c r="M5023" s="657"/>
      <c r="N5023" s="1482"/>
      <c r="O5023" s="656" t="s">
        <v>498</v>
      </c>
      <c r="P5023" s="656" t="s">
        <v>13052</v>
      </c>
      <c r="Q5023" s="656">
        <v>44216.759351851855</v>
      </c>
    </row>
    <row r="5024" spans="1:17">
      <c r="A5024" s="656" t="s">
        <v>7234</v>
      </c>
      <c r="B5024" s="657" t="s">
        <v>504</v>
      </c>
      <c r="C5024" s="656" t="s">
        <v>7235</v>
      </c>
      <c r="D5024" s="657"/>
      <c r="E5024" s="657"/>
      <c r="F5024" s="656" t="s">
        <v>505</v>
      </c>
      <c r="G5024" s="656" t="s">
        <v>4394</v>
      </c>
      <c r="H5024" s="656" t="s">
        <v>505</v>
      </c>
      <c r="I5024" s="656"/>
      <c r="J5024" s="656"/>
      <c r="K5024" s="656"/>
      <c r="L5024" s="656"/>
      <c r="M5024" s="657"/>
      <c r="N5024" s="1482"/>
      <c r="O5024" s="656" t="s">
        <v>498</v>
      </c>
      <c r="P5024" s="656" t="s">
        <v>13052</v>
      </c>
      <c r="Q5024" s="656">
        <v>44216.759340277778</v>
      </c>
    </row>
    <row r="5025" spans="1:17">
      <c r="A5025" s="656" t="s">
        <v>7236</v>
      </c>
      <c r="B5025" s="657" t="s">
        <v>504</v>
      </c>
      <c r="C5025" s="656" t="s">
        <v>7237</v>
      </c>
      <c r="D5025" s="657"/>
      <c r="E5025" s="657"/>
      <c r="F5025" s="656" t="s">
        <v>505</v>
      </c>
      <c r="G5025" s="656" t="s">
        <v>4394</v>
      </c>
      <c r="H5025" s="656" t="s">
        <v>505</v>
      </c>
      <c r="I5025" s="656"/>
      <c r="J5025" s="656"/>
      <c r="K5025" s="656"/>
      <c r="L5025" s="656"/>
      <c r="M5025" s="657"/>
      <c r="N5025" s="1482"/>
      <c r="O5025" s="656" t="s">
        <v>498</v>
      </c>
      <c r="P5025" s="656" t="s">
        <v>13052</v>
      </c>
      <c r="Q5025" s="656">
        <v>44216.759340277778</v>
      </c>
    </row>
    <row r="5026" spans="1:17">
      <c r="A5026" s="656" t="s">
        <v>7238</v>
      </c>
      <c r="B5026" s="657" t="s">
        <v>504</v>
      </c>
      <c r="C5026" s="656" t="s">
        <v>7239</v>
      </c>
      <c r="D5026" s="657"/>
      <c r="E5026" s="657"/>
      <c r="F5026" s="656" t="s">
        <v>505</v>
      </c>
      <c r="G5026" s="656" t="s">
        <v>4394</v>
      </c>
      <c r="H5026" s="656" t="s">
        <v>505</v>
      </c>
      <c r="I5026" s="656"/>
      <c r="J5026" s="656"/>
      <c r="K5026" s="656"/>
      <c r="L5026" s="656"/>
      <c r="M5026" s="657"/>
      <c r="N5026" s="1482"/>
      <c r="O5026" s="656" t="s">
        <v>498</v>
      </c>
      <c r="P5026" s="656" t="s">
        <v>13052</v>
      </c>
      <c r="Q5026" s="656">
        <v>44216.759328703702</v>
      </c>
    </row>
    <row r="5027" spans="1:17">
      <c r="A5027" s="656" t="s">
        <v>7240</v>
      </c>
      <c r="B5027" s="657" t="s">
        <v>504</v>
      </c>
      <c r="C5027" s="656" t="s">
        <v>7241</v>
      </c>
      <c r="D5027" s="657"/>
      <c r="E5027" s="657"/>
      <c r="F5027" s="656" t="s">
        <v>505</v>
      </c>
      <c r="G5027" s="656" t="s">
        <v>4394</v>
      </c>
      <c r="H5027" s="656" t="s">
        <v>505</v>
      </c>
      <c r="I5027" s="656"/>
      <c r="J5027" s="656"/>
      <c r="K5027" s="656"/>
      <c r="L5027" s="656"/>
      <c r="M5027" s="657"/>
      <c r="N5027" s="1482"/>
      <c r="O5027" s="656" t="s">
        <v>498</v>
      </c>
      <c r="P5027" s="656" t="s">
        <v>13052</v>
      </c>
      <c r="Q5027" s="656">
        <v>44216.759328703702</v>
      </c>
    </row>
    <row r="5028" spans="1:17">
      <c r="A5028" s="656" t="s">
        <v>7242</v>
      </c>
      <c r="B5028" s="657" t="s">
        <v>504</v>
      </c>
      <c r="C5028" s="656" t="s">
        <v>7243</v>
      </c>
      <c r="D5028" s="657"/>
      <c r="E5028" s="657"/>
      <c r="F5028" s="656" t="s">
        <v>505</v>
      </c>
      <c r="G5028" s="656" t="s">
        <v>4394</v>
      </c>
      <c r="H5028" s="656" t="s">
        <v>505</v>
      </c>
      <c r="I5028" s="656"/>
      <c r="J5028" s="656"/>
      <c r="K5028" s="656"/>
      <c r="L5028" s="656"/>
      <c r="M5028" s="657"/>
      <c r="N5028" s="1482"/>
      <c r="O5028" s="656" t="s">
        <v>498</v>
      </c>
      <c r="P5028" s="656" t="s">
        <v>13052</v>
      </c>
      <c r="Q5028" s="656">
        <v>44216.759317129632</v>
      </c>
    </row>
    <row r="5029" spans="1:17">
      <c r="A5029" s="656" t="s">
        <v>7244</v>
      </c>
      <c r="B5029" s="657" t="s">
        <v>504</v>
      </c>
      <c r="C5029" s="656" t="s">
        <v>7245</v>
      </c>
      <c r="D5029" s="657"/>
      <c r="E5029" s="657"/>
      <c r="F5029" s="656" t="s">
        <v>505</v>
      </c>
      <c r="G5029" s="656" t="s">
        <v>4394</v>
      </c>
      <c r="H5029" s="656" t="s">
        <v>505</v>
      </c>
      <c r="I5029" s="656"/>
      <c r="J5029" s="656"/>
      <c r="K5029" s="656"/>
      <c r="L5029" s="656"/>
      <c r="M5029" s="657"/>
      <c r="N5029" s="1482"/>
      <c r="O5029" s="656" t="s">
        <v>498</v>
      </c>
      <c r="P5029" s="656" t="s">
        <v>13052</v>
      </c>
      <c r="Q5029" s="656">
        <v>44216.759317129632</v>
      </c>
    </row>
    <row r="5030" spans="1:17">
      <c r="A5030" s="656" t="s">
        <v>7246</v>
      </c>
      <c r="B5030" s="657"/>
      <c r="C5030" s="656" t="s">
        <v>7247</v>
      </c>
      <c r="D5030" s="657" t="s">
        <v>13789</v>
      </c>
      <c r="E5030" s="657"/>
      <c r="F5030" s="656"/>
      <c r="G5030" s="656" t="s">
        <v>5045</v>
      </c>
      <c r="H5030" s="656"/>
      <c r="I5030" s="656" t="s">
        <v>14976</v>
      </c>
      <c r="J5030" s="656"/>
      <c r="K5030" s="656"/>
      <c r="L5030" s="656"/>
      <c r="M5030" s="657"/>
      <c r="N5030" s="1482"/>
      <c r="O5030" s="656" t="s">
        <v>498</v>
      </c>
      <c r="P5030" s="656" t="s">
        <v>13052</v>
      </c>
      <c r="Q5030" s="656">
        <v>44216.759305555555</v>
      </c>
    </row>
    <row r="5031" spans="1:17">
      <c r="A5031" s="656" t="s">
        <v>7248</v>
      </c>
      <c r="B5031" s="657" t="s">
        <v>504</v>
      </c>
      <c r="C5031" s="656" t="s">
        <v>6481</v>
      </c>
      <c r="D5031" s="657"/>
      <c r="E5031" s="657"/>
      <c r="F5031" s="656" t="s">
        <v>3731</v>
      </c>
      <c r="G5031" s="656" t="s">
        <v>5103</v>
      </c>
      <c r="H5031" s="656" t="s">
        <v>3731</v>
      </c>
      <c r="I5031" s="656"/>
      <c r="J5031" s="656"/>
      <c r="K5031" s="656"/>
      <c r="L5031" s="656"/>
      <c r="M5031" s="657"/>
      <c r="N5031" s="1482"/>
      <c r="O5031" s="656" t="s">
        <v>498</v>
      </c>
      <c r="P5031" s="656" t="s">
        <v>13052</v>
      </c>
      <c r="Q5031" s="656">
        <v>44216.759305555555</v>
      </c>
    </row>
    <row r="5032" spans="1:17">
      <c r="A5032" s="656" t="s">
        <v>7249</v>
      </c>
      <c r="B5032" s="657"/>
      <c r="C5032" s="656" t="s">
        <v>7250</v>
      </c>
      <c r="D5032" s="657" t="s">
        <v>13789</v>
      </c>
      <c r="E5032" s="657"/>
      <c r="F5032" s="656"/>
      <c r="G5032" s="656" t="s">
        <v>5045</v>
      </c>
      <c r="H5032" s="656"/>
      <c r="I5032" s="656" t="s">
        <v>14976</v>
      </c>
      <c r="J5032" s="656"/>
      <c r="K5032" s="656"/>
      <c r="L5032" s="656"/>
      <c r="M5032" s="657"/>
      <c r="N5032" s="1482"/>
      <c r="O5032" s="656" t="s">
        <v>498</v>
      </c>
      <c r="P5032" s="656" t="s">
        <v>13052</v>
      </c>
      <c r="Q5032" s="656">
        <v>44216.759305555555</v>
      </c>
    </row>
    <row r="5033" spans="1:17">
      <c r="A5033" s="656" t="s">
        <v>7251</v>
      </c>
      <c r="B5033" s="657"/>
      <c r="C5033" s="656" t="s">
        <v>7252</v>
      </c>
      <c r="D5033" s="657" t="s">
        <v>13789</v>
      </c>
      <c r="E5033" s="657"/>
      <c r="F5033" s="656"/>
      <c r="G5033" s="656" t="s">
        <v>5045</v>
      </c>
      <c r="H5033" s="656"/>
      <c r="I5033" s="656" t="s">
        <v>14976</v>
      </c>
      <c r="J5033" s="656"/>
      <c r="K5033" s="656"/>
      <c r="L5033" s="656"/>
      <c r="M5033" s="657"/>
      <c r="N5033" s="1482"/>
      <c r="O5033" s="656" t="s">
        <v>498</v>
      </c>
      <c r="P5033" s="656" t="s">
        <v>13052</v>
      </c>
      <c r="Q5033" s="656">
        <v>44216.759293981479</v>
      </c>
    </row>
    <row r="5034" spans="1:17">
      <c r="A5034" s="656" t="s">
        <v>7253</v>
      </c>
      <c r="B5034" s="657"/>
      <c r="C5034" s="656" t="s">
        <v>7254</v>
      </c>
      <c r="D5034" s="657" t="s">
        <v>13789</v>
      </c>
      <c r="E5034" s="657"/>
      <c r="F5034" s="656"/>
      <c r="G5034" s="656" t="s">
        <v>5045</v>
      </c>
      <c r="H5034" s="656"/>
      <c r="I5034" s="656" t="s">
        <v>14976</v>
      </c>
      <c r="J5034" s="656"/>
      <c r="K5034" s="656"/>
      <c r="L5034" s="656"/>
      <c r="M5034" s="657"/>
      <c r="N5034" s="1482"/>
      <c r="O5034" s="656" t="s">
        <v>498</v>
      </c>
      <c r="P5034" s="656" t="s">
        <v>13052</v>
      </c>
      <c r="Q5034" s="656">
        <v>44216.759293981479</v>
      </c>
    </row>
    <row r="5035" spans="1:17">
      <c r="A5035" s="656" t="s">
        <v>7255</v>
      </c>
      <c r="B5035" s="657"/>
      <c r="C5035" s="656" t="s">
        <v>7256</v>
      </c>
      <c r="D5035" s="657" t="s">
        <v>13789</v>
      </c>
      <c r="E5035" s="657"/>
      <c r="F5035" s="656"/>
      <c r="G5035" s="656" t="s">
        <v>5045</v>
      </c>
      <c r="H5035" s="656"/>
      <c r="I5035" s="656" t="s">
        <v>14976</v>
      </c>
      <c r="J5035" s="656"/>
      <c r="K5035" s="656"/>
      <c r="L5035" s="656"/>
      <c r="M5035" s="657"/>
      <c r="N5035" s="1482"/>
      <c r="O5035" s="656" t="s">
        <v>498</v>
      </c>
      <c r="P5035" s="656" t="s">
        <v>13052</v>
      </c>
      <c r="Q5035" s="656">
        <v>44216.759293981479</v>
      </c>
    </row>
    <row r="5036" spans="1:17">
      <c r="A5036" s="656" t="s">
        <v>7257</v>
      </c>
      <c r="B5036" s="657" t="s">
        <v>202</v>
      </c>
      <c r="C5036" s="656" t="s">
        <v>7258</v>
      </c>
      <c r="D5036" s="657" t="s">
        <v>14978</v>
      </c>
      <c r="E5036" s="657"/>
      <c r="F5036" s="656" t="s">
        <v>1300</v>
      </c>
      <c r="G5036" s="656" t="s">
        <v>3280</v>
      </c>
      <c r="H5036" s="656" t="s">
        <v>1300</v>
      </c>
      <c r="I5036" s="656" t="s">
        <v>14976</v>
      </c>
      <c r="J5036" s="656" t="s">
        <v>15285</v>
      </c>
      <c r="K5036" s="656"/>
      <c r="L5036" s="656" t="s">
        <v>7267</v>
      </c>
      <c r="M5036" s="657"/>
      <c r="N5036" s="1482"/>
      <c r="O5036" s="656" t="s">
        <v>498</v>
      </c>
      <c r="P5036" s="656" t="s">
        <v>13052</v>
      </c>
      <c r="Q5036" s="656">
        <v>44216.759282407409</v>
      </c>
    </row>
    <row r="5037" spans="1:17">
      <c r="A5037" s="656" t="s">
        <v>7259</v>
      </c>
      <c r="B5037" s="657" t="s">
        <v>504</v>
      </c>
      <c r="C5037" s="656" t="s">
        <v>7260</v>
      </c>
      <c r="D5037" s="657"/>
      <c r="E5037" s="657"/>
      <c r="F5037" s="656" t="s">
        <v>505</v>
      </c>
      <c r="G5037" s="656" t="s">
        <v>4394</v>
      </c>
      <c r="H5037" s="656" t="s">
        <v>505</v>
      </c>
      <c r="I5037" s="656"/>
      <c r="J5037" s="656"/>
      <c r="K5037" s="656"/>
      <c r="L5037" s="656"/>
      <c r="M5037" s="657"/>
      <c r="N5037" s="1482"/>
      <c r="O5037" s="656" t="s">
        <v>498</v>
      </c>
      <c r="P5037" s="656" t="s">
        <v>13052</v>
      </c>
      <c r="Q5037" s="656">
        <v>44216.759282407409</v>
      </c>
    </row>
    <row r="5038" spans="1:17">
      <c r="A5038" s="656" t="s">
        <v>7261</v>
      </c>
      <c r="B5038" s="657" t="s">
        <v>504</v>
      </c>
      <c r="C5038" s="656" t="s">
        <v>7262</v>
      </c>
      <c r="D5038" s="657"/>
      <c r="E5038" s="657"/>
      <c r="F5038" s="656" t="s">
        <v>505</v>
      </c>
      <c r="G5038" s="656" t="s">
        <v>4394</v>
      </c>
      <c r="H5038" s="656" t="s">
        <v>505</v>
      </c>
      <c r="I5038" s="656"/>
      <c r="J5038" s="656"/>
      <c r="K5038" s="656"/>
      <c r="L5038" s="656"/>
      <c r="M5038" s="657"/>
      <c r="N5038" s="1482"/>
      <c r="O5038" s="656" t="s">
        <v>498</v>
      </c>
      <c r="P5038" s="656" t="s">
        <v>13052</v>
      </c>
      <c r="Q5038" s="656">
        <v>44216.759270833332</v>
      </c>
    </row>
    <row r="5039" spans="1:17">
      <c r="A5039" s="656" t="s">
        <v>7263</v>
      </c>
      <c r="B5039" s="657" t="s">
        <v>202</v>
      </c>
      <c r="C5039" s="656" t="s">
        <v>7264</v>
      </c>
      <c r="D5039" s="657" t="s">
        <v>14978</v>
      </c>
      <c r="E5039" s="657"/>
      <c r="F5039" s="656" t="s">
        <v>1300</v>
      </c>
      <c r="G5039" s="656" t="s">
        <v>3280</v>
      </c>
      <c r="H5039" s="656" t="s">
        <v>1300</v>
      </c>
      <c r="I5039" s="656" t="s">
        <v>14976</v>
      </c>
      <c r="J5039" s="656" t="s">
        <v>15285</v>
      </c>
      <c r="K5039" s="656"/>
      <c r="L5039" s="656" t="s">
        <v>7267</v>
      </c>
      <c r="M5039" s="657"/>
      <c r="N5039" s="1482"/>
      <c r="O5039" s="656" t="s">
        <v>498</v>
      </c>
      <c r="P5039" s="656" t="s">
        <v>13052</v>
      </c>
      <c r="Q5039" s="656">
        <v>44216.759270833332</v>
      </c>
    </row>
    <row r="5040" spans="1:17">
      <c r="A5040" s="656" t="s">
        <v>7265</v>
      </c>
      <c r="B5040" s="657" t="s">
        <v>202</v>
      </c>
      <c r="C5040" s="656" t="s">
        <v>7266</v>
      </c>
      <c r="D5040" s="657" t="s">
        <v>14978</v>
      </c>
      <c r="E5040" s="657"/>
      <c r="F5040" s="656" t="s">
        <v>1300</v>
      </c>
      <c r="G5040" s="656" t="s">
        <v>3280</v>
      </c>
      <c r="H5040" s="656" t="s">
        <v>1300</v>
      </c>
      <c r="I5040" s="656" t="s">
        <v>14976</v>
      </c>
      <c r="J5040" s="656" t="s">
        <v>15285</v>
      </c>
      <c r="K5040" s="656"/>
      <c r="L5040" s="656" t="s">
        <v>7267</v>
      </c>
      <c r="M5040" s="657"/>
      <c r="N5040" s="1482"/>
      <c r="O5040" s="656" t="s">
        <v>498</v>
      </c>
      <c r="P5040" s="656" t="s">
        <v>13052</v>
      </c>
      <c r="Q5040" s="656">
        <v>44216.759270833332</v>
      </c>
    </row>
    <row r="5041" spans="1:17">
      <c r="A5041" s="656" t="s">
        <v>7267</v>
      </c>
      <c r="B5041" s="657" t="s">
        <v>504</v>
      </c>
      <c r="C5041" s="656" t="s">
        <v>3271</v>
      </c>
      <c r="D5041" s="657"/>
      <c r="E5041" s="657"/>
      <c r="F5041" s="656"/>
      <c r="G5041" s="656" t="s">
        <v>5045</v>
      </c>
      <c r="H5041" s="656"/>
      <c r="I5041" s="656"/>
      <c r="J5041" s="656"/>
      <c r="K5041" s="656"/>
      <c r="L5041" s="656"/>
      <c r="M5041" s="657"/>
      <c r="N5041" s="1482"/>
      <c r="O5041" s="656" t="s">
        <v>498</v>
      </c>
      <c r="P5041" s="656" t="s">
        <v>13052</v>
      </c>
      <c r="Q5041" s="656">
        <v>44216.759259259263</v>
      </c>
    </row>
    <row r="5042" spans="1:17">
      <c r="A5042" s="656" t="s">
        <v>7268</v>
      </c>
      <c r="B5042" s="657"/>
      <c r="C5042" s="656" t="s">
        <v>7269</v>
      </c>
      <c r="D5042" s="657" t="s">
        <v>13789</v>
      </c>
      <c r="E5042" s="657"/>
      <c r="F5042" s="656"/>
      <c r="G5042" s="656" t="s">
        <v>5045</v>
      </c>
      <c r="H5042" s="656"/>
      <c r="I5042" s="656" t="s">
        <v>14976</v>
      </c>
      <c r="J5042" s="656"/>
      <c r="K5042" s="656"/>
      <c r="L5042" s="656"/>
      <c r="M5042" s="657"/>
      <c r="N5042" s="1482"/>
      <c r="O5042" s="656" t="s">
        <v>498</v>
      </c>
      <c r="P5042" s="656" t="s">
        <v>13052</v>
      </c>
      <c r="Q5042" s="656">
        <v>44216.759259259263</v>
      </c>
    </row>
    <row r="5043" spans="1:17">
      <c r="A5043" s="656" t="s">
        <v>7270</v>
      </c>
      <c r="B5043" s="657"/>
      <c r="C5043" s="656" t="s">
        <v>7271</v>
      </c>
      <c r="D5043" s="657" t="s">
        <v>13789</v>
      </c>
      <c r="E5043" s="657"/>
      <c r="F5043" s="656"/>
      <c r="G5043" s="656" t="s">
        <v>5045</v>
      </c>
      <c r="H5043" s="656"/>
      <c r="I5043" s="656" t="s">
        <v>14976</v>
      </c>
      <c r="J5043" s="656"/>
      <c r="K5043" s="656"/>
      <c r="L5043" s="656"/>
      <c r="M5043" s="657"/>
      <c r="N5043" s="1482"/>
      <c r="O5043" s="656" t="s">
        <v>498</v>
      </c>
      <c r="P5043" s="656" t="s">
        <v>13052</v>
      </c>
      <c r="Q5043" s="656">
        <v>44216.759247685186</v>
      </c>
    </row>
    <row r="5044" spans="1:17">
      <c r="A5044" s="656" t="s">
        <v>7272</v>
      </c>
      <c r="B5044" s="657"/>
      <c r="C5044" s="656" t="s">
        <v>7273</v>
      </c>
      <c r="D5044" s="657" t="s">
        <v>13789</v>
      </c>
      <c r="E5044" s="657"/>
      <c r="F5044" s="656"/>
      <c r="G5044" s="656" t="s">
        <v>5045</v>
      </c>
      <c r="H5044" s="656"/>
      <c r="I5044" s="656" t="s">
        <v>14976</v>
      </c>
      <c r="J5044" s="656"/>
      <c r="K5044" s="656"/>
      <c r="L5044" s="656"/>
      <c r="M5044" s="657"/>
      <c r="N5044" s="1482"/>
      <c r="O5044" s="656" t="s">
        <v>498</v>
      </c>
      <c r="P5044" s="656" t="s">
        <v>13052</v>
      </c>
      <c r="Q5044" s="656">
        <v>44216.759247685186</v>
      </c>
    </row>
    <row r="5045" spans="1:17">
      <c r="A5045" s="656" t="s">
        <v>7274</v>
      </c>
      <c r="B5045" s="657"/>
      <c r="C5045" s="656" t="s">
        <v>7275</v>
      </c>
      <c r="D5045" s="657" t="s">
        <v>13789</v>
      </c>
      <c r="E5045" s="657"/>
      <c r="F5045" s="656"/>
      <c r="G5045" s="656" t="s">
        <v>5045</v>
      </c>
      <c r="H5045" s="656"/>
      <c r="I5045" s="656" t="s">
        <v>14976</v>
      </c>
      <c r="J5045" s="656"/>
      <c r="K5045" s="656"/>
      <c r="L5045" s="656"/>
      <c r="M5045" s="657"/>
      <c r="N5045" s="1482"/>
      <c r="O5045" s="656" t="s">
        <v>498</v>
      </c>
      <c r="P5045" s="656" t="s">
        <v>13052</v>
      </c>
      <c r="Q5045" s="656">
        <v>44216.759247685186</v>
      </c>
    </row>
    <row r="5046" spans="1:17">
      <c r="A5046" s="656" t="s">
        <v>7276</v>
      </c>
      <c r="B5046" s="657"/>
      <c r="C5046" s="656" t="s">
        <v>7277</v>
      </c>
      <c r="D5046" s="657" t="s">
        <v>13789</v>
      </c>
      <c r="E5046" s="657"/>
      <c r="F5046" s="656"/>
      <c r="G5046" s="656" t="s">
        <v>5045</v>
      </c>
      <c r="H5046" s="656"/>
      <c r="I5046" s="656" t="s">
        <v>14976</v>
      </c>
      <c r="J5046" s="656"/>
      <c r="K5046" s="656"/>
      <c r="L5046" s="656"/>
      <c r="M5046" s="657"/>
      <c r="N5046" s="1482"/>
      <c r="O5046" s="656" t="s">
        <v>498</v>
      </c>
      <c r="P5046" s="656" t="s">
        <v>13052</v>
      </c>
      <c r="Q5046" s="656">
        <v>44216.759236111109</v>
      </c>
    </row>
    <row r="5047" spans="1:17">
      <c r="A5047" s="656" t="s">
        <v>7278</v>
      </c>
      <c r="B5047" s="657"/>
      <c r="C5047" s="656" t="s">
        <v>7279</v>
      </c>
      <c r="D5047" s="657" t="s">
        <v>13789</v>
      </c>
      <c r="E5047" s="657"/>
      <c r="F5047" s="656"/>
      <c r="G5047" s="656" t="s">
        <v>5045</v>
      </c>
      <c r="H5047" s="656"/>
      <c r="I5047" s="656" t="s">
        <v>14976</v>
      </c>
      <c r="J5047" s="656"/>
      <c r="K5047" s="656"/>
      <c r="L5047" s="656"/>
      <c r="M5047" s="657"/>
      <c r="N5047" s="1482"/>
      <c r="O5047" s="656" t="s">
        <v>498</v>
      </c>
      <c r="P5047" s="656" t="s">
        <v>13052</v>
      </c>
      <c r="Q5047" s="656">
        <v>44216.759236111109</v>
      </c>
    </row>
    <row r="5048" spans="1:17">
      <c r="A5048" s="656" t="s">
        <v>7280</v>
      </c>
      <c r="B5048" s="657"/>
      <c r="C5048" s="656" t="s">
        <v>7281</v>
      </c>
      <c r="D5048" s="657" t="s">
        <v>13789</v>
      </c>
      <c r="E5048" s="657"/>
      <c r="F5048" s="656"/>
      <c r="G5048" s="656" t="s">
        <v>5045</v>
      </c>
      <c r="H5048" s="656"/>
      <c r="I5048" s="656" t="s">
        <v>14976</v>
      </c>
      <c r="J5048" s="656"/>
      <c r="K5048" s="656"/>
      <c r="L5048" s="656"/>
      <c r="M5048" s="657"/>
      <c r="N5048" s="1482"/>
      <c r="O5048" s="656" t="s">
        <v>498</v>
      </c>
      <c r="P5048" s="656" t="s">
        <v>13052</v>
      </c>
      <c r="Q5048" s="656">
        <v>44216.75922453704</v>
      </c>
    </row>
    <row r="5049" spans="1:17">
      <c r="A5049" s="656" t="s">
        <v>7282</v>
      </c>
      <c r="B5049" s="657"/>
      <c r="C5049" s="656" t="s">
        <v>7283</v>
      </c>
      <c r="D5049" s="657" t="s">
        <v>13789</v>
      </c>
      <c r="E5049" s="657"/>
      <c r="F5049" s="656"/>
      <c r="G5049" s="656" t="s">
        <v>5045</v>
      </c>
      <c r="H5049" s="656"/>
      <c r="I5049" s="656" t="s">
        <v>14976</v>
      </c>
      <c r="J5049" s="656"/>
      <c r="K5049" s="656"/>
      <c r="L5049" s="656"/>
      <c r="M5049" s="657"/>
      <c r="N5049" s="1482"/>
      <c r="O5049" s="656" t="s">
        <v>498</v>
      </c>
      <c r="P5049" s="656" t="s">
        <v>13052</v>
      </c>
      <c r="Q5049" s="656">
        <v>44216.75922453704</v>
      </c>
    </row>
    <row r="5050" spans="1:17">
      <c r="A5050" s="656" t="s">
        <v>7284</v>
      </c>
      <c r="B5050" s="657"/>
      <c r="C5050" s="656" t="s">
        <v>7285</v>
      </c>
      <c r="D5050" s="657" t="s">
        <v>13789</v>
      </c>
      <c r="E5050" s="657"/>
      <c r="F5050" s="656"/>
      <c r="G5050" s="656" t="s">
        <v>5045</v>
      </c>
      <c r="H5050" s="656"/>
      <c r="I5050" s="656" t="s">
        <v>14976</v>
      </c>
      <c r="J5050" s="656"/>
      <c r="K5050" s="656"/>
      <c r="L5050" s="656"/>
      <c r="M5050" s="657"/>
      <c r="N5050" s="1482"/>
      <c r="O5050" s="656" t="s">
        <v>498</v>
      </c>
      <c r="P5050" s="656" t="s">
        <v>13052</v>
      </c>
      <c r="Q5050" s="656">
        <v>44216.759212962963</v>
      </c>
    </row>
    <row r="5051" spans="1:17">
      <c r="A5051" s="656" t="s">
        <v>7286</v>
      </c>
      <c r="B5051" s="657"/>
      <c r="C5051" s="656" t="s">
        <v>7287</v>
      </c>
      <c r="D5051" s="657" t="s">
        <v>14978</v>
      </c>
      <c r="E5051" s="657"/>
      <c r="F5051" s="656"/>
      <c r="G5051" s="656" t="s">
        <v>5045</v>
      </c>
      <c r="H5051" s="656"/>
      <c r="I5051" s="656" t="s">
        <v>14976</v>
      </c>
      <c r="J5051" s="656"/>
      <c r="K5051" s="656"/>
      <c r="L5051" s="656" t="s">
        <v>7300</v>
      </c>
      <c r="M5051" s="657"/>
      <c r="N5051" s="1482"/>
      <c r="O5051" s="656" t="s">
        <v>498</v>
      </c>
      <c r="P5051" s="656" t="s">
        <v>13052</v>
      </c>
      <c r="Q5051" s="656">
        <v>44216.759212962963</v>
      </c>
    </row>
    <row r="5052" spans="1:17">
      <c r="A5052" s="656" t="s">
        <v>7288</v>
      </c>
      <c r="B5052" s="657"/>
      <c r="C5052" s="656" t="s">
        <v>7289</v>
      </c>
      <c r="D5052" s="657" t="s">
        <v>14978</v>
      </c>
      <c r="E5052" s="657"/>
      <c r="F5052" s="656"/>
      <c r="G5052" s="656" t="s">
        <v>5045</v>
      </c>
      <c r="H5052" s="656"/>
      <c r="I5052" s="656" t="s">
        <v>14976</v>
      </c>
      <c r="J5052" s="656"/>
      <c r="K5052" s="656"/>
      <c r="L5052" s="656" t="s">
        <v>7300</v>
      </c>
      <c r="M5052" s="657"/>
      <c r="N5052" s="1482"/>
      <c r="O5052" s="656" t="s">
        <v>498</v>
      </c>
      <c r="P5052" s="656" t="s">
        <v>13052</v>
      </c>
      <c r="Q5052" s="656">
        <v>44216.759201388886</v>
      </c>
    </row>
    <row r="5053" spans="1:17">
      <c r="A5053" s="656" t="s">
        <v>7290</v>
      </c>
      <c r="B5053" s="657"/>
      <c r="C5053" s="656" t="s">
        <v>7291</v>
      </c>
      <c r="D5053" s="657" t="s">
        <v>14978</v>
      </c>
      <c r="E5053" s="657"/>
      <c r="F5053" s="656"/>
      <c r="G5053" s="656" t="s">
        <v>5045</v>
      </c>
      <c r="H5053" s="656"/>
      <c r="I5053" s="656" t="s">
        <v>14976</v>
      </c>
      <c r="J5053" s="656"/>
      <c r="K5053" s="656"/>
      <c r="L5053" s="656" t="s">
        <v>7300</v>
      </c>
      <c r="M5053" s="657"/>
      <c r="N5053" s="1482"/>
      <c r="O5053" s="656" t="s">
        <v>498</v>
      </c>
      <c r="P5053" s="656" t="s">
        <v>13052</v>
      </c>
      <c r="Q5053" s="656">
        <v>44216.759201388886</v>
      </c>
    </row>
    <row r="5054" spans="1:17">
      <c r="A5054" s="656" t="s">
        <v>7292</v>
      </c>
      <c r="B5054" s="657" t="s">
        <v>202</v>
      </c>
      <c r="C5054" s="656" t="s">
        <v>7293</v>
      </c>
      <c r="D5054" s="657" t="s">
        <v>14978</v>
      </c>
      <c r="E5054" s="657"/>
      <c r="F5054" s="656" t="s">
        <v>820</v>
      </c>
      <c r="G5054" s="656"/>
      <c r="H5054" s="656" t="s">
        <v>820</v>
      </c>
      <c r="I5054" s="656" t="s">
        <v>14976</v>
      </c>
      <c r="J5054" s="656" t="s">
        <v>15287</v>
      </c>
      <c r="K5054" s="656"/>
      <c r="L5054" s="656" t="s">
        <v>7300</v>
      </c>
      <c r="M5054" s="657"/>
      <c r="N5054" s="1482"/>
      <c r="O5054" s="656" t="s">
        <v>498</v>
      </c>
      <c r="P5054" s="656" t="s">
        <v>13052</v>
      </c>
      <c r="Q5054" s="656">
        <v>44216.759189814817</v>
      </c>
    </row>
    <row r="5055" spans="1:17">
      <c r="A5055" s="656" t="s">
        <v>7294</v>
      </c>
      <c r="B5055" s="657"/>
      <c r="C5055" s="656" t="s">
        <v>7295</v>
      </c>
      <c r="D5055" s="657" t="s">
        <v>14978</v>
      </c>
      <c r="E5055" s="657"/>
      <c r="F5055" s="656"/>
      <c r="G5055" s="656" t="s">
        <v>5045</v>
      </c>
      <c r="H5055" s="656"/>
      <c r="I5055" s="656" t="s">
        <v>14976</v>
      </c>
      <c r="J5055" s="656"/>
      <c r="K5055" s="656"/>
      <c r="L5055" s="656" t="s">
        <v>7300</v>
      </c>
      <c r="M5055" s="657"/>
      <c r="N5055" s="1482"/>
      <c r="O5055" s="656" t="s">
        <v>498</v>
      </c>
      <c r="P5055" s="656" t="s">
        <v>13052</v>
      </c>
      <c r="Q5055" s="656">
        <v>44216.75917824074</v>
      </c>
    </row>
    <row r="5056" spans="1:17">
      <c r="A5056" s="656" t="s">
        <v>7296</v>
      </c>
      <c r="B5056" s="657"/>
      <c r="C5056" s="656" t="s">
        <v>7297</v>
      </c>
      <c r="D5056" s="657" t="s">
        <v>14978</v>
      </c>
      <c r="E5056" s="657"/>
      <c r="F5056" s="656"/>
      <c r="G5056" s="656" t="s">
        <v>5045</v>
      </c>
      <c r="H5056" s="656"/>
      <c r="I5056" s="656" t="s">
        <v>14976</v>
      </c>
      <c r="J5056" s="656"/>
      <c r="K5056" s="656"/>
      <c r="L5056" s="656" t="s">
        <v>7300</v>
      </c>
      <c r="M5056" s="657"/>
      <c r="N5056" s="1482"/>
      <c r="O5056" s="656" t="s">
        <v>498</v>
      </c>
      <c r="P5056" s="656" t="s">
        <v>13052</v>
      </c>
      <c r="Q5056" s="656">
        <v>44216.75917824074</v>
      </c>
    </row>
    <row r="5057" spans="1:17">
      <c r="A5057" s="656" t="s">
        <v>7298</v>
      </c>
      <c r="B5057" s="657"/>
      <c r="C5057" s="656" t="s">
        <v>7299</v>
      </c>
      <c r="D5057" s="657" t="s">
        <v>14978</v>
      </c>
      <c r="E5057" s="657"/>
      <c r="F5057" s="656"/>
      <c r="G5057" s="656" t="s">
        <v>5045</v>
      </c>
      <c r="H5057" s="656"/>
      <c r="I5057" s="656" t="s">
        <v>14976</v>
      </c>
      <c r="J5057" s="656"/>
      <c r="K5057" s="656"/>
      <c r="L5057" s="656" t="s">
        <v>7300</v>
      </c>
      <c r="M5057" s="657"/>
      <c r="N5057" s="1482"/>
      <c r="O5057" s="656" t="s">
        <v>498</v>
      </c>
      <c r="P5057" s="656" t="s">
        <v>13052</v>
      </c>
      <c r="Q5057" s="656">
        <v>44216.75917824074</v>
      </c>
    </row>
    <row r="5058" spans="1:17">
      <c r="A5058" s="656" t="s">
        <v>7300</v>
      </c>
      <c r="B5058" s="657"/>
      <c r="C5058" s="656" t="s">
        <v>7301</v>
      </c>
      <c r="D5058" s="657" t="s">
        <v>13789</v>
      </c>
      <c r="E5058" s="657"/>
      <c r="F5058" s="656"/>
      <c r="G5058" s="656" t="s">
        <v>5045</v>
      </c>
      <c r="H5058" s="656"/>
      <c r="I5058" s="656" t="s">
        <v>14976</v>
      </c>
      <c r="J5058" s="656"/>
      <c r="K5058" s="656"/>
      <c r="L5058" s="656"/>
      <c r="M5058" s="657"/>
      <c r="N5058" s="1482"/>
      <c r="O5058" s="656" t="s">
        <v>498</v>
      </c>
      <c r="P5058" s="656" t="s">
        <v>13052</v>
      </c>
      <c r="Q5058" s="656">
        <v>44216.759166666663</v>
      </c>
    </row>
    <row r="5059" spans="1:17">
      <c r="A5059" s="656" t="s">
        <v>7302</v>
      </c>
      <c r="B5059" s="657"/>
      <c r="C5059" s="656" t="s">
        <v>7303</v>
      </c>
      <c r="D5059" s="657" t="s">
        <v>14977</v>
      </c>
      <c r="E5059" s="657"/>
      <c r="F5059" s="656" t="s">
        <v>1394</v>
      </c>
      <c r="G5059" s="656"/>
      <c r="H5059" s="656" t="s">
        <v>1394</v>
      </c>
      <c r="I5059" s="656" t="s">
        <v>14976</v>
      </c>
      <c r="J5059" s="656"/>
      <c r="K5059" s="656"/>
      <c r="L5059" s="656" t="s">
        <v>7302</v>
      </c>
      <c r="M5059" s="657"/>
      <c r="N5059" s="1482"/>
      <c r="O5059" s="656" t="s">
        <v>498</v>
      </c>
      <c r="P5059" s="656" t="s">
        <v>13052</v>
      </c>
      <c r="Q5059" s="656">
        <v>44216.759166666663</v>
      </c>
    </row>
    <row r="5060" spans="1:17">
      <c r="A5060" s="656" t="s">
        <v>7304</v>
      </c>
      <c r="B5060" s="657"/>
      <c r="C5060" s="656" t="s">
        <v>7305</v>
      </c>
      <c r="D5060" s="657" t="s">
        <v>13789</v>
      </c>
      <c r="E5060" s="657"/>
      <c r="F5060" s="656"/>
      <c r="G5060" s="656" t="s">
        <v>5045</v>
      </c>
      <c r="H5060" s="656"/>
      <c r="I5060" s="656" t="s">
        <v>14976</v>
      </c>
      <c r="J5060" s="656"/>
      <c r="K5060" s="656"/>
      <c r="L5060" s="656"/>
      <c r="M5060" s="657"/>
      <c r="N5060" s="1482"/>
      <c r="O5060" s="656" t="s">
        <v>498</v>
      </c>
      <c r="P5060" s="656" t="s">
        <v>13052</v>
      </c>
      <c r="Q5060" s="656">
        <v>44216.759155092594</v>
      </c>
    </row>
    <row r="5061" spans="1:17">
      <c r="A5061" s="656" t="s">
        <v>7306</v>
      </c>
      <c r="B5061" s="657"/>
      <c r="C5061" s="656" t="s">
        <v>7307</v>
      </c>
      <c r="D5061" s="657" t="s">
        <v>13789</v>
      </c>
      <c r="E5061" s="657"/>
      <c r="F5061" s="656"/>
      <c r="G5061" s="656" t="s">
        <v>5045</v>
      </c>
      <c r="H5061" s="656"/>
      <c r="I5061" s="656" t="s">
        <v>14976</v>
      </c>
      <c r="J5061" s="656"/>
      <c r="K5061" s="656"/>
      <c r="L5061" s="656"/>
      <c r="M5061" s="657"/>
      <c r="N5061" s="1482"/>
      <c r="O5061" s="656" t="s">
        <v>498</v>
      </c>
      <c r="P5061" s="656" t="s">
        <v>13052</v>
      </c>
      <c r="Q5061" s="656">
        <v>44216.759155092594</v>
      </c>
    </row>
    <row r="5062" spans="1:17">
      <c r="A5062" s="656" t="s">
        <v>7308</v>
      </c>
      <c r="B5062" s="657" t="s">
        <v>202</v>
      </c>
      <c r="C5062" s="656" t="s">
        <v>7309</v>
      </c>
      <c r="D5062" s="657" t="s">
        <v>14977</v>
      </c>
      <c r="E5062" s="657"/>
      <c r="F5062" s="656" t="s">
        <v>655</v>
      </c>
      <c r="G5062" s="656"/>
      <c r="H5062" s="656" t="s">
        <v>655</v>
      </c>
      <c r="I5062" s="656" t="s">
        <v>14976</v>
      </c>
      <c r="J5062" s="656"/>
      <c r="K5062" s="656"/>
      <c r="L5062" s="656" t="s">
        <v>7308</v>
      </c>
      <c r="M5062" s="657"/>
      <c r="N5062" s="1482"/>
      <c r="O5062" s="656" t="s">
        <v>498</v>
      </c>
      <c r="P5062" s="656" t="s">
        <v>13052</v>
      </c>
      <c r="Q5062" s="656">
        <v>44216.759143518517</v>
      </c>
    </row>
    <row r="5063" spans="1:17">
      <c r="A5063" s="656" t="s">
        <v>7310</v>
      </c>
      <c r="B5063" s="657"/>
      <c r="C5063" s="656" t="s">
        <v>7311</v>
      </c>
      <c r="D5063" s="657" t="s">
        <v>13789</v>
      </c>
      <c r="E5063" s="657"/>
      <c r="F5063" s="656"/>
      <c r="G5063" s="656" t="s">
        <v>5045</v>
      </c>
      <c r="H5063" s="656"/>
      <c r="I5063" s="656" t="s">
        <v>14976</v>
      </c>
      <c r="J5063" s="656"/>
      <c r="K5063" s="656"/>
      <c r="L5063" s="656"/>
      <c r="M5063" s="657"/>
      <c r="N5063" s="1482"/>
      <c r="O5063" s="656" t="s">
        <v>498</v>
      </c>
      <c r="P5063" s="656" t="s">
        <v>13052</v>
      </c>
      <c r="Q5063" s="656">
        <v>44216.759143518517</v>
      </c>
    </row>
    <row r="5064" spans="1:17">
      <c r="A5064" s="656" t="s">
        <v>7312</v>
      </c>
      <c r="B5064" s="657"/>
      <c r="C5064" s="656" t="s">
        <v>7313</v>
      </c>
      <c r="D5064" s="657" t="s">
        <v>13789</v>
      </c>
      <c r="E5064" s="657"/>
      <c r="F5064" s="656"/>
      <c r="G5064" s="656" t="s">
        <v>5045</v>
      </c>
      <c r="H5064" s="656"/>
      <c r="I5064" s="656" t="s">
        <v>14976</v>
      </c>
      <c r="J5064" s="656"/>
      <c r="K5064" s="656"/>
      <c r="L5064" s="656"/>
      <c r="M5064" s="657"/>
      <c r="N5064" s="1482"/>
      <c r="O5064" s="656" t="s">
        <v>498</v>
      </c>
      <c r="P5064" s="656" t="s">
        <v>13052</v>
      </c>
      <c r="Q5064" s="656">
        <v>44216.759131944447</v>
      </c>
    </row>
    <row r="5065" spans="1:17">
      <c r="A5065" s="656" t="s">
        <v>7314</v>
      </c>
      <c r="B5065" s="657"/>
      <c r="C5065" s="656" t="s">
        <v>7315</v>
      </c>
      <c r="D5065" s="657" t="s">
        <v>13789</v>
      </c>
      <c r="E5065" s="657"/>
      <c r="F5065" s="656"/>
      <c r="G5065" s="656" t="s">
        <v>5045</v>
      </c>
      <c r="H5065" s="656"/>
      <c r="I5065" s="656" t="s">
        <v>14976</v>
      </c>
      <c r="J5065" s="656"/>
      <c r="K5065" s="656"/>
      <c r="L5065" s="656"/>
      <c r="M5065" s="657"/>
      <c r="N5065" s="1482"/>
      <c r="O5065" s="656" t="s">
        <v>498</v>
      </c>
      <c r="P5065" s="656" t="s">
        <v>13052</v>
      </c>
      <c r="Q5065" s="656">
        <v>44216.759131944447</v>
      </c>
    </row>
    <row r="5066" spans="1:17">
      <c r="A5066" s="656" t="s">
        <v>7316</v>
      </c>
      <c r="B5066" s="657"/>
      <c r="C5066" s="656" t="s">
        <v>7317</v>
      </c>
      <c r="D5066" s="657" t="s">
        <v>13789</v>
      </c>
      <c r="E5066" s="657"/>
      <c r="F5066" s="656"/>
      <c r="G5066" s="656" t="s">
        <v>5045</v>
      </c>
      <c r="H5066" s="656"/>
      <c r="I5066" s="656" t="s">
        <v>14976</v>
      </c>
      <c r="J5066" s="656"/>
      <c r="K5066" s="656"/>
      <c r="L5066" s="656"/>
      <c r="M5066" s="657"/>
      <c r="N5066" s="1482"/>
      <c r="O5066" s="656" t="s">
        <v>498</v>
      </c>
      <c r="P5066" s="656" t="s">
        <v>13052</v>
      </c>
      <c r="Q5066" s="656">
        <v>44216.759120370371</v>
      </c>
    </row>
    <row r="5067" spans="1:17">
      <c r="A5067" s="656" t="s">
        <v>7318</v>
      </c>
      <c r="B5067" s="657" t="s">
        <v>202</v>
      </c>
      <c r="C5067" s="656" t="s">
        <v>7319</v>
      </c>
      <c r="D5067" s="657" t="s">
        <v>14977</v>
      </c>
      <c r="E5067" s="657"/>
      <c r="F5067" s="656" t="s">
        <v>655</v>
      </c>
      <c r="G5067" s="656"/>
      <c r="H5067" s="656" t="s">
        <v>655</v>
      </c>
      <c r="I5067" s="656" t="s">
        <v>14976</v>
      </c>
      <c r="J5067" s="656"/>
      <c r="K5067" s="656"/>
      <c r="L5067" s="656" t="s">
        <v>7318</v>
      </c>
      <c r="M5067" s="657"/>
      <c r="N5067" s="1482"/>
      <c r="O5067" s="656" t="s">
        <v>498</v>
      </c>
      <c r="P5067" s="656" t="s">
        <v>13052</v>
      </c>
      <c r="Q5067" s="656">
        <v>44216.759120370371</v>
      </c>
    </row>
    <row r="5068" spans="1:17">
      <c r="A5068" s="656" t="s">
        <v>7320</v>
      </c>
      <c r="B5068" s="657"/>
      <c r="C5068" s="656" t="s">
        <v>7321</v>
      </c>
      <c r="D5068" s="657" t="s">
        <v>13789</v>
      </c>
      <c r="E5068" s="657"/>
      <c r="F5068" s="656"/>
      <c r="G5068" s="656" t="s">
        <v>5045</v>
      </c>
      <c r="H5068" s="656"/>
      <c r="I5068" s="656" t="s">
        <v>14976</v>
      </c>
      <c r="J5068" s="656"/>
      <c r="K5068" s="656"/>
      <c r="L5068" s="656"/>
      <c r="M5068" s="657"/>
      <c r="N5068" s="1482"/>
      <c r="O5068" s="656" t="s">
        <v>498</v>
      </c>
      <c r="P5068" s="656" t="s">
        <v>13052</v>
      </c>
      <c r="Q5068" s="656">
        <v>44216.759108796294</v>
      </c>
    </row>
    <row r="5069" spans="1:17">
      <c r="A5069" s="656" t="s">
        <v>7322</v>
      </c>
      <c r="B5069" s="657"/>
      <c r="C5069" s="656" t="s">
        <v>7323</v>
      </c>
      <c r="D5069" s="657" t="s">
        <v>14977</v>
      </c>
      <c r="E5069" s="657"/>
      <c r="F5069" s="656" t="s">
        <v>1394</v>
      </c>
      <c r="G5069" s="656"/>
      <c r="H5069" s="656" t="s">
        <v>1394</v>
      </c>
      <c r="I5069" s="656" t="s">
        <v>14976</v>
      </c>
      <c r="J5069" s="656"/>
      <c r="K5069" s="656"/>
      <c r="L5069" s="656" t="s">
        <v>7322</v>
      </c>
      <c r="M5069" s="657"/>
      <c r="N5069" s="1482"/>
      <c r="O5069" s="656" t="s">
        <v>498</v>
      </c>
      <c r="P5069" s="656" t="s">
        <v>13052</v>
      </c>
      <c r="Q5069" s="656">
        <v>44216.759108796294</v>
      </c>
    </row>
    <row r="5070" spans="1:17">
      <c r="A5070" s="656" t="s">
        <v>7324</v>
      </c>
      <c r="B5070" s="657" t="s">
        <v>202</v>
      </c>
      <c r="C5070" s="656" t="s">
        <v>7325</v>
      </c>
      <c r="D5070" s="657" t="s">
        <v>14977</v>
      </c>
      <c r="E5070" s="657"/>
      <c r="F5070" s="656" t="s">
        <v>500</v>
      </c>
      <c r="G5070" s="656"/>
      <c r="H5070" s="656" t="s">
        <v>500</v>
      </c>
      <c r="I5070" s="656" t="s">
        <v>14976</v>
      </c>
      <c r="J5070" s="656"/>
      <c r="K5070" s="656"/>
      <c r="L5070" s="656" t="s">
        <v>7324</v>
      </c>
      <c r="M5070" s="657"/>
      <c r="N5070" s="1482"/>
      <c r="O5070" s="656" t="s">
        <v>498</v>
      </c>
      <c r="P5070" s="656" t="s">
        <v>13052</v>
      </c>
      <c r="Q5070" s="656">
        <v>44216.759108796294</v>
      </c>
    </row>
    <row r="5071" spans="1:17">
      <c r="A5071" s="656" t="s">
        <v>7326</v>
      </c>
      <c r="B5071" s="657" t="s">
        <v>504</v>
      </c>
      <c r="C5071" s="656" t="s">
        <v>7327</v>
      </c>
      <c r="D5071" s="657"/>
      <c r="E5071" s="657"/>
      <c r="F5071" s="656"/>
      <c r="G5071" s="656" t="s">
        <v>4347</v>
      </c>
      <c r="H5071" s="656"/>
      <c r="I5071" s="656"/>
      <c r="J5071" s="656"/>
      <c r="K5071" s="656"/>
      <c r="L5071" s="656"/>
      <c r="M5071" s="657"/>
      <c r="N5071" s="1482"/>
      <c r="O5071" s="656" t="s">
        <v>498</v>
      </c>
      <c r="P5071" s="656" t="s">
        <v>13052</v>
      </c>
      <c r="Q5071" s="656">
        <v>44216.759097222224</v>
      </c>
    </row>
    <row r="5072" spans="1:17">
      <c r="A5072" s="656" t="s">
        <v>7328</v>
      </c>
      <c r="B5072" s="657" t="s">
        <v>504</v>
      </c>
      <c r="C5072" s="656" t="s">
        <v>7329</v>
      </c>
      <c r="D5072" s="657"/>
      <c r="E5072" s="657"/>
      <c r="F5072" s="656"/>
      <c r="G5072" s="656" t="s">
        <v>4347</v>
      </c>
      <c r="H5072" s="656"/>
      <c r="I5072" s="656"/>
      <c r="J5072" s="656"/>
      <c r="K5072" s="656"/>
      <c r="L5072" s="656"/>
      <c r="M5072" s="657"/>
      <c r="N5072" s="1482"/>
      <c r="O5072" s="656" t="s">
        <v>498</v>
      </c>
      <c r="P5072" s="656" t="s">
        <v>13052</v>
      </c>
      <c r="Q5072" s="656">
        <v>44216.759097222224</v>
      </c>
    </row>
    <row r="5073" spans="1:17">
      <c r="A5073" s="656" t="s">
        <v>7330</v>
      </c>
      <c r="B5073" s="657" t="s">
        <v>504</v>
      </c>
      <c r="C5073" s="656" t="s">
        <v>7331</v>
      </c>
      <c r="D5073" s="657"/>
      <c r="E5073" s="657"/>
      <c r="F5073" s="656"/>
      <c r="G5073" s="656" t="s">
        <v>4347</v>
      </c>
      <c r="H5073" s="656"/>
      <c r="I5073" s="656"/>
      <c r="J5073" s="656"/>
      <c r="K5073" s="656"/>
      <c r="L5073" s="656"/>
      <c r="M5073" s="657"/>
      <c r="N5073" s="1482"/>
      <c r="O5073" s="656" t="s">
        <v>498</v>
      </c>
      <c r="P5073" s="656" t="s">
        <v>13052</v>
      </c>
      <c r="Q5073" s="656">
        <v>44216.759097222224</v>
      </c>
    </row>
    <row r="5074" spans="1:17">
      <c r="A5074" s="656" t="s">
        <v>7332</v>
      </c>
      <c r="B5074" s="657" t="s">
        <v>504</v>
      </c>
      <c r="C5074" s="656" t="s">
        <v>7333</v>
      </c>
      <c r="D5074" s="657"/>
      <c r="E5074" s="657"/>
      <c r="F5074" s="656"/>
      <c r="G5074" s="656" t="s">
        <v>4347</v>
      </c>
      <c r="H5074" s="656"/>
      <c r="I5074" s="656"/>
      <c r="J5074" s="656"/>
      <c r="K5074" s="656"/>
      <c r="L5074" s="656"/>
      <c r="M5074" s="657"/>
      <c r="N5074" s="1482"/>
      <c r="O5074" s="656" t="s">
        <v>498</v>
      </c>
      <c r="P5074" s="656" t="s">
        <v>13052</v>
      </c>
      <c r="Q5074" s="656">
        <v>44216.759085648147</v>
      </c>
    </row>
    <row r="5075" spans="1:17">
      <c r="A5075" s="656" t="s">
        <v>7334</v>
      </c>
      <c r="B5075" s="657" t="s">
        <v>504</v>
      </c>
      <c r="C5075" s="656" t="s">
        <v>7335</v>
      </c>
      <c r="D5075" s="657"/>
      <c r="E5075" s="657"/>
      <c r="F5075" s="656"/>
      <c r="G5075" s="656" t="s">
        <v>4347</v>
      </c>
      <c r="H5075" s="656"/>
      <c r="I5075" s="656"/>
      <c r="J5075" s="656"/>
      <c r="K5075" s="656"/>
      <c r="L5075" s="656"/>
      <c r="M5075" s="657"/>
      <c r="N5075" s="1482"/>
      <c r="O5075" s="656" t="s">
        <v>498</v>
      </c>
      <c r="P5075" s="656" t="s">
        <v>13052</v>
      </c>
      <c r="Q5075" s="656">
        <v>44216.759085648147</v>
      </c>
    </row>
    <row r="5076" spans="1:17">
      <c r="A5076" s="656" t="s">
        <v>7336</v>
      </c>
      <c r="B5076" s="657" t="s">
        <v>504</v>
      </c>
      <c r="C5076" s="656" t="s">
        <v>7337</v>
      </c>
      <c r="D5076" s="657"/>
      <c r="E5076" s="657"/>
      <c r="F5076" s="656"/>
      <c r="G5076" s="656" t="s">
        <v>4347</v>
      </c>
      <c r="H5076" s="656"/>
      <c r="I5076" s="656"/>
      <c r="J5076" s="656"/>
      <c r="K5076" s="656"/>
      <c r="L5076" s="656"/>
      <c r="M5076" s="657"/>
      <c r="N5076" s="1482"/>
      <c r="O5076" s="656" t="s">
        <v>498</v>
      </c>
      <c r="P5076" s="656" t="s">
        <v>13052</v>
      </c>
      <c r="Q5076" s="656">
        <v>44216.759074074071</v>
      </c>
    </row>
    <row r="5077" spans="1:17">
      <c r="A5077" s="656" t="s">
        <v>7338</v>
      </c>
      <c r="B5077" s="657" t="s">
        <v>504</v>
      </c>
      <c r="C5077" s="656" t="s">
        <v>7339</v>
      </c>
      <c r="D5077" s="657"/>
      <c r="E5077" s="657"/>
      <c r="F5077" s="656"/>
      <c r="G5077" s="656" t="s">
        <v>4347</v>
      </c>
      <c r="H5077" s="656"/>
      <c r="I5077" s="656"/>
      <c r="J5077" s="656"/>
      <c r="K5077" s="656"/>
      <c r="L5077" s="656"/>
      <c r="M5077" s="657"/>
      <c r="N5077" s="1482"/>
      <c r="O5077" s="656" t="s">
        <v>498</v>
      </c>
      <c r="P5077" s="656" t="s">
        <v>13052</v>
      </c>
      <c r="Q5077" s="656">
        <v>44216.759074074071</v>
      </c>
    </row>
    <row r="5078" spans="1:17">
      <c r="A5078" s="656" t="s">
        <v>7340</v>
      </c>
      <c r="B5078" s="657" t="s">
        <v>504</v>
      </c>
      <c r="C5078" s="656" t="s">
        <v>7341</v>
      </c>
      <c r="D5078" s="657"/>
      <c r="E5078" s="657"/>
      <c r="F5078" s="656"/>
      <c r="G5078" s="656" t="s">
        <v>4347</v>
      </c>
      <c r="H5078" s="656"/>
      <c r="I5078" s="656"/>
      <c r="J5078" s="656"/>
      <c r="K5078" s="656"/>
      <c r="L5078" s="656"/>
      <c r="M5078" s="657"/>
      <c r="N5078" s="1482"/>
      <c r="O5078" s="656" t="s">
        <v>498</v>
      </c>
      <c r="P5078" s="656" t="s">
        <v>13052</v>
      </c>
      <c r="Q5078" s="656">
        <v>44216.759074074071</v>
      </c>
    </row>
    <row r="5079" spans="1:17">
      <c r="A5079" s="656" t="s">
        <v>7342</v>
      </c>
      <c r="B5079" s="657" t="s">
        <v>504</v>
      </c>
      <c r="C5079" s="656" t="s">
        <v>7343</v>
      </c>
      <c r="D5079" s="657"/>
      <c r="E5079" s="657"/>
      <c r="F5079" s="656" t="s">
        <v>505</v>
      </c>
      <c r="G5079" s="656" t="s">
        <v>4394</v>
      </c>
      <c r="H5079" s="656" t="s">
        <v>505</v>
      </c>
      <c r="I5079" s="656"/>
      <c r="J5079" s="656"/>
      <c r="K5079" s="656"/>
      <c r="L5079" s="656"/>
      <c r="M5079" s="657"/>
      <c r="N5079" s="1482"/>
      <c r="O5079" s="656" t="s">
        <v>498</v>
      </c>
      <c r="P5079" s="656" t="s">
        <v>13052</v>
      </c>
      <c r="Q5079" s="656">
        <v>44216.759062500001</v>
      </c>
    </row>
    <row r="5080" spans="1:17">
      <c r="A5080" s="656" t="s">
        <v>7344</v>
      </c>
      <c r="B5080" s="657" t="s">
        <v>504</v>
      </c>
      <c r="C5080" s="656" t="s">
        <v>7345</v>
      </c>
      <c r="D5080" s="657"/>
      <c r="E5080" s="657"/>
      <c r="F5080" s="656" t="s">
        <v>505</v>
      </c>
      <c r="G5080" s="656" t="s">
        <v>4394</v>
      </c>
      <c r="H5080" s="656" t="s">
        <v>505</v>
      </c>
      <c r="I5080" s="656"/>
      <c r="J5080" s="656"/>
      <c r="K5080" s="656"/>
      <c r="L5080" s="656"/>
      <c r="M5080" s="657"/>
      <c r="N5080" s="1482"/>
      <c r="O5080" s="656" t="s">
        <v>498</v>
      </c>
      <c r="P5080" s="656" t="s">
        <v>13052</v>
      </c>
      <c r="Q5080" s="656">
        <v>44216.759062500001</v>
      </c>
    </row>
    <row r="5081" spans="1:17">
      <c r="A5081" s="656" t="s">
        <v>7346</v>
      </c>
      <c r="B5081" s="657" t="s">
        <v>504</v>
      </c>
      <c r="C5081" s="656" t="s">
        <v>7347</v>
      </c>
      <c r="D5081" s="657"/>
      <c r="E5081" s="657"/>
      <c r="F5081" s="656"/>
      <c r="G5081" s="656" t="s">
        <v>5045</v>
      </c>
      <c r="H5081" s="656"/>
      <c r="I5081" s="656"/>
      <c r="J5081" s="656"/>
      <c r="K5081" s="656"/>
      <c r="L5081" s="656"/>
      <c r="M5081" s="657"/>
      <c r="N5081" s="1482"/>
      <c r="O5081" s="656" t="s">
        <v>498</v>
      </c>
      <c r="P5081" s="656" t="s">
        <v>13052</v>
      </c>
      <c r="Q5081" s="656">
        <v>44216.759062500001</v>
      </c>
    </row>
    <row r="5082" spans="1:17">
      <c r="A5082" s="656" t="s">
        <v>7348</v>
      </c>
      <c r="B5082" s="657" t="s">
        <v>504</v>
      </c>
      <c r="C5082" s="656" t="s">
        <v>7349</v>
      </c>
      <c r="D5082" s="657"/>
      <c r="E5082" s="657"/>
      <c r="F5082" s="656" t="s">
        <v>505</v>
      </c>
      <c r="G5082" s="656" t="s">
        <v>4394</v>
      </c>
      <c r="H5082" s="656" t="s">
        <v>505</v>
      </c>
      <c r="I5082" s="656"/>
      <c r="J5082" s="656"/>
      <c r="K5082" s="656"/>
      <c r="L5082" s="656"/>
      <c r="M5082" s="657"/>
      <c r="N5082" s="1482"/>
      <c r="O5082" s="656" t="s">
        <v>498</v>
      </c>
      <c r="P5082" s="656" t="s">
        <v>13052</v>
      </c>
      <c r="Q5082" s="656">
        <v>44216.759050925924</v>
      </c>
    </row>
    <row r="5083" spans="1:17">
      <c r="A5083" s="656" t="s">
        <v>7350</v>
      </c>
      <c r="B5083" s="657" t="s">
        <v>504</v>
      </c>
      <c r="C5083" s="656" t="s">
        <v>7351</v>
      </c>
      <c r="D5083" s="657"/>
      <c r="E5083" s="657"/>
      <c r="F5083" s="656"/>
      <c r="G5083" s="656" t="s">
        <v>5103</v>
      </c>
      <c r="H5083" s="656"/>
      <c r="I5083" s="656"/>
      <c r="J5083" s="656"/>
      <c r="K5083" s="656"/>
      <c r="L5083" s="656"/>
      <c r="M5083" s="657"/>
      <c r="N5083" s="1482"/>
      <c r="O5083" s="656" t="s">
        <v>498</v>
      </c>
      <c r="P5083" s="656" t="s">
        <v>13052</v>
      </c>
      <c r="Q5083" s="656">
        <v>44216.759050925924</v>
      </c>
    </row>
    <row r="5084" spans="1:17">
      <c r="A5084" s="656" t="s">
        <v>14165</v>
      </c>
      <c r="B5084" s="657" t="s">
        <v>202</v>
      </c>
      <c r="C5084" s="656" t="s">
        <v>14166</v>
      </c>
      <c r="D5084" s="657" t="s">
        <v>13789</v>
      </c>
      <c r="E5084" s="657"/>
      <c r="F5084" s="656" t="s">
        <v>1300</v>
      </c>
      <c r="G5084" s="656" t="s">
        <v>4198</v>
      </c>
      <c r="H5084" s="656" t="s">
        <v>1300</v>
      </c>
      <c r="I5084" s="656" t="s">
        <v>14976</v>
      </c>
      <c r="J5084" s="656"/>
      <c r="K5084" s="656"/>
      <c r="L5084" s="656"/>
      <c r="M5084" s="657"/>
      <c r="N5084" s="1482"/>
      <c r="O5084" s="656" t="s">
        <v>498</v>
      </c>
      <c r="P5084" s="656" t="s">
        <v>13052</v>
      </c>
      <c r="Q5084" s="656">
        <v>44216.759039351855</v>
      </c>
    </row>
    <row r="5085" spans="1:17">
      <c r="A5085" s="656" t="s">
        <v>7352</v>
      </c>
      <c r="B5085" s="657" t="s">
        <v>504</v>
      </c>
      <c r="C5085" s="656" t="s">
        <v>7353</v>
      </c>
      <c r="D5085" s="657"/>
      <c r="E5085" s="657"/>
      <c r="F5085" s="656" t="s">
        <v>505</v>
      </c>
      <c r="G5085" s="656" t="s">
        <v>4324</v>
      </c>
      <c r="H5085" s="656" t="s">
        <v>505</v>
      </c>
      <c r="I5085" s="656"/>
      <c r="J5085" s="656"/>
      <c r="K5085" s="656"/>
      <c r="L5085" s="656"/>
      <c r="M5085" s="657"/>
      <c r="N5085" s="1482"/>
      <c r="O5085" s="656" t="s">
        <v>498</v>
      </c>
      <c r="P5085" s="656" t="s">
        <v>13052</v>
      </c>
      <c r="Q5085" s="656">
        <v>44216.759039351855</v>
      </c>
    </row>
    <row r="5086" spans="1:17">
      <c r="A5086" s="656" t="s">
        <v>7354</v>
      </c>
      <c r="B5086" s="657"/>
      <c r="C5086" s="656" t="s">
        <v>7355</v>
      </c>
      <c r="D5086" s="657" t="s">
        <v>14978</v>
      </c>
      <c r="E5086" s="657"/>
      <c r="F5086" s="656"/>
      <c r="G5086" s="656" t="s">
        <v>5045</v>
      </c>
      <c r="H5086" s="656"/>
      <c r="I5086" s="656" t="s">
        <v>14976</v>
      </c>
      <c r="J5086" s="656"/>
      <c r="K5086" s="656"/>
      <c r="L5086" s="656" t="s">
        <v>7356</v>
      </c>
      <c r="M5086" s="657"/>
      <c r="N5086" s="1482"/>
      <c r="O5086" s="656" t="s">
        <v>498</v>
      </c>
      <c r="P5086" s="656" t="s">
        <v>13052</v>
      </c>
      <c r="Q5086" s="656">
        <v>44216.759027777778</v>
      </c>
    </row>
    <row r="5087" spans="1:17">
      <c r="A5087" s="656" t="s">
        <v>7356</v>
      </c>
      <c r="B5087" s="657"/>
      <c r="C5087" s="656" t="s">
        <v>7355</v>
      </c>
      <c r="D5087" s="657" t="s">
        <v>13789</v>
      </c>
      <c r="E5087" s="657"/>
      <c r="F5087" s="656"/>
      <c r="G5087" s="656" t="s">
        <v>5045</v>
      </c>
      <c r="H5087" s="656"/>
      <c r="I5087" s="656" t="s">
        <v>14976</v>
      </c>
      <c r="J5087" s="656"/>
      <c r="K5087" s="656"/>
      <c r="L5087" s="656"/>
      <c r="M5087" s="657"/>
      <c r="N5087" s="1482"/>
      <c r="O5087" s="656" t="s">
        <v>498</v>
      </c>
      <c r="P5087" s="656" t="s">
        <v>13052</v>
      </c>
      <c r="Q5087" s="656">
        <v>44216.759027777778</v>
      </c>
    </row>
    <row r="5088" spans="1:17">
      <c r="A5088" s="656" t="s">
        <v>7357</v>
      </c>
      <c r="B5088" s="657" t="s">
        <v>504</v>
      </c>
      <c r="C5088" s="656" t="s">
        <v>7358</v>
      </c>
      <c r="D5088" s="657"/>
      <c r="E5088" s="657"/>
      <c r="F5088" s="656"/>
      <c r="G5088" s="656" t="s">
        <v>5103</v>
      </c>
      <c r="H5088" s="656"/>
      <c r="I5088" s="656"/>
      <c r="J5088" s="656"/>
      <c r="K5088" s="656"/>
      <c r="L5088" s="656"/>
      <c r="M5088" s="657"/>
      <c r="N5088" s="1482"/>
      <c r="O5088" s="656" t="s">
        <v>498</v>
      </c>
      <c r="P5088" s="656" t="s">
        <v>13052</v>
      </c>
      <c r="Q5088" s="656">
        <v>44216.759027777778</v>
      </c>
    </row>
    <row r="5089" spans="1:17">
      <c r="A5089" s="656" t="s">
        <v>7359</v>
      </c>
      <c r="B5089" s="657" t="s">
        <v>504</v>
      </c>
      <c r="C5089" s="656" t="s">
        <v>7360</v>
      </c>
      <c r="D5089" s="657"/>
      <c r="E5089" s="657"/>
      <c r="F5089" s="656"/>
      <c r="G5089" s="656" t="s">
        <v>5103</v>
      </c>
      <c r="H5089" s="656"/>
      <c r="I5089" s="656"/>
      <c r="J5089" s="656"/>
      <c r="K5089" s="656"/>
      <c r="L5089" s="656"/>
      <c r="M5089" s="657"/>
      <c r="N5089" s="1482"/>
      <c r="O5089" s="656" t="s">
        <v>498</v>
      </c>
      <c r="P5089" s="656" t="s">
        <v>13052</v>
      </c>
      <c r="Q5089" s="656">
        <v>44216.759016203701</v>
      </c>
    </row>
    <row r="5090" spans="1:17">
      <c r="A5090" s="656" t="s">
        <v>7361</v>
      </c>
      <c r="B5090" s="657" t="s">
        <v>504</v>
      </c>
      <c r="C5090" s="656" t="s">
        <v>7362</v>
      </c>
      <c r="D5090" s="657"/>
      <c r="E5090" s="657"/>
      <c r="F5090" s="656"/>
      <c r="G5090" s="656" t="s">
        <v>5103</v>
      </c>
      <c r="H5090" s="656"/>
      <c r="I5090" s="656"/>
      <c r="J5090" s="656"/>
      <c r="K5090" s="656"/>
      <c r="L5090" s="656"/>
      <c r="M5090" s="657"/>
      <c r="N5090" s="1482"/>
      <c r="O5090" s="656" t="s">
        <v>498</v>
      </c>
      <c r="P5090" s="656" t="s">
        <v>13052</v>
      </c>
      <c r="Q5090" s="656">
        <v>44216.759016203701</v>
      </c>
    </row>
    <row r="5091" spans="1:17">
      <c r="A5091" s="656" t="s">
        <v>7363</v>
      </c>
      <c r="B5091" s="657" t="s">
        <v>504</v>
      </c>
      <c r="C5091" s="656" t="s">
        <v>7364</v>
      </c>
      <c r="D5091" s="657"/>
      <c r="E5091" s="657"/>
      <c r="F5091" s="656"/>
      <c r="G5091" s="656" t="s">
        <v>5103</v>
      </c>
      <c r="H5091" s="656"/>
      <c r="I5091" s="656"/>
      <c r="J5091" s="656"/>
      <c r="K5091" s="656"/>
      <c r="L5091" s="656"/>
      <c r="M5091" s="657"/>
      <c r="N5091" s="1482"/>
      <c r="O5091" s="656" t="s">
        <v>498</v>
      </c>
      <c r="P5091" s="656" t="s">
        <v>13052</v>
      </c>
      <c r="Q5091" s="656">
        <v>44216.759004629632</v>
      </c>
    </row>
    <row r="5092" spans="1:17">
      <c r="A5092" s="656" t="s">
        <v>7365</v>
      </c>
      <c r="B5092" s="657" t="s">
        <v>504</v>
      </c>
      <c r="C5092" s="656" t="s">
        <v>7366</v>
      </c>
      <c r="D5092" s="657"/>
      <c r="E5092" s="657"/>
      <c r="F5092" s="656"/>
      <c r="G5092" s="656" t="s">
        <v>5103</v>
      </c>
      <c r="H5092" s="656"/>
      <c r="I5092" s="656"/>
      <c r="J5092" s="656"/>
      <c r="K5092" s="656"/>
      <c r="L5092" s="656"/>
      <c r="M5092" s="657"/>
      <c r="N5092" s="1482"/>
      <c r="O5092" s="656" t="s">
        <v>498</v>
      </c>
      <c r="P5092" s="656" t="s">
        <v>13052</v>
      </c>
      <c r="Q5092" s="656">
        <v>44216.759004629632</v>
      </c>
    </row>
    <row r="5093" spans="1:17">
      <c r="A5093" s="656" t="s">
        <v>7367</v>
      </c>
      <c r="B5093" s="657" t="s">
        <v>504</v>
      </c>
      <c r="C5093" s="656" t="s">
        <v>7368</v>
      </c>
      <c r="D5093" s="657"/>
      <c r="E5093" s="657"/>
      <c r="F5093" s="656"/>
      <c r="G5093" s="656" t="s">
        <v>5103</v>
      </c>
      <c r="H5093" s="656"/>
      <c r="I5093" s="656"/>
      <c r="J5093" s="656"/>
      <c r="K5093" s="656"/>
      <c r="L5093" s="656"/>
      <c r="M5093" s="657"/>
      <c r="N5093" s="1482"/>
      <c r="O5093" s="656" t="s">
        <v>498</v>
      </c>
      <c r="P5093" s="656" t="s">
        <v>13052</v>
      </c>
      <c r="Q5093" s="656">
        <v>44216.758993055555</v>
      </c>
    </row>
    <row r="5094" spans="1:17">
      <c r="A5094" s="656" t="s">
        <v>7369</v>
      </c>
      <c r="B5094" s="657" t="s">
        <v>504</v>
      </c>
      <c r="C5094" s="656" t="s">
        <v>7370</v>
      </c>
      <c r="D5094" s="657"/>
      <c r="E5094" s="657"/>
      <c r="F5094" s="656" t="s">
        <v>505</v>
      </c>
      <c r="G5094" s="656" t="s">
        <v>4394</v>
      </c>
      <c r="H5094" s="656" t="s">
        <v>505</v>
      </c>
      <c r="I5094" s="656"/>
      <c r="J5094" s="656"/>
      <c r="K5094" s="656"/>
      <c r="L5094" s="656"/>
      <c r="M5094" s="657"/>
      <c r="N5094" s="1482"/>
      <c r="O5094" s="656" t="s">
        <v>498</v>
      </c>
      <c r="P5094" s="656" t="s">
        <v>13052</v>
      </c>
      <c r="Q5094" s="656">
        <v>44216.758993055555</v>
      </c>
    </row>
    <row r="5095" spans="1:17">
      <c r="A5095" s="656" t="s">
        <v>7371</v>
      </c>
      <c r="B5095" s="657" t="s">
        <v>504</v>
      </c>
      <c r="C5095" s="656" t="s">
        <v>7372</v>
      </c>
      <c r="D5095" s="657"/>
      <c r="E5095" s="657"/>
      <c r="F5095" s="656" t="s">
        <v>505</v>
      </c>
      <c r="G5095" s="656" t="s">
        <v>4394</v>
      </c>
      <c r="H5095" s="656" t="s">
        <v>505</v>
      </c>
      <c r="I5095" s="656"/>
      <c r="J5095" s="656"/>
      <c r="K5095" s="656"/>
      <c r="L5095" s="656"/>
      <c r="M5095" s="657"/>
      <c r="N5095" s="1482"/>
      <c r="O5095" s="656" t="s">
        <v>498</v>
      </c>
      <c r="P5095" s="656" t="s">
        <v>13052</v>
      </c>
      <c r="Q5095" s="656">
        <v>44216.758993055555</v>
      </c>
    </row>
    <row r="5096" spans="1:17">
      <c r="A5096" s="656" t="s">
        <v>7373</v>
      </c>
      <c r="B5096" s="657" t="s">
        <v>504</v>
      </c>
      <c r="C5096" s="656" t="s">
        <v>7374</v>
      </c>
      <c r="D5096" s="657"/>
      <c r="E5096" s="657"/>
      <c r="F5096" s="656" t="s">
        <v>505</v>
      </c>
      <c r="G5096" s="656" t="s">
        <v>4324</v>
      </c>
      <c r="H5096" s="656" t="s">
        <v>505</v>
      </c>
      <c r="I5096" s="656"/>
      <c r="J5096" s="656"/>
      <c r="K5096" s="656"/>
      <c r="L5096" s="656"/>
      <c r="M5096" s="657"/>
      <c r="N5096" s="1482"/>
      <c r="O5096" s="656" t="s">
        <v>498</v>
      </c>
      <c r="P5096" s="656" t="s">
        <v>13052</v>
      </c>
      <c r="Q5096" s="656">
        <v>44216.758981481478</v>
      </c>
    </row>
    <row r="5097" spans="1:17">
      <c r="A5097" s="656" t="s">
        <v>7375</v>
      </c>
      <c r="B5097" s="657" t="s">
        <v>504</v>
      </c>
      <c r="C5097" s="656" t="s">
        <v>7376</v>
      </c>
      <c r="D5097" s="657"/>
      <c r="E5097" s="657"/>
      <c r="F5097" s="656"/>
      <c r="G5097" s="656" t="s">
        <v>4362</v>
      </c>
      <c r="H5097" s="656"/>
      <c r="I5097" s="656"/>
      <c r="J5097" s="656"/>
      <c r="K5097" s="656"/>
      <c r="L5097" s="656"/>
      <c r="M5097" s="657"/>
      <c r="N5097" s="1482"/>
      <c r="O5097" s="656" t="s">
        <v>498</v>
      </c>
      <c r="P5097" s="656" t="s">
        <v>13052</v>
      </c>
      <c r="Q5097" s="656">
        <v>44216.758969907409</v>
      </c>
    </row>
    <row r="5098" spans="1:17">
      <c r="A5098" s="656" t="s">
        <v>7377</v>
      </c>
      <c r="B5098" s="657" t="s">
        <v>504</v>
      </c>
      <c r="C5098" s="656" t="s">
        <v>7378</v>
      </c>
      <c r="D5098" s="657"/>
      <c r="E5098" s="657"/>
      <c r="F5098" s="656"/>
      <c r="G5098" s="656" t="s">
        <v>4362</v>
      </c>
      <c r="H5098" s="656"/>
      <c r="I5098" s="656"/>
      <c r="J5098" s="656"/>
      <c r="K5098" s="656"/>
      <c r="L5098" s="656"/>
      <c r="M5098" s="657"/>
      <c r="N5098" s="1482"/>
      <c r="O5098" s="656" t="s">
        <v>498</v>
      </c>
      <c r="P5098" s="656" t="s">
        <v>13052</v>
      </c>
      <c r="Q5098" s="656">
        <v>44216.758969907409</v>
      </c>
    </row>
    <row r="5099" spans="1:17">
      <c r="A5099" s="656" t="s">
        <v>7379</v>
      </c>
      <c r="B5099" s="657" t="s">
        <v>504</v>
      </c>
      <c r="C5099" s="656" t="s">
        <v>7380</v>
      </c>
      <c r="D5099" s="657"/>
      <c r="E5099" s="657"/>
      <c r="F5099" s="656"/>
      <c r="G5099" s="656" t="s">
        <v>4362</v>
      </c>
      <c r="H5099" s="656"/>
      <c r="I5099" s="656"/>
      <c r="J5099" s="656"/>
      <c r="K5099" s="656"/>
      <c r="L5099" s="656"/>
      <c r="M5099" s="657"/>
      <c r="N5099" s="1482"/>
      <c r="O5099" s="656" t="s">
        <v>498</v>
      </c>
      <c r="P5099" s="656" t="s">
        <v>13052</v>
      </c>
      <c r="Q5099" s="656">
        <v>44216.758958333332</v>
      </c>
    </row>
    <row r="5100" spans="1:17">
      <c r="A5100" s="656" t="s">
        <v>7381</v>
      </c>
      <c r="B5100" s="657" t="s">
        <v>504</v>
      </c>
      <c r="C5100" s="656" t="s">
        <v>7382</v>
      </c>
      <c r="D5100" s="657"/>
      <c r="E5100" s="657"/>
      <c r="F5100" s="656"/>
      <c r="G5100" s="656" t="s">
        <v>4362</v>
      </c>
      <c r="H5100" s="656"/>
      <c r="I5100" s="656"/>
      <c r="J5100" s="656"/>
      <c r="K5100" s="656"/>
      <c r="L5100" s="656"/>
      <c r="M5100" s="657"/>
      <c r="N5100" s="1482"/>
      <c r="O5100" s="656" t="s">
        <v>498</v>
      </c>
      <c r="P5100" s="656" t="s">
        <v>13052</v>
      </c>
      <c r="Q5100" s="656">
        <v>44216.758958333332</v>
      </c>
    </row>
    <row r="5101" spans="1:17">
      <c r="A5101" s="656" t="s">
        <v>7383</v>
      </c>
      <c r="B5101" s="657" t="s">
        <v>504</v>
      </c>
      <c r="C5101" s="656" t="s">
        <v>7384</v>
      </c>
      <c r="D5101" s="657"/>
      <c r="E5101" s="657"/>
      <c r="F5101" s="656" t="s">
        <v>505</v>
      </c>
      <c r="G5101" s="656" t="s">
        <v>4394</v>
      </c>
      <c r="H5101" s="656" t="s">
        <v>505</v>
      </c>
      <c r="I5101" s="656"/>
      <c r="J5101" s="656"/>
      <c r="K5101" s="656"/>
      <c r="L5101" s="656"/>
      <c r="M5101" s="657"/>
      <c r="N5101" s="1482"/>
      <c r="O5101" s="656" t="s">
        <v>498</v>
      </c>
      <c r="P5101" s="656" t="s">
        <v>13052</v>
      </c>
      <c r="Q5101" s="656">
        <v>44216.758946759262</v>
      </c>
    </row>
    <row r="5102" spans="1:17">
      <c r="A5102" s="656" t="s">
        <v>7385</v>
      </c>
      <c r="B5102" s="657" t="s">
        <v>504</v>
      </c>
      <c r="C5102" s="656" t="s">
        <v>7386</v>
      </c>
      <c r="D5102" s="657"/>
      <c r="E5102" s="657"/>
      <c r="F5102" s="656" t="s">
        <v>505</v>
      </c>
      <c r="G5102" s="656" t="s">
        <v>4394</v>
      </c>
      <c r="H5102" s="656" t="s">
        <v>505</v>
      </c>
      <c r="I5102" s="656"/>
      <c r="J5102" s="656"/>
      <c r="K5102" s="656"/>
      <c r="L5102" s="656"/>
      <c r="M5102" s="657"/>
      <c r="N5102" s="1482"/>
      <c r="O5102" s="656" t="s">
        <v>498</v>
      </c>
      <c r="P5102" s="656" t="s">
        <v>13052</v>
      </c>
      <c r="Q5102" s="656">
        <v>44216.758946759262</v>
      </c>
    </row>
    <row r="5103" spans="1:17">
      <c r="A5103" s="656" t="s">
        <v>7387</v>
      </c>
      <c r="B5103" s="657" t="s">
        <v>504</v>
      </c>
      <c r="C5103" s="656" t="s">
        <v>7388</v>
      </c>
      <c r="D5103" s="657"/>
      <c r="E5103" s="657"/>
      <c r="F5103" s="656" t="s">
        <v>505</v>
      </c>
      <c r="G5103" s="656" t="s">
        <v>4324</v>
      </c>
      <c r="H5103" s="656" t="s">
        <v>505</v>
      </c>
      <c r="I5103" s="656"/>
      <c r="J5103" s="656"/>
      <c r="K5103" s="656"/>
      <c r="L5103" s="656"/>
      <c r="M5103" s="657"/>
      <c r="N5103" s="1482"/>
      <c r="O5103" s="656" t="s">
        <v>498</v>
      </c>
      <c r="P5103" s="656" t="s">
        <v>13052</v>
      </c>
      <c r="Q5103" s="656">
        <v>44216.758935185186</v>
      </c>
    </row>
    <row r="5104" spans="1:17">
      <c r="A5104" s="656" t="s">
        <v>7389</v>
      </c>
      <c r="B5104" s="657" t="s">
        <v>504</v>
      </c>
      <c r="C5104" s="656" t="s">
        <v>7390</v>
      </c>
      <c r="D5104" s="657"/>
      <c r="E5104" s="657"/>
      <c r="F5104" s="656"/>
      <c r="G5104" s="656"/>
      <c r="H5104" s="656"/>
      <c r="I5104" s="656"/>
      <c r="J5104" s="656"/>
      <c r="K5104" s="656"/>
      <c r="L5104" s="656"/>
      <c r="M5104" s="657"/>
      <c r="N5104" s="1482"/>
      <c r="O5104" s="656" t="s">
        <v>498</v>
      </c>
      <c r="P5104" s="656" t="s">
        <v>13052</v>
      </c>
      <c r="Q5104" s="656">
        <v>44216.758935185186</v>
      </c>
    </row>
    <row r="5105" spans="1:17">
      <c r="A5105" s="656" t="s">
        <v>7391</v>
      </c>
      <c r="B5105" s="657" t="s">
        <v>504</v>
      </c>
      <c r="C5105" s="656" t="s">
        <v>7392</v>
      </c>
      <c r="D5105" s="657"/>
      <c r="E5105" s="657"/>
      <c r="F5105" s="656"/>
      <c r="G5105" s="656" t="s">
        <v>5103</v>
      </c>
      <c r="H5105" s="656"/>
      <c r="I5105" s="656"/>
      <c r="J5105" s="656"/>
      <c r="K5105" s="656"/>
      <c r="L5105" s="656"/>
      <c r="M5105" s="657"/>
      <c r="N5105" s="1482"/>
      <c r="O5105" s="656" t="s">
        <v>498</v>
      </c>
      <c r="P5105" s="656" t="s">
        <v>13052</v>
      </c>
      <c r="Q5105" s="656">
        <v>44216.758923611109</v>
      </c>
    </row>
    <row r="5106" spans="1:17">
      <c r="A5106" s="656" t="s">
        <v>7393</v>
      </c>
      <c r="B5106" s="657" t="s">
        <v>504</v>
      </c>
      <c r="C5106" s="656" t="s">
        <v>7394</v>
      </c>
      <c r="D5106" s="657"/>
      <c r="E5106" s="657"/>
      <c r="F5106" s="656"/>
      <c r="G5106" s="656" t="s">
        <v>5103</v>
      </c>
      <c r="H5106" s="656"/>
      <c r="I5106" s="656"/>
      <c r="J5106" s="656"/>
      <c r="K5106" s="656"/>
      <c r="L5106" s="656"/>
      <c r="M5106" s="657"/>
      <c r="N5106" s="1482"/>
      <c r="O5106" s="656" t="s">
        <v>498</v>
      </c>
      <c r="P5106" s="656" t="s">
        <v>13052</v>
      </c>
      <c r="Q5106" s="656">
        <v>44216.758923611109</v>
      </c>
    </row>
    <row r="5107" spans="1:17">
      <c r="A5107" s="656" t="s">
        <v>7395</v>
      </c>
      <c r="B5107" s="657" t="s">
        <v>504</v>
      </c>
      <c r="C5107" s="656" t="s">
        <v>7396</v>
      </c>
      <c r="D5107" s="657"/>
      <c r="E5107" s="657"/>
      <c r="F5107" s="656"/>
      <c r="G5107" s="656" t="s">
        <v>5103</v>
      </c>
      <c r="H5107" s="656"/>
      <c r="I5107" s="656"/>
      <c r="J5107" s="656"/>
      <c r="K5107" s="656"/>
      <c r="L5107" s="656"/>
      <c r="M5107" s="657"/>
      <c r="N5107" s="1482"/>
      <c r="O5107" s="656" t="s">
        <v>498</v>
      </c>
      <c r="P5107" s="656" t="s">
        <v>13052</v>
      </c>
      <c r="Q5107" s="656">
        <v>44216.758912037039</v>
      </c>
    </row>
    <row r="5108" spans="1:17">
      <c r="A5108" s="656" t="s">
        <v>7397</v>
      </c>
      <c r="B5108" s="657" t="s">
        <v>504</v>
      </c>
      <c r="C5108" s="656" t="s">
        <v>7398</v>
      </c>
      <c r="D5108" s="657"/>
      <c r="E5108" s="657"/>
      <c r="F5108" s="656"/>
      <c r="G5108" s="656" t="s">
        <v>5103</v>
      </c>
      <c r="H5108" s="656"/>
      <c r="I5108" s="656"/>
      <c r="J5108" s="656"/>
      <c r="K5108" s="656"/>
      <c r="L5108" s="656"/>
      <c r="M5108" s="657"/>
      <c r="N5108" s="1482"/>
      <c r="O5108" s="656" t="s">
        <v>498</v>
      </c>
      <c r="P5108" s="656" t="s">
        <v>13052</v>
      </c>
      <c r="Q5108" s="656">
        <v>44216.758912037039</v>
      </c>
    </row>
    <row r="5109" spans="1:17">
      <c r="A5109" s="656" t="s">
        <v>7399</v>
      </c>
      <c r="B5109" s="657" t="s">
        <v>504</v>
      </c>
      <c r="C5109" s="656" t="s">
        <v>7400</v>
      </c>
      <c r="D5109" s="657"/>
      <c r="E5109" s="657"/>
      <c r="F5109" s="656"/>
      <c r="G5109" s="656" t="s">
        <v>5103</v>
      </c>
      <c r="H5109" s="656"/>
      <c r="I5109" s="656"/>
      <c r="J5109" s="656"/>
      <c r="K5109" s="656"/>
      <c r="L5109" s="656"/>
      <c r="M5109" s="657"/>
      <c r="N5109" s="1482"/>
      <c r="O5109" s="656" t="s">
        <v>498</v>
      </c>
      <c r="P5109" s="656" t="s">
        <v>13052</v>
      </c>
      <c r="Q5109" s="656">
        <v>44216.758900462963</v>
      </c>
    </row>
    <row r="5110" spans="1:17">
      <c r="A5110" s="656" t="s">
        <v>7401</v>
      </c>
      <c r="B5110" s="657" t="s">
        <v>504</v>
      </c>
      <c r="C5110" s="656" t="s">
        <v>7402</v>
      </c>
      <c r="D5110" s="657"/>
      <c r="E5110" s="657"/>
      <c r="F5110" s="656"/>
      <c r="G5110" s="656" t="s">
        <v>5103</v>
      </c>
      <c r="H5110" s="656"/>
      <c r="I5110" s="656"/>
      <c r="J5110" s="656"/>
      <c r="K5110" s="656"/>
      <c r="L5110" s="656"/>
      <c r="M5110" s="657"/>
      <c r="N5110" s="1482"/>
      <c r="O5110" s="656" t="s">
        <v>498</v>
      </c>
      <c r="P5110" s="656" t="s">
        <v>13052</v>
      </c>
      <c r="Q5110" s="656">
        <v>44216.758900462963</v>
      </c>
    </row>
    <row r="5111" spans="1:17">
      <c r="A5111" s="656" t="s">
        <v>7403</v>
      </c>
      <c r="B5111" s="657" t="s">
        <v>504</v>
      </c>
      <c r="C5111" s="656" t="s">
        <v>7404</v>
      </c>
      <c r="D5111" s="657"/>
      <c r="E5111" s="657"/>
      <c r="F5111" s="656"/>
      <c r="G5111" s="656" t="s">
        <v>5103</v>
      </c>
      <c r="H5111" s="656"/>
      <c r="I5111" s="656"/>
      <c r="J5111" s="656"/>
      <c r="K5111" s="656"/>
      <c r="L5111" s="656"/>
      <c r="M5111" s="657"/>
      <c r="N5111" s="1482"/>
      <c r="O5111" s="656" t="s">
        <v>498</v>
      </c>
      <c r="P5111" s="656" t="s">
        <v>13052</v>
      </c>
      <c r="Q5111" s="656">
        <v>44216.758900462963</v>
      </c>
    </row>
    <row r="5112" spans="1:17">
      <c r="A5112" s="656" t="s">
        <v>7405</v>
      </c>
      <c r="B5112" s="657" t="s">
        <v>504</v>
      </c>
      <c r="C5112" s="656" t="s">
        <v>7406</v>
      </c>
      <c r="D5112" s="657"/>
      <c r="E5112" s="657"/>
      <c r="F5112" s="656"/>
      <c r="G5112" s="656" t="s">
        <v>5103</v>
      </c>
      <c r="H5112" s="656"/>
      <c r="I5112" s="656"/>
      <c r="J5112" s="656"/>
      <c r="K5112" s="656"/>
      <c r="L5112" s="656"/>
      <c r="M5112" s="657"/>
      <c r="N5112" s="1482"/>
      <c r="O5112" s="656" t="s">
        <v>498</v>
      </c>
      <c r="P5112" s="656" t="s">
        <v>13052</v>
      </c>
      <c r="Q5112" s="656">
        <v>44216.758888888886</v>
      </c>
    </row>
    <row r="5113" spans="1:17">
      <c r="A5113" s="656" t="s">
        <v>7407</v>
      </c>
      <c r="B5113" s="657" t="s">
        <v>504</v>
      </c>
      <c r="C5113" s="656" t="s">
        <v>7408</v>
      </c>
      <c r="D5113" s="657"/>
      <c r="E5113" s="657"/>
      <c r="F5113" s="656"/>
      <c r="G5113" s="656" t="s">
        <v>5103</v>
      </c>
      <c r="H5113" s="656"/>
      <c r="I5113" s="656"/>
      <c r="J5113" s="656"/>
      <c r="K5113" s="656"/>
      <c r="L5113" s="656"/>
      <c r="M5113" s="657"/>
      <c r="N5113" s="1482"/>
      <c r="O5113" s="656" t="s">
        <v>498</v>
      </c>
      <c r="P5113" s="656" t="s">
        <v>13052</v>
      </c>
      <c r="Q5113" s="656">
        <v>44216.758888888886</v>
      </c>
    </row>
    <row r="5114" spans="1:17">
      <c r="A5114" s="656" t="s">
        <v>15820</v>
      </c>
      <c r="B5114" s="657" t="s">
        <v>504</v>
      </c>
      <c r="C5114" s="656" t="s">
        <v>15821</v>
      </c>
      <c r="D5114" s="657" t="s">
        <v>13789</v>
      </c>
      <c r="E5114" s="657" t="s">
        <v>7435</v>
      </c>
      <c r="F5114" s="656"/>
      <c r="G5114" s="656" t="s">
        <v>525</v>
      </c>
      <c r="H5114" s="656"/>
      <c r="I5114" s="656" t="s">
        <v>13051</v>
      </c>
      <c r="J5114" s="656"/>
      <c r="K5114" s="656"/>
      <c r="L5114" s="656"/>
      <c r="M5114" s="657"/>
      <c r="N5114" s="1482">
        <v>197</v>
      </c>
      <c r="O5114" s="656" t="s">
        <v>498</v>
      </c>
      <c r="P5114" s="656" t="s">
        <v>13052</v>
      </c>
      <c r="Q5114" s="656">
        <v>44266.151458333334</v>
      </c>
    </row>
    <row r="5115" spans="1:17">
      <c r="A5115" s="656" t="s">
        <v>7409</v>
      </c>
      <c r="B5115" s="657" t="s">
        <v>504</v>
      </c>
      <c r="C5115" s="656" t="s">
        <v>7410</v>
      </c>
      <c r="D5115" s="657"/>
      <c r="E5115" s="657"/>
      <c r="F5115" s="656"/>
      <c r="G5115" s="656" t="s">
        <v>5103</v>
      </c>
      <c r="H5115" s="656"/>
      <c r="I5115" s="656"/>
      <c r="J5115" s="656"/>
      <c r="K5115" s="656"/>
      <c r="L5115" s="656"/>
      <c r="M5115" s="657"/>
      <c r="N5115" s="1482"/>
      <c r="O5115" s="656" t="s">
        <v>498</v>
      </c>
      <c r="P5115" s="656" t="s">
        <v>13052</v>
      </c>
      <c r="Q5115" s="656">
        <v>44216.758877314816</v>
      </c>
    </row>
    <row r="5116" spans="1:17">
      <c r="A5116" s="656" t="s">
        <v>7411</v>
      </c>
      <c r="B5116" s="657" t="s">
        <v>504</v>
      </c>
      <c r="C5116" s="656" t="s">
        <v>7412</v>
      </c>
      <c r="D5116" s="657"/>
      <c r="E5116" s="657"/>
      <c r="F5116" s="656"/>
      <c r="G5116" s="656" t="s">
        <v>5103</v>
      </c>
      <c r="H5116" s="656"/>
      <c r="I5116" s="656"/>
      <c r="J5116" s="656"/>
      <c r="K5116" s="656"/>
      <c r="L5116" s="656"/>
      <c r="M5116" s="657"/>
      <c r="N5116" s="1482"/>
      <c r="O5116" s="656" t="s">
        <v>498</v>
      </c>
      <c r="P5116" s="656" t="s">
        <v>13052</v>
      </c>
      <c r="Q5116" s="656">
        <v>44216.758877314816</v>
      </c>
    </row>
    <row r="5117" spans="1:17">
      <c r="A5117" s="656" t="s">
        <v>7413</v>
      </c>
      <c r="B5117" s="657" t="s">
        <v>504</v>
      </c>
      <c r="C5117" s="656" t="s">
        <v>7414</v>
      </c>
      <c r="D5117" s="657"/>
      <c r="E5117" s="657"/>
      <c r="F5117" s="656"/>
      <c r="G5117" s="656" t="s">
        <v>5103</v>
      </c>
      <c r="H5117" s="656"/>
      <c r="I5117" s="656"/>
      <c r="J5117" s="656"/>
      <c r="K5117" s="656"/>
      <c r="L5117" s="656"/>
      <c r="M5117" s="657"/>
      <c r="N5117" s="1482"/>
      <c r="O5117" s="656" t="s">
        <v>498</v>
      </c>
      <c r="P5117" s="656" t="s">
        <v>13052</v>
      </c>
      <c r="Q5117" s="656">
        <v>44216.75886574074</v>
      </c>
    </row>
    <row r="5118" spans="1:17">
      <c r="A5118" s="656" t="s">
        <v>7415</v>
      </c>
      <c r="B5118" s="657" t="s">
        <v>504</v>
      </c>
      <c r="C5118" s="656" t="s">
        <v>7416</v>
      </c>
      <c r="D5118" s="657"/>
      <c r="E5118" s="657"/>
      <c r="F5118" s="656"/>
      <c r="G5118" s="656" t="s">
        <v>5103</v>
      </c>
      <c r="H5118" s="656"/>
      <c r="I5118" s="656"/>
      <c r="J5118" s="656"/>
      <c r="K5118" s="656"/>
      <c r="L5118" s="656"/>
      <c r="M5118" s="657"/>
      <c r="N5118" s="1482"/>
      <c r="O5118" s="656" t="s">
        <v>498</v>
      </c>
      <c r="P5118" s="656" t="s">
        <v>13052</v>
      </c>
      <c r="Q5118" s="656">
        <v>44216.75886574074</v>
      </c>
    </row>
    <row r="5119" spans="1:17">
      <c r="A5119" s="656" t="s">
        <v>7417</v>
      </c>
      <c r="B5119" s="657" t="s">
        <v>504</v>
      </c>
      <c r="C5119" s="656" t="s">
        <v>7418</v>
      </c>
      <c r="D5119" s="657"/>
      <c r="E5119" s="657"/>
      <c r="F5119" s="656"/>
      <c r="G5119" s="656" t="s">
        <v>5103</v>
      </c>
      <c r="H5119" s="656"/>
      <c r="I5119" s="656"/>
      <c r="J5119" s="656"/>
      <c r="K5119" s="656"/>
      <c r="L5119" s="656"/>
      <c r="M5119" s="657"/>
      <c r="N5119" s="1482"/>
      <c r="O5119" s="656" t="s">
        <v>498</v>
      </c>
      <c r="P5119" s="656" t="s">
        <v>13052</v>
      </c>
      <c r="Q5119" s="656">
        <v>44216.75885416667</v>
      </c>
    </row>
    <row r="5120" spans="1:17">
      <c r="A5120" s="656" t="s">
        <v>7419</v>
      </c>
      <c r="B5120" s="657" t="s">
        <v>504</v>
      </c>
      <c r="C5120" s="656" t="s">
        <v>7420</v>
      </c>
      <c r="D5120" s="657"/>
      <c r="E5120" s="657"/>
      <c r="F5120" s="656"/>
      <c r="G5120" s="656" t="s">
        <v>5103</v>
      </c>
      <c r="H5120" s="656"/>
      <c r="I5120" s="656"/>
      <c r="J5120" s="656"/>
      <c r="K5120" s="656"/>
      <c r="L5120" s="656"/>
      <c r="M5120" s="657"/>
      <c r="N5120" s="1482"/>
      <c r="O5120" s="656" t="s">
        <v>498</v>
      </c>
      <c r="P5120" s="656" t="s">
        <v>13052</v>
      </c>
      <c r="Q5120" s="656">
        <v>44216.75885416667</v>
      </c>
    </row>
    <row r="5121" spans="1:17">
      <c r="A5121" s="656" t="s">
        <v>7421</v>
      </c>
      <c r="B5121" s="657" t="s">
        <v>504</v>
      </c>
      <c r="C5121" s="656" t="s">
        <v>7422</v>
      </c>
      <c r="D5121" s="657"/>
      <c r="E5121" s="657"/>
      <c r="F5121" s="656"/>
      <c r="G5121" s="656" t="s">
        <v>5103</v>
      </c>
      <c r="H5121" s="656"/>
      <c r="I5121" s="656"/>
      <c r="J5121" s="656"/>
      <c r="K5121" s="656"/>
      <c r="L5121" s="656"/>
      <c r="M5121" s="657"/>
      <c r="N5121" s="1482"/>
      <c r="O5121" s="656" t="s">
        <v>498</v>
      </c>
      <c r="P5121" s="656" t="s">
        <v>13052</v>
      </c>
      <c r="Q5121" s="656">
        <v>44216.758842592593</v>
      </c>
    </row>
    <row r="5122" spans="1:17">
      <c r="A5122" s="656" t="s">
        <v>7423</v>
      </c>
      <c r="B5122" s="657" t="s">
        <v>504</v>
      </c>
      <c r="C5122" s="656" t="s">
        <v>7424</v>
      </c>
      <c r="D5122" s="657"/>
      <c r="E5122" s="657"/>
      <c r="F5122" s="656"/>
      <c r="G5122" s="656" t="s">
        <v>5103</v>
      </c>
      <c r="H5122" s="656"/>
      <c r="I5122" s="656"/>
      <c r="J5122" s="656"/>
      <c r="K5122" s="656"/>
      <c r="L5122" s="656"/>
      <c r="M5122" s="657"/>
      <c r="N5122" s="1482"/>
      <c r="O5122" s="656" t="s">
        <v>498</v>
      </c>
      <c r="P5122" s="656" t="s">
        <v>13052</v>
      </c>
      <c r="Q5122" s="656">
        <v>44216.758831018517</v>
      </c>
    </row>
    <row r="5123" spans="1:17">
      <c r="A5123" s="656" t="s">
        <v>7425</v>
      </c>
      <c r="B5123" s="657" t="s">
        <v>504</v>
      </c>
      <c r="C5123" s="656" t="s">
        <v>7426</v>
      </c>
      <c r="D5123" s="657"/>
      <c r="E5123" s="657"/>
      <c r="F5123" s="656"/>
      <c r="G5123" s="656" t="s">
        <v>5103</v>
      </c>
      <c r="H5123" s="656"/>
      <c r="I5123" s="656"/>
      <c r="J5123" s="656"/>
      <c r="K5123" s="656"/>
      <c r="L5123" s="656"/>
      <c r="M5123" s="657"/>
      <c r="N5123" s="1482"/>
      <c r="O5123" s="656" t="s">
        <v>498</v>
      </c>
      <c r="P5123" s="656" t="s">
        <v>13052</v>
      </c>
      <c r="Q5123" s="656">
        <v>44216.758831018517</v>
      </c>
    </row>
    <row r="5124" spans="1:17">
      <c r="A5124" s="656" t="s">
        <v>7427</v>
      </c>
      <c r="B5124" s="657" t="s">
        <v>504</v>
      </c>
      <c r="C5124" s="656" t="s">
        <v>7428</v>
      </c>
      <c r="D5124" s="657"/>
      <c r="E5124" s="657"/>
      <c r="F5124" s="656"/>
      <c r="G5124" s="656" t="s">
        <v>5103</v>
      </c>
      <c r="H5124" s="656"/>
      <c r="I5124" s="656"/>
      <c r="J5124" s="656"/>
      <c r="K5124" s="656"/>
      <c r="L5124" s="656"/>
      <c r="M5124" s="657"/>
      <c r="N5124" s="1482"/>
      <c r="O5124" s="656" t="s">
        <v>498</v>
      </c>
      <c r="P5124" s="656" t="s">
        <v>13052</v>
      </c>
      <c r="Q5124" s="656">
        <v>44216.758819444447</v>
      </c>
    </row>
    <row r="5125" spans="1:17">
      <c r="A5125" s="656" t="s">
        <v>7429</v>
      </c>
      <c r="B5125" s="657" t="s">
        <v>531</v>
      </c>
      <c r="C5125" s="656" t="s">
        <v>7430</v>
      </c>
      <c r="D5125" s="657" t="s">
        <v>13789</v>
      </c>
      <c r="E5125" s="657"/>
      <c r="F5125" s="656"/>
      <c r="G5125" s="656" t="s">
        <v>5103</v>
      </c>
      <c r="H5125" s="656"/>
      <c r="I5125" s="656" t="s">
        <v>14976</v>
      </c>
      <c r="J5125" s="656"/>
      <c r="K5125" s="656"/>
      <c r="L5125" s="656"/>
      <c r="M5125" s="657"/>
      <c r="N5125" s="1482"/>
      <c r="O5125" s="656" t="s">
        <v>498</v>
      </c>
      <c r="P5125" s="656" t="s">
        <v>13052</v>
      </c>
      <c r="Q5125" s="656">
        <v>44216.758819444447</v>
      </c>
    </row>
    <row r="5126" spans="1:17">
      <c r="A5126" s="656" t="s">
        <v>14158</v>
      </c>
      <c r="B5126" s="657" t="s">
        <v>202</v>
      </c>
      <c r="C5126" s="656" t="s">
        <v>14159</v>
      </c>
      <c r="D5126" s="657" t="s">
        <v>14978</v>
      </c>
      <c r="E5126" s="657"/>
      <c r="F5126" s="656" t="s">
        <v>1300</v>
      </c>
      <c r="G5126" s="656" t="s">
        <v>4198</v>
      </c>
      <c r="H5126" s="656" t="s">
        <v>1300</v>
      </c>
      <c r="I5126" s="656" t="s">
        <v>14976</v>
      </c>
      <c r="J5126" s="656"/>
      <c r="K5126" s="656"/>
      <c r="L5126" s="656" t="s">
        <v>12610</v>
      </c>
      <c r="M5126" s="657"/>
      <c r="N5126" s="1482"/>
      <c r="O5126" s="656" t="s">
        <v>498</v>
      </c>
      <c r="P5126" s="656" t="s">
        <v>13052</v>
      </c>
      <c r="Q5126" s="656">
        <v>44216.75880787037</v>
      </c>
    </row>
    <row r="5127" spans="1:17">
      <c r="A5127" s="656" t="s">
        <v>12610</v>
      </c>
      <c r="B5127" s="657" t="s">
        <v>202</v>
      </c>
      <c r="C5127" s="656" t="s">
        <v>14157</v>
      </c>
      <c r="D5127" s="657" t="s">
        <v>13789</v>
      </c>
      <c r="E5127" s="657"/>
      <c r="F5127" s="656" t="s">
        <v>1300</v>
      </c>
      <c r="G5127" s="656" t="s">
        <v>4198</v>
      </c>
      <c r="H5127" s="656" t="s">
        <v>1300</v>
      </c>
      <c r="I5127" s="656" t="s">
        <v>14976</v>
      </c>
      <c r="J5127" s="656"/>
      <c r="K5127" s="656"/>
      <c r="L5127" s="656"/>
      <c r="M5127" s="657"/>
      <c r="N5127" s="1482"/>
      <c r="O5127" s="656" t="s">
        <v>498</v>
      </c>
      <c r="P5127" s="656" t="s">
        <v>13052</v>
      </c>
      <c r="Q5127" s="656">
        <v>44216.75880787037</v>
      </c>
    </row>
    <row r="5128" spans="1:17">
      <c r="A5128" s="656" t="s">
        <v>14156</v>
      </c>
      <c r="B5128" s="657" t="s">
        <v>202</v>
      </c>
      <c r="C5128" s="656" t="s">
        <v>14155</v>
      </c>
      <c r="D5128" s="657" t="s">
        <v>14978</v>
      </c>
      <c r="E5128" s="657"/>
      <c r="F5128" s="656" t="s">
        <v>1300</v>
      </c>
      <c r="G5128" s="656" t="s">
        <v>4198</v>
      </c>
      <c r="H5128" s="656" t="s">
        <v>1300</v>
      </c>
      <c r="I5128" s="656" t="s">
        <v>14976</v>
      </c>
      <c r="J5128" s="656"/>
      <c r="K5128" s="656"/>
      <c r="L5128" s="656" t="s">
        <v>12612</v>
      </c>
      <c r="M5128" s="657"/>
      <c r="N5128" s="1482"/>
      <c r="O5128" s="656" t="s">
        <v>498</v>
      </c>
      <c r="P5128" s="656" t="s">
        <v>13052</v>
      </c>
      <c r="Q5128" s="656">
        <v>44216.758796296293</v>
      </c>
    </row>
    <row r="5129" spans="1:17">
      <c r="A5129" s="656" t="s">
        <v>12612</v>
      </c>
      <c r="B5129" s="657" t="s">
        <v>202</v>
      </c>
      <c r="C5129" s="656" t="s">
        <v>14155</v>
      </c>
      <c r="D5129" s="657" t="s">
        <v>13789</v>
      </c>
      <c r="E5129" s="657"/>
      <c r="F5129" s="656" t="s">
        <v>1300</v>
      </c>
      <c r="G5129" s="656" t="s">
        <v>4198</v>
      </c>
      <c r="H5129" s="656" t="s">
        <v>1300</v>
      </c>
      <c r="I5129" s="656" t="s">
        <v>14976</v>
      </c>
      <c r="J5129" s="656"/>
      <c r="K5129" s="656"/>
      <c r="L5129" s="656"/>
      <c r="M5129" s="657"/>
      <c r="N5129" s="1482"/>
      <c r="O5129" s="656" t="s">
        <v>498</v>
      </c>
      <c r="P5129" s="656" t="s">
        <v>13052</v>
      </c>
      <c r="Q5129" s="656">
        <v>44216.758796296293</v>
      </c>
    </row>
    <row r="5130" spans="1:17">
      <c r="A5130" s="656" t="s">
        <v>14151</v>
      </c>
      <c r="B5130" s="657" t="s">
        <v>202</v>
      </c>
      <c r="C5130" s="656" t="s">
        <v>14152</v>
      </c>
      <c r="D5130" s="657" t="s">
        <v>14978</v>
      </c>
      <c r="E5130" s="657"/>
      <c r="F5130" s="656" t="s">
        <v>1300</v>
      </c>
      <c r="G5130" s="656" t="s">
        <v>4198</v>
      </c>
      <c r="H5130" s="656" t="s">
        <v>1300</v>
      </c>
      <c r="I5130" s="656" t="s">
        <v>14976</v>
      </c>
      <c r="J5130" s="656"/>
      <c r="K5130" s="656"/>
      <c r="L5130" s="656" t="s">
        <v>12617</v>
      </c>
      <c r="M5130" s="657"/>
      <c r="N5130" s="1482"/>
      <c r="O5130" s="656" t="s">
        <v>498</v>
      </c>
      <c r="P5130" s="656" t="s">
        <v>13052</v>
      </c>
      <c r="Q5130" s="656">
        <v>44216.758784722224</v>
      </c>
    </row>
    <row r="5131" spans="1:17">
      <c r="A5131" s="656" t="s">
        <v>12617</v>
      </c>
      <c r="B5131" s="657" t="s">
        <v>202</v>
      </c>
      <c r="C5131" s="656" t="s">
        <v>14150</v>
      </c>
      <c r="D5131" s="657" t="s">
        <v>13789</v>
      </c>
      <c r="E5131" s="657"/>
      <c r="F5131" s="656" t="s">
        <v>1300</v>
      </c>
      <c r="G5131" s="656" t="s">
        <v>4198</v>
      </c>
      <c r="H5131" s="656" t="s">
        <v>1300</v>
      </c>
      <c r="I5131" s="656" t="s">
        <v>14976</v>
      </c>
      <c r="J5131" s="656"/>
      <c r="K5131" s="656"/>
      <c r="L5131" s="656"/>
      <c r="M5131" s="657"/>
      <c r="N5131" s="1482"/>
      <c r="O5131" s="656" t="s">
        <v>498</v>
      </c>
      <c r="P5131" s="656" t="s">
        <v>13052</v>
      </c>
      <c r="Q5131" s="656">
        <v>44216.758784722224</v>
      </c>
    </row>
    <row r="5132" spans="1:17">
      <c r="A5132" s="656" t="s">
        <v>7431</v>
      </c>
      <c r="B5132" s="657"/>
      <c r="C5132" s="656" t="s">
        <v>7432</v>
      </c>
      <c r="D5132" s="657" t="s">
        <v>13789</v>
      </c>
      <c r="E5132" s="657"/>
      <c r="F5132" s="656"/>
      <c r="G5132" s="656" t="s">
        <v>5045</v>
      </c>
      <c r="H5132" s="656"/>
      <c r="I5132" s="656" t="s">
        <v>14976</v>
      </c>
      <c r="J5132" s="656"/>
      <c r="K5132" s="656"/>
      <c r="L5132" s="656"/>
      <c r="M5132" s="657"/>
      <c r="N5132" s="1482"/>
      <c r="O5132" s="656" t="s">
        <v>498</v>
      </c>
      <c r="P5132" s="656" t="s">
        <v>13052</v>
      </c>
      <c r="Q5132" s="656">
        <v>44216.758784722224</v>
      </c>
    </row>
    <row r="5133" spans="1:17">
      <c r="A5133" s="656" t="s">
        <v>7433</v>
      </c>
      <c r="B5133" s="657" t="s">
        <v>504</v>
      </c>
      <c r="C5133" s="656" t="s">
        <v>7434</v>
      </c>
      <c r="D5133" s="657"/>
      <c r="E5133" s="657"/>
      <c r="F5133" s="656" t="s">
        <v>505</v>
      </c>
      <c r="G5133" s="656" t="s">
        <v>4394</v>
      </c>
      <c r="H5133" s="656" t="s">
        <v>505</v>
      </c>
      <c r="I5133" s="656"/>
      <c r="J5133" s="656"/>
      <c r="K5133" s="656"/>
      <c r="L5133" s="656"/>
      <c r="M5133" s="657"/>
      <c r="N5133" s="1482"/>
      <c r="O5133" s="656" t="s">
        <v>498</v>
      </c>
      <c r="P5133" s="656" t="s">
        <v>13052</v>
      </c>
      <c r="Q5133" s="656">
        <v>44216.758773148147</v>
      </c>
    </row>
    <row r="5134" spans="1:17">
      <c r="A5134" s="656" t="s">
        <v>7435</v>
      </c>
      <c r="B5134" s="657" t="s">
        <v>504</v>
      </c>
      <c r="C5134" s="656" t="s">
        <v>7436</v>
      </c>
      <c r="D5134" s="657"/>
      <c r="E5134" s="657"/>
      <c r="F5134" s="656" t="s">
        <v>505</v>
      </c>
      <c r="G5134" s="656" t="s">
        <v>4394</v>
      </c>
      <c r="H5134" s="656" t="s">
        <v>505</v>
      </c>
      <c r="I5134" s="656"/>
      <c r="J5134" s="656"/>
      <c r="K5134" s="656"/>
      <c r="L5134" s="656"/>
      <c r="M5134" s="657"/>
      <c r="N5134" s="1482"/>
      <c r="O5134" s="656" t="s">
        <v>498</v>
      </c>
      <c r="P5134" s="656" t="s">
        <v>13052</v>
      </c>
      <c r="Q5134" s="656">
        <v>44216.758773148147</v>
      </c>
    </row>
    <row r="5135" spans="1:17">
      <c r="A5135" s="656" t="s">
        <v>7437</v>
      </c>
      <c r="B5135" s="657" t="s">
        <v>504</v>
      </c>
      <c r="C5135" s="656" t="s">
        <v>7438</v>
      </c>
      <c r="D5135" s="657"/>
      <c r="E5135" s="657"/>
      <c r="F5135" s="656" t="s">
        <v>505</v>
      </c>
      <c r="G5135" s="656" t="s">
        <v>4394</v>
      </c>
      <c r="H5135" s="656" t="s">
        <v>505</v>
      </c>
      <c r="I5135" s="656"/>
      <c r="J5135" s="656"/>
      <c r="K5135" s="656"/>
      <c r="L5135" s="656"/>
      <c r="M5135" s="657"/>
      <c r="N5135" s="1482"/>
      <c r="O5135" s="656" t="s">
        <v>498</v>
      </c>
      <c r="P5135" s="656" t="s">
        <v>13052</v>
      </c>
      <c r="Q5135" s="656">
        <v>44216.758761574078</v>
      </c>
    </row>
    <row r="5136" spans="1:17">
      <c r="A5136" s="656" t="s">
        <v>7439</v>
      </c>
      <c r="B5136" s="657" t="s">
        <v>504</v>
      </c>
      <c r="C5136" s="656" t="s">
        <v>7440</v>
      </c>
      <c r="D5136" s="657"/>
      <c r="E5136" s="657"/>
      <c r="F5136" s="656"/>
      <c r="G5136" s="656" t="s">
        <v>5103</v>
      </c>
      <c r="H5136" s="656"/>
      <c r="I5136" s="656"/>
      <c r="J5136" s="656"/>
      <c r="K5136" s="656"/>
      <c r="L5136" s="656"/>
      <c r="M5136" s="657"/>
      <c r="N5136" s="1482"/>
      <c r="O5136" s="656" t="s">
        <v>498</v>
      </c>
      <c r="P5136" s="656" t="s">
        <v>13052</v>
      </c>
      <c r="Q5136" s="656">
        <v>44216.758761574078</v>
      </c>
    </row>
    <row r="5137" spans="1:17">
      <c r="A5137" s="656" t="s">
        <v>7441</v>
      </c>
      <c r="B5137" s="657" t="s">
        <v>504</v>
      </c>
      <c r="C5137" s="656" t="s">
        <v>7442</v>
      </c>
      <c r="D5137" s="657"/>
      <c r="E5137" s="657"/>
      <c r="F5137" s="656"/>
      <c r="G5137" s="656" t="s">
        <v>5238</v>
      </c>
      <c r="H5137" s="656"/>
      <c r="I5137" s="656"/>
      <c r="J5137" s="656"/>
      <c r="K5137" s="656"/>
      <c r="L5137" s="656"/>
      <c r="M5137" s="657"/>
      <c r="N5137" s="1482"/>
      <c r="O5137" s="656" t="s">
        <v>498</v>
      </c>
      <c r="P5137" s="656" t="s">
        <v>13052</v>
      </c>
      <c r="Q5137" s="656">
        <v>44216.758750000001</v>
      </c>
    </row>
    <row r="5138" spans="1:17">
      <c r="A5138" s="656" t="s">
        <v>7443</v>
      </c>
      <c r="B5138" s="657"/>
      <c r="C5138" s="656" t="s">
        <v>7444</v>
      </c>
      <c r="D5138" s="657" t="s">
        <v>13789</v>
      </c>
      <c r="E5138" s="657"/>
      <c r="F5138" s="656"/>
      <c r="G5138" s="656"/>
      <c r="H5138" s="656"/>
      <c r="I5138" s="656" t="s">
        <v>14976</v>
      </c>
      <c r="J5138" s="656"/>
      <c r="K5138" s="656"/>
      <c r="L5138" s="656"/>
      <c r="M5138" s="657"/>
      <c r="N5138" s="1482"/>
      <c r="O5138" s="656" t="s">
        <v>498</v>
      </c>
      <c r="P5138" s="656" t="s">
        <v>13052</v>
      </c>
      <c r="Q5138" s="656">
        <v>44216.758761574078</v>
      </c>
    </row>
    <row r="5139" spans="1:17">
      <c r="A5139" s="656" t="s">
        <v>14148</v>
      </c>
      <c r="B5139" s="657" t="s">
        <v>202</v>
      </c>
      <c r="C5139" s="656" t="s">
        <v>14149</v>
      </c>
      <c r="D5139" s="657" t="s">
        <v>13789</v>
      </c>
      <c r="E5139" s="657"/>
      <c r="F5139" s="656" t="s">
        <v>1300</v>
      </c>
      <c r="G5139" s="656" t="s">
        <v>4198</v>
      </c>
      <c r="H5139" s="656" t="s">
        <v>1300</v>
      </c>
      <c r="I5139" s="656" t="s">
        <v>14976</v>
      </c>
      <c r="J5139" s="656"/>
      <c r="K5139" s="656"/>
      <c r="L5139" s="656"/>
      <c r="M5139" s="657"/>
      <c r="N5139" s="1482"/>
      <c r="O5139" s="656" t="s">
        <v>498</v>
      </c>
      <c r="P5139" s="656" t="s">
        <v>13052</v>
      </c>
      <c r="Q5139" s="656">
        <v>44216.758750000001</v>
      </c>
    </row>
    <row r="5140" spans="1:17">
      <c r="A5140" s="656" t="s">
        <v>14144</v>
      </c>
      <c r="B5140" s="657" t="s">
        <v>202</v>
      </c>
      <c r="C5140" s="656" t="s">
        <v>14143</v>
      </c>
      <c r="D5140" s="657" t="s">
        <v>14978</v>
      </c>
      <c r="E5140" s="657"/>
      <c r="F5140" s="656" t="s">
        <v>1300</v>
      </c>
      <c r="G5140" s="656" t="s">
        <v>4198</v>
      </c>
      <c r="H5140" s="656" t="s">
        <v>1300</v>
      </c>
      <c r="I5140" s="656" t="s">
        <v>14976</v>
      </c>
      <c r="J5140" s="656"/>
      <c r="K5140" s="656"/>
      <c r="L5140" s="656" t="s">
        <v>14142</v>
      </c>
      <c r="M5140" s="657"/>
      <c r="N5140" s="1482"/>
      <c r="O5140" s="656" t="s">
        <v>498</v>
      </c>
      <c r="P5140" s="656" t="s">
        <v>13052</v>
      </c>
      <c r="Q5140" s="656">
        <v>44216.758738425924</v>
      </c>
    </row>
    <row r="5141" spans="1:17">
      <c r="A5141" s="656" t="s">
        <v>14142</v>
      </c>
      <c r="B5141" s="657" t="s">
        <v>202</v>
      </c>
      <c r="C5141" s="656" t="s">
        <v>14143</v>
      </c>
      <c r="D5141" s="657" t="s">
        <v>13789</v>
      </c>
      <c r="E5141" s="657"/>
      <c r="F5141" s="656" t="s">
        <v>1300</v>
      </c>
      <c r="G5141" s="656" t="s">
        <v>4198</v>
      </c>
      <c r="H5141" s="656" t="s">
        <v>1300</v>
      </c>
      <c r="I5141" s="656" t="s">
        <v>14976</v>
      </c>
      <c r="J5141" s="656"/>
      <c r="K5141" s="656"/>
      <c r="L5141" s="656"/>
      <c r="M5141" s="657"/>
      <c r="N5141" s="1482"/>
      <c r="O5141" s="656" t="s">
        <v>498</v>
      </c>
      <c r="P5141" s="656" t="s">
        <v>13052</v>
      </c>
      <c r="Q5141" s="656">
        <v>44216.758738425924</v>
      </c>
    </row>
    <row r="5142" spans="1:17">
      <c r="A5142" s="656" t="s">
        <v>14141</v>
      </c>
      <c r="B5142" s="657" t="s">
        <v>202</v>
      </c>
      <c r="C5142" s="656" t="s">
        <v>14140</v>
      </c>
      <c r="D5142" s="657" t="s">
        <v>14978</v>
      </c>
      <c r="E5142" s="657"/>
      <c r="F5142" s="656" t="s">
        <v>1300</v>
      </c>
      <c r="G5142" s="656" t="s">
        <v>4198</v>
      </c>
      <c r="H5142" s="656" t="s">
        <v>1300</v>
      </c>
      <c r="I5142" s="656" t="s">
        <v>14976</v>
      </c>
      <c r="J5142" s="656"/>
      <c r="K5142" s="656"/>
      <c r="L5142" s="656" t="s">
        <v>14139</v>
      </c>
      <c r="M5142" s="657"/>
      <c r="N5142" s="1482"/>
      <c r="O5142" s="656" t="s">
        <v>498</v>
      </c>
      <c r="P5142" s="656" t="s">
        <v>13052</v>
      </c>
      <c r="Q5142" s="656">
        <v>44216.758726851855</v>
      </c>
    </row>
    <row r="5143" spans="1:17">
      <c r="A5143" s="656" t="s">
        <v>14139</v>
      </c>
      <c r="B5143" s="657" t="s">
        <v>202</v>
      </c>
      <c r="C5143" s="656" t="s">
        <v>14140</v>
      </c>
      <c r="D5143" s="657" t="s">
        <v>13789</v>
      </c>
      <c r="E5143" s="657"/>
      <c r="F5143" s="656" t="s">
        <v>1300</v>
      </c>
      <c r="G5143" s="656" t="s">
        <v>4198</v>
      </c>
      <c r="H5143" s="656" t="s">
        <v>1300</v>
      </c>
      <c r="I5143" s="656" t="s">
        <v>14976</v>
      </c>
      <c r="J5143" s="656"/>
      <c r="K5143" s="656"/>
      <c r="L5143" s="656"/>
      <c r="M5143" s="657"/>
      <c r="N5143" s="1482"/>
      <c r="O5143" s="656" t="s">
        <v>498</v>
      </c>
      <c r="P5143" s="656" t="s">
        <v>13052</v>
      </c>
      <c r="Q5143" s="656">
        <v>44216.758726851855</v>
      </c>
    </row>
    <row r="5144" spans="1:17">
      <c r="A5144" s="656" t="s">
        <v>14138</v>
      </c>
      <c r="B5144" s="657" t="s">
        <v>202</v>
      </c>
      <c r="C5144" s="656" t="s">
        <v>14137</v>
      </c>
      <c r="D5144" s="657" t="s">
        <v>14978</v>
      </c>
      <c r="E5144" s="657"/>
      <c r="F5144" s="656" t="s">
        <v>1300</v>
      </c>
      <c r="G5144" s="656" t="s">
        <v>4198</v>
      </c>
      <c r="H5144" s="656" t="s">
        <v>1300</v>
      </c>
      <c r="I5144" s="656" t="s">
        <v>14976</v>
      </c>
      <c r="J5144" s="656"/>
      <c r="K5144" s="656"/>
      <c r="L5144" s="656" t="s">
        <v>14136</v>
      </c>
      <c r="M5144" s="657"/>
      <c r="N5144" s="1482"/>
      <c r="O5144" s="656" t="s">
        <v>498</v>
      </c>
      <c r="P5144" s="656" t="s">
        <v>13052</v>
      </c>
      <c r="Q5144" s="656">
        <v>44216.758715277778</v>
      </c>
    </row>
    <row r="5145" spans="1:17">
      <c r="A5145" s="656" t="s">
        <v>14136</v>
      </c>
      <c r="B5145" s="657" t="s">
        <v>202</v>
      </c>
      <c r="C5145" s="656" t="s">
        <v>14137</v>
      </c>
      <c r="D5145" s="657" t="s">
        <v>13789</v>
      </c>
      <c r="E5145" s="657"/>
      <c r="F5145" s="656" t="s">
        <v>1300</v>
      </c>
      <c r="G5145" s="656" t="s">
        <v>4198</v>
      </c>
      <c r="H5145" s="656" t="s">
        <v>1300</v>
      </c>
      <c r="I5145" s="656" t="s">
        <v>14976</v>
      </c>
      <c r="J5145" s="656"/>
      <c r="K5145" s="656"/>
      <c r="L5145" s="656"/>
      <c r="M5145" s="657"/>
      <c r="N5145" s="1482"/>
      <c r="O5145" s="656" t="s">
        <v>498</v>
      </c>
      <c r="P5145" s="656" t="s">
        <v>13052</v>
      </c>
      <c r="Q5145" s="656">
        <v>44216.758715277778</v>
      </c>
    </row>
    <row r="5146" spans="1:17">
      <c r="A5146" s="656" t="s">
        <v>7445</v>
      </c>
      <c r="B5146" s="657"/>
      <c r="C5146" s="656" t="s">
        <v>7446</v>
      </c>
      <c r="D5146" s="657" t="s">
        <v>13789</v>
      </c>
      <c r="E5146" s="657"/>
      <c r="F5146" s="656"/>
      <c r="G5146" s="656" t="s">
        <v>5045</v>
      </c>
      <c r="H5146" s="656"/>
      <c r="I5146" s="656" t="s">
        <v>14976</v>
      </c>
      <c r="J5146" s="656"/>
      <c r="K5146" s="656"/>
      <c r="L5146" s="656"/>
      <c r="M5146" s="657"/>
      <c r="N5146" s="1482"/>
      <c r="O5146" s="656" t="s">
        <v>498</v>
      </c>
      <c r="P5146" s="656" t="s">
        <v>13052</v>
      </c>
      <c r="Q5146" s="656">
        <v>44216.758703703701</v>
      </c>
    </row>
    <row r="5147" spans="1:17">
      <c r="A5147" s="656" t="s">
        <v>7447</v>
      </c>
      <c r="B5147" s="657"/>
      <c r="C5147" s="656" t="s">
        <v>7448</v>
      </c>
      <c r="D5147" s="657" t="s">
        <v>13789</v>
      </c>
      <c r="E5147" s="657"/>
      <c r="F5147" s="656"/>
      <c r="G5147" s="656"/>
      <c r="H5147" s="656"/>
      <c r="I5147" s="656" t="s">
        <v>14976</v>
      </c>
      <c r="J5147" s="656"/>
      <c r="K5147" s="656"/>
      <c r="L5147" s="656"/>
      <c r="M5147" s="657"/>
      <c r="N5147" s="1482"/>
      <c r="O5147" s="656" t="s">
        <v>498</v>
      </c>
      <c r="P5147" s="656" t="s">
        <v>13052</v>
      </c>
      <c r="Q5147" s="656">
        <v>44216.758703703701</v>
      </c>
    </row>
    <row r="5148" spans="1:17">
      <c r="A5148" s="656" t="s">
        <v>7449</v>
      </c>
      <c r="B5148" s="657" t="s">
        <v>202</v>
      </c>
      <c r="C5148" s="656" t="s">
        <v>7450</v>
      </c>
      <c r="D5148" s="657" t="s">
        <v>1239</v>
      </c>
      <c r="E5148" s="657"/>
      <c r="F5148" s="656" t="s">
        <v>1667</v>
      </c>
      <c r="G5148" s="656"/>
      <c r="H5148" s="656" t="s">
        <v>1667</v>
      </c>
      <c r="I5148" s="656" t="s">
        <v>14976</v>
      </c>
      <c r="J5148" s="656" t="s">
        <v>15282</v>
      </c>
      <c r="K5148" s="656"/>
      <c r="L5148" s="656"/>
      <c r="M5148" s="657"/>
      <c r="N5148" s="1482"/>
      <c r="O5148" s="656" t="s">
        <v>498</v>
      </c>
      <c r="P5148" s="656" t="s">
        <v>13052</v>
      </c>
      <c r="Q5148" s="656">
        <v>44216.758692129632</v>
      </c>
    </row>
    <row r="5149" spans="1:17">
      <c r="A5149" s="656" t="s">
        <v>7451</v>
      </c>
      <c r="B5149" s="657"/>
      <c r="C5149" s="656" t="s">
        <v>7452</v>
      </c>
      <c r="D5149" s="657" t="s">
        <v>1239</v>
      </c>
      <c r="E5149" s="657"/>
      <c r="F5149" s="656" t="s">
        <v>1394</v>
      </c>
      <c r="G5149" s="656"/>
      <c r="H5149" s="656" t="s">
        <v>1394</v>
      </c>
      <c r="I5149" s="656" t="s">
        <v>14976</v>
      </c>
      <c r="J5149" s="656"/>
      <c r="K5149" s="656"/>
      <c r="L5149" s="656"/>
      <c r="M5149" s="657"/>
      <c r="N5149" s="1482"/>
      <c r="O5149" s="656" t="s">
        <v>498</v>
      </c>
      <c r="P5149" s="656" t="s">
        <v>13052</v>
      </c>
      <c r="Q5149" s="656">
        <v>44216.758692129632</v>
      </c>
    </row>
    <row r="5150" spans="1:17">
      <c r="A5150" s="656" t="s">
        <v>7453</v>
      </c>
      <c r="B5150" s="657" t="s">
        <v>504</v>
      </c>
      <c r="C5150" s="656" t="s">
        <v>7454</v>
      </c>
      <c r="D5150" s="657"/>
      <c r="E5150" s="657"/>
      <c r="F5150" s="656" t="s">
        <v>505</v>
      </c>
      <c r="G5150" s="656" t="s">
        <v>4394</v>
      </c>
      <c r="H5150" s="656" t="s">
        <v>505</v>
      </c>
      <c r="I5150" s="656"/>
      <c r="J5150" s="656"/>
      <c r="K5150" s="656"/>
      <c r="L5150" s="656"/>
      <c r="M5150" s="657"/>
      <c r="N5150" s="1482"/>
      <c r="O5150" s="656" t="s">
        <v>498</v>
      </c>
      <c r="P5150" s="656" t="s">
        <v>13052</v>
      </c>
      <c r="Q5150" s="656">
        <v>44216.758680555555</v>
      </c>
    </row>
    <row r="5151" spans="1:17">
      <c r="A5151" s="656" t="s">
        <v>7455</v>
      </c>
      <c r="B5151" s="657" t="s">
        <v>504</v>
      </c>
      <c r="C5151" s="656" t="s">
        <v>7456</v>
      </c>
      <c r="D5151" s="657"/>
      <c r="E5151" s="657"/>
      <c r="F5151" s="656" t="s">
        <v>505</v>
      </c>
      <c r="G5151" s="656" t="s">
        <v>4394</v>
      </c>
      <c r="H5151" s="656" t="s">
        <v>505</v>
      </c>
      <c r="I5151" s="656"/>
      <c r="J5151" s="656"/>
      <c r="K5151" s="656"/>
      <c r="L5151" s="656"/>
      <c r="M5151" s="657"/>
      <c r="N5151" s="1482"/>
      <c r="O5151" s="656" t="s">
        <v>498</v>
      </c>
      <c r="P5151" s="656" t="s">
        <v>13052</v>
      </c>
      <c r="Q5151" s="656">
        <v>44216.758680555555</v>
      </c>
    </row>
    <row r="5152" spans="1:17">
      <c r="A5152" s="656" t="s">
        <v>7457</v>
      </c>
      <c r="B5152" s="657" t="s">
        <v>504</v>
      </c>
      <c r="C5152" s="656" t="s">
        <v>7458</v>
      </c>
      <c r="D5152" s="657"/>
      <c r="E5152" s="657"/>
      <c r="F5152" s="656" t="s">
        <v>505</v>
      </c>
      <c r="G5152" s="656" t="s">
        <v>4394</v>
      </c>
      <c r="H5152" s="656" t="s">
        <v>505</v>
      </c>
      <c r="I5152" s="656"/>
      <c r="J5152" s="656"/>
      <c r="K5152" s="656"/>
      <c r="L5152" s="656"/>
      <c r="M5152" s="657"/>
      <c r="N5152" s="1482"/>
      <c r="O5152" s="656" t="s">
        <v>498</v>
      </c>
      <c r="P5152" s="656" t="s">
        <v>13052</v>
      </c>
      <c r="Q5152" s="656">
        <v>44216.758668981478</v>
      </c>
    </row>
    <row r="5153" spans="1:17">
      <c r="A5153" s="656" t="s">
        <v>7459</v>
      </c>
      <c r="B5153" s="657" t="s">
        <v>504</v>
      </c>
      <c r="C5153" s="656" t="s">
        <v>7460</v>
      </c>
      <c r="D5153" s="657"/>
      <c r="E5153" s="657"/>
      <c r="F5153" s="656" t="s">
        <v>505</v>
      </c>
      <c r="G5153" s="656" t="s">
        <v>4394</v>
      </c>
      <c r="H5153" s="656" t="s">
        <v>505</v>
      </c>
      <c r="I5153" s="656"/>
      <c r="J5153" s="656"/>
      <c r="K5153" s="656"/>
      <c r="L5153" s="656"/>
      <c r="M5153" s="657"/>
      <c r="N5153" s="1482"/>
      <c r="O5153" s="656" t="s">
        <v>498</v>
      </c>
      <c r="P5153" s="656" t="s">
        <v>13052</v>
      </c>
      <c r="Q5153" s="656">
        <v>44216.758668981478</v>
      </c>
    </row>
    <row r="5154" spans="1:17">
      <c r="A5154" s="656" t="s">
        <v>7461</v>
      </c>
      <c r="B5154" s="657" t="s">
        <v>504</v>
      </c>
      <c r="C5154" s="656" t="s">
        <v>7462</v>
      </c>
      <c r="D5154" s="657"/>
      <c r="E5154" s="657"/>
      <c r="F5154" s="656" t="s">
        <v>505</v>
      </c>
      <c r="G5154" s="656" t="s">
        <v>4324</v>
      </c>
      <c r="H5154" s="656" t="s">
        <v>505</v>
      </c>
      <c r="I5154" s="656"/>
      <c r="J5154" s="656"/>
      <c r="K5154" s="656"/>
      <c r="L5154" s="656"/>
      <c r="M5154" s="657"/>
      <c r="N5154" s="1482"/>
      <c r="O5154" s="656" t="s">
        <v>498</v>
      </c>
      <c r="P5154" s="656" t="s">
        <v>13052</v>
      </c>
      <c r="Q5154" s="656">
        <v>44216.758668981478</v>
      </c>
    </row>
    <row r="5155" spans="1:17">
      <c r="A5155" s="656" t="s">
        <v>7463</v>
      </c>
      <c r="B5155" s="657" t="s">
        <v>504</v>
      </c>
      <c r="C5155" s="656" t="s">
        <v>7464</v>
      </c>
      <c r="D5155" s="657"/>
      <c r="E5155" s="657"/>
      <c r="F5155" s="656" t="s">
        <v>505</v>
      </c>
      <c r="G5155" s="656" t="s">
        <v>4324</v>
      </c>
      <c r="H5155" s="656" t="s">
        <v>505</v>
      </c>
      <c r="I5155" s="656"/>
      <c r="J5155" s="656"/>
      <c r="K5155" s="656"/>
      <c r="L5155" s="656"/>
      <c r="M5155" s="657"/>
      <c r="N5155" s="1482"/>
      <c r="O5155" s="656" t="s">
        <v>498</v>
      </c>
      <c r="P5155" s="656" t="s">
        <v>13052</v>
      </c>
      <c r="Q5155" s="656">
        <v>44216.758657407408</v>
      </c>
    </row>
    <row r="5156" spans="1:17">
      <c r="A5156" s="656" t="s">
        <v>7465</v>
      </c>
      <c r="B5156" s="657" t="s">
        <v>504</v>
      </c>
      <c r="C5156" s="656" t="s">
        <v>7466</v>
      </c>
      <c r="D5156" s="657"/>
      <c r="E5156" s="657"/>
      <c r="F5156" s="656" t="s">
        <v>505</v>
      </c>
      <c r="G5156" s="656" t="s">
        <v>4324</v>
      </c>
      <c r="H5156" s="656" t="s">
        <v>505</v>
      </c>
      <c r="I5156" s="656"/>
      <c r="J5156" s="656"/>
      <c r="K5156" s="656"/>
      <c r="L5156" s="656"/>
      <c r="M5156" s="657"/>
      <c r="N5156" s="1482"/>
      <c r="O5156" s="656" t="s">
        <v>498</v>
      </c>
      <c r="P5156" s="656" t="s">
        <v>13052</v>
      </c>
      <c r="Q5156" s="656">
        <v>44216.758657407408</v>
      </c>
    </row>
    <row r="5157" spans="1:17">
      <c r="A5157" s="656" t="s">
        <v>7467</v>
      </c>
      <c r="B5157" s="657" t="s">
        <v>504</v>
      </c>
      <c r="C5157" s="656" t="s">
        <v>7468</v>
      </c>
      <c r="D5157" s="657"/>
      <c r="E5157" s="657"/>
      <c r="F5157" s="656"/>
      <c r="G5157" s="656" t="s">
        <v>5238</v>
      </c>
      <c r="H5157" s="656"/>
      <c r="I5157" s="656"/>
      <c r="J5157" s="656"/>
      <c r="K5157" s="656"/>
      <c r="L5157" s="656"/>
      <c r="M5157" s="657"/>
      <c r="N5157" s="1482"/>
      <c r="O5157" s="656" t="s">
        <v>498</v>
      </c>
      <c r="P5157" s="656" t="s">
        <v>13052</v>
      </c>
      <c r="Q5157" s="656">
        <v>44216.758657407408</v>
      </c>
    </row>
    <row r="5158" spans="1:17">
      <c r="A5158" s="656" t="s">
        <v>14131</v>
      </c>
      <c r="B5158" s="657" t="s">
        <v>202</v>
      </c>
      <c r="C5158" s="656" t="s">
        <v>14132</v>
      </c>
      <c r="D5158" s="657" t="s">
        <v>13789</v>
      </c>
      <c r="E5158" s="657"/>
      <c r="F5158" s="656"/>
      <c r="G5158" s="656" t="s">
        <v>5238</v>
      </c>
      <c r="H5158" s="656"/>
      <c r="I5158" s="656" t="s">
        <v>14976</v>
      </c>
      <c r="J5158" s="656"/>
      <c r="K5158" s="656"/>
      <c r="L5158" s="656"/>
      <c r="M5158" s="657"/>
      <c r="N5158" s="1482"/>
      <c r="O5158" s="656" t="s">
        <v>498</v>
      </c>
      <c r="P5158" s="656" t="s">
        <v>13052</v>
      </c>
      <c r="Q5158" s="656">
        <v>44216.758634259262</v>
      </c>
    </row>
    <row r="5159" spans="1:17">
      <c r="A5159" s="656" t="s">
        <v>14129</v>
      </c>
      <c r="B5159" s="657" t="s">
        <v>202</v>
      </c>
      <c r="C5159" s="656" t="s">
        <v>14130</v>
      </c>
      <c r="D5159" s="657" t="s">
        <v>13789</v>
      </c>
      <c r="E5159" s="657"/>
      <c r="F5159" s="656"/>
      <c r="G5159" s="656" t="s">
        <v>5238</v>
      </c>
      <c r="H5159" s="656"/>
      <c r="I5159" s="656" t="s">
        <v>14976</v>
      </c>
      <c r="J5159" s="656"/>
      <c r="K5159" s="656"/>
      <c r="L5159" s="656"/>
      <c r="M5159" s="657"/>
      <c r="N5159" s="1482"/>
      <c r="O5159" s="656" t="s">
        <v>498</v>
      </c>
      <c r="P5159" s="656" t="s">
        <v>13052</v>
      </c>
      <c r="Q5159" s="656">
        <v>44216.758634259262</v>
      </c>
    </row>
    <row r="5160" spans="1:17">
      <c r="A5160" s="656" t="s">
        <v>14127</v>
      </c>
      <c r="B5160" s="657" t="s">
        <v>202</v>
      </c>
      <c r="C5160" s="656" t="s">
        <v>14128</v>
      </c>
      <c r="D5160" s="657" t="s">
        <v>13789</v>
      </c>
      <c r="E5160" s="657"/>
      <c r="F5160" s="656"/>
      <c r="G5160" s="656" t="s">
        <v>5238</v>
      </c>
      <c r="H5160" s="656"/>
      <c r="I5160" s="656" t="s">
        <v>14976</v>
      </c>
      <c r="J5160" s="656"/>
      <c r="K5160" s="656"/>
      <c r="L5160" s="656"/>
      <c r="M5160" s="657"/>
      <c r="N5160" s="1482"/>
      <c r="O5160" s="656" t="s">
        <v>498</v>
      </c>
      <c r="P5160" s="656" t="s">
        <v>13052</v>
      </c>
      <c r="Q5160" s="656">
        <v>44216.758634259262</v>
      </c>
    </row>
    <row r="5161" spans="1:17">
      <c r="A5161" s="656" t="s">
        <v>7469</v>
      </c>
      <c r="B5161" s="657"/>
      <c r="C5161" s="656" t="s">
        <v>7470</v>
      </c>
      <c r="D5161" s="657" t="s">
        <v>13789</v>
      </c>
      <c r="E5161" s="657"/>
      <c r="F5161" s="656"/>
      <c r="G5161" s="656"/>
      <c r="H5161" s="656"/>
      <c r="I5161" s="656" t="s">
        <v>14976</v>
      </c>
      <c r="J5161" s="656"/>
      <c r="K5161" s="656"/>
      <c r="L5161" s="656"/>
      <c r="M5161" s="657"/>
      <c r="N5161" s="1482"/>
      <c r="O5161" s="656" t="s">
        <v>498</v>
      </c>
      <c r="P5161" s="656" t="s">
        <v>13052</v>
      </c>
      <c r="Q5161" s="656">
        <v>44216.758622685185</v>
      </c>
    </row>
    <row r="5162" spans="1:17">
      <c r="A5162" s="656" t="s">
        <v>14125</v>
      </c>
      <c r="B5162" s="657" t="s">
        <v>202</v>
      </c>
      <c r="C5162" s="656" t="s">
        <v>14126</v>
      </c>
      <c r="D5162" s="657" t="s">
        <v>13789</v>
      </c>
      <c r="E5162" s="657"/>
      <c r="F5162" s="656"/>
      <c r="G5162" s="656" t="s">
        <v>5238</v>
      </c>
      <c r="H5162" s="656"/>
      <c r="I5162" s="656" t="s">
        <v>14976</v>
      </c>
      <c r="J5162" s="656"/>
      <c r="K5162" s="656"/>
      <c r="L5162" s="656"/>
      <c r="M5162" s="657"/>
      <c r="N5162" s="1482"/>
      <c r="O5162" s="656" t="s">
        <v>498</v>
      </c>
      <c r="P5162" s="656" t="s">
        <v>13052</v>
      </c>
      <c r="Q5162" s="656">
        <v>44216.758622685185</v>
      </c>
    </row>
    <row r="5163" spans="1:17">
      <c r="A5163" s="656" t="s">
        <v>14123</v>
      </c>
      <c r="B5163" s="657" t="s">
        <v>202</v>
      </c>
      <c r="C5163" s="656" t="s">
        <v>14124</v>
      </c>
      <c r="D5163" s="657" t="s">
        <v>13789</v>
      </c>
      <c r="E5163" s="657"/>
      <c r="F5163" s="656"/>
      <c r="G5163" s="656" t="s">
        <v>5238</v>
      </c>
      <c r="H5163" s="656"/>
      <c r="I5163" s="656" t="s">
        <v>14976</v>
      </c>
      <c r="J5163" s="656"/>
      <c r="K5163" s="656"/>
      <c r="L5163" s="656"/>
      <c r="M5163" s="657"/>
      <c r="N5163" s="1482"/>
      <c r="O5163" s="656" t="s">
        <v>498</v>
      </c>
      <c r="P5163" s="656" t="s">
        <v>13052</v>
      </c>
      <c r="Q5163" s="656">
        <v>44216.758611111109</v>
      </c>
    </row>
    <row r="5164" spans="1:17">
      <c r="A5164" s="656" t="s">
        <v>14121</v>
      </c>
      <c r="B5164" s="657" t="s">
        <v>202</v>
      </c>
      <c r="C5164" s="656" t="s">
        <v>14122</v>
      </c>
      <c r="D5164" s="657" t="s">
        <v>13789</v>
      </c>
      <c r="E5164" s="657"/>
      <c r="F5164" s="656"/>
      <c r="G5164" s="656" t="s">
        <v>5238</v>
      </c>
      <c r="H5164" s="656"/>
      <c r="I5164" s="656" t="s">
        <v>14976</v>
      </c>
      <c r="J5164" s="656"/>
      <c r="K5164" s="656"/>
      <c r="L5164" s="656"/>
      <c r="M5164" s="657"/>
      <c r="N5164" s="1482"/>
      <c r="O5164" s="656" t="s">
        <v>498</v>
      </c>
      <c r="P5164" s="656" t="s">
        <v>13052</v>
      </c>
      <c r="Q5164" s="656">
        <v>44216.758611111109</v>
      </c>
    </row>
    <row r="5165" spans="1:17">
      <c r="A5165" s="656" t="s">
        <v>14119</v>
      </c>
      <c r="B5165" s="657" t="s">
        <v>202</v>
      </c>
      <c r="C5165" s="656" t="s">
        <v>14120</v>
      </c>
      <c r="D5165" s="657" t="s">
        <v>13789</v>
      </c>
      <c r="E5165" s="657"/>
      <c r="F5165" s="656"/>
      <c r="G5165" s="656" t="s">
        <v>5238</v>
      </c>
      <c r="H5165" s="656"/>
      <c r="I5165" s="656" t="s">
        <v>14976</v>
      </c>
      <c r="J5165" s="656"/>
      <c r="K5165" s="656"/>
      <c r="L5165" s="656"/>
      <c r="M5165" s="657"/>
      <c r="N5165" s="1482"/>
      <c r="O5165" s="656" t="s">
        <v>498</v>
      </c>
      <c r="P5165" s="656" t="s">
        <v>13052</v>
      </c>
      <c r="Q5165" s="656">
        <v>44216.758599537039</v>
      </c>
    </row>
    <row r="5166" spans="1:17">
      <c r="A5166" s="656" t="s">
        <v>14117</v>
      </c>
      <c r="B5166" s="657" t="s">
        <v>202</v>
      </c>
      <c r="C5166" s="656" t="s">
        <v>14118</v>
      </c>
      <c r="D5166" s="657" t="s">
        <v>13789</v>
      </c>
      <c r="E5166" s="657"/>
      <c r="F5166" s="656"/>
      <c r="G5166" s="656" t="s">
        <v>5238</v>
      </c>
      <c r="H5166" s="656"/>
      <c r="I5166" s="656" t="s">
        <v>14976</v>
      </c>
      <c r="J5166" s="656"/>
      <c r="K5166" s="656"/>
      <c r="L5166" s="656"/>
      <c r="M5166" s="657"/>
      <c r="N5166" s="1482"/>
      <c r="O5166" s="656" t="s">
        <v>498</v>
      </c>
      <c r="P5166" s="656" t="s">
        <v>13052</v>
      </c>
      <c r="Q5166" s="656">
        <v>44216.758564814816</v>
      </c>
    </row>
    <row r="5167" spans="1:17">
      <c r="A5167" s="656" t="s">
        <v>14115</v>
      </c>
      <c r="B5167" s="657" t="s">
        <v>202</v>
      </c>
      <c r="C5167" s="656" t="s">
        <v>14116</v>
      </c>
      <c r="D5167" s="657" t="s">
        <v>13789</v>
      </c>
      <c r="E5167" s="657"/>
      <c r="F5167" s="656"/>
      <c r="G5167" s="656" t="s">
        <v>5238</v>
      </c>
      <c r="H5167" s="656"/>
      <c r="I5167" s="656" t="s">
        <v>14976</v>
      </c>
      <c r="J5167" s="656"/>
      <c r="K5167" s="656"/>
      <c r="L5167" s="656"/>
      <c r="M5167" s="657"/>
      <c r="N5167" s="1482"/>
      <c r="O5167" s="656" t="s">
        <v>498</v>
      </c>
      <c r="P5167" s="656" t="s">
        <v>13052</v>
      </c>
      <c r="Q5167" s="656">
        <v>44216.758553240739</v>
      </c>
    </row>
    <row r="5168" spans="1:17">
      <c r="A5168" s="656" t="s">
        <v>7471</v>
      </c>
      <c r="B5168" s="657" t="s">
        <v>504</v>
      </c>
      <c r="C5168" s="656" t="s">
        <v>7472</v>
      </c>
      <c r="D5168" s="657"/>
      <c r="E5168" s="657"/>
      <c r="F5168" s="656" t="s">
        <v>505</v>
      </c>
      <c r="G5168" s="656" t="s">
        <v>4394</v>
      </c>
      <c r="H5168" s="656" t="s">
        <v>505</v>
      </c>
      <c r="I5168" s="656"/>
      <c r="J5168" s="656"/>
      <c r="K5168" s="656"/>
      <c r="L5168" s="656"/>
      <c r="M5168" s="657"/>
      <c r="N5168" s="1482"/>
      <c r="O5168" s="656" t="s">
        <v>498</v>
      </c>
      <c r="P5168" s="656" t="s">
        <v>13052</v>
      </c>
      <c r="Q5168" s="656">
        <v>44216.758553240739</v>
      </c>
    </row>
    <row r="5169" spans="1:17">
      <c r="A5169" s="656" t="s">
        <v>7473</v>
      </c>
      <c r="B5169" s="657" t="s">
        <v>504</v>
      </c>
      <c r="C5169" s="656" t="s">
        <v>7474</v>
      </c>
      <c r="D5169" s="657"/>
      <c r="E5169" s="657"/>
      <c r="F5169" s="656" t="s">
        <v>505</v>
      </c>
      <c r="G5169" s="656" t="s">
        <v>4394</v>
      </c>
      <c r="H5169" s="656" t="s">
        <v>505</v>
      </c>
      <c r="I5169" s="656"/>
      <c r="J5169" s="656"/>
      <c r="K5169" s="656"/>
      <c r="L5169" s="656"/>
      <c r="M5169" s="657"/>
      <c r="N5169" s="1482"/>
      <c r="O5169" s="656" t="s">
        <v>498</v>
      </c>
      <c r="P5169" s="656" t="s">
        <v>13052</v>
      </c>
      <c r="Q5169" s="656">
        <v>44216.75854166667</v>
      </c>
    </row>
    <row r="5170" spans="1:17">
      <c r="A5170" s="656" t="s">
        <v>7475</v>
      </c>
      <c r="B5170" s="657" t="s">
        <v>504</v>
      </c>
      <c r="C5170" s="656" t="s">
        <v>7476</v>
      </c>
      <c r="D5170" s="657"/>
      <c r="E5170" s="657"/>
      <c r="F5170" s="656" t="s">
        <v>505</v>
      </c>
      <c r="G5170" s="656" t="s">
        <v>4394</v>
      </c>
      <c r="H5170" s="656" t="s">
        <v>505</v>
      </c>
      <c r="I5170" s="656"/>
      <c r="J5170" s="656"/>
      <c r="K5170" s="656"/>
      <c r="L5170" s="656"/>
      <c r="M5170" s="657"/>
      <c r="N5170" s="1482"/>
      <c r="O5170" s="656" t="s">
        <v>498</v>
      </c>
      <c r="P5170" s="656" t="s">
        <v>13052</v>
      </c>
      <c r="Q5170" s="656">
        <v>44216.75854166667</v>
      </c>
    </row>
    <row r="5171" spans="1:17">
      <c r="A5171" s="656" t="s">
        <v>7477</v>
      </c>
      <c r="B5171" s="657" t="s">
        <v>504</v>
      </c>
      <c r="C5171" s="656" t="s">
        <v>7478</v>
      </c>
      <c r="D5171" s="657"/>
      <c r="E5171" s="657"/>
      <c r="F5171" s="656" t="s">
        <v>505</v>
      </c>
      <c r="G5171" s="656" t="s">
        <v>4394</v>
      </c>
      <c r="H5171" s="656" t="s">
        <v>505</v>
      </c>
      <c r="I5171" s="656"/>
      <c r="J5171" s="656"/>
      <c r="K5171" s="656"/>
      <c r="L5171" s="656"/>
      <c r="M5171" s="657"/>
      <c r="N5171" s="1482"/>
      <c r="O5171" s="656" t="s">
        <v>498</v>
      </c>
      <c r="P5171" s="656" t="s">
        <v>13052</v>
      </c>
      <c r="Q5171" s="656">
        <v>44216.75854166667</v>
      </c>
    </row>
    <row r="5172" spans="1:17">
      <c r="A5172" s="656" t="s">
        <v>14113</v>
      </c>
      <c r="B5172" s="657" t="s">
        <v>202</v>
      </c>
      <c r="C5172" s="656" t="s">
        <v>14114</v>
      </c>
      <c r="D5172" s="657" t="s">
        <v>14978</v>
      </c>
      <c r="E5172" s="657"/>
      <c r="F5172" s="656" t="s">
        <v>1300</v>
      </c>
      <c r="G5172" s="656" t="s">
        <v>4198</v>
      </c>
      <c r="H5172" s="656" t="s">
        <v>1300</v>
      </c>
      <c r="I5172" s="656" t="s">
        <v>14976</v>
      </c>
      <c r="J5172" s="656"/>
      <c r="K5172" s="656"/>
      <c r="L5172" s="656" t="s">
        <v>14111</v>
      </c>
      <c r="M5172" s="657"/>
      <c r="N5172" s="1482"/>
      <c r="O5172" s="656" t="s">
        <v>498</v>
      </c>
      <c r="P5172" s="656" t="s">
        <v>13052</v>
      </c>
      <c r="Q5172" s="656">
        <v>44216.758530092593</v>
      </c>
    </row>
    <row r="5173" spans="1:17">
      <c r="A5173" s="656" t="s">
        <v>14111</v>
      </c>
      <c r="B5173" s="657" t="s">
        <v>202</v>
      </c>
      <c r="C5173" s="656" t="s">
        <v>14112</v>
      </c>
      <c r="D5173" s="657" t="s">
        <v>13789</v>
      </c>
      <c r="E5173" s="657"/>
      <c r="F5173" s="656" t="s">
        <v>1300</v>
      </c>
      <c r="G5173" s="656" t="s">
        <v>4198</v>
      </c>
      <c r="H5173" s="656" t="s">
        <v>1300</v>
      </c>
      <c r="I5173" s="656" t="s">
        <v>14976</v>
      </c>
      <c r="J5173" s="656"/>
      <c r="K5173" s="656"/>
      <c r="L5173" s="656"/>
      <c r="M5173" s="657"/>
      <c r="N5173" s="1482"/>
      <c r="O5173" s="656" t="s">
        <v>498</v>
      </c>
      <c r="P5173" s="656" t="s">
        <v>13052</v>
      </c>
      <c r="Q5173" s="656">
        <v>44216.758530092593</v>
      </c>
    </row>
    <row r="5174" spans="1:17">
      <c r="A5174" s="656" t="s">
        <v>14110</v>
      </c>
      <c r="B5174" s="657" t="s">
        <v>202</v>
      </c>
      <c r="C5174" s="656" t="s">
        <v>14109</v>
      </c>
      <c r="D5174" s="657" t="s">
        <v>14978</v>
      </c>
      <c r="E5174" s="657"/>
      <c r="F5174" s="656" t="s">
        <v>1300</v>
      </c>
      <c r="G5174" s="656" t="s">
        <v>4198</v>
      </c>
      <c r="H5174" s="656" t="s">
        <v>1300</v>
      </c>
      <c r="I5174" s="656" t="s">
        <v>14976</v>
      </c>
      <c r="J5174" s="656"/>
      <c r="K5174" s="656"/>
      <c r="L5174" s="656" t="s">
        <v>14108</v>
      </c>
      <c r="M5174" s="657"/>
      <c r="N5174" s="1482"/>
      <c r="O5174" s="656" t="s">
        <v>498</v>
      </c>
      <c r="P5174" s="656" t="s">
        <v>13052</v>
      </c>
      <c r="Q5174" s="656">
        <v>44216.758518518516</v>
      </c>
    </row>
    <row r="5175" spans="1:17">
      <c r="A5175" s="656" t="s">
        <v>14108</v>
      </c>
      <c r="B5175" s="657" t="s">
        <v>202</v>
      </c>
      <c r="C5175" s="656" t="s">
        <v>14109</v>
      </c>
      <c r="D5175" s="657" t="s">
        <v>13789</v>
      </c>
      <c r="E5175" s="657"/>
      <c r="F5175" s="656" t="s">
        <v>1300</v>
      </c>
      <c r="G5175" s="656" t="s">
        <v>4198</v>
      </c>
      <c r="H5175" s="656" t="s">
        <v>1300</v>
      </c>
      <c r="I5175" s="656" t="s">
        <v>14976</v>
      </c>
      <c r="J5175" s="656"/>
      <c r="K5175" s="656"/>
      <c r="L5175" s="656"/>
      <c r="M5175" s="657"/>
      <c r="N5175" s="1482"/>
      <c r="O5175" s="656" t="s">
        <v>498</v>
      </c>
      <c r="P5175" s="656" t="s">
        <v>13052</v>
      </c>
      <c r="Q5175" s="656">
        <v>44216.758518518516</v>
      </c>
    </row>
    <row r="5176" spans="1:17">
      <c r="A5176" s="656" t="s">
        <v>7479</v>
      </c>
      <c r="B5176" s="657" t="s">
        <v>504</v>
      </c>
      <c r="C5176" s="656" t="s">
        <v>6996</v>
      </c>
      <c r="D5176" s="657"/>
      <c r="E5176" s="657"/>
      <c r="F5176" s="656" t="s">
        <v>1300</v>
      </c>
      <c r="G5176" s="656" t="s">
        <v>4198</v>
      </c>
      <c r="H5176" s="656" t="s">
        <v>1300</v>
      </c>
      <c r="I5176" s="656"/>
      <c r="J5176" s="656"/>
      <c r="K5176" s="656"/>
      <c r="L5176" s="656"/>
      <c r="M5176" s="657"/>
      <c r="N5176" s="1482"/>
      <c r="O5176" s="656" t="s">
        <v>498</v>
      </c>
      <c r="P5176" s="656" t="s">
        <v>13052</v>
      </c>
      <c r="Q5176" s="656">
        <v>44216.758506944447</v>
      </c>
    </row>
    <row r="5177" spans="1:17">
      <c r="A5177" s="656" t="s">
        <v>7480</v>
      </c>
      <c r="B5177" s="657" t="s">
        <v>504</v>
      </c>
      <c r="C5177" s="656" t="s">
        <v>6996</v>
      </c>
      <c r="D5177" s="657"/>
      <c r="E5177" s="657"/>
      <c r="F5177" s="656" t="s">
        <v>1300</v>
      </c>
      <c r="G5177" s="656" t="s">
        <v>4198</v>
      </c>
      <c r="H5177" s="656" t="s">
        <v>1300</v>
      </c>
      <c r="I5177" s="656"/>
      <c r="J5177" s="656"/>
      <c r="K5177" s="656"/>
      <c r="L5177" s="656"/>
      <c r="M5177" s="657"/>
      <c r="N5177" s="1482"/>
      <c r="O5177" s="656" t="s">
        <v>498</v>
      </c>
      <c r="P5177" s="656" t="s">
        <v>13052</v>
      </c>
      <c r="Q5177" s="656">
        <v>44216.758506944447</v>
      </c>
    </row>
    <row r="5178" spans="1:17">
      <c r="A5178" s="656" t="s">
        <v>14106</v>
      </c>
      <c r="B5178" s="657" t="s">
        <v>202</v>
      </c>
      <c r="C5178" s="656" t="s">
        <v>14107</v>
      </c>
      <c r="D5178" s="657" t="s">
        <v>14978</v>
      </c>
      <c r="E5178" s="657"/>
      <c r="F5178" s="656" t="s">
        <v>1300</v>
      </c>
      <c r="G5178" s="656" t="s">
        <v>4198</v>
      </c>
      <c r="H5178" s="656" t="s">
        <v>1300</v>
      </c>
      <c r="I5178" s="656" t="s">
        <v>14976</v>
      </c>
      <c r="J5178" s="656"/>
      <c r="K5178" s="656"/>
      <c r="L5178" s="656" t="s">
        <v>14104</v>
      </c>
      <c r="M5178" s="657"/>
      <c r="N5178" s="1482"/>
      <c r="O5178" s="656" t="s">
        <v>498</v>
      </c>
      <c r="P5178" s="656" t="s">
        <v>13052</v>
      </c>
      <c r="Q5178" s="656">
        <v>44216.758506944447</v>
      </c>
    </row>
    <row r="5179" spans="1:17">
      <c r="A5179" s="656" t="s">
        <v>14104</v>
      </c>
      <c r="B5179" s="657" t="s">
        <v>202</v>
      </c>
      <c r="C5179" s="656" t="s">
        <v>14105</v>
      </c>
      <c r="D5179" s="657" t="s">
        <v>13789</v>
      </c>
      <c r="E5179" s="657"/>
      <c r="F5179" s="656" t="s">
        <v>1300</v>
      </c>
      <c r="G5179" s="656" t="s">
        <v>4198</v>
      </c>
      <c r="H5179" s="656" t="s">
        <v>1300</v>
      </c>
      <c r="I5179" s="656" t="s">
        <v>14976</v>
      </c>
      <c r="J5179" s="656"/>
      <c r="K5179" s="656"/>
      <c r="L5179" s="656"/>
      <c r="M5179" s="657"/>
      <c r="N5179" s="1482"/>
      <c r="O5179" s="656" t="s">
        <v>498</v>
      </c>
      <c r="P5179" s="656" t="s">
        <v>13052</v>
      </c>
      <c r="Q5179" s="656">
        <v>44216.75849537037</v>
      </c>
    </row>
    <row r="5180" spans="1:17">
      <c r="A5180" s="656" t="s">
        <v>14103</v>
      </c>
      <c r="B5180" s="657" t="s">
        <v>202</v>
      </c>
      <c r="C5180" s="656" t="s">
        <v>14102</v>
      </c>
      <c r="D5180" s="657" t="s">
        <v>14978</v>
      </c>
      <c r="E5180" s="657"/>
      <c r="F5180" s="656" t="s">
        <v>1300</v>
      </c>
      <c r="G5180" s="656" t="s">
        <v>4198</v>
      </c>
      <c r="H5180" s="656" t="s">
        <v>1300</v>
      </c>
      <c r="I5180" s="656" t="s">
        <v>14976</v>
      </c>
      <c r="J5180" s="656"/>
      <c r="K5180" s="656"/>
      <c r="L5180" s="656" t="s">
        <v>14101</v>
      </c>
      <c r="M5180" s="657"/>
      <c r="N5180" s="1482"/>
      <c r="O5180" s="656" t="s">
        <v>498</v>
      </c>
      <c r="P5180" s="656" t="s">
        <v>13052</v>
      </c>
      <c r="Q5180" s="656">
        <v>44216.75849537037</v>
      </c>
    </row>
    <row r="5181" spans="1:17">
      <c r="A5181" s="656" t="s">
        <v>14101</v>
      </c>
      <c r="B5181" s="657" t="s">
        <v>202</v>
      </c>
      <c r="C5181" s="656" t="s">
        <v>14102</v>
      </c>
      <c r="D5181" s="657" t="s">
        <v>13789</v>
      </c>
      <c r="E5181" s="657"/>
      <c r="F5181" s="656" t="s">
        <v>1300</v>
      </c>
      <c r="G5181" s="656" t="s">
        <v>4198</v>
      </c>
      <c r="H5181" s="656" t="s">
        <v>1300</v>
      </c>
      <c r="I5181" s="656" t="s">
        <v>14976</v>
      </c>
      <c r="J5181" s="656"/>
      <c r="K5181" s="656"/>
      <c r="L5181" s="656"/>
      <c r="M5181" s="657"/>
      <c r="N5181" s="1482"/>
      <c r="O5181" s="656" t="s">
        <v>498</v>
      </c>
      <c r="P5181" s="656" t="s">
        <v>13052</v>
      </c>
      <c r="Q5181" s="656">
        <v>44216.758483796293</v>
      </c>
    </row>
    <row r="5182" spans="1:17">
      <c r="A5182" s="656" t="s">
        <v>14099</v>
      </c>
      <c r="B5182" s="657" t="s">
        <v>202</v>
      </c>
      <c r="C5182" s="656" t="s">
        <v>14100</v>
      </c>
      <c r="D5182" s="657" t="s">
        <v>14978</v>
      </c>
      <c r="E5182" s="657"/>
      <c r="F5182" s="656" t="s">
        <v>1300</v>
      </c>
      <c r="G5182" s="656" t="s">
        <v>4198</v>
      </c>
      <c r="H5182" s="656" t="s">
        <v>1300</v>
      </c>
      <c r="I5182" s="656" t="s">
        <v>14976</v>
      </c>
      <c r="J5182" s="656"/>
      <c r="K5182" s="656"/>
      <c r="L5182" s="656" t="s">
        <v>14087</v>
      </c>
      <c r="M5182" s="657"/>
      <c r="N5182" s="1482"/>
      <c r="O5182" s="656" t="s">
        <v>498</v>
      </c>
      <c r="P5182" s="656" t="s">
        <v>13052</v>
      </c>
      <c r="Q5182" s="656">
        <v>44216.758483796293</v>
      </c>
    </row>
    <row r="5183" spans="1:17">
      <c r="A5183" s="656" t="s">
        <v>14097</v>
      </c>
      <c r="B5183" s="657" t="s">
        <v>202</v>
      </c>
      <c r="C5183" s="656" t="s">
        <v>14098</v>
      </c>
      <c r="D5183" s="657" t="s">
        <v>14978</v>
      </c>
      <c r="E5183" s="657"/>
      <c r="F5183" s="656" t="s">
        <v>1300</v>
      </c>
      <c r="G5183" s="656" t="s">
        <v>4198</v>
      </c>
      <c r="H5183" s="656" t="s">
        <v>1300</v>
      </c>
      <c r="I5183" s="656" t="s">
        <v>14976</v>
      </c>
      <c r="J5183" s="656"/>
      <c r="K5183" s="656"/>
      <c r="L5183" s="656" t="s">
        <v>14087</v>
      </c>
      <c r="M5183" s="657"/>
      <c r="N5183" s="1482"/>
      <c r="O5183" s="656" t="s">
        <v>498</v>
      </c>
      <c r="P5183" s="656" t="s">
        <v>13052</v>
      </c>
      <c r="Q5183" s="656">
        <v>44216.758472222224</v>
      </c>
    </row>
    <row r="5184" spans="1:17">
      <c r="A5184" s="656" t="s">
        <v>14095</v>
      </c>
      <c r="B5184" s="657" t="s">
        <v>202</v>
      </c>
      <c r="C5184" s="656" t="s">
        <v>14096</v>
      </c>
      <c r="D5184" s="657" t="s">
        <v>14978</v>
      </c>
      <c r="E5184" s="657"/>
      <c r="F5184" s="656" t="s">
        <v>1300</v>
      </c>
      <c r="G5184" s="656" t="s">
        <v>4198</v>
      </c>
      <c r="H5184" s="656" t="s">
        <v>1300</v>
      </c>
      <c r="I5184" s="656" t="s">
        <v>14976</v>
      </c>
      <c r="J5184" s="656"/>
      <c r="K5184" s="656"/>
      <c r="L5184" s="656" t="s">
        <v>14087</v>
      </c>
      <c r="M5184" s="657"/>
      <c r="N5184" s="1482"/>
      <c r="O5184" s="656" t="s">
        <v>498</v>
      </c>
      <c r="P5184" s="656" t="s">
        <v>13052</v>
      </c>
      <c r="Q5184" s="656">
        <v>44216.758472222224</v>
      </c>
    </row>
    <row r="5185" spans="1:17">
      <c r="A5185" s="656" t="s">
        <v>14093</v>
      </c>
      <c r="B5185" s="657" t="s">
        <v>202</v>
      </c>
      <c r="C5185" s="656" t="s">
        <v>14094</v>
      </c>
      <c r="D5185" s="657" t="s">
        <v>14978</v>
      </c>
      <c r="E5185" s="657"/>
      <c r="F5185" s="656" t="s">
        <v>1300</v>
      </c>
      <c r="G5185" s="656" t="s">
        <v>4198</v>
      </c>
      <c r="H5185" s="656" t="s">
        <v>1300</v>
      </c>
      <c r="I5185" s="656" t="s">
        <v>14976</v>
      </c>
      <c r="J5185" s="656"/>
      <c r="K5185" s="656"/>
      <c r="L5185" s="656" t="s">
        <v>14087</v>
      </c>
      <c r="M5185" s="657"/>
      <c r="N5185" s="1482"/>
      <c r="O5185" s="656" t="s">
        <v>498</v>
      </c>
      <c r="P5185" s="656" t="s">
        <v>13052</v>
      </c>
      <c r="Q5185" s="656">
        <v>44216.758460648147</v>
      </c>
    </row>
    <row r="5186" spans="1:17">
      <c r="A5186" s="656" t="s">
        <v>14091</v>
      </c>
      <c r="B5186" s="657" t="s">
        <v>202</v>
      </c>
      <c r="C5186" s="656" t="s">
        <v>14092</v>
      </c>
      <c r="D5186" s="657" t="s">
        <v>14978</v>
      </c>
      <c r="E5186" s="657"/>
      <c r="F5186" s="656" t="s">
        <v>1300</v>
      </c>
      <c r="G5186" s="656" t="s">
        <v>4198</v>
      </c>
      <c r="H5186" s="656" t="s">
        <v>1300</v>
      </c>
      <c r="I5186" s="656" t="s">
        <v>14976</v>
      </c>
      <c r="J5186" s="656"/>
      <c r="K5186" s="656"/>
      <c r="L5186" s="656" t="s">
        <v>14087</v>
      </c>
      <c r="M5186" s="657"/>
      <c r="N5186" s="1482"/>
      <c r="O5186" s="656" t="s">
        <v>498</v>
      </c>
      <c r="P5186" s="656" t="s">
        <v>13052</v>
      </c>
      <c r="Q5186" s="656">
        <v>44216.758460648147</v>
      </c>
    </row>
    <row r="5187" spans="1:17">
      <c r="A5187" s="656" t="s">
        <v>14089</v>
      </c>
      <c r="B5187" s="657" t="s">
        <v>202</v>
      </c>
      <c r="C5187" s="656" t="s">
        <v>14090</v>
      </c>
      <c r="D5187" s="657" t="s">
        <v>14978</v>
      </c>
      <c r="E5187" s="657"/>
      <c r="F5187" s="656" t="s">
        <v>1300</v>
      </c>
      <c r="G5187" s="656" t="s">
        <v>4198</v>
      </c>
      <c r="H5187" s="656" t="s">
        <v>1300</v>
      </c>
      <c r="I5187" s="656" t="s">
        <v>14976</v>
      </c>
      <c r="J5187" s="656"/>
      <c r="K5187" s="656"/>
      <c r="L5187" s="656" t="s">
        <v>14087</v>
      </c>
      <c r="M5187" s="657"/>
      <c r="N5187" s="1482"/>
      <c r="O5187" s="656" t="s">
        <v>498</v>
      </c>
      <c r="P5187" s="656" t="s">
        <v>13052</v>
      </c>
      <c r="Q5187" s="656">
        <v>44216.758449074077</v>
      </c>
    </row>
    <row r="5188" spans="1:17">
      <c r="A5188" s="656" t="s">
        <v>14087</v>
      </c>
      <c r="B5188" s="657" t="s">
        <v>202</v>
      </c>
      <c r="C5188" s="656" t="s">
        <v>14088</v>
      </c>
      <c r="D5188" s="657" t="s">
        <v>13789</v>
      </c>
      <c r="E5188" s="657"/>
      <c r="F5188" s="656" t="s">
        <v>1300</v>
      </c>
      <c r="G5188" s="656" t="s">
        <v>4198</v>
      </c>
      <c r="H5188" s="656" t="s">
        <v>1300</v>
      </c>
      <c r="I5188" s="656" t="s">
        <v>14976</v>
      </c>
      <c r="J5188" s="656"/>
      <c r="K5188" s="656"/>
      <c r="L5188" s="656"/>
      <c r="M5188" s="657"/>
      <c r="N5188" s="1482"/>
      <c r="O5188" s="656" t="s">
        <v>498</v>
      </c>
      <c r="P5188" s="656" t="s">
        <v>13052</v>
      </c>
      <c r="Q5188" s="656">
        <v>44216.758449074077</v>
      </c>
    </row>
    <row r="5189" spans="1:17">
      <c r="A5189" s="656" t="s">
        <v>14085</v>
      </c>
      <c r="B5189" s="657" t="s">
        <v>202</v>
      </c>
      <c r="C5189" s="656" t="s">
        <v>14086</v>
      </c>
      <c r="D5189" s="657" t="s">
        <v>13789</v>
      </c>
      <c r="E5189" s="657"/>
      <c r="F5189" s="656" t="s">
        <v>1300</v>
      </c>
      <c r="G5189" s="656" t="s">
        <v>4198</v>
      </c>
      <c r="H5189" s="656" t="s">
        <v>1300</v>
      </c>
      <c r="I5189" s="656" t="s">
        <v>14976</v>
      </c>
      <c r="J5189" s="656"/>
      <c r="K5189" s="656"/>
      <c r="L5189" s="656"/>
      <c r="M5189" s="657"/>
      <c r="N5189" s="1482"/>
      <c r="O5189" s="656" t="s">
        <v>498</v>
      </c>
      <c r="P5189" s="656" t="s">
        <v>13052</v>
      </c>
      <c r="Q5189" s="656">
        <v>44216.758437500001</v>
      </c>
    </row>
    <row r="5190" spans="1:17">
      <c r="A5190" s="656" t="s">
        <v>14083</v>
      </c>
      <c r="B5190" s="657" t="s">
        <v>202</v>
      </c>
      <c r="C5190" s="656" t="s">
        <v>14084</v>
      </c>
      <c r="D5190" s="657" t="s">
        <v>13789</v>
      </c>
      <c r="E5190" s="657"/>
      <c r="F5190" s="656" t="s">
        <v>1300</v>
      </c>
      <c r="G5190" s="656" t="s">
        <v>4198</v>
      </c>
      <c r="H5190" s="656" t="s">
        <v>1300</v>
      </c>
      <c r="I5190" s="656" t="s">
        <v>14976</v>
      </c>
      <c r="J5190" s="656"/>
      <c r="K5190" s="656"/>
      <c r="L5190" s="656"/>
      <c r="M5190" s="657"/>
      <c r="N5190" s="1482"/>
      <c r="O5190" s="656" t="s">
        <v>498</v>
      </c>
      <c r="P5190" s="656" t="s">
        <v>13052</v>
      </c>
      <c r="Q5190" s="656">
        <v>44216.758437500001</v>
      </c>
    </row>
    <row r="5191" spans="1:17">
      <c r="A5191" s="656" t="s">
        <v>7481</v>
      </c>
      <c r="B5191" s="657"/>
      <c r="C5191" s="656" t="s">
        <v>7482</v>
      </c>
      <c r="D5191" s="657" t="s">
        <v>13789</v>
      </c>
      <c r="E5191" s="657"/>
      <c r="F5191" s="656"/>
      <c r="G5191" s="656" t="s">
        <v>5045</v>
      </c>
      <c r="H5191" s="656"/>
      <c r="I5191" s="656" t="s">
        <v>14976</v>
      </c>
      <c r="J5191" s="656"/>
      <c r="K5191" s="656"/>
      <c r="L5191" s="656"/>
      <c r="M5191" s="657"/>
      <c r="N5191" s="1482"/>
      <c r="O5191" s="656" t="s">
        <v>498</v>
      </c>
      <c r="P5191" s="656" t="s">
        <v>13052</v>
      </c>
      <c r="Q5191" s="656">
        <v>44216.758425925924</v>
      </c>
    </row>
    <row r="5192" spans="1:17">
      <c r="A5192" s="656" t="s">
        <v>7483</v>
      </c>
      <c r="B5192" s="657"/>
      <c r="C5192" s="656" t="s">
        <v>7484</v>
      </c>
      <c r="D5192" s="657" t="s">
        <v>13789</v>
      </c>
      <c r="E5192" s="657"/>
      <c r="F5192" s="656"/>
      <c r="G5192" s="656" t="s">
        <v>5045</v>
      </c>
      <c r="H5192" s="656"/>
      <c r="I5192" s="656" t="s">
        <v>14976</v>
      </c>
      <c r="J5192" s="656"/>
      <c r="K5192" s="656"/>
      <c r="L5192" s="656"/>
      <c r="M5192" s="657"/>
      <c r="N5192" s="1482"/>
      <c r="O5192" s="656" t="s">
        <v>498</v>
      </c>
      <c r="P5192" s="656" t="s">
        <v>13052</v>
      </c>
      <c r="Q5192" s="656">
        <v>44216.758425925924</v>
      </c>
    </row>
    <row r="5193" spans="1:17">
      <c r="A5193" s="656" t="s">
        <v>7485</v>
      </c>
      <c r="B5193" s="657"/>
      <c r="C5193" s="656" t="s">
        <v>7486</v>
      </c>
      <c r="D5193" s="657" t="s">
        <v>13789</v>
      </c>
      <c r="E5193" s="657"/>
      <c r="F5193" s="656"/>
      <c r="G5193" s="656" t="s">
        <v>5045</v>
      </c>
      <c r="H5193" s="656"/>
      <c r="I5193" s="656" t="s">
        <v>14976</v>
      </c>
      <c r="J5193" s="656"/>
      <c r="K5193" s="656"/>
      <c r="L5193" s="656"/>
      <c r="M5193" s="657"/>
      <c r="N5193" s="1482"/>
      <c r="O5193" s="656" t="s">
        <v>498</v>
      </c>
      <c r="P5193" s="656" t="s">
        <v>13052</v>
      </c>
      <c r="Q5193" s="656">
        <v>44216.758414351854</v>
      </c>
    </row>
    <row r="5194" spans="1:17">
      <c r="A5194" s="656" t="s">
        <v>7487</v>
      </c>
      <c r="B5194" s="657"/>
      <c r="C5194" s="656" t="s">
        <v>7488</v>
      </c>
      <c r="D5194" s="657" t="s">
        <v>13789</v>
      </c>
      <c r="E5194" s="657"/>
      <c r="F5194" s="656"/>
      <c r="G5194" s="656" t="s">
        <v>5045</v>
      </c>
      <c r="H5194" s="656"/>
      <c r="I5194" s="656" t="s">
        <v>14976</v>
      </c>
      <c r="J5194" s="656"/>
      <c r="K5194" s="656"/>
      <c r="L5194" s="656"/>
      <c r="M5194" s="657"/>
      <c r="N5194" s="1482"/>
      <c r="O5194" s="656" t="s">
        <v>498</v>
      </c>
      <c r="P5194" s="656" t="s">
        <v>13052</v>
      </c>
      <c r="Q5194" s="656">
        <v>44216.758402777778</v>
      </c>
    </row>
    <row r="5195" spans="1:17">
      <c r="A5195" s="656" t="s">
        <v>7489</v>
      </c>
      <c r="B5195" s="657" t="s">
        <v>202</v>
      </c>
      <c r="C5195" s="656" t="s">
        <v>7490</v>
      </c>
      <c r="D5195" s="657" t="s">
        <v>14978</v>
      </c>
      <c r="E5195" s="657"/>
      <c r="F5195" s="656" t="s">
        <v>1300</v>
      </c>
      <c r="G5195" s="656"/>
      <c r="H5195" s="656" t="s">
        <v>1300</v>
      </c>
      <c r="I5195" s="656" t="s">
        <v>14976</v>
      </c>
      <c r="J5195" s="656"/>
      <c r="K5195" s="656"/>
      <c r="L5195" s="656" t="s">
        <v>10516</v>
      </c>
      <c r="M5195" s="657"/>
      <c r="N5195" s="1482"/>
      <c r="O5195" s="656" t="s">
        <v>498</v>
      </c>
      <c r="P5195" s="656" t="s">
        <v>13052</v>
      </c>
      <c r="Q5195" s="656">
        <v>44216.758402777778</v>
      </c>
    </row>
    <row r="5196" spans="1:17">
      <c r="A5196" s="656" t="s">
        <v>10516</v>
      </c>
      <c r="B5196" s="657" t="s">
        <v>202</v>
      </c>
      <c r="C5196" s="656" t="s">
        <v>7490</v>
      </c>
      <c r="D5196" s="657" t="s">
        <v>14977</v>
      </c>
      <c r="E5196" s="657"/>
      <c r="F5196" s="656" t="s">
        <v>1300</v>
      </c>
      <c r="G5196" s="656"/>
      <c r="H5196" s="656" t="s">
        <v>1300</v>
      </c>
      <c r="I5196" s="656" t="s">
        <v>14976</v>
      </c>
      <c r="J5196" s="656" t="s">
        <v>15285</v>
      </c>
      <c r="K5196" s="656"/>
      <c r="L5196" s="656" t="s">
        <v>10516</v>
      </c>
      <c r="M5196" s="657"/>
      <c r="N5196" s="1482"/>
      <c r="O5196" s="656" t="s">
        <v>498</v>
      </c>
      <c r="P5196" s="656" t="s">
        <v>13052</v>
      </c>
      <c r="Q5196" s="656">
        <v>44216.758402777778</v>
      </c>
    </row>
    <row r="5197" spans="1:17">
      <c r="A5197" s="656" t="s">
        <v>14081</v>
      </c>
      <c r="B5197" s="657" t="s">
        <v>202</v>
      </c>
      <c r="C5197" s="656" t="s">
        <v>14082</v>
      </c>
      <c r="D5197" s="657" t="s">
        <v>13789</v>
      </c>
      <c r="E5197" s="657"/>
      <c r="F5197" s="656"/>
      <c r="G5197" s="656" t="s">
        <v>5238</v>
      </c>
      <c r="H5197" s="656"/>
      <c r="I5197" s="656" t="s">
        <v>14976</v>
      </c>
      <c r="J5197" s="656"/>
      <c r="K5197" s="656"/>
      <c r="L5197" s="656"/>
      <c r="M5197" s="657"/>
      <c r="N5197" s="1482"/>
      <c r="O5197" s="656" t="s">
        <v>498</v>
      </c>
      <c r="P5197" s="656" t="s">
        <v>13052</v>
      </c>
      <c r="Q5197" s="656">
        <v>44216.758391203701</v>
      </c>
    </row>
    <row r="5198" spans="1:17">
      <c r="A5198" s="656" t="s">
        <v>7491</v>
      </c>
      <c r="B5198" s="657" t="s">
        <v>504</v>
      </c>
      <c r="C5198" s="656" t="s">
        <v>7364</v>
      </c>
      <c r="D5198" s="657"/>
      <c r="E5198" s="657"/>
      <c r="F5198" s="656"/>
      <c r="G5198" s="656" t="s">
        <v>5103</v>
      </c>
      <c r="H5198" s="656"/>
      <c r="I5198" s="656"/>
      <c r="J5198" s="656"/>
      <c r="K5198" s="656"/>
      <c r="L5198" s="656"/>
      <c r="M5198" s="657"/>
      <c r="N5198" s="1482"/>
      <c r="O5198" s="656" t="s">
        <v>498</v>
      </c>
      <c r="P5198" s="656" t="s">
        <v>13052</v>
      </c>
      <c r="Q5198" s="656">
        <v>44216.758379629631</v>
      </c>
    </row>
    <row r="5199" spans="1:17">
      <c r="A5199" s="656" t="s">
        <v>14079</v>
      </c>
      <c r="B5199" s="657" t="s">
        <v>202</v>
      </c>
      <c r="C5199" s="656" t="s">
        <v>14080</v>
      </c>
      <c r="D5199" s="657" t="s">
        <v>13789</v>
      </c>
      <c r="E5199" s="657"/>
      <c r="F5199" s="656"/>
      <c r="G5199" s="656" t="s">
        <v>5238</v>
      </c>
      <c r="H5199" s="656"/>
      <c r="I5199" s="656" t="s">
        <v>14976</v>
      </c>
      <c r="J5199" s="656"/>
      <c r="K5199" s="656"/>
      <c r="L5199" s="656"/>
      <c r="M5199" s="657"/>
      <c r="N5199" s="1482"/>
      <c r="O5199" s="656" t="s">
        <v>498</v>
      </c>
      <c r="P5199" s="656" t="s">
        <v>13052</v>
      </c>
      <c r="Q5199" s="656">
        <v>44216.758368055554</v>
      </c>
    </row>
    <row r="5200" spans="1:17">
      <c r="A5200" s="656" t="s">
        <v>7492</v>
      </c>
      <c r="B5200" s="657" t="s">
        <v>202</v>
      </c>
      <c r="C5200" s="656" t="s">
        <v>7493</v>
      </c>
      <c r="D5200" s="657" t="s">
        <v>14978</v>
      </c>
      <c r="E5200" s="657"/>
      <c r="F5200" s="656" t="s">
        <v>655</v>
      </c>
      <c r="G5200" s="656"/>
      <c r="H5200" s="656" t="s">
        <v>655</v>
      </c>
      <c r="I5200" s="656" t="s">
        <v>14976</v>
      </c>
      <c r="J5200" s="656"/>
      <c r="K5200" s="656"/>
      <c r="L5200" s="656" t="s">
        <v>7496</v>
      </c>
      <c r="M5200" s="657"/>
      <c r="N5200" s="1482"/>
      <c r="O5200" s="656" t="s">
        <v>498</v>
      </c>
      <c r="P5200" s="656" t="s">
        <v>13052</v>
      </c>
      <c r="Q5200" s="656">
        <v>44216.758368055554</v>
      </c>
    </row>
    <row r="5201" spans="1:17">
      <c r="A5201" s="656" t="s">
        <v>7494</v>
      </c>
      <c r="B5201" s="657" t="s">
        <v>202</v>
      </c>
      <c r="C5201" s="656" t="s">
        <v>7495</v>
      </c>
      <c r="D5201" s="657" t="s">
        <v>14978</v>
      </c>
      <c r="E5201" s="657"/>
      <c r="F5201" s="656" t="s">
        <v>655</v>
      </c>
      <c r="G5201" s="656"/>
      <c r="H5201" s="656" t="s">
        <v>655</v>
      </c>
      <c r="I5201" s="656" t="s">
        <v>14976</v>
      </c>
      <c r="J5201" s="656"/>
      <c r="K5201" s="656"/>
      <c r="L5201" s="656" t="s">
        <v>7496</v>
      </c>
      <c r="M5201" s="657"/>
      <c r="N5201" s="1482"/>
      <c r="O5201" s="656" t="s">
        <v>498</v>
      </c>
      <c r="P5201" s="656" t="s">
        <v>13052</v>
      </c>
      <c r="Q5201" s="656">
        <v>44216.758356481485</v>
      </c>
    </row>
    <row r="5202" spans="1:17">
      <c r="A5202" s="656" t="s">
        <v>14077</v>
      </c>
      <c r="B5202" s="657" t="s">
        <v>202</v>
      </c>
      <c r="C5202" s="656" t="s">
        <v>14078</v>
      </c>
      <c r="D5202" s="657" t="s">
        <v>14978</v>
      </c>
      <c r="E5202" s="657"/>
      <c r="F5202" s="656"/>
      <c r="G5202" s="656" t="s">
        <v>5238</v>
      </c>
      <c r="H5202" s="656"/>
      <c r="I5202" s="656" t="s">
        <v>14976</v>
      </c>
      <c r="J5202" s="656"/>
      <c r="K5202" s="656"/>
      <c r="L5202" s="656" t="s">
        <v>7496</v>
      </c>
      <c r="M5202" s="657"/>
      <c r="N5202" s="1482"/>
      <c r="O5202" s="656" t="s">
        <v>498</v>
      </c>
      <c r="P5202" s="656" t="s">
        <v>13052</v>
      </c>
      <c r="Q5202" s="656">
        <v>44216.758344907408</v>
      </c>
    </row>
    <row r="5203" spans="1:17">
      <c r="A5203" s="656" t="s">
        <v>14075</v>
      </c>
      <c r="B5203" s="657" t="s">
        <v>202</v>
      </c>
      <c r="C5203" s="656" t="s">
        <v>14076</v>
      </c>
      <c r="D5203" s="657" t="s">
        <v>14978</v>
      </c>
      <c r="E5203" s="657"/>
      <c r="F5203" s="656"/>
      <c r="G5203" s="656" t="s">
        <v>5238</v>
      </c>
      <c r="H5203" s="656"/>
      <c r="I5203" s="656" t="s">
        <v>14976</v>
      </c>
      <c r="J5203" s="656"/>
      <c r="K5203" s="656"/>
      <c r="L5203" s="656" t="s">
        <v>7496</v>
      </c>
      <c r="M5203" s="657"/>
      <c r="N5203" s="1482"/>
      <c r="O5203" s="656" t="s">
        <v>498</v>
      </c>
      <c r="P5203" s="656" t="s">
        <v>13052</v>
      </c>
      <c r="Q5203" s="656">
        <v>44216.758344907408</v>
      </c>
    </row>
    <row r="5204" spans="1:17">
      <c r="A5204" s="656" t="s">
        <v>7496</v>
      </c>
      <c r="B5204" s="657" t="s">
        <v>202</v>
      </c>
      <c r="C5204" s="656" t="s">
        <v>7497</v>
      </c>
      <c r="D5204" s="657" t="s">
        <v>13789</v>
      </c>
      <c r="E5204" s="657"/>
      <c r="F5204" s="656"/>
      <c r="G5204" s="656" t="s">
        <v>5238</v>
      </c>
      <c r="H5204" s="656"/>
      <c r="I5204" s="656" t="s">
        <v>14976</v>
      </c>
      <c r="J5204" s="656"/>
      <c r="K5204" s="656"/>
      <c r="L5204" s="656"/>
      <c r="M5204" s="657"/>
      <c r="N5204" s="1482"/>
      <c r="O5204" s="656" t="s">
        <v>498</v>
      </c>
      <c r="P5204" s="656" t="s">
        <v>13052</v>
      </c>
      <c r="Q5204" s="656">
        <v>44216.758344907408</v>
      </c>
    </row>
    <row r="5205" spans="1:17">
      <c r="A5205" s="656" t="s">
        <v>10503</v>
      </c>
      <c r="B5205" s="657" t="s">
        <v>202</v>
      </c>
      <c r="C5205" s="656" t="s">
        <v>10504</v>
      </c>
      <c r="D5205" s="657" t="s">
        <v>13789</v>
      </c>
      <c r="E5205" s="657"/>
      <c r="F5205" s="656"/>
      <c r="G5205" s="656" t="s">
        <v>5238</v>
      </c>
      <c r="H5205" s="656"/>
      <c r="I5205" s="656" t="s">
        <v>14976</v>
      </c>
      <c r="J5205" s="656"/>
      <c r="K5205" s="656"/>
      <c r="L5205" s="656"/>
      <c r="M5205" s="657"/>
      <c r="N5205" s="1482"/>
      <c r="O5205" s="656" t="s">
        <v>498</v>
      </c>
      <c r="P5205" s="656" t="s">
        <v>13052</v>
      </c>
      <c r="Q5205" s="656">
        <v>44216.758333333331</v>
      </c>
    </row>
    <row r="5206" spans="1:17">
      <c r="A5206" s="656" t="s">
        <v>7498</v>
      </c>
      <c r="B5206" s="657" t="s">
        <v>504</v>
      </c>
      <c r="C5206" s="656" t="s">
        <v>7499</v>
      </c>
      <c r="D5206" s="657"/>
      <c r="E5206" s="657"/>
      <c r="F5206" s="656"/>
      <c r="G5206" s="656" t="s">
        <v>5103</v>
      </c>
      <c r="H5206" s="656"/>
      <c r="I5206" s="656"/>
      <c r="J5206" s="656"/>
      <c r="K5206" s="656"/>
      <c r="L5206" s="656"/>
      <c r="M5206" s="657"/>
      <c r="N5206" s="1482"/>
      <c r="O5206" s="656" t="s">
        <v>498</v>
      </c>
      <c r="P5206" s="656" t="s">
        <v>13052</v>
      </c>
      <c r="Q5206" s="656">
        <v>44216.758321759262</v>
      </c>
    </row>
    <row r="5207" spans="1:17">
      <c r="A5207" s="656" t="s">
        <v>7500</v>
      </c>
      <c r="B5207" s="657"/>
      <c r="C5207" s="656" t="s">
        <v>7501</v>
      </c>
      <c r="D5207" s="657" t="s">
        <v>13789</v>
      </c>
      <c r="E5207" s="657"/>
      <c r="F5207" s="656"/>
      <c r="G5207" s="656" t="s">
        <v>5103</v>
      </c>
      <c r="H5207" s="656"/>
      <c r="I5207" s="656" t="s">
        <v>14976</v>
      </c>
      <c r="J5207" s="656"/>
      <c r="K5207" s="656"/>
      <c r="L5207" s="656"/>
      <c r="M5207" s="657"/>
      <c r="N5207" s="1482"/>
      <c r="O5207" s="656" t="s">
        <v>498</v>
      </c>
      <c r="P5207" s="656" t="s">
        <v>13052</v>
      </c>
      <c r="Q5207" s="656">
        <v>44216.758321759262</v>
      </c>
    </row>
    <row r="5208" spans="1:17">
      <c r="A5208" s="656" t="s">
        <v>7502</v>
      </c>
      <c r="B5208" s="657" t="s">
        <v>504</v>
      </c>
      <c r="C5208" s="656" t="s">
        <v>7503</v>
      </c>
      <c r="D5208" s="657"/>
      <c r="E5208" s="657"/>
      <c r="F5208" s="656"/>
      <c r="G5208" s="656" t="s">
        <v>5103</v>
      </c>
      <c r="H5208" s="656"/>
      <c r="I5208" s="656"/>
      <c r="J5208" s="656"/>
      <c r="K5208" s="656"/>
      <c r="L5208" s="656"/>
      <c r="M5208" s="657"/>
      <c r="N5208" s="1482"/>
      <c r="O5208" s="656" t="s">
        <v>498</v>
      </c>
      <c r="P5208" s="656" t="s">
        <v>13052</v>
      </c>
      <c r="Q5208" s="656">
        <v>44216.758310185185</v>
      </c>
    </row>
    <row r="5209" spans="1:17">
      <c r="A5209" s="656" t="s">
        <v>7504</v>
      </c>
      <c r="B5209" s="657" t="s">
        <v>504</v>
      </c>
      <c r="C5209" s="656" t="s">
        <v>7362</v>
      </c>
      <c r="D5209" s="657"/>
      <c r="E5209" s="657"/>
      <c r="F5209" s="656"/>
      <c r="G5209" s="656" t="s">
        <v>5103</v>
      </c>
      <c r="H5209" s="656"/>
      <c r="I5209" s="656"/>
      <c r="J5209" s="656"/>
      <c r="K5209" s="656"/>
      <c r="L5209" s="656"/>
      <c r="M5209" s="657"/>
      <c r="N5209" s="1482"/>
      <c r="O5209" s="656" t="s">
        <v>498</v>
      </c>
      <c r="P5209" s="656" t="s">
        <v>13052</v>
      </c>
      <c r="Q5209" s="656">
        <v>44216.758310185185</v>
      </c>
    </row>
    <row r="5210" spans="1:17">
      <c r="A5210" s="656" t="s">
        <v>7505</v>
      </c>
      <c r="B5210" s="657" t="s">
        <v>504</v>
      </c>
      <c r="C5210" s="656" t="s">
        <v>7358</v>
      </c>
      <c r="D5210" s="657"/>
      <c r="E5210" s="657"/>
      <c r="F5210" s="656"/>
      <c r="G5210" s="656" t="s">
        <v>5103</v>
      </c>
      <c r="H5210" s="656"/>
      <c r="I5210" s="656"/>
      <c r="J5210" s="656"/>
      <c r="K5210" s="656"/>
      <c r="L5210" s="656"/>
      <c r="M5210" s="657"/>
      <c r="N5210" s="1482"/>
      <c r="O5210" s="656" t="s">
        <v>498</v>
      </c>
      <c r="P5210" s="656" t="s">
        <v>13052</v>
      </c>
      <c r="Q5210" s="656">
        <v>44216.758298611108</v>
      </c>
    </row>
    <row r="5211" spans="1:17">
      <c r="A5211" s="656" t="s">
        <v>7506</v>
      </c>
      <c r="B5211" s="657"/>
      <c r="C5211" s="656" t="s">
        <v>7507</v>
      </c>
      <c r="D5211" s="657" t="s">
        <v>14978</v>
      </c>
      <c r="E5211" s="657"/>
      <c r="F5211" s="656"/>
      <c r="G5211" s="656" t="s">
        <v>5103</v>
      </c>
      <c r="H5211" s="656"/>
      <c r="I5211" s="656" t="s">
        <v>14976</v>
      </c>
      <c r="J5211" s="656"/>
      <c r="K5211" s="656"/>
      <c r="L5211" s="656" t="s">
        <v>7514</v>
      </c>
      <c r="M5211" s="657"/>
      <c r="N5211" s="1482"/>
      <c r="O5211" s="656" t="s">
        <v>498</v>
      </c>
      <c r="P5211" s="656" t="s">
        <v>13052</v>
      </c>
      <c r="Q5211" s="656">
        <v>44216.758298611108</v>
      </c>
    </row>
    <row r="5212" spans="1:17">
      <c r="A5212" s="656" t="s">
        <v>7508</v>
      </c>
      <c r="B5212" s="657"/>
      <c r="C5212" s="656" t="s">
        <v>7509</v>
      </c>
      <c r="D5212" s="657" t="s">
        <v>14978</v>
      </c>
      <c r="E5212" s="657"/>
      <c r="F5212" s="656"/>
      <c r="G5212" s="656" t="s">
        <v>5103</v>
      </c>
      <c r="H5212" s="656"/>
      <c r="I5212" s="656" t="s">
        <v>14976</v>
      </c>
      <c r="J5212" s="656"/>
      <c r="K5212" s="656"/>
      <c r="L5212" s="656" t="s">
        <v>7514</v>
      </c>
      <c r="M5212" s="657"/>
      <c r="N5212" s="1482"/>
      <c r="O5212" s="656" t="s">
        <v>498</v>
      </c>
      <c r="P5212" s="656" t="s">
        <v>13052</v>
      </c>
      <c r="Q5212" s="656">
        <v>44216.758287037039</v>
      </c>
    </row>
    <row r="5213" spans="1:17">
      <c r="A5213" s="656" t="s">
        <v>7510</v>
      </c>
      <c r="B5213" s="657"/>
      <c r="C5213" s="656" t="s">
        <v>7511</v>
      </c>
      <c r="D5213" s="657" t="s">
        <v>14978</v>
      </c>
      <c r="E5213" s="657"/>
      <c r="F5213" s="656"/>
      <c r="G5213" s="656" t="s">
        <v>5103</v>
      </c>
      <c r="H5213" s="656"/>
      <c r="I5213" s="656" t="s">
        <v>14976</v>
      </c>
      <c r="J5213" s="656"/>
      <c r="K5213" s="656"/>
      <c r="L5213" s="656" t="s">
        <v>7514</v>
      </c>
      <c r="M5213" s="657"/>
      <c r="N5213" s="1482"/>
      <c r="O5213" s="656" t="s">
        <v>498</v>
      </c>
      <c r="P5213" s="656" t="s">
        <v>13052</v>
      </c>
      <c r="Q5213" s="656">
        <v>44216.758287037039</v>
      </c>
    </row>
    <row r="5214" spans="1:17">
      <c r="A5214" s="656" t="s">
        <v>7512</v>
      </c>
      <c r="B5214" s="657"/>
      <c r="C5214" s="656" t="s">
        <v>7513</v>
      </c>
      <c r="D5214" s="657" t="s">
        <v>14978</v>
      </c>
      <c r="E5214" s="657"/>
      <c r="F5214" s="656"/>
      <c r="G5214" s="656" t="s">
        <v>5103</v>
      </c>
      <c r="H5214" s="656"/>
      <c r="I5214" s="656" t="s">
        <v>14976</v>
      </c>
      <c r="J5214" s="656"/>
      <c r="K5214" s="656"/>
      <c r="L5214" s="656" t="s">
        <v>7514</v>
      </c>
      <c r="M5214" s="657"/>
      <c r="N5214" s="1482"/>
      <c r="O5214" s="656" t="s">
        <v>498</v>
      </c>
      <c r="P5214" s="656" t="s">
        <v>13052</v>
      </c>
      <c r="Q5214" s="656">
        <v>44216.758287037039</v>
      </c>
    </row>
    <row r="5215" spans="1:17">
      <c r="A5215" s="656" t="s">
        <v>7514</v>
      </c>
      <c r="B5215" s="657" t="s">
        <v>504</v>
      </c>
      <c r="C5215" s="656" t="s">
        <v>7515</v>
      </c>
      <c r="D5215" s="657"/>
      <c r="E5215" s="657"/>
      <c r="F5215" s="656"/>
      <c r="G5215" s="656" t="s">
        <v>5103</v>
      </c>
      <c r="H5215" s="656"/>
      <c r="I5215" s="656"/>
      <c r="J5215" s="656"/>
      <c r="K5215" s="656"/>
      <c r="L5215" s="656"/>
      <c r="M5215" s="657"/>
      <c r="N5215" s="1482"/>
      <c r="O5215" s="656" t="s">
        <v>498</v>
      </c>
      <c r="P5215" s="656" t="s">
        <v>13052</v>
      </c>
      <c r="Q5215" s="656">
        <v>44216.758275462962</v>
      </c>
    </row>
    <row r="5216" spans="1:17">
      <c r="A5216" s="656" t="s">
        <v>7516</v>
      </c>
      <c r="B5216" s="657"/>
      <c r="C5216" s="656" t="s">
        <v>7517</v>
      </c>
      <c r="D5216" s="657" t="s">
        <v>14978</v>
      </c>
      <c r="E5216" s="657"/>
      <c r="F5216" s="656"/>
      <c r="G5216" s="656" t="s">
        <v>4198</v>
      </c>
      <c r="H5216" s="656"/>
      <c r="I5216" s="656" t="s">
        <v>14976</v>
      </c>
      <c r="J5216" s="656"/>
      <c r="K5216" s="656"/>
      <c r="L5216" s="656" t="s">
        <v>14074</v>
      </c>
      <c r="M5216" s="657"/>
      <c r="N5216" s="1482"/>
      <c r="O5216" s="656" t="s">
        <v>498</v>
      </c>
      <c r="P5216" s="656" t="s">
        <v>13052</v>
      </c>
      <c r="Q5216" s="656">
        <v>44216.758275462962</v>
      </c>
    </row>
    <row r="5217" spans="1:17">
      <c r="A5217" s="656" t="s">
        <v>7518</v>
      </c>
      <c r="B5217" s="657" t="s">
        <v>202</v>
      </c>
      <c r="C5217" s="656" t="s">
        <v>7519</v>
      </c>
      <c r="D5217" s="657" t="s">
        <v>14978</v>
      </c>
      <c r="E5217" s="657"/>
      <c r="F5217" s="656" t="s">
        <v>500</v>
      </c>
      <c r="G5217" s="656"/>
      <c r="H5217" s="656" t="s">
        <v>500</v>
      </c>
      <c r="I5217" s="656" t="s">
        <v>14976</v>
      </c>
      <c r="J5217" s="656"/>
      <c r="K5217" s="656"/>
      <c r="L5217" s="656" t="s">
        <v>14074</v>
      </c>
      <c r="M5217" s="657"/>
      <c r="N5217" s="1482"/>
      <c r="O5217" s="656" t="s">
        <v>498</v>
      </c>
      <c r="P5217" s="656" t="s">
        <v>13052</v>
      </c>
      <c r="Q5217" s="656">
        <v>44216.758263888885</v>
      </c>
    </row>
    <row r="5218" spans="1:17">
      <c r="A5218" s="656" t="s">
        <v>7520</v>
      </c>
      <c r="B5218" s="657" t="s">
        <v>202</v>
      </c>
      <c r="C5218" s="656" t="s">
        <v>1682</v>
      </c>
      <c r="D5218" s="657" t="s">
        <v>14978</v>
      </c>
      <c r="E5218" s="657"/>
      <c r="F5218" s="656" t="s">
        <v>500</v>
      </c>
      <c r="G5218" s="656"/>
      <c r="H5218" s="656" t="s">
        <v>500</v>
      </c>
      <c r="I5218" s="656" t="s">
        <v>14976</v>
      </c>
      <c r="J5218" s="656"/>
      <c r="K5218" s="656"/>
      <c r="L5218" s="656" t="s">
        <v>14074</v>
      </c>
      <c r="M5218" s="657"/>
      <c r="N5218" s="1482"/>
      <c r="O5218" s="656" t="s">
        <v>498</v>
      </c>
      <c r="P5218" s="656" t="s">
        <v>13052</v>
      </c>
      <c r="Q5218" s="656">
        <v>44216.758252314816</v>
      </c>
    </row>
    <row r="5219" spans="1:17">
      <c r="A5219" s="656" t="s">
        <v>7521</v>
      </c>
      <c r="B5219" s="657" t="s">
        <v>202</v>
      </c>
      <c r="C5219" s="656" t="s">
        <v>7522</v>
      </c>
      <c r="D5219" s="657" t="s">
        <v>14978</v>
      </c>
      <c r="E5219" s="657"/>
      <c r="F5219" s="656" t="s">
        <v>500</v>
      </c>
      <c r="G5219" s="656" t="s">
        <v>1301</v>
      </c>
      <c r="H5219" s="656" t="s">
        <v>500</v>
      </c>
      <c r="I5219" s="656" t="s">
        <v>14976</v>
      </c>
      <c r="J5219" s="656" t="s">
        <v>15285</v>
      </c>
      <c r="K5219" s="656"/>
      <c r="L5219" s="656" t="s">
        <v>14074</v>
      </c>
      <c r="M5219" s="657"/>
      <c r="N5219" s="1482"/>
      <c r="O5219" s="656" t="s">
        <v>498</v>
      </c>
      <c r="P5219" s="656" t="s">
        <v>13052</v>
      </c>
      <c r="Q5219" s="656">
        <v>44216.758252314816</v>
      </c>
    </row>
    <row r="5220" spans="1:17">
      <c r="A5220" s="656" t="s">
        <v>7523</v>
      </c>
      <c r="B5220" s="657" t="s">
        <v>202</v>
      </c>
      <c r="C5220" s="656" t="s">
        <v>7524</v>
      </c>
      <c r="D5220" s="657" t="s">
        <v>14978</v>
      </c>
      <c r="E5220" s="657"/>
      <c r="F5220" s="656" t="s">
        <v>1300</v>
      </c>
      <c r="G5220" s="656" t="s">
        <v>1301</v>
      </c>
      <c r="H5220" s="656" t="s">
        <v>1300</v>
      </c>
      <c r="I5220" s="656" t="s">
        <v>14976</v>
      </c>
      <c r="J5220" s="656" t="s">
        <v>15285</v>
      </c>
      <c r="K5220" s="656"/>
      <c r="L5220" s="656" t="s">
        <v>14074</v>
      </c>
      <c r="M5220" s="657"/>
      <c r="N5220" s="1482"/>
      <c r="O5220" s="656" t="s">
        <v>498</v>
      </c>
      <c r="P5220" s="656" t="s">
        <v>13052</v>
      </c>
      <c r="Q5220" s="656">
        <v>44216.758240740739</v>
      </c>
    </row>
    <row r="5221" spans="1:17">
      <c r="A5221" s="656" t="s">
        <v>7525</v>
      </c>
      <c r="B5221" s="657" t="s">
        <v>202</v>
      </c>
      <c r="C5221" s="656" t="s">
        <v>7526</v>
      </c>
      <c r="D5221" s="657" t="s">
        <v>14978</v>
      </c>
      <c r="E5221" s="657"/>
      <c r="F5221" s="656" t="s">
        <v>500</v>
      </c>
      <c r="G5221" s="656"/>
      <c r="H5221" s="656" t="s">
        <v>500</v>
      </c>
      <c r="I5221" s="656" t="s">
        <v>14976</v>
      </c>
      <c r="J5221" s="656"/>
      <c r="K5221" s="656"/>
      <c r="L5221" s="656" t="s">
        <v>14074</v>
      </c>
      <c r="M5221" s="657"/>
      <c r="N5221" s="1482"/>
      <c r="O5221" s="656" t="s">
        <v>498</v>
      </c>
      <c r="P5221" s="656" t="s">
        <v>13052</v>
      </c>
      <c r="Q5221" s="656">
        <v>44216.758240740739</v>
      </c>
    </row>
    <row r="5222" spans="1:17">
      <c r="A5222" s="656" t="s">
        <v>7527</v>
      </c>
      <c r="B5222" s="657" t="s">
        <v>202</v>
      </c>
      <c r="C5222" s="656" t="s">
        <v>7528</v>
      </c>
      <c r="D5222" s="657" t="s">
        <v>14978</v>
      </c>
      <c r="E5222" s="657"/>
      <c r="F5222" s="656" t="s">
        <v>500</v>
      </c>
      <c r="G5222" s="656"/>
      <c r="H5222" s="656" t="s">
        <v>500</v>
      </c>
      <c r="I5222" s="656" t="s">
        <v>14976</v>
      </c>
      <c r="J5222" s="656"/>
      <c r="K5222" s="656"/>
      <c r="L5222" s="656" t="s">
        <v>14074</v>
      </c>
      <c r="M5222" s="657"/>
      <c r="N5222" s="1482"/>
      <c r="O5222" s="656" t="s">
        <v>498</v>
      </c>
      <c r="P5222" s="656" t="s">
        <v>13052</v>
      </c>
      <c r="Q5222" s="656">
        <v>44216.758229166669</v>
      </c>
    </row>
    <row r="5223" spans="1:17">
      <c r="A5223" s="656" t="s">
        <v>7529</v>
      </c>
      <c r="B5223" s="657" t="s">
        <v>202</v>
      </c>
      <c r="C5223" s="656" t="s">
        <v>7530</v>
      </c>
      <c r="D5223" s="657" t="s">
        <v>14978</v>
      </c>
      <c r="E5223" s="657"/>
      <c r="F5223" s="656" t="s">
        <v>500</v>
      </c>
      <c r="G5223" s="656"/>
      <c r="H5223" s="656" t="s">
        <v>500</v>
      </c>
      <c r="I5223" s="656" t="s">
        <v>14976</v>
      </c>
      <c r="J5223" s="656"/>
      <c r="K5223" s="656"/>
      <c r="L5223" s="656" t="s">
        <v>14074</v>
      </c>
      <c r="M5223" s="657"/>
      <c r="N5223" s="1482"/>
      <c r="O5223" s="656" t="s">
        <v>498</v>
      </c>
      <c r="P5223" s="656" t="s">
        <v>13052</v>
      </c>
      <c r="Q5223" s="656">
        <v>44216.758229166669</v>
      </c>
    </row>
    <row r="5224" spans="1:17">
      <c r="A5224" s="656" t="s">
        <v>14074</v>
      </c>
      <c r="B5224" s="657" t="s">
        <v>202</v>
      </c>
      <c r="C5224" s="656" t="s">
        <v>1302</v>
      </c>
      <c r="D5224" s="657" t="s">
        <v>14977</v>
      </c>
      <c r="E5224" s="657"/>
      <c r="F5224" s="656" t="s">
        <v>1300</v>
      </c>
      <c r="G5224" s="656"/>
      <c r="H5224" s="656" t="s">
        <v>1300</v>
      </c>
      <c r="I5224" s="656" t="s">
        <v>14976</v>
      </c>
      <c r="J5224" s="656"/>
      <c r="K5224" s="656"/>
      <c r="L5224" s="656" t="s">
        <v>14074</v>
      </c>
      <c r="M5224" s="657"/>
      <c r="N5224" s="1482"/>
      <c r="O5224" s="656" t="s">
        <v>498</v>
      </c>
      <c r="P5224" s="656" t="s">
        <v>13052</v>
      </c>
      <c r="Q5224" s="656">
        <v>44216.758229166669</v>
      </c>
    </row>
    <row r="5225" spans="1:17">
      <c r="A5225" s="656" t="s">
        <v>7531</v>
      </c>
      <c r="B5225" s="657" t="s">
        <v>202</v>
      </c>
      <c r="C5225" s="656" t="s">
        <v>7532</v>
      </c>
      <c r="D5225" s="657" t="s">
        <v>14977</v>
      </c>
      <c r="E5225" s="657"/>
      <c r="F5225" s="656" t="s">
        <v>655</v>
      </c>
      <c r="G5225" s="656"/>
      <c r="H5225" s="656" t="s">
        <v>655</v>
      </c>
      <c r="I5225" s="656" t="s">
        <v>14976</v>
      </c>
      <c r="J5225" s="656" t="s">
        <v>451</v>
      </c>
      <c r="K5225" s="656"/>
      <c r="L5225" s="656" t="s">
        <v>7531</v>
      </c>
      <c r="M5225" s="657"/>
      <c r="N5225" s="1482"/>
      <c r="O5225" s="656" t="s">
        <v>498</v>
      </c>
      <c r="P5225" s="656" t="s">
        <v>13052</v>
      </c>
      <c r="Q5225" s="656">
        <v>44216.758217592593</v>
      </c>
    </row>
    <row r="5226" spans="1:17">
      <c r="A5226" s="656" t="s">
        <v>7533</v>
      </c>
      <c r="B5226" s="657" t="s">
        <v>504</v>
      </c>
      <c r="C5226" s="656" t="s">
        <v>7534</v>
      </c>
      <c r="D5226" s="657"/>
      <c r="E5226" s="657"/>
      <c r="F5226" s="656"/>
      <c r="G5226" s="656" t="s">
        <v>5103</v>
      </c>
      <c r="H5226" s="656"/>
      <c r="I5226" s="656"/>
      <c r="J5226" s="656"/>
      <c r="K5226" s="656"/>
      <c r="L5226" s="656"/>
      <c r="M5226" s="657"/>
      <c r="N5226" s="1482"/>
      <c r="O5226" s="656" t="s">
        <v>498</v>
      </c>
      <c r="P5226" s="656" t="s">
        <v>13052</v>
      </c>
      <c r="Q5226" s="656">
        <v>44216.758206018516</v>
      </c>
    </row>
    <row r="5227" spans="1:17">
      <c r="A5227" s="656" t="s">
        <v>7535</v>
      </c>
      <c r="B5227" s="657" t="s">
        <v>504</v>
      </c>
      <c r="C5227" s="656" t="s">
        <v>7536</v>
      </c>
      <c r="D5227" s="657"/>
      <c r="E5227" s="657"/>
      <c r="F5227" s="656"/>
      <c r="G5227" s="656" t="s">
        <v>4362</v>
      </c>
      <c r="H5227" s="656"/>
      <c r="I5227" s="656"/>
      <c r="J5227" s="656"/>
      <c r="K5227" s="656"/>
      <c r="L5227" s="656"/>
      <c r="M5227" s="657"/>
      <c r="N5227" s="1482"/>
      <c r="O5227" s="656" t="s">
        <v>498</v>
      </c>
      <c r="P5227" s="656" t="s">
        <v>13052</v>
      </c>
      <c r="Q5227" s="656">
        <v>44216.758206018516</v>
      </c>
    </row>
    <row r="5228" spans="1:17">
      <c r="A5228" s="656" t="s">
        <v>7537</v>
      </c>
      <c r="B5228" s="657" t="s">
        <v>504</v>
      </c>
      <c r="C5228" s="656" t="s">
        <v>7538</v>
      </c>
      <c r="D5228" s="657"/>
      <c r="E5228" s="657"/>
      <c r="F5228" s="656"/>
      <c r="G5228" s="656" t="s">
        <v>4362</v>
      </c>
      <c r="H5228" s="656"/>
      <c r="I5228" s="656"/>
      <c r="J5228" s="656"/>
      <c r="K5228" s="656"/>
      <c r="L5228" s="656"/>
      <c r="M5228" s="657"/>
      <c r="N5228" s="1482"/>
      <c r="O5228" s="656" t="s">
        <v>498</v>
      </c>
      <c r="P5228" s="656" t="s">
        <v>13052</v>
      </c>
      <c r="Q5228" s="656">
        <v>44216.758194444446</v>
      </c>
    </row>
    <row r="5229" spans="1:17">
      <c r="A5229" s="656" t="s">
        <v>7539</v>
      </c>
      <c r="B5229" s="657" t="s">
        <v>504</v>
      </c>
      <c r="C5229" s="656" t="s">
        <v>7540</v>
      </c>
      <c r="D5229" s="657"/>
      <c r="E5229" s="657"/>
      <c r="F5229" s="656"/>
      <c r="G5229" s="656" t="s">
        <v>4362</v>
      </c>
      <c r="H5229" s="656"/>
      <c r="I5229" s="656"/>
      <c r="J5229" s="656"/>
      <c r="K5229" s="656"/>
      <c r="L5229" s="656"/>
      <c r="M5229" s="657"/>
      <c r="N5229" s="1482"/>
      <c r="O5229" s="656" t="s">
        <v>498</v>
      </c>
      <c r="P5229" s="656" t="s">
        <v>13052</v>
      </c>
      <c r="Q5229" s="656">
        <v>44216.758194444446</v>
      </c>
    </row>
    <row r="5230" spans="1:17">
      <c r="A5230" s="656" t="s">
        <v>14072</v>
      </c>
      <c r="B5230" s="657" t="s">
        <v>202</v>
      </c>
      <c r="C5230" s="656" t="s">
        <v>14073</v>
      </c>
      <c r="D5230" s="657" t="s">
        <v>13789</v>
      </c>
      <c r="E5230" s="657"/>
      <c r="F5230" s="656" t="s">
        <v>1300</v>
      </c>
      <c r="G5230" s="656" t="s">
        <v>4198</v>
      </c>
      <c r="H5230" s="656" t="s">
        <v>1300</v>
      </c>
      <c r="I5230" s="656" t="s">
        <v>14976</v>
      </c>
      <c r="J5230" s="656"/>
      <c r="K5230" s="656"/>
      <c r="L5230" s="656"/>
      <c r="M5230" s="657"/>
      <c r="N5230" s="1482"/>
      <c r="O5230" s="656" t="s">
        <v>498</v>
      </c>
      <c r="P5230" s="656" t="s">
        <v>13052</v>
      </c>
      <c r="Q5230" s="656">
        <v>44216.75818287037</v>
      </c>
    </row>
    <row r="5231" spans="1:17">
      <c r="A5231" s="656" t="s">
        <v>14070</v>
      </c>
      <c r="B5231" s="657" t="s">
        <v>202</v>
      </c>
      <c r="C5231" s="656" t="s">
        <v>14071</v>
      </c>
      <c r="D5231" s="657" t="s">
        <v>14978</v>
      </c>
      <c r="E5231" s="657"/>
      <c r="F5231" s="656" t="s">
        <v>1300</v>
      </c>
      <c r="G5231" s="656" t="s">
        <v>4198</v>
      </c>
      <c r="H5231" s="656" t="s">
        <v>1300</v>
      </c>
      <c r="I5231" s="656" t="s">
        <v>14976</v>
      </c>
      <c r="J5231" s="656"/>
      <c r="K5231" s="656"/>
      <c r="L5231" s="656" t="s">
        <v>14068</v>
      </c>
      <c r="M5231" s="657"/>
      <c r="N5231" s="1482"/>
      <c r="O5231" s="656" t="s">
        <v>498</v>
      </c>
      <c r="P5231" s="656" t="s">
        <v>13052</v>
      </c>
      <c r="Q5231" s="656">
        <v>44216.75818287037</v>
      </c>
    </row>
    <row r="5232" spans="1:17">
      <c r="A5232" s="656" t="s">
        <v>7541</v>
      </c>
      <c r="B5232" s="657" t="s">
        <v>504</v>
      </c>
      <c r="C5232" s="656" t="s">
        <v>7542</v>
      </c>
      <c r="D5232" s="657"/>
      <c r="E5232" s="657"/>
      <c r="F5232" s="656" t="s">
        <v>1300</v>
      </c>
      <c r="G5232" s="656" t="s">
        <v>4198</v>
      </c>
      <c r="H5232" s="656" t="s">
        <v>1300</v>
      </c>
      <c r="I5232" s="656"/>
      <c r="J5232" s="656"/>
      <c r="K5232" s="656"/>
      <c r="L5232" s="656"/>
      <c r="M5232" s="657"/>
      <c r="N5232" s="1482"/>
      <c r="O5232" s="656" t="s">
        <v>498</v>
      </c>
      <c r="P5232" s="656" t="s">
        <v>13052</v>
      </c>
      <c r="Q5232" s="656">
        <v>44216.758171296293</v>
      </c>
    </row>
    <row r="5233" spans="1:17">
      <c r="A5233" s="656" t="s">
        <v>14068</v>
      </c>
      <c r="B5233" s="657" t="s">
        <v>202</v>
      </c>
      <c r="C5233" s="656" t="s">
        <v>14069</v>
      </c>
      <c r="D5233" s="657" t="s">
        <v>13789</v>
      </c>
      <c r="E5233" s="657"/>
      <c r="F5233" s="656" t="s">
        <v>1300</v>
      </c>
      <c r="G5233" s="656" t="s">
        <v>4198</v>
      </c>
      <c r="H5233" s="656" t="s">
        <v>1300</v>
      </c>
      <c r="I5233" s="656" t="s">
        <v>14976</v>
      </c>
      <c r="J5233" s="656"/>
      <c r="K5233" s="656"/>
      <c r="L5233" s="656"/>
      <c r="M5233" s="657"/>
      <c r="N5233" s="1482"/>
      <c r="O5233" s="656" t="s">
        <v>498</v>
      </c>
      <c r="P5233" s="656" t="s">
        <v>13052</v>
      </c>
      <c r="Q5233" s="656">
        <v>44216.758171296293</v>
      </c>
    </row>
    <row r="5234" spans="1:17">
      <c r="A5234" s="656" t="s">
        <v>7543</v>
      </c>
      <c r="B5234" s="657" t="s">
        <v>504</v>
      </c>
      <c r="C5234" s="656" t="s">
        <v>7544</v>
      </c>
      <c r="D5234" s="657"/>
      <c r="E5234" s="657"/>
      <c r="F5234" s="656" t="s">
        <v>505</v>
      </c>
      <c r="G5234" s="656" t="s">
        <v>4394</v>
      </c>
      <c r="H5234" s="656" t="s">
        <v>505</v>
      </c>
      <c r="I5234" s="656"/>
      <c r="J5234" s="656"/>
      <c r="K5234" s="656"/>
      <c r="L5234" s="656"/>
      <c r="M5234" s="657"/>
      <c r="N5234" s="1482"/>
      <c r="O5234" s="656" t="s">
        <v>498</v>
      </c>
      <c r="P5234" s="656" t="s">
        <v>13052</v>
      </c>
      <c r="Q5234" s="656">
        <v>44216.758159722223</v>
      </c>
    </row>
    <row r="5235" spans="1:17">
      <c r="A5235" s="656" t="s">
        <v>7545</v>
      </c>
      <c r="B5235" s="657" t="s">
        <v>504</v>
      </c>
      <c r="C5235" s="656" t="s">
        <v>7546</v>
      </c>
      <c r="D5235" s="657"/>
      <c r="E5235" s="657"/>
      <c r="F5235" s="656" t="s">
        <v>505</v>
      </c>
      <c r="G5235" s="656" t="s">
        <v>4394</v>
      </c>
      <c r="H5235" s="656" t="s">
        <v>505</v>
      </c>
      <c r="I5235" s="656"/>
      <c r="J5235" s="656"/>
      <c r="K5235" s="656"/>
      <c r="L5235" s="656"/>
      <c r="M5235" s="657"/>
      <c r="N5235" s="1482"/>
      <c r="O5235" s="656" t="s">
        <v>498</v>
      </c>
      <c r="P5235" s="656" t="s">
        <v>13052</v>
      </c>
      <c r="Q5235" s="656">
        <v>44216.758159722223</v>
      </c>
    </row>
    <row r="5236" spans="1:17">
      <c r="A5236" s="656" t="s">
        <v>7547</v>
      </c>
      <c r="B5236" s="657" t="s">
        <v>504</v>
      </c>
      <c r="C5236" s="656" t="s">
        <v>7548</v>
      </c>
      <c r="D5236" s="657"/>
      <c r="E5236" s="657"/>
      <c r="F5236" s="656" t="s">
        <v>505</v>
      </c>
      <c r="G5236" s="656" t="s">
        <v>4394</v>
      </c>
      <c r="H5236" s="656" t="s">
        <v>505</v>
      </c>
      <c r="I5236" s="656"/>
      <c r="J5236" s="656"/>
      <c r="K5236" s="656"/>
      <c r="L5236" s="656"/>
      <c r="M5236" s="657"/>
      <c r="N5236" s="1482"/>
      <c r="O5236" s="656" t="s">
        <v>498</v>
      </c>
      <c r="P5236" s="656" t="s">
        <v>13052</v>
      </c>
      <c r="Q5236" s="656">
        <v>44216.758148148147</v>
      </c>
    </row>
    <row r="5237" spans="1:17">
      <c r="A5237" s="656" t="s">
        <v>7549</v>
      </c>
      <c r="B5237" s="657" t="s">
        <v>504</v>
      </c>
      <c r="C5237" s="656" t="s">
        <v>7550</v>
      </c>
      <c r="D5237" s="657"/>
      <c r="E5237" s="657"/>
      <c r="F5237" s="656" t="s">
        <v>505</v>
      </c>
      <c r="G5237" s="656" t="s">
        <v>4324</v>
      </c>
      <c r="H5237" s="656" t="s">
        <v>505</v>
      </c>
      <c r="I5237" s="656"/>
      <c r="J5237" s="656"/>
      <c r="K5237" s="656"/>
      <c r="L5237" s="656"/>
      <c r="M5237" s="657"/>
      <c r="N5237" s="1482"/>
      <c r="O5237" s="656" t="s">
        <v>498</v>
      </c>
      <c r="P5237" s="656" t="s">
        <v>13052</v>
      </c>
      <c r="Q5237" s="656">
        <v>44216.758148148147</v>
      </c>
    </row>
    <row r="5238" spans="1:17">
      <c r="A5238" s="656" t="s">
        <v>7551</v>
      </c>
      <c r="B5238" s="657" t="s">
        <v>504</v>
      </c>
      <c r="C5238" s="656" t="s">
        <v>7552</v>
      </c>
      <c r="D5238" s="657"/>
      <c r="E5238" s="657"/>
      <c r="F5238" s="656" t="s">
        <v>505</v>
      </c>
      <c r="G5238" s="656" t="s">
        <v>4324</v>
      </c>
      <c r="H5238" s="656" t="s">
        <v>505</v>
      </c>
      <c r="I5238" s="656"/>
      <c r="J5238" s="656"/>
      <c r="K5238" s="656"/>
      <c r="L5238" s="656"/>
      <c r="M5238" s="657"/>
      <c r="N5238" s="1482"/>
      <c r="O5238" s="656" t="s">
        <v>498</v>
      </c>
      <c r="P5238" s="656" t="s">
        <v>13052</v>
      </c>
      <c r="Q5238" s="656">
        <v>44216.758148148147</v>
      </c>
    </row>
    <row r="5239" spans="1:17">
      <c r="A5239" s="656" t="s">
        <v>7553</v>
      </c>
      <c r="B5239" s="657" t="s">
        <v>504</v>
      </c>
      <c r="C5239" s="656" t="s">
        <v>7554</v>
      </c>
      <c r="D5239" s="657"/>
      <c r="E5239" s="657"/>
      <c r="F5239" s="656" t="s">
        <v>505</v>
      </c>
      <c r="G5239" s="656" t="s">
        <v>4324</v>
      </c>
      <c r="H5239" s="656" t="s">
        <v>505</v>
      </c>
      <c r="I5239" s="656"/>
      <c r="J5239" s="656"/>
      <c r="K5239" s="656"/>
      <c r="L5239" s="656"/>
      <c r="M5239" s="657"/>
      <c r="N5239" s="1482"/>
      <c r="O5239" s="656" t="s">
        <v>498</v>
      </c>
      <c r="P5239" s="656" t="s">
        <v>13052</v>
      </c>
      <c r="Q5239" s="656">
        <v>44216.758136574077</v>
      </c>
    </row>
    <row r="5240" spans="1:17">
      <c r="A5240" s="656" t="s">
        <v>7555</v>
      </c>
      <c r="B5240" s="657" t="s">
        <v>504</v>
      </c>
      <c r="C5240" s="656" t="s">
        <v>7556</v>
      </c>
      <c r="D5240" s="657"/>
      <c r="E5240" s="657"/>
      <c r="F5240" s="656" t="s">
        <v>505</v>
      </c>
      <c r="G5240" s="656" t="s">
        <v>4324</v>
      </c>
      <c r="H5240" s="656" t="s">
        <v>505</v>
      </c>
      <c r="I5240" s="656"/>
      <c r="J5240" s="656"/>
      <c r="K5240" s="656"/>
      <c r="L5240" s="656"/>
      <c r="M5240" s="657"/>
      <c r="N5240" s="1482"/>
      <c r="O5240" s="656" t="s">
        <v>498</v>
      </c>
      <c r="P5240" s="656" t="s">
        <v>13052</v>
      </c>
      <c r="Q5240" s="656">
        <v>44216.758136574077</v>
      </c>
    </row>
    <row r="5241" spans="1:17">
      <c r="A5241" s="656" t="s">
        <v>7557</v>
      </c>
      <c r="B5241" s="657" t="s">
        <v>504</v>
      </c>
      <c r="C5241" s="656" t="s">
        <v>7558</v>
      </c>
      <c r="D5241" s="657"/>
      <c r="E5241" s="657"/>
      <c r="F5241" s="656" t="s">
        <v>505</v>
      </c>
      <c r="G5241" s="656" t="s">
        <v>4324</v>
      </c>
      <c r="H5241" s="656" t="s">
        <v>505</v>
      </c>
      <c r="I5241" s="656"/>
      <c r="J5241" s="656"/>
      <c r="K5241" s="656"/>
      <c r="L5241" s="656"/>
      <c r="M5241" s="657"/>
      <c r="N5241" s="1482"/>
      <c r="O5241" s="656" t="s">
        <v>498</v>
      </c>
      <c r="P5241" s="656" t="s">
        <v>13052</v>
      </c>
      <c r="Q5241" s="656">
        <v>44216.758125</v>
      </c>
    </row>
    <row r="5242" spans="1:17">
      <c r="A5242" s="656" t="s">
        <v>7559</v>
      </c>
      <c r="B5242" s="657" t="s">
        <v>504</v>
      </c>
      <c r="C5242" s="656" t="s">
        <v>7560</v>
      </c>
      <c r="D5242" s="657"/>
      <c r="E5242" s="657"/>
      <c r="F5242" s="656" t="s">
        <v>505</v>
      </c>
      <c r="G5242" s="656" t="s">
        <v>4324</v>
      </c>
      <c r="H5242" s="656" t="s">
        <v>505</v>
      </c>
      <c r="I5242" s="656"/>
      <c r="J5242" s="656"/>
      <c r="K5242" s="656"/>
      <c r="L5242" s="656"/>
      <c r="M5242" s="657"/>
      <c r="N5242" s="1482"/>
      <c r="O5242" s="656" t="s">
        <v>498</v>
      </c>
      <c r="P5242" s="656" t="s">
        <v>13052</v>
      </c>
      <c r="Q5242" s="656">
        <v>44216.758125</v>
      </c>
    </row>
    <row r="5243" spans="1:17">
      <c r="A5243" s="656" t="s">
        <v>7561</v>
      </c>
      <c r="B5243" s="657" t="s">
        <v>504</v>
      </c>
      <c r="C5243" s="656" t="s">
        <v>7562</v>
      </c>
      <c r="D5243" s="657"/>
      <c r="E5243" s="657"/>
      <c r="F5243" s="656" t="s">
        <v>505</v>
      </c>
      <c r="G5243" s="656" t="s">
        <v>4324</v>
      </c>
      <c r="H5243" s="656" t="s">
        <v>505</v>
      </c>
      <c r="I5243" s="656"/>
      <c r="J5243" s="656"/>
      <c r="K5243" s="656"/>
      <c r="L5243" s="656"/>
      <c r="M5243" s="657"/>
      <c r="N5243" s="1482"/>
      <c r="O5243" s="656" t="s">
        <v>498</v>
      </c>
      <c r="P5243" s="656" t="s">
        <v>13052</v>
      </c>
      <c r="Q5243" s="656">
        <v>44216.758125</v>
      </c>
    </row>
    <row r="5244" spans="1:17">
      <c r="A5244" s="656" t="s">
        <v>7563</v>
      </c>
      <c r="B5244" s="657" t="s">
        <v>504</v>
      </c>
      <c r="C5244" s="656" t="s">
        <v>7564</v>
      </c>
      <c r="D5244" s="657"/>
      <c r="E5244" s="657"/>
      <c r="F5244" s="656" t="s">
        <v>505</v>
      </c>
      <c r="G5244" s="656" t="s">
        <v>4324</v>
      </c>
      <c r="H5244" s="656" t="s">
        <v>505</v>
      </c>
      <c r="I5244" s="656"/>
      <c r="J5244" s="656"/>
      <c r="K5244" s="656"/>
      <c r="L5244" s="656"/>
      <c r="M5244" s="657"/>
      <c r="N5244" s="1482"/>
      <c r="O5244" s="656" t="s">
        <v>498</v>
      </c>
      <c r="P5244" s="656" t="s">
        <v>13052</v>
      </c>
      <c r="Q5244" s="656">
        <v>44216.758113425924</v>
      </c>
    </row>
    <row r="5245" spans="1:17">
      <c r="A5245" s="656" t="s">
        <v>7565</v>
      </c>
      <c r="B5245" s="657" t="s">
        <v>504</v>
      </c>
      <c r="C5245" s="656" t="s">
        <v>7566</v>
      </c>
      <c r="D5245" s="657"/>
      <c r="E5245" s="657"/>
      <c r="F5245" s="656" t="s">
        <v>505</v>
      </c>
      <c r="G5245" s="656" t="s">
        <v>4324</v>
      </c>
      <c r="H5245" s="656" t="s">
        <v>505</v>
      </c>
      <c r="I5245" s="656"/>
      <c r="J5245" s="656"/>
      <c r="K5245" s="656"/>
      <c r="L5245" s="656"/>
      <c r="M5245" s="657"/>
      <c r="N5245" s="1482"/>
      <c r="O5245" s="656" t="s">
        <v>498</v>
      </c>
      <c r="P5245" s="656" t="s">
        <v>13052</v>
      </c>
      <c r="Q5245" s="656">
        <v>44216.758113425924</v>
      </c>
    </row>
    <row r="5246" spans="1:17">
      <c r="A5246" s="656" t="s">
        <v>7567</v>
      </c>
      <c r="B5246" s="657" t="s">
        <v>504</v>
      </c>
      <c r="C5246" s="656" t="s">
        <v>7568</v>
      </c>
      <c r="D5246" s="657"/>
      <c r="E5246" s="657"/>
      <c r="F5246" s="656" t="s">
        <v>505</v>
      </c>
      <c r="G5246" s="656" t="s">
        <v>4394</v>
      </c>
      <c r="H5246" s="656" t="s">
        <v>505</v>
      </c>
      <c r="I5246" s="656"/>
      <c r="J5246" s="656"/>
      <c r="K5246" s="656"/>
      <c r="L5246" s="656"/>
      <c r="M5246" s="657"/>
      <c r="N5246" s="1482"/>
      <c r="O5246" s="656" t="s">
        <v>498</v>
      </c>
      <c r="P5246" s="656" t="s">
        <v>13052</v>
      </c>
      <c r="Q5246" s="656">
        <v>44216.758101851854</v>
      </c>
    </row>
    <row r="5247" spans="1:17">
      <c r="A5247" s="656" t="s">
        <v>7569</v>
      </c>
      <c r="B5247" s="657" t="s">
        <v>504</v>
      </c>
      <c r="C5247" s="656" t="s">
        <v>7570</v>
      </c>
      <c r="D5247" s="657" t="s">
        <v>1239</v>
      </c>
      <c r="E5247" s="657"/>
      <c r="F5247" s="656"/>
      <c r="G5247" s="656" t="s">
        <v>5045</v>
      </c>
      <c r="H5247" s="656"/>
      <c r="I5247" s="656"/>
      <c r="J5247" s="656"/>
      <c r="K5247" s="656"/>
      <c r="L5247" s="656"/>
      <c r="M5247" s="657"/>
      <c r="N5247" s="1482"/>
      <c r="O5247" s="656" t="s">
        <v>498</v>
      </c>
      <c r="P5247" s="656" t="s">
        <v>13052</v>
      </c>
      <c r="Q5247" s="656">
        <v>44216.758090277777</v>
      </c>
    </row>
    <row r="5248" spans="1:17">
      <c r="A5248" s="656" t="s">
        <v>7571</v>
      </c>
      <c r="B5248" s="657" t="s">
        <v>504</v>
      </c>
      <c r="C5248" s="656" t="s">
        <v>7572</v>
      </c>
      <c r="D5248" s="657"/>
      <c r="E5248" s="657"/>
      <c r="F5248" s="656"/>
      <c r="G5248" s="656" t="s">
        <v>4362</v>
      </c>
      <c r="H5248" s="656"/>
      <c r="I5248" s="656"/>
      <c r="J5248" s="656"/>
      <c r="K5248" s="656"/>
      <c r="L5248" s="656"/>
      <c r="M5248" s="657"/>
      <c r="N5248" s="1482"/>
      <c r="O5248" s="656" t="s">
        <v>498</v>
      </c>
      <c r="P5248" s="656" t="s">
        <v>13052</v>
      </c>
      <c r="Q5248" s="656">
        <v>44216.758090277777</v>
      </c>
    </row>
    <row r="5249" spans="1:17">
      <c r="A5249" s="656" t="s">
        <v>7573</v>
      </c>
      <c r="B5249" s="657" t="s">
        <v>504</v>
      </c>
      <c r="C5249" s="656" t="s">
        <v>7574</v>
      </c>
      <c r="D5249" s="657"/>
      <c r="E5249" s="657"/>
      <c r="F5249" s="656"/>
      <c r="G5249" s="656" t="s">
        <v>5045</v>
      </c>
      <c r="H5249" s="656"/>
      <c r="I5249" s="656"/>
      <c r="J5249" s="656"/>
      <c r="K5249" s="656"/>
      <c r="L5249" s="656"/>
      <c r="M5249" s="657"/>
      <c r="N5249" s="1482"/>
      <c r="O5249" s="656" t="s">
        <v>498</v>
      </c>
      <c r="P5249" s="656" t="s">
        <v>13052</v>
      </c>
      <c r="Q5249" s="656">
        <v>44216.7580787037</v>
      </c>
    </row>
    <row r="5250" spans="1:17">
      <c r="A5250" s="656" t="s">
        <v>7575</v>
      </c>
      <c r="B5250" s="657"/>
      <c r="C5250" s="656" t="s">
        <v>7576</v>
      </c>
      <c r="D5250" s="657" t="s">
        <v>13789</v>
      </c>
      <c r="E5250" s="657"/>
      <c r="F5250" s="656"/>
      <c r="G5250" s="656" t="s">
        <v>5045</v>
      </c>
      <c r="H5250" s="656"/>
      <c r="I5250" s="656" t="s">
        <v>14976</v>
      </c>
      <c r="J5250" s="656"/>
      <c r="K5250" s="656"/>
      <c r="L5250" s="656"/>
      <c r="M5250" s="657"/>
      <c r="N5250" s="1482"/>
      <c r="O5250" s="656" t="s">
        <v>498</v>
      </c>
      <c r="P5250" s="656" t="s">
        <v>13052</v>
      </c>
      <c r="Q5250" s="656">
        <v>44216.7580787037</v>
      </c>
    </row>
    <row r="5251" spans="1:17">
      <c r="A5251" s="656" t="s">
        <v>7577</v>
      </c>
      <c r="B5251" s="657" t="s">
        <v>504</v>
      </c>
      <c r="C5251" s="656" t="s">
        <v>7578</v>
      </c>
      <c r="D5251" s="657"/>
      <c r="E5251" s="657"/>
      <c r="F5251" s="656" t="s">
        <v>505</v>
      </c>
      <c r="G5251" s="656" t="s">
        <v>4394</v>
      </c>
      <c r="H5251" s="656" t="s">
        <v>505</v>
      </c>
      <c r="I5251" s="656"/>
      <c r="J5251" s="656"/>
      <c r="K5251" s="656"/>
      <c r="L5251" s="656"/>
      <c r="M5251" s="657"/>
      <c r="N5251" s="1482"/>
      <c r="O5251" s="656" t="s">
        <v>498</v>
      </c>
      <c r="P5251" s="656" t="s">
        <v>13052</v>
      </c>
      <c r="Q5251" s="656">
        <v>44216.758067129631</v>
      </c>
    </row>
    <row r="5252" spans="1:17">
      <c r="A5252" s="656" t="s">
        <v>7579</v>
      </c>
      <c r="B5252" s="657" t="s">
        <v>504</v>
      </c>
      <c r="C5252" s="656" t="s">
        <v>7578</v>
      </c>
      <c r="D5252" s="657"/>
      <c r="E5252" s="657"/>
      <c r="F5252" s="656" t="s">
        <v>505</v>
      </c>
      <c r="G5252" s="656" t="s">
        <v>4394</v>
      </c>
      <c r="H5252" s="656" t="s">
        <v>505</v>
      </c>
      <c r="I5252" s="656"/>
      <c r="J5252" s="656"/>
      <c r="K5252" s="656"/>
      <c r="L5252" s="656"/>
      <c r="M5252" s="657"/>
      <c r="N5252" s="1482"/>
      <c r="O5252" s="656" t="s">
        <v>498</v>
      </c>
      <c r="P5252" s="656" t="s">
        <v>13052</v>
      </c>
      <c r="Q5252" s="656">
        <v>44216.758067129631</v>
      </c>
    </row>
    <row r="5253" spans="1:17">
      <c r="A5253" s="656" t="s">
        <v>7580</v>
      </c>
      <c r="B5253" s="657" t="s">
        <v>504</v>
      </c>
      <c r="C5253" s="656" t="s">
        <v>7581</v>
      </c>
      <c r="D5253" s="657"/>
      <c r="E5253" s="657"/>
      <c r="F5253" s="656"/>
      <c r="G5253" s="656" t="s">
        <v>5103</v>
      </c>
      <c r="H5253" s="656"/>
      <c r="I5253" s="656"/>
      <c r="J5253" s="656"/>
      <c r="K5253" s="656"/>
      <c r="L5253" s="656"/>
      <c r="M5253" s="657"/>
      <c r="N5253" s="1482"/>
      <c r="O5253" s="656" t="s">
        <v>498</v>
      </c>
      <c r="P5253" s="656" t="s">
        <v>13052</v>
      </c>
      <c r="Q5253" s="656">
        <v>44216.758055555554</v>
      </c>
    </row>
    <row r="5254" spans="1:17">
      <c r="A5254" s="656" t="s">
        <v>7582</v>
      </c>
      <c r="B5254" s="657" t="s">
        <v>504</v>
      </c>
      <c r="C5254" s="656" t="s">
        <v>7583</v>
      </c>
      <c r="D5254" s="657"/>
      <c r="E5254" s="657"/>
      <c r="F5254" s="656"/>
      <c r="G5254" s="656" t="s">
        <v>5103</v>
      </c>
      <c r="H5254" s="656"/>
      <c r="I5254" s="656"/>
      <c r="J5254" s="656"/>
      <c r="K5254" s="656"/>
      <c r="L5254" s="656"/>
      <c r="M5254" s="657"/>
      <c r="N5254" s="1482"/>
      <c r="O5254" s="656" t="s">
        <v>498</v>
      </c>
      <c r="P5254" s="656" t="s">
        <v>13052</v>
      </c>
      <c r="Q5254" s="656">
        <v>44216.758055555554</v>
      </c>
    </row>
    <row r="5255" spans="1:17">
      <c r="A5255" s="656" t="s">
        <v>7584</v>
      </c>
      <c r="B5255" s="657" t="s">
        <v>504</v>
      </c>
      <c r="C5255" s="656" t="s">
        <v>7585</v>
      </c>
      <c r="D5255" s="657"/>
      <c r="E5255" s="657"/>
      <c r="F5255" s="656"/>
      <c r="G5255" s="656" t="s">
        <v>5661</v>
      </c>
      <c r="H5255" s="656"/>
      <c r="I5255" s="656"/>
      <c r="J5255" s="656"/>
      <c r="K5255" s="656"/>
      <c r="L5255" s="656"/>
      <c r="M5255" s="657"/>
      <c r="N5255" s="1482"/>
      <c r="O5255" s="656" t="s">
        <v>498</v>
      </c>
      <c r="P5255" s="656" t="s">
        <v>13052</v>
      </c>
      <c r="Q5255" s="656">
        <v>44216.758043981485</v>
      </c>
    </row>
    <row r="5256" spans="1:17">
      <c r="A5256" s="656" t="s">
        <v>10478</v>
      </c>
      <c r="B5256" s="657" t="s">
        <v>202</v>
      </c>
      <c r="C5256" s="656" t="s">
        <v>14053</v>
      </c>
      <c r="D5256" s="657" t="s">
        <v>1239</v>
      </c>
      <c r="E5256" s="657"/>
      <c r="F5256" s="656"/>
      <c r="G5256" s="656" t="s">
        <v>5661</v>
      </c>
      <c r="H5256" s="656"/>
      <c r="I5256" s="656" t="s">
        <v>14976</v>
      </c>
      <c r="J5256" s="656"/>
      <c r="K5256" s="656"/>
      <c r="L5256" s="656"/>
      <c r="M5256" s="657"/>
      <c r="N5256" s="1482"/>
      <c r="O5256" s="656" t="s">
        <v>498</v>
      </c>
      <c r="P5256" s="656" t="s">
        <v>13052</v>
      </c>
      <c r="Q5256" s="656">
        <v>44216.758032407408</v>
      </c>
    </row>
    <row r="5257" spans="1:17">
      <c r="A5257" s="656" t="s">
        <v>14047</v>
      </c>
      <c r="B5257" s="657" t="s">
        <v>202</v>
      </c>
      <c r="C5257" s="656" t="s">
        <v>14048</v>
      </c>
      <c r="D5257" s="657" t="s">
        <v>13789</v>
      </c>
      <c r="E5257" s="657"/>
      <c r="F5257" s="656"/>
      <c r="G5257" s="656" t="s">
        <v>5661</v>
      </c>
      <c r="H5257" s="656"/>
      <c r="I5257" s="656" t="s">
        <v>14976</v>
      </c>
      <c r="J5257" s="656"/>
      <c r="K5257" s="656"/>
      <c r="L5257" s="656"/>
      <c r="M5257" s="657"/>
      <c r="N5257" s="1482"/>
      <c r="O5257" s="656" t="s">
        <v>498</v>
      </c>
      <c r="P5257" s="656" t="s">
        <v>13052</v>
      </c>
      <c r="Q5257" s="656">
        <v>44216.758032407408</v>
      </c>
    </row>
    <row r="5258" spans="1:17">
      <c r="A5258" s="656" t="s">
        <v>14045</v>
      </c>
      <c r="B5258" s="657" t="s">
        <v>202</v>
      </c>
      <c r="C5258" s="656" t="s">
        <v>14046</v>
      </c>
      <c r="D5258" s="657" t="s">
        <v>13789</v>
      </c>
      <c r="E5258" s="657"/>
      <c r="F5258" s="656"/>
      <c r="G5258" s="656" t="s">
        <v>5661</v>
      </c>
      <c r="H5258" s="656"/>
      <c r="I5258" s="656" t="s">
        <v>14976</v>
      </c>
      <c r="J5258" s="656"/>
      <c r="K5258" s="656"/>
      <c r="L5258" s="656"/>
      <c r="M5258" s="657"/>
      <c r="N5258" s="1482"/>
      <c r="O5258" s="656" t="s">
        <v>498</v>
      </c>
      <c r="P5258" s="656" t="s">
        <v>13052</v>
      </c>
      <c r="Q5258" s="656">
        <v>44216.758020833331</v>
      </c>
    </row>
    <row r="5259" spans="1:17">
      <c r="A5259" s="656" t="s">
        <v>7586</v>
      </c>
      <c r="B5259" s="657" t="s">
        <v>202</v>
      </c>
      <c r="C5259" s="656" t="s">
        <v>7587</v>
      </c>
      <c r="D5259" s="657" t="s">
        <v>1239</v>
      </c>
      <c r="E5259" s="657"/>
      <c r="F5259" s="656" t="s">
        <v>1300</v>
      </c>
      <c r="G5259" s="656"/>
      <c r="H5259" s="656" t="s">
        <v>1300</v>
      </c>
      <c r="I5259" s="656" t="s">
        <v>14976</v>
      </c>
      <c r="J5259" s="656" t="s">
        <v>15285</v>
      </c>
      <c r="K5259" s="656"/>
      <c r="L5259" s="656"/>
      <c r="M5259" s="657"/>
      <c r="N5259" s="1482"/>
      <c r="O5259" s="656" t="s">
        <v>498</v>
      </c>
      <c r="P5259" s="656" t="s">
        <v>13052</v>
      </c>
      <c r="Q5259" s="656">
        <v>44216.758009259262</v>
      </c>
    </row>
    <row r="5260" spans="1:17">
      <c r="A5260" s="656" t="s">
        <v>7588</v>
      </c>
      <c r="B5260" s="657" t="s">
        <v>202</v>
      </c>
      <c r="C5260" s="656" t="s">
        <v>7589</v>
      </c>
      <c r="D5260" s="657" t="s">
        <v>1239</v>
      </c>
      <c r="E5260" s="657"/>
      <c r="F5260" s="656" t="s">
        <v>1300</v>
      </c>
      <c r="G5260" s="656"/>
      <c r="H5260" s="656" t="s">
        <v>1300</v>
      </c>
      <c r="I5260" s="656" t="s">
        <v>14976</v>
      </c>
      <c r="J5260" s="656" t="s">
        <v>15285</v>
      </c>
      <c r="K5260" s="656"/>
      <c r="L5260" s="656"/>
      <c r="M5260" s="657"/>
      <c r="N5260" s="1482"/>
      <c r="O5260" s="656" t="s">
        <v>498</v>
      </c>
      <c r="P5260" s="656" t="s">
        <v>13052</v>
      </c>
      <c r="Q5260" s="656">
        <v>44216.757997685185</v>
      </c>
    </row>
    <row r="5261" spans="1:17">
      <c r="A5261" s="656" t="s">
        <v>14041</v>
      </c>
      <c r="B5261" s="657" t="s">
        <v>202</v>
      </c>
      <c r="C5261" s="656" t="s">
        <v>14042</v>
      </c>
      <c r="D5261" s="657" t="s">
        <v>1239</v>
      </c>
      <c r="E5261" s="657"/>
      <c r="F5261" s="656" t="s">
        <v>1300</v>
      </c>
      <c r="G5261" s="656" t="s">
        <v>4198</v>
      </c>
      <c r="H5261" s="656" t="s">
        <v>1300</v>
      </c>
      <c r="I5261" s="656" t="s">
        <v>14976</v>
      </c>
      <c r="J5261" s="656"/>
      <c r="K5261" s="656"/>
      <c r="L5261" s="656"/>
      <c r="M5261" s="657"/>
      <c r="N5261" s="1482"/>
      <c r="O5261" s="656" t="s">
        <v>498</v>
      </c>
      <c r="P5261" s="656" t="s">
        <v>13052</v>
      </c>
      <c r="Q5261" s="656">
        <v>44216.757997685185</v>
      </c>
    </row>
    <row r="5262" spans="1:17">
      <c r="A5262" s="656" t="s">
        <v>14039</v>
      </c>
      <c r="B5262" s="657" t="s">
        <v>202</v>
      </c>
      <c r="C5262" s="656" t="s">
        <v>14040</v>
      </c>
      <c r="D5262" s="657" t="s">
        <v>1239</v>
      </c>
      <c r="E5262" s="657"/>
      <c r="F5262" s="656" t="s">
        <v>1300</v>
      </c>
      <c r="G5262" s="656" t="s">
        <v>4198</v>
      </c>
      <c r="H5262" s="656" t="s">
        <v>1300</v>
      </c>
      <c r="I5262" s="656" t="s">
        <v>14976</v>
      </c>
      <c r="J5262" s="656"/>
      <c r="K5262" s="656"/>
      <c r="L5262" s="656"/>
      <c r="M5262" s="657"/>
      <c r="N5262" s="1482"/>
      <c r="O5262" s="656" t="s">
        <v>498</v>
      </c>
      <c r="P5262" s="656" t="s">
        <v>13052</v>
      </c>
      <c r="Q5262" s="656">
        <v>44216.757986111108</v>
      </c>
    </row>
    <row r="5263" spans="1:17">
      <c r="A5263" s="656" t="s">
        <v>14035</v>
      </c>
      <c r="B5263" s="657" t="s">
        <v>202</v>
      </c>
      <c r="C5263" s="656" t="s">
        <v>14036</v>
      </c>
      <c r="D5263" s="657" t="s">
        <v>13789</v>
      </c>
      <c r="E5263" s="657"/>
      <c r="F5263" s="656" t="s">
        <v>1300</v>
      </c>
      <c r="G5263" s="656" t="s">
        <v>4198</v>
      </c>
      <c r="H5263" s="656" t="s">
        <v>1300</v>
      </c>
      <c r="I5263" s="656" t="s">
        <v>14976</v>
      </c>
      <c r="J5263" s="656"/>
      <c r="K5263" s="656"/>
      <c r="L5263" s="656"/>
      <c r="M5263" s="657"/>
      <c r="N5263" s="1482"/>
      <c r="O5263" s="656" t="s">
        <v>498</v>
      </c>
      <c r="P5263" s="656" t="s">
        <v>13052</v>
      </c>
      <c r="Q5263" s="656">
        <v>44216.757997685185</v>
      </c>
    </row>
    <row r="5264" spans="1:17">
      <c r="A5264" s="656" t="s">
        <v>7590</v>
      </c>
      <c r="B5264" s="657" t="s">
        <v>202</v>
      </c>
      <c r="C5264" s="656" t="s">
        <v>7591</v>
      </c>
      <c r="D5264" s="657" t="s">
        <v>14978</v>
      </c>
      <c r="E5264" s="657"/>
      <c r="F5264" s="656" t="s">
        <v>655</v>
      </c>
      <c r="G5264" s="656"/>
      <c r="H5264" s="656" t="s">
        <v>655</v>
      </c>
      <c r="I5264" s="656" t="s">
        <v>14976</v>
      </c>
      <c r="J5264" s="656" t="s">
        <v>15281</v>
      </c>
      <c r="K5264" s="656"/>
      <c r="L5264" s="656" t="s">
        <v>7592</v>
      </c>
      <c r="M5264" s="657"/>
      <c r="N5264" s="1482"/>
      <c r="O5264" s="656" t="s">
        <v>498</v>
      </c>
      <c r="P5264" s="656" t="s">
        <v>13052</v>
      </c>
      <c r="Q5264" s="656">
        <v>44216.757974537039</v>
      </c>
    </row>
    <row r="5265" spans="1:17">
      <c r="A5265" s="656" t="s">
        <v>7592</v>
      </c>
      <c r="B5265" s="657" t="s">
        <v>202</v>
      </c>
      <c r="C5265" s="656" t="s">
        <v>7593</v>
      </c>
      <c r="D5265" s="657" t="s">
        <v>14977</v>
      </c>
      <c r="E5265" s="657"/>
      <c r="F5265" s="656" t="s">
        <v>655</v>
      </c>
      <c r="G5265" s="656"/>
      <c r="H5265" s="656" t="s">
        <v>655</v>
      </c>
      <c r="I5265" s="656" t="s">
        <v>14976</v>
      </c>
      <c r="J5265" s="656"/>
      <c r="K5265" s="656"/>
      <c r="L5265" s="656" t="s">
        <v>7592</v>
      </c>
      <c r="M5265" s="657"/>
      <c r="N5265" s="1482"/>
      <c r="O5265" s="656" t="s">
        <v>498</v>
      </c>
      <c r="P5265" s="656" t="s">
        <v>13052</v>
      </c>
      <c r="Q5265" s="656">
        <v>44216.757974537039</v>
      </c>
    </row>
    <row r="5266" spans="1:17">
      <c r="A5266" s="656" t="s">
        <v>14032</v>
      </c>
      <c r="B5266" s="657" t="s">
        <v>202</v>
      </c>
      <c r="C5266" s="656" t="s">
        <v>14033</v>
      </c>
      <c r="D5266" s="657" t="s">
        <v>13789</v>
      </c>
      <c r="E5266" s="657"/>
      <c r="F5266" s="656" t="s">
        <v>1300</v>
      </c>
      <c r="G5266" s="656" t="s">
        <v>4198</v>
      </c>
      <c r="H5266" s="656" t="s">
        <v>1300</v>
      </c>
      <c r="I5266" s="656" t="s">
        <v>14976</v>
      </c>
      <c r="J5266" s="656"/>
      <c r="K5266" s="656"/>
      <c r="L5266" s="656"/>
      <c r="M5266" s="657"/>
      <c r="N5266" s="1482"/>
      <c r="O5266" s="656" t="s">
        <v>498</v>
      </c>
      <c r="P5266" s="656" t="s">
        <v>13052</v>
      </c>
      <c r="Q5266" s="656">
        <v>44216.757962962962</v>
      </c>
    </row>
    <row r="5267" spans="1:17">
      <c r="A5267" s="656" t="s">
        <v>14029</v>
      </c>
      <c r="B5267" s="657" t="s">
        <v>202</v>
      </c>
      <c r="C5267" s="656" t="s">
        <v>14027</v>
      </c>
      <c r="D5267" s="657" t="s">
        <v>14978</v>
      </c>
      <c r="E5267" s="657"/>
      <c r="F5267" s="656" t="s">
        <v>1300</v>
      </c>
      <c r="G5267" s="656" t="s">
        <v>4198</v>
      </c>
      <c r="H5267" s="656" t="s">
        <v>1300</v>
      </c>
      <c r="I5267" s="656" t="s">
        <v>14976</v>
      </c>
      <c r="J5267" s="656"/>
      <c r="K5267" s="656"/>
      <c r="L5267" s="656" t="s">
        <v>14026</v>
      </c>
      <c r="M5267" s="657"/>
      <c r="N5267" s="1482"/>
      <c r="O5267" s="656" t="s">
        <v>498</v>
      </c>
      <c r="P5267" s="656" t="s">
        <v>13052</v>
      </c>
      <c r="Q5267" s="656">
        <v>44216.757962962962</v>
      </c>
    </row>
    <row r="5268" spans="1:17">
      <c r="A5268" s="656" t="s">
        <v>14026</v>
      </c>
      <c r="B5268" s="657" t="s">
        <v>202</v>
      </c>
      <c r="C5268" s="656" t="s">
        <v>14027</v>
      </c>
      <c r="D5268" s="657" t="s">
        <v>13789</v>
      </c>
      <c r="E5268" s="657"/>
      <c r="F5268" s="656" t="s">
        <v>1300</v>
      </c>
      <c r="G5268" s="656" t="s">
        <v>4198</v>
      </c>
      <c r="H5268" s="656" t="s">
        <v>1300</v>
      </c>
      <c r="I5268" s="656" t="s">
        <v>14976</v>
      </c>
      <c r="J5268" s="656"/>
      <c r="K5268" s="656"/>
      <c r="L5268" s="656"/>
      <c r="M5268" s="657"/>
      <c r="N5268" s="1482"/>
      <c r="O5268" s="656" t="s">
        <v>498</v>
      </c>
      <c r="P5268" s="656" t="s">
        <v>13052</v>
      </c>
      <c r="Q5268" s="656">
        <v>44216.757951388892</v>
      </c>
    </row>
    <row r="5269" spans="1:17">
      <c r="A5269" s="656" t="s">
        <v>14021</v>
      </c>
      <c r="B5269" s="657" t="s">
        <v>202</v>
      </c>
      <c r="C5269" s="656" t="s">
        <v>14022</v>
      </c>
      <c r="D5269" s="657" t="s">
        <v>13789</v>
      </c>
      <c r="E5269" s="657"/>
      <c r="F5269" s="656" t="s">
        <v>1300</v>
      </c>
      <c r="G5269" s="656" t="s">
        <v>4198</v>
      </c>
      <c r="H5269" s="656" t="s">
        <v>1300</v>
      </c>
      <c r="I5269" s="656" t="s">
        <v>14976</v>
      </c>
      <c r="J5269" s="656"/>
      <c r="K5269" s="656"/>
      <c r="L5269" s="656"/>
      <c r="M5269" s="657"/>
      <c r="N5269" s="1482"/>
      <c r="O5269" s="656" t="s">
        <v>498</v>
      </c>
      <c r="P5269" s="656" t="s">
        <v>13052</v>
      </c>
      <c r="Q5269" s="656">
        <v>44216.757951388892</v>
      </c>
    </row>
    <row r="5270" spans="1:17">
      <c r="A5270" s="656" t="s">
        <v>7594</v>
      </c>
      <c r="B5270" s="657" t="s">
        <v>504</v>
      </c>
      <c r="C5270" s="656" t="s">
        <v>7595</v>
      </c>
      <c r="D5270" s="657"/>
      <c r="E5270" s="657"/>
      <c r="F5270" s="656" t="s">
        <v>3731</v>
      </c>
      <c r="G5270" s="656" t="s">
        <v>5103</v>
      </c>
      <c r="H5270" s="656" t="s">
        <v>3731</v>
      </c>
      <c r="I5270" s="656"/>
      <c r="J5270" s="656"/>
      <c r="K5270" s="656"/>
      <c r="L5270" s="656"/>
      <c r="M5270" s="657"/>
      <c r="N5270" s="1482"/>
      <c r="O5270" s="656" t="s">
        <v>498</v>
      </c>
      <c r="P5270" s="656" t="s">
        <v>13052</v>
      </c>
      <c r="Q5270" s="656">
        <v>44216.757939814815</v>
      </c>
    </row>
    <row r="5271" spans="1:17">
      <c r="A5271" s="656" t="s">
        <v>7596</v>
      </c>
      <c r="B5271" s="657" t="s">
        <v>202</v>
      </c>
      <c r="C5271" s="656" t="s">
        <v>7597</v>
      </c>
      <c r="D5271" s="657" t="s">
        <v>1239</v>
      </c>
      <c r="E5271" s="657"/>
      <c r="F5271" s="656" t="s">
        <v>500</v>
      </c>
      <c r="G5271" s="656" t="s">
        <v>500</v>
      </c>
      <c r="H5271" s="656" t="s">
        <v>500</v>
      </c>
      <c r="I5271" s="656" t="s">
        <v>14976</v>
      </c>
      <c r="J5271" s="656" t="s">
        <v>15282</v>
      </c>
      <c r="K5271" s="656"/>
      <c r="L5271" s="656"/>
      <c r="M5271" s="657"/>
      <c r="N5271" s="1482"/>
      <c r="O5271" s="656" t="s">
        <v>498</v>
      </c>
      <c r="P5271" s="656" t="s">
        <v>13052</v>
      </c>
      <c r="Q5271" s="656">
        <v>44216.757928240739</v>
      </c>
    </row>
    <row r="5272" spans="1:17">
      <c r="A5272" s="656" t="s">
        <v>7598</v>
      </c>
      <c r="B5272" s="657"/>
      <c r="C5272" s="656" t="s">
        <v>7599</v>
      </c>
      <c r="D5272" s="657" t="s">
        <v>14978</v>
      </c>
      <c r="E5272" s="657"/>
      <c r="F5272" s="656"/>
      <c r="G5272" s="656" t="s">
        <v>5045</v>
      </c>
      <c r="H5272" s="656"/>
      <c r="I5272" s="656" t="s">
        <v>14976</v>
      </c>
      <c r="J5272" s="656"/>
      <c r="K5272" s="656"/>
      <c r="L5272" s="656" t="s">
        <v>7601</v>
      </c>
      <c r="M5272" s="657"/>
      <c r="N5272" s="1482"/>
      <c r="O5272" s="656" t="s">
        <v>498</v>
      </c>
      <c r="P5272" s="656" t="s">
        <v>13052</v>
      </c>
      <c r="Q5272" s="656">
        <v>44216.757928240739</v>
      </c>
    </row>
    <row r="5273" spans="1:17">
      <c r="A5273" s="656" t="s">
        <v>7600</v>
      </c>
      <c r="B5273" s="657"/>
      <c r="C5273" s="656" t="s">
        <v>6673</v>
      </c>
      <c r="D5273" s="657" t="s">
        <v>14978</v>
      </c>
      <c r="E5273" s="657"/>
      <c r="F5273" s="656"/>
      <c r="G5273" s="656" t="s">
        <v>5045</v>
      </c>
      <c r="H5273" s="656"/>
      <c r="I5273" s="656" t="s">
        <v>14976</v>
      </c>
      <c r="J5273" s="656"/>
      <c r="K5273" s="656"/>
      <c r="L5273" s="656" t="s">
        <v>7601</v>
      </c>
      <c r="M5273" s="657"/>
      <c r="N5273" s="1482"/>
      <c r="O5273" s="656" t="s">
        <v>498</v>
      </c>
      <c r="P5273" s="656" t="s">
        <v>13052</v>
      </c>
      <c r="Q5273" s="656">
        <v>44216.757928240739</v>
      </c>
    </row>
    <row r="5274" spans="1:17">
      <c r="A5274" s="656" t="s">
        <v>7601</v>
      </c>
      <c r="B5274" s="657"/>
      <c r="C5274" s="656" t="s">
        <v>7602</v>
      </c>
      <c r="D5274" s="657" t="s">
        <v>13789</v>
      </c>
      <c r="E5274" s="657"/>
      <c r="F5274" s="656"/>
      <c r="G5274" s="656" t="s">
        <v>5045</v>
      </c>
      <c r="H5274" s="656"/>
      <c r="I5274" s="656" t="s">
        <v>14976</v>
      </c>
      <c r="J5274" s="656"/>
      <c r="K5274" s="656"/>
      <c r="L5274" s="656"/>
      <c r="M5274" s="657"/>
      <c r="N5274" s="1482"/>
      <c r="O5274" s="656" t="s">
        <v>498</v>
      </c>
      <c r="P5274" s="656" t="s">
        <v>13052</v>
      </c>
      <c r="Q5274" s="656">
        <v>44216.757916666669</v>
      </c>
    </row>
    <row r="5275" spans="1:17">
      <c r="A5275" s="656" t="s">
        <v>7603</v>
      </c>
      <c r="B5275" s="657"/>
      <c r="C5275" s="656" t="s">
        <v>7604</v>
      </c>
      <c r="D5275" s="657" t="s">
        <v>13789</v>
      </c>
      <c r="E5275" s="657"/>
      <c r="F5275" s="656"/>
      <c r="G5275" s="656"/>
      <c r="H5275" s="656"/>
      <c r="I5275" s="656" t="s">
        <v>14976</v>
      </c>
      <c r="J5275" s="656"/>
      <c r="K5275" s="656"/>
      <c r="L5275" s="656"/>
      <c r="M5275" s="657"/>
      <c r="N5275" s="1482"/>
      <c r="O5275" s="656" t="s">
        <v>498</v>
      </c>
      <c r="P5275" s="656" t="s">
        <v>13052</v>
      </c>
      <c r="Q5275" s="656">
        <v>44216.757916666669</v>
      </c>
    </row>
    <row r="5276" spans="1:17">
      <c r="A5276" s="656" t="s">
        <v>14005</v>
      </c>
      <c r="B5276" s="657" t="s">
        <v>202</v>
      </c>
      <c r="C5276" s="656" t="s">
        <v>14006</v>
      </c>
      <c r="D5276" s="657" t="s">
        <v>13789</v>
      </c>
      <c r="E5276" s="657"/>
      <c r="F5276" s="656"/>
      <c r="G5276" s="656" t="s">
        <v>5238</v>
      </c>
      <c r="H5276" s="656"/>
      <c r="I5276" s="656" t="s">
        <v>14976</v>
      </c>
      <c r="J5276" s="656"/>
      <c r="K5276" s="656"/>
      <c r="L5276" s="656"/>
      <c r="M5276" s="657"/>
      <c r="N5276" s="1482"/>
      <c r="O5276" s="656" t="s">
        <v>498</v>
      </c>
      <c r="P5276" s="656" t="s">
        <v>13052</v>
      </c>
      <c r="Q5276" s="656">
        <v>44216.757905092592</v>
      </c>
    </row>
    <row r="5277" spans="1:17">
      <c r="A5277" s="656" t="s">
        <v>14002</v>
      </c>
      <c r="B5277" s="657" t="s">
        <v>202</v>
      </c>
      <c r="C5277" s="656" t="s">
        <v>14003</v>
      </c>
      <c r="D5277" s="657" t="s">
        <v>13789</v>
      </c>
      <c r="E5277" s="657"/>
      <c r="F5277" s="656"/>
      <c r="G5277" s="656" t="s">
        <v>5238</v>
      </c>
      <c r="H5277" s="656"/>
      <c r="I5277" s="656" t="s">
        <v>14976</v>
      </c>
      <c r="J5277" s="656"/>
      <c r="K5277" s="656"/>
      <c r="L5277" s="656"/>
      <c r="M5277" s="657"/>
      <c r="N5277" s="1482"/>
      <c r="O5277" s="656" t="s">
        <v>498</v>
      </c>
      <c r="P5277" s="656" t="s">
        <v>13052</v>
      </c>
      <c r="Q5277" s="656">
        <v>44216.757905092592</v>
      </c>
    </row>
    <row r="5278" spans="1:17">
      <c r="A5278" s="656" t="s">
        <v>7605</v>
      </c>
      <c r="B5278" s="657"/>
      <c r="C5278" s="656" t="s">
        <v>7606</v>
      </c>
      <c r="D5278" s="657" t="s">
        <v>13789</v>
      </c>
      <c r="E5278" s="657"/>
      <c r="F5278" s="656"/>
      <c r="G5278" s="656"/>
      <c r="H5278" s="656"/>
      <c r="I5278" s="656" t="s">
        <v>14976</v>
      </c>
      <c r="J5278" s="656"/>
      <c r="K5278" s="656"/>
      <c r="L5278" s="656"/>
      <c r="M5278" s="657"/>
      <c r="N5278" s="1482"/>
      <c r="O5278" s="656" t="s">
        <v>498</v>
      </c>
      <c r="P5278" s="656" t="s">
        <v>13052</v>
      </c>
      <c r="Q5278" s="656">
        <v>44216.757893518516</v>
      </c>
    </row>
    <row r="5279" spans="1:17">
      <c r="A5279" s="656" t="s">
        <v>7607</v>
      </c>
      <c r="B5279" s="657"/>
      <c r="C5279" s="656" t="s">
        <v>7608</v>
      </c>
      <c r="D5279" s="657" t="s">
        <v>13789</v>
      </c>
      <c r="E5279" s="657"/>
      <c r="F5279" s="656"/>
      <c r="G5279" s="656"/>
      <c r="H5279" s="656"/>
      <c r="I5279" s="656" t="s">
        <v>14976</v>
      </c>
      <c r="J5279" s="656"/>
      <c r="K5279" s="656"/>
      <c r="L5279" s="656"/>
      <c r="M5279" s="657"/>
      <c r="N5279" s="1482"/>
      <c r="O5279" s="656" t="s">
        <v>498</v>
      </c>
      <c r="P5279" s="656" t="s">
        <v>13052</v>
      </c>
      <c r="Q5279" s="656">
        <v>44216.757893518516</v>
      </c>
    </row>
    <row r="5280" spans="1:17">
      <c r="A5280" s="656" t="s">
        <v>7609</v>
      </c>
      <c r="B5280" s="657"/>
      <c r="C5280" s="656" t="s">
        <v>7610</v>
      </c>
      <c r="D5280" s="657" t="s">
        <v>13789</v>
      </c>
      <c r="E5280" s="657"/>
      <c r="F5280" s="656"/>
      <c r="G5280" s="656"/>
      <c r="H5280" s="656"/>
      <c r="I5280" s="656" t="s">
        <v>14976</v>
      </c>
      <c r="J5280" s="656"/>
      <c r="K5280" s="656"/>
      <c r="L5280" s="656"/>
      <c r="M5280" s="657"/>
      <c r="N5280" s="1482"/>
      <c r="O5280" s="656" t="s">
        <v>498</v>
      </c>
      <c r="P5280" s="656" t="s">
        <v>13052</v>
      </c>
      <c r="Q5280" s="656">
        <v>44216.757881944446</v>
      </c>
    </row>
    <row r="5281" spans="1:17">
      <c r="A5281" s="656" t="s">
        <v>7611</v>
      </c>
      <c r="B5281" s="657"/>
      <c r="C5281" s="656" t="s">
        <v>7612</v>
      </c>
      <c r="D5281" s="657" t="s">
        <v>13789</v>
      </c>
      <c r="E5281" s="657"/>
      <c r="F5281" s="656"/>
      <c r="G5281" s="656" t="s">
        <v>5045</v>
      </c>
      <c r="H5281" s="656"/>
      <c r="I5281" s="656" t="s">
        <v>14976</v>
      </c>
      <c r="J5281" s="656"/>
      <c r="K5281" s="656"/>
      <c r="L5281" s="656"/>
      <c r="M5281" s="657"/>
      <c r="N5281" s="1482"/>
      <c r="O5281" s="656" t="s">
        <v>498</v>
      </c>
      <c r="P5281" s="656" t="s">
        <v>13052</v>
      </c>
      <c r="Q5281" s="656">
        <v>44216.757881944446</v>
      </c>
    </row>
    <row r="5282" spans="1:17">
      <c r="A5282" s="656" t="s">
        <v>7613</v>
      </c>
      <c r="B5282" s="657"/>
      <c r="C5282" s="656" t="s">
        <v>7614</v>
      </c>
      <c r="D5282" s="657" t="s">
        <v>13789</v>
      </c>
      <c r="E5282" s="657"/>
      <c r="F5282" s="656"/>
      <c r="G5282" s="656" t="s">
        <v>5045</v>
      </c>
      <c r="H5282" s="656"/>
      <c r="I5282" s="656" t="s">
        <v>14976</v>
      </c>
      <c r="J5282" s="656"/>
      <c r="K5282" s="656"/>
      <c r="L5282" s="656"/>
      <c r="M5282" s="657"/>
      <c r="N5282" s="1482"/>
      <c r="O5282" s="656" t="s">
        <v>498</v>
      </c>
      <c r="P5282" s="656" t="s">
        <v>13052</v>
      </c>
      <c r="Q5282" s="656">
        <v>44216.757870370369</v>
      </c>
    </row>
    <row r="5283" spans="1:17">
      <c r="A5283" s="656" t="s">
        <v>7615</v>
      </c>
      <c r="B5283" s="657"/>
      <c r="C5283" s="656" t="s">
        <v>7616</v>
      </c>
      <c r="D5283" s="657" t="s">
        <v>13789</v>
      </c>
      <c r="E5283" s="657"/>
      <c r="F5283" s="656"/>
      <c r="G5283" s="656" t="s">
        <v>5045</v>
      </c>
      <c r="H5283" s="656"/>
      <c r="I5283" s="656" t="s">
        <v>14976</v>
      </c>
      <c r="J5283" s="656"/>
      <c r="K5283" s="656"/>
      <c r="L5283" s="656"/>
      <c r="M5283" s="657"/>
      <c r="N5283" s="1482"/>
      <c r="O5283" s="656" t="s">
        <v>498</v>
      </c>
      <c r="P5283" s="656" t="s">
        <v>13052</v>
      </c>
      <c r="Q5283" s="656">
        <v>44216.757870370369</v>
      </c>
    </row>
    <row r="5284" spans="1:17">
      <c r="A5284" s="656" t="s">
        <v>7617</v>
      </c>
      <c r="B5284" s="657" t="s">
        <v>202</v>
      </c>
      <c r="C5284" s="656" t="s">
        <v>7618</v>
      </c>
      <c r="D5284" s="657" t="s">
        <v>14977</v>
      </c>
      <c r="E5284" s="657"/>
      <c r="F5284" s="656" t="s">
        <v>655</v>
      </c>
      <c r="G5284" s="656"/>
      <c r="H5284" s="656" t="s">
        <v>655</v>
      </c>
      <c r="I5284" s="656" t="s">
        <v>14976</v>
      </c>
      <c r="J5284" s="656" t="s">
        <v>15281</v>
      </c>
      <c r="K5284" s="656"/>
      <c r="L5284" s="656" t="s">
        <v>7617</v>
      </c>
      <c r="M5284" s="657"/>
      <c r="N5284" s="1482"/>
      <c r="O5284" s="656" t="s">
        <v>498</v>
      </c>
      <c r="P5284" s="656" t="s">
        <v>13052</v>
      </c>
      <c r="Q5284" s="656">
        <v>44216.7578587963</v>
      </c>
    </row>
    <row r="5285" spans="1:17">
      <c r="A5285" s="656" t="s">
        <v>7619</v>
      </c>
      <c r="B5285" s="657"/>
      <c r="C5285" s="656" t="s">
        <v>7620</v>
      </c>
      <c r="D5285" s="657" t="s">
        <v>13789</v>
      </c>
      <c r="E5285" s="657"/>
      <c r="F5285" s="656"/>
      <c r="G5285" s="656" t="s">
        <v>5045</v>
      </c>
      <c r="H5285" s="656"/>
      <c r="I5285" s="656" t="s">
        <v>14976</v>
      </c>
      <c r="J5285" s="656"/>
      <c r="K5285" s="656"/>
      <c r="L5285" s="656"/>
      <c r="M5285" s="657"/>
      <c r="N5285" s="1482"/>
      <c r="O5285" s="656" t="s">
        <v>498</v>
      </c>
      <c r="P5285" s="656" t="s">
        <v>13052</v>
      </c>
      <c r="Q5285" s="656">
        <v>44216.757847222223</v>
      </c>
    </row>
    <row r="5286" spans="1:17">
      <c r="A5286" s="656" t="s">
        <v>7621</v>
      </c>
      <c r="B5286" s="657"/>
      <c r="C5286" s="656" t="s">
        <v>7622</v>
      </c>
      <c r="D5286" s="657" t="s">
        <v>13789</v>
      </c>
      <c r="E5286" s="657"/>
      <c r="F5286" s="656"/>
      <c r="G5286" s="656" t="s">
        <v>5045</v>
      </c>
      <c r="H5286" s="656"/>
      <c r="I5286" s="656" t="s">
        <v>14976</v>
      </c>
      <c r="J5286" s="656"/>
      <c r="K5286" s="656"/>
      <c r="L5286" s="656"/>
      <c r="M5286" s="657"/>
      <c r="N5286" s="1482"/>
      <c r="O5286" s="656" t="s">
        <v>498</v>
      </c>
      <c r="P5286" s="656" t="s">
        <v>13052</v>
      </c>
      <c r="Q5286" s="656">
        <v>44216.757847222223</v>
      </c>
    </row>
    <row r="5287" spans="1:17">
      <c r="A5287" s="656" t="s">
        <v>7623</v>
      </c>
      <c r="B5287" s="657" t="s">
        <v>504</v>
      </c>
      <c r="C5287" s="656" t="s">
        <v>7624</v>
      </c>
      <c r="D5287" s="657"/>
      <c r="E5287" s="657"/>
      <c r="F5287" s="656"/>
      <c r="G5287" s="656" t="s">
        <v>4362</v>
      </c>
      <c r="H5287" s="656"/>
      <c r="I5287" s="656"/>
      <c r="J5287" s="656"/>
      <c r="K5287" s="656"/>
      <c r="L5287" s="656"/>
      <c r="M5287" s="657"/>
      <c r="N5287" s="1482"/>
      <c r="O5287" s="656" t="s">
        <v>498</v>
      </c>
      <c r="P5287" s="656" t="s">
        <v>13052</v>
      </c>
      <c r="Q5287" s="656">
        <v>44216.757835648146</v>
      </c>
    </row>
    <row r="5288" spans="1:17">
      <c r="A5288" s="656" t="s">
        <v>7625</v>
      </c>
      <c r="B5288" s="657"/>
      <c r="C5288" s="656" t="s">
        <v>7626</v>
      </c>
      <c r="D5288" s="657" t="s">
        <v>13789</v>
      </c>
      <c r="E5288" s="657"/>
      <c r="F5288" s="656"/>
      <c r="G5288" s="656" t="s">
        <v>4347</v>
      </c>
      <c r="H5288" s="656"/>
      <c r="I5288" s="656" t="s">
        <v>14976</v>
      </c>
      <c r="J5288" s="656"/>
      <c r="K5288" s="656"/>
      <c r="L5288" s="656"/>
      <c r="M5288" s="657"/>
      <c r="N5288" s="1482"/>
      <c r="O5288" s="656" t="s">
        <v>498</v>
      </c>
      <c r="P5288" s="656" t="s">
        <v>13052</v>
      </c>
      <c r="Q5288" s="656">
        <v>44216.757824074077</v>
      </c>
    </row>
    <row r="5289" spans="1:17">
      <c r="A5289" s="656" t="s">
        <v>7627</v>
      </c>
      <c r="B5289" s="657"/>
      <c r="C5289" s="656" t="s">
        <v>7628</v>
      </c>
      <c r="D5289" s="657" t="s">
        <v>13789</v>
      </c>
      <c r="E5289" s="657"/>
      <c r="F5289" s="656"/>
      <c r="G5289" s="656" t="s">
        <v>4347</v>
      </c>
      <c r="H5289" s="656"/>
      <c r="I5289" s="656" t="s">
        <v>14976</v>
      </c>
      <c r="J5289" s="656"/>
      <c r="K5289" s="656"/>
      <c r="L5289" s="656"/>
      <c r="M5289" s="657"/>
      <c r="N5289" s="1482"/>
      <c r="O5289" s="656" t="s">
        <v>498</v>
      </c>
      <c r="P5289" s="656" t="s">
        <v>13052</v>
      </c>
      <c r="Q5289" s="656">
        <v>44216.757824074077</v>
      </c>
    </row>
    <row r="5290" spans="1:17">
      <c r="A5290" s="656" t="s">
        <v>7629</v>
      </c>
      <c r="B5290" s="657" t="s">
        <v>504</v>
      </c>
      <c r="C5290" s="656" t="s">
        <v>7630</v>
      </c>
      <c r="D5290" s="657"/>
      <c r="E5290" s="657"/>
      <c r="F5290" s="656" t="s">
        <v>505</v>
      </c>
      <c r="G5290" s="656" t="s">
        <v>4394</v>
      </c>
      <c r="H5290" s="656" t="s">
        <v>505</v>
      </c>
      <c r="I5290" s="656"/>
      <c r="J5290" s="656"/>
      <c r="K5290" s="656"/>
      <c r="L5290" s="656"/>
      <c r="M5290" s="657"/>
      <c r="N5290" s="1482"/>
      <c r="O5290" s="656" t="s">
        <v>498</v>
      </c>
      <c r="P5290" s="656" t="s">
        <v>13052</v>
      </c>
      <c r="Q5290" s="656">
        <v>44216.7578125</v>
      </c>
    </row>
    <row r="5291" spans="1:17">
      <c r="A5291" s="656" t="s">
        <v>7631</v>
      </c>
      <c r="B5291" s="657" t="s">
        <v>504</v>
      </c>
      <c r="C5291" s="656" t="s">
        <v>7632</v>
      </c>
      <c r="D5291" s="657"/>
      <c r="E5291" s="657"/>
      <c r="F5291" s="656" t="s">
        <v>505</v>
      </c>
      <c r="G5291" s="656" t="s">
        <v>4394</v>
      </c>
      <c r="H5291" s="656" t="s">
        <v>505</v>
      </c>
      <c r="I5291" s="656"/>
      <c r="J5291" s="656"/>
      <c r="K5291" s="656"/>
      <c r="L5291" s="656"/>
      <c r="M5291" s="657"/>
      <c r="N5291" s="1482"/>
      <c r="O5291" s="656" t="s">
        <v>498</v>
      </c>
      <c r="P5291" s="656" t="s">
        <v>13052</v>
      </c>
      <c r="Q5291" s="656">
        <v>44216.7578125</v>
      </c>
    </row>
    <row r="5292" spans="1:17">
      <c r="A5292" s="656" t="s">
        <v>7633</v>
      </c>
      <c r="B5292" s="657" t="s">
        <v>504</v>
      </c>
      <c r="C5292" s="656" t="s">
        <v>7634</v>
      </c>
      <c r="D5292" s="657"/>
      <c r="E5292" s="657"/>
      <c r="F5292" s="656" t="s">
        <v>505</v>
      </c>
      <c r="G5292" s="656" t="s">
        <v>4394</v>
      </c>
      <c r="H5292" s="656" t="s">
        <v>505</v>
      </c>
      <c r="I5292" s="656"/>
      <c r="J5292" s="656"/>
      <c r="K5292" s="656"/>
      <c r="L5292" s="656"/>
      <c r="M5292" s="657"/>
      <c r="N5292" s="1482"/>
      <c r="O5292" s="656" t="s">
        <v>498</v>
      </c>
      <c r="P5292" s="656" t="s">
        <v>13052</v>
      </c>
      <c r="Q5292" s="656">
        <v>44216.7578125</v>
      </c>
    </row>
    <row r="5293" spans="1:17">
      <c r="A5293" s="656" t="s">
        <v>7635</v>
      </c>
      <c r="B5293" s="657" t="s">
        <v>504</v>
      </c>
      <c r="C5293" s="656" t="s">
        <v>7636</v>
      </c>
      <c r="D5293" s="657"/>
      <c r="E5293" s="657"/>
      <c r="F5293" s="656" t="s">
        <v>505</v>
      </c>
      <c r="G5293" s="656" t="s">
        <v>4394</v>
      </c>
      <c r="H5293" s="656" t="s">
        <v>505</v>
      </c>
      <c r="I5293" s="656"/>
      <c r="J5293" s="656"/>
      <c r="K5293" s="656"/>
      <c r="L5293" s="656"/>
      <c r="M5293" s="657"/>
      <c r="N5293" s="1482"/>
      <c r="O5293" s="656" t="s">
        <v>498</v>
      </c>
      <c r="P5293" s="656" t="s">
        <v>13052</v>
      </c>
      <c r="Q5293" s="656">
        <v>44216.757800925923</v>
      </c>
    </row>
    <row r="5294" spans="1:17">
      <c r="A5294" s="656" t="s">
        <v>7637</v>
      </c>
      <c r="B5294" s="657" t="s">
        <v>504</v>
      </c>
      <c r="C5294" s="656" t="s">
        <v>7638</v>
      </c>
      <c r="D5294" s="657"/>
      <c r="E5294" s="657"/>
      <c r="F5294" s="656" t="s">
        <v>505</v>
      </c>
      <c r="G5294" s="656" t="s">
        <v>4394</v>
      </c>
      <c r="H5294" s="656" t="s">
        <v>505</v>
      </c>
      <c r="I5294" s="656"/>
      <c r="J5294" s="656"/>
      <c r="K5294" s="656"/>
      <c r="L5294" s="656"/>
      <c r="M5294" s="657"/>
      <c r="N5294" s="1482"/>
      <c r="O5294" s="656" t="s">
        <v>498</v>
      </c>
      <c r="P5294" s="656" t="s">
        <v>13052</v>
      </c>
      <c r="Q5294" s="656">
        <v>44216.757800925923</v>
      </c>
    </row>
    <row r="5295" spans="1:17">
      <c r="A5295" s="656" t="s">
        <v>7639</v>
      </c>
      <c r="B5295" s="657" t="s">
        <v>504</v>
      </c>
      <c r="C5295" s="656" t="s">
        <v>7640</v>
      </c>
      <c r="D5295" s="657"/>
      <c r="E5295" s="657"/>
      <c r="F5295" s="656" t="s">
        <v>505</v>
      </c>
      <c r="G5295" s="656" t="s">
        <v>4394</v>
      </c>
      <c r="H5295" s="656" t="s">
        <v>505</v>
      </c>
      <c r="I5295" s="656"/>
      <c r="J5295" s="656"/>
      <c r="K5295" s="656"/>
      <c r="L5295" s="656"/>
      <c r="M5295" s="657"/>
      <c r="N5295" s="1482"/>
      <c r="O5295" s="656" t="s">
        <v>498</v>
      </c>
      <c r="P5295" s="656" t="s">
        <v>13052</v>
      </c>
      <c r="Q5295" s="656">
        <v>44216.757789351854</v>
      </c>
    </row>
    <row r="5296" spans="1:17">
      <c r="A5296" s="656" t="s">
        <v>7641</v>
      </c>
      <c r="B5296" s="657" t="s">
        <v>504</v>
      </c>
      <c r="C5296" s="656" t="s">
        <v>7642</v>
      </c>
      <c r="D5296" s="657"/>
      <c r="E5296" s="657"/>
      <c r="F5296" s="656"/>
      <c r="G5296" s="656" t="s">
        <v>4347</v>
      </c>
      <c r="H5296" s="656"/>
      <c r="I5296" s="656"/>
      <c r="J5296" s="656"/>
      <c r="K5296" s="656"/>
      <c r="L5296" s="656"/>
      <c r="M5296" s="657"/>
      <c r="N5296" s="1482"/>
      <c r="O5296" s="656" t="s">
        <v>498</v>
      </c>
      <c r="P5296" s="656" t="s">
        <v>13052</v>
      </c>
      <c r="Q5296" s="656">
        <v>44216.757777777777</v>
      </c>
    </row>
    <row r="5297" spans="1:17">
      <c r="A5297" s="656" t="s">
        <v>7643</v>
      </c>
      <c r="B5297" s="657" t="s">
        <v>504</v>
      </c>
      <c r="C5297" s="656" t="s">
        <v>7644</v>
      </c>
      <c r="D5297" s="657"/>
      <c r="E5297" s="657"/>
      <c r="F5297" s="656"/>
      <c r="G5297" s="656" t="s">
        <v>4347</v>
      </c>
      <c r="H5297" s="656"/>
      <c r="I5297" s="656"/>
      <c r="J5297" s="656"/>
      <c r="K5297" s="656"/>
      <c r="L5297" s="656"/>
      <c r="M5297" s="657"/>
      <c r="N5297" s="1482"/>
      <c r="O5297" s="656" t="s">
        <v>498</v>
      </c>
      <c r="P5297" s="656" t="s">
        <v>13052</v>
      </c>
      <c r="Q5297" s="656">
        <v>44216.757777777777</v>
      </c>
    </row>
    <row r="5298" spans="1:17">
      <c r="A5298" s="656" t="s">
        <v>7645</v>
      </c>
      <c r="B5298" s="657" t="s">
        <v>504</v>
      </c>
      <c r="C5298" s="656" t="s">
        <v>7646</v>
      </c>
      <c r="D5298" s="657"/>
      <c r="E5298" s="657"/>
      <c r="F5298" s="656"/>
      <c r="G5298" s="656" t="s">
        <v>4347</v>
      </c>
      <c r="H5298" s="656"/>
      <c r="I5298" s="656"/>
      <c r="J5298" s="656"/>
      <c r="K5298" s="656"/>
      <c r="L5298" s="656"/>
      <c r="M5298" s="657"/>
      <c r="N5298" s="1482"/>
      <c r="O5298" s="656" t="s">
        <v>498</v>
      </c>
      <c r="P5298" s="656" t="s">
        <v>13052</v>
      </c>
      <c r="Q5298" s="656">
        <v>44216.7577662037</v>
      </c>
    </row>
    <row r="5299" spans="1:17">
      <c r="A5299" s="656" t="s">
        <v>7647</v>
      </c>
      <c r="B5299" s="657" t="s">
        <v>504</v>
      </c>
      <c r="C5299" s="656" t="s">
        <v>7648</v>
      </c>
      <c r="D5299" s="657"/>
      <c r="E5299" s="657"/>
      <c r="F5299" s="656"/>
      <c r="G5299" s="656" t="s">
        <v>4347</v>
      </c>
      <c r="H5299" s="656"/>
      <c r="I5299" s="656"/>
      <c r="J5299" s="656"/>
      <c r="K5299" s="656"/>
      <c r="L5299" s="656"/>
      <c r="M5299" s="657"/>
      <c r="N5299" s="1482"/>
      <c r="O5299" s="656" t="s">
        <v>498</v>
      </c>
      <c r="P5299" s="656" t="s">
        <v>13052</v>
      </c>
      <c r="Q5299" s="656">
        <v>44216.7577662037</v>
      </c>
    </row>
    <row r="5300" spans="1:17">
      <c r="A5300" s="656" t="s">
        <v>7649</v>
      </c>
      <c r="B5300" s="657" t="s">
        <v>504</v>
      </c>
      <c r="C5300" s="656" t="s">
        <v>7650</v>
      </c>
      <c r="D5300" s="657"/>
      <c r="E5300" s="657"/>
      <c r="F5300" s="656"/>
      <c r="G5300" s="656" t="s">
        <v>4347</v>
      </c>
      <c r="H5300" s="656"/>
      <c r="I5300" s="656"/>
      <c r="J5300" s="656"/>
      <c r="K5300" s="656"/>
      <c r="L5300" s="656"/>
      <c r="M5300" s="657"/>
      <c r="N5300" s="1482"/>
      <c r="O5300" s="656" t="s">
        <v>498</v>
      </c>
      <c r="P5300" s="656" t="s">
        <v>13052</v>
      </c>
      <c r="Q5300" s="656">
        <v>44216.7577662037</v>
      </c>
    </row>
    <row r="5301" spans="1:17">
      <c r="A5301" s="656" t="s">
        <v>7651</v>
      </c>
      <c r="B5301" s="657" t="s">
        <v>504</v>
      </c>
      <c r="C5301" s="656" t="s">
        <v>7652</v>
      </c>
      <c r="D5301" s="657"/>
      <c r="E5301" s="657"/>
      <c r="F5301" s="656"/>
      <c r="G5301" s="656" t="s">
        <v>4347</v>
      </c>
      <c r="H5301" s="656"/>
      <c r="I5301" s="656"/>
      <c r="J5301" s="656"/>
      <c r="K5301" s="656"/>
      <c r="L5301" s="656"/>
      <c r="M5301" s="657"/>
      <c r="N5301" s="1482"/>
      <c r="O5301" s="656" t="s">
        <v>498</v>
      </c>
      <c r="P5301" s="656" t="s">
        <v>13052</v>
      </c>
      <c r="Q5301" s="656">
        <v>44216.757754629631</v>
      </c>
    </row>
    <row r="5302" spans="1:17">
      <c r="A5302" s="656" t="s">
        <v>7653</v>
      </c>
      <c r="B5302" s="657" t="s">
        <v>504</v>
      </c>
      <c r="C5302" s="656" t="s">
        <v>7654</v>
      </c>
      <c r="D5302" s="657"/>
      <c r="E5302" s="657"/>
      <c r="F5302" s="656"/>
      <c r="G5302" s="656" t="s">
        <v>4347</v>
      </c>
      <c r="H5302" s="656"/>
      <c r="I5302" s="656"/>
      <c r="J5302" s="656"/>
      <c r="K5302" s="656"/>
      <c r="L5302" s="656"/>
      <c r="M5302" s="657"/>
      <c r="N5302" s="1482"/>
      <c r="O5302" s="656" t="s">
        <v>498</v>
      </c>
      <c r="P5302" s="656" t="s">
        <v>13052</v>
      </c>
      <c r="Q5302" s="656">
        <v>44216.757743055554</v>
      </c>
    </row>
    <row r="5303" spans="1:17">
      <c r="A5303" s="656" t="s">
        <v>7655</v>
      </c>
      <c r="B5303" s="657" t="s">
        <v>504</v>
      </c>
      <c r="C5303" s="656" t="s">
        <v>7656</v>
      </c>
      <c r="D5303" s="657"/>
      <c r="E5303" s="657"/>
      <c r="F5303" s="656"/>
      <c r="G5303" s="656" t="s">
        <v>4347</v>
      </c>
      <c r="H5303" s="656"/>
      <c r="I5303" s="656"/>
      <c r="J5303" s="656"/>
      <c r="K5303" s="656"/>
      <c r="L5303" s="656"/>
      <c r="M5303" s="657"/>
      <c r="N5303" s="1482"/>
      <c r="O5303" s="656" t="s">
        <v>498</v>
      </c>
      <c r="P5303" s="656" t="s">
        <v>13052</v>
      </c>
      <c r="Q5303" s="656">
        <v>44216.757743055554</v>
      </c>
    </row>
    <row r="5304" spans="1:17">
      <c r="A5304" s="656" t="s">
        <v>7657</v>
      </c>
      <c r="B5304" s="657" t="s">
        <v>504</v>
      </c>
      <c r="C5304" s="656" t="s">
        <v>7658</v>
      </c>
      <c r="D5304" s="657"/>
      <c r="E5304" s="657"/>
      <c r="F5304" s="656"/>
      <c r="G5304" s="656" t="s">
        <v>4347</v>
      </c>
      <c r="H5304" s="656"/>
      <c r="I5304" s="656"/>
      <c r="J5304" s="656"/>
      <c r="K5304" s="656"/>
      <c r="L5304" s="656"/>
      <c r="M5304" s="657"/>
      <c r="N5304" s="1482"/>
      <c r="O5304" s="656" t="s">
        <v>498</v>
      </c>
      <c r="P5304" s="656" t="s">
        <v>13052</v>
      </c>
      <c r="Q5304" s="656">
        <v>44216.757731481484</v>
      </c>
    </row>
    <row r="5305" spans="1:17">
      <c r="A5305" s="656" t="s">
        <v>7659</v>
      </c>
      <c r="B5305" s="657" t="s">
        <v>504</v>
      </c>
      <c r="C5305" s="656" t="s">
        <v>7660</v>
      </c>
      <c r="D5305" s="657"/>
      <c r="E5305" s="657"/>
      <c r="F5305" s="656"/>
      <c r="G5305" s="656" t="s">
        <v>4347</v>
      </c>
      <c r="H5305" s="656"/>
      <c r="I5305" s="656"/>
      <c r="J5305" s="656"/>
      <c r="K5305" s="656"/>
      <c r="L5305" s="656"/>
      <c r="M5305" s="657"/>
      <c r="N5305" s="1482"/>
      <c r="O5305" s="656" t="s">
        <v>498</v>
      </c>
      <c r="P5305" s="656" t="s">
        <v>13052</v>
      </c>
      <c r="Q5305" s="656">
        <v>44216.757731481484</v>
      </c>
    </row>
    <row r="5306" spans="1:17">
      <c r="A5306" s="656" t="s">
        <v>7661</v>
      </c>
      <c r="B5306" s="657" t="s">
        <v>504</v>
      </c>
      <c r="C5306" s="656" t="s">
        <v>7662</v>
      </c>
      <c r="D5306" s="657"/>
      <c r="E5306" s="657"/>
      <c r="F5306" s="656"/>
      <c r="G5306" s="656" t="s">
        <v>4347</v>
      </c>
      <c r="H5306" s="656"/>
      <c r="I5306" s="656"/>
      <c r="J5306" s="656"/>
      <c r="K5306" s="656"/>
      <c r="L5306" s="656"/>
      <c r="M5306" s="657"/>
      <c r="N5306" s="1482"/>
      <c r="O5306" s="656" t="s">
        <v>498</v>
      </c>
      <c r="P5306" s="656" t="s">
        <v>13052</v>
      </c>
      <c r="Q5306" s="656">
        <v>44216.757719907408</v>
      </c>
    </row>
    <row r="5307" spans="1:17">
      <c r="A5307" s="656" t="s">
        <v>7663</v>
      </c>
      <c r="B5307" s="657" t="s">
        <v>504</v>
      </c>
      <c r="C5307" s="656" t="s">
        <v>7664</v>
      </c>
      <c r="D5307" s="657"/>
      <c r="E5307" s="657"/>
      <c r="F5307" s="656"/>
      <c r="G5307" s="656" t="s">
        <v>4347</v>
      </c>
      <c r="H5307" s="656"/>
      <c r="I5307" s="656"/>
      <c r="J5307" s="656"/>
      <c r="K5307" s="656"/>
      <c r="L5307" s="656"/>
      <c r="M5307" s="657"/>
      <c r="N5307" s="1482"/>
      <c r="O5307" s="656" t="s">
        <v>498</v>
      </c>
      <c r="P5307" s="656" t="s">
        <v>13052</v>
      </c>
      <c r="Q5307" s="656">
        <v>44216.757719907408</v>
      </c>
    </row>
    <row r="5308" spans="1:17">
      <c r="A5308" s="656" t="s">
        <v>7665</v>
      </c>
      <c r="B5308" s="657" t="s">
        <v>504</v>
      </c>
      <c r="C5308" s="656" t="s">
        <v>7666</v>
      </c>
      <c r="D5308" s="657"/>
      <c r="E5308" s="657"/>
      <c r="F5308" s="656"/>
      <c r="G5308" s="656" t="s">
        <v>4347</v>
      </c>
      <c r="H5308" s="656"/>
      <c r="I5308" s="656"/>
      <c r="J5308" s="656"/>
      <c r="K5308" s="656"/>
      <c r="L5308" s="656"/>
      <c r="M5308" s="657"/>
      <c r="N5308" s="1482"/>
      <c r="O5308" s="656" t="s">
        <v>498</v>
      </c>
      <c r="P5308" s="656" t="s">
        <v>13052</v>
      </c>
      <c r="Q5308" s="656">
        <v>44216.757708333331</v>
      </c>
    </row>
    <row r="5309" spans="1:17">
      <c r="A5309" s="656" t="s">
        <v>7667</v>
      </c>
      <c r="B5309" s="657" t="s">
        <v>504</v>
      </c>
      <c r="C5309" s="656" t="s">
        <v>7668</v>
      </c>
      <c r="D5309" s="657"/>
      <c r="E5309" s="657"/>
      <c r="F5309" s="656"/>
      <c r="G5309" s="656" t="s">
        <v>4347</v>
      </c>
      <c r="H5309" s="656"/>
      <c r="I5309" s="656"/>
      <c r="J5309" s="656"/>
      <c r="K5309" s="656"/>
      <c r="L5309" s="656"/>
      <c r="M5309" s="657"/>
      <c r="N5309" s="1482"/>
      <c r="O5309" s="656" t="s">
        <v>498</v>
      </c>
      <c r="P5309" s="656" t="s">
        <v>13052</v>
      </c>
      <c r="Q5309" s="656">
        <v>44216.757708333331</v>
      </c>
    </row>
    <row r="5310" spans="1:17">
      <c r="A5310" s="656" t="s">
        <v>7669</v>
      </c>
      <c r="B5310" s="657" t="s">
        <v>504</v>
      </c>
      <c r="C5310" s="656" t="s">
        <v>7670</v>
      </c>
      <c r="D5310" s="657"/>
      <c r="E5310" s="657"/>
      <c r="F5310" s="656"/>
      <c r="G5310" s="656" t="s">
        <v>4347</v>
      </c>
      <c r="H5310" s="656"/>
      <c r="I5310" s="656"/>
      <c r="J5310" s="656"/>
      <c r="K5310" s="656"/>
      <c r="L5310" s="656"/>
      <c r="M5310" s="657"/>
      <c r="N5310" s="1482"/>
      <c r="O5310" s="656" t="s">
        <v>498</v>
      </c>
      <c r="P5310" s="656" t="s">
        <v>13052</v>
      </c>
      <c r="Q5310" s="656">
        <v>44216.757696759261</v>
      </c>
    </row>
    <row r="5311" spans="1:17">
      <c r="A5311" s="656" t="s">
        <v>7671</v>
      </c>
      <c r="B5311" s="657" t="s">
        <v>504</v>
      </c>
      <c r="C5311" s="656" t="s">
        <v>7672</v>
      </c>
      <c r="D5311" s="657"/>
      <c r="E5311" s="657"/>
      <c r="F5311" s="656"/>
      <c r="G5311" s="656" t="s">
        <v>4347</v>
      </c>
      <c r="H5311" s="656"/>
      <c r="I5311" s="656"/>
      <c r="J5311" s="656"/>
      <c r="K5311" s="656"/>
      <c r="L5311" s="656"/>
      <c r="M5311" s="657"/>
      <c r="N5311" s="1482"/>
      <c r="O5311" s="656" t="s">
        <v>498</v>
      </c>
      <c r="P5311" s="656" t="s">
        <v>13052</v>
      </c>
      <c r="Q5311" s="656">
        <v>44216.757696759261</v>
      </c>
    </row>
    <row r="5312" spans="1:17">
      <c r="A5312" s="656" t="s">
        <v>7673</v>
      </c>
      <c r="B5312" s="657" t="s">
        <v>504</v>
      </c>
      <c r="C5312" s="656" t="s">
        <v>7674</v>
      </c>
      <c r="D5312" s="657"/>
      <c r="E5312" s="657"/>
      <c r="F5312" s="656"/>
      <c r="G5312" s="656" t="s">
        <v>4347</v>
      </c>
      <c r="H5312" s="656"/>
      <c r="I5312" s="656"/>
      <c r="J5312" s="656"/>
      <c r="K5312" s="656"/>
      <c r="L5312" s="656"/>
      <c r="M5312" s="657"/>
      <c r="N5312" s="1482"/>
      <c r="O5312" s="656" t="s">
        <v>498</v>
      </c>
      <c r="P5312" s="656" t="s">
        <v>13052</v>
      </c>
      <c r="Q5312" s="656">
        <v>44216.757685185185</v>
      </c>
    </row>
    <row r="5313" spans="1:17">
      <c r="A5313" s="656" t="s">
        <v>7675</v>
      </c>
      <c r="B5313" s="657" t="s">
        <v>504</v>
      </c>
      <c r="C5313" s="656" t="s">
        <v>7676</v>
      </c>
      <c r="D5313" s="657"/>
      <c r="E5313" s="657"/>
      <c r="F5313" s="656"/>
      <c r="G5313" s="656" t="s">
        <v>4347</v>
      </c>
      <c r="H5313" s="656"/>
      <c r="I5313" s="656"/>
      <c r="J5313" s="656"/>
      <c r="K5313" s="656"/>
      <c r="L5313" s="656"/>
      <c r="M5313" s="657"/>
      <c r="N5313" s="1482"/>
      <c r="O5313" s="656" t="s">
        <v>498</v>
      </c>
      <c r="P5313" s="656" t="s">
        <v>13052</v>
      </c>
      <c r="Q5313" s="656">
        <v>44216.757685185185</v>
      </c>
    </row>
    <row r="5314" spans="1:17">
      <c r="A5314" s="656" t="s">
        <v>7677</v>
      </c>
      <c r="B5314" s="657" t="s">
        <v>504</v>
      </c>
      <c r="C5314" s="656" t="s">
        <v>7678</v>
      </c>
      <c r="D5314" s="657"/>
      <c r="E5314" s="657"/>
      <c r="F5314" s="656"/>
      <c r="G5314" s="656" t="s">
        <v>4347</v>
      </c>
      <c r="H5314" s="656"/>
      <c r="I5314" s="656"/>
      <c r="J5314" s="656"/>
      <c r="K5314" s="656"/>
      <c r="L5314" s="656"/>
      <c r="M5314" s="657"/>
      <c r="N5314" s="1482"/>
      <c r="O5314" s="656" t="s">
        <v>498</v>
      </c>
      <c r="P5314" s="656" t="s">
        <v>13052</v>
      </c>
      <c r="Q5314" s="656">
        <v>44216.757673611108</v>
      </c>
    </row>
    <row r="5315" spans="1:17">
      <c r="A5315" s="656" t="s">
        <v>7679</v>
      </c>
      <c r="B5315" s="657" t="s">
        <v>504</v>
      </c>
      <c r="C5315" s="656" t="s">
        <v>7680</v>
      </c>
      <c r="D5315" s="657"/>
      <c r="E5315" s="657"/>
      <c r="F5315" s="656"/>
      <c r="G5315" s="656" t="s">
        <v>4347</v>
      </c>
      <c r="H5315" s="656"/>
      <c r="I5315" s="656"/>
      <c r="J5315" s="656"/>
      <c r="K5315" s="656"/>
      <c r="L5315" s="656"/>
      <c r="M5315" s="657"/>
      <c r="N5315" s="1482"/>
      <c r="O5315" s="656" t="s">
        <v>498</v>
      </c>
      <c r="P5315" s="656" t="s">
        <v>13052</v>
      </c>
      <c r="Q5315" s="656">
        <v>44216.757673611108</v>
      </c>
    </row>
    <row r="5316" spans="1:17">
      <c r="A5316" s="656" t="s">
        <v>7681</v>
      </c>
      <c r="B5316" s="657" t="s">
        <v>504</v>
      </c>
      <c r="C5316" s="656" t="s">
        <v>7682</v>
      </c>
      <c r="D5316" s="657"/>
      <c r="E5316" s="657"/>
      <c r="F5316" s="656"/>
      <c r="G5316" s="656" t="s">
        <v>4347</v>
      </c>
      <c r="H5316" s="656"/>
      <c r="I5316" s="656"/>
      <c r="J5316" s="656"/>
      <c r="K5316" s="656"/>
      <c r="L5316" s="656"/>
      <c r="M5316" s="657"/>
      <c r="N5316" s="1482"/>
      <c r="O5316" s="656" t="s">
        <v>498</v>
      </c>
      <c r="P5316" s="656" t="s">
        <v>13052</v>
      </c>
      <c r="Q5316" s="656">
        <v>44216.757662037038</v>
      </c>
    </row>
    <row r="5317" spans="1:17">
      <c r="A5317" s="656" t="s">
        <v>7683</v>
      </c>
      <c r="B5317" s="657" t="s">
        <v>504</v>
      </c>
      <c r="C5317" s="656" t="s">
        <v>7684</v>
      </c>
      <c r="D5317" s="657"/>
      <c r="E5317" s="657"/>
      <c r="F5317" s="656"/>
      <c r="G5317" s="656" t="s">
        <v>4347</v>
      </c>
      <c r="H5317" s="656"/>
      <c r="I5317" s="656"/>
      <c r="J5317" s="656"/>
      <c r="K5317" s="656"/>
      <c r="L5317" s="656"/>
      <c r="M5317" s="657"/>
      <c r="N5317" s="1482"/>
      <c r="O5317" s="656" t="s">
        <v>498</v>
      </c>
      <c r="P5317" s="656" t="s">
        <v>13052</v>
      </c>
      <c r="Q5317" s="656">
        <v>44216.757650462961</v>
      </c>
    </row>
    <row r="5318" spans="1:17">
      <c r="A5318" s="656" t="s">
        <v>7685</v>
      </c>
      <c r="B5318" s="657" t="s">
        <v>504</v>
      </c>
      <c r="C5318" s="656" t="s">
        <v>7686</v>
      </c>
      <c r="D5318" s="657"/>
      <c r="E5318" s="657"/>
      <c r="F5318" s="656"/>
      <c r="G5318" s="656" t="s">
        <v>4347</v>
      </c>
      <c r="H5318" s="656"/>
      <c r="I5318" s="656"/>
      <c r="J5318" s="656"/>
      <c r="K5318" s="656"/>
      <c r="L5318" s="656"/>
      <c r="M5318" s="657"/>
      <c r="N5318" s="1482"/>
      <c r="O5318" s="656" t="s">
        <v>498</v>
      </c>
      <c r="P5318" s="656" t="s">
        <v>13052</v>
      </c>
      <c r="Q5318" s="656">
        <v>44216.757650462961</v>
      </c>
    </row>
    <row r="5319" spans="1:17">
      <c r="A5319" s="656" t="s">
        <v>7687</v>
      </c>
      <c r="B5319" s="657" t="s">
        <v>504</v>
      </c>
      <c r="C5319" s="656" t="s">
        <v>7688</v>
      </c>
      <c r="D5319" s="657"/>
      <c r="E5319" s="657"/>
      <c r="F5319" s="656"/>
      <c r="G5319" s="656" t="s">
        <v>4347</v>
      </c>
      <c r="H5319" s="656"/>
      <c r="I5319" s="656"/>
      <c r="J5319" s="656"/>
      <c r="K5319" s="656"/>
      <c r="L5319" s="656"/>
      <c r="M5319" s="657"/>
      <c r="N5319" s="1482"/>
      <c r="O5319" s="656" t="s">
        <v>498</v>
      </c>
      <c r="P5319" s="656" t="s">
        <v>13052</v>
      </c>
      <c r="Q5319" s="656">
        <v>44216.757638888892</v>
      </c>
    </row>
    <row r="5320" spans="1:17">
      <c r="A5320" s="656" t="s">
        <v>7689</v>
      </c>
      <c r="B5320" s="657" t="s">
        <v>504</v>
      </c>
      <c r="C5320" s="656" t="s">
        <v>7690</v>
      </c>
      <c r="D5320" s="657"/>
      <c r="E5320" s="657"/>
      <c r="F5320" s="656"/>
      <c r="G5320" s="656" t="s">
        <v>4347</v>
      </c>
      <c r="H5320" s="656"/>
      <c r="I5320" s="656"/>
      <c r="J5320" s="656"/>
      <c r="K5320" s="656"/>
      <c r="L5320" s="656"/>
      <c r="M5320" s="657"/>
      <c r="N5320" s="1482"/>
      <c r="O5320" s="656" t="s">
        <v>498</v>
      </c>
      <c r="P5320" s="656" t="s">
        <v>13052</v>
      </c>
      <c r="Q5320" s="656">
        <v>44216.757638888892</v>
      </c>
    </row>
    <row r="5321" spans="1:17">
      <c r="A5321" s="656" t="s">
        <v>7691</v>
      </c>
      <c r="B5321" s="657" t="s">
        <v>504</v>
      </c>
      <c r="C5321" s="656" t="s">
        <v>7692</v>
      </c>
      <c r="D5321" s="657"/>
      <c r="E5321" s="657"/>
      <c r="F5321" s="656"/>
      <c r="G5321" s="656" t="s">
        <v>4347</v>
      </c>
      <c r="H5321" s="656"/>
      <c r="I5321" s="656"/>
      <c r="J5321" s="656"/>
      <c r="K5321" s="656"/>
      <c r="L5321" s="656"/>
      <c r="M5321" s="657"/>
      <c r="N5321" s="1482"/>
      <c r="O5321" s="656" t="s">
        <v>498</v>
      </c>
      <c r="P5321" s="656" t="s">
        <v>13052</v>
      </c>
      <c r="Q5321" s="656">
        <v>44216.757627314815</v>
      </c>
    </row>
    <row r="5322" spans="1:17">
      <c r="A5322" s="656" t="s">
        <v>7693</v>
      </c>
      <c r="B5322" s="657" t="s">
        <v>504</v>
      </c>
      <c r="C5322" s="656" t="s">
        <v>7694</v>
      </c>
      <c r="D5322" s="657"/>
      <c r="E5322" s="657"/>
      <c r="F5322" s="656"/>
      <c r="G5322" s="656" t="s">
        <v>4347</v>
      </c>
      <c r="H5322" s="656"/>
      <c r="I5322" s="656"/>
      <c r="J5322" s="656"/>
      <c r="K5322" s="656"/>
      <c r="L5322" s="656"/>
      <c r="M5322" s="657"/>
      <c r="N5322" s="1482"/>
      <c r="O5322" s="656" t="s">
        <v>498</v>
      </c>
      <c r="P5322" s="656" t="s">
        <v>13052</v>
      </c>
      <c r="Q5322" s="656">
        <v>44216.757627314815</v>
      </c>
    </row>
    <row r="5323" spans="1:17">
      <c r="A5323" s="656" t="s">
        <v>7695</v>
      </c>
      <c r="B5323" s="657" t="s">
        <v>504</v>
      </c>
      <c r="C5323" s="656" t="s">
        <v>7696</v>
      </c>
      <c r="D5323" s="657"/>
      <c r="E5323" s="657"/>
      <c r="F5323" s="656"/>
      <c r="G5323" s="656" t="s">
        <v>4347</v>
      </c>
      <c r="H5323" s="656"/>
      <c r="I5323" s="656"/>
      <c r="J5323" s="656"/>
      <c r="K5323" s="656"/>
      <c r="L5323" s="656"/>
      <c r="M5323" s="657"/>
      <c r="N5323" s="1482"/>
      <c r="O5323" s="656" t="s">
        <v>498</v>
      </c>
      <c r="P5323" s="656" t="s">
        <v>13052</v>
      </c>
      <c r="Q5323" s="656">
        <v>44216.757615740738</v>
      </c>
    </row>
    <row r="5324" spans="1:17">
      <c r="A5324" s="656" t="s">
        <v>7697</v>
      </c>
      <c r="B5324" s="657" t="s">
        <v>504</v>
      </c>
      <c r="C5324" s="656" t="s">
        <v>7698</v>
      </c>
      <c r="D5324" s="657"/>
      <c r="E5324" s="657"/>
      <c r="F5324" s="656"/>
      <c r="G5324" s="656" t="s">
        <v>4347</v>
      </c>
      <c r="H5324" s="656"/>
      <c r="I5324" s="656"/>
      <c r="J5324" s="656"/>
      <c r="K5324" s="656"/>
      <c r="L5324" s="656"/>
      <c r="M5324" s="657"/>
      <c r="N5324" s="1482"/>
      <c r="O5324" s="656" t="s">
        <v>498</v>
      </c>
      <c r="P5324" s="656" t="s">
        <v>13052</v>
      </c>
      <c r="Q5324" s="656">
        <v>44216.757604166669</v>
      </c>
    </row>
    <row r="5325" spans="1:17">
      <c r="A5325" s="656" t="s">
        <v>7699</v>
      </c>
      <c r="B5325" s="657" t="s">
        <v>504</v>
      </c>
      <c r="C5325" s="656" t="s">
        <v>7700</v>
      </c>
      <c r="D5325" s="657"/>
      <c r="E5325" s="657"/>
      <c r="F5325" s="656"/>
      <c r="G5325" s="656" t="s">
        <v>4347</v>
      </c>
      <c r="H5325" s="656"/>
      <c r="I5325" s="656"/>
      <c r="J5325" s="656"/>
      <c r="K5325" s="656"/>
      <c r="L5325" s="656"/>
      <c r="M5325" s="657"/>
      <c r="N5325" s="1482"/>
      <c r="O5325" s="656" t="s">
        <v>498</v>
      </c>
      <c r="P5325" s="656" t="s">
        <v>13052</v>
      </c>
      <c r="Q5325" s="656">
        <v>44216.757604166669</v>
      </c>
    </row>
    <row r="5326" spans="1:17">
      <c r="A5326" s="656" t="s">
        <v>7701</v>
      </c>
      <c r="B5326" s="657" t="s">
        <v>504</v>
      </c>
      <c r="C5326" s="656" t="s">
        <v>7702</v>
      </c>
      <c r="D5326" s="657"/>
      <c r="E5326" s="657"/>
      <c r="F5326" s="656"/>
      <c r="G5326" s="656" t="s">
        <v>4347</v>
      </c>
      <c r="H5326" s="656"/>
      <c r="I5326" s="656"/>
      <c r="J5326" s="656"/>
      <c r="K5326" s="656"/>
      <c r="L5326" s="656"/>
      <c r="M5326" s="657"/>
      <c r="N5326" s="1482"/>
      <c r="O5326" s="656" t="s">
        <v>498</v>
      </c>
      <c r="P5326" s="656" t="s">
        <v>13052</v>
      </c>
      <c r="Q5326" s="656">
        <v>44216.757592592592</v>
      </c>
    </row>
    <row r="5327" spans="1:17">
      <c r="A5327" s="656" t="s">
        <v>7703</v>
      </c>
      <c r="B5327" s="657" t="s">
        <v>504</v>
      </c>
      <c r="C5327" s="656" t="s">
        <v>7704</v>
      </c>
      <c r="D5327" s="657"/>
      <c r="E5327" s="657"/>
      <c r="F5327" s="656"/>
      <c r="G5327" s="656" t="s">
        <v>4347</v>
      </c>
      <c r="H5327" s="656"/>
      <c r="I5327" s="656"/>
      <c r="J5327" s="656"/>
      <c r="K5327" s="656"/>
      <c r="L5327" s="656"/>
      <c r="M5327" s="657"/>
      <c r="N5327" s="1482"/>
      <c r="O5327" s="656" t="s">
        <v>498</v>
      </c>
      <c r="P5327" s="656" t="s">
        <v>13052</v>
      </c>
      <c r="Q5327" s="656">
        <v>44216.757592592592</v>
      </c>
    </row>
    <row r="5328" spans="1:17">
      <c r="A5328" s="656" t="s">
        <v>7705</v>
      </c>
      <c r="B5328" s="657" t="s">
        <v>504</v>
      </c>
      <c r="C5328" s="656" t="s">
        <v>7706</v>
      </c>
      <c r="D5328" s="657"/>
      <c r="E5328" s="657"/>
      <c r="F5328" s="656"/>
      <c r="G5328" s="656" t="s">
        <v>4347</v>
      </c>
      <c r="H5328" s="656"/>
      <c r="I5328" s="656"/>
      <c r="J5328" s="656"/>
      <c r="K5328" s="656"/>
      <c r="L5328" s="656"/>
      <c r="M5328" s="657"/>
      <c r="N5328" s="1482"/>
      <c r="O5328" s="656" t="s">
        <v>498</v>
      </c>
      <c r="P5328" s="656" t="s">
        <v>13052</v>
      </c>
      <c r="Q5328" s="656">
        <v>44216.757581018515</v>
      </c>
    </row>
    <row r="5329" spans="1:17">
      <c r="A5329" s="656" t="s">
        <v>7707</v>
      </c>
      <c r="B5329" s="657" t="s">
        <v>504</v>
      </c>
      <c r="C5329" s="656" t="s">
        <v>7708</v>
      </c>
      <c r="D5329" s="657"/>
      <c r="E5329" s="657"/>
      <c r="F5329" s="656"/>
      <c r="G5329" s="656" t="s">
        <v>4347</v>
      </c>
      <c r="H5329" s="656"/>
      <c r="I5329" s="656"/>
      <c r="J5329" s="656"/>
      <c r="K5329" s="656"/>
      <c r="L5329" s="656"/>
      <c r="M5329" s="657"/>
      <c r="N5329" s="1482"/>
      <c r="O5329" s="656" t="s">
        <v>498</v>
      </c>
      <c r="P5329" s="656" t="s">
        <v>13052</v>
      </c>
      <c r="Q5329" s="656">
        <v>44216.757581018515</v>
      </c>
    </row>
    <row r="5330" spans="1:17">
      <c r="A5330" s="656" t="s">
        <v>7709</v>
      </c>
      <c r="B5330" s="657" t="s">
        <v>504</v>
      </c>
      <c r="C5330" s="656" t="s">
        <v>7710</v>
      </c>
      <c r="D5330" s="657"/>
      <c r="E5330" s="657"/>
      <c r="F5330" s="656"/>
      <c r="G5330" s="656" t="s">
        <v>4347</v>
      </c>
      <c r="H5330" s="656"/>
      <c r="I5330" s="656"/>
      <c r="J5330" s="656"/>
      <c r="K5330" s="656"/>
      <c r="L5330" s="656"/>
      <c r="M5330" s="657"/>
      <c r="N5330" s="1482"/>
      <c r="O5330" s="656" t="s">
        <v>498</v>
      </c>
      <c r="P5330" s="656" t="s">
        <v>13052</v>
      </c>
      <c r="Q5330" s="656">
        <v>44216.757569444446</v>
      </c>
    </row>
    <row r="5331" spans="1:17">
      <c r="A5331" s="656" t="s">
        <v>7711</v>
      </c>
      <c r="B5331" s="657" t="s">
        <v>504</v>
      </c>
      <c r="C5331" s="656" t="s">
        <v>7712</v>
      </c>
      <c r="D5331" s="657"/>
      <c r="E5331" s="657"/>
      <c r="F5331" s="656"/>
      <c r="G5331" s="656" t="s">
        <v>4347</v>
      </c>
      <c r="H5331" s="656"/>
      <c r="I5331" s="656"/>
      <c r="J5331" s="656"/>
      <c r="K5331" s="656"/>
      <c r="L5331" s="656"/>
      <c r="M5331" s="657"/>
      <c r="N5331" s="1482"/>
      <c r="O5331" s="656" t="s">
        <v>498</v>
      </c>
      <c r="P5331" s="656" t="s">
        <v>13052</v>
      </c>
      <c r="Q5331" s="656">
        <v>44216.757557870369</v>
      </c>
    </row>
    <row r="5332" spans="1:17">
      <c r="A5332" s="656" t="s">
        <v>7713</v>
      </c>
      <c r="B5332" s="657" t="s">
        <v>504</v>
      </c>
      <c r="C5332" s="656" t="s">
        <v>7714</v>
      </c>
      <c r="D5332" s="657"/>
      <c r="E5332" s="657"/>
      <c r="F5332" s="656"/>
      <c r="G5332" s="656" t="s">
        <v>4347</v>
      </c>
      <c r="H5332" s="656"/>
      <c r="I5332" s="656"/>
      <c r="J5332" s="656"/>
      <c r="K5332" s="656"/>
      <c r="L5332" s="656"/>
      <c r="M5332" s="657"/>
      <c r="N5332" s="1482"/>
      <c r="O5332" s="656" t="s">
        <v>498</v>
      </c>
      <c r="P5332" s="656" t="s">
        <v>13052</v>
      </c>
      <c r="Q5332" s="656">
        <v>44216.757557870369</v>
      </c>
    </row>
    <row r="5333" spans="1:17">
      <c r="A5333" s="656" t="s">
        <v>7715</v>
      </c>
      <c r="B5333" s="657" t="s">
        <v>504</v>
      </c>
      <c r="C5333" s="656" t="s">
        <v>7716</v>
      </c>
      <c r="D5333" s="657"/>
      <c r="E5333" s="657"/>
      <c r="F5333" s="656"/>
      <c r="G5333" s="656" t="s">
        <v>4347</v>
      </c>
      <c r="H5333" s="656"/>
      <c r="I5333" s="656"/>
      <c r="J5333" s="656"/>
      <c r="K5333" s="656"/>
      <c r="L5333" s="656"/>
      <c r="M5333" s="657"/>
      <c r="N5333" s="1482"/>
      <c r="O5333" s="656" t="s">
        <v>498</v>
      </c>
      <c r="P5333" s="656" t="s">
        <v>13052</v>
      </c>
      <c r="Q5333" s="656">
        <v>44216.757557870369</v>
      </c>
    </row>
    <row r="5334" spans="1:17">
      <c r="A5334" s="656" t="s">
        <v>7717</v>
      </c>
      <c r="B5334" s="657" t="s">
        <v>504</v>
      </c>
      <c r="C5334" s="656" t="s">
        <v>7718</v>
      </c>
      <c r="D5334" s="657"/>
      <c r="E5334" s="657"/>
      <c r="F5334" s="656"/>
      <c r="G5334" s="656" t="s">
        <v>4347</v>
      </c>
      <c r="H5334" s="656"/>
      <c r="I5334" s="656"/>
      <c r="J5334" s="656"/>
      <c r="K5334" s="656"/>
      <c r="L5334" s="656"/>
      <c r="M5334" s="657"/>
      <c r="N5334" s="1482"/>
      <c r="O5334" s="656" t="s">
        <v>498</v>
      </c>
      <c r="P5334" s="656" t="s">
        <v>13052</v>
      </c>
      <c r="Q5334" s="656">
        <v>44216.7575462963</v>
      </c>
    </row>
    <row r="5335" spans="1:17">
      <c r="A5335" s="656" t="s">
        <v>7719</v>
      </c>
      <c r="B5335" s="657" t="s">
        <v>504</v>
      </c>
      <c r="C5335" s="656" t="s">
        <v>7720</v>
      </c>
      <c r="D5335" s="657"/>
      <c r="E5335" s="657"/>
      <c r="F5335" s="656"/>
      <c r="G5335" s="656" t="s">
        <v>4347</v>
      </c>
      <c r="H5335" s="656"/>
      <c r="I5335" s="656"/>
      <c r="J5335" s="656"/>
      <c r="K5335" s="656"/>
      <c r="L5335" s="656"/>
      <c r="M5335" s="657"/>
      <c r="N5335" s="1482"/>
      <c r="O5335" s="656" t="s">
        <v>498</v>
      </c>
      <c r="P5335" s="656" t="s">
        <v>13052</v>
      </c>
      <c r="Q5335" s="656">
        <v>44216.7575462963</v>
      </c>
    </row>
    <row r="5336" spans="1:17">
      <c r="A5336" s="656" t="s">
        <v>7721</v>
      </c>
      <c r="B5336" s="657" t="s">
        <v>504</v>
      </c>
      <c r="C5336" s="656" t="s">
        <v>7722</v>
      </c>
      <c r="D5336" s="657"/>
      <c r="E5336" s="657"/>
      <c r="F5336" s="656"/>
      <c r="G5336" s="656" t="s">
        <v>4347</v>
      </c>
      <c r="H5336" s="656"/>
      <c r="I5336" s="656"/>
      <c r="J5336" s="656"/>
      <c r="K5336" s="656"/>
      <c r="L5336" s="656"/>
      <c r="M5336" s="657"/>
      <c r="N5336" s="1482"/>
      <c r="O5336" s="656" t="s">
        <v>498</v>
      </c>
      <c r="P5336" s="656" t="s">
        <v>13052</v>
      </c>
      <c r="Q5336" s="656">
        <v>44216.757534722223</v>
      </c>
    </row>
    <row r="5337" spans="1:17">
      <c r="A5337" s="656" t="s">
        <v>7723</v>
      </c>
      <c r="B5337" s="657" t="s">
        <v>504</v>
      </c>
      <c r="C5337" s="656" t="s">
        <v>7724</v>
      </c>
      <c r="D5337" s="657"/>
      <c r="E5337" s="657"/>
      <c r="F5337" s="656"/>
      <c r="G5337" s="656" t="s">
        <v>4347</v>
      </c>
      <c r="H5337" s="656"/>
      <c r="I5337" s="656"/>
      <c r="J5337" s="656"/>
      <c r="K5337" s="656"/>
      <c r="L5337" s="656"/>
      <c r="M5337" s="657"/>
      <c r="N5337" s="1482"/>
      <c r="O5337" s="656" t="s">
        <v>498</v>
      </c>
      <c r="P5337" s="656" t="s">
        <v>13052</v>
      </c>
      <c r="Q5337" s="656">
        <v>44216.757523148146</v>
      </c>
    </row>
    <row r="5338" spans="1:17">
      <c r="A5338" s="656" t="s">
        <v>7725</v>
      </c>
      <c r="B5338" s="657" t="s">
        <v>504</v>
      </c>
      <c r="C5338" s="656" t="s">
        <v>7726</v>
      </c>
      <c r="D5338" s="657"/>
      <c r="E5338" s="657"/>
      <c r="F5338" s="656"/>
      <c r="G5338" s="656" t="s">
        <v>4347</v>
      </c>
      <c r="H5338" s="656"/>
      <c r="I5338" s="656"/>
      <c r="J5338" s="656"/>
      <c r="K5338" s="656"/>
      <c r="L5338" s="656"/>
      <c r="M5338" s="657"/>
      <c r="N5338" s="1482"/>
      <c r="O5338" s="656" t="s">
        <v>498</v>
      </c>
      <c r="P5338" s="656" t="s">
        <v>13052</v>
      </c>
      <c r="Q5338" s="656">
        <v>44216.757523148146</v>
      </c>
    </row>
    <row r="5339" spans="1:17">
      <c r="A5339" s="656" t="s">
        <v>7727</v>
      </c>
      <c r="B5339" s="657" t="s">
        <v>504</v>
      </c>
      <c r="C5339" s="656" t="s">
        <v>7728</v>
      </c>
      <c r="D5339" s="657"/>
      <c r="E5339" s="657"/>
      <c r="F5339" s="656"/>
      <c r="G5339" s="656" t="s">
        <v>4347</v>
      </c>
      <c r="H5339" s="656"/>
      <c r="I5339" s="656"/>
      <c r="J5339" s="656"/>
      <c r="K5339" s="656"/>
      <c r="L5339" s="656"/>
      <c r="M5339" s="657"/>
      <c r="N5339" s="1482"/>
      <c r="O5339" s="656" t="s">
        <v>498</v>
      </c>
      <c r="P5339" s="656" t="s">
        <v>13052</v>
      </c>
      <c r="Q5339" s="656">
        <v>44216.757523148146</v>
      </c>
    </row>
    <row r="5340" spans="1:17">
      <c r="A5340" s="656" t="s">
        <v>7729</v>
      </c>
      <c r="B5340" s="657" t="s">
        <v>504</v>
      </c>
      <c r="C5340" s="656" t="s">
        <v>7730</v>
      </c>
      <c r="D5340" s="657"/>
      <c r="E5340" s="657"/>
      <c r="F5340" s="656"/>
      <c r="G5340" s="656" t="s">
        <v>4347</v>
      </c>
      <c r="H5340" s="656"/>
      <c r="I5340" s="656"/>
      <c r="J5340" s="656"/>
      <c r="K5340" s="656"/>
      <c r="L5340" s="656"/>
      <c r="M5340" s="657"/>
      <c r="N5340" s="1482"/>
      <c r="O5340" s="656" t="s">
        <v>498</v>
      </c>
      <c r="P5340" s="656" t="s">
        <v>13052</v>
      </c>
      <c r="Q5340" s="656">
        <v>44216.757511574076</v>
      </c>
    </row>
    <row r="5341" spans="1:17">
      <c r="A5341" s="656" t="s">
        <v>7731</v>
      </c>
      <c r="B5341" s="657" t="s">
        <v>504</v>
      </c>
      <c r="C5341" s="656" t="s">
        <v>7732</v>
      </c>
      <c r="D5341" s="657"/>
      <c r="E5341" s="657"/>
      <c r="F5341" s="656"/>
      <c r="G5341" s="656" t="s">
        <v>4347</v>
      </c>
      <c r="H5341" s="656"/>
      <c r="I5341" s="656"/>
      <c r="J5341" s="656"/>
      <c r="K5341" s="656"/>
      <c r="L5341" s="656"/>
      <c r="M5341" s="657"/>
      <c r="N5341" s="1482"/>
      <c r="O5341" s="656" t="s">
        <v>498</v>
      </c>
      <c r="P5341" s="656" t="s">
        <v>13052</v>
      </c>
      <c r="Q5341" s="656">
        <v>44216.757511574076</v>
      </c>
    </row>
    <row r="5342" spans="1:17">
      <c r="A5342" s="656" t="s">
        <v>7733</v>
      </c>
      <c r="B5342" s="657" t="s">
        <v>504</v>
      </c>
      <c r="C5342" s="656" t="s">
        <v>7734</v>
      </c>
      <c r="D5342" s="657"/>
      <c r="E5342" s="657"/>
      <c r="F5342" s="656"/>
      <c r="G5342" s="656" t="s">
        <v>4347</v>
      </c>
      <c r="H5342" s="656"/>
      <c r="I5342" s="656"/>
      <c r="J5342" s="656"/>
      <c r="K5342" s="656"/>
      <c r="L5342" s="656"/>
      <c r="M5342" s="657"/>
      <c r="N5342" s="1482"/>
      <c r="O5342" s="656" t="s">
        <v>498</v>
      </c>
      <c r="P5342" s="656" t="s">
        <v>13052</v>
      </c>
      <c r="Q5342" s="656">
        <v>44216.7575</v>
      </c>
    </row>
    <row r="5343" spans="1:17">
      <c r="A5343" s="656" t="s">
        <v>7735</v>
      </c>
      <c r="B5343" s="657" t="s">
        <v>504</v>
      </c>
      <c r="C5343" s="656" t="s">
        <v>7736</v>
      </c>
      <c r="D5343" s="657"/>
      <c r="E5343" s="657"/>
      <c r="F5343" s="656"/>
      <c r="G5343" s="656" t="s">
        <v>4347</v>
      </c>
      <c r="H5343" s="656"/>
      <c r="I5343" s="656"/>
      <c r="J5343" s="656"/>
      <c r="K5343" s="656"/>
      <c r="L5343" s="656"/>
      <c r="M5343" s="657"/>
      <c r="N5343" s="1482"/>
      <c r="O5343" s="656" t="s">
        <v>498</v>
      </c>
      <c r="P5343" s="656" t="s">
        <v>13052</v>
      </c>
      <c r="Q5343" s="656">
        <v>44216.7575</v>
      </c>
    </row>
    <row r="5344" spans="1:17">
      <c r="A5344" s="656" t="s">
        <v>7737</v>
      </c>
      <c r="B5344" s="657" t="s">
        <v>504</v>
      </c>
      <c r="C5344" s="656" t="s">
        <v>7738</v>
      </c>
      <c r="D5344" s="657"/>
      <c r="E5344" s="657"/>
      <c r="F5344" s="656"/>
      <c r="G5344" s="656" t="s">
        <v>4347</v>
      </c>
      <c r="H5344" s="656"/>
      <c r="I5344" s="656"/>
      <c r="J5344" s="656"/>
      <c r="K5344" s="656"/>
      <c r="L5344" s="656"/>
      <c r="M5344" s="657"/>
      <c r="N5344" s="1482"/>
      <c r="O5344" s="656" t="s">
        <v>498</v>
      </c>
      <c r="P5344" s="656" t="s">
        <v>13052</v>
      </c>
      <c r="Q5344" s="656">
        <v>44216.7575</v>
      </c>
    </row>
    <row r="5345" spans="1:17">
      <c r="A5345" s="656" t="s">
        <v>7739</v>
      </c>
      <c r="B5345" s="657" t="s">
        <v>504</v>
      </c>
      <c r="C5345" s="656" t="s">
        <v>7740</v>
      </c>
      <c r="D5345" s="657"/>
      <c r="E5345" s="657"/>
      <c r="F5345" s="656"/>
      <c r="G5345" s="656" t="s">
        <v>4198</v>
      </c>
      <c r="H5345" s="656"/>
      <c r="I5345" s="656"/>
      <c r="J5345" s="656"/>
      <c r="K5345" s="656"/>
      <c r="L5345" s="656"/>
      <c r="M5345" s="657"/>
      <c r="N5345" s="1482"/>
      <c r="O5345" s="656" t="s">
        <v>498</v>
      </c>
      <c r="P5345" s="656" t="s">
        <v>13052</v>
      </c>
      <c r="Q5345" s="656">
        <v>44216.757488425923</v>
      </c>
    </row>
    <row r="5346" spans="1:17">
      <c r="A5346" s="656" t="s">
        <v>13864</v>
      </c>
      <c r="B5346" s="657" t="s">
        <v>202</v>
      </c>
      <c r="C5346" s="656" t="s">
        <v>13865</v>
      </c>
      <c r="D5346" s="657" t="s">
        <v>14978</v>
      </c>
      <c r="E5346" s="657"/>
      <c r="F5346" s="656" t="s">
        <v>1300</v>
      </c>
      <c r="G5346" s="656" t="s">
        <v>4198</v>
      </c>
      <c r="H5346" s="656" t="s">
        <v>1300</v>
      </c>
      <c r="I5346" s="656" t="s">
        <v>14976</v>
      </c>
      <c r="J5346" s="656"/>
      <c r="K5346" s="656"/>
      <c r="L5346" s="656" t="s">
        <v>13866</v>
      </c>
      <c r="M5346" s="657"/>
      <c r="N5346" s="1482"/>
      <c r="O5346" s="656" t="s">
        <v>498</v>
      </c>
      <c r="P5346" s="656" t="s">
        <v>13052</v>
      </c>
      <c r="Q5346" s="656">
        <v>44216.757476851853</v>
      </c>
    </row>
    <row r="5347" spans="1:17">
      <c r="A5347" s="656" t="s">
        <v>7741</v>
      </c>
      <c r="B5347" s="657" t="s">
        <v>504</v>
      </c>
      <c r="C5347" s="656" t="s">
        <v>7742</v>
      </c>
      <c r="D5347" s="657"/>
      <c r="E5347" s="657"/>
      <c r="F5347" s="656"/>
      <c r="G5347" s="656" t="s">
        <v>4198</v>
      </c>
      <c r="H5347" s="656"/>
      <c r="I5347" s="656"/>
      <c r="J5347" s="656"/>
      <c r="K5347" s="656"/>
      <c r="L5347" s="656"/>
      <c r="M5347" s="657"/>
      <c r="N5347" s="1482"/>
      <c r="O5347" s="656" t="s">
        <v>498</v>
      </c>
      <c r="P5347" s="656" t="s">
        <v>13052</v>
      </c>
      <c r="Q5347" s="656">
        <v>44216.757476851853</v>
      </c>
    </row>
    <row r="5348" spans="1:17">
      <c r="A5348" s="656" t="s">
        <v>13856</v>
      </c>
      <c r="B5348" s="657" t="s">
        <v>202</v>
      </c>
      <c r="C5348" s="656" t="s">
        <v>13857</v>
      </c>
      <c r="D5348" s="657" t="s">
        <v>14978</v>
      </c>
      <c r="E5348" s="657"/>
      <c r="F5348" s="656" t="s">
        <v>1300</v>
      </c>
      <c r="G5348" s="656" t="s">
        <v>4198</v>
      </c>
      <c r="H5348" s="656" t="s">
        <v>1300</v>
      </c>
      <c r="I5348" s="656" t="s">
        <v>14976</v>
      </c>
      <c r="J5348" s="656"/>
      <c r="K5348" s="656"/>
      <c r="L5348" s="656" t="s">
        <v>7743</v>
      </c>
      <c r="M5348" s="657"/>
      <c r="N5348" s="1482"/>
      <c r="O5348" s="656" t="s">
        <v>498</v>
      </c>
      <c r="P5348" s="656" t="s">
        <v>13052</v>
      </c>
      <c r="Q5348" s="656">
        <v>44216.757465277777</v>
      </c>
    </row>
    <row r="5349" spans="1:17">
      <c r="A5349" s="656" t="s">
        <v>7743</v>
      </c>
      <c r="B5349" s="657" t="s">
        <v>202</v>
      </c>
      <c r="C5349" s="656" t="s">
        <v>7744</v>
      </c>
      <c r="D5349" s="657" t="s">
        <v>1239</v>
      </c>
      <c r="E5349" s="657"/>
      <c r="F5349" s="656" t="s">
        <v>1300</v>
      </c>
      <c r="G5349" s="656"/>
      <c r="H5349" s="656" t="s">
        <v>1300</v>
      </c>
      <c r="I5349" s="656" t="s">
        <v>14976</v>
      </c>
      <c r="J5349" s="656"/>
      <c r="K5349" s="656"/>
      <c r="L5349" s="656"/>
      <c r="M5349" s="657"/>
      <c r="N5349" s="1482"/>
      <c r="O5349" s="656" t="s">
        <v>498</v>
      </c>
      <c r="P5349" s="656" t="s">
        <v>13052</v>
      </c>
      <c r="Q5349" s="656">
        <v>44216.757465277777</v>
      </c>
    </row>
    <row r="5350" spans="1:17">
      <c r="A5350" s="656" t="s">
        <v>7745</v>
      </c>
      <c r="B5350" s="657"/>
      <c r="C5350" s="656" t="s">
        <v>7746</v>
      </c>
      <c r="D5350" s="657" t="s">
        <v>1239</v>
      </c>
      <c r="E5350" s="657"/>
      <c r="F5350" s="656" t="s">
        <v>1394</v>
      </c>
      <c r="G5350" s="656"/>
      <c r="H5350" s="656" t="s">
        <v>1394</v>
      </c>
      <c r="I5350" s="656" t="s">
        <v>14976</v>
      </c>
      <c r="J5350" s="656"/>
      <c r="K5350" s="656"/>
      <c r="L5350" s="656"/>
      <c r="M5350" s="657"/>
      <c r="N5350" s="1482"/>
      <c r="O5350" s="656" t="s">
        <v>498</v>
      </c>
      <c r="P5350" s="656" t="s">
        <v>13052</v>
      </c>
      <c r="Q5350" s="656">
        <v>44216.757453703707</v>
      </c>
    </row>
    <row r="5351" spans="1:17">
      <c r="A5351" s="656" t="s">
        <v>13849</v>
      </c>
      <c r="B5351" s="657" t="s">
        <v>202</v>
      </c>
      <c r="C5351" s="656" t="s">
        <v>13850</v>
      </c>
      <c r="D5351" s="657" t="s">
        <v>14978</v>
      </c>
      <c r="E5351" s="657"/>
      <c r="F5351" s="656" t="s">
        <v>1300</v>
      </c>
      <c r="G5351" s="656" t="s">
        <v>4198</v>
      </c>
      <c r="H5351" s="656" t="s">
        <v>1300</v>
      </c>
      <c r="I5351" s="656" t="s">
        <v>14976</v>
      </c>
      <c r="J5351" s="656"/>
      <c r="K5351" s="656"/>
      <c r="L5351" s="656" t="s">
        <v>13846</v>
      </c>
      <c r="M5351" s="657"/>
      <c r="N5351" s="1482"/>
      <c r="O5351" s="656" t="s">
        <v>498</v>
      </c>
      <c r="P5351" s="656" t="s">
        <v>13052</v>
      </c>
      <c r="Q5351" s="656">
        <v>44216.757453703707</v>
      </c>
    </row>
    <row r="5352" spans="1:17">
      <c r="A5352" s="656" t="s">
        <v>13846</v>
      </c>
      <c r="B5352" s="657" t="s">
        <v>202</v>
      </c>
      <c r="C5352" s="656" t="s">
        <v>13847</v>
      </c>
      <c r="D5352" s="657" t="s">
        <v>13789</v>
      </c>
      <c r="E5352" s="657"/>
      <c r="F5352" s="656" t="s">
        <v>1300</v>
      </c>
      <c r="G5352" s="656" t="s">
        <v>4198</v>
      </c>
      <c r="H5352" s="656" t="s">
        <v>1300</v>
      </c>
      <c r="I5352" s="656" t="s">
        <v>14976</v>
      </c>
      <c r="J5352" s="656"/>
      <c r="K5352" s="656"/>
      <c r="L5352" s="656"/>
      <c r="M5352" s="657"/>
      <c r="N5352" s="1482"/>
      <c r="O5352" s="656" t="s">
        <v>498</v>
      </c>
      <c r="P5352" s="656" t="s">
        <v>13052</v>
      </c>
      <c r="Q5352" s="656">
        <v>44216.75744212963</v>
      </c>
    </row>
    <row r="5353" spans="1:17">
      <c r="A5353" s="656" t="s">
        <v>7747</v>
      </c>
      <c r="B5353" s="657" t="s">
        <v>504</v>
      </c>
      <c r="C5353" s="656" t="s">
        <v>7748</v>
      </c>
      <c r="D5353" s="657"/>
      <c r="E5353" s="657"/>
      <c r="F5353" s="656" t="s">
        <v>505</v>
      </c>
      <c r="G5353" s="656" t="s">
        <v>4324</v>
      </c>
      <c r="H5353" s="656" t="s">
        <v>505</v>
      </c>
      <c r="I5353" s="656"/>
      <c r="J5353" s="656"/>
      <c r="K5353" s="656"/>
      <c r="L5353" s="656"/>
      <c r="M5353" s="657"/>
      <c r="N5353" s="1482"/>
      <c r="O5353" s="656" t="s">
        <v>498</v>
      </c>
      <c r="P5353" s="656" t="s">
        <v>13052</v>
      </c>
      <c r="Q5353" s="656">
        <v>44216.75744212963</v>
      </c>
    </row>
    <row r="5354" spans="1:17">
      <c r="A5354" s="656" t="s">
        <v>7749</v>
      </c>
      <c r="B5354" s="657" t="s">
        <v>504</v>
      </c>
      <c r="C5354" s="656" t="s">
        <v>7750</v>
      </c>
      <c r="D5354" s="657"/>
      <c r="E5354" s="657"/>
      <c r="F5354" s="656" t="s">
        <v>505</v>
      </c>
      <c r="G5354" s="656" t="s">
        <v>4324</v>
      </c>
      <c r="H5354" s="656" t="s">
        <v>505</v>
      </c>
      <c r="I5354" s="656"/>
      <c r="J5354" s="656"/>
      <c r="K5354" s="656"/>
      <c r="L5354" s="656"/>
      <c r="M5354" s="657"/>
      <c r="N5354" s="1482"/>
      <c r="O5354" s="656" t="s">
        <v>498</v>
      </c>
      <c r="P5354" s="656" t="s">
        <v>13052</v>
      </c>
      <c r="Q5354" s="656">
        <v>44216.757430555554</v>
      </c>
    </row>
    <row r="5355" spans="1:17">
      <c r="A5355" s="656" t="s">
        <v>7751</v>
      </c>
      <c r="B5355" s="657" t="s">
        <v>504</v>
      </c>
      <c r="C5355" s="656" t="s">
        <v>7752</v>
      </c>
      <c r="D5355" s="657"/>
      <c r="E5355" s="657"/>
      <c r="F5355" s="656" t="s">
        <v>505</v>
      </c>
      <c r="G5355" s="656" t="s">
        <v>4324</v>
      </c>
      <c r="H5355" s="656" t="s">
        <v>505</v>
      </c>
      <c r="I5355" s="656"/>
      <c r="J5355" s="656"/>
      <c r="K5355" s="656"/>
      <c r="L5355" s="656"/>
      <c r="M5355" s="657"/>
      <c r="N5355" s="1482"/>
      <c r="O5355" s="656" t="s">
        <v>498</v>
      </c>
      <c r="P5355" s="656" t="s">
        <v>13052</v>
      </c>
      <c r="Q5355" s="656">
        <v>44216.757430555554</v>
      </c>
    </row>
    <row r="5356" spans="1:17">
      <c r="A5356" s="656" t="s">
        <v>7753</v>
      </c>
      <c r="B5356" s="657" t="s">
        <v>504</v>
      </c>
      <c r="C5356" s="656" t="s">
        <v>7754</v>
      </c>
      <c r="D5356" s="657"/>
      <c r="E5356" s="657"/>
      <c r="F5356" s="656" t="s">
        <v>505</v>
      </c>
      <c r="G5356" s="656" t="s">
        <v>4324</v>
      </c>
      <c r="H5356" s="656" t="s">
        <v>505</v>
      </c>
      <c r="I5356" s="656"/>
      <c r="J5356" s="656"/>
      <c r="K5356" s="656"/>
      <c r="L5356" s="656"/>
      <c r="M5356" s="657"/>
      <c r="N5356" s="1482"/>
      <c r="O5356" s="656" t="s">
        <v>498</v>
      </c>
      <c r="P5356" s="656" t="s">
        <v>13052</v>
      </c>
      <c r="Q5356" s="656">
        <v>44216.757418981484</v>
      </c>
    </row>
    <row r="5357" spans="1:17">
      <c r="A5357" s="656" t="s">
        <v>7755</v>
      </c>
      <c r="B5357" s="657" t="s">
        <v>504</v>
      </c>
      <c r="C5357" s="656" t="s">
        <v>6593</v>
      </c>
      <c r="D5357" s="657"/>
      <c r="E5357" s="657"/>
      <c r="F5357" s="656" t="s">
        <v>505</v>
      </c>
      <c r="G5357" s="656" t="s">
        <v>4394</v>
      </c>
      <c r="H5357" s="656" t="s">
        <v>505</v>
      </c>
      <c r="I5357" s="656"/>
      <c r="J5357" s="656"/>
      <c r="K5357" s="656"/>
      <c r="L5357" s="656"/>
      <c r="M5357" s="657"/>
      <c r="N5357" s="1482"/>
      <c r="O5357" s="656" t="s">
        <v>498</v>
      </c>
      <c r="P5357" s="656" t="s">
        <v>13052</v>
      </c>
      <c r="Q5357" s="656">
        <v>44216.757418981484</v>
      </c>
    </row>
    <row r="5358" spans="1:17">
      <c r="A5358" s="656" t="s">
        <v>7756</v>
      </c>
      <c r="B5358" s="657" t="s">
        <v>504</v>
      </c>
      <c r="C5358" s="656" t="s">
        <v>7757</v>
      </c>
      <c r="D5358" s="657"/>
      <c r="E5358" s="657"/>
      <c r="F5358" s="656" t="s">
        <v>505</v>
      </c>
      <c r="G5358" s="656" t="s">
        <v>4394</v>
      </c>
      <c r="H5358" s="656" t="s">
        <v>505</v>
      </c>
      <c r="I5358" s="656"/>
      <c r="J5358" s="656"/>
      <c r="K5358" s="656"/>
      <c r="L5358" s="656"/>
      <c r="M5358" s="657"/>
      <c r="N5358" s="1482"/>
      <c r="O5358" s="656" t="s">
        <v>498</v>
      </c>
      <c r="P5358" s="656" t="s">
        <v>13052</v>
      </c>
      <c r="Q5358" s="656">
        <v>44216.757407407407</v>
      </c>
    </row>
    <row r="5359" spans="1:17">
      <c r="A5359" s="656" t="s">
        <v>7758</v>
      </c>
      <c r="B5359" s="657" t="s">
        <v>504</v>
      </c>
      <c r="C5359" s="656" t="s">
        <v>7759</v>
      </c>
      <c r="D5359" s="657"/>
      <c r="E5359" s="657"/>
      <c r="F5359" s="656" t="s">
        <v>505</v>
      </c>
      <c r="G5359" s="656" t="s">
        <v>4394</v>
      </c>
      <c r="H5359" s="656" t="s">
        <v>505</v>
      </c>
      <c r="I5359" s="656"/>
      <c r="J5359" s="656"/>
      <c r="K5359" s="656"/>
      <c r="L5359" s="656"/>
      <c r="M5359" s="657"/>
      <c r="N5359" s="1482"/>
      <c r="O5359" s="656" t="s">
        <v>498</v>
      </c>
      <c r="P5359" s="656" t="s">
        <v>13052</v>
      </c>
      <c r="Q5359" s="656">
        <v>44216.757407407407</v>
      </c>
    </row>
    <row r="5360" spans="1:17">
      <c r="A5360" s="656" t="s">
        <v>7760</v>
      </c>
      <c r="B5360" s="657" t="s">
        <v>504</v>
      </c>
      <c r="C5360" s="656" t="s">
        <v>7761</v>
      </c>
      <c r="D5360" s="657"/>
      <c r="E5360" s="657"/>
      <c r="F5360" s="656" t="s">
        <v>505</v>
      </c>
      <c r="G5360" s="656" t="s">
        <v>4394</v>
      </c>
      <c r="H5360" s="656" t="s">
        <v>505</v>
      </c>
      <c r="I5360" s="656"/>
      <c r="J5360" s="656"/>
      <c r="K5360" s="656"/>
      <c r="L5360" s="656"/>
      <c r="M5360" s="657"/>
      <c r="N5360" s="1482"/>
      <c r="O5360" s="656" t="s">
        <v>498</v>
      </c>
      <c r="P5360" s="656" t="s">
        <v>13052</v>
      </c>
      <c r="Q5360" s="656">
        <v>44216.757395833331</v>
      </c>
    </row>
    <row r="5361" spans="1:17">
      <c r="A5361" s="656" t="s">
        <v>7762</v>
      </c>
      <c r="B5361" s="657" t="s">
        <v>504</v>
      </c>
      <c r="C5361" s="656" t="s">
        <v>7763</v>
      </c>
      <c r="D5361" s="657"/>
      <c r="E5361" s="657"/>
      <c r="F5361" s="656" t="s">
        <v>505</v>
      </c>
      <c r="G5361" s="656" t="s">
        <v>4394</v>
      </c>
      <c r="H5361" s="656" t="s">
        <v>505</v>
      </c>
      <c r="I5361" s="656"/>
      <c r="J5361" s="656"/>
      <c r="K5361" s="656"/>
      <c r="L5361" s="656"/>
      <c r="M5361" s="657"/>
      <c r="N5361" s="1482"/>
      <c r="O5361" s="656" t="s">
        <v>498</v>
      </c>
      <c r="P5361" s="656" t="s">
        <v>13052</v>
      </c>
      <c r="Q5361" s="656">
        <v>44216.757395833331</v>
      </c>
    </row>
    <row r="5362" spans="1:17">
      <c r="A5362" s="656" t="s">
        <v>7764</v>
      </c>
      <c r="B5362" s="657" t="s">
        <v>504</v>
      </c>
      <c r="C5362" s="656" t="s">
        <v>7765</v>
      </c>
      <c r="D5362" s="657"/>
      <c r="E5362" s="657"/>
      <c r="F5362" s="656" t="s">
        <v>505</v>
      </c>
      <c r="G5362" s="656" t="s">
        <v>4394</v>
      </c>
      <c r="H5362" s="656" t="s">
        <v>505</v>
      </c>
      <c r="I5362" s="656"/>
      <c r="J5362" s="656"/>
      <c r="K5362" s="656"/>
      <c r="L5362" s="656"/>
      <c r="M5362" s="657"/>
      <c r="N5362" s="1482"/>
      <c r="O5362" s="656" t="s">
        <v>498</v>
      </c>
      <c r="P5362" s="656" t="s">
        <v>13052</v>
      </c>
      <c r="Q5362" s="656">
        <v>44216.757384259261</v>
      </c>
    </row>
    <row r="5363" spans="1:17">
      <c r="A5363" s="656" t="s">
        <v>7766</v>
      </c>
      <c r="B5363" s="657" t="s">
        <v>504</v>
      </c>
      <c r="C5363" s="656" t="s">
        <v>7767</v>
      </c>
      <c r="D5363" s="657"/>
      <c r="E5363" s="657"/>
      <c r="F5363" s="656" t="s">
        <v>505</v>
      </c>
      <c r="G5363" s="656" t="s">
        <v>4394</v>
      </c>
      <c r="H5363" s="656" t="s">
        <v>505</v>
      </c>
      <c r="I5363" s="656"/>
      <c r="J5363" s="656"/>
      <c r="K5363" s="656"/>
      <c r="L5363" s="656"/>
      <c r="M5363" s="657"/>
      <c r="N5363" s="1482"/>
      <c r="O5363" s="656" t="s">
        <v>498</v>
      </c>
      <c r="P5363" s="656" t="s">
        <v>13052</v>
      </c>
      <c r="Q5363" s="656">
        <v>44216.757384259261</v>
      </c>
    </row>
    <row r="5364" spans="1:17">
      <c r="A5364" s="656" t="s">
        <v>7768</v>
      </c>
      <c r="B5364" s="657" t="s">
        <v>504</v>
      </c>
      <c r="C5364" s="656" t="s">
        <v>7769</v>
      </c>
      <c r="D5364" s="657"/>
      <c r="E5364" s="657"/>
      <c r="F5364" s="656" t="s">
        <v>505</v>
      </c>
      <c r="G5364" s="656" t="s">
        <v>4394</v>
      </c>
      <c r="H5364" s="656" t="s">
        <v>505</v>
      </c>
      <c r="I5364" s="656"/>
      <c r="J5364" s="656"/>
      <c r="K5364" s="656"/>
      <c r="L5364" s="656"/>
      <c r="M5364" s="657"/>
      <c r="N5364" s="1482"/>
      <c r="O5364" s="656" t="s">
        <v>498</v>
      </c>
      <c r="P5364" s="656" t="s">
        <v>13052</v>
      </c>
      <c r="Q5364" s="656">
        <v>44216.757372685184</v>
      </c>
    </row>
    <row r="5365" spans="1:17">
      <c r="A5365" s="656" t="s">
        <v>7770</v>
      </c>
      <c r="B5365" s="657" t="s">
        <v>504</v>
      </c>
      <c r="C5365" s="656" t="s">
        <v>7771</v>
      </c>
      <c r="D5365" s="657"/>
      <c r="E5365" s="657"/>
      <c r="F5365" s="656" t="s">
        <v>505</v>
      </c>
      <c r="G5365" s="656" t="s">
        <v>4394</v>
      </c>
      <c r="H5365" s="656" t="s">
        <v>505</v>
      </c>
      <c r="I5365" s="656"/>
      <c r="J5365" s="656"/>
      <c r="K5365" s="656"/>
      <c r="L5365" s="656"/>
      <c r="M5365" s="657"/>
      <c r="N5365" s="1482"/>
      <c r="O5365" s="656" t="s">
        <v>498</v>
      </c>
      <c r="P5365" s="656" t="s">
        <v>13052</v>
      </c>
      <c r="Q5365" s="656">
        <v>44216.757372685184</v>
      </c>
    </row>
    <row r="5366" spans="1:17">
      <c r="A5366" s="656" t="s">
        <v>7772</v>
      </c>
      <c r="B5366" s="657" t="s">
        <v>504</v>
      </c>
      <c r="C5366" s="656" t="s">
        <v>7773</v>
      </c>
      <c r="D5366" s="657"/>
      <c r="E5366" s="657"/>
      <c r="F5366" s="656" t="s">
        <v>505</v>
      </c>
      <c r="G5366" s="656" t="s">
        <v>4394</v>
      </c>
      <c r="H5366" s="656" t="s">
        <v>505</v>
      </c>
      <c r="I5366" s="656"/>
      <c r="J5366" s="656"/>
      <c r="K5366" s="656"/>
      <c r="L5366" s="656"/>
      <c r="M5366" s="657"/>
      <c r="N5366" s="1482"/>
      <c r="O5366" s="656" t="s">
        <v>498</v>
      </c>
      <c r="P5366" s="656" t="s">
        <v>13052</v>
      </c>
      <c r="Q5366" s="656">
        <v>44216.757361111115</v>
      </c>
    </row>
    <row r="5367" spans="1:17">
      <c r="A5367" s="656" t="s">
        <v>7774</v>
      </c>
      <c r="B5367" s="657" t="s">
        <v>504</v>
      </c>
      <c r="C5367" s="656" t="s">
        <v>7775</v>
      </c>
      <c r="D5367" s="657"/>
      <c r="E5367" s="657"/>
      <c r="F5367" s="656" t="s">
        <v>505</v>
      </c>
      <c r="G5367" s="656" t="s">
        <v>4394</v>
      </c>
      <c r="H5367" s="656" t="s">
        <v>505</v>
      </c>
      <c r="I5367" s="656"/>
      <c r="J5367" s="656"/>
      <c r="K5367" s="656"/>
      <c r="L5367" s="656"/>
      <c r="M5367" s="657"/>
      <c r="N5367" s="1482"/>
      <c r="O5367" s="656" t="s">
        <v>498</v>
      </c>
      <c r="P5367" s="656" t="s">
        <v>13052</v>
      </c>
      <c r="Q5367" s="656">
        <v>44216.757361111115</v>
      </c>
    </row>
    <row r="5368" spans="1:17">
      <c r="A5368" s="656" t="s">
        <v>7776</v>
      </c>
      <c r="B5368" s="657" t="s">
        <v>504</v>
      </c>
      <c r="C5368" s="656" t="s">
        <v>7777</v>
      </c>
      <c r="D5368" s="657"/>
      <c r="E5368" s="657"/>
      <c r="F5368" s="656" t="s">
        <v>505</v>
      </c>
      <c r="G5368" s="656" t="s">
        <v>4394</v>
      </c>
      <c r="H5368" s="656" t="s">
        <v>505</v>
      </c>
      <c r="I5368" s="656"/>
      <c r="J5368" s="656"/>
      <c r="K5368" s="656"/>
      <c r="L5368" s="656"/>
      <c r="M5368" s="657"/>
      <c r="N5368" s="1482"/>
      <c r="O5368" s="656" t="s">
        <v>498</v>
      </c>
      <c r="P5368" s="656" t="s">
        <v>13052</v>
      </c>
      <c r="Q5368" s="656">
        <v>44216.757349537038</v>
      </c>
    </row>
    <row r="5369" spans="1:17">
      <c r="A5369" s="656" t="s">
        <v>7778</v>
      </c>
      <c r="B5369" s="657" t="s">
        <v>504</v>
      </c>
      <c r="C5369" s="656" t="s">
        <v>7779</v>
      </c>
      <c r="D5369" s="657"/>
      <c r="E5369" s="657"/>
      <c r="F5369" s="656" t="s">
        <v>505</v>
      </c>
      <c r="G5369" s="656" t="s">
        <v>4394</v>
      </c>
      <c r="H5369" s="656" t="s">
        <v>505</v>
      </c>
      <c r="I5369" s="656"/>
      <c r="J5369" s="656"/>
      <c r="K5369" s="656"/>
      <c r="L5369" s="656"/>
      <c r="M5369" s="657"/>
      <c r="N5369" s="1482"/>
      <c r="O5369" s="656" t="s">
        <v>498</v>
      </c>
      <c r="P5369" s="656" t="s">
        <v>13052</v>
      </c>
      <c r="Q5369" s="656">
        <v>44216.757349537038</v>
      </c>
    </row>
    <row r="5370" spans="1:17">
      <c r="A5370" s="656" t="s">
        <v>7780</v>
      </c>
      <c r="B5370" s="657" t="s">
        <v>504</v>
      </c>
      <c r="C5370" s="656" t="s">
        <v>7781</v>
      </c>
      <c r="D5370" s="657"/>
      <c r="E5370" s="657"/>
      <c r="F5370" s="656" t="s">
        <v>505</v>
      </c>
      <c r="G5370" s="656" t="s">
        <v>4394</v>
      </c>
      <c r="H5370" s="656" t="s">
        <v>505</v>
      </c>
      <c r="I5370" s="656"/>
      <c r="J5370" s="656"/>
      <c r="K5370" s="656"/>
      <c r="L5370" s="656"/>
      <c r="M5370" s="657"/>
      <c r="N5370" s="1482"/>
      <c r="O5370" s="656" t="s">
        <v>498</v>
      </c>
      <c r="P5370" s="656" t="s">
        <v>13052</v>
      </c>
      <c r="Q5370" s="656">
        <v>44216.757349537038</v>
      </c>
    </row>
    <row r="5371" spans="1:17">
      <c r="A5371" s="656" t="s">
        <v>7782</v>
      </c>
      <c r="B5371" s="657" t="s">
        <v>504</v>
      </c>
      <c r="C5371" s="656" t="s">
        <v>7783</v>
      </c>
      <c r="D5371" s="657"/>
      <c r="E5371" s="657"/>
      <c r="F5371" s="656"/>
      <c r="G5371" s="656" t="s">
        <v>4347</v>
      </c>
      <c r="H5371" s="656"/>
      <c r="I5371" s="656"/>
      <c r="J5371" s="656"/>
      <c r="K5371" s="656"/>
      <c r="L5371" s="656"/>
      <c r="M5371" s="657"/>
      <c r="N5371" s="1482"/>
      <c r="O5371" s="656" t="s">
        <v>498</v>
      </c>
      <c r="P5371" s="656" t="s">
        <v>13052</v>
      </c>
      <c r="Q5371" s="656">
        <v>44216.757337962961</v>
      </c>
    </row>
    <row r="5372" spans="1:17">
      <c r="A5372" s="656" t="s">
        <v>7784</v>
      </c>
      <c r="B5372" s="657" t="s">
        <v>504</v>
      </c>
      <c r="C5372" s="656" t="s">
        <v>7785</v>
      </c>
      <c r="D5372" s="657"/>
      <c r="E5372" s="657"/>
      <c r="F5372" s="656" t="s">
        <v>505</v>
      </c>
      <c r="G5372" s="656" t="s">
        <v>4394</v>
      </c>
      <c r="H5372" s="656" t="s">
        <v>505</v>
      </c>
      <c r="I5372" s="656"/>
      <c r="J5372" s="656"/>
      <c r="K5372" s="656"/>
      <c r="L5372" s="656"/>
      <c r="M5372" s="657"/>
      <c r="N5372" s="1482"/>
      <c r="O5372" s="656" t="s">
        <v>498</v>
      </c>
      <c r="P5372" s="656" t="s">
        <v>13052</v>
      </c>
      <c r="Q5372" s="656">
        <v>44216.757337962961</v>
      </c>
    </row>
    <row r="5373" spans="1:17">
      <c r="A5373" s="656" t="s">
        <v>7786</v>
      </c>
      <c r="B5373" s="657" t="s">
        <v>504</v>
      </c>
      <c r="C5373" s="656" t="s">
        <v>7787</v>
      </c>
      <c r="D5373" s="657"/>
      <c r="E5373" s="657"/>
      <c r="F5373" s="656" t="s">
        <v>505</v>
      </c>
      <c r="G5373" s="656" t="s">
        <v>4394</v>
      </c>
      <c r="H5373" s="656" t="s">
        <v>505</v>
      </c>
      <c r="I5373" s="656"/>
      <c r="J5373" s="656"/>
      <c r="K5373" s="656"/>
      <c r="L5373" s="656"/>
      <c r="M5373" s="657"/>
      <c r="N5373" s="1482"/>
      <c r="O5373" s="656" t="s">
        <v>498</v>
      </c>
      <c r="P5373" s="656" t="s">
        <v>13052</v>
      </c>
      <c r="Q5373" s="656">
        <v>44216.757326388892</v>
      </c>
    </row>
    <row r="5374" spans="1:17">
      <c r="A5374" s="656" t="s">
        <v>7788</v>
      </c>
      <c r="B5374" s="657" t="s">
        <v>504</v>
      </c>
      <c r="C5374" s="656" t="s">
        <v>7789</v>
      </c>
      <c r="D5374" s="657"/>
      <c r="E5374" s="657"/>
      <c r="F5374" s="656" t="s">
        <v>505</v>
      </c>
      <c r="G5374" s="656" t="s">
        <v>4394</v>
      </c>
      <c r="H5374" s="656" t="s">
        <v>505</v>
      </c>
      <c r="I5374" s="656"/>
      <c r="J5374" s="656"/>
      <c r="K5374" s="656"/>
      <c r="L5374" s="656"/>
      <c r="M5374" s="657"/>
      <c r="N5374" s="1482"/>
      <c r="O5374" s="656" t="s">
        <v>498</v>
      </c>
      <c r="P5374" s="656" t="s">
        <v>13052</v>
      </c>
      <c r="Q5374" s="656">
        <v>44216.757326388892</v>
      </c>
    </row>
    <row r="5375" spans="1:17">
      <c r="A5375" s="656" t="s">
        <v>7790</v>
      </c>
      <c r="B5375" s="657" t="s">
        <v>504</v>
      </c>
      <c r="C5375" s="656" t="s">
        <v>7791</v>
      </c>
      <c r="D5375" s="657"/>
      <c r="E5375" s="657"/>
      <c r="F5375" s="656" t="s">
        <v>505</v>
      </c>
      <c r="G5375" s="656" t="s">
        <v>4394</v>
      </c>
      <c r="H5375" s="656" t="s">
        <v>505</v>
      </c>
      <c r="I5375" s="656"/>
      <c r="J5375" s="656"/>
      <c r="K5375" s="656"/>
      <c r="L5375" s="656"/>
      <c r="M5375" s="657"/>
      <c r="N5375" s="1482"/>
      <c r="O5375" s="656" t="s">
        <v>498</v>
      </c>
      <c r="P5375" s="656" t="s">
        <v>13052</v>
      </c>
      <c r="Q5375" s="656">
        <v>44216.757314814815</v>
      </c>
    </row>
    <row r="5376" spans="1:17">
      <c r="A5376" s="656" t="s">
        <v>7792</v>
      </c>
      <c r="B5376" s="657" t="s">
        <v>504</v>
      </c>
      <c r="C5376" s="656" t="s">
        <v>7793</v>
      </c>
      <c r="D5376" s="657"/>
      <c r="E5376" s="657"/>
      <c r="F5376" s="656" t="s">
        <v>505</v>
      </c>
      <c r="G5376" s="656" t="s">
        <v>4394</v>
      </c>
      <c r="H5376" s="656" t="s">
        <v>505</v>
      </c>
      <c r="I5376" s="656"/>
      <c r="J5376" s="656"/>
      <c r="K5376" s="656"/>
      <c r="L5376" s="656"/>
      <c r="M5376" s="657"/>
      <c r="N5376" s="1482"/>
      <c r="O5376" s="656" t="s">
        <v>498</v>
      </c>
      <c r="P5376" s="656" t="s">
        <v>13052</v>
      </c>
      <c r="Q5376" s="656">
        <v>44216.757314814815</v>
      </c>
    </row>
    <row r="5377" spans="1:17">
      <c r="A5377" s="656" t="s">
        <v>7794</v>
      </c>
      <c r="B5377" s="657" t="s">
        <v>504</v>
      </c>
      <c r="C5377" s="656" t="s">
        <v>7795</v>
      </c>
      <c r="D5377" s="657"/>
      <c r="E5377" s="657"/>
      <c r="F5377" s="656" t="s">
        <v>505</v>
      </c>
      <c r="G5377" s="656" t="s">
        <v>4394</v>
      </c>
      <c r="H5377" s="656" t="s">
        <v>505</v>
      </c>
      <c r="I5377" s="656"/>
      <c r="J5377" s="656"/>
      <c r="K5377" s="656"/>
      <c r="L5377" s="656"/>
      <c r="M5377" s="657"/>
      <c r="N5377" s="1482"/>
      <c r="O5377" s="656" t="s">
        <v>498</v>
      </c>
      <c r="P5377" s="656" t="s">
        <v>13052</v>
      </c>
      <c r="Q5377" s="656">
        <v>44216.757314814815</v>
      </c>
    </row>
    <row r="5378" spans="1:17">
      <c r="A5378" s="656" t="s">
        <v>7796</v>
      </c>
      <c r="B5378" s="657" t="s">
        <v>504</v>
      </c>
      <c r="C5378" s="656" t="s">
        <v>7797</v>
      </c>
      <c r="D5378" s="657"/>
      <c r="E5378" s="657"/>
      <c r="F5378" s="656" t="s">
        <v>505</v>
      </c>
      <c r="G5378" s="656" t="s">
        <v>4394</v>
      </c>
      <c r="H5378" s="656" t="s">
        <v>505</v>
      </c>
      <c r="I5378" s="656"/>
      <c r="J5378" s="656"/>
      <c r="K5378" s="656"/>
      <c r="L5378" s="656"/>
      <c r="M5378" s="657"/>
      <c r="N5378" s="1482"/>
      <c r="O5378" s="656" t="s">
        <v>498</v>
      </c>
      <c r="P5378" s="656" t="s">
        <v>13052</v>
      </c>
      <c r="Q5378" s="656">
        <v>44216.757303240738</v>
      </c>
    </row>
    <row r="5379" spans="1:17">
      <c r="A5379" s="656" t="s">
        <v>7798</v>
      </c>
      <c r="B5379" s="657" t="s">
        <v>504</v>
      </c>
      <c r="C5379" s="656" t="s">
        <v>7799</v>
      </c>
      <c r="D5379" s="657"/>
      <c r="E5379" s="657"/>
      <c r="F5379" s="656" t="s">
        <v>505</v>
      </c>
      <c r="G5379" s="656" t="s">
        <v>4394</v>
      </c>
      <c r="H5379" s="656" t="s">
        <v>505</v>
      </c>
      <c r="I5379" s="656"/>
      <c r="J5379" s="656"/>
      <c r="K5379" s="656"/>
      <c r="L5379" s="656"/>
      <c r="M5379" s="657"/>
      <c r="N5379" s="1482"/>
      <c r="O5379" s="656" t="s">
        <v>498</v>
      </c>
      <c r="P5379" s="656" t="s">
        <v>13052</v>
      </c>
      <c r="Q5379" s="656">
        <v>44216.757291666669</v>
      </c>
    </row>
    <row r="5380" spans="1:17">
      <c r="A5380" s="656" t="s">
        <v>7800</v>
      </c>
      <c r="B5380" s="657" t="s">
        <v>504</v>
      </c>
      <c r="C5380" s="656" t="s">
        <v>7801</v>
      </c>
      <c r="D5380" s="657"/>
      <c r="E5380" s="657"/>
      <c r="F5380" s="656" t="s">
        <v>505</v>
      </c>
      <c r="G5380" s="656" t="s">
        <v>4394</v>
      </c>
      <c r="H5380" s="656" t="s">
        <v>505</v>
      </c>
      <c r="I5380" s="656"/>
      <c r="J5380" s="656"/>
      <c r="K5380" s="656"/>
      <c r="L5380" s="656"/>
      <c r="M5380" s="657"/>
      <c r="N5380" s="1482"/>
      <c r="O5380" s="656" t="s">
        <v>498</v>
      </c>
      <c r="P5380" s="656" t="s">
        <v>13052</v>
      </c>
      <c r="Q5380" s="656">
        <v>44216.757280092592</v>
      </c>
    </row>
    <row r="5381" spans="1:17">
      <c r="A5381" s="656" t="s">
        <v>13814</v>
      </c>
      <c r="B5381" s="657" t="s">
        <v>504</v>
      </c>
      <c r="C5381" s="656" t="s">
        <v>7802</v>
      </c>
      <c r="D5381" s="657" t="s">
        <v>14978</v>
      </c>
      <c r="E5381" s="657" t="s">
        <v>9458</v>
      </c>
      <c r="F5381" s="656" t="s">
        <v>505</v>
      </c>
      <c r="G5381" s="656" t="s">
        <v>525</v>
      </c>
      <c r="H5381" s="656" t="s">
        <v>505</v>
      </c>
      <c r="I5381" s="656" t="s">
        <v>14976</v>
      </c>
      <c r="J5381" s="656"/>
      <c r="K5381" s="656"/>
      <c r="L5381" s="656" t="s">
        <v>7803</v>
      </c>
      <c r="M5381" s="657"/>
      <c r="N5381" s="1482"/>
      <c r="O5381" s="656" t="s">
        <v>498</v>
      </c>
      <c r="P5381" s="656" t="s">
        <v>13052</v>
      </c>
      <c r="Q5381" s="656">
        <v>44216.757280092592</v>
      </c>
    </row>
    <row r="5382" spans="1:17">
      <c r="A5382" s="656" t="s">
        <v>7803</v>
      </c>
      <c r="B5382" s="657" t="s">
        <v>504</v>
      </c>
      <c r="C5382" s="656" t="s">
        <v>7804</v>
      </c>
      <c r="D5382" s="657"/>
      <c r="E5382" s="657"/>
      <c r="F5382" s="656" t="s">
        <v>505</v>
      </c>
      <c r="G5382" s="656" t="s">
        <v>4394</v>
      </c>
      <c r="H5382" s="656" t="s">
        <v>505</v>
      </c>
      <c r="I5382" s="656"/>
      <c r="J5382" s="656"/>
      <c r="K5382" s="656"/>
      <c r="L5382" s="656"/>
      <c r="M5382" s="657"/>
      <c r="N5382" s="1482"/>
      <c r="O5382" s="656" t="s">
        <v>498</v>
      </c>
      <c r="P5382" s="656" t="s">
        <v>13052</v>
      </c>
      <c r="Q5382" s="656">
        <v>44216.757280092592</v>
      </c>
    </row>
    <row r="5383" spans="1:17">
      <c r="A5383" s="656" t="s">
        <v>7805</v>
      </c>
      <c r="B5383" s="657" t="s">
        <v>504</v>
      </c>
      <c r="C5383" s="656" t="s">
        <v>7806</v>
      </c>
      <c r="D5383" s="657"/>
      <c r="E5383" s="657"/>
      <c r="F5383" s="656" t="s">
        <v>505</v>
      </c>
      <c r="G5383" s="656" t="s">
        <v>4394</v>
      </c>
      <c r="H5383" s="656" t="s">
        <v>505</v>
      </c>
      <c r="I5383" s="656"/>
      <c r="J5383" s="656"/>
      <c r="K5383" s="656"/>
      <c r="L5383" s="656"/>
      <c r="M5383" s="657"/>
      <c r="N5383" s="1482"/>
      <c r="O5383" s="656" t="s">
        <v>498</v>
      </c>
      <c r="P5383" s="656" t="s">
        <v>13052</v>
      </c>
      <c r="Q5383" s="656">
        <v>44216.757268518515</v>
      </c>
    </row>
    <row r="5384" spans="1:17">
      <c r="A5384" s="656" t="s">
        <v>7807</v>
      </c>
      <c r="B5384" s="657" t="s">
        <v>504</v>
      </c>
      <c r="C5384" s="656" t="s">
        <v>7808</v>
      </c>
      <c r="D5384" s="657"/>
      <c r="E5384" s="657"/>
      <c r="F5384" s="656" t="s">
        <v>505</v>
      </c>
      <c r="G5384" s="656" t="s">
        <v>4394</v>
      </c>
      <c r="H5384" s="656" t="s">
        <v>505</v>
      </c>
      <c r="I5384" s="656"/>
      <c r="J5384" s="656"/>
      <c r="K5384" s="656"/>
      <c r="L5384" s="656"/>
      <c r="M5384" s="657"/>
      <c r="N5384" s="1482"/>
      <c r="O5384" s="656" t="s">
        <v>498</v>
      </c>
      <c r="P5384" s="656" t="s">
        <v>13052</v>
      </c>
      <c r="Q5384" s="656">
        <v>44216.757268518515</v>
      </c>
    </row>
    <row r="5385" spans="1:17">
      <c r="A5385" s="656" t="s">
        <v>7809</v>
      </c>
      <c r="B5385" s="657" t="s">
        <v>504</v>
      </c>
      <c r="C5385" s="656" t="s">
        <v>7810</v>
      </c>
      <c r="D5385" s="657"/>
      <c r="E5385" s="657"/>
      <c r="F5385" s="656" t="s">
        <v>505</v>
      </c>
      <c r="G5385" s="656" t="s">
        <v>4324</v>
      </c>
      <c r="H5385" s="656" t="s">
        <v>505</v>
      </c>
      <c r="I5385" s="656"/>
      <c r="J5385" s="656"/>
      <c r="K5385" s="656"/>
      <c r="L5385" s="656"/>
      <c r="M5385" s="657"/>
      <c r="N5385" s="1482"/>
      <c r="O5385" s="656" t="s">
        <v>498</v>
      </c>
      <c r="P5385" s="656" t="s">
        <v>13052</v>
      </c>
      <c r="Q5385" s="656">
        <v>44216.757268518515</v>
      </c>
    </row>
    <row r="5386" spans="1:17">
      <c r="A5386" s="656" t="s">
        <v>7811</v>
      </c>
      <c r="B5386" s="657" t="s">
        <v>504</v>
      </c>
      <c r="C5386" s="656" t="s">
        <v>7812</v>
      </c>
      <c r="D5386" s="657"/>
      <c r="E5386" s="657"/>
      <c r="F5386" s="656"/>
      <c r="G5386" s="656" t="s">
        <v>5642</v>
      </c>
      <c r="H5386" s="656"/>
      <c r="I5386" s="656"/>
      <c r="J5386" s="656"/>
      <c r="K5386" s="656"/>
      <c r="L5386" s="656"/>
      <c r="M5386" s="657"/>
      <c r="N5386" s="1482"/>
      <c r="O5386" s="656" t="s">
        <v>498</v>
      </c>
      <c r="P5386" s="656" t="s">
        <v>13052</v>
      </c>
      <c r="Q5386" s="656">
        <v>44216.757256944446</v>
      </c>
    </row>
    <row r="5387" spans="1:17">
      <c r="A5387" s="656" t="s">
        <v>7813</v>
      </c>
      <c r="B5387" s="657" t="s">
        <v>504</v>
      </c>
      <c r="C5387" s="656" t="s">
        <v>7814</v>
      </c>
      <c r="D5387" s="657"/>
      <c r="E5387" s="657"/>
      <c r="F5387" s="656"/>
      <c r="G5387" s="656" t="s">
        <v>5103</v>
      </c>
      <c r="H5387" s="656"/>
      <c r="I5387" s="656"/>
      <c r="J5387" s="656"/>
      <c r="K5387" s="656"/>
      <c r="L5387" s="656"/>
      <c r="M5387" s="657"/>
      <c r="N5387" s="1482"/>
      <c r="O5387" s="656" t="s">
        <v>498</v>
      </c>
      <c r="P5387" s="656" t="s">
        <v>13052</v>
      </c>
      <c r="Q5387" s="656">
        <v>44216.757245370369</v>
      </c>
    </row>
    <row r="5388" spans="1:17">
      <c r="A5388" s="656" t="s">
        <v>7815</v>
      </c>
      <c r="B5388" s="657" t="s">
        <v>504</v>
      </c>
      <c r="C5388" s="656" t="s">
        <v>7816</v>
      </c>
      <c r="D5388" s="657"/>
      <c r="E5388" s="657"/>
      <c r="F5388" s="656"/>
      <c r="G5388" s="656" t="s">
        <v>5103</v>
      </c>
      <c r="H5388" s="656"/>
      <c r="I5388" s="656"/>
      <c r="J5388" s="656"/>
      <c r="K5388" s="656"/>
      <c r="L5388" s="656"/>
      <c r="M5388" s="657"/>
      <c r="N5388" s="1482"/>
      <c r="O5388" s="656" t="s">
        <v>498</v>
      </c>
      <c r="P5388" s="656" t="s">
        <v>13052</v>
      </c>
      <c r="Q5388" s="656">
        <v>44216.757233796299</v>
      </c>
    </row>
    <row r="5389" spans="1:17">
      <c r="A5389" s="656" t="s">
        <v>7817</v>
      </c>
      <c r="B5389" s="657" t="s">
        <v>504</v>
      </c>
      <c r="C5389" s="656" t="s">
        <v>7818</v>
      </c>
      <c r="D5389" s="657"/>
      <c r="E5389" s="657"/>
      <c r="F5389" s="656"/>
      <c r="G5389" s="656" t="s">
        <v>5103</v>
      </c>
      <c r="H5389" s="656"/>
      <c r="I5389" s="656"/>
      <c r="J5389" s="656"/>
      <c r="K5389" s="656"/>
      <c r="L5389" s="656"/>
      <c r="M5389" s="657"/>
      <c r="N5389" s="1482"/>
      <c r="O5389" s="656" t="s">
        <v>498</v>
      </c>
      <c r="P5389" s="656" t="s">
        <v>13052</v>
      </c>
      <c r="Q5389" s="656">
        <v>44216.757233796299</v>
      </c>
    </row>
    <row r="5390" spans="1:17">
      <c r="A5390" s="656" t="s">
        <v>7819</v>
      </c>
      <c r="B5390" s="657"/>
      <c r="C5390" s="656" t="s">
        <v>7820</v>
      </c>
      <c r="D5390" s="657" t="s">
        <v>14978</v>
      </c>
      <c r="E5390" s="657"/>
      <c r="F5390" s="656"/>
      <c r="G5390" s="656" t="s">
        <v>5103</v>
      </c>
      <c r="H5390" s="656"/>
      <c r="I5390" s="656" t="s">
        <v>14976</v>
      </c>
      <c r="J5390" s="656"/>
      <c r="K5390" s="656"/>
      <c r="L5390" s="656" t="s">
        <v>13806</v>
      </c>
      <c r="M5390" s="657"/>
      <c r="N5390" s="1482"/>
      <c r="O5390" s="656" t="s">
        <v>498</v>
      </c>
      <c r="P5390" s="656" t="s">
        <v>13052</v>
      </c>
      <c r="Q5390" s="656">
        <v>44216.757222222222</v>
      </c>
    </row>
    <row r="5391" spans="1:17">
      <c r="A5391" s="656" t="s">
        <v>7821</v>
      </c>
      <c r="B5391" s="657" t="s">
        <v>504</v>
      </c>
      <c r="C5391" s="656" t="s">
        <v>7822</v>
      </c>
      <c r="D5391" s="657"/>
      <c r="E5391" s="657"/>
      <c r="F5391" s="656"/>
      <c r="G5391" s="656" t="s">
        <v>5103</v>
      </c>
      <c r="H5391" s="656"/>
      <c r="I5391" s="656"/>
      <c r="J5391" s="656"/>
      <c r="K5391" s="656"/>
      <c r="L5391" s="656"/>
      <c r="M5391" s="657"/>
      <c r="N5391" s="1482"/>
      <c r="O5391" s="656" t="s">
        <v>498</v>
      </c>
      <c r="P5391" s="656" t="s">
        <v>13052</v>
      </c>
      <c r="Q5391" s="656">
        <v>44216.757222222222</v>
      </c>
    </row>
    <row r="5392" spans="1:17">
      <c r="A5392" s="656" t="s">
        <v>7823</v>
      </c>
      <c r="B5392" s="657"/>
      <c r="C5392" s="656" t="s">
        <v>7824</v>
      </c>
      <c r="D5392" s="657" t="s">
        <v>14978</v>
      </c>
      <c r="E5392" s="657"/>
      <c r="F5392" s="656"/>
      <c r="G5392" s="656" t="s">
        <v>5103</v>
      </c>
      <c r="H5392" s="656"/>
      <c r="I5392" s="656" t="s">
        <v>14976</v>
      </c>
      <c r="J5392" s="656"/>
      <c r="K5392" s="656"/>
      <c r="L5392" s="656" t="s">
        <v>7825</v>
      </c>
      <c r="M5392" s="657"/>
      <c r="N5392" s="1482"/>
      <c r="O5392" s="656" t="s">
        <v>498</v>
      </c>
      <c r="P5392" s="656" t="s">
        <v>13052</v>
      </c>
      <c r="Q5392" s="656">
        <v>44216.757210648146</v>
      </c>
    </row>
    <row r="5393" spans="1:17">
      <c r="A5393" s="656" t="s">
        <v>7825</v>
      </c>
      <c r="B5393" s="657" t="s">
        <v>504</v>
      </c>
      <c r="C5393" s="656" t="s">
        <v>7826</v>
      </c>
      <c r="D5393" s="657"/>
      <c r="E5393" s="657"/>
      <c r="F5393" s="656"/>
      <c r="G5393" s="656" t="s">
        <v>5103</v>
      </c>
      <c r="H5393" s="656"/>
      <c r="I5393" s="656"/>
      <c r="J5393" s="656"/>
      <c r="K5393" s="656"/>
      <c r="L5393" s="656"/>
      <c r="M5393" s="657"/>
      <c r="N5393" s="1482"/>
      <c r="O5393" s="656" t="s">
        <v>498</v>
      </c>
      <c r="P5393" s="656" t="s">
        <v>13052</v>
      </c>
      <c r="Q5393" s="656">
        <v>44216.757210648146</v>
      </c>
    </row>
    <row r="5394" spans="1:17">
      <c r="A5394" s="656" t="s">
        <v>7827</v>
      </c>
      <c r="B5394" s="657" t="s">
        <v>504</v>
      </c>
      <c r="C5394" s="656" t="s">
        <v>7828</v>
      </c>
      <c r="D5394" s="657"/>
      <c r="E5394" s="657"/>
      <c r="F5394" s="656"/>
      <c r="G5394" s="656" t="s">
        <v>5103</v>
      </c>
      <c r="H5394" s="656"/>
      <c r="I5394" s="656"/>
      <c r="J5394" s="656"/>
      <c r="K5394" s="656"/>
      <c r="L5394" s="656"/>
      <c r="M5394" s="657"/>
      <c r="N5394" s="1482"/>
      <c r="O5394" s="656" t="s">
        <v>498</v>
      </c>
      <c r="P5394" s="656" t="s">
        <v>13052</v>
      </c>
      <c r="Q5394" s="656">
        <v>44216.757210648146</v>
      </c>
    </row>
    <row r="5395" spans="1:17">
      <c r="A5395" s="656" t="s">
        <v>7829</v>
      </c>
      <c r="B5395" s="657"/>
      <c r="C5395" s="656" t="s">
        <v>7830</v>
      </c>
      <c r="D5395" s="657" t="s">
        <v>14978</v>
      </c>
      <c r="E5395" s="657"/>
      <c r="F5395" s="656"/>
      <c r="G5395" s="656" t="s">
        <v>5103</v>
      </c>
      <c r="H5395" s="656"/>
      <c r="I5395" s="656" t="s">
        <v>14976</v>
      </c>
      <c r="J5395" s="656"/>
      <c r="K5395" s="656"/>
      <c r="L5395" s="656" t="s">
        <v>7831</v>
      </c>
      <c r="M5395" s="657"/>
      <c r="N5395" s="1482"/>
      <c r="O5395" s="656" t="s">
        <v>498</v>
      </c>
      <c r="P5395" s="656" t="s">
        <v>13052</v>
      </c>
      <c r="Q5395" s="656">
        <v>44216.757199074076</v>
      </c>
    </row>
    <row r="5396" spans="1:17">
      <c r="A5396" s="656" t="s">
        <v>7831</v>
      </c>
      <c r="B5396" s="657" t="s">
        <v>504</v>
      </c>
      <c r="C5396" s="656" t="s">
        <v>7832</v>
      </c>
      <c r="D5396" s="657"/>
      <c r="E5396" s="657"/>
      <c r="F5396" s="656"/>
      <c r="G5396" s="656" t="s">
        <v>5103</v>
      </c>
      <c r="H5396" s="656"/>
      <c r="I5396" s="656"/>
      <c r="J5396" s="656"/>
      <c r="K5396" s="656"/>
      <c r="L5396" s="656"/>
      <c r="M5396" s="657"/>
      <c r="N5396" s="1482"/>
      <c r="O5396" s="656" t="s">
        <v>498</v>
      </c>
      <c r="P5396" s="656" t="s">
        <v>13052</v>
      </c>
      <c r="Q5396" s="656">
        <v>44216.757199074076</v>
      </c>
    </row>
    <row r="5397" spans="1:17">
      <c r="A5397" s="656" t="s">
        <v>7833</v>
      </c>
      <c r="B5397" s="657"/>
      <c r="C5397" s="656" t="s">
        <v>7834</v>
      </c>
      <c r="D5397" s="657" t="s">
        <v>14978</v>
      </c>
      <c r="E5397" s="657"/>
      <c r="F5397" s="656"/>
      <c r="G5397" s="656" t="s">
        <v>5103</v>
      </c>
      <c r="H5397" s="656"/>
      <c r="I5397" s="656" t="s">
        <v>14976</v>
      </c>
      <c r="J5397" s="656"/>
      <c r="K5397" s="656"/>
      <c r="L5397" s="656" t="s">
        <v>7835</v>
      </c>
      <c r="M5397" s="657"/>
      <c r="N5397" s="1482"/>
      <c r="O5397" s="656" t="s">
        <v>498</v>
      </c>
      <c r="P5397" s="656" t="s">
        <v>13052</v>
      </c>
      <c r="Q5397" s="656">
        <v>44216.757199074076</v>
      </c>
    </row>
    <row r="5398" spans="1:17">
      <c r="A5398" s="656" t="s">
        <v>7835</v>
      </c>
      <c r="B5398" s="657" t="s">
        <v>504</v>
      </c>
      <c r="C5398" s="656" t="s">
        <v>7836</v>
      </c>
      <c r="D5398" s="657"/>
      <c r="E5398" s="657"/>
      <c r="F5398" s="656"/>
      <c r="G5398" s="656" t="s">
        <v>5103</v>
      </c>
      <c r="H5398" s="656"/>
      <c r="I5398" s="656"/>
      <c r="J5398" s="656"/>
      <c r="K5398" s="656"/>
      <c r="L5398" s="656"/>
      <c r="M5398" s="657"/>
      <c r="N5398" s="1482"/>
      <c r="O5398" s="656" t="s">
        <v>498</v>
      </c>
      <c r="P5398" s="656" t="s">
        <v>13052</v>
      </c>
      <c r="Q5398" s="656">
        <v>44216.757187499999</v>
      </c>
    </row>
    <row r="5399" spans="1:17">
      <c r="A5399" s="656" t="s">
        <v>7837</v>
      </c>
      <c r="B5399" s="657"/>
      <c r="C5399" s="656" t="s">
        <v>7838</v>
      </c>
      <c r="D5399" s="657" t="s">
        <v>14978</v>
      </c>
      <c r="E5399" s="657"/>
      <c r="F5399" s="656"/>
      <c r="G5399" s="656" t="s">
        <v>5103</v>
      </c>
      <c r="H5399" s="656"/>
      <c r="I5399" s="656" t="s">
        <v>14976</v>
      </c>
      <c r="J5399" s="656"/>
      <c r="K5399" s="656"/>
      <c r="L5399" s="656" t="s">
        <v>13800</v>
      </c>
      <c r="M5399" s="657"/>
      <c r="N5399" s="1482"/>
      <c r="O5399" s="656" t="s">
        <v>498</v>
      </c>
      <c r="P5399" s="656" t="s">
        <v>13052</v>
      </c>
      <c r="Q5399" s="656">
        <v>44216.757187499999</v>
      </c>
    </row>
    <row r="5400" spans="1:17">
      <c r="A5400" s="656" t="s">
        <v>7839</v>
      </c>
      <c r="B5400" s="657"/>
      <c r="C5400" s="656" t="s">
        <v>7840</v>
      </c>
      <c r="D5400" s="657" t="s">
        <v>14978</v>
      </c>
      <c r="E5400" s="657"/>
      <c r="F5400" s="656"/>
      <c r="G5400" s="656" t="s">
        <v>5103</v>
      </c>
      <c r="H5400" s="656"/>
      <c r="I5400" s="656" t="s">
        <v>14976</v>
      </c>
      <c r="J5400" s="656"/>
      <c r="K5400" s="656"/>
      <c r="L5400" s="656" t="s">
        <v>13800</v>
      </c>
      <c r="M5400" s="657"/>
      <c r="N5400" s="1482"/>
      <c r="O5400" s="656" t="s">
        <v>498</v>
      </c>
      <c r="P5400" s="656" t="s">
        <v>13052</v>
      </c>
      <c r="Q5400" s="656">
        <v>44216.757175925923</v>
      </c>
    </row>
    <row r="5401" spans="1:17">
      <c r="A5401" s="656" t="s">
        <v>7841</v>
      </c>
      <c r="B5401" s="657" t="s">
        <v>504</v>
      </c>
      <c r="C5401" s="656" t="s">
        <v>7842</v>
      </c>
      <c r="D5401" s="657"/>
      <c r="E5401" s="657"/>
      <c r="F5401" s="656"/>
      <c r="G5401" s="656" t="s">
        <v>5103</v>
      </c>
      <c r="H5401" s="656"/>
      <c r="I5401" s="656"/>
      <c r="J5401" s="656"/>
      <c r="K5401" s="656"/>
      <c r="L5401" s="656"/>
      <c r="M5401" s="657"/>
      <c r="N5401" s="1482"/>
      <c r="O5401" s="656" t="s">
        <v>498</v>
      </c>
      <c r="P5401" s="656" t="s">
        <v>13052</v>
      </c>
      <c r="Q5401" s="656">
        <v>44216.757175925923</v>
      </c>
    </row>
    <row r="5402" spans="1:17">
      <c r="A5402" s="656" t="s">
        <v>7843</v>
      </c>
      <c r="B5402" s="657" t="s">
        <v>504</v>
      </c>
      <c r="C5402" s="656" t="s">
        <v>7816</v>
      </c>
      <c r="D5402" s="657"/>
      <c r="E5402" s="657"/>
      <c r="F5402" s="656"/>
      <c r="G5402" s="656" t="s">
        <v>5103</v>
      </c>
      <c r="H5402" s="656"/>
      <c r="I5402" s="656"/>
      <c r="J5402" s="656"/>
      <c r="K5402" s="656"/>
      <c r="L5402" s="656"/>
      <c r="M5402" s="657"/>
      <c r="N5402" s="1482"/>
      <c r="O5402" s="656" t="s">
        <v>498</v>
      </c>
      <c r="P5402" s="656" t="s">
        <v>13052</v>
      </c>
      <c r="Q5402" s="656">
        <v>44216.757164351853</v>
      </c>
    </row>
    <row r="5403" spans="1:17">
      <c r="A5403" s="656" t="s">
        <v>7844</v>
      </c>
      <c r="B5403" s="657" t="s">
        <v>504</v>
      </c>
      <c r="C5403" s="656" t="s">
        <v>7845</v>
      </c>
      <c r="D5403" s="657"/>
      <c r="E5403" s="657"/>
      <c r="F5403" s="656"/>
      <c r="G5403" s="656" t="s">
        <v>5103</v>
      </c>
      <c r="H5403" s="656"/>
      <c r="I5403" s="656"/>
      <c r="J5403" s="656"/>
      <c r="K5403" s="656"/>
      <c r="L5403" s="656"/>
      <c r="M5403" s="657"/>
      <c r="N5403" s="1482"/>
      <c r="O5403" s="656" t="s">
        <v>498</v>
      </c>
      <c r="P5403" s="656" t="s">
        <v>13052</v>
      </c>
      <c r="Q5403" s="656">
        <v>44216.757164351853</v>
      </c>
    </row>
    <row r="5404" spans="1:17">
      <c r="A5404" s="656" t="s">
        <v>7846</v>
      </c>
      <c r="B5404" s="657"/>
      <c r="C5404" s="656" t="s">
        <v>7847</v>
      </c>
      <c r="D5404" s="657" t="s">
        <v>14978</v>
      </c>
      <c r="E5404" s="657"/>
      <c r="F5404" s="656"/>
      <c r="G5404" s="656" t="s">
        <v>5103</v>
      </c>
      <c r="H5404" s="656"/>
      <c r="I5404" s="656" t="s">
        <v>14976</v>
      </c>
      <c r="J5404" s="656"/>
      <c r="K5404" s="656"/>
      <c r="L5404" s="656" t="s">
        <v>13798</v>
      </c>
      <c r="M5404" s="657"/>
      <c r="N5404" s="1482"/>
      <c r="O5404" s="656" t="s">
        <v>498</v>
      </c>
      <c r="P5404" s="656" t="s">
        <v>13052</v>
      </c>
      <c r="Q5404" s="656">
        <v>44216.757152777776</v>
      </c>
    </row>
    <row r="5405" spans="1:17">
      <c r="A5405" s="656" t="s">
        <v>13796</v>
      </c>
      <c r="B5405" s="657" t="s">
        <v>202</v>
      </c>
      <c r="C5405" s="656" t="s">
        <v>13797</v>
      </c>
      <c r="D5405" s="657" t="s">
        <v>13789</v>
      </c>
      <c r="E5405" s="657"/>
      <c r="F5405" s="656"/>
      <c r="G5405" s="656" t="s">
        <v>5103</v>
      </c>
      <c r="H5405" s="656"/>
      <c r="I5405" s="656" t="s">
        <v>14976</v>
      </c>
      <c r="J5405" s="656"/>
      <c r="K5405" s="656"/>
      <c r="L5405" s="656"/>
      <c r="M5405" s="657"/>
      <c r="N5405" s="1482"/>
      <c r="O5405" s="656" t="s">
        <v>498</v>
      </c>
      <c r="P5405" s="656" t="s">
        <v>13052</v>
      </c>
      <c r="Q5405" s="656">
        <v>44216.757152777776</v>
      </c>
    </row>
    <row r="5406" spans="1:17">
      <c r="A5406" s="656" t="s">
        <v>12102</v>
      </c>
      <c r="B5406" s="657" t="s">
        <v>202</v>
      </c>
      <c r="C5406" s="656" t="s">
        <v>12103</v>
      </c>
      <c r="D5406" s="657" t="s">
        <v>13789</v>
      </c>
      <c r="E5406" s="657"/>
      <c r="F5406" s="656"/>
      <c r="G5406" s="656" t="s">
        <v>5103</v>
      </c>
      <c r="H5406" s="656"/>
      <c r="I5406" s="656" t="s">
        <v>14976</v>
      </c>
      <c r="J5406" s="656"/>
      <c r="K5406" s="656"/>
      <c r="L5406" s="656"/>
      <c r="M5406" s="657"/>
      <c r="N5406" s="1482"/>
      <c r="O5406" s="656" t="s">
        <v>498</v>
      </c>
      <c r="P5406" s="656" t="s">
        <v>13052</v>
      </c>
      <c r="Q5406" s="656">
        <v>44216.757152777776</v>
      </c>
    </row>
    <row r="5407" spans="1:17">
      <c r="A5407" s="656" t="s">
        <v>7848</v>
      </c>
      <c r="B5407" s="657" t="s">
        <v>504</v>
      </c>
      <c r="C5407" s="656" t="s">
        <v>7849</v>
      </c>
      <c r="D5407" s="657"/>
      <c r="E5407" s="657"/>
      <c r="F5407" s="656" t="s">
        <v>505</v>
      </c>
      <c r="G5407" s="656" t="s">
        <v>4324</v>
      </c>
      <c r="H5407" s="656" t="s">
        <v>505</v>
      </c>
      <c r="I5407" s="656"/>
      <c r="J5407" s="656"/>
      <c r="K5407" s="656"/>
      <c r="L5407" s="656"/>
      <c r="M5407" s="657"/>
      <c r="N5407" s="1482"/>
      <c r="O5407" s="656" t="s">
        <v>498</v>
      </c>
      <c r="P5407" s="656" t="s">
        <v>13052</v>
      </c>
      <c r="Q5407" s="656">
        <v>44216.757141203707</v>
      </c>
    </row>
    <row r="5408" spans="1:17">
      <c r="A5408" s="656" t="s">
        <v>7850</v>
      </c>
      <c r="B5408" s="657" t="s">
        <v>504</v>
      </c>
      <c r="C5408" s="656" t="s">
        <v>7851</v>
      </c>
      <c r="D5408" s="657"/>
      <c r="E5408" s="657"/>
      <c r="F5408" s="656"/>
      <c r="G5408" s="656" t="s">
        <v>4362</v>
      </c>
      <c r="H5408" s="656"/>
      <c r="I5408" s="656"/>
      <c r="J5408" s="656"/>
      <c r="K5408" s="656"/>
      <c r="L5408" s="656"/>
      <c r="M5408" s="657"/>
      <c r="N5408" s="1482"/>
      <c r="O5408" s="656" t="s">
        <v>498</v>
      </c>
      <c r="P5408" s="656" t="s">
        <v>13052</v>
      </c>
      <c r="Q5408" s="656">
        <v>44216.757141203707</v>
      </c>
    </row>
    <row r="5409" spans="1:17">
      <c r="A5409" s="656" t="s">
        <v>7852</v>
      </c>
      <c r="B5409" s="657" t="s">
        <v>504</v>
      </c>
      <c r="C5409" s="656" t="s">
        <v>7853</v>
      </c>
      <c r="D5409" s="657"/>
      <c r="E5409" s="657"/>
      <c r="F5409" s="656"/>
      <c r="G5409" s="656" t="s">
        <v>4362</v>
      </c>
      <c r="H5409" s="656"/>
      <c r="I5409" s="656"/>
      <c r="J5409" s="656"/>
      <c r="K5409" s="656"/>
      <c r="L5409" s="656"/>
      <c r="M5409" s="657"/>
      <c r="N5409" s="1482"/>
      <c r="O5409" s="656" t="s">
        <v>498</v>
      </c>
      <c r="P5409" s="656" t="s">
        <v>13052</v>
      </c>
      <c r="Q5409" s="656">
        <v>44216.75712962963</v>
      </c>
    </row>
    <row r="5410" spans="1:17">
      <c r="A5410" s="656" t="s">
        <v>7854</v>
      </c>
      <c r="B5410" s="657" t="s">
        <v>504</v>
      </c>
      <c r="C5410" s="656" t="s">
        <v>7855</v>
      </c>
      <c r="D5410" s="657"/>
      <c r="E5410" s="657"/>
      <c r="F5410" s="656"/>
      <c r="G5410" s="656" t="s">
        <v>4362</v>
      </c>
      <c r="H5410" s="656"/>
      <c r="I5410" s="656"/>
      <c r="J5410" s="656"/>
      <c r="K5410" s="656"/>
      <c r="L5410" s="656"/>
      <c r="M5410" s="657"/>
      <c r="N5410" s="1482"/>
      <c r="O5410" s="656" t="s">
        <v>498</v>
      </c>
      <c r="P5410" s="656" t="s">
        <v>13052</v>
      </c>
      <c r="Q5410" s="656">
        <v>44216.757118055553</v>
      </c>
    </row>
    <row r="5411" spans="1:17">
      <c r="A5411" s="656" t="s">
        <v>7856</v>
      </c>
      <c r="B5411" s="657" t="s">
        <v>504</v>
      </c>
      <c r="C5411" s="656" t="s">
        <v>7857</v>
      </c>
      <c r="D5411" s="657"/>
      <c r="E5411" s="657"/>
      <c r="F5411" s="656"/>
      <c r="G5411" s="656" t="s">
        <v>4362</v>
      </c>
      <c r="H5411" s="656"/>
      <c r="I5411" s="656"/>
      <c r="J5411" s="656"/>
      <c r="K5411" s="656"/>
      <c r="L5411" s="656"/>
      <c r="M5411" s="657"/>
      <c r="N5411" s="1482"/>
      <c r="O5411" s="656" t="s">
        <v>498</v>
      </c>
      <c r="P5411" s="656" t="s">
        <v>13052</v>
      </c>
      <c r="Q5411" s="656">
        <v>44216.75712962963</v>
      </c>
    </row>
    <row r="5412" spans="1:17">
      <c r="A5412" s="656" t="s">
        <v>13785</v>
      </c>
      <c r="B5412" s="657" t="s">
        <v>202</v>
      </c>
      <c r="C5412" s="656" t="s">
        <v>13786</v>
      </c>
      <c r="D5412" s="657" t="s">
        <v>14978</v>
      </c>
      <c r="E5412" s="657"/>
      <c r="F5412" s="656" t="s">
        <v>1300</v>
      </c>
      <c r="G5412" s="656" t="s">
        <v>4198</v>
      </c>
      <c r="H5412" s="656" t="s">
        <v>1300</v>
      </c>
      <c r="I5412" s="656" t="s">
        <v>14976</v>
      </c>
      <c r="J5412" s="656"/>
      <c r="K5412" s="656"/>
      <c r="L5412" s="656" t="s">
        <v>13787</v>
      </c>
      <c r="M5412" s="657"/>
      <c r="N5412" s="1482"/>
      <c r="O5412" s="656" t="s">
        <v>498</v>
      </c>
      <c r="P5412" s="656" t="s">
        <v>13052</v>
      </c>
      <c r="Q5412" s="656">
        <v>44216.757106481484</v>
      </c>
    </row>
    <row r="5413" spans="1:17">
      <c r="A5413" s="656" t="s">
        <v>7858</v>
      </c>
      <c r="B5413" s="657"/>
      <c r="C5413" s="656" t="s">
        <v>7859</v>
      </c>
      <c r="D5413" s="657" t="s">
        <v>1239</v>
      </c>
      <c r="E5413" s="657"/>
      <c r="F5413" s="656" t="s">
        <v>1394</v>
      </c>
      <c r="G5413" s="656"/>
      <c r="H5413" s="656" t="s">
        <v>1394</v>
      </c>
      <c r="I5413" s="656" t="s">
        <v>14976</v>
      </c>
      <c r="J5413" s="656"/>
      <c r="K5413" s="656"/>
      <c r="L5413" s="656"/>
      <c r="M5413" s="657"/>
      <c r="N5413" s="1482"/>
      <c r="O5413" s="656" t="s">
        <v>498</v>
      </c>
      <c r="P5413" s="656" t="s">
        <v>13052</v>
      </c>
      <c r="Q5413" s="656">
        <v>44216.757094907407</v>
      </c>
    </row>
    <row r="5414" spans="1:17">
      <c r="A5414" s="656" t="s">
        <v>13781</v>
      </c>
      <c r="B5414" s="657" t="s">
        <v>202</v>
      </c>
      <c r="C5414" s="656" t="s">
        <v>13782</v>
      </c>
      <c r="D5414" s="657" t="s">
        <v>13789</v>
      </c>
      <c r="E5414" s="657"/>
      <c r="F5414" s="656" t="s">
        <v>1300</v>
      </c>
      <c r="G5414" s="656" t="s">
        <v>4198</v>
      </c>
      <c r="H5414" s="656" t="s">
        <v>1300</v>
      </c>
      <c r="I5414" s="656" t="s">
        <v>14976</v>
      </c>
      <c r="J5414" s="656"/>
      <c r="K5414" s="656"/>
      <c r="L5414" s="656"/>
      <c r="M5414" s="657"/>
      <c r="N5414" s="1482"/>
      <c r="O5414" s="656" t="s">
        <v>498</v>
      </c>
      <c r="P5414" s="656" t="s">
        <v>13052</v>
      </c>
      <c r="Q5414" s="656">
        <v>44216.75708333333</v>
      </c>
    </row>
    <row r="5415" spans="1:17">
      <c r="A5415" s="656" t="s">
        <v>13778</v>
      </c>
      <c r="B5415" s="657" t="s">
        <v>202</v>
      </c>
      <c r="C5415" s="656" t="s">
        <v>13779</v>
      </c>
      <c r="D5415" s="657" t="s">
        <v>13789</v>
      </c>
      <c r="E5415" s="657"/>
      <c r="F5415" s="656" t="s">
        <v>1300</v>
      </c>
      <c r="G5415" s="656" t="s">
        <v>4198</v>
      </c>
      <c r="H5415" s="656" t="s">
        <v>1300</v>
      </c>
      <c r="I5415" s="656" t="s">
        <v>14976</v>
      </c>
      <c r="J5415" s="656"/>
      <c r="K5415" s="656"/>
      <c r="L5415" s="656"/>
      <c r="M5415" s="657"/>
      <c r="N5415" s="1482"/>
      <c r="O5415" s="656" t="s">
        <v>498</v>
      </c>
      <c r="P5415" s="656" t="s">
        <v>13052</v>
      </c>
      <c r="Q5415" s="656">
        <v>44216.75708333333</v>
      </c>
    </row>
    <row r="5416" spans="1:17">
      <c r="A5416" s="656" t="s">
        <v>13776</v>
      </c>
      <c r="B5416" s="657" t="s">
        <v>202</v>
      </c>
      <c r="C5416" s="656" t="s">
        <v>13777</v>
      </c>
      <c r="D5416" s="657" t="s">
        <v>13789</v>
      </c>
      <c r="E5416" s="657"/>
      <c r="F5416" s="656" t="s">
        <v>1300</v>
      </c>
      <c r="G5416" s="656" t="s">
        <v>4198</v>
      </c>
      <c r="H5416" s="656" t="s">
        <v>1300</v>
      </c>
      <c r="I5416" s="656" t="s">
        <v>14976</v>
      </c>
      <c r="J5416" s="656"/>
      <c r="K5416" s="656"/>
      <c r="L5416" s="656"/>
      <c r="M5416" s="657"/>
      <c r="N5416" s="1482"/>
      <c r="O5416" s="656" t="s">
        <v>498</v>
      </c>
      <c r="P5416" s="656" t="s">
        <v>13052</v>
      </c>
      <c r="Q5416" s="656">
        <v>44216.75708333333</v>
      </c>
    </row>
    <row r="5417" spans="1:17">
      <c r="A5417" s="656" t="s">
        <v>13774</v>
      </c>
      <c r="B5417" s="657" t="s">
        <v>202</v>
      </c>
      <c r="C5417" s="656" t="s">
        <v>13775</v>
      </c>
      <c r="D5417" s="657" t="s">
        <v>13789</v>
      </c>
      <c r="E5417" s="657"/>
      <c r="F5417" s="656" t="s">
        <v>1300</v>
      </c>
      <c r="G5417" s="656" t="s">
        <v>4198</v>
      </c>
      <c r="H5417" s="656" t="s">
        <v>1300</v>
      </c>
      <c r="I5417" s="656" t="s">
        <v>14976</v>
      </c>
      <c r="J5417" s="656"/>
      <c r="K5417" s="656"/>
      <c r="L5417" s="656"/>
      <c r="M5417" s="657"/>
      <c r="N5417" s="1482"/>
      <c r="O5417" s="656" t="s">
        <v>498</v>
      </c>
      <c r="P5417" s="656" t="s">
        <v>13052</v>
      </c>
      <c r="Q5417" s="656">
        <v>44216.757071759261</v>
      </c>
    </row>
    <row r="5418" spans="1:17">
      <c r="A5418" s="656" t="s">
        <v>13772</v>
      </c>
      <c r="B5418" s="657" t="s">
        <v>202</v>
      </c>
      <c r="C5418" s="656" t="s">
        <v>13773</v>
      </c>
      <c r="D5418" s="657" t="s">
        <v>13789</v>
      </c>
      <c r="E5418" s="657"/>
      <c r="F5418" s="656" t="s">
        <v>1300</v>
      </c>
      <c r="G5418" s="656" t="s">
        <v>4198</v>
      </c>
      <c r="H5418" s="656" t="s">
        <v>1300</v>
      </c>
      <c r="I5418" s="656" t="s">
        <v>14976</v>
      </c>
      <c r="J5418" s="656"/>
      <c r="K5418" s="656"/>
      <c r="L5418" s="656"/>
      <c r="M5418" s="657"/>
      <c r="N5418" s="1482"/>
      <c r="O5418" s="656" t="s">
        <v>498</v>
      </c>
      <c r="P5418" s="656" t="s">
        <v>13052</v>
      </c>
      <c r="Q5418" s="656">
        <v>44216.757060185184</v>
      </c>
    </row>
    <row r="5419" spans="1:17">
      <c r="A5419" s="656" t="s">
        <v>13770</v>
      </c>
      <c r="B5419" s="657" t="s">
        <v>202</v>
      </c>
      <c r="C5419" s="656" t="s">
        <v>13771</v>
      </c>
      <c r="D5419" s="657" t="s">
        <v>14978</v>
      </c>
      <c r="E5419" s="657"/>
      <c r="F5419" s="656" t="s">
        <v>1300</v>
      </c>
      <c r="G5419" s="656" t="s">
        <v>4198</v>
      </c>
      <c r="H5419" s="656" t="s">
        <v>1300</v>
      </c>
      <c r="I5419" s="656" t="s">
        <v>14976</v>
      </c>
      <c r="J5419" s="656"/>
      <c r="K5419" s="656"/>
      <c r="L5419" s="656" t="s">
        <v>13767</v>
      </c>
      <c r="M5419" s="657"/>
      <c r="N5419" s="1482"/>
      <c r="O5419" s="656" t="s">
        <v>498</v>
      </c>
      <c r="P5419" s="656" t="s">
        <v>13052</v>
      </c>
      <c r="Q5419" s="656">
        <v>44216.757060185184</v>
      </c>
    </row>
    <row r="5420" spans="1:17">
      <c r="A5420" s="656" t="s">
        <v>13767</v>
      </c>
      <c r="B5420" s="657" t="s">
        <v>202</v>
      </c>
      <c r="C5420" s="656" t="s">
        <v>13768</v>
      </c>
      <c r="D5420" s="657" t="s">
        <v>13789</v>
      </c>
      <c r="E5420" s="657"/>
      <c r="F5420" s="656" t="s">
        <v>1300</v>
      </c>
      <c r="G5420" s="656" t="s">
        <v>4198</v>
      </c>
      <c r="H5420" s="656" t="s">
        <v>1300</v>
      </c>
      <c r="I5420" s="656" t="s">
        <v>14976</v>
      </c>
      <c r="J5420" s="656"/>
      <c r="K5420" s="656"/>
      <c r="L5420" s="656"/>
      <c r="M5420" s="657"/>
      <c r="N5420" s="1482"/>
      <c r="O5420" s="656" t="s">
        <v>498</v>
      </c>
      <c r="P5420" s="656" t="s">
        <v>13052</v>
      </c>
      <c r="Q5420" s="656">
        <v>44216.757048611114</v>
      </c>
    </row>
    <row r="5421" spans="1:17">
      <c r="A5421" s="656" t="s">
        <v>7860</v>
      </c>
      <c r="B5421" s="657"/>
      <c r="C5421" s="656" t="s">
        <v>7861</v>
      </c>
      <c r="D5421" s="657" t="s">
        <v>13789</v>
      </c>
      <c r="E5421" s="657"/>
      <c r="F5421" s="656"/>
      <c r="G5421" s="656" t="s">
        <v>5045</v>
      </c>
      <c r="H5421" s="656"/>
      <c r="I5421" s="656" t="s">
        <v>14976</v>
      </c>
      <c r="J5421" s="656"/>
      <c r="K5421" s="656"/>
      <c r="L5421" s="656"/>
      <c r="M5421" s="657"/>
      <c r="N5421" s="1482"/>
      <c r="O5421" s="656" t="s">
        <v>498</v>
      </c>
      <c r="P5421" s="656" t="s">
        <v>13052</v>
      </c>
      <c r="Q5421" s="656">
        <v>44216.757037037038</v>
      </c>
    </row>
    <row r="5422" spans="1:17">
      <c r="A5422" s="656" t="s">
        <v>7862</v>
      </c>
      <c r="B5422" s="657" t="s">
        <v>504</v>
      </c>
      <c r="C5422" s="656" t="s">
        <v>7863</v>
      </c>
      <c r="D5422" s="657"/>
      <c r="E5422" s="657"/>
      <c r="F5422" s="656"/>
      <c r="G5422" s="656" t="s">
        <v>5642</v>
      </c>
      <c r="H5422" s="656"/>
      <c r="I5422" s="656"/>
      <c r="J5422" s="656"/>
      <c r="K5422" s="656"/>
      <c r="L5422" s="656"/>
      <c r="M5422" s="657"/>
      <c r="N5422" s="1482"/>
      <c r="O5422" s="656" t="s">
        <v>498</v>
      </c>
      <c r="P5422" s="656" t="s">
        <v>13052</v>
      </c>
      <c r="Q5422" s="656">
        <v>44216.757037037038</v>
      </c>
    </row>
    <row r="5423" spans="1:17">
      <c r="A5423" s="656" t="s">
        <v>7864</v>
      </c>
      <c r="B5423" s="657" t="s">
        <v>531</v>
      </c>
      <c r="C5423" s="656" t="s">
        <v>7865</v>
      </c>
      <c r="D5423" s="657" t="s">
        <v>14978</v>
      </c>
      <c r="E5423" s="657"/>
      <c r="F5423" s="656"/>
      <c r="G5423" s="656" t="s">
        <v>5642</v>
      </c>
      <c r="H5423" s="656"/>
      <c r="I5423" s="656" t="s">
        <v>14976</v>
      </c>
      <c r="J5423" s="656"/>
      <c r="K5423" s="656"/>
      <c r="L5423" s="656" t="s">
        <v>7866</v>
      </c>
      <c r="M5423" s="657"/>
      <c r="N5423" s="1482"/>
      <c r="O5423" s="656" t="s">
        <v>498</v>
      </c>
      <c r="P5423" s="656" t="s">
        <v>13052</v>
      </c>
      <c r="Q5423" s="656">
        <v>44216.757025462961</v>
      </c>
    </row>
    <row r="5424" spans="1:17">
      <c r="A5424" s="656" t="s">
        <v>7866</v>
      </c>
      <c r="B5424" s="657" t="s">
        <v>504</v>
      </c>
      <c r="C5424" s="656" t="s">
        <v>7867</v>
      </c>
      <c r="D5424" s="657"/>
      <c r="E5424" s="657"/>
      <c r="F5424" s="656" t="s">
        <v>3731</v>
      </c>
      <c r="G5424" s="656" t="s">
        <v>5642</v>
      </c>
      <c r="H5424" s="656" t="s">
        <v>3731</v>
      </c>
      <c r="I5424" s="656"/>
      <c r="J5424" s="656"/>
      <c r="K5424" s="656"/>
      <c r="L5424" s="656"/>
      <c r="M5424" s="657"/>
      <c r="N5424" s="1482"/>
      <c r="O5424" s="656" t="s">
        <v>498</v>
      </c>
      <c r="P5424" s="656" t="s">
        <v>13052</v>
      </c>
      <c r="Q5424" s="656">
        <v>44216.757013888891</v>
      </c>
    </row>
    <row r="5425" spans="1:17">
      <c r="A5425" s="656" t="s">
        <v>7868</v>
      </c>
      <c r="B5425" s="657" t="s">
        <v>504</v>
      </c>
      <c r="C5425" s="656" t="s">
        <v>7869</v>
      </c>
      <c r="D5425" s="657"/>
      <c r="E5425" s="657"/>
      <c r="F5425" s="656"/>
      <c r="G5425" s="656" t="s">
        <v>5642</v>
      </c>
      <c r="H5425" s="656"/>
      <c r="I5425" s="656"/>
      <c r="J5425" s="656"/>
      <c r="K5425" s="656"/>
      <c r="L5425" s="656"/>
      <c r="M5425" s="657"/>
      <c r="N5425" s="1482"/>
      <c r="O5425" s="656" t="s">
        <v>498</v>
      </c>
      <c r="P5425" s="656" t="s">
        <v>13052</v>
      </c>
      <c r="Q5425" s="656">
        <v>44216.757013888891</v>
      </c>
    </row>
    <row r="5426" spans="1:17">
      <c r="A5426" s="656" t="s">
        <v>7870</v>
      </c>
      <c r="B5426" s="657" t="s">
        <v>504</v>
      </c>
      <c r="C5426" s="656" t="s">
        <v>7871</v>
      </c>
      <c r="D5426" s="657"/>
      <c r="E5426" s="657"/>
      <c r="F5426" s="656"/>
      <c r="G5426" s="656" t="s">
        <v>4362</v>
      </c>
      <c r="H5426" s="656"/>
      <c r="I5426" s="656"/>
      <c r="J5426" s="656"/>
      <c r="K5426" s="656"/>
      <c r="L5426" s="656"/>
      <c r="M5426" s="657"/>
      <c r="N5426" s="1482"/>
      <c r="O5426" s="656" t="s">
        <v>498</v>
      </c>
      <c r="P5426" s="656" t="s">
        <v>13052</v>
      </c>
      <c r="Q5426" s="656">
        <v>44216.757002314815</v>
      </c>
    </row>
    <row r="5427" spans="1:17">
      <c r="A5427" s="656" t="s">
        <v>10428</v>
      </c>
      <c r="B5427" s="657" t="s">
        <v>202</v>
      </c>
      <c r="C5427" s="656" t="s">
        <v>3919</v>
      </c>
      <c r="D5427" s="657" t="s">
        <v>1239</v>
      </c>
      <c r="E5427" s="657"/>
      <c r="F5427" s="656" t="s">
        <v>655</v>
      </c>
      <c r="G5427" s="656" t="s">
        <v>1078</v>
      </c>
      <c r="H5427" s="656" t="s">
        <v>655</v>
      </c>
      <c r="I5427" s="656" t="s">
        <v>14976</v>
      </c>
      <c r="J5427" s="656"/>
      <c r="K5427" s="656"/>
      <c r="L5427" s="656" t="s">
        <v>7872</v>
      </c>
      <c r="M5427" s="657"/>
      <c r="N5427" s="1482"/>
      <c r="O5427" s="656" t="s">
        <v>498</v>
      </c>
      <c r="P5427" s="656" t="s">
        <v>13052</v>
      </c>
      <c r="Q5427" s="656">
        <v>44216.757002314815</v>
      </c>
    </row>
    <row r="5428" spans="1:17">
      <c r="A5428" s="656" t="s">
        <v>7872</v>
      </c>
      <c r="B5428" s="657" t="s">
        <v>202</v>
      </c>
      <c r="C5428" s="656" t="s">
        <v>7873</v>
      </c>
      <c r="D5428" s="657" t="s">
        <v>1239</v>
      </c>
      <c r="E5428" s="657"/>
      <c r="F5428" s="656" t="s">
        <v>655</v>
      </c>
      <c r="G5428" s="656" t="s">
        <v>1078</v>
      </c>
      <c r="H5428" s="656" t="s">
        <v>655</v>
      </c>
      <c r="I5428" s="656" t="s">
        <v>14976</v>
      </c>
      <c r="J5428" s="656" t="s">
        <v>15281</v>
      </c>
      <c r="K5428" s="656"/>
      <c r="L5428" s="656"/>
      <c r="M5428" s="657"/>
      <c r="N5428" s="1482"/>
      <c r="O5428" s="656" t="s">
        <v>498</v>
      </c>
      <c r="P5428" s="656" t="s">
        <v>13052</v>
      </c>
      <c r="Q5428" s="656">
        <v>44216.757002314815</v>
      </c>
    </row>
    <row r="5429" spans="1:17">
      <c r="A5429" s="656" t="s">
        <v>13763</v>
      </c>
      <c r="B5429" s="657" t="s">
        <v>202</v>
      </c>
      <c r="C5429" s="656" t="s">
        <v>13764</v>
      </c>
      <c r="D5429" s="657" t="s">
        <v>13789</v>
      </c>
      <c r="E5429" s="657"/>
      <c r="F5429" s="656"/>
      <c r="G5429" s="656" t="s">
        <v>5238</v>
      </c>
      <c r="H5429" s="656"/>
      <c r="I5429" s="656" t="s">
        <v>14976</v>
      </c>
      <c r="J5429" s="656"/>
      <c r="K5429" s="656"/>
      <c r="L5429" s="656"/>
      <c r="M5429" s="657"/>
      <c r="N5429" s="1482"/>
      <c r="O5429" s="656" t="s">
        <v>498</v>
      </c>
      <c r="P5429" s="656" t="s">
        <v>13052</v>
      </c>
      <c r="Q5429" s="656">
        <v>44216.756990740738</v>
      </c>
    </row>
    <row r="5430" spans="1:17">
      <c r="A5430" s="656" t="s">
        <v>13761</v>
      </c>
      <c r="B5430" s="657" t="s">
        <v>202</v>
      </c>
      <c r="C5430" s="656" t="s">
        <v>13762</v>
      </c>
      <c r="D5430" s="657" t="s">
        <v>14978</v>
      </c>
      <c r="E5430" s="657"/>
      <c r="F5430" s="656"/>
      <c r="G5430" s="656" t="s">
        <v>5238</v>
      </c>
      <c r="H5430" s="656"/>
      <c r="I5430" s="656" t="s">
        <v>14976</v>
      </c>
      <c r="J5430" s="656"/>
      <c r="K5430" s="656"/>
      <c r="L5430" s="656" t="s">
        <v>7874</v>
      </c>
      <c r="M5430" s="657"/>
      <c r="N5430" s="1482"/>
      <c r="O5430" s="656" t="s">
        <v>498</v>
      </c>
      <c r="P5430" s="656" t="s">
        <v>13052</v>
      </c>
      <c r="Q5430" s="656">
        <v>44216.756990740738</v>
      </c>
    </row>
    <row r="5431" spans="1:17">
      <c r="A5431" s="656" t="s">
        <v>13758</v>
      </c>
      <c r="B5431" s="657" t="s">
        <v>202</v>
      </c>
      <c r="C5431" s="656" t="s">
        <v>13759</v>
      </c>
      <c r="D5431" s="657" t="s">
        <v>14978</v>
      </c>
      <c r="E5431" s="657"/>
      <c r="F5431" s="656"/>
      <c r="G5431" s="656" t="s">
        <v>5238</v>
      </c>
      <c r="H5431" s="656"/>
      <c r="I5431" s="656" t="s">
        <v>14976</v>
      </c>
      <c r="J5431" s="656"/>
      <c r="K5431" s="656"/>
      <c r="L5431" s="656" t="s">
        <v>7874</v>
      </c>
      <c r="M5431" s="657"/>
      <c r="N5431" s="1482"/>
      <c r="O5431" s="656" t="s">
        <v>498</v>
      </c>
      <c r="P5431" s="656" t="s">
        <v>13052</v>
      </c>
      <c r="Q5431" s="656">
        <v>44216.756979166668</v>
      </c>
    </row>
    <row r="5432" spans="1:17">
      <c r="A5432" s="656" t="s">
        <v>7874</v>
      </c>
      <c r="B5432" s="657"/>
      <c r="C5432" s="656" t="s">
        <v>7875</v>
      </c>
      <c r="D5432" s="657" t="s">
        <v>13789</v>
      </c>
      <c r="E5432" s="657"/>
      <c r="F5432" s="656"/>
      <c r="G5432" s="656"/>
      <c r="H5432" s="656"/>
      <c r="I5432" s="656" t="s">
        <v>14976</v>
      </c>
      <c r="J5432" s="656"/>
      <c r="K5432" s="656"/>
      <c r="L5432" s="656"/>
      <c r="M5432" s="657"/>
      <c r="N5432" s="1482"/>
      <c r="O5432" s="656" t="s">
        <v>498</v>
      </c>
      <c r="P5432" s="656" t="s">
        <v>13052</v>
      </c>
      <c r="Q5432" s="656">
        <v>44216.756979166668</v>
      </c>
    </row>
    <row r="5433" spans="1:17">
      <c r="A5433" s="656" t="s">
        <v>13754</v>
      </c>
      <c r="B5433" s="657" t="s">
        <v>202</v>
      </c>
      <c r="C5433" s="656" t="s">
        <v>13755</v>
      </c>
      <c r="D5433" s="657" t="s">
        <v>13789</v>
      </c>
      <c r="E5433" s="657"/>
      <c r="F5433" s="656"/>
      <c r="G5433" s="656" t="s">
        <v>5238</v>
      </c>
      <c r="H5433" s="656"/>
      <c r="I5433" s="656" t="s">
        <v>14976</v>
      </c>
      <c r="J5433" s="656"/>
      <c r="K5433" s="656"/>
      <c r="L5433" s="656"/>
      <c r="M5433" s="657"/>
      <c r="N5433" s="1482"/>
      <c r="O5433" s="656" t="s">
        <v>498</v>
      </c>
      <c r="P5433" s="656" t="s">
        <v>13052</v>
      </c>
      <c r="Q5433" s="656">
        <v>44216.756967592592</v>
      </c>
    </row>
    <row r="5434" spans="1:17">
      <c r="A5434" s="656" t="s">
        <v>7876</v>
      </c>
      <c r="B5434" s="657"/>
      <c r="C5434" s="656" t="s">
        <v>7877</v>
      </c>
      <c r="D5434" s="657" t="s">
        <v>13789</v>
      </c>
      <c r="E5434" s="657"/>
      <c r="F5434" s="656"/>
      <c r="G5434" s="656"/>
      <c r="H5434" s="656"/>
      <c r="I5434" s="656" t="s">
        <v>14976</v>
      </c>
      <c r="J5434" s="656"/>
      <c r="K5434" s="656"/>
      <c r="L5434" s="656"/>
      <c r="M5434" s="657"/>
      <c r="N5434" s="1482"/>
      <c r="O5434" s="656" t="s">
        <v>498</v>
      </c>
      <c r="P5434" s="656" t="s">
        <v>13052</v>
      </c>
      <c r="Q5434" s="656">
        <v>44216.756967592592</v>
      </c>
    </row>
    <row r="5435" spans="1:17">
      <c r="A5435" s="656" t="s">
        <v>10422</v>
      </c>
      <c r="B5435" s="657" t="s">
        <v>202</v>
      </c>
      <c r="C5435" s="656" t="s">
        <v>13752</v>
      </c>
      <c r="D5435" s="657" t="s">
        <v>14978</v>
      </c>
      <c r="E5435" s="657"/>
      <c r="F5435" s="656"/>
      <c r="G5435" s="656" t="s">
        <v>5238</v>
      </c>
      <c r="H5435" s="656"/>
      <c r="I5435" s="656" t="s">
        <v>14976</v>
      </c>
      <c r="J5435" s="656"/>
      <c r="K5435" s="656"/>
      <c r="L5435" s="656" t="s">
        <v>13748</v>
      </c>
      <c r="M5435" s="657"/>
      <c r="N5435" s="1482"/>
      <c r="O5435" s="656" t="s">
        <v>498</v>
      </c>
      <c r="P5435" s="656" t="s">
        <v>13052</v>
      </c>
      <c r="Q5435" s="656">
        <v>44216.756956018522</v>
      </c>
    </row>
    <row r="5436" spans="1:17">
      <c r="A5436" s="656" t="s">
        <v>13748</v>
      </c>
      <c r="B5436" s="657" t="s">
        <v>202</v>
      </c>
      <c r="C5436" s="656" t="s">
        <v>13749</v>
      </c>
      <c r="D5436" s="657" t="s">
        <v>13789</v>
      </c>
      <c r="E5436" s="657"/>
      <c r="F5436" s="656" t="s">
        <v>655</v>
      </c>
      <c r="G5436" s="656" t="s">
        <v>5238</v>
      </c>
      <c r="H5436" s="656" t="s">
        <v>655</v>
      </c>
      <c r="I5436" s="656" t="s">
        <v>14976</v>
      </c>
      <c r="J5436" s="656"/>
      <c r="K5436" s="656"/>
      <c r="L5436" s="656"/>
      <c r="M5436" s="657"/>
      <c r="N5436" s="1482"/>
      <c r="O5436" s="656" t="s">
        <v>498</v>
      </c>
      <c r="P5436" s="656" t="s">
        <v>13052</v>
      </c>
      <c r="Q5436" s="656">
        <v>44216.756956018522</v>
      </c>
    </row>
    <row r="5437" spans="1:17">
      <c r="A5437" s="656" t="s">
        <v>7878</v>
      </c>
      <c r="B5437" s="657"/>
      <c r="C5437" s="656" t="s">
        <v>7879</v>
      </c>
      <c r="D5437" s="657" t="s">
        <v>13789</v>
      </c>
      <c r="E5437" s="657"/>
      <c r="F5437" s="656"/>
      <c r="G5437" s="656" t="s">
        <v>5045</v>
      </c>
      <c r="H5437" s="656"/>
      <c r="I5437" s="656" t="s">
        <v>14976</v>
      </c>
      <c r="J5437" s="656"/>
      <c r="K5437" s="656"/>
      <c r="L5437" s="656"/>
      <c r="M5437" s="657"/>
      <c r="N5437" s="1482"/>
      <c r="O5437" s="656" t="s">
        <v>498</v>
      </c>
      <c r="P5437" s="656" t="s">
        <v>13052</v>
      </c>
      <c r="Q5437" s="656">
        <v>44216.756944444445</v>
      </c>
    </row>
    <row r="5438" spans="1:17">
      <c r="A5438" s="656" t="s">
        <v>7880</v>
      </c>
      <c r="B5438" s="657" t="s">
        <v>504</v>
      </c>
      <c r="C5438" s="656" t="s">
        <v>7881</v>
      </c>
      <c r="D5438" s="657"/>
      <c r="E5438" s="657"/>
      <c r="F5438" s="656"/>
      <c r="G5438" s="656" t="s">
        <v>5103</v>
      </c>
      <c r="H5438" s="656"/>
      <c r="I5438" s="656"/>
      <c r="J5438" s="656"/>
      <c r="K5438" s="656"/>
      <c r="L5438" s="656"/>
      <c r="M5438" s="657"/>
      <c r="N5438" s="1482"/>
      <c r="O5438" s="656" t="s">
        <v>498</v>
      </c>
      <c r="P5438" s="656" t="s">
        <v>13052</v>
      </c>
      <c r="Q5438" s="656">
        <v>44216.756944444445</v>
      </c>
    </row>
    <row r="5439" spans="1:17">
      <c r="A5439" s="656" t="s">
        <v>7882</v>
      </c>
      <c r="B5439" s="657" t="s">
        <v>504</v>
      </c>
      <c r="C5439" s="656" t="s">
        <v>7883</v>
      </c>
      <c r="D5439" s="657"/>
      <c r="E5439" s="657"/>
      <c r="F5439" s="656"/>
      <c r="G5439" s="656" t="s">
        <v>5103</v>
      </c>
      <c r="H5439" s="656"/>
      <c r="I5439" s="656"/>
      <c r="J5439" s="656"/>
      <c r="K5439" s="656"/>
      <c r="L5439" s="656"/>
      <c r="M5439" s="657"/>
      <c r="N5439" s="1482"/>
      <c r="O5439" s="656" t="s">
        <v>498</v>
      </c>
      <c r="P5439" s="656" t="s">
        <v>13052</v>
      </c>
      <c r="Q5439" s="656">
        <v>44216.756932870368</v>
      </c>
    </row>
    <row r="5440" spans="1:17">
      <c r="A5440" s="656" t="s">
        <v>7884</v>
      </c>
      <c r="B5440" s="657"/>
      <c r="C5440" s="656" t="s">
        <v>7885</v>
      </c>
      <c r="D5440" s="657" t="s">
        <v>14978</v>
      </c>
      <c r="E5440" s="657"/>
      <c r="F5440" s="656"/>
      <c r="G5440" s="656" t="s">
        <v>5103</v>
      </c>
      <c r="H5440" s="656"/>
      <c r="I5440" s="656" t="s">
        <v>14976</v>
      </c>
      <c r="J5440" s="656"/>
      <c r="K5440" s="656"/>
      <c r="L5440" s="656" t="s">
        <v>7886</v>
      </c>
      <c r="M5440" s="657"/>
      <c r="N5440" s="1482"/>
      <c r="O5440" s="656" t="s">
        <v>498</v>
      </c>
      <c r="P5440" s="656" t="s">
        <v>13052</v>
      </c>
      <c r="Q5440" s="656">
        <v>44216.756932870368</v>
      </c>
    </row>
    <row r="5441" spans="1:17">
      <c r="A5441" s="656" t="s">
        <v>7886</v>
      </c>
      <c r="B5441" s="657" t="s">
        <v>504</v>
      </c>
      <c r="C5441" s="656" t="s">
        <v>7887</v>
      </c>
      <c r="D5441" s="657"/>
      <c r="E5441" s="657"/>
      <c r="F5441" s="656"/>
      <c r="G5441" s="656" t="s">
        <v>5103</v>
      </c>
      <c r="H5441" s="656"/>
      <c r="I5441" s="656"/>
      <c r="J5441" s="656"/>
      <c r="K5441" s="656"/>
      <c r="L5441" s="656"/>
      <c r="M5441" s="657"/>
      <c r="N5441" s="1482"/>
      <c r="O5441" s="656" t="s">
        <v>498</v>
      </c>
      <c r="P5441" s="656" t="s">
        <v>13052</v>
      </c>
      <c r="Q5441" s="656">
        <v>44216.756921296299</v>
      </c>
    </row>
    <row r="5442" spans="1:17">
      <c r="A5442" s="656" t="s">
        <v>7888</v>
      </c>
      <c r="B5442" s="657" t="s">
        <v>504</v>
      </c>
      <c r="C5442" s="656" t="s">
        <v>7889</v>
      </c>
      <c r="D5442" s="657"/>
      <c r="E5442" s="657"/>
      <c r="F5442" s="656" t="s">
        <v>505</v>
      </c>
      <c r="G5442" s="656" t="s">
        <v>4324</v>
      </c>
      <c r="H5442" s="656" t="s">
        <v>505</v>
      </c>
      <c r="I5442" s="656"/>
      <c r="J5442" s="656"/>
      <c r="K5442" s="656"/>
      <c r="L5442" s="656"/>
      <c r="M5442" s="657"/>
      <c r="N5442" s="1482"/>
      <c r="O5442" s="656" t="s">
        <v>498</v>
      </c>
      <c r="P5442" s="656" t="s">
        <v>13052</v>
      </c>
      <c r="Q5442" s="656">
        <v>44216.756921296299</v>
      </c>
    </row>
    <row r="5443" spans="1:17">
      <c r="A5443" s="656" t="s">
        <v>13729</v>
      </c>
      <c r="B5443" s="657" t="s">
        <v>202</v>
      </c>
      <c r="C5443" s="656" t="s">
        <v>13730</v>
      </c>
      <c r="D5443" s="657" t="s">
        <v>14978</v>
      </c>
      <c r="E5443" s="657"/>
      <c r="F5443" s="656" t="s">
        <v>1300</v>
      </c>
      <c r="G5443" s="656" t="s">
        <v>4198</v>
      </c>
      <c r="H5443" s="656" t="s">
        <v>1300</v>
      </c>
      <c r="I5443" s="656" t="s">
        <v>14976</v>
      </c>
      <c r="J5443" s="656"/>
      <c r="K5443" s="656"/>
      <c r="L5443" s="656" t="s">
        <v>13731</v>
      </c>
      <c r="M5443" s="657"/>
      <c r="N5443" s="1482"/>
      <c r="O5443" s="656" t="s">
        <v>498</v>
      </c>
      <c r="P5443" s="656" t="s">
        <v>13052</v>
      </c>
      <c r="Q5443" s="656">
        <v>44216.756909722222</v>
      </c>
    </row>
    <row r="5444" spans="1:17">
      <c r="A5444" s="656" t="s">
        <v>7890</v>
      </c>
      <c r="B5444" s="657" t="s">
        <v>202</v>
      </c>
      <c r="C5444" s="656" t="s">
        <v>7891</v>
      </c>
      <c r="D5444" s="657" t="s">
        <v>1239</v>
      </c>
      <c r="E5444" s="657"/>
      <c r="F5444" s="656" t="s">
        <v>1300</v>
      </c>
      <c r="G5444" s="656" t="s">
        <v>1070</v>
      </c>
      <c r="H5444" s="656" t="s">
        <v>1300</v>
      </c>
      <c r="I5444" s="656" t="s">
        <v>14976</v>
      </c>
      <c r="J5444" s="656" t="s">
        <v>15285</v>
      </c>
      <c r="K5444" s="656"/>
      <c r="L5444" s="656" t="s">
        <v>7896</v>
      </c>
      <c r="M5444" s="657"/>
      <c r="N5444" s="1482"/>
      <c r="O5444" s="656" t="s">
        <v>498</v>
      </c>
      <c r="P5444" s="656" t="s">
        <v>13052</v>
      </c>
      <c r="Q5444" s="656">
        <v>44216.756909722222</v>
      </c>
    </row>
    <row r="5445" spans="1:17">
      <c r="A5445" s="656" t="s">
        <v>7892</v>
      </c>
      <c r="B5445" s="657" t="s">
        <v>202</v>
      </c>
      <c r="C5445" s="656" t="s">
        <v>7893</v>
      </c>
      <c r="D5445" s="657" t="s">
        <v>1239</v>
      </c>
      <c r="E5445" s="657"/>
      <c r="F5445" s="656" t="s">
        <v>1300</v>
      </c>
      <c r="G5445" s="656" t="s">
        <v>1070</v>
      </c>
      <c r="H5445" s="656" t="s">
        <v>1300</v>
      </c>
      <c r="I5445" s="656" t="s">
        <v>14976</v>
      </c>
      <c r="J5445" s="656" t="s">
        <v>15285</v>
      </c>
      <c r="K5445" s="656"/>
      <c r="L5445" s="656" t="s">
        <v>7896</v>
      </c>
      <c r="M5445" s="657"/>
      <c r="N5445" s="1482"/>
      <c r="O5445" s="656" t="s">
        <v>498</v>
      </c>
      <c r="P5445" s="656" t="s">
        <v>13052</v>
      </c>
      <c r="Q5445" s="656">
        <v>44216.756909722222</v>
      </c>
    </row>
    <row r="5446" spans="1:17">
      <c r="A5446" s="656" t="s">
        <v>7894</v>
      </c>
      <c r="B5446" s="657" t="s">
        <v>202</v>
      </c>
      <c r="C5446" s="656" t="s">
        <v>7895</v>
      </c>
      <c r="D5446" s="657" t="s">
        <v>1239</v>
      </c>
      <c r="E5446" s="657"/>
      <c r="F5446" s="656" t="s">
        <v>1300</v>
      </c>
      <c r="G5446" s="656" t="s">
        <v>1070</v>
      </c>
      <c r="H5446" s="656" t="s">
        <v>1300</v>
      </c>
      <c r="I5446" s="656" t="s">
        <v>14976</v>
      </c>
      <c r="J5446" s="656" t="s">
        <v>15285</v>
      </c>
      <c r="K5446" s="656"/>
      <c r="L5446" s="656" t="s">
        <v>7896</v>
      </c>
      <c r="M5446" s="657"/>
      <c r="N5446" s="1482"/>
      <c r="O5446" s="656" t="s">
        <v>498</v>
      </c>
      <c r="P5446" s="656" t="s">
        <v>13052</v>
      </c>
      <c r="Q5446" s="656">
        <v>44216.756898148145</v>
      </c>
    </row>
    <row r="5447" spans="1:17">
      <c r="A5447" s="656" t="s">
        <v>7896</v>
      </c>
      <c r="B5447" s="657" t="s">
        <v>202</v>
      </c>
      <c r="C5447" s="656" t="s">
        <v>7897</v>
      </c>
      <c r="D5447" s="657" t="s">
        <v>1239</v>
      </c>
      <c r="E5447" s="657"/>
      <c r="F5447" s="656" t="s">
        <v>1300</v>
      </c>
      <c r="G5447" s="656" t="s">
        <v>1070</v>
      </c>
      <c r="H5447" s="656" t="s">
        <v>1300</v>
      </c>
      <c r="I5447" s="656" t="s">
        <v>14976</v>
      </c>
      <c r="J5447" s="656" t="s">
        <v>15285</v>
      </c>
      <c r="K5447" s="656"/>
      <c r="L5447" s="656"/>
      <c r="M5447" s="657"/>
      <c r="N5447" s="1482"/>
      <c r="O5447" s="656" t="s">
        <v>498</v>
      </c>
      <c r="P5447" s="656" t="s">
        <v>13052</v>
      </c>
      <c r="Q5447" s="656">
        <v>44216.756898148145</v>
      </c>
    </row>
    <row r="5448" spans="1:17">
      <c r="A5448" s="656" t="s">
        <v>13722</v>
      </c>
      <c r="B5448" s="657" t="s">
        <v>202</v>
      </c>
      <c r="C5448" s="656" t="s">
        <v>13723</v>
      </c>
      <c r="D5448" s="657" t="s">
        <v>14978</v>
      </c>
      <c r="E5448" s="657"/>
      <c r="F5448" s="656" t="s">
        <v>1300</v>
      </c>
      <c r="G5448" s="656" t="s">
        <v>4198</v>
      </c>
      <c r="H5448" s="656" t="s">
        <v>1300</v>
      </c>
      <c r="I5448" s="656" t="s">
        <v>14976</v>
      </c>
      <c r="J5448" s="656"/>
      <c r="K5448" s="656"/>
      <c r="L5448" s="656" t="s">
        <v>13717</v>
      </c>
      <c r="M5448" s="657"/>
      <c r="N5448" s="1482"/>
      <c r="O5448" s="656" t="s">
        <v>498</v>
      </c>
      <c r="P5448" s="656" t="s">
        <v>13052</v>
      </c>
      <c r="Q5448" s="656">
        <v>44216.756886574076</v>
      </c>
    </row>
    <row r="5449" spans="1:17">
      <c r="A5449" s="656" t="s">
        <v>13720</v>
      </c>
      <c r="B5449" s="657" t="s">
        <v>202</v>
      </c>
      <c r="C5449" s="656" t="s">
        <v>13721</v>
      </c>
      <c r="D5449" s="657" t="s">
        <v>14978</v>
      </c>
      <c r="E5449" s="657"/>
      <c r="F5449" s="656" t="s">
        <v>1300</v>
      </c>
      <c r="G5449" s="656" t="s">
        <v>4198</v>
      </c>
      <c r="H5449" s="656" t="s">
        <v>1300</v>
      </c>
      <c r="I5449" s="656" t="s">
        <v>14976</v>
      </c>
      <c r="J5449" s="656"/>
      <c r="K5449" s="656"/>
      <c r="L5449" s="656" t="s">
        <v>13717</v>
      </c>
      <c r="M5449" s="657"/>
      <c r="N5449" s="1482"/>
      <c r="O5449" s="656" t="s">
        <v>498</v>
      </c>
      <c r="P5449" s="656" t="s">
        <v>13052</v>
      </c>
      <c r="Q5449" s="656">
        <v>44216.756886574076</v>
      </c>
    </row>
    <row r="5450" spans="1:17">
      <c r="A5450" s="656" t="s">
        <v>13717</v>
      </c>
      <c r="B5450" s="657" t="s">
        <v>202</v>
      </c>
      <c r="C5450" s="656" t="s">
        <v>13718</v>
      </c>
      <c r="D5450" s="657" t="s">
        <v>14977</v>
      </c>
      <c r="E5450" s="657"/>
      <c r="F5450" s="656" t="s">
        <v>1300</v>
      </c>
      <c r="G5450" s="656" t="s">
        <v>4198</v>
      </c>
      <c r="H5450" s="656" t="s">
        <v>1300</v>
      </c>
      <c r="I5450" s="656" t="s">
        <v>14976</v>
      </c>
      <c r="J5450" s="656"/>
      <c r="K5450" s="656"/>
      <c r="L5450" s="656" t="s">
        <v>13717</v>
      </c>
      <c r="M5450" s="657"/>
      <c r="N5450" s="1482"/>
      <c r="O5450" s="656" t="s">
        <v>498</v>
      </c>
      <c r="P5450" s="656" t="s">
        <v>13052</v>
      </c>
      <c r="Q5450" s="656">
        <v>44216.756886574076</v>
      </c>
    </row>
    <row r="5451" spans="1:17">
      <c r="A5451" s="656" t="s">
        <v>7898</v>
      </c>
      <c r="B5451" s="657" t="s">
        <v>202</v>
      </c>
      <c r="C5451" s="656" t="s">
        <v>7899</v>
      </c>
      <c r="D5451" s="657" t="s">
        <v>1239</v>
      </c>
      <c r="E5451" s="657"/>
      <c r="F5451" s="656" t="s">
        <v>1300</v>
      </c>
      <c r="G5451" s="656"/>
      <c r="H5451" s="656" t="s">
        <v>1300</v>
      </c>
      <c r="I5451" s="656" t="s">
        <v>14976</v>
      </c>
      <c r="J5451" s="656"/>
      <c r="K5451" s="656"/>
      <c r="L5451" s="656"/>
      <c r="M5451" s="657"/>
      <c r="N5451" s="1482"/>
      <c r="O5451" s="656" t="s">
        <v>498</v>
      </c>
      <c r="P5451" s="656" t="s">
        <v>13052</v>
      </c>
      <c r="Q5451" s="656">
        <v>44216.756874999999</v>
      </c>
    </row>
    <row r="5452" spans="1:17">
      <c r="A5452" s="656" t="s">
        <v>13707</v>
      </c>
      <c r="B5452" s="657" t="s">
        <v>202</v>
      </c>
      <c r="C5452" s="656" t="s">
        <v>13708</v>
      </c>
      <c r="D5452" s="657" t="s">
        <v>14977</v>
      </c>
      <c r="E5452" s="657"/>
      <c r="F5452" s="656" t="s">
        <v>1300</v>
      </c>
      <c r="G5452" s="656" t="s">
        <v>4198</v>
      </c>
      <c r="H5452" s="656" t="s">
        <v>1300</v>
      </c>
      <c r="I5452" s="656" t="s">
        <v>14976</v>
      </c>
      <c r="J5452" s="656"/>
      <c r="K5452" s="656"/>
      <c r="L5452" s="656" t="s">
        <v>13707</v>
      </c>
      <c r="M5452" s="657"/>
      <c r="N5452" s="1482"/>
      <c r="O5452" s="656" t="s">
        <v>498</v>
      </c>
      <c r="P5452" s="656" t="s">
        <v>13052</v>
      </c>
      <c r="Q5452" s="656">
        <v>44216.756874999999</v>
      </c>
    </row>
    <row r="5453" spans="1:17">
      <c r="A5453" s="656" t="s">
        <v>13704</v>
      </c>
      <c r="B5453" s="657" t="s">
        <v>202</v>
      </c>
      <c r="C5453" s="656" t="s">
        <v>13705</v>
      </c>
      <c r="D5453" s="657" t="s">
        <v>14977</v>
      </c>
      <c r="E5453" s="657"/>
      <c r="F5453" s="656" t="s">
        <v>1300</v>
      </c>
      <c r="G5453" s="656" t="s">
        <v>4198</v>
      </c>
      <c r="H5453" s="656" t="s">
        <v>1300</v>
      </c>
      <c r="I5453" s="656" t="s">
        <v>14976</v>
      </c>
      <c r="J5453" s="656"/>
      <c r="K5453" s="656"/>
      <c r="L5453" s="656" t="s">
        <v>13704</v>
      </c>
      <c r="M5453" s="657"/>
      <c r="N5453" s="1482"/>
      <c r="O5453" s="656" t="s">
        <v>498</v>
      </c>
      <c r="P5453" s="656" t="s">
        <v>13052</v>
      </c>
      <c r="Q5453" s="656">
        <v>44216.756863425922</v>
      </c>
    </row>
    <row r="5454" spans="1:17">
      <c r="A5454" s="656" t="s">
        <v>7900</v>
      </c>
      <c r="B5454" s="657" t="s">
        <v>504</v>
      </c>
      <c r="C5454" s="656" t="s">
        <v>7901</v>
      </c>
      <c r="D5454" s="657"/>
      <c r="E5454" s="657"/>
      <c r="F5454" s="656" t="s">
        <v>505</v>
      </c>
      <c r="G5454" s="656" t="s">
        <v>4394</v>
      </c>
      <c r="H5454" s="656" t="s">
        <v>505</v>
      </c>
      <c r="I5454" s="656"/>
      <c r="J5454" s="656"/>
      <c r="K5454" s="656"/>
      <c r="L5454" s="656"/>
      <c r="M5454" s="657"/>
      <c r="N5454" s="1482"/>
      <c r="O5454" s="656" t="s">
        <v>498</v>
      </c>
      <c r="P5454" s="656" t="s">
        <v>13052</v>
      </c>
      <c r="Q5454" s="656">
        <v>44216.756863425922</v>
      </c>
    </row>
    <row r="5455" spans="1:17">
      <c r="A5455" s="656" t="s">
        <v>7902</v>
      </c>
      <c r="B5455" s="657" t="s">
        <v>504</v>
      </c>
      <c r="C5455" s="656" t="s">
        <v>7903</v>
      </c>
      <c r="D5455" s="657"/>
      <c r="E5455" s="657"/>
      <c r="F5455" s="656" t="s">
        <v>505</v>
      </c>
      <c r="G5455" s="656" t="s">
        <v>4394</v>
      </c>
      <c r="H5455" s="656" t="s">
        <v>505</v>
      </c>
      <c r="I5455" s="656"/>
      <c r="J5455" s="656"/>
      <c r="K5455" s="656"/>
      <c r="L5455" s="656"/>
      <c r="M5455" s="657"/>
      <c r="N5455" s="1482"/>
      <c r="O5455" s="656" t="s">
        <v>498</v>
      </c>
      <c r="P5455" s="656" t="s">
        <v>13052</v>
      </c>
      <c r="Q5455" s="656">
        <v>44216.756851851853</v>
      </c>
    </row>
    <row r="5456" spans="1:17">
      <c r="A5456" s="656" t="s">
        <v>7904</v>
      </c>
      <c r="B5456" s="657" t="s">
        <v>504</v>
      </c>
      <c r="C5456" s="656" t="s">
        <v>7905</v>
      </c>
      <c r="D5456" s="657"/>
      <c r="E5456" s="657"/>
      <c r="F5456" s="656" t="s">
        <v>505</v>
      </c>
      <c r="G5456" s="656" t="s">
        <v>4394</v>
      </c>
      <c r="H5456" s="656" t="s">
        <v>505</v>
      </c>
      <c r="I5456" s="656"/>
      <c r="J5456" s="656"/>
      <c r="K5456" s="656"/>
      <c r="L5456" s="656"/>
      <c r="M5456" s="657"/>
      <c r="N5456" s="1482"/>
      <c r="O5456" s="656" t="s">
        <v>498</v>
      </c>
      <c r="P5456" s="656" t="s">
        <v>13052</v>
      </c>
      <c r="Q5456" s="656">
        <v>44216.756851851853</v>
      </c>
    </row>
    <row r="5457" spans="1:17">
      <c r="A5457" s="656" t="s">
        <v>7906</v>
      </c>
      <c r="B5457" s="657" t="s">
        <v>504</v>
      </c>
      <c r="C5457" s="656" t="s">
        <v>7907</v>
      </c>
      <c r="D5457" s="657"/>
      <c r="E5457" s="657"/>
      <c r="F5457" s="656" t="s">
        <v>505</v>
      </c>
      <c r="G5457" s="656" t="s">
        <v>4394</v>
      </c>
      <c r="H5457" s="656" t="s">
        <v>505</v>
      </c>
      <c r="I5457" s="656"/>
      <c r="J5457" s="656"/>
      <c r="K5457" s="656"/>
      <c r="L5457" s="656"/>
      <c r="M5457" s="657"/>
      <c r="N5457" s="1482"/>
      <c r="O5457" s="656" t="s">
        <v>498</v>
      </c>
      <c r="P5457" s="656" t="s">
        <v>13052</v>
      </c>
      <c r="Q5457" s="656">
        <v>44216.756840277776</v>
      </c>
    </row>
    <row r="5458" spans="1:17">
      <c r="A5458" s="656" t="s">
        <v>7908</v>
      </c>
      <c r="B5458" s="657" t="s">
        <v>504</v>
      </c>
      <c r="C5458" s="656" t="s">
        <v>7909</v>
      </c>
      <c r="D5458" s="657"/>
      <c r="E5458" s="657"/>
      <c r="F5458" s="656" t="s">
        <v>505</v>
      </c>
      <c r="G5458" s="656" t="s">
        <v>4394</v>
      </c>
      <c r="H5458" s="656" t="s">
        <v>505</v>
      </c>
      <c r="I5458" s="656"/>
      <c r="J5458" s="656"/>
      <c r="K5458" s="656"/>
      <c r="L5458" s="656"/>
      <c r="M5458" s="657"/>
      <c r="N5458" s="1482"/>
      <c r="O5458" s="656" t="s">
        <v>498</v>
      </c>
      <c r="P5458" s="656" t="s">
        <v>13052</v>
      </c>
      <c r="Q5458" s="656">
        <v>44216.756851851853</v>
      </c>
    </row>
    <row r="5459" spans="1:17">
      <c r="A5459" s="656" t="s">
        <v>7910</v>
      </c>
      <c r="B5459" s="657" t="s">
        <v>504</v>
      </c>
      <c r="C5459" s="656" t="s">
        <v>7911</v>
      </c>
      <c r="D5459" s="657"/>
      <c r="E5459" s="657"/>
      <c r="F5459" s="656" t="s">
        <v>505</v>
      </c>
      <c r="G5459" s="656" t="s">
        <v>4394</v>
      </c>
      <c r="H5459" s="656" t="s">
        <v>505</v>
      </c>
      <c r="I5459" s="656"/>
      <c r="J5459" s="656"/>
      <c r="K5459" s="656"/>
      <c r="L5459" s="656"/>
      <c r="M5459" s="657"/>
      <c r="N5459" s="1482"/>
      <c r="O5459" s="656" t="s">
        <v>498</v>
      </c>
      <c r="P5459" s="656" t="s">
        <v>13052</v>
      </c>
      <c r="Q5459" s="656">
        <v>44216.756840277776</v>
      </c>
    </row>
    <row r="5460" spans="1:17">
      <c r="A5460" s="656" t="s">
        <v>7912</v>
      </c>
      <c r="B5460" s="657" t="s">
        <v>504</v>
      </c>
      <c r="C5460" s="656" t="s">
        <v>7913</v>
      </c>
      <c r="D5460" s="657"/>
      <c r="E5460" s="657"/>
      <c r="F5460" s="656" t="s">
        <v>505</v>
      </c>
      <c r="G5460" s="656" t="s">
        <v>4324</v>
      </c>
      <c r="H5460" s="656" t="s">
        <v>505</v>
      </c>
      <c r="I5460" s="656"/>
      <c r="J5460" s="656"/>
      <c r="K5460" s="656"/>
      <c r="L5460" s="656"/>
      <c r="M5460" s="657"/>
      <c r="N5460" s="1482"/>
      <c r="O5460" s="656" t="s">
        <v>498</v>
      </c>
      <c r="P5460" s="656" t="s">
        <v>13052</v>
      </c>
      <c r="Q5460" s="656">
        <v>44216.756828703707</v>
      </c>
    </row>
    <row r="5461" spans="1:17">
      <c r="A5461" s="656" t="s">
        <v>7914</v>
      </c>
      <c r="B5461" s="657" t="s">
        <v>504</v>
      </c>
      <c r="C5461" s="656" t="s">
        <v>7915</v>
      </c>
      <c r="D5461" s="657"/>
      <c r="E5461" s="657"/>
      <c r="F5461" s="656" t="s">
        <v>505</v>
      </c>
      <c r="G5461" s="656" t="s">
        <v>4394</v>
      </c>
      <c r="H5461" s="656" t="s">
        <v>505</v>
      </c>
      <c r="I5461" s="656"/>
      <c r="J5461" s="656"/>
      <c r="K5461" s="656"/>
      <c r="L5461" s="656"/>
      <c r="M5461" s="657"/>
      <c r="N5461" s="1482"/>
      <c r="O5461" s="656" t="s">
        <v>498</v>
      </c>
      <c r="P5461" s="656" t="s">
        <v>13052</v>
      </c>
      <c r="Q5461" s="656">
        <v>44216.756828703707</v>
      </c>
    </row>
    <row r="5462" spans="1:17">
      <c r="A5462" s="656" t="s">
        <v>7916</v>
      </c>
      <c r="B5462" s="657" t="s">
        <v>504</v>
      </c>
      <c r="C5462" s="656" t="s">
        <v>7917</v>
      </c>
      <c r="D5462" s="657"/>
      <c r="E5462" s="657"/>
      <c r="F5462" s="656" t="s">
        <v>505</v>
      </c>
      <c r="G5462" s="656" t="s">
        <v>4394</v>
      </c>
      <c r="H5462" s="656" t="s">
        <v>505</v>
      </c>
      <c r="I5462" s="656"/>
      <c r="J5462" s="656"/>
      <c r="K5462" s="656"/>
      <c r="L5462" s="656"/>
      <c r="M5462" s="657"/>
      <c r="N5462" s="1482"/>
      <c r="O5462" s="656" t="s">
        <v>498</v>
      </c>
      <c r="P5462" s="656" t="s">
        <v>13052</v>
      </c>
      <c r="Q5462" s="656">
        <v>44216.75681712963</v>
      </c>
    </row>
    <row r="5463" spans="1:17">
      <c r="A5463" s="656" t="s">
        <v>7918</v>
      </c>
      <c r="B5463" s="657" t="s">
        <v>504</v>
      </c>
      <c r="C5463" s="656" t="s">
        <v>7919</v>
      </c>
      <c r="D5463" s="657"/>
      <c r="E5463" s="657"/>
      <c r="F5463" s="656" t="s">
        <v>505</v>
      </c>
      <c r="G5463" s="656" t="s">
        <v>4394</v>
      </c>
      <c r="H5463" s="656" t="s">
        <v>505</v>
      </c>
      <c r="I5463" s="656"/>
      <c r="J5463" s="656"/>
      <c r="K5463" s="656"/>
      <c r="L5463" s="656"/>
      <c r="M5463" s="657"/>
      <c r="N5463" s="1482"/>
      <c r="O5463" s="656" t="s">
        <v>498</v>
      </c>
      <c r="P5463" s="656" t="s">
        <v>13052</v>
      </c>
      <c r="Q5463" s="656">
        <v>44216.75681712963</v>
      </c>
    </row>
    <row r="5464" spans="1:17">
      <c r="A5464" s="656" t="s">
        <v>7920</v>
      </c>
      <c r="B5464" s="657" t="s">
        <v>504</v>
      </c>
      <c r="C5464" s="656" t="s">
        <v>7921</v>
      </c>
      <c r="D5464" s="657"/>
      <c r="E5464" s="657"/>
      <c r="F5464" s="656" t="s">
        <v>505</v>
      </c>
      <c r="G5464" s="656" t="s">
        <v>4394</v>
      </c>
      <c r="H5464" s="656" t="s">
        <v>505</v>
      </c>
      <c r="I5464" s="656"/>
      <c r="J5464" s="656"/>
      <c r="K5464" s="656"/>
      <c r="L5464" s="656"/>
      <c r="M5464" s="657"/>
      <c r="N5464" s="1482"/>
      <c r="O5464" s="656" t="s">
        <v>498</v>
      </c>
      <c r="P5464" s="656" t="s">
        <v>13052</v>
      </c>
      <c r="Q5464" s="656">
        <v>44216.756805555553</v>
      </c>
    </row>
    <row r="5465" spans="1:17">
      <c r="A5465" s="656" t="s">
        <v>7922</v>
      </c>
      <c r="B5465" s="657"/>
      <c r="C5465" s="656" t="s">
        <v>7923</v>
      </c>
      <c r="D5465" s="657" t="s">
        <v>14977</v>
      </c>
      <c r="E5465" s="657"/>
      <c r="F5465" s="656"/>
      <c r="G5465" s="656" t="s">
        <v>5045</v>
      </c>
      <c r="H5465" s="656"/>
      <c r="I5465" s="656" t="s">
        <v>14976</v>
      </c>
      <c r="J5465" s="656"/>
      <c r="K5465" s="656"/>
      <c r="L5465" s="656" t="s">
        <v>7922</v>
      </c>
      <c r="M5465" s="657"/>
      <c r="N5465" s="1482"/>
      <c r="O5465" s="656" t="s">
        <v>498</v>
      </c>
      <c r="P5465" s="656" t="s">
        <v>13052</v>
      </c>
      <c r="Q5465" s="656">
        <v>44216.756805555553</v>
      </c>
    </row>
    <row r="5466" spans="1:17">
      <c r="A5466" s="656" t="s">
        <v>7924</v>
      </c>
      <c r="B5466" s="657"/>
      <c r="C5466" s="656" t="s">
        <v>7925</v>
      </c>
      <c r="D5466" s="657" t="s">
        <v>14977</v>
      </c>
      <c r="E5466" s="657"/>
      <c r="F5466" s="656"/>
      <c r="G5466" s="656" t="s">
        <v>5045</v>
      </c>
      <c r="H5466" s="656"/>
      <c r="I5466" s="656" t="s">
        <v>14976</v>
      </c>
      <c r="J5466" s="656"/>
      <c r="K5466" s="656"/>
      <c r="L5466" s="656" t="s">
        <v>7924</v>
      </c>
      <c r="M5466" s="657"/>
      <c r="N5466" s="1482"/>
      <c r="O5466" s="656" t="s">
        <v>498</v>
      </c>
      <c r="P5466" s="656" t="s">
        <v>13052</v>
      </c>
      <c r="Q5466" s="656">
        <v>44216.756805555553</v>
      </c>
    </row>
    <row r="5467" spans="1:17">
      <c r="A5467" s="656" t="s">
        <v>7926</v>
      </c>
      <c r="B5467" s="657"/>
      <c r="C5467" s="656" t="s">
        <v>7927</v>
      </c>
      <c r="D5467" s="657" t="s">
        <v>14978</v>
      </c>
      <c r="E5467" s="657"/>
      <c r="F5467" s="656"/>
      <c r="G5467" s="656" t="s">
        <v>5045</v>
      </c>
      <c r="H5467" s="656"/>
      <c r="I5467" s="656" t="s">
        <v>14976</v>
      </c>
      <c r="J5467" s="656"/>
      <c r="K5467" s="656"/>
      <c r="L5467" s="656" t="s">
        <v>13701</v>
      </c>
      <c r="M5467" s="657"/>
      <c r="N5467" s="1482"/>
      <c r="O5467" s="656" t="s">
        <v>498</v>
      </c>
      <c r="P5467" s="656" t="s">
        <v>13052</v>
      </c>
      <c r="Q5467" s="656">
        <v>44216.756793981483</v>
      </c>
    </row>
    <row r="5468" spans="1:17">
      <c r="A5468" s="656" t="s">
        <v>13700</v>
      </c>
      <c r="B5468" s="657" t="s">
        <v>202</v>
      </c>
      <c r="C5468" s="656" t="s">
        <v>13699</v>
      </c>
      <c r="D5468" s="657" t="s">
        <v>14978</v>
      </c>
      <c r="E5468" s="657"/>
      <c r="F5468" s="656" t="s">
        <v>1300</v>
      </c>
      <c r="G5468" s="656" t="s">
        <v>4198</v>
      </c>
      <c r="H5468" s="656" t="s">
        <v>1300</v>
      </c>
      <c r="I5468" s="656" t="s">
        <v>14976</v>
      </c>
      <c r="J5468" s="656"/>
      <c r="K5468" s="656"/>
      <c r="L5468" s="656" t="s">
        <v>13698</v>
      </c>
      <c r="M5468" s="657"/>
      <c r="N5468" s="1482"/>
      <c r="O5468" s="656" t="s">
        <v>498</v>
      </c>
      <c r="P5468" s="656" t="s">
        <v>13052</v>
      </c>
      <c r="Q5468" s="656">
        <v>44216.756793981483</v>
      </c>
    </row>
    <row r="5469" spans="1:17">
      <c r="A5469" s="656" t="s">
        <v>13698</v>
      </c>
      <c r="B5469" s="657" t="s">
        <v>202</v>
      </c>
      <c r="C5469" s="656" t="s">
        <v>13699</v>
      </c>
      <c r="D5469" s="657" t="s">
        <v>14977</v>
      </c>
      <c r="E5469" s="657"/>
      <c r="F5469" s="656" t="s">
        <v>1300</v>
      </c>
      <c r="G5469" s="656" t="s">
        <v>4198</v>
      </c>
      <c r="H5469" s="656" t="s">
        <v>1300</v>
      </c>
      <c r="I5469" s="656" t="s">
        <v>14976</v>
      </c>
      <c r="J5469" s="656"/>
      <c r="K5469" s="656"/>
      <c r="L5469" s="656" t="s">
        <v>13698</v>
      </c>
      <c r="M5469" s="657"/>
      <c r="N5469" s="1482"/>
      <c r="O5469" s="656" t="s">
        <v>498</v>
      </c>
      <c r="P5469" s="656" t="s">
        <v>13052</v>
      </c>
      <c r="Q5469" s="656">
        <v>44216.756782407407</v>
      </c>
    </row>
    <row r="5470" spans="1:17">
      <c r="A5470" s="656" t="s">
        <v>7928</v>
      </c>
      <c r="B5470" s="657"/>
      <c r="C5470" s="656" t="s">
        <v>7929</v>
      </c>
      <c r="D5470" s="657" t="s">
        <v>14978</v>
      </c>
      <c r="E5470" s="657"/>
      <c r="F5470" s="656"/>
      <c r="G5470" s="656" t="s">
        <v>5045</v>
      </c>
      <c r="H5470" s="656"/>
      <c r="I5470" s="656" t="s">
        <v>14976</v>
      </c>
      <c r="J5470" s="656"/>
      <c r="K5470" s="656"/>
      <c r="L5470" s="656" t="s">
        <v>12188</v>
      </c>
      <c r="M5470" s="657"/>
      <c r="N5470" s="1482"/>
      <c r="O5470" s="656" t="s">
        <v>498</v>
      </c>
      <c r="P5470" s="656" t="s">
        <v>13052</v>
      </c>
      <c r="Q5470" s="656">
        <v>44216.756782407407</v>
      </c>
    </row>
    <row r="5471" spans="1:17">
      <c r="A5471" s="656" t="s">
        <v>7930</v>
      </c>
      <c r="B5471" s="657"/>
      <c r="C5471" s="656" t="s">
        <v>7931</v>
      </c>
      <c r="D5471" s="657" t="s">
        <v>14978</v>
      </c>
      <c r="E5471" s="657"/>
      <c r="F5471" s="656"/>
      <c r="G5471" s="656" t="s">
        <v>5045</v>
      </c>
      <c r="H5471" s="656"/>
      <c r="I5471" s="656" t="s">
        <v>14976</v>
      </c>
      <c r="J5471" s="656"/>
      <c r="K5471" s="656"/>
      <c r="L5471" s="656" t="s">
        <v>12188</v>
      </c>
      <c r="M5471" s="657"/>
      <c r="N5471" s="1482"/>
      <c r="O5471" s="656" t="s">
        <v>498</v>
      </c>
      <c r="P5471" s="656" t="s">
        <v>13052</v>
      </c>
      <c r="Q5471" s="656">
        <v>44216.75677083333</v>
      </c>
    </row>
    <row r="5472" spans="1:17">
      <c r="A5472" s="656" t="s">
        <v>7932</v>
      </c>
      <c r="B5472" s="657"/>
      <c r="C5472" s="656" t="s">
        <v>7933</v>
      </c>
      <c r="D5472" s="657" t="s">
        <v>14978</v>
      </c>
      <c r="E5472" s="657"/>
      <c r="F5472" s="656"/>
      <c r="G5472" s="656" t="s">
        <v>5045</v>
      </c>
      <c r="H5472" s="656"/>
      <c r="I5472" s="656" t="s">
        <v>14976</v>
      </c>
      <c r="J5472" s="656"/>
      <c r="K5472" s="656"/>
      <c r="L5472" s="656" t="s">
        <v>12188</v>
      </c>
      <c r="M5472" s="657"/>
      <c r="N5472" s="1482"/>
      <c r="O5472" s="656" t="s">
        <v>498</v>
      </c>
      <c r="P5472" s="656" t="s">
        <v>13052</v>
      </c>
      <c r="Q5472" s="656">
        <v>44216.75677083333</v>
      </c>
    </row>
    <row r="5473" spans="1:17">
      <c r="A5473" s="656" t="s">
        <v>7934</v>
      </c>
      <c r="B5473" s="657"/>
      <c r="C5473" s="656" t="s">
        <v>7933</v>
      </c>
      <c r="D5473" s="657" t="s">
        <v>14978</v>
      </c>
      <c r="E5473" s="657"/>
      <c r="F5473" s="656"/>
      <c r="G5473" s="656" t="s">
        <v>5045</v>
      </c>
      <c r="H5473" s="656"/>
      <c r="I5473" s="656" t="s">
        <v>14976</v>
      </c>
      <c r="J5473" s="656"/>
      <c r="K5473" s="656"/>
      <c r="L5473" s="656" t="s">
        <v>12188</v>
      </c>
      <c r="M5473" s="657"/>
      <c r="N5473" s="1482"/>
      <c r="O5473" s="656" t="s">
        <v>498</v>
      </c>
      <c r="P5473" s="656" t="s">
        <v>13052</v>
      </c>
      <c r="Q5473" s="656">
        <v>44216.75677083333</v>
      </c>
    </row>
    <row r="5474" spans="1:17">
      <c r="A5474" s="656" t="s">
        <v>7935</v>
      </c>
      <c r="B5474" s="657"/>
      <c r="C5474" s="656" t="s">
        <v>7936</v>
      </c>
      <c r="D5474" s="657" t="s">
        <v>14978</v>
      </c>
      <c r="E5474" s="657"/>
      <c r="F5474" s="656"/>
      <c r="G5474" s="656" t="s">
        <v>5045</v>
      </c>
      <c r="H5474" s="656"/>
      <c r="I5474" s="656" t="s">
        <v>14976</v>
      </c>
      <c r="J5474" s="656"/>
      <c r="K5474" s="656"/>
      <c r="L5474" s="656" t="s">
        <v>12188</v>
      </c>
      <c r="M5474" s="657"/>
      <c r="N5474" s="1482"/>
      <c r="O5474" s="656" t="s">
        <v>498</v>
      </c>
      <c r="P5474" s="656" t="s">
        <v>13052</v>
      </c>
      <c r="Q5474" s="656">
        <v>44216.75675925926</v>
      </c>
    </row>
    <row r="5475" spans="1:17">
      <c r="A5475" s="656" t="s">
        <v>7937</v>
      </c>
      <c r="B5475" s="657"/>
      <c r="C5475" s="656" t="s">
        <v>7938</v>
      </c>
      <c r="D5475" s="657" t="s">
        <v>14978</v>
      </c>
      <c r="E5475" s="657"/>
      <c r="F5475" s="656"/>
      <c r="G5475" s="656" t="s">
        <v>5045</v>
      </c>
      <c r="H5475" s="656"/>
      <c r="I5475" s="656" t="s">
        <v>14976</v>
      </c>
      <c r="J5475" s="656"/>
      <c r="K5475" s="656"/>
      <c r="L5475" s="656" t="s">
        <v>12188</v>
      </c>
      <c r="M5475" s="657"/>
      <c r="N5475" s="1482"/>
      <c r="O5475" s="656" t="s">
        <v>498</v>
      </c>
      <c r="P5475" s="656" t="s">
        <v>13052</v>
      </c>
      <c r="Q5475" s="656">
        <v>44216.75675925926</v>
      </c>
    </row>
    <row r="5476" spans="1:17">
      <c r="A5476" s="656" t="s">
        <v>7939</v>
      </c>
      <c r="B5476" s="657"/>
      <c r="C5476" s="656" t="s">
        <v>7940</v>
      </c>
      <c r="D5476" s="657" t="s">
        <v>14978</v>
      </c>
      <c r="E5476" s="657"/>
      <c r="F5476" s="656"/>
      <c r="G5476" s="656" t="s">
        <v>5045</v>
      </c>
      <c r="H5476" s="656"/>
      <c r="I5476" s="656" t="s">
        <v>14976</v>
      </c>
      <c r="J5476" s="656"/>
      <c r="K5476" s="656"/>
      <c r="L5476" s="656" t="s">
        <v>12188</v>
      </c>
      <c r="M5476" s="657"/>
      <c r="N5476" s="1482"/>
      <c r="O5476" s="656" t="s">
        <v>498</v>
      </c>
      <c r="P5476" s="656" t="s">
        <v>13052</v>
      </c>
      <c r="Q5476" s="656">
        <v>44216.756747685184</v>
      </c>
    </row>
    <row r="5477" spans="1:17">
      <c r="A5477" s="656" t="s">
        <v>7941</v>
      </c>
      <c r="B5477" s="657"/>
      <c r="C5477" s="656" t="s">
        <v>7942</v>
      </c>
      <c r="D5477" s="657" t="s">
        <v>14978</v>
      </c>
      <c r="E5477" s="657"/>
      <c r="F5477" s="656"/>
      <c r="G5477" s="656" t="s">
        <v>5045</v>
      </c>
      <c r="H5477" s="656"/>
      <c r="I5477" s="656" t="s">
        <v>14976</v>
      </c>
      <c r="J5477" s="656"/>
      <c r="K5477" s="656"/>
      <c r="L5477" s="656" t="s">
        <v>12188</v>
      </c>
      <c r="M5477" s="657"/>
      <c r="N5477" s="1482"/>
      <c r="O5477" s="656" t="s">
        <v>498</v>
      </c>
      <c r="P5477" s="656" t="s">
        <v>13052</v>
      </c>
      <c r="Q5477" s="656">
        <v>44216.756736111114</v>
      </c>
    </row>
    <row r="5478" spans="1:17">
      <c r="A5478" s="656" t="s">
        <v>7943</v>
      </c>
      <c r="B5478" s="657"/>
      <c r="C5478" s="656" t="s">
        <v>7944</v>
      </c>
      <c r="D5478" s="657" t="s">
        <v>14978</v>
      </c>
      <c r="E5478" s="657"/>
      <c r="F5478" s="656"/>
      <c r="G5478" s="656" t="s">
        <v>5045</v>
      </c>
      <c r="H5478" s="656"/>
      <c r="I5478" s="656" t="s">
        <v>14976</v>
      </c>
      <c r="J5478" s="656"/>
      <c r="K5478" s="656"/>
      <c r="L5478" s="656" t="s">
        <v>12188</v>
      </c>
      <c r="M5478" s="657"/>
      <c r="N5478" s="1482"/>
      <c r="O5478" s="656" t="s">
        <v>498</v>
      </c>
      <c r="P5478" s="656" t="s">
        <v>13052</v>
      </c>
      <c r="Q5478" s="656">
        <v>44216.756736111114</v>
      </c>
    </row>
    <row r="5479" spans="1:17">
      <c r="A5479" s="656" t="s">
        <v>7945</v>
      </c>
      <c r="B5479" s="657"/>
      <c r="C5479" s="656" t="s">
        <v>7946</v>
      </c>
      <c r="D5479" s="657" t="s">
        <v>14978</v>
      </c>
      <c r="E5479" s="657"/>
      <c r="F5479" s="656"/>
      <c r="G5479" s="656" t="s">
        <v>5045</v>
      </c>
      <c r="H5479" s="656"/>
      <c r="I5479" s="656" t="s">
        <v>14976</v>
      </c>
      <c r="J5479" s="656"/>
      <c r="K5479" s="656"/>
      <c r="L5479" s="656" t="s">
        <v>12188</v>
      </c>
      <c r="M5479" s="657"/>
      <c r="N5479" s="1482"/>
      <c r="O5479" s="656" t="s">
        <v>498</v>
      </c>
      <c r="P5479" s="656" t="s">
        <v>13052</v>
      </c>
      <c r="Q5479" s="656">
        <v>44216.756736111114</v>
      </c>
    </row>
    <row r="5480" spans="1:17">
      <c r="A5480" s="656" t="s">
        <v>7947</v>
      </c>
      <c r="B5480" s="657"/>
      <c r="C5480" s="656" t="s">
        <v>7948</v>
      </c>
      <c r="D5480" s="657" t="s">
        <v>14978</v>
      </c>
      <c r="E5480" s="657"/>
      <c r="F5480" s="656"/>
      <c r="G5480" s="656" t="s">
        <v>5045</v>
      </c>
      <c r="H5480" s="656"/>
      <c r="I5480" s="656" t="s">
        <v>14976</v>
      </c>
      <c r="J5480" s="656"/>
      <c r="K5480" s="656"/>
      <c r="L5480" s="656" t="s">
        <v>12188</v>
      </c>
      <c r="M5480" s="657"/>
      <c r="N5480" s="1482"/>
      <c r="O5480" s="656" t="s">
        <v>498</v>
      </c>
      <c r="P5480" s="656" t="s">
        <v>13052</v>
      </c>
      <c r="Q5480" s="656">
        <v>44216.756724537037</v>
      </c>
    </row>
    <row r="5481" spans="1:17">
      <c r="A5481" s="656" t="s">
        <v>7949</v>
      </c>
      <c r="B5481" s="657"/>
      <c r="C5481" s="656" t="s">
        <v>7950</v>
      </c>
      <c r="D5481" s="657" t="s">
        <v>14978</v>
      </c>
      <c r="E5481" s="657"/>
      <c r="F5481" s="656" t="s">
        <v>1394</v>
      </c>
      <c r="G5481" s="656"/>
      <c r="H5481" s="656" t="s">
        <v>1394</v>
      </c>
      <c r="I5481" s="656" t="s">
        <v>14976</v>
      </c>
      <c r="J5481" s="656"/>
      <c r="K5481" s="656"/>
      <c r="L5481" s="656" t="s">
        <v>12188</v>
      </c>
      <c r="M5481" s="657"/>
      <c r="N5481" s="1482"/>
      <c r="O5481" s="656" t="s">
        <v>498</v>
      </c>
      <c r="P5481" s="656" t="s">
        <v>13052</v>
      </c>
      <c r="Q5481" s="656">
        <v>44216.756724537037</v>
      </c>
    </row>
    <row r="5482" spans="1:17">
      <c r="A5482" s="656" t="s">
        <v>7951</v>
      </c>
      <c r="B5482" s="657"/>
      <c r="C5482" s="656" t="s">
        <v>7952</v>
      </c>
      <c r="D5482" s="657" t="s">
        <v>14978</v>
      </c>
      <c r="E5482" s="657"/>
      <c r="F5482" s="656"/>
      <c r="G5482" s="656" t="s">
        <v>5045</v>
      </c>
      <c r="H5482" s="656"/>
      <c r="I5482" s="656" t="s">
        <v>14976</v>
      </c>
      <c r="J5482" s="656"/>
      <c r="K5482" s="656"/>
      <c r="L5482" s="656" t="s">
        <v>12188</v>
      </c>
      <c r="M5482" s="657"/>
      <c r="N5482" s="1482"/>
      <c r="O5482" s="656" t="s">
        <v>498</v>
      </c>
      <c r="P5482" s="656" t="s">
        <v>13052</v>
      </c>
      <c r="Q5482" s="656">
        <v>44216.756712962961</v>
      </c>
    </row>
    <row r="5483" spans="1:17">
      <c r="A5483" s="656" t="s">
        <v>7953</v>
      </c>
      <c r="B5483" s="657"/>
      <c r="C5483" s="656" t="s">
        <v>7954</v>
      </c>
      <c r="D5483" s="657" t="s">
        <v>14978</v>
      </c>
      <c r="E5483" s="657"/>
      <c r="F5483" s="656"/>
      <c r="G5483" s="656" t="s">
        <v>5045</v>
      </c>
      <c r="H5483" s="656"/>
      <c r="I5483" s="656" t="s">
        <v>14976</v>
      </c>
      <c r="J5483" s="656"/>
      <c r="K5483" s="656"/>
      <c r="L5483" s="656" t="s">
        <v>12188</v>
      </c>
      <c r="M5483" s="657"/>
      <c r="N5483" s="1482"/>
      <c r="O5483" s="656" t="s">
        <v>498</v>
      </c>
      <c r="P5483" s="656" t="s">
        <v>13052</v>
      </c>
      <c r="Q5483" s="656">
        <v>44216.756724537037</v>
      </c>
    </row>
    <row r="5484" spans="1:17">
      <c r="A5484" s="656" t="s">
        <v>13694</v>
      </c>
      <c r="B5484" s="657" t="s">
        <v>202</v>
      </c>
      <c r="C5484" s="656" t="s">
        <v>13695</v>
      </c>
      <c r="D5484" s="657" t="s">
        <v>14977</v>
      </c>
      <c r="E5484" s="657"/>
      <c r="F5484" s="656" t="s">
        <v>1300</v>
      </c>
      <c r="G5484" s="656" t="s">
        <v>4198</v>
      </c>
      <c r="H5484" s="656" t="s">
        <v>1300</v>
      </c>
      <c r="I5484" s="656" t="s">
        <v>14976</v>
      </c>
      <c r="J5484" s="656"/>
      <c r="K5484" s="656"/>
      <c r="L5484" s="656" t="s">
        <v>13694</v>
      </c>
      <c r="M5484" s="657"/>
      <c r="N5484" s="1482"/>
      <c r="O5484" s="656" t="s">
        <v>498</v>
      </c>
      <c r="P5484" s="656" t="s">
        <v>13052</v>
      </c>
      <c r="Q5484" s="656">
        <v>44216.756701388891</v>
      </c>
    </row>
    <row r="5485" spans="1:17">
      <c r="A5485" s="656" t="s">
        <v>7955</v>
      </c>
      <c r="B5485" s="657" t="s">
        <v>202</v>
      </c>
      <c r="C5485" s="656" t="s">
        <v>7956</v>
      </c>
      <c r="D5485" s="657" t="s">
        <v>14978</v>
      </c>
      <c r="E5485" s="657"/>
      <c r="F5485" s="656" t="s">
        <v>1667</v>
      </c>
      <c r="G5485" s="656"/>
      <c r="H5485" s="656" t="s">
        <v>1667</v>
      </c>
      <c r="I5485" s="656" t="s">
        <v>14976</v>
      </c>
      <c r="J5485" s="656" t="s">
        <v>15282</v>
      </c>
      <c r="K5485" s="656"/>
      <c r="L5485" s="656" t="s">
        <v>7957</v>
      </c>
      <c r="M5485" s="657"/>
      <c r="N5485" s="1482"/>
      <c r="O5485" s="656" t="s">
        <v>498</v>
      </c>
      <c r="P5485" s="656" t="s">
        <v>13052</v>
      </c>
      <c r="Q5485" s="656">
        <v>44216.756689814814</v>
      </c>
    </row>
    <row r="5486" spans="1:17">
      <c r="A5486" s="656" t="s">
        <v>13692</v>
      </c>
      <c r="B5486" s="657" t="s">
        <v>202</v>
      </c>
      <c r="C5486" s="656" t="s">
        <v>13693</v>
      </c>
      <c r="D5486" s="657" t="s">
        <v>14978</v>
      </c>
      <c r="E5486" s="657"/>
      <c r="F5486" s="656"/>
      <c r="G5486" s="656" t="s">
        <v>5661</v>
      </c>
      <c r="H5486" s="656"/>
      <c r="I5486" s="656" t="s">
        <v>14976</v>
      </c>
      <c r="J5486" s="656"/>
      <c r="K5486" s="656"/>
      <c r="L5486" s="656" t="s">
        <v>7957</v>
      </c>
      <c r="M5486" s="657"/>
      <c r="N5486" s="1482"/>
      <c r="O5486" s="656" t="s">
        <v>498</v>
      </c>
      <c r="P5486" s="656" t="s">
        <v>13052</v>
      </c>
      <c r="Q5486" s="656">
        <v>44216.756689814814</v>
      </c>
    </row>
    <row r="5487" spans="1:17">
      <c r="A5487" s="656" t="s">
        <v>7957</v>
      </c>
      <c r="B5487" s="657" t="s">
        <v>202</v>
      </c>
      <c r="C5487" s="656" t="s">
        <v>6262</v>
      </c>
      <c r="D5487" s="657" t="s">
        <v>14977</v>
      </c>
      <c r="E5487" s="657"/>
      <c r="F5487" s="656" t="s">
        <v>4057</v>
      </c>
      <c r="G5487" s="656"/>
      <c r="H5487" s="656" t="s">
        <v>4057</v>
      </c>
      <c r="I5487" s="656" t="s">
        <v>14976</v>
      </c>
      <c r="J5487" s="656" t="s">
        <v>15286</v>
      </c>
      <c r="K5487" s="656"/>
      <c r="L5487" s="656" t="s">
        <v>7957</v>
      </c>
      <c r="M5487" s="657"/>
      <c r="N5487" s="1482"/>
      <c r="O5487" s="656" t="s">
        <v>498</v>
      </c>
      <c r="P5487" s="656" t="s">
        <v>13052</v>
      </c>
      <c r="Q5487" s="656">
        <v>44216.756689814814</v>
      </c>
    </row>
    <row r="5488" spans="1:17">
      <c r="A5488" s="656" t="s">
        <v>13690</v>
      </c>
      <c r="B5488" s="657" t="s">
        <v>202</v>
      </c>
      <c r="C5488" s="656" t="s">
        <v>13691</v>
      </c>
      <c r="D5488" s="657" t="s">
        <v>14977</v>
      </c>
      <c r="E5488" s="657"/>
      <c r="F5488" s="656"/>
      <c r="G5488" s="656" t="s">
        <v>5661</v>
      </c>
      <c r="H5488" s="656"/>
      <c r="I5488" s="656" t="s">
        <v>14976</v>
      </c>
      <c r="J5488" s="656"/>
      <c r="K5488" s="656"/>
      <c r="L5488" s="656" t="s">
        <v>13690</v>
      </c>
      <c r="M5488" s="657"/>
      <c r="N5488" s="1482"/>
      <c r="O5488" s="656" t="s">
        <v>498</v>
      </c>
      <c r="P5488" s="656" t="s">
        <v>13052</v>
      </c>
      <c r="Q5488" s="656">
        <v>44216.756678240738</v>
      </c>
    </row>
    <row r="5489" spans="1:17">
      <c r="A5489" s="656" t="s">
        <v>7958</v>
      </c>
      <c r="B5489" s="657" t="s">
        <v>504</v>
      </c>
      <c r="C5489" s="656" t="s">
        <v>7959</v>
      </c>
      <c r="D5489" s="657"/>
      <c r="E5489" s="657"/>
      <c r="F5489" s="656" t="s">
        <v>505</v>
      </c>
      <c r="G5489" s="656" t="s">
        <v>4394</v>
      </c>
      <c r="H5489" s="656" t="s">
        <v>505</v>
      </c>
      <c r="I5489" s="656"/>
      <c r="J5489" s="656"/>
      <c r="K5489" s="656"/>
      <c r="L5489" s="656"/>
      <c r="M5489" s="657"/>
      <c r="N5489" s="1482"/>
      <c r="O5489" s="656" t="s">
        <v>498</v>
      </c>
      <c r="P5489" s="656" t="s">
        <v>13052</v>
      </c>
      <c r="Q5489" s="656">
        <v>44216.756678240738</v>
      </c>
    </row>
    <row r="5490" spans="1:17">
      <c r="A5490" s="656" t="s">
        <v>7960</v>
      </c>
      <c r="B5490" s="657" t="s">
        <v>504</v>
      </c>
      <c r="C5490" s="656" t="s">
        <v>7961</v>
      </c>
      <c r="D5490" s="657" t="s">
        <v>14978</v>
      </c>
      <c r="E5490" s="657" t="s">
        <v>7439</v>
      </c>
      <c r="F5490" s="656" t="s">
        <v>505</v>
      </c>
      <c r="G5490" s="656" t="s">
        <v>525</v>
      </c>
      <c r="H5490" s="656" t="s">
        <v>505</v>
      </c>
      <c r="I5490" s="656" t="s">
        <v>14976</v>
      </c>
      <c r="J5490" s="656"/>
      <c r="K5490" s="656"/>
      <c r="L5490" s="656" t="s">
        <v>7962</v>
      </c>
      <c r="M5490" s="657"/>
      <c r="N5490" s="1482"/>
      <c r="O5490" s="656" t="s">
        <v>498</v>
      </c>
      <c r="P5490" s="656" t="s">
        <v>13052</v>
      </c>
      <c r="Q5490" s="656">
        <v>44216.756666666668</v>
      </c>
    </row>
    <row r="5491" spans="1:17">
      <c r="A5491" s="656" t="s">
        <v>7962</v>
      </c>
      <c r="B5491" s="657" t="s">
        <v>504</v>
      </c>
      <c r="C5491" s="656" t="s">
        <v>8874</v>
      </c>
      <c r="D5491" s="657" t="s">
        <v>14978</v>
      </c>
      <c r="E5491" s="657" t="s">
        <v>9406</v>
      </c>
      <c r="F5491" s="656" t="s">
        <v>505</v>
      </c>
      <c r="G5491" s="656" t="s">
        <v>525</v>
      </c>
      <c r="H5491" s="656" t="s">
        <v>505</v>
      </c>
      <c r="I5491" s="656" t="s">
        <v>14976</v>
      </c>
      <c r="J5491" s="656"/>
      <c r="K5491" s="656"/>
      <c r="L5491" s="656" t="s">
        <v>15031</v>
      </c>
      <c r="M5491" s="657"/>
      <c r="N5491" s="1482"/>
      <c r="O5491" s="656" t="s">
        <v>498</v>
      </c>
      <c r="P5491" s="656" t="s">
        <v>13052</v>
      </c>
      <c r="Q5491" s="656">
        <v>44216.756666666668</v>
      </c>
    </row>
    <row r="5492" spans="1:17">
      <c r="A5492" s="656" t="s">
        <v>7963</v>
      </c>
      <c r="B5492" s="657" t="s">
        <v>504</v>
      </c>
      <c r="C5492" s="656" t="s">
        <v>7964</v>
      </c>
      <c r="D5492" s="657"/>
      <c r="E5492" s="657"/>
      <c r="F5492" s="656" t="s">
        <v>505</v>
      </c>
      <c r="G5492" s="656" t="s">
        <v>4394</v>
      </c>
      <c r="H5492" s="656" t="s">
        <v>505</v>
      </c>
      <c r="I5492" s="656"/>
      <c r="J5492" s="656"/>
      <c r="K5492" s="656"/>
      <c r="L5492" s="656"/>
      <c r="M5492" s="657"/>
      <c r="N5492" s="1482"/>
      <c r="O5492" s="656" t="s">
        <v>498</v>
      </c>
      <c r="P5492" s="656" t="s">
        <v>13052</v>
      </c>
      <c r="Q5492" s="656">
        <v>44216.756655092591</v>
      </c>
    </row>
    <row r="5493" spans="1:17">
      <c r="A5493" s="656" t="s">
        <v>7965</v>
      </c>
      <c r="B5493" s="657" t="s">
        <v>504</v>
      </c>
      <c r="C5493" s="656" t="s">
        <v>7966</v>
      </c>
      <c r="D5493" s="657"/>
      <c r="E5493" s="657"/>
      <c r="F5493" s="656" t="s">
        <v>505</v>
      </c>
      <c r="G5493" s="656" t="s">
        <v>4394</v>
      </c>
      <c r="H5493" s="656" t="s">
        <v>505</v>
      </c>
      <c r="I5493" s="656"/>
      <c r="J5493" s="656"/>
      <c r="K5493" s="656"/>
      <c r="L5493" s="656"/>
      <c r="M5493" s="657"/>
      <c r="N5493" s="1482"/>
      <c r="O5493" s="656" t="s">
        <v>498</v>
      </c>
      <c r="P5493" s="656" t="s">
        <v>13052</v>
      </c>
      <c r="Q5493" s="656">
        <v>44216.756655092591</v>
      </c>
    </row>
    <row r="5494" spans="1:17">
      <c r="A5494" s="656" t="s">
        <v>7967</v>
      </c>
      <c r="B5494" s="657" t="s">
        <v>504</v>
      </c>
      <c r="C5494" s="656" t="s">
        <v>7968</v>
      </c>
      <c r="D5494" s="657"/>
      <c r="E5494" s="657"/>
      <c r="F5494" s="656" t="s">
        <v>505</v>
      </c>
      <c r="G5494" s="656" t="s">
        <v>4394</v>
      </c>
      <c r="H5494" s="656" t="s">
        <v>505</v>
      </c>
      <c r="I5494" s="656"/>
      <c r="J5494" s="656"/>
      <c r="K5494" s="656"/>
      <c r="L5494" s="656"/>
      <c r="M5494" s="657"/>
      <c r="N5494" s="1482"/>
      <c r="O5494" s="656" t="s">
        <v>498</v>
      </c>
      <c r="P5494" s="656" t="s">
        <v>13052</v>
      </c>
      <c r="Q5494" s="656">
        <v>44216.756643518522</v>
      </c>
    </row>
    <row r="5495" spans="1:17">
      <c r="A5495" s="656" t="s">
        <v>7969</v>
      </c>
      <c r="B5495" s="657"/>
      <c r="C5495" s="656" t="s">
        <v>7970</v>
      </c>
      <c r="D5495" s="657" t="s">
        <v>14978</v>
      </c>
      <c r="E5495" s="657"/>
      <c r="F5495" s="656"/>
      <c r="G5495" s="656" t="s">
        <v>5045</v>
      </c>
      <c r="H5495" s="656"/>
      <c r="I5495" s="656" t="s">
        <v>14976</v>
      </c>
      <c r="J5495" s="656"/>
      <c r="K5495" s="656"/>
      <c r="L5495" s="656" t="s">
        <v>7973</v>
      </c>
      <c r="M5495" s="657"/>
      <c r="N5495" s="1482"/>
      <c r="O5495" s="656" t="s">
        <v>498</v>
      </c>
      <c r="P5495" s="656" t="s">
        <v>13052</v>
      </c>
      <c r="Q5495" s="656">
        <v>44216.756643518522</v>
      </c>
    </row>
    <row r="5496" spans="1:17">
      <c r="A5496" s="656" t="s">
        <v>7971</v>
      </c>
      <c r="B5496" s="657"/>
      <c r="C5496" s="656" t="s">
        <v>7972</v>
      </c>
      <c r="D5496" s="657" t="s">
        <v>14978</v>
      </c>
      <c r="E5496" s="657"/>
      <c r="F5496" s="656"/>
      <c r="G5496" s="656" t="s">
        <v>5045</v>
      </c>
      <c r="H5496" s="656"/>
      <c r="I5496" s="656" t="s">
        <v>14976</v>
      </c>
      <c r="J5496" s="656"/>
      <c r="K5496" s="656"/>
      <c r="L5496" s="656" t="s">
        <v>7973</v>
      </c>
      <c r="M5496" s="657"/>
      <c r="N5496" s="1482"/>
      <c r="O5496" s="656" t="s">
        <v>498</v>
      </c>
      <c r="P5496" s="656" t="s">
        <v>13052</v>
      </c>
      <c r="Q5496" s="656">
        <v>44216.756631944445</v>
      </c>
    </row>
    <row r="5497" spans="1:17">
      <c r="A5497" s="656" t="s">
        <v>7973</v>
      </c>
      <c r="B5497" s="657" t="s">
        <v>202</v>
      </c>
      <c r="C5497" s="656" t="s">
        <v>7974</v>
      </c>
      <c r="D5497" s="657" t="s">
        <v>14977</v>
      </c>
      <c r="E5497" s="657"/>
      <c r="F5497" s="656" t="s">
        <v>1667</v>
      </c>
      <c r="G5497" s="656" t="s">
        <v>4066</v>
      </c>
      <c r="H5497" s="656" t="s">
        <v>1667</v>
      </c>
      <c r="I5497" s="656" t="s">
        <v>14976</v>
      </c>
      <c r="J5497" s="656" t="s">
        <v>15282</v>
      </c>
      <c r="K5497" s="656"/>
      <c r="L5497" s="656" t="s">
        <v>7973</v>
      </c>
      <c r="M5497" s="657"/>
      <c r="N5497" s="1482"/>
      <c r="O5497" s="656" t="s">
        <v>498</v>
      </c>
      <c r="P5497" s="656" t="s">
        <v>13052</v>
      </c>
      <c r="Q5497" s="656">
        <v>44216.756631944445</v>
      </c>
    </row>
    <row r="5498" spans="1:17">
      <c r="A5498" s="656" t="s">
        <v>7975</v>
      </c>
      <c r="B5498" s="657" t="s">
        <v>202</v>
      </c>
      <c r="C5498" s="656" t="s">
        <v>7976</v>
      </c>
      <c r="D5498" s="657" t="s">
        <v>14978</v>
      </c>
      <c r="E5498" s="657"/>
      <c r="F5498" s="656" t="s">
        <v>500</v>
      </c>
      <c r="G5498" s="656"/>
      <c r="H5498" s="656" t="s">
        <v>500</v>
      </c>
      <c r="I5498" s="656" t="s">
        <v>14976</v>
      </c>
      <c r="J5498" s="656"/>
      <c r="K5498" s="656"/>
      <c r="L5498" s="656" t="s">
        <v>7979</v>
      </c>
      <c r="M5498" s="657"/>
      <c r="N5498" s="1482"/>
      <c r="O5498" s="656" t="s">
        <v>498</v>
      </c>
      <c r="P5498" s="656" t="s">
        <v>13052</v>
      </c>
      <c r="Q5498" s="656">
        <v>44216.756620370368</v>
      </c>
    </row>
    <row r="5499" spans="1:17">
      <c r="A5499" s="656" t="s">
        <v>7977</v>
      </c>
      <c r="B5499" s="657"/>
      <c r="C5499" s="656" t="s">
        <v>7978</v>
      </c>
      <c r="D5499" s="657" t="s">
        <v>14978</v>
      </c>
      <c r="E5499" s="657"/>
      <c r="F5499" s="656"/>
      <c r="G5499" s="656" t="s">
        <v>5045</v>
      </c>
      <c r="H5499" s="656"/>
      <c r="I5499" s="656" t="s">
        <v>14976</v>
      </c>
      <c r="J5499" s="656"/>
      <c r="K5499" s="656"/>
      <c r="L5499" s="656" t="s">
        <v>7979</v>
      </c>
      <c r="M5499" s="657"/>
      <c r="N5499" s="1482"/>
      <c r="O5499" s="656" t="s">
        <v>498</v>
      </c>
      <c r="P5499" s="656" t="s">
        <v>13052</v>
      </c>
      <c r="Q5499" s="656">
        <v>44216.756620370368</v>
      </c>
    </row>
    <row r="5500" spans="1:17">
      <c r="A5500" s="656" t="s">
        <v>7979</v>
      </c>
      <c r="B5500" s="657"/>
      <c r="C5500" s="656" t="s">
        <v>7980</v>
      </c>
      <c r="D5500" s="657" t="s">
        <v>14977</v>
      </c>
      <c r="E5500" s="657"/>
      <c r="F5500" s="656"/>
      <c r="G5500" s="656" t="s">
        <v>5045</v>
      </c>
      <c r="H5500" s="656"/>
      <c r="I5500" s="656" t="s">
        <v>14976</v>
      </c>
      <c r="J5500" s="656"/>
      <c r="K5500" s="656"/>
      <c r="L5500" s="656" t="s">
        <v>7979</v>
      </c>
      <c r="M5500" s="657"/>
      <c r="N5500" s="1482"/>
      <c r="O5500" s="656" t="s">
        <v>498</v>
      </c>
      <c r="P5500" s="656" t="s">
        <v>13052</v>
      </c>
      <c r="Q5500" s="656">
        <v>44216.756608796299</v>
      </c>
    </row>
    <row r="5501" spans="1:17">
      <c r="A5501" s="656" t="s">
        <v>13583</v>
      </c>
      <c r="B5501" s="657" t="s">
        <v>202</v>
      </c>
      <c r="C5501" s="656" t="s">
        <v>13584</v>
      </c>
      <c r="D5501" s="657" t="s">
        <v>14978</v>
      </c>
      <c r="E5501" s="657"/>
      <c r="F5501" s="656" t="s">
        <v>1300</v>
      </c>
      <c r="G5501" s="656" t="s">
        <v>4198</v>
      </c>
      <c r="H5501" s="656" t="s">
        <v>1300</v>
      </c>
      <c r="I5501" s="656" t="s">
        <v>14976</v>
      </c>
      <c r="J5501" s="656"/>
      <c r="K5501" s="656"/>
      <c r="L5501" s="656" t="s">
        <v>13573</v>
      </c>
      <c r="M5501" s="657"/>
      <c r="N5501" s="1482"/>
      <c r="O5501" s="656" t="s">
        <v>498</v>
      </c>
      <c r="P5501" s="656" t="s">
        <v>13052</v>
      </c>
      <c r="Q5501" s="656">
        <v>44216.756597222222</v>
      </c>
    </row>
    <row r="5502" spans="1:17">
      <c r="A5502" s="656" t="s">
        <v>13573</v>
      </c>
      <c r="B5502" s="657" t="s">
        <v>202</v>
      </c>
      <c r="C5502" s="656" t="s">
        <v>13574</v>
      </c>
      <c r="D5502" s="657" t="s">
        <v>14977</v>
      </c>
      <c r="E5502" s="657"/>
      <c r="F5502" s="656" t="s">
        <v>1300</v>
      </c>
      <c r="G5502" s="656" t="s">
        <v>4198</v>
      </c>
      <c r="H5502" s="656" t="s">
        <v>1300</v>
      </c>
      <c r="I5502" s="656" t="s">
        <v>14976</v>
      </c>
      <c r="J5502" s="656"/>
      <c r="K5502" s="656"/>
      <c r="L5502" s="656" t="s">
        <v>13573</v>
      </c>
      <c r="M5502" s="657"/>
      <c r="N5502" s="1482"/>
      <c r="O5502" s="656" t="s">
        <v>498</v>
      </c>
      <c r="P5502" s="656" t="s">
        <v>13052</v>
      </c>
      <c r="Q5502" s="656">
        <v>44216.756597222222</v>
      </c>
    </row>
    <row r="5503" spans="1:17">
      <c r="A5503" s="656" t="s">
        <v>7981</v>
      </c>
      <c r="B5503" s="657" t="s">
        <v>202</v>
      </c>
      <c r="C5503" s="656" t="s">
        <v>7982</v>
      </c>
      <c r="D5503" s="657" t="s">
        <v>14977</v>
      </c>
      <c r="E5503" s="657"/>
      <c r="F5503" s="656" t="s">
        <v>1300</v>
      </c>
      <c r="G5503" s="656" t="s">
        <v>1478</v>
      </c>
      <c r="H5503" s="656" t="s">
        <v>1300</v>
      </c>
      <c r="I5503" s="656" t="s">
        <v>14976</v>
      </c>
      <c r="J5503" s="656" t="s">
        <v>15285</v>
      </c>
      <c r="K5503" s="656"/>
      <c r="L5503" s="656" t="s">
        <v>7981</v>
      </c>
      <c r="M5503" s="657"/>
      <c r="N5503" s="1482"/>
      <c r="O5503" s="656" t="s">
        <v>498</v>
      </c>
      <c r="P5503" s="656" t="s">
        <v>13052</v>
      </c>
      <c r="Q5503" s="656">
        <v>44216.756585648145</v>
      </c>
    </row>
    <row r="5504" spans="1:17">
      <c r="A5504" s="656" t="s">
        <v>7983</v>
      </c>
      <c r="B5504" s="657"/>
      <c r="C5504" s="656" t="s">
        <v>7984</v>
      </c>
      <c r="D5504" s="657" t="s">
        <v>14977</v>
      </c>
      <c r="E5504" s="657"/>
      <c r="F5504" s="656"/>
      <c r="G5504" s="656" t="s">
        <v>5045</v>
      </c>
      <c r="H5504" s="656"/>
      <c r="I5504" s="656" t="s">
        <v>14976</v>
      </c>
      <c r="J5504" s="656"/>
      <c r="K5504" s="656"/>
      <c r="L5504" s="656" t="s">
        <v>7983</v>
      </c>
      <c r="M5504" s="657"/>
      <c r="N5504" s="1482"/>
      <c r="O5504" s="656" t="s">
        <v>498</v>
      </c>
      <c r="P5504" s="656" t="s">
        <v>13052</v>
      </c>
      <c r="Q5504" s="656">
        <v>44216.756597222222</v>
      </c>
    </row>
    <row r="5505" spans="1:17">
      <c r="A5505" s="656" t="s">
        <v>7985</v>
      </c>
      <c r="B5505" s="657"/>
      <c r="C5505" s="656" t="s">
        <v>7986</v>
      </c>
      <c r="D5505" s="657" t="s">
        <v>14977</v>
      </c>
      <c r="E5505" s="657"/>
      <c r="F5505" s="656"/>
      <c r="G5505" s="656" t="s">
        <v>5045</v>
      </c>
      <c r="H5505" s="656"/>
      <c r="I5505" s="656" t="s">
        <v>14976</v>
      </c>
      <c r="J5505" s="656"/>
      <c r="K5505" s="656"/>
      <c r="L5505" s="656" t="s">
        <v>7985</v>
      </c>
      <c r="M5505" s="657"/>
      <c r="N5505" s="1482"/>
      <c r="O5505" s="656" t="s">
        <v>498</v>
      </c>
      <c r="P5505" s="656" t="s">
        <v>13052</v>
      </c>
      <c r="Q5505" s="656">
        <v>44216.756585648145</v>
      </c>
    </row>
    <row r="5506" spans="1:17">
      <c r="A5506" s="656" t="s">
        <v>7987</v>
      </c>
      <c r="B5506" s="657"/>
      <c r="C5506" s="656" t="s">
        <v>7988</v>
      </c>
      <c r="D5506" s="657" t="s">
        <v>14977</v>
      </c>
      <c r="E5506" s="657"/>
      <c r="F5506" s="656"/>
      <c r="G5506" s="656" t="s">
        <v>5045</v>
      </c>
      <c r="H5506" s="656"/>
      <c r="I5506" s="656" t="s">
        <v>14976</v>
      </c>
      <c r="J5506" s="656"/>
      <c r="K5506" s="656"/>
      <c r="L5506" s="656" t="s">
        <v>7987</v>
      </c>
      <c r="M5506" s="657"/>
      <c r="N5506" s="1482"/>
      <c r="O5506" s="656" t="s">
        <v>498</v>
      </c>
      <c r="P5506" s="656" t="s">
        <v>13052</v>
      </c>
      <c r="Q5506" s="656">
        <v>44216.756574074076</v>
      </c>
    </row>
    <row r="5507" spans="1:17">
      <c r="A5507" s="656" t="s">
        <v>7989</v>
      </c>
      <c r="B5507" s="657"/>
      <c r="C5507" s="656" t="s">
        <v>7990</v>
      </c>
      <c r="D5507" s="657" t="s">
        <v>14977</v>
      </c>
      <c r="E5507" s="657"/>
      <c r="F5507" s="656"/>
      <c r="G5507" s="656" t="s">
        <v>5045</v>
      </c>
      <c r="H5507" s="656"/>
      <c r="I5507" s="656" t="s">
        <v>14976</v>
      </c>
      <c r="J5507" s="656"/>
      <c r="K5507" s="656"/>
      <c r="L5507" s="656" t="s">
        <v>7989</v>
      </c>
      <c r="M5507" s="657"/>
      <c r="N5507" s="1482"/>
      <c r="O5507" s="656" t="s">
        <v>498</v>
      </c>
      <c r="P5507" s="656" t="s">
        <v>13052</v>
      </c>
      <c r="Q5507" s="656">
        <v>44216.756574074076</v>
      </c>
    </row>
    <row r="5508" spans="1:17">
      <c r="A5508" s="656" t="s">
        <v>7991</v>
      </c>
      <c r="B5508" s="657"/>
      <c r="C5508" s="656" t="s">
        <v>7992</v>
      </c>
      <c r="D5508" s="657" t="s">
        <v>14978</v>
      </c>
      <c r="E5508" s="657"/>
      <c r="F5508" s="656"/>
      <c r="G5508" s="656" t="s">
        <v>5103</v>
      </c>
      <c r="H5508" s="656"/>
      <c r="I5508" s="656" t="s">
        <v>14976</v>
      </c>
      <c r="J5508" s="656"/>
      <c r="K5508" s="656"/>
      <c r="L5508" s="656" t="s">
        <v>13535</v>
      </c>
      <c r="M5508" s="657"/>
      <c r="N5508" s="1482"/>
      <c r="O5508" s="656" t="s">
        <v>498</v>
      </c>
      <c r="P5508" s="656" t="s">
        <v>13052</v>
      </c>
      <c r="Q5508" s="656">
        <v>44216.756562499999</v>
      </c>
    </row>
    <row r="5509" spans="1:17">
      <c r="A5509" s="656" t="s">
        <v>7993</v>
      </c>
      <c r="B5509" s="657" t="s">
        <v>504</v>
      </c>
      <c r="C5509" s="656" t="s">
        <v>7994</v>
      </c>
      <c r="D5509" s="657" t="s">
        <v>14977</v>
      </c>
      <c r="E5509" s="657"/>
      <c r="F5509" s="656"/>
      <c r="G5509" s="656" t="s">
        <v>5103</v>
      </c>
      <c r="H5509" s="656"/>
      <c r="I5509" s="656"/>
      <c r="J5509" s="656"/>
      <c r="K5509" s="656"/>
      <c r="L5509" s="656"/>
      <c r="M5509" s="657"/>
      <c r="N5509" s="1482"/>
      <c r="O5509" s="656" t="s">
        <v>498</v>
      </c>
      <c r="P5509" s="656" t="s">
        <v>13052</v>
      </c>
      <c r="Q5509" s="656">
        <v>44216.756562499999</v>
      </c>
    </row>
    <row r="5510" spans="1:17">
      <c r="A5510" s="656" t="s">
        <v>7995</v>
      </c>
      <c r="B5510" s="657" t="s">
        <v>504</v>
      </c>
      <c r="C5510" s="656" t="s">
        <v>7996</v>
      </c>
      <c r="D5510" s="657" t="s">
        <v>14977</v>
      </c>
      <c r="E5510" s="657"/>
      <c r="F5510" s="656"/>
      <c r="G5510" s="656" t="s">
        <v>5103</v>
      </c>
      <c r="H5510" s="656"/>
      <c r="I5510" s="656"/>
      <c r="J5510" s="656"/>
      <c r="K5510" s="656"/>
      <c r="L5510" s="656"/>
      <c r="M5510" s="657"/>
      <c r="N5510" s="1482"/>
      <c r="O5510" s="656" t="s">
        <v>498</v>
      </c>
      <c r="P5510" s="656" t="s">
        <v>13052</v>
      </c>
      <c r="Q5510" s="656">
        <v>44216.756550925929</v>
      </c>
    </row>
    <row r="5511" spans="1:17">
      <c r="A5511" s="656" t="s">
        <v>7997</v>
      </c>
      <c r="B5511" s="657"/>
      <c r="C5511" s="656" t="s">
        <v>7998</v>
      </c>
      <c r="D5511" s="657" t="s">
        <v>14978</v>
      </c>
      <c r="E5511" s="657"/>
      <c r="F5511" s="656"/>
      <c r="G5511" s="656" t="s">
        <v>5103</v>
      </c>
      <c r="H5511" s="656"/>
      <c r="I5511" s="656" t="s">
        <v>14976</v>
      </c>
      <c r="J5511" s="656"/>
      <c r="K5511" s="656"/>
      <c r="L5511" s="656" t="s">
        <v>13512</v>
      </c>
      <c r="M5511" s="657"/>
      <c r="N5511" s="1482"/>
      <c r="O5511" s="656" t="s">
        <v>498</v>
      </c>
      <c r="P5511" s="656" t="s">
        <v>13052</v>
      </c>
      <c r="Q5511" s="656">
        <v>44216.756550925929</v>
      </c>
    </row>
    <row r="5512" spans="1:17">
      <c r="A5512" s="656" t="s">
        <v>7999</v>
      </c>
      <c r="B5512" s="657" t="s">
        <v>504</v>
      </c>
      <c r="C5512" s="656" t="s">
        <v>8000</v>
      </c>
      <c r="D5512" s="657" t="s">
        <v>14977</v>
      </c>
      <c r="E5512" s="657"/>
      <c r="F5512" s="656"/>
      <c r="G5512" s="656" t="s">
        <v>5103</v>
      </c>
      <c r="H5512" s="656"/>
      <c r="I5512" s="656"/>
      <c r="J5512" s="656"/>
      <c r="K5512" s="656"/>
      <c r="L5512" s="656"/>
      <c r="M5512" s="657"/>
      <c r="N5512" s="1482"/>
      <c r="O5512" s="656" t="s">
        <v>498</v>
      </c>
      <c r="P5512" s="656" t="s">
        <v>13052</v>
      </c>
      <c r="Q5512" s="656">
        <v>44216.756539351853</v>
      </c>
    </row>
    <row r="5513" spans="1:17">
      <c r="A5513" s="656" t="s">
        <v>8001</v>
      </c>
      <c r="B5513" s="657" t="s">
        <v>531</v>
      </c>
      <c r="C5513" s="656" t="s">
        <v>8002</v>
      </c>
      <c r="D5513" s="657" t="s">
        <v>14977</v>
      </c>
      <c r="E5513" s="657"/>
      <c r="F5513" s="656" t="s">
        <v>472</v>
      </c>
      <c r="G5513" s="656" t="s">
        <v>1395</v>
      </c>
      <c r="H5513" s="656" t="s">
        <v>472</v>
      </c>
      <c r="I5513" s="656" t="s">
        <v>14976</v>
      </c>
      <c r="J5513" s="656" t="s">
        <v>12368</v>
      </c>
      <c r="K5513" s="656"/>
      <c r="L5513" s="656"/>
      <c r="M5513" s="657"/>
      <c r="N5513" s="1482"/>
      <c r="O5513" s="656" t="s">
        <v>498</v>
      </c>
      <c r="P5513" s="656" t="s">
        <v>13052</v>
      </c>
      <c r="Q5513" s="656">
        <v>44216.756539351853</v>
      </c>
    </row>
    <row r="5514" spans="1:17">
      <c r="A5514" s="656" t="s">
        <v>8003</v>
      </c>
      <c r="B5514" s="657"/>
      <c r="C5514" s="656" t="s">
        <v>8004</v>
      </c>
      <c r="D5514" s="657" t="s">
        <v>14978</v>
      </c>
      <c r="E5514" s="657"/>
      <c r="F5514" s="656"/>
      <c r="G5514" s="656" t="s">
        <v>5103</v>
      </c>
      <c r="H5514" s="656"/>
      <c r="I5514" s="656" t="s">
        <v>14976</v>
      </c>
      <c r="J5514" s="656"/>
      <c r="K5514" s="656"/>
      <c r="L5514" s="656" t="s">
        <v>8009</v>
      </c>
      <c r="M5514" s="657"/>
      <c r="N5514" s="1482"/>
      <c r="O5514" s="656" t="s">
        <v>498</v>
      </c>
      <c r="P5514" s="656" t="s">
        <v>13052</v>
      </c>
      <c r="Q5514" s="656">
        <v>44216.756527777776</v>
      </c>
    </row>
    <row r="5515" spans="1:17">
      <c r="A5515" s="656" t="s">
        <v>8005</v>
      </c>
      <c r="B5515" s="657"/>
      <c r="C5515" s="656" t="s">
        <v>8006</v>
      </c>
      <c r="D5515" s="657" t="s">
        <v>14978</v>
      </c>
      <c r="E5515" s="657"/>
      <c r="F5515" s="656"/>
      <c r="G5515" s="656" t="s">
        <v>5103</v>
      </c>
      <c r="H5515" s="656"/>
      <c r="I5515" s="656" t="s">
        <v>14976</v>
      </c>
      <c r="J5515" s="656"/>
      <c r="K5515" s="656"/>
      <c r="L5515" s="656" t="s">
        <v>8009</v>
      </c>
      <c r="M5515" s="657"/>
      <c r="N5515" s="1482"/>
      <c r="O5515" s="656" t="s">
        <v>498</v>
      </c>
      <c r="P5515" s="656" t="s">
        <v>13052</v>
      </c>
      <c r="Q5515" s="656">
        <v>44216.756516203706</v>
      </c>
    </row>
    <row r="5516" spans="1:17">
      <c r="A5516" s="656" t="s">
        <v>8007</v>
      </c>
      <c r="B5516" s="657"/>
      <c r="C5516" s="656" t="s">
        <v>8008</v>
      </c>
      <c r="D5516" s="657" t="s">
        <v>14978</v>
      </c>
      <c r="E5516" s="657"/>
      <c r="F5516" s="656"/>
      <c r="G5516" s="656" t="s">
        <v>5103</v>
      </c>
      <c r="H5516" s="656"/>
      <c r="I5516" s="656" t="s">
        <v>14976</v>
      </c>
      <c r="J5516" s="656"/>
      <c r="K5516" s="656"/>
      <c r="L5516" s="656" t="s">
        <v>8009</v>
      </c>
      <c r="M5516" s="657"/>
      <c r="N5516" s="1482"/>
      <c r="O5516" s="656" t="s">
        <v>498</v>
      </c>
      <c r="P5516" s="656" t="s">
        <v>13052</v>
      </c>
      <c r="Q5516" s="656">
        <v>44216.756516203706</v>
      </c>
    </row>
    <row r="5517" spans="1:17">
      <c r="A5517" s="656" t="s">
        <v>8009</v>
      </c>
      <c r="B5517" s="657" t="s">
        <v>504</v>
      </c>
      <c r="C5517" s="656" t="s">
        <v>8010</v>
      </c>
      <c r="D5517" s="657" t="s">
        <v>14977</v>
      </c>
      <c r="E5517" s="657"/>
      <c r="F5517" s="656"/>
      <c r="G5517" s="656" t="s">
        <v>5103</v>
      </c>
      <c r="H5517" s="656"/>
      <c r="I5517" s="656"/>
      <c r="J5517" s="656"/>
      <c r="K5517" s="656"/>
      <c r="L5517" s="656"/>
      <c r="M5517" s="657"/>
      <c r="N5517" s="1482"/>
      <c r="O5517" s="656" t="s">
        <v>498</v>
      </c>
      <c r="P5517" s="656" t="s">
        <v>13052</v>
      </c>
      <c r="Q5517" s="656">
        <v>44216.756504629629</v>
      </c>
    </row>
    <row r="5518" spans="1:17">
      <c r="A5518" s="656" t="s">
        <v>8011</v>
      </c>
      <c r="B5518" s="657" t="s">
        <v>504</v>
      </c>
      <c r="C5518" s="656" t="s">
        <v>8012</v>
      </c>
      <c r="D5518" s="657" t="s">
        <v>14977</v>
      </c>
      <c r="E5518" s="657"/>
      <c r="F5518" s="656"/>
      <c r="G5518" s="656" t="s">
        <v>5103</v>
      </c>
      <c r="H5518" s="656"/>
      <c r="I5518" s="656"/>
      <c r="J5518" s="656"/>
      <c r="K5518" s="656"/>
      <c r="L5518" s="656"/>
      <c r="M5518" s="657"/>
      <c r="N5518" s="1482"/>
      <c r="O5518" s="656" t="s">
        <v>498</v>
      </c>
      <c r="P5518" s="656" t="s">
        <v>13052</v>
      </c>
      <c r="Q5518" s="656">
        <v>44216.756504629629</v>
      </c>
    </row>
    <row r="5519" spans="1:17">
      <c r="A5519" s="656" t="s">
        <v>8013</v>
      </c>
      <c r="B5519" s="657" t="s">
        <v>504</v>
      </c>
      <c r="C5519" s="656" t="s">
        <v>8014</v>
      </c>
      <c r="D5519" s="657"/>
      <c r="E5519" s="657"/>
      <c r="F5519" s="656" t="s">
        <v>505</v>
      </c>
      <c r="G5519" s="656" t="s">
        <v>4394</v>
      </c>
      <c r="H5519" s="656" t="s">
        <v>505</v>
      </c>
      <c r="I5519" s="656"/>
      <c r="J5519" s="656"/>
      <c r="K5519" s="656"/>
      <c r="L5519" s="656"/>
      <c r="M5519" s="657"/>
      <c r="N5519" s="1482"/>
      <c r="O5519" s="656" t="s">
        <v>498</v>
      </c>
      <c r="P5519" s="656" t="s">
        <v>13052</v>
      </c>
      <c r="Q5519" s="656">
        <v>44216.756504629629</v>
      </c>
    </row>
    <row r="5520" spans="1:17">
      <c r="A5520" s="656" t="s">
        <v>8015</v>
      </c>
      <c r="B5520" s="657" t="s">
        <v>504</v>
      </c>
      <c r="C5520" s="656" t="s">
        <v>8016</v>
      </c>
      <c r="D5520" s="657" t="s">
        <v>14977</v>
      </c>
      <c r="E5520" s="657"/>
      <c r="F5520" s="656"/>
      <c r="G5520" s="656" t="s">
        <v>5103</v>
      </c>
      <c r="H5520" s="656"/>
      <c r="I5520" s="656"/>
      <c r="J5520" s="656"/>
      <c r="K5520" s="656"/>
      <c r="L5520" s="656"/>
      <c r="M5520" s="657"/>
      <c r="N5520" s="1482"/>
      <c r="O5520" s="656" t="s">
        <v>498</v>
      </c>
      <c r="P5520" s="656" t="s">
        <v>13052</v>
      </c>
      <c r="Q5520" s="656">
        <v>44216.756493055553</v>
      </c>
    </row>
    <row r="5521" spans="1:17">
      <c r="A5521" s="656" t="s">
        <v>8017</v>
      </c>
      <c r="B5521" s="657" t="s">
        <v>504</v>
      </c>
      <c r="C5521" s="656" t="s">
        <v>8018</v>
      </c>
      <c r="D5521" s="657" t="s">
        <v>14977</v>
      </c>
      <c r="E5521" s="657"/>
      <c r="F5521" s="656"/>
      <c r="G5521" s="656" t="s">
        <v>5103</v>
      </c>
      <c r="H5521" s="656"/>
      <c r="I5521" s="656"/>
      <c r="J5521" s="656"/>
      <c r="K5521" s="656"/>
      <c r="L5521" s="656"/>
      <c r="M5521" s="657"/>
      <c r="N5521" s="1482"/>
      <c r="O5521" s="656" t="s">
        <v>498</v>
      </c>
      <c r="P5521" s="656" t="s">
        <v>13052</v>
      </c>
      <c r="Q5521" s="656">
        <v>44216.756493055553</v>
      </c>
    </row>
    <row r="5522" spans="1:17">
      <c r="A5522" s="656" t="s">
        <v>8019</v>
      </c>
      <c r="B5522" s="657" t="s">
        <v>504</v>
      </c>
      <c r="C5522" s="656" t="s">
        <v>8020</v>
      </c>
      <c r="D5522" s="657" t="s">
        <v>14977</v>
      </c>
      <c r="E5522" s="657"/>
      <c r="F5522" s="656"/>
      <c r="G5522" s="656" t="s">
        <v>4362</v>
      </c>
      <c r="H5522" s="656"/>
      <c r="I5522" s="656"/>
      <c r="J5522" s="656"/>
      <c r="K5522" s="656"/>
      <c r="L5522" s="656"/>
      <c r="M5522" s="657"/>
      <c r="N5522" s="1482"/>
      <c r="O5522" s="656" t="s">
        <v>498</v>
      </c>
      <c r="P5522" s="656" t="s">
        <v>13052</v>
      </c>
      <c r="Q5522" s="656">
        <v>44216.756481481483</v>
      </c>
    </row>
    <row r="5523" spans="1:17">
      <c r="A5523" s="656" t="s">
        <v>8021</v>
      </c>
      <c r="B5523" s="657" t="s">
        <v>504</v>
      </c>
      <c r="C5523" s="656" t="s">
        <v>8022</v>
      </c>
      <c r="D5523" s="657" t="s">
        <v>14977</v>
      </c>
      <c r="E5523" s="657"/>
      <c r="F5523" s="656"/>
      <c r="G5523" s="656" t="s">
        <v>5103</v>
      </c>
      <c r="H5523" s="656"/>
      <c r="I5523" s="656"/>
      <c r="J5523" s="656"/>
      <c r="K5523" s="656"/>
      <c r="L5523" s="656"/>
      <c r="M5523" s="657"/>
      <c r="N5523" s="1482"/>
      <c r="O5523" s="656" t="s">
        <v>498</v>
      </c>
      <c r="P5523" s="656" t="s">
        <v>13052</v>
      </c>
      <c r="Q5523" s="656">
        <v>44216.756481481483</v>
      </c>
    </row>
    <row r="5524" spans="1:17">
      <c r="A5524" s="656" t="s">
        <v>8023</v>
      </c>
      <c r="B5524" s="657"/>
      <c r="C5524" s="656" t="s">
        <v>8024</v>
      </c>
      <c r="D5524" s="657" t="s">
        <v>14978</v>
      </c>
      <c r="E5524" s="657"/>
      <c r="F5524" s="656"/>
      <c r="G5524" s="656" t="s">
        <v>5103</v>
      </c>
      <c r="H5524" s="656"/>
      <c r="I5524" s="656" t="s">
        <v>14976</v>
      </c>
      <c r="J5524" s="656"/>
      <c r="K5524" s="656"/>
      <c r="L5524" s="656" t="s">
        <v>8035</v>
      </c>
      <c r="M5524" s="657"/>
      <c r="N5524" s="1482"/>
      <c r="O5524" s="656" t="s">
        <v>498</v>
      </c>
      <c r="P5524" s="656" t="s">
        <v>13052</v>
      </c>
      <c r="Q5524" s="656">
        <v>44216.756469907406</v>
      </c>
    </row>
    <row r="5525" spans="1:17">
      <c r="A5525" s="656" t="s">
        <v>8025</v>
      </c>
      <c r="B5525" s="657"/>
      <c r="C5525" s="656" t="s">
        <v>8026</v>
      </c>
      <c r="D5525" s="657" t="s">
        <v>14978</v>
      </c>
      <c r="E5525" s="657"/>
      <c r="F5525" s="656"/>
      <c r="G5525" s="656" t="s">
        <v>5103</v>
      </c>
      <c r="H5525" s="656"/>
      <c r="I5525" s="656" t="s">
        <v>14976</v>
      </c>
      <c r="J5525" s="656"/>
      <c r="K5525" s="656"/>
      <c r="L5525" s="656" t="s">
        <v>8035</v>
      </c>
      <c r="M5525" s="657"/>
      <c r="N5525" s="1482"/>
      <c r="O5525" s="656" t="s">
        <v>498</v>
      </c>
      <c r="P5525" s="656" t="s">
        <v>13052</v>
      </c>
      <c r="Q5525" s="656">
        <v>44216.756469907406</v>
      </c>
    </row>
    <row r="5526" spans="1:17">
      <c r="A5526" s="656" t="s">
        <v>8027</v>
      </c>
      <c r="B5526" s="657"/>
      <c r="C5526" s="656" t="s">
        <v>8028</v>
      </c>
      <c r="D5526" s="657" t="s">
        <v>14978</v>
      </c>
      <c r="E5526" s="657"/>
      <c r="F5526" s="656"/>
      <c r="G5526" s="656" t="s">
        <v>5103</v>
      </c>
      <c r="H5526" s="656"/>
      <c r="I5526" s="656" t="s">
        <v>14976</v>
      </c>
      <c r="J5526" s="656"/>
      <c r="K5526" s="656"/>
      <c r="L5526" s="656" t="s">
        <v>8035</v>
      </c>
      <c r="M5526" s="657"/>
      <c r="N5526" s="1482"/>
      <c r="O5526" s="656" t="s">
        <v>498</v>
      </c>
      <c r="P5526" s="656" t="s">
        <v>13052</v>
      </c>
      <c r="Q5526" s="656">
        <v>44216.756458333337</v>
      </c>
    </row>
    <row r="5527" spans="1:17">
      <c r="A5527" s="656" t="s">
        <v>8029</v>
      </c>
      <c r="B5527" s="657"/>
      <c r="C5527" s="656" t="s">
        <v>8030</v>
      </c>
      <c r="D5527" s="657" t="s">
        <v>14978</v>
      </c>
      <c r="E5527" s="657"/>
      <c r="F5527" s="656"/>
      <c r="G5527" s="656" t="s">
        <v>5103</v>
      </c>
      <c r="H5527" s="656"/>
      <c r="I5527" s="656" t="s">
        <v>14976</v>
      </c>
      <c r="J5527" s="656"/>
      <c r="K5527" s="656"/>
      <c r="L5527" s="656" t="s">
        <v>8035</v>
      </c>
      <c r="M5527" s="657"/>
      <c r="N5527" s="1482"/>
      <c r="O5527" s="656" t="s">
        <v>498</v>
      </c>
      <c r="P5527" s="656" t="s">
        <v>13052</v>
      </c>
      <c r="Q5527" s="656">
        <v>44216.756458333337</v>
      </c>
    </row>
    <row r="5528" spans="1:17">
      <c r="A5528" s="656" t="s">
        <v>8031</v>
      </c>
      <c r="B5528" s="657"/>
      <c r="C5528" s="656" t="s">
        <v>8032</v>
      </c>
      <c r="D5528" s="657" t="s">
        <v>14978</v>
      </c>
      <c r="E5528" s="657"/>
      <c r="F5528" s="656"/>
      <c r="G5528" s="656" t="s">
        <v>5103</v>
      </c>
      <c r="H5528" s="656"/>
      <c r="I5528" s="656" t="s">
        <v>14976</v>
      </c>
      <c r="J5528" s="656"/>
      <c r="K5528" s="656"/>
      <c r="L5528" s="656" t="s">
        <v>8035</v>
      </c>
      <c r="M5528" s="657"/>
      <c r="N5528" s="1482"/>
      <c r="O5528" s="656" t="s">
        <v>498</v>
      </c>
      <c r="P5528" s="656" t="s">
        <v>13052</v>
      </c>
      <c r="Q5528" s="656">
        <v>44216.75644675926</v>
      </c>
    </row>
    <row r="5529" spans="1:17">
      <c r="A5529" s="656" t="s">
        <v>8033</v>
      </c>
      <c r="B5529" s="657"/>
      <c r="C5529" s="656" t="s">
        <v>8034</v>
      </c>
      <c r="D5529" s="657" t="s">
        <v>14978</v>
      </c>
      <c r="E5529" s="657"/>
      <c r="F5529" s="656"/>
      <c r="G5529" s="656" t="s">
        <v>5103</v>
      </c>
      <c r="H5529" s="656"/>
      <c r="I5529" s="656" t="s">
        <v>14976</v>
      </c>
      <c r="J5529" s="656"/>
      <c r="K5529" s="656"/>
      <c r="L5529" s="656" t="s">
        <v>8035</v>
      </c>
      <c r="M5529" s="657"/>
      <c r="N5529" s="1482"/>
      <c r="O5529" s="656" t="s">
        <v>498</v>
      </c>
      <c r="P5529" s="656" t="s">
        <v>13052</v>
      </c>
      <c r="Q5529" s="656">
        <v>44216.75644675926</v>
      </c>
    </row>
    <row r="5530" spans="1:17">
      <c r="A5530" s="656" t="s">
        <v>8035</v>
      </c>
      <c r="B5530" s="657" t="s">
        <v>504</v>
      </c>
      <c r="C5530" s="656" t="s">
        <v>8036</v>
      </c>
      <c r="D5530" s="657" t="s">
        <v>13789</v>
      </c>
      <c r="E5530" s="657"/>
      <c r="F5530" s="656"/>
      <c r="G5530" s="656" t="s">
        <v>5103</v>
      </c>
      <c r="H5530" s="656"/>
      <c r="I5530" s="656"/>
      <c r="J5530" s="656"/>
      <c r="K5530" s="656"/>
      <c r="L5530" s="656"/>
      <c r="M5530" s="657"/>
      <c r="N5530" s="1482"/>
      <c r="O5530" s="656" t="s">
        <v>498</v>
      </c>
      <c r="P5530" s="656" t="s">
        <v>13052</v>
      </c>
      <c r="Q5530" s="656">
        <v>44216.756435185183</v>
      </c>
    </row>
    <row r="5531" spans="1:17">
      <c r="A5531" s="656" t="s">
        <v>8037</v>
      </c>
      <c r="B5531" s="657" t="s">
        <v>504</v>
      </c>
      <c r="C5531" s="656" t="s">
        <v>8038</v>
      </c>
      <c r="D5531" s="657" t="s">
        <v>13789</v>
      </c>
      <c r="E5531" s="657"/>
      <c r="F5531" s="656"/>
      <c r="G5531" s="656" t="s">
        <v>5103</v>
      </c>
      <c r="H5531" s="656"/>
      <c r="I5531" s="656"/>
      <c r="J5531" s="656"/>
      <c r="K5531" s="656"/>
      <c r="L5531" s="656"/>
      <c r="M5531" s="657"/>
      <c r="N5531" s="1482"/>
      <c r="O5531" s="656" t="s">
        <v>498</v>
      </c>
      <c r="P5531" s="656" t="s">
        <v>13052</v>
      </c>
      <c r="Q5531" s="656">
        <v>44216.75644675926</v>
      </c>
    </row>
    <row r="5532" spans="1:17">
      <c r="A5532" s="656" t="s">
        <v>8039</v>
      </c>
      <c r="B5532" s="657" t="s">
        <v>504</v>
      </c>
      <c r="C5532" s="656" t="s">
        <v>8040</v>
      </c>
      <c r="D5532" s="657" t="s">
        <v>13789</v>
      </c>
      <c r="E5532" s="657"/>
      <c r="F5532" s="656"/>
      <c r="G5532" s="656" t="s">
        <v>5103</v>
      </c>
      <c r="H5532" s="656"/>
      <c r="I5532" s="656"/>
      <c r="J5532" s="656"/>
      <c r="K5532" s="656"/>
      <c r="L5532" s="656"/>
      <c r="M5532" s="657"/>
      <c r="N5532" s="1482"/>
      <c r="O5532" s="656" t="s">
        <v>498</v>
      </c>
      <c r="P5532" s="656" t="s">
        <v>13052</v>
      </c>
      <c r="Q5532" s="656">
        <v>44216.756435185183</v>
      </c>
    </row>
    <row r="5533" spans="1:17">
      <c r="A5533" s="656" t="s">
        <v>8041</v>
      </c>
      <c r="B5533" s="657" t="s">
        <v>504</v>
      </c>
      <c r="C5533" s="656" t="s">
        <v>8042</v>
      </c>
      <c r="D5533" s="657"/>
      <c r="E5533" s="657"/>
      <c r="F5533" s="656" t="s">
        <v>505</v>
      </c>
      <c r="G5533" s="656" t="s">
        <v>4394</v>
      </c>
      <c r="H5533" s="656" t="s">
        <v>505</v>
      </c>
      <c r="I5533" s="656"/>
      <c r="J5533" s="656"/>
      <c r="K5533" s="656"/>
      <c r="L5533" s="656"/>
      <c r="M5533" s="657"/>
      <c r="N5533" s="1482"/>
      <c r="O5533" s="656" t="s">
        <v>498</v>
      </c>
      <c r="P5533" s="656" t="s">
        <v>13052</v>
      </c>
      <c r="Q5533" s="656">
        <v>44216.756423611114</v>
      </c>
    </row>
    <row r="5534" spans="1:17">
      <c r="A5534" s="656" t="s">
        <v>8043</v>
      </c>
      <c r="B5534" s="657" t="s">
        <v>504</v>
      </c>
      <c r="C5534" s="656" t="s">
        <v>8044</v>
      </c>
      <c r="D5534" s="657"/>
      <c r="E5534" s="657"/>
      <c r="F5534" s="656" t="s">
        <v>505</v>
      </c>
      <c r="G5534" s="656" t="s">
        <v>4394</v>
      </c>
      <c r="H5534" s="656" t="s">
        <v>505</v>
      </c>
      <c r="I5534" s="656"/>
      <c r="J5534" s="656"/>
      <c r="K5534" s="656"/>
      <c r="L5534" s="656"/>
      <c r="M5534" s="657"/>
      <c r="N5534" s="1482"/>
      <c r="O5534" s="656" t="s">
        <v>498</v>
      </c>
      <c r="P5534" s="656" t="s">
        <v>13052</v>
      </c>
      <c r="Q5534" s="656">
        <v>44216.756423611114</v>
      </c>
    </row>
    <row r="5535" spans="1:17">
      <c r="A5535" s="656" t="s">
        <v>15283</v>
      </c>
      <c r="B5535" s="657" t="s">
        <v>504</v>
      </c>
      <c r="C5535" s="656" t="s">
        <v>15284</v>
      </c>
      <c r="D5535" s="657" t="s">
        <v>13789</v>
      </c>
      <c r="E5535" s="657" t="s">
        <v>9406</v>
      </c>
      <c r="F5535" s="656" t="s">
        <v>505</v>
      </c>
      <c r="G5535" s="656" t="s">
        <v>525</v>
      </c>
      <c r="H5535" s="656" t="s">
        <v>505</v>
      </c>
      <c r="I5535" s="656" t="s">
        <v>14976</v>
      </c>
      <c r="J5535" s="656"/>
      <c r="K5535" s="656"/>
      <c r="L5535" s="656" t="s">
        <v>8049</v>
      </c>
      <c r="M5535" s="657"/>
      <c r="N5535" s="1482"/>
      <c r="O5535" s="656" t="s">
        <v>498</v>
      </c>
      <c r="P5535" s="656" t="s">
        <v>13052</v>
      </c>
      <c r="Q5535" s="656">
        <v>44216.756412037037</v>
      </c>
    </row>
    <row r="5536" spans="1:17">
      <c r="A5536" s="656" t="s">
        <v>8045</v>
      </c>
      <c r="B5536" s="657" t="s">
        <v>504</v>
      </c>
      <c r="C5536" s="656" t="s">
        <v>8046</v>
      </c>
      <c r="D5536" s="657" t="s">
        <v>13789</v>
      </c>
      <c r="E5536" s="657" t="s">
        <v>9654</v>
      </c>
      <c r="F5536" s="656" t="s">
        <v>505</v>
      </c>
      <c r="G5536" s="656" t="s">
        <v>525</v>
      </c>
      <c r="H5536" s="656" t="s">
        <v>505</v>
      </c>
      <c r="I5536" s="656"/>
      <c r="J5536" s="656"/>
      <c r="K5536" s="656"/>
      <c r="L5536" s="656"/>
      <c r="M5536" s="657"/>
      <c r="N5536" s="1482"/>
      <c r="O5536" s="656" t="s">
        <v>498</v>
      </c>
      <c r="P5536" s="656" t="s">
        <v>13052</v>
      </c>
      <c r="Q5536" s="656">
        <v>44216.756423611114</v>
      </c>
    </row>
    <row r="5537" spans="1:17">
      <c r="A5537" s="656" t="s">
        <v>8047</v>
      </c>
      <c r="B5537" s="657" t="s">
        <v>504</v>
      </c>
      <c r="C5537" s="656" t="s">
        <v>8048</v>
      </c>
      <c r="D5537" s="657"/>
      <c r="E5537" s="657"/>
      <c r="F5537" s="656" t="s">
        <v>505</v>
      </c>
      <c r="G5537" s="656"/>
      <c r="H5537" s="656" t="s">
        <v>505</v>
      </c>
      <c r="I5537" s="656"/>
      <c r="J5537" s="656"/>
      <c r="K5537" s="656"/>
      <c r="L5537" s="656"/>
      <c r="M5537" s="657"/>
      <c r="N5537" s="1482"/>
      <c r="O5537" s="656" t="s">
        <v>498</v>
      </c>
      <c r="P5537" s="656" t="s">
        <v>13052</v>
      </c>
      <c r="Q5537" s="656">
        <v>44216.756412037037</v>
      </c>
    </row>
    <row r="5538" spans="1:17">
      <c r="A5538" s="656" t="s">
        <v>8049</v>
      </c>
      <c r="B5538" s="657" t="s">
        <v>504</v>
      </c>
      <c r="C5538" s="656" t="s">
        <v>8050</v>
      </c>
      <c r="D5538" s="657"/>
      <c r="E5538" s="657"/>
      <c r="F5538" s="656" t="s">
        <v>505</v>
      </c>
      <c r="G5538" s="656" t="s">
        <v>4394</v>
      </c>
      <c r="H5538" s="656" t="s">
        <v>505</v>
      </c>
      <c r="I5538" s="656"/>
      <c r="J5538" s="656"/>
      <c r="K5538" s="656"/>
      <c r="L5538" s="656"/>
      <c r="M5538" s="657"/>
      <c r="N5538" s="1482"/>
      <c r="O5538" s="656" t="s">
        <v>498</v>
      </c>
      <c r="P5538" s="656" t="s">
        <v>13052</v>
      </c>
      <c r="Q5538" s="656">
        <v>44216.75640046296</v>
      </c>
    </row>
    <row r="5539" spans="1:17">
      <c r="A5539" s="656" t="s">
        <v>8051</v>
      </c>
      <c r="B5539" s="657"/>
      <c r="C5539" s="656" t="s">
        <v>8052</v>
      </c>
      <c r="D5539" s="657" t="s">
        <v>14978</v>
      </c>
      <c r="E5539" s="657"/>
      <c r="F5539" s="656"/>
      <c r="G5539" s="656" t="s">
        <v>5103</v>
      </c>
      <c r="H5539" s="656"/>
      <c r="I5539" s="656" t="s">
        <v>14976</v>
      </c>
      <c r="J5539" s="656"/>
      <c r="K5539" s="656"/>
      <c r="L5539" s="656" t="s">
        <v>8055</v>
      </c>
      <c r="M5539" s="657"/>
      <c r="N5539" s="1482"/>
      <c r="O5539" s="656" t="s">
        <v>498</v>
      </c>
      <c r="P5539" s="656" t="s">
        <v>13052</v>
      </c>
      <c r="Q5539" s="656">
        <v>44216.75640046296</v>
      </c>
    </row>
    <row r="5540" spans="1:17">
      <c r="A5540" s="656" t="s">
        <v>8053</v>
      </c>
      <c r="B5540" s="657"/>
      <c r="C5540" s="656" t="s">
        <v>8054</v>
      </c>
      <c r="D5540" s="657" t="s">
        <v>14978</v>
      </c>
      <c r="E5540" s="657"/>
      <c r="F5540" s="656"/>
      <c r="G5540" s="656" t="s">
        <v>5103</v>
      </c>
      <c r="H5540" s="656"/>
      <c r="I5540" s="656" t="s">
        <v>14976</v>
      </c>
      <c r="J5540" s="656"/>
      <c r="K5540" s="656"/>
      <c r="L5540" s="656" t="s">
        <v>8055</v>
      </c>
      <c r="M5540" s="657"/>
      <c r="N5540" s="1482"/>
      <c r="O5540" s="656" t="s">
        <v>498</v>
      </c>
      <c r="P5540" s="656" t="s">
        <v>13052</v>
      </c>
      <c r="Q5540" s="656">
        <v>44216.756388888891</v>
      </c>
    </row>
    <row r="5541" spans="1:17">
      <c r="A5541" s="656" t="s">
        <v>8055</v>
      </c>
      <c r="B5541" s="657" t="s">
        <v>504</v>
      </c>
      <c r="C5541" s="656" t="s">
        <v>8056</v>
      </c>
      <c r="D5541" s="657"/>
      <c r="E5541" s="657"/>
      <c r="F5541" s="656" t="s">
        <v>505</v>
      </c>
      <c r="G5541" s="656" t="s">
        <v>4394</v>
      </c>
      <c r="H5541" s="656" t="s">
        <v>505</v>
      </c>
      <c r="I5541" s="656"/>
      <c r="J5541" s="656"/>
      <c r="K5541" s="656"/>
      <c r="L5541" s="656"/>
      <c r="M5541" s="657"/>
      <c r="N5541" s="1482"/>
      <c r="O5541" s="656" t="s">
        <v>498</v>
      </c>
      <c r="P5541" s="656" t="s">
        <v>13052</v>
      </c>
      <c r="Q5541" s="656">
        <v>44216.756388888891</v>
      </c>
    </row>
    <row r="5542" spans="1:17">
      <c r="A5542" s="656" t="s">
        <v>8057</v>
      </c>
      <c r="B5542" s="657" t="s">
        <v>504</v>
      </c>
      <c r="C5542" s="656" t="s">
        <v>8058</v>
      </c>
      <c r="D5542" s="657"/>
      <c r="E5542" s="657"/>
      <c r="F5542" s="656" t="s">
        <v>505</v>
      </c>
      <c r="G5542" s="656" t="s">
        <v>4394</v>
      </c>
      <c r="H5542" s="656" t="s">
        <v>505</v>
      </c>
      <c r="I5542" s="656"/>
      <c r="J5542" s="656"/>
      <c r="K5542" s="656"/>
      <c r="L5542" s="656"/>
      <c r="M5542" s="657"/>
      <c r="N5542" s="1482"/>
      <c r="O5542" s="656" t="s">
        <v>498</v>
      </c>
      <c r="P5542" s="656" t="s">
        <v>13052</v>
      </c>
      <c r="Q5542" s="656">
        <v>44216.756377314814</v>
      </c>
    </row>
    <row r="5543" spans="1:17">
      <c r="A5543" s="656" t="s">
        <v>8059</v>
      </c>
      <c r="B5543" s="657" t="s">
        <v>504</v>
      </c>
      <c r="C5543" s="656" t="s">
        <v>8060</v>
      </c>
      <c r="D5543" s="657"/>
      <c r="E5543" s="657"/>
      <c r="F5543" s="656" t="s">
        <v>505</v>
      </c>
      <c r="G5543" s="656" t="s">
        <v>4394</v>
      </c>
      <c r="H5543" s="656" t="s">
        <v>505</v>
      </c>
      <c r="I5543" s="656"/>
      <c r="J5543" s="656"/>
      <c r="K5543" s="656"/>
      <c r="L5543" s="656"/>
      <c r="M5543" s="657"/>
      <c r="N5543" s="1482"/>
      <c r="O5543" s="656" t="s">
        <v>498</v>
      </c>
      <c r="P5543" s="656" t="s">
        <v>13052</v>
      </c>
      <c r="Q5543" s="656">
        <v>44216.756377314814</v>
      </c>
    </row>
    <row r="5544" spans="1:17">
      <c r="A5544" s="656" t="s">
        <v>8061</v>
      </c>
      <c r="B5544" s="657"/>
      <c r="C5544" s="656" t="s">
        <v>8062</v>
      </c>
      <c r="D5544" s="657" t="s">
        <v>14977</v>
      </c>
      <c r="E5544" s="657"/>
      <c r="F5544" s="656" t="s">
        <v>1394</v>
      </c>
      <c r="G5544" s="656"/>
      <c r="H5544" s="656" t="s">
        <v>1394</v>
      </c>
      <c r="I5544" s="656" t="s">
        <v>14976</v>
      </c>
      <c r="J5544" s="656"/>
      <c r="K5544" s="656"/>
      <c r="L5544" s="656" t="s">
        <v>8061</v>
      </c>
      <c r="M5544" s="657"/>
      <c r="N5544" s="1482"/>
      <c r="O5544" s="656" t="s">
        <v>498</v>
      </c>
      <c r="P5544" s="656" t="s">
        <v>13052</v>
      </c>
      <c r="Q5544" s="656">
        <v>44216.756377314814</v>
      </c>
    </row>
    <row r="5545" spans="1:17">
      <c r="A5545" s="656" t="s">
        <v>8063</v>
      </c>
      <c r="B5545" s="657" t="s">
        <v>202</v>
      </c>
      <c r="C5545" s="656" t="s">
        <v>8064</v>
      </c>
      <c r="D5545" s="657" t="s">
        <v>14977</v>
      </c>
      <c r="E5545" s="657"/>
      <c r="F5545" s="656" t="s">
        <v>1667</v>
      </c>
      <c r="G5545" s="656" t="s">
        <v>4066</v>
      </c>
      <c r="H5545" s="656" t="s">
        <v>1667</v>
      </c>
      <c r="I5545" s="656" t="s">
        <v>14976</v>
      </c>
      <c r="J5545" s="656" t="s">
        <v>15282</v>
      </c>
      <c r="K5545" s="656"/>
      <c r="L5545" s="656" t="s">
        <v>8063</v>
      </c>
      <c r="M5545" s="657"/>
      <c r="N5545" s="1482"/>
      <c r="O5545" s="656" t="s">
        <v>498</v>
      </c>
      <c r="P5545" s="656" t="s">
        <v>13052</v>
      </c>
      <c r="Q5545" s="656">
        <v>44216.756365740737</v>
      </c>
    </row>
    <row r="5546" spans="1:17">
      <c r="A5546" s="656" t="s">
        <v>8065</v>
      </c>
      <c r="B5546" s="657" t="s">
        <v>202</v>
      </c>
      <c r="C5546" s="656" t="s">
        <v>8066</v>
      </c>
      <c r="D5546" s="657" t="s">
        <v>14977</v>
      </c>
      <c r="E5546" s="657"/>
      <c r="F5546" s="656" t="s">
        <v>1667</v>
      </c>
      <c r="G5546" s="656" t="s">
        <v>13</v>
      </c>
      <c r="H5546" s="656" t="s">
        <v>1667</v>
      </c>
      <c r="I5546" s="656" t="s">
        <v>14976</v>
      </c>
      <c r="J5546" s="656" t="s">
        <v>15282</v>
      </c>
      <c r="K5546" s="656"/>
      <c r="L5546" s="656" t="s">
        <v>8065</v>
      </c>
      <c r="M5546" s="657"/>
      <c r="N5546" s="1482"/>
      <c r="O5546" s="656" t="s">
        <v>498</v>
      </c>
      <c r="P5546" s="656" t="s">
        <v>13052</v>
      </c>
      <c r="Q5546" s="656">
        <v>44216.756365740737</v>
      </c>
    </row>
    <row r="5547" spans="1:17">
      <c r="A5547" s="656" t="s">
        <v>13425</v>
      </c>
      <c r="B5547" s="657" t="s">
        <v>202</v>
      </c>
      <c r="C5547" s="656" t="s">
        <v>13426</v>
      </c>
      <c r="D5547" s="657" t="s">
        <v>14977</v>
      </c>
      <c r="E5547" s="657"/>
      <c r="F5547" s="656" t="s">
        <v>1300</v>
      </c>
      <c r="G5547" s="656" t="s">
        <v>4198</v>
      </c>
      <c r="H5547" s="656" t="s">
        <v>1300</v>
      </c>
      <c r="I5547" s="656" t="s">
        <v>14976</v>
      </c>
      <c r="J5547" s="656"/>
      <c r="K5547" s="656"/>
      <c r="L5547" s="656" t="s">
        <v>13425</v>
      </c>
      <c r="M5547" s="657"/>
      <c r="N5547" s="1482"/>
      <c r="O5547" s="656" t="s">
        <v>498</v>
      </c>
      <c r="P5547" s="656" t="s">
        <v>13052</v>
      </c>
      <c r="Q5547" s="656">
        <v>44216.756354166668</v>
      </c>
    </row>
    <row r="5548" spans="1:17">
      <c r="A5548" s="656" t="s">
        <v>13421</v>
      </c>
      <c r="B5548" s="657" t="s">
        <v>202</v>
      </c>
      <c r="C5548" s="656" t="s">
        <v>13422</v>
      </c>
      <c r="D5548" s="657" t="s">
        <v>14977</v>
      </c>
      <c r="E5548" s="657"/>
      <c r="F5548" s="656" t="s">
        <v>1300</v>
      </c>
      <c r="G5548" s="656" t="s">
        <v>4198</v>
      </c>
      <c r="H5548" s="656" t="s">
        <v>1300</v>
      </c>
      <c r="I5548" s="656" t="s">
        <v>14976</v>
      </c>
      <c r="J5548" s="656"/>
      <c r="K5548" s="656"/>
      <c r="L5548" s="656" t="s">
        <v>13421</v>
      </c>
      <c r="M5548" s="657"/>
      <c r="N5548" s="1482"/>
      <c r="O5548" s="656" t="s">
        <v>498</v>
      </c>
      <c r="P5548" s="656" t="s">
        <v>13052</v>
      </c>
      <c r="Q5548" s="656">
        <v>44216.756342592591</v>
      </c>
    </row>
    <row r="5549" spans="1:17">
      <c r="A5549" s="656" t="s">
        <v>8067</v>
      </c>
      <c r="B5549" s="657" t="s">
        <v>504</v>
      </c>
      <c r="C5549" s="656" t="s">
        <v>8068</v>
      </c>
      <c r="D5549" s="657"/>
      <c r="E5549" s="657"/>
      <c r="F5549" s="656" t="s">
        <v>505</v>
      </c>
      <c r="G5549" s="656" t="s">
        <v>4394</v>
      </c>
      <c r="H5549" s="656" t="s">
        <v>505</v>
      </c>
      <c r="I5549" s="656"/>
      <c r="J5549" s="656"/>
      <c r="K5549" s="656"/>
      <c r="L5549" s="656"/>
      <c r="M5549" s="657"/>
      <c r="N5549" s="1482"/>
      <c r="O5549" s="656" t="s">
        <v>498</v>
      </c>
      <c r="P5549" s="656" t="s">
        <v>13052</v>
      </c>
      <c r="Q5549" s="656">
        <v>44216.756342592591</v>
      </c>
    </row>
    <row r="5550" spans="1:17">
      <c r="A5550" s="656" t="s">
        <v>13416</v>
      </c>
      <c r="B5550" s="657" t="s">
        <v>202</v>
      </c>
      <c r="C5550" s="656" t="s">
        <v>13417</v>
      </c>
      <c r="D5550" s="657" t="s">
        <v>14978</v>
      </c>
      <c r="E5550" s="657"/>
      <c r="F5550" s="656" t="s">
        <v>1300</v>
      </c>
      <c r="G5550" s="656" t="s">
        <v>4198</v>
      </c>
      <c r="H5550" s="656" t="s">
        <v>1300</v>
      </c>
      <c r="I5550" s="656" t="s">
        <v>14976</v>
      </c>
      <c r="J5550" s="656"/>
      <c r="K5550" s="656"/>
      <c r="L5550" s="656" t="s">
        <v>13418</v>
      </c>
      <c r="M5550" s="657"/>
      <c r="N5550" s="1482"/>
      <c r="O5550" s="656" t="s">
        <v>498</v>
      </c>
      <c r="P5550" s="656" t="s">
        <v>13052</v>
      </c>
      <c r="Q5550" s="656">
        <v>44216.756342592591</v>
      </c>
    </row>
    <row r="5551" spans="1:17">
      <c r="A5551" s="656" t="s">
        <v>13404</v>
      </c>
      <c r="B5551" s="657" t="s">
        <v>202</v>
      </c>
      <c r="C5551" s="656" t="s">
        <v>13405</v>
      </c>
      <c r="D5551" s="657" t="s">
        <v>14977</v>
      </c>
      <c r="E5551" s="657"/>
      <c r="F5551" s="656" t="s">
        <v>1300</v>
      </c>
      <c r="G5551" s="656" t="s">
        <v>4198</v>
      </c>
      <c r="H5551" s="656" t="s">
        <v>1300</v>
      </c>
      <c r="I5551" s="656" t="s">
        <v>14976</v>
      </c>
      <c r="J5551" s="656"/>
      <c r="K5551" s="656"/>
      <c r="L5551" s="656" t="s">
        <v>13404</v>
      </c>
      <c r="M5551" s="657"/>
      <c r="N5551" s="1482"/>
      <c r="O5551" s="656" t="s">
        <v>498</v>
      </c>
      <c r="P5551" s="656" t="s">
        <v>13052</v>
      </c>
      <c r="Q5551" s="656">
        <v>44216.756331018521</v>
      </c>
    </row>
    <row r="5552" spans="1:17">
      <c r="A5552" s="656" t="s">
        <v>12644</v>
      </c>
      <c r="B5552" s="657" t="s">
        <v>202</v>
      </c>
      <c r="C5552" s="656" t="s">
        <v>12643</v>
      </c>
      <c r="D5552" s="657" t="s">
        <v>14977</v>
      </c>
      <c r="E5552" s="657" t="s">
        <v>7437</v>
      </c>
      <c r="F5552" s="656" t="s">
        <v>537</v>
      </c>
      <c r="G5552" s="656" t="s">
        <v>512</v>
      </c>
      <c r="H5552" s="656" t="s">
        <v>450</v>
      </c>
      <c r="I5552" s="656" t="s">
        <v>14976</v>
      </c>
      <c r="J5552" s="656" t="s">
        <v>473</v>
      </c>
      <c r="K5552" s="656" t="s">
        <v>4161</v>
      </c>
      <c r="L5552" s="656"/>
      <c r="M5552" s="657"/>
      <c r="N5552" s="1482"/>
      <c r="O5552" s="656" t="s">
        <v>498</v>
      </c>
      <c r="P5552" s="656" t="s">
        <v>13052</v>
      </c>
      <c r="Q5552" s="656">
        <v>44216.756331018521</v>
      </c>
    </row>
    <row r="5553" spans="1:17">
      <c r="A5553" s="656" t="s">
        <v>8813</v>
      </c>
      <c r="B5553" s="657" t="s">
        <v>202</v>
      </c>
      <c r="C5553" s="656" t="s">
        <v>8812</v>
      </c>
      <c r="D5553" s="657" t="s">
        <v>14977</v>
      </c>
      <c r="E5553" s="657" t="s">
        <v>9406</v>
      </c>
      <c r="F5553" s="656" t="s">
        <v>537</v>
      </c>
      <c r="G5553" s="656" t="s">
        <v>512</v>
      </c>
      <c r="H5553" s="656" t="s">
        <v>450</v>
      </c>
      <c r="I5553" s="656" t="s">
        <v>14976</v>
      </c>
      <c r="J5553" s="656" t="s">
        <v>473</v>
      </c>
      <c r="K5553" s="656" t="s">
        <v>4161</v>
      </c>
      <c r="L5553" s="656"/>
      <c r="M5553" s="657"/>
      <c r="N5553" s="1482"/>
      <c r="O5553" s="656" t="s">
        <v>498</v>
      </c>
      <c r="P5553" s="656" t="s">
        <v>13052</v>
      </c>
      <c r="Q5553" s="656">
        <v>44216.756319444445</v>
      </c>
    </row>
    <row r="5554" spans="1:17">
      <c r="A5554" s="656" t="s">
        <v>8069</v>
      </c>
      <c r="B5554" s="657" t="s">
        <v>202</v>
      </c>
      <c r="C5554" s="656" t="s">
        <v>8070</v>
      </c>
      <c r="D5554" s="657" t="s">
        <v>14978</v>
      </c>
      <c r="E5554" s="657" t="s">
        <v>9406</v>
      </c>
      <c r="F5554" s="656" t="s">
        <v>537</v>
      </c>
      <c r="G5554" s="656" t="s">
        <v>552</v>
      </c>
      <c r="H5554" s="656" t="s">
        <v>450</v>
      </c>
      <c r="I5554" s="656" t="s">
        <v>14976</v>
      </c>
      <c r="J5554" s="656" t="s">
        <v>473</v>
      </c>
      <c r="K5554" s="656"/>
      <c r="L5554" s="656" t="s">
        <v>8081</v>
      </c>
      <c r="M5554" s="657"/>
      <c r="N5554" s="1482"/>
      <c r="O5554" s="656" t="s">
        <v>498</v>
      </c>
      <c r="P5554" s="656" t="s">
        <v>13052</v>
      </c>
      <c r="Q5554" s="656">
        <v>44216.756319444445</v>
      </c>
    </row>
    <row r="5555" spans="1:17">
      <c r="A5555" s="656" t="s">
        <v>8071</v>
      </c>
      <c r="B5555" s="657" t="s">
        <v>202</v>
      </c>
      <c r="C5555" s="656" t="s">
        <v>8072</v>
      </c>
      <c r="D5555" s="657" t="s">
        <v>14978</v>
      </c>
      <c r="E5555" s="657" t="s">
        <v>9458</v>
      </c>
      <c r="F5555" s="656" t="s">
        <v>537</v>
      </c>
      <c r="G5555" s="656"/>
      <c r="H5555" s="656" t="s">
        <v>450</v>
      </c>
      <c r="I5555" s="656" t="s">
        <v>15280</v>
      </c>
      <c r="J5555" s="656" t="s">
        <v>473</v>
      </c>
      <c r="K5555" s="656"/>
      <c r="L5555" s="656" t="s">
        <v>8081</v>
      </c>
      <c r="M5555" s="657"/>
      <c r="N5555" s="1482"/>
      <c r="O5555" s="656" t="s">
        <v>498</v>
      </c>
      <c r="P5555" s="656" t="s">
        <v>13052</v>
      </c>
      <c r="Q5555" s="656">
        <v>44216.756319444445</v>
      </c>
    </row>
    <row r="5556" spans="1:17">
      <c r="A5556" s="656" t="s">
        <v>8073</v>
      </c>
      <c r="B5556" s="657" t="s">
        <v>202</v>
      </c>
      <c r="C5556" s="656" t="s">
        <v>8074</v>
      </c>
      <c r="D5556" s="657" t="s">
        <v>14978</v>
      </c>
      <c r="E5556" s="657" t="s">
        <v>7439</v>
      </c>
      <c r="F5556" s="656" t="s">
        <v>500</v>
      </c>
      <c r="G5556" s="656" t="s">
        <v>500</v>
      </c>
      <c r="H5556" s="656" t="s">
        <v>500</v>
      </c>
      <c r="I5556" s="656" t="s">
        <v>15280</v>
      </c>
      <c r="J5556" s="656"/>
      <c r="K5556" s="656"/>
      <c r="L5556" s="656" t="s">
        <v>8081</v>
      </c>
      <c r="M5556" s="657"/>
      <c r="N5556" s="1482"/>
      <c r="O5556" s="656" t="s">
        <v>498</v>
      </c>
      <c r="P5556" s="656" t="s">
        <v>13052</v>
      </c>
      <c r="Q5556" s="656">
        <v>44216.756307870368</v>
      </c>
    </row>
    <row r="5557" spans="1:17">
      <c r="A5557" s="656" t="s">
        <v>8075</v>
      </c>
      <c r="B5557" s="657" t="s">
        <v>202</v>
      </c>
      <c r="C5557" s="656" t="s">
        <v>8076</v>
      </c>
      <c r="D5557" s="657" t="s">
        <v>14978</v>
      </c>
      <c r="E5557" s="657" t="s">
        <v>7439</v>
      </c>
      <c r="F5557" s="656" t="s">
        <v>500</v>
      </c>
      <c r="G5557" s="656" t="s">
        <v>500</v>
      </c>
      <c r="H5557" s="656" t="s">
        <v>500</v>
      </c>
      <c r="I5557" s="656" t="s">
        <v>15280</v>
      </c>
      <c r="J5557" s="656"/>
      <c r="K5557" s="656"/>
      <c r="L5557" s="656" t="s">
        <v>8081</v>
      </c>
      <c r="M5557" s="657"/>
      <c r="N5557" s="1482"/>
      <c r="O5557" s="656" t="s">
        <v>498</v>
      </c>
      <c r="P5557" s="656" t="s">
        <v>13052</v>
      </c>
      <c r="Q5557" s="656">
        <v>44216.756307870368</v>
      </c>
    </row>
    <row r="5558" spans="1:17">
      <c r="A5558" s="656" t="s">
        <v>8077</v>
      </c>
      <c r="B5558" s="657" t="s">
        <v>202</v>
      </c>
      <c r="C5558" s="656" t="s">
        <v>8078</v>
      </c>
      <c r="D5558" s="657" t="s">
        <v>14978</v>
      </c>
      <c r="E5558" s="657" t="s">
        <v>7439</v>
      </c>
      <c r="F5558" s="656" t="s">
        <v>500</v>
      </c>
      <c r="G5558" s="656" t="s">
        <v>500</v>
      </c>
      <c r="H5558" s="656" t="s">
        <v>500</v>
      </c>
      <c r="I5558" s="656" t="s">
        <v>14976</v>
      </c>
      <c r="J5558" s="656"/>
      <c r="K5558" s="656"/>
      <c r="L5558" s="656" t="s">
        <v>8081</v>
      </c>
      <c r="M5558" s="657"/>
      <c r="N5558" s="1482"/>
      <c r="O5558" s="656" t="s">
        <v>498</v>
      </c>
      <c r="P5558" s="656" t="s">
        <v>13052</v>
      </c>
      <c r="Q5558" s="656">
        <v>44216.756307870368</v>
      </c>
    </row>
    <row r="5559" spans="1:17">
      <c r="A5559" s="656" t="s">
        <v>8079</v>
      </c>
      <c r="B5559" s="657" t="s">
        <v>202</v>
      </c>
      <c r="C5559" s="656" t="s">
        <v>8080</v>
      </c>
      <c r="D5559" s="657" t="s">
        <v>14978</v>
      </c>
      <c r="E5559" s="657" t="s">
        <v>9654</v>
      </c>
      <c r="F5559" s="656" t="s">
        <v>500</v>
      </c>
      <c r="G5559" s="656" t="s">
        <v>500</v>
      </c>
      <c r="H5559" s="656" t="s">
        <v>500</v>
      </c>
      <c r="I5559" s="656" t="s">
        <v>14976</v>
      </c>
      <c r="J5559" s="656"/>
      <c r="K5559" s="656"/>
      <c r="L5559" s="656" t="s">
        <v>8081</v>
      </c>
      <c r="M5559" s="657"/>
      <c r="N5559" s="1482"/>
      <c r="O5559" s="656" t="s">
        <v>498</v>
      </c>
      <c r="P5559" s="656" t="s">
        <v>13052</v>
      </c>
      <c r="Q5559" s="656">
        <v>44216.756296296298</v>
      </c>
    </row>
    <row r="5560" spans="1:17">
      <c r="A5560" s="656" t="s">
        <v>13390</v>
      </c>
      <c r="B5560" s="657" t="s">
        <v>202</v>
      </c>
      <c r="C5560" s="656" t="s">
        <v>13391</v>
      </c>
      <c r="D5560" s="657" t="s">
        <v>14978</v>
      </c>
      <c r="E5560" s="657" t="s">
        <v>9654</v>
      </c>
      <c r="F5560" s="656" t="s">
        <v>500</v>
      </c>
      <c r="G5560" s="656" t="s">
        <v>500</v>
      </c>
      <c r="H5560" s="656" t="s">
        <v>500</v>
      </c>
      <c r="I5560" s="656" t="s">
        <v>14976</v>
      </c>
      <c r="J5560" s="656"/>
      <c r="K5560" s="656"/>
      <c r="L5560" s="656" t="s">
        <v>8081</v>
      </c>
      <c r="M5560" s="657"/>
      <c r="N5560" s="1482"/>
      <c r="O5560" s="656" t="s">
        <v>498</v>
      </c>
      <c r="P5560" s="656" t="s">
        <v>13052</v>
      </c>
      <c r="Q5560" s="656">
        <v>44216.756296296298</v>
      </c>
    </row>
    <row r="5561" spans="1:17">
      <c r="A5561" s="656" t="s">
        <v>13387</v>
      </c>
      <c r="B5561" s="657" t="s">
        <v>202</v>
      </c>
      <c r="C5561" s="656" t="s">
        <v>13388</v>
      </c>
      <c r="D5561" s="657" t="s">
        <v>14978</v>
      </c>
      <c r="E5561" s="657"/>
      <c r="F5561" s="656" t="s">
        <v>500</v>
      </c>
      <c r="G5561" s="656" t="s">
        <v>500</v>
      </c>
      <c r="H5561" s="656" t="s">
        <v>500</v>
      </c>
      <c r="I5561" s="656" t="s">
        <v>14976</v>
      </c>
      <c r="J5561" s="656" t="s">
        <v>15282</v>
      </c>
      <c r="K5561" s="656"/>
      <c r="L5561" s="656" t="s">
        <v>8081</v>
      </c>
      <c r="M5561" s="657"/>
      <c r="N5561" s="1482"/>
      <c r="O5561" s="656" t="s">
        <v>498</v>
      </c>
      <c r="P5561" s="656" t="s">
        <v>13052</v>
      </c>
      <c r="Q5561" s="656">
        <v>44216.756284722222</v>
      </c>
    </row>
    <row r="5562" spans="1:17">
      <c r="A5562" s="656" t="s">
        <v>13383</v>
      </c>
      <c r="B5562" s="657" t="s">
        <v>202</v>
      </c>
      <c r="C5562" s="656" t="s">
        <v>13384</v>
      </c>
      <c r="D5562" s="657" t="s">
        <v>14978</v>
      </c>
      <c r="E5562" s="657"/>
      <c r="F5562" s="656" t="s">
        <v>500</v>
      </c>
      <c r="G5562" s="656" t="s">
        <v>500</v>
      </c>
      <c r="H5562" s="656" t="s">
        <v>500</v>
      </c>
      <c r="I5562" s="656" t="s">
        <v>14976</v>
      </c>
      <c r="J5562" s="656" t="s">
        <v>15282</v>
      </c>
      <c r="K5562" s="656"/>
      <c r="L5562" s="656" t="s">
        <v>8081</v>
      </c>
      <c r="M5562" s="657"/>
      <c r="N5562" s="1482"/>
      <c r="O5562" s="656" t="s">
        <v>498</v>
      </c>
      <c r="P5562" s="656" t="s">
        <v>13052</v>
      </c>
      <c r="Q5562" s="656">
        <v>44216.756284722222</v>
      </c>
    </row>
    <row r="5563" spans="1:17">
      <c r="A5563" s="656" t="s">
        <v>13381</v>
      </c>
      <c r="B5563" s="657" t="s">
        <v>202</v>
      </c>
      <c r="C5563" s="656" t="s">
        <v>13382</v>
      </c>
      <c r="D5563" s="657" t="s">
        <v>14978</v>
      </c>
      <c r="E5563" s="657"/>
      <c r="F5563" s="656" t="s">
        <v>500</v>
      </c>
      <c r="G5563" s="656" t="s">
        <v>500</v>
      </c>
      <c r="H5563" s="656" t="s">
        <v>500</v>
      </c>
      <c r="I5563" s="656" t="s">
        <v>14976</v>
      </c>
      <c r="J5563" s="656" t="s">
        <v>15282</v>
      </c>
      <c r="K5563" s="656"/>
      <c r="L5563" s="656" t="s">
        <v>8081</v>
      </c>
      <c r="M5563" s="657"/>
      <c r="N5563" s="1482"/>
      <c r="O5563" s="656" t="s">
        <v>498</v>
      </c>
      <c r="P5563" s="656" t="s">
        <v>13052</v>
      </c>
      <c r="Q5563" s="656">
        <v>44216.756273148145</v>
      </c>
    </row>
    <row r="5564" spans="1:17">
      <c r="A5564" s="656" t="s">
        <v>13379</v>
      </c>
      <c r="B5564" s="657" t="s">
        <v>202</v>
      </c>
      <c r="C5564" s="656" t="s">
        <v>13380</v>
      </c>
      <c r="D5564" s="657" t="s">
        <v>14978</v>
      </c>
      <c r="E5564" s="657"/>
      <c r="F5564" s="656" t="s">
        <v>500</v>
      </c>
      <c r="G5564" s="656" t="s">
        <v>500</v>
      </c>
      <c r="H5564" s="656" t="s">
        <v>500</v>
      </c>
      <c r="I5564" s="656" t="s">
        <v>14976</v>
      </c>
      <c r="J5564" s="656" t="s">
        <v>15282</v>
      </c>
      <c r="K5564" s="656"/>
      <c r="L5564" s="656" t="s">
        <v>8081</v>
      </c>
      <c r="M5564" s="657"/>
      <c r="N5564" s="1482"/>
      <c r="O5564" s="656" t="s">
        <v>498</v>
      </c>
      <c r="P5564" s="656" t="s">
        <v>13052</v>
      </c>
      <c r="Q5564" s="656">
        <v>44216.756273148145</v>
      </c>
    </row>
    <row r="5565" spans="1:17">
      <c r="A5565" s="656" t="s">
        <v>13375</v>
      </c>
      <c r="B5565" s="657" t="s">
        <v>202</v>
      </c>
      <c r="C5565" s="656" t="s">
        <v>13376</v>
      </c>
      <c r="D5565" s="657" t="s">
        <v>14978</v>
      </c>
      <c r="E5565" s="657"/>
      <c r="F5565" s="656" t="s">
        <v>500</v>
      </c>
      <c r="G5565" s="656" t="s">
        <v>500</v>
      </c>
      <c r="H5565" s="656" t="s">
        <v>500</v>
      </c>
      <c r="I5565" s="656" t="s">
        <v>14976</v>
      </c>
      <c r="J5565" s="656"/>
      <c r="K5565" s="656"/>
      <c r="L5565" s="656" t="s">
        <v>8081</v>
      </c>
      <c r="M5565" s="657"/>
      <c r="N5565" s="1482"/>
      <c r="O5565" s="656" t="s">
        <v>498</v>
      </c>
      <c r="P5565" s="656" t="s">
        <v>13052</v>
      </c>
      <c r="Q5565" s="656">
        <v>44216.756273148145</v>
      </c>
    </row>
    <row r="5566" spans="1:17">
      <c r="A5566" s="656" t="s">
        <v>13371</v>
      </c>
      <c r="B5566" s="657" t="s">
        <v>202</v>
      </c>
      <c r="C5566" s="656" t="s">
        <v>13372</v>
      </c>
      <c r="D5566" s="657" t="s">
        <v>14978</v>
      </c>
      <c r="E5566" s="657"/>
      <c r="F5566" s="656" t="s">
        <v>500</v>
      </c>
      <c r="G5566" s="656"/>
      <c r="H5566" s="656" t="s">
        <v>500</v>
      </c>
      <c r="I5566" s="656" t="s">
        <v>14976</v>
      </c>
      <c r="J5566" s="656"/>
      <c r="K5566" s="656"/>
      <c r="L5566" s="656" t="s">
        <v>8081</v>
      </c>
      <c r="M5566" s="657"/>
      <c r="N5566" s="1482"/>
      <c r="O5566" s="656" t="s">
        <v>498</v>
      </c>
      <c r="P5566" s="656" t="s">
        <v>13052</v>
      </c>
      <c r="Q5566" s="656">
        <v>44216.756261574075</v>
      </c>
    </row>
    <row r="5567" spans="1:17">
      <c r="A5567" s="656" t="s">
        <v>13369</v>
      </c>
      <c r="B5567" s="657" t="s">
        <v>202</v>
      </c>
      <c r="C5567" s="656" t="s">
        <v>13370</v>
      </c>
      <c r="D5567" s="657" t="s">
        <v>14978</v>
      </c>
      <c r="E5567" s="657"/>
      <c r="F5567" s="656" t="s">
        <v>500</v>
      </c>
      <c r="G5567" s="656"/>
      <c r="H5567" s="656" t="s">
        <v>500</v>
      </c>
      <c r="I5567" s="656" t="s">
        <v>14976</v>
      </c>
      <c r="J5567" s="656"/>
      <c r="K5567" s="656"/>
      <c r="L5567" s="656" t="s">
        <v>8081</v>
      </c>
      <c r="M5567" s="657"/>
      <c r="N5567" s="1482"/>
      <c r="O5567" s="656" t="s">
        <v>498</v>
      </c>
      <c r="P5567" s="656" t="s">
        <v>13052</v>
      </c>
      <c r="Q5567" s="656">
        <v>44216.756261574075</v>
      </c>
    </row>
    <row r="5568" spans="1:17">
      <c r="A5568" s="656" t="s">
        <v>13367</v>
      </c>
      <c r="B5568" s="657" t="s">
        <v>202</v>
      </c>
      <c r="C5568" s="656" t="s">
        <v>13368</v>
      </c>
      <c r="D5568" s="657" t="s">
        <v>14978</v>
      </c>
      <c r="E5568" s="657"/>
      <c r="F5568" s="656" t="s">
        <v>500</v>
      </c>
      <c r="G5568" s="656"/>
      <c r="H5568" s="656" t="s">
        <v>500</v>
      </c>
      <c r="I5568" s="656" t="s">
        <v>14976</v>
      </c>
      <c r="J5568" s="656"/>
      <c r="K5568" s="656"/>
      <c r="L5568" s="656" t="s">
        <v>8081</v>
      </c>
      <c r="M5568" s="657"/>
      <c r="N5568" s="1482"/>
      <c r="O5568" s="656" t="s">
        <v>498</v>
      </c>
      <c r="P5568" s="656" t="s">
        <v>13052</v>
      </c>
      <c r="Q5568" s="656">
        <v>44216.756249999999</v>
      </c>
    </row>
    <row r="5569" spans="1:17">
      <c r="A5569" s="656" t="s">
        <v>13365</v>
      </c>
      <c r="B5569" s="657" t="s">
        <v>202</v>
      </c>
      <c r="C5569" s="656" t="s">
        <v>13366</v>
      </c>
      <c r="D5569" s="657" t="s">
        <v>14978</v>
      </c>
      <c r="E5569" s="657"/>
      <c r="F5569" s="656" t="s">
        <v>500</v>
      </c>
      <c r="G5569" s="656" t="s">
        <v>5045</v>
      </c>
      <c r="H5569" s="656" t="s">
        <v>500</v>
      </c>
      <c r="I5569" s="656" t="s">
        <v>14976</v>
      </c>
      <c r="J5569" s="656"/>
      <c r="K5569" s="656"/>
      <c r="L5569" s="656" t="s">
        <v>8081</v>
      </c>
      <c r="M5569" s="657"/>
      <c r="N5569" s="1482"/>
      <c r="O5569" s="656" t="s">
        <v>498</v>
      </c>
      <c r="P5569" s="656" t="s">
        <v>13052</v>
      </c>
      <c r="Q5569" s="656">
        <v>44216.756249999999</v>
      </c>
    </row>
    <row r="5570" spans="1:17">
      <c r="A5570" s="656" t="s">
        <v>13363</v>
      </c>
      <c r="B5570" s="657" t="s">
        <v>202</v>
      </c>
      <c r="C5570" s="656" t="s">
        <v>13364</v>
      </c>
      <c r="D5570" s="657" t="s">
        <v>14978</v>
      </c>
      <c r="E5570" s="657"/>
      <c r="F5570" s="656" t="s">
        <v>500</v>
      </c>
      <c r="G5570" s="656" t="s">
        <v>4198</v>
      </c>
      <c r="H5570" s="656" t="s">
        <v>500</v>
      </c>
      <c r="I5570" s="656" t="s">
        <v>14976</v>
      </c>
      <c r="J5570" s="656"/>
      <c r="K5570" s="656"/>
      <c r="L5570" s="656" t="s">
        <v>8081</v>
      </c>
      <c r="M5570" s="657"/>
      <c r="N5570" s="1482"/>
      <c r="O5570" s="656" t="s">
        <v>498</v>
      </c>
      <c r="P5570" s="656" t="s">
        <v>13052</v>
      </c>
      <c r="Q5570" s="656">
        <v>44216.756238425929</v>
      </c>
    </row>
    <row r="5571" spans="1:17">
      <c r="A5571" s="656" t="s">
        <v>13361</v>
      </c>
      <c r="B5571" s="657" t="s">
        <v>202</v>
      </c>
      <c r="C5571" s="656" t="s">
        <v>13362</v>
      </c>
      <c r="D5571" s="657" t="s">
        <v>14978</v>
      </c>
      <c r="E5571" s="657"/>
      <c r="F5571" s="656" t="s">
        <v>500</v>
      </c>
      <c r="G5571" s="656" t="s">
        <v>5045</v>
      </c>
      <c r="H5571" s="656" t="s">
        <v>500</v>
      </c>
      <c r="I5571" s="656" t="s">
        <v>14976</v>
      </c>
      <c r="J5571" s="656"/>
      <c r="K5571" s="656"/>
      <c r="L5571" s="656" t="s">
        <v>8081</v>
      </c>
      <c r="M5571" s="657"/>
      <c r="N5571" s="1482"/>
      <c r="O5571" s="656" t="s">
        <v>498</v>
      </c>
      <c r="P5571" s="656" t="s">
        <v>13052</v>
      </c>
      <c r="Q5571" s="656">
        <v>44216.756238425929</v>
      </c>
    </row>
    <row r="5572" spans="1:17">
      <c r="A5572" s="656" t="s">
        <v>13359</v>
      </c>
      <c r="B5572" s="657" t="s">
        <v>202</v>
      </c>
      <c r="C5572" s="656" t="s">
        <v>13360</v>
      </c>
      <c r="D5572" s="657" t="s">
        <v>14978</v>
      </c>
      <c r="E5572" s="657"/>
      <c r="F5572" s="656" t="s">
        <v>500</v>
      </c>
      <c r="G5572" s="656" t="s">
        <v>5045</v>
      </c>
      <c r="H5572" s="656" t="s">
        <v>500</v>
      </c>
      <c r="I5572" s="656" t="s">
        <v>14976</v>
      </c>
      <c r="J5572" s="656"/>
      <c r="K5572" s="656"/>
      <c r="L5572" s="656" t="s">
        <v>8081</v>
      </c>
      <c r="M5572" s="657"/>
      <c r="N5572" s="1482"/>
      <c r="O5572" s="656" t="s">
        <v>498</v>
      </c>
      <c r="P5572" s="656" t="s">
        <v>13052</v>
      </c>
      <c r="Q5572" s="656">
        <v>44216.756238425929</v>
      </c>
    </row>
    <row r="5573" spans="1:17">
      <c r="A5573" s="656" t="s">
        <v>13357</v>
      </c>
      <c r="B5573" s="657" t="s">
        <v>202</v>
      </c>
      <c r="C5573" s="656" t="s">
        <v>13358</v>
      </c>
      <c r="D5573" s="657" t="s">
        <v>14978</v>
      </c>
      <c r="E5573" s="657"/>
      <c r="F5573" s="656" t="s">
        <v>500</v>
      </c>
      <c r="G5573" s="656" t="s">
        <v>5045</v>
      </c>
      <c r="H5573" s="656" t="s">
        <v>500</v>
      </c>
      <c r="I5573" s="656" t="s">
        <v>14976</v>
      </c>
      <c r="J5573" s="656"/>
      <c r="K5573" s="656"/>
      <c r="L5573" s="656" t="s">
        <v>8081</v>
      </c>
      <c r="M5573" s="657"/>
      <c r="N5573" s="1482"/>
      <c r="O5573" s="656" t="s">
        <v>498</v>
      </c>
      <c r="P5573" s="656" t="s">
        <v>13052</v>
      </c>
      <c r="Q5573" s="656">
        <v>44216.756226851852</v>
      </c>
    </row>
    <row r="5574" spans="1:17">
      <c r="A5574" s="656" t="s">
        <v>13351</v>
      </c>
      <c r="B5574" s="657" t="s">
        <v>202</v>
      </c>
      <c r="C5574" s="656" t="s">
        <v>13352</v>
      </c>
      <c r="D5574" s="657" t="s">
        <v>14978</v>
      </c>
      <c r="E5574" s="657"/>
      <c r="F5574" s="656" t="s">
        <v>500</v>
      </c>
      <c r="G5574" s="656" t="s">
        <v>5045</v>
      </c>
      <c r="H5574" s="656" t="s">
        <v>500</v>
      </c>
      <c r="I5574" s="656" t="s">
        <v>14976</v>
      </c>
      <c r="J5574" s="656"/>
      <c r="K5574" s="656"/>
      <c r="L5574" s="656" t="s">
        <v>8081</v>
      </c>
      <c r="M5574" s="657"/>
      <c r="N5574" s="1482"/>
      <c r="O5574" s="656" t="s">
        <v>498</v>
      </c>
      <c r="P5574" s="656" t="s">
        <v>13052</v>
      </c>
      <c r="Q5574" s="656">
        <v>44216.756215277775</v>
      </c>
    </row>
    <row r="5575" spans="1:17">
      <c r="A5575" s="656" t="s">
        <v>13341</v>
      </c>
      <c r="B5575" s="657" t="s">
        <v>202</v>
      </c>
      <c r="C5575" s="656" t="s">
        <v>13342</v>
      </c>
      <c r="D5575" s="657" t="s">
        <v>14978</v>
      </c>
      <c r="E5575" s="657"/>
      <c r="F5575" s="656" t="s">
        <v>500</v>
      </c>
      <c r="G5575" s="656" t="s">
        <v>5045</v>
      </c>
      <c r="H5575" s="656" t="s">
        <v>500</v>
      </c>
      <c r="I5575" s="656" t="s">
        <v>14976</v>
      </c>
      <c r="J5575" s="656"/>
      <c r="K5575" s="656"/>
      <c r="L5575" s="656" t="s">
        <v>8081</v>
      </c>
      <c r="M5575" s="657"/>
      <c r="N5575" s="1482"/>
      <c r="O5575" s="656" t="s">
        <v>498</v>
      </c>
      <c r="P5575" s="656" t="s">
        <v>13052</v>
      </c>
      <c r="Q5575" s="656">
        <v>44216.756215277775</v>
      </c>
    </row>
    <row r="5576" spans="1:17">
      <c r="A5576" s="656" t="s">
        <v>8081</v>
      </c>
      <c r="B5576" s="657" t="s">
        <v>202</v>
      </c>
      <c r="C5576" s="656" t="s">
        <v>8082</v>
      </c>
      <c r="D5576" s="657" t="s">
        <v>14977</v>
      </c>
      <c r="E5576" s="657"/>
      <c r="F5576" s="656" t="s">
        <v>500</v>
      </c>
      <c r="G5576" s="656" t="s">
        <v>5045</v>
      </c>
      <c r="H5576" s="656" t="s">
        <v>500</v>
      </c>
      <c r="I5576" s="656" t="s">
        <v>14976</v>
      </c>
      <c r="J5576" s="656"/>
      <c r="K5576" s="656"/>
      <c r="L5576" s="656" t="s">
        <v>8081</v>
      </c>
      <c r="M5576" s="657"/>
      <c r="N5576" s="1482"/>
      <c r="O5576" s="656" t="s">
        <v>498</v>
      </c>
      <c r="P5576" s="656" t="s">
        <v>13052</v>
      </c>
      <c r="Q5576" s="656">
        <v>44216.756203703706</v>
      </c>
    </row>
    <row r="5577" spans="1:17">
      <c r="A5577" s="656" t="s">
        <v>8083</v>
      </c>
      <c r="B5577" s="657"/>
      <c r="C5577" s="656" t="s">
        <v>8084</v>
      </c>
      <c r="D5577" s="657" t="s">
        <v>14977</v>
      </c>
      <c r="E5577" s="657"/>
      <c r="F5577" s="656"/>
      <c r="G5577" s="656" t="s">
        <v>5045</v>
      </c>
      <c r="H5577" s="656"/>
      <c r="I5577" s="656" t="s">
        <v>14976</v>
      </c>
      <c r="J5577" s="656"/>
      <c r="K5577" s="656"/>
      <c r="L5577" s="656" t="s">
        <v>8083</v>
      </c>
      <c r="M5577" s="657"/>
      <c r="N5577" s="1482"/>
      <c r="O5577" s="656" t="s">
        <v>498</v>
      </c>
      <c r="P5577" s="656" t="s">
        <v>13052</v>
      </c>
      <c r="Q5577" s="656">
        <v>44216.756203703706</v>
      </c>
    </row>
    <row r="5578" spans="1:17">
      <c r="A5578" s="656" t="s">
        <v>13339</v>
      </c>
      <c r="B5578" s="657" t="s">
        <v>202</v>
      </c>
      <c r="C5578" s="656" t="s">
        <v>13340</v>
      </c>
      <c r="D5578" s="657" t="s">
        <v>14978</v>
      </c>
      <c r="E5578" s="657"/>
      <c r="F5578" s="656" t="s">
        <v>1300</v>
      </c>
      <c r="G5578" s="656" t="s">
        <v>4198</v>
      </c>
      <c r="H5578" s="656" t="s">
        <v>1300</v>
      </c>
      <c r="I5578" s="656" t="s">
        <v>14976</v>
      </c>
      <c r="J5578" s="656"/>
      <c r="K5578" s="656"/>
      <c r="L5578" s="656" t="s">
        <v>13336</v>
      </c>
      <c r="M5578" s="657"/>
      <c r="N5578" s="1482"/>
      <c r="O5578" s="656" t="s">
        <v>498</v>
      </c>
      <c r="P5578" s="656" t="s">
        <v>13052</v>
      </c>
      <c r="Q5578" s="656">
        <v>44216.756192129629</v>
      </c>
    </row>
    <row r="5579" spans="1:17">
      <c r="A5579" s="656" t="s">
        <v>13336</v>
      </c>
      <c r="B5579" s="657" t="s">
        <v>202</v>
      </c>
      <c r="C5579" s="656" t="s">
        <v>13337</v>
      </c>
      <c r="D5579" s="657" t="s">
        <v>14977</v>
      </c>
      <c r="E5579" s="657"/>
      <c r="F5579" s="656" t="s">
        <v>1300</v>
      </c>
      <c r="G5579" s="656" t="s">
        <v>4198</v>
      </c>
      <c r="H5579" s="656" t="s">
        <v>1300</v>
      </c>
      <c r="I5579" s="656" t="s">
        <v>14976</v>
      </c>
      <c r="J5579" s="656"/>
      <c r="K5579" s="656"/>
      <c r="L5579" s="656" t="s">
        <v>13336</v>
      </c>
      <c r="M5579" s="657"/>
      <c r="N5579" s="1482"/>
      <c r="O5579" s="656" t="s">
        <v>498</v>
      </c>
      <c r="P5579" s="656" t="s">
        <v>13052</v>
      </c>
      <c r="Q5579" s="656">
        <v>44216.756180555552</v>
      </c>
    </row>
    <row r="5580" spans="1:17">
      <c r="A5580" s="656" t="s">
        <v>13335</v>
      </c>
      <c r="B5580" s="657" t="s">
        <v>202</v>
      </c>
      <c r="C5580" s="656" t="s">
        <v>13333</v>
      </c>
      <c r="D5580" s="657" t="s">
        <v>14978</v>
      </c>
      <c r="E5580" s="657"/>
      <c r="F5580" s="656" t="s">
        <v>1300</v>
      </c>
      <c r="G5580" s="656" t="s">
        <v>4198</v>
      </c>
      <c r="H5580" s="656" t="s">
        <v>1300</v>
      </c>
      <c r="I5580" s="656" t="s">
        <v>14976</v>
      </c>
      <c r="J5580" s="656"/>
      <c r="K5580" s="656"/>
      <c r="L5580" s="656" t="s">
        <v>13332</v>
      </c>
      <c r="M5580" s="657"/>
      <c r="N5580" s="1482"/>
      <c r="O5580" s="656" t="s">
        <v>498</v>
      </c>
      <c r="P5580" s="656" t="s">
        <v>13052</v>
      </c>
      <c r="Q5580" s="656">
        <v>44216.756180555552</v>
      </c>
    </row>
    <row r="5581" spans="1:17">
      <c r="A5581" s="656" t="s">
        <v>13332</v>
      </c>
      <c r="B5581" s="657" t="s">
        <v>202</v>
      </c>
      <c r="C5581" s="656" t="s">
        <v>13333</v>
      </c>
      <c r="D5581" s="657" t="s">
        <v>14977</v>
      </c>
      <c r="E5581" s="657"/>
      <c r="F5581" s="656" t="s">
        <v>1300</v>
      </c>
      <c r="G5581" s="656" t="s">
        <v>4198</v>
      </c>
      <c r="H5581" s="656" t="s">
        <v>1300</v>
      </c>
      <c r="I5581" s="656" t="s">
        <v>14976</v>
      </c>
      <c r="J5581" s="656"/>
      <c r="K5581" s="656"/>
      <c r="L5581" s="656" t="s">
        <v>13332</v>
      </c>
      <c r="M5581" s="657"/>
      <c r="N5581" s="1482"/>
      <c r="O5581" s="656" t="s">
        <v>498</v>
      </c>
      <c r="P5581" s="656" t="s">
        <v>13052</v>
      </c>
      <c r="Q5581" s="656">
        <v>44216.756168981483</v>
      </c>
    </row>
    <row r="5582" spans="1:17">
      <c r="A5582" s="656" t="s">
        <v>8085</v>
      </c>
      <c r="B5582" s="657"/>
      <c r="C5582" s="656" t="s">
        <v>8086</v>
      </c>
      <c r="D5582" s="657" t="s">
        <v>14977</v>
      </c>
      <c r="E5582" s="657"/>
      <c r="F5582" s="656"/>
      <c r="G5582" s="656" t="s">
        <v>5045</v>
      </c>
      <c r="H5582" s="656"/>
      <c r="I5582" s="656" t="s">
        <v>14976</v>
      </c>
      <c r="J5582" s="656"/>
      <c r="K5582" s="656"/>
      <c r="L5582" s="656" t="s">
        <v>8085</v>
      </c>
      <c r="M5582" s="657"/>
      <c r="N5582" s="1482"/>
      <c r="O5582" s="656" t="s">
        <v>498</v>
      </c>
      <c r="P5582" s="656" t="s">
        <v>13052</v>
      </c>
      <c r="Q5582" s="656">
        <v>44216.756168981483</v>
      </c>
    </row>
    <row r="5583" spans="1:17">
      <c r="A5583" s="656" t="s">
        <v>8087</v>
      </c>
      <c r="B5583" s="657"/>
      <c r="C5583" s="656" t="s">
        <v>8088</v>
      </c>
      <c r="D5583" s="657" t="s">
        <v>14978</v>
      </c>
      <c r="E5583" s="657"/>
      <c r="F5583" s="656"/>
      <c r="G5583" s="656" t="s">
        <v>5045</v>
      </c>
      <c r="H5583" s="656"/>
      <c r="I5583" s="656" t="s">
        <v>14976</v>
      </c>
      <c r="J5583" s="656"/>
      <c r="K5583" s="656"/>
      <c r="L5583" s="656" t="s">
        <v>8091</v>
      </c>
      <c r="M5583" s="657"/>
      <c r="N5583" s="1482"/>
      <c r="O5583" s="656" t="s">
        <v>498</v>
      </c>
      <c r="P5583" s="656" t="s">
        <v>13052</v>
      </c>
      <c r="Q5583" s="656">
        <v>44216.756168981483</v>
      </c>
    </row>
    <row r="5584" spans="1:17">
      <c r="A5584" s="656" t="s">
        <v>8089</v>
      </c>
      <c r="B5584" s="657"/>
      <c r="C5584" s="656" t="s">
        <v>8090</v>
      </c>
      <c r="D5584" s="657" t="s">
        <v>14978</v>
      </c>
      <c r="E5584" s="657"/>
      <c r="F5584" s="656"/>
      <c r="G5584" s="656" t="s">
        <v>5045</v>
      </c>
      <c r="H5584" s="656"/>
      <c r="I5584" s="656" t="s">
        <v>14976</v>
      </c>
      <c r="J5584" s="656"/>
      <c r="K5584" s="656"/>
      <c r="L5584" s="656" t="s">
        <v>8091</v>
      </c>
      <c r="M5584" s="657"/>
      <c r="N5584" s="1482"/>
      <c r="O5584" s="656" t="s">
        <v>498</v>
      </c>
      <c r="P5584" s="656" t="s">
        <v>13052</v>
      </c>
      <c r="Q5584" s="656">
        <v>44216.756145833337</v>
      </c>
    </row>
    <row r="5585" spans="1:17">
      <c r="A5585" s="656" t="s">
        <v>8091</v>
      </c>
      <c r="B5585" s="657"/>
      <c r="C5585" s="656" t="s">
        <v>8092</v>
      </c>
      <c r="D5585" s="657" t="s">
        <v>14977</v>
      </c>
      <c r="E5585" s="657"/>
      <c r="F5585" s="656"/>
      <c r="G5585" s="656" t="s">
        <v>5045</v>
      </c>
      <c r="H5585" s="656"/>
      <c r="I5585" s="656" t="s">
        <v>14976</v>
      </c>
      <c r="J5585" s="656"/>
      <c r="K5585" s="656"/>
      <c r="L5585" s="656" t="s">
        <v>8091</v>
      </c>
      <c r="M5585" s="657"/>
      <c r="N5585" s="1482"/>
      <c r="O5585" s="656" t="s">
        <v>498</v>
      </c>
      <c r="P5585" s="656" t="s">
        <v>13052</v>
      </c>
      <c r="Q5585" s="656">
        <v>44216.756145833337</v>
      </c>
    </row>
    <row r="5586" spans="1:17">
      <c r="A5586" s="656" t="s">
        <v>8093</v>
      </c>
      <c r="B5586" s="657"/>
      <c r="C5586" s="656" t="s">
        <v>8094</v>
      </c>
      <c r="D5586" s="657" t="s">
        <v>14977</v>
      </c>
      <c r="E5586" s="657"/>
      <c r="F5586" s="656"/>
      <c r="G5586" s="656" t="s">
        <v>5045</v>
      </c>
      <c r="H5586" s="656"/>
      <c r="I5586" s="656" t="s">
        <v>14976</v>
      </c>
      <c r="J5586" s="656"/>
      <c r="K5586" s="656"/>
      <c r="L5586" s="656" t="s">
        <v>8093</v>
      </c>
      <c r="M5586" s="657"/>
      <c r="N5586" s="1482"/>
      <c r="O5586" s="656" t="s">
        <v>498</v>
      </c>
      <c r="P5586" s="656" t="s">
        <v>13052</v>
      </c>
      <c r="Q5586" s="656">
        <v>44216.75613425926</v>
      </c>
    </row>
    <row r="5587" spans="1:17">
      <c r="A5587" s="656" t="s">
        <v>13328</v>
      </c>
      <c r="B5587" s="657" t="s">
        <v>202</v>
      </c>
      <c r="C5587" s="656" t="s">
        <v>13329</v>
      </c>
      <c r="D5587" s="657" t="s">
        <v>14977</v>
      </c>
      <c r="E5587" s="657"/>
      <c r="F5587" s="656"/>
      <c r="G5587" s="656" t="s">
        <v>5661</v>
      </c>
      <c r="H5587" s="656"/>
      <c r="I5587" s="656" t="s">
        <v>14976</v>
      </c>
      <c r="J5587" s="656"/>
      <c r="K5587" s="656"/>
      <c r="L5587" s="656" t="s">
        <v>13328</v>
      </c>
      <c r="M5587" s="657"/>
      <c r="N5587" s="1482"/>
      <c r="O5587" s="656" t="s">
        <v>498</v>
      </c>
      <c r="P5587" s="656" t="s">
        <v>13052</v>
      </c>
      <c r="Q5587" s="656">
        <v>44216.75613425926</v>
      </c>
    </row>
    <row r="5588" spans="1:17">
      <c r="A5588" s="656" t="s">
        <v>8095</v>
      </c>
      <c r="B5588" s="657"/>
      <c r="C5588" s="656" t="s">
        <v>8096</v>
      </c>
      <c r="D5588" s="657" t="s">
        <v>14977</v>
      </c>
      <c r="E5588" s="657"/>
      <c r="F5588" s="656"/>
      <c r="G5588" s="656" t="s">
        <v>5045</v>
      </c>
      <c r="H5588" s="656"/>
      <c r="I5588" s="656" t="s">
        <v>14976</v>
      </c>
      <c r="J5588" s="656"/>
      <c r="K5588" s="656"/>
      <c r="L5588" s="656" t="s">
        <v>8095</v>
      </c>
      <c r="M5588" s="657"/>
      <c r="N5588" s="1482"/>
      <c r="O5588" s="656" t="s">
        <v>498</v>
      </c>
      <c r="P5588" s="656" t="s">
        <v>13052</v>
      </c>
      <c r="Q5588" s="656">
        <v>44216.756122685183</v>
      </c>
    </row>
    <row r="5589" spans="1:17">
      <c r="A5589" s="656" t="s">
        <v>8097</v>
      </c>
      <c r="B5589" s="657" t="s">
        <v>202</v>
      </c>
      <c r="C5589" s="656" t="s">
        <v>8098</v>
      </c>
      <c r="D5589" s="657" t="s">
        <v>14977</v>
      </c>
      <c r="E5589" s="657"/>
      <c r="F5589" s="656" t="s">
        <v>655</v>
      </c>
      <c r="G5589" s="656"/>
      <c r="H5589" s="656" t="s">
        <v>655</v>
      </c>
      <c r="I5589" s="656" t="s">
        <v>14976</v>
      </c>
      <c r="J5589" s="656" t="s">
        <v>15281</v>
      </c>
      <c r="K5589" s="656"/>
      <c r="L5589" s="656" t="s">
        <v>8097</v>
      </c>
      <c r="M5589" s="657"/>
      <c r="N5589" s="1482"/>
      <c r="O5589" s="656" t="s">
        <v>498</v>
      </c>
      <c r="P5589" s="656" t="s">
        <v>13052</v>
      </c>
      <c r="Q5589" s="656">
        <v>44216.756122685183</v>
      </c>
    </row>
    <row r="5590" spans="1:17">
      <c r="A5590" s="656" t="s">
        <v>13326</v>
      </c>
      <c r="B5590" s="657" t="s">
        <v>202</v>
      </c>
      <c r="C5590" s="656" t="s">
        <v>13327</v>
      </c>
      <c r="D5590" s="657" t="s">
        <v>14977</v>
      </c>
      <c r="E5590" s="657"/>
      <c r="F5590" s="656"/>
      <c r="G5590" s="656" t="s">
        <v>5238</v>
      </c>
      <c r="H5590" s="656"/>
      <c r="I5590" s="656" t="s">
        <v>14976</v>
      </c>
      <c r="J5590" s="656"/>
      <c r="K5590" s="656"/>
      <c r="L5590" s="656" t="s">
        <v>13326</v>
      </c>
      <c r="M5590" s="657"/>
      <c r="N5590" s="1482"/>
      <c r="O5590" s="656" t="s">
        <v>498</v>
      </c>
      <c r="P5590" s="656" t="s">
        <v>13052</v>
      </c>
      <c r="Q5590" s="656">
        <v>44216.756111111114</v>
      </c>
    </row>
    <row r="5591" spans="1:17">
      <c r="A5591" s="656" t="s">
        <v>13322</v>
      </c>
      <c r="B5591" s="657" t="s">
        <v>202</v>
      </c>
      <c r="C5591" s="656" t="s">
        <v>13323</v>
      </c>
      <c r="D5591" s="657" t="s">
        <v>14977</v>
      </c>
      <c r="E5591" s="657"/>
      <c r="F5591" s="656"/>
      <c r="G5591" s="656" t="s">
        <v>5238</v>
      </c>
      <c r="H5591" s="656"/>
      <c r="I5591" s="656" t="s">
        <v>14976</v>
      </c>
      <c r="J5591" s="656"/>
      <c r="K5591" s="656"/>
      <c r="L5591" s="656" t="s">
        <v>13322</v>
      </c>
      <c r="M5591" s="657"/>
      <c r="N5591" s="1482"/>
      <c r="O5591" s="656" t="s">
        <v>498</v>
      </c>
      <c r="P5591" s="656" t="s">
        <v>13052</v>
      </c>
      <c r="Q5591" s="656">
        <v>44216.756111111114</v>
      </c>
    </row>
    <row r="5592" spans="1:17">
      <c r="A5592" s="656" t="s">
        <v>13318</v>
      </c>
      <c r="B5592" s="657" t="s">
        <v>202</v>
      </c>
      <c r="C5592" s="656" t="s">
        <v>13319</v>
      </c>
      <c r="D5592" s="657" t="s">
        <v>14977</v>
      </c>
      <c r="E5592" s="657"/>
      <c r="F5592" s="656" t="s">
        <v>1300</v>
      </c>
      <c r="G5592" s="656" t="s">
        <v>4198</v>
      </c>
      <c r="H5592" s="656" t="s">
        <v>1300</v>
      </c>
      <c r="I5592" s="656" t="s">
        <v>14976</v>
      </c>
      <c r="J5592" s="656"/>
      <c r="K5592" s="656"/>
      <c r="L5592" s="656" t="s">
        <v>13318</v>
      </c>
      <c r="M5592" s="657"/>
      <c r="N5592" s="1482"/>
      <c r="O5592" s="656" t="s">
        <v>498</v>
      </c>
      <c r="P5592" s="656" t="s">
        <v>13052</v>
      </c>
      <c r="Q5592" s="656">
        <v>44216.756099537037</v>
      </c>
    </row>
    <row r="5593" spans="1:17">
      <c r="A5593" s="656" t="s">
        <v>13315</v>
      </c>
      <c r="B5593" s="657" t="s">
        <v>202</v>
      </c>
      <c r="C5593" s="656" t="s">
        <v>13316</v>
      </c>
      <c r="D5593" s="657" t="s">
        <v>14977</v>
      </c>
      <c r="E5593" s="657"/>
      <c r="F5593" s="656"/>
      <c r="G5593" s="656" t="s">
        <v>5661</v>
      </c>
      <c r="H5593" s="656"/>
      <c r="I5593" s="656" t="s">
        <v>14976</v>
      </c>
      <c r="J5593" s="656"/>
      <c r="K5593" s="656"/>
      <c r="L5593" s="656" t="s">
        <v>13315</v>
      </c>
      <c r="M5593" s="657"/>
      <c r="N5593" s="1482"/>
      <c r="O5593" s="656" t="s">
        <v>498</v>
      </c>
      <c r="P5593" s="656" t="s">
        <v>13052</v>
      </c>
      <c r="Q5593" s="656">
        <v>44216.756099537037</v>
      </c>
    </row>
    <row r="5594" spans="1:17">
      <c r="A5594" s="656" t="s">
        <v>13313</v>
      </c>
      <c r="B5594" s="657" t="s">
        <v>202</v>
      </c>
      <c r="C5594" s="656" t="s">
        <v>13314</v>
      </c>
      <c r="D5594" s="657" t="s">
        <v>14977</v>
      </c>
      <c r="E5594" s="657"/>
      <c r="F5594" s="656"/>
      <c r="G5594" s="656" t="s">
        <v>5238</v>
      </c>
      <c r="H5594" s="656"/>
      <c r="I5594" s="656" t="s">
        <v>14976</v>
      </c>
      <c r="J5594" s="656"/>
      <c r="K5594" s="656"/>
      <c r="L5594" s="656" t="s">
        <v>13313</v>
      </c>
      <c r="M5594" s="657"/>
      <c r="N5594" s="1482"/>
      <c r="O5594" s="656" t="s">
        <v>498</v>
      </c>
      <c r="P5594" s="656" t="s">
        <v>13052</v>
      </c>
      <c r="Q5594" s="656">
        <v>44216.756099537037</v>
      </c>
    </row>
    <row r="5595" spans="1:17">
      <c r="A5595" s="656" t="s">
        <v>8099</v>
      </c>
      <c r="B5595" s="657"/>
      <c r="C5595" s="656" t="s">
        <v>8100</v>
      </c>
      <c r="D5595" s="657" t="s">
        <v>14977</v>
      </c>
      <c r="E5595" s="657"/>
      <c r="F5595" s="656"/>
      <c r="G5595" s="656"/>
      <c r="H5595" s="656"/>
      <c r="I5595" s="656" t="s">
        <v>14976</v>
      </c>
      <c r="J5595" s="656"/>
      <c r="K5595" s="656"/>
      <c r="L5595" s="656" t="s">
        <v>8099</v>
      </c>
      <c r="M5595" s="657"/>
      <c r="N5595" s="1482"/>
      <c r="O5595" s="656" t="s">
        <v>498</v>
      </c>
      <c r="P5595" s="656" t="s">
        <v>13052</v>
      </c>
      <c r="Q5595" s="656">
        <v>44216.75608796296</v>
      </c>
    </row>
    <row r="5596" spans="1:17">
      <c r="A5596" s="656" t="s">
        <v>8101</v>
      </c>
      <c r="B5596" s="657"/>
      <c r="C5596" s="656" t="s">
        <v>8102</v>
      </c>
      <c r="D5596" s="657" t="s">
        <v>14978</v>
      </c>
      <c r="E5596" s="657"/>
      <c r="F5596" s="656"/>
      <c r="G5596" s="656" t="s">
        <v>5103</v>
      </c>
      <c r="H5596" s="656"/>
      <c r="I5596" s="656" t="s">
        <v>14976</v>
      </c>
      <c r="J5596" s="656"/>
      <c r="K5596" s="656"/>
      <c r="L5596" s="656" t="s">
        <v>13312</v>
      </c>
      <c r="M5596" s="657"/>
      <c r="N5596" s="1482"/>
      <c r="O5596" s="656" t="s">
        <v>498</v>
      </c>
      <c r="P5596" s="656" t="s">
        <v>13052</v>
      </c>
      <c r="Q5596" s="656">
        <v>44216.75608796296</v>
      </c>
    </row>
    <row r="5597" spans="1:17">
      <c r="A5597" s="656" t="s">
        <v>8103</v>
      </c>
      <c r="B5597" s="657" t="s">
        <v>504</v>
      </c>
      <c r="C5597" s="656" t="s">
        <v>8104</v>
      </c>
      <c r="D5597" s="657" t="s">
        <v>14977</v>
      </c>
      <c r="E5597" s="657"/>
      <c r="F5597" s="656"/>
      <c r="G5597" s="656" t="s">
        <v>5103</v>
      </c>
      <c r="H5597" s="656"/>
      <c r="I5597" s="656"/>
      <c r="J5597" s="656"/>
      <c r="K5597" s="656"/>
      <c r="L5597" s="656"/>
      <c r="M5597" s="657"/>
      <c r="N5597" s="1482"/>
      <c r="O5597" s="656" t="s">
        <v>498</v>
      </c>
      <c r="P5597" s="656" t="s">
        <v>13052</v>
      </c>
      <c r="Q5597" s="656">
        <v>44216.756076388891</v>
      </c>
    </row>
    <row r="5598" spans="1:17">
      <c r="A5598" s="656" t="s">
        <v>8105</v>
      </c>
      <c r="B5598" s="657" t="s">
        <v>504</v>
      </c>
      <c r="C5598" s="656" t="s">
        <v>8106</v>
      </c>
      <c r="D5598" s="657" t="s">
        <v>14977</v>
      </c>
      <c r="E5598" s="657"/>
      <c r="F5598" s="656"/>
      <c r="G5598" s="656" t="s">
        <v>5103</v>
      </c>
      <c r="H5598" s="656"/>
      <c r="I5598" s="656"/>
      <c r="J5598" s="656"/>
      <c r="K5598" s="656"/>
      <c r="L5598" s="656"/>
      <c r="M5598" s="657"/>
      <c r="N5598" s="1482"/>
      <c r="O5598" s="656" t="s">
        <v>498</v>
      </c>
      <c r="P5598" s="656" t="s">
        <v>13052</v>
      </c>
      <c r="Q5598" s="656">
        <v>44216.75608796296</v>
      </c>
    </row>
    <row r="5599" spans="1:17">
      <c r="A5599" s="656" t="s">
        <v>8107</v>
      </c>
      <c r="B5599" s="657" t="s">
        <v>202</v>
      </c>
      <c r="C5599" s="656" t="s">
        <v>8108</v>
      </c>
      <c r="D5599" s="657" t="s">
        <v>14977</v>
      </c>
      <c r="E5599" s="657"/>
      <c r="F5599" s="656"/>
      <c r="G5599" s="656" t="s">
        <v>5103</v>
      </c>
      <c r="H5599" s="656"/>
      <c r="I5599" s="656" t="s">
        <v>14976</v>
      </c>
      <c r="J5599" s="656"/>
      <c r="K5599" s="656"/>
      <c r="L5599" s="656" t="s">
        <v>8107</v>
      </c>
      <c r="M5599" s="657"/>
      <c r="N5599" s="1482"/>
      <c r="O5599" s="656" t="s">
        <v>498</v>
      </c>
      <c r="P5599" s="656" t="s">
        <v>13052</v>
      </c>
      <c r="Q5599" s="656">
        <v>44216.756064814814</v>
      </c>
    </row>
    <row r="5600" spans="1:17">
      <c r="A5600" s="656" t="s">
        <v>8109</v>
      </c>
      <c r="B5600" s="657" t="s">
        <v>504</v>
      </c>
      <c r="C5600" s="656" t="s">
        <v>8110</v>
      </c>
      <c r="D5600" s="657" t="s">
        <v>14978</v>
      </c>
      <c r="E5600" s="657"/>
      <c r="F5600" s="656"/>
      <c r="G5600" s="656" t="s">
        <v>4347</v>
      </c>
      <c r="H5600" s="656"/>
      <c r="I5600" s="656"/>
      <c r="J5600" s="656"/>
      <c r="K5600" s="656"/>
      <c r="L5600" s="656"/>
      <c r="M5600" s="657"/>
      <c r="N5600" s="1482"/>
      <c r="O5600" s="656" t="s">
        <v>498</v>
      </c>
      <c r="P5600" s="656" t="s">
        <v>13052</v>
      </c>
      <c r="Q5600" s="656">
        <v>44216.756064814814</v>
      </c>
    </row>
    <row r="5601" spans="1:17">
      <c r="A5601" s="656" t="s">
        <v>8111</v>
      </c>
      <c r="B5601" s="657" t="s">
        <v>504</v>
      </c>
      <c r="C5601" s="656" t="s">
        <v>8112</v>
      </c>
      <c r="D5601" s="657" t="s">
        <v>14978</v>
      </c>
      <c r="E5601" s="657"/>
      <c r="F5601" s="656"/>
      <c r="G5601" s="656" t="s">
        <v>4347</v>
      </c>
      <c r="H5601" s="656"/>
      <c r="I5601" s="656"/>
      <c r="J5601" s="656"/>
      <c r="K5601" s="656"/>
      <c r="L5601" s="656"/>
      <c r="M5601" s="657"/>
      <c r="N5601" s="1482"/>
      <c r="O5601" s="656" t="s">
        <v>498</v>
      </c>
      <c r="P5601" s="656" t="s">
        <v>13052</v>
      </c>
      <c r="Q5601" s="656">
        <v>44216.756064814814</v>
      </c>
    </row>
    <row r="5602" spans="1:17">
      <c r="A5602" s="656" t="s">
        <v>8113</v>
      </c>
      <c r="B5602" s="657" t="s">
        <v>504</v>
      </c>
      <c r="C5602" s="656" t="s">
        <v>8114</v>
      </c>
      <c r="D5602" s="657" t="s">
        <v>14978</v>
      </c>
      <c r="E5602" s="657"/>
      <c r="F5602" s="656"/>
      <c r="G5602" s="656" t="s">
        <v>4347</v>
      </c>
      <c r="H5602" s="656"/>
      <c r="I5602" s="656"/>
      <c r="J5602" s="656"/>
      <c r="K5602" s="656"/>
      <c r="L5602" s="656"/>
      <c r="M5602" s="657"/>
      <c r="N5602" s="1482"/>
      <c r="O5602" s="656" t="s">
        <v>498</v>
      </c>
      <c r="P5602" s="656" t="s">
        <v>13052</v>
      </c>
      <c r="Q5602" s="656">
        <v>44216.756053240744</v>
      </c>
    </row>
    <row r="5603" spans="1:17">
      <c r="A5603" s="656" t="s">
        <v>8115</v>
      </c>
      <c r="B5603" s="657" t="s">
        <v>504</v>
      </c>
      <c r="C5603" s="656" t="s">
        <v>8116</v>
      </c>
      <c r="D5603" s="657" t="s">
        <v>14978</v>
      </c>
      <c r="E5603" s="657"/>
      <c r="F5603" s="656"/>
      <c r="G5603" s="656" t="s">
        <v>4347</v>
      </c>
      <c r="H5603" s="656"/>
      <c r="I5603" s="656"/>
      <c r="J5603" s="656"/>
      <c r="K5603" s="656"/>
      <c r="L5603" s="656"/>
      <c r="M5603" s="657"/>
      <c r="N5603" s="1482"/>
      <c r="O5603" s="656" t="s">
        <v>498</v>
      </c>
      <c r="P5603" s="656" t="s">
        <v>13052</v>
      </c>
      <c r="Q5603" s="656">
        <v>44216.756053240744</v>
      </c>
    </row>
    <row r="5604" spans="1:17">
      <c r="A5604" s="656" t="s">
        <v>8117</v>
      </c>
      <c r="B5604" s="657" t="s">
        <v>504</v>
      </c>
      <c r="C5604" s="656" t="s">
        <v>8118</v>
      </c>
      <c r="D5604" s="657" t="s">
        <v>14978</v>
      </c>
      <c r="E5604" s="657"/>
      <c r="F5604" s="656"/>
      <c r="G5604" s="656" t="s">
        <v>4347</v>
      </c>
      <c r="H5604" s="656"/>
      <c r="I5604" s="656"/>
      <c r="J5604" s="656"/>
      <c r="K5604" s="656"/>
      <c r="L5604" s="656"/>
      <c r="M5604" s="657"/>
      <c r="N5604" s="1482"/>
      <c r="O5604" s="656" t="s">
        <v>498</v>
      </c>
      <c r="P5604" s="656" t="s">
        <v>13052</v>
      </c>
      <c r="Q5604" s="656">
        <v>44216.756041666667</v>
      </c>
    </row>
    <row r="5605" spans="1:17">
      <c r="A5605" s="656" t="s">
        <v>8119</v>
      </c>
      <c r="B5605" s="657" t="s">
        <v>504</v>
      </c>
      <c r="C5605" s="656" t="s">
        <v>8120</v>
      </c>
      <c r="D5605" s="657" t="s">
        <v>14978</v>
      </c>
      <c r="E5605" s="657"/>
      <c r="F5605" s="656"/>
      <c r="G5605" s="656" t="s">
        <v>4347</v>
      </c>
      <c r="H5605" s="656"/>
      <c r="I5605" s="656"/>
      <c r="J5605" s="656"/>
      <c r="K5605" s="656"/>
      <c r="L5605" s="656"/>
      <c r="M5605" s="657"/>
      <c r="N5605" s="1482"/>
      <c r="O5605" s="656" t="s">
        <v>498</v>
      </c>
      <c r="P5605" s="656" t="s">
        <v>13052</v>
      </c>
      <c r="Q5605" s="656">
        <v>44216.756041666667</v>
      </c>
    </row>
    <row r="5606" spans="1:17">
      <c r="A5606" s="656" t="s">
        <v>8121</v>
      </c>
      <c r="B5606" s="657" t="s">
        <v>504</v>
      </c>
      <c r="C5606" s="656" t="s">
        <v>8122</v>
      </c>
      <c r="D5606" s="657" t="s">
        <v>14977</v>
      </c>
      <c r="E5606" s="657"/>
      <c r="F5606" s="656"/>
      <c r="G5606" s="656" t="s">
        <v>4347</v>
      </c>
      <c r="H5606" s="656"/>
      <c r="I5606" s="656"/>
      <c r="J5606" s="656"/>
      <c r="K5606" s="656"/>
      <c r="L5606" s="656"/>
      <c r="M5606" s="657"/>
      <c r="N5606" s="1482"/>
      <c r="O5606" s="656" t="s">
        <v>498</v>
      </c>
      <c r="P5606" s="656" t="s">
        <v>13052</v>
      </c>
      <c r="Q5606" s="656">
        <v>44216.756030092591</v>
      </c>
    </row>
    <row r="5607" spans="1:17">
      <c r="A5607" s="656" t="s">
        <v>8123</v>
      </c>
      <c r="B5607" s="657"/>
      <c r="C5607" s="656" t="s">
        <v>8124</v>
      </c>
      <c r="D5607" s="657" t="s">
        <v>14978</v>
      </c>
      <c r="E5607" s="657"/>
      <c r="F5607" s="656" t="s">
        <v>1394</v>
      </c>
      <c r="G5607" s="656"/>
      <c r="H5607" s="656" t="s">
        <v>1394</v>
      </c>
      <c r="I5607" s="656" t="s">
        <v>14976</v>
      </c>
      <c r="J5607" s="656"/>
      <c r="K5607" s="656"/>
      <c r="L5607" s="656" t="s">
        <v>8131</v>
      </c>
      <c r="M5607" s="657"/>
      <c r="N5607" s="1482"/>
      <c r="O5607" s="656" t="s">
        <v>498</v>
      </c>
      <c r="P5607" s="656" t="s">
        <v>13052</v>
      </c>
      <c r="Q5607" s="656">
        <v>44216.756030092591</v>
      </c>
    </row>
    <row r="5608" spans="1:17">
      <c r="A5608" s="656" t="s">
        <v>8125</v>
      </c>
      <c r="B5608" s="657" t="s">
        <v>531</v>
      </c>
      <c r="C5608" s="656" t="s">
        <v>8126</v>
      </c>
      <c r="D5608" s="657" t="s">
        <v>14978</v>
      </c>
      <c r="E5608" s="657"/>
      <c r="F5608" s="656" t="s">
        <v>472</v>
      </c>
      <c r="G5608" s="656" t="s">
        <v>1395</v>
      </c>
      <c r="H5608" s="656" t="s">
        <v>472</v>
      </c>
      <c r="I5608" s="656" t="s">
        <v>14976</v>
      </c>
      <c r="J5608" s="656" t="s">
        <v>12368</v>
      </c>
      <c r="K5608" s="656"/>
      <c r="L5608" s="656"/>
      <c r="M5608" s="657"/>
      <c r="N5608" s="1482"/>
      <c r="O5608" s="656" t="s">
        <v>498</v>
      </c>
      <c r="P5608" s="656" t="s">
        <v>13052</v>
      </c>
      <c r="Q5608" s="656">
        <v>44216.756030092591</v>
      </c>
    </row>
    <row r="5609" spans="1:17">
      <c r="A5609" s="656" t="s">
        <v>8127</v>
      </c>
      <c r="B5609" s="657" t="s">
        <v>531</v>
      </c>
      <c r="C5609" s="656" t="s">
        <v>8128</v>
      </c>
      <c r="D5609" s="657" t="s">
        <v>14978</v>
      </c>
      <c r="E5609" s="657"/>
      <c r="F5609" s="656" t="s">
        <v>472</v>
      </c>
      <c r="G5609" s="656" t="s">
        <v>519</v>
      </c>
      <c r="H5609" s="656" t="s">
        <v>472</v>
      </c>
      <c r="I5609" s="656" t="s">
        <v>14976</v>
      </c>
      <c r="J5609" s="656" t="s">
        <v>12368</v>
      </c>
      <c r="K5609" s="656" t="s">
        <v>1058</v>
      </c>
      <c r="L5609" s="656"/>
      <c r="M5609" s="657"/>
      <c r="N5609" s="1482"/>
      <c r="O5609" s="656" t="s">
        <v>498</v>
      </c>
      <c r="P5609" s="656" t="s">
        <v>13052</v>
      </c>
      <c r="Q5609" s="656">
        <v>44216.756018518521</v>
      </c>
    </row>
    <row r="5610" spans="1:17">
      <c r="A5610" s="656" t="s">
        <v>8129</v>
      </c>
      <c r="B5610" s="657"/>
      <c r="C5610" s="656" t="s">
        <v>8130</v>
      </c>
      <c r="D5610" s="657" t="s">
        <v>14978</v>
      </c>
      <c r="E5610" s="657"/>
      <c r="F5610" s="656"/>
      <c r="G5610" s="656" t="s">
        <v>5103</v>
      </c>
      <c r="H5610" s="656"/>
      <c r="I5610" s="656" t="s">
        <v>14976</v>
      </c>
      <c r="J5610" s="656"/>
      <c r="K5610" s="656"/>
      <c r="L5610" s="656" t="s">
        <v>8131</v>
      </c>
      <c r="M5610" s="657"/>
      <c r="N5610" s="1482"/>
      <c r="O5610" s="656" t="s">
        <v>498</v>
      </c>
      <c r="P5610" s="656" t="s">
        <v>13052</v>
      </c>
      <c r="Q5610" s="656">
        <v>44216.756006944444</v>
      </c>
    </row>
    <row r="5611" spans="1:17">
      <c r="A5611" s="656" t="s">
        <v>8131</v>
      </c>
      <c r="B5611" s="657" t="s">
        <v>504</v>
      </c>
      <c r="C5611" s="656" t="s">
        <v>8132</v>
      </c>
      <c r="D5611" s="657" t="s">
        <v>14978</v>
      </c>
      <c r="E5611" s="657"/>
      <c r="F5611" s="656"/>
      <c r="G5611" s="656" t="s">
        <v>5103</v>
      </c>
      <c r="H5611" s="656"/>
      <c r="I5611" s="656"/>
      <c r="J5611" s="656"/>
      <c r="K5611" s="656"/>
      <c r="L5611" s="656"/>
      <c r="M5611" s="657"/>
      <c r="N5611" s="1482"/>
      <c r="O5611" s="656" t="s">
        <v>498</v>
      </c>
      <c r="P5611" s="656" t="s">
        <v>13052</v>
      </c>
      <c r="Q5611" s="656">
        <v>44216.756006944444</v>
      </c>
    </row>
    <row r="5612" spans="1:17">
      <c r="A5612" s="656" t="s">
        <v>8133</v>
      </c>
      <c r="B5612" s="657" t="s">
        <v>504</v>
      </c>
      <c r="C5612" s="656" t="s">
        <v>8134</v>
      </c>
      <c r="D5612" s="657" t="s">
        <v>13789</v>
      </c>
      <c r="E5612" s="657"/>
      <c r="F5612" s="656"/>
      <c r="G5612" s="656" t="s">
        <v>4362</v>
      </c>
      <c r="H5612" s="656"/>
      <c r="I5612" s="656"/>
      <c r="J5612" s="656"/>
      <c r="K5612" s="656"/>
      <c r="L5612" s="656"/>
      <c r="M5612" s="657"/>
      <c r="N5612" s="1482"/>
      <c r="O5612" s="656" t="s">
        <v>498</v>
      </c>
      <c r="P5612" s="656" t="s">
        <v>13052</v>
      </c>
      <c r="Q5612" s="656">
        <v>44216.756006944444</v>
      </c>
    </row>
    <row r="5613" spans="1:17">
      <c r="A5613" s="656" t="s">
        <v>8135</v>
      </c>
      <c r="B5613" s="657" t="s">
        <v>504</v>
      </c>
      <c r="C5613" s="656" t="s">
        <v>8136</v>
      </c>
      <c r="D5613" s="657" t="s">
        <v>13789</v>
      </c>
      <c r="E5613" s="657"/>
      <c r="F5613" s="656"/>
      <c r="G5613" s="656" t="s">
        <v>4362</v>
      </c>
      <c r="H5613" s="656"/>
      <c r="I5613" s="656"/>
      <c r="J5613" s="656"/>
      <c r="K5613" s="656"/>
      <c r="L5613" s="656"/>
      <c r="M5613" s="657"/>
      <c r="N5613" s="1482"/>
      <c r="O5613" s="656" t="s">
        <v>498</v>
      </c>
      <c r="P5613" s="656" t="s">
        <v>13052</v>
      </c>
      <c r="Q5613" s="656">
        <v>44216.755995370368</v>
      </c>
    </row>
    <row r="5614" spans="1:17">
      <c r="A5614" s="656" t="s">
        <v>8137</v>
      </c>
      <c r="B5614" s="657" t="s">
        <v>504</v>
      </c>
      <c r="C5614" s="656" t="s">
        <v>8138</v>
      </c>
      <c r="D5614" s="657" t="s">
        <v>13789</v>
      </c>
      <c r="E5614" s="657"/>
      <c r="F5614" s="656"/>
      <c r="G5614" s="656" t="s">
        <v>4362</v>
      </c>
      <c r="H5614" s="656"/>
      <c r="I5614" s="656"/>
      <c r="J5614" s="656"/>
      <c r="K5614" s="656"/>
      <c r="L5614" s="656"/>
      <c r="M5614" s="657"/>
      <c r="N5614" s="1482"/>
      <c r="O5614" s="656" t="s">
        <v>498</v>
      </c>
      <c r="P5614" s="656" t="s">
        <v>13052</v>
      </c>
      <c r="Q5614" s="656">
        <v>44216.755995370368</v>
      </c>
    </row>
    <row r="5615" spans="1:17">
      <c r="A5615" s="656" t="s">
        <v>8139</v>
      </c>
      <c r="B5615" s="657" t="s">
        <v>504</v>
      </c>
      <c r="C5615" s="656" t="s">
        <v>8140</v>
      </c>
      <c r="D5615" s="657" t="s">
        <v>13789</v>
      </c>
      <c r="E5615" s="657"/>
      <c r="F5615" s="656"/>
      <c r="G5615" s="656" t="s">
        <v>4362</v>
      </c>
      <c r="H5615" s="656"/>
      <c r="I5615" s="656"/>
      <c r="J5615" s="656"/>
      <c r="K5615" s="656"/>
      <c r="L5615" s="656"/>
      <c r="M5615" s="657"/>
      <c r="N5615" s="1482"/>
      <c r="O5615" s="656" t="s">
        <v>498</v>
      </c>
      <c r="P5615" s="656" t="s">
        <v>13052</v>
      </c>
      <c r="Q5615" s="656">
        <v>44216.755995370368</v>
      </c>
    </row>
    <row r="5616" spans="1:17">
      <c r="A5616" s="656" t="s">
        <v>8141</v>
      </c>
      <c r="B5616" s="657" t="s">
        <v>504</v>
      </c>
      <c r="C5616" s="656" t="s">
        <v>8142</v>
      </c>
      <c r="D5616" s="657" t="s">
        <v>13789</v>
      </c>
      <c r="E5616" s="657"/>
      <c r="F5616" s="656"/>
      <c r="G5616" s="656" t="s">
        <v>4362</v>
      </c>
      <c r="H5616" s="656"/>
      <c r="I5616" s="656"/>
      <c r="J5616" s="656"/>
      <c r="K5616" s="656"/>
      <c r="L5616" s="656"/>
      <c r="M5616" s="657"/>
      <c r="N5616" s="1482"/>
      <c r="O5616" s="656" t="s">
        <v>498</v>
      </c>
      <c r="P5616" s="656" t="s">
        <v>13052</v>
      </c>
      <c r="Q5616" s="656">
        <v>44216.755983796298</v>
      </c>
    </row>
    <row r="5617" spans="1:17">
      <c r="A5617" s="656" t="s">
        <v>8143</v>
      </c>
      <c r="B5617" s="657" t="s">
        <v>504</v>
      </c>
      <c r="C5617" s="656" t="s">
        <v>8144</v>
      </c>
      <c r="D5617" s="657" t="s">
        <v>13789</v>
      </c>
      <c r="E5617" s="657"/>
      <c r="F5617" s="656"/>
      <c r="G5617" s="656" t="s">
        <v>4362</v>
      </c>
      <c r="H5617" s="656"/>
      <c r="I5617" s="656"/>
      <c r="J5617" s="656"/>
      <c r="K5617" s="656"/>
      <c r="L5617" s="656"/>
      <c r="M5617" s="657"/>
      <c r="N5617" s="1482"/>
      <c r="O5617" s="656" t="s">
        <v>498</v>
      </c>
      <c r="P5617" s="656" t="s">
        <v>13052</v>
      </c>
      <c r="Q5617" s="656">
        <v>44216.755983796298</v>
      </c>
    </row>
    <row r="5618" spans="1:17">
      <c r="A5618" s="656" t="s">
        <v>8145</v>
      </c>
      <c r="B5618" s="657" t="s">
        <v>504</v>
      </c>
      <c r="C5618" s="656" t="s">
        <v>8146</v>
      </c>
      <c r="D5618" s="657" t="s">
        <v>13789</v>
      </c>
      <c r="E5618" s="657"/>
      <c r="F5618" s="656"/>
      <c r="G5618" s="656" t="s">
        <v>4362</v>
      </c>
      <c r="H5618" s="656"/>
      <c r="I5618" s="656"/>
      <c r="J5618" s="656"/>
      <c r="K5618" s="656"/>
      <c r="L5618" s="656"/>
      <c r="M5618" s="657"/>
      <c r="N5618" s="1482"/>
      <c r="O5618" s="656" t="s">
        <v>498</v>
      </c>
      <c r="P5618" s="656" t="s">
        <v>13052</v>
      </c>
      <c r="Q5618" s="656">
        <v>44216.755972222221</v>
      </c>
    </row>
    <row r="5619" spans="1:17">
      <c r="A5619" s="656" t="s">
        <v>8147</v>
      </c>
      <c r="B5619" s="657" t="s">
        <v>504</v>
      </c>
      <c r="C5619" s="656" t="s">
        <v>8148</v>
      </c>
      <c r="D5619" s="657" t="s">
        <v>13789</v>
      </c>
      <c r="E5619" s="657"/>
      <c r="F5619" s="656"/>
      <c r="G5619" s="656" t="s">
        <v>4362</v>
      </c>
      <c r="H5619" s="656"/>
      <c r="I5619" s="656"/>
      <c r="J5619" s="656"/>
      <c r="K5619" s="656"/>
      <c r="L5619" s="656"/>
      <c r="M5619" s="657"/>
      <c r="N5619" s="1482"/>
      <c r="O5619" s="656" t="s">
        <v>498</v>
      </c>
      <c r="P5619" s="656" t="s">
        <v>13052</v>
      </c>
      <c r="Q5619" s="656">
        <v>44216.755972222221</v>
      </c>
    </row>
    <row r="5620" spans="1:17">
      <c r="A5620" s="656" t="s">
        <v>8149</v>
      </c>
      <c r="B5620" s="657" t="s">
        <v>504</v>
      </c>
      <c r="C5620" s="656" t="s">
        <v>8150</v>
      </c>
      <c r="D5620" s="657" t="s">
        <v>13789</v>
      </c>
      <c r="E5620" s="657"/>
      <c r="F5620" s="656"/>
      <c r="G5620" s="656" t="s">
        <v>4362</v>
      </c>
      <c r="H5620" s="656"/>
      <c r="I5620" s="656"/>
      <c r="J5620" s="656"/>
      <c r="K5620" s="656"/>
      <c r="L5620" s="656"/>
      <c r="M5620" s="657"/>
      <c r="N5620" s="1482"/>
      <c r="O5620" s="656" t="s">
        <v>498</v>
      </c>
      <c r="P5620" s="656" t="s">
        <v>13052</v>
      </c>
      <c r="Q5620" s="656">
        <v>44216.755960648145</v>
      </c>
    </row>
    <row r="5621" spans="1:17">
      <c r="A5621" s="656" t="s">
        <v>8151</v>
      </c>
      <c r="B5621" s="657" t="s">
        <v>504</v>
      </c>
      <c r="C5621" s="656" t="s">
        <v>8152</v>
      </c>
      <c r="D5621" s="657" t="s">
        <v>13789</v>
      </c>
      <c r="E5621" s="657"/>
      <c r="F5621" s="656"/>
      <c r="G5621" s="656" t="s">
        <v>4362</v>
      </c>
      <c r="H5621" s="656"/>
      <c r="I5621" s="656"/>
      <c r="J5621" s="656"/>
      <c r="K5621" s="656"/>
      <c r="L5621" s="656"/>
      <c r="M5621" s="657"/>
      <c r="N5621" s="1482"/>
      <c r="O5621" s="656" t="s">
        <v>498</v>
      </c>
      <c r="P5621" s="656" t="s">
        <v>13052</v>
      </c>
      <c r="Q5621" s="656">
        <v>44216.755960648145</v>
      </c>
    </row>
    <row r="5622" spans="1:17">
      <c r="A5622" s="656" t="s">
        <v>8153</v>
      </c>
      <c r="B5622" s="657" t="s">
        <v>504</v>
      </c>
      <c r="C5622" s="656" t="s">
        <v>8154</v>
      </c>
      <c r="D5622" s="657" t="s">
        <v>13789</v>
      </c>
      <c r="E5622" s="657"/>
      <c r="F5622" s="656"/>
      <c r="G5622" s="656" t="s">
        <v>4362</v>
      </c>
      <c r="H5622" s="656"/>
      <c r="I5622" s="656"/>
      <c r="J5622" s="656"/>
      <c r="K5622" s="656"/>
      <c r="L5622" s="656"/>
      <c r="M5622" s="657"/>
      <c r="N5622" s="1482"/>
      <c r="O5622" s="656" t="s">
        <v>498</v>
      </c>
      <c r="P5622" s="656" t="s">
        <v>13052</v>
      </c>
      <c r="Q5622" s="656">
        <v>44216.755949074075</v>
      </c>
    </row>
    <row r="5623" spans="1:17">
      <c r="A5623" s="656" t="s">
        <v>8155</v>
      </c>
      <c r="B5623" s="657" t="s">
        <v>504</v>
      </c>
      <c r="C5623" s="656" t="s">
        <v>8156</v>
      </c>
      <c r="D5623" s="657" t="s">
        <v>13789</v>
      </c>
      <c r="E5623" s="657"/>
      <c r="F5623" s="656"/>
      <c r="G5623" s="656" t="s">
        <v>4347</v>
      </c>
      <c r="H5623" s="656"/>
      <c r="I5623" s="656"/>
      <c r="J5623" s="656"/>
      <c r="K5623" s="656"/>
      <c r="L5623" s="656"/>
      <c r="M5623" s="657"/>
      <c r="N5623" s="1482"/>
      <c r="O5623" s="656" t="s">
        <v>498</v>
      </c>
      <c r="P5623" s="656" t="s">
        <v>13052</v>
      </c>
      <c r="Q5623" s="656">
        <v>44216.755937499998</v>
      </c>
    </row>
    <row r="5624" spans="1:17">
      <c r="A5624" s="656" t="s">
        <v>13212</v>
      </c>
      <c r="B5624" s="657" t="s">
        <v>202</v>
      </c>
      <c r="C5624" s="656" t="s">
        <v>13213</v>
      </c>
      <c r="D5624" s="657" t="s">
        <v>14978</v>
      </c>
      <c r="E5624" s="657"/>
      <c r="F5624" s="656" t="s">
        <v>1300</v>
      </c>
      <c r="G5624" s="656" t="s">
        <v>4198</v>
      </c>
      <c r="H5624" s="656" t="s">
        <v>1300</v>
      </c>
      <c r="I5624" s="656" t="s">
        <v>14976</v>
      </c>
      <c r="J5624" s="656"/>
      <c r="K5624" s="656"/>
      <c r="L5624" s="656" t="s">
        <v>13214</v>
      </c>
      <c r="M5624" s="657"/>
      <c r="N5624" s="1482"/>
      <c r="O5624" s="656" t="s">
        <v>498</v>
      </c>
      <c r="P5624" s="656" t="s">
        <v>13052</v>
      </c>
      <c r="Q5624" s="656">
        <v>44216.755937499998</v>
      </c>
    </row>
    <row r="5625" spans="1:17">
      <c r="A5625" s="656" t="s">
        <v>8157</v>
      </c>
      <c r="B5625" s="657" t="s">
        <v>504</v>
      </c>
      <c r="C5625" s="656" t="s">
        <v>8158</v>
      </c>
      <c r="D5625" s="657"/>
      <c r="E5625" s="657"/>
      <c r="F5625" s="656" t="s">
        <v>505</v>
      </c>
      <c r="G5625" s="656" t="s">
        <v>4394</v>
      </c>
      <c r="H5625" s="656" t="s">
        <v>505</v>
      </c>
      <c r="I5625" s="656"/>
      <c r="J5625" s="656"/>
      <c r="K5625" s="656"/>
      <c r="L5625" s="656"/>
      <c r="M5625" s="657"/>
      <c r="N5625" s="1482"/>
      <c r="O5625" s="656" t="s">
        <v>498</v>
      </c>
      <c r="P5625" s="656" t="s">
        <v>13052</v>
      </c>
      <c r="Q5625" s="656">
        <v>44216.755925925929</v>
      </c>
    </row>
    <row r="5626" spans="1:17">
      <c r="A5626" s="656" t="s">
        <v>8159</v>
      </c>
      <c r="B5626" s="657" t="s">
        <v>504</v>
      </c>
      <c r="C5626" s="656" t="s">
        <v>8160</v>
      </c>
      <c r="D5626" s="657"/>
      <c r="E5626" s="657"/>
      <c r="F5626" s="656" t="s">
        <v>505</v>
      </c>
      <c r="G5626" s="656" t="s">
        <v>4394</v>
      </c>
      <c r="H5626" s="656" t="s">
        <v>505</v>
      </c>
      <c r="I5626" s="656"/>
      <c r="J5626" s="656"/>
      <c r="K5626" s="656"/>
      <c r="L5626" s="656"/>
      <c r="M5626" s="657"/>
      <c r="N5626" s="1482"/>
      <c r="O5626" s="656" t="s">
        <v>498</v>
      </c>
      <c r="P5626" s="656" t="s">
        <v>13052</v>
      </c>
      <c r="Q5626" s="656">
        <v>44216.755914351852</v>
      </c>
    </row>
    <row r="5627" spans="1:17">
      <c r="A5627" s="656" t="s">
        <v>8161</v>
      </c>
      <c r="B5627" s="657" t="s">
        <v>504</v>
      </c>
      <c r="C5627" s="656" t="s">
        <v>8162</v>
      </c>
      <c r="D5627" s="657"/>
      <c r="E5627" s="657"/>
      <c r="F5627" s="656" t="s">
        <v>505</v>
      </c>
      <c r="G5627" s="656" t="s">
        <v>4324</v>
      </c>
      <c r="H5627" s="656" t="s">
        <v>505</v>
      </c>
      <c r="I5627" s="656"/>
      <c r="J5627" s="656"/>
      <c r="K5627" s="656"/>
      <c r="L5627" s="656"/>
      <c r="M5627" s="657"/>
      <c r="N5627" s="1482"/>
      <c r="O5627" s="656" t="s">
        <v>498</v>
      </c>
      <c r="P5627" s="656" t="s">
        <v>13052</v>
      </c>
      <c r="Q5627" s="656">
        <v>44216.755914351852</v>
      </c>
    </row>
    <row r="5628" spans="1:17">
      <c r="A5628" s="656" t="s">
        <v>8163</v>
      </c>
      <c r="B5628" s="657"/>
      <c r="C5628" s="656" t="s">
        <v>8164</v>
      </c>
      <c r="D5628" s="657" t="s">
        <v>13789</v>
      </c>
      <c r="E5628" s="657"/>
      <c r="F5628" s="656"/>
      <c r="G5628" s="656"/>
      <c r="H5628" s="656"/>
      <c r="I5628" s="656" t="s">
        <v>14976</v>
      </c>
      <c r="J5628" s="656"/>
      <c r="K5628" s="656"/>
      <c r="L5628" s="656"/>
      <c r="M5628" s="657"/>
      <c r="N5628" s="1482"/>
      <c r="O5628" s="656" t="s">
        <v>498</v>
      </c>
      <c r="P5628" s="656" t="s">
        <v>13052</v>
      </c>
      <c r="Q5628" s="656">
        <v>44216.755902777775</v>
      </c>
    </row>
    <row r="5629" spans="1:17">
      <c r="A5629" s="656" t="s">
        <v>15915</v>
      </c>
      <c r="B5629" s="657" t="s">
        <v>504</v>
      </c>
      <c r="C5629" s="656" t="s">
        <v>8165</v>
      </c>
      <c r="D5629" s="657"/>
      <c r="E5629" s="657"/>
      <c r="F5629" s="656" t="s">
        <v>505</v>
      </c>
      <c r="G5629" s="656" t="s">
        <v>4394</v>
      </c>
      <c r="H5629" s="656" t="s">
        <v>505</v>
      </c>
      <c r="I5629" s="656"/>
      <c r="J5629" s="656"/>
      <c r="K5629" s="656"/>
      <c r="L5629" s="656"/>
      <c r="M5629" s="657"/>
      <c r="N5629" s="1482"/>
      <c r="O5629" s="656" t="s">
        <v>498</v>
      </c>
      <c r="P5629" s="656" t="s">
        <v>13052</v>
      </c>
      <c r="Q5629" s="656">
        <v>44216.755891203706</v>
      </c>
    </row>
    <row r="5630" spans="1:17">
      <c r="A5630" s="656" t="s">
        <v>8166</v>
      </c>
      <c r="B5630" s="657" t="s">
        <v>504</v>
      </c>
      <c r="C5630" s="656" t="s">
        <v>8167</v>
      </c>
      <c r="D5630" s="657"/>
      <c r="E5630" s="657"/>
      <c r="F5630" s="656" t="s">
        <v>505</v>
      </c>
      <c r="G5630" s="656" t="s">
        <v>4394</v>
      </c>
      <c r="H5630" s="656" t="s">
        <v>505</v>
      </c>
      <c r="I5630" s="656"/>
      <c r="J5630" s="656"/>
      <c r="K5630" s="656"/>
      <c r="L5630" s="656"/>
      <c r="M5630" s="657"/>
      <c r="N5630" s="1482"/>
      <c r="O5630" s="656" t="s">
        <v>498</v>
      </c>
      <c r="P5630" s="656" t="s">
        <v>13052</v>
      </c>
      <c r="Q5630" s="656">
        <v>44216.755891203706</v>
      </c>
    </row>
    <row r="5631" spans="1:17">
      <c r="A5631" s="656" t="s">
        <v>8168</v>
      </c>
      <c r="B5631" s="657" t="s">
        <v>504</v>
      </c>
      <c r="C5631" s="656" t="s">
        <v>8169</v>
      </c>
      <c r="D5631" s="657"/>
      <c r="E5631" s="657"/>
      <c r="F5631" s="656" t="s">
        <v>505</v>
      </c>
      <c r="G5631" s="656" t="s">
        <v>4394</v>
      </c>
      <c r="H5631" s="656" t="s">
        <v>505</v>
      </c>
      <c r="I5631" s="656"/>
      <c r="J5631" s="656"/>
      <c r="K5631" s="656"/>
      <c r="L5631" s="656"/>
      <c r="M5631" s="657"/>
      <c r="N5631" s="1482"/>
      <c r="O5631" s="656" t="s">
        <v>498</v>
      </c>
      <c r="P5631" s="656" t="s">
        <v>13052</v>
      </c>
      <c r="Q5631" s="656">
        <v>44216.755879629629</v>
      </c>
    </row>
    <row r="5632" spans="1:17">
      <c r="A5632" s="656" t="s">
        <v>8170</v>
      </c>
      <c r="B5632" s="657" t="s">
        <v>504</v>
      </c>
      <c r="C5632" s="656" t="s">
        <v>8171</v>
      </c>
      <c r="D5632" s="657"/>
      <c r="E5632" s="657"/>
      <c r="F5632" s="656" t="s">
        <v>505</v>
      </c>
      <c r="G5632" s="656" t="s">
        <v>4394</v>
      </c>
      <c r="H5632" s="656" t="s">
        <v>505</v>
      </c>
      <c r="I5632" s="656"/>
      <c r="J5632" s="656"/>
      <c r="K5632" s="656"/>
      <c r="L5632" s="656"/>
      <c r="M5632" s="657"/>
      <c r="N5632" s="1482"/>
      <c r="O5632" s="656" t="s">
        <v>498</v>
      </c>
      <c r="P5632" s="656" t="s">
        <v>13052</v>
      </c>
      <c r="Q5632" s="656">
        <v>44216.755879629629</v>
      </c>
    </row>
    <row r="5633" spans="1:17">
      <c r="A5633" s="656" t="s">
        <v>8172</v>
      </c>
      <c r="B5633" s="657" t="s">
        <v>504</v>
      </c>
      <c r="C5633" s="656" t="s">
        <v>8173</v>
      </c>
      <c r="D5633" s="657"/>
      <c r="E5633" s="657"/>
      <c r="F5633" s="656" t="s">
        <v>505</v>
      </c>
      <c r="G5633" s="656" t="s">
        <v>4394</v>
      </c>
      <c r="H5633" s="656" t="s">
        <v>505</v>
      </c>
      <c r="I5633" s="656"/>
      <c r="J5633" s="656"/>
      <c r="K5633" s="656"/>
      <c r="L5633" s="656"/>
      <c r="M5633" s="657"/>
      <c r="N5633" s="1482"/>
      <c r="O5633" s="656" t="s">
        <v>498</v>
      </c>
      <c r="P5633" s="656" t="s">
        <v>13052</v>
      </c>
      <c r="Q5633" s="656">
        <v>44216.755879629629</v>
      </c>
    </row>
    <row r="5634" spans="1:17">
      <c r="A5634" s="656" t="s">
        <v>8174</v>
      </c>
      <c r="B5634" s="657" t="s">
        <v>504</v>
      </c>
      <c r="C5634" s="656" t="s">
        <v>8175</v>
      </c>
      <c r="D5634" s="657"/>
      <c r="E5634" s="657"/>
      <c r="F5634" s="656" t="s">
        <v>505</v>
      </c>
      <c r="G5634" s="656" t="s">
        <v>4394</v>
      </c>
      <c r="H5634" s="656" t="s">
        <v>505</v>
      </c>
      <c r="I5634" s="656"/>
      <c r="J5634" s="656"/>
      <c r="K5634" s="656"/>
      <c r="L5634" s="656"/>
      <c r="M5634" s="657"/>
      <c r="N5634" s="1482"/>
      <c r="O5634" s="656" t="s">
        <v>498</v>
      </c>
      <c r="P5634" s="656" t="s">
        <v>13052</v>
      </c>
      <c r="Q5634" s="656">
        <v>44216.755868055552</v>
      </c>
    </row>
    <row r="5635" spans="1:17">
      <c r="A5635" s="656" t="s">
        <v>8176</v>
      </c>
      <c r="B5635" s="657" t="s">
        <v>504</v>
      </c>
      <c r="C5635" s="656" t="s">
        <v>8177</v>
      </c>
      <c r="D5635" s="657"/>
      <c r="E5635" s="657"/>
      <c r="F5635" s="656" t="s">
        <v>505</v>
      </c>
      <c r="G5635" s="656" t="s">
        <v>4394</v>
      </c>
      <c r="H5635" s="656" t="s">
        <v>505</v>
      </c>
      <c r="I5635" s="656"/>
      <c r="J5635" s="656"/>
      <c r="K5635" s="656"/>
      <c r="L5635" s="656"/>
      <c r="M5635" s="657"/>
      <c r="N5635" s="1482"/>
      <c r="O5635" s="656" t="s">
        <v>498</v>
      </c>
      <c r="P5635" s="656" t="s">
        <v>13052</v>
      </c>
      <c r="Q5635" s="656">
        <v>44216.755868055552</v>
      </c>
    </row>
    <row r="5636" spans="1:17">
      <c r="A5636" s="656" t="s">
        <v>8178</v>
      </c>
      <c r="B5636" s="657"/>
      <c r="C5636" s="656" t="s">
        <v>8179</v>
      </c>
      <c r="D5636" s="657" t="s">
        <v>14978</v>
      </c>
      <c r="E5636" s="657"/>
      <c r="F5636" s="656"/>
      <c r="G5636" s="656"/>
      <c r="H5636" s="656"/>
      <c r="I5636" s="656" t="s">
        <v>14976</v>
      </c>
      <c r="J5636" s="656"/>
      <c r="K5636" s="656"/>
      <c r="L5636" s="656" t="s">
        <v>8181</v>
      </c>
      <c r="M5636" s="657"/>
      <c r="N5636" s="1482"/>
      <c r="O5636" s="656" t="s">
        <v>498</v>
      </c>
      <c r="P5636" s="656" t="s">
        <v>13052</v>
      </c>
      <c r="Q5636" s="656">
        <v>44216.755856481483</v>
      </c>
    </row>
    <row r="5637" spans="1:17">
      <c r="A5637" s="656" t="s">
        <v>13169</v>
      </c>
      <c r="B5637" s="657" t="s">
        <v>504</v>
      </c>
      <c r="C5637" s="656" t="s">
        <v>8180</v>
      </c>
      <c r="D5637" s="657" t="s">
        <v>13789</v>
      </c>
      <c r="E5637" s="657" t="s">
        <v>9654</v>
      </c>
      <c r="F5637" s="656" t="s">
        <v>505</v>
      </c>
      <c r="G5637" s="656" t="s">
        <v>525</v>
      </c>
      <c r="H5637" s="656" t="s">
        <v>505</v>
      </c>
      <c r="I5637" s="656" t="s">
        <v>14976</v>
      </c>
      <c r="J5637" s="656"/>
      <c r="K5637" s="656"/>
      <c r="L5637" s="656"/>
      <c r="M5637" s="657"/>
      <c r="N5637" s="1482"/>
      <c r="O5637" s="656" t="s">
        <v>498</v>
      </c>
      <c r="P5637" s="656" t="s">
        <v>13052</v>
      </c>
      <c r="Q5637" s="656">
        <v>44216.755856481483</v>
      </c>
    </row>
    <row r="5638" spans="1:17">
      <c r="A5638" s="656" t="s">
        <v>8181</v>
      </c>
      <c r="B5638" s="657" t="s">
        <v>504</v>
      </c>
      <c r="C5638" s="656" t="s">
        <v>8182</v>
      </c>
      <c r="D5638" s="657"/>
      <c r="E5638" s="657"/>
      <c r="F5638" s="656" t="s">
        <v>505</v>
      </c>
      <c r="G5638" s="656" t="s">
        <v>4394</v>
      </c>
      <c r="H5638" s="656" t="s">
        <v>505</v>
      </c>
      <c r="I5638" s="656"/>
      <c r="J5638" s="656"/>
      <c r="K5638" s="656"/>
      <c r="L5638" s="656"/>
      <c r="M5638" s="657"/>
      <c r="N5638" s="1482"/>
      <c r="O5638" s="656" t="s">
        <v>498</v>
      </c>
      <c r="P5638" s="656" t="s">
        <v>13052</v>
      </c>
      <c r="Q5638" s="656">
        <v>44216.755844907406</v>
      </c>
    </row>
    <row r="5639" spans="1:17">
      <c r="A5639" s="656" t="s">
        <v>13153</v>
      </c>
      <c r="B5639" s="657" t="s">
        <v>202</v>
      </c>
      <c r="C5639" s="656" t="s">
        <v>13154</v>
      </c>
      <c r="D5639" s="657" t="s">
        <v>13789</v>
      </c>
      <c r="E5639" s="657"/>
      <c r="F5639" s="656" t="s">
        <v>1300</v>
      </c>
      <c r="G5639" s="656" t="s">
        <v>4198</v>
      </c>
      <c r="H5639" s="656" t="s">
        <v>1300</v>
      </c>
      <c r="I5639" s="656" t="s">
        <v>14976</v>
      </c>
      <c r="J5639" s="656"/>
      <c r="K5639" s="656"/>
      <c r="L5639" s="656"/>
      <c r="M5639" s="657"/>
      <c r="N5639" s="1482"/>
      <c r="O5639" s="656" t="s">
        <v>498</v>
      </c>
      <c r="P5639" s="656" t="s">
        <v>13052</v>
      </c>
      <c r="Q5639" s="656">
        <v>44216.755844907406</v>
      </c>
    </row>
    <row r="5640" spans="1:17">
      <c r="A5640" s="656" t="s">
        <v>8183</v>
      </c>
      <c r="B5640" s="657" t="s">
        <v>504</v>
      </c>
      <c r="C5640" s="656" t="s">
        <v>8184</v>
      </c>
      <c r="D5640" s="657"/>
      <c r="E5640" s="657"/>
      <c r="F5640" s="656" t="s">
        <v>505</v>
      </c>
      <c r="G5640" s="656" t="s">
        <v>4394</v>
      </c>
      <c r="H5640" s="656" t="s">
        <v>505</v>
      </c>
      <c r="I5640" s="656"/>
      <c r="J5640" s="656"/>
      <c r="K5640" s="656"/>
      <c r="L5640" s="656"/>
      <c r="M5640" s="657"/>
      <c r="N5640" s="1482"/>
      <c r="O5640" s="656" t="s">
        <v>498</v>
      </c>
      <c r="P5640" s="656" t="s">
        <v>13052</v>
      </c>
      <c r="Q5640" s="656">
        <v>44216.755844907406</v>
      </c>
    </row>
    <row r="5641" spans="1:17">
      <c r="A5641" s="656" t="s">
        <v>8185</v>
      </c>
      <c r="B5641" s="657" t="s">
        <v>504</v>
      </c>
      <c r="C5641" s="656" t="s">
        <v>8186</v>
      </c>
      <c r="D5641" s="657"/>
      <c r="E5641" s="657"/>
      <c r="F5641" s="656" t="s">
        <v>505</v>
      </c>
      <c r="G5641" s="656" t="s">
        <v>4394</v>
      </c>
      <c r="H5641" s="656" t="s">
        <v>505</v>
      </c>
      <c r="I5641" s="656"/>
      <c r="J5641" s="656"/>
      <c r="K5641" s="656"/>
      <c r="L5641" s="656"/>
      <c r="M5641" s="657"/>
      <c r="N5641" s="1482"/>
      <c r="O5641" s="656" t="s">
        <v>498</v>
      </c>
      <c r="P5641" s="656" t="s">
        <v>13052</v>
      </c>
      <c r="Q5641" s="656">
        <v>44216.755833333336</v>
      </c>
    </row>
    <row r="5642" spans="1:17">
      <c r="A5642" s="656" t="s">
        <v>8187</v>
      </c>
      <c r="B5642" s="657" t="s">
        <v>504</v>
      </c>
      <c r="C5642" s="656" t="s">
        <v>8188</v>
      </c>
      <c r="D5642" s="657" t="s">
        <v>13789</v>
      </c>
      <c r="E5642" s="657"/>
      <c r="F5642" s="656"/>
      <c r="G5642" s="656" t="s">
        <v>4362</v>
      </c>
      <c r="H5642" s="656"/>
      <c r="I5642" s="656"/>
      <c r="J5642" s="656"/>
      <c r="K5642" s="656"/>
      <c r="L5642" s="656"/>
      <c r="M5642" s="657"/>
      <c r="N5642" s="1482"/>
      <c r="O5642" s="656" t="s">
        <v>498</v>
      </c>
      <c r="P5642" s="656" t="s">
        <v>13052</v>
      </c>
      <c r="Q5642" s="656">
        <v>44216.755833333336</v>
      </c>
    </row>
    <row r="5643" spans="1:17">
      <c r="A5643" s="656" t="s">
        <v>13151</v>
      </c>
      <c r="B5643" s="657" t="s">
        <v>202</v>
      </c>
      <c r="C5643" s="656" t="s">
        <v>13152</v>
      </c>
      <c r="D5643" s="657" t="s">
        <v>14978</v>
      </c>
      <c r="E5643" s="657"/>
      <c r="F5643" s="656" t="s">
        <v>1300</v>
      </c>
      <c r="G5643" s="656" t="s">
        <v>4198</v>
      </c>
      <c r="H5643" s="656" t="s">
        <v>1300</v>
      </c>
      <c r="I5643" s="656" t="s">
        <v>14976</v>
      </c>
      <c r="J5643" s="656"/>
      <c r="K5643" s="656"/>
      <c r="L5643" s="656" t="s">
        <v>13142</v>
      </c>
      <c r="M5643" s="657"/>
      <c r="N5643" s="1482"/>
      <c r="O5643" s="656" t="s">
        <v>498</v>
      </c>
      <c r="P5643" s="656" t="s">
        <v>13052</v>
      </c>
      <c r="Q5643" s="656">
        <v>44216.75582175926</v>
      </c>
    </row>
    <row r="5644" spans="1:17">
      <c r="A5644" s="656" t="s">
        <v>13149</v>
      </c>
      <c r="B5644" s="657" t="s">
        <v>202</v>
      </c>
      <c r="C5644" s="656" t="s">
        <v>13150</v>
      </c>
      <c r="D5644" s="657" t="s">
        <v>14978</v>
      </c>
      <c r="E5644" s="657"/>
      <c r="F5644" s="656" t="s">
        <v>1300</v>
      </c>
      <c r="G5644" s="656" t="s">
        <v>4198</v>
      </c>
      <c r="H5644" s="656" t="s">
        <v>1300</v>
      </c>
      <c r="I5644" s="656" t="s">
        <v>14976</v>
      </c>
      <c r="J5644" s="656"/>
      <c r="K5644" s="656"/>
      <c r="L5644" s="656" t="s">
        <v>13142</v>
      </c>
      <c r="M5644" s="657"/>
      <c r="N5644" s="1482"/>
      <c r="O5644" s="656" t="s">
        <v>498</v>
      </c>
      <c r="P5644" s="656" t="s">
        <v>13052</v>
      </c>
      <c r="Q5644" s="656">
        <v>44216.75582175926</v>
      </c>
    </row>
    <row r="5645" spans="1:17">
      <c r="A5645" s="656" t="s">
        <v>13144</v>
      </c>
      <c r="B5645" s="657" t="s">
        <v>202</v>
      </c>
      <c r="C5645" s="656" t="s">
        <v>13145</v>
      </c>
      <c r="D5645" s="657" t="s">
        <v>14978</v>
      </c>
      <c r="E5645" s="657"/>
      <c r="F5645" s="656" t="s">
        <v>1300</v>
      </c>
      <c r="G5645" s="656" t="s">
        <v>4198</v>
      </c>
      <c r="H5645" s="656" t="s">
        <v>1300</v>
      </c>
      <c r="I5645" s="656" t="s">
        <v>14976</v>
      </c>
      <c r="J5645" s="656"/>
      <c r="K5645" s="656"/>
      <c r="L5645" s="656" t="s">
        <v>13142</v>
      </c>
      <c r="M5645" s="657"/>
      <c r="N5645" s="1482"/>
      <c r="O5645" s="656" t="s">
        <v>498</v>
      </c>
      <c r="P5645" s="656" t="s">
        <v>13052</v>
      </c>
      <c r="Q5645" s="656">
        <v>44216.75582175926</v>
      </c>
    </row>
    <row r="5646" spans="1:17">
      <c r="A5646" s="656" t="s">
        <v>13142</v>
      </c>
      <c r="B5646" s="657" t="s">
        <v>202</v>
      </c>
      <c r="C5646" s="656" t="s">
        <v>13143</v>
      </c>
      <c r="D5646" s="657" t="s">
        <v>13789</v>
      </c>
      <c r="E5646" s="657"/>
      <c r="F5646" s="656" t="s">
        <v>1300</v>
      </c>
      <c r="G5646" s="656" t="s">
        <v>4198</v>
      </c>
      <c r="H5646" s="656" t="s">
        <v>1300</v>
      </c>
      <c r="I5646" s="656" t="s">
        <v>14976</v>
      </c>
      <c r="J5646" s="656"/>
      <c r="K5646" s="656"/>
      <c r="L5646" s="656"/>
      <c r="M5646" s="657"/>
      <c r="N5646" s="1482"/>
      <c r="O5646" s="656" t="s">
        <v>498</v>
      </c>
      <c r="P5646" s="656" t="s">
        <v>13052</v>
      </c>
      <c r="Q5646" s="656">
        <v>44216.755810185183</v>
      </c>
    </row>
    <row r="5647" spans="1:17">
      <c r="A5647" s="656" t="s">
        <v>13139</v>
      </c>
      <c r="B5647" s="657" t="s">
        <v>202</v>
      </c>
      <c r="C5647" s="656" t="s">
        <v>13140</v>
      </c>
      <c r="D5647" s="657" t="s">
        <v>13789</v>
      </c>
      <c r="E5647" s="657"/>
      <c r="F5647" s="656" t="s">
        <v>1300</v>
      </c>
      <c r="G5647" s="656" t="s">
        <v>4198</v>
      </c>
      <c r="H5647" s="656" t="s">
        <v>1300</v>
      </c>
      <c r="I5647" s="656" t="s">
        <v>14976</v>
      </c>
      <c r="J5647" s="656"/>
      <c r="K5647" s="656"/>
      <c r="L5647" s="656"/>
      <c r="M5647" s="657"/>
      <c r="N5647" s="1482"/>
      <c r="O5647" s="656" t="s">
        <v>498</v>
      </c>
      <c r="P5647" s="656" t="s">
        <v>13052</v>
      </c>
      <c r="Q5647" s="656">
        <v>44216.755810185183</v>
      </c>
    </row>
    <row r="5648" spans="1:17">
      <c r="A5648" s="656" t="s">
        <v>8189</v>
      </c>
      <c r="B5648" s="657" t="s">
        <v>504</v>
      </c>
      <c r="C5648" s="656" t="s">
        <v>8190</v>
      </c>
      <c r="D5648" s="657"/>
      <c r="E5648" s="657"/>
      <c r="F5648" s="656" t="s">
        <v>505</v>
      </c>
      <c r="G5648" s="656" t="s">
        <v>4394</v>
      </c>
      <c r="H5648" s="656" t="s">
        <v>505</v>
      </c>
      <c r="I5648" s="656"/>
      <c r="J5648" s="656"/>
      <c r="K5648" s="656"/>
      <c r="L5648" s="656"/>
      <c r="M5648" s="657"/>
      <c r="N5648" s="1482"/>
      <c r="O5648" s="656" t="s">
        <v>498</v>
      </c>
      <c r="P5648" s="656" t="s">
        <v>13052</v>
      </c>
      <c r="Q5648" s="656">
        <v>44216.755798611113</v>
      </c>
    </row>
    <row r="5649" spans="1:17">
      <c r="A5649" s="656" t="s">
        <v>8191</v>
      </c>
      <c r="B5649" s="657" t="s">
        <v>504</v>
      </c>
      <c r="C5649" s="656" t="s">
        <v>8192</v>
      </c>
      <c r="D5649" s="657"/>
      <c r="E5649" s="657"/>
      <c r="F5649" s="656" t="s">
        <v>505</v>
      </c>
      <c r="G5649" s="656" t="s">
        <v>4394</v>
      </c>
      <c r="H5649" s="656" t="s">
        <v>505</v>
      </c>
      <c r="I5649" s="656"/>
      <c r="J5649" s="656"/>
      <c r="K5649" s="656"/>
      <c r="L5649" s="656"/>
      <c r="M5649" s="657"/>
      <c r="N5649" s="1482"/>
      <c r="O5649" s="656" t="s">
        <v>498</v>
      </c>
      <c r="P5649" s="656" t="s">
        <v>13052</v>
      </c>
      <c r="Q5649" s="656">
        <v>44216.755798611113</v>
      </c>
    </row>
    <row r="5650" spans="1:17">
      <c r="A5650" s="656" t="s">
        <v>8193</v>
      </c>
      <c r="B5650" s="657" t="s">
        <v>504</v>
      </c>
      <c r="C5650" s="656" t="s">
        <v>8194</v>
      </c>
      <c r="D5650" s="657"/>
      <c r="E5650" s="657"/>
      <c r="F5650" s="656" t="s">
        <v>505</v>
      </c>
      <c r="G5650" s="656" t="s">
        <v>4394</v>
      </c>
      <c r="H5650" s="656" t="s">
        <v>505</v>
      </c>
      <c r="I5650" s="656"/>
      <c r="J5650" s="656"/>
      <c r="K5650" s="656"/>
      <c r="L5650" s="656"/>
      <c r="M5650" s="657"/>
      <c r="N5650" s="1482"/>
      <c r="O5650" s="656" t="s">
        <v>498</v>
      </c>
      <c r="P5650" s="656" t="s">
        <v>13052</v>
      </c>
      <c r="Q5650" s="656">
        <v>44216.755787037036</v>
      </c>
    </row>
    <row r="5651" spans="1:17">
      <c r="A5651" s="656" t="s">
        <v>8195</v>
      </c>
      <c r="B5651" s="657" t="s">
        <v>504</v>
      </c>
      <c r="C5651" s="656" t="s">
        <v>8196</v>
      </c>
      <c r="D5651" s="657"/>
      <c r="E5651" s="657"/>
      <c r="F5651" s="656" t="s">
        <v>505</v>
      </c>
      <c r="G5651" s="656" t="s">
        <v>4394</v>
      </c>
      <c r="H5651" s="656" t="s">
        <v>505</v>
      </c>
      <c r="I5651" s="656"/>
      <c r="J5651" s="656"/>
      <c r="K5651" s="656"/>
      <c r="L5651" s="656"/>
      <c r="M5651" s="657"/>
      <c r="N5651" s="1482"/>
      <c r="O5651" s="656" t="s">
        <v>498</v>
      </c>
      <c r="P5651" s="656" t="s">
        <v>13052</v>
      </c>
      <c r="Q5651" s="656">
        <v>44216.755787037036</v>
      </c>
    </row>
    <row r="5652" spans="1:17">
      <c r="A5652" s="656" t="s">
        <v>8197</v>
      </c>
      <c r="B5652" s="657" t="s">
        <v>504</v>
      </c>
      <c r="C5652" s="656" t="s">
        <v>8198</v>
      </c>
      <c r="D5652" s="657"/>
      <c r="E5652" s="657"/>
      <c r="F5652" s="656" t="s">
        <v>505</v>
      </c>
      <c r="G5652" s="656" t="s">
        <v>4394</v>
      </c>
      <c r="H5652" s="656" t="s">
        <v>505</v>
      </c>
      <c r="I5652" s="656"/>
      <c r="J5652" s="656"/>
      <c r="K5652" s="656"/>
      <c r="L5652" s="656"/>
      <c r="M5652" s="657"/>
      <c r="N5652" s="1482"/>
      <c r="O5652" s="656" t="s">
        <v>498</v>
      </c>
      <c r="P5652" s="656" t="s">
        <v>13052</v>
      </c>
      <c r="Q5652" s="656">
        <v>44216.75577546296</v>
      </c>
    </row>
    <row r="5653" spans="1:17">
      <c r="A5653" s="656" t="s">
        <v>8199</v>
      </c>
      <c r="B5653" s="657" t="s">
        <v>504</v>
      </c>
      <c r="C5653" s="656" t="s">
        <v>8200</v>
      </c>
      <c r="D5653" s="657"/>
      <c r="E5653" s="657"/>
      <c r="F5653" s="656" t="s">
        <v>505</v>
      </c>
      <c r="G5653" s="656" t="s">
        <v>4394</v>
      </c>
      <c r="H5653" s="656" t="s">
        <v>505</v>
      </c>
      <c r="I5653" s="656"/>
      <c r="J5653" s="656"/>
      <c r="K5653" s="656"/>
      <c r="L5653" s="656"/>
      <c r="M5653" s="657"/>
      <c r="N5653" s="1482"/>
      <c r="O5653" s="656" t="s">
        <v>498</v>
      </c>
      <c r="P5653" s="656" t="s">
        <v>13052</v>
      </c>
      <c r="Q5653" s="656">
        <v>44216.75577546296</v>
      </c>
    </row>
    <row r="5654" spans="1:17">
      <c r="A5654" s="656" t="s">
        <v>8201</v>
      </c>
      <c r="B5654" s="657" t="s">
        <v>504</v>
      </c>
      <c r="C5654" s="656" t="s">
        <v>8202</v>
      </c>
      <c r="D5654" s="657"/>
      <c r="E5654" s="657"/>
      <c r="F5654" s="656" t="s">
        <v>505</v>
      </c>
      <c r="G5654" s="656" t="s">
        <v>4394</v>
      </c>
      <c r="H5654" s="656" t="s">
        <v>505</v>
      </c>
      <c r="I5654" s="656"/>
      <c r="J5654" s="656"/>
      <c r="K5654" s="656"/>
      <c r="L5654" s="656"/>
      <c r="M5654" s="657"/>
      <c r="N5654" s="1482"/>
      <c r="O5654" s="656" t="s">
        <v>498</v>
      </c>
      <c r="P5654" s="656" t="s">
        <v>13052</v>
      </c>
      <c r="Q5654" s="656">
        <v>44216.75576388889</v>
      </c>
    </row>
    <row r="5655" spans="1:17">
      <c r="A5655" s="656" t="s">
        <v>8203</v>
      </c>
      <c r="B5655" s="657" t="s">
        <v>504</v>
      </c>
      <c r="C5655" s="656" t="s">
        <v>8204</v>
      </c>
      <c r="D5655" s="657"/>
      <c r="E5655" s="657"/>
      <c r="F5655" s="656" t="s">
        <v>505</v>
      </c>
      <c r="G5655" s="656" t="s">
        <v>4394</v>
      </c>
      <c r="H5655" s="656" t="s">
        <v>505</v>
      </c>
      <c r="I5655" s="656"/>
      <c r="J5655" s="656"/>
      <c r="K5655" s="656"/>
      <c r="L5655" s="656"/>
      <c r="M5655" s="657"/>
      <c r="N5655" s="1482"/>
      <c r="O5655" s="656" t="s">
        <v>498</v>
      </c>
      <c r="P5655" s="656" t="s">
        <v>13052</v>
      </c>
      <c r="Q5655" s="656">
        <v>44216.75576388889</v>
      </c>
    </row>
    <row r="5656" spans="1:17">
      <c r="A5656" s="656" t="s">
        <v>8205</v>
      </c>
      <c r="B5656" s="657" t="s">
        <v>504</v>
      </c>
      <c r="C5656" s="656" t="s">
        <v>8206</v>
      </c>
      <c r="D5656" s="657"/>
      <c r="E5656" s="657"/>
      <c r="F5656" s="656" t="s">
        <v>505</v>
      </c>
      <c r="G5656" s="656" t="s">
        <v>4394</v>
      </c>
      <c r="H5656" s="656" t="s">
        <v>505</v>
      </c>
      <c r="I5656" s="656"/>
      <c r="J5656" s="656"/>
      <c r="K5656" s="656"/>
      <c r="L5656" s="656"/>
      <c r="M5656" s="657"/>
      <c r="N5656" s="1482"/>
      <c r="O5656" s="656" t="s">
        <v>498</v>
      </c>
      <c r="P5656" s="656" t="s">
        <v>13052</v>
      </c>
      <c r="Q5656" s="656">
        <v>44216.75576388889</v>
      </c>
    </row>
    <row r="5657" spans="1:17">
      <c r="A5657" s="656" t="s">
        <v>8207</v>
      </c>
      <c r="B5657" s="657" t="s">
        <v>504</v>
      </c>
      <c r="C5657" s="656" t="s">
        <v>8208</v>
      </c>
      <c r="D5657" s="657"/>
      <c r="E5657" s="657"/>
      <c r="F5657" s="656" t="s">
        <v>505</v>
      </c>
      <c r="G5657" s="656" t="s">
        <v>4394</v>
      </c>
      <c r="H5657" s="656" t="s">
        <v>505</v>
      </c>
      <c r="I5657" s="656"/>
      <c r="J5657" s="656"/>
      <c r="K5657" s="656"/>
      <c r="L5657" s="656"/>
      <c r="M5657" s="657"/>
      <c r="N5657" s="1482"/>
      <c r="O5657" s="656" t="s">
        <v>498</v>
      </c>
      <c r="P5657" s="656" t="s">
        <v>13052</v>
      </c>
      <c r="Q5657" s="656">
        <v>44216.755752314813</v>
      </c>
    </row>
    <row r="5658" spans="1:17">
      <c r="A5658" s="656" t="s">
        <v>8209</v>
      </c>
      <c r="B5658" s="657" t="s">
        <v>504</v>
      </c>
      <c r="C5658" s="656" t="s">
        <v>8210</v>
      </c>
      <c r="D5658" s="657"/>
      <c r="E5658" s="657"/>
      <c r="F5658" s="656" t="s">
        <v>505</v>
      </c>
      <c r="G5658" s="656" t="s">
        <v>4394</v>
      </c>
      <c r="H5658" s="656" t="s">
        <v>505</v>
      </c>
      <c r="I5658" s="656"/>
      <c r="J5658" s="656"/>
      <c r="K5658" s="656"/>
      <c r="L5658" s="656"/>
      <c r="M5658" s="657"/>
      <c r="N5658" s="1482"/>
      <c r="O5658" s="656" t="s">
        <v>498</v>
      </c>
      <c r="P5658" s="656" t="s">
        <v>13052</v>
      </c>
      <c r="Q5658" s="656">
        <v>44216.755752314813</v>
      </c>
    </row>
    <row r="5659" spans="1:17">
      <c r="A5659" s="656" t="s">
        <v>8211</v>
      </c>
      <c r="B5659" s="657" t="s">
        <v>504</v>
      </c>
      <c r="C5659" s="656" t="s">
        <v>8212</v>
      </c>
      <c r="D5659" s="657"/>
      <c r="E5659" s="657"/>
      <c r="F5659" s="656" t="s">
        <v>505</v>
      </c>
      <c r="G5659" s="656" t="s">
        <v>4394</v>
      </c>
      <c r="H5659" s="656" t="s">
        <v>505</v>
      </c>
      <c r="I5659" s="656"/>
      <c r="J5659" s="656"/>
      <c r="K5659" s="656"/>
      <c r="L5659" s="656"/>
      <c r="M5659" s="657"/>
      <c r="N5659" s="1482"/>
      <c r="O5659" s="656" t="s">
        <v>498</v>
      </c>
      <c r="P5659" s="656" t="s">
        <v>13052</v>
      </c>
      <c r="Q5659" s="656">
        <v>44216.755740740744</v>
      </c>
    </row>
    <row r="5660" spans="1:17">
      <c r="A5660" s="656" t="s">
        <v>8213</v>
      </c>
      <c r="B5660" s="657" t="s">
        <v>504</v>
      </c>
      <c r="C5660" s="656" t="s">
        <v>8214</v>
      </c>
      <c r="D5660" s="657"/>
      <c r="E5660" s="657"/>
      <c r="F5660" s="656" t="s">
        <v>505</v>
      </c>
      <c r="G5660" s="656" t="s">
        <v>4394</v>
      </c>
      <c r="H5660" s="656" t="s">
        <v>505</v>
      </c>
      <c r="I5660" s="656"/>
      <c r="J5660" s="656"/>
      <c r="K5660" s="656"/>
      <c r="L5660" s="656"/>
      <c r="M5660" s="657"/>
      <c r="N5660" s="1482"/>
      <c r="O5660" s="656" t="s">
        <v>498</v>
      </c>
      <c r="P5660" s="656" t="s">
        <v>13052</v>
      </c>
      <c r="Q5660" s="656">
        <v>44216.755729166667</v>
      </c>
    </row>
    <row r="5661" spans="1:17">
      <c r="A5661" s="656" t="s">
        <v>8215</v>
      </c>
      <c r="B5661" s="657" t="s">
        <v>504</v>
      </c>
      <c r="C5661" s="656" t="s">
        <v>8216</v>
      </c>
      <c r="D5661" s="657"/>
      <c r="E5661" s="657"/>
      <c r="F5661" s="656" t="s">
        <v>505</v>
      </c>
      <c r="G5661" s="656" t="s">
        <v>4394</v>
      </c>
      <c r="H5661" s="656" t="s">
        <v>505</v>
      </c>
      <c r="I5661" s="656"/>
      <c r="J5661" s="656"/>
      <c r="K5661" s="656"/>
      <c r="L5661" s="656"/>
      <c r="M5661" s="657"/>
      <c r="N5661" s="1482"/>
      <c r="O5661" s="656" t="s">
        <v>498</v>
      </c>
      <c r="P5661" s="656" t="s">
        <v>13052</v>
      </c>
      <c r="Q5661" s="656">
        <v>44216.755729166667</v>
      </c>
    </row>
    <row r="5662" spans="1:17">
      <c r="A5662" s="656" t="s">
        <v>8217</v>
      </c>
      <c r="B5662" s="657" t="s">
        <v>504</v>
      </c>
      <c r="C5662" s="656" t="s">
        <v>8218</v>
      </c>
      <c r="D5662" s="657" t="s">
        <v>13789</v>
      </c>
      <c r="E5662" s="657"/>
      <c r="F5662" s="656"/>
      <c r="G5662" s="656" t="s">
        <v>5103</v>
      </c>
      <c r="H5662" s="656"/>
      <c r="I5662" s="656"/>
      <c r="J5662" s="656"/>
      <c r="K5662" s="656"/>
      <c r="L5662" s="656"/>
      <c r="M5662" s="657"/>
      <c r="N5662" s="1482"/>
      <c r="O5662" s="656" t="s">
        <v>498</v>
      </c>
      <c r="P5662" s="656" t="s">
        <v>13052</v>
      </c>
      <c r="Q5662" s="656">
        <v>44216.755729166667</v>
      </c>
    </row>
    <row r="5663" spans="1:17">
      <c r="A5663" s="656" t="s">
        <v>8219</v>
      </c>
      <c r="B5663" s="657"/>
      <c r="C5663" s="656" t="s">
        <v>8220</v>
      </c>
      <c r="D5663" s="657" t="s">
        <v>14978</v>
      </c>
      <c r="E5663" s="657"/>
      <c r="F5663" s="656"/>
      <c r="G5663" s="656" t="s">
        <v>5103</v>
      </c>
      <c r="H5663" s="656"/>
      <c r="I5663" s="656" t="s">
        <v>14976</v>
      </c>
      <c r="J5663" s="656"/>
      <c r="K5663" s="656"/>
      <c r="L5663" s="656" t="s">
        <v>8221</v>
      </c>
      <c r="M5663" s="657"/>
      <c r="N5663" s="1482"/>
      <c r="O5663" s="656" t="s">
        <v>498</v>
      </c>
      <c r="P5663" s="656" t="s">
        <v>13052</v>
      </c>
      <c r="Q5663" s="656">
        <v>44216.75571759259</v>
      </c>
    </row>
    <row r="5664" spans="1:17">
      <c r="A5664" s="656" t="s">
        <v>8221</v>
      </c>
      <c r="B5664" s="657" t="s">
        <v>504</v>
      </c>
      <c r="C5664" s="656" t="s">
        <v>8222</v>
      </c>
      <c r="D5664" s="657" t="s">
        <v>13789</v>
      </c>
      <c r="E5664" s="657"/>
      <c r="F5664" s="656"/>
      <c r="G5664" s="656" t="s">
        <v>5103</v>
      </c>
      <c r="H5664" s="656"/>
      <c r="I5664" s="656"/>
      <c r="J5664" s="656"/>
      <c r="K5664" s="656"/>
      <c r="L5664" s="656"/>
      <c r="M5664" s="657"/>
      <c r="N5664" s="1482"/>
      <c r="O5664" s="656" t="s">
        <v>498</v>
      </c>
      <c r="P5664" s="656" t="s">
        <v>13052</v>
      </c>
      <c r="Q5664" s="656">
        <v>44216.75571759259</v>
      </c>
    </row>
    <row r="5665" spans="1:17">
      <c r="A5665" s="656" t="s">
        <v>8223</v>
      </c>
      <c r="B5665" s="657" t="s">
        <v>504</v>
      </c>
      <c r="C5665" s="656" t="s">
        <v>8224</v>
      </c>
      <c r="D5665" s="657"/>
      <c r="E5665" s="657"/>
      <c r="F5665" s="656" t="s">
        <v>505</v>
      </c>
      <c r="G5665" s="656" t="s">
        <v>4324</v>
      </c>
      <c r="H5665" s="656" t="s">
        <v>505</v>
      </c>
      <c r="I5665" s="656"/>
      <c r="J5665" s="656"/>
      <c r="K5665" s="656"/>
      <c r="L5665" s="656"/>
      <c r="M5665" s="657"/>
      <c r="N5665" s="1482"/>
      <c r="O5665" s="656" t="s">
        <v>498</v>
      </c>
      <c r="P5665" s="656" t="s">
        <v>13052</v>
      </c>
      <c r="Q5665" s="656">
        <v>44216.755706018521</v>
      </c>
    </row>
    <row r="5666" spans="1:17">
      <c r="A5666" s="656" t="s">
        <v>8225</v>
      </c>
      <c r="B5666" s="657" t="s">
        <v>504</v>
      </c>
      <c r="C5666" s="656" t="s">
        <v>8226</v>
      </c>
      <c r="D5666" s="657" t="s">
        <v>13789</v>
      </c>
      <c r="E5666" s="657"/>
      <c r="F5666" s="656"/>
      <c r="G5666" s="656" t="s">
        <v>5103</v>
      </c>
      <c r="H5666" s="656"/>
      <c r="I5666" s="656"/>
      <c r="J5666" s="656"/>
      <c r="K5666" s="656"/>
      <c r="L5666" s="656"/>
      <c r="M5666" s="657"/>
      <c r="N5666" s="1482"/>
      <c r="O5666" s="656" t="s">
        <v>498</v>
      </c>
      <c r="P5666" s="656" t="s">
        <v>13052</v>
      </c>
      <c r="Q5666" s="656">
        <v>44216.755706018521</v>
      </c>
    </row>
    <row r="5667" spans="1:17">
      <c r="A5667" s="656" t="s">
        <v>8227</v>
      </c>
      <c r="B5667" s="657" t="s">
        <v>504</v>
      </c>
      <c r="C5667" s="656" t="s">
        <v>8228</v>
      </c>
      <c r="D5667" s="657"/>
      <c r="E5667" s="657"/>
      <c r="F5667" s="656" t="s">
        <v>505</v>
      </c>
      <c r="G5667" s="656" t="s">
        <v>4394</v>
      </c>
      <c r="H5667" s="656" t="s">
        <v>505</v>
      </c>
      <c r="I5667" s="656"/>
      <c r="J5667" s="656"/>
      <c r="K5667" s="656"/>
      <c r="L5667" s="656"/>
      <c r="M5667" s="657"/>
      <c r="N5667" s="1482"/>
      <c r="O5667" s="656" t="s">
        <v>498</v>
      </c>
      <c r="P5667" s="656" t="s">
        <v>13052</v>
      </c>
      <c r="Q5667" s="656">
        <v>44216.755694444444</v>
      </c>
    </row>
    <row r="5668" spans="1:17">
      <c r="A5668" s="656" t="s">
        <v>8229</v>
      </c>
      <c r="B5668" s="657" t="s">
        <v>504</v>
      </c>
      <c r="C5668" s="656" t="s">
        <v>8230</v>
      </c>
      <c r="D5668" s="657"/>
      <c r="E5668" s="657"/>
      <c r="F5668" s="656" t="s">
        <v>505</v>
      </c>
      <c r="G5668" s="656" t="s">
        <v>4324</v>
      </c>
      <c r="H5668" s="656" t="s">
        <v>505</v>
      </c>
      <c r="I5668" s="656"/>
      <c r="J5668" s="656"/>
      <c r="K5668" s="656"/>
      <c r="L5668" s="656"/>
      <c r="M5668" s="657"/>
      <c r="N5668" s="1482"/>
      <c r="O5668" s="656" t="s">
        <v>498</v>
      </c>
      <c r="P5668" s="656" t="s">
        <v>13052</v>
      </c>
      <c r="Q5668" s="656">
        <v>44216.755694444444</v>
      </c>
    </row>
    <row r="5669" spans="1:17">
      <c r="A5669" s="656" t="s">
        <v>8231</v>
      </c>
      <c r="B5669" s="657" t="s">
        <v>504</v>
      </c>
      <c r="C5669" s="656" t="s">
        <v>8232</v>
      </c>
      <c r="D5669" s="657"/>
      <c r="E5669" s="657"/>
      <c r="F5669" s="656" t="s">
        <v>505</v>
      </c>
      <c r="G5669" s="656" t="s">
        <v>4324</v>
      </c>
      <c r="H5669" s="656" t="s">
        <v>505</v>
      </c>
      <c r="I5669" s="656"/>
      <c r="J5669" s="656"/>
      <c r="K5669" s="656"/>
      <c r="L5669" s="656"/>
      <c r="M5669" s="657"/>
      <c r="N5669" s="1482"/>
      <c r="O5669" s="656" t="s">
        <v>498</v>
      </c>
      <c r="P5669" s="656" t="s">
        <v>13052</v>
      </c>
      <c r="Q5669" s="656">
        <v>44216.755682870367</v>
      </c>
    </row>
    <row r="5670" spans="1:17">
      <c r="A5670" s="656" t="s">
        <v>8233</v>
      </c>
      <c r="B5670" s="657" t="s">
        <v>504</v>
      </c>
      <c r="C5670" s="656" t="s">
        <v>8234</v>
      </c>
      <c r="D5670" s="657"/>
      <c r="E5670" s="657"/>
      <c r="F5670" s="656" t="s">
        <v>505</v>
      </c>
      <c r="G5670" s="656" t="s">
        <v>4324</v>
      </c>
      <c r="H5670" s="656" t="s">
        <v>505</v>
      </c>
      <c r="I5670" s="656"/>
      <c r="J5670" s="656"/>
      <c r="K5670" s="656"/>
      <c r="L5670" s="656"/>
      <c r="M5670" s="657"/>
      <c r="N5670" s="1482"/>
      <c r="O5670" s="656" t="s">
        <v>498</v>
      </c>
      <c r="P5670" s="656" t="s">
        <v>13052</v>
      </c>
      <c r="Q5670" s="656">
        <v>44216.755682870367</v>
      </c>
    </row>
    <row r="5671" spans="1:17">
      <c r="A5671" s="656" t="s">
        <v>8235</v>
      </c>
      <c r="B5671" s="657" t="s">
        <v>504</v>
      </c>
      <c r="C5671" s="656" t="s">
        <v>8236</v>
      </c>
      <c r="D5671" s="657" t="s">
        <v>13789</v>
      </c>
      <c r="E5671" s="657"/>
      <c r="F5671" s="656"/>
      <c r="G5671" s="656" t="s">
        <v>5103</v>
      </c>
      <c r="H5671" s="656"/>
      <c r="I5671" s="656"/>
      <c r="J5671" s="656"/>
      <c r="K5671" s="656"/>
      <c r="L5671" s="656"/>
      <c r="M5671" s="657"/>
      <c r="N5671" s="1482"/>
      <c r="O5671" s="656" t="s">
        <v>498</v>
      </c>
      <c r="P5671" s="656" t="s">
        <v>13052</v>
      </c>
      <c r="Q5671" s="656">
        <v>44216.755671296298</v>
      </c>
    </row>
    <row r="5672" spans="1:17">
      <c r="A5672" s="656" t="s">
        <v>8237</v>
      </c>
      <c r="B5672" s="657" t="s">
        <v>504</v>
      </c>
      <c r="C5672" s="656" t="s">
        <v>8238</v>
      </c>
      <c r="D5672" s="657" t="s">
        <v>13789</v>
      </c>
      <c r="E5672" s="657"/>
      <c r="F5672" s="656"/>
      <c r="G5672" s="656" t="s">
        <v>5103</v>
      </c>
      <c r="H5672" s="656"/>
      <c r="I5672" s="656"/>
      <c r="J5672" s="656"/>
      <c r="K5672" s="656"/>
      <c r="L5672" s="656"/>
      <c r="M5672" s="657"/>
      <c r="N5672" s="1482"/>
      <c r="O5672" s="656" t="s">
        <v>498</v>
      </c>
      <c r="P5672" s="656" t="s">
        <v>13052</v>
      </c>
      <c r="Q5672" s="656">
        <v>44216.755671296298</v>
      </c>
    </row>
    <row r="5673" spans="1:17">
      <c r="A5673" s="656" t="s">
        <v>8239</v>
      </c>
      <c r="B5673" s="657" t="s">
        <v>504</v>
      </c>
      <c r="C5673" s="656" t="s">
        <v>8240</v>
      </c>
      <c r="D5673" s="657" t="s">
        <v>13789</v>
      </c>
      <c r="E5673" s="657"/>
      <c r="F5673" s="656"/>
      <c r="G5673" s="656" t="s">
        <v>5103</v>
      </c>
      <c r="H5673" s="656"/>
      <c r="I5673" s="656"/>
      <c r="J5673" s="656"/>
      <c r="K5673" s="656"/>
      <c r="L5673" s="656"/>
      <c r="M5673" s="657"/>
      <c r="N5673" s="1482"/>
      <c r="O5673" s="656" t="s">
        <v>498</v>
      </c>
      <c r="P5673" s="656" t="s">
        <v>13052</v>
      </c>
      <c r="Q5673" s="656">
        <v>44216.755671296298</v>
      </c>
    </row>
    <row r="5674" spans="1:17">
      <c r="A5674" s="656" t="s">
        <v>8241</v>
      </c>
      <c r="B5674" s="657" t="s">
        <v>504</v>
      </c>
      <c r="C5674" s="656" t="s">
        <v>8242</v>
      </c>
      <c r="D5674" s="657"/>
      <c r="E5674" s="657"/>
      <c r="F5674" s="656" t="s">
        <v>505</v>
      </c>
      <c r="G5674" s="656" t="s">
        <v>4394</v>
      </c>
      <c r="H5674" s="656" t="s">
        <v>505</v>
      </c>
      <c r="I5674" s="656"/>
      <c r="J5674" s="656"/>
      <c r="K5674" s="656"/>
      <c r="L5674" s="656"/>
      <c r="M5674" s="657"/>
      <c r="N5674" s="1482"/>
      <c r="O5674" s="656" t="s">
        <v>498</v>
      </c>
      <c r="P5674" s="656" t="s">
        <v>13052</v>
      </c>
      <c r="Q5674" s="656">
        <v>44216.755659722221</v>
      </c>
    </row>
    <row r="5675" spans="1:17">
      <c r="A5675" s="656" t="s">
        <v>8243</v>
      </c>
      <c r="B5675" s="657" t="s">
        <v>504</v>
      </c>
      <c r="C5675" s="656" t="s">
        <v>8244</v>
      </c>
      <c r="D5675" s="657"/>
      <c r="E5675" s="657"/>
      <c r="F5675" s="656" t="s">
        <v>505</v>
      </c>
      <c r="G5675" s="656" t="s">
        <v>4394</v>
      </c>
      <c r="H5675" s="656" t="s">
        <v>505</v>
      </c>
      <c r="I5675" s="656"/>
      <c r="J5675" s="656"/>
      <c r="K5675" s="656"/>
      <c r="L5675" s="656"/>
      <c r="M5675" s="657"/>
      <c r="N5675" s="1482"/>
      <c r="O5675" s="656" t="s">
        <v>498</v>
      </c>
      <c r="P5675" s="656" t="s">
        <v>13052</v>
      </c>
      <c r="Q5675" s="656">
        <v>44216.755659722221</v>
      </c>
    </row>
    <row r="5676" spans="1:17">
      <c r="A5676" s="656" t="s">
        <v>8245</v>
      </c>
      <c r="B5676" s="657" t="s">
        <v>504</v>
      </c>
      <c r="C5676" s="656" t="s">
        <v>8246</v>
      </c>
      <c r="D5676" s="657"/>
      <c r="E5676" s="657"/>
      <c r="F5676" s="656" t="s">
        <v>505</v>
      </c>
      <c r="G5676" s="656" t="s">
        <v>4394</v>
      </c>
      <c r="H5676" s="656" t="s">
        <v>505</v>
      </c>
      <c r="I5676" s="656"/>
      <c r="J5676" s="656"/>
      <c r="K5676" s="656"/>
      <c r="L5676" s="656"/>
      <c r="M5676" s="657"/>
      <c r="N5676" s="1482"/>
      <c r="O5676" s="656" t="s">
        <v>498</v>
      </c>
      <c r="P5676" s="656" t="s">
        <v>13052</v>
      </c>
      <c r="Q5676" s="656">
        <v>44216.755648148152</v>
      </c>
    </row>
    <row r="5677" spans="1:17">
      <c r="A5677" s="656" t="s">
        <v>8247</v>
      </c>
      <c r="B5677" s="657" t="s">
        <v>504</v>
      </c>
      <c r="C5677" s="656" t="s">
        <v>8248</v>
      </c>
      <c r="D5677" s="657" t="s">
        <v>13789</v>
      </c>
      <c r="E5677" s="657"/>
      <c r="F5677" s="656"/>
      <c r="G5677" s="656" t="s">
        <v>5103</v>
      </c>
      <c r="H5677" s="656"/>
      <c r="I5677" s="656"/>
      <c r="J5677" s="656"/>
      <c r="K5677" s="656"/>
      <c r="L5677" s="656"/>
      <c r="M5677" s="657"/>
      <c r="N5677" s="1482"/>
      <c r="O5677" s="656" t="s">
        <v>498</v>
      </c>
      <c r="P5677" s="656" t="s">
        <v>13052</v>
      </c>
      <c r="Q5677" s="656">
        <v>44216.755648148152</v>
      </c>
    </row>
    <row r="5678" spans="1:17">
      <c r="A5678" s="656" t="s">
        <v>8249</v>
      </c>
      <c r="B5678" s="657" t="s">
        <v>504</v>
      </c>
      <c r="C5678" s="656" t="s">
        <v>8250</v>
      </c>
      <c r="D5678" s="657"/>
      <c r="E5678" s="657"/>
      <c r="F5678" s="656" t="s">
        <v>505</v>
      </c>
      <c r="G5678" s="656" t="s">
        <v>4324</v>
      </c>
      <c r="H5678" s="656" t="s">
        <v>505</v>
      </c>
      <c r="I5678" s="656"/>
      <c r="J5678" s="656"/>
      <c r="K5678" s="656"/>
      <c r="L5678" s="656"/>
      <c r="M5678" s="657"/>
      <c r="N5678" s="1482"/>
      <c r="O5678" s="656" t="s">
        <v>498</v>
      </c>
      <c r="P5678" s="656" t="s">
        <v>13052</v>
      </c>
      <c r="Q5678" s="656">
        <v>44216.755648148152</v>
      </c>
    </row>
    <row r="5679" spans="1:17">
      <c r="A5679" s="656" t="s">
        <v>8251</v>
      </c>
      <c r="B5679" s="657" t="s">
        <v>504</v>
      </c>
      <c r="C5679" s="656" t="s">
        <v>8252</v>
      </c>
      <c r="D5679" s="657"/>
      <c r="E5679" s="657"/>
      <c r="F5679" s="656" t="s">
        <v>505</v>
      </c>
      <c r="G5679" s="656" t="s">
        <v>4324</v>
      </c>
      <c r="H5679" s="656" t="s">
        <v>505</v>
      </c>
      <c r="I5679" s="656"/>
      <c r="J5679" s="656"/>
      <c r="K5679" s="656"/>
      <c r="L5679" s="656"/>
      <c r="M5679" s="657"/>
      <c r="N5679" s="1482"/>
      <c r="O5679" s="656" t="s">
        <v>498</v>
      </c>
      <c r="P5679" s="656" t="s">
        <v>13052</v>
      </c>
      <c r="Q5679" s="656">
        <v>44216.755636574075</v>
      </c>
    </row>
    <row r="5680" spans="1:17">
      <c r="A5680" s="656" t="s">
        <v>8253</v>
      </c>
      <c r="B5680" s="657" t="s">
        <v>504</v>
      </c>
      <c r="C5680" s="656" t="s">
        <v>8254</v>
      </c>
      <c r="D5680" s="657"/>
      <c r="E5680" s="657"/>
      <c r="F5680" s="656" t="s">
        <v>505</v>
      </c>
      <c r="G5680" s="656" t="s">
        <v>4324</v>
      </c>
      <c r="H5680" s="656" t="s">
        <v>505</v>
      </c>
      <c r="I5680" s="656"/>
      <c r="J5680" s="656"/>
      <c r="K5680" s="656"/>
      <c r="L5680" s="656"/>
      <c r="M5680" s="657"/>
      <c r="N5680" s="1482"/>
      <c r="O5680" s="656" t="s">
        <v>498</v>
      </c>
      <c r="P5680" s="656" t="s">
        <v>13052</v>
      </c>
      <c r="Q5680" s="656">
        <v>44216.755636574075</v>
      </c>
    </row>
    <row r="5681" spans="1:17">
      <c r="A5681" s="656" t="s">
        <v>8255</v>
      </c>
      <c r="B5681" s="657" t="s">
        <v>504</v>
      </c>
      <c r="C5681" s="656" t="s">
        <v>8256</v>
      </c>
      <c r="D5681" s="657"/>
      <c r="E5681" s="657"/>
      <c r="F5681" s="656" t="s">
        <v>505</v>
      </c>
      <c r="G5681" s="656" t="s">
        <v>4324</v>
      </c>
      <c r="H5681" s="656" t="s">
        <v>505</v>
      </c>
      <c r="I5681" s="656"/>
      <c r="J5681" s="656"/>
      <c r="K5681" s="656"/>
      <c r="L5681" s="656"/>
      <c r="M5681" s="657"/>
      <c r="N5681" s="1482"/>
      <c r="O5681" s="656" t="s">
        <v>498</v>
      </c>
      <c r="P5681" s="656" t="s">
        <v>13052</v>
      </c>
      <c r="Q5681" s="656">
        <v>44216.755624999998</v>
      </c>
    </row>
    <row r="5682" spans="1:17">
      <c r="A5682" s="656" t="s">
        <v>8257</v>
      </c>
      <c r="B5682" s="657" t="s">
        <v>504</v>
      </c>
      <c r="C5682" s="656" t="s">
        <v>8258</v>
      </c>
      <c r="D5682" s="657"/>
      <c r="E5682" s="657"/>
      <c r="F5682" s="656" t="s">
        <v>505</v>
      </c>
      <c r="G5682" s="656" t="s">
        <v>4324</v>
      </c>
      <c r="H5682" s="656" t="s">
        <v>505</v>
      </c>
      <c r="I5682" s="656"/>
      <c r="J5682" s="656"/>
      <c r="K5682" s="656"/>
      <c r="L5682" s="656"/>
      <c r="M5682" s="657"/>
      <c r="N5682" s="1482"/>
      <c r="O5682" s="656" t="s">
        <v>498</v>
      </c>
      <c r="P5682" s="656" t="s">
        <v>13052</v>
      </c>
      <c r="Q5682" s="656">
        <v>44216.755624999998</v>
      </c>
    </row>
    <row r="5683" spans="1:17">
      <c r="A5683" s="656" t="s">
        <v>8259</v>
      </c>
      <c r="B5683" s="657" t="s">
        <v>504</v>
      </c>
      <c r="C5683" s="656" t="s">
        <v>8260</v>
      </c>
      <c r="D5683" s="657"/>
      <c r="E5683" s="657"/>
      <c r="F5683" s="656" t="s">
        <v>505</v>
      </c>
      <c r="G5683" s="656" t="s">
        <v>4324</v>
      </c>
      <c r="H5683" s="656" t="s">
        <v>505</v>
      </c>
      <c r="I5683" s="656"/>
      <c r="J5683" s="656"/>
      <c r="K5683" s="656"/>
      <c r="L5683" s="656"/>
      <c r="M5683" s="657"/>
      <c r="N5683" s="1482"/>
      <c r="O5683" s="656" t="s">
        <v>498</v>
      </c>
      <c r="P5683" s="656" t="s">
        <v>13052</v>
      </c>
      <c r="Q5683" s="656">
        <v>44216.755613425928</v>
      </c>
    </row>
    <row r="5684" spans="1:17">
      <c r="A5684" s="656" t="s">
        <v>8261</v>
      </c>
      <c r="B5684" s="657" t="s">
        <v>504</v>
      </c>
      <c r="C5684" s="656" t="s">
        <v>8262</v>
      </c>
      <c r="D5684" s="657" t="s">
        <v>13789</v>
      </c>
      <c r="E5684" s="657"/>
      <c r="F5684" s="656"/>
      <c r="G5684" s="656" t="s">
        <v>5103</v>
      </c>
      <c r="H5684" s="656"/>
      <c r="I5684" s="656"/>
      <c r="J5684" s="656"/>
      <c r="K5684" s="656"/>
      <c r="L5684" s="656"/>
      <c r="M5684" s="657"/>
      <c r="N5684" s="1482"/>
      <c r="O5684" s="656" t="s">
        <v>498</v>
      </c>
      <c r="P5684" s="656" t="s">
        <v>13052</v>
      </c>
      <c r="Q5684" s="656">
        <v>44216.755613425928</v>
      </c>
    </row>
    <row r="5685" spans="1:17">
      <c r="A5685" s="656" t="s">
        <v>14223</v>
      </c>
      <c r="B5685" s="657" t="s">
        <v>202</v>
      </c>
      <c r="C5685" s="656" t="s">
        <v>14224</v>
      </c>
      <c r="D5685" s="657" t="s">
        <v>14978</v>
      </c>
      <c r="E5685" s="657"/>
      <c r="F5685" s="656" t="s">
        <v>1300</v>
      </c>
      <c r="G5685" s="656" t="s">
        <v>4198</v>
      </c>
      <c r="H5685" s="656" t="s">
        <v>1300</v>
      </c>
      <c r="I5685" s="656" t="s">
        <v>14976</v>
      </c>
      <c r="J5685" s="656"/>
      <c r="K5685" s="656"/>
      <c r="L5685" s="656" t="s">
        <v>14173</v>
      </c>
      <c r="M5685" s="657"/>
      <c r="N5685" s="1482"/>
      <c r="O5685" s="656" t="s">
        <v>498</v>
      </c>
      <c r="P5685" s="656" t="s">
        <v>13052</v>
      </c>
      <c r="Q5685" s="656">
        <v>44216.755601851852</v>
      </c>
    </row>
    <row r="5686" spans="1:17">
      <c r="A5686" s="656" t="s">
        <v>14211</v>
      </c>
      <c r="B5686" s="657" t="s">
        <v>202</v>
      </c>
      <c r="C5686" s="656" t="s">
        <v>14212</v>
      </c>
      <c r="D5686" s="657" t="s">
        <v>14978</v>
      </c>
      <c r="E5686" s="657"/>
      <c r="F5686" s="656" t="s">
        <v>1300</v>
      </c>
      <c r="G5686" s="656" t="s">
        <v>4198</v>
      </c>
      <c r="H5686" s="656" t="s">
        <v>1300</v>
      </c>
      <c r="I5686" s="656" t="s">
        <v>14976</v>
      </c>
      <c r="J5686" s="656"/>
      <c r="K5686" s="656"/>
      <c r="L5686" s="656" t="s">
        <v>14173</v>
      </c>
      <c r="M5686" s="657"/>
      <c r="N5686" s="1482"/>
      <c r="O5686" s="656" t="s">
        <v>498</v>
      </c>
      <c r="P5686" s="656" t="s">
        <v>13052</v>
      </c>
      <c r="Q5686" s="656">
        <v>44216.755601851852</v>
      </c>
    </row>
    <row r="5687" spans="1:17">
      <c r="A5687" s="656" t="s">
        <v>14205</v>
      </c>
      <c r="B5687" s="657" t="s">
        <v>202</v>
      </c>
      <c r="C5687" s="656" t="s">
        <v>14206</v>
      </c>
      <c r="D5687" s="657" t="s">
        <v>14978</v>
      </c>
      <c r="E5687" s="657"/>
      <c r="F5687" s="656" t="s">
        <v>1300</v>
      </c>
      <c r="G5687" s="656" t="s">
        <v>4198</v>
      </c>
      <c r="H5687" s="656" t="s">
        <v>1300</v>
      </c>
      <c r="I5687" s="656" t="s">
        <v>14976</v>
      </c>
      <c r="J5687" s="656"/>
      <c r="K5687" s="656"/>
      <c r="L5687" s="656" t="s">
        <v>14173</v>
      </c>
      <c r="M5687" s="657"/>
      <c r="N5687" s="1482"/>
      <c r="O5687" s="656" t="s">
        <v>498</v>
      </c>
      <c r="P5687" s="656" t="s">
        <v>13052</v>
      </c>
      <c r="Q5687" s="656">
        <v>44216.755590277775</v>
      </c>
    </row>
    <row r="5688" spans="1:17">
      <c r="A5688" s="656" t="s">
        <v>8263</v>
      </c>
      <c r="B5688" s="657" t="s">
        <v>504</v>
      </c>
      <c r="C5688" s="656" t="s">
        <v>8264</v>
      </c>
      <c r="D5688" s="657"/>
      <c r="E5688" s="657"/>
      <c r="F5688" s="656" t="s">
        <v>505</v>
      </c>
      <c r="G5688" s="656" t="s">
        <v>4324</v>
      </c>
      <c r="H5688" s="656" t="s">
        <v>505</v>
      </c>
      <c r="I5688" s="656"/>
      <c r="J5688" s="656"/>
      <c r="K5688" s="656"/>
      <c r="L5688" s="656"/>
      <c r="M5688" s="657"/>
      <c r="N5688" s="1482"/>
      <c r="O5688" s="656" t="s">
        <v>498</v>
      </c>
      <c r="P5688" s="656" t="s">
        <v>13052</v>
      </c>
      <c r="Q5688" s="656">
        <v>44216.755590277775</v>
      </c>
    </row>
    <row r="5689" spans="1:17">
      <c r="A5689" s="656" t="s">
        <v>14199</v>
      </c>
      <c r="B5689" s="657" t="s">
        <v>202</v>
      </c>
      <c r="C5689" s="656" t="s">
        <v>14200</v>
      </c>
      <c r="D5689" s="657" t="s">
        <v>14978</v>
      </c>
      <c r="E5689" s="657"/>
      <c r="F5689" s="656" t="s">
        <v>1300</v>
      </c>
      <c r="G5689" s="656" t="s">
        <v>4198</v>
      </c>
      <c r="H5689" s="656" t="s">
        <v>1300</v>
      </c>
      <c r="I5689" s="656" t="s">
        <v>14976</v>
      </c>
      <c r="J5689" s="656"/>
      <c r="K5689" s="656"/>
      <c r="L5689" s="656" t="s">
        <v>14173</v>
      </c>
      <c r="M5689" s="657"/>
      <c r="N5689" s="1482"/>
      <c r="O5689" s="656" t="s">
        <v>498</v>
      </c>
      <c r="P5689" s="656" t="s">
        <v>13052</v>
      </c>
      <c r="Q5689" s="656">
        <v>44216.755578703705</v>
      </c>
    </row>
    <row r="5690" spans="1:17">
      <c r="A5690" s="656" t="s">
        <v>14197</v>
      </c>
      <c r="B5690" s="657" t="s">
        <v>202</v>
      </c>
      <c r="C5690" s="656" t="s">
        <v>14198</v>
      </c>
      <c r="D5690" s="657" t="s">
        <v>14978</v>
      </c>
      <c r="E5690" s="657"/>
      <c r="F5690" s="656" t="s">
        <v>1300</v>
      </c>
      <c r="G5690" s="656" t="s">
        <v>4198</v>
      </c>
      <c r="H5690" s="656" t="s">
        <v>1300</v>
      </c>
      <c r="I5690" s="656" t="s">
        <v>14976</v>
      </c>
      <c r="J5690" s="656"/>
      <c r="K5690" s="656"/>
      <c r="L5690" s="656" t="s">
        <v>14173</v>
      </c>
      <c r="M5690" s="657"/>
      <c r="N5690" s="1482"/>
      <c r="O5690" s="656" t="s">
        <v>498</v>
      </c>
      <c r="P5690" s="656" t="s">
        <v>13052</v>
      </c>
      <c r="Q5690" s="656">
        <v>44216.755578703705</v>
      </c>
    </row>
    <row r="5691" spans="1:17">
      <c r="A5691" s="656" t="s">
        <v>14177</v>
      </c>
      <c r="B5691" s="657" t="s">
        <v>202</v>
      </c>
      <c r="C5691" s="656" t="s">
        <v>14178</v>
      </c>
      <c r="D5691" s="657" t="s">
        <v>14978</v>
      </c>
      <c r="E5691" s="657"/>
      <c r="F5691" s="656" t="s">
        <v>1300</v>
      </c>
      <c r="G5691" s="656" t="s">
        <v>4198</v>
      </c>
      <c r="H5691" s="656" t="s">
        <v>1300</v>
      </c>
      <c r="I5691" s="656" t="s">
        <v>14976</v>
      </c>
      <c r="J5691" s="656"/>
      <c r="K5691" s="656"/>
      <c r="L5691" s="656" t="s">
        <v>14173</v>
      </c>
      <c r="M5691" s="657"/>
      <c r="N5691" s="1482"/>
      <c r="O5691" s="656" t="s">
        <v>498</v>
      </c>
      <c r="P5691" s="656" t="s">
        <v>13052</v>
      </c>
      <c r="Q5691" s="656">
        <v>44216.755567129629</v>
      </c>
    </row>
    <row r="5692" spans="1:17">
      <c r="A5692" s="656" t="s">
        <v>14173</v>
      </c>
      <c r="B5692" s="657" t="s">
        <v>202</v>
      </c>
      <c r="C5692" s="656" t="s">
        <v>14174</v>
      </c>
      <c r="D5692" s="657" t="s">
        <v>13789</v>
      </c>
      <c r="E5692" s="657"/>
      <c r="F5692" s="656" t="s">
        <v>1300</v>
      </c>
      <c r="G5692" s="656" t="s">
        <v>4198</v>
      </c>
      <c r="H5692" s="656" t="s">
        <v>1300</v>
      </c>
      <c r="I5692" s="656" t="s">
        <v>14976</v>
      </c>
      <c r="J5692" s="656"/>
      <c r="K5692" s="656"/>
      <c r="L5692" s="656"/>
      <c r="M5692" s="657"/>
      <c r="N5692" s="1482"/>
      <c r="O5692" s="656" t="s">
        <v>498</v>
      </c>
      <c r="P5692" s="656" t="s">
        <v>13052</v>
      </c>
      <c r="Q5692" s="656">
        <v>44216.755578703705</v>
      </c>
    </row>
    <row r="5693" spans="1:17">
      <c r="A5693" s="656" t="s">
        <v>8265</v>
      </c>
      <c r="B5693" s="657" t="s">
        <v>504</v>
      </c>
      <c r="C5693" s="656" t="s">
        <v>8266</v>
      </c>
      <c r="D5693" s="657"/>
      <c r="E5693" s="657"/>
      <c r="F5693" s="656" t="s">
        <v>505</v>
      </c>
      <c r="G5693" s="656" t="s">
        <v>4394</v>
      </c>
      <c r="H5693" s="656" t="s">
        <v>505</v>
      </c>
      <c r="I5693" s="656"/>
      <c r="J5693" s="656"/>
      <c r="K5693" s="656"/>
      <c r="L5693" s="656"/>
      <c r="M5693" s="657"/>
      <c r="N5693" s="1482"/>
      <c r="O5693" s="656" t="s">
        <v>498</v>
      </c>
      <c r="P5693" s="656" t="s">
        <v>13052</v>
      </c>
      <c r="Q5693" s="656">
        <v>44216.755567129629</v>
      </c>
    </row>
    <row r="5694" spans="1:17">
      <c r="A5694" s="656" t="s">
        <v>8267</v>
      </c>
      <c r="B5694" s="657" t="s">
        <v>504</v>
      </c>
      <c r="C5694" s="656" t="s">
        <v>8268</v>
      </c>
      <c r="D5694" s="657"/>
      <c r="E5694" s="657"/>
      <c r="F5694" s="656" t="s">
        <v>505</v>
      </c>
      <c r="G5694" s="656" t="s">
        <v>4394</v>
      </c>
      <c r="H5694" s="656" t="s">
        <v>505</v>
      </c>
      <c r="I5694" s="656"/>
      <c r="J5694" s="656"/>
      <c r="K5694" s="656"/>
      <c r="L5694" s="656"/>
      <c r="M5694" s="657"/>
      <c r="N5694" s="1482"/>
      <c r="O5694" s="656" t="s">
        <v>498</v>
      </c>
      <c r="P5694" s="656" t="s">
        <v>13052</v>
      </c>
      <c r="Q5694" s="656">
        <v>44216.755555555559</v>
      </c>
    </row>
    <row r="5695" spans="1:17">
      <c r="A5695" s="656" t="s">
        <v>8269</v>
      </c>
      <c r="B5695" s="657" t="s">
        <v>504</v>
      </c>
      <c r="C5695" s="656" t="s">
        <v>8270</v>
      </c>
      <c r="D5695" s="657"/>
      <c r="E5695" s="657"/>
      <c r="F5695" s="656" t="s">
        <v>505</v>
      </c>
      <c r="G5695" s="656" t="s">
        <v>4394</v>
      </c>
      <c r="H5695" s="656" t="s">
        <v>505</v>
      </c>
      <c r="I5695" s="656"/>
      <c r="J5695" s="656"/>
      <c r="K5695" s="656"/>
      <c r="L5695" s="656"/>
      <c r="M5695" s="657"/>
      <c r="N5695" s="1482"/>
      <c r="O5695" s="656" t="s">
        <v>498</v>
      </c>
      <c r="P5695" s="656" t="s">
        <v>13052</v>
      </c>
      <c r="Q5695" s="656">
        <v>44216.755555555559</v>
      </c>
    </row>
    <row r="5696" spans="1:17">
      <c r="A5696" s="656" t="s">
        <v>8271</v>
      </c>
      <c r="B5696" s="657" t="s">
        <v>504</v>
      </c>
      <c r="C5696" s="656" t="s">
        <v>8272</v>
      </c>
      <c r="D5696" s="657"/>
      <c r="E5696" s="657"/>
      <c r="F5696" s="656" t="s">
        <v>505</v>
      </c>
      <c r="G5696" s="656" t="s">
        <v>4394</v>
      </c>
      <c r="H5696" s="656" t="s">
        <v>505</v>
      </c>
      <c r="I5696" s="656"/>
      <c r="J5696" s="656"/>
      <c r="K5696" s="656"/>
      <c r="L5696" s="656"/>
      <c r="M5696" s="657"/>
      <c r="N5696" s="1482"/>
      <c r="O5696" s="656" t="s">
        <v>498</v>
      </c>
      <c r="P5696" s="656" t="s">
        <v>13052</v>
      </c>
      <c r="Q5696" s="656">
        <v>44216.755543981482</v>
      </c>
    </row>
    <row r="5697" spans="1:17">
      <c r="A5697" s="656" t="s">
        <v>14171</v>
      </c>
      <c r="B5697" s="657" t="s">
        <v>202</v>
      </c>
      <c r="C5697" s="656" t="s">
        <v>14172</v>
      </c>
      <c r="D5697" s="657" t="s">
        <v>14978</v>
      </c>
      <c r="E5697" s="657"/>
      <c r="F5697" s="656" t="s">
        <v>1300</v>
      </c>
      <c r="G5697" s="656" t="s">
        <v>4198</v>
      </c>
      <c r="H5697" s="656" t="s">
        <v>1300</v>
      </c>
      <c r="I5697" s="656" t="s">
        <v>14976</v>
      </c>
      <c r="J5697" s="656"/>
      <c r="K5697" s="656"/>
      <c r="L5697" s="656" t="s">
        <v>14167</v>
      </c>
      <c r="M5697" s="657"/>
      <c r="N5697" s="1482"/>
      <c r="O5697" s="656" t="s">
        <v>498</v>
      </c>
      <c r="P5697" s="656" t="s">
        <v>13052</v>
      </c>
      <c r="Q5697" s="656">
        <v>44216.755543981482</v>
      </c>
    </row>
    <row r="5698" spans="1:17">
      <c r="A5698" s="656" t="s">
        <v>14169</v>
      </c>
      <c r="B5698" s="657" t="s">
        <v>202</v>
      </c>
      <c r="C5698" s="656" t="s">
        <v>14170</v>
      </c>
      <c r="D5698" s="657" t="s">
        <v>14978</v>
      </c>
      <c r="E5698" s="657"/>
      <c r="F5698" s="656" t="s">
        <v>1300</v>
      </c>
      <c r="G5698" s="656" t="s">
        <v>4198</v>
      </c>
      <c r="H5698" s="656" t="s">
        <v>1300</v>
      </c>
      <c r="I5698" s="656" t="s">
        <v>14976</v>
      </c>
      <c r="J5698" s="656"/>
      <c r="K5698" s="656"/>
      <c r="L5698" s="656" t="s">
        <v>14167</v>
      </c>
      <c r="M5698" s="657"/>
      <c r="N5698" s="1482"/>
      <c r="O5698" s="656" t="s">
        <v>498</v>
      </c>
      <c r="P5698" s="656" t="s">
        <v>13052</v>
      </c>
      <c r="Q5698" s="656">
        <v>44216.755543981482</v>
      </c>
    </row>
    <row r="5699" spans="1:17">
      <c r="A5699" s="656" t="s">
        <v>14167</v>
      </c>
      <c r="B5699" s="657" t="s">
        <v>202</v>
      </c>
      <c r="C5699" s="656" t="s">
        <v>14168</v>
      </c>
      <c r="D5699" s="657" t="s">
        <v>13789</v>
      </c>
      <c r="E5699" s="657"/>
      <c r="F5699" s="656" t="s">
        <v>1300</v>
      </c>
      <c r="G5699" s="656" t="s">
        <v>4198</v>
      </c>
      <c r="H5699" s="656" t="s">
        <v>1300</v>
      </c>
      <c r="I5699" s="656" t="s">
        <v>14976</v>
      </c>
      <c r="J5699" s="656"/>
      <c r="K5699" s="656"/>
      <c r="L5699" s="656"/>
      <c r="M5699" s="657"/>
      <c r="N5699" s="1482"/>
      <c r="O5699" s="656" t="s">
        <v>498</v>
      </c>
      <c r="P5699" s="656" t="s">
        <v>13052</v>
      </c>
      <c r="Q5699" s="656">
        <v>44216.755532407406</v>
      </c>
    </row>
    <row r="5700" spans="1:17">
      <c r="A5700" s="656" t="s">
        <v>8273</v>
      </c>
      <c r="B5700" s="657" t="s">
        <v>504</v>
      </c>
      <c r="C5700" s="656" t="s">
        <v>8274</v>
      </c>
      <c r="D5700" s="657" t="s">
        <v>13789</v>
      </c>
      <c r="E5700" s="657"/>
      <c r="F5700" s="656"/>
      <c r="G5700" s="656" t="s">
        <v>5642</v>
      </c>
      <c r="H5700" s="656"/>
      <c r="I5700" s="656"/>
      <c r="J5700" s="656"/>
      <c r="K5700" s="656"/>
      <c r="L5700" s="656"/>
      <c r="M5700" s="657"/>
      <c r="N5700" s="1482"/>
      <c r="O5700" s="656" t="s">
        <v>498</v>
      </c>
      <c r="P5700" s="656" t="s">
        <v>13052</v>
      </c>
      <c r="Q5700" s="656">
        <v>44216.755532407406</v>
      </c>
    </row>
    <row r="5701" spans="1:17">
      <c r="A5701" s="656" t="s">
        <v>8275</v>
      </c>
      <c r="B5701" s="657" t="s">
        <v>504</v>
      </c>
      <c r="C5701" s="656" t="s">
        <v>8276</v>
      </c>
      <c r="D5701" s="657" t="s">
        <v>13789</v>
      </c>
      <c r="E5701" s="657"/>
      <c r="F5701" s="656"/>
      <c r="G5701" s="656" t="s">
        <v>5642</v>
      </c>
      <c r="H5701" s="656"/>
      <c r="I5701" s="656"/>
      <c r="J5701" s="656"/>
      <c r="K5701" s="656"/>
      <c r="L5701" s="656"/>
      <c r="M5701" s="657"/>
      <c r="N5701" s="1482"/>
      <c r="O5701" s="656" t="s">
        <v>498</v>
      </c>
      <c r="P5701" s="656" t="s">
        <v>13052</v>
      </c>
      <c r="Q5701" s="656">
        <v>44216.755520833336</v>
      </c>
    </row>
    <row r="5702" spans="1:17">
      <c r="A5702" s="656" t="s">
        <v>8277</v>
      </c>
      <c r="B5702" s="657" t="s">
        <v>504</v>
      </c>
      <c r="C5702" s="656" t="s">
        <v>8278</v>
      </c>
      <c r="D5702" s="657" t="s">
        <v>13789</v>
      </c>
      <c r="E5702" s="657"/>
      <c r="F5702" s="656" t="s">
        <v>3731</v>
      </c>
      <c r="G5702" s="656" t="s">
        <v>5103</v>
      </c>
      <c r="H5702" s="656" t="s">
        <v>3731</v>
      </c>
      <c r="I5702" s="656"/>
      <c r="J5702" s="656"/>
      <c r="K5702" s="656"/>
      <c r="L5702" s="656"/>
      <c r="M5702" s="657"/>
      <c r="N5702" s="1482"/>
      <c r="O5702" s="656" t="s">
        <v>498</v>
      </c>
      <c r="P5702" s="656" t="s">
        <v>13052</v>
      </c>
      <c r="Q5702" s="656">
        <v>44216.755520833336</v>
      </c>
    </row>
    <row r="5703" spans="1:17">
      <c r="A5703" s="656" t="s">
        <v>8279</v>
      </c>
      <c r="B5703" s="657" t="s">
        <v>504</v>
      </c>
      <c r="C5703" s="656" t="s">
        <v>8280</v>
      </c>
      <c r="D5703" s="657" t="s">
        <v>13789</v>
      </c>
      <c r="E5703" s="657"/>
      <c r="F5703" s="656" t="s">
        <v>3731</v>
      </c>
      <c r="G5703" s="656" t="s">
        <v>5103</v>
      </c>
      <c r="H5703" s="656" t="s">
        <v>3731</v>
      </c>
      <c r="I5703" s="656"/>
      <c r="J5703" s="656"/>
      <c r="K5703" s="656"/>
      <c r="L5703" s="656"/>
      <c r="M5703" s="657"/>
      <c r="N5703" s="1482"/>
      <c r="O5703" s="656" t="s">
        <v>498</v>
      </c>
      <c r="P5703" s="656" t="s">
        <v>13052</v>
      </c>
      <c r="Q5703" s="656">
        <v>44216.755520833336</v>
      </c>
    </row>
    <row r="5704" spans="1:17">
      <c r="A5704" s="656" t="s">
        <v>14163</v>
      </c>
      <c r="B5704" s="657" t="s">
        <v>202</v>
      </c>
      <c r="C5704" s="656" t="s">
        <v>14164</v>
      </c>
      <c r="D5704" s="657" t="s">
        <v>1239</v>
      </c>
      <c r="E5704" s="657"/>
      <c r="F5704" s="656" t="s">
        <v>1300</v>
      </c>
      <c r="G5704" s="656" t="s">
        <v>4198</v>
      </c>
      <c r="H5704" s="656" t="s">
        <v>1300</v>
      </c>
      <c r="I5704" s="656" t="s">
        <v>14976</v>
      </c>
      <c r="J5704" s="656"/>
      <c r="K5704" s="656"/>
      <c r="L5704" s="656"/>
      <c r="M5704" s="657"/>
      <c r="N5704" s="1482"/>
      <c r="O5704" s="656" t="s">
        <v>498</v>
      </c>
      <c r="P5704" s="656" t="s">
        <v>13052</v>
      </c>
      <c r="Q5704" s="656">
        <v>44216.755509259259</v>
      </c>
    </row>
    <row r="5705" spans="1:17">
      <c r="A5705" s="656" t="s">
        <v>14160</v>
      </c>
      <c r="B5705" s="657" t="s">
        <v>202</v>
      </c>
      <c r="C5705" s="656" t="s">
        <v>14161</v>
      </c>
      <c r="D5705" s="657" t="s">
        <v>14978</v>
      </c>
      <c r="E5705" s="657"/>
      <c r="F5705" s="656" t="s">
        <v>1300</v>
      </c>
      <c r="G5705" s="656" t="s">
        <v>4198</v>
      </c>
      <c r="H5705" s="656" t="s">
        <v>1300</v>
      </c>
      <c r="I5705" s="656" t="s">
        <v>15280</v>
      </c>
      <c r="J5705" s="656"/>
      <c r="K5705" s="656"/>
      <c r="L5705" s="656" t="s">
        <v>14162</v>
      </c>
      <c r="M5705" s="657"/>
      <c r="N5705" s="1482"/>
      <c r="O5705" s="656" t="s">
        <v>498</v>
      </c>
      <c r="P5705" s="656" t="s">
        <v>13052</v>
      </c>
      <c r="Q5705" s="656">
        <v>44216.755509259259</v>
      </c>
    </row>
    <row r="5706" spans="1:17">
      <c r="A5706" s="656" t="s">
        <v>14153</v>
      </c>
      <c r="B5706" s="657" t="s">
        <v>202</v>
      </c>
      <c r="C5706" s="656" t="s">
        <v>14154</v>
      </c>
      <c r="D5706" s="657" t="s">
        <v>13789</v>
      </c>
      <c r="E5706" s="657"/>
      <c r="F5706" s="656" t="s">
        <v>1300</v>
      </c>
      <c r="G5706" s="656" t="s">
        <v>4198</v>
      </c>
      <c r="H5706" s="656" t="s">
        <v>1300</v>
      </c>
      <c r="I5706" s="656" t="s">
        <v>14976</v>
      </c>
      <c r="J5706" s="656"/>
      <c r="K5706" s="656"/>
      <c r="L5706" s="656"/>
      <c r="M5706" s="657"/>
      <c r="N5706" s="1482"/>
      <c r="O5706" s="656" t="s">
        <v>498</v>
      </c>
      <c r="P5706" s="656" t="s">
        <v>13052</v>
      </c>
      <c r="Q5706" s="656">
        <v>44216.755497685182</v>
      </c>
    </row>
    <row r="5707" spans="1:17">
      <c r="A5707" s="656" t="s">
        <v>14145</v>
      </c>
      <c r="B5707" s="657" t="s">
        <v>202</v>
      </c>
      <c r="C5707" s="656" t="s">
        <v>14146</v>
      </c>
      <c r="D5707" s="657" t="s">
        <v>14978</v>
      </c>
      <c r="E5707" s="657"/>
      <c r="F5707" s="656" t="s">
        <v>1300</v>
      </c>
      <c r="G5707" s="656" t="s">
        <v>4198</v>
      </c>
      <c r="H5707" s="656" t="s">
        <v>1300</v>
      </c>
      <c r="I5707" s="656" t="s">
        <v>14976</v>
      </c>
      <c r="J5707" s="656"/>
      <c r="K5707" s="656"/>
      <c r="L5707" s="656" t="s">
        <v>14147</v>
      </c>
      <c r="M5707" s="657"/>
      <c r="N5707" s="1482"/>
      <c r="O5707" s="656" t="s">
        <v>498</v>
      </c>
      <c r="P5707" s="656" t="s">
        <v>13052</v>
      </c>
      <c r="Q5707" s="656">
        <v>44216.755497685182</v>
      </c>
    </row>
    <row r="5708" spans="1:17">
      <c r="A5708" s="656" t="s">
        <v>14133</v>
      </c>
      <c r="B5708" s="657" t="s">
        <v>202</v>
      </c>
      <c r="C5708" s="656" t="s">
        <v>14134</v>
      </c>
      <c r="D5708" s="657" t="s">
        <v>14978</v>
      </c>
      <c r="E5708" s="657"/>
      <c r="F5708" s="656" t="s">
        <v>1300</v>
      </c>
      <c r="G5708" s="656" t="s">
        <v>4198</v>
      </c>
      <c r="H5708" s="656" t="s">
        <v>1300</v>
      </c>
      <c r="I5708" s="656" t="s">
        <v>14976</v>
      </c>
      <c r="J5708" s="656"/>
      <c r="K5708" s="656"/>
      <c r="L5708" s="656" t="s">
        <v>14135</v>
      </c>
      <c r="M5708" s="657"/>
      <c r="N5708" s="1482"/>
      <c r="O5708" s="656" t="s">
        <v>498</v>
      </c>
      <c r="P5708" s="656" t="s">
        <v>13052</v>
      </c>
      <c r="Q5708" s="656">
        <v>44216.755486111113</v>
      </c>
    </row>
    <row r="5709" spans="1:17">
      <c r="A5709" s="656" t="s">
        <v>8281</v>
      </c>
      <c r="B5709" s="657" t="s">
        <v>504</v>
      </c>
      <c r="C5709" s="656" t="s">
        <v>8282</v>
      </c>
      <c r="D5709" s="657"/>
      <c r="E5709" s="657"/>
      <c r="F5709" s="656" t="s">
        <v>505</v>
      </c>
      <c r="G5709" s="656" t="s">
        <v>4394</v>
      </c>
      <c r="H5709" s="656" t="s">
        <v>505</v>
      </c>
      <c r="I5709" s="656"/>
      <c r="J5709" s="656"/>
      <c r="K5709" s="656"/>
      <c r="L5709" s="656"/>
      <c r="M5709" s="657"/>
      <c r="N5709" s="1482"/>
      <c r="O5709" s="656" t="s">
        <v>498</v>
      </c>
      <c r="P5709" s="656" t="s">
        <v>13052</v>
      </c>
      <c r="Q5709" s="656">
        <v>44216.755474537036</v>
      </c>
    </row>
    <row r="5710" spans="1:17">
      <c r="A5710" s="656" t="s">
        <v>8283</v>
      </c>
      <c r="B5710" s="657" t="s">
        <v>504</v>
      </c>
      <c r="C5710" s="656" t="s">
        <v>8284</v>
      </c>
      <c r="D5710" s="657"/>
      <c r="E5710" s="657"/>
      <c r="F5710" s="656" t="s">
        <v>505</v>
      </c>
      <c r="G5710" s="656" t="s">
        <v>4394</v>
      </c>
      <c r="H5710" s="656" t="s">
        <v>505</v>
      </c>
      <c r="I5710" s="656"/>
      <c r="J5710" s="656"/>
      <c r="K5710" s="656"/>
      <c r="L5710" s="656"/>
      <c r="M5710" s="657"/>
      <c r="N5710" s="1482"/>
      <c r="O5710" s="656" t="s">
        <v>498</v>
      </c>
      <c r="P5710" s="656" t="s">
        <v>13052</v>
      </c>
      <c r="Q5710" s="656">
        <v>44216.755474537036</v>
      </c>
    </row>
    <row r="5711" spans="1:17">
      <c r="A5711" s="656" t="s">
        <v>8285</v>
      </c>
      <c r="B5711" s="657" t="s">
        <v>504</v>
      </c>
      <c r="C5711" s="656" t="s">
        <v>8286</v>
      </c>
      <c r="D5711" s="657"/>
      <c r="E5711" s="657"/>
      <c r="F5711" s="656" t="s">
        <v>505</v>
      </c>
      <c r="G5711" s="656" t="s">
        <v>4394</v>
      </c>
      <c r="H5711" s="656" t="s">
        <v>505</v>
      </c>
      <c r="I5711" s="656"/>
      <c r="J5711" s="656"/>
      <c r="K5711" s="656"/>
      <c r="L5711" s="656"/>
      <c r="M5711" s="657"/>
      <c r="N5711" s="1482"/>
      <c r="O5711" s="656" t="s">
        <v>498</v>
      </c>
      <c r="P5711" s="656" t="s">
        <v>13052</v>
      </c>
      <c r="Q5711" s="656">
        <v>44216.755462962959</v>
      </c>
    </row>
    <row r="5712" spans="1:17">
      <c r="A5712" s="656" t="s">
        <v>8287</v>
      </c>
      <c r="B5712" s="657" t="s">
        <v>504</v>
      </c>
      <c r="C5712" s="656" t="s">
        <v>8288</v>
      </c>
      <c r="D5712" s="657" t="s">
        <v>13789</v>
      </c>
      <c r="E5712" s="657" t="s">
        <v>7439</v>
      </c>
      <c r="F5712" s="656" t="s">
        <v>505</v>
      </c>
      <c r="G5712" s="656" t="s">
        <v>525</v>
      </c>
      <c r="H5712" s="656" t="s">
        <v>505</v>
      </c>
      <c r="I5712" s="656" t="s">
        <v>14976</v>
      </c>
      <c r="J5712" s="656"/>
      <c r="K5712" s="656"/>
      <c r="L5712" s="656"/>
      <c r="M5712" s="657"/>
      <c r="N5712" s="1482"/>
      <c r="O5712" s="656" t="s">
        <v>498</v>
      </c>
      <c r="P5712" s="656" t="s">
        <v>13052</v>
      </c>
      <c r="Q5712" s="656">
        <v>44216.755462962959</v>
      </c>
    </row>
    <row r="5713" spans="1:17">
      <c r="A5713" s="656" t="s">
        <v>8289</v>
      </c>
      <c r="B5713" s="657" t="s">
        <v>504</v>
      </c>
      <c r="C5713" s="656" t="s">
        <v>8290</v>
      </c>
      <c r="D5713" s="657"/>
      <c r="E5713" s="657"/>
      <c r="F5713" s="656" t="s">
        <v>505</v>
      </c>
      <c r="G5713" s="656" t="s">
        <v>4394</v>
      </c>
      <c r="H5713" s="656" t="s">
        <v>505</v>
      </c>
      <c r="I5713" s="656"/>
      <c r="J5713" s="656"/>
      <c r="K5713" s="656"/>
      <c r="L5713" s="656"/>
      <c r="M5713" s="657"/>
      <c r="N5713" s="1482"/>
      <c r="O5713" s="656" t="s">
        <v>498</v>
      </c>
      <c r="P5713" s="656" t="s">
        <v>13052</v>
      </c>
      <c r="Q5713" s="656">
        <v>44216.75545138889</v>
      </c>
    </row>
    <row r="5714" spans="1:17">
      <c r="A5714" s="656" t="s">
        <v>8291</v>
      </c>
      <c r="B5714" s="657" t="s">
        <v>504</v>
      </c>
      <c r="C5714" s="656" t="s">
        <v>7752</v>
      </c>
      <c r="D5714" s="657"/>
      <c r="E5714" s="657"/>
      <c r="F5714" s="656" t="s">
        <v>505</v>
      </c>
      <c r="G5714" s="656" t="s">
        <v>4324</v>
      </c>
      <c r="H5714" s="656" t="s">
        <v>505</v>
      </c>
      <c r="I5714" s="656"/>
      <c r="J5714" s="656"/>
      <c r="K5714" s="656"/>
      <c r="L5714" s="656"/>
      <c r="M5714" s="657"/>
      <c r="N5714" s="1482"/>
      <c r="O5714" s="656" t="s">
        <v>498</v>
      </c>
      <c r="P5714" s="656" t="s">
        <v>13052</v>
      </c>
      <c r="Q5714" s="656">
        <v>44216.755462962959</v>
      </c>
    </row>
    <row r="5715" spans="1:17">
      <c r="A5715" s="656" t="s">
        <v>8292</v>
      </c>
      <c r="B5715" s="657" t="s">
        <v>504</v>
      </c>
      <c r="C5715" s="656" t="s">
        <v>8293</v>
      </c>
      <c r="D5715" s="657"/>
      <c r="E5715" s="657"/>
      <c r="F5715" s="656" t="s">
        <v>505</v>
      </c>
      <c r="G5715" s="656" t="s">
        <v>4394</v>
      </c>
      <c r="H5715" s="656" t="s">
        <v>505</v>
      </c>
      <c r="I5715" s="656"/>
      <c r="J5715" s="656"/>
      <c r="K5715" s="656"/>
      <c r="L5715" s="656"/>
      <c r="M5715" s="657"/>
      <c r="N5715" s="1482"/>
      <c r="O5715" s="656" t="s">
        <v>498</v>
      </c>
      <c r="P5715" s="656" t="s">
        <v>13052</v>
      </c>
      <c r="Q5715" s="656">
        <v>44216.75545138889</v>
      </c>
    </row>
    <row r="5716" spans="1:17">
      <c r="A5716" s="656" t="s">
        <v>8294</v>
      </c>
      <c r="B5716" s="657" t="s">
        <v>504</v>
      </c>
      <c r="C5716" s="656" t="s">
        <v>8295</v>
      </c>
      <c r="D5716" s="657"/>
      <c r="E5716" s="657"/>
      <c r="F5716" s="656" t="s">
        <v>505</v>
      </c>
      <c r="G5716" s="656" t="s">
        <v>4394</v>
      </c>
      <c r="H5716" s="656" t="s">
        <v>505</v>
      </c>
      <c r="I5716" s="656"/>
      <c r="J5716" s="656"/>
      <c r="K5716" s="656"/>
      <c r="L5716" s="656"/>
      <c r="M5716" s="657"/>
      <c r="N5716" s="1482"/>
      <c r="O5716" s="656" t="s">
        <v>498</v>
      </c>
      <c r="P5716" s="656" t="s">
        <v>13052</v>
      </c>
      <c r="Q5716" s="656">
        <v>44216.755439814813</v>
      </c>
    </row>
    <row r="5717" spans="1:17">
      <c r="A5717" s="656" t="s">
        <v>8296</v>
      </c>
      <c r="B5717" s="657" t="s">
        <v>504</v>
      </c>
      <c r="C5717" s="656" t="s">
        <v>8297</v>
      </c>
      <c r="D5717" s="657"/>
      <c r="E5717" s="657"/>
      <c r="F5717" s="656" t="s">
        <v>505</v>
      </c>
      <c r="G5717" s="656" t="s">
        <v>4394</v>
      </c>
      <c r="H5717" s="656" t="s">
        <v>505</v>
      </c>
      <c r="I5717" s="656"/>
      <c r="J5717" s="656"/>
      <c r="K5717" s="656"/>
      <c r="L5717" s="656"/>
      <c r="M5717" s="657"/>
      <c r="N5717" s="1482"/>
      <c r="O5717" s="656" t="s">
        <v>498</v>
      </c>
      <c r="P5717" s="656" t="s">
        <v>13052</v>
      </c>
      <c r="Q5717" s="656">
        <v>44216.755439814813</v>
      </c>
    </row>
    <row r="5718" spans="1:17">
      <c r="A5718" s="656" t="s">
        <v>8298</v>
      </c>
      <c r="B5718" s="657" t="s">
        <v>504</v>
      </c>
      <c r="C5718" s="656" t="s">
        <v>8299</v>
      </c>
      <c r="D5718" s="657"/>
      <c r="E5718" s="657"/>
      <c r="F5718" s="656" t="s">
        <v>505</v>
      </c>
      <c r="G5718" s="656" t="s">
        <v>4394</v>
      </c>
      <c r="H5718" s="656" t="s">
        <v>505</v>
      </c>
      <c r="I5718" s="656"/>
      <c r="J5718" s="656"/>
      <c r="K5718" s="656"/>
      <c r="L5718" s="656"/>
      <c r="M5718" s="657"/>
      <c r="N5718" s="1482"/>
      <c r="O5718" s="656" t="s">
        <v>498</v>
      </c>
      <c r="P5718" s="656" t="s">
        <v>13052</v>
      </c>
      <c r="Q5718" s="656">
        <v>44216.755428240744</v>
      </c>
    </row>
    <row r="5719" spans="1:17">
      <c r="A5719" s="656" t="s">
        <v>8300</v>
      </c>
      <c r="B5719" s="657" t="s">
        <v>504</v>
      </c>
      <c r="C5719" s="656" t="s">
        <v>8301</v>
      </c>
      <c r="D5719" s="657" t="s">
        <v>13789</v>
      </c>
      <c r="E5719" s="657" t="s">
        <v>7439</v>
      </c>
      <c r="F5719" s="656" t="s">
        <v>505</v>
      </c>
      <c r="G5719" s="656" t="s">
        <v>525</v>
      </c>
      <c r="H5719" s="656" t="s">
        <v>505</v>
      </c>
      <c r="I5719" s="656" t="s">
        <v>14976</v>
      </c>
      <c r="J5719" s="656"/>
      <c r="K5719" s="656"/>
      <c r="L5719" s="656"/>
      <c r="M5719" s="657"/>
      <c r="N5719" s="1482"/>
      <c r="O5719" s="656" t="s">
        <v>498</v>
      </c>
      <c r="P5719" s="656" t="s">
        <v>13052</v>
      </c>
      <c r="Q5719" s="656">
        <v>44216.755428240744</v>
      </c>
    </row>
    <row r="5720" spans="1:17">
      <c r="A5720" s="656" t="s">
        <v>8302</v>
      </c>
      <c r="B5720" s="657" t="s">
        <v>504</v>
      </c>
      <c r="C5720" s="656" t="s">
        <v>8303</v>
      </c>
      <c r="D5720" s="657"/>
      <c r="E5720" s="657"/>
      <c r="F5720" s="656" t="s">
        <v>505</v>
      </c>
      <c r="G5720" s="656" t="s">
        <v>4394</v>
      </c>
      <c r="H5720" s="656" t="s">
        <v>505</v>
      </c>
      <c r="I5720" s="656"/>
      <c r="J5720" s="656"/>
      <c r="K5720" s="656"/>
      <c r="L5720" s="656"/>
      <c r="M5720" s="657"/>
      <c r="N5720" s="1482"/>
      <c r="O5720" s="656" t="s">
        <v>498</v>
      </c>
      <c r="P5720" s="656" t="s">
        <v>13052</v>
      </c>
      <c r="Q5720" s="656">
        <v>44216.755416666667</v>
      </c>
    </row>
    <row r="5721" spans="1:17">
      <c r="A5721" s="656" t="s">
        <v>8304</v>
      </c>
      <c r="B5721" s="657" t="s">
        <v>504</v>
      </c>
      <c r="C5721" s="656" t="s">
        <v>8305</v>
      </c>
      <c r="D5721" s="657"/>
      <c r="E5721" s="657"/>
      <c r="F5721" s="656" t="s">
        <v>505</v>
      </c>
      <c r="G5721" s="656" t="s">
        <v>4394</v>
      </c>
      <c r="H5721" s="656" t="s">
        <v>505</v>
      </c>
      <c r="I5721" s="656"/>
      <c r="J5721" s="656"/>
      <c r="K5721" s="656"/>
      <c r="L5721" s="656"/>
      <c r="M5721" s="657"/>
      <c r="N5721" s="1482"/>
      <c r="O5721" s="656" t="s">
        <v>498</v>
      </c>
      <c r="P5721" s="656" t="s">
        <v>13052</v>
      </c>
      <c r="Q5721" s="656">
        <v>44216.755416666667</v>
      </c>
    </row>
    <row r="5722" spans="1:17">
      <c r="A5722" s="656" t="s">
        <v>8306</v>
      </c>
      <c r="B5722" s="657" t="s">
        <v>504</v>
      </c>
      <c r="C5722" s="656" t="s">
        <v>8307</v>
      </c>
      <c r="D5722" s="657"/>
      <c r="E5722" s="657"/>
      <c r="F5722" s="656" t="s">
        <v>505</v>
      </c>
      <c r="G5722" s="656" t="s">
        <v>4394</v>
      </c>
      <c r="H5722" s="656" t="s">
        <v>505</v>
      </c>
      <c r="I5722" s="656"/>
      <c r="J5722" s="656"/>
      <c r="K5722" s="656"/>
      <c r="L5722" s="656"/>
      <c r="M5722" s="657"/>
      <c r="N5722" s="1482"/>
      <c r="O5722" s="656" t="s">
        <v>498</v>
      </c>
      <c r="P5722" s="656" t="s">
        <v>13052</v>
      </c>
      <c r="Q5722" s="656">
        <v>44216.755416666667</v>
      </c>
    </row>
    <row r="5723" spans="1:17">
      <c r="A5723" s="656" t="s">
        <v>8308</v>
      </c>
      <c r="B5723" s="657" t="s">
        <v>504</v>
      </c>
      <c r="C5723" s="656" t="s">
        <v>8309</v>
      </c>
      <c r="D5723" s="657"/>
      <c r="E5723" s="657"/>
      <c r="F5723" s="656" t="s">
        <v>505</v>
      </c>
      <c r="G5723" s="656" t="s">
        <v>4394</v>
      </c>
      <c r="H5723" s="656" t="s">
        <v>505</v>
      </c>
      <c r="I5723" s="656"/>
      <c r="J5723" s="656"/>
      <c r="K5723" s="656"/>
      <c r="L5723" s="656"/>
      <c r="M5723" s="657"/>
      <c r="N5723" s="1482"/>
      <c r="O5723" s="656" t="s">
        <v>498</v>
      </c>
      <c r="P5723" s="656" t="s">
        <v>13052</v>
      </c>
      <c r="Q5723" s="656">
        <v>44216.75540509259</v>
      </c>
    </row>
    <row r="5724" spans="1:17">
      <c r="A5724" s="656" t="s">
        <v>8310</v>
      </c>
      <c r="B5724" s="657" t="s">
        <v>504</v>
      </c>
      <c r="C5724" s="656" t="s">
        <v>8311</v>
      </c>
      <c r="D5724" s="657"/>
      <c r="E5724" s="657"/>
      <c r="F5724" s="656" t="s">
        <v>505</v>
      </c>
      <c r="G5724" s="656" t="s">
        <v>4394</v>
      </c>
      <c r="H5724" s="656" t="s">
        <v>505</v>
      </c>
      <c r="I5724" s="656"/>
      <c r="J5724" s="656"/>
      <c r="K5724" s="656"/>
      <c r="L5724" s="656"/>
      <c r="M5724" s="657"/>
      <c r="N5724" s="1482"/>
      <c r="O5724" s="656" t="s">
        <v>498</v>
      </c>
      <c r="P5724" s="656" t="s">
        <v>13052</v>
      </c>
      <c r="Q5724" s="656">
        <v>44216.75540509259</v>
      </c>
    </row>
    <row r="5725" spans="1:17">
      <c r="A5725" s="656" t="s">
        <v>8312</v>
      </c>
      <c r="B5725" s="657" t="s">
        <v>504</v>
      </c>
      <c r="C5725" s="656" t="s">
        <v>8313</v>
      </c>
      <c r="D5725" s="657"/>
      <c r="E5725" s="657"/>
      <c r="F5725" s="656" t="s">
        <v>505</v>
      </c>
      <c r="G5725" s="656" t="s">
        <v>4324</v>
      </c>
      <c r="H5725" s="656" t="s">
        <v>505</v>
      </c>
      <c r="I5725" s="656"/>
      <c r="J5725" s="656"/>
      <c r="K5725" s="656"/>
      <c r="L5725" s="656"/>
      <c r="M5725" s="657"/>
      <c r="N5725" s="1482"/>
      <c r="O5725" s="656" t="s">
        <v>498</v>
      </c>
      <c r="P5725" s="656" t="s">
        <v>13052</v>
      </c>
      <c r="Q5725" s="656">
        <v>44216.755393518521</v>
      </c>
    </row>
    <row r="5726" spans="1:17">
      <c r="A5726" s="656" t="s">
        <v>8314</v>
      </c>
      <c r="B5726" s="657" t="s">
        <v>504</v>
      </c>
      <c r="C5726" s="656" t="s">
        <v>8315</v>
      </c>
      <c r="D5726" s="657"/>
      <c r="E5726" s="657"/>
      <c r="F5726" s="656" t="s">
        <v>505</v>
      </c>
      <c r="G5726" s="656" t="s">
        <v>4394</v>
      </c>
      <c r="H5726" s="656" t="s">
        <v>505</v>
      </c>
      <c r="I5726" s="656"/>
      <c r="J5726" s="656"/>
      <c r="K5726" s="656"/>
      <c r="L5726" s="656"/>
      <c r="M5726" s="657"/>
      <c r="N5726" s="1482"/>
      <c r="O5726" s="656" t="s">
        <v>498</v>
      </c>
      <c r="P5726" s="656" t="s">
        <v>13052</v>
      </c>
      <c r="Q5726" s="656">
        <v>44216.755393518521</v>
      </c>
    </row>
    <row r="5727" spans="1:17">
      <c r="A5727" s="656" t="s">
        <v>8316</v>
      </c>
      <c r="B5727" s="657" t="s">
        <v>504</v>
      </c>
      <c r="C5727" s="656" t="s">
        <v>8317</v>
      </c>
      <c r="D5727" s="657"/>
      <c r="E5727" s="657"/>
      <c r="F5727" s="656" t="s">
        <v>505</v>
      </c>
      <c r="G5727" s="656" t="s">
        <v>4394</v>
      </c>
      <c r="H5727" s="656" t="s">
        <v>505</v>
      </c>
      <c r="I5727" s="656"/>
      <c r="J5727" s="656"/>
      <c r="K5727" s="656"/>
      <c r="L5727" s="656"/>
      <c r="M5727" s="657"/>
      <c r="N5727" s="1482"/>
      <c r="O5727" s="656" t="s">
        <v>498</v>
      </c>
      <c r="P5727" s="656" t="s">
        <v>13052</v>
      </c>
      <c r="Q5727" s="656">
        <v>44216.755381944444</v>
      </c>
    </row>
    <row r="5728" spans="1:17">
      <c r="A5728" s="656" t="s">
        <v>8318</v>
      </c>
      <c r="B5728" s="657" t="s">
        <v>504</v>
      </c>
      <c r="C5728" s="656" t="s">
        <v>8319</v>
      </c>
      <c r="D5728" s="657"/>
      <c r="E5728" s="657"/>
      <c r="F5728" s="656" t="s">
        <v>505</v>
      </c>
      <c r="G5728" s="656" t="s">
        <v>4394</v>
      </c>
      <c r="H5728" s="656" t="s">
        <v>505</v>
      </c>
      <c r="I5728" s="656"/>
      <c r="J5728" s="656"/>
      <c r="K5728" s="656"/>
      <c r="L5728" s="656"/>
      <c r="M5728" s="657"/>
      <c r="N5728" s="1482"/>
      <c r="O5728" s="656" t="s">
        <v>498</v>
      </c>
      <c r="P5728" s="656" t="s">
        <v>13052</v>
      </c>
      <c r="Q5728" s="656">
        <v>44216.755381944444</v>
      </c>
    </row>
    <row r="5729" spans="1:17">
      <c r="A5729" s="656" t="s">
        <v>8320</v>
      </c>
      <c r="B5729" s="657" t="s">
        <v>504</v>
      </c>
      <c r="C5729" s="656" t="s">
        <v>8321</v>
      </c>
      <c r="D5729" s="657"/>
      <c r="E5729" s="657"/>
      <c r="F5729" s="656" t="s">
        <v>505</v>
      </c>
      <c r="G5729" s="656" t="s">
        <v>4394</v>
      </c>
      <c r="H5729" s="656" t="s">
        <v>505</v>
      </c>
      <c r="I5729" s="656"/>
      <c r="J5729" s="656"/>
      <c r="K5729" s="656"/>
      <c r="L5729" s="656"/>
      <c r="M5729" s="657"/>
      <c r="N5729" s="1482"/>
      <c r="O5729" s="656" t="s">
        <v>498</v>
      </c>
      <c r="P5729" s="656" t="s">
        <v>13052</v>
      </c>
      <c r="Q5729" s="656">
        <v>44216.755370370367</v>
      </c>
    </row>
    <row r="5730" spans="1:17">
      <c r="A5730" s="656" t="s">
        <v>8322</v>
      </c>
      <c r="B5730" s="657" t="s">
        <v>504</v>
      </c>
      <c r="C5730" s="656" t="s">
        <v>8323</v>
      </c>
      <c r="D5730" s="657" t="s">
        <v>13789</v>
      </c>
      <c r="E5730" s="657" t="s">
        <v>9458</v>
      </c>
      <c r="F5730" s="656" t="s">
        <v>505</v>
      </c>
      <c r="G5730" s="656" t="s">
        <v>525</v>
      </c>
      <c r="H5730" s="656" t="s">
        <v>505</v>
      </c>
      <c r="I5730" s="656" t="s">
        <v>14976</v>
      </c>
      <c r="J5730" s="656"/>
      <c r="K5730" s="656"/>
      <c r="L5730" s="656"/>
      <c r="M5730" s="657"/>
      <c r="N5730" s="1482"/>
      <c r="O5730" s="656" t="s">
        <v>498</v>
      </c>
      <c r="P5730" s="656" t="s">
        <v>13052</v>
      </c>
      <c r="Q5730" s="656">
        <v>44216.755370370367</v>
      </c>
    </row>
    <row r="5731" spans="1:17">
      <c r="A5731" s="656" t="s">
        <v>13819</v>
      </c>
      <c r="B5731" s="657" t="s">
        <v>504</v>
      </c>
      <c r="C5731" s="656" t="s">
        <v>8324</v>
      </c>
      <c r="D5731" s="657" t="s">
        <v>14978</v>
      </c>
      <c r="E5731" s="657" t="s">
        <v>7439</v>
      </c>
      <c r="F5731" s="656" t="s">
        <v>505</v>
      </c>
      <c r="G5731" s="656" t="s">
        <v>525</v>
      </c>
      <c r="H5731" s="656" t="s">
        <v>505</v>
      </c>
      <c r="I5731" s="656" t="s">
        <v>14976</v>
      </c>
      <c r="J5731" s="656"/>
      <c r="K5731" s="656"/>
      <c r="L5731" s="656" t="s">
        <v>8340</v>
      </c>
      <c r="M5731" s="657"/>
      <c r="N5731" s="1482"/>
      <c r="O5731" s="656" t="s">
        <v>498</v>
      </c>
      <c r="P5731" s="656" t="s">
        <v>13052</v>
      </c>
      <c r="Q5731" s="656">
        <v>44216.755370370367</v>
      </c>
    </row>
    <row r="5732" spans="1:17">
      <c r="A5732" s="656" t="s">
        <v>8325</v>
      </c>
      <c r="B5732" s="657" t="s">
        <v>504</v>
      </c>
      <c r="C5732" s="656" t="s">
        <v>8326</v>
      </c>
      <c r="D5732" s="657"/>
      <c r="E5732" s="657" t="s">
        <v>7439</v>
      </c>
      <c r="F5732" s="656" t="s">
        <v>505</v>
      </c>
      <c r="G5732" s="656" t="s">
        <v>525</v>
      </c>
      <c r="H5732" s="656" t="s">
        <v>505</v>
      </c>
      <c r="I5732" s="656"/>
      <c r="J5732" s="656"/>
      <c r="K5732" s="656"/>
      <c r="L5732" s="656"/>
      <c r="M5732" s="657"/>
      <c r="N5732" s="1482"/>
      <c r="O5732" s="656" t="s">
        <v>498</v>
      </c>
      <c r="P5732" s="656" t="s">
        <v>13052</v>
      </c>
      <c r="Q5732" s="656">
        <v>44216.755358796298</v>
      </c>
    </row>
    <row r="5733" spans="1:17">
      <c r="A5733" s="656" t="s">
        <v>8327</v>
      </c>
      <c r="B5733" s="657" t="s">
        <v>504</v>
      </c>
      <c r="C5733" s="656" t="s">
        <v>8328</v>
      </c>
      <c r="D5733" s="657"/>
      <c r="E5733" s="657" t="s">
        <v>9654</v>
      </c>
      <c r="F5733" s="656" t="s">
        <v>505</v>
      </c>
      <c r="G5733" s="656" t="s">
        <v>525</v>
      </c>
      <c r="H5733" s="656" t="s">
        <v>505</v>
      </c>
      <c r="I5733" s="656"/>
      <c r="J5733" s="656"/>
      <c r="K5733" s="656"/>
      <c r="L5733" s="656" t="s">
        <v>8340</v>
      </c>
      <c r="M5733" s="657"/>
      <c r="N5733" s="1482"/>
      <c r="O5733" s="656" t="s">
        <v>498</v>
      </c>
      <c r="P5733" s="656" t="s">
        <v>13052</v>
      </c>
      <c r="Q5733" s="656">
        <v>44216.755358796298</v>
      </c>
    </row>
    <row r="5734" spans="1:17">
      <c r="A5734" s="656" t="s">
        <v>8329</v>
      </c>
      <c r="B5734" s="657" t="s">
        <v>504</v>
      </c>
      <c r="C5734" s="656" t="s">
        <v>8326</v>
      </c>
      <c r="D5734" s="657"/>
      <c r="E5734" s="657"/>
      <c r="F5734" s="656" t="s">
        <v>505</v>
      </c>
      <c r="G5734" s="656" t="s">
        <v>525</v>
      </c>
      <c r="H5734" s="656" t="s">
        <v>505</v>
      </c>
      <c r="I5734" s="656"/>
      <c r="J5734" s="656"/>
      <c r="K5734" s="656"/>
      <c r="L5734" s="656"/>
      <c r="M5734" s="657"/>
      <c r="N5734" s="1482"/>
      <c r="O5734" s="656" t="s">
        <v>498</v>
      </c>
      <c r="P5734" s="656" t="s">
        <v>13052</v>
      </c>
      <c r="Q5734" s="656">
        <v>44216.755347222221</v>
      </c>
    </row>
    <row r="5735" spans="1:17">
      <c r="A5735" s="656" t="s">
        <v>8330</v>
      </c>
      <c r="B5735" s="657" t="s">
        <v>504</v>
      </c>
      <c r="C5735" s="656" t="s">
        <v>8331</v>
      </c>
      <c r="D5735" s="657"/>
      <c r="E5735" s="657"/>
      <c r="F5735" s="656" t="s">
        <v>505</v>
      </c>
      <c r="G5735" s="656" t="s">
        <v>4394</v>
      </c>
      <c r="H5735" s="656" t="s">
        <v>505</v>
      </c>
      <c r="I5735" s="656"/>
      <c r="J5735" s="656"/>
      <c r="K5735" s="656"/>
      <c r="L5735" s="656"/>
      <c r="M5735" s="657"/>
      <c r="N5735" s="1482"/>
      <c r="O5735" s="656" t="s">
        <v>498</v>
      </c>
      <c r="P5735" s="656" t="s">
        <v>13052</v>
      </c>
      <c r="Q5735" s="656">
        <v>44216.755347222221</v>
      </c>
    </row>
    <row r="5736" spans="1:17">
      <c r="A5736" s="656" t="s">
        <v>8332</v>
      </c>
      <c r="B5736" s="657" t="s">
        <v>504</v>
      </c>
      <c r="C5736" s="656" t="s">
        <v>8333</v>
      </c>
      <c r="D5736" s="657"/>
      <c r="E5736" s="657"/>
      <c r="F5736" s="656" t="s">
        <v>505</v>
      </c>
      <c r="G5736" s="656" t="s">
        <v>4394</v>
      </c>
      <c r="H5736" s="656" t="s">
        <v>505</v>
      </c>
      <c r="I5736" s="656"/>
      <c r="J5736" s="656"/>
      <c r="K5736" s="656"/>
      <c r="L5736" s="656"/>
      <c r="M5736" s="657"/>
      <c r="N5736" s="1482"/>
      <c r="O5736" s="656" t="s">
        <v>498</v>
      </c>
      <c r="P5736" s="656" t="s">
        <v>13052</v>
      </c>
      <c r="Q5736" s="656">
        <v>44216.755335648151</v>
      </c>
    </row>
    <row r="5737" spans="1:17">
      <c r="A5737" s="656" t="s">
        <v>8334</v>
      </c>
      <c r="B5737" s="657" t="s">
        <v>504</v>
      </c>
      <c r="C5737" s="656" t="s">
        <v>8335</v>
      </c>
      <c r="D5737" s="657"/>
      <c r="E5737" s="657"/>
      <c r="F5737" s="656" t="s">
        <v>505</v>
      </c>
      <c r="G5737" s="656" t="s">
        <v>4394</v>
      </c>
      <c r="H5737" s="656" t="s">
        <v>505</v>
      </c>
      <c r="I5737" s="656"/>
      <c r="J5737" s="656"/>
      <c r="K5737" s="656"/>
      <c r="L5737" s="656"/>
      <c r="M5737" s="657"/>
      <c r="N5737" s="1482"/>
      <c r="O5737" s="656" t="s">
        <v>498</v>
      </c>
      <c r="P5737" s="656" t="s">
        <v>13052</v>
      </c>
      <c r="Q5737" s="656">
        <v>44216.755324074074</v>
      </c>
    </row>
    <row r="5738" spans="1:17">
      <c r="A5738" s="656" t="s">
        <v>8336</v>
      </c>
      <c r="B5738" s="657" t="s">
        <v>504</v>
      </c>
      <c r="C5738" s="656" t="s">
        <v>8337</v>
      </c>
      <c r="D5738" s="657"/>
      <c r="E5738" s="657"/>
      <c r="F5738" s="656" t="s">
        <v>505</v>
      </c>
      <c r="G5738" s="656" t="s">
        <v>4394</v>
      </c>
      <c r="H5738" s="656" t="s">
        <v>505</v>
      </c>
      <c r="I5738" s="656"/>
      <c r="J5738" s="656"/>
      <c r="K5738" s="656"/>
      <c r="L5738" s="656"/>
      <c r="M5738" s="657"/>
      <c r="N5738" s="1482"/>
      <c r="O5738" s="656" t="s">
        <v>498</v>
      </c>
      <c r="P5738" s="656" t="s">
        <v>13052</v>
      </c>
      <c r="Q5738" s="656">
        <v>44216.755324074074</v>
      </c>
    </row>
    <row r="5739" spans="1:17">
      <c r="A5739" s="656" t="s">
        <v>8338</v>
      </c>
      <c r="B5739" s="657" t="s">
        <v>504</v>
      </c>
      <c r="C5739" s="656" t="s">
        <v>8339</v>
      </c>
      <c r="D5739" s="657"/>
      <c r="E5739" s="657"/>
      <c r="F5739" s="656" t="s">
        <v>505</v>
      </c>
      <c r="G5739" s="656" t="s">
        <v>4394</v>
      </c>
      <c r="H5739" s="656" t="s">
        <v>505</v>
      </c>
      <c r="I5739" s="656"/>
      <c r="J5739" s="656"/>
      <c r="K5739" s="656"/>
      <c r="L5739" s="656"/>
      <c r="M5739" s="657"/>
      <c r="N5739" s="1482"/>
      <c r="O5739" s="656" t="s">
        <v>498</v>
      </c>
      <c r="P5739" s="656" t="s">
        <v>13052</v>
      </c>
      <c r="Q5739" s="656">
        <v>44216.755312499998</v>
      </c>
    </row>
    <row r="5740" spans="1:17">
      <c r="A5740" s="656" t="s">
        <v>8340</v>
      </c>
      <c r="B5740" s="657" t="s">
        <v>504</v>
      </c>
      <c r="C5740" s="656" t="s">
        <v>8341</v>
      </c>
      <c r="D5740" s="657"/>
      <c r="E5740" s="657"/>
      <c r="F5740" s="656" t="s">
        <v>505</v>
      </c>
      <c r="G5740" s="656" t="s">
        <v>4394</v>
      </c>
      <c r="H5740" s="656" t="s">
        <v>505</v>
      </c>
      <c r="I5740" s="656"/>
      <c r="J5740" s="656"/>
      <c r="K5740" s="656"/>
      <c r="L5740" s="656"/>
      <c r="M5740" s="657"/>
      <c r="N5740" s="1482"/>
      <c r="O5740" s="656" t="s">
        <v>498</v>
      </c>
      <c r="P5740" s="656" t="s">
        <v>13052</v>
      </c>
      <c r="Q5740" s="656">
        <v>44216.755300925928</v>
      </c>
    </row>
    <row r="5741" spans="1:17">
      <c r="A5741" s="656" t="s">
        <v>8342</v>
      </c>
      <c r="B5741" s="657" t="s">
        <v>504</v>
      </c>
      <c r="C5741" s="656" t="s">
        <v>8343</v>
      </c>
      <c r="D5741" s="657"/>
      <c r="E5741" s="657"/>
      <c r="F5741" s="656" t="s">
        <v>505</v>
      </c>
      <c r="G5741" s="656" t="s">
        <v>4394</v>
      </c>
      <c r="H5741" s="656" t="s">
        <v>505</v>
      </c>
      <c r="I5741" s="656"/>
      <c r="J5741" s="656"/>
      <c r="K5741" s="656"/>
      <c r="L5741" s="656"/>
      <c r="M5741" s="657"/>
      <c r="N5741" s="1482"/>
      <c r="O5741" s="656" t="s">
        <v>498</v>
      </c>
      <c r="P5741" s="656" t="s">
        <v>13052</v>
      </c>
      <c r="Q5741" s="656">
        <v>44216.755300925928</v>
      </c>
    </row>
    <row r="5742" spans="1:17">
      <c r="A5742" s="656" t="s">
        <v>8344</v>
      </c>
      <c r="B5742" s="657" t="s">
        <v>504</v>
      </c>
      <c r="C5742" s="656" t="s">
        <v>13689</v>
      </c>
      <c r="D5742" s="657" t="s">
        <v>13789</v>
      </c>
      <c r="E5742" s="657" t="s">
        <v>9510</v>
      </c>
      <c r="F5742" s="656" t="s">
        <v>505</v>
      </c>
      <c r="G5742" s="656" t="s">
        <v>525</v>
      </c>
      <c r="H5742" s="656" t="s">
        <v>505</v>
      </c>
      <c r="I5742" s="656" t="s">
        <v>14976</v>
      </c>
      <c r="J5742" s="656"/>
      <c r="K5742" s="656"/>
      <c r="L5742" s="656" t="s">
        <v>8653</v>
      </c>
      <c r="M5742" s="657"/>
      <c r="N5742" s="1482"/>
      <c r="O5742" s="656" t="s">
        <v>498</v>
      </c>
      <c r="P5742" s="656" t="s">
        <v>13052</v>
      </c>
      <c r="Q5742" s="656">
        <v>44216.755289351851</v>
      </c>
    </row>
    <row r="5743" spans="1:17">
      <c r="A5743" s="656" t="s">
        <v>8345</v>
      </c>
      <c r="B5743" s="657" t="s">
        <v>504</v>
      </c>
      <c r="C5743" s="656" t="s">
        <v>8346</v>
      </c>
      <c r="D5743" s="657" t="s">
        <v>13789</v>
      </c>
      <c r="E5743" s="657" t="s">
        <v>9458</v>
      </c>
      <c r="F5743" s="656" t="s">
        <v>505</v>
      </c>
      <c r="G5743" s="656" t="s">
        <v>525</v>
      </c>
      <c r="H5743" s="656" t="s">
        <v>505</v>
      </c>
      <c r="I5743" s="656" t="s">
        <v>14976</v>
      </c>
      <c r="J5743" s="656"/>
      <c r="K5743" s="656"/>
      <c r="L5743" s="656"/>
      <c r="M5743" s="657"/>
      <c r="N5743" s="1482"/>
      <c r="O5743" s="656" t="s">
        <v>498</v>
      </c>
      <c r="P5743" s="656" t="s">
        <v>13052</v>
      </c>
      <c r="Q5743" s="656">
        <v>44216.755289351851</v>
      </c>
    </row>
    <row r="5744" spans="1:17">
      <c r="A5744" s="656" t="s">
        <v>13529</v>
      </c>
      <c r="B5744" s="657" t="s">
        <v>504</v>
      </c>
      <c r="C5744" s="656" t="s">
        <v>8347</v>
      </c>
      <c r="D5744" s="657" t="s">
        <v>14978</v>
      </c>
      <c r="E5744" s="657" t="s">
        <v>7439</v>
      </c>
      <c r="F5744" s="656" t="s">
        <v>505</v>
      </c>
      <c r="G5744" s="656" t="s">
        <v>525</v>
      </c>
      <c r="H5744" s="656" t="s">
        <v>505</v>
      </c>
      <c r="I5744" s="656" t="s">
        <v>14976</v>
      </c>
      <c r="J5744" s="656"/>
      <c r="K5744" s="656"/>
      <c r="L5744" s="656" t="s">
        <v>8352</v>
      </c>
      <c r="M5744" s="657"/>
      <c r="N5744" s="1482"/>
      <c r="O5744" s="656" t="s">
        <v>498</v>
      </c>
      <c r="P5744" s="656" t="s">
        <v>13052</v>
      </c>
      <c r="Q5744" s="656">
        <v>44216.755277777775</v>
      </c>
    </row>
    <row r="5745" spans="1:17">
      <c r="A5745" s="656" t="s">
        <v>8348</v>
      </c>
      <c r="B5745" s="657" t="s">
        <v>504</v>
      </c>
      <c r="C5745" s="656" t="s">
        <v>8349</v>
      </c>
      <c r="D5745" s="657"/>
      <c r="E5745" s="657" t="s">
        <v>7439</v>
      </c>
      <c r="F5745" s="656" t="s">
        <v>505</v>
      </c>
      <c r="G5745" s="656" t="s">
        <v>525</v>
      </c>
      <c r="H5745" s="656" t="s">
        <v>505</v>
      </c>
      <c r="I5745" s="656"/>
      <c r="J5745" s="656"/>
      <c r="K5745" s="656"/>
      <c r="L5745" s="656"/>
      <c r="M5745" s="657"/>
      <c r="N5745" s="1482"/>
      <c r="O5745" s="656" t="s">
        <v>498</v>
      </c>
      <c r="P5745" s="656" t="s">
        <v>13052</v>
      </c>
      <c r="Q5745" s="656">
        <v>44216.755277777775</v>
      </c>
    </row>
    <row r="5746" spans="1:17">
      <c r="A5746" s="656" t="s">
        <v>8350</v>
      </c>
      <c r="B5746" s="657" t="s">
        <v>504</v>
      </c>
      <c r="C5746" s="656" t="s">
        <v>8351</v>
      </c>
      <c r="D5746" s="657"/>
      <c r="E5746" s="657" t="s">
        <v>9654</v>
      </c>
      <c r="F5746" s="656" t="s">
        <v>505</v>
      </c>
      <c r="G5746" s="656" t="s">
        <v>525</v>
      </c>
      <c r="H5746" s="656" t="s">
        <v>505</v>
      </c>
      <c r="I5746" s="656"/>
      <c r="J5746" s="656"/>
      <c r="K5746" s="656"/>
      <c r="L5746" s="656" t="s">
        <v>8352</v>
      </c>
      <c r="M5746" s="657"/>
      <c r="N5746" s="1482"/>
      <c r="O5746" s="656" t="s">
        <v>498</v>
      </c>
      <c r="P5746" s="656" t="s">
        <v>13052</v>
      </c>
      <c r="Q5746" s="656">
        <v>44216.755266203705</v>
      </c>
    </row>
    <row r="5747" spans="1:17">
      <c r="A5747" s="656" t="s">
        <v>8352</v>
      </c>
      <c r="B5747" s="657" t="s">
        <v>504</v>
      </c>
      <c r="C5747" s="656" t="s">
        <v>8353</v>
      </c>
      <c r="D5747" s="657"/>
      <c r="E5747" s="657"/>
      <c r="F5747" s="656" t="s">
        <v>505</v>
      </c>
      <c r="G5747" s="656" t="s">
        <v>4394</v>
      </c>
      <c r="H5747" s="656" t="s">
        <v>505</v>
      </c>
      <c r="I5747" s="656"/>
      <c r="J5747" s="656"/>
      <c r="K5747" s="656"/>
      <c r="L5747" s="656"/>
      <c r="M5747" s="657"/>
      <c r="N5747" s="1482"/>
      <c r="O5747" s="656" t="s">
        <v>498</v>
      </c>
      <c r="P5747" s="656" t="s">
        <v>13052</v>
      </c>
      <c r="Q5747" s="656">
        <v>44216.755266203705</v>
      </c>
    </row>
    <row r="5748" spans="1:17">
      <c r="A5748" s="656" t="s">
        <v>8354</v>
      </c>
      <c r="B5748" s="657" t="s">
        <v>504</v>
      </c>
      <c r="C5748" s="656" t="s">
        <v>8355</v>
      </c>
      <c r="D5748" s="657"/>
      <c r="E5748" s="657"/>
      <c r="F5748" s="656" t="s">
        <v>505</v>
      </c>
      <c r="G5748" s="656" t="s">
        <v>4394</v>
      </c>
      <c r="H5748" s="656" t="s">
        <v>505</v>
      </c>
      <c r="I5748" s="656"/>
      <c r="J5748" s="656"/>
      <c r="K5748" s="656"/>
      <c r="L5748" s="656"/>
      <c r="M5748" s="657"/>
      <c r="N5748" s="1482"/>
      <c r="O5748" s="656" t="s">
        <v>498</v>
      </c>
      <c r="P5748" s="656" t="s">
        <v>13052</v>
      </c>
      <c r="Q5748" s="656">
        <v>44216.755254629628</v>
      </c>
    </row>
    <row r="5749" spans="1:17">
      <c r="A5749" s="656" t="s">
        <v>8356</v>
      </c>
      <c r="B5749" s="657" t="s">
        <v>504</v>
      </c>
      <c r="C5749" s="656" t="s">
        <v>8357</v>
      </c>
      <c r="D5749" s="657"/>
      <c r="E5749" s="657"/>
      <c r="F5749" s="656" t="s">
        <v>505</v>
      </c>
      <c r="G5749" s="656" t="s">
        <v>4394</v>
      </c>
      <c r="H5749" s="656" t="s">
        <v>505</v>
      </c>
      <c r="I5749" s="656"/>
      <c r="J5749" s="656"/>
      <c r="K5749" s="656"/>
      <c r="L5749" s="656"/>
      <c r="M5749" s="657"/>
      <c r="N5749" s="1482"/>
      <c r="O5749" s="656" t="s">
        <v>498</v>
      </c>
      <c r="P5749" s="656" t="s">
        <v>13052</v>
      </c>
      <c r="Q5749" s="656">
        <v>44216.755254629628</v>
      </c>
    </row>
    <row r="5750" spans="1:17">
      <c r="A5750" s="656" t="s">
        <v>8358</v>
      </c>
      <c r="B5750" s="657" t="s">
        <v>504</v>
      </c>
      <c r="C5750" s="656" t="s">
        <v>8359</v>
      </c>
      <c r="D5750" s="657"/>
      <c r="E5750" s="657"/>
      <c r="F5750" s="656" t="s">
        <v>505</v>
      </c>
      <c r="G5750" s="656" t="s">
        <v>4324</v>
      </c>
      <c r="H5750" s="656" t="s">
        <v>505</v>
      </c>
      <c r="I5750" s="656"/>
      <c r="J5750" s="656"/>
      <c r="K5750" s="656"/>
      <c r="L5750" s="656"/>
      <c r="M5750" s="657"/>
      <c r="N5750" s="1482"/>
      <c r="O5750" s="656" t="s">
        <v>498</v>
      </c>
      <c r="P5750" s="656" t="s">
        <v>13052</v>
      </c>
      <c r="Q5750" s="656">
        <v>44216.755243055559</v>
      </c>
    </row>
    <row r="5751" spans="1:17">
      <c r="A5751" s="656" t="s">
        <v>8360</v>
      </c>
      <c r="B5751" s="657" t="s">
        <v>504</v>
      </c>
      <c r="C5751" s="656" t="s">
        <v>8361</v>
      </c>
      <c r="D5751" s="657"/>
      <c r="E5751" s="657"/>
      <c r="F5751" s="656" t="s">
        <v>505</v>
      </c>
      <c r="G5751" s="656" t="s">
        <v>4324</v>
      </c>
      <c r="H5751" s="656" t="s">
        <v>505</v>
      </c>
      <c r="I5751" s="656"/>
      <c r="J5751" s="656"/>
      <c r="K5751" s="656"/>
      <c r="L5751" s="656"/>
      <c r="M5751" s="657"/>
      <c r="N5751" s="1482"/>
      <c r="O5751" s="656" t="s">
        <v>498</v>
      </c>
      <c r="P5751" s="656" t="s">
        <v>13052</v>
      </c>
      <c r="Q5751" s="656">
        <v>44216.755254629628</v>
      </c>
    </row>
    <row r="5752" spans="1:17">
      <c r="A5752" s="656" t="s">
        <v>8362</v>
      </c>
      <c r="B5752" s="657" t="s">
        <v>504</v>
      </c>
      <c r="C5752" s="656" t="s">
        <v>8363</v>
      </c>
      <c r="D5752" s="657"/>
      <c r="E5752" s="657"/>
      <c r="F5752" s="656" t="s">
        <v>505</v>
      </c>
      <c r="G5752" s="656" t="s">
        <v>4324</v>
      </c>
      <c r="H5752" s="656" t="s">
        <v>505</v>
      </c>
      <c r="I5752" s="656"/>
      <c r="J5752" s="656"/>
      <c r="K5752" s="656"/>
      <c r="L5752" s="656"/>
      <c r="M5752" s="657"/>
      <c r="N5752" s="1482"/>
      <c r="O5752" s="656" t="s">
        <v>498</v>
      </c>
      <c r="P5752" s="656" t="s">
        <v>13052</v>
      </c>
      <c r="Q5752" s="656">
        <v>44216.755243055559</v>
      </c>
    </row>
    <row r="5753" spans="1:17">
      <c r="A5753" s="656" t="s">
        <v>8364</v>
      </c>
      <c r="B5753" s="657" t="s">
        <v>504</v>
      </c>
      <c r="C5753" s="656" t="s">
        <v>8365</v>
      </c>
      <c r="D5753" s="657"/>
      <c r="E5753" s="657"/>
      <c r="F5753" s="656" t="s">
        <v>505</v>
      </c>
      <c r="G5753" s="656" t="s">
        <v>4324</v>
      </c>
      <c r="H5753" s="656" t="s">
        <v>505</v>
      </c>
      <c r="I5753" s="656"/>
      <c r="J5753" s="656"/>
      <c r="K5753" s="656"/>
      <c r="L5753" s="656"/>
      <c r="M5753" s="657"/>
      <c r="N5753" s="1482"/>
      <c r="O5753" s="656" t="s">
        <v>498</v>
      </c>
      <c r="P5753" s="656" t="s">
        <v>13052</v>
      </c>
      <c r="Q5753" s="656">
        <v>44216.755231481482</v>
      </c>
    </row>
    <row r="5754" spans="1:17">
      <c r="A5754" s="656" t="s">
        <v>8366</v>
      </c>
      <c r="B5754" s="657" t="s">
        <v>504</v>
      </c>
      <c r="C5754" s="656" t="s">
        <v>8367</v>
      </c>
      <c r="D5754" s="657"/>
      <c r="E5754" s="657"/>
      <c r="F5754" s="656" t="s">
        <v>505</v>
      </c>
      <c r="G5754" s="656" t="s">
        <v>4324</v>
      </c>
      <c r="H5754" s="656" t="s">
        <v>505</v>
      </c>
      <c r="I5754" s="656"/>
      <c r="J5754" s="656"/>
      <c r="K5754" s="656"/>
      <c r="L5754" s="656"/>
      <c r="M5754" s="657"/>
      <c r="N5754" s="1482"/>
      <c r="O5754" s="656" t="s">
        <v>498</v>
      </c>
      <c r="P5754" s="656" t="s">
        <v>13052</v>
      </c>
      <c r="Q5754" s="656">
        <v>44216.755219907405</v>
      </c>
    </row>
    <row r="5755" spans="1:17">
      <c r="A5755" s="656" t="s">
        <v>8368</v>
      </c>
      <c r="B5755" s="657" t="s">
        <v>504</v>
      </c>
      <c r="C5755" s="656" t="s">
        <v>8369</v>
      </c>
      <c r="D5755" s="657"/>
      <c r="E5755" s="657"/>
      <c r="F5755" s="656" t="s">
        <v>505</v>
      </c>
      <c r="G5755" s="656" t="s">
        <v>4324</v>
      </c>
      <c r="H5755" s="656" t="s">
        <v>505</v>
      </c>
      <c r="I5755" s="656"/>
      <c r="J5755" s="656"/>
      <c r="K5755" s="656"/>
      <c r="L5755" s="656"/>
      <c r="M5755" s="657"/>
      <c r="N5755" s="1482"/>
      <c r="O5755" s="656" t="s">
        <v>498</v>
      </c>
      <c r="P5755" s="656" t="s">
        <v>13052</v>
      </c>
      <c r="Q5755" s="656">
        <v>44216.755219907405</v>
      </c>
    </row>
    <row r="5756" spans="1:17">
      <c r="A5756" s="656" t="s">
        <v>8370</v>
      </c>
      <c r="B5756" s="657" t="s">
        <v>504</v>
      </c>
      <c r="C5756" s="656" t="s">
        <v>8371</v>
      </c>
      <c r="D5756" s="657"/>
      <c r="E5756" s="657"/>
      <c r="F5756" s="656" t="s">
        <v>505</v>
      </c>
      <c r="G5756" s="656" t="s">
        <v>4324</v>
      </c>
      <c r="H5756" s="656" t="s">
        <v>505</v>
      </c>
      <c r="I5756" s="656"/>
      <c r="J5756" s="656"/>
      <c r="K5756" s="656"/>
      <c r="L5756" s="656"/>
      <c r="M5756" s="657"/>
      <c r="N5756" s="1482"/>
      <c r="O5756" s="656" t="s">
        <v>498</v>
      </c>
      <c r="P5756" s="656" t="s">
        <v>13052</v>
      </c>
      <c r="Q5756" s="656">
        <v>44216.755219907405</v>
      </c>
    </row>
    <row r="5757" spans="1:17">
      <c r="A5757" s="656" t="s">
        <v>8372</v>
      </c>
      <c r="B5757" s="657" t="s">
        <v>504</v>
      </c>
      <c r="C5757" s="656" t="s">
        <v>8373</v>
      </c>
      <c r="D5757" s="657"/>
      <c r="E5757" s="657"/>
      <c r="F5757" s="656" t="s">
        <v>505</v>
      </c>
      <c r="G5757" s="656" t="s">
        <v>4324</v>
      </c>
      <c r="H5757" s="656" t="s">
        <v>505</v>
      </c>
      <c r="I5757" s="656"/>
      <c r="J5757" s="656"/>
      <c r="K5757" s="656"/>
      <c r="L5757" s="656"/>
      <c r="M5757" s="657"/>
      <c r="N5757" s="1482"/>
      <c r="O5757" s="656" t="s">
        <v>498</v>
      </c>
      <c r="P5757" s="656" t="s">
        <v>13052</v>
      </c>
      <c r="Q5757" s="656">
        <v>44216.755208333336</v>
      </c>
    </row>
    <row r="5758" spans="1:17">
      <c r="A5758" s="656" t="s">
        <v>8374</v>
      </c>
      <c r="B5758" s="657" t="s">
        <v>504</v>
      </c>
      <c r="C5758" s="656" t="s">
        <v>8375</v>
      </c>
      <c r="D5758" s="657"/>
      <c r="E5758" s="657"/>
      <c r="F5758" s="656" t="s">
        <v>505</v>
      </c>
      <c r="G5758" s="656" t="s">
        <v>4324</v>
      </c>
      <c r="H5758" s="656" t="s">
        <v>505</v>
      </c>
      <c r="I5758" s="656"/>
      <c r="J5758" s="656"/>
      <c r="K5758" s="656"/>
      <c r="L5758" s="656"/>
      <c r="M5758" s="657"/>
      <c r="N5758" s="1482"/>
      <c r="O5758" s="656" t="s">
        <v>498</v>
      </c>
      <c r="P5758" s="656" t="s">
        <v>13052</v>
      </c>
      <c r="Q5758" s="656">
        <v>44216.755196759259</v>
      </c>
    </row>
    <row r="5759" spans="1:17">
      <c r="A5759" s="656" t="s">
        <v>8376</v>
      </c>
      <c r="B5759" s="657" t="s">
        <v>504</v>
      </c>
      <c r="C5759" s="656" t="s">
        <v>8377</v>
      </c>
      <c r="D5759" s="657"/>
      <c r="E5759" s="657"/>
      <c r="F5759" s="656" t="s">
        <v>505</v>
      </c>
      <c r="G5759" s="656" t="s">
        <v>4324</v>
      </c>
      <c r="H5759" s="656" t="s">
        <v>505</v>
      </c>
      <c r="I5759" s="656"/>
      <c r="J5759" s="656"/>
      <c r="K5759" s="656"/>
      <c r="L5759" s="656"/>
      <c r="M5759" s="657"/>
      <c r="N5759" s="1482"/>
      <c r="O5759" s="656" t="s">
        <v>498</v>
      </c>
      <c r="P5759" s="656" t="s">
        <v>13052</v>
      </c>
      <c r="Q5759" s="656">
        <v>44216.755196759259</v>
      </c>
    </row>
    <row r="5760" spans="1:17">
      <c r="A5760" s="656" t="s">
        <v>8378</v>
      </c>
      <c r="B5760" s="657" t="s">
        <v>504</v>
      </c>
      <c r="C5760" s="656" t="s">
        <v>8379</v>
      </c>
      <c r="D5760" s="657"/>
      <c r="E5760" s="657"/>
      <c r="F5760" s="656" t="s">
        <v>505</v>
      </c>
      <c r="G5760" s="656" t="s">
        <v>4324</v>
      </c>
      <c r="H5760" s="656" t="s">
        <v>505</v>
      </c>
      <c r="I5760" s="656"/>
      <c r="J5760" s="656"/>
      <c r="K5760" s="656"/>
      <c r="L5760" s="656"/>
      <c r="M5760" s="657"/>
      <c r="N5760" s="1482"/>
      <c r="O5760" s="656" t="s">
        <v>498</v>
      </c>
      <c r="P5760" s="656" t="s">
        <v>13052</v>
      </c>
      <c r="Q5760" s="656">
        <v>44216.755196759259</v>
      </c>
    </row>
    <row r="5761" spans="1:17">
      <c r="A5761" s="656" t="s">
        <v>8380</v>
      </c>
      <c r="B5761" s="657" t="s">
        <v>504</v>
      </c>
      <c r="C5761" s="656" t="s">
        <v>8381</v>
      </c>
      <c r="D5761" s="657"/>
      <c r="E5761" s="657"/>
      <c r="F5761" s="656" t="s">
        <v>505</v>
      </c>
      <c r="G5761" s="656" t="s">
        <v>4394</v>
      </c>
      <c r="H5761" s="656" t="s">
        <v>505</v>
      </c>
      <c r="I5761" s="656"/>
      <c r="J5761" s="656"/>
      <c r="K5761" s="656"/>
      <c r="L5761" s="656"/>
      <c r="M5761" s="657"/>
      <c r="N5761" s="1482"/>
      <c r="O5761" s="656" t="s">
        <v>498</v>
      </c>
      <c r="P5761" s="656" t="s">
        <v>13052</v>
      </c>
      <c r="Q5761" s="656">
        <v>44216.755185185182</v>
      </c>
    </row>
    <row r="5762" spans="1:17">
      <c r="A5762" s="656" t="s">
        <v>8382</v>
      </c>
      <c r="B5762" s="657" t="s">
        <v>504</v>
      </c>
      <c r="C5762" s="656" t="s">
        <v>8383</v>
      </c>
      <c r="D5762" s="657"/>
      <c r="E5762" s="657"/>
      <c r="F5762" s="656" t="s">
        <v>505</v>
      </c>
      <c r="G5762" s="656" t="s">
        <v>4394</v>
      </c>
      <c r="H5762" s="656" t="s">
        <v>505</v>
      </c>
      <c r="I5762" s="656"/>
      <c r="J5762" s="656"/>
      <c r="K5762" s="656"/>
      <c r="L5762" s="656"/>
      <c r="M5762" s="657"/>
      <c r="N5762" s="1482"/>
      <c r="O5762" s="656" t="s">
        <v>498</v>
      </c>
      <c r="P5762" s="656" t="s">
        <v>13052</v>
      </c>
      <c r="Q5762" s="656">
        <v>44216.755185185182</v>
      </c>
    </row>
    <row r="5763" spans="1:17">
      <c r="A5763" s="656" t="s">
        <v>8384</v>
      </c>
      <c r="B5763" s="657" t="s">
        <v>504</v>
      </c>
      <c r="C5763" s="656" t="s">
        <v>8385</v>
      </c>
      <c r="D5763" s="657"/>
      <c r="E5763" s="657"/>
      <c r="F5763" s="656" t="s">
        <v>505</v>
      </c>
      <c r="G5763" s="656" t="s">
        <v>4394</v>
      </c>
      <c r="H5763" s="656" t="s">
        <v>505</v>
      </c>
      <c r="I5763" s="656"/>
      <c r="J5763" s="656"/>
      <c r="K5763" s="656"/>
      <c r="L5763" s="656"/>
      <c r="M5763" s="657"/>
      <c r="N5763" s="1482"/>
      <c r="O5763" s="656" t="s">
        <v>498</v>
      </c>
      <c r="P5763" s="656" t="s">
        <v>13052</v>
      </c>
      <c r="Q5763" s="656">
        <v>44216.755173611113</v>
      </c>
    </row>
    <row r="5764" spans="1:17">
      <c r="A5764" s="656" t="s">
        <v>8386</v>
      </c>
      <c r="B5764" s="657" t="s">
        <v>504</v>
      </c>
      <c r="C5764" s="656" t="s">
        <v>8387</v>
      </c>
      <c r="D5764" s="657"/>
      <c r="E5764" s="657"/>
      <c r="F5764" s="656" t="s">
        <v>505</v>
      </c>
      <c r="G5764" s="656" t="s">
        <v>4394</v>
      </c>
      <c r="H5764" s="656" t="s">
        <v>505</v>
      </c>
      <c r="I5764" s="656"/>
      <c r="J5764" s="656"/>
      <c r="K5764" s="656"/>
      <c r="L5764" s="656"/>
      <c r="M5764" s="657"/>
      <c r="N5764" s="1482"/>
      <c r="O5764" s="656" t="s">
        <v>498</v>
      </c>
      <c r="P5764" s="656" t="s">
        <v>13052</v>
      </c>
      <c r="Q5764" s="656">
        <v>44216.755173611113</v>
      </c>
    </row>
    <row r="5765" spans="1:17">
      <c r="A5765" s="656" t="s">
        <v>8388</v>
      </c>
      <c r="B5765" s="657" t="s">
        <v>504</v>
      </c>
      <c r="C5765" s="656" t="s">
        <v>8389</v>
      </c>
      <c r="D5765" s="657"/>
      <c r="E5765" s="657"/>
      <c r="F5765" s="656" t="s">
        <v>505</v>
      </c>
      <c r="G5765" s="656" t="s">
        <v>4324</v>
      </c>
      <c r="H5765" s="656" t="s">
        <v>505</v>
      </c>
      <c r="I5765" s="656"/>
      <c r="J5765" s="656"/>
      <c r="K5765" s="656"/>
      <c r="L5765" s="656"/>
      <c r="M5765" s="657"/>
      <c r="N5765" s="1482"/>
      <c r="O5765" s="656" t="s">
        <v>498</v>
      </c>
      <c r="P5765" s="656" t="s">
        <v>13052</v>
      </c>
      <c r="Q5765" s="656">
        <v>44216.755173611113</v>
      </c>
    </row>
    <row r="5766" spans="1:17">
      <c r="A5766" s="656" t="s">
        <v>8390</v>
      </c>
      <c r="B5766" s="657" t="s">
        <v>504</v>
      </c>
      <c r="C5766" s="656" t="s">
        <v>8391</v>
      </c>
      <c r="D5766" s="657"/>
      <c r="E5766" s="657"/>
      <c r="F5766" s="656" t="s">
        <v>505</v>
      </c>
      <c r="G5766" s="656" t="s">
        <v>4394</v>
      </c>
      <c r="H5766" s="656" t="s">
        <v>505</v>
      </c>
      <c r="I5766" s="656"/>
      <c r="J5766" s="656"/>
      <c r="K5766" s="656"/>
      <c r="L5766" s="656"/>
      <c r="M5766" s="657"/>
      <c r="N5766" s="1482"/>
      <c r="O5766" s="656" t="s">
        <v>498</v>
      </c>
      <c r="P5766" s="656" t="s">
        <v>13052</v>
      </c>
      <c r="Q5766" s="656">
        <v>44216.755162037036</v>
      </c>
    </row>
    <row r="5767" spans="1:17">
      <c r="A5767" s="656" t="s">
        <v>8392</v>
      </c>
      <c r="B5767" s="657" t="s">
        <v>504</v>
      </c>
      <c r="C5767" s="656" t="s">
        <v>8393</v>
      </c>
      <c r="D5767" s="657"/>
      <c r="E5767" s="657"/>
      <c r="F5767" s="656" t="s">
        <v>505</v>
      </c>
      <c r="G5767" s="656" t="s">
        <v>4394</v>
      </c>
      <c r="H5767" s="656" t="s">
        <v>505</v>
      </c>
      <c r="I5767" s="656"/>
      <c r="J5767" s="656"/>
      <c r="K5767" s="656"/>
      <c r="L5767" s="656"/>
      <c r="M5767" s="657"/>
      <c r="N5767" s="1482"/>
      <c r="O5767" s="656" t="s">
        <v>498</v>
      </c>
      <c r="P5767" s="656" t="s">
        <v>13052</v>
      </c>
      <c r="Q5767" s="656">
        <v>44216.755162037036</v>
      </c>
    </row>
    <row r="5768" spans="1:17">
      <c r="A5768" s="656" t="s">
        <v>8394</v>
      </c>
      <c r="B5768" s="657" t="s">
        <v>504</v>
      </c>
      <c r="C5768" s="656" t="s">
        <v>6905</v>
      </c>
      <c r="D5768" s="657"/>
      <c r="E5768" s="657"/>
      <c r="F5768" s="656" t="s">
        <v>505</v>
      </c>
      <c r="G5768" s="656" t="s">
        <v>4394</v>
      </c>
      <c r="H5768" s="656" t="s">
        <v>505</v>
      </c>
      <c r="I5768" s="656"/>
      <c r="J5768" s="656"/>
      <c r="K5768" s="656"/>
      <c r="L5768" s="656"/>
      <c r="M5768" s="657"/>
      <c r="N5768" s="1482"/>
      <c r="O5768" s="656" t="s">
        <v>498</v>
      </c>
      <c r="P5768" s="656" t="s">
        <v>13052</v>
      </c>
      <c r="Q5768" s="656">
        <v>44216.755150462966</v>
      </c>
    </row>
    <row r="5769" spans="1:17">
      <c r="A5769" s="656" t="s">
        <v>8395</v>
      </c>
      <c r="B5769" s="657" t="s">
        <v>504</v>
      </c>
      <c r="C5769" s="656" t="s">
        <v>8396</v>
      </c>
      <c r="D5769" s="657"/>
      <c r="E5769" s="657"/>
      <c r="F5769" s="656" t="s">
        <v>505</v>
      </c>
      <c r="G5769" s="656" t="s">
        <v>4394</v>
      </c>
      <c r="H5769" s="656" t="s">
        <v>505</v>
      </c>
      <c r="I5769" s="656"/>
      <c r="J5769" s="656"/>
      <c r="K5769" s="656"/>
      <c r="L5769" s="656"/>
      <c r="M5769" s="657"/>
      <c r="N5769" s="1482"/>
      <c r="O5769" s="656" t="s">
        <v>498</v>
      </c>
      <c r="P5769" s="656" t="s">
        <v>13052</v>
      </c>
      <c r="Q5769" s="656">
        <v>44216.75513888889</v>
      </c>
    </row>
  </sheetData>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EA734-D668-4352-9669-D7C54C596D69}">
  <sheetPr>
    <tabColor rgb="FF002060"/>
  </sheetPr>
  <dimension ref="A1:AB1870"/>
  <sheetViews>
    <sheetView workbookViewId="0">
      <selection activeCell="D416" sqref="D416:D422"/>
    </sheetView>
  </sheetViews>
  <sheetFormatPr defaultColWidth="9.1796875" defaultRowHeight="14.5"/>
  <cols>
    <col min="1" max="1" width="24.54296875" style="136" bestFit="1" customWidth="1"/>
    <col min="2" max="2" width="80.7265625" style="136" bestFit="1" customWidth="1"/>
    <col min="3" max="3" width="14.7265625" style="136" bestFit="1" customWidth="1"/>
    <col min="4" max="4" width="19.6328125" style="136" bestFit="1" customWidth="1"/>
    <col min="5" max="5" width="14.36328125" style="136" bestFit="1" customWidth="1"/>
    <col min="6" max="6" width="13.08984375" style="136" bestFit="1" customWidth="1"/>
    <col min="7" max="7" width="80.7265625" style="136" bestFit="1" customWidth="1"/>
    <col min="8" max="8" width="12" style="136" bestFit="1" customWidth="1"/>
    <col min="9" max="9" width="13.7265625" style="136" bestFit="1" customWidth="1"/>
    <col min="10" max="10" width="14.08984375" style="136" bestFit="1" customWidth="1"/>
    <col min="11" max="11" width="16.453125" style="136" bestFit="1" customWidth="1"/>
    <col min="12" max="12" width="16.1796875" style="136" bestFit="1" customWidth="1"/>
    <col min="13" max="13" width="16.26953125" style="136" bestFit="1" customWidth="1"/>
    <col min="14" max="14" width="17.81640625" style="136" bestFit="1" customWidth="1"/>
    <col min="15" max="15" width="12.90625" style="136" bestFit="1" customWidth="1"/>
    <col min="16" max="16" width="80.7265625" style="136" bestFit="1" customWidth="1"/>
    <col min="17" max="17" width="14.1796875" style="136" bestFit="1" customWidth="1"/>
    <col min="18" max="18" width="15.7265625" style="136" bestFit="1" customWidth="1"/>
    <col min="19" max="19" width="24" style="136" bestFit="1" customWidth="1"/>
    <col min="20" max="21" width="22.36328125" style="136" bestFit="1" customWidth="1"/>
    <col min="22" max="22" width="11.1796875" style="136" bestFit="1" customWidth="1"/>
    <col min="23" max="23" width="12.7265625" style="136" bestFit="1" customWidth="1"/>
    <col min="24" max="24" width="11.453125" style="136" bestFit="1" customWidth="1"/>
    <col min="25" max="25" width="51.90625" style="136" bestFit="1" customWidth="1"/>
    <col min="26" max="26" width="11.36328125" style="136" bestFit="1" customWidth="1"/>
    <col min="27" max="27" width="17.90625" style="136" bestFit="1" customWidth="1"/>
    <col min="28" max="28" width="24.453125" style="136" bestFit="1" customWidth="1"/>
    <col min="29" max="29" width="7.54296875" style="136" bestFit="1" customWidth="1"/>
    <col min="30" max="30" width="13.7265625" style="136" bestFit="1" customWidth="1"/>
    <col min="31" max="31" width="12.1796875" style="136" bestFit="1" customWidth="1"/>
    <col min="32" max="32" width="56.1796875" style="136" bestFit="1" customWidth="1"/>
    <col min="33" max="33" width="14.54296875" style="136" bestFit="1" customWidth="1"/>
    <col min="34" max="34" width="13.453125" style="136" bestFit="1" customWidth="1"/>
    <col min="35" max="35" width="11.81640625" style="136" bestFit="1" customWidth="1"/>
    <col min="36" max="36" width="16.26953125" style="136" bestFit="1" customWidth="1"/>
    <col min="37" max="37" width="11.7265625" style="136" bestFit="1" customWidth="1"/>
    <col min="38" max="38" width="55" style="136" bestFit="1" customWidth="1"/>
    <col min="39" max="16384" width="9.1796875" style="136"/>
  </cols>
  <sheetData>
    <row r="1" spans="1:28">
      <c r="A1" s="136" t="s">
        <v>9699</v>
      </c>
      <c r="B1" s="136" t="s">
        <v>9700</v>
      </c>
      <c r="C1" s="136" t="s">
        <v>180</v>
      </c>
      <c r="D1" s="136" t="s">
        <v>9704</v>
      </c>
      <c r="E1" s="136" t="s">
        <v>81</v>
      </c>
      <c r="F1" s="136" t="s">
        <v>9708</v>
      </c>
      <c r="G1" s="136" t="s">
        <v>9701</v>
      </c>
      <c r="H1" s="136" t="s">
        <v>9703</v>
      </c>
      <c r="I1" s="136" t="s">
        <v>14269</v>
      </c>
      <c r="J1" s="136" t="s">
        <v>14270</v>
      </c>
      <c r="K1" s="136" t="s">
        <v>94</v>
      </c>
      <c r="L1" s="136" t="s">
        <v>14271</v>
      </c>
      <c r="M1" s="136" t="s">
        <v>9705</v>
      </c>
      <c r="N1" s="136" t="s">
        <v>9709</v>
      </c>
      <c r="O1" s="136" t="s">
        <v>9706</v>
      </c>
      <c r="P1" s="136" t="s">
        <v>32</v>
      </c>
      <c r="Q1" s="136" t="s">
        <v>9707</v>
      </c>
      <c r="R1" s="136" t="s">
        <v>9710</v>
      </c>
      <c r="S1" s="136" t="s">
        <v>9702</v>
      </c>
      <c r="T1" s="136" t="s">
        <v>14272</v>
      </c>
      <c r="U1" s="136" t="s">
        <v>14273</v>
      </c>
      <c r="V1" s="136" t="s">
        <v>458</v>
      </c>
      <c r="W1" s="136" t="s">
        <v>14274</v>
      </c>
      <c r="X1" s="136" t="s">
        <v>494</v>
      </c>
      <c r="Y1" s="136" t="s">
        <v>495</v>
      </c>
      <c r="Z1" s="136" t="s">
        <v>15336</v>
      </c>
      <c r="AA1" s="136" t="s">
        <v>15337</v>
      </c>
      <c r="AB1" s="136" t="s">
        <v>16191</v>
      </c>
    </row>
    <row r="2" spans="1:28">
      <c r="A2" s="656" t="s">
        <v>11823</v>
      </c>
      <c r="B2" s="656" t="s">
        <v>9787</v>
      </c>
      <c r="C2" s="656" t="s">
        <v>20</v>
      </c>
      <c r="D2" s="656" t="s">
        <v>11824</v>
      </c>
      <c r="E2" s="656" t="s">
        <v>14275</v>
      </c>
      <c r="F2" s="1447">
        <v>43888</v>
      </c>
      <c r="G2" s="656" t="s">
        <v>9787</v>
      </c>
      <c r="H2" s="656" t="s">
        <v>1777</v>
      </c>
      <c r="I2" s="656"/>
      <c r="J2" s="656"/>
      <c r="K2" s="656"/>
      <c r="L2" s="656" t="s">
        <v>11824</v>
      </c>
      <c r="M2" s="656" t="s">
        <v>16192</v>
      </c>
      <c r="N2" s="656"/>
      <c r="O2" s="656" t="s">
        <v>6387</v>
      </c>
      <c r="P2" s="5"/>
      <c r="Q2" s="1447"/>
      <c r="R2" s="656"/>
      <c r="S2" s="656" t="s">
        <v>655</v>
      </c>
      <c r="T2" s="656" t="s">
        <v>14277</v>
      </c>
      <c r="U2" s="656" t="s">
        <v>655</v>
      </c>
      <c r="V2" s="656"/>
      <c r="W2" s="656" t="s">
        <v>13051</v>
      </c>
      <c r="X2" s="656" t="s">
        <v>498</v>
      </c>
      <c r="Y2" s="656" t="s">
        <v>14278</v>
      </c>
      <c r="Z2" s="656">
        <v>44306.373599537037</v>
      </c>
      <c r="AA2" s="656" t="s">
        <v>16193</v>
      </c>
      <c r="AB2" s="656"/>
    </row>
    <row r="3" spans="1:28">
      <c r="A3" s="656" t="s">
        <v>11821</v>
      </c>
      <c r="B3" s="656" t="s">
        <v>9787</v>
      </c>
      <c r="C3" s="656" t="s">
        <v>20</v>
      </c>
      <c r="D3" s="656" t="s">
        <v>11822</v>
      </c>
      <c r="E3" s="656" t="s">
        <v>14275</v>
      </c>
      <c r="F3" s="1447">
        <v>42989</v>
      </c>
      <c r="G3" s="656" t="s">
        <v>9787</v>
      </c>
      <c r="H3" s="656" t="s">
        <v>1777</v>
      </c>
      <c r="I3" s="656"/>
      <c r="J3" s="656"/>
      <c r="K3" s="656"/>
      <c r="L3" s="656" t="s">
        <v>11822</v>
      </c>
      <c r="M3" s="656" t="s">
        <v>16194</v>
      </c>
      <c r="N3" s="656"/>
      <c r="O3" s="656" t="s">
        <v>6393</v>
      </c>
      <c r="P3" s="5"/>
      <c r="Q3" s="1447"/>
      <c r="R3" s="656"/>
      <c r="S3" s="656" t="s">
        <v>1300</v>
      </c>
      <c r="T3" s="656" t="s">
        <v>4198</v>
      </c>
      <c r="U3" s="656" t="s">
        <v>1300</v>
      </c>
      <c r="V3" s="656"/>
      <c r="W3" s="656" t="s">
        <v>13051</v>
      </c>
      <c r="X3" s="656" t="s">
        <v>498</v>
      </c>
      <c r="Y3" s="656" t="s">
        <v>14278</v>
      </c>
      <c r="Z3" s="656">
        <v>44305.527268518519</v>
      </c>
      <c r="AA3" s="656" t="s">
        <v>14335</v>
      </c>
      <c r="AB3" s="656"/>
    </row>
    <row r="4" spans="1:28">
      <c r="A4" s="656" t="s">
        <v>9786</v>
      </c>
      <c r="B4" s="656" t="s">
        <v>9787</v>
      </c>
      <c r="C4" s="656" t="s">
        <v>20</v>
      </c>
      <c r="D4" s="656" t="s">
        <v>9788</v>
      </c>
      <c r="E4" s="656" t="s">
        <v>14275</v>
      </c>
      <c r="F4" s="1447">
        <v>44188</v>
      </c>
      <c r="G4" s="656" t="s">
        <v>9787</v>
      </c>
      <c r="H4" s="656" t="s">
        <v>1777</v>
      </c>
      <c r="I4" s="656"/>
      <c r="J4" s="656"/>
      <c r="K4" s="656"/>
      <c r="L4" s="656" t="s">
        <v>9788</v>
      </c>
      <c r="M4" s="656" t="s">
        <v>16194</v>
      </c>
      <c r="N4" s="656"/>
      <c r="O4" s="656" t="s">
        <v>6395</v>
      </c>
      <c r="P4" s="5"/>
      <c r="Q4" s="1447"/>
      <c r="R4" s="656"/>
      <c r="S4" s="656" t="s">
        <v>1394</v>
      </c>
      <c r="T4" s="656" t="s">
        <v>14280</v>
      </c>
      <c r="U4" s="656" t="s">
        <v>1394</v>
      </c>
      <c r="V4" s="656"/>
      <c r="W4" s="656" t="s">
        <v>13051</v>
      </c>
      <c r="X4" s="656" t="s">
        <v>498</v>
      </c>
      <c r="Y4" s="656" t="s">
        <v>14278</v>
      </c>
      <c r="Z4" s="656">
        <v>44305.527256944442</v>
      </c>
      <c r="AA4" s="656" t="s">
        <v>14335</v>
      </c>
      <c r="AB4" s="656"/>
    </row>
    <row r="5" spans="1:28">
      <c r="A5" s="656" t="s">
        <v>480</v>
      </c>
      <c r="B5" s="656" t="s">
        <v>11817</v>
      </c>
      <c r="C5" s="656" t="s">
        <v>20</v>
      </c>
      <c r="D5" s="656" t="s">
        <v>11818</v>
      </c>
      <c r="E5" s="656" t="s">
        <v>14275</v>
      </c>
      <c r="F5" s="1447">
        <v>42115</v>
      </c>
      <c r="G5" s="656" t="s">
        <v>11817</v>
      </c>
      <c r="H5" s="656" t="s">
        <v>1777</v>
      </c>
      <c r="I5" s="656"/>
      <c r="J5" s="656"/>
      <c r="K5" s="656"/>
      <c r="L5" s="656" t="s">
        <v>11818</v>
      </c>
      <c r="M5" s="656" t="s">
        <v>16195</v>
      </c>
      <c r="N5" s="656"/>
      <c r="O5" s="656" t="s">
        <v>6387</v>
      </c>
      <c r="P5" s="5"/>
      <c r="Q5" s="1447"/>
      <c r="R5" s="656"/>
      <c r="S5" s="656" t="s">
        <v>655</v>
      </c>
      <c r="T5" s="656" t="s">
        <v>14277</v>
      </c>
      <c r="U5" s="656" t="s">
        <v>655</v>
      </c>
      <c r="V5" s="656"/>
      <c r="W5" s="656" t="s">
        <v>13051</v>
      </c>
      <c r="X5" s="656" t="s">
        <v>498</v>
      </c>
      <c r="Y5" s="656" t="s">
        <v>14278</v>
      </c>
      <c r="Z5" s="656">
        <v>44305.527245370373</v>
      </c>
      <c r="AA5" s="656" t="s">
        <v>14335</v>
      </c>
      <c r="AB5" s="656"/>
    </row>
    <row r="6" spans="1:28">
      <c r="A6" s="656" t="s">
        <v>480</v>
      </c>
      <c r="B6" s="656" t="s">
        <v>11819</v>
      </c>
      <c r="C6" s="656" t="s">
        <v>20</v>
      </c>
      <c r="D6" s="656" t="s">
        <v>11820</v>
      </c>
      <c r="E6" s="656" t="s">
        <v>14275</v>
      </c>
      <c r="F6" s="1447">
        <v>41849</v>
      </c>
      <c r="G6" s="656" t="s">
        <v>11819</v>
      </c>
      <c r="H6" s="656" t="s">
        <v>1777</v>
      </c>
      <c r="I6" s="656"/>
      <c r="J6" s="656"/>
      <c r="K6" s="656"/>
      <c r="L6" s="656" t="s">
        <v>11820</v>
      </c>
      <c r="M6" s="656" t="s">
        <v>16196</v>
      </c>
      <c r="N6" s="656"/>
      <c r="O6" s="656" t="s">
        <v>6387</v>
      </c>
      <c r="P6" s="5"/>
      <c r="Q6" s="1447"/>
      <c r="R6" s="656"/>
      <c r="S6" s="656" t="s">
        <v>655</v>
      </c>
      <c r="T6" s="656" t="s">
        <v>14277</v>
      </c>
      <c r="U6" s="656" t="s">
        <v>655</v>
      </c>
      <c r="V6" s="656"/>
      <c r="W6" s="656" t="s">
        <v>13051</v>
      </c>
      <c r="X6" s="656" t="s">
        <v>498</v>
      </c>
      <c r="Y6" s="656" t="s">
        <v>14278</v>
      </c>
      <c r="Z6" s="656">
        <v>44305.527268518519</v>
      </c>
      <c r="AA6" s="656" t="s">
        <v>14335</v>
      </c>
      <c r="AB6" s="656"/>
    </row>
    <row r="7" spans="1:28">
      <c r="A7" s="656" t="s">
        <v>475</v>
      </c>
      <c r="B7" s="656" t="s">
        <v>9768</v>
      </c>
      <c r="C7" s="656" t="s">
        <v>21</v>
      </c>
      <c r="D7" s="656" t="s">
        <v>9785</v>
      </c>
      <c r="E7" s="656" t="s">
        <v>14275</v>
      </c>
      <c r="F7" s="1447">
        <v>44064</v>
      </c>
      <c r="G7" s="656" t="s">
        <v>9768</v>
      </c>
      <c r="H7" s="656" t="s">
        <v>1777</v>
      </c>
      <c r="I7" s="656" t="s">
        <v>14282</v>
      </c>
      <c r="J7" s="656" t="s">
        <v>9785</v>
      </c>
      <c r="K7" s="656" t="s">
        <v>9774</v>
      </c>
      <c r="L7" s="656"/>
      <c r="M7" s="656" t="s">
        <v>16197</v>
      </c>
      <c r="N7" s="656" t="s">
        <v>9769</v>
      </c>
      <c r="O7" s="656" t="s">
        <v>9772</v>
      </c>
      <c r="P7" s="5" t="s">
        <v>14931</v>
      </c>
      <c r="Q7" s="1447">
        <v>42678</v>
      </c>
      <c r="R7" s="656"/>
      <c r="S7" s="656" t="s">
        <v>9769</v>
      </c>
      <c r="T7" s="656" t="s">
        <v>9769</v>
      </c>
      <c r="U7" s="656" t="s">
        <v>9769</v>
      </c>
      <c r="V7" s="656"/>
      <c r="W7" s="656" t="s">
        <v>13051</v>
      </c>
      <c r="X7" s="656" t="s">
        <v>498</v>
      </c>
      <c r="Y7" s="656" t="s">
        <v>14278</v>
      </c>
      <c r="Z7" s="656">
        <v>44305.527233796296</v>
      </c>
      <c r="AA7" s="656" t="s">
        <v>14335</v>
      </c>
      <c r="AB7" s="656"/>
    </row>
    <row r="8" spans="1:28">
      <c r="A8" s="656" t="s">
        <v>475</v>
      </c>
      <c r="B8" s="656" t="s">
        <v>12286</v>
      </c>
      <c r="C8" s="656" t="s">
        <v>21</v>
      </c>
      <c r="D8" s="656" t="s">
        <v>12287</v>
      </c>
      <c r="E8" s="656" t="s">
        <v>14275</v>
      </c>
      <c r="F8" s="1447">
        <v>43858</v>
      </c>
      <c r="G8" s="656" t="s">
        <v>12286</v>
      </c>
      <c r="H8" s="656" t="s">
        <v>1777</v>
      </c>
      <c r="I8" s="656" t="s">
        <v>14284</v>
      </c>
      <c r="J8" s="656" t="s">
        <v>12287</v>
      </c>
      <c r="K8" s="656" t="s">
        <v>11789</v>
      </c>
      <c r="L8" s="656"/>
      <c r="M8" s="656" t="s">
        <v>16198</v>
      </c>
      <c r="N8" s="656" t="s">
        <v>9769</v>
      </c>
      <c r="O8" s="656" t="s">
        <v>9772</v>
      </c>
      <c r="P8" s="5" t="s">
        <v>14931</v>
      </c>
      <c r="Q8" s="1447">
        <v>42705</v>
      </c>
      <c r="R8" s="656">
        <v>42825</v>
      </c>
      <c r="S8" s="656" t="s">
        <v>9769</v>
      </c>
      <c r="T8" s="656" t="s">
        <v>9769</v>
      </c>
      <c r="U8" s="656" t="s">
        <v>9769</v>
      </c>
      <c r="V8" s="656"/>
      <c r="W8" s="656" t="s">
        <v>13051</v>
      </c>
      <c r="X8" s="656" t="s">
        <v>498</v>
      </c>
      <c r="Y8" s="656" t="s">
        <v>14278</v>
      </c>
      <c r="Z8" s="656">
        <v>44305.527245370373</v>
      </c>
      <c r="AA8" s="656" t="s">
        <v>14335</v>
      </c>
      <c r="AB8" s="656"/>
    </row>
    <row r="9" spans="1:28">
      <c r="A9" s="656" t="s">
        <v>475</v>
      </c>
      <c r="B9" s="656" t="s">
        <v>10125</v>
      </c>
      <c r="C9" s="656" t="s">
        <v>21</v>
      </c>
      <c r="D9" s="656" t="s">
        <v>10127</v>
      </c>
      <c r="E9" s="656" t="s">
        <v>14279</v>
      </c>
      <c r="F9" s="1447"/>
      <c r="G9" s="656" t="s">
        <v>10126</v>
      </c>
      <c r="H9" s="656" t="s">
        <v>1584</v>
      </c>
      <c r="I9" s="656" t="s">
        <v>14285</v>
      </c>
      <c r="J9" s="656" t="s">
        <v>10127</v>
      </c>
      <c r="K9" s="656" t="s">
        <v>9774</v>
      </c>
      <c r="L9" s="656"/>
      <c r="M9" s="656" t="s">
        <v>12703</v>
      </c>
      <c r="N9" s="656" t="s">
        <v>10124</v>
      </c>
      <c r="O9" s="656" t="s">
        <v>9772</v>
      </c>
      <c r="P9" s="5"/>
      <c r="Q9" s="1447">
        <v>43755</v>
      </c>
      <c r="R9" s="656"/>
      <c r="S9" s="656" t="s">
        <v>475</v>
      </c>
      <c r="T9" s="656"/>
      <c r="U9" s="656"/>
      <c r="V9" s="656"/>
      <c r="W9" s="656" t="s">
        <v>13051</v>
      </c>
      <c r="X9" s="656" t="s">
        <v>498</v>
      </c>
      <c r="Y9" s="656" t="s">
        <v>14278</v>
      </c>
      <c r="Z9" s="656">
        <v>44319.577499999999</v>
      </c>
      <c r="AA9" s="656" t="s">
        <v>15959</v>
      </c>
      <c r="AB9" s="656"/>
    </row>
    <row r="10" spans="1:28">
      <c r="A10" s="656" t="s">
        <v>11813</v>
      </c>
      <c r="B10" s="656" t="s">
        <v>11814</v>
      </c>
      <c r="C10" s="656" t="s">
        <v>21</v>
      </c>
      <c r="D10" s="656" t="s">
        <v>11816</v>
      </c>
      <c r="E10" s="656" t="s">
        <v>14275</v>
      </c>
      <c r="F10" s="1447">
        <v>41862</v>
      </c>
      <c r="G10" s="656" t="s">
        <v>11815</v>
      </c>
      <c r="H10" s="656" t="s">
        <v>1777</v>
      </c>
      <c r="I10" s="656" t="s">
        <v>14294</v>
      </c>
      <c r="J10" s="656" t="s">
        <v>11816</v>
      </c>
      <c r="K10" s="656" t="s">
        <v>9782</v>
      </c>
      <c r="L10" s="656"/>
      <c r="M10" s="656" t="s">
        <v>16199</v>
      </c>
      <c r="N10" s="656"/>
      <c r="O10" s="656" t="s">
        <v>6387</v>
      </c>
      <c r="P10" s="5"/>
      <c r="Q10" s="1447"/>
      <c r="R10" s="656">
        <v>41759</v>
      </c>
      <c r="S10" s="656" t="s">
        <v>655</v>
      </c>
      <c r="T10" s="656" t="s">
        <v>14277</v>
      </c>
      <c r="U10" s="656" t="s">
        <v>655</v>
      </c>
      <c r="V10" s="656"/>
      <c r="W10" s="656" t="s">
        <v>13051</v>
      </c>
      <c r="X10" s="656" t="s">
        <v>498</v>
      </c>
      <c r="Y10" s="656" t="s">
        <v>14278</v>
      </c>
      <c r="Z10" s="656">
        <v>44305.527233796296</v>
      </c>
      <c r="AA10" s="656" t="s">
        <v>14335</v>
      </c>
      <c r="AB10" s="656"/>
    </row>
    <row r="11" spans="1:28">
      <c r="A11" s="656" t="s">
        <v>11811</v>
      </c>
      <c r="B11" s="656" t="s">
        <v>11811</v>
      </c>
      <c r="C11" s="656" t="s">
        <v>20</v>
      </c>
      <c r="D11" s="656" t="s">
        <v>11812</v>
      </c>
      <c r="E11" s="656" t="s">
        <v>14275</v>
      </c>
      <c r="F11" s="1447">
        <v>43871</v>
      </c>
      <c r="G11" s="656" t="s">
        <v>11811</v>
      </c>
      <c r="H11" s="656" t="s">
        <v>1777</v>
      </c>
      <c r="I11" s="656"/>
      <c r="J11" s="656"/>
      <c r="K11" s="656"/>
      <c r="L11" s="656" t="s">
        <v>11812</v>
      </c>
      <c r="M11" s="656" t="s">
        <v>16196</v>
      </c>
      <c r="N11" s="656"/>
      <c r="O11" s="656" t="s">
        <v>6393</v>
      </c>
      <c r="P11" s="5"/>
      <c r="Q11" s="1447"/>
      <c r="R11" s="656"/>
      <c r="S11" s="656" t="s">
        <v>1300</v>
      </c>
      <c r="T11" s="656" t="s">
        <v>4198</v>
      </c>
      <c r="U11" s="656" t="s">
        <v>1300</v>
      </c>
      <c r="V11" s="656"/>
      <c r="W11" s="656" t="s">
        <v>13051</v>
      </c>
      <c r="X11" s="656" t="s">
        <v>498</v>
      </c>
      <c r="Y11" s="656" t="s">
        <v>14278</v>
      </c>
      <c r="Z11" s="656">
        <v>44305.527222222219</v>
      </c>
      <c r="AA11" s="656" t="s">
        <v>14335</v>
      </c>
      <c r="AB11" s="656"/>
    </row>
    <row r="12" spans="1:28">
      <c r="A12" s="656" t="s">
        <v>11809</v>
      </c>
      <c r="B12" s="656" t="s">
        <v>11810</v>
      </c>
      <c r="C12" s="656" t="s">
        <v>20</v>
      </c>
      <c r="D12" s="656" t="s">
        <v>11808</v>
      </c>
      <c r="E12" s="656" t="s">
        <v>14275</v>
      </c>
      <c r="F12" s="1447">
        <v>42115</v>
      </c>
      <c r="G12" s="656" t="s">
        <v>11810</v>
      </c>
      <c r="H12" s="656" t="s">
        <v>1777</v>
      </c>
      <c r="I12" s="656"/>
      <c r="J12" s="656"/>
      <c r="K12" s="656"/>
      <c r="L12" s="656" t="s">
        <v>11808</v>
      </c>
      <c r="M12" s="656" t="s">
        <v>16196</v>
      </c>
      <c r="N12" s="656"/>
      <c r="O12" s="656" t="s">
        <v>6387</v>
      </c>
      <c r="P12" s="5"/>
      <c r="Q12" s="1447"/>
      <c r="R12" s="656"/>
      <c r="S12" s="656" t="s">
        <v>1667</v>
      </c>
      <c r="T12" s="656" t="s">
        <v>14277</v>
      </c>
      <c r="U12" s="656" t="s">
        <v>655</v>
      </c>
      <c r="V12" s="656"/>
      <c r="W12" s="656" t="s">
        <v>13051</v>
      </c>
      <c r="X12" s="656" t="s">
        <v>498</v>
      </c>
      <c r="Y12" s="656" t="s">
        <v>14278</v>
      </c>
      <c r="Z12" s="656">
        <v>44305.527222222219</v>
      </c>
      <c r="AA12" s="656" t="s">
        <v>14335</v>
      </c>
      <c r="AB12" s="656"/>
    </row>
    <row r="13" spans="1:28">
      <c r="A13" s="656" t="s">
        <v>11807</v>
      </c>
      <c r="B13" s="656" t="s">
        <v>11800</v>
      </c>
      <c r="C13" s="656" t="s">
        <v>20</v>
      </c>
      <c r="D13" s="656" t="s">
        <v>11808</v>
      </c>
      <c r="E13" s="656" t="s">
        <v>14275</v>
      </c>
      <c r="F13" s="1447">
        <v>42115</v>
      </c>
      <c r="G13" s="656" t="s">
        <v>11800</v>
      </c>
      <c r="H13" s="656" t="s">
        <v>1777</v>
      </c>
      <c r="I13" s="656"/>
      <c r="J13" s="656"/>
      <c r="K13" s="656"/>
      <c r="L13" s="656" t="s">
        <v>11808</v>
      </c>
      <c r="M13" s="656" t="s">
        <v>16196</v>
      </c>
      <c r="N13" s="656"/>
      <c r="O13" s="656" t="s">
        <v>6387</v>
      </c>
      <c r="P13" s="5"/>
      <c r="Q13" s="1447"/>
      <c r="R13" s="656"/>
      <c r="S13" s="656" t="s">
        <v>655</v>
      </c>
      <c r="T13" s="656" t="s">
        <v>14277</v>
      </c>
      <c r="U13" s="656" t="s">
        <v>655</v>
      </c>
      <c r="V13" s="656"/>
      <c r="W13" s="656" t="s">
        <v>13051</v>
      </c>
      <c r="X13" s="656" t="s">
        <v>498</v>
      </c>
      <c r="Y13" s="656" t="s">
        <v>14278</v>
      </c>
      <c r="Z13" s="656">
        <v>44305.52721064815</v>
      </c>
      <c r="AA13" s="656" t="s">
        <v>14335</v>
      </c>
      <c r="AB13" s="656"/>
    </row>
    <row r="14" spans="1:28">
      <c r="A14" s="656" t="s">
        <v>11797</v>
      </c>
      <c r="B14" s="656" t="s">
        <v>11798</v>
      </c>
      <c r="C14" s="656" t="s">
        <v>20</v>
      </c>
      <c r="D14" s="656" t="s">
        <v>11799</v>
      </c>
      <c r="E14" s="656" t="s">
        <v>14275</v>
      </c>
      <c r="F14" s="1447">
        <v>41880</v>
      </c>
      <c r="G14" s="656" t="s">
        <v>11798</v>
      </c>
      <c r="H14" s="656" t="s">
        <v>1777</v>
      </c>
      <c r="I14" s="656"/>
      <c r="J14" s="656"/>
      <c r="K14" s="656"/>
      <c r="L14" s="656" t="s">
        <v>11799</v>
      </c>
      <c r="M14" s="656" t="s">
        <v>16196</v>
      </c>
      <c r="N14" s="656"/>
      <c r="O14" s="656" t="s">
        <v>6415</v>
      </c>
      <c r="P14" s="5"/>
      <c r="Q14" s="1447"/>
      <c r="R14" s="656"/>
      <c r="S14" s="656" t="s">
        <v>655</v>
      </c>
      <c r="T14" s="656" t="s">
        <v>14277</v>
      </c>
      <c r="U14" s="656" t="s">
        <v>655</v>
      </c>
      <c r="V14" s="656"/>
      <c r="W14" s="656" t="s">
        <v>13051</v>
      </c>
      <c r="X14" s="656" t="s">
        <v>498</v>
      </c>
      <c r="Y14" s="656" t="s">
        <v>14278</v>
      </c>
      <c r="Z14" s="656">
        <v>44305.527187500003</v>
      </c>
      <c r="AA14" s="656" t="s">
        <v>14335</v>
      </c>
      <c r="AB14" s="656"/>
    </row>
    <row r="15" spans="1:28">
      <c r="A15" s="656" t="s">
        <v>11797</v>
      </c>
      <c r="B15" s="656" t="s">
        <v>11800</v>
      </c>
      <c r="C15" s="656" t="s">
        <v>20</v>
      </c>
      <c r="D15" s="656" t="s">
        <v>11801</v>
      </c>
      <c r="E15" s="656" t="s">
        <v>14275</v>
      </c>
      <c r="F15" s="1447">
        <v>41879</v>
      </c>
      <c r="G15" s="656" t="s">
        <v>11800</v>
      </c>
      <c r="H15" s="656" t="s">
        <v>1777</v>
      </c>
      <c r="I15" s="656"/>
      <c r="J15" s="656"/>
      <c r="K15" s="656"/>
      <c r="L15" s="656" t="s">
        <v>11801</v>
      </c>
      <c r="M15" s="656" t="s">
        <v>16196</v>
      </c>
      <c r="N15" s="656"/>
      <c r="O15" s="656" t="s">
        <v>6387</v>
      </c>
      <c r="P15" s="5"/>
      <c r="Q15" s="1447"/>
      <c r="R15" s="656"/>
      <c r="S15" s="656" t="s">
        <v>655</v>
      </c>
      <c r="T15" s="656" t="s">
        <v>14277</v>
      </c>
      <c r="U15" s="656" t="s">
        <v>655</v>
      </c>
      <c r="V15" s="656"/>
      <c r="W15" s="656" t="s">
        <v>13051</v>
      </c>
      <c r="X15" s="656" t="s">
        <v>498</v>
      </c>
      <c r="Y15" s="656" t="s">
        <v>14278</v>
      </c>
      <c r="Z15" s="656">
        <v>44305.527199074073</v>
      </c>
      <c r="AA15" s="656" t="s">
        <v>14335</v>
      </c>
      <c r="AB15" s="656"/>
    </row>
    <row r="16" spans="1:28">
      <c r="A16" s="656" t="s">
        <v>11797</v>
      </c>
      <c r="B16" s="656" t="s">
        <v>11802</v>
      </c>
      <c r="C16" s="656" t="s">
        <v>20</v>
      </c>
      <c r="D16" s="656" t="s">
        <v>11803</v>
      </c>
      <c r="E16" s="656" t="s">
        <v>14275</v>
      </c>
      <c r="F16" s="1447">
        <v>41879</v>
      </c>
      <c r="G16" s="656" t="s">
        <v>11802</v>
      </c>
      <c r="H16" s="656" t="s">
        <v>1777</v>
      </c>
      <c r="I16" s="656"/>
      <c r="J16" s="656"/>
      <c r="K16" s="656"/>
      <c r="L16" s="656" t="s">
        <v>11803</v>
      </c>
      <c r="M16" s="656" t="s">
        <v>16196</v>
      </c>
      <c r="N16" s="656"/>
      <c r="O16" s="656" t="s">
        <v>6395</v>
      </c>
      <c r="P16" s="5"/>
      <c r="Q16" s="1447"/>
      <c r="R16" s="656"/>
      <c r="S16" s="656" t="s">
        <v>1394</v>
      </c>
      <c r="T16" s="656" t="s">
        <v>14280</v>
      </c>
      <c r="U16" s="656" t="s">
        <v>1394</v>
      </c>
      <c r="V16" s="656"/>
      <c r="W16" s="656" t="s">
        <v>13051</v>
      </c>
      <c r="X16" s="656" t="s">
        <v>498</v>
      </c>
      <c r="Y16" s="656" t="s">
        <v>14278</v>
      </c>
      <c r="Z16" s="656">
        <v>44305.527199074073</v>
      </c>
      <c r="AA16" s="656" t="s">
        <v>14335</v>
      </c>
      <c r="AB16" s="656"/>
    </row>
    <row r="17" spans="1:28">
      <c r="A17" s="656" t="s">
        <v>11797</v>
      </c>
      <c r="B17" s="656" t="s">
        <v>11804</v>
      </c>
      <c r="C17" s="656" t="s">
        <v>20</v>
      </c>
      <c r="D17" s="656" t="s">
        <v>11805</v>
      </c>
      <c r="E17" s="656" t="s">
        <v>14275</v>
      </c>
      <c r="F17" s="1447">
        <v>41879</v>
      </c>
      <c r="G17" s="656" t="s">
        <v>11804</v>
      </c>
      <c r="H17" s="656" t="s">
        <v>1777</v>
      </c>
      <c r="I17" s="656"/>
      <c r="J17" s="656"/>
      <c r="K17" s="656"/>
      <c r="L17" s="656" t="s">
        <v>11805</v>
      </c>
      <c r="M17" s="656" t="s">
        <v>16196</v>
      </c>
      <c r="N17" s="656"/>
      <c r="O17" s="656" t="s">
        <v>6393</v>
      </c>
      <c r="P17" s="5"/>
      <c r="Q17" s="1447"/>
      <c r="R17" s="656"/>
      <c r="S17" s="656" t="s">
        <v>1300</v>
      </c>
      <c r="T17" s="656" t="s">
        <v>4198</v>
      </c>
      <c r="U17" s="656" t="s">
        <v>1300</v>
      </c>
      <c r="V17" s="656"/>
      <c r="W17" s="656" t="s">
        <v>13051</v>
      </c>
      <c r="X17" s="656" t="s">
        <v>498</v>
      </c>
      <c r="Y17" s="656" t="s">
        <v>14278</v>
      </c>
      <c r="Z17" s="656">
        <v>44305.52721064815</v>
      </c>
      <c r="AA17" s="656" t="s">
        <v>14335</v>
      </c>
      <c r="AB17" s="656"/>
    </row>
    <row r="18" spans="1:28">
      <c r="A18" s="656" t="s">
        <v>11797</v>
      </c>
      <c r="B18" s="656" t="s">
        <v>11806</v>
      </c>
      <c r="C18" s="656" t="s">
        <v>20</v>
      </c>
      <c r="D18" s="656" t="s">
        <v>11796</v>
      </c>
      <c r="E18" s="656" t="s">
        <v>14275</v>
      </c>
      <c r="F18" s="1447">
        <v>41879</v>
      </c>
      <c r="G18" s="656" t="s">
        <v>11806</v>
      </c>
      <c r="H18" s="656" t="s">
        <v>1777</v>
      </c>
      <c r="I18" s="656"/>
      <c r="J18" s="656"/>
      <c r="K18" s="656"/>
      <c r="L18" s="656" t="s">
        <v>11796</v>
      </c>
      <c r="M18" s="656" t="s">
        <v>16196</v>
      </c>
      <c r="N18" s="656"/>
      <c r="O18" s="656" t="s">
        <v>9714</v>
      </c>
      <c r="P18" s="5"/>
      <c r="Q18" s="1447"/>
      <c r="R18" s="656"/>
      <c r="S18" s="656" t="s">
        <v>1394</v>
      </c>
      <c r="T18" s="656" t="s">
        <v>282</v>
      </c>
      <c r="U18" s="656" t="s">
        <v>1394</v>
      </c>
      <c r="V18" s="656"/>
      <c r="W18" s="656" t="s">
        <v>13051</v>
      </c>
      <c r="X18" s="656" t="s">
        <v>498</v>
      </c>
      <c r="Y18" s="656" t="s">
        <v>14278</v>
      </c>
      <c r="Z18" s="656">
        <v>44305.52721064815</v>
      </c>
      <c r="AA18" s="656" t="s">
        <v>14335</v>
      </c>
      <c r="AB18" s="656"/>
    </row>
    <row r="19" spans="1:28">
      <c r="A19" s="656" t="s">
        <v>11794</v>
      </c>
      <c r="B19" s="656" t="s">
        <v>11795</v>
      </c>
      <c r="C19" s="656" t="s">
        <v>20</v>
      </c>
      <c r="D19" s="656" t="s">
        <v>11796</v>
      </c>
      <c r="E19" s="656" t="s">
        <v>14275</v>
      </c>
      <c r="F19" s="1447">
        <v>41879</v>
      </c>
      <c r="G19" s="656" t="s">
        <v>11795</v>
      </c>
      <c r="H19" s="656" t="s">
        <v>1777</v>
      </c>
      <c r="I19" s="656"/>
      <c r="J19" s="656"/>
      <c r="K19" s="656"/>
      <c r="L19" s="656" t="s">
        <v>11796</v>
      </c>
      <c r="M19" s="656" t="s">
        <v>16196</v>
      </c>
      <c r="N19" s="656"/>
      <c r="O19" s="656" t="s">
        <v>9714</v>
      </c>
      <c r="P19" s="5"/>
      <c r="Q19" s="1447"/>
      <c r="R19" s="656"/>
      <c r="S19" s="656" t="s">
        <v>1394</v>
      </c>
      <c r="T19" s="656" t="s">
        <v>282</v>
      </c>
      <c r="U19" s="656" t="s">
        <v>1394</v>
      </c>
      <c r="V19" s="656"/>
      <c r="W19" s="656" t="s">
        <v>13051</v>
      </c>
      <c r="X19" s="656" t="s">
        <v>498</v>
      </c>
      <c r="Y19" s="656" t="s">
        <v>14278</v>
      </c>
      <c r="Z19" s="656">
        <v>44305.527187500003</v>
      </c>
      <c r="AA19" s="656" t="s">
        <v>14335</v>
      </c>
      <c r="AB19" s="656"/>
    </row>
    <row r="20" spans="1:28">
      <c r="A20" s="656" t="s">
        <v>11940</v>
      </c>
      <c r="B20" s="656"/>
      <c r="C20" s="656" t="s">
        <v>20</v>
      </c>
      <c r="D20" s="656" t="s">
        <v>11942</v>
      </c>
      <c r="E20" s="656" t="s">
        <v>14275</v>
      </c>
      <c r="F20" s="1447">
        <v>43578</v>
      </c>
      <c r="G20" s="656" t="s">
        <v>11941</v>
      </c>
      <c r="H20" s="656" t="s">
        <v>1777</v>
      </c>
      <c r="I20" s="656"/>
      <c r="J20" s="656"/>
      <c r="K20" s="656"/>
      <c r="L20" s="656" t="s">
        <v>11942</v>
      </c>
      <c r="M20" s="656" t="s">
        <v>16200</v>
      </c>
      <c r="N20" s="656"/>
      <c r="O20" s="656" t="s">
        <v>6395</v>
      </c>
      <c r="P20" s="5"/>
      <c r="Q20" s="1447">
        <v>43171</v>
      </c>
      <c r="R20" s="656"/>
      <c r="S20" s="656"/>
      <c r="T20" s="656"/>
      <c r="U20" s="656" t="s">
        <v>500</v>
      </c>
      <c r="V20" s="656"/>
      <c r="W20" s="656" t="s">
        <v>13051</v>
      </c>
      <c r="X20" s="656" t="s">
        <v>498</v>
      </c>
      <c r="Y20" s="656" t="s">
        <v>14278</v>
      </c>
      <c r="Z20" s="656">
        <v>44305.527175925927</v>
      </c>
      <c r="AA20" s="656" t="s">
        <v>14335</v>
      </c>
      <c r="AB20" s="656"/>
    </row>
    <row r="21" spans="1:28">
      <c r="A21" s="656" t="s">
        <v>11940</v>
      </c>
      <c r="B21" s="656"/>
      <c r="C21" s="656" t="s">
        <v>20</v>
      </c>
      <c r="D21" s="656" t="s">
        <v>12070</v>
      </c>
      <c r="E21" s="656" t="s">
        <v>14275</v>
      </c>
      <c r="F21" s="1447">
        <v>43563</v>
      </c>
      <c r="G21" s="656" t="s">
        <v>11941</v>
      </c>
      <c r="H21" s="656" t="s">
        <v>1777</v>
      </c>
      <c r="I21" s="656"/>
      <c r="J21" s="656"/>
      <c r="K21" s="656"/>
      <c r="L21" s="656" t="s">
        <v>12070</v>
      </c>
      <c r="M21" s="656" t="s">
        <v>16200</v>
      </c>
      <c r="N21" s="656"/>
      <c r="O21" s="656" t="s">
        <v>6395</v>
      </c>
      <c r="P21" s="5"/>
      <c r="Q21" s="1447">
        <v>43266</v>
      </c>
      <c r="R21" s="656"/>
      <c r="S21" s="656"/>
      <c r="T21" s="656"/>
      <c r="U21" s="656"/>
      <c r="V21" s="656"/>
      <c r="W21" s="656" t="s">
        <v>13051</v>
      </c>
      <c r="X21" s="656" t="s">
        <v>498</v>
      </c>
      <c r="Y21" s="656" t="s">
        <v>14278</v>
      </c>
      <c r="Z21" s="656">
        <v>44305.527175925927</v>
      </c>
      <c r="AA21" s="656" t="s">
        <v>14335</v>
      </c>
      <c r="AB21" s="656"/>
    </row>
    <row r="22" spans="1:28">
      <c r="A22" s="656" t="s">
        <v>11791</v>
      </c>
      <c r="B22" s="656" t="s">
        <v>11792</v>
      </c>
      <c r="C22" s="656" t="s">
        <v>20</v>
      </c>
      <c r="D22" s="656" t="s">
        <v>11793</v>
      </c>
      <c r="E22" s="656" t="s">
        <v>14275</v>
      </c>
      <c r="F22" s="1447">
        <v>43563</v>
      </c>
      <c r="G22" s="656" t="s">
        <v>11792</v>
      </c>
      <c r="H22" s="656" t="s">
        <v>1777</v>
      </c>
      <c r="I22" s="656"/>
      <c r="J22" s="656"/>
      <c r="K22" s="656"/>
      <c r="L22" s="656" t="s">
        <v>11793</v>
      </c>
      <c r="M22" s="656" t="s">
        <v>16196</v>
      </c>
      <c r="N22" s="656"/>
      <c r="O22" s="656" t="s">
        <v>6395</v>
      </c>
      <c r="P22" s="5"/>
      <c r="Q22" s="1447">
        <v>42766</v>
      </c>
      <c r="R22" s="656"/>
      <c r="S22" s="656" t="s">
        <v>500</v>
      </c>
      <c r="T22" s="656" t="s">
        <v>14295</v>
      </c>
      <c r="U22" s="656" t="s">
        <v>500</v>
      </c>
      <c r="V22" s="656"/>
      <c r="W22" s="656" t="s">
        <v>13051</v>
      </c>
      <c r="X22" s="656" t="s">
        <v>498</v>
      </c>
      <c r="Y22" s="656" t="s">
        <v>14278</v>
      </c>
      <c r="Z22" s="656">
        <v>44305.52716435185</v>
      </c>
      <c r="AA22" s="656" t="s">
        <v>14335</v>
      </c>
      <c r="AB22" s="656"/>
    </row>
    <row r="23" spans="1:28">
      <c r="A23" s="656" t="s">
        <v>10240</v>
      </c>
      <c r="B23" s="656"/>
      <c r="C23" s="656" t="s">
        <v>21</v>
      </c>
      <c r="D23" s="656" t="s">
        <v>10242</v>
      </c>
      <c r="E23" s="656" t="s">
        <v>14275</v>
      </c>
      <c r="F23" s="1447">
        <v>44277</v>
      </c>
      <c r="G23" s="656" t="s">
        <v>10241</v>
      </c>
      <c r="H23" s="656" t="s">
        <v>1777</v>
      </c>
      <c r="I23" s="656" t="s">
        <v>14296</v>
      </c>
      <c r="J23" s="656" t="s">
        <v>10242</v>
      </c>
      <c r="K23" s="656" t="s">
        <v>9774</v>
      </c>
      <c r="L23" s="656"/>
      <c r="M23" s="656" t="s">
        <v>16196</v>
      </c>
      <c r="N23" s="656"/>
      <c r="O23" s="656" t="s">
        <v>10186</v>
      </c>
      <c r="P23" s="5"/>
      <c r="Q23" s="1447">
        <v>43908</v>
      </c>
      <c r="R23" s="656"/>
      <c r="S23" s="656"/>
      <c r="T23" s="656"/>
      <c r="U23" s="656"/>
      <c r="V23" s="656"/>
      <c r="W23" s="656" t="s">
        <v>13051</v>
      </c>
      <c r="X23" s="656" t="s">
        <v>498</v>
      </c>
      <c r="Y23" s="656" t="s">
        <v>14278</v>
      </c>
      <c r="Z23" s="656">
        <v>44305.52715277778</v>
      </c>
      <c r="AA23" s="656" t="s">
        <v>14335</v>
      </c>
      <c r="AB23" s="656"/>
    </row>
    <row r="24" spans="1:28">
      <c r="A24" s="656" t="s">
        <v>10240</v>
      </c>
      <c r="B24" s="656" t="s">
        <v>10243</v>
      </c>
      <c r="C24" s="656" t="s">
        <v>21</v>
      </c>
      <c r="D24" s="656" t="s">
        <v>10244</v>
      </c>
      <c r="E24" s="656" t="s">
        <v>14275</v>
      </c>
      <c r="F24" s="1447">
        <v>44256</v>
      </c>
      <c r="G24" s="656" t="s">
        <v>10243</v>
      </c>
      <c r="H24" s="656" t="s">
        <v>1777</v>
      </c>
      <c r="I24" s="656" t="s">
        <v>14296</v>
      </c>
      <c r="J24" s="656" t="s">
        <v>10244</v>
      </c>
      <c r="K24" s="656" t="s">
        <v>9774</v>
      </c>
      <c r="L24" s="656"/>
      <c r="M24" s="656" t="s">
        <v>16196</v>
      </c>
      <c r="N24" s="656"/>
      <c r="O24" s="656" t="s">
        <v>10186</v>
      </c>
      <c r="P24" s="5"/>
      <c r="Q24" s="1447">
        <v>43908</v>
      </c>
      <c r="R24" s="656"/>
      <c r="S24" s="656"/>
      <c r="T24" s="656"/>
      <c r="U24" s="656"/>
      <c r="V24" s="656"/>
      <c r="W24" s="656" t="s">
        <v>13051</v>
      </c>
      <c r="X24" s="656" t="s">
        <v>498</v>
      </c>
      <c r="Y24" s="656" t="s">
        <v>14278</v>
      </c>
      <c r="Z24" s="656">
        <v>44305.52715277778</v>
      </c>
      <c r="AA24" s="656" t="s">
        <v>14335</v>
      </c>
      <c r="AB24" s="656"/>
    </row>
    <row r="25" spans="1:28">
      <c r="A25" s="656" t="s">
        <v>11784</v>
      </c>
      <c r="B25" s="656" t="s">
        <v>11785</v>
      </c>
      <c r="C25" s="656" t="s">
        <v>21</v>
      </c>
      <c r="D25" s="656" t="s">
        <v>11788</v>
      </c>
      <c r="E25" s="656" t="s">
        <v>14275</v>
      </c>
      <c r="F25" s="1447">
        <v>43279</v>
      </c>
      <c r="G25" s="656" t="s">
        <v>11786</v>
      </c>
      <c r="H25" s="656" t="s">
        <v>1777</v>
      </c>
      <c r="I25" s="656" t="s">
        <v>14297</v>
      </c>
      <c r="J25" s="656" t="s">
        <v>11788</v>
      </c>
      <c r="K25" s="656" t="s">
        <v>11789</v>
      </c>
      <c r="L25" s="656"/>
      <c r="M25" s="656" t="s">
        <v>16196</v>
      </c>
      <c r="N25" s="656"/>
      <c r="O25" s="656" t="s">
        <v>11790</v>
      </c>
      <c r="P25" s="5"/>
      <c r="Q25" s="1447">
        <v>42464</v>
      </c>
      <c r="R25" s="656">
        <v>42726</v>
      </c>
      <c r="S25" s="656" t="s">
        <v>11787</v>
      </c>
      <c r="T25" s="656" t="s">
        <v>11787</v>
      </c>
      <c r="U25" s="656" t="s">
        <v>11787</v>
      </c>
      <c r="V25" s="656"/>
      <c r="W25" s="656" t="s">
        <v>13051</v>
      </c>
      <c r="X25" s="656" t="s">
        <v>498</v>
      </c>
      <c r="Y25" s="656" t="s">
        <v>14278</v>
      </c>
      <c r="Z25" s="656">
        <v>44305.527141203704</v>
      </c>
      <c r="AA25" s="656" t="s">
        <v>14335</v>
      </c>
      <c r="AB25" s="656"/>
    </row>
    <row r="26" spans="1:28">
      <c r="A26" s="656" t="s">
        <v>15855</v>
      </c>
      <c r="B26" s="656" t="s">
        <v>15856</v>
      </c>
      <c r="C26" s="656" t="s">
        <v>20</v>
      </c>
      <c r="D26" s="656" t="s">
        <v>16201</v>
      </c>
      <c r="E26" s="656" t="s">
        <v>14279</v>
      </c>
      <c r="F26" s="1447"/>
      <c r="G26" s="656" t="s">
        <v>16202</v>
      </c>
      <c r="H26" s="656" t="s">
        <v>1777</v>
      </c>
      <c r="I26" s="656"/>
      <c r="J26" s="656"/>
      <c r="K26" s="656"/>
      <c r="L26" s="656" t="s">
        <v>16201</v>
      </c>
      <c r="M26" s="656" t="s">
        <v>16196</v>
      </c>
      <c r="N26" s="656"/>
      <c r="O26" s="656" t="s">
        <v>6427</v>
      </c>
      <c r="P26" s="5"/>
      <c r="Q26" s="1447">
        <v>44308</v>
      </c>
      <c r="R26" s="656"/>
      <c r="S26" s="656" t="s">
        <v>4052</v>
      </c>
      <c r="T26" s="656"/>
      <c r="U26" s="656"/>
      <c r="V26" s="656"/>
      <c r="W26" s="656" t="s">
        <v>13051</v>
      </c>
      <c r="X26" s="656" t="s">
        <v>498</v>
      </c>
      <c r="Y26" s="656" t="s">
        <v>14278</v>
      </c>
      <c r="Z26" s="656">
        <v>44308.50104166667</v>
      </c>
      <c r="AA26" s="656" t="s">
        <v>14276</v>
      </c>
      <c r="AB26" s="656"/>
    </row>
    <row r="27" spans="1:28">
      <c r="A27" s="656" t="s">
        <v>15629</v>
      </c>
      <c r="B27" s="656" t="s">
        <v>15628</v>
      </c>
      <c r="C27" s="656" t="s">
        <v>20</v>
      </c>
      <c r="D27" s="656" t="s">
        <v>16203</v>
      </c>
      <c r="E27" s="656" t="s">
        <v>14279</v>
      </c>
      <c r="F27" s="1447"/>
      <c r="G27" s="656" t="s">
        <v>16204</v>
      </c>
      <c r="H27" s="656" t="s">
        <v>1777</v>
      </c>
      <c r="I27" s="656"/>
      <c r="J27" s="656"/>
      <c r="K27" s="656"/>
      <c r="L27" s="656" t="s">
        <v>16203</v>
      </c>
      <c r="M27" s="656" t="s">
        <v>16196</v>
      </c>
      <c r="N27" s="656"/>
      <c r="O27" s="656" t="s">
        <v>10186</v>
      </c>
      <c r="P27" s="5"/>
      <c r="Q27" s="1447">
        <v>44319</v>
      </c>
      <c r="R27" s="656"/>
      <c r="S27" s="656" t="s">
        <v>2849</v>
      </c>
      <c r="T27" s="656"/>
      <c r="U27" s="656"/>
      <c r="V27" s="656"/>
      <c r="W27" s="656" t="s">
        <v>13051</v>
      </c>
      <c r="X27" s="656" t="s">
        <v>498</v>
      </c>
      <c r="Y27" s="656" t="s">
        <v>14278</v>
      </c>
      <c r="Z27" s="656">
        <v>44319.492615740739</v>
      </c>
      <c r="AA27" s="656" t="s">
        <v>14276</v>
      </c>
      <c r="AB27" s="656"/>
    </row>
    <row r="28" spans="1:28">
      <c r="A28" s="656" t="s">
        <v>15534</v>
      </c>
      <c r="B28" s="656" t="s">
        <v>15918</v>
      </c>
      <c r="C28" s="656" t="s">
        <v>20</v>
      </c>
      <c r="D28" s="656" t="s">
        <v>15919</v>
      </c>
      <c r="E28" s="656" t="s">
        <v>14279</v>
      </c>
      <c r="F28" s="1447"/>
      <c r="G28" s="656" t="s">
        <v>15920</v>
      </c>
      <c r="H28" s="656" t="s">
        <v>1777</v>
      </c>
      <c r="I28" s="656"/>
      <c r="J28" s="656"/>
      <c r="K28" s="656"/>
      <c r="L28" s="656"/>
      <c r="M28" s="656" t="s">
        <v>16196</v>
      </c>
      <c r="N28" s="656"/>
      <c r="O28" s="656" t="s">
        <v>6395</v>
      </c>
      <c r="P28" s="5"/>
      <c r="Q28" s="1447">
        <v>44243</v>
      </c>
      <c r="R28" s="656"/>
      <c r="S28" s="656" t="s">
        <v>541</v>
      </c>
      <c r="T28" s="656"/>
      <c r="U28" s="656"/>
      <c r="V28" s="656"/>
      <c r="W28" s="656" t="s">
        <v>13051</v>
      </c>
      <c r="X28" s="656" t="s">
        <v>498</v>
      </c>
      <c r="Y28" s="656" t="s">
        <v>14278</v>
      </c>
      <c r="Z28" s="656">
        <v>44314.470937500002</v>
      </c>
      <c r="AA28" s="656" t="s">
        <v>14276</v>
      </c>
      <c r="AB28" s="656" t="s">
        <v>16205</v>
      </c>
    </row>
    <row r="29" spans="1:28">
      <c r="A29" s="656" t="s">
        <v>15534</v>
      </c>
      <c r="B29" s="656" t="s">
        <v>15535</v>
      </c>
      <c r="C29" s="656" t="s">
        <v>21</v>
      </c>
      <c r="D29" s="656" t="s">
        <v>16206</v>
      </c>
      <c r="E29" s="656" t="s">
        <v>14279</v>
      </c>
      <c r="F29" s="1447"/>
      <c r="G29" s="656" t="s">
        <v>16207</v>
      </c>
      <c r="H29" s="656" t="s">
        <v>1777</v>
      </c>
      <c r="I29" s="656" t="s">
        <v>16208</v>
      </c>
      <c r="J29" s="656" t="s">
        <v>16206</v>
      </c>
      <c r="K29" s="656" t="s">
        <v>9774</v>
      </c>
      <c r="L29" s="656"/>
      <c r="M29" s="656" t="s">
        <v>16196</v>
      </c>
      <c r="N29" s="656"/>
      <c r="O29" s="656" t="s">
        <v>6395</v>
      </c>
      <c r="P29" s="5"/>
      <c r="Q29" s="1447">
        <v>44305</v>
      </c>
      <c r="R29" s="656"/>
      <c r="S29" s="656" t="s">
        <v>472</v>
      </c>
      <c r="T29" s="656"/>
      <c r="U29" s="656"/>
      <c r="V29" s="656"/>
      <c r="W29" s="656" t="s">
        <v>13051</v>
      </c>
      <c r="X29" s="656" t="s">
        <v>498</v>
      </c>
      <c r="Y29" s="656" t="s">
        <v>14278</v>
      </c>
      <c r="Z29" s="656">
        <v>44314.471134259256</v>
      </c>
      <c r="AA29" s="656" t="s">
        <v>14276</v>
      </c>
      <c r="AB29" s="656" t="s">
        <v>16205</v>
      </c>
    </row>
    <row r="30" spans="1:28">
      <c r="A30" s="656" t="s">
        <v>15531</v>
      </c>
      <c r="B30" s="656" t="s">
        <v>15532</v>
      </c>
      <c r="C30" s="656" t="s">
        <v>20</v>
      </c>
      <c r="D30" s="656" t="s">
        <v>15921</v>
      </c>
      <c r="E30" s="656" t="s">
        <v>14279</v>
      </c>
      <c r="F30" s="1447"/>
      <c r="G30" s="656" t="s">
        <v>15922</v>
      </c>
      <c r="H30" s="656" t="s">
        <v>1777</v>
      </c>
      <c r="I30" s="656"/>
      <c r="J30" s="656"/>
      <c r="K30" s="656"/>
      <c r="L30" s="656" t="s">
        <v>15921</v>
      </c>
      <c r="M30" s="656" t="s">
        <v>16209</v>
      </c>
      <c r="N30" s="656"/>
      <c r="O30" s="656" t="s">
        <v>6425</v>
      </c>
      <c r="P30" s="5"/>
      <c r="Q30" s="1447">
        <v>44264</v>
      </c>
      <c r="R30" s="656"/>
      <c r="S30" s="656" t="s">
        <v>445</v>
      </c>
      <c r="T30" s="656"/>
      <c r="U30" s="656"/>
      <c r="V30" s="656"/>
      <c r="W30" s="656" t="s">
        <v>13051</v>
      </c>
      <c r="X30" s="656" t="s">
        <v>498</v>
      </c>
      <c r="Y30" s="656" t="s">
        <v>14278</v>
      </c>
      <c r="Z30" s="656">
        <v>44305.527511574073</v>
      </c>
      <c r="AA30" s="656" t="s">
        <v>14335</v>
      </c>
      <c r="AB30" s="656"/>
    </row>
    <row r="31" spans="1:28">
      <c r="A31" s="656" t="s">
        <v>15463</v>
      </c>
      <c r="B31" s="656" t="s">
        <v>15464</v>
      </c>
      <c r="C31" s="656" t="s">
        <v>20</v>
      </c>
      <c r="D31" s="656" t="s">
        <v>15465</v>
      </c>
      <c r="E31" s="656" t="s">
        <v>14279</v>
      </c>
      <c r="F31" s="1447"/>
      <c r="G31" s="656" t="s">
        <v>15464</v>
      </c>
      <c r="H31" s="656" t="s">
        <v>1777</v>
      </c>
      <c r="I31" s="656"/>
      <c r="J31" s="656"/>
      <c r="K31" s="656"/>
      <c r="L31" s="656" t="s">
        <v>15465</v>
      </c>
      <c r="M31" s="656" t="s">
        <v>16196</v>
      </c>
      <c r="N31" s="656"/>
      <c r="O31" s="656" t="s">
        <v>6421</v>
      </c>
      <c r="P31" s="5"/>
      <c r="Q31" s="1447">
        <v>44237</v>
      </c>
      <c r="R31" s="656"/>
      <c r="S31" s="656" t="s">
        <v>462</v>
      </c>
      <c r="T31" s="656"/>
      <c r="U31" s="656"/>
      <c r="V31" s="656"/>
      <c r="W31" s="656" t="s">
        <v>13051</v>
      </c>
      <c r="X31" s="656" t="s">
        <v>498</v>
      </c>
      <c r="Y31" s="656" t="s">
        <v>14278</v>
      </c>
      <c r="Z31" s="656">
        <v>44305.527303240742</v>
      </c>
      <c r="AA31" s="656" t="s">
        <v>14335</v>
      </c>
      <c r="AB31" s="656"/>
    </row>
    <row r="32" spans="1:28">
      <c r="A32" s="656" t="s">
        <v>15466</v>
      </c>
      <c r="B32" s="656" t="s">
        <v>15467</v>
      </c>
      <c r="C32" s="656" t="s">
        <v>20</v>
      </c>
      <c r="D32" s="656" t="s">
        <v>15468</v>
      </c>
      <c r="E32" s="656" t="s">
        <v>14279</v>
      </c>
      <c r="F32" s="1447"/>
      <c r="G32" s="656" t="s">
        <v>15467</v>
      </c>
      <c r="H32" s="656" t="s">
        <v>1777</v>
      </c>
      <c r="I32" s="656"/>
      <c r="J32" s="656"/>
      <c r="K32" s="656"/>
      <c r="L32" s="656" t="s">
        <v>15468</v>
      </c>
      <c r="M32" s="656" t="s">
        <v>16196</v>
      </c>
      <c r="N32" s="656"/>
      <c r="O32" s="656" t="s">
        <v>6421</v>
      </c>
      <c r="P32" s="5"/>
      <c r="Q32" s="1447">
        <v>44237</v>
      </c>
      <c r="R32" s="656"/>
      <c r="S32" s="656" t="s">
        <v>462</v>
      </c>
      <c r="T32" s="656"/>
      <c r="U32" s="656"/>
      <c r="V32" s="656"/>
      <c r="W32" s="656" t="s">
        <v>13051</v>
      </c>
      <c r="X32" s="656" t="s">
        <v>498</v>
      </c>
      <c r="Y32" s="656" t="s">
        <v>14278</v>
      </c>
      <c r="Z32" s="656">
        <v>44305.527303240742</v>
      </c>
      <c r="AA32" s="656" t="s">
        <v>14335</v>
      </c>
      <c r="AB32" s="656"/>
    </row>
    <row r="33" spans="1:28">
      <c r="A33" s="656" t="s">
        <v>15522</v>
      </c>
      <c r="B33" s="656" t="s">
        <v>15523</v>
      </c>
      <c r="C33" s="656" t="s">
        <v>20</v>
      </c>
      <c r="D33" s="656" t="s">
        <v>15923</v>
      </c>
      <c r="E33" s="656" t="s">
        <v>14279</v>
      </c>
      <c r="F33" s="1447"/>
      <c r="G33" s="656" t="s">
        <v>15924</v>
      </c>
      <c r="H33" s="656" t="s">
        <v>1777</v>
      </c>
      <c r="I33" s="656"/>
      <c r="J33" s="656"/>
      <c r="K33" s="656"/>
      <c r="L33" s="656" t="s">
        <v>15923</v>
      </c>
      <c r="M33" s="656" t="s">
        <v>16200</v>
      </c>
      <c r="N33" s="656"/>
      <c r="O33" s="656" t="s">
        <v>6421</v>
      </c>
      <c r="P33" s="5"/>
      <c r="Q33" s="1447">
        <v>44238</v>
      </c>
      <c r="R33" s="656"/>
      <c r="S33" s="656" t="s">
        <v>462</v>
      </c>
      <c r="T33" s="656"/>
      <c r="U33" s="656"/>
      <c r="V33" s="656"/>
      <c r="W33" s="656" t="s">
        <v>13051</v>
      </c>
      <c r="X33" s="656" t="s">
        <v>498</v>
      </c>
      <c r="Y33" s="656" t="s">
        <v>14278</v>
      </c>
      <c r="Z33" s="656">
        <v>44305.527349537035</v>
      </c>
      <c r="AA33" s="656" t="s">
        <v>14335</v>
      </c>
      <c r="AB33" s="656"/>
    </row>
    <row r="34" spans="1:28">
      <c r="A34" s="656" t="s">
        <v>15515</v>
      </c>
      <c r="B34" s="656" t="s">
        <v>15516</v>
      </c>
      <c r="C34" s="656" t="s">
        <v>20</v>
      </c>
      <c r="D34" s="656" t="s">
        <v>15925</v>
      </c>
      <c r="E34" s="656" t="s">
        <v>14279</v>
      </c>
      <c r="F34" s="1447"/>
      <c r="G34" s="656" t="s">
        <v>15926</v>
      </c>
      <c r="H34" s="656" t="s">
        <v>1777</v>
      </c>
      <c r="I34" s="656"/>
      <c r="J34" s="656"/>
      <c r="K34" s="656"/>
      <c r="L34" s="656" t="s">
        <v>15925</v>
      </c>
      <c r="M34" s="656" t="s">
        <v>16200</v>
      </c>
      <c r="N34" s="656"/>
      <c r="O34" s="656" t="s">
        <v>10214</v>
      </c>
      <c r="P34" s="5"/>
      <c r="Q34" s="1447">
        <v>44238</v>
      </c>
      <c r="R34" s="656"/>
      <c r="S34" s="656" t="s">
        <v>537</v>
      </c>
      <c r="T34" s="656"/>
      <c r="U34" s="656"/>
      <c r="V34" s="656"/>
      <c r="W34" s="656" t="s">
        <v>13051</v>
      </c>
      <c r="X34" s="656" t="s">
        <v>498</v>
      </c>
      <c r="Y34" s="656" t="s">
        <v>14278</v>
      </c>
      <c r="Z34" s="656">
        <v>44305.527361111112</v>
      </c>
      <c r="AA34" s="656" t="s">
        <v>14335</v>
      </c>
      <c r="AB34" s="656"/>
    </row>
    <row r="35" spans="1:28">
      <c r="A35" s="656" t="s">
        <v>15509</v>
      </c>
      <c r="B35" s="656" t="s">
        <v>15508</v>
      </c>
      <c r="C35" s="656" t="s">
        <v>20</v>
      </c>
      <c r="D35" s="656" t="s">
        <v>16210</v>
      </c>
      <c r="E35" s="656" t="s">
        <v>14279</v>
      </c>
      <c r="F35" s="1447"/>
      <c r="G35" s="656"/>
      <c r="H35" s="656" t="s">
        <v>1777</v>
      </c>
      <c r="I35" s="656"/>
      <c r="J35" s="656"/>
      <c r="K35" s="656"/>
      <c r="L35" s="656" t="s">
        <v>16210</v>
      </c>
      <c r="M35" s="656" t="s">
        <v>16196</v>
      </c>
      <c r="N35" s="656"/>
      <c r="O35" s="656" t="s">
        <v>9714</v>
      </c>
      <c r="P35" s="5"/>
      <c r="Q35" s="1447">
        <v>44265</v>
      </c>
      <c r="R35" s="656"/>
      <c r="S35" s="656" t="s">
        <v>442</v>
      </c>
      <c r="T35" s="656"/>
      <c r="U35" s="656"/>
      <c r="V35" s="656" t="s">
        <v>14323</v>
      </c>
      <c r="W35" s="656" t="s">
        <v>13051</v>
      </c>
      <c r="X35" s="656" t="s">
        <v>498</v>
      </c>
      <c r="Y35" s="656" t="s">
        <v>14278</v>
      </c>
      <c r="Z35" s="656">
        <v>44305.527731481481</v>
      </c>
      <c r="AA35" s="656" t="s">
        <v>14335</v>
      </c>
      <c r="AB35" s="656"/>
    </row>
    <row r="36" spans="1:28">
      <c r="A36" s="656" t="s">
        <v>15509</v>
      </c>
      <c r="B36" s="656" t="s">
        <v>15508</v>
      </c>
      <c r="C36" s="656" t="s">
        <v>20</v>
      </c>
      <c r="D36" s="656" t="s">
        <v>16211</v>
      </c>
      <c r="E36" s="656" t="s">
        <v>14279</v>
      </c>
      <c r="F36" s="1447"/>
      <c r="G36" s="656"/>
      <c r="H36" s="656" t="s">
        <v>1777</v>
      </c>
      <c r="I36" s="656"/>
      <c r="J36" s="656"/>
      <c r="K36" s="656"/>
      <c r="L36" s="656" t="s">
        <v>16211</v>
      </c>
      <c r="M36" s="656" t="s">
        <v>16196</v>
      </c>
      <c r="N36" s="656"/>
      <c r="O36" s="656" t="s">
        <v>9714</v>
      </c>
      <c r="P36" s="5"/>
      <c r="Q36" s="1447">
        <v>44265</v>
      </c>
      <c r="R36" s="656"/>
      <c r="S36" s="656" t="s">
        <v>442</v>
      </c>
      <c r="T36" s="656"/>
      <c r="U36" s="656"/>
      <c r="V36" s="656" t="s">
        <v>15960</v>
      </c>
      <c r="W36" s="656" t="s">
        <v>13051</v>
      </c>
      <c r="X36" s="656" t="s">
        <v>498</v>
      </c>
      <c r="Y36" s="656" t="s">
        <v>14278</v>
      </c>
      <c r="Z36" s="656">
        <v>44305.527731481481</v>
      </c>
      <c r="AA36" s="656" t="s">
        <v>14335</v>
      </c>
      <c r="AB36" s="656"/>
    </row>
    <row r="37" spans="1:28">
      <c r="A37" s="656" t="s">
        <v>15502</v>
      </c>
      <c r="B37" s="656" t="s">
        <v>15503</v>
      </c>
      <c r="C37" s="656" t="s">
        <v>20</v>
      </c>
      <c r="D37" s="656" t="s">
        <v>16212</v>
      </c>
      <c r="E37" s="656" t="s">
        <v>14279</v>
      </c>
      <c r="F37" s="1447"/>
      <c r="G37" s="656"/>
      <c r="H37" s="656" t="s">
        <v>1777</v>
      </c>
      <c r="I37" s="656"/>
      <c r="J37" s="656"/>
      <c r="K37" s="656"/>
      <c r="L37" s="656" t="s">
        <v>16212</v>
      </c>
      <c r="M37" s="656" t="s">
        <v>16196</v>
      </c>
      <c r="N37" s="656"/>
      <c r="O37" s="656" t="s">
        <v>9714</v>
      </c>
      <c r="P37" s="5"/>
      <c r="Q37" s="1447">
        <v>44265</v>
      </c>
      <c r="R37" s="656"/>
      <c r="S37" s="656" t="s">
        <v>442</v>
      </c>
      <c r="T37" s="656"/>
      <c r="U37" s="656"/>
      <c r="V37" s="656" t="s">
        <v>14323</v>
      </c>
      <c r="W37" s="656" t="s">
        <v>13051</v>
      </c>
      <c r="X37" s="656" t="s">
        <v>498</v>
      </c>
      <c r="Y37" s="656" t="s">
        <v>14278</v>
      </c>
      <c r="Z37" s="656">
        <v>44305.527719907404</v>
      </c>
      <c r="AA37" s="656" t="s">
        <v>14335</v>
      </c>
      <c r="AB37" s="656"/>
    </row>
    <row r="38" spans="1:28">
      <c r="A38" s="656" t="s">
        <v>15502</v>
      </c>
      <c r="B38" s="656" t="s">
        <v>15503</v>
      </c>
      <c r="C38" s="656" t="s">
        <v>20</v>
      </c>
      <c r="D38" s="656" t="s">
        <v>16213</v>
      </c>
      <c r="E38" s="656" t="s">
        <v>14279</v>
      </c>
      <c r="F38" s="1447"/>
      <c r="G38" s="656"/>
      <c r="H38" s="656" t="s">
        <v>1777</v>
      </c>
      <c r="I38" s="656"/>
      <c r="J38" s="656"/>
      <c r="K38" s="656"/>
      <c r="L38" s="656" t="s">
        <v>16213</v>
      </c>
      <c r="M38" s="656" t="s">
        <v>16196</v>
      </c>
      <c r="N38" s="656"/>
      <c r="O38" s="656" t="s">
        <v>9714</v>
      </c>
      <c r="P38" s="5"/>
      <c r="Q38" s="1447">
        <v>44265</v>
      </c>
      <c r="R38" s="656"/>
      <c r="S38" s="656" t="s">
        <v>442</v>
      </c>
      <c r="T38" s="656"/>
      <c r="U38" s="656"/>
      <c r="V38" s="656" t="s">
        <v>15960</v>
      </c>
      <c r="W38" s="656" t="s">
        <v>13051</v>
      </c>
      <c r="X38" s="656" t="s">
        <v>498</v>
      </c>
      <c r="Y38" s="656" t="s">
        <v>14278</v>
      </c>
      <c r="Z38" s="656">
        <v>44305.527719907404</v>
      </c>
      <c r="AA38" s="656" t="s">
        <v>14335</v>
      </c>
      <c r="AB38" s="656"/>
    </row>
    <row r="39" spans="1:28">
      <c r="A39" s="656" t="s">
        <v>15260</v>
      </c>
      <c r="B39" s="656" t="s">
        <v>15261</v>
      </c>
      <c r="C39" s="656" t="s">
        <v>20</v>
      </c>
      <c r="D39" s="656" t="s">
        <v>15338</v>
      </c>
      <c r="E39" s="656" t="s">
        <v>14279</v>
      </c>
      <c r="F39" s="1447"/>
      <c r="G39" s="656" t="s">
        <v>15339</v>
      </c>
      <c r="H39" s="656" t="s">
        <v>1777</v>
      </c>
      <c r="I39" s="656"/>
      <c r="J39" s="656"/>
      <c r="K39" s="656"/>
      <c r="L39" s="656" t="s">
        <v>15338</v>
      </c>
      <c r="M39" s="656" t="s">
        <v>16200</v>
      </c>
      <c r="N39" s="656"/>
      <c r="O39" s="656" t="s">
        <v>10175</v>
      </c>
      <c r="P39" s="5"/>
      <c r="Q39" s="1447">
        <v>44229</v>
      </c>
      <c r="R39" s="656"/>
      <c r="S39" s="656" t="s">
        <v>450</v>
      </c>
      <c r="T39" s="656"/>
      <c r="U39" s="656"/>
      <c r="V39" s="656"/>
      <c r="W39" s="656" t="s">
        <v>13051</v>
      </c>
      <c r="X39" s="656" t="s">
        <v>498</v>
      </c>
      <c r="Y39" s="656" t="s">
        <v>14278</v>
      </c>
      <c r="Z39" s="656">
        <v>44305.527280092596</v>
      </c>
      <c r="AA39" s="656" t="s">
        <v>14335</v>
      </c>
      <c r="AB39" s="656"/>
    </row>
    <row r="40" spans="1:28">
      <c r="A40" s="656" t="s">
        <v>15260</v>
      </c>
      <c r="B40" s="656" t="s">
        <v>15261</v>
      </c>
      <c r="C40" s="656" t="s">
        <v>21</v>
      </c>
      <c r="D40" s="656" t="s">
        <v>15927</v>
      </c>
      <c r="E40" s="656" t="s">
        <v>14279</v>
      </c>
      <c r="F40" s="1447"/>
      <c r="G40" s="656" t="s">
        <v>15339</v>
      </c>
      <c r="H40" s="656" t="s">
        <v>1777</v>
      </c>
      <c r="I40" s="656" t="s">
        <v>15928</v>
      </c>
      <c r="J40" s="656" t="s">
        <v>15927</v>
      </c>
      <c r="K40" s="656" t="s">
        <v>9774</v>
      </c>
      <c r="L40" s="656"/>
      <c r="M40" s="656" t="s">
        <v>16200</v>
      </c>
      <c r="N40" s="656"/>
      <c r="O40" s="656" t="s">
        <v>10175</v>
      </c>
      <c r="P40" s="5"/>
      <c r="Q40" s="1447">
        <v>44253</v>
      </c>
      <c r="R40" s="656"/>
      <c r="S40" s="656" t="s">
        <v>450</v>
      </c>
      <c r="T40" s="656"/>
      <c r="U40" s="656"/>
      <c r="V40" s="656"/>
      <c r="W40" s="656" t="s">
        <v>13051</v>
      </c>
      <c r="X40" s="656" t="s">
        <v>498</v>
      </c>
      <c r="Y40" s="656" t="s">
        <v>14278</v>
      </c>
      <c r="Z40" s="656">
        <v>44305.527488425927</v>
      </c>
      <c r="AA40" s="656" t="s">
        <v>14335</v>
      </c>
      <c r="AB40" s="656"/>
    </row>
    <row r="41" spans="1:28">
      <c r="A41" s="656" t="s">
        <v>15272</v>
      </c>
      <c r="B41" s="656" t="s">
        <v>15273</v>
      </c>
      <c r="C41" s="656" t="s">
        <v>20</v>
      </c>
      <c r="D41" s="656" t="s">
        <v>15929</v>
      </c>
      <c r="E41" s="656" t="s">
        <v>14279</v>
      </c>
      <c r="F41" s="1447"/>
      <c r="G41" s="656" t="s">
        <v>16214</v>
      </c>
      <c r="H41" s="656" t="s">
        <v>1777</v>
      </c>
      <c r="I41" s="656"/>
      <c r="J41" s="656"/>
      <c r="K41" s="656"/>
      <c r="L41" s="656" t="s">
        <v>15929</v>
      </c>
      <c r="M41" s="656" t="s">
        <v>16196</v>
      </c>
      <c r="N41" s="656"/>
      <c r="O41" s="656" t="s">
        <v>6395</v>
      </c>
      <c r="P41" s="5"/>
      <c r="Q41" s="1447">
        <v>44243</v>
      </c>
      <c r="R41" s="656"/>
      <c r="S41" s="656" t="s">
        <v>472</v>
      </c>
      <c r="T41" s="656"/>
      <c r="U41" s="656"/>
      <c r="V41" s="656"/>
      <c r="W41" s="656" t="s">
        <v>13051</v>
      </c>
      <c r="X41" s="656" t="s">
        <v>498</v>
      </c>
      <c r="Y41" s="656" t="s">
        <v>14278</v>
      </c>
      <c r="Z41" s="656">
        <v>44315.628379629627</v>
      </c>
      <c r="AA41" s="656" t="s">
        <v>14276</v>
      </c>
      <c r="AB41" s="656"/>
    </row>
    <row r="42" spans="1:28">
      <c r="A42" s="656" t="s">
        <v>15272</v>
      </c>
      <c r="B42" s="656" t="s">
        <v>15273</v>
      </c>
      <c r="C42" s="656" t="s">
        <v>21</v>
      </c>
      <c r="D42" s="656" t="s">
        <v>15930</v>
      </c>
      <c r="E42" s="656" t="s">
        <v>14279</v>
      </c>
      <c r="F42" s="1447"/>
      <c r="G42" s="656" t="s">
        <v>16215</v>
      </c>
      <c r="H42" s="656" t="s">
        <v>1777</v>
      </c>
      <c r="I42" s="656" t="s">
        <v>15931</v>
      </c>
      <c r="J42" s="656" t="s">
        <v>15930</v>
      </c>
      <c r="K42" s="656" t="s">
        <v>9774</v>
      </c>
      <c r="L42" s="656"/>
      <c r="M42" s="656" t="s">
        <v>16196</v>
      </c>
      <c r="N42" s="656"/>
      <c r="O42" s="656" t="s">
        <v>6395</v>
      </c>
      <c r="P42" s="5"/>
      <c r="Q42" s="1447">
        <v>44280</v>
      </c>
      <c r="R42" s="656"/>
      <c r="S42" s="656" t="s">
        <v>472</v>
      </c>
      <c r="T42" s="656"/>
      <c r="U42" s="656"/>
      <c r="V42" s="656"/>
      <c r="W42" s="656" t="s">
        <v>13051</v>
      </c>
      <c r="X42" s="656" t="s">
        <v>498</v>
      </c>
      <c r="Y42" s="656" t="s">
        <v>14278</v>
      </c>
      <c r="Z42" s="656">
        <v>44314.434328703705</v>
      </c>
      <c r="AA42" s="656" t="s">
        <v>14276</v>
      </c>
      <c r="AB42" s="656" t="s">
        <v>16216</v>
      </c>
    </row>
    <row r="43" spans="1:28">
      <c r="A43" s="656" t="s">
        <v>15272</v>
      </c>
      <c r="B43" s="656" t="s">
        <v>15273</v>
      </c>
      <c r="C43" s="656" t="s">
        <v>20</v>
      </c>
      <c r="D43" s="656" t="s">
        <v>16217</v>
      </c>
      <c r="E43" s="656" t="s">
        <v>14279</v>
      </c>
      <c r="F43" s="1447"/>
      <c r="G43" s="656" t="s">
        <v>16218</v>
      </c>
      <c r="H43" s="656" t="s">
        <v>1777</v>
      </c>
      <c r="I43" s="656"/>
      <c r="J43" s="656"/>
      <c r="K43" s="656"/>
      <c r="L43" s="656" t="s">
        <v>16217</v>
      </c>
      <c r="M43" s="656" t="s">
        <v>16196</v>
      </c>
      <c r="N43" s="656"/>
      <c r="O43" s="656" t="s">
        <v>6395</v>
      </c>
      <c r="P43" s="5"/>
      <c r="Q43" s="1447">
        <v>44308</v>
      </c>
      <c r="R43" s="656"/>
      <c r="S43" s="656" t="s">
        <v>472</v>
      </c>
      <c r="T43" s="656"/>
      <c r="U43" s="656"/>
      <c r="V43" s="656"/>
      <c r="W43" s="656" t="s">
        <v>13051</v>
      </c>
      <c r="X43" s="656" t="s">
        <v>498</v>
      </c>
      <c r="Y43" s="656" t="s">
        <v>14278</v>
      </c>
      <c r="Z43" s="656">
        <v>44309.537361111114</v>
      </c>
      <c r="AA43" s="656" t="s">
        <v>14276</v>
      </c>
      <c r="AB43" s="656" t="s">
        <v>16216</v>
      </c>
    </row>
    <row r="44" spans="1:28">
      <c r="A44" s="656" t="s">
        <v>15272</v>
      </c>
      <c r="B44" s="656" t="s">
        <v>15273</v>
      </c>
      <c r="C44" s="656" t="s">
        <v>20</v>
      </c>
      <c r="D44" s="656" t="s">
        <v>16219</v>
      </c>
      <c r="E44" s="656" t="s">
        <v>14279</v>
      </c>
      <c r="F44" s="1447"/>
      <c r="G44" s="656" t="s">
        <v>16220</v>
      </c>
      <c r="H44" s="656" t="s">
        <v>1777</v>
      </c>
      <c r="I44" s="656"/>
      <c r="J44" s="656"/>
      <c r="K44" s="656"/>
      <c r="L44" s="656" t="s">
        <v>16219</v>
      </c>
      <c r="M44" s="656" t="s">
        <v>16196</v>
      </c>
      <c r="N44" s="656"/>
      <c r="O44" s="656" t="s">
        <v>6395</v>
      </c>
      <c r="P44" s="5"/>
      <c r="Q44" s="1447">
        <v>44308</v>
      </c>
      <c r="R44" s="656"/>
      <c r="S44" s="656" t="s">
        <v>472</v>
      </c>
      <c r="T44" s="656"/>
      <c r="U44" s="656"/>
      <c r="V44" s="656"/>
      <c r="W44" s="656" t="s">
        <v>13051</v>
      </c>
      <c r="X44" s="656" t="s">
        <v>498</v>
      </c>
      <c r="Y44" s="656" t="s">
        <v>14278</v>
      </c>
      <c r="Z44" s="656">
        <v>44309.539594907408</v>
      </c>
      <c r="AA44" s="656" t="s">
        <v>14276</v>
      </c>
      <c r="AB44" s="656" t="s">
        <v>16216</v>
      </c>
    </row>
    <row r="45" spans="1:28">
      <c r="A45" s="656" t="s">
        <v>15272</v>
      </c>
      <c r="B45" s="656" t="s">
        <v>15273</v>
      </c>
      <c r="C45" s="656" t="s">
        <v>20</v>
      </c>
      <c r="D45" s="656" t="s">
        <v>16221</v>
      </c>
      <c r="E45" s="656" t="s">
        <v>14279</v>
      </c>
      <c r="F45" s="1447"/>
      <c r="G45" s="656" t="s">
        <v>16222</v>
      </c>
      <c r="H45" s="656" t="s">
        <v>1777</v>
      </c>
      <c r="I45" s="656"/>
      <c r="J45" s="656"/>
      <c r="K45" s="656"/>
      <c r="L45" s="656" t="s">
        <v>16221</v>
      </c>
      <c r="M45" s="656" t="s">
        <v>16196</v>
      </c>
      <c r="N45" s="656"/>
      <c r="O45" s="656" t="s">
        <v>6395</v>
      </c>
      <c r="P45" s="5"/>
      <c r="Q45" s="1447">
        <v>44308</v>
      </c>
      <c r="R45" s="656"/>
      <c r="S45" s="656" t="s">
        <v>472</v>
      </c>
      <c r="T45" s="656"/>
      <c r="U45" s="656"/>
      <c r="V45" s="656"/>
      <c r="W45" s="656" t="s">
        <v>13051</v>
      </c>
      <c r="X45" s="656" t="s">
        <v>498</v>
      </c>
      <c r="Y45" s="656" t="s">
        <v>14278</v>
      </c>
      <c r="Z45" s="656">
        <v>44309.540451388886</v>
      </c>
      <c r="AA45" s="656" t="s">
        <v>14276</v>
      </c>
      <c r="AB45" s="656" t="s">
        <v>16223</v>
      </c>
    </row>
    <row r="46" spans="1:28">
      <c r="A46" s="656" t="s">
        <v>15272</v>
      </c>
      <c r="B46" s="656" t="s">
        <v>15273</v>
      </c>
      <c r="C46" s="656" t="s">
        <v>20</v>
      </c>
      <c r="D46" s="656" t="s">
        <v>16224</v>
      </c>
      <c r="E46" s="656" t="s">
        <v>14279</v>
      </c>
      <c r="F46" s="1447"/>
      <c r="G46" s="656" t="s">
        <v>16225</v>
      </c>
      <c r="H46" s="656" t="s">
        <v>1777</v>
      </c>
      <c r="I46" s="656"/>
      <c r="J46" s="656"/>
      <c r="K46" s="656"/>
      <c r="L46" s="656" t="s">
        <v>16224</v>
      </c>
      <c r="M46" s="656" t="s">
        <v>16196</v>
      </c>
      <c r="N46" s="656"/>
      <c r="O46" s="656" t="s">
        <v>6395</v>
      </c>
      <c r="P46" s="5"/>
      <c r="Q46" s="1447">
        <v>44308</v>
      </c>
      <c r="R46" s="656"/>
      <c r="S46" s="656" t="s">
        <v>472</v>
      </c>
      <c r="T46" s="656"/>
      <c r="U46" s="656"/>
      <c r="V46" s="656"/>
      <c r="W46" s="656" t="s">
        <v>13051</v>
      </c>
      <c r="X46" s="656" t="s">
        <v>498</v>
      </c>
      <c r="Y46" s="656" t="s">
        <v>14278</v>
      </c>
      <c r="Z46" s="656">
        <v>44309.542534722219</v>
      </c>
      <c r="AA46" s="656" t="s">
        <v>14276</v>
      </c>
      <c r="AB46" s="656" t="s">
        <v>16223</v>
      </c>
    </row>
    <row r="47" spans="1:28">
      <c r="A47" s="656" t="s">
        <v>15272</v>
      </c>
      <c r="B47" s="656" t="s">
        <v>15273</v>
      </c>
      <c r="C47" s="656" t="s">
        <v>20</v>
      </c>
      <c r="D47" s="656" t="s">
        <v>16226</v>
      </c>
      <c r="E47" s="656" t="s">
        <v>14279</v>
      </c>
      <c r="F47" s="1447"/>
      <c r="G47" s="656" t="s">
        <v>16227</v>
      </c>
      <c r="H47" s="656" t="s">
        <v>1777</v>
      </c>
      <c r="I47" s="656"/>
      <c r="J47" s="656"/>
      <c r="K47" s="656"/>
      <c r="L47" s="656" t="s">
        <v>16226</v>
      </c>
      <c r="M47" s="656" t="s">
        <v>16196</v>
      </c>
      <c r="N47" s="656"/>
      <c r="O47" s="656" t="s">
        <v>6395</v>
      </c>
      <c r="P47" s="5"/>
      <c r="Q47" s="1447">
        <v>44308</v>
      </c>
      <c r="R47" s="656"/>
      <c r="S47" s="656" t="s">
        <v>472</v>
      </c>
      <c r="T47" s="656"/>
      <c r="U47" s="656"/>
      <c r="V47" s="656"/>
      <c r="W47" s="656" t="s">
        <v>13051</v>
      </c>
      <c r="X47" s="656" t="s">
        <v>498</v>
      </c>
      <c r="Y47" s="656" t="s">
        <v>14278</v>
      </c>
      <c r="Z47" s="656">
        <v>44309.557256944441</v>
      </c>
      <c r="AA47" s="656" t="s">
        <v>14276</v>
      </c>
      <c r="AB47" s="656" t="s">
        <v>16228</v>
      </c>
    </row>
    <row r="48" spans="1:28">
      <c r="A48" s="656" t="s">
        <v>15272</v>
      </c>
      <c r="B48" s="656" t="s">
        <v>15273</v>
      </c>
      <c r="C48" s="656" t="s">
        <v>20</v>
      </c>
      <c r="D48" s="656" t="s">
        <v>16229</v>
      </c>
      <c r="E48" s="656" t="s">
        <v>14279</v>
      </c>
      <c r="F48" s="1447"/>
      <c r="G48" s="656" t="s">
        <v>16230</v>
      </c>
      <c r="H48" s="656" t="s">
        <v>1777</v>
      </c>
      <c r="I48" s="656"/>
      <c r="J48" s="656"/>
      <c r="K48" s="656"/>
      <c r="L48" s="656" t="s">
        <v>16229</v>
      </c>
      <c r="M48" s="656" t="s">
        <v>16196</v>
      </c>
      <c r="N48" s="656"/>
      <c r="O48" s="656" t="s">
        <v>6395</v>
      </c>
      <c r="P48" s="5"/>
      <c r="Q48" s="1447">
        <v>44308</v>
      </c>
      <c r="R48" s="656"/>
      <c r="S48" s="656" t="s">
        <v>472</v>
      </c>
      <c r="T48" s="656"/>
      <c r="U48" s="656"/>
      <c r="V48" s="656"/>
      <c r="W48" s="656" t="s">
        <v>13051</v>
      </c>
      <c r="X48" s="656" t="s">
        <v>498</v>
      </c>
      <c r="Y48" s="656" t="s">
        <v>14278</v>
      </c>
      <c r="Z48" s="656">
        <v>44309.558981481481</v>
      </c>
      <c r="AA48" s="656" t="s">
        <v>14276</v>
      </c>
      <c r="AB48" s="656" t="s">
        <v>16231</v>
      </c>
    </row>
    <row r="49" spans="1:28">
      <c r="A49" s="656" t="s">
        <v>15272</v>
      </c>
      <c r="B49" s="656" t="s">
        <v>15273</v>
      </c>
      <c r="C49" s="656" t="s">
        <v>20</v>
      </c>
      <c r="D49" s="656" t="s">
        <v>16232</v>
      </c>
      <c r="E49" s="656" t="s">
        <v>14279</v>
      </c>
      <c r="F49" s="1447"/>
      <c r="G49" s="656" t="s">
        <v>16233</v>
      </c>
      <c r="H49" s="656" t="s">
        <v>1777</v>
      </c>
      <c r="I49" s="656"/>
      <c r="J49" s="656"/>
      <c r="K49" s="656"/>
      <c r="L49" s="656" t="s">
        <v>16232</v>
      </c>
      <c r="M49" s="656" t="s">
        <v>16196</v>
      </c>
      <c r="N49" s="656"/>
      <c r="O49" s="656" t="s">
        <v>6395</v>
      </c>
      <c r="P49" s="5"/>
      <c r="Q49" s="1447">
        <v>44308</v>
      </c>
      <c r="R49" s="656"/>
      <c r="S49" s="656" t="s">
        <v>472</v>
      </c>
      <c r="T49" s="656"/>
      <c r="U49" s="656"/>
      <c r="V49" s="656"/>
      <c r="W49" s="656" t="s">
        <v>13051</v>
      </c>
      <c r="X49" s="656" t="s">
        <v>498</v>
      </c>
      <c r="Y49" s="656" t="s">
        <v>14278</v>
      </c>
      <c r="Z49" s="656">
        <v>44309.560416666667</v>
      </c>
      <c r="AA49" s="656" t="s">
        <v>14276</v>
      </c>
      <c r="AB49" s="656" t="s">
        <v>16231</v>
      </c>
    </row>
    <row r="50" spans="1:28">
      <c r="A50" s="656" t="s">
        <v>15272</v>
      </c>
      <c r="B50" s="656" t="s">
        <v>15273</v>
      </c>
      <c r="C50" s="656" t="s">
        <v>20</v>
      </c>
      <c r="D50" s="656" t="s">
        <v>16234</v>
      </c>
      <c r="E50" s="656" t="s">
        <v>14279</v>
      </c>
      <c r="F50" s="1447"/>
      <c r="G50" s="656" t="s">
        <v>16235</v>
      </c>
      <c r="H50" s="656" t="s">
        <v>1777</v>
      </c>
      <c r="I50" s="656"/>
      <c r="J50" s="656"/>
      <c r="K50" s="656"/>
      <c r="L50" s="656" t="s">
        <v>16234</v>
      </c>
      <c r="M50" s="656" t="s">
        <v>16196</v>
      </c>
      <c r="N50" s="656"/>
      <c r="O50" s="656" t="s">
        <v>6395</v>
      </c>
      <c r="P50" s="5"/>
      <c r="Q50" s="1447">
        <v>44308</v>
      </c>
      <c r="R50" s="656"/>
      <c r="S50" s="656" t="s">
        <v>472</v>
      </c>
      <c r="T50" s="656"/>
      <c r="U50" s="656"/>
      <c r="V50" s="656"/>
      <c r="W50" s="656" t="s">
        <v>13051</v>
      </c>
      <c r="X50" s="656" t="s">
        <v>498</v>
      </c>
      <c r="Y50" s="656" t="s">
        <v>14278</v>
      </c>
      <c r="Z50" s="656">
        <v>44309.563506944447</v>
      </c>
      <c r="AA50" s="656" t="s">
        <v>14276</v>
      </c>
      <c r="AB50" s="656" t="s">
        <v>16231</v>
      </c>
    </row>
    <row r="51" spans="1:28">
      <c r="A51" s="656" t="s">
        <v>15272</v>
      </c>
      <c r="B51" s="656" t="s">
        <v>15273</v>
      </c>
      <c r="C51" s="656" t="s">
        <v>20</v>
      </c>
      <c r="D51" s="656" t="s">
        <v>16236</v>
      </c>
      <c r="E51" s="656" t="s">
        <v>14279</v>
      </c>
      <c r="F51" s="1447"/>
      <c r="G51" s="656" t="s">
        <v>16237</v>
      </c>
      <c r="H51" s="656" t="s">
        <v>1777</v>
      </c>
      <c r="I51" s="656"/>
      <c r="J51" s="656"/>
      <c r="K51" s="656"/>
      <c r="L51" s="656" t="s">
        <v>16236</v>
      </c>
      <c r="M51" s="656" t="s">
        <v>16196</v>
      </c>
      <c r="N51" s="656"/>
      <c r="O51" s="656" t="s">
        <v>6395</v>
      </c>
      <c r="P51" s="5"/>
      <c r="Q51" s="1447">
        <v>44308</v>
      </c>
      <c r="R51" s="656"/>
      <c r="S51" s="656" t="s">
        <v>472</v>
      </c>
      <c r="T51" s="656"/>
      <c r="U51" s="656"/>
      <c r="V51" s="656"/>
      <c r="W51" s="656" t="s">
        <v>13051</v>
      </c>
      <c r="X51" s="656" t="s">
        <v>498</v>
      </c>
      <c r="Y51" s="656" t="s">
        <v>14278</v>
      </c>
      <c r="Z51" s="656">
        <v>44309.563090277778</v>
      </c>
      <c r="AA51" s="656" t="s">
        <v>14276</v>
      </c>
      <c r="AB51" s="656" t="s">
        <v>16238</v>
      </c>
    </row>
    <row r="52" spans="1:28">
      <c r="A52" s="656" t="s">
        <v>15272</v>
      </c>
      <c r="B52" s="656" t="s">
        <v>15273</v>
      </c>
      <c r="C52" s="656" t="s">
        <v>20</v>
      </c>
      <c r="D52" s="656" t="s">
        <v>16239</v>
      </c>
      <c r="E52" s="656" t="s">
        <v>14279</v>
      </c>
      <c r="F52" s="1447"/>
      <c r="G52" s="656" t="s">
        <v>16240</v>
      </c>
      <c r="H52" s="656" t="s">
        <v>1777</v>
      </c>
      <c r="I52" s="656"/>
      <c r="J52" s="656"/>
      <c r="K52" s="656"/>
      <c r="L52" s="656" t="s">
        <v>16239</v>
      </c>
      <c r="M52" s="656" t="s">
        <v>16196</v>
      </c>
      <c r="N52" s="656"/>
      <c r="O52" s="656" t="s">
        <v>6395</v>
      </c>
      <c r="P52" s="5"/>
      <c r="Q52" s="1447">
        <v>44308</v>
      </c>
      <c r="R52" s="656"/>
      <c r="S52" s="656" t="s">
        <v>472</v>
      </c>
      <c r="T52" s="656"/>
      <c r="U52" s="656"/>
      <c r="V52" s="656"/>
      <c r="W52" s="656" t="s">
        <v>13051</v>
      </c>
      <c r="X52" s="656" t="s">
        <v>498</v>
      </c>
      <c r="Y52" s="656" t="s">
        <v>14278</v>
      </c>
      <c r="Z52" s="656">
        <v>44314.468819444446</v>
      </c>
      <c r="AA52" s="656" t="s">
        <v>14276</v>
      </c>
      <c r="AB52" s="656" t="s">
        <v>16238</v>
      </c>
    </row>
    <row r="53" spans="1:28">
      <c r="A53" s="656" t="s">
        <v>15272</v>
      </c>
      <c r="B53" s="656" t="s">
        <v>15273</v>
      </c>
      <c r="C53" s="656" t="s">
        <v>21</v>
      </c>
      <c r="D53" s="656" t="s">
        <v>16241</v>
      </c>
      <c r="E53" s="656" t="s">
        <v>14279</v>
      </c>
      <c r="F53" s="1447"/>
      <c r="G53" s="656" t="s">
        <v>16242</v>
      </c>
      <c r="H53" s="656" t="s">
        <v>1777</v>
      </c>
      <c r="I53" s="656" t="s">
        <v>15931</v>
      </c>
      <c r="J53" s="656" t="s">
        <v>16241</v>
      </c>
      <c r="K53" s="656" t="s">
        <v>9774</v>
      </c>
      <c r="L53" s="656"/>
      <c r="M53" s="656" t="s">
        <v>16196</v>
      </c>
      <c r="N53" s="656"/>
      <c r="O53" s="656" t="s">
        <v>6395</v>
      </c>
      <c r="P53" s="5"/>
      <c r="Q53" s="1447">
        <v>44301</v>
      </c>
      <c r="R53" s="656"/>
      <c r="S53" s="656" t="s">
        <v>472</v>
      </c>
      <c r="T53" s="656"/>
      <c r="U53" s="656"/>
      <c r="V53" s="656"/>
      <c r="W53" s="656" t="s">
        <v>13051</v>
      </c>
      <c r="X53" s="656" t="s">
        <v>498</v>
      </c>
      <c r="Y53" s="656" t="s">
        <v>14278</v>
      </c>
      <c r="Z53" s="656">
        <v>44314.434155092589</v>
      </c>
      <c r="AA53" s="656" t="s">
        <v>14276</v>
      </c>
      <c r="AB53" s="656" t="s">
        <v>16216</v>
      </c>
    </row>
    <row r="54" spans="1:28">
      <c r="A54" s="656" t="s">
        <v>15272</v>
      </c>
      <c r="B54" s="656" t="s">
        <v>15273</v>
      </c>
      <c r="C54" s="656" t="s">
        <v>21</v>
      </c>
      <c r="D54" s="656" t="s">
        <v>16243</v>
      </c>
      <c r="E54" s="656" t="s">
        <v>14279</v>
      </c>
      <c r="F54" s="1447"/>
      <c r="G54" s="656" t="s">
        <v>16244</v>
      </c>
      <c r="H54" s="656" t="s">
        <v>1777</v>
      </c>
      <c r="I54" s="656" t="s">
        <v>15931</v>
      </c>
      <c r="J54" s="656" t="s">
        <v>16243</v>
      </c>
      <c r="K54" s="656" t="s">
        <v>9774</v>
      </c>
      <c r="L54" s="656"/>
      <c r="M54" s="656" t="s">
        <v>16196</v>
      </c>
      <c r="N54" s="656"/>
      <c r="O54" s="656" t="s">
        <v>6395</v>
      </c>
      <c r="P54" s="5"/>
      <c r="Q54" s="1447">
        <v>44301</v>
      </c>
      <c r="R54" s="656"/>
      <c r="S54" s="656" t="s">
        <v>472</v>
      </c>
      <c r="T54" s="656"/>
      <c r="U54" s="656"/>
      <c r="V54" s="656"/>
      <c r="W54" s="656" t="s">
        <v>13051</v>
      </c>
      <c r="X54" s="656" t="s">
        <v>498</v>
      </c>
      <c r="Y54" s="656" t="s">
        <v>14278</v>
      </c>
      <c r="Z54" s="656">
        <v>44314.438888888886</v>
      </c>
      <c r="AA54" s="656" t="s">
        <v>14276</v>
      </c>
      <c r="AB54" s="656" t="s">
        <v>16216</v>
      </c>
    </row>
    <row r="55" spans="1:28">
      <c r="A55" s="656" t="s">
        <v>15272</v>
      </c>
      <c r="B55" s="656" t="s">
        <v>15273</v>
      </c>
      <c r="C55" s="656" t="s">
        <v>21</v>
      </c>
      <c r="D55" s="656" t="s">
        <v>16245</v>
      </c>
      <c r="E55" s="656" t="s">
        <v>14279</v>
      </c>
      <c r="F55" s="1447"/>
      <c r="G55" s="656" t="s">
        <v>16246</v>
      </c>
      <c r="H55" s="656" t="s">
        <v>1777</v>
      </c>
      <c r="I55" s="656" t="s">
        <v>15931</v>
      </c>
      <c r="J55" s="656" t="s">
        <v>16245</v>
      </c>
      <c r="K55" s="656" t="s">
        <v>9774</v>
      </c>
      <c r="L55" s="656"/>
      <c r="M55" s="656" t="s">
        <v>16196</v>
      </c>
      <c r="N55" s="656"/>
      <c r="O55" s="656" t="s">
        <v>6395</v>
      </c>
      <c r="P55" s="5"/>
      <c r="Q55" s="1447">
        <v>44301</v>
      </c>
      <c r="R55" s="656"/>
      <c r="S55" s="656" t="s">
        <v>472</v>
      </c>
      <c r="T55" s="656"/>
      <c r="U55" s="656"/>
      <c r="V55" s="656"/>
      <c r="W55" s="656" t="s">
        <v>13051</v>
      </c>
      <c r="X55" s="656" t="s">
        <v>498</v>
      </c>
      <c r="Y55" s="656" t="s">
        <v>14278</v>
      </c>
      <c r="Z55" s="656">
        <v>44314.441076388888</v>
      </c>
      <c r="AA55" s="656" t="s">
        <v>14276</v>
      </c>
      <c r="AB55" s="656" t="s">
        <v>16223</v>
      </c>
    </row>
    <row r="56" spans="1:28">
      <c r="A56" s="656" t="s">
        <v>15272</v>
      </c>
      <c r="B56" s="656" t="s">
        <v>15273</v>
      </c>
      <c r="C56" s="656" t="s">
        <v>21</v>
      </c>
      <c r="D56" s="656" t="s">
        <v>16247</v>
      </c>
      <c r="E56" s="656" t="s">
        <v>14279</v>
      </c>
      <c r="F56" s="1447"/>
      <c r="G56" s="656" t="s">
        <v>16248</v>
      </c>
      <c r="H56" s="656" t="s">
        <v>1777</v>
      </c>
      <c r="I56" s="656" t="s">
        <v>15931</v>
      </c>
      <c r="J56" s="656" t="s">
        <v>16247</v>
      </c>
      <c r="K56" s="656" t="s">
        <v>9774</v>
      </c>
      <c r="L56" s="656"/>
      <c r="M56" s="656" t="s">
        <v>16196</v>
      </c>
      <c r="N56" s="656"/>
      <c r="O56" s="656" t="s">
        <v>6395</v>
      </c>
      <c r="P56" s="5"/>
      <c r="Q56" s="1447">
        <v>44301</v>
      </c>
      <c r="R56" s="656"/>
      <c r="S56" s="656" t="s">
        <v>472</v>
      </c>
      <c r="T56" s="656"/>
      <c r="U56" s="656"/>
      <c r="V56" s="656"/>
      <c r="W56" s="656" t="s">
        <v>13051</v>
      </c>
      <c r="X56" s="656" t="s">
        <v>498</v>
      </c>
      <c r="Y56" s="656" t="s">
        <v>14278</v>
      </c>
      <c r="Z56" s="656">
        <v>44314.447337962964</v>
      </c>
      <c r="AA56" s="656" t="s">
        <v>14276</v>
      </c>
      <c r="AB56" s="656" t="s">
        <v>16223</v>
      </c>
    </row>
    <row r="57" spans="1:28">
      <c r="A57" s="656" t="s">
        <v>15272</v>
      </c>
      <c r="B57" s="656" t="s">
        <v>15273</v>
      </c>
      <c r="C57" s="656" t="s">
        <v>21</v>
      </c>
      <c r="D57" s="656" t="s">
        <v>16249</v>
      </c>
      <c r="E57" s="656" t="s">
        <v>14279</v>
      </c>
      <c r="F57" s="1447"/>
      <c r="G57" s="656" t="s">
        <v>16250</v>
      </c>
      <c r="H57" s="656" t="s">
        <v>1777</v>
      </c>
      <c r="I57" s="656" t="s">
        <v>15931</v>
      </c>
      <c r="J57" s="656" t="s">
        <v>16249</v>
      </c>
      <c r="K57" s="656" t="s">
        <v>9774</v>
      </c>
      <c r="L57" s="656"/>
      <c r="M57" s="656" t="s">
        <v>16196</v>
      </c>
      <c r="N57" s="656"/>
      <c r="O57" s="656" t="s">
        <v>6395</v>
      </c>
      <c r="P57" s="5"/>
      <c r="Q57" s="1447">
        <v>44301</v>
      </c>
      <c r="R57" s="656"/>
      <c r="S57" s="656" t="s">
        <v>472</v>
      </c>
      <c r="T57" s="656"/>
      <c r="U57" s="656"/>
      <c r="V57" s="656"/>
      <c r="W57" s="656" t="s">
        <v>13051</v>
      </c>
      <c r="X57" s="656" t="s">
        <v>498</v>
      </c>
      <c r="Y57" s="656" t="s">
        <v>14278</v>
      </c>
      <c r="Z57" s="656">
        <v>44314.45</v>
      </c>
      <c r="AA57" s="656" t="s">
        <v>14276</v>
      </c>
      <c r="AB57" s="656" t="s">
        <v>16228</v>
      </c>
    </row>
    <row r="58" spans="1:28">
      <c r="A58" s="656" t="s">
        <v>15272</v>
      </c>
      <c r="B58" s="656" t="s">
        <v>15273</v>
      </c>
      <c r="C58" s="656" t="s">
        <v>21</v>
      </c>
      <c r="D58" s="656" t="s">
        <v>16251</v>
      </c>
      <c r="E58" s="656" t="s">
        <v>14279</v>
      </c>
      <c r="F58" s="1447"/>
      <c r="G58" s="656" t="s">
        <v>16252</v>
      </c>
      <c r="H58" s="656" t="s">
        <v>1777</v>
      </c>
      <c r="I58" s="656" t="s">
        <v>15931</v>
      </c>
      <c r="J58" s="656" t="s">
        <v>16251</v>
      </c>
      <c r="K58" s="656" t="s">
        <v>9774</v>
      </c>
      <c r="L58" s="656"/>
      <c r="M58" s="656" t="s">
        <v>16196</v>
      </c>
      <c r="N58" s="656"/>
      <c r="O58" s="656" t="s">
        <v>6395</v>
      </c>
      <c r="P58" s="5"/>
      <c r="Q58" s="1447">
        <v>44301</v>
      </c>
      <c r="R58" s="656"/>
      <c r="S58" s="656" t="s">
        <v>472</v>
      </c>
      <c r="T58" s="656"/>
      <c r="U58" s="656"/>
      <c r="V58" s="656"/>
      <c r="W58" s="656" t="s">
        <v>13051</v>
      </c>
      <c r="X58" s="656" t="s">
        <v>498</v>
      </c>
      <c r="Y58" s="656" t="s">
        <v>14278</v>
      </c>
      <c r="Z58" s="656">
        <v>44314.451990740738</v>
      </c>
      <c r="AA58" s="656" t="s">
        <v>14276</v>
      </c>
      <c r="AB58" s="656" t="s">
        <v>16231</v>
      </c>
    </row>
    <row r="59" spans="1:28">
      <c r="A59" s="656" t="s">
        <v>15272</v>
      </c>
      <c r="B59" s="656" t="s">
        <v>15273</v>
      </c>
      <c r="C59" s="656" t="s">
        <v>21</v>
      </c>
      <c r="D59" s="656" t="s">
        <v>16253</v>
      </c>
      <c r="E59" s="656" t="s">
        <v>14279</v>
      </c>
      <c r="F59" s="1447"/>
      <c r="G59" s="656" t="s">
        <v>16254</v>
      </c>
      <c r="H59" s="656" t="s">
        <v>1777</v>
      </c>
      <c r="I59" s="656" t="s">
        <v>15931</v>
      </c>
      <c r="J59" s="656" t="s">
        <v>16253</v>
      </c>
      <c r="K59" s="656" t="s">
        <v>9774</v>
      </c>
      <c r="L59" s="656"/>
      <c r="M59" s="656" t="s">
        <v>16196</v>
      </c>
      <c r="N59" s="656"/>
      <c r="O59" s="656" t="s">
        <v>6395</v>
      </c>
      <c r="P59" s="5"/>
      <c r="Q59" s="1447">
        <v>44301</v>
      </c>
      <c r="R59" s="656"/>
      <c r="S59" s="656" t="s">
        <v>472</v>
      </c>
      <c r="T59" s="656"/>
      <c r="U59" s="656"/>
      <c r="V59" s="656"/>
      <c r="W59" s="656" t="s">
        <v>13051</v>
      </c>
      <c r="X59" s="656" t="s">
        <v>498</v>
      </c>
      <c r="Y59" s="656" t="s">
        <v>14278</v>
      </c>
      <c r="Z59" s="656">
        <v>44314.454722222225</v>
      </c>
      <c r="AA59" s="656" t="s">
        <v>14276</v>
      </c>
      <c r="AB59" s="656" t="s">
        <v>16231</v>
      </c>
    </row>
    <row r="60" spans="1:28">
      <c r="A60" s="656" t="s">
        <v>15272</v>
      </c>
      <c r="B60" s="656" t="s">
        <v>15273</v>
      </c>
      <c r="C60" s="656" t="s">
        <v>21</v>
      </c>
      <c r="D60" s="656" t="s">
        <v>16255</v>
      </c>
      <c r="E60" s="656" t="s">
        <v>14279</v>
      </c>
      <c r="F60" s="1447"/>
      <c r="G60" s="656" t="s">
        <v>16256</v>
      </c>
      <c r="H60" s="656" t="s">
        <v>1777</v>
      </c>
      <c r="I60" s="656" t="s">
        <v>15931</v>
      </c>
      <c r="J60" s="656" t="s">
        <v>16255</v>
      </c>
      <c r="K60" s="656" t="s">
        <v>9774</v>
      </c>
      <c r="L60" s="656"/>
      <c r="M60" s="656" t="s">
        <v>16196</v>
      </c>
      <c r="N60" s="656"/>
      <c r="O60" s="656" t="s">
        <v>6395</v>
      </c>
      <c r="P60" s="5"/>
      <c r="Q60" s="1447">
        <v>44301</v>
      </c>
      <c r="R60" s="656"/>
      <c r="S60" s="656" t="s">
        <v>472</v>
      </c>
      <c r="T60" s="656"/>
      <c r="U60" s="656"/>
      <c r="V60" s="656"/>
      <c r="W60" s="656" t="s">
        <v>13051</v>
      </c>
      <c r="X60" s="656" t="s">
        <v>498</v>
      </c>
      <c r="Y60" s="656" t="s">
        <v>14278</v>
      </c>
      <c r="Z60" s="656">
        <v>44314.457094907404</v>
      </c>
      <c r="AA60" s="656" t="s">
        <v>14276</v>
      </c>
      <c r="AB60" s="656" t="s">
        <v>16231</v>
      </c>
    </row>
    <row r="61" spans="1:28">
      <c r="A61" s="656" t="s">
        <v>15272</v>
      </c>
      <c r="B61" s="656" t="s">
        <v>15273</v>
      </c>
      <c r="C61" s="656" t="s">
        <v>21</v>
      </c>
      <c r="D61" s="656" t="s">
        <v>16257</v>
      </c>
      <c r="E61" s="656" t="s">
        <v>14279</v>
      </c>
      <c r="F61" s="1447"/>
      <c r="G61" s="656" t="s">
        <v>16258</v>
      </c>
      <c r="H61" s="656" t="s">
        <v>1777</v>
      </c>
      <c r="I61" s="656" t="s">
        <v>15931</v>
      </c>
      <c r="J61" s="656" t="s">
        <v>16257</v>
      </c>
      <c r="K61" s="656" t="s">
        <v>9774</v>
      </c>
      <c r="L61" s="656"/>
      <c r="M61" s="656" t="s">
        <v>16196</v>
      </c>
      <c r="N61" s="656"/>
      <c r="O61" s="656" t="s">
        <v>6395</v>
      </c>
      <c r="P61" s="5"/>
      <c r="Q61" s="1447">
        <v>44301</v>
      </c>
      <c r="R61" s="656"/>
      <c r="S61" s="656" t="s">
        <v>472</v>
      </c>
      <c r="T61" s="656"/>
      <c r="U61" s="656"/>
      <c r="V61" s="656"/>
      <c r="W61" s="656" t="s">
        <v>13051</v>
      </c>
      <c r="X61" s="656" t="s">
        <v>498</v>
      </c>
      <c r="Y61" s="656" t="s">
        <v>14278</v>
      </c>
      <c r="Z61" s="656">
        <v>44314.459293981483</v>
      </c>
      <c r="AA61" s="656" t="s">
        <v>14276</v>
      </c>
      <c r="AB61" s="656" t="s">
        <v>16238</v>
      </c>
    </row>
    <row r="62" spans="1:28">
      <c r="A62" s="656" t="s">
        <v>15272</v>
      </c>
      <c r="B62" s="656" t="s">
        <v>15273</v>
      </c>
      <c r="C62" s="656" t="s">
        <v>21</v>
      </c>
      <c r="D62" s="656" t="s">
        <v>16259</v>
      </c>
      <c r="E62" s="656" t="s">
        <v>14279</v>
      </c>
      <c r="F62" s="1447"/>
      <c r="G62" s="656" t="s">
        <v>16260</v>
      </c>
      <c r="H62" s="656" t="s">
        <v>1777</v>
      </c>
      <c r="I62" s="656" t="s">
        <v>15931</v>
      </c>
      <c r="J62" s="656" t="s">
        <v>16259</v>
      </c>
      <c r="K62" s="656" t="s">
        <v>9774</v>
      </c>
      <c r="L62" s="656"/>
      <c r="M62" s="656" t="s">
        <v>16196</v>
      </c>
      <c r="N62" s="656"/>
      <c r="O62" s="656" t="s">
        <v>6395</v>
      </c>
      <c r="P62" s="5"/>
      <c r="Q62" s="1447">
        <v>44301</v>
      </c>
      <c r="R62" s="656"/>
      <c r="S62" s="656" t="s">
        <v>472</v>
      </c>
      <c r="T62" s="656"/>
      <c r="U62" s="656"/>
      <c r="V62" s="656"/>
      <c r="W62" s="656" t="s">
        <v>13051</v>
      </c>
      <c r="X62" s="656" t="s">
        <v>498</v>
      </c>
      <c r="Y62" s="656" t="s">
        <v>14278</v>
      </c>
      <c r="Z62" s="656">
        <v>44314.463321759256</v>
      </c>
      <c r="AA62" s="656" t="s">
        <v>14276</v>
      </c>
      <c r="AB62" s="656" t="s">
        <v>16238</v>
      </c>
    </row>
    <row r="63" spans="1:28">
      <c r="A63" s="656" t="s">
        <v>15274</v>
      </c>
      <c r="B63" s="656" t="s">
        <v>15275</v>
      </c>
      <c r="C63" s="656" t="s">
        <v>20</v>
      </c>
      <c r="D63" s="656" t="s">
        <v>15932</v>
      </c>
      <c r="E63" s="656" t="s">
        <v>14279</v>
      </c>
      <c r="F63" s="1447"/>
      <c r="G63" s="656" t="s">
        <v>16261</v>
      </c>
      <c r="H63" s="656" t="s">
        <v>1777</v>
      </c>
      <c r="I63" s="656"/>
      <c r="J63" s="656"/>
      <c r="K63" s="656"/>
      <c r="L63" s="656" t="s">
        <v>15932</v>
      </c>
      <c r="M63" s="656" t="s">
        <v>16262</v>
      </c>
      <c r="N63" s="656"/>
      <c r="O63" s="656" t="s">
        <v>6395</v>
      </c>
      <c r="P63" s="5"/>
      <c r="Q63" s="1447">
        <v>44249</v>
      </c>
      <c r="R63" s="656"/>
      <c r="S63" s="656" t="s">
        <v>472</v>
      </c>
      <c r="T63" s="656"/>
      <c r="U63" s="656"/>
      <c r="V63" s="656"/>
      <c r="W63" s="656" t="s">
        <v>13051</v>
      </c>
      <c r="X63" s="656" t="s">
        <v>498</v>
      </c>
      <c r="Y63" s="656" t="s">
        <v>14278</v>
      </c>
      <c r="Z63" s="656">
        <v>44315.62641203704</v>
      </c>
      <c r="AA63" s="656" t="s">
        <v>14276</v>
      </c>
      <c r="AB63" s="656"/>
    </row>
    <row r="64" spans="1:28">
      <c r="A64" s="656" t="s">
        <v>15274</v>
      </c>
      <c r="B64" s="656" t="s">
        <v>15275</v>
      </c>
      <c r="C64" s="656" t="s">
        <v>20</v>
      </c>
      <c r="D64" s="656" t="s">
        <v>16263</v>
      </c>
      <c r="E64" s="656" t="s">
        <v>14279</v>
      </c>
      <c r="F64" s="1447"/>
      <c r="G64" s="656" t="s">
        <v>16264</v>
      </c>
      <c r="H64" s="656" t="s">
        <v>1777</v>
      </c>
      <c r="I64" s="656"/>
      <c r="J64" s="656"/>
      <c r="K64" s="656"/>
      <c r="L64" s="656" t="s">
        <v>16263</v>
      </c>
      <c r="M64" s="656" t="s">
        <v>16265</v>
      </c>
      <c r="N64" s="656"/>
      <c r="O64" s="656" t="s">
        <v>6395</v>
      </c>
      <c r="P64" s="5"/>
      <c r="Q64" s="1447">
        <v>44308</v>
      </c>
      <c r="R64" s="656"/>
      <c r="S64" s="656" t="s">
        <v>472</v>
      </c>
      <c r="T64" s="656"/>
      <c r="U64" s="656"/>
      <c r="V64" s="656"/>
      <c r="W64" s="656" t="s">
        <v>13051</v>
      </c>
      <c r="X64" s="656" t="s">
        <v>498</v>
      </c>
      <c r="Y64" s="656" t="s">
        <v>14278</v>
      </c>
      <c r="Z64" s="656">
        <v>44308.547615740739</v>
      </c>
      <c r="AA64" s="656" t="s">
        <v>14276</v>
      </c>
      <c r="AB64" s="656" t="s">
        <v>16266</v>
      </c>
    </row>
    <row r="65" spans="1:28">
      <c r="A65" s="656" t="s">
        <v>15274</v>
      </c>
      <c r="B65" s="656" t="s">
        <v>15275</v>
      </c>
      <c r="C65" s="656" t="s">
        <v>21</v>
      </c>
      <c r="D65" s="656" t="s">
        <v>16267</v>
      </c>
      <c r="E65" s="656" t="s">
        <v>14279</v>
      </c>
      <c r="F65" s="1447"/>
      <c r="G65" s="656" t="s">
        <v>16268</v>
      </c>
      <c r="H65" s="656" t="s">
        <v>1777</v>
      </c>
      <c r="I65" s="656" t="s">
        <v>15934</v>
      </c>
      <c r="J65" s="656" t="s">
        <v>16267</v>
      </c>
      <c r="K65" s="656" t="s">
        <v>9774</v>
      </c>
      <c r="L65" s="656"/>
      <c r="M65" s="656" t="s">
        <v>16265</v>
      </c>
      <c r="N65" s="656"/>
      <c r="O65" s="656" t="s">
        <v>6395</v>
      </c>
      <c r="P65" s="5"/>
      <c r="Q65" s="1447">
        <v>44301</v>
      </c>
      <c r="R65" s="656"/>
      <c r="S65" s="656" t="s">
        <v>472</v>
      </c>
      <c r="T65" s="656"/>
      <c r="U65" s="656"/>
      <c r="V65" s="656"/>
      <c r="W65" s="656" t="s">
        <v>13051</v>
      </c>
      <c r="X65" s="656" t="s">
        <v>498</v>
      </c>
      <c r="Y65" s="656" t="s">
        <v>14278</v>
      </c>
      <c r="Z65" s="656">
        <v>44313.638738425929</v>
      </c>
      <c r="AA65" s="656" t="s">
        <v>14276</v>
      </c>
      <c r="AB65" s="656" t="s">
        <v>16266</v>
      </c>
    </row>
    <row r="66" spans="1:28">
      <c r="A66" s="656" t="s">
        <v>15274</v>
      </c>
      <c r="B66" s="656" t="s">
        <v>15275</v>
      </c>
      <c r="C66" s="656" t="s">
        <v>21</v>
      </c>
      <c r="D66" s="656" t="s">
        <v>15933</v>
      </c>
      <c r="E66" s="656" t="s">
        <v>14279</v>
      </c>
      <c r="F66" s="1447"/>
      <c r="G66" s="656" t="s">
        <v>16269</v>
      </c>
      <c r="H66" s="656" t="s">
        <v>1777</v>
      </c>
      <c r="I66" s="656" t="s">
        <v>15934</v>
      </c>
      <c r="J66" s="656" t="s">
        <v>15933</v>
      </c>
      <c r="K66" s="656" t="s">
        <v>9774</v>
      </c>
      <c r="L66" s="656"/>
      <c r="M66" s="656" t="s">
        <v>16262</v>
      </c>
      <c r="N66" s="656"/>
      <c r="O66" s="656" t="s">
        <v>6395</v>
      </c>
      <c r="P66" s="5"/>
      <c r="Q66" s="1447">
        <v>44280</v>
      </c>
      <c r="R66" s="656"/>
      <c r="S66" s="656" t="s">
        <v>472</v>
      </c>
      <c r="T66" s="656"/>
      <c r="U66" s="656"/>
      <c r="V66" s="656"/>
      <c r="W66" s="656" t="s">
        <v>13051</v>
      </c>
      <c r="X66" s="656" t="s">
        <v>498</v>
      </c>
      <c r="Y66" s="656" t="s">
        <v>14278</v>
      </c>
      <c r="Z66" s="656">
        <v>44313.642916666664</v>
      </c>
      <c r="AA66" s="656" t="s">
        <v>14276</v>
      </c>
      <c r="AB66" s="656" t="s">
        <v>16270</v>
      </c>
    </row>
    <row r="67" spans="1:28">
      <c r="A67" s="656" t="s">
        <v>15276</v>
      </c>
      <c r="B67" s="656" t="s">
        <v>15277</v>
      </c>
      <c r="C67" s="656" t="s">
        <v>20</v>
      </c>
      <c r="D67" s="656" t="s">
        <v>15935</v>
      </c>
      <c r="E67" s="656" t="s">
        <v>14279</v>
      </c>
      <c r="F67" s="1447"/>
      <c r="G67" s="656" t="s">
        <v>16271</v>
      </c>
      <c r="H67" s="656" t="s">
        <v>1777</v>
      </c>
      <c r="I67" s="656"/>
      <c r="J67" s="656"/>
      <c r="K67" s="656"/>
      <c r="L67" s="656" t="s">
        <v>15935</v>
      </c>
      <c r="M67" s="656" t="s">
        <v>16196</v>
      </c>
      <c r="N67" s="656"/>
      <c r="O67" s="656" t="s">
        <v>6395</v>
      </c>
      <c r="P67" s="5"/>
      <c r="Q67" s="1447">
        <v>44243</v>
      </c>
      <c r="R67" s="656"/>
      <c r="S67" s="656" t="s">
        <v>472</v>
      </c>
      <c r="T67" s="656"/>
      <c r="U67" s="656"/>
      <c r="V67" s="656"/>
      <c r="W67" s="656" t="s">
        <v>13051</v>
      </c>
      <c r="X67" s="656" t="s">
        <v>498</v>
      </c>
      <c r="Y67" s="656" t="s">
        <v>14278</v>
      </c>
      <c r="Z67" s="656">
        <v>44315.627164351848</v>
      </c>
      <c r="AA67" s="656" t="s">
        <v>14276</v>
      </c>
      <c r="AB67" s="656" t="s">
        <v>16272</v>
      </c>
    </row>
    <row r="68" spans="1:28">
      <c r="A68" s="656" t="s">
        <v>15276</v>
      </c>
      <c r="B68" s="656" t="s">
        <v>15277</v>
      </c>
      <c r="C68" s="656" t="s">
        <v>21</v>
      </c>
      <c r="D68" s="656" t="s">
        <v>15936</v>
      </c>
      <c r="E68" s="656" t="s">
        <v>14279</v>
      </c>
      <c r="F68" s="1447"/>
      <c r="G68" s="656" t="s">
        <v>16273</v>
      </c>
      <c r="H68" s="656" t="s">
        <v>1777</v>
      </c>
      <c r="I68" s="656" t="s">
        <v>15937</v>
      </c>
      <c r="J68" s="656" t="s">
        <v>15936</v>
      </c>
      <c r="K68" s="656" t="s">
        <v>9774</v>
      </c>
      <c r="L68" s="656"/>
      <c r="M68" s="656" t="s">
        <v>16196</v>
      </c>
      <c r="N68" s="656"/>
      <c r="O68" s="656" t="s">
        <v>6395</v>
      </c>
      <c r="P68" s="5"/>
      <c r="Q68" s="1447">
        <v>44280</v>
      </c>
      <c r="R68" s="656"/>
      <c r="S68" s="656" t="s">
        <v>472</v>
      </c>
      <c r="T68" s="656"/>
      <c r="U68" s="656"/>
      <c r="V68" s="656"/>
      <c r="W68" s="656" t="s">
        <v>13051</v>
      </c>
      <c r="X68" s="656" t="s">
        <v>498</v>
      </c>
      <c r="Y68" s="656" t="s">
        <v>14278</v>
      </c>
      <c r="Z68" s="656">
        <v>44313.644965277781</v>
      </c>
      <c r="AA68" s="656" t="s">
        <v>14276</v>
      </c>
      <c r="AB68" s="656" t="s">
        <v>16272</v>
      </c>
    </row>
    <row r="69" spans="1:28">
      <c r="A69" s="656" t="s">
        <v>15276</v>
      </c>
      <c r="B69" s="656" t="s">
        <v>15277</v>
      </c>
      <c r="C69" s="656" t="s">
        <v>20</v>
      </c>
      <c r="D69" s="656" t="s">
        <v>16274</v>
      </c>
      <c r="E69" s="656" t="s">
        <v>14279</v>
      </c>
      <c r="F69" s="1447"/>
      <c r="G69" s="656" t="s">
        <v>16275</v>
      </c>
      <c r="H69" s="656" t="s">
        <v>1777</v>
      </c>
      <c r="I69" s="656"/>
      <c r="J69" s="656"/>
      <c r="K69" s="656"/>
      <c r="L69" s="656" t="s">
        <v>16274</v>
      </c>
      <c r="M69" s="656" t="s">
        <v>16196</v>
      </c>
      <c r="N69" s="656"/>
      <c r="O69" s="656" t="s">
        <v>6395</v>
      </c>
      <c r="P69" s="5"/>
      <c r="Q69" s="1447">
        <v>44308</v>
      </c>
      <c r="R69" s="656"/>
      <c r="S69" s="656" t="s">
        <v>472</v>
      </c>
      <c r="T69" s="656"/>
      <c r="U69" s="656"/>
      <c r="V69" s="656"/>
      <c r="W69" s="656" t="s">
        <v>13051</v>
      </c>
      <c r="X69" s="656" t="s">
        <v>498</v>
      </c>
      <c r="Y69" s="656" t="s">
        <v>14278</v>
      </c>
      <c r="Z69" s="656">
        <v>44308.573958333334</v>
      </c>
      <c r="AA69" s="656" t="s">
        <v>14276</v>
      </c>
      <c r="AB69" s="656" t="s">
        <v>16272</v>
      </c>
    </row>
    <row r="70" spans="1:28">
      <c r="A70" s="656" t="s">
        <v>15276</v>
      </c>
      <c r="B70" s="656" t="s">
        <v>15277</v>
      </c>
      <c r="C70" s="656" t="s">
        <v>20</v>
      </c>
      <c r="D70" s="656" t="s">
        <v>16276</v>
      </c>
      <c r="E70" s="656" t="s">
        <v>14279</v>
      </c>
      <c r="F70" s="1447"/>
      <c r="G70" s="656" t="s">
        <v>16277</v>
      </c>
      <c r="H70" s="656" t="s">
        <v>1777</v>
      </c>
      <c r="I70" s="656"/>
      <c r="J70" s="656"/>
      <c r="K70" s="656"/>
      <c r="L70" s="656" t="s">
        <v>16276</v>
      </c>
      <c r="M70" s="656" t="s">
        <v>16196</v>
      </c>
      <c r="N70" s="656"/>
      <c r="O70" s="656" t="s">
        <v>6395</v>
      </c>
      <c r="P70" s="5"/>
      <c r="Q70" s="1447">
        <v>44308</v>
      </c>
      <c r="R70" s="656"/>
      <c r="S70" s="656" t="s">
        <v>472</v>
      </c>
      <c r="T70" s="656"/>
      <c r="U70" s="656"/>
      <c r="V70" s="656"/>
      <c r="W70" s="656" t="s">
        <v>13051</v>
      </c>
      <c r="X70" s="656" t="s">
        <v>498</v>
      </c>
      <c r="Y70" s="656" t="s">
        <v>14278</v>
      </c>
      <c r="Z70" s="656">
        <v>44308.583356481482</v>
      </c>
      <c r="AA70" s="656" t="s">
        <v>14276</v>
      </c>
      <c r="AB70" s="656" t="s">
        <v>16272</v>
      </c>
    </row>
    <row r="71" spans="1:28">
      <c r="A71" s="656" t="s">
        <v>15276</v>
      </c>
      <c r="B71" s="656" t="s">
        <v>15277</v>
      </c>
      <c r="C71" s="656" t="s">
        <v>21</v>
      </c>
      <c r="D71" s="656" t="s">
        <v>16278</v>
      </c>
      <c r="E71" s="656" t="s">
        <v>14279</v>
      </c>
      <c r="F71" s="1447"/>
      <c r="G71" s="656" t="s">
        <v>16279</v>
      </c>
      <c r="H71" s="656" t="s">
        <v>1777</v>
      </c>
      <c r="I71" s="656" t="s">
        <v>15937</v>
      </c>
      <c r="J71" s="656" t="s">
        <v>16278</v>
      </c>
      <c r="K71" s="656" t="s">
        <v>9774</v>
      </c>
      <c r="L71" s="656"/>
      <c r="M71" s="656" t="s">
        <v>16196</v>
      </c>
      <c r="N71" s="656"/>
      <c r="O71" s="656" t="s">
        <v>6395</v>
      </c>
      <c r="P71" s="5"/>
      <c r="Q71" s="1447">
        <v>44301</v>
      </c>
      <c r="R71" s="656"/>
      <c r="S71" s="656" t="s">
        <v>472</v>
      </c>
      <c r="T71" s="656"/>
      <c r="U71" s="656"/>
      <c r="V71" s="656"/>
      <c r="W71" s="656" t="s">
        <v>13051</v>
      </c>
      <c r="X71" s="656" t="s">
        <v>498</v>
      </c>
      <c r="Y71" s="656" t="s">
        <v>14278</v>
      </c>
      <c r="Z71" s="656">
        <v>44313.653148148151</v>
      </c>
      <c r="AA71" s="656" t="s">
        <v>14276</v>
      </c>
      <c r="AB71" s="656" t="s">
        <v>16272</v>
      </c>
    </row>
    <row r="72" spans="1:28">
      <c r="A72" s="656" t="s">
        <v>15276</v>
      </c>
      <c r="B72" s="656" t="s">
        <v>15277</v>
      </c>
      <c r="C72" s="656" t="s">
        <v>21</v>
      </c>
      <c r="D72" s="656" t="s">
        <v>16280</v>
      </c>
      <c r="E72" s="656" t="s">
        <v>14279</v>
      </c>
      <c r="F72" s="1447"/>
      <c r="G72" s="656" t="s">
        <v>16281</v>
      </c>
      <c r="H72" s="656" t="s">
        <v>1777</v>
      </c>
      <c r="I72" s="656" t="s">
        <v>15937</v>
      </c>
      <c r="J72" s="656" t="s">
        <v>16280</v>
      </c>
      <c r="K72" s="656" t="s">
        <v>9774</v>
      </c>
      <c r="L72" s="656"/>
      <c r="M72" s="656" t="s">
        <v>16196</v>
      </c>
      <c r="N72" s="656"/>
      <c r="O72" s="656" t="s">
        <v>6395</v>
      </c>
      <c r="P72" s="5"/>
      <c r="Q72" s="1447">
        <v>44301</v>
      </c>
      <c r="R72" s="656"/>
      <c r="S72" s="656" t="s">
        <v>472</v>
      </c>
      <c r="T72" s="656"/>
      <c r="U72" s="656"/>
      <c r="V72" s="656"/>
      <c r="W72" s="656" t="s">
        <v>13051</v>
      </c>
      <c r="X72" s="656" t="s">
        <v>498</v>
      </c>
      <c r="Y72" s="656" t="s">
        <v>14278</v>
      </c>
      <c r="Z72" s="656">
        <v>44313.654710648145</v>
      </c>
      <c r="AA72" s="656" t="s">
        <v>14276</v>
      </c>
      <c r="AB72" s="656" t="s">
        <v>16272</v>
      </c>
    </row>
    <row r="73" spans="1:28">
      <c r="A73" s="656" t="s">
        <v>15278</v>
      </c>
      <c r="B73" s="656" t="s">
        <v>15279</v>
      </c>
      <c r="C73" s="656" t="s">
        <v>20</v>
      </c>
      <c r="D73" s="656" t="s">
        <v>15938</v>
      </c>
      <c r="E73" s="656" t="s">
        <v>14279</v>
      </c>
      <c r="F73" s="1447"/>
      <c r="G73" s="656" t="s">
        <v>16282</v>
      </c>
      <c r="H73" s="656" t="s">
        <v>1777</v>
      </c>
      <c r="I73" s="656"/>
      <c r="J73" s="656"/>
      <c r="K73" s="656"/>
      <c r="L73" s="656" t="s">
        <v>15938</v>
      </c>
      <c r="M73" s="656" t="s">
        <v>16196</v>
      </c>
      <c r="N73" s="656"/>
      <c r="O73" s="656" t="s">
        <v>6395</v>
      </c>
      <c r="P73" s="5"/>
      <c r="Q73" s="1447">
        <v>44243</v>
      </c>
      <c r="R73" s="656"/>
      <c r="S73" s="656" t="s">
        <v>472</v>
      </c>
      <c r="T73" s="656"/>
      <c r="U73" s="656"/>
      <c r="V73" s="656"/>
      <c r="W73" s="656" t="s">
        <v>13051</v>
      </c>
      <c r="X73" s="656" t="s">
        <v>498</v>
      </c>
      <c r="Y73" s="656" t="s">
        <v>14278</v>
      </c>
      <c r="Z73" s="656">
        <v>44315.625914351855</v>
      </c>
      <c r="AA73" s="656" t="s">
        <v>14276</v>
      </c>
      <c r="AB73" s="656"/>
    </row>
    <row r="74" spans="1:28">
      <c r="A74" s="656" t="s">
        <v>15278</v>
      </c>
      <c r="B74" s="656" t="s">
        <v>15279</v>
      </c>
      <c r="C74" s="656" t="s">
        <v>21</v>
      </c>
      <c r="D74" s="656" t="s">
        <v>15939</v>
      </c>
      <c r="E74" s="656" t="s">
        <v>14279</v>
      </c>
      <c r="F74" s="1447"/>
      <c r="G74" s="656" t="s">
        <v>16283</v>
      </c>
      <c r="H74" s="656" t="s">
        <v>1777</v>
      </c>
      <c r="I74" s="656" t="s">
        <v>15940</v>
      </c>
      <c r="J74" s="656" t="s">
        <v>15939</v>
      </c>
      <c r="K74" s="656" t="s">
        <v>9774</v>
      </c>
      <c r="L74" s="656"/>
      <c r="M74" s="656" t="s">
        <v>16196</v>
      </c>
      <c r="N74" s="656"/>
      <c r="O74" s="656" t="s">
        <v>6395</v>
      </c>
      <c r="P74" s="5"/>
      <c r="Q74" s="1447">
        <v>44280</v>
      </c>
      <c r="R74" s="656"/>
      <c r="S74" s="656" t="s">
        <v>472</v>
      </c>
      <c r="T74" s="656"/>
      <c r="U74" s="656"/>
      <c r="V74" s="656"/>
      <c r="W74" s="656" t="s">
        <v>13051</v>
      </c>
      <c r="X74" s="656" t="s">
        <v>498</v>
      </c>
      <c r="Y74" s="656" t="s">
        <v>14278</v>
      </c>
      <c r="Z74" s="656">
        <v>44313.625300925924</v>
      </c>
      <c r="AA74" s="656" t="s">
        <v>14276</v>
      </c>
      <c r="AB74" s="656" t="s">
        <v>16284</v>
      </c>
    </row>
    <row r="75" spans="1:28">
      <c r="A75" s="656" t="s">
        <v>15278</v>
      </c>
      <c r="B75" s="656" t="s">
        <v>15279</v>
      </c>
      <c r="C75" s="656" t="s">
        <v>20</v>
      </c>
      <c r="D75" s="656" t="s">
        <v>16285</v>
      </c>
      <c r="E75" s="656" t="s">
        <v>14279</v>
      </c>
      <c r="F75" s="1447"/>
      <c r="G75" s="656" t="s">
        <v>16286</v>
      </c>
      <c r="H75" s="656" t="s">
        <v>1777</v>
      </c>
      <c r="I75" s="656"/>
      <c r="J75" s="656"/>
      <c r="K75" s="656"/>
      <c r="L75" s="656" t="s">
        <v>16285</v>
      </c>
      <c r="M75" s="656" t="s">
        <v>16196</v>
      </c>
      <c r="N75" s="656"/>
      <c r="O75" s="656" t="s">
        <v>6395</v>
      </c>
      <c r="P75" s="5"/>
      <c r="Q75" s="1447">
        <v>44308</v>
      </c>
      <c r="R75" s="656"/>
      <c r="S75" s="656" t="s">
        <v>472</v>
      </c>
      <c r="T75" s="656"/>
      <c r="U75" s="656"/>
      <c r="V75" s="656"/>
      <c r="W75" s="656" t="s">
        <v>13051</v>
      </c>
      <c r="X75" s="656" t="s">
        <v>498</v>
      </c>
      <c r="Y75" s="656" t="s">
        <v>14278</v>
      </c>
      <c r="Z75" s="656">
        <v>44308.53638888889</v>
      </c>
      <c r="AA75" s="656" t="s">
        <v>14276</v>
      </c>
      <c r="AB75" s="656" t="s">
        <v>16284</v>
      </c>
    </row>
    <row r="76" spans="1:28">
      <c r="A76" s="656" t="s">
        <v>15278</v>
      </c>
      <c r="B76" s="656" t="s">
        <v>15279</v>
      </c>
      <c r="C76" s="656" t="s">
        <v>20</v>
      </c>
      <c r="D76" s="656" t="s">
        <v>16287</v>
      </c>
      <c r="E76" s="656" t="s">
        <v>14279</v>
      </c>
      <c r="F76" s="1447"/>
      <c r="G76" s="656" t="s">
        <v>16288</v>
      </c>
      <c r="H76" s="656" t="s">
        <v>1777</v>
      </c>
      <c r="I76" s="656"/>
      <c r="J76" s="656"/>
      <c r="K76" s="656"/>
      <c r="L76" s="656" t="s">
        <v>16287</v>
      </c>
      <c r="M76" s="656" t="s">
        <v>16196</v>
      </c>
      <c r="N76" s="656"/>
      <c r="O76" s="656" t="s">
        <v>6395</v>
      </c>
      <c r="P76" s="5"/>
      <c r="Q76" s="1447">
        <v>44308</v>
      </c>
      <c r="R76" s="656"/>
      <c r="S76" s="656" t="s">
        <v>472</v>
      </c>
      <c r="T76" s="656"/>
      <c r="U76" s="656"/>
      <c r="V76" s="656"/>
      <c r="W76" s="656" t="s">
        <v>13051</v>
      </c>
      <c r="X76" s="656" t="s">
        <v>498</v>
      </c>
      <c r="Y76" s="656" t="s">
        <v>14278</v>
      </c>
      <c r="Z76" s="656">
        <v>44308.538240740738</v>
      </c>
      <c r="AA76" s="656" t="s">
        <v>14276</v>
      </c>
      <c r="AB76" s="656" t="s">
        <v>16284</v>
      </c>
    </row>
    <row r="77" spans="1:28">
      <c r="A77" s="656" t="s">
        <v>15278</v>
      </c>
      <c r="B77" s="656" t="s">
        <v>15279</v>
      </c>
      <c r="C77" s="656" t="s">
        <v>20</v>
      </c>
      <c r="D77" s="656" t="s">
        <v>16289</v>
      </c>
      <c r="E77" s="656" t="s">
        <v>14279</v>
      </c>
      <c r="F77" s="1447"/>
      <c r="G77" s="656" t="s">
        <v>16290</v>
      </c>
      <c r="H77" s="656" t="s">
        <v>1777</v>
      </c>
      <c r="I77" s="656"/>
      <c r="J77" s="656"/>
      <c r="K77" s="656"/>
      <c r="L77" s="656" t="s">
        <v>16289</v>
      </c>
      <c r="M77" s="656" t="s">
        <v>16196</v>
      </c>
      <c r="N77" s="656"/>
      <c r="O77" s="656" t="s">
        <v>6395</v>
      </c>
      <c r="P77" s="5"/>
      <c r="Q77" s="1447">
        <v>44308</v>
      </c>
      <c r="R77" s="656"/>
      <c r="S77" s="656" t="s">
        <v>472</v>
      </c>
      <c r="T77" s="656"/>
      <c r="U77" s="656"/>
      <c r="V77" s="656"/>
      <c r="W77" s="656" t="s">
        <v>13051</v>
      </c>
      <c r="X77" s="656" t="s">
        <v>498</v>
      </c>
      <c r="Y77" s="656" t="s">
        <v>14278</v>
      </c>
      <c r="Z77" s="656">
        <v>44308.541250000002</v>
      </c>
      <c r="AA77" s="656" t="s">
        <v>14276</v>
      </c>
      <c r="AB77" s="656" t="s">
        <v>16291</v>
      </c>
    </row>
    <row r="78" spans="1:28">
      <c r="A78" s="656" t="s">
        <v>15278</v>
      </c>
      <c r="B78" s="656" t="s">
        <v>15279</v>
      </c>
      <c r="C78" s="656" t="s">
        <v>21</v>
      </c>
      <c r="D78" s="656" t="s">
        <v>16292</v>
      </c>
      <c r="E78" s="656" t="s">
        <v>14279</v>
      </c>
      <c r="F78" s="1447"/>
      <c r="G78" s="656" t="s">
        <v>16293</v>
      </c>
      <c r="H78" s="656" t="s">
        <v>1777</v>
      </c>
      <c r="I78" s="656" t="s">
        <v>15940</v>
      </c>
      <c r="J78" s="656" t="s">
        <v>16292</v>
      </c>
      <c r="K78" s="656" t="s">
        <v>9774</v>
      </c>
      <c r="L78" s="656"/>
      <c r="M78" s="656" t="s">
        <v>16196</v>
      </c>
      <c r="N78" s="656"/>
      <c r="O78" s="656" t="s">
        <v>6395</v>
      </c>
      <c r="P78" s="5"/>
      <c r="Q78" s="1447">
        <v>44301</v>
      </c>
      <c r="R78" s="656"/>
      <c r="S78" s="656" t="s">
        <v>472</v>
      </c>
      <c r="T78" s="656"/>
      <c r="U78" s="656"/>
      <c r="V78" s="656"/>
      <c r="W78" s="656" t="s">
        <v>13051</v>
      </c>
      <c r="X78" s="656" t="s">
        <v>498</v>
      </c>
      <c r="Y78" s="656" t="s">
        <v>14278</v>
      </c>
      <c r="Z78" s="656">
        <v>44313.628275462965</v>
      </c>
      <c r="AA78" s="656" t="s">
        <v>14276</v>
      </c>
      <c r="AB78" s="656" t="s">
        <v>16284</v>
      </c>
    </row>
    <row r="79" spans="1:28">
      <c r="A79" s="656" t="s">
        <v>15278</v>
      </c>
      <c r="B79" s="656" t="s">
        <v>15279</v>
      </c>
      <c r="C79" s="656" t="s">
        <v>21</v>
      </c>
      <c r="D79" s="656" t="s">
        <v>16294</v>
      </c>
      <c r="E79" s="656" t="s">
        <v>14279</v>
      </c>
      <c r="F79" s="1447"/>
      <c r="G79" s="656" t="s">
        <v>16295</v>
      </c>
      <c r="H79" s="656" t="s">
        <v>1777</v>
      </c>
      <c r="I79" s="656" t="s">
        <v>15940</v>
      </c>
      <c r="J79" s="656" t="s">
        <v>16294</v>
      </c>
      <c r="K79" s="656" t="s">
        <v>9774</v>
      </c>
      <c r="L79" s="656"/>
      <c r="M79" s="656" t="s">
        <v>16196</v>
      </c>
      <c r="N79" s="656"/>
      <c r="O79" s="656" t="s">
        <v>6395</v>
      </c>
      <c r="P79" s="5" t="s">
        <v>16465</v>
      </c>
      <c r="Q79" s="1447">
        <v>44301</v>
      </c>
      <c r="R79" s="656"/>
      <c r="S79" s="656" t="s">
        <v>472</v>
      </c>
      <c r="T79" s="656"/>
      <c r="U79" s="656"/>
      <c r="V79" s="656"/>
      <c r="W79" s="656" t="s">
        <v>13051</v>
      </c>
      <c r="X79" s="656" t="s">
        <v>498</v>
      </c>
      <c r="Y79" s="656" t="s">
        <v>14278</v>
      </c>
      <c r="Z79" s="656">
        <v>44313.627905092595</v>
      </c>
      <c r="AA79" s="656" t="s">
        <v>14276</v>
      </c>
      <c r="AB79" s="656" t="s">
        <v>16284</v>
      </c>
    </row>
    <row r="80" spans="1:28">
      <c r="A80" s="656" t="s">
        <v>15278</v>
      </c>
      <c r="B80" s="656" t="s">
        <v>15279</v>
      </c>
      <c r="C80" s="656" t="s">
        <v>21</v>
      </c>
      <c r="D80" s="656" t="s">
        <v>16296</v>
      </c>
      <c r="E80" s="656" t="s">
        <v>14279</v>
      </c>
      <c r="F80" s="1447"/>
      <c r="G80" s="656" t="s">
        <v>16297</v>
      </c>
      <c r="H80" s="656" t="s">
        <v>1777</v>
      </c>
      <c r="I80" s="656" t="s">
        <v>15940</v>
      </c>
      <c r="J80" s="656" t="s">
        <v>16296</v>
      </c>
      <c r="K80" s="656" t="s">
        <v>9774</v>
      </c>
      <c r="L80" s="656"/>
      <c r="M80" s="656" t="s">
        <v>16196</v>
      </c>
      <c r="N80" s="656"/>
      <c r="O80" s="656" t="s">
        <v>6395</v>
      </c>
      <c r="P80" s="5"/>
      <c r="Q80" s="1447">
        <v>44302</v>
      </c>
      <c r="R80" s="656"/>
      <c r="S80" s="656" t="s">
        <v>472</v>
      </c>
      <c r="T80" s="656"/>
      <c r="U80" s="656"/>
      <c r="V80" s="656"/>
      <c r="W80" s="656" t="s">
        <v>13051</v>
      </c>
      <c r="X80" s="656" t="s">
        <v>498</v>
      </c>
      <c r="Y80" s="656" t="s">
        <v>14278</v>
      </c>
      <c r="Z80" s="656">
        <v>44313.634317129632</v>
      </c>
      <c r="AA80" s="656" t="s">
        <v>14276</v>
      </c>
      <c r="AB80" s="656" t="s">
        <v>16291</v>
      </c>
    </row>
    <row r="81" spans="1:28">
      <c r="A81" s="656" t="s">
        <v>15252</v>
      </c>
      <c r="B81" s="656" t="s">
        <v>15253</v>
      </c>
      <c r="C81" s="656" t="s">
        <v>20</v>
      </c>
      <c r="D81" s="656" t="s">
        <v>15941</v>
      </c>
      <c r="E81" s="656" t="s">
        <v>14279</v>
      </c>
      <c r="F81" s="1447"/>
      <c r="G81" s="656" t="s">
        <v>16298</v>
      </c>
      <c r="H81" s="656" t="s">
        <v>1777</v>
      </c>
      <c r="I81" s="656"/>
      <c r="J81" s="656"/>
      <c r="K81" s="656"/>
      <c r="L81" s="656" t="s">
        <v>15941</v>
      </c>
      <c r="M81" s="656" t="s">
        <v>16196</v>
      </c>
      <c r="N81" s="656"/>
      <c r="O81" s="656" t="s">
        <v>6395</v>
      </c>
      <c r="P81" s="5"/>
      <c r="Q81" s="1447">
        <v>44243</v>
      </c>
      <c r="R81" s="656"/>
      <c r="S81" s="656" t="s">
        <v>472</v>
      </c>
      <c r="T81" s="656"/>
      <c r="U81" s="656"/>
      <c r="V81" s="656"/>
      <c r="W81" s="656" t="s">
        <v>13051</v>
      </c>
      <c r="X81" s="656" t="s">
        <v>498</v>
      </c>
      <c r="Y81" s="656" t="s">
        <v>14278</v>
      </c>
      <c r="Z81" s="656">
        <v>44315.627627314818</v>
      </c>
      <c r="AA81" s="656" t="s">
        <v>14276</v>
      </c>
      <c r="AB81" s="656"/>
    </row>
    <row r="82" spans="1:28">
      <c r="A82" s="656" t="s">
        <v>15252</v>
      </c>
      <c r="B82" s="656" t="s">
        <v>15253</v>
      </c>
      <c r="C82" s="656" t="s">
        <v>21</v>
      </c>
      <c r="D82" s="656" t="s">
        <v>15942</v>
      </c>
      <c r="E82" s="656" t="s">
        <v>14279</v>
      </c>
      <c r="F82" s="1447"/>
      <c r="G82" s="656" t="s">
        <v>16299</v>
      </c>
      <c r="H82" s="656" t="s">
        <v>1777</v>
      </c>
      <c r="I82" s="656" t="s">
        <v>15943</v>
      </c>
      <c r="J82" s="656" t="s">
        <v>15942</v>
      </c>
      <c r="K82" s="656" t="s">
        <v>9774</v>
      </c>
      <c r="L82" s="656"/>
      <c r="M82" s="656" t="s">
        <v>16196</v>
      </c>
      <c r="N82" s="656"/>
      <c r="O82" s="656" t="s">
        <v>6395</v>
      </c>
      <c r="P82" s="5"/>
      <c r="Q82" s="1447">
        <v>44280</v>
      </c>
      <c r="R82" s="656"/>
      <c r="S82" s="656" t="s">
        <v>472</v>
      </c>
      <c r="T82" s="656"/>
      <c r="U82" s="656"/>
      <c r="V82" s="656"/>
      <c r="W82" s="656" t="s">
        <v>13051</v>
      </c>
      <c r="X82" s="656" t="s">
        <v>498</v>
      </c>
      <c r="Y82" s="656" t="s">
        <v>14278</v>
      </c>
      <c r="Z82" s="656">
        <v>44313.656909722224</v>
      </c>
      <c r="AA82" s="656" t="s">
        <v>14276</v>
      </c>
      <c r="AB82" s="656" t="s">
        <v>16300</v>
      </c>
    </row>
    <row r="83" spans="1:28">
      <c r="A83" s="656" t="s">
        <v>15252</v>
      </c>
      <c r="B83" s="656" t="s">
        <v>15253</v>
      </c>
      <c r="C83" s="656" t="s">
        <v>20</v>
      </c>
      <c r="D83" s="656" t="s">
        <v>16301</v>
      </c>
      <c r="E83" s="656" t="s">
        <v>14279</v>
      </c>
      <c r="F83" s="1447"/>
      <c r="G83" s="656" t="s">
        <v>16302</v>
      </c>
      <c r="H83" s="656" t="s">
        <v>1777</v>
      </c>
      <c r="I83" s="656"/>
      <c r="J83" s="656"/>
      <c r="K83" s="656"/>
      <c r="L83" s="656" t="s">
        <v>16301</v>
      </c>
      <c r="M83" s="656" t="s">
        <v>16196</v>
      </c>
      <c r="N83" s="656"/>
      <c r="O83" s="656" t="s">
        <v>6395</v>
      </c>
      <c r="P83" s="5"/>
      <c r="Q83" s="1447">
        <v>44308</v>
      </c>
      <c r="R83" s="656"/>
      <c r="S83" s="656" t="s">
        <v>472</v>
      </c>
      <c r="T83" s="656"/>
      <c r="U83" s="656"/>
      <c r="V83" s="656"/>
      <c r="W83" s="656" t="s">
        <v>13051</v>
      </c>
      <c r="X83" s="656" t="s">
        <v>498</v>
      </c>
      <c r="Y83" s="656" t="s">
        <v>14278</v>
      </c>
      <c r="Z83" s="656">
        <v>44309.531875000001</v>
      </c>
      <c r="AA83" s="656" t="s">
        <v>14276</v>
      </c>
      <c r="AB83" s="656" t="s">
        <v>16300</v>
      </c>
    </row>
    <row r="84" spans="1:28">
      <c r="A84" s="656" t="s">
        <v>15252</v>
      </c>
      <c r="B84" s="656" t="s">
        <v>15253</v>
      </c>
      <c r="C84" s="656" t="s">
        <v>20</v>
      </c>
      <c r="D84" s="656" t="s">
        <v>16303</v>
      </c>
      <c r="E84" s="656" t="s">
        <v>14279</v>
      </c>
      <c r="F84" s="1447"/>
      <c r="G84" s="656" t="s">
        <v>16304</v>
      </c>
      <c r="H84" s="656" t="s">
        <v>1777</v>
      </c>
      <c r="I84" s="656"/>
      <c r="J84" s="656"/>
      <c r="K84" s="656"/>
      <c r="L84" s="656" t="s">
        <v>16303</v>
      </c>
      <c r="M84" s="656" t="s">
        <v>16196</v>
      </c>
      <c r="N84" s="656"/>
      <c r="O84" s="656" t="s">
        <v>6395</v>
      </c>
      <c r="P84" s="5"/>
      <c r="Q84" s="1447">
        <v>44308</v>
      </c>
      <c r="R84" s="656"/>
      <c r="S84" s="656" t="s">
        <v>472</v>
      </c>
      <c r="T84" s="656"/>
      <c r="U84" s="656"/>
      <c r="V84" s="656"/>
      <c r="W84" s="656" t="s">
        <v>13051</v>
      </c>
      <c r="X84" s="656" t="s">
        <v>498</v>
      </c>
      <c r="Y84" s="656" t="s">
        <v>14278</v>
      </c>
      <c r="Z84" s="656">
        <v>44309.535057870373</v>
      </c>
      <c r="AA84" s="656" t="s">
        <v>14276</v>
      </c>
      <c r="AB84" s="656" t="s">
        <v>16305</v>
      </c>
    </row>
    <row r="85" spans="1:28">
      <c r="A85" s="656" t="s">
        <v>15252</v>
      </c>
      <c r="B85" s="656" t="s">
        <v>15253</v>
      </c>
      <c r="C85" s="656" t="s">
        <v>20</v>
      </c>
      <c r="D85" s="656" t="s">
        <v>16306</v>
      </c>
      <c r="E85" s="656" t="s">
        <v>14279</v>
      </c>
      <c r="F85" s="1447"/>
      <c r="G85" s="656" t="s">
        <v>16307</v>
      </c>
      <c r="H85" s="656" t="s">
        <v>1777</v>
      </c>
      <c r="I85" s="656"/>
      <c r="J85" s="656"/>
      <c r="K85" s="656"/>
      <c r="L85" s="656" t="s">
        <v>16306</v>
      </c>
      <c r="M85" s="656" t="s">
        <v>16196</v>
      </c>
      <c r="N85" s="656"/>
      <c r="O85" s="656" t="s">
        <v>6395</v>
      </c>
      <c r="P85" s="5"/>
      <c r="Q85" s="1447">
        <v>44308</v>
      </c>
      <c r="R85" s="656"/>
      <c r="S85" s="656" t="s">
        <v>472</v>
      </c>
      <c r="T85" s="656"/>
      <c r="U85" s="656"/>
      <c r="V85" s="656"/>
      <c r="W85" s="656" t="s">
        <v>13051</v>
      </c>
      <c r="X85" s="656" t="s">
        <v>498</v>
      </c>
      <c r="Y85" s="656" t="s">
        <v>14278</v>
      </c>
      <c r="Z85" s="656">
        <v>44309.536134259259</v>
      </c>
      <c r="AA85" s="656" t="s">
        <v>14276</v>
      </c>
      <c r="AB85" s="656" t="s">
        <v>16305</v>
      </c>
    </row>
    <row r="86" spans="1:28">
      <c r="A86" s="656" t="s">
        <v>15252</v>
      </c>
      <c r="B86" s="656" t="s">
        <v>15253</v>
      </c>
      <c r="C86" s="656" t="s">
        <v>21</v>
      </c>
      <c r="D86" s="656" t="s">
        <v>16308</v>
      </c>
      <c r="E86" s="656" t="s">
        <v>14279</v>
      </c>
      <c r="F86" s="1447"/>
      <c r="G86" s="656" t="s">
        <v>16309</v>
      </c>
      <c r="H86" s="656" t="s">
        <v>1777</v>
      </c>
      <c r="I86" s="656" t="s">
        <v>15943</v>
      </c>
      <c r="J86" s="656" t="s">
        <v>16308</v>
      </c>
      <c r="K86" s="656" t="s">
        <v>9774</v>
      </c>
      <c r="L86" s="656"/>
      <c r="M86" s="656" t="s">
        <v>16196</v>
      </c>
      <c r="N86" s="656"/>
      <c r="O86" s="656" t="s">
        <v>6395</v>
      </c>
      <c r="P86" s="5"/>
      <c r="Q86" s="1447">
        <v>44301</v>
      </c>
      <c r="R86" s="656"/>
      <c r="S86" s="656" t="s">
        <v>472</v>
      </c>
      <c r="T86" s="656"/>
      <c r="U86" s="656"/>
      <c r="V86" s="656"/>
      <c r="W86" s="656" t="s">
        <v>13051</v>
      </c>
      <c r="X86" s="656" t="s">
        <v>498</v>
      </c>
      <c r="Y86" s="656" t="s">
        <v>14278</v>
      </c>
      <c r="Z86" s="656">
        <v>44313.663344907407</v>
      </c>
      <c r="AA86" s="656" t="s">
        <v>14276</v>
      </c>
      <c r="AB86" s="656" t="s">
        <v>16300</v>
      </c>
    </row>
    <row r="87" spans="1:28">
      <c r="A87" s="656" t="s">
        <v>15252</v>
      </c>
      <c r="B87" s="656" t="s">
        <v>15253</v>
      </c>
      <c r="C87" s="656" t="s">
        <v>21</v>
      </c>
      <c r="D87" s="656" t="s">
        <v>16310</v>
      </c>
      <c r="E87" s="656" t="s">
        <v>14279</v>
      </c>
      <c r="F87" s="1447"/>
      <c r="G87" s="656" t="s">
        <v>16311</v>
      </c>
      <c r="H87" s="656" t="s">
        <v>1777</v>
      </c>
      <c r="I87" s="656" t="s">
        <v>15943</v>
      </c>
      <c r="J87" s="656" t="s">
        <v>16310</v>
      </c>
      <c r="K87" s="656" t="s">
        <v>9774</v>
      </c>
      <c r="L87" s="656"/>
      <c r="M87" s="656" t="s">
        <v>16196</v>
      </c>
      <c r="N87" s="656"/>
      <c r="O87" s="656" t="s">
        <v>6395</v>
      </c>
      <c r="P87" s="5"/>
      <c r="Q87" s="1447">
        <v>44301</v>
      </c>
      <c r="R87" s="656"/>
      <c r="S87" s="656" t="s">
        <v>472</v>
      </c>
      <c r="T87" s="656"/>
      <c r="U87" s="656"/>
      <c r="V87" s="656"/>
      <c r="W87" s="656" t="s">
        <v>13051</v>
      </c>
      <c r="X87" s="656" t="s">
        <v>498</v>
      </c>
      <c r="Y87" s="656" t="s">
        <v>14278</v>
      </c>
      <c r="Z87" s="656">
        <v>44313.665289351855</v>
      </c>
      <c r="AA87" s="656" t="s">
        <v>14276</v>
      </c>
      <c r="AB87" s="656" t="s">
        <v>16305</v>
      </c>
    </row>
    <row r="88" spans="1:28">
      <c r="A88" s="656" t="s">
        <v>15252</v>
      </c>
      <c r="B88" s="656" t="s">
        <v>15253</v>
      </c>
      <c r="C88" s="656" t="s">
        <v>21</v>
      </c>
      <c r="D88" s="656" t="s">
        <v>16312</v>
      </c>
      <c r="E88" s="656" t="s">
        <v>14279</v>
      </c>
      <c r="F88" s="1447"/>
      <c r="G88" s="656" t="s">
        <v>16313</v>
      </c>
      <c r="H88" s="656" t="s">
        <v>1777</v>
      </c>
      <c r="I88" s="656" t="s">
        <v>15943</v>
      </c>
      <c r="J88" s="656" t="s">
        <v>16312</v>
      </c>
      <c r="K88" s="656" t="s">
        <v>9774</v>
      </c>
      <c r="L88" s="656"/>
      <c r="M88" s="656" t="s">
        <v>16196</v>
      </c>
      <c r="N88" s="656"/>
      <c r="O88" s="656" t="s">
        <v>6395</v>
      </c>
      <c r="P88" s="5"/>
      <c r="Q88" s="1447">
        <v>44301</v>
      </c>
      <c r="R88" s="656"/>
      <c r="S88" s="656" t="s">
        <v>472</v>
      </c>
      <c r="T88" s="656"/>
      <c r="U88" s="656"/>
      <c r="V88" s="656"/>
      <c r="W88" s="656" t="s">
        <v>13051</v>
      </c>
      <c r="X88" s="656" t="s">
        <v>498</v>
      </c>
      <c r="Y88" s="656" t="s">
        <v>14278</v>
      </c>
      <c r="Z88" s="656">
        <v>44313.667442129627</v>
      </c>
      <c r="AA88" s="656" t="s">
        <v>14276</v>
      </c>
      <c r="AB88" s="656" t="s">
        <v>16305</v>
      </c>
    </row>
    <row r="89" spans="1:28">
      <c r="A89" s="656" t="s">
        <v>12901</v>
      </c>
      <c r="B89" s="656" t="s">
        <v>14066</v>
      </c>
      <c r="C89" s="656" t="s">
        <v>20</v>
      </c>
      <c r="D89" s="656" t="s">
        <v>16314</v>
      </c>
      <c r="E89" s="656" t="s">
        <v>14279</v>
      </c>
      <c r="F89" s="1447"/>
      <c r="G89" s="656" t="s">
        <v>16315</v>
      </c>
      <c r="H89" s="656" t="s">
        <v>1777</v>
      </c>
      <c r="I89" s="656"/>
      <c r="J89" s="656"/>
      <c r="K89" s="656"/>
      <c r="L89" s="656" t="s">
        <v>16314</v>
      </c>
      <c r="M89" s="656" t="s">
        <v>9450</v>
      </c>
      <c r="N89" s="656" t="s">
        <v>9892</v>
      </c>
      <c r="O89" s="656" t="s">
        <v>6421</v>
      </c>
      <c r="P89" s="5"/>
      <c r="Q89" s="1447">
        <v>44316</v>
      </c>
      <c r="R89" s="656"/>
      <c r="S89" s="656" t="s">
        <v>505</v>
      </c>
      <c r="T89" s="656"/>
      <c r="U89" s="656"/>
      <c r="V89" s="656"/>
      <c r="W89" s="656" t="s">
        <v>13051</v>
      </c>
      <c r="X89" s="656" t="s">
        <v>498</v>
      </c>
      <c r="Y89" s="656" t="s">
        <v>14278</v>
      </c>
      <c r="Z89" s="656">
        <v>44316.638726851852</v>
      </c>
      <c r="AA89" s="656" t="s">
        <v>14276</v>
      </c>
      <c r="AB89" s="656"/>
    </row>
    <row r="90" spans="1:28">
      <c r="A90" s="656" t="s">
        <v>12905</v>
      </c>
      <c r="B90" s="656" t="s">
        <v>12904</v>
      </c>
      <c r="C90" s="656" t="s">
        <v>20</v>
      </c>
      <c r="D90" s="656" t="s">
        <v>16316</v>
      </c>
      <c r="E90" s="656" t="s">
        <v>14279</v>
      </c>
      <c r="F90" s="1447"/>
      <c r="G90" s="656" t="s">
        <v>16317</v>
      </c>
      <c r="H90" s="656" t="s">
        <v>1777</v>
      </c>
      <c r="I90" s="656"/>
      <c r="J90" s="656"/>
      <c r="K90" s="656"/>
      <c r="L90" s="656" t="s">
        <v>16316</v>
      </c>
      <c r="M90" s="656" t="s">
        <v>16265</v>
      </c>
      <c r="N90" s="656"/>
      <c r="O90" s="656" t="s">
        <v>6427</v>
      </c>
      <c r="P90" s="5"/>
      <c r="Q90" s="1447">
        <v>44309</v>
      </c>
      <c r="R90" s="656"/>
      <c r="S90" s="656" t="s">
        <v>4052</v>
      </c>
      <c r="T90" s="656"/>
      <c r="U90" s="656"/>
      <c r="V90" s="656"/>
      <c r="W90" s="656" t="s">
        <v>13051</v>
      </c>
      <c r="X90" s="656" t="s">
        <v>498</v>
      </c>
      <c r="Y90" s="656" t="s">
        <v>14278</v>
      </c>
      <c r="Z90" s="656">
        <v>44312.46371527778</v>
      </c>
      <c r="AA90" s="656" t="s">
        <v>14276</v>
      </c>
      <c r="AB90" s="656"/>
    </row>
    <row r="91" spans="1:28">
      <c r="A91" s="656" t="s">
        <v>12861</v>
      </c>
      <c r="B91" s="656" t="s">
        <v>9264</v>
      </c>
      <c r="C91" s="656" t="s">
        <v>21</v>
      </c>
      <c r="D91" s="656" t="s">
        <v>14958</v>
      </c>
      <c r="E91" s="656" t="s">
        <v>14279</v>
      </c>
      <c r="F91" s="1447"/>
      <c r="G91" s="656" t="s">
        <v>13038</v>
      </c>
      <c r="H91" s="656" t="s">
        <v>1777</v>
      </c>
      <c r="I91" s="656" t="s">
        <v>14959</v>
      </c>
      <c r="J91" s="656" t="s">
        <v>14958</v>
      </c>
      <c r="K91" s="656" t="s">
        <v>9774</v>
      </c>
      <c r="L91" s="656"/>
      <c r="M91" s="656" t="s">
        <v>16196</v>
      </c>
      <c r="N91" s="656"/>
      <c r="O91" s="656" t="s">
        <v>6395</v>
      </c>
      <c r="P91" s="5"/>
      <c r="Q91" s="1447">
        <v>44202</v>
      </c>
      <c r="R91" s="656"/>
      <c r="S91" s="656" t="s">
        <v>472</v>
      </c>
      <c r="T91" s="656"/>
      <c r="U91" s="656"/>
      <c r="V91" s="656"/>
      <c r="W91" s="656" t="s">
        <v>13051</v>
      </c>
      <c r="X91" s="656" t="s">
        <v>498</v>
      </c>
      <c r="Y91" s="656" t="s">
        <v>14278</v>
      </c>
      <c r="Z91" s="656">
        <v>44305.527141203704</v>
      </c>
      <c r="AA91" s="656" t="s">
        <v>14335</v>
      </c>
      <c r="AB91" s="656"/>
    </row>
    <row r="92" spans="1:28">
      <c r="A92" s="656" t="s">
        <v>12861</v>
      </c>
      <c r="B92" s="656" t="s">
        <v>9264</v>
      </c>
      <c r="C92" s="656" t="s">
        <v>20</v>
      </c>
      <c r="D92" s="656" t="s">
        <v>13037</v>
      </c>
      <c r="E92" s="656" t="s">
        <v>14279</v>
      </c>
      <c r="F92" s="1447"/>
      <c r="G92" s="656" t="s">
        <v>13038</v>
      </c>
      <c r="H92" s="656" t="s">
        <v>1777</v>
      </c>
      <c r="I92" s="656"/>
      <c r="J92" s="656"/>
      <c r="K92" s="656"/>
      <c r="L92" s="656" t="s">
        <v>13037</v>
      </c>
      <c r="M92" s="656" t="s">
        <v>16196</v>
      </c>
      <c r="N92" s="656"/>
      <c r="O92" s="656" t="s">
        <v>6395</v>
      </c>
      <c r="P92" s="5"/>
      <c r="Q92" s="1447">
        <v>44175</v>
      </c>
      <c r="R92" s="656"/>
      <c r="S92" s="656" t="s">
        <v>472</v>
      </c>
      <c r="T92" s="656"/>
      <c r="U92" s="656"/>
      <c r="V92" s="656"/>
      <c r="W92" s="656" t="s">
        <v>13051</v>
      </c>
      <c r="X92" s="656" t="s">
        <v>498</v>
      </c>
      <c r="Y92" s="656" t="s">
        <v>14278</v>
      </c>
      <c r="Z92" s="656">
        <v>44305.527141203704</v>
      </c>
      <c r="AA92" s="656" t="s">
        <v>14335</v>
      </c>
      <c r="AB92" s="656"/>
    </row>
    <row r="93" spans="1:28">
      <c r="A93" s="656" t="s">
        <v>12556</v>
      </c>
      <c r="B93" s="656" t="s">
        <v>12555</v>
      </c>
      <c r="C93" s="656" t="s">
        <v>21</v>
      </c>
      <c r="D93" s="656" t="s">
        <v>12879</v>
      </c>
      <c r="E93" s="656" t="s">
        <v>14313</v>
      </c>
      <c r="F93" s="1447"/>
      <c r="G93" s="656" t="s">
        <v>12846</v>
      </c>
      <c r="H93" s="656" t="s">
        <v>1777</v>
      </c>
      <c r="I93" s="656" t="s">
        <v>14298</v>
      </c>
      <c r="J93" s="656" t="s">
        <v>12879</v>
      </c>
      <c r="K93" s="656" t="s">
        <v>9774</v>
      </c>
      <c r="L93" s="656"/>
      <c r="M93" s="656" t="s">
        <v>16196</v>
      </c>
      <c r="N93" s="656"/>
      <c r="O93" s="656" t="s">
        <v>6395</v>
      </c>
      <c r="P93" s="5"/>
      <c r="Q93" s="1447">
        <v>44138</v>
      </c>
      <c r="R93" s="656">
        <v>44286</v>
      </c>
      <c r="S93" s="656" t="s">
        <v>472</v>
      </c>
      <c r="T93" s="656"/>
      <c r="U93" s="656"/>
      <c r="V93" s="656"/>
      <c r="W93" s="656" t="s">
        <v>13051</v>
      </c>
      <c r="X93" s="656" t="s">
        <v>498</v>
      </c>
      <c r="Y93" s="656" t="s">
        <v>14278</v>
      </c>
      <c r="Z93" s="656">
        <v>44313.317881944444</v>
      </c>
      <c r="AA93" s="656" t="s">
        <v>14276</v>
      </c>
      <c r="AB93" s="656"/>
    </row>
    <row r="94" spans="1:28">
      <c r="A94" s="656" t="s">
        <v>12556</v>
      </c>
      <c r="B94" s="656" t="s">
        <v>12555</v>
      </c>
      <c r="C94" s="656" t="s">
        <v>20</v>
      </c>
      <c r="D94" s="656" t="s">
        <v>12845</v>
      </c>
      <c r="E94" s="656" t="s">
        <v>14279</v>
      </c>
      <c r="F94" s="1447"/>
      <c r="G94" s="656" t="s">
        <v>12846</v>
      </c>
      <c r="H94" s="656" t="s">
        <v>1777</v>
      </c>
      <c r="I94" s="656"/>
      <c r="J94" s="656"/>
      <c r="K94" s="656"/>
      <c r="L94" s="656" t="s">
        <v>12845</v>
      </c>
      <c r="M94" s="656" t="s">
        <v>16196</v>
      </c>
      <c r="N94" s="656"/>
      <c r="O94" s="656" t="s">
        <v>6395</v>
      </c>
      <c r="P94" s="5"/>
      <c r="Q94" s="1447">
        <v>44127</v>
      </c>
      <c r="R94" s="656"/>
      <c r="S94" s="656" t="s">
        <v>472</v>
      </c>
      <c r="T94" s="656"/>
      <c r="U94" s="656"/>
      <c r="V94" s="656"/>
      <c r="W94" s="656" t="s">
        <v>13051</v>
      </c>
      <c r="X94" s="656" t="s">
        <v>498</v>
      </c>
      <c r="Y94" s="656" t="s">
        <v>14278</v>
      </c>
      <c r="Z94" s="656">
        <v>44305.527129629627</v>
      </c>
      <c r="AA94" s="656" t="s">
        <v>14335</v>
      </c>
      <c r="AB94" s="656"/>
    </row>
    <row r="95" spans="1:28">
      <c r="A95" s="656" t="s">
        <v>12560</v>
      </c>
      <c r="B95" s="656" t="s">
        <v>12559</v>
      </c>
      <c r="C95" s="656" t="s">
        <v>21</v>
      </c>
      <c r="D95" s="656" t="s">
        <v>14960</v>
      </c>
      <c r="E95" s="656" t="s">
        <v>14313</v>
      </c>
      <c r="F95" s="1447"/>
      <c r="G95" s="656" t="s">
        <v>12994</v>
      </c>
      <c r="H95" s="656" t="s">
        <v>1777</v>
      </c>
      <c r="I95" s="656" t="s">
        <v>14961</v>
      </c>
      <c r="J95" s="656" t="s">
        <v>14960</v>
      </c>
      <c r="K95" s="656" t="s">
        <v>9774</v>
      </c>
      <c r="L95" s="656"/>
      <c r="M95" s="656" t="s">
        <v>16200</v>
      </c>
      <c r="N95" s="656"/>
      <c r="O95" s="656" t="s">
        <v>10214</v>
      </c>
      <c r="P95" s="5"/>
      <c r="Q95" s="1447">
        <v>44210</v>
      </c>
      <c r="R95" s="656">
        <v>44309</v>
      </c>
      <c r="S95" s="656" t="s">
        <v>537</v>
      </c>
      <c r="T95" s="656"/>
      <c r="U95" s="656"/>
      <c r="V95" s="656"/>
      <c r="W95" s="656" t="s">
        <v>13051</v>
      </c>
      <c r="X95" s="656" t="s">
        <v>498</v>
      </c>
      <c r="Y95" s="656" t="s">
        <v>14278</v>
      </c>
      <c r="Z95" s="656">
        <v>44319.408032407409</v>
      </c>
      <c r="AA95" s="656" t="s">
        <v>14276</v>
      </c>
      <c r="AB95" s="656"/>
    </row>
    <row r="96" spans="1:28">
      <c r="A96" s="656" t="s">
        <v>12560</v>
      </c>
      <c r="B96" s="656" t="s">
        <v>12559</v>
      </c>
      <c r="C96" s="656" t="s">
        <v>20</v>
      </c>
      <c r="D96" s="656" t="s">
        <v>12993</v>
      </c>
      <c r="E96" s="656" t="s">
        <v>14279</v>
      </c>
      <c r="F96" s="1447"/>
      <c r="G96" s="656" t="s">
        <v>12994</v>
      </c>
      <c r="H96" s="656"/>
      <c r="I96" s="656"/>
      <c r="J96" s="656"/>
      <c r="K96" s="656"/>
      <c r="L96" s="656" t="s">
        <v>12993</v>
      </c>
      <c r="M96" s="656" t="s">
        <v>16200</v>
      </c>
      <c r="N96" s="656"/>
      <c r="O96" s="656" t="s">
        <v>10214</v>
      </c>
      <c r="P96" s="5" t="s">
        <v>14299</v>
      </c>
      <c r="Q96" s="1447">
        <v>44158</v>
      </c>
      <c r="R96" s="656"/>
      <c r="S96" s="656" t="s">
        <v>537</v>
      </c>
      <c r="T96" s="656"/>
      <c r="U96" s="656"/>
      <c r="V96" s="656"/>
      <c r="W96" s="656" t="s">
        <v>13051</v>
      </c>
      <c r="X96" s="656" t="s">
        <v>498</v>
      </c>
      <c r="Y96" s="656" t="s">
        <v>14278</v>
      </c>
      <c r="Z96" s="656">
        <v>44305.527118055557</v>
      </c>
      <c r="AA96" s="656" t="s">
        <v>14335</v>
      </c>
      <c r="AB96" s="656"/>
    </row>
    <row r="97" spans="1:28">
      <c r="A97" s="656" t="s">
        <v>12562</v>
      </c>
      <c r="B97" s="656" t="s">
        <v>12561</v>
      </c>
      <c r="C97" s="656" t="s">
        <v>21</v>
      </c>
      <c r="D97" s="656" t="s">
        <v>13031</v>
      </c>
      <c r="E97" s="656" t="s">
        <v>14279</v>
      </c>
      <c r="F97" s="1447"/>
      <c r="G97" s="656" t="s">
        <v>12981</v>
      </c>
      <c r="H97" s="656" t="s">
        <v>1777</v>
      </c>
      <c r="I97" s="656" t="s">
        <v>14300</v>
      </c>
      <c r="J97" s="656" t="s">
        <v>13031</v>
      </c>
      <c r="K97" s="656" t="s">
        <v>9774</v>
      </c>
      <c r="L97" s="656"/>
      <c r="M97" s="656" t="s">
        <v>16196</v>
      </c>
      <c r="N97" s="656"/>
      <c r="O97" s="656" t="s">
        <v>6395</v>
      </c>
      <c r="P97" s="5"/>
      <c r="Q97" s="1447">
        <v>44173</v>
      </c>
      <c r="R97" s="656"/>
      <c r="S97" s="656" t="s">
        <v>472</v>
      </c>
      <c r="T97" s="656"/>
      <c r="U97" s="656"/>
      <c r="V97" s="656"/>
      <c r="W97" s="656" t="s">
        <v>13051</v>
      </c>
      <c r="X97" s="656" t="s">
        <v>498</v>
      </c>
      <c r="Y97" s="656" t="s">
        <v>14278</v>
      </c>
      <c r="Z97" s="656">
        <v>44305.527106481481</v>
      </c>
      <c r="AA97" s="656" t="s">
        <v>14335</v>
      </c>
      <c r="AB97" s="656"/>
    </row>
    <row r="98" spans="1:28">
      <c r="A98" s="656" t="s">
        <v>12562</v>
      </c>
      <c r="B98" s="656" t="s">
        <v>12561</v>
      </c>
      <c r="C98" s="656" t="s">
        <v>20</v>
      </c>
      <c r="D98" s="656" t="s">
        <v>15340</v>
      </c>
      <c r="E98" s="656" t="s">
        <v>14279</v>
      </c>
      <c r="F98" s="1447"/>
      <c r="G98" s="656" t="s">
        <v>12981</v>
      </c>
      <c r="H98" s="656" t="s">
        <v>1777</v>
      </c>
      <c r="I98" s="656"/>
      <c r="J98" s="656"/>
      <c r="K98" s="656"/>
      <c r="L98" s="656" t="s">
        <v>15340</v>
      </c>
      <c r="M98" s="656" t="s">
        <v>16196</v>
      </c>
      <c r="N98" s="656"/>
      <c r="O98" s="656" t="s">
        <v>6395</v>
      </c>
      <c r="P98" s="5"/>
      <c r="Q98" s="1447">
        <v>44145</v>
      </c>
      <c r="R98" s="656"/>
      <c r="S98" s="656" t="s">
        <v>472</v>
      </c>
      <c r="T98" s="656"/>
      <c r="U98" s="656"/>
      <c r="V98" s="656"/>
      <c r="W98" s="656" t="s">
        <v>13051</v>
      </c>
      <c r="X98" s="656" t="s">
        <v>498</v>
      </c>
      <c r="Y98" s="656" t="s">
        <v>14278</v>
      </c>
      <c r="Z98" s="656">
        <v>44305.527106481481</v>
      </c>
      <c r="AA98" s="656" t="s">
        <v>14335</v>
      </c>
      <c r="AB98" s="656"/>
    </row>
    <row r="99" spans="1:28">
      <c r="A99" s="656" t="s">
        <v>12565</v>
      </c>
      <c r="B99" s="656" t="s">
        <v>12852</v>
      </c>
      <c r="C99" s="656" t="s">
        <v>21</v>
      </c>
      <c r="D99" s="656" t="s">
        <v>13030</v>
      </c>
      <c r="E99" s="656" t="s">
        <v>14279</v>
      </c>
      <c r="F99" s="1447"/>
      <c r="G99" s="656" t="s">
        <v>12988</v>
      </c>
      <c r="H99" s="656" t="s">
        <v>1777</v>
      </c>
      <c r="I99" s="656" t="s">
        <v>14301</v>
      </c>
      <c r="J99" s="656" t="s">
        <v>13030</v>
      </c>
      <c r="K99" s="656" t="s">
        <v>9774</v>
      </c>
      <c r="L99" s="656"/>
      <c r="M99" s="656" t="s">
        <v>16200</v>
      </c>
      <c r="N99" s="656"/>
      <c r="O99" s="656" t="s">
        <v>10214</v>
      </c>
      <c r="P99" s="5"/>
      <c r="Q99" s="1447">
        <v>44173</v>
      </c>
      <c r="R99" s="656"/>
      <c r="S99" s="656" t="s">
        <v>537</v>
      </c>
      <c r="T99" s="656"/>
      <c r="U99" s="656"/>
      <c r="V99" s="656"/>
      <c r="W99" s="656" t="s">
        <v>13051</v>
      </c>
      <c r="X99" s="656" t="s">
        <v>498</v>
      </c>
      <c r="Y99" s="656" t="s">
        <v>14278</v>
      </c>
      <c r="Z99" s="656">
        <v>44305.527094907404</v>
      </c>
      <c r="AA99" s="656" t="s">
        <v>14335</v>
      </c>
      <c r="AB99" s="656"/>
    </row>
    <row r="100" spans="1:28">
      <c r="A100" s="656" t="s">
        <v>12565</v>
      </c>
      <c r="B100" s="656" t="s">
        <v>12852</v>
      </c>
      <c r="C100" s="656" t="s">
        <v>20</v>
      </c>
      <c r="D100" s="656" t="s">
        <v>15341</v>
      </c>
      <c r="E100" s="656" t="s">
        <v>14279</v>
      </c>
      <c r="F100" s="1447"/>
      <c r="G100" s="656" t="s">
        <v>12988</v>
      </c>
      <c r="H100" s="656" t="s">
        <v>1777</v>
      </c>
      <c r="I100" s="656"/>
      <c r="J100" s="656"/>
      <c r="K100" s="656"/>
      <c r="L100" s="656" t="s">
        <v>15341</v>
      </c>
      <c r="M100" s="656" t="s">
        <v>16200</v>
      </c>
      <c r="N100" s="656"/>
      <c r="O100" s="656" t="s">
        <v>10214</v>
      </c>
      <c r="P100" s="5" t="s">
        <v>14299</v>
      </c>
      <c r="Q100" s="1447">
        <v>44152</v>
      </c>
      <c r="R100" s="656"/>
      <c r="S100" s="656" t="s">
        <v>537</v>
      </c>
      <c r="T100" s="656"/>
      <c r="U100" s="656"/>
      <c r="V100" s="656"/>
      <c r="W100" s="656" t="s">
        <v>13051</v>
      </c>
      <c r="X100" s="656" t="s">
        <v>498</v>
      </c>
      <c r="Y100" s="656" t="s">
        <v>14278</v>
      </c>
      <c r="Z100" s="656">
        <v>44305.527106481481</v>
      </c>
      <c r="AA100" s="656" t="s">
        <v>14335</v>
      </c>
      <c r="AB100" s="656"/>
    </row>
    <row r="101" spans="1:28">
      <c r="A101" s="656" t="s">
        <v>12567</v>
      </c>
      <c r="B101" s="656" t="s">
        <v>12566</v>
      </c>
      <c r="C101" s="656" t="s">
        <v>20</v>
      </c>
      <c r="D101" s="656" t="s">
        <v>13028</v>
      </c>
      <c r="E101" s="656" t="s">
        <v>14275</v>
      </c>
      <c r="F101" s="1447">
        <v>44306</v>
      </c>
      <c r="G101" s="656" t="s">
        <v>13029</v>
      </c>
      <c r="H101" s="656" t="s">
        <v>1777</v>
      </c>
      <c r="I101" s="656"/>
      <c r="J101" s="656"/>
      <c r="K101" s="656"/>
      <c r="L101" s="656" t="s">
        <v>13028</v>
      </c>
      <c r="M101" s="656" t="s">
        <v>16200</v>
      </c>
      <c r="N101" s="656"/>
      <c r="O101" s="656" t="s">
        <v>10214</v>
      </c>
      <c r="P101" s="5" t="s">
        <v>14299</v>
      </c>
      <c r="Q101" s="1447">
        <v>44168</v>
      </c>
      <c r="R101" s="656"/>
      <c r="S101" s="656" t="s">
        <v>537</v>
      </c>
      <c r="T101" s="656"/>
      <c r="U101" s="656"/>
      <c r="V101" s="656"/>
      <c r="W101" s="656" t="s">
        <v>13051</v>
      </c>
      <c r="X101" s="656" t="s">
        <v>498</v>
      </c>
      <c r="Y101" s="656" t="s">
        <v>14278</v>
      </c>
      <c r="Z101" s="656">
        <v>44307.342164351852</v>
      </c>
      <c r="AA101" s="656" t="s">
        <v>14276</v>
      </c>
      <c r="AB101" s="656"/>
    </row>
    <row r="102" spans="1:28">
      <c r="A102" s="656" t="s">
        <v>12573</v>
      </c>
      <c r="B102" s="656" t="s">
        <v>12572</v>
      </c>
      <c r="C102" s="656" t="s">
        <v>21</v>
      </c>
      <c r="D102" s="656" t="s">
        <v>13027</v>
      </c>
      <c r="E102" s="656" t="s">
        <v>14313</v>
      </c>
      <c r="F102" s="1447"/>
      <c r="G102" s="656" t="s">
        <v>12980</v>
      </c>
      <c r="H102" s="656" t="s">
        <v>1777</v>
      </c>
      <c r="I102" s="656" t="s">
        <v>14302</v>
      </c>
      <c r="J102" s="656" t="s">
        <v>13027</v>
      </c>
      <c r="K102" s="656" t="s">
        <v>9774</v>
      </c>
      <c r="L102" s="656"/>
      <c r="M102" s="656" t="s">
        <v>16196</v>
      </c>
      <c r="N102" s="656"/>
      <c r="O102" s="656" t="s">
        <v>6395</v>
      </c>
      <c r="P102" s="5"/>
      <c r="Q102" s="1447">
        <v>44167</v>
      </c>
      <c r="R102" s="656">
        <v>44286</v>
      </c>
      <c r="S102" s="656" t="s">
        <v>472</v>
      </c>
      <c r="T102" s="656"/>
      <c r="U102" s="656"/>
      <c r="V102" s="656"/>
      <c r="W102" s="656" t="s">
        <v>13051</v>
      </c>
      <c r="X102" s="656" t="s">
        <v>498</v>
      </c>
      <c r="Y102" s="656" t="s">
        <v>14278</v>
      </c>
      <c r="Z102" s="656">
        <v>44305.527083333334</v>
      </c>
      <c r="AA102" s="656" t="s">
        <v>14335</v>
      </c>
      <c r="AB102" s="656"/>
    </row>
    <row r="103" spans="1:28">
      <c r="A103" s="656" t="s">
        <v>12573</v>
      </c>
      <c r="B103" s="656" t="s">
        <v>12572</v>
      </c>
      <c r="C103" s="656" t="s">
        <v>20</v>
      </c>
      <c r="D103" s="656" t="s">
        <v>12979</v>
      </c>
      <c r="E103" s="656" t="s">
        <v>14279</v>
      </c>
      <c r="F103" s="1447"/>
      <c r="G103" s="656" t="s">
        <v>12980</v>
      </c>
      <c r="H103" s="656" t="s">
        <v>1777</v>
      </c>
      <c r="I103" s="656"/>
      <c r="J103" s="656"/>
      <c r="K103" s="656"/>
      <c r="L103" s="656" t="s">
        <v>12979</v>
      </c>
      <c r="M103" s="656" t="s">
        <v>16196</v>
      </c>
      <c r="N103" s="656"/>
      <c r="O103" s="656" t="s">
        <v>6395</v>
      </c>
      <c r="P103" s="5"/>
      <c r="Q103" s="1447">
        <v>44145</v>
      </c>
      <c r="R103" s="656"/>
      <c r="S103" s="656" t="s">
        <v>472</v>
      </c>
      <c r="T103" s="656"/>
      <c r="U103" s="656"/>
      <c r="V103" s="656"/>
      <c r="W103" s="656" t="s">
        <v>13051</v>
      </c>
      <c r="X103" s="656" t="s">
        <v>498</v>
      </c>
      <c r="Y103" s="656" t="s">
        <v>14278</v>
      </c>
      <c r="Z103" s="656">
        <v>44305.527083333334</v>
      </c>
      <c r="AA103" s="656" t="s">
        <v>14335</v>
      </c>
      <c r="AB103" s="656"/>
    </row>
    <row r="104" spans="1:28">
      <c r="A104" s="656" t="s">
        <v>12577</v>
      </c>
      <c r="B104" s="656" t="s">
        <v>12576</v>
      </c>
      <c r="C104" s="656" t="s">
        <v>21</v>
      </c>
      <c r="D104" s="656" t="s">
        <v>13026</v>
      </c>
      <c r="E104" s="656" t="s">
        <v>14279</v>
      </c>
      <c r="F104" s="1447"/>
      <c r="G104" s="656" t="s">
        <v>12978</v>
      </c>
      <c r="H104" s="656" t="s">
        <v>1777</v>
      </c>
      <c r="I104" s="656" t="s">
        <v>14303</v>
      </c>
      <c r="J104" s="656" t="s">
        <v>13026</v>
      </c>
      <c r="K104" s="656" t="s">
        <v>9774</v>
      </c>
      <c r="L104" s="656"/>
      <c r="M104" s="656" t="s">
        <v>16196</v>
      </c>
      <c r="N104" s="656"/>
      <c r="O104" s="656" t="s">
        <v>6395</v>
      </c>
      <c r="P104" s="5"/>
      <c r="Q104" s="1447">
        <v>44167</v>
      </c>
      <c r="R104" s="656"/>
      <c r="S104" s="656" t="s">
        <v>472</v>
      </c>
      <c r="T104" s="656"/>
      <c r="U104" s="656"/>
      <c r="V104" s="656"/>
      <c r="W104" s="656" t="s">
        <v>13051</v>
      </c>
      <c r="X104" s="656" t="s">
        <v>498</v>
      </c>
      <c r="Y104" s="656" t="s">
        <v>14278</v>
      </c>
      <c r="Z104" s="656">
        <v>44305.527071759258</v>
      </c>
      <c r="AA104" s="656" t="s">
        <v>14335</v>
      </c>
      <c r="AB104" s="656"/>
    </row>
    <row r="105" spans="1:28">
      <c r="A105" s="656" t="s">
        <v>12577</v>
      </c>
      <c r="B105" s="656" t="s">
        <v>12576</v>
      </c>
      <c r="C105" s="656" t="s">
        <v>20</v>
      </c>
      <c r="D105" s="656" t="s">
        <v>12977</v>
      </c>
      <c r="E105" s="656" t="s">
        <v>14279</v>
      </c>
      <c r="F105" s="1447"/>
      <c r="G105" s="656" t="s">
        <v>12978</v>
      </c>
      <c r="H105" s="656" t="s">
        <v>1777</v>
      </c>
      <c r="I105" s="656"/>
      <c r="J105" s="656"/>
      <c r="K105" s="656"/>
      <c r="L105" s="656" t="s">
        <v>12977</v>
      </c>
      <c r="M105" s="656" t="s">
        <v>16196</v>
      </c>
      <c r="N105" s="656"/>
      <c r="O105" s="656" t="s">
        <v>6395</v>
      </c>
      <c r="P105" s="5"/>
      <c r="Q105" s="1447">
        <v>44145</v>
      </c>
      <c r="R105" s="656"/>
      <c r="S105" s="656" t="s">
        <v>472</v>
      </c>
      <c r="T105" s="656"/>
      <c r="U105" s="656"/>
      <c r="V105" s="656"/>
      <c r="W105" s="656" t="s">
        <v>13051</v>
      </c>
      <c r="X105" s="656" t="s">
        <v>498</v>
      </c>
      <c r="Y105" s="656" t="s">
        <v>14278</v>
      </c>
      <c r="Z105" s="656">
        <v>44305.527071759258</v>
      </c>
      <c r="AA105" s="656" t="s">
        <v>14335</v>
      </c>
      <c r="AB105" s="656"/>
    </row>
    <row r="106" spans="1:28">
      <c r="A106" s="656" t="s">
        <v>12588</v>
      </c>
      <c r="B106" s="656" t="s">
        <v>12587</v>
      </c>
      <c r="C106" s="656" t="s">
        <v>20</v>
      </c>
      <c r="D106" s="656" t="s">
        <v>12679</v>
      </c>
      <c r="E106" s="656" t="s">
        <v>14275</v>
      </c>
      <c r="F106" s="1447">
        <v>44319</v>
      </c>
      <c r="G106" s="656" t="s">
        <v>12680</v>
      </c>
      <c r="H106" s="656" t="s">
        <v>1777</v>
      </c>
      <c r="I106" s="656"/>
      <c r="J106" s="656"/>
      <c r="K106" s="656"/>
      <c r="L106" s="656" t="s">
        <v>12679</v>
      </c>
      <c r="M106" s="656" t="s">
        <v>16196</v>
      </c>
      <c r="N106" s="656"/>
      <c r="O106" s="656" t="s">
        <v>6427</v>
      </c>
      <c r="P106" s="5"/>
      <c r="Q106" s="1447">
        <v>44104</v>
      </c>
      <c r="R106" s="656"/>
      <c r="S106" s="656" t="s">
        <v>455</v>
      </c>
      <c r="T106" s="656"/>
      <c r="U106" s="656"/>
      <c r="V106" s="656"/>
      <c r="W106" s="656" t="s">
        <v>13051</v>
      </c>
      <c r="X106" s="656" t="s">
        <v>498</v>
      </c>
      <c r="Y106" s="656" t="s">
        <v>14278</v>
      </c>
      <c r="Z106" s="656">
        <v>44319.571331018517</v>
      </c>
      <c r="AA106" s="656" t="s">
        <v>14276</v>
      </c>
      <c r="AB106" s="656"/>
    </row>
    <row r="107" spans="1:28">
      <c r="A107" s="656" t="s">
        <v>12593</v>
      </c>
      <c r="B107" s="656" t="s">
        <v>12592</v>
      </c>
      <c r="C107" s="656" t="s">
        <v>21</v>
      </c>
      <c r="D107" s="656" t="s">
        <v>15342</v>
      </c>
      <c r="E107" s="656" t="s">
        <v>14313</v>
      </c>
      <c r="F107" s="1447"/>
      <c r="G107" s="656" t="s">
        <v>13024</v>
      </c>
      <c r="H107" s="656" t="s">
        <v>1777</v>
      </c>
      <c r="I107" s="656" t="s">
        <v>15343</v>
      </c>
      <c r="J107" s="656" t="s">
        <v>15342</v>
      </c>
      <c r="K107" s="656" t="s">
        <v>9774</v>
      </c>
      <c r="L107" s="656"/>
      <c r="M107" s="656" t="s">
        <v>16196</v>
      </c>
      <c r="N107" s="656"/>
      <c r="O107" s="656" t="s">
        <v>6395</v>
      </c>
      <c r="P107" s="5"/>
      <c r="Q107" s="1447">
        <v>44166</v>
      </c>
      <c r="R107" s="656">
        <v>44239</v>
      </c>
      <c r="S107" s="656" t="s">
        <v>472</v>
      </c>
      <c r="T107" s="656"/>
      <c r="U107" s="656"/>
      <c r="V107" s="656"/>
      <c r="W107" s="656" t="s">
        <v>13051</v>
      </c>
      <c r="X107" s="656" t="s">
        <v>498</v>
      </c>
      <c r="Y107" s="656" t="s">
        <v>14278</v>
      </c>
      <c r="Z107" s="656">
        <v>44319.430312500001</v>
      </c>
      <c r="AA107" s="656" t="s">
        <v>14276</v>
      </c>
      <c r="AB107" s="656"/>
    </row>
    <row r="108" spans="1:28">
      <c r="A108" s="656" t="s">
        <v>12593</v>
      </c>
      <c r="B108" s="656" t="s">
        <v>12592</v>
      </c>
      <c r="C108" s="656" t="s">
        <v>20</v>
      </c>
      <c r="D108" s="656" t="s">
        <v>13036</v>
      </c>
      <c r="E108" s="656" t="s">
        <v>14279</v>
      </c>
      <c r="F108" s="1447"/>
      <c r="G108" s="656" t="s">
        <v>13024</v>
      </c>
      <c r="H108" s="656" t="s">
        <v>1777</v>
      </c>
      <c r="I108" s="656"/>
      <c r="J108" s="656"/>
      <c r="K108" s="656"/>
      <c r="L108" s="656" t="s">
        <v>13036</v>
      </c>
      <c r="M108" s="656" t="s">
        <v>16196</v>
      </c>
      <c r="N108" s="656"/>
      <c r="O108" s="656" t="s">
        <v>6395</v>
      </c>
      <c r="P108" s="5"/>
      <c r="Q108" s="1447">
        <v>44175</v>
      </c>
      <c r="R108" s="656"/>
      <c r="S108" s="656" t="s">
        <v>472</v>
      </c>
      <c r="T108" s="656"/>
      <c r="U108" s="656"/>
      <c r="V108" s="656"/>
      <c r="W108" s="656" t="s">
        <v>13051</v>
      </c>
      <c r="X108" s="656" t="s">
        <v>498</v>
      </c>
      <c r="Y108" s="656" t="s">
        <v>14278</v>
      </c>
      <c r="Z108" s="656">
        <v>44305.527060185188</v>
      </c>
      <c r="AA108" s="656" t="s">
        <v>14335</v>
      </c>
      <c r="AB108" s="656"/>
    </row>
    <row r="109" spans="1:28">
      <c r="A109" s="656" t="s">
        <v>12605</v>
      </c>
      <c r="B109" s="656" t="s">
        <v>12604</v>
      </c>
      <c r="C109" s="656" t="s">
        <v>20</v>
      </c>
      <c r="D109" s="656" t="s">
        <v>12828</v>
      </c>
      <c r="E109" s="656" t="s">
        <v>14279</v>
      </c>
      <c r="F109" s="1447"/>
      <c r="G109" s="656" t="s">
        <v>12829</v>
      </c>
      <c r="H109" s="656" t="s">
        <v>1777</v>
      </c>
      <c r="I109" s="656"/>
      <c r="J109" s="656"/>
      <c r="K109" s="656"/>
      <c r="L109" s="656" t="s">
        <v>12828</v>
      </c>
      <c r="M109" s="656" t="s">
        <v>16196</v>
      </c>
      <c r="N109" s="656"/>
      <c r="O109" s="656" t="s">
        <v>6395</v>
      </c>
      <c r="P109" s="5"/>
      <c r="Q109" s="1447">
        <v>44118</v>
      </c>
      <c r="R109" s="656"/>
      <c r="S109" s="656" t="s">
        <v>472</v>
      </c>
      <c r="T109" s="656"/>
      <c r="U109" s="656"/>
      <c r="V109" s="656"/>
      <c r="W109" s="656" t="s">
        <v>13051</v>
      </c>
      <c r="X109" s="656" t="s">
        <v>498</v>
      </c>
      <c r="Y109" s="656" t="s">
        <v>14278</v>
      </c>
      <c r="Z109" s="656">
        <v>44305.527037037034</v>
      </c>
      <c r="AA109" s="656" t="s">
        <v>14335</v>
      </c>
      <c r="AB109" s="656"/>
    </row>
    <row r="110" spans="1:28">
      <c r="A110" s="656" t="s">
        <v>12502</v>
      </c>
      <c r="B110" s="656" t="s">
        <v>12501</v>
      </c>
      <c r="C110" s="656" t="s">
        <v>21</v>
      </c>
      <c r="D110" s="656" t="s">
        <v>12833</v>
      </c>
      <c r="E110" s="656" t="s">
        <v>14313</v>
      </c>
      <c r="F110" s="1447"/>
      <c r="G110" s="656" t="s">
        <v>12657</v>
      </c>
      <c r="H110" s="656" t="s">
        <v>1777</v>
      </c>
      <c r="I110" s="656" t="s">
        <v>14304</v>
      </c>
      <c r="J110" s="656" t="s">
        <v>12833</v>
      </c>
      <c r="K110" s="656" t="s">
        <v>9774</v>
      </c>
      <c r="L110" s="656"/>
      <c r="M110" s="656" t="s">
        <v>16196</v>
      </c>
      <c r="N110" s="656"/>
      <c r="O110" s="656" t="s">
        <v>6395</v>
      </c>
      <c r="P110" s="5"/>
      <c r="Q110" s="1447">
        <v>44123</v>
      </c>
      <c r="R110" s="656">
        <v>44286</v>
      </c>
      <c r="S110" s="656" t="s">
        <v>472</v>
      </c>
      <c r="T110" s="656"/>
      <c r="U110" s="656"/>
      <c r="V110" s="656"/>
      <c r="W110" s="656" t="s">
        <v>13051</v>
      </c>
      <c r="X110" s="656" t="s">
        <v>498</v>
      </c>
      <c r="Y110" s="656" t="s">
        <v>14278</v>
      </c>
      <c r="Z110" s="656">
        <v>44305.527025462965</v>
      </c>
      <c r="AA110" s="656" t="s">
        <v>14335</v>
      </c>
      <c r="AB110" s="656"/>
    </row>
    <row r="111" spans="1:28">
      <c r="A111" s="656" t="s">
        <v>12502</v>
      </c>
      <c r="B111" s="656" t="s">
        <v>12501</v>
      </c>
      <c r="C111" s="656" t="s">
        <v>20</v>
      </c>
      <c r="D111" s="656" t="s">
        <v>12656</v>
      </c>
      <c r="E111" s="656" t="s">
        <v>14279</v>
      </c>
      <c r="F111" s="1447"/>
      <c r="G111" s="656" t="s">
        <v>12657</v>
      </c>
      <c r="H111" s="656" t="s">
        <v>1777</v>
      </c>
      <c r="I111" s="656"/>
      <c r="J111" s="656"/>
      <c r="K111" s="656"/>
      <c r="L111" s="656" t="s">
        <v>12656</v>
      </c>
      <c r="M111" s="656" t="s">
        <v>16196</v>
      </c>
      <c r="N111" s="656"/>
      <c r="O111" s="656" t="s">
        <v>6395</v>
      </c>
      <c r="P111" s="5"/>
      <c r="Q111" s="1447">
        <v>44097</v>
      </c>
      <c r="R111" s="656"/>
      <c r="S111" s="656" t="s">
        <v>472</v>
      </c>
      <c r="T111" s="656"/>
      <c r="U111" s="656"/>
      <c r="V111" s="656"/>
      <c r="W111" s="656" t="s">
        <v>13051</v>
      </c>
      <c r="X111" s="656" t="s">
        <v>498</v>
      </c>
      <c r="Y111" s="656" t="s">
        <v>14278</v>
      </c>
      <c r="Z111" s="656">
        <v>44305.527037037034</v>
      </c>
      <c r="AA111" s="656" t="s">
        <v>14335</v>
      </c>
      <c r="AB111" s="656"/>
    </row>
    <row r="112" spans="1:28">
      <c r="A112" s="656" t="s">
        <v>12458</v>
      </c>
      <c r="B112" s="656" t="s">
        <v>12457</v>
      </c>
      <c r="C112" s="656" t="s">
        <v>20</v>
      </c>
      <c r="D112" s="656" t="s">
        <v>12512</v>
      </c>
      <c r="E112" s="656" t="s">
        <v>14279</v>
      </c>
      <c r="F112" s="1447"/>
      <c r="G112" s="656" t="s">
        <v>12513</v>
      </c>
      <c r="H112" s="656" t="s">
        <v>1777</v>
      </c>
      <c r="I112" s="656"/>
      <c r="J112" s="656"/>
      <c r="K112" s="656"/>
      <c r="L112" s="656" t="s">
        <v>12512</v>
      </c>
      <c r="M112" s="656" t="s">
        <v>16196</v>
      </c>
      <c r="N112" s="656"/>
      <c r="O112" s="656" t="s">
        <v>6387</v>
      </c>
      <c r="P112" s="5"/>
      <c r="Q112" s="1447">
        <v>44070</v>
      </c>
      <c r="R112" s="656"/>
      <c r="S112" s="656" t="s">
        <v>497</v>
      </c>
      <c r="T112" s="656"/>
      <c r="U112" s="656"/>
      <c r="V112" s="656"/>
      <c r="W112" s="656" t="s">
        <v>13051</v>
      </c>
      <c r="X112" s="656" t="s">
        <v>498</v>
      </c>
      <c r="Y112" s="656" t="s">
        <v>14278</v>
      </c>
      <c r="Z112" s="656">
        <v>44305.527025462965</v>
      </c>
      <c r="AA112" s="656" t="s">
        <v>14335</v>
      </c>
      <c r="AB112" s="656"/>
    </row>
    <row r="113" spans="1:28">
      <c r="A113" s="656" t="s">
        <v>12441</v>
      </c>
      <c r="B113" s="656" t="s">
        <v>12440</v>
      </c>
      <c r="C113" s="656" t="s">
        <v>21</v>
      </c>
      <c r="D113" s="656" t="s">
        <v>12673</v>
      </c>
      <c r="E113" s="656" t="s">
        <v>14279</v>
      </c>
      <c r="F113" s="1447"/>
      <c r="G113" s="656" t="s">
        <v>12674</v>
      </c>
      <c r="H113" s="656" t="s">
        <v>1777</v>
      </c>
      <c r="I113" s="656" t="s">
        <v>14305</v>
      </c>
      <c r="J113" s="656" t="s">
        <v>12673</v>
      </c>
      <c r="K113" s="656" t="s">
        <v>9774</v>
      </c>
      <c r="L113" s="656"/>
      <c r="M113" s="656" t="s">
        <v>16318</v>
      </c>
      <c r="N113" s="656"/>
      <c r="O113" s="656" t="s">
        <v>6427</v>
      </c>
      <c r="P113" s="5"/>
      <c r="Q113" s="1447">
        <v>44097</v>
      </c>
      <c r="R113" s="656"/>
      <c r="S113" s="656" t="s">
        <v>455</v>
      </c>
      <c r="T113" s="656"/>
      <c r="U113" s="656"/>
      <c r="V113" s="656"/>
      <c r="W113" s="656" t="s">
        <v>13051</v>
      </c>
      <c r="X113" s="656" t="s">
        <v>498</v>
      </c>
      <c r="Y113" s="656" t="s">
        <v>14278</v>
      </c>
      <c r="Z113" s="656">
        <v>44305.527013888888</v>
      </c>
      <c r="AA113" s="656" t="s">
        <v>14335</v>
      </c>
      <c r="AB113" s="656"/>
    </row>
    <row r="114" spans="1:28">
      <c r="A114" s="656" t="s">
        <v>12441</v>
      </c>
      <c r="B114" s="656" t="s">
        <v>12440</v>
      </c>
      <c r="C114" s="656" t="s">
        <v>20</v>
      </c>
      <c r="D114" s="656" t="s">
        <v>12876</v>
      </c>
      <c r="E114" s="656" t="s">
        <v>14279</v>
      </c>
      <c r="F114" s="1447"/>
      <c r="G114" s="656" t="s">
        <v>12674</v>
      </c>
      <c r="H114" s="656" t="s">
        <v>1777</v>
      </c>
      <c r="I114" s="656"/>
      <c r="J114" s="656"/>
      <c r="K114" s="656"/>
      <c r="L114" s="656" t="s">
        <v>12876</v>
      </c>
      <c r="M114" s="656" t="s">
        <v>16319</v>
      </c>
      <c r="N114" s="656"/>
      <c r="O114" s="656" t="s">
        <v>10175</v>
      </c>
      <c r="P114" s="5"/>
      <c r="Q114" s="1447">
        <v>44137</v>
      </c>
      <c r="R114" s="656"/>
      <c r="S114" s="656" t="s">
        <v>455</v>
      </c>
      <c r="T114" s="656"/>
      <c r="U114" s="656"/>
      <c r="V114" s="656"/>
      <c r="W114" s="656" t="s">
        <v>13051</v>
      </c>
      <c r="X114" s="656" t="s">
        <v>498</v>
      </c>
      <c r="Y114" s="656" t="s">
        <v>14278</v>
      </c>
      <c r="Z114" s="656">
        <v>44305.527013888888</v>
      </c>
      <c r="AA114" s="656" t="s">
        <v>14335</v>
      </c>
      <c r="AB114" s="656"/>
    </row>
    <row r="115" spans="1:28">
      <c r="A115" s="656" t="s">
        <v>12441</v>
      </c>
      <c r="B115" s="656" t="s">
        <v>12440</v>
      </c>
      <c r="C115" s="656" t="s">
        <v>21</v>
      </c>
      <c r="D115" s="656" t="s">
        <v>16320</v>
      </c>
      <c r="E115" s="656" t="s">
        <v>14279</v>
      </c>
      <c r="F115" s="1447"/>
      <c r="G115" s="656"/>
      <c r="H115" s="656" t="s">
        <v>1777</v>
      </c>
      <c r="I115" s="656" t="s">
        <v>14305</v>
      </c>
      <c r="J115" s="656" t="s">
        <v>16320</v>
      </c>
      <c r="K115" s="656" t="s">
        <v>9774</v>
      </c>
      <c r="L115" s="656"/>
      <c r="M115" s="656" t="s">
        <v>16318</v>
      </c>
      <c r="N115" s="656"/>
      <c r="O115" s="656" t="s">
        <v>6427</v>
      </c>
      <c r="P115" s="5"/>
      <c r="Q115" s="1447">
        <v>44285</v>
      </c>
      <c r="R115" s="656"/>
      <c r="S115" s="656" t="s">
        <v>4052</v>
      </c>
      <c r="T115" s="656"/>
      <c r="U115" s="656"/>
      <c r="V115" s="656"/>
      <c r="W115" s="656" t="s">
        <v>13051</v>
      </c>
      <c r="X115" s="656" t="s">
        <v>498</v>
      </c>
      <c r="Y115" s="656" t="s">
        <v>14278</v>
      </c>
      <c r="Z115" s="656">
        <v>44305.527754629627</v>
      </c>
      <c r="AA115" s="656" t="s">
        <v>14335</v>
      </c>
      <c r="AB115" s="656"/>
    </row>
    <row r="116" spans="1:28">
      <c r="A116" s="656" t="s">
        <v>12398</v>
      </c>
      <c r="B116" s="656" t="s">
        <v>12397</v>
      </c>
      <c r="C116" s="656" t="s">
        <v>21</v>
      </c>
      <c r="D116" s="656" t="s">
        <v>12676</v>
      </c>
      <c r="E116" s="656" t="s">
        <v>14279</v>
      </c>
      <c r="F116" s="1447"/>
      <c r="G116" s="656" t="s">
        <v>12677</v>
      </c>
      <c r="H116" s="656" t="s">
        <v>1777</v>
      </c>
      <c r="I116" s="656" t="s">
        <v>14306</v>
      </c>
      <c r="J116" s="656" t="s">
        <v>12676</v>
      </c>
      <c r="K116" s="656" t="s">
        <v>9774</v>
      </c>
      <c r="L116" s="656"/>
      <c r="M116" s="656" t="s">
        <v>16319</v>
      </c>
      <c r="N116" s="656"/>
      <c r="O116" s="656" t="s">
        <v>6427</v>
      </c>
      <c r="P116" s="5"/>
      <c r="Q116" s="1447">
        <v>44097</v>
      </c>
      <c r="R116" s="656"/>
      <c r="S116" s="656" t="s">
        <v>455</v>
      </c>
      <c r="T116" s="656"/>
      <c r="U116" s="656"/>
      <c r="V116" s="656"/>
      <c r="W116" s="656" t="s">
        <v>13051</v>
      </c>
      <c r="X116" s="656" t="s">
        <v>498</v>
      </c>
      <c r="Y116" s="656" t="s">
        <v>14278</v>
      </c>
      <c r="Z116" s="656">
        <v>44305.526990740742</v>
      </c>
      <c r="AA116" s="656" t="s">
        <v>14335</v>
      </c>
      <c r="AB116" s="656"/>
    </row>
    <row r="117" spans="1:28">
      <c r="A117" s="656" t="s">
        <v>12398</v>
      </c>
      <c r="B117" s="656" t="s">
        <v>12397</v>
      </c>
      <c r="C117" s="656" t="s">
        <v>20</v>
      </c>
      <c r="D117" s="656" t="s">
        <v>12875</v>
      </c>
      <c r="E117" s="656" t="s">
        <v>14279</v>
      </c>
      <c r="F117" s="1447"/>
      <c r="G117" s="656" t="s">
        <v>12677</v>
      </c>
      <c r="H117" s="656" t="s">
        <v>1777</v>
      </c>
      <c r="I117" s="656"/>
      <c r="J117" s="656"/>
      <c r="K117" s="656"/>
      <c r="L117" s="656" t="s">
        <v>12875</v>
      </c>
      <c r="M117" s="656" t="s">
        <v>16319</v>
      </c>
      <c r="N117" s="656"/>
      <c r="O117" s="656" t="s">
        <v>10175</v>
      </c>
      <c r="P117" s="5"/>
      <c r="Q117" s="1447">
        <v>44137</v>
      </c>
      <c r="R117" s="656"/>
      <c r="S117" s="656" t="s">
        <v>455</v>
      </c>
      <c r="T117" s="656"/>
      <c r="U117" s="656"/>
      <c r="V117" s="656"/>
      <c r="W117" s="656" t="s">
        <v>13051</v>
      </c>
      <c r="X117" s="656" t="s">
        <v>498</v>
      </c>
      <c r="Y117" s="656" t="s">
        <v>14278</v>
      </c>
      <c r="Z117" s="656">
        <v>44305.527002314811</v>
      </c>
      <c r="AA117" s="656" t="s">
        <v>14335</v>
      </c>
      <c r="AB117" s="656"/>
    </row>
    <row r="118" spans="1:28">
      <c r="A118" s="656" t="s">
        <v>15501</v>
      </c>
      <c r="B118" s="656" t="s">
        <v>15490</v>
      </c>
      <c r="C118" s="656" t="s">
        <v>20</v>
      </c>
      <c r="D118" s="656" t="s">
        <v>15944</v>
      </c>
      <c r="E118" s="656" t="s">
        <v>14279</v>
      </c>
      <c r="F118" s="1447"/>
      <c r="G118" s="656" t="s">
        <v>15945</v>
      </c>
      <c r="H118" s="656" t="s">
        <v>1777</v>
      </c>
      <c r="I118" s="656"/>
      <c r="J118" s="656"/>
      <c r="K118" s="656"/>
      <c r="L118" s="656" t="s">
        <v>15944</v>
      </c>
      <c r="M118" s="656" t="s">
        <v>9450</v>
      </c>
      <c r="N118" s="656" t="s">
        <v>9892</v>
      </c>
      <c r="O118" s="656" t="s">
        <v>10186</v>
      </c>
      <c r="P118" s="5"/>
      <c r="Q118" s="1447">
        <v>44249</v>
      </c>
      <c r="R118" s="656"/>
      <c r="S118" s="656" t="s">
        <v>505</v>
      </c>
      <c r="T118" s="656"/>
      <c r="U118" s="656"/>
      <c r="V118" s="656"/>
      <c r="W118" s="656" t="s">
        <v>13051</v>
      </c>
      <c r="X118" s="656" t="s">
        <v>498</v>
      </c>
      <c r="Y118" s="656" t="s">
        <v>14278</v>
      </c>
      <c r="Z118" s="656">
        <v>44305.527453703704</v>
      </c>
      <c r="AA118" s="656" t="s">
        <v>14335</v>
      </c>
      <c r="AB118" s="656"/>
    </row>
    <row r="119" spans="1:28">
      <c r="A119" s="656" t="s">
        <v>15501</v>
      </c>
      <c r="B119" s="656" t="s">
        <v>15490</v>
      </c>
      <c r="C119" s="656" t="s">
        <v>20</v>
      </c>
      <c r="D119" s="656" t="s">
        <v>15946</v>
      </c>
      <c r="E119" s="656" t="s">
        <v>14279</v>
      </c>
      <c r="F119" s="1447"/>
      <c r="G119" s="656" t="s">
        <v>15947</v>
      </c>
      <c r="H119" s="656" t="s">
        <v>1777</v>
      </c>
      <c r="I119" s="656"/>
      <c r="J119" s="656"/>
      <c r="K119" s="656"/>
      <c r="L119" s="656" t="s">
        <v>15946</v>
      </c>
      <c r="M119" s="656" t="s">
        <v>9450</v>
      </c>
      <c r="N119" s="656" t="s">
        <v>9892</v>
      </c>
      <c r="O119" s="656" t="s">
        <v>10186</v>
      </c>
      <c r="P119" s="5"/>
      <c r="Q119" s="1447">
        <v>44249</v>
      </c>
      <c r="R119" s="656"/>
      <c r="S119" s="656" t="s">
        <v>505</v>
      </c>
      <c r="T119" s="656"/>
      <c r="U119" s="656"/>
      <c r="V119" s="656"/>
      <c r="W119" s="656" t="s">
        <v>13051</v>
      </c>
      <c r="X119" s="656" t="s">
        <v>498</v>
      </c>
      <c r="Y119" s="656" t="s">
        <v>14278</v>
      </c>
      <c r="Z119" s="656">
        <v>44305.527453703704</v>
      </c>
      <c r="AA119" s="656" t="s">
        <v>14335</v>
      </c>
      <c r="AB119" s="656"/>
    </row>
    <row r="120" spans="1:28">
      <c r="A120" s="656" t="s">
        <v>9676</v>
      </c>
      <c r="B120" s="656" t="s">
        <v>9675</v>
      </c>
      <c r="C120" s="656" t="s">
        <v>21</v>
      </c>
      <c r="D120" s="656" t="s">
        <v>12672</v>
      </c>
      <c r="E120" s="656" t="s">
        <v>14279</v>
      </c>
      <c r="F120" s="1447"/>
      <c r="G120" s="656" t="s">
        <v>10369</v>
      </c>
      <c r="H120" s="656" t="s">
        <v>1777</v>
      </c>
      <c r="I120" s="656" t="s">
        <v>14307</v>
      </c>
      <c r="J120" s="656" t="s">
        <v>12672</v>
      </c>
      <c r="K120" s="656" t="s">
        <v>9774</v>
      </c>
      <c r="L120" s="656"/>
      <c r="M120" s="656" t="s">
        <v>16321</v>
      </c>
      <c r="N120" s="656"/>
      <c r="O120" s="656" t="s">
        <v>6421</v>
      </c>
      <c r="P120" s="5"/>
      <c r="Q120" s="1447">
        <v>44097</v>
      </c>
      <c r="R120" s="656"/>
      <c r="S120" s="656" t="s">
        <v>450</v>
      </c>
      <c r="T120" s="656"/>
      <c r="U120" s="656"/>
      <c r="V120" s="656"/>
      <c r="W120" s="656" t="s">
        <v>13051</v>
      </c>
      <c r="X120" s="656" t="s">
        <v>498</v>
      </c>
      <c r="Y120" s="656" t="s">
        <v>14278</v>
      </c>
      <c r="Z120" s="656">
        <v>44305.526990740742</v>
      </c>
      <c r="AA120" s="656" t="s">
        <v>14335</v>
      </c>
      <c r="AB120" s="656"/>
    </row>
    <row r="121" spans="1:28">
      <c r="A121" s="656" t="s">
        <v>9676</v>
      </c>
      <c r="B121" s="656" t="s">
        <v>9675</v>
      </c>
      <c r="C121" s="656" t="s">
        <v>20</v>
      </c>
      <c r="D121" s="656" t="s">
        <v>10370</v>
      </c>
      <c r="E121" s="656" t="s">
        <v>14279</v>
      </c>
      <c r="F121" s="1447"/>
      <c r="G121" s="656" t="s">
        <v>10369</v>
      </c>
      <c r="H121" s="656" t="s">
        <v>1777</v>
      </c>
      <c r="I121" s="656"/>
      <c r="J121" s="656"/>
      <c r="K121" s="656"/>
      <c r="L121" s="656" t="s">
        <v>10370</v>
      </c>
      <c r="M121" s="656" t="s">
        <v>16321</v>
      </c>
      <c r="N121" s="656"/>
      <c r="O121" s="656" t="s">
        <v>6425</v>
      </c>
      <c r="P121" s="5" t="s">
        <v>14299</v>
      </c>
      <c r="Q121" s="1447">
        <v>44034</v>
      </c>
      <c r="R121" s="656"/>
      <c r="S121" s="656" t="s">
        <v>450</v>
      </c>
      <c r="T121" s="656"/>
      <c r="U121" s="656"/>
      <c r="V121" s="656"/>
      <c r="W121" s="656" t="s">
        <v>13051</v>
      </c>
      <c r="X121" s="656" t="s">
        <v>498</v>
      </c>
      <c r="Y121" s="656" t="s">
        <v>14278</v>
      </c>
      <c r="Z121" s="656">
        <v>44305.526990740742</v>
      </c>
      <c r="AA121" s="656" t="s">
        <v>14335</v>
      </c>
      <c r="AB121" s="656"/>
    </row>
    <row r="122" spans="1:28">
      <c r="A122" s="656" t="s">
        <v>9357</v>
      </c>
      <c r="B122" s="656" t="s">
        <v>9356</v>
      </c>
      <c r="C122" s="656" t="s">
        <v>20</v>
      </c>
      <c r="D122" s="656" t="s">
        <v>10359</v>
      </c>
      <c r="E122" s="656" t="s">
        <v>14279</v>
      </c>
      <c r="F122" s="1447"/>
      <c r="G122" s="656" t="s">
        <v>10358</v>
      </c>
      <c r="H122" s="656" t="s">
        <v>1777</v>
      </c>
      <c r="I122" s="656"/>
      <c r="J122" s="656"/>
      <c r="K122" s="656"/>
      <c r="L122" s="656" t="s">
        <v>10359</v>
      </c>
      <c r="M122" s="656" t="s">
        <v>16196</v>
      </c>
      <c r="N122" s="656"/>
      <c r="O122" s="656" t="s">
        <v>6395</v>
      </c>
      <c r="P122" s="5"/>
      <c r="Q122" s="1447">
        <v>44033</v>
      </c>
      <c r="R122" s="656"/>
      <c r="S122" s="656" t="s">
        <v>472</v>
      </c>
      <c r="T122" s="656"/>
      <c r="U122" s="656"/>
      <c r="V122" s="656"/>
      <c r="W122" s="656" t="s">
        <v>13051</v>
      </c>
      <c r="X122" s="656" t="s">
        <v>498</v>
      </c>
      <c r="Y122" s="656" t="s">
        <v>14278</v>
      </c>
      <c r="Z122" s="656">
        <v>44305.526979166665</v>
      </c>
      <c r="AA122" s="656" t="s">
        <v>14335</v>
      </c>
      <c r="AB122" s="656"/>
    </row>
    <row r="123" spans="1:28">
      <c r="A123" s="656" t="s">
        <v>9359</v>
      </c>
      <c r="B123" s="656" t="s">
        <v>12453</v>
      </c>
      <c r="C123" s="656" t="s">
        <v>21</v>
      </c>
      <c r="D123" s="656" t="s">
        <v>12662</v>
      </c>
      <c r="E123" s="656" t="s">
        <v>14279</v>
      </c>
      <c r="F123" s="1447"/>
      <c r="G123" s="656" t="s">
        <v>12663</v>
      </c>
      <c r="H123" s="656" t="s">
        <v>1777</v>
      </c>
      <c r="I123" s="656" t="s">
        <v>14308</v>
      </c>
      <c r="J123" s="656" t="s">
        <v>12662</v>
      </c>
      <c r="K123" s="656" t="s">
        <v>9774</v>
      </c>
      <c r="L123" s="656"/>
      <c r="M123" s="656" t="s">
        <v>16196</v>
      </c>
      <c r="N123" s="656"/>
      <c r="O123" s="656" t="s">
        <v>6395</v>
      </c>
      <c r="P123" s="5"/>
      <c r="Q123" s="1447">
        <v>44084</v>
      </c>
      <c r="R123" s="656"/>
      <c r="S123" s="656" t="s">
        <v>472</v>
      </c>
      <c r="T123" s="656"/>
      <c r="U123" s="656"/>
      <c r="V123" s="656"/>
      <c r="W123" s="656" t="s">
        <v>13051</v>
      </c>
      <c r="X123" s="656" t="s">
        <v>498</v>
      </c>
      <c r="Y123" s="656" t="s">
        <v>14278</v>
      </c>
      <c r="Z123" s="656">
        <v>44305.526967592596</v>
      </c>
      <c r="AA123" s="656" t="s">
        <v>14335</v>
      </c>
      <c r="AB123" s="656"/>
    </row>
    <row r="124" spans="1:28">
      <c r="A124" s="656" t="s">
        <v>9359</v>
      </c>
      <c r="B124" s="656" t="s">
        <v>9358</v>
      </c>
      <c r="C124" s="656" t="s">
        <v>20</v>
      </c>
      <c r="D124" s="656" t="s">
        <v>10357</v>
      </c>
      <c r="E124" s="656" t="s">
        <v>14279</v>
      </c>
      <c r="F124" s="1447"/>
      <c r="G124" s="656" t="s">
        <v>10356</v>
      </c>
      <c r="H124" s="656" t="s">
        <v>1777</v>
      </c>
      <c r="I124" s="656"/>
      <c r="J124" s="656"/>
      <c r="K124" s="656"/>
      <c r="L124" s="656" t="s">
        <v>10357</v>
      </c>
      <c r="M124" s="656" t="s">
        <v>16196</v>
      </c>
      <c r="N124" s="656"/>
      <c r="O124" s="656" t="s">
        <v>6395</v>
      </c>
      <c r="P124" s="5"/>
      <c r="Q124" s="1447">
        <v>44033</v>
      </c>
      <c r="R124" s="656"/>
      <c r="S124" s="656" t="s">
        <v>472</v>
      </c>
      <c r="T124" s="656"/>
      <c r="U124" s="656"/>
      <c r="V124" s="656"/>
      <c r="W124" s="656" t="s">
        <v>13051</v>
      </c>
      <c r="X124" s="656" t="s">
        <v>498</v>
      </c>
      <c r="Y124" s="656" t="s">
        <v>14278</v>
      </c>
      <c r="Z124" s="656">
        <v>44305.526979166665</v>
      </c>
      <c r="AA124" s="656" t="s">
        <v>14335</v>
      </c>
      <c r="AB124" s="656"/>
    </row>
    <row r="125" spans="1:28">
      <c r="A125" s="656" t="s">
        <v>9361</v>
      </c>
      <c r="B125" s="656" t="s">
        <v>9360</v>
      </c>
      <c r="C125" s="656" t="s">
        <v>21</v>
      </c>
      <c r="D125" s="656" t="s">
        <v>12658</v>
      </c>
      <c r="E125" s="656" t="s">
        <v>14313</v>
      </c>
      <c r="F125" s="1447"/>
      <c r="G125" s="656" t="s">
        <v>12648</v>
      </c>
      <c r="H125" s="656" t="s">
        <v>1777</v>
      </c>
      <c r="I125" s="656" t="s">
        <v>14309</v>
      </c>
      <c r="J125" s="656" t="s">
        <v>12658</v>
      </c>
      <c r="K125" s="656" t="s">
        <v>9774</v>
      </c>
      <c r="L125" s="656"/>
      <c r="M125" s="656" t="s">
        <v>16322</v>
      </c>
      <c r="N125" s="656"/>
      <c r="O125" s="656" t="s">
        <v>6427</v>
      </c>
      <c r="P125" s="5"/>
      <c r="Q125" s="1447">
        <v>44099</v>
      </c>
      <c r="R125" s="656">
        <v>44286</v>
      </c>
      <c r="S125" s="656" t="s">
        <v>455</v>
      </c>
      <c r="T125" s="656"/>
      <c r="U125" s="656"/>
      <c r="V125" s="656"/>
      <c r="W125" s="656" t="s">
        <v>13051</v>
      </c>
      <c r="X125" s="656" t="s">
        <v>498</v>
      </c>
      <c r="Y125" s="656" t="s">
        <v>14278</v>
      </c>
      <c r="Z125" s="656">
        <v>44305.526956018519</v>
      </c>
      <c r="AA125" s="656" t="s">
        <v>14335</v>
      </c>
      <c r="AB125" s="656"/>
    </row>
    <row r="126" spans="1:28">
      <c r="A126" s="656" t="s">
        <v>9361</v>
      </c>
      <c r="B126" s="656" t="s">
        <v>9360</v>
      </c>
      <c r="C126" s="656" t="s">
        <v>20</v>
      </c>
      <c r="D126" s="656" t="s">
        <v>12647</v>
      </c>
      <c r="E126" s="656" t="s">
        <v>14279</v>
      </c>
      <c r="F126" s="1447"/>
      <c r="G126" s="656" t="s">
        <v>12648</v>
      </c>
      <c r="H126" s="656" t="s">
        <v>1777</v>
      </c>
      <c r="I126" s="656"/>
      <c r="J126" s="656"/>
      <c r="K126" s="656"/>
      <c r="L126" s="656" t="s">
        <v>12647</v>
      </c>
      <c r="M126" s="656" t="s">
        <v>16322</v>
      </c>
      <c r="N126" s="656"/>
      <c r="O126" s="656" t="s">
        <v>6427</v>
      </c>
      <c r="P126" s="5"/>
      <c r="Q126" s="1447">
        <v>44089</v>
      </c>
      <c r="R126" s="656"/>
      <c r="S126" s="656" t="s">
        <v>455</v>
      </c>
      <c r="T126" s="656"/>
      <c r="U126" s="656"/>
      <c r="V126" s="656"/>
      <c r="W126" s="656" t="s">
        <v>13051</v>
      </c>
      <c r="X126" s="656" t="s">
        <v>498</v>
      </c>
      <c r="Y126" s="656" t="s">
        <v>14278</v>
      </c>
      <c r="Z126" s="656">
        <v>44305.526967592596</v>
      </c>
      <c r="AA126" s="656" t="s">
        <v>14335</v>
      </c>
      <c r="AB126" s="656"/>
    </row>
    <row r="127" spans="1:28">
      <c r="A127" s="656" t="s">
        <v>9363</v>
      </c>
      <c r="B127" s="656" t="s">
        <v>12446</v>
      </c>
      <c r="C127" s="656" t="s">
        <v>21</v>
      </c>
      <c r="D127" s="656" t="s">
        <v>12659</v>
      </c>
      <c r="E127" s="656" t="s">
        <v>14313</v>
      </c>
      <c r="F127" s="1447"/>
      <c r="G127" s="656" t="s">
        <v>12660</v>
      </c>
      <c r="H127" s="656" t="s">
        <v>1777</v>
      </c>
      <c r="I127" s="656" t="s">
        <v>14310</v>
      </c>
      <c r="J127" s="656" t="s">
        <v>12659</v>
      </c>
      <c r="K127" s="656" t="s">
        <v>9774</v>
      </c>
      <c r="L127" s="656"/>
      <c r="M127" s="656" t="s">
        <v>16196</v>
      </c>
      <c r="N127" s="656"/>
      <c r="O127" s="656" t="s">
        <v>6395</v>
      </c>
      <c r="P127" s="5"/>
      <c r="Q127" s="1447">
        <v>44084</v>
      </c>
      <c r="R127" s="656">
        <v>44286</v>
      </c>
      <c r="S127" s="656" t="s">
        <v>472</v>
      </c>
      <c r="T127" s="656"/>
      <c r="U127" s="656"/>
      <c r="V127" s="656"/>
      <c r="W127" s="656" t="s">
        <v>13051</v>
      </c>
      <c r="X127" s="656" t="s">
        <v>498</v>
      </c>
      <c r="Y127" s="656" t="s">
        <v>14278</v>
      </c>
      <c r="Z127" s="656">
        <v>44305.526944444442</v>
      </c>
      <c r="AA127" s="656" t="s">
        <v>14335</v>
      </c>
      <c r="AB127" s="656"/>
    </row>
    <row r="128" spans="1:28">
      <c r="A128" s="656" t="s">
        <v>9363</v>
      </c>
      <c r="B128" s="656" t="s">
        <v>9362</v>
      </c>
      <c r="C128" s="656" t="s">
        <v>20</v>
      </c>
      <c r="D128" s="656" t="s">
        <v>10355</v>
      </c>
      <c r="E128" s="656" t="s">
        <v>14279</v>
      </c>
      <c r="F128" s="1447"/>
      <c r="G128" s="656" t="s">
        <v>10354</v>
      </c>
      <c r="H128" s="656" t="s">
        <v>1777</v>
      </c>
      <c r="I128" s="656"/>
      <c r="J128" s="656"/>
      <c r="K128" s="656"/>
      <c r="L128" s="656" t="s">
        <v>10355</v>
      </c>
      <c r="M128" s="656" t="s">
        <v>16196</v>
      </c>
      <c r="N128" s="656"/>
      <c r="O128" s="656" t="s">
        <v>6395</v>
      </c>
      <c r="P128" s="5"/>
      <c r="Q128" s="1447">
        <v>44033</v>
      </c>
      <c r="R128" s="656"/>
      <c r="S128" s="656" t="s">
        <v>472</v>
      </c>
      <c r="T128" s="656"/>
      <c r="U128" s="656"/>
      <c r="V128" s="656"/>
      <c r="W128" s="656" t="s">
        <v>13051</v>
      </c>
      <c r="X128" s="656" t="s">
        <v>498</v>
      </c>
      <c r="Y128" s="656" t="s">
        <v>14278</v>
      </c>
      <c r="Z128" s="656">
        <v>44305.526956018519</v>
      </c>
      <c r="AA128" s="656" t="s">
        <v>14335</v>
      </c>
      <c r="AB128" s="656"/>
    </row>
    <row r="129" spans="1:28">
      <c r="A129" s="656" t="s">
        <v>9365</v>
      </c>
      <c r="B129" s="656" t="s">
        <v>9364</v>
      </c>
      <c r="C129" s="656" t="s">
        <v>21</v>
      </c>
      <c r="D129" s="656" t="s">
        <v>10345</v>
      </c>
      <c r="E129" s="656" t="s">
        <v>14313</v>
      </c>
      <c r="F129" s="1447"/>
      <c r="G129" s="656" t="s">
        <v>10331</v>
      </c>
      <c r="H129" s="656" t="s">
        <v>1777</v>
      </c>
      <c r="I129" s="656" t="s">
        <v>14311</v>
      </c>
      <c r="J129" s="656" t="s">
        <v>10345</v>
      </c>
      <c r="K129" s="656" t="s">
        <v>9774</v>
      </c>
      <c r="L129" s="656"/>
      <c r="M129" s="656" t="s">
        <v>16196</v>
      </c>
      <c r="N129" s="656"/>
      <c r="O129" s="656" t="s">
        <v>6395</v>
      </c>
      <c r="P129" s="5"/>
      <c r="Q129" s="1447">
        <v>44032</v>
      </c>
      <c r="R129" s="656">
        <v>44273</v>
      </c>
      <c r="S129" s="656" t="s">
        <v>472</v>
      </c>
      <c r="T129" s="656"/>
      <c r="U129" s="656"/>
      <c r="V129" s="656"/>
      <c r="W129" s="656" t="s">
        <v>13051</v>
      </c>
      <c r="X129" s="656" t="s">
        <v>498</v>
      </c>
      <c r="Y129" s="656" t="s">
        <v>14278</v>
      </c>
      <c r="Z129" s="656">
        <v>44305.526932870373</v>
      </c>
      <c r="AA129" s="656" t="s">
        <v>14335</v>
      </c>
      <c r="AB129" s="656"/>
    </row>
    <row r="130" spans="1:28">
      <c r="A130" s="656" t="s">
        <v>9365</v>
      </c>
      <c r="B130" s="656" t="s">
        <v>9364</v>
      </c>
      <c r="C130" s="656" t="s">
        <v>20</v>
      </c>
      <c r="D130" s="656" t="s">
        <v>10332</v>
      </c>
      <c r="E130" s="656" t="s">
        <v>14279</v>
      </c>
      <c r="F130" s="1447"/>
      <c r="G130" s="656" t="s">
        <v>10331</v>
      </c>
      <c r="H130" s="656" t="s">
        <v>1777</v>
      </c>
      <c r="I130" s="656"/>
      <c r="J130" s="656"/>
      <c r="K130" s="656"/>
      <c r="L130" s="656" t="s">
        <v>10332</v>
      </c>
      <c r="M130" s="656" t="s">
        <v>16196</v>
      </c>
      <c r="N130" s="656"/>
      <c r="O130" s="656" t="s">
        <v>6395</v>
      </c>
      <c r="P130" s="5"/>
      <c r="Q130" s="1447">
        <v>44025</v>
      </c>
      <c r="R130" s="656"/>
      <c r="S130" s="656" t="s">
        <v>472</v>
      </c>
      <c r="T130" s="656"/>
      <c r="U130" s="656"/>
      <c r="V130" s="656"/>
      <c r="W130" s="656" t="s">
        <v>13051</v>
      </c>
      <c r="X130" s="656" t="s">
        <v>498</v>
      </c>
      <c r="Y130" s="656" t="s">
        <v>14278</v>
      </c>
      <c r="Z130" s="656">
        <v>44305.526944444442</v>
      </c>
      <c r="AA130" s="656" t="s">
        <v>14335</v>
      </c>
      <c r="AB130" s="656"/>
    </row>
    <row r="131" spans="1:28">
      <c r="A131" s="656" t="s">
        <v>9369</v>
      </c>
      <c r="B131" s="656" t="s">
        <v>9368</v>
      </c>
      <c r="C131" s="656" t="s">
        <v>21</v>
      </c>
      <c r="D131" s="656" t="s">
        <v>12665</v>
      </c>
      <c r="E131" s="656" t="s">
        <v>14313</v>
      </c>
      <c r="F131" s="1447"/>
      <c r="G131" s="656" t="s">
        <v>10351</v>
      </c>
      <c r="H131" s="656" t="s">
        <v>1777</v>
      </c>
      <c r="I131" s="656" t="s">
        <v>14312</v>
      </c>
      <c r="J131" s="656" t="s">
        <v>12665</v>
      </c>
      <c r="K131" s="656" t="s">
        <v>9774</v>
      </c>
      <c r="L131" s="656"/>
      <c r="M131" s="656" t="s">
        <v>16196</v>
      </c>
      <c r="N131" s="656"/>
      <c r="O131" s="656" t="s">
        <v>6395</v>
      </c>
      <c r="P131" s="5"/>
      <c r="Q131" s="1447">
        <v>44097</v>
      </c>
      <c r="R131" s="656">
        <v>44286</v>
      </c>
      <c r="S131" s="656" t="s">
        <v>472</v>
      </c>
      <c r="T131" s="656"/>
      <c r="U131" s="656"/>
      <c r="V131" s="656"/>
      <c r="W131" s="656" t="s">
        <v>13051</v>
      </c>
      <c r="X131" s="656" t="s">
        <v>498</v>
      </c>
      <c r="Y131" s="656" t="s">
        <v>14278</v>
      </c>
      <c r="Z131" s="656">
        <v>44305.526921296296</v>
      </c>
      <c r="AA131" s="656" t="s">
        <v>14335</v>
      </c>
      <c r="AB131" s="656"/>
    </row>
    <row r="132" spans="1:28">
      <c r="A132" s="656" t="s">
        <v>9369</v>
      </c>
      <c r="B132" s="656" t="s">
        <v>9368</v>
      </c>
      <c r="C132" s="656" t="s">
        <v>20</v>
      </c>
      <c r="D132" s="656" t="s">
        <v>10352</v>
      </c>
      <c r="E132" s="656" t="s">
        <v>14279</v>
      </c>
      <c r="F132" s="1447"/>
      <c r="G132" s="656" t="s">
        <v>10351</v>
      </c>
      <c r="H132" s="656" t="s">
        <v>1777</v>
      </c>
      <c r="I132" s="656"/>
      <c r="J132" s="656"/>
      <c r="K132" s="656"/>
      <c r="L132" s="656" t="s">
        <v>10352</v>
      </c>
      <c r="M132" s="656" t="s">
        <v>16196</v>
      </c>
      <c r="N132" s="656"/>
      <c r="O132" s="656" t="s">
        <v>6395</v>
      </c>
      <c r="P132" s="5"/>
      <c r="Q132" s="1447">
        <v>44033</v>
      </c>
      <c r="R132" s="656"/>
      <c r="S132" s="656" t="s">
        <v>472</v>
      </c>
      <c r="T132" s="656"/>
      <c r="U132" s="656"/>
      <c r="V132" s="656"/>
      <c r="W132" s="656" t="s">
        <v>13051</v>
      </c>
      <c r="X132" s="656" t="s">
        <v>498</v>
      </c>
      <c r="Y132" s="656" t="s">
        <v>14278</v>
      </c>
      <c r="Z132" s="656">
        <v>44305.526932870373</v>
      </c>
      <c r="AA132" s="656" t="s">
        <v>14335</v>
      </c>
      <c r="AB132" s="656"/>
    </row>
    <row r="133" spans="1:28">
      <c r="A133" s="656" t="s">
        <v>15479</v>
      </c>
      <c r="B133" s="656" t="s">
        <v>12455</v>
      </c>
      <c r="C133" s="656" t="s">
        <v>20</v>
      </c>
      <c r="D133" s="656" t="s">
        <v>12877</v>
      </c>
      <c r="E133" s="656" t="s">
        <v>14279</v>
      </c>
      <c r="F133" s="1447"/>
      <c r="G133" s="656" t="s">
        <v>15948</v>
      </c>
      <c r="H133" s="656" t="s">
        <v>1777</v>
      </c>
      <c r="I133" s="656"/>
      <c r="J133" s="656"/>
      <c r="K133" s="656"/>
      <c r="L133" s="656" t="s">
        <v>12877</v>
      </c>
      <c r="M133" s="656" t="s">
        <v>12783</v>
      </c>
      <c r="N133" s="656"/>
      <c r="O133" s="656" t="s">
        <v>6425</v>
      </c>
      <c r="P133" s="5" t="s">
        <v>14299</v>
      </c>
      <c r="Q133" s="1447">
        <v>44137</v>
      </c>
      <c r="R133" s="656"/>
      <c r="S133" s="656" t="s">
        <v>8807</v>
      </c>
      <c r="T133" s="656"/>
      <c r="U133" s="656"/>
      <c r="V133" s="656"/>
      <c r="W133" s="656" t="s">
        <v>13051</v>
      </c>
      <c r="X133" s="656" t="s">
        <v>498</v>
      </c>
      <c r="Y133" s="656" t="s">
        <v>14278</v>
      </c>
      <c r="Z133" s="656">
        <v>44305.526909722219</v>
      </c>
      <c r="AA133" s="656" t="s">
        <v>14335</v>
      </c>
      <c r="AB133" s="656"/>
    </row>
    <row r="134" spans="1:28">
      <c r="A134" s="656" t="s">
        <v>15479</v>
      </c>
      <c r="B134" s="656" t="s">
        <v>12455</v>
      </c>
      <c r="C134" s="656" t="s">
        <v>21</v>
      </c>
      <c r="D134" s="656" t="s">
        <v>15949</v>
      </c>
      <c r="E134" s="656" t="s">
        <v>14279</v>
      </c>
      <c r="F134" s="1447"/>
      <c r="G134" s="656" t="s">
        <v>15950</v>
      </c>
      <c r="H134" s="656" t="s">
        <v>1777</v>
      </c>
      <c r="I134" s="656" t="s">
        <v>15951</v>
      </c>
      <c r="J134" s="656" t="s">
        <v>15949</v>
      </c>
      <c r="K134" s="656" t="s">
        <v>9774</v>
      </c>
      <c r="L134" s="656"/>
      <c r="M134" s="656" t="s">
        <v>12783</v>
      </c>
      <c r="N134" s="656"/>
      <c r="O134" s="656" t="s">
        <v>6425</v>
      </c>
      <c r="P134" s="5"/>
      <c r="Q134" s="1447">
        <v>44281</v>
      </c>
      <c r="R134" s="656"/>
      <c r="S134" s="656" t="s">
        <v>8807</v>
      </c>
      <c r="T134" s="656"/>
      <c r="U134" s="656"/>
      <c r="V134" s="656"/>
      <c r="W134" s="656" t="s">
        <v>13051</v>
      </c>
      <c r="X134" s="656" t="s">
        <v>498</v>
      </c>
      <c r="Y134" s="656" t="s">
        <v>14278</v>
      </c>
      <c r="Z134" s="656">
        <v>44305.527685185189</v>
      </c>
      <c r="AA134" s="656" t="s">
        <v>14335</v>
      </c>
      <c r="AB134" s="656"/>
    </row>
    <row r="135" spans="1:28">
      <c r="A135" s="656" t="s">
        <v>12625</v>
      </c>
      <c r="B135" s="656" t="s">
        <v>12624</v>
      </c>
      <c r="C135" s="656" t="s">
        <v>20</v>
      </c>
      <c r="D135" s="656" t="s">
        <v>15344</v>
      </c>
      <c r="E135" s="656" t="s">
        <v>14279</v>
      </c>
      <c r="F135" s="1447"/>
      <c r="G135" s="656" t="s">
        <v>15345</v>
      </c>
      <c r="H135" s="656" t="s">
        <v>1777</v>
      </c>
      <c r="I135" s="656"/>
      <c r="J135" s="656"/>
      <c r="K135" s="656"/>
      <c r="L135" s="656" t="s">
        <v>15344</v>
      </c>
      <c r="M135" s="656" t="s">
        <v>16323</v>
      </c>
      <c r="N135" s="656"/>
      <c r="O135" s="656" t="s">
        <v>6429</v>
      </c>
      <c r="P135" s="5"/>
      <c r="Q135" s="1447">
        <v>44210</v>
      </c>
      <c r="R135" s="656"/>
      <c r="S135" s="656" t="s">
        <v>497</v>
      </c>
      <c r="T135" s="656"/>
      <c r="U135" s="656"/>
      <c r="V135" s="656"/>
      <c r="W135" s="656" t="s">
        <v>13051</v>
      </c>
      <c r="X135" s="656" t="s">
        <v>498</v>
      </c>
      <c r="Y135" s="656" t="s">
        <v>14278</v>
      </c>
      <c r="Z135" s="656">
        <v>44305.526909722219</v>
      </c>
      <c r="AA135" s="656" t="s">
        <v>14335</v>
      </c>
      <c r="AB135" s="656"/>
    </row>
    <row r="136" spans="1:28">
      <c r="A136" s="656" t="s">
        <v>9383</v>
      </c>
      <c r="B136" s="656" t="s">
        <v>9382</v>
      </c>
      <c r="C136" s="656" t="s">
        <v>20</v>
      </c>
      <c r="D136" s="656" t="s">
        <v>10315</v>
      </c>
      <c r="E136" s="656" t="s">
        <v>14279</v>
      </c>
      <c r="F136" s="1447"/>
      <c r="G136" s="656" t="s">
        <v>10314</v>
      </c>
      <c r="H136" s="656" t="s">
        <v>1777</v>
      </c>
      <c r="I136" s="656"/>
      <c r="J136" s="656"/>
      <c r="K136" s="656"/>
      <c r="L136" s="656" t="s">
        <v>10315</v>
      </c>
      <c r="M136" s="656" t="s">
        <v>16196</v>
      </c>
      <c r="N136" s="656"/>
      <c r="O136" s="656" t="s">
        <v>6425</v>
      </c>
      <c r="P136" s="5"/>
      <c r="Q136" s="1447">
        <v>44007</v>
      </c>
      <c r="R136" s="656"/>
      <c r="S136" s="656" t="s">
        <v>497</v>
      </c>
      <c r="T136" s="656"/>
      <c r="U136" s="656"/>
      <c r="V136" s="656"/>
      <c r="W136" s="656" t="s">
        <v>13051</v>
      </c>
      <c r="X136" s="656" t="s">
        <v>498</v>
      </c>
      <c r="Y136" s="656" t="s">
        <v>14278</v>
      </c>
      <c r="Z136" s="656">
        <v>44305.526886574073</v>
      </c>
      <c r="AA136" s="656" t="s">
        <v>14335</v>
      </c>
      <c r="AB136" s="656"/>
    </row>
    <row r="137" spans="1:28">
      <c r="A137" s="656" t="s">
        <v>9385</v>
      </c>
      <c r="B137" s="656" t="s">
        <v>9384</v>
      </c>
      <c r="C137" s="656" t="s">
        <v>20</v>
      </c>
      <c r="D137" s="656" t="s">
        <v>10325</v>
      </c>
      <c r="E137" s="656" t="s">
        <v>14279</v>
      </c>
      <c r="F137" s="1447"/>
      <c r="G137" s="656" t="s">
        <v>10324</v>
      </c>
      <c r="H137" s="656" t="s">
        <v>1777</v>
      </c>
      <c r="I137" s="656"/>
      <c r="J137" s="656"/>
      <c r="K137" s="656"/>
      <c r="L137" s="656" t="s">
        <v>10325</v>
      </c>
      <c r="M137" s="656" t="s">
        <v>16200</v>
      </c>
      <c r="N137" s="656"/>
      <c r="O137" s="656" t="s">
        <v>10214</v>
      </c>
      <c r="P137" s="5" t="s">
        <v>14299</v>
      </c>
      <c r="Q137" s="1447">
        <v>44013</v>
      </c>
      <c r="R137" s="656"/>
      <c r="S137" s="656" t="s">
        <v>537</v>
      </c>
      <c r="T137" s="656"/>
      <c r="U137" s="656"/>
      <c r="V137" s="656"/>
      <c r="W137" s="656" t="s">
        <v>13051</v>
      </c>
      <c r="X137" s="656" t="s">
        <v>498</v>
      </c>
      <c r="Y137" s="656" t="s">
        <v>14278</v>
      </c>
      <c r="Z137" s="656">
        <v>44305.526886574073</v>
      </c>
      <c r="AA137" s="656" t="s">
        <v>14335</v>
      </c>
      <c r="AB137" s="656"/>
    </row>
    <row r="138" spans="1:28">
      <c r="A138" s="656" t="s">
        <v>9390</v>
      </c>
      <c r="B138" s="656" t="s">
        <v>9389</v>
      </c>
      <c r="C138" s="656" t="s">
        <v>21</v>
      </c>
      <c r="D138" s="656" t="s">
        <v>10344</v>
      </c>
      <c r="E138" s="656" t="s">
        <v>14275</v>
      </c>
      <c r="F138" s="1447">
        <v>44316</v>
      </c>
      <c r="G138" s="656" t="s">
        <v>10343</v>
      </c>
      <c r="H138" s="656" t="s">
        <v>1777</v>
      </c>
      <c r="I138" s="656" t="s">
        <v>14314</v>
      </c>
      <c r="J138" s="656" t="s">
        <v>10344</v>
      </c>
      <c r="K138" s="656" t="s">
        <v>9774</v>
      </c>
      <c r="L138" s="656"/>
      <c r="M138" s="656" t="s">
        <v>16196</v>
      </c>
      <c r="N138" s="656"/>
      <c r="O138" s="656" t="s">
        <v>6395</v>
      </c>
      <c r="P138" s="5"/>
      <c r="Q138" s="1447">
        <v>44032</v>
      </c>
      <c r="R138" s="656">
        <v>44058</v>
      </c>
      <c r="S138" s="656" t="s">
        <v>472</v>
      </c>
      <c r="T138" s="656"/>
      <c r="U138" s="656"/>
      <c r="V138" s="656"/>
      <c r="W138" s="656" t="s">
        <v>13051</v>
      </c>
      <c r="X138" s="656" t="s">
        <v>498</v>
      </c>
      <c r="Y138" s="656" t="s">
        <v>14278</v>
      </c>
      <c r="Z138" s="656">
        <v>44319.413935185185</v>
      </c>
      <c r="AA138" s="656" t="s">
        <v>14276</v>
      </c>
      <c r="AB138" s="656"/>
    </row>
    <row r="139" spans="1:28">
      <c r="A139" s="656" t="s">
        <v>9390</v>
      </c>
      <c r="B139" s="656" t="s">
        <v>9389</v>
      </c>
      <c r="C139" s="656" t="s">
        <v>20</v>
      </c>
      <c r="D139" s="656" t="s">
        <v>10353</v>
      </c>
      <c r="E139" s="656" t="s">
        <v>14275</v>
      </c>
      <c r="F139" s="1447">
        <v>44319</v>
      </c>
      <c r="G139" s="656" t="s">
        <v>10343</v>
      </c>
      <c r="H139" s="656" t="s">
        <v>1777</v>
      </c>
      <c r="I139" s="656"/>
      <c r="J139" s="656"/>
      <c r="K139" s="656"/>
      <c r="L139" s="656" t="s">
        <v>10353</v>
      </c>
      <c r="M139" s="656" t="s">
        <v>16196</v>
      </c>
      <c r="N139" s="656"/>
      <c r="O139" s="656" t="s">
        <v>6395</v>
      </c>
      <c r="P139" s="5"/>
      <c r="Q139" s="1447">
        <v>44033</v>
      </c>
      <c r="R139" s="656"/>
      <c r="S139" s="656" t="s">
        <v>472</v>
      </c>
      <c r="T139" s="656"/>
      <c r="U139" s="656"/>
      <c r="V139" s="656"/>
      <c r="W139" s="656" t="s">
        <v>13051</v>
      </c>
      <c r="X139" s="656" t="s">
        <v>498</v>
      </c>
      <c r="Y139" s="656" t="s">
        <v>14278</v>
      </c>
      <c r="Z139" s="656">
        <v>44319.564328703702</v>
      </c>
      <c r="AA139" s="656" t="s">
        <v>14276</v>
      </c>
      <c r="AB139" s="656"/>
    </row>
    <row r="140" spans="1:28">
      <c r="A140" s="656" t="s">
        <v>9397</v>
      </c>
      <c r="B140" s="656" t="s">
        <v>9396</v>
      </c>
      <c r="C140" s="656" t="s">
        <v>21</v>
      </c>
      <c r="D140" s="656" t="s">
        <v>12385</v>
      </c>
      <c r="E140" s="656" t="s">
        <v>14279</v>
      </c>
      <c r="F140" s="1447"/>
      <c r="G140" s="656" t="s">
        <v>12386</v>
      </c>
      <c r="H140" s="656" t="s">
        <v>1777</v>
      </c>
      <c r="I140" s="656" t="s">
        <v>14315</v>
      </c>
      <c r="J140" s="656" t="s">
        <v>12385</v>
      </c>
      <c r="K140" s="656" t="s">
        <v>9774</v>
      </c>
      <c r="L140" s="656"/>
      <c r="M140" s="656" t="s">
        <v>16200</v>
      </c>
      <c r="N140" s="656"/>
      <c r="O140" s="656" t="s">
        <v>6421</v>
      </c>
      <c r="P140" s="5"/>
      <c r="Q140" s="1447">
        <v>44041</v>
      </c>
      <c r="R140" s="656"/>
      <c r="S140" s="656" t="s">
        <v>462</v>
      </c>
      <c r="T140" s="656"/>
      <c r="U140" s="656"/>
      <c r="V140" s="656"/>
      <c r="W140" s="656" t="s">
        <v>13051</v>
      </c>
      <c r="X140" s="656" t="s">
        <v>498</v>
      </c>
      <c r="Y140" s="656" t="s">
        <v>14278</v>
      </c>
      <c r="Z140" s="656">
        <v>44305.526863425926</v>
      </c>
      <c r="AA140" s="656" t="s">
        <v>14335</v>
      </c>
      <c r="AB140" s="656"/>
    </row>
    <row r="141" spans="1:28">
      <c r="A141" s="656" t="s">
        <v>9397</v>
      </c>
      <c r="B141" s="656" t="s">
        <v>9396</v>
      </c>
      <c r="C141" s="656" t="s">
        <v>20</v>
      </c>
      <c r="D141" s="656" t="s">
        <v>10302</v>
      </c>
      <c r="E141" s="656" t="s">
        <v>14279</v>
      </c>
      <c r="F141" s="1447"/>
      <c r="G141" s="656" t="s">
        <v>10301</v>
      </c>
      <c r="H141" s="656" t="s">
        <v>1777</v>
      </c>
      <c r="I141" s="656"/>
      <c r="J141" s="656"/>
      <c r="K141" s="656"/>
      <c r="L141" s="656" t="s">
        <v>10302</v>
      </c>
      <c r="M141" s="656" t="s">
        <v>16324</v>
      </c>
      <c r="N141" s="656"/>
      <c r="O141" s="656" t="s">
        <v>6421</v>
      </c>
      <c r="P141" s="5"/>
      <c r="Q141" s="1447">
        <v>43997</v>
      </c>
      <c r="R141" s="656"/>
      <c r="S141" s="656" t="s">
        <v>462</v>
      </c>
      <c r="T141" s="656"/>
      <c r="U141" s="656"/>
      <c r="V141" s="656"/>
      <c r="W141" s="656" t="s">
        <v>13051</v>
      </c>
      <c r="X141" s="656" t="s">
        <v>498</v>
      </c>
      <c r="Y141" s="656" t="s">
        <v>14278</v>
      </c>
      <c r="Z141" s="656">
        <v>44305.526875000003</v>
      </c>
      <c r="AA141" s="656" t="s">
        <v>14335</v>
      </c>
      <c r="AB141" s="656"/>
    </row>
    <row r="142" spans="1:28">
      <c r="A142" s="656" t="s">
        <v>9397</v>
      </c>
      <c r="B142" s="656" t="s">
        <v>9396</v>
      </c>
      <c r="C142" s="656" t="s">
        <v>20</v>
      </c>
      <c r="D142" s="656" t="s">
        <v>10304</v>
      </c>
      <c r="E142" s="656" t="s">
        <v>14279</v>
      </c>
      <c r="F142" s="1447"/>
      <c r="G142" s="656" t="s">
        <v>10303</v>
      </c>
      <c r="H142" s="656" t="s">
        <v>1777</v>
      </c>
      <c r="I142" s="656"/>
      <c r="J142" s="656"/>
      <c r="K142" s="656"/>
      <c r="L142" s="656" t="s">
        <v>10304</v>
      </c>
      <c r="M142" s="656" t="s">
        <v>16321</v>
      </c>
      <c r="N142" s="656"/>
      <c r="O142" s="656" t="s">
        <v>6421</v>
      </c>
      <c r="P142" s="5"/>
      <c r="Q142" s="1447">
        <v>43997</v>
      </c>
      <c r="R142" s="656"/>
      <c r="S142" s="656" t="s">
        <v>462</v>
      </c>
      <c r="T142" s="656"/>
      <c r="U142" s="656"/>
      <c r="V142" s="656"/>
      <c r="W142" s="656" t="s">
        <v>13051</v>
      </c>
      <c r="X142" s="656" t="s">
        <v>498</v>
      </c>
      <c r="Y142" s="656" t="s">
        <v>14278</v>
      </c>
      <c r="Z142" s="656">
        <v>44305.526875000003</v>
      </c>
      <c r="AA142" s="656" t="s">
        <v>14335</v>
      </c>
      <c r="AB142" s="656"/>
    </row>
    <row r="143" spans="1:28">
      <c r="A143" s="656" t="s">
        <v>9403</v>
      </c>
      <c r="B143" s="656" t="s">
        <v>9402</v>
      </c>
      <c r="C143" s="656" t="s">
        <v>21</v>
      </c>
      <c r="D143" s="656" t="s">
        <v>10293</v>
      </c>
      <c r="E143" s="656" t="s">
        <v>14275</v>
      </c>
      <c r="F143" s="1447">
        <v>44153</v>
      </c>
      <c r="G143" s="656" t="s">
        <v>10279</v>
      </c>
      <c r="H143" s="656" t="s">
        <v>1777</v>
      </c>
      <c r="I143" s="656" t="s">
        <v>14316</v>
      </c>
      <c r="J143" s="656" t="s">
        <v>10293</v>
      </c>
      <c r="K143" s="656" t="s">
        <v>9774</v>
      </c>
      <c r="L143" s="656"/>
      <c r="M143" s="656" t="s">
        <v>16196</v>
      </c>
      <c r="N143" s="656"/>
      <c r="O143" s="656" t="s">
        <v>6395</v>
      </c>
      <c r="P143" s="5"/>
      <c r="Q143" s="1447">
        <v>43991</v>
      </c>
      <c r="R143" s="656">
        <v>44061</v>
      </c>
      <c r="S143" s="656" t="s">
        <v>472</v>
      </c>
      <c r="T143" s="656"/>
      <c r="U143" s="656"/>
      <c r="V143" s="656"/>
      <c r="W143" s="656" t="s">
        <v>13051</v>
      </c>
      <c r="X143" s="656" t="s">
        <v>498</v>
      </c>
      <c r="Y143" s="656" t="s">
        <v>14278</v>
      </c>
      <c r="Z143" s="656">
        <v>44305.52684027778</v>
      </c>
      <c r="AA143" s="656" t="s">
        <v>14335</v>
      </c>
      <c r="AB143" s="656"/>
    </row>
    <row r="144" spans="1:28">
      <c r="A144" s="656" t="s">
        <v>9403</v>
      </c>
      <c r="B144" s="656" t="s">
        <v>9402</v>
      </c>
      <c r="C144" s="656" t="s">
        <v>20</v>
      </c>
      <c r="D144" s="656" t="s">
        <v>10280</v>
      </c>
      <c r="E144" s="656" t="s">
        <v>14275</v>
      </c>
      <c r="F144" s="1447">
        <v>44147</v>
      </c>
      <c r="G144" s="656" t="s">
        <v>10279</v>
      </c>
      <c r="H144" s="656" t="s">
        <v>1777</v>
      </c>
      <c r="I144" s="656"/>
      <c r="J144" s="656"/>
      <c r="K144" s="656"/>
      <c r="L144" s="656" t="s">
        <v>10280</v>
      </c>
      <c r="M144" s="656" t="s">
        <v>16196</v>
      </c>
      <c r="N144" s="656"/>
      <c r="O144" s="656" t="s">
        <v>6395</v>
      </c>
      <c r="P144" s="5"/>
      <c r="Q144" s="1447">
        <v>43979</v>
      </c>
      <c r="R144" s="656"/>
      <c r="S144" s="656" t="s">
        <v>472</v>
      </c>
      <c r="T144" s="656"/>
      <c r="U144" s="656"/>
      <c r="V144" s="656"/>
      <c r="W144" s="656" t="s">
        <v>13051</v>
      </c>
      <c r="X144" s="656" t="s">
        <v>498</v>
      </c>
      <c r="Y144" s="656" t="s">
        <v>14278</v>
      </c>
      <c r="Z144" s="656">
        <v>44305.52685185185</v>
      </c>
      <c r="AA144" s="656" t="s">
        <v>14335</v>
      </c>
      <c r="AB144" s="656"/>
    </row>
    <row r="145" spans="1:28">
      <c r="A145" s="656" t="s">
        <v>9405</v>
      </c>
      <c r="B145" s="656" t="s">
        <v>9404</v>
      </c>
      <c r="C145" s="656" t="s">
        <v>20</v>
      </c>
      <c r="D145" s="656" t="s">
        <v>14962</v>
      </c>
      <c r="E145" s="656" t="s">
        <v>14279</v>
      </c>
      <c r="F145" s="1447"/>
      <c r="G145" s="656" t="s">
        <v>14963</v>
      </c>
      <c r="H145" s="656" t="s">
        <v>1777</v>
      </c>
      <c r="I145" s="656"/>
      <c r="J145" s="656"/>
      <c r="K145" s="656"/>
      <c r="L145" s="656" t="s">
        <v>14962</v>
      </c>
      <c r="M145" s="656" t="s">
        <v>9450</v>
      </c>
      <c r="N145" s="656" t="s">
        <v>9892</v>
      </c>
      <c r="O145" s="656" t="s">
        <v>6419</v>
      </c>
      <c r="P145" s="5"/>
      <c r="Q145" s="1447">
        <v>44203</v>
      </c>
      <c r="R145" s="656"/>
      <c r="S145" s="656" t="s">
        <v>469</v>
      </c>
      <c r="T145" s="656"/>
      <c r="U145" s="656"/>
      <c r="V145" s="656"/>
      <c r="W145" s="656" t="s">
        <v>13051</v>
      </c>
      <c r="X145" s="656" t="s">
        <v>498</v>
      </c>
      <c r="Y145" s="656" t="s">
        <v>14278</v>
      </c>
      <c r="Z145" s="656">
        <v>44305.52684027778</v>
      </c>
      <c r="AA145" s="656" t="s">
        <v>14335</v>
      </c>
      <c r="AB145" s="656"/>
    </row>
    <row r="146" spans="1:28">
      <c r="A146" s="656" t="s">
        <v>9410</v>
      </c>
      <c r="B146" s="656" t="s">
        <v>9409</v>
      </c>
      <c r="C146" s="656" t="s">
        <v>21</v>
      </c>
      <c r="D146" s="656" t="s">
        <v>10292</v>
      </c>
      <c r="E146" s="656" t="s">
        <v>14279</v>
      </c>
      <c r="F146" s="1447"/>
      <c r="G146" s="656" t="s">
        <v>10277</v>
      </c>
      <c r="H146" s="656" t="s">
        <v>1777</v>
      </c>
      <c r="I146" s="656" t="s">
        <v>14317</v>
      </c>
      <c r="J146" s="656" t="s">
        <v>10292</v>
      </c>
      <c r="K146" s="656" t="s">
        <v>9774</v>
      </c>
      <c r="L146" s="656"/>
      <c r="M146" s="656" t="s">
        <v>16196</v>
      </c>
      <c r="N146" s="656"/>
      <c r="O146" s="656" t="s">
        <v>6395</v>
      </c>
      <c r="P146" s="5"/>
      <c r="Q146" s="1447">
        <v>43991</v>
      </c>
      <c r="R146" s="656"/>
      <c r="S146" s="656" t="s">
        <v>472</v>
      </c>
      <c r="T146" s="656"/>
      <c r="U146" s="656"/>
      <c r="V146" s="656"/>
      <c r="W146" s="656" t="s">
        <v>13051</v>
      </c>
      <c r="X146" s="656" t="s">
        <v>498</v>
      </c>
      <c r="Y146" s="656" t="s">
        <v>14278</v>
      </c>
      <c r="Z146" s="656">
        <v>44305.526817129627</v>
      </c>
      <c r="AA146" s="656" t="s">
        <v>14335</v>
      </c>
      <c r="AB146" s="656"/>
    </row>
    <row r="147" spans="1:28">
      <c r="A147" s="656" t="s">
        <v>9410</v>
      </c>
      <c r="B147" s="656" t="s">
        <v>9409</v>
      </c>
      <c r="C147" s="656" t="s">
        <v>20</v>
      </c>
      <c r="D147" s="656" t="s">
        <v>10278</v>
      </c>
      <c r="E147" s="656" t="s">
        <v>14279</v>
      </c>
      <c r="F147" s="1447"/>
      <c r="G147" s="656" t="s">
        <v>10277</v>
      </c>
      <c r="H147" s="656" t="s">
        <v>1777</v>
      </c>
      <c r="I147" s="656"/>
      <c r="J147" s="656"/>
      <c r="K147" s="656"/>
      <c r="L147" s="656" t="s">
        <v>10278</v>
      </c>
      <c r="M147" s="656" t="s">
        <v>16196</v>
      </c>
      <c r="N147" s="656"/>
      <c r="O147" s="656" t="s">
        <v>6395</v>
      </c>
      <c r="P147" s="5"/>
      <c r="Q147" s="1447">
        <v>43979</v>
      </c>
      <c r="R147" s="656"/>
      <c r="S147" s="656" t="s">
        <v>472</v>
      </c>
      <c r="T147" s="656"/>
      <c r="U147" s="656"/>
      <c r="V147" s="656"/>
      <c r="W147" s="656" t="s">
        <v>13051</v>
      </c>
      <c r="X147" s="656" t="s">
        <v>498</v>
      </c>
      <c r="Y147" s="656" t="s">
        <v>14278</v>
      </c>
      <c r="Z147" s="656">
        <v>44305.526817129627</v>
      </c>
      <c r="AA147" s="656" t="s">
        <v>14335</v>
      </c>
      <c r="AB147" s="656"/>
    </row>
    <row r="148" spans="1:28">
      <c r="A148" s="656" t="s">
        <v>9413</v>
      </c>
      <c r="B148" s="656" t="s">
        <v>9412</v>
      </c>
      <c r="C148" s="656" t="s">
        <v>21</v>
      </c>
      <c r="D148" s="656" t="s">
        <v>10294</v>
      </c>
      <c r="E148" s="656" t="s">
        <v>14275</v>
      </c>
      <c r="F148" s="1447">
        <v>44298</v>
      </c>
      <c r="G148" s="656" t="s">
        <v>10271</v>
      </c>
      <c r="H148" s="656" t="s">
        <v>1777</v>
      </c>
      <c r="I148" s="656" t="s">
        <v>14320</v>
      </c>
      <c r="J148" s="656" t="s">
        <v>10294</v>
      </c>
      <c r="K148" s="656" t="s">
        <v>9774</v>
      </c>
      <c r="L148" s="656"/>
      <c r="M148" s="656" t="s">
        <v>16196</v>
      </c>
      <c r="N148" s="656"/>
      <c r="O148" s="656" t="s">
        <v>6395</v>
      </c>
      <c r="P148" s="5"/>
      <c r="Q148" s="1447">
        <v>43991</v>
      </c>
      <c r="R148" s="656">
        <v>44253</v>
      </c>
      <c r="S148" s="656" t="s">
        <v>472</v>
      </c>
      <c r="T148" s="656"/>
      <c r="U148" s="656"/>
      <c r="V148" s="656"/>
      <c r="W148" s="656" t="s">
        <v>13051</v>
      </c>
      <c r="X148" s="656" t="s">
        <v>498</v>
      </c>
      <c r="Y148" s="656" t="s">
        <v>14278</v>
      </c>
      <c r="Z148" s="656">
        <v>44305.52679398148</v>
      </c>
      <c r="AA148" s="656" t="s">
        <v>14335</v>
      </c>
      <c r="AB148" s="656"/>
    </row>
    <row r="149" spans="1:28">
      <c r="A149" s="656" t="s">
        <v>9413</v>
      </c>
      <c r="B149" s="656" t="s">
        <v>9412</v>
      </c>
      <c r="C149" s="656" t="s">
        <v>20</v>
      </c>
      <c r="D149" s="656" t="s">
        <v>10272</v>
      </c>
      <c r="E149" s="656" t="s">
        <v>14275</v>
      </c>
      <c r="F149" s="1447">
        <v>44306</v>
      </c>
      <c r="G149" s="656" t="s">
        <v>10271</v>
      </c>
      <c r="H149" s="656" t="s">
        <v>1777</v>
      </c>
      <c r="I149" s="656"/>
      <c r="J149" s="656"/>
      <c r="K149" s="656"/>
      <c r="L149" s="656" t="s">
        <v>10272</v>
      </c>
      <c r="M149" s="656" t="s">
        <v>16196</v>
      </c>
      <c r="N149" s="656"/>
      <c r="O149" s="656" t="s">
        <v>6395</v>
      </c>
      <c r="P149" s="5" t="s">
        <v>14318</v>
      </c>
      <c r="Q149" s="1447">
        <v>43969</v>
      </c>
      <c r="R149" s="656"/>
      <c r="S149" s="656" t="s">
        <v>472</v>
      </c>
      <c r="T149" s="656"/>
      <c r="U149" s="656"/>
      <c r="V149" s="656" t="s">
        <v>14323</v>
      </c>
      <c r="W149" s="656" t="s">
        <v>13051</v>
      </c>
      <c r="X149" s="656" t="s">
        <v>498</v>
      </c>
      <c r="Y149" s="656" t="s">
        <v>14278</v>
      </c>
      <c r="Z149" s="656">
        <v>44307.313437500001</v>
      </c>
      <c r="AA149" s="656" t="s">
        <v>14276</v>
      </c>
      <c r="AB149" s="656"/>
    </row>
    <row r="150" spans="1:28">
      <c r="A150" s="656" t="s">
        <v>9413</v>
      </c>
      <c r="B150" s="656" t="s">
        <v>9412</v>
      </c>
      <c r="C150" s="656" t="s">
        <v>20</v>
      </c>
      <c r="D150" s="656" t="s">
        <v>10273</v>
      </c>
      <c r="E150" s="656" t="s">
        <v>14275</v>
      </c>
      <c r="F150" s="1447">
        <v>44319</v>
      </c>
      <c r="G150" s="656" t="s">
        <v>10271</v>
      </c>
      <c r="H150" s="656" t="s">
        <v>1777</v>
      </c>
      <c r="I150" s="656"/>
      <c r="J150" s="656"/>
      <c r="K150" s="656"/>
      <c r="L150" s="656" t="s">
        <v>10273</v>
      </c>
      <c r="M150" s="656" t="s">
        <v>16196</v>
      </c>
      <c r="N150" s="656"/>
      <c r="O150" s="656" t="s">
        <v>6395</v>
      </c>
      <c r="P150" s="5" t="s">
        <v>14319</v>
      </c>
      <c r="Q150" s="1447">
        <v>43969</v>
      </c>
      <c r="R150" s="656"/>
      <c r="S150" s="656" t="s">
        <v>472</v>
      </c>
      <c r="T150" s="656"/>
      <c r="U150" s="656"/>
      <c r="V150" s="656" t="s">
        <v>14361</v>
      </c>
      <c r="W150" s="656" t="s">
        <v>13051</v>
      </c>
      <c r="X150" s="656" t="s">
        <v>498</v>
      </c>
      <c r="Y150" s="656" t="s">
        <v>14278</v>
      </c>
      <c r="Z150" s="656">
        <v>44319.49900462963</v>
      </c>
      <c r="AA150" s="656" t="s">
        <v>14276</v>
      </c>
      <c r="AB150" s="656"/>
    </row>
    <row r="151" spans="1:28">
      <c r="A151" s="656" t="s">
        <v>9413</v>
      </c>
      <c r="B151" s="656" t="s">
        <v>9412</v>
      </c>
      <c r="C151" s="656" t="s">
        <v>20</v>
      </c>
      <c r="D151" s="656" t="s">
        <v>12412</v>
      </c>
      <c r="E151" s="656" t="s">
        <v>14275</v>
      </c>
      <c r="F151" s="1447">
        <v>44306</v>
      </c>
      <c r="G151" s="656" t="s">
        <v>10271</v>
      </c>
      <c r="H151" s="656" t="s">
        <v>1777</v>
      </c>
      <c r="I151" s="656"/>
      <c r="J151" s="656"/>
      <c r="K151" s="656"/>
      <c r="L151" s="656" t="s">
        <v>12412</v>
      </c>
      <c r="M151" s="656" t="s">
        <v>9450</v>
      </c>
      <c r="N151" s="656" t="s">
        <v>9892</v>
      </c>
      <c r="O151" s="656" t="s">
        <v>6395</v>
      </c>
      <c r="P151" s="5" t="s">
        <v>14321</v>
      </c>
      <c r="Q151" s="1447">
        <v>44042</v>
      </c>
      <c r="R151" s="656"/>
      <c r="S151" s="656" t="s">
        <v>472</v>
      </c>
      <c r="T151" s="656"/>
      <c r="U151" s="656"/>
      <c r="V151" s="656"/>
      <c r="W151" s="656" t="s">
        <v>13051</v>
      </c>
      <c r="X151" s="656" t="s">
        <v>498</v>
      </c>
      <c r="Y151" s="656" t="s">
        <v>14278</v>
      </c>
      <c r="Z151" s="656">
        <v>44307.312986111108</v>
      </c>
      <c r="AA151" s="656" t="s">
        <v>14276</v>
      </c>
      <c r="AB151" s="656"/>
    </row>
    <row r="152" spans="1:28">
      <c r="A152" s="656" t="s">
        <v>9413</v>
      </c>
      <c r="B152" s="656" t="s">
        <v>9412</v>
      </c>
      <c r="C152" s="656" t="s">
        <v>20</v>
      </c>
      <c r="D152" s="656" t="s">
        <v>12413</v>
      </c>
      <c r="E152" s="656" t="s">
        <v>14275</v>
      </c>
      <c r="F152" s="1447">
        <v>44306</v>
      </c>
      <c r="G152" s="656" t="s">
        <v>10271</v>
      </c>
      <c r="H152" s="656" t="s">
        <v>1777</v>
      </c>
      <c r="I152" s="656"/>
      <c r="J152" s="656"/>
      <c r="K152" s="656"/>
      <c r="L152" s="656" t="s">
        <v>12413</v>
      </c>
      <c r="M152" s="656" t="s">
        <v>9450</v>
      </c>
      <c r="N152" s="656" t="s">
        <v>9892</v>
      </c>
      <c r="O152" s="656" t="s">
        <v>6395</v>
      </c>
      <c r="P152" s="5" t="s">
        <v>14322</v>
      </c>
      <c r="Q152" s="1447">
        <v>44042</v>
      </c>
      <c r="R152" s="656"/>
      <c r="S152" s="656" t="s">
        <v>472</v>
      </c>
      <c r="T152" s="656"/>
      <c r="U152" s="656"/>
      <c r="V152" s="656"/>
      <c r="W152" s="656" t="s">
        <v>13051</v>
      </c>
      <c r="X152" s="656" t="s">
        <v>498</v>
      </c>
      <c r="Y152" s="656" t="s">
        <v>14278</v>
      </c>
      <c r="Z152" s="656">
        <v>44307.312696759262</v>
      </c>
      <c r="AA152" s="656" t="s">
        <v>14276</v>
      </c>
      <c r="AB152" s="656"/>
    </row>
    <row r="153" spans="1:28" ht="58">
      <c r="A153" s="656" t="s">
        <v>9419</v>
      </c>
      <c r="B153" s="656" t="s">
        <v>9418</v>
      </c>
      <c r="C153" s="656" t="s">
        <v>20</v>
      </c>
      <c r="D153" s="656" t="s">
        <v>15952</v>
      </c>
      <c r="E153" s="656" t="s">
        <v>14279</v>
      </c>
      <c r="F153" s="1447"/>
      <c r="G153" s="656" t="s">
        <v>15953</v>
      </c>
      <c r="H153" s="656" t="s">
        <v>1777</v>
      </c>
      <c r="I153" s="656"/>
      <c r="J153" s="656"/>
      <c r="K153" s="656"/>
      <c r="L153" s="656" t="s">
        <v>15952</v>
      </c>
      <c r="M153" s="656" t="s">
        <v>16325</v>
      </c>
      <c r="N153" s="656"/>
      <c r="O153" s="656" t="s">
        <v>6421</v>
      </c>
      <c r="P153" s="5" t="s">
        <v>16042</v>
      </c>
      <c r="Q153" s="1447">
        <v>44249</v>
      </c>
      <c r="R153" s="656"/>
      <c r="S153" s="656" t="s">
        <v>462</v>
      </c>
      <c r="T153" s="656"/>
      <c r="U153" s="656"/>
      <c r="V153" s="656"/>
      <c r="W153" s="656" t="s">
        <v>13051</v>
      </c>
      <c r="X153" s="656" t="s">
        <v>498</v>
      </c>
      <c r="Y153" s="656" t="s">
        <v>14278</v>
      </c>
      <c r="Z153" s="656">
        <v>44319.582337962966</v>
      </c>
      <c r="AA153" s="656" t="s">
        <v>15959</v>
      </c>
      <c r="AB153" s="656"/>
    </row>
    <row r="154" spans="1:28">
      <c r="A154" s="656" t="s">
        <v>9419</v>
      </c>
      <c r="B154" s="656" t="s">
        <v>9418</v>
      </c>
      <c r="C154" s="656" t="s">
        <v>21</v>
      </c>
      <c r="D154" s="656" t="s">
        <v>15954</v>
      </c>
      <c r="E154" s="656" t="s">
        <v>14279</v>
      </c>
      <c r="F154" s="1447"/>
      <c r="G154" s="656" t="s">
        <v>15953</v>
      </c>
      <c r="H154" s="656" t="s">
        <v>1777</v>
      </c>
      <c r="I154" s="656" t="s">
        <v>15955</v>
      </c>
      <c r="J154" s="656" t="s">
        <v>15954</v>
      </c>
      <c r="K154" s="656" t="s">
        <v>9774</v>
      </c>
      <c r="L154" s="656"/>
      <c r="M154" s="656" t="s">
        <v>16325</v>
      </c>
      <c r="N154" s="656"/>
      <c r="O154" s="656" t="s">
        <v>6421</v>
      </c>
      <c r="P154" s="5"/>
      <c r="Q154" s="1447">
        <v>44279</v>
      </c>
      <c r="R154" s="656"/>
      <c r="S154" s="656" t="s">
        <v>462</v>
      </c>
      <c r="T154" s="656"/>
      <c r="U154" s="656"/>
      <c r="V154" s="656"/>
      <c r="W154" s="656" t="s">
        <v>13051</v>
      </c>
      <c r="X154" s="656" t="s">
        <v>498</v>
      </c>
      <c r="Y154" s="656" t="s">
        <v>14278</v>
      </c>
      <c r="Z154" s="656">
        <v>44319.582557870373</v>
      </c>
      <c r="AA154" s="656" t="s">
        <v>15959</v>
      </c>
      <c r="AB154" s="656"/>
    </row>
    <row r="155" spans="1:28" ht="29">
      <c r="A155" s="656" t="s">
        <v>9433</v>
      </c>
      <c r="B155" s="656" t="s">
        <v>9432</v>
      </c>
      <c r="C155" s="656" t="s">
        <v>20</v>
      </c>
      <c r="D155" s="656" t="s">
        <v>15346</v>
      </c>
      <c r="E155" s="656" t="s">
        <v>14279</v>
      </c>
      <c r="F155" s="1447"/>
      <c r="G155" s="656" t="s">
        <v>9432</v>
      </c>
      <c r="H155" s="656" t="s">
        <v>1777</v>
      </c>
      <c r="I155" s="656"/>
      <c r="J155" s="656"/>
      <c r="K155" s="656"/>
      <c r="L155" s="656" t="s">
        <v>15346</v>
      </c>
      <c r="M155" s="656" t="s">
        <v>1385</v>
      </c>
      <c r="N155" s="656" t="s">
        <v>14557</v>
      </c>
      <c r="O155" s="656" t="s">
        <v>13302</v>
      </c>
      <c r="P155" s="5" t="s">
        <v>15426</v>
      </c>
      <c r="Q155" s="1447">
        <v>43858</v>
      </c>
      <c r="R155" s="656"/>
      <c r="S155" s="656" t="s">
        <v>8636</v>
      </c>
      <c r="T155" s="656"/>
      <c r="U155" s="656"/>
      <c r="V155" s="656"/>
      <c r="W155" s="656" t="s">
        <v>13051</v>
      </c>
      <c r="X155" s="656" t="s">
        <v>498</v>
      </c>
      <c r="Y155" s="656" t="s">
        <v>14278</v>
      </c>
      <c r="Z155" s="656">
        <v>44305.527291666665</v>
      </c>
      <c r="AA155" s="656" t="s">
        <v>14335</v>
      </c>
      <c r="AB155" s="656"/>
    </row>
    <row r="156" spans="1:28">
      <c r="A156" s="656" t="s">
        <v>9454</v>
      </c>
      <c r="B156" s="656" t="s">
        <v>9453</v>
      </c>
      <c r="C156" s="656" t="s">
        <v>20</v>
      </c>
      <c r="D156" s="656" t="s">
        <v>15347</v>
      </c>
      <c r="E156" s="656" t="s">
        <v>14279</v>
      </c>
      <c r="F156" s="1447"/>
      <c r="G156" s="656" t="s">
        <v>15348</v>
      </c>
      <c r="H156" s="656" t="s">
        <v>1777</v>
      </c>
      <c r="I156" s="656"/>
      <c r="J156" s="656"/>
      <c r="K156" s="656"/>
      <c r="L156" s="656" t="s">
        <v>15347</v>
      </c>
      <c r="M156" s="656" t="s">
        <v>12703</v>
      </c>
      <c r="N156" s="656"/>
      <c r="O156" s="656" t="s">
        <v>10214</v>
      </c>
      <c r="P156" s="5"/>
      <c r="Q156" s="1447">
        <v>44223</v>
      </c>
      <c r="R156" s="656"/>
      <c r="S156" s="656" t="s">
        <v>450</v>
      </c>
      <c r="T156" s="656"/>
      <c r="U156" s="656"/>
      <c r="V156" s="656"/>
      <c r="W156" s="656" t="s">
        <v>13051</v>
      </c>
      <c r="X156" s="656" t="s">
        <v>498</v>
      </c>
      <c r="Y156" s="656" t="s">
        <v>14278</v>
      </c>
      <c r="Z156" s="656">
        <v>44306.418414351851</v>
      </c>
      <c r="AA156" s="656" t="s">
        <v>15959</v>
      </c>
      <c r="AB156" s="656"/>
    </row>
    <row r="157" spans="1:28">
      <c r="A157" s="656" t="s">
        <v>9454</v>
      </c>
      <c r="B157" s="656" t="s">
        <v>9453</v>
      </c>
      <c r="C157" s="656" t="s">
        <v>21</v>
      </c>
      <c r="D157" s="656" t="s">
        <v>15956</v>
      </c>
      <c r="E157" s="656" t="s">
        <v>14279</v>
      </c>
      <c r="F157" s="1447"/>
      <c r="G157" s="656" t="s">
        <v>15957</v>
      </c>
      <c r="H157" s="656" t="s">
        <v>1584</v>
      </c>
      <c r="I157" s="656" t="s">
        <v>15958</v>
      </c>
      <c r="J157" s="656" t="s">
        <v>15956</v>
      </c>
      <c r="K157" s="656" t="s">
        <v>9774</v>
      </c>
      <c r="L157" s="656"/>
      <c r="M157" s="656" t="s">
        <v>12703</v>
      </c>
      <c r="N157" s="656"/>
      <c r="O157" s="656" t="s">
        <v>10214</v>
      </c>
      <c r="P157" s="5"/>
      <c r="Q157" s="1447">
        <v>44279</v>
      </c>
      <c r="R157" s="656"/>
      <c r="S157" s="656" t="s">
        <v>537</v>
      </c>
      <c r="T157" s="656"/>
      <c r="U157" s="656"/>
      <c r="V157" s="656"/>
      <c r="W157" s="656" t="s">
        <v>13051</v>
      </c>
      <c r="X157" s="656" t="s">
        <v>498</v>
      </c>
      <c r="Y157" s="656" t="s">
        <v>14278</v>
      </c>
      <c r="Z157" s="656">
        <v>44306.420983796299</v>
      </c>
      <c r="AA157" s="656" t="s">
        <v>15959</v>
      </c>
      <c r="AB157" s="656"/>
    </row>
    <row r="158" spans="1:28">
      <c r="A158" s="656" t="s">
        <v>9464</v>
      </c>
      <c r="B158" s="656" t="s">
        <v>9463</v>
      </c>
      <c r="C158" s="656" t="s">
        <v>21</v>
      </c>
      <c r="D158" s="656" t="s">
        <v>15349</v>
      </c>
      <c r="E158" s="656" t="s">
        <v>14275</v>
      </c>
      <c r="F158" s="1447">
        <v>44263</v>
      </c>
      <c r="G158" s="656" t="s">
        <v>10274</v>
      </c>
      <c r="H158" s="656" t="s">
        <v>1777</v>
      </c>
      <c r="I158" s="656" t="s">
        <v>15350</v>
      </c>
      <c r="J158" s="656" t="s">
        <v>15349</v>
      </c>
      <c r="K158" s="656" t="s">
        <v>9774</v>
      </c>
      <c r="L158" s="656"/>
      <c r="M158" s="656" t="s">
        <v>16196</v>
      </c>
      <c r="N158" s="656"/>
      <c r="O158" s="656" t="s">
        <v>6395</v>
      </c>
      <c r="P158" s="5" t="s">
        <v>15351</v>
      </c>
      <c r="Q158" s="1447">
        <v>44138</v>
      </c>
      <c r="R158" s="656">
        <v>44057</v>
      </c>
      <c r="S158" s="656" t="s">
        <v>472</v>
      </c>
      <c r="T158" s="656"/>
      <c r="U158" s="656"/>
      <c r="V158" s="656"/>
      <c r="W158" s="656" t="s">
        <v>13051</v>
      </c>
      <c r="X158" s="656" t="s">
        <v>498</v>
      </c>
      <c r="Y158" s="656" t="s">
        <v>14278</v>
      </c>
      <c r="Z158" s="656">
        <v>44305.526759259257</v>
      </c>
      <c r="AA158" s="656" t="s">
        <v>14335</v>
      </c>
      <c r="AB158" s="656"/>
    </row>
    <row r="159" spans="1:28">
      <c r="A159" s="656" t="s">
        <v>9464</v>
      </c>
      <c r="B159" s="656" t="s">
        <v>9463</v>
      </c>
      <c r="C159" s="656" t="s">
        <v>20</v>
      </c>
      <c r="D159" s="656" t="s">
        <v>10275</v>
      </c>
      <c r="E159" s="656" t="s">
        <v>14275</v>
      </c>
      <c r="F159" s="1447">
        <v>44249</v>
      </c>
      <c r="G159" s="656" t="s">
        <v>10274</v>
      </c>
      <c r="H159" s="656" t="s">
        <v>1777</v>
      </c>
      <c r="I159" s="656"/>
      <c r="J159" s="656"/>
      <c r="K159" s="656"/>
      <c r="L159" s="656" t="s">
        <v>10275</v>
      </c>
      <c r="M159" s="656" t="s">
        <v>16196</v>
      </c>
      <c r="N159" s="656"/>
      <c r="O159" s="656" t="s">
        <v>6395</v>
      </c>
      <c r="P159" s="5" t="s">
        <v>14323</v>
      </c>
      <c r="Q159" s="1447">
        <v>43978</v>
      </c>
      <c r="R159" s="656"/>
      <c r="S159" s="656" t="s">
        <v>472</v>
      </c>
      <c r="T159" s="656"/>
      <c r="U159" s="656"/>
      <c r="V159" s="656" t="s">
        <v>14323</v>
      </c>
      <c r="W159" s="656" t="s">
        <v>13051</v>
      </c>
      <c r="X159" s="656" t="s">
        <v>498</v>
      </c>
      <c r="Y159" s="656" t="s">
        <v>14278</v>
      </c>
      <c r="Z159" s="656">
        <v>44305.526770833334</v>
      </c>
      <c r="AA159" s="656" t="s">
        <v>14335</v>
      </c>
      <c r="AB159" s="656"/>
    </row>
    <row r="160" spans="1:28">
      <c r="A160" s="656" t="s">
        <v>9464</v>
      </c>
      <c r="B160" s="656" t="s">
        <v>9463</v>
      </c>
      <c r="C160" s="656" t="s">
        <v>20</v>
      </c>
      <c r="D160" s="656" t="s">
        <v>10276</v>
      </c>
      <c r="E160" s="656" t="s">
        <v>14275</v>
      </c>
      <c r="F160" s="1447">
        <v>44263</v>
      </c>
      <c r="G160" s="656" t="s">
        <v>10274</v>
      </c>
      <c r="H160" s="656" t="s">
        <v>1777</v>
      </c>
      <c r="I160" s="656"/>
      <c r="J160" s="656"/>
      <c r="K160" s="656"/>
      <c r="L160" s="656" t="s">
        <v>10276</v>
      </c>
      <c r="M160" s="656" t="s">
        <v>16196</v>
      </c>
      <c r="N160" s="656"/>
      <c r="O160" s="656" t="s">
        <v>6395</v>
      </c>
      <c r="P160" s="5" t="s">
        <v>14324</v>
      </c>
      <c r="Q160" s="1447">
        <v>43978</v>
      </c>
      <c r="R160" s="656"/>
      <c r="S160" s="656" t="s">
        <v>472</v>
      </c>
      <c r="T160" s="656"/>
      <c r="U160" s="656"/>
      <c r="V160" s="656" t="s">
        <v>14361</v>
      </c>
      <c r="W160" s="656" t="s">
        <v>13051</v>
      </c>
      <c r="X160" s="656" t="s">
        <v>498</v>
      </c>
      <c r="Y160" s="656" t="s">
        <v>14278</v>
      </c>
      <c r="Z160" s="656">
        <v>44305.526782407411</v>
      </c>
      <c r="AA160" s="656" t="s">
        <v>14335</v>
      </c>
      <c r="AB160" s="656"/>
    </row>
    <row r="161" spans="1:28">
      <c r="A161" s="656" t="s">
        <v>9470</v>
      </c>
      <c r="B161" s="656" t="s">
        <v>15352</v>
      </c>
      <c r="C161" s="656" t="s">
        <v>20</v>
      </c>
      <c r="D161" s="656" t="s">
        <v>10256</v>
      </c>
      <c r="E161" s="656" t="s">
        <v>14275</v>
      </c>
      <c r="F161" s="1447">
        <v>44174</v>
      </c>
      <c r="G161" s="656" t="s">
        <v>15353</v>
      </c>
      <c r="H161" s="656" t="s">
        <v>1777</v>
      </c>
      <c r="I161" s="656"/>
      <c r="J161" s="656"/>
      <c r="K161" s="656"/>
      <c r="L161" s="656" t="s">
        <v>10256</v>
      </c>
      <c r="M161" s="656" t="s">
        <v>16265</v>
      </c>
      <c r="N161" s="656"/>
      <c r="O161" s="656" t="s">
        <v>6425</v>
      </c>
      <c r="P161" s="5"/>
      <c r="Q161" s="1447">
        <v>43949</v>
      </c>
      <c r="R161" s="656"/>
      <c r="S161" s="656" t="s">
        <v>8807</v>
      </c>
      <c r="T161" s="656"/>
      <c r="U161" s="656"/>
      <c r="V161" s="656"/>
      <c r="W161" s="656" t="s">
        <v>13051</v>
      </c>
      <c r="X161" s="656" t="s">
        <v>498</v>
      </c>
      <c r="Y161" s="656" t="s">
        <v>14278</v>
      </c>
      <c r="Z161" s="656">
        <v>44305.526759259257</v>
      </c>
      <c r="AA161" s="656" t="s">
        <v>14335</v>
      </c>
      <c r="AB161" s="656"/>
    </row>
    <row r="162" spans="1:28">
      <c r="A162" s="656" t="s">
        <v>9476</v>
      </c>
      <c r="B162" s="656" t="s">
        <v>9475</v>
      </c>
      <c r="C162" s="656" t="s">
        <v>21</v>
      </c>
      <c r="D162" s="656" t="s">
        <v>10258</v>
      </c>
      <c r="E162" s="656" t="s">
        <v>14275</v>
      </c>
      <c r="F162" s="1447">
        <v>44209</v>
      </c>
      <c r="G162" s="656" t="s">
        <v>10247</v>
      </c>
      <c r="H162" s="656" t="s">
        <v>1777</v>
      </c>
      <c r="I162" s="656" t="s">
        <v>14327</v>
      </c>
      <c r="J162" s="656" t="s">
        <v>10258</v>
      </c>
      <c r="K162" s="656" t="s">
        <v>9774</v>
      </c>
      <c r="L162" s="656"/>
      <c r="M162" s="656" t="s">
        <v>16196</v>
      </c>
      <c r="N162" s="656"/>
      <c r="O162" s="656" t="s">
        <v>6395</v>
      </c>
      <c r="P162" s="5"/>
      <c r="Q162" s="1447">
        <v>43952</v>
      </c>
      <c r="R162" s="656">
        <v>44043</v>
      </c>
      <c r="S162" s="656" t="s">
        <v>472</v>
      </c>
      <c r="T162" s="656"/>
      <c r="U162" s="656"/>
      <c r="V162" s="656"/>
      <c r="W162" s="656" t="s">
        <v>13051</v>
      </c>
      <c r="X162" s="656" t="s">
        <v>498</v>
      </c>
      <c r="Y162" s="656" t="s">
        <v>14278</v>
      </c>
      <c r="Z162" s="656">
        <v>44305.526736111111</v>
      </c>
      <c r="AA162" s="656" t="s">
        <v>14335</v>
      </c>
      <c r="AB162" s="656"/>
    </row>
    <row r="163" spans="1:28">
      <c r="A163" s="656" t="s">
        <v>9476</v>
      </c>
      <c r="B163" s="656" t="s">
        <v>9475</v>
      </c>
      <c r="C163" s="656" t="s">
        <v>20</v>
      </c>
      <c r="D163" s="656" t="s">
        <v>10248</v>
      </c>
      <c r="E163" s="656" t="s">
        <v>14275</v>
      </c>
      <c r="F163" s="1447">
        <v>44216</v>
      </c>
      <c r="G163" s="656" t="s">
        <v>10247</v>
      </c>
      <c r="H163" s="656" t="s">
        <v>1777</v>
      </c>
      <c r="I163" s="656"/>
      <c r="J163" s="656"/>
      <c r="K163" s="656"/>
      <c r="L163" s="656" t="s">
        <v>10248</v>
      </c>
      <c r="M163" s="656" t="s">
        <v>16196</v>
      </c>
      <c r="N163" s="656"/>
      <c r="O163" s="656" t="s">
        <v>6395</v>
      </c>
      <c r="P163" s="5" t="s">
        <v>14325</v>
      </c>
      <c r="Q163" s="1447">
        <v>43942</v>
      </c>
      <c r="R163" s="656"/>
      <c r="S163" s="656" t="s">
        <v>472</v>
      </c>
      <c r="T163" s="656"/>
      <c r="U163" s="656"/>
      <c r="V163" s="656"/>
      <c r="W163" s="656" t="s">
        <v>13051</v>
      </c>
      <c r="X163" s="656" t="s">
        <v>498</v>
      </c>
      <c r="Y163" s="656" t="s">
        <v>14278</v>
      </c>
      <c r="Z163" s="656">
        <v>44305.526747685188</v>
      </c>
      <c r="AA163" s="656" t="s">
        <v>14335</v>
      </c>
      <c r="AB163" s="656"/>
    </row>
    <row r="164" spans="1:28">
      <c r="A164" s="656" t="s">
        <v>9476</v>
      </c>
      <c r="B164" s="656" t="s">
        <v>9475</v>
      </c>
      <c r="C164" s="656" t="s">
        <v>20</v>
      </c>
      <c r="D164" s="656" t="s">
        <v>10249</v>
      </c>
      <c r="E164" s="656" t="s">
        <v>14275</v>
      </c>
      <c r="F164" s="1447">
        <v>44216</v>
      </c>
      <c r="G164" s="656" t="s">
        <v>10247</v>
      </c>
      <c r="H164" s="656" t="s">
        <v>1777</v>
      </c>
      <c r="I164" s="656"/>
      <c r="J164" s="656"/>
      <c r="K164" s="656"/>
      <c r="L164" s="656" t="s">
        <v>10249</v>
      </c>
      <c r="M164" s="656" t="s">
        <v>16196</v>
      </c>
      <c r="N164" s="656"/>
      <c r="O164" s="656" t="s">
        <v>6395</v>
      </c>
      <c r="P164" s="5" t="s">
        <v>14326</v>
      </c>
      <c r="Q164" s="1447">
        <v>43942</v>
      </c>
      <c r="R164" s="656"/>
      <c r="S164" s="656" t="s">
        <v>472</v>
      </c>
      <c r="T164" s="656"/>
      <c r="U164" s="656"/>
      <c r="V164" s="656"/>
      <c r="W164" s="656" t="s">
        <v>13051</v>
      </c>
      <c r="X164" s="656" t="s">
        <v>498</v>
      </c>
      <c r="Y164" s="656" t="s">
        <v>14278</v>
      </c>
      <c r="Z164" s="656">
        <v>44305.526747685188</v>
      </c>
      <c r="AA164" s="656" t="s">
        <v>14335</v>
      </c>
      <c r="AB164" s="656"/>
    </row>
    <row r="165" spans="1:28">
      <c r="A165" s="656" t="s">
        <v>9478</v>
      </c>
      <c r="B165" s="656" t="s">
        <v>9477</v>
      </c>
      <c r="C165" s="656" t="s">
        <v>20</v>
      </c>
      <c r="D165" s="656" t="s">
        <v>10251</v>
      </c>
      <c r="E165" s="656" t="s">
        <v>14279</v>
      </c>
      <c r="F165" s="1447"/>
      <c r="G165" s="656" t="s">
        <v>10250</v>
      </c>
      <c r="H165" s="656" t="s">
        <v>1777</v>
      </c>
      <c r="I165" s="656"/>
      <c r="J165" s="656"/>
      <c r="K165" s="656"/>
      <c r="L165" s="656" t="s">
        <v>10251</v>
      </c>
      <c r="M165" s="656" t="s">
        <v>16326</v>
      </c>
      <c r="N165" s="656"/>
      <c r="O165" s="656" t="s">
        <v>6425</v>
      </c>
      <c r="P165" s="5"/>
      <c r="Q165" s="1447">
        <v>43949</v>
      </c>
      <c r="R165" s="656"/>
      <c r="S165" s="656" t="s">
        <v>445</v>
      </c>
      <c r="T165" s="656"/>
      <c r="U165" s="656"/>
      <c r="V165" s="656"/>
      <c r="W165" s="656" t="s">
        <v>13051</v>
      </c>
      <c r="X165" s="656" t="s">
        <v>498</v>
      </c>
      <c r="Y165" s="656" t="s">
        <v>14278</v>
      </c>
      <c r="Z165" s="656">
        <v>44305.526736111111</v>
      </c>
      <c r="AA165" s="656" t="s">
        <v>14335</v>
      </c>
      <c r="AB165" s="656"/>
    </row>
    <row r="166" spans="1:28">
      <c r="A166" s="656" t="s">
        <v>9493</v>
      </c>
      <c r="B166" s="656" t="s">
        <v>9492</v>
      </c>
      <c r="C166" s="656" t="s">
        <v>21</v>
      </c>
      <c r="D166" s="656" t="s">
        <v>10220</v>
      </c>
      <c r="E166" s="656" t="s">
        <v>14275</v>
      </c>
      <c r="F166" s="1447">
        <v>44131</v>
      </c>
      <c r="G166" s="656" t="s">
        <v>10219</v>
      </c>
      <c r="H166" s="656" t="s">
        <v>1777</v>
      </c>
      <c r="I166" s="656" t="s">
        <v>14328</v>
      </c>
      <c r="J166" s="656" t="s">
        <v>10220</v>
      </c>
      <c r="K166" s="656" t="s">
        <v>9774</v>
      </c>
      <c r="L166" s="656"/>
      <c r="M166" s="656" t="s">
        <v>16327</v>
      </c>
      <c r="N166" s="656"/>
      <c r="O166" s="656" t="s">
        <v>6421</v>
      </c>
      <c r="P166" s="5"/>
      <c r="Q166" s="1447">
        <v>43906</v>
      </c>
      <c r="R166" s="656">
        <v>44036</v>
      </c>
      <c r="S166" s="656" t="s">
        <v>462</v>
      </c>
      <c r="T166" s="656"/>
      <c r="U166" s="656"/>
      <c r="V166" s="656"/>
      <c r="W166" s="656" t="s">
        <v>13051</v>
      </c>
      <c r="X166" s="656" t="s">
        <v>498</v>
      </c>
      <c r="Y166" s="656" t="s">
        <v>14278</v>
      </c>
      <c r="Z166" s="656">
        <v>44305.526724537034</v>
      </c>
      <c r="AA166" s="656" t="s">
        <v>14335</v>
      </c>
      <c r="AB166" s="656"/>
    </row>
    <row r="167" spans="1:28">
      <c r="A167" s="656" t="s">
        <v>9493</v>
      </c>
      <c r="B167" s="656" t="s">
        <v>9492</v>
      </c>
      <c r="C167" s="656" t="s">
        <v>20</v>
      </c>
      <c r="D167" s="656" t="s">
        <v>10221</v>
      </c>
      <c r="E167" s="656" t="s">
        <v>14275</v>
      </c>
      <c r="F167" s="1447">
        <v>44147</v>
      </c>
      <c r="G167" s="656" t="s">
        <v>10219</v>
      </c>
      <c r="H167" s="656" t="s">
        <v>1777</v>
      </c>
      <c r="I167" s="656"/>
      <c r="J167" s="656"/>
      <c r="K167" s="656"/>
      <c r="L167" s="656" t="s">
        <v>10221</v>
      </c>
      <c r="M167" s="656" t="s">
        <v>16327</v>
      </c>
      <c r="N167" s="656"/>
      <c r="O167" s="656" t="s">
        <v>6421</v>
      </c>
      <c r="P167" s="5"/>
      <c r="Q167" s="1447">
        <v>43910</v>
      </c>
      <c r="R167" s="656"/>
      <c r="S167" s="656" t="s">
        <v>462</v>
      </c>
      <c r="T167" s="656"/>
      <c r="U167" s="656"/>
      <c r="V167" s="656"/>
      <c r="W167" s="656" t="s">
        <v>13051</v>
      </c>
      <c r="X167" s="656" t="s">
        <v>498</v>
      </c>
      <c r="Y167" s="656" t="s">
        <v>14278</v>
      </c>
      <c r="Z167" s="656">
        <v>44305.526736111111</v>
      </c>
      <c r="AA167" s="656" t="s">
        <v>14335</v>
      </c>
      <c r="AB167" s="656"/>
    </row>
    <row r="168" spans="1:28">
      <c r="A168" s="656" t="s">
        <v>9497</v>
      </c>
      <c r="B168" s="656" t="s">
        <v>9496</v>
      </c>
      <c r="C168" s="656" t="s">
        <v>21</v>
      </c>
      <c r="D168" s="656" t="s">
        <v>10316</v>
      </c>
      <c r="E168" s="656" t="s">
        <v>14279</v>
      </c>
      <c r="F168" s="1447"/>
      <c r="G168" s="656" t="s">
        <v>10317</v>
      </c>
      <c r="H168" s="656" t="s">
        <v>1777</v>
      </c>
      <c r="I168" s="656" t="s">
        <v>14329</v>
      </c>
      <c r="J168" s="656" t="s">
        <v>10316</v>
      </c>
      <c r="K168" s="656" t="s">
        <v>9774</v>
      </c>
      <c r="L168" s="656"/>
      <c r="M168" s="656" t="s">
        <v>16196</v>
      </c>
      <c r="N168" s="656"/>
      <c r="O168" s="656" t="s">
        <v>9714</v>
      </c>
      <c r="P168" s="5"/>
      <c r="Q168" s="1447">
        <v>44006</v>
      </c>
      <c r="R168" s="656"/>
      <c r="S168" s="656" t="s">
        <v>472</v>
      </c>
      <c r="T168" s="656"/>
      <c r="U168" s="656"/>
      <c r="V168" s="656"/>
      <c r="W168" s="656" t="s">
        <v>13051</v>
      </c>
      <c r="X168" s="656" t="s">
        <v>498</v>
      </c>
      <c r="Y168" s="656" t="s">
        <v>14278</v>
      </c>
      <c r="Z168" s="656">
        <v>44305.526701388888</v>
      </c>
      <c r="AA168" s="656" t="s">
        <v>14335</v>
      </c>
      <c r="AB168" s="656"/>
    </row>
    <row r="169" spans="1:28">
      <c r="A169" s="656" t="s">
        <v>9497</v>
      </c>
      <c r="B169" s="656" t="s">
        <v>9496</v>
      </c>
      <c r="C169" s="656" t="s">
        <v>20</v>
      </c>
      <c r="D169" s="656" t="s">
        <v>14965</v>
      </c>
      <c r="E169" s="656" t="s">
        <v>14279</v>
      </c>
      <c r="F169" s="1447"/>
      <c r="G169" s="656" t="s">
        <v>10317</v>
      </c>
      <c r="H169" s="656" t="s">
        <v>1777</v>
      </c>
      <c r="I169" s="656"/>
      <c r="J169" s="656"/>
      <c r="K169" s="656"/>
      <c r="L169" s="656" t="s">
        <v>14965</v>
      </c>
      <c r="M169" s="656" t="s">
        <v>16196</v>
      </c>
      <c r="N169" s="656"/>
      <c r="O169" s="656" t="s">
        <v>9714</v>
      </c>
      <c r="P169" s="5"/>
      <c r="Q169" s="1447">
        <v>44168</v>
      </c>
      <c r="R169" s="656"/>
      <c r="S169" s="656" t="s">
        <v>472</v>
      </c>
      <c r="T169" s="656"/>
      <c r="U169" s="656"/>
      <c r="V169" s="656" t="s">
        <v>14323</v>
      </c>
      <c r="W169" s="656" t="s">
        <v>13051</v>
      </c>
      <c r="X169" s="656" t="s">
        <v>498</v>
      </c>
      <c r="Y169" s="656" t="s">
        <v>14278</v>
      </c>
      <c r="Z169" s="656">
        <v>44305.526712962965</v>
      </c>
      <c r="AA169" s="656" t="s">
        <v>14335</v>
      </c>
      <c r="AB169" s="656"/>
    </row>
    <row r="170" spans="1:28">
      <c r="A170" s="656" t="s">
        <v>9497</v>
      </c>
      <c r="B170" s="656" t="s">
        <v>9496</v>
      </c>
      <c r="C170" s="656" t="s">
        <v>20</v>
      </c>
      <c r="D170" s="656" t="s">
        <v>14964</v>
      </c>
      <c r="E170" s="656" t="s">
        <v>14279</v>
      </c>
      <c r="F170" s="1447"/>
      <c r="G170" s="656" t="s">
        <v>10317</v>
      </c>
      <c r="H170" s="656" t="s">
        <v>1777</v>
      </c>
      <c r="I170" s="656"/>
      <c r="J170" s="656"/>
      <c r="K170" s="656"/>
      <c r="L170" s="656" t="s">
        <v>14964</v>
      </c>
      <c r="M170" s="656" t="s">
        <v>16196</v>
      </c>
      <c r="N170" s="656"/>
      <c r="O170" s="656" t="s">
        <v>9714</v>
      </c>
      <c r="P170" s="5"/>
      <c r="Q170" s="1447">
        <v>44168</v>
      </c>
      <c r="R170" s="656"/>
      <c r="S170" s="656" t="s">
        <v>472</v>
      </c>
      <c r="T170" s="656"/>
      <c r="U170" s="656"/>
      <c r="V170" s="656" t="s">
        <v>15960</v>
      </c>
      <c r="W170" s="656" t="s">
        <v>13051</v>
      </c>
      <c r="X170" s="656" t="s">
        <v>498</v>
      </c>
      <c r="Y170" s="656" t="s">
        <v>14278</v>
      </c>
      <c r="Z170" s="656">
        <v>44305.526724537034</v>
      </c>
      <c r="AA170" s="656" t="s">
        <v>14335</v>
      </c>
      <c r="AB170" s="656"/>
    </row>
    <row r="171" spans="1:28">
      <c r="A171" s="656" t="s">
        <v>9505</v>
      </c>
      <c r="B171" s="656" t="s">
        <v>9504</v>
      </c>
      <c r="C171" s="656" t="s">
        <v>21</v>
      </c>
      <c r="D171" s="656" t="s">
        <v>10213</v>
      </c>
      <c r="E171" s="656" t="s">
        <v>14275</v>
      </c>
      <c r="F171" s="1447">
        <v>44176</v>
      </c>
      <c r="G171" s="656" t="s">
        <v>10212</v>
      </c>
      <c r="H171" s="656" t="s">
        <v>1777</v>
      </c>
      <c r="I171" s="656" t="s">
        <v>14330</v>
      </c>
      <c r="J171" s="656" t="s">
        <v>10213</v>
      </c>
      <c r="K171" s="656" t="s">
        <v>9774</v>
      </c>
      <c r="L171" s="656"/>
      <c r="M171" s="656" t="s">
        <v>16200</v>
      </c>
      <c r="N171" s="656"/>
      <c r="O171" s="656" t="s">
        <v>10214</v>
      </c>
      <c r="P171" s="5"/>
      <c r="Q171" s="1447">
        <v>43888</v>
      </c>
      <c r="R171" s="656"/>
      <c r="S171" s="656" t="s">
        <v>537</v>
      </c>
      <c r="T171" s="656"/>
      <c r="U171" s="656"/>
      <c r="V171" s="656"/>
      <c r="W171" s="656" t="s">
        <v>13051</v>
      </c>
      <c r="X171" s="656" t="s">
        <v>498</v>
      </c>
      <c r="Y171" s="656" t="s">
        <v>14278</v>
      </c>
      <c r="Z171" s="656">
        <v>44305.526701388888</v>
      </c>
      <c r="AA171" s="656" t="s">
        <v>14335</v>
      </c>
      <c r="AB171" s="656"/>
    </row>
    <row r="172" spans="1:28">
      <c r="A172" s="656" t="s">
        <v>9079</v>
      </c>
      <c r="B172" s="656" t="s">
        <v>9078</v>
      </c>
      <c r="C172" s="656" t="s">
        <v>21</v>
      </c>
      <c r="D172" s="656" t="s">
        <v>10326</v>
      </c>
      <c r="E172" s="656" t="s">
        <v>14313</v>
      </c>
      <c r="F172" s="1447"/>
      <c r="G172" s="656" t="s">
        <v>10295</v>
      </c>
      <c r="H172" s="656" t="s">
        <v>1777</v>
      </c>
      <c r="I172" s="656" t="s">
        <v>14331</v>
      </c>
      <c r="J172" s="656" t="s">
        <v>10326</v>
      </c>
      <c r="K172" s="656" t="s">
        <v>9774</v>
      </c>
      <c r="L172" s="656"/>
      <c r="M172" s="656" t="s">
        <v>16196</v>
      </c>
      <c r="N172" s="656"/>
      <c r="O172" s="656" t="s">
        <v>6395</v>
      </c>
      <c r="P172" s="5"/>
      <c r="Q172" s="1447">
        <v>44020</v>
      </c>
      <c r="R172" s="656">
        <v>44286</v>
      </c>
      <c r="S172" s="656" t="s">
        <v>472</v>
      </c>
      <c r="T172" s="656"/>
      <c r="U172" s="656"/>
      <c r="V172" s="656"/>
      <c r="W172" s="656" t="s">
        <v>13051</v>
      </c>
      <c r="X172" s="656" t="s">
        <v>498</v>
      </c>
      <c r="Y172" s="656" t="s">
        <v>14278</v>
      </c>
      <c r="Z172" s="656">
        <v>44305.526678240742</v>
      </c>
      <c r="AA172" s="656" t="s">
        <v>14335</v>
      </c>
      <c r="AB172" s="656"/>
    </row>
    <row r="173" spans="1:28">
      <c r="A173" s="656" t="s">
        <v>9079</v>
      </c>
      <c r="B173" s="656" t="s">
        <v>9078</v>
      </c>
      <c r="C173" s="656" t="s">
        <v>20</v>
      </c>
      <c r="D173" s="656" t="s">
        <v>10296</v>
      </c>
      <c r="E173" s="656" t="s">
        <v>14279</v>
      </c>
      <c r="F173" s="1447"/>
      <c r="G173" s="656" t="s">
        <v>10295</v>
      </c>
      <c r="H173" s="656" t="s">
        <v>1777</v>
      </c>
      <c r="I173" s="656"/>
      <c r="J173" s="656"/>
      <c r="K173" s="656"/>
      <c r="L173" s="656" t="s">
        <v>10296</v>
      </c>
      <c r="M173" s="656" t="s">
        <v>16196</v>
      </c>
      <c r="N173" s="656"/>
      <c r="O173" s="656" t="s">
        <v>6395</v>
      </c>
      <c r="P173" s="5"/>
      <c r="Q173" s="1447">
        <v>43992</v>
      </c>
      <c r="R173" s="656"/>
      <c r="S173" s="656" t="s">
        <v>472</v>
      </c>
      <c r="T173" s="656"/>
      <c r="U173" s="656"/>
      <c r="V173" s="656"/>
      <c r="W173" s="656" t="s">
        <v>13051</v>
      </c>
      <c r="X173" s="656" t="s">
        <v>498</v>
      </c>
      <c r="Y173" s="656" t="s">
        <v>14278</v>
      </c>
      <c r="Z173" s="656">
        <v>44305.526689814818</v>
      </c>
      <c r="AA173" s="656" t="s">
        <v>14335</v>
      </c>
      <c r="AB173" s="656"/>
    </row>
    <row r="174" spans="1:28">
      <c r="A174" s="656" t="s">
        <v>9083</v>
      </c>
      <c r="B174" s="656" t="s">
        <v>9082</v>
      </c>
      <c r="C174" s="656" t="s">
        <v>21</v>
      </c>
      <c r="D174" s="656" t="s">
        <v>10323</v>
      </c>
      <c r="E174" s="656" t="s">
        <v>14279</v>
      </c>
      <c r="F174" s="1447"/>
      <c r="G174" s="656" t="s">
        <v>10319</v>
      </c>
      <c r="H174" s="656" t="s">
        <v>1777</v>
      </c>
      <c r="I174" s="656" t="s">
        <v>14332</v>
      </c>
      <c r="J174" s="656" t="s">
        <v>10323</v>
      </c>
      <c r="K174" s="656" t="s">
        <v>9774</v>
      </c>
      <c r="L174" s="656"/>
      <c r="M174" s="656" t="s">
        <v>16196</v>
      </c>
      <c r="N174" s="656"/>
      <c r="O174" s="656" t="s">
        <v>9714</v>
      </c>
      <c r="P174" s="5"/>
      <c r="Q174" s="1447">
        <v>44012</v>
      </c>
      <c r="R174" s="656"/>
      <c r="S174" s="656" t="s">
        <v>442</v>
      </c>
      <c r="T174" s="656"/>
      <c r="U174" s="656"/>
      <c r="V174" s="656"/>
      <c r="W174" s="656" t="s">
        <v>13051</v>
      </c>
      <c r="X174" s="656" t="s">
        <v>498</v>
      </c>
      <c r="Y174" s="656" t="s">
        <v>14278</v>
      </c>
      <c r="Z174" s="656">
        <v>44305.526666666665</v>
      </c>
      <c r="AA174" s="656" t="s">
        <v>14335</v>
      </c>
      <c r="AB174" s="656"/>
    </row>
    <row r="175" spans="1:28">
      <c r="A175" s="656" t="s">
        <v>9083</v>
      </c>
      <c r="B175" s="656" t="s">
        <v>9082</v>
      </c>
      <c r="C175" s="656" t="s">
        <v>20</v>
      </c>
      <c r="D175" s="656" t="s">
        <v>10320</v>
      </c>
      <c r="E175" s="656" t="s">
        <v>14279</v>
      </c>
      <c r="F175" s="1447"/>
      <c r="G175" s="656" t="s">
        <v>10319</v>
      </c>
      <c r="H175" s="656" t="s">
        <v>1777</v>
      </c>
      <c r="I175" s="656"/>
      <c r="J175" s="656"/>
      <c r="K175" s="656"/>
      <c r="L175" s="656" t="s">
        <v>10320</v>
      </c>
      <c r="M175" s="656" t="s">
        <v>16196</v>
      </c>
      <c r="N175" s="656"/>
      <c r="O175" s="656" t="s">
        <v>9714</v>
      </c>
      <c r="P175" s="5"/>
      <c r="Q175" s="1447">
        <v>43949</v>
      </c>
      <c r="R175" s="656"/>
      <c r="S175" s="656" t="s">
        <v>442</v>
      </c>
      <c r="T175" s="656"/>
      <c r="U175" s="656"/>
      <c r="V175" s="656"/>
      <c r="W175" s="656" t="s">
        <v>13051</v>
      </c>
      <c r="X175" s="656" t="s">
        <v>498</v>
      </c>
      <c r="Y175" s="656" t="s">
        <v>14278</v>
      </c>
      <c r="Z175" s="656">
        <v>44305.526678240742</v>
      </c>
      <c r="AA175" s="656" t="s">
        <v>14335</v>
      </c>
      <c r="AB175" s="656"/>
    </row>
    <row r="176" spans="1:28">
      <c r="A176" s="656" t="s">
        <v>9083</v>
      </c>
      <c r="B176" s="656" t="s">
        <v>9082</v>
      </c>
      <c r="C176" s="656" t="s">
        <v>20</v>
      </c>
      <c r="D176" s="656" t="s">
        <v>10321</v>
      </c>
      <c r="E176" s="656" t="s">
        <v>14279</v>
      </c>
      <c r="F176" s="1447"/>
      <c r="G176" s="656" t="s">
        <v>10319</v>
      </c>
      <c r="H176" s="656" t="s">
        <v>1777</v>
      </c>
      <c r="I176" s="656"/>
      <c r="J176" s="656"/>
      <c r="K176" s="656"/>
      <c r="L176" s="656" t="s">
        <v>10321</v>
      </c>
      <c r="M176" s="656" t="s">
        <v>16196</v>
      </c>
      <c r="N176" s="656"/>
      <c r="O176" s="656" t="s">
        <v>9714</v>
      </c>
      <c r="P176" s="5"/>
      <c r="Q176" s="1447">
        <v>43949</v>
      </c>
      <c r="R176" s="656"/>
      <c r="S176" s="656" t="s">
        <v>442</v>
      </c>
      <c r="T176" s="656"/>
      <c r="U176" s="656"/>
      <c r="V176" s="656"/>
      <c r="W176" s="656" t="s">
        <v>13051</v>
      </c>
      <c r="X176" s="656" t="s">
        <v>498</v>
      </c>
      <c r="Y176" s="656" t="s">
        <v>14278</v>
      </c>
      <c r="Z176" s="656">
        <v>44305.526678240742</v>
      </c>
      <c r="AA176" s="656" t="s">
        <v>14335</v>
      </c>
      <c r="AB176" s="656"/>
    </row>
    <row r="177" spans="1:28" ht="29">
      <c r="A177" s="656" t="s">
        <v>9091</v>
      </c>
      <c r="B177" s="656" t="s">
        <v>9090</v>
      </c>
      <c r="C177" s="656" t="s">
        <v>21</v>
      </c>
      <c r="D177" s="656" t="s">
        <v>15473</v>
      </c>
      <c r="E177" s="656" t="s">
        <v>14313</v>
      </c>
      <c r="F177" s="1447"/>
      <c r="G177" s="656" t="s">
        <v>15474</v>
      </c>
      <c r="H177" s="656" t="s">
        <v>1777</v>
      </c>
      <c r="I177" s="656" t="s">
        <v>15475</v>
      </c>
      <c r="J177" s="656" t="s">
        <v>15473</v>
      </c>
      <c r="K177" s="656" t="s">
        <v>9774</v>
      </c>
      <c r="L177" s="656"/>
      <c r="M177" s="656" t="s">
        <v>16196</v>
      </c>
      <c r="N177" s="656"/>
      <c r="O177" s="656" t="s">
        <v>10186</v>
      </c>
      <c r="P177" s="5" t="s">
        <v>16466</v>
      </c>
      <c r="Q177" s="1447">
        <v>44238</v>
      </c>
      <c r="R177" s="656">
        <v>44286</v>
      </c>
      <c r="S177" s="656" t="s">
        <v>469</v>
      </c>
      <c r="T177" s="656"/>
      <c r="U177" s="656"/>
      <c r="V177" s="656"/>
      <c r="W177" s="656" t="s">
        <v>13051</v>
      </c>
      <c r="X177" s="656" t="s">
        <v>498</v>
      </c>
      <c r="Y177" s="656" t="s">
        <v>14278</v>
      </c>
      <c r="Z177" s="656">
        <v>44319.422210648147</v>
      </c>
      <c r="AA177" s="656" t="s">
        <v>14276</v>
      </c>
      <c r="AB177" s="656"/>
    </row>
    <row r="178" spans="1:28">
      <c r="A178" s="656" t="s">
        <v>9091</v>
      </c>
      <c r="B178" s="656" t="s">
        <v>9090</v>
      </c>
      <c r="C178" s="656" t="s">
        <v>20</v>
      </c>
      <c r="D178" s="656" t="s">
        <v>15961</v>
      </c>
      <c r="E178" s="656" t="s">
        <v>14279</v>
      </c>
      <c r="F178" s="1447"/>
      <c r="G178" s="656" t="s">
        <v>15474</v>
      </c>
      <c r="H178" s="656" t="s">
        <v>1777</v>
      </c>
      <c r="I178" s="656"/>
      <c r="J178" s="656"/>
      <c r="K178" s="656"/>
      <c r="L178" s="656" t="s">
        <v>15961</v>
      </c>
      <c r="M178" s="656" t="s">
        <v>16196</v>
      </c>
      <c r="N178" s="656"/>
      <c r="O178" s="656" t="s">
        <v>10186</v>
      </c>
      <c r="P178" s="5"/>
      <c r="Q178" s="1447">
        <v>44238</v>
      </c>
      <c r="R178" s="656"/>
      <c r="S178" s="656" t="s">
        <v>469</v>
      </c>
      <c r="T178" s="656"/>
      <c r="U178" s="656"/>
      <c r="V178" s="656"/>
      <c r="W178" s="656" t="s">
        <v>13051</v>
      </c>
      <c r="X178" s="656" t="s">
        <v>498</v>
      </c>
      <c r="Y178" s="656" t="s">
        <v>14278</v>
      </c>
      <c r="Z178" s="656">
        <v>44305.527337962965</v>
      </c>
      <c r="AA178" s="656" t="s">
        <v>14335</v>
      </c>
      <c r="AB178" s="656"/>
    </row>
    <row r="179" spans="1:28">
      <c r="A179" s="656" t="s">
        <v>15760</v>
      </c>
      <c r="B179" s="656" t="s">
        <v>15761</v>
      </c>
      <c r="C179" s="656" t="s">
        <v>20</v>
      </c>
      <c r="D179" s="656" t="s">
        <v>16328</v>
      </c>
      <c r="E179" s="656" t="s">
        <v>14279</v>
      </c>
      <c r="F179" s="1447"/>
      <c r="G179" s="656" t="s">
        <v>16329</v>
      </c>
      <c r="H179" s="656" t="s">
        <v>1777</v>
      </c>
      <c r="I179" s="656"/>
      <c r="J179" s="656"/>
      <c r="K179" s="656"/>
      <c r="L179" s="656" t="s">
        <v>16328</v>
      </c>
      <c r="M179" s="656" t="s">
        <v>16330</v>
      </c>
      <c r="N179" s="656"/>
      <c r="O179" s="656" t="s">
        <v>6421</v>
      </c>
      <c r="P179" s="5"/>
      <c r="Q179" s="1447">
        <v>44309</v>
      </c>
      <c r="R179" s="656"/>
      <c r="S179" s="656" t="s">
        <v>462</v>
      </c>
      <c r="T179" s="656"/>
      <c r="U179" s="656"/>
      <c r="V179" s="656"/>
      <c r="W179" s="656" t="s">
        <v>13051</v>
      </c>
      <c r="X179" s="656" t="s">
        <v>498</v>
      </c>
      <c r="Y179" s="656" t="s">
        <v>14278</v>
      </c>
      <c r="Z179" s="656">
        <v>44312.462997685187</v>
      </c>
      <c r="AA179" s="656" t="s">
        <v>14276</v>
      </c>
      <c r="AB179" s="656"/>
    </row>
    <row r="180" spans="1:28">
      <c r="A180" s="656" t="s">
        <v>9119</v>
      </c>
      <c r="B180" s="656" t="s">
        <v>9512</v>
      </c>
      <c r="C180" s="656" t="s">
        <v>21</v>
      </c>
      <c r="D180" s="656" t="s">
        <v>12392</v>
      </c>
      <c r="E180" s="656" t="s">
        <v>14279</v>
      </c>
      <c r="F180" s="1447"/>
      <c r="G180" s="656" t="s">
        <v>12393</v>
      </c>
      <c r="H180" s="656" t="s">
        <v>1777</v>
      </c>
      <c r="I180" s="656" t="s">
        <v>14333</v>
      </c>
      <c r="J180" s="656" t="s">
        <v>12392</v>
      </c>
      <c r="K180" s="656" t="s">
        <v>9774</v>
      </c>
      <c r="L180" s="656"/>
      <c r="M180" s="656" t="s">
        <v>16196</v>
      </c>
      <c r="N180" s="656"/>
      <c r="O180" s="656" t="s">
        <v>6421</v>
      </c>
      <c r="P180" s="5"/>
      <c r="Q180" s="1447">
        <v>44041</v>
      </c>
      <c r="R180" s="656"/>
      <c r="S180" s="656" t="s">
        <v>462</v>
      </c>
      <c r="T180" s="656"/>
      <c r="U180" s="656"/>
      <c r="V180" s="656"/>
      <c r="W180" s="656" t="s">
        <v>13051</v>
      </c>
      <c r="X180" s="656" t="s">
        <v>498</v>
      </c>
      <c r="Y180" s="656" t="s">
        <v>14278</v>
      </c>
      <c r="Z180" s="656">
        <v>44305.526643518519</v>
      </c>
      <c r="AA180" s="656" t="s">
        <v>14335</v>
      </c>
      <c r="AB180" s="656"/>
    </row>
    <row r="181" spans="1:28">
      <c r="A181" s="656" t="s">
        <v>9119</v>
      </c>
      <c r="B181" s="656" t="s">
        <v>9512</v>
      </c>
      <c r="C181" s="656" t="s">
        <v>20</v>
      </c>
      <c r="D181" s="656" t="s">
        <v>12419</v>
      </c>
      <c r="E181" s="656" t="s">
        <v>14279</v>
      </c>
      <c r="F181" s="1447"/>
      <c r="G181" s="656" t="s">
        <v>12393</v>
      </c>
      <c r="H181" s="656" t="s">
        <v>1777</v>
      </c>
      <c r="I181" s="656"/>
      <c r="J181" s="656"/>
      <c r="K181" s="656"/>
      <c r="L181" s="656" t="s">
        <v>12419</v>
      </c>
      <c r="M181" s="656" t="s">
        <v>16196</v>
      </c>
      <c r="N181" s="656"/>
      <c r="O181" s="656" t="s">
        <v>6387</v>
      </c>
      <c r="P181" s="5"/>
      <c r="Q181" s="1447">
        <v>43991</v>
      </c>
      <c r="R181" s="656"/>
      <c r="S181" s="656" t="s">
        <v>462</v>
      </c>
      <c r="T181" s="656"/>
      <c r="U181" s="656"/>
      <c r="V181" s="656" t="s">
        <v>14323</v>
      </c>
      <c r="W181" s="656" t="s">
        <v>13051</v>
      </c>
      <c r="X181" s="656" t="s">
        <v>498</v>
      </c>
      <c r="Y181" s="656" t="s">
        <v>14278</v>
      </c>
      <c r="Z181" s="656">
        <v>44305.526655092595</v>
      </c>
      <c r="AA181" s="656" t="s">
        <v>14335</v>
      </c>
      <c r="AB181" s="656"/>
    </row>
    <row r="182" spans="1:28">
      <c r="A182" s="656" t="s">
        <v>9119</v>
      </c>
      <c r="B182" s="656" t="s">
        <v>9512</v>
      </c>
      <c r="C182" s="656" t="s">
        <v>20</v>
      </c>
      <c r="D182" s="656" t="s">
        <v>12420</v>
      </c>
      <c r="E182" s="656" t="s">
        <v>14279</v>
      </c>
      <c r="F182" s="1447"/>
      <c r="G182" s="656" t="s">
        <v>12393</v>
      </c>
      <c r="H182" s="656" t="s">
        <v>1777</v>
      </c>
      <c r="I182" s="656"/>
      <c r="J182" s="656"/>
      <c r="K182" s="656"/>
      <c r="L182" s="656" t="s">
        <v>12420</v>
      </c>
      <c r="M182" s="656" t="s">
        <v>16196</v>
      </c>
      <c r="N182" s="656"/>
      <c r="O182" s="656" t="s">
        <v>6387</v>
      </c>
      <c r="P182" s="5"/>
      <c r="Q182" s="1447">
        <v>43991</v>
      </c>
      <c r="R182" s="656"/>
      <c r="S182" s="656" t="s">
        <v>462</v>
      </c>
      <c r="T182" s="656"/>
      <c r="U182" s="656"/>
      <c r="V182" s="656" t="s">
        <v>14361</v>
      </c>
      <c r="W182" s="656" t="s">
        <v>13051</v>
      </c>
      <c r="X182" s="656" t="s">
        <v>498</v>
      </c>
      <c r="Y182" s="656" t="s">
        <v>14278</v>
      </c>
      <c r="Z182" s="656">
        <v>44305.526655092595</v>
      </c>
      <c r="AA182" s="656" t="s">
        <v>14335</v>
      </c>
      <c r="AB182" s="656"/>
    </row>
    <row r="183" spans="1:28">
      <c r="A183" s="656" t="s">
        <v>9120</v>
      </c>
      <c r="B183" s="656" t="s">
        <v>9513</v>
      </c>
      <c r="C183" s="656" t="s">
        <v>20</v>
      </c>
      <c r="D183" s="656" t="s">
        <v>12416</v>
      </c>
      <c r="E183" s="656" t="s">
        <v>14279</v>
      </c>
      <c r="F183" s="1447"/>
      <c r="G183" s="656" t="s">
        <v>12417</v>
      </c>
      <c r="H183" s="656" t="s">
        <v>1777</v>
      </c>
      <c r="I183" s="656"/>
      <c r="J183" s="656"/>
      <c r="K183" s="656"/>
      <c r="L183" s="656" t="s">
        <v>12416</v>
      </c>
      <c r="M183" s="656" t="s">
        <v>16196</v>
      </c>
      <c r="N183" s="656"/>
      <c r="O183" s="656" t="s">
        <v>6387</v>
      </c>
      <c r="P183" s="5"/>
      <c r="Q183" s="1447">
        <v>43991</v>
      </c>
      <c r="R183" s="656"/>
      <c r="S183" s="656" t="s">
        <v>462</v>
      </c>
      <c r="T183" s="656"/>
      <c r="U183" s="656"/>
      <c r="V183" s="656" t="s">
        <v>14323</v>
      </c>
      <c r="W183" s="656" t="s">
        <v>13051</v>
      </c>
      <c r="X183" s="656" t="s">
        <v>498</v>
      </c>
      <c r="Y183" s="656" t="s">
        <v>14278</v>
      </c>
      <c r="Z183" s="656">
        <v>44305.526631944442</v>
      </c>
      <c r="AA183" s="656" t="s">
        <v>14335</v>
      </c>
      <c r="AB183" s="656"/>
    </row>
    <row r="184" spans="1:28">
      <c r="A184" s="656" t="s">
        <v>9120</v>
      </c>
      <c r="B184" s="656" t="s">
        <v>9513</v>
      </c>
      <c r="C184" s="656" t="s">
        <v>20</v>
      </c>
      <c r="D184" s="656" t="s">
        <v>12418</v>
      </c>
      <c r="E184" s="656" t="s">
        <v>14279</v>
      </c>
      <c r="F184" s="1447"/>
      <c r="G184" s="656" t="s">
        <v>12417</v>
      </c>
      <c r="H184" s="656" t="s">
        <v>1777</v>
      </c>
      <c r="I184" s="656"/>
      <c r="J184" s="656"/>
      <c r="K184" s="656"/>
      <c r="L184" s="656" t="s">
        <v>12418</v>
      </c>
      <c r="M184" s="656" t="s">
        <v>16196</v>
      </c>
      <c r="N184" s="656"/>
      <c r="O184" s="656" t="s">
        <v>6387</v>
      </c>
      <c r="P184" s="5"/>
      <c r="Q184" s="1447">
        <v>43991</v>
      </c>
      <c r="R184" s="656"/>
      <c r="S184" s="656" t="s">
        <v>462</v>
      </c>
      <c r="T184" s="656"/>
      <c r="U184" s="656"/>
      <c r="V184" s="656" t="s">
        <v>14361</v>
      </c>
      <c r="W184" s="656" t="s">
        <v>13051</v>
      </c>
      <c r="X184" s="656" t="s">
        <v>498</v>
      </c>
      <c r="Y184" s="656" t="s">
        <v>14278</v>
      </c>
      <c r="Z184" s="656">
        <v>44305.526643518519</v>
      </c>
      <c r="AA184" s="656" t="s">
        <v>14335</v>
      </c>
      <c r="AB184" s="656"/>
    </row>
    <row r="185" spans="1:28">
      <c r="A185" s="656" t="s">
        <v>9667</v>
      </c>
      <c r="B185" s="656" t="s">
        <v>9666</v>
      </c>
      <c r="C185" s="656" t="s">
        <v>21</v>
      </c>
      <c r="D185" s="656" t="s">
        <v>12854</v>
      </c>
      <c r="E185" s="656" t="s">
        <v>14313</v>
      </c>
      <c r="F185" s="1447"/>
      <c r="G185" s="656" t="s">
        <v>12519</v>
      </c>
      <c r="H185" s="656" t="s">
        <v>1777</v>
      </c>
      <c r="I185" s="656" t="s">
        <v>14334</v>
      </c>
      <c r="J185" s="656" t="s">
        <v>12854</v>
      </c>
      <c r="K185" s="656" t="s">
        <v>9774</v>
      </c>
      <c r="L185" s="656"/>
      <c r="M185" s="656" t="s">
        <v>16196</v>
      </c>
      <c r="N185" s="656"/>
      <c r="O185" s="656" t="s">
        <v>10186</v>
      </c>
      <c r="P185" s="5"/>
      <c r="Q185" s="1447">
        <v>44130</v>
      </c>
      <c r="R185" s="656">
        <v>44286</v>
      </c>
      <c r="S185" s="656" t="s">
        <v>469</v>
      </c>
      <c r="T185" s="656"/>
      <c r="U185" s="656"/>
      <c r="V185" s="656"/>
      <c r="W185" s="656" t="s">
        <v>13051</v>
      </c>
      <c r="X185" s="656" t="s">
        <v>498</v>
      </c>
      <c r="Y185" s="656" t="s">
        <v>14278</v>
      </c>
      <c r="Z185" s="656">
        <v>44305.526620370372</v>
      </c>
      <c r="AA185" s="656" t="s">
        <v>14335</v>
      </c>
      <c r="AB185" s="656"/>
    </row>
    <row r="186" spans="1:28">
      <c r="A186" s="656" t="s">
        <v>9667</v>
      </c>
      <c r="B186" s="656" t="s">
        <v>9666</v>
      </c>
      <c r="C186" s="656" t="s">
        <v>20</v>
      </c>
      <c r="D186" s="656" t="s">
        <v>12518</v>
      </c>
      <c r="E186" s="656" t="s">
        <v>14279</v>
      </c>
      <c r="F186" s="1447"/>
      <c r="G186" s="656" t="s">
        <v>12519</v>
      </c>
      <c r="H186" s="656" t="s">
        <v>1777</v>
      </c>
      <c r="I186" s="656"/>
      <c r="J186" s="656"/>
      <c r="K186" s="656"/>
      <c r="L186" s="656" t="s">
        <v>12518</v>
      </c>
      <c r="M186" s="656" t="s">
        <v>16196</v>
      </c>
      <c r="N186" s="656"/>
      <c r="O186" s="656" t="s">
        <v>10186</v>
      </c>
      <c r="P186" s="5"/>
      <c r="Q186" s="1447">
        <v>44075</v>
      </c>
      <c r="R186" s="656"/>
      <c r="S186" s="656" t="s">
        <v>469</v>
      </c>
      <c r="T186" s="656"/>
      <c r="U186" s="656"/>
      <c r="V186" s="656"/>
      <c r="W186" s="656" t="s">
        <v>13051</v>
      </c>
      <c r="X186" s="656" t="s">
        <v>498</v>
      </c>
      <c r="Y186" s="656" t="s">
        <v>14278</v>
      </c>
      <c r="Z186" s="656">
        <v>44305.526631944442</v>
      </c>
      <c r="AA186" s="656" t="s">
        <v>14335</v>
      </c>
      <c r="AB186" s="656"/>
    </row>
    <row r="187" spans="1:28">
      <c r="A187" s="656" t="s">
        <v>9122</v>
      </c>
      <c r="B187" s="656" t="s">
        <v>9121</v>
      </c>
      <c r="C187" s="656" t="s">
        <v>20</v>
      </c>
      <c r="D187" s="656" t="s">
        <v>10348</v>
      </c>
      <c r="E187" s="656" t="s">
        <v>14279</v>
      </c>
      <c r="F187" s="1447"/>
      <c r="G187" s="656" t="s">
        <v>10347</v>
      </c>
      <c r="H187" s="656" t="s">
        <v>1777</v>
      </c>
      <c r="I187" s="656"/>
      <c r="J187" s="656"/>
      <c r="K187" s="656"/>
      <c r="L187" s="656" t="s">
        <v>10348</v>
      </c>
      <c r="M187" s="656" t="s">
        <v>16196</v>
      </c>
      <c r="N187" s="656"/>
      <c r="O187" s="656" t="s">
        <v>10186</v>
      </c>
      <c r="P187" s="5"/>
      <c r="Q187" s="1447">
        <v>44033</v>
      </c>
      <c r="R187" s="656"/>
      <c r="S187" s="656" t="s">
        <v>469</v>
      </c>
      <c r="T187" s="656"/>
      <c r="U187" s="656"/>
      <c r="V187" s="656"/>
      <c r="W187" s="656" t="s">
        <v>13051</v>
      </c>
      <c r="X187" s="656" t="s">
        <v>498</v>
      </c>
      <c r="Y187" s="656" t="s">
        <v>14278</v>
      </c>
      <c r="Z187" s="656">
        <v>44305.526620370372</v>
      </c>
      <c r="AA187" s="656" t="s">
        <v>14335</v>
      </c>
      <c r="AB187" s="656"/>
    </row>
    <row r="188" spans="1:28" ht="145">
      <c r="A188" s="656" t="s">
        <v>15354</v>
      </c>
      <c r="B188" s="656"/>
      <c r="C188" s="656" t="s">
        <v>21</v>
      </c>
      <c r="D188" s="656" t="s">
        <v>15355</v>
      </c>
      <c r="E188" s="656" t="s">
        <v>14279</v>
      </c>
      <c r="F188" s="1447"/>
      <c r="G188" s="656"/>
      <c r="H188" s="656" t="s">
        <v>1777</v>
      </c>
      <c r="I188" s="656" t="s">
        <v>15356</v>
      </c>
      <c r="J188" s="656" t="s">
        <v>15355</v>
      </c>
      <c r="K188" s="656" t="s">
        <v>9774</v>
      </c>
      <c r="L188" s="656"/>
      <c r="M188" s="656"/>
      <c r="N188" s="656"/>
      <c r="O188" s="656"/>
      <c r="P188" s="5" t="s">
        <v>15427</v>
      </c>
      <c r="Q188" s="1447">
        <v>44173</v>
      </c>
      <c r="R188" s="656"/>
      <c r="S188" s="656"/>
      <c r="T188" s="656"/>
      <c r="U188" s="656"/>
      <c r="V188" s="656"/>
      <c r="W188" s="656" t="s">
        <v>13051</v>
      </c>
      <c r="X188" s="656" t="s">
        <v>498</v>
      </c>
      <c r="Y188" s="656" t="s">
        <v>14278</v>
      </c>
      <c r="Z188" s="656">
        <v>44305.527280092596</v>
      </c>
      <c r="AA188" s="656" t="s">
        <v>14335</v>
      </c>
      <c r="AB188" s="656"/>
    </row>
    <row r="189" spans="1:28">
      <c r="A189" s="656" t="s">
        <v>9126</v>
      </c>
      <c r="B189" s="656" t="s">
        <v>12801</v>
      </c>
      <c r="C189" s="656" t="s">
        <v>20</v>
      </c>
      <c r="D189" s="656" t="s">
        <v>12800</v>
      </c>
      <c r="E189" s="656" t="s">
        <v>14279</v>
      </c>
      <c r="F189" s="1447"/>
      <c r="G189" s="656"/>
      <c r="H189" s="656" t="s">
        <v>1777</v>
      </c>
      <c r="I189" s="656"/>
      <c r="J189" s="656"/>
      <c r="K189" s="656"/>
      <c r="L189" s="656" t="s">
        <v>12800</v>
      </c>
      <c r="M189" s="656" t="s">
        <v>12703</v>
      </c>
      <c r="N189" s="656" t="s">
        <v>9991</v>
      </c>
      <c r="O189" s="656" t="s">
        <v>2696</v>
      </c>
      <c r="P189" s="5"/>
      <c r="Q189" s="1447">
        <v>43529</v>
      </c>
      <c r="R189" s="656"/>
      <c r="S189" s="656" t="s">
        <v>12706</v>
      </c>
      <c r="T189" s="656" t="s">
        <v>12706</v>
      </c>
      <c r="U189" s="656" t="s">
        <v>14336</v>
      </c>
      <c r="V189" s="656"/>
      <c r="W189" s="656" t="s">
        <v>13051</v>
      </c>
      <c r="X189" s="656" t="s">
        <v>498</v>
      </c>
      <c r="Y189" s="656" t="s">
        <v>14278</v>
      </c>
      <c r="Z189" s="656">
        <v>44305.526550925926</v>
      </c>
      <c r="AA189" s="656" t="s">
        <v>14335</v>
      </c>
      <c r="AB189" s="656"/>
    </row>
    <row r="190" spans="1:28">
      <c r="A190" s="656" t="s">
        <v>9126</v>
      </c>
      <c r="B190" s="656" t="s">
        <v>12803</v>
      </c>
      <c r="C190" s="656" t="s">
        <v>20</v>
      </c>
      <c r="D190" s="656" t="s">
        <v>12802</v>
      </c>
      <c r="E190" s="656" t="s">
        <v>14279</v>
      </c>
      <c r="F190" s="1447"/>
      <c r="G190" s="656"/>
      <c r="H190" s="656" t="s">
        <v>1777</v>
      </c>
      <c r="I190" s="656"/>
      <c r="J190" s="656"/>
      <c r="K190" s="656"/>
      <c r="L190" s="656" t="s">
        <v>12802</v>
      </c>
      <c r="M190" s="656" t="s">
        <v>12703</v>
      </c>
      <c r="N190" s="656" t="s">
        <v>9991</v>
      </c>
      <c r="O190" s="656" t="s">
        <v>2696</v>
      </c>
      <c r="P190" s="5"/>
      <c r="Q190" s="1447">
        <v>43558</v>
      </c>
      <c r="R190" s="656"/>
      <c r="S190" s="656" t="s">
        <v>12706</v>
      </c>
      <c r="T190" s="656" t="s">
        <v>12706</v>
      </c>
      <c r="U190" s="656" t="s">
        <v>14336</v>
      </c>
      <c r="V190" s="656"/>
      <c r="W190" s="656" t="s">
        <v>13051</v>
      </c>
      <c r="X190" s="656" t="s">
        <v>498</v>
      </c>
      <c r="Y190" s="656" t="s">
        <v>14278</v>
      </c>
      <c r="Z190" s="656">
        <v>44305.526562500003</v>
      </c>
      <c r="AA190" s="656" t="s">
        <v>14335</v>
      </c>
      <c r="AB190" s="656"/>
    </row>
    <row r="191" spans="1:28">
      <c r="A191" s="656" t="s">
        <v>9126</v>
      </c>
      <c r="B191" s="656" t="s">
        <v>12805</v>
      </c>
      <c r="C191" s="656" t="s">
        <v>20</v>
      </c>
      <c r="D191" s="656" t="s">
        <v>12804</v>
      </c>
      <c r="E191" s="656" t="s">
        <v>14279</v>
      </c>
      <c r="F191" s="1447"/>
      <c r="G191" s="656"/>
      <c r="H191" s="656" t="s">
        <v>1777</v>
      </c>
      <c r="I191" s="656"/>
      <c r="J191" s="656"/>
      <c r="K191" s="656"/>
      <c r="L191" s="656" t="s">
        <v>12804</v>
      </c>
      <c r="M191" s="656" t="s">
        <v>12707</v>
      </c>
      <c r="N191" s="656" t="s">
        <v>9991</v>
      </c>
      <c r="O191" s="656" t="s">
        <v>2696</v>
      </c>
      <c r="P191" s="5"/>
      <c r="Q191" s="1447">
        <v>43558</v>
      </c>
      <c r="R191" s="656"/>
      <c r="S191" s="656" t="s">
        <v>12706</v>
      </c>
      <c r="T191" s="656" t="s">
        <v>12706</v>
      </c>
      <c r="U191" s="656" t="s">
        <v>14336</v>
      </c>
      <c r="V191" s="656"/>
      <c r="W191" s="656" t="s">
        <v>13051</v>
      </c>
      <c r="X191" s="656" t="s">
        <v>498</v>
      </c>
      <c r="Y191" s="656" t="s">
        <v>14278</v>
      </c>
      <c r="Z191" s="656">
        <v>44305.526562500003</v>
      </c>
      <c r="AA191" s="656" t="s">
        <v>14335</v>
      </c>
      <c r="AB191" s="656"/>
    </row>
    <row r="192" spans="1:28">
      <c r="A192" s="656" t="s">
        <v>9126</v>
      </c>
      <c r="B192" s="656" t="s">
        <v>12807</v>
      </c>
      <c r="C192" s="656" t="s">
        <v>20</v>
      </c>
      <c r="D192" s="656" t="s">
        <v>12806</v>
      </c>
      <c r="E192" s="656" t="s">
        <v>14279</v>
      </c>
      <c r="F192" s="1447"/>
      <c r="G192" s="656"/>
      <c r="H192" s="656" t="s">
        <v>1777</v>
      </c>
      <c r="I192" s="656"/>
      <c r="J192" s="656"/>
      <c r="K192" s="656"/>
      <c r="L192" s="656" t="s">
        <v>12806</v>
      </c>
      <c r="M192" s="656" t="s">
        <v>12710</v>
      </c>
      <c r="N192" s="656" t="s">
        <v>9991</v>
      </c>
      <c r="O192" s="656" t="s">
        <v>2696</v>
      </c>
      <c r="P192" s="5"/>
      <c r="Q192" s="1447">
        <v>43558</v>
      </c>
      <c r="R192" s="656"/>
      <c r="S192" s="656" t="s">
        <v>12706</v>
      </c>
      <c r="T192" s="656" t="s">
        <v>12706</v>
      </c>
      <c r="U192" s="656" t="s">
        <v>14336</v>
      </c>
      <c r="V192" s="656"/>
      <c r="W192" s="656" t="s">
        <v>13051</v>
      </c>
      <c r="X192" s="656" t="s">
        <v>498</v>
      </c>
      <c r="Y192" s="656" t="s">
        <v>14278</v>
      </c>
      <c r="Z192" s="656">
        <v>44305.526574074072</v>
      </c>
      <c r="AA192" s="656" t="s">
        <v>14335</v>
      </c>
      <c r="AB192" s="656"/>
    </row>
    <row r="193" spans="1:28">
      <c r="A193" s="656" t="s">
        <v>9126</v>
      </c>
      <c r="B193" s="656" t="s">
        <v>12811</v>
      </c>
      <c r="C193" s="656" t="s">
        <v>20</v>
      </c>
      <c r="D193" s="656" t="s">
        <v>12810</v>
      </c>
      <c r="E193" s="656" t="s">
        <v>14279</v>
      </c>
      <c r="F193" s="1447"/>
      <c r="G193" s="656"/>
      <c r="H193" s="656" t="s">
        <v>1777</v>
      </c>
      <c r="I193" s="656"/>
      <c r="J193" s="656"/>
      <c r="K193" s="656"/>
      <c r="L193" s="656" t="s">
        <v>12810</v>
      </c>
      <c r="M193" s="656" t="s">
        <v>12735</v>
      </c>
      <c r="N193" s="656" t="s">
        <v>9991</v>
      </c>
      <c r="O193" s="656" t="s">
        <v>2696</v>
      </c>
      <c r="P193" s="5"/>
      <c r="Q193" s="1447">
        <v>43588</v>
      </c>
      <c r="R193" s="656"/>
      <c r="S193" s="656" t="s">
        <v>12706</v>
      </c>
      <c r="T193" s="656" t="s">
        <v>12706</v>
      </c>
      <c r="U193" s="656" t="s">
        <v>14336</v>
      </c>
      <c r="V193" s="656"/>
      <c r="W193" s="656" t="s">
        <v>13051</v>
      </c>
      <c r="X193" s="656" t="s">
        <v>498</v>
      </c>
      <c r="Y193" s="656" t="s">
        <v>14278</v>
      </c>
      <c r="Z193" s="656">
        <v>44305.526574074072</v>
      </c>
      <c r="AA193" s="656" t="s">
        <v>14335</v>
      </c>
      <c r="AB193" s="656"/>
    </row>
    <row r="194" spans="1:28">
      <c r="A194" s="656" t="s">
        <v>9126</v>
      </c>
      <c r="B194" s="656" t="s">
        <v>12813</v>
      </c>
      <c r="C194" s="656" t="s">
        <v>20</v>
      </c>
      <c r="D194" s="656" t="s">
        <v>12812</v>
      </c>
      <c r="E194" s="656" t="s">
        <v>14279</v>
      </c>
      <c r="F194" s="1447"/>
      <c r="G194" s="656"/>
      <c r="H194" s="656" t="s">
        <v>1777</v>
      </c>
      <c r="I194" s="656"/>
      <c r="J194" s="656"/>
      <c r="K194" s="656"/>
      <c r="L194" s="656" t="s">
        <v>12812</v>
      </c>
      <c r="M194" s="656" t="s">
        <v>12707</v>
      </c>
      <c r="N194" s="656" t="s">
        <v>9991</v>
      </c>
      <c r="O194" s="656" t="s">
        <v>2696</v>
      </c>
      <c r="P194" s="5"/>
      <c r="Q194" s="1447">
        <v>43529</v>
      </c>
      <c r="R194" s="656"/>
      <c r="S194" s="656" t="s">
        <v>12706</v>
      </c>
      <c r="T194" s="656" t="s">
        <v>12706</v>
      </c>
      <c r="U194" s="656" t="s">
        <v>14336</v>
      </c>
      <c r="V194" s="656"/>
      <c r="W194" s="656" t="s">
        <v>13051</v>
      </c>
      <c r="X194" s="656" t="s">
        <v>498</v>
      </c>
      <c r="Y194" s="656" t="s">
        <v>14278</v>
      </c>
      <c r="Z194" s="656">
        <v>44305.526585648149</v>
      </c>
      <c r="AA194" s="656" t="s">
        <v>14335</v>
      </c>
      <c r="AB194" s="656"/>
    </row>
    <row r="195" spans="1:28">
      <c r="A195" s="656" t="s">
        <v>9126</v>
      </c>
      <c r="B195" s="656" t="s">
        <v>12809</v>
      </c>
      <c r="C195" s="656" t="s">
        <v>20</v>
      </c>
      <c r="D195" s="656" t="s">
        <v>12808</v>
      </c>
      <c r="E195" s="656" t="s">
        <v>14279</v>
      </c>
      <c r="F195" s="1447"/>
      <c r="G195" s="656"/>
      <c r="H195" s="656" t="s">
        <v>1777</v>
      </c>
      <c r="I195" s="656"/>
      <c r="J195" s="656"/>
      <c r="K195" s="656"/>
      <c r="L195" s="656" t="s">
        <v>12808</v>
      </c>
      <c r="M195" s="656" t="s">
        <v>12713</v>
      </c>
      <c r="N195" s="656" t="s">
        <v>9991</v>
      </c>
      <c r="O195" s="656" t="s">
        <v>2696</v>
      </c>
      <c r="P195" s="5"/>
      <c r="Q195" s="1447">
        <v>43558</v>
      </c>
      <c r="R195" s="656"/>
      <c r="S195" s="656" t="s">
        <v>12706</v>
      </c>
      <c r="T195" s="656" t="s">
        <v>12706</v>
      </c>
      <c r="U195" s="656" t="s">
        <v>14336</v>
      </c>
      <c r="V195" s="656"/>
      <c r="W195" s="656" t="s">
        <v>13051</v>
      </c>
      <c r="X195" s="656" t="s">
        <v>498</v>
      </c>
      <c r="Y195" s="656" t="s">
        <v>14278</v>
      </c>
      <c r="Z195" s="656">
        <v>44305.526597222219</v>
      </c>
      <c r="AA195" s="656" t="s">
        <v>14335</v>
      </c>
      <c r="AB195" s="656"/>
    </row>
    <row r="196" spans="1:28">
      <c r="A196" s="656" t="s">
        <v>9126</v>
      </c>
      <c r="B196" s="656" t="s">
        <v>12809</v>
      </c>
      <c r="C196" s="656" t="s">
        <v>20</v>
      </c>
      <c r="D196" s="656" t="s">
        <v>12814</v>
      </c>
      <c r="E196" s="656" t="s">
        <v>14279</v>
      </c>
      <c r="F196" s="1447"/>
      <c r="G196" s="656"/>
      <c r="H196" s="656" t="s">
        <v>1777</v>
      </c>
      <c r="I196" s="656"/>
      <c r="J196" s="656"/>
      <c r="K196" s="656"/>
      <c r="L196" s="656" t="s">
        <v>12814</v>
      </c>
      <c r="M196" s="656" t="s">
        <v>12783</v>
      </c>
      <c r="N196" s="656" t="s">
        <v>9991</v>
      </c>
      <c r="O196" s="656" t="s">
        <v>2696</v>
      </c>
      <c r="P196" s="5"/>
      <c r="Q196" s="1447">
        <v>43972</v>
      </c>
      <c r="R196" s="656"/>
      <c r="S196" s="656" t="s">
        <v>12706</v>
      </c>
      <c r="T196" s="656" t="s">
        <v>12706</v>
      </c>
      <c r="U196" s="656" t="s">
        <v>14336</v>
      </c>
      <c r="V196" s="656"/>
      <c r="W196" s="656" t="s">
        <v>13051</v>
      </c>
      <c r="X196" s="656" t="s">
        <v>498</v>
      </c>
      <c r="Y196" s="656" t="s">
        <v>14278</v>
      </c>
      <c r="Z196" s="656">
        <v>44305.526608796295</v>
      </c>
      <c r="AA196" s="656" t="s">
        <v>14335</v>
      </c>
      <c r="AB196" s="656"/>
    </row>
    <row r="197" spans="1:28">
      <c r="A197" s="656" t="s">
        <v>9126</v>
      </c>
      <c r="B197" s="656" t="s">
        <v>12816</v>
      </c>
      <c r="C197" s="656" t="s">
        <v>20</v>
      </c>
      <c r="D197" s="656" t="s">
        <v>12815</v>
      </c>
      <c r="E197" s="656" t="s">
        <v>14279</v>
      </c>
      <c r="F197" s="1447"/>
      <c r="G197" s="656"/>
      <c r="H197" s="656" t="s">
        <v>1777</v>
      </c>
      <c r="I197" s="656"/>
      <c r="J197" s="656"/>
      <c r="K197" s="656"/>
      <c r="L197" s="656" t="s">
        <v>12815</v>
      </c>
      <c r="M197" s="656" t="s">
        <v>12713</v>
      </c>
      <c r="N197" s="656" t="s">
        <v>9991</v>
      </c>
      <c r="O197" s="656" t="s">
        <v>2696</v>
      </c>
      <c r="P197" s="5"/>
      <c r="Q197" s="1447">
        <v>43529</v>
      </c>
      <c r="R197" s="656"/>
      <c r="S197" s="656" t="s">
        <v>12706</v>
      </c>
      <c r="T197" s="656" t="s">
        <v>12706</v>
      </c>
      <c r="U197" s="656" t="s">
        <v>14336</v>
      </c>
      <c r="V197" s="656"/>
      <c r="W197" s="656" t="s">
        <v>13051</v>
      </c>
      <c r="X197" s="656" t="s">
        <v>498</v>
      </c>
      <c r="Y197" s="656" t="s">
        <v>14278</v>
      </c>
      <c r="Z197" s="656">
        <v>44305.526608796295</v>
      </c>
      <c r="AA197" s="656" t="s">
        <v>14335</v>
      </c>
      <c r="AB197" s="656"/>
    </row>
    <row r="198" spans="1:28">
      <c r="A198" s="656" t="s">
        <v>9126</v>
      </c>
      <c r="B198" s="656" t="s">
        <v>12818</v>
      </c>
      <c r="C198" s="656" t="s">
        <v>20</v>
      </c>
      <c r="D198" s="656" t="s">
        <v>12817</v>
      </c>
      <c r="E198" s="656" t="s">
        <v>14279</v>
      </c>
      <c r="F198" s="1447"/>
      <c r="G198" s="656"/>
      <c r="H198" s="656" t="s">
        <v>1777</v>
      </c>
      <c r="I198" s="656"/>
      <c r="J198" s="656"/>
      <c r="K198" s="656"/>
      <c r="L198" s="656" t="s">
        <v>12817</v>
      </c>
      <c r="M198" s="656" t="s">
        <v>12710</v>
      </c>
      <c r="N198" s="656" t="s">
        <v>9991</v>
      </c>
      <c r="O198" s="656" t="s">
        <v>2696</v>
      </c>
      <c r="P198" s="5"/>
      <c r="Q198" s="1447">
        <v>43529</v>
      </c>
      <c r="R198" s="656"/>
      <c r="S198" s="656" t="s">
        <v>12706</v>
      </c>
      <c r="T198" s="656" t="s">
        <v>12706</v>
      </c>
      <c r="U198" s="656" t="s">
        <v>14336</v>
      </c>
      <c r="V198" s="656"/>
      <c r="W198" s="656" t="s">
        <v>13051</v>
      </c>
      <c r="X198" s="656" t="s">
        <v>498</v>
      </c>
      <c r="Y198" s="656" t="s">
        <v>14278</v>
      </c>
      <c r="Z198" s="656">
        <v>44305.526608796295</v>
      </c>
      <c r="AA198" s="656" t="s">
        <v>14335</v>
      </c>
      <c r="AB198" s="656"/>
    </row>
    <row r="199" spans="1:28" ht="58">
      <c r="A199" s="656" t="s">
        <v>9126</v>
      </c>
      <c r="B199" s="656" t="s">
        <v>9125</v>
      </c>
      <c r="C199" s="656" t="s">
        <v>21</v>
      </c>
      <c r="D199" s="656" t="s">
        <v>15962</v>
      </c>
      <c r="E199" s="656" t="s">
        <v>14279</v>
      </c>
      <c r="F199" s="1447"/>
      <c r="G199" s="656" t="s">
        <v>15963</v>
      </c>
      <c r="H199" s="656" t="s">
        <v>1777</v>
      </c>
      <c r="I199" s="656" t="s">
        <v>15964</v>
      </c>
      <c r="J199" s="656" t="s">
        <v>15962</v>
      </c>
      <c r="K199" s="656" t="s">
        <v>9774</v>
      </c>
      <c r="L199" s="656"/>
      <c r="M199" s="656" t="s">
        <v>12783</v>
      </c>
      <c r="N199" s="656" t="s">
        <v>14557</v>
      </c>
      <c r="O199" s="656" t="s">
        <v>2696</v>
      </c>
      <c r="P199" s="5" t="s">
        <v>16043</v>
      </c>
      <c r="Q199" s="1447">
        <v>44238</v>
      </c>
      <c r="R199" s="656"/>
      <c r="S199" s="656" t="s">
        <v>442</v>
      </c>
      <c r="T199" s="656"/>
      <c r="U199" s="656"/>
      <c r="V199" s="656"/>
      <c r="W199" s="656" t="s">
        <v>13051</v>
      </c>
      <c r="X199" s="656" t="s">
        <v>498</v>
      </c>
      <c r="Y199" s="656" t="s">
        <v>14278</v>
      </c>
      <c r="Z199" s="656">
        <v>44305.527326388888</v>
      </c>
      <c r="AA199" s="656" t="s">
        <v>14335</v>
      </c>
      <c r="AB199" s="656"/>
    </row>
    <row r="200" spans="1:28">
      <c r="A200" s="656" t="s">
        <v>9132</v>
      </c>
      <c r="B200" s="656" t="s">
        <v>9131</v>
      </c>
      <c r="C200" s="656" t="s">
        <v>21</v>
      </c>
      <c r="D200" s="656" t="s">
        <v>10237</v>
      </c>
      <c r="E200" s="656" t="s">
        <v>14313</v>
      </c>
      <c r="F200" s="1447"/>
      <c r="G200" s="656" t="s">
        <v>10215</v>
      </c>
      <c r="H200" s="656" t="s">
        <v>1777</v>
      </c>
      <c r="I200" s="656" t="s">
        <v>14337</v>
      </c>
      <c r="J200" s="656" t="s">
        <v>10237</v>
      </c>
      <c r="K200" s="656" t="s">
        <v>9774</v>
      </c>
      <c r="L200" s="656"/>
      <c r="M200" s="656" t="s">
        <v>16318</v>
      </c>
      <c r="N200" s="656"/>
      <c r="O200" s="656" t="s">
        <v>10175</v>
      </c>
      <c r="P200" s="5"/>
      <c r="Q200" s="1447">
        <v>43916</v>
      </c>
      <c r="R200" s="656">
        <v>44237</v>
      </c>
      <c r="S200" s="656" t="s">
        <v>455</v>
      </c>
      <c r="T200" s="656"/>
      <c r="U200" s="656"/>
      <c r="V200" s="656"/>
      <c r="W200" s="656" t="s">
        <v>13051</v>
      </c>
      <c r="X200" s="656" t="s">
        <v>498</v>
      </c>
      <c r="Y200" s="656" t="s">
        <v>14278</v>
      </c>
      <c r="Z200" s="656">
        <v>44305.526539351849</v>
      </c>
      <c r="AA200" s="656" t="s">
        <v>14335</v>
      </c>
      <c r="AB200" s="656"/>
    </row>
    <row r="201" spans="1:28">
      <c r="A201" s="656" t="s">
        <v>9132</v>
      </c>
      <c r="B201" s="656" t="s">
        <v>9131</v>
      </c>
      <c r="C201" s="656" t="s">
        <v>20</v>
      </c>
      <c r="D201" s="656" t="s">
        <v>12275</v>
      </c>
      <c r="E201" s="656" t="s">
        <v>14275</v>
      </c>
      <c r="F201" s="1447">
        <v>43895</v>
      </c>
      <c r="G201" s="656" t="s">
        <v>10215</v>
      </c>
      <c r="H201" s="656" t="s">
        <v>1777</v>
      </c>
      <c r="I201" s="656"/>
      <c r="J201" s="656"/>
      <c r="K201" s="656"/>
      <c r="L201" s="656" t="s">
        <v>12275</v>
      </c>
      <c r="M201" s="656" t="s">
        <v>16196</v>
      </c>
      <c r="N201" s="656"/>
      <c r="O201" s="656" t="s">
        <v>6395</v>
      </c>
      <c r="P201" s="5"/>
      <c r="Q201" s="1447">
        <v>43894</v>
      </c>
      <c r="R201" s="656"/>
      <c r="S201" s="656" t="s">
        <v>455</v>
      </c>
      <c r="T201" s="656"/>
      <c r="U201" s="656"/>
      <c r="V201" s="656"/>
      <c r="W201" s="656" t="s">
        <v>13051</v>
      </c>
      <c r="X201" s="656" t="s">
        <v>498</v>
      </c>
      <c r="Y201" s="656" t="s">
        <v>14278</v>
      </c>
      <c r="Z201" s="656">
        <v>44305.526539351849</v>
      </c>
      <c r="AA201" s="656" t="s">
        <v>14335</v>
      </c>
      <c r="AB201" s="656"/>
    </row>
    <row r="202" spans="1:28">
      <c r="A202" s="656" t="s">
        <v>9132</v>
      </c>
      <c r="B202" s="656" t="s">
        <v>9131</v>
      </c>
      <c r="C202" s="656" t="s">
        <v>20</v>
      </c>
      <c r="D202" s="656" t="s">
        <v>10216</v>
      </c>
      <c r="E202" s="656" t="s">
        <v>14279</v>
      </c>
      <c r="F202" s="1447"/>
      <c r="G202" s="656" t="s">
        <v>10215</v>
      </c>
      <c r="H202" s="656" t="s">
        <v>1777</v>
      </c>
      <c r="I202" s="656"/>
      <c r="J202" s="656"/>
      <c r="K202" s="656"/>
      <c r="L202" s="656" t="s">
        <v>10216</v>
      </c>
      <c r="M202" s="656" t="s">
        <v>16318</v>
      </c>
      <c r="N202" s="656"/>
      <c r="O202" s="656" t="s">
        <v>6395</v>
      </c>
      <c r="P202" s="5"/>
      <c r="Q202" s="1447">
        <v>43896</v>
      </c>
      <c r="R202" s="656"/>
      <c r="S202" s="656" t="s">
        <v>455</v>
      </c>
      <c r="T202" s="656"/>
      <c r="U202" s="656"/>
      <c r="V202" s="656"/>
      <c r="W202" s="656" t="s">
        <v>13051</v>
      </c>
      <c r="X202" s="656" t="s">
        <v>498</v>
      </c>
      <c r="Y202" s="656" t="s">
        <v>14278</v>
      </c>
      <c r="Z202" s="656">
        <v>44305.526550925926</v>
      </c>
      <c r="AA202" s="656" t="s">
        <v>14335</v>
      </c>
      <c r="AB202" s="656"/>
    </row>
    <row r="203" spans="1:28">
      <c r="A203" s="656" t="s">
        <v>9143</v>
      </c>
      <c r="B203" s="656" t="s">
        <v>9142</v>
      </c>
      <c r="C203" s="656" t="s">
        <v>21</v>
      </c>
      <c r="D203" s="656" t="s">
        <v>10234</v>
      </c>
      <c r="E203" s="656" t="s">
        <v>14275</v>
      </c>
      <c r="F203" s="1447">
        <v>44278</v>
      </c>
      <c r="G203" s="656" t="s">
        <v>10203</v>
      </c>
      <c r="H203" s="656" t="s">
        <v>1777</v>
      </c>
      <c r="I203" s="656" t="s">
        <v>14338</v>
      </c>
      <c r="J203" s="656" t="s">
        <v>10234</v>
      </c>
      <c r="K203" s="656" t="s">
        <v>9774</v>
      </c>
      <c r="L203" s="656"/>
      <c r="M203" s="656" t="s">
        <v>16331</v>
      </c>
      <c r="N203" s="656"/>
      <c r="O203" s="656" t="s">
        <v>6421</v>
      </c>
      <c r="P203" s="5"/>
      <c r="Q203" s="1447">
        <v>43914</v>
      </c>
      <c r="R203" s="656">
        <v>44132</v>
      </c>
      <c r="S203" s="656" t="s">
        <v>462</v>
      </c>
      <c r="T203" s="656"/>
      <c r="U203" s="656"/>
      <c r="V203" s="656"/>
      <c r="W203" s="656" t="s">
        <v>13051</v>
      </c>
      <c r="X203" s="656" t="s">
        <v>498</v>
      </c>
      <c r="Y203" s="656" t="s">
        <v>14278</v>
      </c>
      <c r="Z203" s="656">
        <v>44305.52652777778</v>
      </c>
      <c r="AA203" s="656" t="s">
        <v>14335</v>
      </c>
      <c r="AB203" s="656"/>
    </row>
    <row r="204" spans="1:28">
      <c r="A204" s="656" t="s">
        <v>9143</v>
      </c>
      <c r="B204" s="656" t="s">
        <v>9142</v>
      </c>
      <c r="C204" s="656" t="s">
        <v>20</v>
      </c>
      <c r="D204" s="656" t="s">
        <v>10204</v>
      </c>
      <c r="E204" s="656" t="s">
        <v>14275</v>
      </c>
      <c r="F204" s="1447">
        <v>44263</v>
      </c>
      <c r="G204" s="656" t="s">
        <v>10203</v>
      </c>
      <c r="H204" s="656" t="s">
        <v>1777</v>
      </c>
      <c r="I204" s="656"/>
      <c r="J204" s="656"/>
      <c r="K204" s="656"/>
      <c r="L204" s="656" t="s">
        <v>10204</v>
      </c>
      <c r="M204" s="656" t="s">
        <v>16331</v>
      </c>
      <c r="N204" s="656"/>
      <c r="O204" s="656" t="s">
        <v>6421</v>
      </c>
      <c r="P204" s="5"/>
      <c r="Q204" s="1447">
        <v>43887</v>
      </c>
      <c r="R204" s="656"/>
      <c r="S204" s="656" t="s">
        <v>462</v>
      </c>
      <c r="T204" s="656"/>
      <c r="U204" s="656"/>
      <c r="V204" s="656"/>
      <c r="W204" s="656" t="s">
        <v>13051</v>
      </c>
      <c r="X204" s="656" t="s">
        <v>498</v>
      </c>
      <c r="Y204" s="656" t="s">
        <v>14278</v>
      </c>
      <c r="Z204" s="656">
        <v>44305.52652777778</v>
      </c>
      <c r="AA204" s="656" t="s">
        <v>14335</v>
      </c>
      <c r="AB204" s="656"/>
    </row>
    <row r="205" spans="1:28">
      <c r="A205" s="656" t="s">
        <v>9145</v>
      </c>
      <c r="B205" s="656" t="s">
        <v>9144</v>
      </c>
      <c r="C205" s="656" t="s">
        <v>21</v>
      </c>
      <c r="D205" s="656" t="s">
        <v>10236</v>
      </c>
      <c r="E205" s="656" t="s">
        <v>14313</v>
      </c>
      <c r="F205" s="1447"/>
      <c r="G205" s="656" t="s">
        <v>10209</v>
      </c>
      <c r="H205" s="656" t="s">
        <v>1777</v>
      </c>
      <c r="I205" s="656" t="s">
        <v>14339</v>
      </c>
      <c r="J205" s="656" t="s">
        <v>10236</v>
      </c>
      <c r="K205" s="656" t="s">
        <v>9774</v>
      </c>
      <c r="L205" s="656"/>
      <c r="M205" s="656" t="s">
        <v>16200</v>
      </c>
      <c r="N205" s="656"/>
      <c r="O205" s="656" t="s">
        <v>10175</v>
      </c>
      <c r="P205" s="5"/>
      <c r="Q205" s="1447">
        <v>43916</v>
      </c>
      <c r="R205" s="656">
        <v>44280</v>
      </c>
      <c r="S205" s="656" t="s">
        <v>537</v>
      </c>
      <c r="T205" s="656"/>
      <c r="U205" s="656"/>
      <c r="V205" s="656"/>
      <c r="W205" s="656" t="s">
        <v>13051</v>
      </c>
      <c r="X205" s="656" t="s">
        <v>498</v>
      </c>
      <c r="Y205" s="656" t="s">
        <v>14278</v>
      </c>
      <c r="Z205" s="656">
        <v>44305.526516203703</v>
      </c>
      <c r="AA205" s="656" t="s">
        <v>14335</v>
      </c>
      <c r="AB205" s="656"/>
    </row>
    <row r="206" spans="1:28">
      <c r="A206" s="656" t="s">
        <v>9145</v>
      </c>
      <c r="B206" s="656" t="s">
        <v>9144</v>
      </c>
      <c r="C206" s="656" t="s">
        <v>20</v>
      </c>
      <c r="D206" s="656" t="s">
        <v>10210</v>
      </c>
      <c r="E206" s="656" t="s">
        <v>14279</v>
      </c>
      <c r="F206" s="1447"/>
      <c r="G206" s="656" t="s">
        <v>10209</v>
      </c>
      <c r="H206" s="656" t="s">
        <v>1777</v>
      </c>
      <c r="I206" s="656"/>
      <c r="J206" s="656"/>
      <c r="K206" s="656"/>
      <c r="L206" s="656" t="s">
        <v>10210</v>
      </c>
      <c r="M206" s="656" t="s">
        <v>16196</v>
      </c>
      <c r="N206" s="656"/>
      <c r="O206" s="656" t="s">
        <v>6395</v>
      </c>
      <c r="P206" s="5"/>
      <c r="Q206" s="1447">
        <v>43894</v>
      </c>
      <c r="R206" s="656"/>
      <c r="S206" s="656" t="s">
        <v>537</v>
      </c>
      <c r="T206" s="656"/>
      <c r="U206" s="656"/>
      <c r="V206" s="656"/>
      <c r="W206" s="656" t="s">
        <v>13051</v>
      </c>
      <c r="X206" s="656" t="s">
        <v>498</v>
      </c>
      <c r="Y206" s="656" t="s">
        <v>14278</v>
      </c>
      <c r="Z206" s="656">
        <v>44305.52652777778</v>
      </c>
      <c r="AA206" s="656" t="s">
        <v>14335</v>
      </c>
      <c r="AB206" s="656"/>
    </row>
    <row r="207" spans="1:28">
      <c r="A207" s="656" t="s">
        <v>9145</v>
      </c>
      <c r="B207" s="656" t="s">
        <v>9144</v>
      </c>
      <c r="C207" s="656" t="s">
        <v>20</v>
      </c>
      <c r="D207" s="656" t="s">
        <v>10290</v>
      </c>
      <c r="E207" s="656" t="s">
        <v>14279</v>
      </c>
      <c r="F207" s="1447"/>
      <c r="G207" s="656" t="s">
        <v>10209</v>
      </c>
      <c r="H207" s="656" t="s">
        <v>1777</v>
      </c>
      <c r="I207" s="656"/>
      <c r="J207" s="656"/>
      <c r="K207" s="656"/>
      <c r="L207" s="656" t="s">
        <v>10290</v>
      </c>
      <c r="M207" s="656" t="s">
        <v>16199</v>
      </c>
      <c r="N207" s="656"/>
      <c r="O207" s="656" t="s">
        <v>6395</v>
      </c>
      <c r="P207" s="5"/>
      <c r="Q207" s="1447">
        <v>43990</v>
      </c>
      <c r="R207" s="656"/>
      <c r="S207" s="656" t="s">
        <v>450</v>
      </c>
      <c r="T207" s="656"/>
      <c r="U207" s="656"/>
      <c r="V207" s="656"/>
      <c r="W207" s="656" t="s">
        <v>13051</v>
      </c>
      <c r="X207" s="656" t="s">
        <v>498</v>
      </c>
      <c r="Y207" s="656" t="s">
        <v>14278</v>
      </c>
      <c r="Z207" s="656">
        <v>44305.526516203703</v>
      </c>
      <c r="AA207" s="656" t="s">
        <v>14335</v>
      </c>
      <c r="AB207" s="656"/>
    </row>
    <row r="208" spans="1:28">
      <c r="A208" s="656" t="s">
        <v>9149</v>
      </c>
      <c r="B208" s="656" t="s">
        <v>9148</v>
      </c>
      <c r="C208" s="656" t="s">
        <v>20</v>
      </c>
      <c r="D208" s="656" t="s">
        <v>10255</v>
      </c>
      <c r="E208" s="656" t="s">
        <v>14279</v>
      </c>
      <c r="F208" s="1447"/>
      <c r="G208" s="656" t="s">
        <v>10254</v>
      </c>
      <c r="H208" s="656" t="s">
        <v>1777</v>
      </c>
      <c r="I208" s="656"/>
      <c r="J208" s="656"/>
      <c r="K208" s="656"/>
      <c r="L208" s="656" t="s">
        <v>10255</v>
      </c>
      <c r="M208" s="656" t="s">
        <v>16200</v>
      </c>
      <c r="N208" s="656"/>
      <c r="O208" s="656" t="s">
        <v>10214</v>
      </c>
      <c r="P208" s="5"/>
      <c r="Q208" s="1447">
        <v>43949</v>
      </c>
      <c r="R208" s="656"/>
      <c r="S208" s="656" t="s">
        <v>450</v>
      </c>
      <c r="T208" s="656"/>
      <c r="U208" s="656"/>
      <c r="V208" s="656"/>
      <c r="W208" s="656" t="s">
        <v>13051</v>
      </c>
      <c r="X208" s="656" t="s">
        <v>498</v>
      </c>
      <c r="Y208" s="656" t="s">
        <v>14278</v>
      </c>
      <c r="Z208" s="656">
        <v>44305.526504629626</v>
      </c>
      <c r="AA208" s="656" t="s">
        <v>14335</v>
      </c>
      <c r="AB208" s="656"/>
    </row>
    <row r="209" spans="1:28">
      <c r="A209" s="656" t="s">
        <v>9687</v>
      </c>
      <c r="B209" s="656" t="s">
        <v>9686</v>
      </c>
      <c r="C209" s="656" t="s">
        <v>21</v>
      </c>
      <c r="D209" s="656" t="s">
        <v>13023</v>
      </c>
      <c r="E209" s="656" t="s">
        <v>14279</v>
      </c>
      <c r="F209" s="1447"/>
      <c r="G209" s="656" t="s">
        <v>12517</v>
      </c>
      <c r="H209" s="656" t="s">
        <v>1777</v>
      </c>
      <c r="I209" s="656" t="s">
        <v>14340</v>
      </c>
      <c r="J209" s="656" t="s">
        <v>13023</v>
      </c>
      <c r="K209" s="656" t="s">
        <v>9774</v>
      </c>
      <c r="L209" s="656"/>
      <c r="M209" s="656" t="s">
        <v>16196</v>
      </c>
      <c r="N209" s="656"/>
      <c r="O209" s="656" t="s">
        <v>10186</v>
      </c>
      <c r="P209" s="5"/>
      <c r="Q209" s="1447">
        <v>44166</v>
      </c>
      <c r="R209" s="656"/>
      <c r="S209" s="656" t="s">
        <v>469</v>
      </c>
      <c r="T209" s="656"/>
      <c r="U209" s="656"/>
      <c r="V209" s="656"/>
      <c r="W209" s="656" t="s">
        <v>13051</v>
      </c>
      <c r="X209" s="656" t="s">
        <v>498</v>
      </c>
      <c r="Y209" s="656" t="s">
        <v>14278</v>
      </c>
      <c r="Z209" s="656">
        <v>44305.526493055557</v>
      </c>
      <c r="AA209" s="656" t="s">
        <v>14335</v>
      </c>
      <c r="AB209" s="656"/>
    </row>
    <row r="210" spans="1:28">
      <c r="A210" s="656" t="s">
        <v>9687</v>
      </c>
      <c r="B210" s="656" t="s">
        <v>9686</v>
      </c>
      <c r="C210" s="656" t="s">
        <v>20</v>
      </c>
      <c r="D210" s="656" t="s">
        <v>12516</v>
      </c>
      <c r="E210" s="656" t="s">
        <v>14279</v>
      </c>
      <c r="F210" s="1447"/>
      <c r="G210" s="656" t="s">
        <v>12517</v>
      </c>
      <c r="H210" s="656" t="s">
        <v>1777</v>
      </c>
      <c r="I210" s="656"/>
      <c r="J210" s="656"/>
      <c r="K210" s="656"/>
      <c r="L210" s="656" t="s">
        <v>12516</v>
      </c>
      <c r="M210" s="656" t="s">
        <v>16196</v>
      </c>
      <c r="N210" s="656"/>
      <c r="O210" s="656" t="s">
        <v>10186</v>
      </c>
      <c r="P210" s="5"/>
      <c r="Q210" s="1447">
        <v>44075</v>
      </c>
      <c r="R210" s="656"/>
      <c r="S210" s="656" t="s">
        <v>469</v>
      </c>
      <c r="T210" s="656"/>
      <c r="U210" s="656"/>
      <c r="V210" s="656"/>
      <c r="W210" s="656" t="s">
        <v>13051</v>
      </c>
      <c r="X210" s="656" t="s">
        <v>498</v>
      </c>
      <c r="Y210" s="656" t="s">
        <v>14278</v>
      </c>
      <c r="Z210" s="656">
        <v>44305.526504629626</v>
      </c>
      <c r="AA210" s="656" t="s">
        <v>14335</v>
      </c>
      <c r="AB210" s="656"/>
    </row>
    <row r="211" spans="1:28">
      <c r="A211" s="656" t="s">
        <v>9668</v>
      </c>
      <c r="B211" s="656" t="s">
        <v>9688</v>
      </c>
      <c r="C211" s="656" t="s">
        <v>21</v>
      </c>
      <c r="D211" s="656" t="s">
        <v>15357</v>
      </c>
      <c r="E211" s="656" t="s">
        <v>14313</v>
      </c>
      <c r="F211" s="1447"/>
      <c r="G211" s="656" t="s">
        <v>12849</v>
      </c>
      <c r="H211" s="656" t="s">
        <v>1777</v>
      </c>
      <c r="I211" s="656" t="s">
        <v>15358</v>
      </c>
      <c r="J211" s="656" t="s">
        <v>15357</v>
      </c>
      <c r="K211" s="656" t="s">
        <v>9774</v>
      </c>
      <c r="L211" s="656"/>
      <c r="M211" s="656" t="s">
        <v>16196</v>
      </c>
      <c r="N211" s="656"/>
      <c r="O211" s="656" t="s">
        <v>6395</v>
      </c>
      <c r="P211" s="5"/>
      <c r="Q211" s="1447">
        <v>44223</v>
      </c>
      <c r="R211" s="656">
        <v>44285</v>
      </c>
      <c r="S211" s="656" t="s">
        <v>469</v>
      </c>
      <c r="T211" s="656"/>
      <c r="U211" s="656"/>
      <c r="V211" s="656"/>
      <c r="W211" s="656" t="s">
        <v>13051</v>
      </c>
      <c r="X211" s="656" t="s">
        <v>498</v>
      </c>
      <c r="Y211" s="656" t="s">
        <v>14278</v>
      </c>
      <c r="Z211" s="656">
        <v>44305.52648148148</v>
      </c>
      <c r="AA211" s="656" t="s">
        <v>14335</v>
      </c>
      <c r="AB211" s="656"/>
    </row>
    <row r="212" spans="1:28">
      <c r="A212" s="656" t="s">
        <v>9668</v>
      </c>
      <c r="B212" s="656" t="s">
        <v>9688</v>
      </c>
      <c r="C212" s="656" t="s">
        <v>20</v>
      </c>
      <c r="D212" s="656" t="s">
        <v>12848</v>
      </c>
      <c r="E212" s="656" t="s">
        <v>14279</v>
      </c>
      <c r="F212" s="1447"/>
      <c r="G212" s="656" t="s">
        <v>12849</v>
      </c>
      <c r="H212" s="656" t="s">
        <v>1777</v>
      </c>
      <c r="I212" s="656"/>
      <c r="J212" s="656"/>
      <c r="K212" s="656"/>
      <c r="L212" s="656" t="s">
        <v>12848</v>
      </c>
      <c r="M212" s="656" t="s">
        <v>16196</v>
      </c>
      <c r="N212" s="656"/>
      <c r="O212" s="656" t="s">
        <v>10186</v>
      </c>
      <c r="P212" s="5"/>
      <c r="Q212" s="1447">
        <v>44127</v>
      </c>
      <c r="R212" s="656"/>
      <c r="S212" s="656" t="s">
        <v>469</v>
      </c>
      <c r="T212" s="656"/>
      <c r="U212" s="656"/>
      <c r="V212" s="656"/>
      <c r="W212" s="656" t="s">
        <v>13051</v>
      </c>
      <c r="X212" s="656" t="s">
        <v>498</v>
      </c>
      <c r="Y212" s="656" t="s">
        <v>14278</v>
      </c>
      <c r="Z212" s="656">
        <v>44305.526493055557</v>
      </c>
      <c r="AA212" s="656" t="s">
        <v>14335</v>
      </c>
      <c r="AB212" s="656"/>
    </row>
    <row r="213" spans="1:28">
      <c r="A213" s="656" t="s">
        <v>9516</v>
      </c>
      <c r="B213" s="656" t="s">
        <v>12448</v>
      </c>
      <c r="C213" s="656" t="s">
        <v>21</v>
      </c>
      <c r="D213" s="656" t="s">
        <v>12667</v>
      </c>
      <c r="E213" s="656" t="s">
        <v>14313</v>
      </c>
      <c r="F213" s="1447"/>
      <c r="G213" s="656" t="s">
        <v>12668</v>
      </c>
      <c r="H213" s="656" t="s">
        <v>1777</v>
      </c>
      <c r="I213" s="656" t="s">
        <v>14341</v>
      </c>
      <c r="J213" s="656" t="s">
        <v>12667</v>
      </c>
      <c r="K213" s="656" t="s">
        <v>9774</v>
      </c>
      <c r="L213" s="656"/>
      <c r="M213" s="656" t="s">
        <v>16196</v>
      </c>
      <c r="N213" s="656"/>
      <c r="O213" s="656" t="s">
        <v>6395</v>
      </c>
      <c r="P213" s="5"/>
      <c r="Q213" s="1447">
        <v>44097</v>
      </c>
      <c r="R213" s="656">
        <v>44286</v>
      </c>
      <c r="S213" s="656" t="s">
        <v>469</v>
      </c>
      <c r="T213" s="656"/>
      <c r="U213" s="656"/>
      <c r="V213" s="656"/>
      <c r="W213" s="656" t="s">
        <v>13051</v>
      </c>
      <c r="X213" s="656" t="s">
        <v>498</v>
      </c>
      <c r="Y213" s="656" t="s">
        <v>14278</v>
      </c>
      <c r="Z213" s="656">
        <v>44305.526469907411</v>
      </c>
      <c r="AA213" s="656" t="s">
        <v>14335</v>
      </c>
      <c r="AB213" s="656"/>
    </row>
    <row r="214" spans="1:28">
      <c r="A214" s="656" t="s">
        <v>9516</v>
      </c>
      <c r="B214" s="656" t="s">
        <v>9515</v>
      </c>
      <c r="C214" s="656" t="s">
        <v>20</v>
      </c>
      <c r="D214" s="656" t="s">
        <v>10368</v>
      </c>
      <c r="E214" s="656" t="s">
        <v>14279</v>
      </c>
      <c r="F214" s="1447"/>
      <c r="G214" s="656" t="s">
        <v>10367</v>
      </c>
      <c r="H214" s="656" t="s">
        <v>1777</v>
      </c>
      <c r="I214" s="656"/>
      <c r="J214" s="656"/>
      <c r="K214" s="656"/>
      <c r="L214" s="656" t="s">
        <v>10368</v>
      </c>
      <c r="M214" s="656" t="s">
        <v>16196</v>
      </c>
      <c r="N214" s="656"/>
      <c r="O214" s="656" t="s">
        <v>10186</v>
      </c>
      <c r="P214" s="5"/>
      <c r="Q214" s="1447">
        <v>44034</v>
      </c>
      <c r="R214" s="656"/>
      <c r="S214" s="656" t="s">
        <v>469</v>
      </c>
      <c r="T214" s="656"/>
      <c r="U214" s="656"/>
      <c r="V214" s="656"/>
      <c r="W214" s="656" t="s">
        <v>13051</v>
      </c>
      <c r="X214" s="656" t="s">
        <v>498</v>
      </c>
      <c r="Y214" s="656" t="s">
        <v>14278</v>
      </c>
      <c r="Z214" s="656">
        <v>44305.526469907411</v>
      </c>
      <c r="AA214" s="656" t="s">
        <v>14335</v>
      </c>
      <c r="AB214" s="656"/>
    </row>
    <row r="215" spans="1:28">
      <c r="A215" s="656" t="s">
        <v>15496</v>
      </c>
      <c r="B215" s="656" t="s">
        <v>15127</v>
      </c>
      <c r="C215" s="656" t="s">
        <v>20</v>
      </c>
      <c r="D215" s="656" t="s">
        <v>15965</v>
      </c>
      <c r="E215" s="656" t="s">
        <v>14279</v>
      </c>
      <c r="F215" s="1447"/>
      <c r="G215" s="656" t="s">
        <v>15966</v>
      </c>
      <c r="H215" s="656" t="s">
        <v>1777</v>
      </c>
      <c r="I215" s="656"/>
      <c r="J215" s="656"/>
      <c r="K215" s="656"/>
      <c r="L215" s="656" t="s">
        <v>15965</v>
      </c>
      <c r="M215" s="656" t="s">
        <v>9450</v>
      </c>
      <c r="N215" s="656" t="s">
        <v>9892</v>
      </c>
      <c r="O215" s="656" t="s">
        <v>10186</v>
      </c>
      <c r="P215" s="5"/>
      <c r="Q215" s="1447">
        <v>44249</v>
      </c>
      <c r="R215" s="656"/>
      <c r="S215" s="656" t="s">
        <v>505</v>
      </c>
      <c r="T215" s="656"/>
      <c r="U215" s="656"/>
      <c r="V215" s="656"/>
      <c r="W215" s="656" t="s">
        <v>13051</v>
      </c>
      <c r="X215" s="656" t="s">
        <v>498</v>
      </c>
      <c r="Y215" s="656" t="s">
        <v>14278</v>
      </c>
      <c r="Z215" s="656">
        <v>44305.527442129627</v>
      </c>
      <c r="AA215" s="656" t="s">
        <v>14335</v>
      </c>
      <c r="AB215" s="656"/>
    </row>
    <row r="216" spans="1:28">
      <c r="A216" s="656" t="s">
        <v>15496</v>
      </c>
      <c r="B216" s="656" t="s">
        <v>15127</v>
      </c>
      <c r="C216" s="656" t="s">
        <v>20</v>
      </c>
      <c r="D216" s="656" t="s">
        <v>15967</v>
      </c>
      <c r="E216" s="656" t="s">
        <v>14279</v>
      </c>
      <c r="F216" s="1447"/>
      <c r="G216" s="656" t="s">
        <v>15968</v>
      </c>
      <c r="H216" s="656" t="s">
        <v>1777</v>
      </c>
      <c r="I216" s="656"/>
      <c r="J216" s="656"/>
      <c r="K216" s="656"/>
      <c r="L216" s="656" t="s">
        <v>15967</v>
      </c>
      <c r="M216" s="656" t="s">
        <v>9450</v>
      </c>
      <c r="N216" s="656" t="s">
        <v>9892</v>
      </c>
      <c r="O216" s="656" t="s">
        <v>10186</v>
      </c>
      <c r="P216" s="5"/>
      <c r="Q216" s="1447">
        <v>44249</v>
      </c>
      <c r="R216" s="656"/>
      <c r="S216" s="656" t="s">
        <v>505</v>
      </c>
      <c r="T216" s="656"/>
      <c r="U216" s="656"/>
      <c r="V216" s="656"/>
      <c r="W216" s="656" t="s">
        <v>13051</v>
      </c>
      <c r="X216" s="656" t="s">
        <v>498</v>
      </c>
      <c r="Y216" s="656" t="s">
        <v>14278</v>
      </c>
      <c r="Z216" s="656">
        <v>44305.527442129627</v>
      </c>
      <c r="AA216" s="656" t="s">
        <v>14335</v>
      </c>
      <c r="AB216" s="656"/>
    </row>
    <row r="217" spans="1:28">
      <c r="A217" s="656" t="s">
        <v>9520</v>
      </c>
      <c r="B217" s="656" t="s">
        <v>9519</v>
      </c>
      <c r="C217" s="656" t="s">
        <v>21</v>
      </c>
      <c r="D217" s="656" t="s">
        <v>12872</v>
      </c>
      <c r="E217" s="656" t="s">
        <v>14313</v>
      </c>
      <c r="F217" s="1447"/>
      <c r="G217" s="656" t="s">
        <v>10365</v>
      </c>
      <c r="H217" s="656" t="s">
        <v>1777</v>
      </c>
      <c r="I217" s="656" t="s">
        <v>14342</v>
      </c>
      <c r="J217" s="656" t="s">
        <v>12872</v>
      </c>
      <c r="K217" s="656" t="s">
        <v>9774</v>
      </c>
      <c r="L217" s="656"/>
      <c r="M217" s="656" t="s">
        <v>16196</v>
      </c>
      <c r="N217" s="656"/>
      <c r="O217" s="656" t="s">
        <v>10186</v>
      </c>
      <c r="P217" s="5"/>
      <c r="Q217" s="1447">
        <v>44133</v>
      </c>
      <c r="R217" s="656">
        <v>44286</v>
      </c>
      <c r="S217" s="656" t="s">
        <v>469</v>
      </c>
      <c r="T217" s="656"/>
      <c r="U217" s="656"/>
      <c r="V217" s="656"/>
      <c r="W217" s="656" t="s">
        <v>13051</v>
      </c>
      <c r="X217" s="656" t="s">
        <v>498</v>
      </c>
      <c r="Y217" s="656" t="s">
        <v>14278</v>
      </c>
      <c r="Z217" s="656">
        <v>44305.526458333334</v>
      </c>
      <c r="AA217" s="656" t="s">
        <v>14335</v>
      </c>
      <c r="AB217" s="656"/>
    </row>
    <row r="218" spans="1:28">
      <c r="A218" s="656" t="s">
        <v>9520</v>
      </c>
      <c r="B218" s="656" t="s">
        <v>9519</v>
      </c>
      <c r="C218" s="656" t="s">
        <v>20</v>
      </c>
      <c r="D218" s="656" t="s">
        <v>10366</v>
      </c>
      <c r="E218" s="656" t="s">
        <v>14279</v>
      </c>
      <c r="F218" s="1447"/>
      <c r="G218" s="656" t="s">
        <v>10365</v>
      </c>
      <c r="H218" s="656" t="s">
        <v>1777</v>
      </c>
      <c r="I218" s="656"/>
      <c r="J218" s="656"/>
      <c r="K218" s="656"/>
      <c r="L218" s="656" t="s">
        <v>10366</v>
      </c>
      <c r="M218" s="656" t="s">
        <v>16196</v>
      </c>
      <c r="N218" s="656"/>
      <c r="O218" s="656" t="s">
        <v>10186</v>
      </c>
      <c r="P218" s="5"/>
      <c r="Q218" s="1447">
        <v>44034</v>
      </c>
      <c r="R218" s="656"/>
      <c r="S218" s="656" t="s">
        <v>469</v>
      </c>
      <c r="T218" s="656"/>
      <c r="U218" s="656"/>
      <c r="V218" s="656"/>
      <c r="W218" s="656" t="s">
        <v>13051</v>
      </c>
      <c r="X218" s="656" t="s">
        <v>498</v>
      </c>
      <c r="Y218" s="656" t="s">
        <v>14278</v>
      </c>
      <c r="Z218" s="656">
        <v>44305.526469907411</v>
      </c>
      <c r="AA218" s="656" t="s">
        <v>14335</v>
      </c>
      <c r="AB218" s="656"/>
    </row>
    <row r="219" spans="1:28">
      <c r="A219" s="656" t="s">
        <v>9154</v>
      </c>
      <c r="B219" s="656" t="s">
        <v>9153</v>
      </c>
      <c r="C219" s="656" t="s">
        <v>20</v>
      </c>
      <c r="D219" s="656" t="s">
        <v>10364</v>
      </c>
      <c r="E219" s="656" t="s">
        <v>14279</v>
      </c>
      <c r="F219" s="1447"/>
      <c r="G219" s="656" t="s">
        <v>10363</v>
      </c>
      <c r="H219" s="656" t="s">
        <v>1777</v>
      </c>
      <c r="I219" s="656"/>
      <c r="J219" s="656"/>
      <c r="K219" s="656"/>
      <c r="L219" s="656" t="s">
        <v>10364</v>
      </c>
      <c r="M219" s="656" t="s">
        <v>16196</v>
      </c>
      <c r="N219" s="656"/>
      <c r="O219" s="656" t="s">
        <v>10186</v>
      </c>
      <c r="P219" s="5"/>
      <c r="Q219" s="1447">
        <v>44034</v>
      </c>
      <c r="R219" s="656"/>
      <c r="S219" s="656" t="s">
        <v>469</v>
      </c>
      <c r="T219" s="656"/>
      <c r="U219" s="656"/>
      <c r="V219" s="656"/>
      <c r="W219" s="656" t="s">
        <v>13051</v>
      </c>
      <c r="X219" s="656" t="s">
        <v>498</v>
      </c>
      <c r="Y219" s="656" t="s">
        <v>14278</v>
      </c>
      <c r="Z219" s="656">
        <v>44305.526458333334</v>
      </c>
      <c r="AA219" s="656" t="s">
        <v>14335</v>
      </c>
      <c r="AB219" s="656"/>
    </row>
    <row r="220" spans="1:28">
      <c r="A220" s="656" t="s">
        <v>9521</v>
      </c>
      <c r="B220" s="656" t="s">
        <v>9689</v>
      </c>
      <c r="C220" s="656" t="s">
        <v>21</v>
      </c>
      <c r="D220" s="656" t="s">
        <v>12671</v>
      </c>
      <c r="E220" s="656" t="s">
        <v>14279</v>
      </c>
      <c r="F220" s="1447"/>
      <c r="G220" s="656" t="s">
        <v>12521</v>
      </c>
      <c r="H220" s="656" t="s">
        <v>1777</v>
      </c>
      <c r="I220" s="656" t="s">
        <v>14343</v>
      </c>
      <c r="J220" s="656" t="s">
        <v>12671</v>
      </c>
      <c r="K220" s="656" t="s">
        <v>9774</v>
      </c>
      <c r="L220" s="656"/>
      <c r="M220" s="656" t="s">
        <v>16196</v>
      </c>
      <c r="N220" s="656"/>
      <c r="O220" s="656" t="s">
        <v>16332</v>
      </c>
      <c r="P220" s="5" t="s">
        <v>14344</v>
      </c>
      <c r="Q220" s="1447">
        <v>44097</v>
      </c>
      <c r="R220" s="656"/>
      <c r="S220" s="656" t="s">
        <v>469</v>
      </c>
      <c r="T220" s="656"/>
      <c r="U220" s="656"/>
      <c r="V220" s="656"/>
      <c r="W220" s="656" t="s">
        <v>13051</v>
      </c>
      <c r="X220" s="656" t="s">
        <v>498</v>
      </c>
      <c r="Y220" s="656" t="s">
        <v>14278</v>
      </c>
      <c r="Z220" s="656">
        <v>44305.526446759257</v>
      </c>
      <c r="AA220" s="656" t="s">
        <v>14335</v>
      </c>
      <c r="AB220" s="656"/>
    </row>
    <row r="221" spans="1:28">
      <c r="A221" s="656" t="s">
        <v>9521</v>
      </c>
      <c r="B221" s="656" t="s">
        <v>9689</v>
      </c>
      <c r="C221" s="656" t="s">
        <v>20</v>
      </c>
      <c r="D221" s="656" t="s">
        <v>12520</v>
      </c>
      <c r="E221" s="656" t="s">
        <v>14279</v>
      </c>
      <c r="F221" s="1447"/>
      <c r="G221" s="656" t="s">
        <v>12521</v>
      </c>
      <c r="H221" s="656" t="s">
        <v>1777</v>
      </c>
      <c r="I221" s="656"/>
      <c r="J221" s="656"/>
      <c r="K221" s="656"/>
      <c r="L221" s="656" t="s">
        <v>12520</v>
      </c>
      <c r="M221" s="656" t="s">
        <v>16196</v>
      </c>
      <c r="N221" s="656"/>
      <c r="O221" s="656" t="s">
        <v>10186</v>
      </c>
      <c r="P221" s="5"/>
      <c r="Q221" s="1447">
        <v>44075</v>
      </c>
      <c r="R221" s="656"/>
      <c r="S221" s="656" t="s">
        <v>469</v>
      </c>
      <c r="T221" s="656"/>
      <c r="U221" s="656"/>
      <c r="V221" s="656"/>
      <c r="W221" s="656" t="s">
        <v>13051</v>
      </c>
      <c r="X221" s="656" t="s">
        <v>498</v>
      </c>
      <c r="Y221" s="656" t="s">
        <v>14278</v>
      </c>
      <c r="Z221" s="656">
        <v>44305.526446759257</v>
      </c>
      <c r="AA221" s="656" t="s">
        <v>14335</v>
      </c>
      <c r="AB221" s="656"/>
    </row>
    <row r="222" spans="1:28">
      <c r="A222" s="656" t="s">
        <v>12955</v>
      </c>
      <c r="B222" s="656" t="s">
        <v>12954</v>
      </c>
      <c r="C222" s="656" t="s">
        <v>20</v>
      </c>
      <c r="D222" s="656" t="s">
        <v>15969</v>
      </c>
      <c r="E222" s="656" t="s">
        <v>14279</v>
      </c>
      <c r="F222" s="1447"/>
      <c r="G222" s="656" t="s">
        <v>15970</v>
      </c>
      <c r="H222" s="656" t="s">
        <v>1777</v>
      </c>
      <c r="I222" s="656"/>
      <c r="J222" s="656"/>
      <c r="K222" s="656"/>
      <c r="L222" s="656" t="s">
        <v>15969</v>
      </c>
      <c r="M222" s="656" t="s">
        <v>16196</v>
      </c>
      <c r="N222" s="656"/>
      <c r="O222" s="656" t="s">
        <v>10186</v>
      </c>
      <c r="P222" s="5"/>
      <c r="Q222" s="1447">
        <v>44265</v>
      </c>
      <c r="R222" s="656"/>
      <c r="S222" s="656" t="s">
        <v>469</v>
      </c>
      <c r="T222" s="656"/>
      <c r="U222" s="656"/>
      <c r="V222" s="656"/>
      <c r="W222" s="656" t="s">
        <v>13051</v>
      </c>
      <c r="X222" s="656" t="s">
        <v>498</v>
      </c>
      <c r="Y222" s="656" t="s">
        <v>14278</v>
      </c>
      <c r="Z222" s="656">
        <v>44305.52752314815</v>
      </c>
      <c r="AA222" s="656" t="s">
        <v>14335</v>
      </c>
      <c r="AB222" s="656"/>
    </row>
    <row r="223" spans="1:28">
      <c r="A223" s="656" t="s">
        <v>9523</v>
      </c>
      <c r="B223" s="656" t="s">
        <v>9522</v>
      </c>
      <c r="C223" s="656" t="s">
        <v>20</v>
      </c>
      <c r="D223" s="656" t="s">
        <v>12652</v>
      </c>
      <c r="E223" s="656" t="s">
        <v>14279</v>
      </c>
      <c r="F223" s="1447"/>
      <c r="G223" s="656" t="s">
        <v>12653</v>
      </c>
      <c r="H223" s="656" t="s">
        <v>1777</v>
      </c>
      <c r="I223" s="656"/>
      <c r="J223" s="656"/>
      <c r="K223" s="656"/>
      <c r="L223" s="656" t="s">
        <v>12652</v>
      </c>
      <c r="M223" s="656" t="s">
        <v>16196</v>
      </c>
      <c r="N223" s="656"/>
      <c r="O223" s="656" t="s">
        <v>10186</v>
      </c>
      <c r="P223" s="5"/>
      <c r="Q223" s="1447">
        <v>44095</v>
      </c>
      <c r="R223" s="656"/>
      <c r="S223" s="656" t="s">
        <v>469</v>
      </c>
      <c r="T223" s="656"/>
      <c r="U223" s="656"/>
      <c r="V223" s="656"/>
      <c r="W223" s="656" t="s">
        <v>13051</v>
      </c>
      <c r="X223" s="656" t="s">
        <v>498</v>
      </c>
      <c r="Y223" s="656" t="s">
        <v>14278</v>
      </c>
      <c r="Z223" s="656">
        <v>44305.526446759257</v>
      </c>
      <c r="AA223" s="656" t="s">
        <v>14335</v>
      </c>
      <c r="AB223" s="656"/>
    </row>
    <row r="224" spans="1:28">
      <c r="A224" s="656" t="s">
        <v>9525</v>
      </c>
      <c r="B224" s="656" t="s">
        <v>9524</v>
      </c>
      <c r="C224" s="656" t="s">
        <v>20</v>
      </c>
      <c r="D224" s="656" t="s">
        <v>12654</v>
      </c>
      <c r="E224" s="656" t="s">
        <v>14279</v>
      </c>
      <c r="F224" s="1447"/>
      <c r="G224" s="656" t="s">
        <v>12655</v>
      </c>
      <c r="H224" s="656" t="s">
        <v>1777</v>
      </c>
      <c r="I224" s="656"/>
      <c r="J224" s="656"/>
      <c r="K224" s="656"/>
      <c r="L224" s="656" t="s">
        <v>12654</v>
      </c>
      <c r="M224" s="656" t="s">
        <v>16196</v>
      </c>
      <c r="N224" s="656"/>
      <c r="O224" s="656" t="s">
        <v>10186</v>
      </c>
      <c r="P224" s="5"/>
      <c r="Q224" s="1447">
        <v>44097</v>
      </c>
      <c r="R224" s="656"/>
      <c r="S224" s="656" t="s">
        <v>469</v>
      </c>
      <c r="T224" s="656"/>
      <c r="U224" s="656"/>
      <c r="V224" s="656"/>
      <c r="W224" s="656" t="s">
        <v>13051</v>
      </c>
      <c r="X224" s="656" t="s">
        <v>498</v>
      </c>
      <c r="Y224" s="656" t="s">
        <v>14278</v>
      </c>
      <c r="Z224" s="656">
        <v>44305.526435185187</v>
      </c>
      <c r="AA224" s="656" t="s">
        <v>14335</v>
      </c>
      <c r="AB224" s="656"/>
    </row>
    <row r="225" spans="1:28">
      <c r="A225" s="656" t="s">
        <v>9525</v>
      </c>
      <c r="B225" s="656" t="s">
        <v>9524</v>
      </c>
      <c r="C225" s="656" t="s">
        <v>21</v>
      </c>
      <c r="D225" s="656" t="s">
        <v>15971</v>
      </c>
      <c r="E225" s="656" t="s">
        <v>14279</v>
      </c>
      <c r="F225" s="1447"/>
      <c r="G225" s="656" t="s">
        <v>15972</v>
      </c>
      <c r="H225" s="656" t="s">
        <v>1777</v>
      </c>
      <c r="I225" s="656" t="s">
        <v>15973</v>
      </c>
      <c r="J225" s="656" t="s">
        <v>15971</v>
      </c>
      <c r="K225" s="656" t="s">
        <v>9774</v>
      </c>
      <c r="L225" s="656"/>
      <c r="M225" s="656" t="s">
        <v>16196</v>
      </c>
      <c r="N225" s="656"/>
      <c r="O225" s="656" t="s">
        <v>10186</v>
      </c>
      <c r="P225" s="5"/>
      <c r="Q225" s="1447">
        <v>44278</v>
      </c>
      <c r="R225" s="656"/>
      <c r="S225" s="656" t="s">
        <v>2849</v>
      </c>
      <c r="T225" s="656"/>
      <c r="U225" s="656"/>
      <c r="V225" s="656"/>
      <c r="W225" s="656" t="s">
        <v>13051</v>
      </c>
      <c r="X225" s="656" t="s">
        <v>498</v>
      </c>
      <c r="Y225" s="656" t="s">
        <v>14278</v>
      </c>
      <c r="Z225" s="656">
        <v>44305.527604166666</v>
      </c>
      <c r="AA225" s="656" t="s">
        <v>14335</v>
      </c>
      <c r="AB225" s="656"/>
    </row>
    <row r="226" spans="1:28">
      <c r="A226" s="656" t="s">
        <v>9527</v>
      </c>
      <c r="B226" s="656" t="s">
        <v>9526</v>
      </c>
      <c r="C226" s="656" t="s">
        <v>20</v>
      </c>
      <c r="D226" s="656" t="s">
        <v>15359</v>
      </c>
      <c r="E226" s="656" t="s">
        <v>14279</v>
      </c>
      <c r="F226" s="1447"/>
      <c r="G226" s="656" t="s">
        <v>15974</v>
      </c>
      <c r="H226" s="656" t="s">
        <v>1777</v>
      </c>
      <c r="I226" s="656"/>
      <c r="J226" s="656"/>
      <c r="K226" s="656"/>
      <c r="L226" s="656" t="s">
        <v>15359</v>
      </c>
      <c r="M226" s="656" t="s">
        <v>16196</v>
      </c>
      <c r="N226" s="656"/>
      <c r="O226" s="656" t="s">
        <v>10186</v>
      </c>
      <c r="P226" s="5"/>
      <c r="Q226" s="1447">
        <v>44203</v>
      </c>
      <c r="R226" s="656"/>
      <c r="S226" s="656" t="s">
        <v>469</v>
      </c>
      <c r="T226" s="656"/>
      <c r="U226" s="656"/>
      <c r="V226" s="656"/>
      <c r="W226" s="656" t="s">
        <v>13051</v>
      </c>
      <c r="X226" s="656" t="s">
        <v>498</v>
      </c>
      <c r="Y226" s="656" t="s">
        <v>14278</v>
      </c>
      <c r="Z226" s="656">
        <v>44305.526423611111</v>
      </c>
      <c r="AA226" s="656" t="s">
        <v>14335</v>
      </c>
      <c r="AB226" s="656"/>
    </row>
    <row r="227" spans="1:28">
      <c r="A227" s="656" t="s">
        <v>9527</v>
      </c>
      <c r="B227" s="656" t="s">
        <v>9526</v>
      </c>
      <c r="C227" s="656" t="s">
        <v>21</v>
      </c>
      <c r="D227" s="656" t="s">
        <v>15975</v>
      </c>
      <c r="E227" s="656" t="s">
        <v>14279</v>
      </c>
      <c r="F227" s="1447"/>
      <c r="G227" s="656" t="s">
        <v>15976</v>
      </c>
      <c r="H227" s="656" t="s">
        <v>1777</v>
      </c>
      <c r="I227" s="656" t="s">
        <v>15977</v>
      </c>
      <c r="J227" s="656" t="s">
        <v>15975</v>
      </c>
      <c r="K227" s="656" t="s">
        <v>9774</v>
      </c>
      <c r="L227" s="656"/>
      <c r="M227" s="656" t="s">
        <v>16196</v>
      </c>
      <c r="N227" s="656"/>
      <c r="O227" s="656" t="s">
        <v>10186</v>
      </c>
      <c r="P227" s="5"/>
      <c r="Q227" s="1447">
        <v>44260</v>
      </c>
      <c r="R227" s="656"/>
      <c r="S227" s="656" t="s">
        <v>469</v>
      </c>
      <c r="T227" s="656"/>
      <c r="U227" s="656"/>
      <c r="V227" s="656"/>
      <c r="W227" s="656" t="s">
        <v>13051</v>
      </c>
      <c r="X227" s="656" t="s">
        <v>498</v>
      </c>
      <c r="Y227" s="656" t="s">
        <v>14278</v>
      </c>
      <c r="Z227" s="656">
        <v>44305.527488425927</v>
      </c>
      <c r="AA227" s="656" t="s">
        <v>14335</v>
      </c>
      <c r="AB227" s="656"/>
    </row>
    <row r="228" spans="1:28">
      <c r="A228" s="656" t="s">
        <v>9670</v>
      </c>
      <c r="B228" s="656" t="s">
        <v>9669</v>
      </c>
      <c r="C228" s="656" t="s">
        <v>20</v>
      </c>
      <c r="D228" s="656" t="s">
        <v>14966</v>
      </c>
      <c r="E228" s="656" t="s">
        <v>14279</v>
      </c>
      <c r="F228" s="1447"/>
      <c r="G228" s="656" t="s">
        <v>15978</v>
      </c>
      <c r="H228" s="656" t="s">
        <v>1777</v>
      </c>
      <c r="I228" s="656"/>
      <c r="J228" s="656"/>
      <c r="K228" s="656"/>
      <c r="L228" s="656" t="s">
        <v>14966</v>
      </c>
      <c r="M228" s="656" t="s">
        <v>16196</v>
      </c>
      <c r="N228" s="656"/>
      <c r="O228" s="656" t="s">
        <v>10186</v>
      </c>
      <c r="P228" s="5"/>
      <c r="Q228" s="1447">
        <v>44203</v>
      </c>
      <c r="R228" s="656"/>
      <c r="S228" s="656" t="s">
        <v>469</v>
      </c>
      <c r="T228" s="656"/>
      <c r="U228" s="656"/>
      <c r="V228" s="656"/>
      <c r="W228" s="656" t="s">
        <v>13051</v>
      </c>
      <c r="X228" s="656" t="s">
        <v>498</v>
      </c>
      <c r="Y228" s="656" t="s">
        <v>14278</v>
      </c>
      <c r="Z228" s="656">
        <v>44305.526423611111</v>
      </c>
      <c r="AA228" s="656" t="s">
        <v>14335</v>
      </c>
      <c r="AB228" s="656"/>
    </row>
    <row r="229" spans="1:28">
      <c r="A229" s="656" t="s">
        <v>9670</v>
      </c>
      <c r="B229" s="656" t="s">
        <v>9669</v>
      </c>
      <c r="C229" s="656" t="s">
        <v>21</v>
      </c>
      <c r="D229" s="656" t="s">
        <v>15979</v>
      </c>
      <c r="E229" s="656" t="s">
        <v>14279</v>
      </c>
      <c r="F229" s="1447"/>
      <c r="G229" s="656" t="s">
        <v>15978</v>
      </c>
      <c r="H229" s="656" t="s">
        <v>1777</v>
      </c>
      <c r="I229" s="656" t="s">
        <v>15980</v>
      </c>
      <c r="J229" s="656" t="s">
        <v>15979</v>
      </c>
      <c r="K229" s="656" t="s">
        <v>9774</v>
      </c>
      <c r="L229" s="656"/>
      <c r="M229" s="656" t="s">
        <v>16196</v>
      </c>
      <c r="N229" s="656"/>
      <c r="O229" s="656" t="s">
        <v>10186</v>
      </c>
      <c r="P229" s="5"/>
      <c r="Q229" s="1447">
        <v>44260</v>
      </c>
      <c r="R229" s="656"/>
      <c r="S229" s="656" t="s">
        <v>469</v>
      </c>
      <c r="T229" s="656"/>
      <c r="U229" s="656"/>
      <c r="V229" s="656"/>
      <c r="W229" s="656" t="s">
        <v>13051</v>
      </c>
      <c r="X229" s="656" t="s">
        <v>498</v>
      </c>
      <c r="Y229" s="656" t="s">
        <v>14278</v>
      </c>
      <c r="Z229" s="656">
        <v>44305.527499999997</v>
      </c>
      <c r="AA229" s="656" t="s">
        <v>14335</v>
      </c>
      <c r="AB229" s="656"/>
    </row>
    <row r="230" spans="1:28">
      <c r="A230" s="656" t="s">
        <v>9528</v>
      </c>
      <c r="B230" s="656" t="s">
        <v>9690</v>
      </c>
      <c r="C230" s="656" t="s">
        <v>20</v>
      </c>
      <c r="D230" s="656" t="s">
        <v>12873</v>
      </c>
      <c r="E230" s="656" t="s">
        <v>14279</v>
      </c>
      <c r="F230" s="1447"/>
      <c r="G230" s="656" t="s">
        <v>12874</v>
      </c>
      <c r="H230" s="656"/>
      <c r="I230" s="656"/>
      <c r="J230" s="656"/>
      <c r="K230" s="656"/>
      <c r="L230" s="656" t="s">
        <v>12873</v>
      </c>
      <c r="M230" s="656" t="s">
        <v>16333</v>
      </c>
      <c r="N230" s="656" t="s">
        <v>9991</v>
      </c>
      <c r="O230" s="656"/>
      <c r="P230" s="5"/>
      <c r="Q230" s="1447">
        <v>41190</v>
      </c>
      <c r="R230" s="656"/>
      <c r="S230" s="656" t="s">
        <v>469</v>
      </c>
      <c r="T230" s="656"/>
      <c r="U230" s="656"/>
      <c r="V230" s="656"/>
      <c r="W230" s="656" t="s">
        <v>13051</v>
      </c>
      <c r="X230" s="656" t="s">
        <v>498</v>
      </c>
      <c r="Y230" s="656" t="s">
        <v>14278</v>
      </c>
      <c r="Z230" s="656">
        <v>44305.526412037034</v>
      </c>
      <c r="AA230" s="656" t="s">
        <v>14335</v>
      </c>
      <c r="AB230" s="656"/>
    </row>
    <row r="231" spans="1:28">
      <c r="A231" s="656" t="s">
        <v>9528</v>
      </c>
      <c r="B231" s="656" t="s">
        <v>9690</v>
      </c>
      <c r="C231" s="656" t="s">
        <v>20</v>
      </c>
      <c r="D231" s="656" t="s">
        <v>12995</v>
      </c>
      <c r="E231" s="656" t="s">
        <v>14275</v>
      </c>
      <c r="F231" s="1447">
        <v>44158</v>
      </c>
      <c r="G231" s="656" t="s">
        <v>12874</v>
      </c>
      <c r="H231" s="656" t="s">
        <v>1777</v>
      </c>
      <c r="I231" s="656"/>
      <c r="J231" s="656"/>
      <c r="K231" s="656"/>
      <c r="L231" s="656" t="s">
        <v>12995</v>
      </c>
      <c r="M231" s="656" t="s">
        <v>16196</v>
      </c>
      <c r="N231" s="656"/>
      <c r="O231" s="656" t="s">
        <v>10186</v>
      </c>
      <c r="P231" s="5"/>
      <c r="Q231" s="1447">
        <v>44145</v>
      </c>
      <c r="R231" s="656"/>
      <c r="S231" s="656" t="s">
        <v>469</v>
      </c>
      <c r="T231" s="656"/>
      <c r="U231" s="656"/>
      <c r="V231" s="656"/>
      <c r="W231" s="656" t="s">
        <v>13051</v>
      </c>
      <c r="X231" s="656" t="s">
        <v>498</v>
      </c>
      <c r="Y231" s="656" t="s">
        <v>14278</v>
      </c>
      <c r="Z231" s="656">
        <v>44305.526412037034</v>
      </c>
      <c r="AA231" s="656" t="s">
        <v>14335</v>
      </c>
      <c r="AB231" s="656"/>
    </row>
    <row r="232" spans="1:28">
      <c r="A232" s="656" t="s">
        <v>9692</v>
      </c>
      <c r="B232" s="656" t="s">
        <v>9691</v>
      </c>
      <c r="C232" s="656" t="s">
        <v>20</v>
      </c>
      <c r="D232" s="656" t="s">
        <v>12514</v>
      </c>
      <c r="E232" s="656" t="s">
        <v>14279</v>
      </c>
      <c r="F232" s="1447"/>
      <c r="G232" s="656" t="s">
        <v>12515</v>
      </c>
      <c r="H232" s="656" t="s">
        <v>1777</v>
      </c>
      <c r="I232" s="656"/>
      <c r="J232" s="656"/>
      <c r="K232" s="656"/>
      <c r="L232" s="656" t="s">
        <v>12514</v>
      </c>
      <c r="M232" s="656" t="s">
        <v>16319</v>
      </c>
      <c r="N232" s="656"/>
      <c r="O232" s="656" t="s">
        <v>6427</v>
      </c>
      <c r="P232" s="5"/>
      <c r="Q232" s="1447">
        <v>44070</v>
      </c>
      <c r="R232" s="656"/>
      <c r="S232" s="656" t="s">
        <v>455</v>
      </c>
      <c r="T232" s="656"/>
      <c r="U232" s="656"/>
      <c r="V232" s="656"/>
      <c r="W232" s="656" t="s">
        <v>13051</v>
      </c>
      <c r="X232" s="656" t="s">
        <v>498</v>
      </c>
      <c r="Y232" s="656" t="s">
        <v>14278</v>
      </c>
      <c r="Z232" s="656">
        <v>44305.526400462964</v>
      </c>
      <c r="AA232" s="656" t="s">
        <v>14335</v>
      </c>
      <c r="AB232" s="656"/>
    </row>
    <row r="233" spans="1:28">
      <c r="A233" s="656" t="s">
        <v>9530</v>
      </c>
      <c r="B233" s="656" t="s">
        <v>9529</v>
      </c>
      <c r="C233" s="656" t="s">
        <v>20</v>
      </c>
      <c r="D233" s="656" t="s">
        <v>15469</v>
      </c>
      <c r="E233" s="656" t="s">
        <v>14279</v>
      </c>
      <c r="F233" s="1447"/>
      <c r="G233" s="656" t="s">
        <v>9529</v>
      </c>
      <c r="H233" s="656" t="s">
        <v>1777</v>
      </c>
      <c r="I233" s="656"/>
      <c r="J233" s="656"/>
      <c r="K233" s="656"/>
      <c r="L233" s="656" t="s">
        <v>15469</v>
      </c>
      <c r="M233" s="656" t="s">
        <v>16265</v>
      </c>
      <c r="N233" s="656"/>
      <c r="O233" s="656" t="s">
        <v>6427</v>
      </c>
      <c r="P233" s="5"/>
      <c r="Q233" s="1447">
        <v>44237</v>
      </c>
      <c r="R233" s="656"/>
      <c r="S233" s="656" t="s">
        <v>455</v>
      </c>
      <c r="T233" s="656"/>
      <c r="U233" s="656"/>
      <c r="V233" s="656"/>
      <c r="W233" s="656" t="s">
        <v>13051</v>
      </c>
      <c r="X233" s="656" t="s">
        <v>498</v>
      </c>
      <c r="Y233" s="656" t="s">
        <v>14278</v>
      </c>
      <c r="Z233" s="656">
        <v>44305.527291666665</v>
      </c>
      <c r="AA233" s="656" t="s">
        <v>14335</v>
      </c>
      <c r="AB233" s="656"/>
    </row>
    <row r="234" spans="1:28">
      <c r="A234" s="656" t="s">
        <v>9530</v>
      </c>
      <c r="B234" s="656" t="s">
        <v>9529</v>
      </c>
      <c r="C234" s="656" t="s">
        <v>21</v>
      </c>
      <c r="D234" s="656" t="s">
        <v>15981</v>
      </c>
      <c r="E234" s="656" t="s">
        <v>14279</v>
      </c>
      <c r="F234" s="1447"/>
      <c r="G234" s="656" t="s">
        <v>15982</v>
      </c>
      <c r="H234" s="656" t="s">
        <v>1777</v>
      </c>
      <c r="I234" s="656" t="s">
        <v>15983</v>
      </c>
      <c r="J234" s="656" t="s">
        <v>15981</v>
      </c>
      <c r="K234" s="656" t="s">
        <v>9774</v>
      </c>
      <c r="L234" s="656"/>
      <c r="M234" s="656" t="s">
        <v>16265</v>
      </c>
      <c r="N234" s="656"/>
      <c r="O234" s="656" t="s">
        <v>6427</v>
      </c>
      <c r="P234" s="5"/>
      <c r="Q234" s="1447">
        <v>44280</v>
      </c>
      <c r="R234" s="656"/>
      <c r="S234" s="656" t="s">
        <v>4052</v>
      </c>
      <c r="T234" s="656"/>
      <c r="U234" s="656"/>
      <c r="V234" s="656"/>
      <c r="W234" s="656" t="s">
        <v>13051</v>
      </c>
      <c r="X234" s="656" t="s">
        <v>498</v>
      </c>
      <c r="Y234" s="656" t="s">
        <v>14278</v>
      </c>
      <c r="Z234" s="656">
        <v>44305.527638888889</v>
      </c>
      <c r="AA234" s="656" t="s">
        <v>14335</v>
      </c>
      <c r="AB234" s="656"/>
    </row>
    <row r="235" spans="1:28">
      <c r="A235" s="656" t="s">
        <v>15807</v>
      </c>
      <c r="B235" s="656" t="s">
        <v>15808</v>
      </c>
      <c r="C235" s="656" t="s">
        <v>20</v>
      </c>
      <c r="D235" s="656" t="s">
        <v>16334</v>
      </c>
      <c r="E235" s="656" t="s">
        <v>14279</v>
      </c>
      <c r="F235" s="1447"/>
      <c r="G235" s="656" t="s">
        <v>16335</v>
      </c>
      <c r="H235" s="656" t="s">
        <v>1777</v>
      </c>
      <c r="I235" s="656"/>
      <c r="J235" s="656"/>
      <c r="K235" s="656"/>
      <c r="L235" s="656" t="s">
        <v>16334</v>
      </c>
      <c r="M235" s="656" t="s">
        <v>12783</v>
      </c>
      <c r="N235" s="656"/>
      <c r="O235" s="656" t="s">
        <v>6427</v>
      </c>
      <c r="P235" s="5"/>
      <c r="Q235" s="1447">
        <v>44308</v>
      </c>
      <c r="R235" s="656"/>
      <c r="S235" s="656" t="s">
        <v>4052</v>
      </c>
      <c r="T235" s="656"/>
      <c r="U235" s="656"/>
      <c r="V235" s="656"/>
      <c r="W235" s="656" t="s">
        <v>13051</v>
      </c>
      <c r="X235" s="656" t="s">
        <v>498</v>
      </c>
      <c r="Y235" s="656" t="s">
        <v>14278</v>
      </c>
      <c r="Z235" s="656">
        <v>44308.502870370372</v>
      </c>
      <c r="AA235" s="656" t="s">
        <v>14276</v>
      </c>
      <c r="AB235" s="656"/>
    </row>
    <row r="236" spans="1:28">
      <c r="A236" s="656" t="s">
        <v>9532</v>
      </c>
      <c r="B236" s="656" t="s">
        <v>12405</v>
      </c>
      <c r="C236" s="656" t="s">
        <v>21</v>
      </c>
      <c r="D236" s="656" t="s">
        <v>12495</v>
      </c>
      <c r="E236" s="656" t="s">
        <v>14313</v>
      </c>
      <c r="F236" s="1447"/>
      <c r="G236" s="656" t="s">
        <v>12496</v>
      </c>
      <c r="H236" s="656" t="s">
        <v>1777</v>
      </c>
      <c r="I236" s="656" t="s">
        <v>14346</v>
      </c>
      <c r="J236" s="656" t="s">
        <v>12495</v>
      </c>
      <c r="K236" s="656" t="s">
        <v>9774</v>
      </c>
      <c r="L236" s="656"/>
      <c r="M236" s="656" t="s">
        <v>16336</v>
      </c>
      <c r="N236" s="656"/>
      <c r="O236" s="656" t="s">
        <v>6427</v>
      </c>
      <c r="P236" s="5" t="s">
        <v>14345</v>
      </c>
      <c r="Q236" s="1447">
        <v>44064</v>
      </c>
      <c r="R236" s="656">
        <v>44246</v>
      </c>
      <c r="S236" s="656" t="s">
        <v>455</v>
      </c>
      <c r="T236" s="656"/>
      <c r="U236" s="656"/>
      <c r="V236" s="656"/>
      <c r="W236" s="656" t="s">
        <v>13051</v>
      </c>
      <c r="X236" s="656" t="s">
        <v>498</v>
      </c>
      <c r="Y236" s="656" t="s">
        <v>14278</v>
      </c>
      <c r="Z236" s="656">
        <v>44305.526388888888</v>
      </c>
      <c r="AA236" s="656" t="s">
        <v>14335</v>
      </c>
      <c r="AB236" s="656"/>
    </row>
    <row r="237" spans="1:28">
      <c r="A237" s="656" t="s">
        <v>9532</v>
      </c>
      <c r="B237" s="656" t="s">
        <v>9531</v>
      </c>
      <c r="C237" s="656" t="s">
        <v>20</v>
      </c>
      <c r="D237" s="656" t="s">
        <v>10253</v>
      </c>
      <c r="E237" s="656" t="s">
        <v>14279</v>
      </c>
      <c r="F237" s="1447"/>
      <c r="G237" s="656" t="s">
        <v>10252</v>
      </c>
      <c r="H237" s="656" t="s">
        <v>1777</v>
      </c>
      <c r="I237" s="656"/>
      <c r="J237" s="656"/>
      <c r="K237" s="656"/>
      <c r="L237" s="656" t="s">
        <v>10253</v>
      </c>
      <c r="M237" s="656" t="s">
        <v>16336</v>
      </c>
      <c r="N237" s="656"/>
      <c r="O237" s="656" t="s">
        <v>6427</v>
      </c>
      <c r="P237" s="5" t="s">
        <v>14345</v>
      </c>
      <c r="Q237" s="1447">
        <v>43949</v>
      </c>
      <c r="R237" s="656"/>
      <c r="S237" s="656" t="s">
        <v>455</v>
      </c>
      <c r="T237" s="656"/>
      <c r="U237" s="656"/>
      <c r="V237" s="656"/>
      <c r="W237" s="656" t="s">
        <v>13051</v>
      </c>
      <c r="X237" s="656" t="s">
        <v>498</v>
      </c>
      <c r="Y237" s="656" t="s">
        <v>14278</v>
      </c>
      <c r="Z237" s="656">
        <v>44305.526400462964</v>
      </c>
      <c r="AA237" s="656" t="s">
        <v>14335</v>
      </c>
      <c r="AB237" s="656"/>
    </row>
    <row r="238" spans="1:28">
      <c r="A238" s="656" t="s">
        <v>9534</v>
      </c>
      <c r="B238" s="656" t="s">
        <v>9533</v>
      </c>
      <c r="C238" s="656" t="s">
        <v>20</v>
      </c>
      <c r="D238" s="656" t="s">
        <v>10336</v>
      </c>
      <c r="E238" s="656" t="s">
        <v>14279</v>
      </c>
      <c r="F238" s="1447"/>
      <c r="G238" s="656" t="s">
        <v>10335</v>
      </c>
      <c r="H238" s="656" t="s">
        <v>1777</v>
      </c>
      <c r="I238" s="656"/>
      <c r="J238" s="656"/>
      <c r="K238" s="656"/>
      <c r="L238" s="656" t="s">
        <v>10336</v>
      </c>
      <c r="M238" s="656" t="s">
        <v>16196</v>
      </c>
      <c r="N238" s="656"/>
      <c r="O238" s="656" t="s">
        <v>6395</v>
      </c>
      <c r="P238" s="5"/>
      <c r="Q238" s="1447">
        <v>44025</v>
      </c>
      <c r="R238" s="656"/>
      <c r="S238" s="656" t="s">
        <v>472</v>
      </c>
      <c r="T238" s="656"/>
      <c r="U238" s="656"/>
      <c r="V238" s="656"/>
      <c r="W238" s="656" t="s">
        <v>13051</v>
      </c>
      <c r="X238" s="656" t="s">
        <v>498</v>
      </c>
      <c r="Y238" s="656" t="s">
        <v>14278</v>
      </c>
      <c r="Z238" s="656">
        <v>44305.526388888888</v>
      </c>
      <c r="AA238" s="656" t="s">
        <v>14335</v>
      </c>
      <c r="AB238" s="656"/>
    </row>
    <row r="239" spans="1:28">
      <c r="A239" s="656" t="s">
        <v>9536</v>
      </c>
      <c r="B239" s="656" t="s">
        <v>9535</v>
      </c>
      <c r="C239" s="656" t="s">
        <v>21</v>
      </c>
      <c r="D239" s="656" t="s">
        <v>12522</v>
      </c>
      <c r="E239" s="656" t="s">
        <v>14275</v>
      </c>
      <c r="F239" s="1447">
        <v>44298</v>
      </c>
      <c r="G239" s="656" t="s">
        <v>10333</v>
      </c>
      <c r="H239" s="656" t="s">
        <v>1777</v>
      </c>
      <c r="I239" s="656" t="s">
        <v>14347</v>
      </c>
      <c r="J239" s="656" t="s">
        <v>12522</v>
      </c>
      <c r="K239" s="656" t="s">
        <v>9774</v>
      </c>
      <c r="L239" s="656"/>
      <c r="M239" s="656" t="s">
        <v>16196</v>
      </c>
      <c r="N239" s="656"/>
      <c r="O239" s="656" t="s">
        <v>6395</v>
      </c>
      <c r="P239" s="5"/>
      <c r="Q239" s="1447">
        <v>44076</v>
      </c>
      <c r="R239" s="656">
        <v>44210</v>
      </c>
      <c r="S239" s="656" t="s">
        <v>472</v>
      </c>
      <c r="T239" s="656"/>
      <c r="U239" s="656"/>
      <c r="V239" s="656"/>
      <c r="W239" s="656" t="s">
        <v>13051</v>
      </c>
      <c r="X239" s="656" t="s">
        <v>498</v>
      </c>
      <c r="Y239" s="656" t="s">
        <v>14278</v>
      </c>
      <c r="Z239" s="656">
        <v>44305.526377314818</v>
      </c>
      <c r="AA239" s="656" t="s">
        <v>14335</v>
      </c>
      <c r="AB239" s="656"/>
    </row>
    <row r="240" spans="1:28">
      <c r="A240" s="656" t="s">
        <v>9536</v>
      </c>
      <c r="B240" s="656" t="s">
        <v>9535</v>
      </c>
      <c r="C240" s="656" t="s">
        <v>20</v>
      </c>
      <c r="D240" s="656" t="s">
        <v>10334</v>
      </c>
      <c r="E240" s="656" t="s">
        <v>14275</v>
      </c>
      <c r="F240" s="1447">
        <v>44293</v>
      </c>
      <c r="G240" s="656" t="s">
        <v>10333</v>
      </c>
      <c r="H240" s="656" t="s">
        <v>1777</v>
      </c>
      <c r="I240" s="656"/>
      <c r="J240" s="656"/>
      <c r="K240" s="656"/>
      <c r="L240" s="656" t="s">
        <v>10334</v>
      </c>
      <c r="M240" s="656" t="s">
        <v>16196</v>
      </c>
      <c r="N240" s="656"/>
      <c r="O240" s="656" t="s">
        <v>6395</v>
      </c>
      <c r="P240" s="5"/>
      <c r="Q240" s="1447">
        <v>44025</v>
      </c>
      <c r="R240" s="656"/>
      <c r="S240" s="656" t="s">
        <v>472</v>
      </c>
      <c r="T240" s="656"/>
      <c r="U240" s="656"/>
      <c r="V240" s="656"/>
      <c r="W240" s="656" t="s">
        <v>13051</v>
      </c>
      <c r="X240" s="656" t="s">
        <v>498</v>
      </c>
      <c r="Y240" s="656" t="s">
        <v>14278</v>
      </c>
      <c r="Z240" s="656">
        <v>44305.526377314818</v>
      </c>
      <c r="AA240" s="656" t="s">
        <v>14335</v>
      </c>
      <c r="AB240" s="656"/>
    </row>
    <row r="241" spans="1:28" ht="29">
      <c r="A241" s="656" t="s">
        <v>9178</v>
      </c>
      <c r="B241" s="656" t="s">
        <v>1013</v>
      </c>
      <c r="C241" s="656" t="s">
        <v>21</v>
      </c>
      <c r="D241" s="656" t="s">
        <v>12391</v>
      </c>
      <c r="E241" s="656" t="s">
        <v>14275</v>
      </c>
      <c r="F241" s="1447">
        <v>44299</v>
      </c>
      <c r="G241" s="656" t="s">
        <v>10312</v>
      </c>
      <c r="H241" s="656" t="s">
        <v>1777</v>
      </c>
      <c r="I241" s="656" t="s">
        <v>14347</v>
      </c>
      <c r="J241" s="656" t="s">
        <v>12391</v>
      </c>
      <c r="K241" s="656" t="s">
        <v>9774</v>
      </c>
      <c r="L241" s="656"/>
      <c r="M241" s="656" t="s">
        <v>16196</v>
      </c>
      <c r="N241" s="656"/>
      <c r="O241" s="656" t="s">
        <v>6395</v>
      </c>
      <c r="P241" s="5" t="s">
        <v>16467</v>
      </c>
      <c r="Q241" s="1447">
        <v>44041</v>
      </c>
      <c r="R241" s="656"/>
      <c r="S241" s="656" t="s">
        <v>472</v>
      </c>
      <c r="T241" s="656"/>
      <c r="U241" s="656"/>
      <c r="V241" s="656"/>
      <c r="W241" s="656" t="s">
        <v>13051</v>
      </c>
      <c r="X241" s="656" t="s">
        <v>498</v>
      </c>
      <c r="Y241" s="656" t="s">
        <v>14278</v>
      </c>
      <c r="Z241" s="656">
        <v>44319.432928240742</v>
      </c>
      <c r="AA241" s="656" t="s">
        <v>14276</v>
      </c>
      <c r="AB241" s="656"/>
    </row>
    <row r="242" spans="1:28">
      <c r="A242" s="656" t="s">
        <v>9178</v>
      </c>
      <c r="B242" s="656" t="s">
        <v>1013</v>
      </c>
      <c r="C242" s="656" t="s">
        <v>20</v>
      </c>
      <c r="D242" s="656" t="s">
        <v>10313</v>
      </c>
      <c r="E242" s="656" t="s">
        <v>14275</v>
      </c>
      <c r="F242" s="1447">
        <v>44306</v>
      </c>
      <c r="G242" s="656" t="s">
        <v>10312</v>
      </c>
      <c r="H242" s="656" t="s">
        <v>1777</v>
      </c>
      <c r="I242" s="656"/>
      <c r="J242" s="656"/>
      <c r="K242" s="656"/>
      <c r="L242" s="656" t="s">
        <v>10313</v>
      </c>
      <c r="M242" s="656" t="s">
        <v>16196</v>
      </c>
      <c r="N242" s="656"/>
      <c r="O242" s="656" t="s">
        <v>6395</v>
      </c>
      <c r="P242" s="5"/>
      <c r="Q242" s="1447">
        <v>44004</v>
      </c>
      <c r="R242" s="656"/>
      <c r="S242" s="656" t="s">
        <v>472</v>
      </c>
      <c r="T242" s="656"/>
      <c r="U242" s="656"/>
      <c r="V242" s="656"/>
      <c r="W242" s="656" t="s">
        <v>13051</v>
      </c>
      <c r="X242" s="656" t="s">
        <v>498</v>
      </c>
      <c r="Y242" s="656" t="s">
        <v>14278</v>
      </c>
      <c r="Z242" s="656">
        <v>44307.311979166669</v>
      </c>
      <c r="AA242" s="656" t="s">
        <v>14276</v>
      </c>
      <c r="AB242" s="656"/>
    </row>
    <row r="243" spans="1:28">
      <c r="A243" s="656" t="s">
        <v>9189</v>
      </c>
      <c r="B243" s="656" t="s">
        <v>9086</v>
      </c>
      <c r="C243" s="656" t="s">
        <v>21</v>
      </c>
      <c r="D243" s="656" t="s">
        <v>10229</v>
      </c>
      <c r="E243" s="656" t="s">
        <v>14275</v>
      </c>
      <c r="F243" s="1447">
        <v>44308</v>
      </c>
      <c r="G243" s="656" t="s">
        <v>10199</v>
      </c>
      <c r="H243" s="656" t="s">
        <v>1777</v>
      </c>
      <c r="I243" s="656" t="s">
        <v>14348</v>
      </c>
      <c r="J243" s="656" t="s">
        <v>10229</v>
      </c>
      <c r="K243" s="656" t="s">
        <v>9774</v>
      </c>
      <c r="L243" s="656"/>
      <c r="M243" s="656" t="s">
        <v>16196</v>
      </c>
      <c r="N243" s="656"/>
      <c r="O243" s="656" t="s">
        <v>6395</v>
      </c>
      <c r="P243" s="5"/>
      <c r="Q243" s="1447">
        <v>43909</v>
      </c>
      <c r="R243" s="656">
        <v>44134</v>
      </c>
      <c r="S243" s="656" t="s">
        <v>472</v>
      </c>
      <c r="T243" s="656"/>
      <c r="U243" s="656"/>
      <c r="V243" s="656"/>
      <c r="W243" s="656" t="s">
        <v>13051</v>
      </c>
      <c r="X243" s="656" t="s">
        <v>498</v>
      </c>
      <c r="Y243" s="656" t="s">
        <v>14278</v>
      </c>
      <c r="Z243" s="656">
        <v>44309.377430555556</v>
      </c>
      <c r="AA243" s="656" t="s">
        <v>14276</v>
      </c>
      <c r="AB243" s="656"/>
    </row>
    <row r="244" spans="1:28">
      <c r="A244" s="656" t="s">
        <v>9189</v>
      </c>
      <c r="B244" s="656" t="s">
        <v>9086</v>
      </c>
      <c r="C244" s="656" t="s">
        <v>20</v>
      </c>
      <c r="D244" s="656" t="s">
        <v>10200</v>
      </c>
      <c r="E244" s="656" t="s">
        <v>14275</v>
      </c>
      <c r="F244" s="1447">
        <v>44306</v>
      </c>
      <c r="G244" s="656" t="s">
        <v>10199</v>
      </c>
      <c r="H244" s="656" t="s">
        <v>1777</v>
      </c>
      <c r="I244" s="656"/>
      <c r="J244" s="656"/>
      <c r="K244" s="656"/>
      <c r="L244" s="656" t="s">
        <v>10200</v>
      </c>
      <c r="M244" s="656" t="s">
        <v>16196</v>
      </c>
      <c r="N244" s="656"/>
      <c r="O244" s="656" t="s">
        <v>6395</v>
      </c>
      <c r="P244" s="5"/>
      <c r="Q244" s="1447">
        <v>43881</v>
      </c>
      <c r="R244" s="656"/>
      <c r="S244" s="656" t="s">
        <v>472</v>
      </c>
      <c r="T244" s="656"/>
      <c r="U244" s="656"/>
      <c r="V244" s="656"/>
      <c r="W244" s="656" t="s">
        <v>13051</v>
      </c>
      <c r="X244" s="656" t="s">
        <v>498</v>
      </c>
      <c r="Y244" s="656" t="s">
        <v>14278</v>
      </c>
      <c r="Z244" s="656">
        <v>44307.335740740738</v>
      </c>
      <c r="AA244" s="656" t="s">
        <v>14276</v>
      </c>
      <c r="AB244" s="656"/>
    </row>
    <row r="245" spans="1:28">
      <c r="A245" s="656" t="s">
        <v>9189</v>
      </c>
      <c r="B245" s="656" t="s">
        <v>9086</v>
      </c>
      <c r="C245" s="656" t="s">
        <v>20</v>
      </c>
      <c r="D245" s="656" t="s">
        <v>10337</v>
      </c>
      <c r="E245" s="656" t="s">
        <v>14275</v>
      </c>
      <c r="F245" s="1447">
        <v>44306</v>
      </c>
      <c r="G245" s="656" t="s">
        <v>10199</v>
      </c>
      <c r="H245" s="656" t="s">
        <v>1777</v>
      </c>
      <c r="I245" s="656"/>
      <c r="J245" s="656"/>
      <c r="K245" s="656"/>
      <c r="L245" s="656" t="s">
        <v>10337</v>
      </c>
      <c r="M245" s="656" t="s">
        <v>9450</v>
      </c>
      <c r="N245" s="656" t="s">
        <v>9892</v>
      </c>
      <c r="O245" s="656" t="s">
        <v>6395</v>
      </c>
      <c r="P245" s="5" t="s">
        <v>14349</v>
      </c>
      <c r="Q245" s="1447">
        <v>44025</v>
      </c>
      <c r="R245" s="656"/>
      <c r="S245" s="656" t="s">
        <v>472</v>
      </c>
      <c r="T245" s="656"/>
      <c r="U245" s="656"/>
      <c r="V245" s="656"/>
      <c r="W245" s="656" t="s">
        <v>13051</v>
      </c>
      <c r="X245" s="656" t="s">
        <v>498</v>
      </c>
      <c r="Y245" s="656" t="s">
        <v>14278</v>
      </c>
      <c r="Z245" s="656">
        <v>44307.3359837963</v>
      </c>
      <c r="AA245" s="656" t="s">
        <v>14276</v>
      </c>
      <c r="AB245" s="656"/>
    </row>
    <row r="246" spans="1:28">
      <c r="A246" s="656" t="s">
        <v>9189</v>
      </c>
      <c r="B246" s="656" t="s">
        <v>9086</v>
      </c>
      <c r="C246" s="656" t="s">
        <v>20</v>
      </c>
      <c r="D246" s="656" t="s">
        <v>10338</v>
      </c>
      <c r="E246" s="656" t="s">
        <v>14275</v>
      </c>
      <c r="F246" s="1447">
        <v>44306</v>
      </c>
      <c r="G246" s="656" t="s">
        <v>10199</v>
      </c>
      <c r="H246" s="656" t="s">
        <v>1777</v>
      </c>
      <c r="I246" s="656"/>
      <c r="J246" s="656"/>
      <c r="K246" s="656"/>
      <c r="L246" s="656" t="s">
        <v>10338</v>
      </c>
      <c r="M246" s="656" t="s">
        <v>9450</v>
      </c>
      <c r="N246" s="656" t="s">
        <v>9892</v>
      </c>
      <c r="O246" s="656" t="s">
        <v>6395</v>
      </c>
      <c r="P246" s="5" t="s">
        <v>14350</v>
      </c>
      <c r="Q246" s="1447">
        <v>44025</v>
      </c>
      <c r="R246" s="656"/>
      <c r="S246" s="656" t="s">
        <v>472</v>
      </c>
      <c r="T246" s="656"/>
      <c r="U246" s="656"/>
      <c r="V246" s="656"/>
      <c r="W246" s="656" t="s">
        <v>13051</v>
      </c>
      <c r="X246" s="656" t="s">
        <v>498</v>
      </c>
      <c r="Y246" s="656" t="s">
        <v>14278</v>
      </c>
      <c r="Z246" s="656">
        <v>44307.336238425924</v>
      </c>
      <c r="AA246" s="656" t="s">
        <v>14276</v>
      </c>
      <c r="AB246" s="656"/>
    </row>
    <row r="247" spans="1:28">
      <c r="A247" s="656" t="s">
        <v>9190</v>
      </c>
      <c r="B247" s="656" t="s">
        <v>528</v>
      </c>
      <c r="C247" s="656" t="s">
        <v>20</v>
      </c>
      <c r="D247" s="656" t="s">
        <v>15984</v>
      </c>
      <c r="E247" s="656" t="s">
        <v>14279</v>
      </c>
      <c r="F247" s="1447"/>
      <c r="G247" s="656" t="s">
        <v>15985</v>
      </c>
      <c r="H247" s="656" t="s">
        <v>1777</v>
      </c>
      <c r="I247" s="656"/>
      <c r="J247" s="656"/>
      <c r="K247" s="656"/>
      <c r="L247" s="656" t="s">
        <v>15984</v>
      </c>
      <c r="M247" s="656" t="s">
        <v>16337</v>
      </c>
      <c r="N247" s="656" t="s">
        <v>14557</v>
      </c>
      <c r="O247" s="656" t="s">
        <v>3829</v>
      </c>
      <c r="P247" s="5"/>
      <c r="Q247" s="1447">
        <v>43728</v>
      </c>
      <c r="R247" s="656"/>
      <c r="S247" s="656" t="s">
        <v>8807</v>
      </c>
      <c r="T247" s="656"/>
      <c r="U247" s="656"/>
      <c r="V247" s="656"/>
      <c r="W247" s="656" t="s">
        <v>13051</v>
      </c>
      <c r="X247" s="656" t="s">
        <v>498</v>
      </c>
      <c r="Y247" s="656" t="s">
        <v>14278</v>
      </c>
      <c r="Z247" s="656">
        <v>44305.527511574073</v>
      </c>
      <c r="AA247" s="656" t="s">
        <v>14335</v>
      </c>
      <c r="AB247" s="656"/>
    </row>
    <row r="248" spans="1:28">
      <c r="A248" s="656" t="s">
        <v>9193</v>
      </c>
      <c r="B248" s="656" t="s">
        <v>12406</v>
      </c>
      <c r="C248" s="656" t="s">
        <v>21</v>
      </c>
      <c r="D248" s="656" t="s">
        <v>12669</v>
      </c>
      <c r="E248" s="656" t="s">
        <v>14279</v>
      </c>
      <c r="F248" s="1447"/>
      <c r="G248" s="656" t="s">
        <v>12670</v>
      </c>
      <c r="H248" s="656" t="s">
        <v>1777</v>
      </c>
      <c r="I248" s="656" t="s">
        <v>14351</v>
      </c>
      <c r="J248" s="656" t="s">
        <v>12669</v>
      </c>
      <c r="K248" s="656" t="s">
        <v>9774</v>
      </c>
      <c r="L248" s="656"/>
      <c r="M248" s="656" t="s">
        <v>16196</v>
      </c>
      <c r="N248" s="656"/>
      <c r="O248" s="656" t="s">
        <v>6395</v>
      </c>
      <c r="P248" s="5"/>
      <c r="Q248" s="1447">
        <v>44092</v>
      </c>
      <c r="R248" s="656"/>
      <c r="S248" s="656" t="s">
        <v>472</v>
      </c>
      <c r="T248" s="656"/>
      <c r="U248" s="656"/>
      <c r="V248" s="656"/>
      <c r="W248" s="656" t="s">
        <v>13051</v>
      </c>
      <c r="X248" s="656" t="s">
        <v>498</v>
      </c>
      <c r="Y248" s="656" t="s">
        <v>14278</v>
      </c>
      <c r="Z248" s="656">
        <v>44305.526331018518</v>
      </c>
      <c r="AA248" s="656" t="s">
        <v>14335</v>
      </c>
      <c r="AB248" s="656"/>
    </row>
    <row r="249" spans="1:28">
      <c r="A249" s="656" t="s">
        <v>9193</v>
      </c>
      <c r="B249" s="656" t="s">
        <v>9546</v>
      </c>
      <c r="C249" s="656" t="s">
        <v>20</v>
      </c>
      <c r="D249" s="656" t="s">
        <v>10372</v>
      </c>
      <c r="E249" s="656" t="s">
        <v>14279</v>
      </c>
      <c r="F249" s="1447"/>
      <c r="G249" s="656" t="s">
        <v>10371</v>
      </c>
      <c r="H249" s="656" t="s">
        <v>1777</v>
      </c>
      <c r="I249" s="656"/>
      <c r="J249" s="656"/>
      <c r="K249" s="656"/>
      <c r="L249" s="656" t="s">
        <v>10372</v>
      </c>
      <c r="M249" s="656" t="s">
        <v>16196</v>
      </c>
      <c r="N249" s="656"/>
      <c r="O249" s="656" t="s">
        <v>6395</v>
      </c>
      <c r="P249" s="5"/>
      <c r="Q249" s="1447">
        <v>44034</v>
      </c>
      <c r="R249" s="656"/>
      <c r="S249" s="656" t="s">
        <v>472</v>
      </c>
      <c r="T249" s="656"/>
      <c r="U249" s="656"/>
      <c r="V249" s="656"/>
      <c r="W249" s="656" t="s">
        <v>13051</v>
      </c>
      <c r="X249" s="656" t="s">
        <v>498</v>
      </c>
      <c r="Y249" s="656" t="s">
        <v>14278</v>
      </c>
      <c r="Z249" s="656">
        <v>44305.526331018518</v>
      </c>
      <c r="AA249" s="656" t="s">
        <v>14335</v>
      </c>
      <c r="AB249" s="656"/>
    </row>
    <row r="250" spans="1:28">
      <c r="A250" s="656" t="s">
        <v>9195</v>
      </c>
      <c r="B250" s="656" t="s">
        <v>9548</v>
      </c>
      <c r="C250" s="656" t="s">
        <v>21</v>
      </c>
      <c r="D250" s="656" t="s">
        <v>10291</v>
      </c>
      <c r="E250" s="656" t="s">
        <v>14279</v>
      </c>
      <c r="F250" s="1447"/>
      <c r="G250" s="656" t="s">
        <v>10281</v>
      </c>
      <c r="H250" s="656" t="s">
        <v>1777</v>
      </c>
      <c r="I250" s="656" t="s">
        <v>14352</v>
      </c>
      <c r="J250" s="656" t="s">
        <v>10291</v>
      </c>
      <c r="K250" s="656" t="s">
        <v>9774</v>
      </c>
      <c r="L250" s="656"/>
      <c r="M250" s="656" t="s">
        <v>16196</v>
      </c>
      <c r="N250" s="656"/>
      <c r="O250" s="656" t="s">
        <v>6395</v>
      </c>
      <c r="P250" s="5"/>
      <c r="Q250" s="1447">
        <v>43991</v>
      </c>
      <c r="R250" s="656"/>
      <c r="S250" s="656" t="s">
        <v>472</v>
      </c>
      <c r="T250" s="656"/>
      <c r="U250" s="656"/>
      <c r="V250" s="656"/>
      <c r="W250" s="656" t="s">
        <v>13051</v>
      </c>
      <c r="X250" s="656" t="s">
        <v>498</v>
      </c>
      <c r="Y250" s="656" t="s">
        <v>14278</v>
      </c>
      <c r="Z250" s="656">
        <v>44305.526284722226</v>
      </c>
      <c r="AA250" s="656" t="s">
        <v>14335</v>
      </c>
      <c r="AB250" s="656"/>
    </row>
    <row r="251" spans="1:28">
      <c r="A251" s="656" t="s">
        <v>9195</v>
      </c>
      <c r="B251" s="656" t="s">
        <v>9548</v>
      </c>
      <c r="C251" s="656" t="s">
        <v>20</v>
      </c>
      <c r="D251" s="656" t="s">
        <v>10282</v>
      </c>
      <c r="E251" s="656" t="s">
        <v>14279</v>
      </c>
      <c r="F251" s="1447"/>
      <c r="G251" s="656" t="s">
        <v>10281</v>
      </c>
      <c r="H251" s="656" t="s">
        <v>1777</v>
      </c>
      <c r="I251" s="656"/>
      <c r="J251" s="656"/>
      <c r="K251" s="656"/>
      <c r="L251" s="656" t="s">
        <v>10282</v>
      </c>
      <c r="M251" s="656" t="s">
        <v>16196</v>
      </c>
      <c r="N251" s="656"/>
      <c r="O251" s="656" t="s">
        <v>6395</v>
      </c>
      <c r="P251" s="5" t="s">
        <v>14325</v>
      </c>
      <c r="Q251" s="1447">
        <v>43979</v>
      </c>
      <c r="R251" s="656"/>
      <c r="S251" s="656" t="s">
        <v>472</v>
      </c>
      <c r="T251" s="656"/>
      <c r="U251" s="656"/>
      <c r="V251" s="656" t="s">
        <v>14323</v>
      </c>
      <c r="W251" s="656" t="s">
        <v>13051</v>
      </c>
      <c r="X251" s="656" t="s">
        <v>498</v>
      </c>
      <c r="Y251" s="656" t="s">
        <v>14278</v>
      </c>
      <c r="Z251" s="656">
        <v>44305.526296296295</v>
      </c>
      <c r="AA251" s="656" t="s">
        <v>14335</v>
      </c>
      <c r="AB251" s="656"/>
    </row>
    <row r="252" spans="1:28">
      <c r="A252" s="656" t="s">
        <v>9195</v>
      </c>
      <c r="B252" s="656" t="s">
        <v>9548</v>
      </c>
      <c r="C252" s="656" t="s">
        <v>20</v>
      </c>
      <c r="D252" s="656" t="s">
        <v>10283</v>
      </c>
      <c r="E252" s="656" t="s">
        <v>14279</v>
      </c>
      <c r="F252" s="1447"/>
      <c r="G252" s="656" t="s">
        <v>10281</v>
      </c>
      <c r="H252" s="656" t="s">
        <v>1777</v>
      </c>
      <c r="I252" s="656"/>
      <c r="J252" s="656"/>
      <c r="K252" s="656"/>
      <c r="L252" s="656" t="s">
        <v>10283</v>
      </c>
      <c r="M252" s="656" t="s">
        <v>16196</v>
      </c>
      <c r="N252" s="656"/>
      <c r="O252" s="656" t="s">
        <v>6395</v>
      </c>
      <c r="P252" s="5" t="s">
        <v>14326</v>
      </c>
      <c r="Q252" s="1447">
        <v>43979</v>
      </c>
      <c r="R252" s="656"/>
      <c r="S252" s="656" t="s">
        <v>472</v>
      </c>
      <c r="T252" s="656"/>
      <c r="U252" s="656"/>
      <c r="V252" s="656" t="s">
        <v>14361</v>
      </c>
      <c r="W252" s="656" t="s">
        <v>13051</v>
      </c>
      <c r="X252" s="656" t="s">
        <v>498</v>
      </c>
      <c r="Y252" s="656" t="s">
        <v>14278</v>
      </c>
      <c r="Z252" s="656">
        <v>44305.526307870372</v>
      </c>
      <c r="AA252" s="656" t="s">
        <v>14335</v>
      </c>
      <c r="AB252" s="656"/>
    </row>
    <row r="253" spans="1:28">
      <c r="A253" s="656" t="s">
        <v>9195</v>
      </c>
      <c r="B253" s="656" t="s">
        <v>9548</v>
      </c>
      <c r="C253" s="656" t="s">
        <v>20</v>
      </c>
      <c r="D253" s="656" t="s">
        <v>12414</v>
      </c>
      <c r="E253" s="656" t="s">
        <v>14279</v>
      </c>
      <c r="F253" s="1447"/>
      <c r="G253" s="656" t="s">
        <v>10281</v>
      </c>
      <c r="H253" s="656" t="s">
        <v>1777</v>
      </c>
      <c r="I253" s="656"/>
      <c r="J253" s="656"/>
      <c r="K253" s="656"/>
      <c r="L253" s="656" t="s">
        <v>12414</v>
      </c>
      <c r="M253" s="656" t="s">
        <v>9450</v>
      </c>
      <c r="N253" s="656" t="s">
        <v>9892</v>
      </c>
      <c r="O253" s="656" t="s">
        <v>6395</v>
      </c>
      <c r="P253" s="5" t="s">
        <v>14353</v>
      </c>
      <c r="Q253" s="1447">
        <v>44043</v>
      </c>
      <c r="R253" s="656"/>
      <c r="S253" s="656" t="s">
        <v>472</v>
      </c>
      <c r="T253" s="656"/>
      <c r="U253" s="656"/>
      <c r="V253" s="656"/>
      <c r="W253" s="656" t="s">
        <v>13051</v>
      </c>
      <c r="X253" s="656" t="s">
        <v>498</v>
      </c>
      <c r="Y253" s="656" t="s">
        <v>14278</v>
      </c>
      <c r="Z253" s="656">
        <v>44305.526319444441</v>
      </c>
      <c r="AA253" s="656" t="s">
        <v>14335</v>
      </c>
      <c r="AB253" s="656"/>
    </row>
    <row r="254" spans="1:28">
      <c r="A254" s="656" t="s">
        <v>9195</v>
      </c>
      <c r="B254" s="656" t="s">
        <v>9548</v>
      </c>
      <c r="C254" s="656" t="s">
        <v>20</v>
      </c>
      <c r="D254" s="656" t="s">
        <v>12415</v>
      </c>
      <c r="E254" s="656" t="s">
        <v>14279</v>
      </c>
      <c r="F254" s="1447"/>
      <c r="G254" s="656" t="s">
        <v>10281</v>
      </c>
      <c r="H254" s="656" t="s">
        <v>1777</v>
      </c>
      <c r="I254" s="656"/>
      <c r="J254" s="656"/>
      <c r="K254" s="656"/>
      <c r="L254" s="656" t="s">
        <v>12415</v>
      </c>
      <c r="M254" s="656" t="s">
        <v>9450</v>
      </c>
      <c r="N254" s="656" t="s">
        <v>9892</v>
      </c>
      <c r="O254" s="656" t="s">
        <v>6395</v>
      </c>
      <c r="P254" s="5" t="s">
        <v>14354</v>
      </c>
      <c r="Q254" s="1447">
        <v>44043</v>
      </c>
      <c r="R254" s="656"/>
      <c r="S254" s="656" t="s">
        <v>472</v>
      </c>
      <c r="T254" s="656"/>
      <c r="U254" s="656"/>
      <c r="V254" s="656"/>
      <c r="W254" s="656" t="s">
        <v>13051</v>
      </c>
      <c r="X254" s="656" t="s">
        <v>498</v>
      </c>
      <c r="Y254" s="656" t="s">
        <v>14278</v>
      </c>
      <c r="Z254" s="656">
        <v>44305.526319444441</v>
      </c>
      <c r="AA254" s="656" t="s">
        <v>14335</v>
      </c>
      <c r="AB254" s="656"/>
    </row>
    <row r="255" spans="1:28" ht="29">
      <c r="A255" s="656" t="s">
        <v>9195</v>
      </c>
      <c r="B255" s="656" t="s">
        <v>9548</v>
      </c>
      <c r="C255" s="656" t="s">
        <v>21</v>
      </c>
      <c r="D255" s="656" t="s">
        <v>15986</v>
      </c>
      <c r="E255" s="656" t="s">
        <v>14313</v>
      </c>
      <c r="F255" s="1447"/>
      <c r="G255" s="656" t="s">
        <v>15987</v>
      </c>
      <c r="H255" s="656" t="s">
        <v>1777</v>
      </c>
      <c r="I255" s="656" t="s">
        <v>14352</v>
      </c>
      <c r="J255" s="656" t="s">
        <v>15986</v>
      </c>
      <c r="K255" s="656" t="s">
        <v>9774</v>
      </c>
      <c r="L255" s="656"/>
      <c r="M255" s="656" t="s">
        <v>16196</v>
      </c>
      <c r="N255" s="656"/>
      <c r="O255" s="656" t="s">
        <v>6395</v>
      </c>
      <c r="P255" s="5" t="s">
        <v>16044</v>
      </c>
      <c r="Q255" s="1447">
        <v>44278</v>
      </c>
      <c r="R255" s="656">
        <v>44255</v>
      </c>
      <c r="S255" s="656" t="s">
        <v>472</v>
      </c>
      <c r="T255" s="656"/>
      <c r="U255" s="656"/>
      <c r="V255" s="656"/>
      <c r="W255" s="656" t="s">
        <v>13051</v>
      </c>
      <c r="X255" s="656" t="s">
        <v>498</v>
      </c>
      <c r="Y255" s="656" t="s">
        <v>14278</v>
      </c>
      <c r="Z255" s="656">
        <v>44305.527569444443</v>
      </c>
      <c r="AA255" s="656" t="s">
        <v>14335</v>
      </c>
      <c r="AB255" s="656"/>
    </row>
    <row r="256" spans="1:28">
      <c r="A256" s="656" t="s">
        <v>9198</v>
      </c>
      <c r="B256" s="656" t="s">
        <v>9197</v>
      </c>
      <c r="C256" s="656" t="s">
        <v>20</v>
      </c>
      <c r="D256" s="656" t="s">
        <v>10198</v>
      </c>
      <c r="E256" s="656" t="s">
        <v>14275</v>
      </c>
      <c r="F256" s="1447">
        <v>44074</v>
      </c>
      <c r="G256" s="656" t="s">
        <v>10197</v>
      </c>
      <c r="H256" s="656" t="s">
        <v>1777</v>
      </c>
      <c r="I256" s="656"/>
      <c r="J256" s="656"/>
      <c r="K256" s="656"/>
      <c r="L256" s="656" t="s">
        <v>10198</v>
      </c>
      <c r="M256" s="656" t="s">
        <v>16196</v>
      </c>
      <c r="N256" s="656"/>
      <c r="O256" s="656" t="s">
        <v>6395</v>
      </c>
      <c r="P256" s="5"/>
      <c r="Q256" s="1447">
        <v>43881</v>
      </c>
      <c r="R256" s="656"/>
      <c r="S256" s="656" t="s">
        <v>472</v>
      </c>
      <c r="T256" s="656"/>
      <c r="U256" s="656"/>
      <c r="V256" s="656"/>
      <c r="W256" s="656" t="s">
        <v>13051</v>
      </c>
      <c r="X256" s="656" t="s">
        <v>498</v>
      </c>
      <c r="Y256" s="656" t="s">
        <v>14278</v>
      </c>
      <c r="Z256" s="656">
        <v>44305.526284722226</v>
      </c>
      <c r="AA256" s="656" t="s">
        <v>14335</v>
      </c>
      <c r="AB256" s="656"/>
    </row>
    <row r="257" spans="1:28">
      <c r="A257" s="656" t="s">
        <v>9201</v>
      </c>
      <c r="B257" s="656" t="s">
        <v>9045</v>
      </c>
      <c r="C257" s="656" t="s">
        <v>21</v>
      </c>
      <c r="D257" s="656" t="s">
        <v>10298</v>
      </c>
      <c r="E257" s="656" t="s">
        <v>14279</v>
      </c>
      <c r="F257" s="1447"/>
      <c r="G257" s="656" t="s">
        <v>10297</v>
      </c>
      <c r="H257" s="656" t="s">
        <v>1777</v>
      </c>
      <c r="I257" s="656" t="s">
        <v>14355</v>
      </c>
      <c r="J257" s="656" t="s">
        <v>10298</v>
      </c>
      <c r="K257" s="656" t="s">
        <v>9774</v>
      </c>
      <c r="L257" s="656"/>
      <c r="M257" s="656" t="s">
        <v>16196</v>
      </c>
      <c r="N257" s="656"/>
      <c r="O257" s="656" t="s">
        <v>9714</v>
      </c>
      <c r="P257" s="5"/>
      <c r="Q257" s="1447">
        <v>43992</v>
      </c>
      <c r="R257" s="656"/>
      <c r="S257" s="656" t="s">
        <v>442</v>
      </c>
      <c r="T257" s="656"/>
      <c r="U257" s="656"/>
      <c r="V257" s="656"/>
      <c r="W257" s="656" t="s">
        <v>13051</v>
      </c>
      <c r="X257" s="656" t="s">
        <v>498</v>
      </c>
      <c r="Y257" s="656" t="s">
        <v>14278</v>
      </c>
      <c r="Z257" s="656">
        <v>44305.526250000003</v>
      </c>
      <c r="AA257" s="656" t="s">
        <v>14335</v>
      </c>
      <c r="AB257" s="656"/>
    </row>
    <row r="258" spans="1:28">
      <c r="A258" s="656" t="s">
        <v>9201</v>
      </c>
      <c r="B258" s="656" t="s">
        <v>9045</v>
      </c>
      <c r="C258" s="656" t="s">
        <v>20</v>
      </c>
      <c r="D258" s="656" t="s">
        <v>12690</v>
      </c>
      <c r="E258" s="656" t="s">
        <v>14279</v>
      </c>
      <c r="F258" s="1447"/>
      <c r="G258" s="656" t="s">
        <v>10297</v>
      </c>
      <c r="H258" s="656" t="s">
        <v>1777</v>
      </c>
      <c r="I258" s="656"/>
      <c r="J258" s="656"/>
      <c r="K258" s="656"/>
      <c r="L258" s="656" t="s">
        <v>12690</v>
      </c>
      <c r="M258" s="656" t="s">
        <v>16196</v>
      </c>
      <c r="N258" s="656"/>
      <c r="O258" s="656" t="s">
        <v>9714</v>
      </c>
      <c r="P258" s="5"/>
      <c r="Q258" s="1447">
        <v>43978</v>
      </c>
      <c r="R258" s="656"/>
      <c r="S258" s="656" t="s">
        <v>442</v>
      </c>
      <c r="T258" s="656"/>
      <c r="U258" s="656"/>
      <c r="V258" s="656" t="s">
        <v>14323</v>
      </c>
      <c r="W258" s="656" t="s">
        <v>13051</v>
      </c>
      <c r="X258" s="656" t="s">
        <v>498</v>
      </c>
      <c r="Y258" s="656" t="s">
        <v>14278</v>
      </c>
      <c r="Z258" s="656">
        <v>44305.526250000003</v>
      </c>
      <c r="AA258" s="656" t="s">
        <v>14335</v>
      </c>
      <c r="AB258" s="656"/>
    </row>
    <row r="259" spans="1:28">
      <c r="A259" s="656" t="s">
        <v>9201</v>
      </c>
      <c r="B259" s="656" t="s">
        <v>9045</v>
      </c>
      <c r="C259" s="656" t="s">
        <v>20</v>
      </c>
      <c r="D259" s="656" t="s">
        <v>12691</v>
      </c>
      <c r="E259" s="656" t="s">
        <v>14279</v>
      </c>
      <c r="F259" s="1447"/>
      <c r="G259" s="656" t="s">
        <v>10297</v>
      </c>
      <c r="H259" s="656" t="s">
        <v>1777</v>
      </c>
      <c r="I259" s="656"/>
      <c r="J259" s="656"/>
      <c r="K259" s="656"/>
      <c r="L259" s="656" t="s">
        <v>12691</v>
      </c>
      <c r="M259" s="656" t="s">
        <v>16196</v>
      </c>
      <c r="N259" s="656"/>
      <c r="O259" s="656" t="s">
        <v>9714</v>
      </c>
      <c r="P259" s="5"/>
      <c r="Q259" s="1447">
        <v>43978</v>
      </c>
      <c r="R259" s="656"/>
      <c r="S259" s="656" t="s">
        <v>442</v>
      </c>
      <c r="T259" s="656"/>
      <c r="U259" s="656"/>
      <c r="V259" s="656" t="s">
        <v>14361</v>
      </c>
      <c r="W259" s="656" t="s">
        <v>13051</v>
      </c>
      <c r="X259" s="656" t="s">
        <v>498</v>
      </c>
      <c r="Y259" s="656" t="s">
        <v>14278</v>
      </c>
      <c r="Z259" s="656">
        <v>44305.526261574072</v>
      </c>
      <c r="AA259" s="656" t="s">
        <v>14335</v>
      </c>
      <c r="AB259" s="656"/>
    </row>
    <row r="260" spans="1:28" ht="29">
      <c r="A260" s="656" t="s">
        <v>9201</v>
      </c>
      <c r="B260" s="656" t="s">
        <v>9045</v>
      </c>
      <c r="C260" s="656" t="s">
        <v>21</v>
      </c>
      <c r="D260" s="656" t="s">
        <v>15988</v>
      </c>
      <c r="E260" s="656" t="s">
        <v>14313</v>
      </c>
      <c r="F260" s="1447"/>
      <c r="G260" s="656" t="s">
        <v>15989</v>
      </c>
      <c r="H260" s="656" t="s">
        <v>1777</v>
      </c>
      <c r="I260" s="656" t="s">
        <v>14355</v>
      </c>
      <c r="J260" s="656" t="s">
        <v>15988</v>
      </c>
      <c r="K260" s="656" t="s">
        <v>9774</v>
      </c>
      <c r="L260" s="656"/>
      <c r="M260" s="656" t="s">
        <v>16196</v>
      </c>
      <c r="N260" s="656"/>
      <c r="O260" s="656" t="s">
        <v>9714</v>
      </c>
      <c r="P260" s="5" t="s">
        <v>16045</v>
      </c>
      <c r="Q260" s="1447">
        <v>44265</v>
      </c>
      <c r="R260" s="656">
        <v>44255</v>
      </c>
      <c r="S260" s="656" t="s">
        <v>442</v>
      </c>
      <c r="T260" s="656"/>
      <c r="U260" s="656"/>
      <c r="V260" s="656"/>
      <c r="W260" s="656" t="s">
        <v>13051</v>
      </c>
      <c r="X260" s="656" t="s">
        <v>498</v>
      </c>
      <c r="Y260" s="656" t="s">
        <v>14278</v>
      </c>
      <c r="Z260" s="656">
        <v>44305.527546296296</v>
      </c>
      <c r="AA260" s="656" t="s">
        <v>14335</v>
      </c>
      <c r="AB260" s="656"/>
    </row>
    <row r="261" spans="1:28">
      <c r="A261" s="656" t="s">
        <v>9203</v>
      </c>
      <c r="B261" s="656" t="s">
        <v>9202</v>
      </c>
      <c r="C261" s="656" t="s">
        <v>20</v>
      </c>
      <c r="D261" s="656" t="s">
        <v>10177</v>
      </c>
      <c r="E261" s="656" t="s">
        <v>14275</v>
      </c>
      <c r="F261" s="1447">
        <v>44293</v>
      </c>
      <c r="G261" s="656" t="s">
        <v>10176</v>
      </c>
      <c r="H261" s="656" t="s">
        <v>1777</v>
      </c>
      <c r="I261" s="656"/>
      <c r="J261" s="656"/>
      <c r="K261" s="656"/>
      <c r="L261" s="656" t="s">
        <v>10177</v>
      </c>
      <c r="M261" s="656" t="s">
        <v>16265</v>
      </c>
      <c r="N261" s="656"/>
      <c r="O261" s="656" t="s">
        <v>6427</v>
      </c>
      <c r="P261" s="5"/>
      <c r="Q261" s="1447">
        <v>43851</v>
      </c>
      <c r="R261" s="656"/>
      <c r="S261" s="656" t="s">
        <v>455</v>
      </c>
      <c r="T261" s="656"/>
      <c r="U261" s="656"/>
      <c r="V261" s="656"/>
      <c r="W261" s="656" t="s">
        <v>13051</v>
      </c>
      <c r="X261" s="656" t="s">
        <v>498</v>
      </c>
      <c r="Y261" s="656" t="s">
        <v>14278</v>
      </c>
      <c r="Z261" s="656">
        <v>44305.526226851849</v>
      </c>
      <c r="AA261" s="656" t="s">
        <v>14335</v>
      </c>
      <c r="AB261" s="656"/>
    </row>
    <row r="262" spans="1:28">
      <c r="A262" s="656" t="s">
        <v>9553</v>
      </c>
      <c r="B262" s="656" t="s">
        <v>12956</v>
      </c>
      <c r="C262" s="656" t="s">
        <v>21</v>
      </c>
      <c r="D262" s="656" t="s">
        <v>15334</v>
      </c>
      <c r="E262" s="656" t="s">
        <v>14279</v>
      </c>
      <c r="F262" s="1447"/>
      <c r="G262" s="656" t="s">
        <v>14968</v>
      </c>
      <c r="H262" s="656" t="s">
        <v>1777</v>
      </c>
      <c r="I262" s="656" t="s">
        <v>14356</v>
      </c>
      <c r="J262" s="656" t="s">
        <v>15334</v>
      </c>
      <c r="K262" s="656" t="s">
        <v>9774</v>
      </c>
      <c r="L262" s="656"/>
      <c r="M262" s="656" t="s">
        <v>16265</v>
      </c>
      <c r="N262" s="656"/>
      <c r="O262" s="656" t="s">
        <v>6395</v>
      </c>
      <c r="P262" s="5"/>
      <c r="Q262" s="1447">
        <v>44222</v>
      </c>
      <c r="R262" s="656"/>
      <c r="S262" s="656" t="s">
        <v>472</v>
      </c>
      <c r="T262" s="656"/>
      <c r="U262" s="656"/>
      <c r="V262" s="656"/>
      <c r="W262" s="656" t="s">
        <v>13051</v>
      </c>
      <c r="X262" s="656" t="s">
        <v>498</v>
      </c>
      <c r="Y262" s="656" t="s">
        <v>14278</v>
      </c>
      <c r="Z262" s="656">
        <v>44305.52621527778</v>
      </c>
      <c r="AA262" s="656" t="s">
        <v>14335</v>
      </c>
      <c r="AB262" s="656"/>
    </row>
    <row r="263" spans="1:28">
      <c r="A263" s="656" t="s">
        <v>9553</v>
      </c>
      <c r="B263" s="656" t="s">
        <v>12956</v>
      </c>
      <c r="C263" s="656" t="s">
        <v>20</v>
      </c>
      <c r="D263" s="656" t="s">
        <v>14967</v>
      </c>
      <c r="E263" s="656" t="s">
        <v>14279</v>
      </c>
      <c r="F263" s="1447"/>
      <c r="G263" s="656" t="s">
        <v>14968</v>
      </c>
      <c r="H263" s="656" t="s">
        <v>1777</v>
      </c>
      <c r="I263" s="656"/>
      <c r="J263" s="656"/>
      <c r="K263" s="656"/>
      <c r="L263" s="656" t="s">
        <v>14967</v>
      </c>
      <c r="M263" s="656" t="s">
        <v>16265</v>
      </c>
      <c r="N263" s="656"/>
      <c r="O263" s="656" t="s">
        <v>6395</v>
      </c>
      <c r="P263" s="5"/>
      <c r="Q263" s="1447">
        <v>44215</v>
      </c>
      <c r="R263" s="656"/>
      <c r="S263" s="656" t="s">
        <v>472</v>
      </c>
      <c r="T263" s="656"/>
      <c r="U263" s="656"/>
      <c r="V263" s="656"/>
      <c r="W263" s="656" t="s">
        <v>13051</v>
      </c>
      <c r="X263" s="656" t="s">
        <v>498</v>
      </c>
      <c r="Y263" s="656" t="s">
        <v>14278</v>
      </c>
      <c r="Z263" s="656">
        <v>44305.526226851849</v>
      </c>
      <c r="AA263" s="656" t="s">
        <v>14335</v>
      </c>
      <c r="AB263" s="656"/>
    </row>
    <row r="264" spans="1:28">
      <c r="A264" s="656" t="s">
        <v>9560</v>
      </c>
      <c r="B264" s="656" t="s">
        <v>13015</v>
      </c>
      <c r="C264" s="656" t="s">
        <v>21</v>
      </c>
      <c r="D264" s="656" t="s">
        <v>15360</v>
      </c>
      <c r="E264" s="656" t="s">
        <v>14313</v>
      </c>
      <c r="F264" s="1447"/>
      <c r="G264" s="656" t="s">
        <v>14969</v>
      </c>
      <c r="H264" s="656" t="s">
        <v>1777</v>
      </c>
      <c r="I264" s="656" t="s">
        <v>14356</v>
      </c>
      <c r="J264" s="656" t="s">
        <v>15360</v>
      </c>
      <c r="K264" s="656" t="s">
        <v>9774</v>
      </c>
      <c r="L264" s="656"/>
      <c r="M264" s="656" t="s">
        <v>16262</v>
      </c>
      <c r="N264" s="656"/>
      <c r="O264" s="656" t="s">
        <v>6395</v>
      </c>
      <c r="P264" s="5"/>
      <c r="Q264" s="1447">
        <v>44202</v>
      </c>
      <c r="R264" s="656">
        <v>44286</v>
      </c>
      <c r="S264" s="656" t="s">
        <v>472</v>
      </c>
      <c r="T264" s="656"/>
      <c r="U264" s="656"/>
      <c r="V264" s="656"/>
      <c r="W264" s="656" t="s">
        <v>13051</v>
      </c>
      <c r="X264" s="656" t="s">
        <v>498</v>
      </c>
      <c r="Y264" s="656" t="s">
        <v>14278</v>
      </c>
      <c r="Z264" s="656">
        <v>44313.599444444444</v>
      </c>
      <c r="AA264" s="656" t="s">
        <v>14276</v>
      </c>
      <c r="AB264" s="656"/>
    </row>
    <row r="265" spans="1:28">
      <c r="A265" s="656" t="s">
        <v>9560</v>
      </c>
      <c r="B265" s="656" t="s">
        <v>13015</v>
      </c>
      <c r="C265" s="656" t="s">
        <v>20</v>
      </c>
      <c r="D265" s="656" t="s">
        <v>14970</v>
      </c>
      <c r="E265" s="656" t="s">
        <v>14279</v>
      </c>
      <c r="F265" s="1447"/>
      <c r="G265" s="656" t="s">
        <v>14969</v>
      </c>
      <c r="H265" s="656" t="s">
        <v>1777</v>
      </c>
      <c r="I265" s="656"/>
      <c r="J265" s="656"/>
      <c r="K265" s="656"/>
      <c r="L265" s="656" t="s">
        <v>14970</v>
      </c>
      <c r="M265" s="656" t="s">
        <v>16262</v>
      </c>
      <c r="N265" s="656"/>
      <c r="O265" s="656" t="s">
        <v>6395</v>
      </c>
      <c r="P265" s="5"/>
      <c r="Q265" s="1447">
        <v>44215</v>
      </c>
      <c r="R265" s="656"/>
      <c r="S265" s="656" t="s">
        <v>472</v>
      </c>
      <c r="T265" s="656"/>
      <c r="U265" s="656"/>
      <c r="V265" s="656"/>
      <c r="W265" s="656" t="s">
        <v>13051</v>
      </c>
      <c r="X265" s="656" t="s">
        <v>498</v>
      </c>
      <c r="Y265" s="656" t="s">
        <v>14278</v>
      </c>
      <c r="Z265" s="656">
        <v>44305.52621527778</v>
      </c>
      <c r="AA265" s="656" t="s">
        <v>14335</v>
      </c>
      <c r="AB265" s="656"/>
    </row>
    <row r="266" spans="1:28">
      <c r="A266" s="656" t="s">
        <v>9205</v>
      </c>
      <c r="B266" s="656" t="s">
        <v>973</v>
      </c>
      <c r="C266" s="656" t="s">
        <v>21</v>
      </c>
      <c r="D266" s="656" t="s">
        <v>12470</v>
      </c>
      <c r="E266" s="656" t="s">
        <v>14279</v>
      </c>
      <c r="F266" s="1447"/>
      <c r="G266" s="656" t="s">
        <v>10349</v>
      </c>
      <c r="H266" s="656" t="s">
        <v>1777</v>
      </c>
      <c r="I266" s="656" t="s">
        <v>14356</v>
      </c>
      <c r="J266" s="656" t="s">
        <v>12470</v>
      </c>
      <c r="K266" s="656" t="s">
        <v>9774</v>
      </c>
      <c r="L266" s="656"/>
      <c r="M266" s="656" t="s">
        <v>16196</v>
      </c>
      <c r="N266" s="656"/>
      <c r="O266" s="656" t="s">
        <v>6395</v>
      </c>
      <c r="P266" s="5"/>
      <c r="Q266" s="1447">
        <v>44061</v>
      </c>
      <c r="R266" s="656"/>
      <c r="S266" s="656" t="s">
        <v>472</v>
      </c>
      <c r="T266" s="656"/>
      <c r="U266" s="656"/>
      <c r="V266" s="656"/>
      <c r="W266" s="656" t="s">
        <v>13051</v>
      </c>
      <c r="X266" s="656" t="s">
        <v>498</v>
      </c>
      <c r="Y266" s="656" t="s">
        <v>14278</v>
      </c>
      <c r="Z266" s="656">
        <v>44305.526192129626</v>
      </c>
      <c r="AA266" s="656" t="s">
        <v>14335</v>
      </c>
      <c r="AB266" s="656"/>
    </row>
    <row r="267" spans="1:28">
      <c r="A267" s="656" t="s">
        <v>9205</v>
      </c>
      <c r="B267" s="656" t="s">
        <v>973</v>
      </c>
      <c r="C267" s="656" t="s">
        <v>20</v>
      </c>
      <c r="D267" s="656" t="s">
        <v>10350</v>
      </c>
      <c r="E267" s="656" t="s">
        <v>14279</v>
      </c>
      <c r="F267" s="1447"/>
      <c r="G267" s="656" t="s">
        <v>10349</v>
      </c>
      <c r="H267" s="656" t="s">
        <v>1777</v>
      </c>
      <c r="I267" s="656"/>
      <c r="J267" s="656"/>
      <c r="K267" s="656"/>
      <c r="L267" s="656" t="s">
        <v>10350</v>
      </c>
      <c r="M267" s="656" t="s">
        <v>16196</v>
      </c>
      <c r="N267" s="656"/>
      <c r="O267" s="656" t="s">
        <v>6395</v>
      </c>
      <c r="P267" s="5"/>
      <c r="Q267" s="1447">
        <v>44033</v>
      </c>
      <c r="R267" s="656"/>
      <c r="S267" s="656" t="s">
        <v>472</v>
      </c>
      <c r="T267" s="656"/>
      <c r="U267" s="656"/>
      <c r="V267" s="656"/>
      <c r="W267" s="656" t="s">
        <v>13051</v>
      </c>
      <c r="X267" s="656" t="s">
        <v>498</v>
      </c>
      <c r="Y267" s="656" t="s">
        <v>14278</v>
      </c>
      <c r="Z267" s="656">
        <v>44305.526203703703</v>
      </c>
      <c r="AA267" s="656" t="s">
        <v>14335</v>
      </c>
      <c r="AB267" s="656"/>
    </row>
    <row r="268" spans="1:28">
      <c r="A268" s="656" t="s">
        <v>15361</v>
      </c>
      <c r="B268" s="656" t="s">
        <v>15362</v>
      </c>
      <c r="C268" s="656" t="s">
        <v>20</v>
      </c>
      <c r="D268" s="656" t="s">
        <v>15363</v>
      </c>
      <c r="E268" s="656" t="s">
        <v>14279</v>
      </c>
      <c r="F268" s="1447"/>
      <c r="G268" s="656" t="s">
        <v>15364</v>
      </c>
      <c r="H268" s="656" t="s">
        <v>1777</v>
      </c>
      <c r="I268" s="656"/>
      <c r="J268" s="656"/>
      <c r="K268" s="656"/>
      <c r="L268" s="656" t="s">
        <v>15363</v>
      </c>
      <c r="M268" s="656" t="s">
        <v>16200</v>
      </c>
      <c r="N268" s="656"/>
      <c r="O268" s="656" t="s">
        <v>10214</v>
      </c>
      <c r="P268" s="5"/>
      <c r="Q268" s="1447">
        <v>44224</v>
      </c>
      <c r="R268" s="656"/>
      <c r="S268" s="656" t="s">
        <v>537</v>
      </c>
      <c r="T268" s="656"/>
      <c r="U268" s="656"/>
      <c r="V268" s="656"/>
      <c r="W268" s="656" t="s">
        <v>13051</v>
      </c>
      <c r="X268" s="656" t="s">
        <v>498</v>
      </c>
      <c r="Y268" s="656" t="s">
        <v>14278</v>
      </c>
      <c r="Z268" s="656">
        <v>44305.526192129626</v>
      </c>
      <c r="AA268" s="656" t="s">
        <v>14335</v>
      </c>
      <c r="AB268" s="656"/>
    </row>
    <row r="269" spans="1:28">
      <c r="A269" s="656" t="s">
        <v>12408</v>
      </c>
      <c r="B269" s="656" t="s">
        <v>12407</v>
      </c>
      <c r="C269" s="656" t="s">
        <v>20</v>
      </c>
      <c r="D269" s="656" t="s">
        <v>12466</v>
      </c>
      <c r="E269" s="656" t="s">
        <v>14279</v>
      </c>
      <c r="F269" s="1447"/>
      <c r="G269" s="656" t="s">
        <v>12467</v>
      </c>
      <c r="H269" s="656" t="s">
        <v>1777</v>
      </c>
      <c r="I269" s="656"/>
      <c r="J269" s="656"/>
      <c r="K269" s="656"/>
      <c r="L269" s="656" t="s">
        <v>12466</v>
      </c>
      <c r="M269" s="656" t="s">
        <v>16200</v>
      </c>
      <c r="N269" s="656"/>
      <c r="O269" s="656" t="s">
        <v>10214</v>
      </c>
      <c r="P269" s="5"/>
      <c r="Q269" s="1447">
        <v>44060</v>
      </c>
      <c r="R269" s="656"/>
      <c r="S269" s="656" t="s">
        <v>537</v>
      </c>
      <c r="T269" s="656"/>
      <c r="U269" s="656"/>
      <c r="V269" s="656"/>
      <c r="W269" s="656" t="s">
        <v>13051</v>
      </c>
      <c r="X269" s="656" t="s">
        <v>498</v>
      </c>
      <c r="Y269" s="656" t="s">
        <v>14278</v>
      </c>
      <c r="Z269" s="656">
        <v>44305.526180555556</v>
      </c>
      <c r="AA269" s="656" t="s">
        <v>14335</v>
      </c>
      <c r="AB269" s="656"/>
    </row>
    <row r="270" spans="1:28">
      <c r="A270" s="656" t="s">
        <v>12410</v>
      </c>
      <c r="B270" s="656" t="s">
        <v>12409</v>
      </c>
      <c r="C270" s="656" t="s">
        <v>20</v>
      </c>
      <c r="D270" s="656" t="s">
        <v>12464</v>
      </c>
      <c r="E270" s="656" t="s">
        <v>14279</v>
      </c>
      <c r="F270" s="1447"/>
      <c r="G270" s="656" t="s">
        <v>12465</v>
      </c>
      <c r="H270" s="656" t="s">
        <v>1777</v>
      </c>
      <c r="I270" s="656"/>
      <c r="J270" s="656"/>
      <c r="K270" s="656"/>
      <c r="L270" s="656" t="s">
        <v>12464</v>
      </c>
      <c r="M270" s="656" t="s">
        <v>16200</v>
      </c>
      <c r="N270" s="656"/>
      <c r="O270" s="656" t="s">
        <v>10214</v>
      </c>
      <c r="P270" s="5"/>
      <c r="Q270" s="1447">
        <v>44060</v>
      </c>
      <c r="R270" s="656"/>
      <c r="S270" s="656" t="s">
        <v>537</v>
      </c>
      <c r="T270" s="656"/>
      <c r="U270" s="656"/>
      <c r="V270" s="656"/>
      <c r="W270" s="656" t="s">
        <v>13051</v>
      </c>
      <c r="X270" s="656" t="s">
        <v>498</v>
      </c>
      <c r="Y270" s="656" t="s">
        <v>14278</v>
      </c>
      <c r="Z270" s="656">
        <v>44305.526180555556</v>
      </c>
      <c r="AA270" s="656" t="s">
        <v>14335</v>
      </c>
      <c r="AB270" s="656"/>
    </row>
    <row r="271" spans="1:28">
      <c r="A271" s="656" t="s">
        <v>9224</v>
      </c>
      <c r="B271" s="656" t="s">
        <v>9053</v>
      </c>
      <c r="C271" s="656" t="s">
        <v>20</v>
      </c>
      <c r="D271" s="656" t="s">
        <v>10174</v>
      </c>
      <c r="E271" s="656" t="s">
        <v>14275</v>
      </c>
      <c r="F271" s="1447">
        <v>44158</v>
      </c>
      <c r="G271" s="656" t="s">
        <v>10173</v>
      </c>
      <c r="H271" s="656" t="s">
        <v>1777</v>
      </c>
      <c r="I271" s="656"/>
      <c r="J271" s="656"/>
      <c r="K271" s="656"/>
      <c r="L271" s="656" t="s">
        <v>10174</v>
      </c>
      <c r="M271" s="656" t="s">
        <v>16196</v>
      </c>
      <c r="N271" s="656"/>
      <c r="O271" s="656" t="s">
        <v>10175</v>
      </c>
      <c r="P271" s="5" t="s">
        <v>14357</v>
      </c>
      <c r="Q271" s="1447">
        <v>43846</v>
      </c>
      <c r="R271" s="656"/>
      <c r="S271" s="656" t="s">
        <v>469</v>
      </c>
      <c r="T271" s="656"/>
      <c r="U271" s="656"/>
      <c r="V271" s="656"/>
      <c r="W271" s="656" t="s">
        <v>13051</v>
      </c>
      <c r="X271" s="656" t="s">
        <v>498</v>
      </c>
      <c r="Y271" s="656" t="s">
        <v>14278</v>
      </c>
      <c r="Z271" s="656">
        <v>44305.526180555556</v>
      </c>
      <c r="AA271" s="656" t="s">
        <v>14335</v>
      </c>
      <c r="AB271" s="656"/>
    </row>
    <row r="272" spans="1:28">
      <c r="A272" s="656" t="s">
        <v>12429</v>
      </c>
      <c r="B272" s="656" t="s">
        <v>12449</v>
      </c>
      <c r="C272" s="656" t="s">
        <v>21</v>
      </c>
      <c r="D272" s="656" t="s">
        <v>12675</v>
      </c>
      <c r="E272" s="656" t="s">
        <v>14279</v>
      </c>
      <c r="F272" s="1447"/>
      <c r="G272" s="656" t="s">
        <v>12468</v>
      </c>
      <c r="H272" s="656" t="s">
        <v>1777</v>
      </c>
      <c r="I272" s="656" t="s">
        <v>14358</v>
      </c>
      <c r="J272" s="656" t="s">
        <v>12675</v>
      </c>
      <c r="K272" s="656" t="s">
        <v>9774</v>
      </c>
      <c r="L272" s="656"/>
      <c r="M272" s="656" t="s">
        <v>16196</v>
      </c>
      <c r="N272" s="656"/>
      <c r="O272" s="656" t="s">
        <v>9833</v>
      </c>
      <c r="P272" s="5"/>
      <c r="Q272" s="1447">
        <v>44099</v>
      </c>
      <c r="R272" s="656"/>
      <c r="S272" s="656" t="s">
        <v>442</v>
      </c>
      <c r="T272" s="656"/>
      <c r="U272" s="656"/>
      <c r="V272" s="656"/>
      <c r="W272" s="656" t="s">
        <v>13051</v>
      </c>
      <c r="X272" s="656" t="s">
        <v>498</v>
      </c>
      <c r="Y272" s="656" t="s">
        <v>14278</v>
      </c>
      <c r="Z272" s="656">
        <v>44305.52615740741</v>
      </c>
      <c r="AA272" s="656" t="s">
        <v>14335</v>
      </c>
      <c r="AB272" s="656"/>
    </row>
    <row r="273" spans="1:28">
      <c r="A273" s="656" t="s">
        <v>12429</v>
      </c>
      <c r="B273" s="656" t="s">
        <v>12449</v>
      </c>
      <c r="C273" s="656" t="s">
        <v>20</v>
      </c>
      <c r="D273" s="656" t="s">
        <v>12430</v>
      </c>
      <c r="E273" s="656" t="s">
        <v>14279</v>
      </c>
      <c r="F273" s="1447"/>
      <c r="G273" s="656" t="s">
        <v>12468</v>
      </c>
      <c r="H273" s="656" t="s">
        <v>1777</v>
      </c>
      <c r="I273" s="656"/>
      <c r="J273" s="656"/>
      <c r="K273" s="656"/>
      <c r="L273" s="656" t="s">
        <v>12430</v>
      </c>
      <c r="M273" s="656" t="s">
        <v>16196</v>
      </c>
      <c r="N273" s="656"/>
      <c r="O273" s="656" t="s">
        <v>9714</v>
      </c>
      <c r="P273" s="5"/>
      <c r="Q273" s="1447">
        <v>44021</v>
      </c>
      <c r="R273" s="656"/>
      <c r="S273" s="656" t="s">
        <v>442</v>
      </c>
      <c r="T273" s="656"/>
      <c r="U273" s="656"/>
      <c r="V273" s="656" t="s">
        <v>14323</v>
      </c>
      <c r="W273" s="656" t="s">
        <v>13051</v>
      </c>
      <c r="X273" s="656" t="s">
        <v>498</v>
      </c>
      <c r="Y273" s="656" t="s">
        <v>14278</v>
      </c>
      <c r="Z273" s="656">
        <v>44305.52616898148</v>
      </c>
      <c r="AA273" s="656" t="s">
        <v>14335</v>
      </c>
      <c r="AB273" s="656"/>
    </row>
    <row r="274" spans="1:28">
      <c r="A274" s="656" t="s">
        <v>12429</v>
      </c>
      <c r="B274" s="656" t="s">
        <v>12449</v>
      </c>
      <c r="C274" s="656" t="s">
        <v>20</v>
      </c>
      <c r="D274" s="656" t="s">
        <v>12685</v>
      </c>
      <c r="E274" s="656" t="s">
        <v>14279</v>
      </c>
      <c r="F274" s="1447"/>
      <c r="G274" s="656" t="s">
        <v>12468</v>
      </c>
      <c r="H274" s="656" t="s">
        <v>1777</v>
      </c>
      <c r="I274" s="656"/>
      <c r="J274" s="656"/>
      <c r="K274" s="656"/>
      <c r="L274" s="656" t="s">
        <v>12685</v>
      </c>
      <c r="M274" s="656" t="s">
        <v>16196</v>
      </c>
      <c r="N274" s="656"/>
      <c r="O274" s="656" t="s">
        <v>9714</v>
      </c>
      <c r="P274" s="5"/>
      <c r="Q274" s="1447">
        <v>44021</v>
      </c>
      <c r="R274" s="656"/>
      <c r="S274" s="656" t="s">
        <v>442</v>
      </c>
      <c r="T274" s="656"/>
      <c r="U274" s="656"/>
      <c r="V274" s="656" t="s">
        <v>14361</v>
      </c>
      <c r="W274" s="656" t="s">
        <v>13051</v>
      </c>
      <c r="X274" s="656" t="s">
        <v>498</v>
      </c>
      <c r="Y274" s="656" t="s">
        <v>14278</v>
      </c>
      <c r="Z274" s="656">
        <v>44305.52616898148</v>
      </c>
      <c r="AA274" s="656" t="s">
        <v>14335</v>
      </c>
      <c r="AB274" s="656"/>
    </row>
    <row r="275" spans="1:28">
      <c r="A275" s="656" t="s">
        <v>9563</v>
      </c>
      <c r="B275" s="656" t="s">
        <v>9562</v>
      </c>
      <c r="C275" s="656" t="s">
        <v>20</v>
      </c>
      <c r="D275" s="656" t="s">
        <v>12427</v>
      </c>
      <c r="E275" s="656" t="s">
        <v>14279</v>
      </c>
      <c r="F275" s="1447"/>
      <c r="G275" s="656" t="s">
        <v>12428</v>
      </c>
      <c r="H275" s="656" t="s">
        <v>1777</v>
      </c>
      <c r="I275" s="656"/>
      <c r="J275" s="656"/>
      <c r="K275" s="656"/>
      <c r="L275" s="656" t="s">
        <v>12427</v>
      </c>
      <c r="M275" s="656" t="s">
        <v>16196</v>
      </c>
      <c r="N275" s="656"/>
      <c r="O275" s="656" t="s">
        <v>9833</v>
      </c>
      <c r="P275" s="5" t="s">
        <v>14325</v>
      </c>
      <c r="Q275" s="1447">
        <v>44021</v>
      </c>
      <c r="R275" s="656"/>
      <c r="S275" s="656" t="s">
        <v>442</v>
      </c>
      <c r="T275" s="656"/>
      <c r="U275" s="656"/>
      <c r="V275" s="656" t="s">
        <v>14323</v>
      </c>
      <c r="W275" s="656" t="s">
        <v>13051</v>
      </c>
      <c r="X275" s="656" t="s">
        <v>498</v>
      </c>
      <c r="Y275" s="656" t="s">
        <v>14278</v>
      </c>
      <c r="Z275" s="656">
        <v>44305.526145833333</v>
      </c>
      <c r="AA275" s="656" t="s">
        <v>14335</v>
      </c>
      <c r="AB275" s="656"/>
    </row>
    <row r="276" spans="1:28">
      <c r="A276" s="656" t="s">
        <v>9563</v>
      </c>
      <c r="B276" s="656" t="s">
        <v>9562</v>
      </c>
      <c r="C276" s="656" t="s">
        <v>20</v>
      </c>
      <c r="D276" s="656" t="s">
        <v>12684</v>
      </c>
      <c r="E276" s="656" t="s">
        <v>14279</v>
      </c>
      <c r="F276" s="1447"/>
      <c r="G276" s="656" t="s">
        <v>12428</v>
      </c>
      <c r="H276" s="656" t="s">
        <v>1777</v>
      </c>
      <c r="I276" s="656"/>
      <c r="J276" s="656"/>
      <c r="K276" s="656"/>
      <c r="L276" s="656" t="s">
        <v>12684</v>
      </c>
      <c r="M276" s="656" t="s">
        <v>16196</v>
      </c>
      <c r="N276" s="656"/>
      <c r="O276" s="656" t="s">
        <v>9714</v>
      </c>
      <c r="P276" s="5"/>
      <c r="Q276" s="1447">
        <v>44021</v>
      </c>
      <c r="R276" s="656"/>
      <c r="S276" s="656" t="s">
        <v>442</v>
      </c>
      <c r="T276" s="656"/>
      <c r="U276" s="656"/>
      <c r="V276" s="656" t="s">
        <v>14361</v>
      </c>
      <c r="W276" s="656" t="s">
        <v>13051</v>
      </c>
      <c r="X276" s="656" t="s">
        <v>498</v>
      </c>
      <c r="Y276" s="656" t="s">
        <v>14278</v>
      </c>
      <c r="Z276" s="656">
        <v>44305.52615740741</v>
      </c>
      <c r="AA276" s="656" t="s">
        <v>14335</v>
      </c>
      <c r="AB276" s="656"/>
    </row>
    <row r="277" spans="1:28">
      <c r="A277" s="656" t="s">
        <v>9565</v>
      </c>
      <c r="B277" s="656" t="s">
        <v>9564</v>
      </c>
      <c r="C277" s="656" t="s">
        <v>20</v>
      </c>
      <c r="D277" s="656" t="s">
        <v>12681</v>
      </c>
      <c r="E277" s="656" t="s">
        <v>14279</v>
      </c>
      <c r="F277" s="1447"/>
      <c r="G277" s="656" t="s">
        <v>12682</v>
      </c>
      <c r="H277" s="656" t="s">
        <v>1777</v>
      </c>
      <c r="I277" s="656"/>
      <c r="J277" s="656"/>
      <c r="K277" s="656"/>
      <c r="L277" s="656" t="s">
        <v>12681</v>
      </c>
      <c r="M277" s="656" t="s">
        <v>16196</v>
      </c>
      <c r="N277" s="656"/>
      <c r="O277" s="656" t="s">
        <v>9714</v>
      </c>
      <c r="P277" s="5"/>
      <c r="Q277" s="1447">
        <v>44021</v>
      </c>
      <c r="R277" s="656"/>
      <c r="S277" s="656" t="s">
        <v>442</v>
      </c>
      <c r="T277" s="656"/>
      <c r="U277" s="656"/>
      <c r="V277" s="656" t="s">
        <v>14323</v>
      </c>
      <c r="W277" s="656" t="s">
        <v>13051</v>
      </c>
      <c r="X277" s="656" t="s">
        <v>498</v>
      </c>
      <c r="Y277" s="656" t="s">
        <v>14278</v>
      </c>
      <c r="Z277" s="656">
        <v>44305.526134259257</v>
      </c>
      <c r="AA277" s="656" t="s">
        <v>14335</v>
      </c>
      <c r="AB277" s="656"/>
    </row>
    <row r="278" spans="1:28">
      <c r="A278" s="656" t="s">
        <v>9565</v>
      </c>
      <c r="B278" s="656" t="s">
        <v>9564</v>
      </c>
      <c r="C278" s="656" t="s">
        <v>20</v>
      </c>
      <c r="D278" s="656" t="s">
        <v>12683</v>
      </c>
      <c r="E278" s="656" t="s">
        <v>14279</v>
      </c>
      <c r="F278" s="1447"/>
      <c r="G278" s="656" t="s">
        <v>12682</v>
      </c>
      <c r="H278" s="656" t="s">
        <v>1777</v>
      </c>
      <c r="I278" s="656"/>
      <c r="J278" s="656"/>
      <c r="K278" s="656"/>
      <c r="L278" s="656" t="s">
        <v>12683</v>
      </c>
      <c r="M278" s="656" t="s">
        <v>16196</v>
      </c>
      <c r="N278" s="656"/>
      <c r="O278" s="656" t="s">
        <v>9714</v>
      </c>
      <c r="P278" s="5"/>
      <c r="Q278" s="1447">
        <v>44021</v>
      </c>
      <c r="R278" s="656"/>
      <c r="S278" s="656" t="s">
        <v>442</v>
      </c>
      <c r="T278" s="656"/>
      <c r="U278" s="656"/>
      <c r="V278" s="656" t="s">
        <v>14361</v>
      </c>
      <c r="W278" s="656" t="s">
        <v>13051</v>
      </c>
      <c r="X278" s="656" t="s">
        <v>498</v>
      </c>
      <c r="Y278" s="656" t="s">
        <v>14278</v>
      </c>
      <c r="Z278" s="656">
        <v>44305.526145833333</v>
      </c>
      <c r="AA278" s="656" t="s">
        <v>14335</v>
      </c>
      <c r="AB278" s="656"/>
    </row>
    <row r="279" spans="1:28">
      <c r="A279" s="656" t="s">
        <v>9565</v>
      </c>
      <c r="B279" s="656" t="s">
        <v>9564</v>
      </c>
      <c r="C279" s="656" t="s">
        <v>21</v>
      </c>
      <c r="D279" s="656" t="s">
        <v>15990</v>
      </c>
      <c r="E279" s="656" t="s">
        <v>14279</v>
      </c>
      <c r="F279" s="1447"/>
      <c r="G279" s="656" t="s">
        <v>15991</v>
      </c>
      <c r="H279" s="656" t="s">
        <v>1777</v>
      </c>
      <c r="I279" s="656" t="s">
        <v>14358</v>
      </c>
      <c r="J279" s="656" t="s">
        <v>15990</v>
      </c>
      <c r="K279" s="656" t="s">
        <v>9774</v>
      </c>
      <c r="L279" s="656"/>
      <c r="M279" s="656" t="s">
        <v>16196</v>
      </c>
      <c r="N279" s="656"/>
      <c r="O279" s="656" t="s">
        <v>9714</v>
      </c>
      <c r="P279" s="5"/>
      <c r="Q279" s="1447">
        <v>44252</v>
      </c>
      <c r="R279" s="656"/>
      <c r="S279" s="656" t="s">
        <v>442</v>
      </c>
      <c r="T279" s="656"/>
      <c r="U279" s="656"/>
      <c r="V279" s="656"/>
      <c r="W279" s="656" t="s">
        <v>13051</v>
      </c>
      <c r="X279" s="656" t="s">
        <v>498</v>
      </c>
      <c r="Y279" s="656" t="s">
        <v>14278</v>
      </c>
      <c r="Z279" s="656">
        <v>44305.52747685185</v>
      </c>
      <c r="AA279" s="656" t="s">
        <v>14335</v>
      </c>
      <c r="AB279" s="656"/>
    </row>
    <row r="280" spans="1:28">
      <c r="A280" s="656" t="s">
        <v>9567</v>
      </c>
      <c r="B280" s="656" t="s">
        <v>9566</v>
      </c>
      <c r="C280" s="656" t="s">
        <v>21</v>
      </c>
      <c r="D280" s="656" t="s">
        <v>13032</v>
      </c>
      <c r="E280" s="656" t="s">
        <v>14279</v>
      </c>
      <c r="F280" s="1447"/>
      <c r="G280" s="656" t="s">
        <v>12426</v>
      </c>
      <c r="H280" s="656" t="s">
        <v>1777</v>
      </c>
      <c r="I280" s="656" t="s">
        <v>14358</v>
      </c>
      <c r="J280" s="656" t="s">
        <v>13032</v>
      </c>
      <c r="K280" s="656"/>
      <c r="L280" s="656"/>
      <c r="M280" s="656" t="s">
        <v>16196</v>
      </c>
      <c r="N280" s="656"/>
      <c r="O280" s="656" t="s">
        <v>9714</v>
      </c>
      <c r="P280" s="5"/>
      <c r="Q280" s="1447">
        <v>44169</v>
      </c>
      <c r="R280" s="656"/>
      <c r="S280" s="656" t="s">
        <v>442</v>
      </c>
      <c r="T280" s="656"/>
      <c r="U280" s="656"/>
      <c r="V280" s="656"/>
      <c r="W280" s="656" t="s">
        <v>13051</v>
      </c>
      <c r="X280" s="656" t="s">
        <v>498</v>
      </c>
      <c r="Y280" s="656" t="s">
        <v>14278</v>
      </c>
      <c r="Z280" s="656">
        <v>44305.52611111111</v>
      </c>
      <c r="AA280" s="656" t="s">
        <v>14335</v>
      </c>
      <c r="AB280" s="656"/>
    </row>
    <row r="281" spans="1:28">
      <c r="A281" s="656" t="s">
        <v>9567</v>
      </c>
      <c r="B281" s="656" t="s">
        <v>9566</v>
      </c>
      <c r="C281" s="656" t="s">
        <v>20</v>
      </c>
      <c r="D281" s="656" t="s">
        <v>15365</v>
      </c>
      <c r="E281" s="656" t="s">
        <v>14279</v>
      </c>
      <c r="F281" s="1447"/>
      <c r="G281" s="656" t="s">
        <v>12426</v>
      </c>
      <c r="H281" s="656" t="s">
        <v>1777</v>
      </c>
      <c r="I281" s="656"/>
      <c r="J281" s="656"/>
      <c r="K281" s="656"/>
      <c r="L281" s="656" t="s">
        <v>15365</v>
      </c>
      <c r="M281" s="656" t="s">
        <v>16196</v>
      </c>
      <c r="N281" s="656"/>
      <c r="O281" s="656" t="s">
        <v>9714</v>
      </c>
      <c r="P281" s="5"/>
      <c r="Q281" s="1447">
        <v>44048</v>
      </c>
      <c r="R281" s="656"/>
      <c r="S281" s="656" t="s">
        <v>442</v>
      </c>
      <c r="T281" s="656"/>
      <c r="U281" s="656"/>
      <c r="V281" s="656" t="s">
        <v>14323</v>
      </c>
      <c r="W281" s="656" t="s">
        <v>13051</v>
      </c>
      <c r="X281" s="656" t="s">
        <v>498</v>
      </c>
      <c r="Y281" s="656" t="s">
        <v>14278</v>
      </c>
      <c r="Z281" s="656">
        <v>44305.526122685187</v>
      </c>
      <c r="AA281" s="656" t="s">
        <v>14335</v>
      </c>
      <c r="AB281" s="656"/>
    </row>
    <row r="282" spans="1:28">
      <c r="A282" s="656" t="s">
        <v>9567</v>
      </c>
      <c r="B282" s="656" t="s">
        <v>9566</v>
      </c>
      <c r="C282" s="656" t="s">
        <v>20</v>
      </c>
      <c r="D282" s="656" t="s">
        <v>15366</v>
      </c>
      <c r="E282" s="656" t="s">
        <v>14279</v>
      </c>
      <c r="F282" s="1447"/>
      <c r="G282" s="656" t="s">
        <v>12426</v>
      </c>
      <c r="H282" s="656" t="s">
        <v>1777</v>
      </c>
      <c r="I282" s="656"/>
      <c r="J282" s="656"/>
      <c r="K282" s="656"/>
      <c r="L282" s="656" t="s">
        <v>15366</v>
      </c>
      <c r="M282" s="656" t="s">
        <v>16196</v>
      </c>
      <c r="N282" s="656"/>
      <c r="O282" s="656" t="s">
        <v>9714</v>
      </c>
      <c r="P282" s="5"/>
      <c r="Q282" s="1447">
        <v>44021</v>
      </c>
      <c r="R282" s="656"/>
      <c r="S282" s="656" t="s">
        <v>442</v>
      </c>
      <c r="T282" s="656"/>
      <c r="U282" s="656"/>
      <c r="V282" s="656" t="s">
        <v>14361</v>
      </c>
      <c r="W282" s="656" t="s">
        <v>13051</v>
      </c>
      <c r="X282" s="656" t="s">
        <v>498</v>
      </c>
      <c r="Y282" s="656" t="s">
        <v>14278</v>
      </c>
      <c r="Z282" s="656">
        <v>44305.526122685187</v>
      </c>
      <c r="AA282" s="656" t="s">
        <v>14335</v>
      </c>
      <c r="AB282" s="656"/>
    </row>
    <row r="283" spans="1:28">
      <c r="A283" s="656" t="s">
        <v>9569</v>
      </c>
      <c r="B283" s="656" t="s">
        <v>9568</v>
      </c>
      <c r="C283" s="656" t="s">
        <v>21</v>
      </c>
      <c r="D283" s="656" t="s">
        <v>12524</v>
      </c>
      <c r="E283" s="656" t="s">
        <v>14279</v>
      </c>
      <c r="F283" s="1447"/>
      <c r="G283" s="656" t="s">
        <v>12525</v>
      </c>
      <c r="H283" s="656" t="s">
        <v>1777</v>
      </c>
      <c r="I283" s="656" t="s">
        <v>14358</v>
      </c>
      <c r="J283" s="656" t="s">
        <v>12524</v>
      </c>
      <c r="K283" s="656" t="s">
        <v>9774</v>
      </c>
      <c r="L283" s="656"/>
      <c r="M283" s="656" t="s">
        <v>16196</v>
      </c>
      <c r="N283" s="656"/>
      <c r="O283" s="656" t="s">
        <v>9714</v>
      </c>
      <c r="P283" s="5"/>
      <c r="Q283" s="1447">
        <v>44020</v>
      </c>
      <c r="R283" s="656"/>
      <c r="S283" s="656" t="s">
        <v>442</v>
      </c>
      <c r="T283" s="656"/>
      <c r="U283" s="656"/>
      <c r="V283" s="656"/>
      <c r="W283" s="656" t="s">
        <v>13051</v>
      </c>
      <c r="X283" s="656" t="s">
        <v>498</v>
      </c>
      <c r="Y283" s="656" t="s">
        <v>14278</v>
      </c>
      <c r="Z283" s="656">
        <v>44305.52611111111</v>
      </c>
      <c r="AA283" s="656" t="s">
        <v>14335</v>
      </c>
      <c r="AB283" s="656"/>
    </row>
    <row r="284" spans="1:28">
      <c r="A284" s="656" t="s">
        <v>12686</v>
      </c>
      <c r="B284" s="656" t="s">
        <v>4734</v>
      </c>
      <c r="C284" s="656" t="s">
        <v>20</v>
      </c>
      <c r="D284" s="656" t="s">
        <v>12687</v>
      </c>
      <c r="E284" s="656" t="s">
        <v>14279</v>
      </c>
      <c r="F284" s="1447"/>
      <c r="G284" s="656" t="s">
        <v>12688</v>
      </c>
      <c r="H284" s="656" t="s">
        <v>1777</v>
      </c>
      <c r="I284" s="656"/>
      <c r="J284" s="656"/>
      <c r="K284" s="656"/>
      <c r="L284" s="656" t="s">
        <v>12687</v>
      </c>
      <c r="M284" s="656" t="s">
        <v>16196</v>
      </c>
      <c r="N284" s="656"/>
      <c r="O284" s="656" t="s">
        <v>9714</v>
      </c>
      <c r="P284" s="5"/>
      <c r="Q284" s="1447">
        <v>43997</v>
      </c>
      <c r="R284" s="656"/>
      <c r="S284" s="656" t="s">
        <v>442</v>
      </c>
      <c r="T284" s="656"/>
      <c r="U284" s="656"/>
      <c r="V284" s="656" t="s">
        <v>14323</v>
      </c>
      <c r="W284" s="656" t="s">
        <v>13051</v>
      </c>
      <c r="X284" s="656" t="s">
        <v>498</v>
      </c>
      <c r="Y284" s="656" t="s">
        <v>14278</v>
      </c>
      <c r="Z284" s="656">
        <v>44305.526099537034</v>
      </c>
      <c r="AA284" s="656" t="s">
        <v>14335</v>
      </c>
      <c r="AB284" s="656"/>
    </row>
    <row r="285" spans="1:28">
      <c r="A285" s="656" t="s">
        <v>12686</v>
      </c>
      <c r="B285" s="656" t="s">
        <v>4734</v>
      </c>
      <c r="C285" s="656" t="s">
        <v>20</v>
      </c>
      <c r="D285" s="656" t="s">
        <v>12689</v>
      </c>
      <c r="E285" s="656" t="s">
        <v>14279</v>
      </c>
      <c r="F285" s="1447"/>
      <c r="G285" s="656" t="s">
        <v>12688</v>
      </c>
      <c r="H285" s="656" t="s">
        <v>1777</v>
      </c>
      <c r="I285" s="656"/>
      <c r="J285" s="656"/>
      <c r="K285" s="656"/>
      <c r="L285" s="656" t="s">
        <v>12689</v>
      </c>
      <c r="M285" s="656" t="s">
        <v>16196</v>
      </c>
      <c r="N285" s="656"/>
      <c r="O285" s="656" t="s">
        <v>9714</v>
      </c>
      <c r="P285" s="5"/>
      <c r="Q285" s="1447"/>
      <c r="R285" s="656"/>
      <c r="S285" s="656" t="s">
        <v>442</v>
      </c>
      <c r="T285" s="656"/>
      <c r="U285" s="656"/>
      <c r="V285" s="656" t="s">
        <v>14361</v>
      </c>
      <c r="W285" s="656" t="s">
        <v>13051</v>
      </c>
      <c r="X285" s="656" t="s">
        <v>498</v>
      </c>
      <c r="Y285" s="656" t="s">
        <v>14278</v>
      </c>
      <c r="Z285" s="656">
        <v>44305.526099537034</v>
      </c>
      <c r="AA285" s="656" t="s">
        <v>14335</v>
      </c>
      <c r="AB285" s="656"/>
    </row>
    <row r="286" spans="1:28">
      <c r="A286" s="656" t="s">
        <v>9050</v>
      </c>
      <c r="B286" s="656" t="s">
        <v>9049</v>
      </c>
      <c r="C286" s="656" t="s">
        <v>20</v>
      </c>
      <c r="D286" s="656" t="s">
        <v>12982</v>
      </c>
      <c r="E286" s="656" t="s">
        <v>14279</v>
      </c>
      <c r="F286" s="1447"/>
      <c r="G286" s="656" t="s">
        <v>12983</v>
      </c>
      <c r="H286" s="656" t="s">
        <v>1777</v>
      </c>
      <c r="I286" s="656"/>
      <c r="J286" s="656"/>
      <c r="K286" s="656"/>
      <c r="L286" s="656" t="s">
        <v>12982</v>
      </c>
      <c r="M286" s="656" t="s">
        <v>16196</v>
      </c>
      <c r="N286" s="656"/>
      <c r="O286" s="656" t="s">
        <v>9714</v>
      </c>
      <c r="P286" s="5"/>
      <c r="Q286" s="1447">
        <v>44145</v>
      </c>
      <c r="R286" s="656"/>
      <c r="S286" s="656" t="s">
        <v>442</v>
      </c>
      <c r="T286" s="656"/>
      <c r="U286" s="656"/>
      <c r="V286" s="656"/>
      <c r="W286" s="656" t="s">
        <v>13051</v>
      </c>
      <c r="X286" s="656" t="s">
        <v>498</v>
      </c>
      <c r="Y286" s="656" t="s">
        <v>14278</v>
      </c>
      <c r="Z286" s="656">
        <v>44305.526087962964</v>
      </c>
      <c r="AA286" s="656" t="s">
        <v>14335</v>
      </c>
      <c r="AB286" s="656"/>
    </row>
    <row r="287" spans="1:28">
      <c r="A287" s="656" t="s">
        <v>9050</v>
      </c>
      <c r="B287" s="656" t="s">
        <v>9049</v>
      </c>
      <c r="C287" s="656" t="s">
        <v>20</v>
      </c>
      <c r="D287" s="656" t="s">
        <v>12984</v>
      </c>
      <c r="E287" s="656" t="s">
        <v>14279</v>
      </c>
      <c r="F287" s="1447"/>
      <c r="G287" s="656" t="s">
        <v>12983</v>
      </c>
      <c r="H287" s="656" t="s">
        <v>1777</v>
      </c>
      <c r="I287" s="656"/>
      <c r="J287" s="656"/>
      <c r="K287" s="656"/>
      <c r="L287" s="656" t="s">
        <v>12984</v>
      </c>
      <c r="M287" s="656" t="s">
        <v>16196</v>
      </c>
      <c r="N287" s="656"/>
      <c r="O287" s="656" t="s">
        <v>9714</v>
      </c>
      <c r="P287" s="5"/>
      <c r="Q287" s="1447">
        <v>44145</v>
      </c>
      <c r="R287" s="656"/>
      <c r="S287" s="656" t="s">
        <v>442</v>
      </c>
      <c r="T287" s="656"/>
      <c r="U287" s="656"/>
      <c r="V287" s="656"/>
      <c r="W287" s="656" t="s">
        <v>13051</v>
      </c>
      <c r="X287" s="656" t="s">
        <v>498</v>
      </c>
      <c r="Y287" s="656" t="s">
        <v>14278</v>
      </c>
      <c r="Z287" s="656">
        <v>44305.526087962964</v>
      </c>
      <c r="AA287" s="656" t="s">
        <v>14335</v>
      </c>
      <c r="AB287" s="656"/>
    </row>
    <row r="288" spans="1:28">
      <c r="A288" s="656" t="s">
        <v>9043</v>
      </c>
      <c r="B288" s="656" t="s">
        <v>10178</v>
      </c>
      <c r="C288" s="656" t="s">
        <v>21</v>
      </c>
      <c r="D288" s="656" t="s">
        <v>10180</v>
      </c>
      <c r="E288" s="656" t="s">
        <v>14313</v>
      </c>
      <c r="F288" s="1447"/>
      <c r="G288" s="656" t="s">
        <v>10179</v>
      </c>
      <c r="H288" s="656" t="s">
        <v>1777</v>
      </c>
      <c r="I288" s="656" t="s">
        <v>14359</v>
      </c>
      <c r="J288" s="656" t="s">
        <v>10180</v>
      </c>
      <c r="K288" s="656" t="s">
        <v>9774</v>
      </c>
      <c r="L288" s="656"/>
      <c r="M288" s="656" t="s">
        <v>16196</v>
      </c>
      <c r="N288" s="656"/>
      <c r="O288" s="656" t="s">
        <v>6395</v>
      </c>
      <c r="P288" s="5"/>
      <c r="Q288" s="1447">
        <v>43791</v>
      </c>
      <c r="R288" s="656">
        <v>44286</v>
      </c>
      <c r="S288" s="656" t="s">
        <v>472</v>
      </c>
      <c r="T288" s="656"/>
      <c r="U288" s="656"/>
      <c r="V288" s="656"/>
      <c r="W288" s="656" t="s">
        <v>13051</v>
      </c>
      <c r="X288" s="656" t="s">
        <v>498</v>
      </c>
      <c r="Y288" s="656" t="s">
        <v>14278</v>
      </c>
      <c r="Z288" s="656">
        <v>44305.526076388887</v>
      </c>
      <c r="AA288" s="656" t="s">
        <v>14335</v>
      </c>
      <c r="AB288" s="656"/>
    </row>
    <row r="289" spans="1:28">
      <c r="A289" s="656" t="s">
        <v>12454</v>
      </c>
      <c r="B289" s="656" t="s">
        <v>12450</v>
      </c>
      <c r="C289" s="656" t="s">
        <v>20</v>
      </c>
      <c r="D289" s="656" t="s">
        <v>12985</v>
      </c>
      <c r="E289" s="656" t="s">
        <v>14279</v>
      </c>
      <c r="F289" s="1447"/>
      <c r="G289" s="656" t="s">
        <v>12986</v>
      </c>
      <c r="H289" s="656" t="s">
        <v>1777</v>
      </c>
      <c r="I289" s="656"/>
      <c r="J289" s="656"/>
      <c r="K289" s="656"/>
      <c r="L289" s="656" t="s">
        <v>12985</v>
      </c>
      <c r="M289" s="656" t="s">
        <v>16196</v>
      </c>
      <c r="N289" s="656"/>
      <c r="O289" s="656" t="s">
        <v>6421</v>
      </c>
      <c r="P289" s="5"/>
      <c r="Q289" s="1447">
        <v>44132</v>
      </c>
      <c r="R289" s="656"/>
      <c r="S289" s="656" t="s">
        <v>462</v>
      </c>
      <c r="T289" s="656"/>
      <c r="U289" s="656"/>
      <c r="V289" s="656"/>
      <c r="W289" s="656" t="s">
        <v>13051</v>
      </c>
      <c r="X289" s="656" t="s">
        <v>498</v>
      </c>
      <c r="Y289" s="656" t="s">
        <v>14278</v>
      </c>
      <c r="Z289" s="656">
        <v>44305.526064814818</v>
      </c>
      <c r="AA289" s="656" t="s">
        <v>14335</v>
      </c>
      <c r="AB289" s="656"/>
    </row>
    <row r="290" spans="1:28">
      <c r="A290" s="656" t="s">
        <v>12454</v>
      </c>
      <c r="B290" s="656" t="s">
        <v>12450</v>
      </c>
      <c r="C290" s="656" t="s">
        <v>20</v>
      </c>
      <c r="D290" s="656" t="s">
        <v>12987</v>
      </c>
      <c r="E290" s="656" t="s">
        <v>14279</v>
      </c>
      <c r="F290" s="1447"/>
      <c r="G290" s="656" t="s">
        <v>12986</v>
      </c>
      <c r="H290" s="656" t="s">
        <v>1777</v>
      </c>
      <c r="I290" s="656"/>
      <c r="J290" s="656"/>
      <c r="K290" s="656"/>
      <c r="L290" s="656" t="s">
        <v>12987</v>
      </c>
      <c r="M290" s="656" t="s">
        <v>16196</v>
      </c>
      <c r="N290" s="656"/>
      <c r="O290" s="656" t="s">
        <v>6421</v>
      </c>
      <c r="P290" s="5"/>
      <c r="Q290" s="1447">
        <v>44132</v>
      </c>
      <c r="R290" s="656"/>
      <c r="S290" s="656" t="s">
        <v>462</v>
      </c>
      <c r="T290" s="656"/>
      <c r="U290" s="656"/>
      <c r="V290" s="656"/>
      <c r="W290" s="656" t="s">
        <v>13051</v>
      </c>
      <c r="X290" s="656" t="s">
        <v>498</v>
      </c>
      <c r="Y290" s="656" t="s">
        <v>14278</v>
      </c>
      <c r="Z290" s="656">
        <v>44305.526076388887</v>
      </c>
      <c r="AA290" s="656" t="s">
        <v>14335</v>
      </c>
      <c r="AB290" s="656"/>
    </row>
    <row r="291" spans="1:28">
      <c r="A291" s="656" t="s">
        <v>12454</v>
      </c>
      <c r="B291" s="656" t="s">
        <v>12450</v>
      </c>
      <c r="C291" s="656" t="s">
        <v>21</v>
      </c>
      <c r="D291" s="656" t="s">
        <v>15367</v>
      </c>
      <c r="E291" s="656" t="s">
        <v>14279</v>
      </c>
      <c r="F291" s="1447"/>
      <c r="G291" s="656" t="s">
        <v>12986</v>
      </c>
      <c r="H291" s="656" t="s">
        <v>1777</v>
      </c>
      <c r="I291" s="656" t="s">
        <v>15368</v>
      </c>
      <c r="J291" s="656" t="s">
        <v>15367</v>
      </c>
      <c r="K291" s="656" t="s">
        <v>9774</v>
      </c>
      <c r="L291" s="656"/>
      <c r="M291" s="656" t="s">
        <v>16196</v>
      </c>
      <c r="N291" s="656"/>
      <c r="O291" s="656" t="s">
        <v>6421</v>
      </c>
      <c r="P291" s="5"/>
      <c r="Q291" s="1447">
        <v>44202</v>
      </c>
      <c r="R291" s="656"/>
      <c r="S291" s="656" t="s">
        <v>462</v>
      </c>
      <c r="T291" s="656"/>
      <c r="U291" s="656"/>
      <c r="V291" s="656"/>
      <c r="W291" s="656" t="s">
        <v>13051</v>
      </c>
      <c r="X291" s="656" t="s">
        <v>498</v>
      </c>
      <c r="Y291" s="656" t="s">
        <v>14278</v>
      </c>
      <c r="Z291" s="656">
        <v>44305.527280092596</v>
      </c>
      <c r="AA291" s="656" t="s">
        <v>14335</v>
      </c>
      <c r="AB291" s="656"/>
    </row>
    <row r="292" spans="1:28">
      <c r="A292" s="656" t="s">
        <v>9580</v>
      </c>
      <c r="B292" s="656" t="s">
        <v>9579</v>
      </c>
      <c r="C292" s="656" t="s">
        <v>21</v>
      </c>
      <c r="D292" s="656" t="s">
        <v>12664</v>
      </c>
      <c r="E292" s="656" t="s">
        <v>14279</v>
      </c>
      <c r="F292" s="1447"/>
      <c r="G292" s="656" t="s">
        <v>12424</v>
      </c>
      <c r="H292" s="656" t="s">
        <v>1777</v>
      </c>
      <c r="I292" s="656" t="s">
        <v>14360</v>
      </c>
      <c r="J292" s="656" t="s">
        <v>12664</v>
      </c>
      <c r="K292" s="656" t="s">
        <v>9774</v>
      </c>
      <c r="L292" s="656"/>
      <c r="M292" s="656" t="s">
        <v>16196</v>
      </c>
      <c r="N292" s="656"/>
      <c r="O292" s="656" t="s">
        <v>6421</v>
      </c>
      <c r="P292" s="5"/>
      <c r="Q292" s="1447">
        <v>44089</v>
      </c>
      <c r="R292" s="656"/>
      <c r="S292" s="656" t="s">
        <v>462</v>
      </c>
      <c r="T292" s="656"/>
      <c r="U292" s="656"/>
      <c r="V292" s="656"/>
      <c r="W292" s="656" t="s">
        <v>13051</v>
      </c>
      <c r="X292" s="656" t="s">
        <v>498</v>
      </c>
      <c r="Y292" s="656" t="s">
        <v>14278</v>
      </c>
      <c r="Z292" s="656">
        <v>44305.526053240741</v>
      </c>
      <c r="AA292" s="656" t="s">
        <v>14335</v>
      </c>
      <c r="AB292" s="656"/>
    </row>
    <row r="293" spans="1:28">
      <c r="A293" s="656" t="s">
        <v>9580</v>
      </c>
      <c r="B293" s="656" t="s">
        <v>9579</v>
      </c>
      <c r="C293" s="656" t="s">
        <v>20</v>
      </c>
      <c r="D293" s="656" t="s">
        <v>12423</v>
      </c>
      <c r="E293" s="656" t="s">
        <v>14279</v>
      </c>
      <c r="F293" s="1447"/>
      <c r="G293" s="656" t="s">
        <v>12424</v>
      </c>
      <c r="H293" s="656" t="s">
        <v>1777</v>
      </c>
      <c r="I293" s="656"/>
      <c r="J293" s="656"/>
      <c r="K293" s="656"/>
      <c r="L293" s="656" t="s">
        <v>12423</v>
      </c>
      <c r="M293" s="656" t="s">
        <v>16196</v>
      </c>
      <c r="N293" s="656"/>
      <c r="O293" s="656" t="s">
        <v>6387</v>
      </c>
      <c r="P293" s="5"/>
      <c r="Q293" s="1447">
        <v>43991</v>
      </c>
      <c r="R293" s="656"/>
      <c r="S293" s="656" t="s">
        <v>462</v>
      </c>
      <c r="T293" s="656"/>
      <c r="U293" s="656"/>
      <c r="V293" s="656" t="s">
        <v>14323</v>
      </c>
      <c r="W293" s="656" t="s">
        <v>13051</v>
      </c>
      <c r="X293" s="656" t="s">
        <v>498</v>
      </c>
      <c r="Y293" s="656" t="s">
        <v>14278</v>
      </c>
      <c r="Z293" s="656">
        <v>44305.526053240741</v>
      </c>
      <c r="AA293" s="656" t="s">
        <v>14335</v>
      </c>
      <c r="AB293" s="656"/>
    </row>
    <row r="294" spans="1:28">
      <c r="A294" s="656" t="s">
        <v>9580</v>
      </c>
      <c r="B294" s="656" t="s">
        <v>9579</v>
      </c>
      <c r="C294" s="656" t="s">
        <v>20</v>
      </c>
      <c r="D294" s="656" t="s">
        <v>12425</v>
      </c>
      <c r="E294" s="656" t="s">
        <v>14279</v>
      </c>
      <c r="F294" s="1447"/>
      <c r="G294" s="656" t="s">
        <v>12424</v>
      </c>
      <c r="H294" s="656" t="s">
        <v>1777</v>
      </c>
      <c r="I294" s="656"/>
      <c r="J294" s="656"/>
      <c r="K294" s="656"/>
      <c r="L294" s="656" t="s">
        <v>12425</v>
      </c>
      <c r="M294" s="656" t="s">
        <v>16196</v>
      </c>
      <c r="N294" s="656"/>
      <c r="O294" s="656" t="s">
        <v>6387</v>
      </c>
      <c r="P294" s="5"/>
      <c r="Q294" s="1447">
        <v>43991</v>
      </c>
      <c r="R294" s="656"/>
      <c r="S294" s="656" t="s">
        <v>462</v>
      </c>
      <c r="T294" s="656"/>
      <c r="U294" s="656"/>
      <c r="V294" s="656" t="s">
        <v>14361</v>
      </c>
      <c r="W294" s="656" t="s">
        <v>13051</v>
      </c>
      <c r="X294" s="656" t="s">
        <v>498</v>
      </c>
      <c r="Y294" s="656" t="s">
        <v>14278</v>
      </c>
      <c r="Z294" s="656">
        <v>44305.526064814818</v>
      </c>
      <c r="AA294" s="656" t="s">
        <v>14335</v>
      </c>
      <c r="AB294" s="656"/>
    </row>
    <row r="295" spans="1:28">
      <c r="A295" s="656" t="s">
        <v>9582</v>
      </c>
      <c r="B295" s="656" t="s">
        <v>9581</v>
      </c>
      <c r="C295" s="656" t="s">
        <v>21</v>
      </c>
      <c r="D295" s="656" t="s">
        <v>12880</v>
      </c>
      <c r="E295" s="656" t="s">
        <v>14279</v>
      </c>
      <c r="F295" s="1447"/>
      <c r="G295" s="656" t="s">
        <v>12477</v>
      </c>
      <c r="H295" s="656" t="s">
        <v>1777</v>
      </c>
      <c r="I295" s="656" t="s">
        <v>14362</v>
      </c>
      <c r="J295" s="656" t="s">
        <v>12880</v>
      </c>
      <c r="K295" s="656" t="s">
        <v>9774</v>
      </c>
      <c r="L295" s="656"/>
      <c r="M295" s="656" t="s">
        <v>16196</v>
      </c>
      <c r="N295" s="656"/>
      <c r="O295" s="656" t="s">
        <v>6421</v>
      </c>
      <c r="P295" s="5"/>
      <c r="Q295" s="1447">
        <v>44138</v>
      </c>
      <c r="R295" s="656"/>
      <c r="S295" s="656" t="s">
        <v>462</v>
      </c>
      <c r="T295" s="656"/>
      <c r="U295" s="656"/>
      <c r="V295" s="656"/>
      <c r="W295" s="656" t="s">
        <v>13051</v>
      </c>
      <c r="X295" s="656" t="s">
        <v>498</v>
      </c>
      <c r="Y295" s="656" t="s">
        <v>14278</v>
      </c>
      <c r="Z295" s="656">
        <v>44305.526030092595</v>
      </c>
      <c r="AA295" s="656" t="s">
        <v>14335</v>
      </c>
      <c r="AB295" s="656"/>
    </row>
    <row r="296" spans="1:28">
      <c r="A296" s="656" t="s">
        <v>9582</v>
      </c>
      <c r="B296" s="656" t="s">
        <v>9581</v>
      </c>
      <c r="C296" s="656" t="s">
        <v>20</v>
      </c>
      <c r="D296" s="656" t="s">
        <v>12476</v>
      </c>
      <c r="E296" s="656" t="s">
        <v>14279</v>
      </c>
      <c r="F296" s="1447"/>
      <c r="G296" s="656" t="s">
        <v>12477</v>
      </c>
      <c r="H296" s="656" t="s">
        <v>1777</v>
      </c>
      <c r="I296" s="656"/>
      <c r="J296" s="656"/>
      <c r="K296" s="656"/>
      <c r="L296" s="656" t="s">
        <v>12476</v>
      </c>
      <c r="M296" s="656" t="s">
        <v>16196</v>
      </c>
      <c r="N296" s="656"/>
      <c r="O296" s="656" t="s">
        <v>6421</v>
      </c>
      <c r="P296" s="5" t="s">
        <v>14323</v>
      </c>
      <c r="Q296" s="1447">
        <v>44062</v>
      </c>
      <c r="R296" s="656"/>
      <c r="S296" s="656" t="s">
        <v>462</v>
      </c>
      <c r="T296" s="656"/>
      <c r="U296" s="656"/>
      <c r="V296" s="656" t="s">
        <v>14323</v>
      </c>
      <c r="W296" s="656" t="s">
        <v>13051</v>
      </c>
      <c r="X296" s="656" t="s">
        <v>498</v>
      </c>
      <c r="Y296" s="656" t="s">
        <v>14278</v>
      </c>
      <c r="Z296" s="656">
        <v>44305.526041666664</v>
      </c>
      <c r="AA296" s="656" t="s">
        <v>14335</v>
      </c>
      <c r="AB296" s="656"/>
    </row>
    <row r="297" spans="1:28">
      <c r="A297" s="656" t="s">
        <v>9582</v>
      </c>
      <c r="B297" s="656" t="s">
        <v>9581</v>
      </c>
      <c r="C297" s="656" t="s">
        <v>20</v>
      </c>
      <c r="D297" s="656" t="s">
        <v>12478</v>
      </c>
      <c r="E297" s="656" t="s">
        <v>14279</v>
      </c>
      <c r="F297" s="1447"/>
      <c r="G297" s="656" t="s">
        <v>12477</v>
      </c>
      <c r="H297" s="656" t="s">
        <v>1777</v>
      </c>
      <c r="I297" s="656"/>
      <c r="J297" s="656"/>
      <c r="K297" s="656"/>
      <c r="L297" s="656" t="s">
        <v>12478</v>
      </c>
      <c r="M297" s="656" t="s">
        <v>16196</v>
      </c>
      <c r="N297" s="656"/>
      <c r="O297" s="656" t="s">
        <v>6421</v>
      </c>
      <c r="P297" s="5" t="s">
        <v>14361</v>
      </c>
      <c r="Q297" s="1447">
        <v>44062</v>
      </c>
      <c r="R297" s="656"/>
      <c r="S297" s="656" t="s">
        <v>462</v>
      </c>
      <c r="T297" s="656"/>
      <c r="U297" s="656"/>
      <c r="V297" s="656" t="s">
        <v>14361</v>
      </c>
      <c r="W297" s="656" t="s">
        <v>13051</v>
      </c>
      <c r="X297" s="656" t="s">
        <v>498</v>
      </c>
      <c r="Y297" s="656" t="s">
        <v>14278</v>
      </c>
      <c r="Z297" s="656">
        <v>44305.526041666664</v>
      </c>
      <c r="AA297" s="656" t="s">
        <v>14335</v>
      </c>
      <c r="AB297" s="656"/>
    </row>
    <row r="298" spans="1:28">
      <c r="A298" s="656" t="s">
        <v>9586</v>
      </c>
      <c r="B298" s="656" t="s">
        <v>9585</v>
      </c>
      <c r="C298" s="656" t="s">
        <v>21</v>
      </c>
      <c r="D298" s="656" t="s">
        <v>12661</v>
      </c>
      <c r="E298" s="656" t="s">
        <v>14279</v>
      </c>
      <c r="F298" s="1447"/>
      <c r="G298" s="656" t="s">
        <v>12475</v>
      </c>
      <c r="H298" s="656" t="s">
        <v>1777</v>
      </c>
      <c r="I298" s="656" t="s">
        <v>14363</v>
      </c>
      <c r="J298" s="656" t="s">
        <v>12661</v>
      </c>
      <c r="K298" s="656" t="s">
        <v>9774</v>
      </c>
      <c r="L298" s="656"/>
      <c r="M298" s="656" t="s">
        <v>16196</v>
      </c>
      <c r="N298" s="656"/>
      <c r="O298" s="656" t="s">
        <v>6421</v>
      </c>
      <c r="P298" s="5"/>
      <c r="Q298" s="1447">
        <v>44084</v>
      </c>
      <c r="R298" s="656"/>
      <c r="S298" s="656" t="s">
        <v>462</v>
      </c>
      <c r="T298" s="656"/>
      <c r="U298" s="656"/>
      <c r="V298" s="656"/>
      <c r="W298" s="656" t="s">
        <v>13051</v>
      </c>
      <c r="X298" s="656" t="s">
        <v>498</v>
      </c>
      <c r="Y298" s="656" t="s">
        <v>14278</v>
      </c>
      <c r="Z298" s="656">
        <v>44305.526018518518</v>
      </c>
      <c r="AA298" s="656" t="s">
        <v>14335</v>
      </c>
      <c r="AB298" s="656"/>
    </row>
    <row r="299" spans="1:28">
      <c r="A299" s="656" t="s">
        <v>12471</v>
      </c>
      <c r="B299" s="656" t="s">
        <v>9585</v>
      </c>
      <c r="C299" s="656" t="s">
        <v>20</v>
      </c>
      <c r="D299" s="656" t="s">
        <v>12472</v>
      </c>
      <c r="E299" s="656" t="s">
        <v>14279</v>
      </c>
      <c r="F299" s="1447"/>
      <c r="G299" s="656" t="s">
        <v>12473</v>
      </c>
      <c r="H299" s="656" t="s">
        <v>1777</v>
      </c>
      <c r="I299" s="656"/>
      <c r="J299" s="656"/>
      <c r="K299" s="656"/>
      <c r="L299" s="656" t="s">
        <v>12472</v>
      </c>
      <c r="M299" s="656" t="s">
        <v>16196</v>
      </c>
      <c r="N299" s="656"/>
      <c r="O299" s="656" t="s">
        <v>6421</v>
      </c>
      <c r="P299" s="5" t="s">
        <v>14323</v>
      </c>
      <c r="Q299" s="1447">
        <v>44062</v>
      </c>
      <c r="R299" s="656"/>
      <c r="S299" s="656"/>
      <c r="T299" s="656"/>
      <c r="U299" s="656"/>
      <c r="V299" s="656" t="s">
        <v>14323</v>
      </c>
      <c r="W299" s="656" t="s">
        <v>13051</v>
      </c>
      <c r="X299" s="656" t="s">
        <v>498</v>
      </c>
      <c r="Y299" s="656" t="s">
        <v>14278</v>
      </c>
      <c r="Z299" s="656">
        <v>44305.526018518518</v>
      </c>
      <c r="AA299" s="656" t="s">
        <v>14335</v>
      </c>
      <c r="AB299" s="656"/>
    </row>
    <row r="300" spans="1:28">
      <c r="A300" s="656" t="s">
        <v>9586</v>
      </c>
      <c r="B300" s="656" t="s">
        <v>9585</v>
      </c>
      <c r="C300" s="656" t="s">
        <v>20</v>
      </c>
      <c r="D300" s="656" t="s">
        <v>12474</v>
      </c>
      <c r="E300" s="656" t="s">
        <v>14279</v>
      </c>
      <c r="F300" s="1447"/>
      <c r="G300" s="656" t="s">
        <v>12475</v>
      </c>
      <c r="H300" s="656" t="s">
        <v>1777</v>
      </c>
      <c r="I300" s="656"/>
      <c r="J300" s="656"/>
      <c r="K300" s="656"/>
      <c r="L300" s="656" t="s">
        <v>12474</v>
      </c>
      <c r="M300" s="656" t="s">
        <v>16196</v>
      </c>
      <c r="N300" s="656"/>
      <c r="O300" s="656" t="s">
        <v>6421</v>
      </c>
      <c r="P300" s="5" t="s">
        <v>14361</v>
      </c>
      <c r="Q300" s="1447">
        <v>44062</v>
      </c>
      <c r="R300" s="656"/>
      <c r="S300" s="656" t="s">
        <v>462</v>
      </c>
      <c r="T300" s="656"/>
      <c r="U300" s="656"/>
      <c r="V300" s="656" t="s">
        <v>14361</v>
      </c>
      <c r="W300" s="656" t="s">
        <v>13051</v>
      </c>
      <c r="X300" s="656" t="s">
        <v>498</v>
      </c>
      <c r="Y300" s="656" t="s">
        <v>14278</v>
      </c>
      <c r="Z300" s="656">
        <v>44305.526030092595</v>
      </c>
      <c r="AA300" s="656" t="s">
        <v>14335</v>
      </c>
      <c r="AB300" s="656"/>
    </row>
    <row r="301" spans="1:28">
      <c r="A301" s="656" t="s">
        <v>8986</v>
      </c>
      <c r="B301" s="656" t="s">
        <v>8985</v>
      </c>
      <c r="C301" s="656" t="s">
        <v>21</v>
      </c>
      <c r="D301" s="656" t="s">
        <v>10172</v>
      </c>
      <c r="E301" s="656" t="s">
        <v>14313</v>
      </c>
      <c r="F301" s="1447"/>
      <c r="G301" s="656" t="s">
        <v>10171</v>
      </c>
      <c r="H301" s="656" t="s">
        <v>1777</v>
      </c>
      <c r="I301" s="656" t="s">
        <v>14364</v>
      </c>
      <c r="J301" s="656" t="s">
        <v>10172</v>
      </c>
      <c r="K301" s="656" t="s">
        <v>9774</v>
      </c>
      <c r="L301" s="656"/>
      <c r="M301" s="656" t="s">
        <v>16196</v>
      </c>
      <c r="N301" s="656"/>
      <c r="O301" s="656" t="s">
        <v>6395</v>
      </c>
      <c r="P301" s="5"/>
      <c r="Q301" s="1447">
        <v>43831</v>
      </c>
      <c r="R301" s="656">
        <v>44286</v>
      </c>
      <c r="S301" s="656" t="s">
        <v>472</v>
      </c>
      <c r="T301" s="656"/>
      <c r="U301" s="656"/>
      <c r="V301" s="656"/>
      <c r="W301" s="656" t="s">
        <v>13051</v>
      </c>
      <c r="X301" s="656" t="s">
        <v>498</v>
      </c>
      <c r="Y301" s="656" t="s">
        <v>14278</v>
      </c>
      <c r="Z301" s="656">
        <v>44305.526006944441</v>
      </c>
      <c r="AA301" s="656" t="s">
        <v>14335</v>
      </c>
      <c r="AB301" s="656"/>
    </row>
    <row r="302" spans="1:28">
      <c r="A302" s="656" t="s">
        <v>8986</v>
      </c>
      <c r="B302" s="656" t="s">
        <v>8985</v>
      </c>
      <c r="C302" s="656" t="s">
        <v>20</v>
      </c>
      <c r="D302" s="656" t="s">
        <v>10208</v>
      </c>
      <c r="E302" s="656" t="s">
        <v>14279</v>
      </c>
      <c r="F302" s="1447"/>
      <c r="G302" s="656" t="s">
        <v>10171</v>
      </c>
      <c r="H302" s="656" t="s">
        <v>1777</v>
      </c>
      <c r="I302" s="656"/>
      <c r="J302" s="656"/>
      <c r="K302" s="656"/>
      <c r="L302" s="656" t="s">
        <v>10208</v>
      </c>
      <c r="M302" s="656" t="s">
        <v>16196</v>
      </c>
      <c r="N302" s="656"/>
      <c r="O302" s="656" t="s">
        <v>6395</v>
      </c>
      <c r="P302" s="5"/>
      <c r="Q302" s="1447">
        <v>43894</v>
      </c>
      <c r="R302" s="656"/>
      <c r="S302" s="656" t="s">
        <v>472</v>
      </c>
      <c r="T302" s="656"/>
      <c r="U302" s="656"/>
      <c r="V302" s="656"/>
      <c r="W302" s="656" t="s">
        <v>13051</v>
      </c>
      <c r="X302" s="656" t="s">
        <v>498</v>
      </c>
      <c r="Y302" s="656" t="s">
        <v>14278</v>
      </c>
      <c r="Z302" s="656">
        <v>44305.526006944441</v>
      </c>
      <c r="AA302" s="656" t="s">
        <v>14335</v>
      </c>
      <c r="AB302" s="656"/>
    </row>
    <row r="303" spans="1:28">
      <c r="A303" s="656" t="s">
        <v>8988</v>
      </c>
      <c r="B303" s="656" t="s">
        <v>8987</v>
      </c>
      <c r="C303" s="656" t="s">
        <v>21</v>
      </c>
      <c r="D303" s="656" t="s">
        <v>10239</v>
      </c>
      <c r="E303" s="656" t="s">
        <v>14313</v>
      </c>
      <c r="F303" s="1447"/>
      <c r="G303" s="656" t="s">
        <v>10201</v>
      </c>
      <c r="H303" s="656" t="s">
        <v>1777</v>
      </c>
      <c r="I303" s="656" t="s">
        <v>14365</v>
      </c>
      <c r="J303" s="656" t="s">
        <v>10239</v>
      </c>
      <c r="K303" s="656" t="s">
        <v>9774</v>
      </c>
      <c r="L303" s="656"/>
      <c r="M303" s="656" t="s">
        <v>16196</v>
      </c>
      <c r="N303" s="656"/>
      <c r="O303" s="656" t="s">
        <v>6395</v>
      </c>
      <c r="P303" s="5"/>
      <c r="Q303" s="1447">
        <v>43896</v>
      </c>
      <c r="R303" s="656">
        <v>44274</v>
      </c>
      <c r="S303" s="656" t="s">
        <v>472</v>
      </c>
      <c r="T303" s="656"/>
      <c r="U303" s="656"/>
      <c r="V303" s="656"/>
      <c r="W303" s="656" t="s">
        <v>13051</v>
      </c>
      <c r="X303" s="656" t="s">
        <v>498</v>
      </c>
      <c r="Y303" s="656" t="s">
        <v>14278</v>
      </c>
      <c r="Z303" s="656">
        <v>44305.525983796295</v>
      </c>
      <c r="AA303" s="656" t="s">
        <v>14335</v>
      </c>
      <c r="AB303" s="656"/>
    </row>
    <row r="304" spans="1:28">
      <c r="A304" s="656" t="s">
        <v>8988</v>
      </c>
      <c r="B304" s="656" t="s">
        <v>8987</v>
      </c>
      <c r="C304" s="656" t="s">
        <v>20</v>
      </c>
      <c r="D304" s="656" t="s">
        <v>10202</v>
      </c>
      <c r="E304" s="656" t="s">
        <v>14279</v>
      </c>
      <c r="F304" s="1447"/>
      <c r="G304" s="656" t="s">
        <v>10201</v>
      </c>
      <c r="H304" s="656" t="s">
        <v>1777</v>
      </c>
      <c r="I304" s="656"/>
      <c r="J304" s="656"/>
      <c r="K304" s="656"/>
      <c r="L304" s="656" t="s">
        <v>10202</v>
      </c>
      <c r="M304" s="656" t="s">
        <v>16196</v>
      </c>
      <c r="N304" s="656"/>
      <c r="O304" s="656" t="s">
        <v>6395</v>
      </c>
      <c r="P304" s="5"/>
      <c r="Q304" s="1447">
        <v>43881</v>
      </c>
      <c r="R304" s="656"/>
      <c r="S304" s="656" t="s">
        <v>472</v>
      </c>
      <c r="T304" s="656"/>
      <c r="U304" s="656"/>
      <c r="V304" s="656"/>
      <c r="W304" s="656" t="s">
        <v>13051</v>
      </c>
      <c r="X304" s="656" t="s">
        <v>498</v>
      </c>
      <c r="Y304" s="656" t="s">
        <v>14278</v>
      </c>
      <c r="Z304" s="656">
        <v>44305.525995370372</v>
      </c>
      <c r="AA304" s="656" t="s">
        <v>14335</v>
      </c>
      <c r="AB304" s="656"/>
    </row>
    <row r="305" spans="1:28">
      <c r="A305" s="656" t="s">
        <v>8989</v>
      </c>
      <c r="B305" s="656" t="s">
        <v>1307</v>
      </c>
      <c r="C305" s="656" t="s">
        <v>21</v>
      </c>
      <c r="D305" s="656" t="s">
        <v>13025</v>
      </c>
      <c r="E305" s="656" t="s">
        <v>14279</v>
      </c>
      <c r="F305" s="1447"/>
      <c r="G305" s="656" t="s">
        <v>12390</v>
      </c>
      <c r="H305" s="656" t="s">
        <v>1777</v>
      </c>
      <c r="I305" s="656" t="s">
        <v>14366</v>
      </c>
      <c r="J305" s="656" t="s">
        <v>13025</v>
      </c>
      <c r="K305" s="656" t="s">
        <v>9774</v>
      </c>
      <c r="L305" s="656"/>
      <c r="M305" s="656" t="s">
        <v>16200</v>
      </c>
      <c r="N305" s="656"/>
      <c r="O305" s="656" t="s">
        <v>6421</v>
      </c>
      <c r="P305" s="5"/>
      <c r="Q305" s="1447">
        <v>44166</v>
      </c>
      <c r="R305" s="656"/>
      <c r="S305" s="656" t="s">
        <v>462</v>
      </c>
      <c r="T305" s="656"/>
      <c r="U305" s="656"/>
      <c r="V305" s="656"/>
      <c r="W305" s="656" t="s">
        <v>13051</v>
      </c>
      <c r="X305" s="656" t="s">
        <v>498</v>
      </c>
      <c r="Y305" s="656" t="s">
        <v>14278</v>
      </c>
      <c r="Z305" s="656">
        <v>44305.525983796295</v>
      </c>
      <c r="AA305" s="656" t="s">
        <v>14335</v>
      </c>
      <c r="AB305" s="656"/>
    </row>
    <row r="306" spans="1:28">
      <c r="A306" s="656" t="s">
        <v>8989</v>
      </c>
      <c r="B306" s="656" t="s">
        <v>1307</v>
      </c>
      <c r="C306" s="656" t="s">
        <v>20</v>
      </c>
      <c r="D306" s="656" t="s">
        <v>12389</v>
      </c>
      <c r="E306" s="656" t="s">
        <v>14279</v>
      </c>
      <c r="F306" s="1447"/>
      <c r="G306" s="656" t="s">
        <v>12390</v>
      </c>
      <c r="H306" s="656" t="s">
        <v>1777</v>
      </c>
      <c r="I306" s="656"/>
      <c r="J306" s="656"/>
      <c r="K306" s="656"/>
      <c r="L306" s="656" t="s">
        <v>12389</v>
      </c>
      <c r="M306" s="656" t="s">
        <v>16200</v>
      </c>
      <c r="N306" s="656"/>
      <c r="O306" s="656" t="s">
        <v>6421</v>
      </c>
      <c r="P306" s="5"/>
      <c r="Q306" s="1447">
        <v>44041</v>
      </c>
      <c r="R306" s="656"/>
      <c r="S306" s="656" t="s">
        <v>462</v>
      </c>
      <c r="T306" s="656"/>
      <c r="U306" s="656"/>
      <c r="V306" s="656"/>
      <c r="W306" s="656" t="s">
        <v>13051</v>
      </c>
      <c r="X306" s="656" t="s">
        <v>498</v>
      </c>
      <c r="Y306" s="656" t="s">
        <v>14278</v>
      </c>
      <c r="Z306" s="656">
        <v>44305.525983796295</v>
      </c>
      <c r="AA306" s="656" t="s">
        <v>14335</v>
      </c>
      <c r="AB306" s="656"/>
    </row>
    <row r="307" spans="1:28">
      <c r="A307" s="656" t="s">
        <v>9005</v>
      </c>
      <c r="B307" s="656" t="s">
        <v>8976</v>
      </c>
      <c r="C307" s="656" t="s">
        <v>20</v>
      </c>
      <c r="D307" s="656" t="s">
        <v>10135</v>
      </c>
      <c r="E307" s="656" t="s">
        <v>14279</v>
      </c>
      <c r="F307" s="1447"/>
      <c r="G307" s="656" t="s">
        <v>10134</v>
      </c>
      <c r="H307" s="656" t="s">
        <v>1777</v>
      </c>
      <c r="I307" s="656"/>
      <c r="J307" s="656"/>
      <c r="K307" s="656"/>
      <c r="L307" s="656" t="s">
        <v>10135</v>
      </c>
      <c r="M307" s="656" t="s">
        <v>16196</v>
      </c>
      <c r="N307" s="656"/>
      <c r="O307" s="656" t="s">
        <v>9714</v>
      </c>
      <c r="P307" s="5"/>
      <c r="Q307" s="1447">
        <v>43809</v>
      </c>
      <c r="R307" s="656"/>
      <c r="S307" s="656" t="s">
        <v>442</v>
      </c>
      <c r="T307" s="656"/>
      <c r="U307" s="656"/>
      <c r="V307" s="656"/>
      <c r="W307" s="656" t="s">
        <v>13051</v>
      </c>
      <c r="X307" s="656" t="s">
        <v>498</v>
      </c>
      <c r="Y307" s="656" t="s">
        <v>14278</v>
      </c>
      <c r="Z307" s="656">
        <v>44305.525972222225</v>
      </c>
      <c r="AA307" s="656" t="s">
        <v>14335</v>
      </c>
      <c r="AB307" s="656"/>
    </row>
    <row r="308" spans="1:28">
      <c r="A308" s="656" t="s">
        <v>9005</v>
      </c>
      <c r="B308" s="656" t="s">
        <v>8976</v>
      </c>
      <c r="C308" s="656" t="s">
        <v>20</v>
      </c>
      <c r="D308" s="656" t="s">
        <v>10136</v>
      </c>
      <c r="E308" s="656" t="s">
        <v>14279</v>
      </c>
      <c r="F308" s="1447"/>
      <c r="G308" s="656" t="s">
        <v>10134</v>
      </c>
      <c r="H308" s="656" t="s">
        <v>1777</v>
      </c>
      <c r="I308" s="656"/>
      <c r="J308" s="656"/>
      <c r="K308" s="656"/>
      <c r="L308" s="656" t="s">
        <v>10136</v>
      </c>
      <c r="M308" s="656" t="s">
        <v>16196</v>
      </c>
      <c r="N308" s="656"/>
      <c r="O308" s="656" t="s">
        <v>9714</v>
      </c>
      <c r="P308" s="5"/>
      <c r="Q308" s="1447">
        <v>43809</v>
      </c>
      <c r="R308" s="656"/>
      <c r="S308" s="656" t="s">
        <v>442</v>
      </c>
      <c r="T308" s="656"/>
      <c r="U308" s="656"/>
      <c r="V308" s="656" t="s">
        <v>14361</v>
      </c>
      <c r="W308" s="656" t="s">
        <v>13051</v>
      </c>
      <c r="X308" s="656" t="s">
        <v>498</v>
      </c>
      <c r="Y308" s="656" t="s">
        <v>14278</v>
      </c>
      <c r="Z308" s="656">
        <v>44305.525972222225</v>
      </c>
      <c r="AA308" s="656" t="s">
        <v>14335</v>
      </c>
      <c r="AB308" s="656"/>
    </row>
    <row r="309" spans="1:28">
      <c r="A309" s="656" t="s">
        <v>9017</v>
      </c>
      <c r="B309" s="656" t="s">
        <v>12957</v>
      </c>
      <c r="C309" s="656" t="s">
        <v>20</v>
      </c>
      <c r="D309" s="656" t="s">
        <v>10100</v>
      </c>
      <c r="E309" s="656" t="s">
        <v>14279</v>
      </c>
      <c r="F309" s="1447"/>
      <c r="G309" s="656" t="s">
        <v>12992</v>
      </c>
      <c r="H309" s="656" t="s">
        <v>1777</v>
      </c>
      <c r="I309" s="656"/>
      <c r="J309" s="656"/>
      <c r="K309" s="656"/>
      <c r="L309" s="656" t="s">
        <v>10100</v>
      </c>
      <c r="M309" s="656" t="s">
        <v>16338</v>
      </c>
      <c r="N309" s="656"/>
      <c r="O309" s="656" t="s">
        <v>6387</v>
      </c>
      <c r="P309" s="5" t="s">
        <v>14367</v>
      </c>
      <c r="Q309" s="1447">
        <v>43760</v>
      </c>
      <c r="R309" s="656"/>
      <c r="S309" s="656" t="s">
        <v>8807</v>
      </c>
      <c r="T309" s="656"/>
      <c r="U309" s="656"/>
      <c r="V309" s="656"/>
      <c r="W309" s="656" t="s">
        <v>13051</v>
      </c>
      <c r="X309" s="656" t="s">
        <v>498</v>
      </c>
      <c r="Y309" s="656" t="s">
        <v>14278</v>
      </c>
      <c r="Z309" s="656">
        <v>44305.525960648149</v>
      </c>
      <c r="AA309" s="656" t="s">
        <v>14335</v>
      </c>
      <c r="AB309" s="656"/>
    </row>
    <row r="310" spans="1:28">
      <c r="A310" s="656" t="s">
        <v>9017</v>
      </c>
      <c r="B310" s="656" t="s">
        <v>12957</v>
      </c>
      <c r="C310" s="656" t="s">
        <v>21</v>
      </c>
      <c r="D310" s="656" t="s">
        <v>15992</v>
      </c>
      <c r="E310" s="656" t="s">
        <v>14279</v>
      </c>
      <c r="F310" s="1447"/>
      <c r="G310" s="656" t="s">
        <v>15993</v>
      </c>
      <c r="H310" s="656" t="s">
        <v>1777</v>
      </c>
      <c r="I310" s="656" t="s">
        <v>15994</v>
      </c>
      <c r="J310" s="656" t="s">
        <v>15992</v>
      </c>
      <c r="K310" s="656" t="s">
        <v>9774</v>
      </c>
      <c r="L310" s="656"/>
      <c r="M310" s="656" t="s">
        <v>16338</v>
      </c>
      <c r="N310" s="656"/>
      <c r="O310" s="656" t="s">
        <v>6387</v>
      </c>
      <c r="P310" s="5"/>
      <c r="Q310" s="1447">
        <v>44273</v>
      </c>
      <c r="R310" s="656"/>
      <c r="S310" s="656" t="s">
        <v>8807</v>
      </c>
      <c r="T310" s="656"/>
      <c r="U310" s="656"/>
      <c r="V310" s="656"/>
      <c r="W310" s="656" t="s">
        <v>13051</v>
      </c>
      <c r="X310" s="656" t="s">
        <v>498</v>
      </c>
      <c r="Y310" s="656" t="s">
        <v>14278</v>
      </c>
      <c r="Z310" s="656">
        <v>44305.527557870373</v>
      </c>
      <c r="AA310" s="656" t="s">
        <v>14335</v>
      </c>
      <c r="AB310" s="656"/>
    </row>
    <row r="311" spans="1:28">
      <c r="A311" s="656" t="s">
        <v>8950</v>
      </c>
      <c r="B311" s="656" t="s">
        <v>8949</v>
      </c>
      <c r="C311" s="656" t="s">
        <v>20</v>
      </c>
      <c r="D311" s="656" t="s">
        <v>13033</v>
      </c>
      <c r="E311" s="656" t="s">
        <v>14279</v>
      </c>
      <c r="F311" s="1447"/>
      <c r="G311" s="656" t="s">
        <v>13034</v>
      </c>
      <c r="H311" s="656" t="s">
        <v>1777</v>
      </c>
      <c r="I311" s="656"/>
      <c r="J311" s="656"/>
      <c r="K311" s="656"/>
      <c r="L311" s="656" t="s">
        <v>13033</v>
      </c>
      <c r="M311" s="656" t="s">
        <v>16196</v>
      </c>
      <c r="N311" s="656"/>
      <c r="O311" s="656" t="s">
        <v>9714</v>
      </c>
      <c r="P311" s="5"/>
      <c r="Q311" s="1447">
        <v>43894</v>
      </c>
      <c r="R311" s="656"/>
      <c r="S311" s="656" t="s">
        <v>442</v>
      </c>
      <c r="T311" s="656"/>
      <c r="U311" s="656"/>
      <c r="V311" s="656"/>
      <c r="W311" s="656" t="s">
        <v>13051</v>
      </c>
      <c r="X311" s="656" t="s">
        <v>498</v>
      </c>
      <c r="Y311" s="656" t="s">
        <v>14278</v>
      </c>
      <c r="Z311" s="656">
        <v>44305.525949074072</v>
      </c>
      <c r="AA311" s="656" t="s">
        <v>14335</v>
      </c>
      <c r="AB311" s="656"/>
    </row>
    <row r="312" spans="1:28">
      <c r="A312" s="656" t="s">
        <v>8950</v>
      </c>
      <c r="B312" s="656" t="s">
        <v>8949</v>
      </c>
      <c r="C312" s="656" t="s">
        <v>20</v>
      </c>
      <c r="D312" s="656" t="s">
        <v>13035</v>
      </c>
      <c r="E312" s="656" t="s">
        <v>14279</v>
      </c>
      <c r="F312" s="1447"/>
      <c r="G312" s="656" t="s">
        <v>13034</v>
      </c>
      <c r="H312" s="656" t="s">
        <v>1777</v>
      </c>
      <c r="I312" s="656"/>
      <c r="J312" s="656"/>
      <c r="K312" s="656"/>
      <c r="L312" s="656" t="s">
        <v>13035</v>
      </c>
      <c r="M312" s="656" t="s">
        <v>16196</v>
      </c>
      <c r="N312" s="656"/>
      <c r="O312" s="656" t="s">
        <v>9714</v>
      </c>
      <c r="P312" s="5"/>
      <c r="Q312" s="1447">
        <v>43894</v>
      </c>
      <c r="R312" s="656"/>
      <c r="S312" s="656" t="s">
        <v>442</v>
      </c>
      <c r="T312" s="656"/>
      <c r="U312" s="656"/>
      <c r="V312" s="656"/>
      <c r="W312" s="656" t="s">
        <v>13051</v>
      </c>
      <c r="X312" s="656" t="s">
        <v>498</v>
      </c>
      <c r="Y312" s="656" t="s">
        <v>14278</v>
      </c>
      <c r="Z312" s="656">
        <v>44305.525960648149</v>
      </c>
      <c r="AA312" s="656" t="s">
        <v>14335</v>
      </c>
      <c r="AB312" s="656"/>
    </row>
    <row r="313" spans="1:28">
      <c r="A313" s="656" t="s">
        <v>9589</v>
      </c>
      <c r="B313" s="656" t="s">
        <v>10309</v>
      </c>
      <c r="C313" s="656" t="s">
        <v>20</v>
      </c>
      <c r="D313" s="656" t="s">
        <v>10311</v>
      </c>
      <c r="E313" s="656" t="s">
        <v>14279</v>
      </c>
      <c r="F313" s="1447"/>
      <c r="G313" s="656" t="s">
        <v>10310</v>
      </c>
      <c r="H313" s="656" t="s">
        <v>1777</v>
      </c>
      <c r="I313" s="656"/>
      <c r="J313" s="656"/>
      <c r="K313" s="656"/>
      <c r="L313" s="656" t="s">
        <v>10311</v>
      </c>
      <c r="M313" s="656" t="s">
        <v>12703</v>
      </c>
      <c r="N313" s="656"/>
      <c r="O313" s="656" t="s">
        <v>10214</v>
      </c>
      <c r="P313" s="5"/>
      <c r="Q313" s="1447">
        <v>43997</v>
      </c>
      <c r="R313" s="656"/>
      <c r="S313" s="656" t="s">
        <v>537</v>
      </c>
      <c r="T313" s="656"/>
      <c r="U313" s="656"/>
      <c r="V313" s="656"/>
      <c r="W313" s="656" t="s">
        <v>13051</v>
      </c>
      <c r="X313" s="656" t="s">
        <v>498</v>
      </c>
      <c r="Y313" s="656" t="s">
        <v>14278</v>
      </c>
      <c r="Z313" s="656">
        <v>44306.420138888891</v>
      </c>
      <c r="AA313" s="656" t="s">
        <v>15959</v>
      </c>
      <c r="AB313" s="656"/>
    </row>
    <row r="314" spans="1:28">
      <c r="A314" s="656" t="s">
        <v>9591</v>
      </c>
      <c r="B314" s="656" t="s">
        <v>9590</v>
      </c>
      <c r="C314" s="656" t="s">
        <v>21</v>
      </c>
      <c r="D314" s="656" t="s">
        <v>10346</v>
      </c>
      <c r="E314" s="656" t="s">
        <v>14313</v>
      </c>
      <c r="F314" s="1447"/>
      <c r="G314" s="656" t="s">
        <v>10305</v>
      </c>
      <c r="H314" s="656" t="s">
        <v>1777</v>
      </c>
      <c r="I314" s="656" t="s">
        <v>14368</v>
      </c>
      <c r="J314" s="656" t="s">
        <v>10346</v>
      </c>
      <c r="K314" s="656" t="s">
        <v>9774</v>
      </c>
      <c r="L314" s="656"/>
      <c r="M314" s="656" t="s">
        <v>16321</v>
      </c>
      <c r="N314" s="656"/>
      <c r="O314" s="656" t="s">
        <v>6421</v>
      </c>
      <c r="P314" s="5" t="s">
        <v>16046</v>
      </c>
      <c r="Q314" s="1447">
        <v>44032</v>
      </c>
      <c r="R314" s="656">
        <v>44285</v>
      </c>
      <c r="S314" s="656" t="s">
        <v>462</v>
      </c>
      <c r="T314" s="656"/>
      <c r="U314" s="656"/>
      <c r="V314" s="656"/>
      <c r="W314" s="656" t="s">
        <v>13051</v>
      </c>
      <c r="X314" s="656" t="s">
        <v>498</v>
      </c>
      <c r="Y314" s="656" t="s">
        <v>14278</v>
      </c>
      <c r="Z314" s="656">
        <v>44305.525937500002</v>
      </c>
      <c r="AA314" s="656" t="s">
        <v>14335</v>
      </c>
      <c r="AB314" s="656"/>
    </row>
    <row r="315" spans="1:28">
      <c r="A315" s="656" t="s">
        <v>9591</v>
      </c>
      <c r="B315" s="656" t="s">
        <v>9590</v>
      </c>
      <c r="C315" s="656" t="s">
        <v>20</v>
      </c>
      <c r="D315" s="656" t="s">
        <v>10306</v>
      </c>
      <c r="E315" s="656" t="s">
        <v>14279</v>
      </c>
      <c r="F315" s="1447"/>
      <c r="G315" s="656" t="s">
        <v>10305</v>
      </c>
      <c r="H315" s="656" t="s">
        <v>1777</v>
      </c>
      <c r="I315" s="656"/>
      <c r="J315" s="656"/>
      <c r="K315" s="656"/>
      <c r="L315" s="656" t="s">
        <v>10306</v>
      </c>
      <c r="M315" s="656" t="s">
        <v>16200</v>
      </c>
      <c r="N315" s="656"/>
      <c r="O315" s="656" t="s">
        <v>6421</v>
      </c>
      <c r="P315" s="5"/>
      <c r="Q315" s="1447">
        <v>43997</v>
      </c>
      <c r="R315" s="656"/>
      <c r="S315" s="656" t="s">
        <v>462</v>
      </c>
      <c r="T315" s="656"/>
      <c r="U315" s="656"/>
      <c r="V315" s="656"/>
      <c r="W315" s="656" t="s">
        <v>13051</v>
      </c>
      <c r="X315" s="656" t="s">
        <v>498</v>
      </c>
      <c r="Y315" s="656" t="s">
        <v>14278</v>
      </c>
      <c r="Z315" s="656">
        <v>44305.525937500002</v>
      </c>
      <c r="AA315" s="656" t="s">
        <v>14335</v>
      </c>
      <c r="AB315" s="656"/>
    </row>
    <row r="316" spans="1:28" ht="29">
      <c r="A316" s="656" t="s">
        <v>9591</v>
      </c>
      <c r="B316" s="656" t="s">
        <v>9590</v>
      </c>
      <c r="C316" s="656" t="s">
        <v>21</v>
      </c>
      <c r="D316" s="656" t="s">
        <v>15995</v>
      </c>
      <c r="E316" s="656" t="s">
        <v>14313</v>
      </c>
      <c r="F316" s="1447"/>
      <c r="G316" s="656" t="s">
        <v>15996</v>
      </c>
      <c r="H316" s="656" t="s">
        <v>1777</v>
      </c>
      <c r="I316" s="656" t="s">
        <v>14368</v>
      </c>
      <c r="J316" s="656" t="s">
        <v>15995</v>
      </c>
      <c r="K316" s="656" t="s">
        <v>9774</v>
      </c>
      <c r="L316" s="656"/>
      <c r="M316" s="656" t="s">
        <v>16324</v>
      </c>
      <c r="N316" s="656"/>
      <c r="O316" s="656" t="s">
        <v>6421</v>
      </c>
      <c r="P316" s="5" t="s">
        <v>16047</v>
      </c>
      <c r="Q316" s="1447">
        <v>44270</v>
      </c>
      <c r="R316" s="656">
        <v>44255</v>
      </c>
      <c r="S316" s="656" t="s">
        <v>462</v>
      </c>
      <c r="T316" s="656"/>
      <c r="U316" s="656"/>
      <c r="V316" s="656"/>
      <c r="W316" s="656" t="s">
        <v>13051</v>
      </c>
      <c r="X316" s="656" t="s">
        <v>498</v>
      </c>
      <c r="Y316" s="656" t="s">
        <v>14278</v>
      </c>
      <c r="Z316" s="656">
        <v>44305.52753472222</v>
      </c>
      <c r="AA316" s="656" t="s">
        <v>14335</v>
      </c>
      <c r="AB316" s="656"/>
    </row>
    <row r="317" spans="1:28">
      <c r="A317" s="656" t="s">
        <v>9593</v>
      </c>
      <c r="B317" s="656" t="s">
        <v>9592</v>
      </c>
      <c r="C317" s="656" t="s">
        <v>21</v>
      </c>
      <c r="D317" s="656" t="s">
        <v>10340</v>
      </c>
      <c r="E317" s="656" t="s">
        <v>14279</v>
      </c>
      <c r="F317" s="1447"/>
      <c r="G317" s="656" t="s">
        <v>10339</v>
      </c>
      <c r="H317" s="656" t="s">
        <v>1584</v>
      </c>
      <c r="I317" s="656" t="s">
        <v>14369</v>
      </c>
      <c r="J317" s="656" t="s">
        <v>10340</v>
      </c>
      <c r="K317" s="656" t="s">
        <v>9774</v>
      </c>
      <c r="L317" s="656"/>
      <c r="M317" s="656" t="s">
        <v>12703</v>
      </c>
      <c r="N317" s="656"/>
      <c r="O317" s="656" t="s">
        <v>6421</v>
      </c>
      <c r="P317" s="5"/>
      <c r="Q317" s="1447">
        <v>44020</v>
      </c>
      <c r="R317" s="656"/>
      <c r="S317" s="656" t="s">
        <v>462</v>
      </c>
      <c r="T317" s="656"/>
      <c r="U317" s="656"/>
      <c r="V317" s="656"/>
      <c r="W317" s="656" t="s">
        <v>13051</v>
      </c>
      <c r="X317" s="656" t="s">
        <v>498</v>
      </c>
      <c r="Y317" s="656" t="s">
        <v>14278</v>
      </c>
      <c r="Z317" s="656">
        <v>44306.421412037038</v>
      </c>
      <c r="AA317" s="656" t="s">
        <v>15959</v>
      </c>
      <c r="AB317" s="656"/>
    </row>
    <row r="318" spans="1:28">
      <c r="A318" s="656" t="s">
        <v>9593</v>
      </c>
      <c r="B318" s="656" t="s">
        <v>10265</v>
      </c>
      <c r="C318" s="656" t="s">
        <v>20</v>
      </c>
      <c r="D318" s="656" t="s">
        <v>10267</v>
      </c>
      <c r="E318" s="656" t="s">
        <v>14279</v>
      </c>
      <c r="F318" s="1447"/>
      <c r="G318" s="656" t="s">
        <v>10266</v>
      </c>
      <c r="H318" s="656" t="s">
        <v>1777</v>
      </c>
      <c r="I318" s="656"/>
      <c r="J318" s="656"/>
      <c r="K318" s="656"/>
      <c r="L318" s="656" t="s">
        <v>10267</v>
      </c>
      <c r="M318" s="656" t="s">
        <v>12703</v>
      </c>
      <c r="N318" s="656"/>
      <c r="O318" s="656" t="s">
        <v>6421</v>
      </c>
      <c r="P318" s="5" t="s">
        <v>3796</v>
      </c>
      <c r="Q318" s="1447">
        <v>43957</v>
      </c>
      <c r="R318" s="656"/>
      <c r="S318" s="656" t="s">
        <v>462</v>
      </c>
      <c r="T318" s="656"/>
      <c r="U318" s="656"/>
      <c r="V318" s="656"/>
      <c r="W318" s="656" t="s">
        <v>13051</v>
      </c>
      <c r="X318" s="656" t="s">
        <v>498</v>
      </c>
      <c r="Y318" s="656" t="s">
        <v>14278</v>
      </c>
      <c r="Z318" s="656">
        <v>44306.419606481482</v>
      </c>
      <c r="AA318" s="656" t="s">
        <v>15959</v>
      </c>
      <c r="AB318" s="656"/>
    </row>
    <row r="319" spans="1:28">
      <c r="A319" s="656" t="s">
        <v>9038</v>
      </c>
      <c r="B319" s="656" t="s">
        <v>9594</v>
      </c>
      <c r="C319" s="656" t="s">
        <v>21</v>
      </c>
      <c r="D319" s="656" t="s">
        <v>10329</v>
      </c>
      <c r="E319" s="656" t="s">
        <v>14279</v>
      </c>
      <c r="F319" s="1447"/>
      <c r="G319" s="656" t="s">
        <v>10299</v>
      </c>
      <c r="H319" s="656" t="s">
        <v>1777</v>
      </c>
      <c r="I319" s="656" t="s">
        <v>14370</v>
      </c>
      <c r="J319" s="656" t="s">
        <v>10329</v>
      </c>
      <c r="K319" s="656" t="s">
        <v>9774</v>
      </c>
      <c r="L319" s="656"/>
      <c r="M319" s="656" t="s">
        <v>16331</v>
      </c>
      <c r="N319" s="656"/>
      <c r="O319" s="656" t="s">
        <v>6421</v>
      </c>
      <c r="P319" s="5"/>
      <c r="Q319" s="1447">
        <v>44020</v>
      </c>
      <c r="R319" s="656"/>
      <c r="S319" s="656" t="s">
        <v>462</v>
      </c>
      <c r="T319" s="656"/>
      <c r="U319" s="656"/>
      <c r="V319" s="656"/>
      <c r="W319" s="656" t="s">
        <v>13051</v>
      </c>
      <c r="X319" s="656" t="s">
        <v>498</v>
      </c>
      <c r="Y319" s="656" t="s">
        <v>14278</v>
      </c>
      <c r="Z319" s="656">
        <v>44305.525914351849</v>
      </c>
      <c r="AA319" s="656" t="s">
        <v>14335</v>
      </c>
      <c r="AB319" s="656"/>
    </row>
    <row r="320" spans="1:28">
      <c r="A320" s="656" t="s">
        <v>9038</v>
      </c>
      <c r="B320" s="656" t="s">
        <v>9594</v>
      </c>
      <c r="C320" s="656" t="s">
        <v>20</v>
      </c>
      <c r="D320" s="656" t="s">
        <v>10300</v>
      </c>
      <c r="E320" s="656" t="s">
        <v>14279</v>
      </c>
      <c r="F320" s="1447"/>
      <c r="G320" s="656" t="s">
        <v>10299</v>
      </c>
      <c r="H320" s="656" t="s">
        <v>1777</v>
      </c>
      <c r="I320" s="656"/>
      <c r="J320" s="656"/>
      <c r="K320" s="656"/>
      <c r="L320" s="656" t="s">
        <v>10300</v>
      </c>
      <c r="M320" s="656" t="s">
        <v>16331</v>
      </c>
      <c r="N320" s="656"/>
      <c r="O320" s="656" t="s">
        <v>6421</v>
      </c>
      <c r="P320" s="5"/>
      <c r="Q320" s="1447">
        <v>43992</v>
      </c>
      <c r="R320" s="656"/>
      <c r="S320" s="656" t="s">
        <v>462</v>
      </c>
      <c r="T320" s="656"/>
      <c r="U320" s="656"/>
      <c r="V320" s="656"/>
      <c r="W320" s="656" t="s">
        <v>13051</v>
      </c>
      <c r="X320" s="656" t="s">
        <v>498</v>
      </c>
      <c r="Y320" s="656" t="s">
        <v>14278</v>
      </c>
      <c r="Z320" s="656">
        <v>44305.525914351849</v>
      </c>
      <c r="AA320" s="656" t="s">
        <v>14335</v>
      </c>
      <c r="AB320" s="656"/>
    </row>
    <row r="321" spans="1:28">
      <c r="A321" s="656" t="s">
        <v>9597</v>
      </c>
      <c r="B321" s="656" t="s">
        <v>9596</v>
      </c>
      <c r="C321" s="656" t="s">
        <v>21</v>
      </c>
      <c r="D321" s="656" t="s">
        <v>12498</v>
      </c>
      <c r="E321" s="656" t="s">
        <v>14313</v>
      </c>
      <c r="F321" s="1447"/>
      <c r="G321" s="656" t="s">
        <v>10360</v>
      </c>
      <c r="H321" s="656" t="s">
        <v>1777</v>
      </c>
      <c r="I321" s="656" t="s">
        <v>14371</v>
      </c>
      <c r="J321" s="656" t="s">
        <v>12498</v>
      </c>
      <c r="K321" s="656" t="s">
        <v>9774</v>
      </c>
      <c r="L321" s="656"/>
      <c r="M321" s="656" t="s">
        <v>16339</v>
      </c>
      <c r="N321" s="656"/>
      <c r="O321" s="656" t="s">
        <v>6429</v>
      </c>
      <c r="P321" s="5"/>
      <c r="Q321" s="1447">
        <v>44064</v>
      </c>
      <c r="R321" s="656">
        <v>44249</v>
      </c>
      <c r="S321" s="656" t="s">
        <v>465</v>
      </c>
      <c r="T321" s="656"/>
      <c r="U321" s="656"/>
      <c r="V321" s="656"/>
      <c r="W321" s="656" t="s">
        <v>13051</v>
      </c>
      <c r="X321" s="656" t="s">
        <v>498</v>
      </c>
      <c r="Y321" s="656" t="s">
        <v>14278</v>
      </c>
      <c r="Z321" s="656">
        <v>44305.525891203702</v>
      </c>
      <c r="AA321" s="656" t="s">
        <v>14335</v>
      </c>
      <c r="AB321" s="656"/>
    </row>
    <row r="322" spans="1:28">
      <c r="A322" s="656" t="s">
        <v>9597</v>
      </c>
      <c r="B322" s="656" t="s">
        <v>9596</v>
      </c>
      <c r="C322" s="656" t="s">
        <v>20</v>
      </c>
      <c r="D322" s="656" t="s">
        <v>10361</v>
      </c>
      <c r="E322" s="656" t="s">
        <v>14279</v>
      </c>
      <c r="F322" s="1447"/>
      <c r="G322" s="656" t="s">
        <v>10360</v>
      </c>
      <c r="H322" s="656" t="s">
        <v>1777</v>
      </c>
      <c r="I322" s="656"/>
      <c r="J322" s="656"/>
      <c r="K322" s="656"/>
      <c r="L322" s="656" t="s">
        <v>10361</v>
      </c>
      <c r="M322" s="656" t="s">
        <v>16339</v>
      </c>
      <c r="N322" s="656"/>
      <c r="O322" s="656" t="s">
        <v>6429</v>
      </c>
      <c r="P322" s="5"/>
      <c r="Q322" s="1447">
        <v>44033</v>
      </c>
      <c r="R322" s="656"/>
      <c r="S322" s="656" t="s">
        <v>465</v>
      </c>
      <c r="T322" s="656"/>
      <c r="U322" s="656"/>
      <c r="V322" s="656"/>
      <c r="W322" s="656" t="s">
        <v>13051</v>
      </c>
      <c r="X322" s="656" t="s">
        <v>498</v>
      </c>
      <c r="Y322" s="656" t="s">
        <v>14278</v>
      </c>
      <c r="Z322" s="656">
        <v>44305.525902777779</v>
      </c>
      <c r="AA322" s="656" t="s">
        <v>14335</v>
      </c>
      <c r="AB322" s="656"/>
    </row>
    <row r="323" spans="1:28">
      <c r="A323" s="656" t="s">
        <v>9599</v>
      </c>
      <c r="B323" s="656" t="s">
        <v>9598</v>
      </c>
      <c r="C323" s="656" t="s">
        <v>20</v>
      </c>
      <c r="D323" s="656" t="s">
        <v>10308</v>
      </c>
      <c r="E323" s="656" t="s">
        <v>14279</v>
      </c>
      <c r="F323" s="1447"/>
      <c r="G323" s="656" t="s">
        <v>10307</v>
      </c>
      <c r="H323" s="656" t="s">
        <v>1777</v>
      </c>
      <c r="I323" s="656"/>
      <c r="J323" s="656"/>
      <c r="K323" s="656"/>
      <c r="L323" s="656" t="s">
        <v>10308</v>
      </c>
      <c r="M323" s="656" t="s">
        <v>16340</v>
      </c>
      <c r="N323" s="656"/>
      <c r="O323" s="656" t="s">
        <v>6429</v>
      </c>
      <c r="P323" s="5"/>
      <c r="Q323" s="1447">
        <v>43997</v>
      </c>
      <c r="R323" s="656"/>
      <c r="S323" s="656" t="s">
        <v>465</v>
      </c>
      <c r="T323" s="656"/>
      <c r="U323" s="656"/>
      <c r="V323" s="656"/>
      <c r="W323" s="656" t="s">
        <v>13051</v>
      </c>
      <c r="X323" s="656" t="s">
        <v>498</v>
      </c>
      <c r="Y323" s="656" t="s">
        <v>14278</v>
      </c>
      <c r="Z323" s="656">
        <v>44305.525879629633</v>
      </c>
      <c r="AA323" s="656" t="s">
        <v>14335</v>
      </c>
      <c r="AB323" s="656"/>
    </row>
    <row r="324" spans="1:28">
      <c r="A324" s="656" t="s">
        <v>16341</v>
      </c>
      <c r="B324" s="656" t="s">
        <v>15541</v>
      </c>
      <c r="C324" s="656" t="s">
        <v>20</v>
      </c>
      <c r="D324" s="656" t="s">
        <v>16342</v>
      </c>
      <c r="E324" s="656" t="s">
        <v>14279</v>
      </c>
      <c r="F324" s="1447"/>
      <c r="G324" s="656" t="s">
        <v>16343</v>
      </c>
      <c r="H324" s="656" t="s">
        <v>1777</v>
      </c>
      <c r="I324" s="656"/>
      <c r="J324" s="656"/>
      <c r="K324" s="656"/>
      <c r="L324" s="656" t="s">
        <v>16342</v>
      </c>
      <c r="M324" s="656" t="s">
        <v>16262</v>
      </c>
      <c r="N324" s="656"/>
      <c r="O324" s="656" t="s">
        <v>6429</v>
      </c>
      <c r="P324" s="5"/>
      <c r="Q324" s="1447">
        <v>44309</v>
      </c>
      <c r="R324" s="656"/>
      <c r="S324" s="656" t="s">
        <v>3077</v>
      </c>
      <c r="T324" s="656"/>
      <c r="U324" s="656"/>
      <c r="V324" s="656"/>
      <c r="W324" s="656" t="s">
        <v>13051</v>
      </c>
      <c r="X324" s="656" t="s">
        <v>498</v>
      </c>
      <c r="Y324" s="656" t="s">
        <v>14278</v>
      </c>
      <c r="Z324" s="656">
        <v>44312.453067129631</v>
      </c>
      <c r="AA324" s="656" t="s">
        <v>14276</v>
      </c>
      <c r="AB324" s="656"/>
    </row>
    <row r="325" spans="1:28">
      <c r="A325" s="656" t="s">
        <v>9601</v>
      </c>
      <c r="B325" s="656" t="s">
        <v>9600</v>
      </c>
      <c r="C325" s="656" t="s">
        <v>21</v>
      </c>
      <c r="D325" s="656" t="s">
        <v>12497</v>
      </c>
      <c r="E325" s="656" t="s">
        <v>14279</v>
      </c>
      <c r="F325" s="1447"/>
      <c r="G325" s="656" t="s">
        <v>12483</v>
      </c>
      <c r="H325" s="656" t="s">
        <v>1777</v>
      </c>
      <c r="I325" s="656" t="s">
        <v>14372</v>
      </c>
      <c r="J325" s="656" t="s">
        <v>12497</v>
      </c>
      <c r="K325" s="656" t="s">
        <v>9774</v>
      </c>
      <c r="L325" s="656"/>
      <c r="M325" s="656" t="s">
        <v>16323</v>
      </c>
      <c r="N325" s="656"/>
      <c r="O325" s="656" t="s">
        <v>6429</v>
      </c>
      <c r="P325" s="5"/>
      <c r="Q325" s="1447">
        <v>44064</v>
      </c>
      <c r="R325" s="656"/>
      <c r="S325" s="656" t="s">
        <v>465</v>
      </c>
      <c r="T325" s="656"/>
      <c r="U325" s="656"/>
      <c r="V325" s="656"/>
      <c r="W325" s="656" t="s">
        <v>13051</v>
      </c>
      <c r="X325" s="656" t="s">
        <v>498</v>
      </c>
      <c r="Y325" s="656" t="s">
        <v>14278</v>
      </c>
      <c r="Z325" s="656">
        <v>44305.525879629633</v>
      </c>
      <c r="AA325" s="656" t="s">
        <v>14335</v>
      </c>
      <c r="AB325" s="656"/>
    </row>
    <row r="326" spans="1:28">
      <c r="A326" s="656" t="s">
        <v>9601</v>
      </c>
      <c r="B326" s="656" t="s">
        <v>9600</v>
      </c>
      <c r="C326" s="656" t="s">
        <v>20</v>
      </c>
      <c r="D326" s="656" t="s">
        <v>12482</v>
      </c>
      <c r="E326" s="656" t="s">
        <v>14279</v>
      </c>
      <c r="F326" s="1447"/>
      <c r="G326" s="656" t="s">
        <v>12483</v>
      </c>
      <c r="H326" s="656" t="s">
        <v>1777</v>
      </c>
      <c r="I326" s="656"/>
      <c r="J326" s="656"/>
      <c r="K326" s="656"/>
      <c r="L326" s="656" t="s">
        <v>12482</v>
      </c>
      <c r="M326" s="656" t="s">
        <v>16323</v>
      </c>
      <c r="N326" s="656"/>
      <c r="O326" s="656" t="s">
        <v>6429</v>
      </c>
      <c r="P326" s="5"/>
      <c r="Q326" s="1447">
        <v>44062</v>
      </c>
      <c r="R326" s="656"/>
      <c r="S326" s="656" t="s">
        <v>465</v>
      </c>
      <c r="T326" s="656"/>
      <c r="U326" s="656"/>
      <c r="V326" s="656"/>
      <c r="W326" s="656" t="s">
        <v>13051</v>
      </c>
      <c r="X326" s="656" t="s">
        <v>498</v>
      </c>
      <c r="Y326" s="656" t="s">
        <v>14278</v>
      </c>
      <c r="Z326" s="656">
        <v>44305.525879629633</v>
      </c>
      <c r="AA326" s="656" t="s">
        <v>14335</v>
      </c>
      <c r="AB326" s="656"/>
    </row>
    <row r="327" spans="1:28">
      <c r="A327" s="656" t="s">
        <v>9605</v>
      </c>
      <c r="B327" s="656" t="s">
        <v>9604</v>
      </c>
      <c r="C327" s="656" t="s">
        <v>20</v>
      </c>
      <c r="D327" s="656" t="s">
        <v>10264</v>
      </c>
      <c r="E327" s="656" t="s">
        <v>14279</v>
      </c>
      <c r="F327" s="1447"/>
      <c r="G327" s="656" t="s">
        <v>10263</v>
      </c>
      <c r="H327" s="656" t="s">
        <v>1777</v>
      </c>
      <c r="I327" s="656"/>
      <c r="J327" s="656"/>
      <c r="K327" s="656"/>
      <c r="L327" s="656" t="s">
        <v>10264</v>
      </c>
      <c r="M327" s="656" t="s">
        <v>16323</v>
      </c>
      <c r="N327" s="656"/>
      <c r="O327" s="656" t="s">
        <v>6429</v>
      </c>
      <c r="P327" s="5"/>
      <c r="Q327" s="1447">
        <v>43957</v>
      </c>
      <c r="R327" s="656"/>
      <c r="S327" s="656" t="s">
        <v>465</v>
      </c>
      <c r="T327" s="656"/>
      <c r="U327" s="656"/>
      <c r="V327" s="656"/>
      <c r="W327" s="656" t="s">
        <v>13051</v>
      </c>
      <c r="X327" s="656" t="s">
        <v>498</v>
      </c>
      <c r="Y327" s="656" t="s">
        <v>14278</v>
      </c>
      <c r="Z327" s="656">
        <v>44305.525868055556</v>
      </c>
      <c r="AA327" s="656" t="s">
        <v>14335</v>
      </c>
      <c r="AB327" s="656"/>
    </row>
    <row r="328" spans="1:28">
      <c r="A328" s="656" t="s">
        <v>9611</v>
      </c>
      <c r="B328" s="656" t="s">
        <v>1094</v>
      </c>
      <c r="C328" s="656" t="s">
        <v>20</v>
      </c>
      <c r="D328" s="656" t="s">
        <v>12462</v>
      </c>
      <c r="E328" s="656" t="s">
        <v>14279</v>
      </c>
      <c r="F328" s="1447"/>
      <c r="G328" s="656" t="s">
        <v>12463</v>
      </c>
      <c r="H328" s="656" t="s">
        <v>1777</v>
      </c>
      <c r="I328" s="656"/>
      <c r="J328" s="656"/>
      <c r="K328" s="656"/>
      <c r="L328" s="656" t="s">
        <v>12462</v>
      </c>
      <c r="M328" s="656" t="s">
        <v>16323</v>
      </c>
      <c r="N328" s="656"/>
      <c r="O328" s="656" t="s">
        <v>6429</v>
      </c>
      <c r="P328" s="5"/>
      <c r="Q328" s="1447">
        <v>44060</v>
      </c>
      <c r="R328" s="656"/>
      <c r="S328" s="656" t="s">
        <v>465</v>
      </c>
      <c r="T328" s="656"/>
      <c r="U328" s="656"/>
      <c r="V328" s="656"/>
      <c r="W328" s="656" t="s">
        <v>13051</v>
      </c>
      <c r="X328" s="656" t="s">
        <v>498</v>
      </c>
      <c r="Y328" s="656" t="s">
        <v>14278</v>
      </c>
      <c r="Z328" s="656">
        <v>44305.525868055556</v>
      </c>
      <c r="AA328" s="656" t="s">
        <v>14335</v>
      </c>
      <c r="AB328" s="656"/>
    </row>
    <row r="329" spans="1:28">
      <c r="A329" s="656" t="s">
        <v>15740</v>
      </c>
      <c r="B329" s="656" t="s">
        <v>15741</v>
      </c>
      <c r="C329" s="656" t="s">
        <v>21</v>
      </c>
      <c r="D329" s="656" t="s">
        <v>15997</v>
      </c>
      <c r="E329" s="656" t="s">
        <v>14279</v>
      </c>
      <c r="F329" s="1447"/>
      <c r="G329" s="656" t="s">
        <v>15998</v>
      </c>
      <c r="H329" s="656" t="s">
        <v>1777</v>
      </c>
      <c r="I329" s="656" t="s">
        <v>15999</v>
      </c>
      <c r="J329" s="656" t="s">
        <v>15997</v>
      </c>
      <c r="K329" s="656" t="s">
        <v>9774</v>
      </c>
      <c r="L329" s="656"/>
      <c r="M329" s="656" t="s">
        <v>16344</v>
      </c>
      <c r="N329" s="656"/>
      <c r="O329" s="656" t="s">
        <v>6429</v>
      </c>
      <c r="P329" s="5"/>
      <c r="Q329" s="1447">
        <v>44278</v>
      </c>
      <c r="R329" s="656"/>
      <c r="S329" s="656" t="s">
        <v>3077</v>
      </c>
      <c r="T329" s="656"/>
      <c r="U329" s="656"/>
      <c r="V329" s="656"/>
      <c r="W329" s="656" t="s">
        <v>13051</v>
      </c>
      <c r="X329" s="656" t="s">
        <v>498</v>
      </c>
      <c r="Y329" s="656" t="s">
        <v>14278</v>
      </c>
      <c r="Z329" s="656">
        <v>44305.527604166666</v>
      </c>
      <c r="AA329" s="656" t="s">
        <v>14335</v>
      </c>
      <c r="AB329" s="656"/>
    </row>
    <row r="330" spans="1:28">
      <c r="A330" s="656" t="s">
        <v>15740</v>
      </c>
      <c r="B330" s="656" t="s">
        <v>15741</v>
      </c>
      <c r="C330" s="656" t="s">
        <v>20</v>
      </c>
      <c r="D330" s="656" t="s">
        <v>16345</v>
      </c>
      <c r="E330" s="656" t="s">
        <v>14279</v>
      </c>
      <c r="F330" s="1447"/>
      <c r="G330" s="656" t="s">
        <v>16346</v>
      </c>
      <c r="H330" s="656" t="s">
        <v>1777</v>
      </c>
      <c r="I330" s="656"/>
      <c r="J330" s="656"/>
      <c r="K330" s="656"/>
      <c r="L330" s="656" t="s">
        <v>16345</v>
      </c>
      <c r="M330" s="656" t="s">
        <v>16344</v>
      </c>
      <c r="N330" s="656"/>
      <c r="O330" s="656" t="s">
        <v>6429</v>
      </c>
      <c r="P330" s="5"/>
      <c r="Q330" s="1447">
        <v>44309</v>
      </c>
      <c r="R330" s="656"/>
      <c r="S330" s="656" t="s">
        <v>3077</v>
      </c>
      <c r="T330" s="656"/>
      <c r="U330" s="656"/>
      <c r="V330" s="656"/>
      <c r="W330" s="656" t="s">
        <v>13051</v>
      </c>
      <c r="X330" s="656" t="s">
        <v>498</v>
      </c>
      <c r="Y330" s="656" t="s">
        <v>14278</v>
      </c>
      <c r="Z330" s="656">
        <v>44312.466122685182</v>
      </c>
      <c r="AA330" s="656" t="s">
        <v>14276</v>
      </c>
      <c r="AB330" s="656"/>
    </row>
    <row r="331" spans="1:28">
      <c r="A331" s="656" t="s">
        <v>15738</v>
      </c>
      <c r="B331" s="656" t="s">
        <v>15739</v>
      </c>
      <c r="C331" s="656" t="s">
        <v>21</v>
      </c>
      <c r="D331" s="656" t="s">
        <v>16000</v>
      </c>
      <c r="E331" s="656" t="s">
        <v>14279</v>
      </c>
      <c r="F331" s="1447"/>
      <c r="G331" s="656" t="s">
        <v>16001</v>
      </c>
      <c r="H331" s="656" t="s">
        <v>1777</v>
      </c>
      <c r="I331" s="656" t="s">
        <v>16002</v>
      </c>
      <c r="J331" s="656" t="s">
        <v>16000</v>
      </c>
      <c r="K331" s="656" t="s">
        <v>9774</v>
      </c>
      <c r="L331" s="656"/>
      <c r="M331" s="656" t="s">
        <v>16344</v>
      </c>
      <c r="N331" s="656"/>
      <c r="O331" s="656" t="s">
        <v>6429</v>
      </c>
      <c r="P331" s="5"/>
      <c r="Q331" s="1447">
        <v>44278</v>
      </c>
      <c r="R331" s="656"/>
      <c r="S331" s="656" t="s">
        <v>3077</v>
      </c>
      <c r="T331" s="656"/>
      <c r="U331" s="656"/>
      <c r="V331" s="656"/>
      <c r="W331" s="656" t="s">
        <v>13051</v>
      </c>
      <c r="X331" s="656" t="s">
        <v>498</v>
      </c>
      <c r="Y331" s="656" t="s">
        <v>14278</v>
      </c>
      <c r="Z331" s="656">
        <v>44305.527615740742</v>
      </c>
      <c r="AA331" s="656" t="s">
        <v>14335</v>
      </c>
      <c r="AB331" s="656"/>
    </row>
    <row r="332" spans="1:28">
      <c r="A332" s="656" t="s">
        <v>15738</v>
      </c>
      <c r="B332" s="656" t="s">
        <v>15739</v>
      </c>
      <c r="C332" s="656" t="s">
        <v>20</v>
      </c>
      <c r="D332" s="656" t="s">
        <v>16347</v>
      </c>
      <c r="E332" s="656" t="s">
        <v>14279</v>
      </c>
      <c r="F332" s="1447"/>
      <c r="G332" s="656" t="s">
        <v>16348</v>
      </c>
      <c r="H332" s="656" t="s">
        <v>1777</v>
      </c>
      <c r="I332" s="656"/>
      <c r="J332" s="656"/>
      <c r="K332" s="656"/>
      <c r="L332" s="656" t="s">
        <v>16347</v>
      </c>
      <c r="M332" s="656" t="s">
        <v>16344</v>
      </c>
      <c r="N332" s="656"/>
      <c r="O332" s="656" t="s">
        <v>6429</v>
      </c>
      <c r="P332" s="5"/>
      <c r="Q332" s="1447">
        <v>44309</v>
      </c>
      <c r="R332" s="656"/>
      <c r="S332" s="656" t="s">
        <v>3077</v>
      </c>
      <c r="T332" s="656"/>
      <c r="U332" s="656"/>
      <c r="V332" s="656"/>
      <c r="W332" s="656" t="s">
        <v>13051</v>
      </c>
      <c r="X332" s="656" t="s">
        <v>498</v>
      </c>
      <c r="Y332" s="656" t="s">
        <v>14278</v>
      </c>
      <c r="Z332" s="656">
        <v>44312.465300925927</v>
      </c>
      <c r="AA332" s="656" t="s">
        <v>14276</v>
      </c>
      <c r="AB332" s="656"/>
    </row>
    <row r="333" spans="1:28">
      <c r="A333" s="656" t="s">
        <v>15736</v>
      </c>
      <c r="B333" s="656" t="s">
        <v>15737</v>
      </c>
      <c r="C333" s="656" t="s">
        <v>21</v>
      </c>
      <c r="D333" s="656" t="s">
        <v>16003</v>
      </c>
      <c r="E333" s="656" t="s">
        <v>14279</v>
      </c>
      <c r="F333" s="1447"/>
      <c r="G333" s="656" t="s">
        <v>16004</v>
      </c>
      <c r="H333" s="656" t="s">
        <v>1777</v>
      </c>
      <c r="I333" s="656" t="s">
        <v>16005</v>
      </c>
      <c r="J333" s="656" t="s">
        <v>16003</v>
      </c>
      <c r="K333" s="656" t="s">
        <v>9774</v>
      </c>
      <c r="L333" s="656"/>
      <c r="M333" s="656" t="s">
        <v>16344</v>
      </c>
      <c r="N333" s="656"/>
      <c r="O333" s="656" t="s">
        <v>6429</v>
      </c>
      <c r="P333" s="5"/>
      <c r="Q333" s="1447">
        <v>44278</v>
      </c>
      <c r="R333" s="656"/>
      <c r="S333" s="656" t="s">
        <v>3077</v>
      </c>
      <c r="T333" s="656"/>
      <c r="U333" s="656"/>
      <c r="V333" s="656"/>
      <c r="W333" s="656" t="s">
        <v>13051</v>
      </c>
      <c r="X333" s="656" t="s">
        <v>498</v>
      </c>
      <c r="Y333" s="656" t="s">
        <v>14278</v>
      </c>
      <c r="Z333" s="656">
        <v>44305.527615740742</v>
      </c>
      <c r="AA333" s="656" t="s">
        <v>14335</v>
      </c>
      <c r="AB333" s="656"/>
    </row>
    <row r="334" spans="1:28">
      <c r="A334" s="656" t="s">
        <v>15736</v>
      </c>
      <c r="B334" s="656" t="s">
        <v>15737</v>
      </c>
      <c r="C334" s="656" t="s">
        <v>20</v>
      </c>
      <c r="D334" s="656" t="s">
        <v>16349</v>
      </c>
      <c r="E334" s="656" t="s">
        <v>14279</v>
      </c>
      <c r="F334" s="1447"/>
      <c r="G334" s="656" t="s">
        <v>16350</v>
      </c>
      <c r="H334" s="656" t="s">
        <v>1777</v>
      </c>
      <c r="I334" s="656"/>
      <c r="J334" s="656"/>
      <c r="K334" s="656"/>
      <c r="L334" s="656" t="s">
        <v>16349</v>
      </c>
      <c r="M334" s="656" t="s">
        <v>16344</v>
      </c>
      <c r="N334" s="656"/>
      <c r="O334" s="656" t="s">
        <v>6429</v>
      </c>
      <c r="P334" s="5"/>
      <c r="Q334" s="1447">
        <v>44309</v>
      </c>
      <c r="R334" s="656"/>
      <c r="S334" s="656" t="s">
        <v>3077</v>
      </c>
      <c r="T334" s="656"/>
      <c r="U334" s="656"/>
      <c r="V334" s="656"/>
      <c r="W334" s="656" t="s">
        <v>13051</v>
      </c>
      <c r="X334" s="656" t="s">
        <v>498</v>
      </c>
      <c r="Y334" s="656" t="s">
        <v>14278</v>
      </c>
      <c r="Z334" s="656">
        <v>44312.464537037034</v>
      </c>
      <c r="AA334" s="656" t="s">
        <v>14276</v>
      </c>
      <c r="AB334" s="656"/>
    </row>
    <row r="335" spans="1:28">
      <c r="A335" s="656" t="s">
        <v>15470</v>
      </c>
      <c r="B335" s="656" t="s">
        <v>15471</v>
      </c>
      <c r="C335" s="656" t="s">
        <v>20</v>
      </c>
      <c r="D335" s="656" t="s">
        <v>15472</v>
      </c>
      <c r="E335" s="656" t="s">
        <v>14279</v>
      </c>
      <c r="F335" s="1447"/>
      <c r="G335" s="656" t="s">
        <v>15471</v>
      </c>
      <c r="H335" s="656" t="s">
        <v>1777</v>
      </c>
      <c r="I335" s="656"/>
      <c r="J335" s="656"/>
      <c r="K335" s="656"/>
      <c r="L335" s="656" t="s">
        <v>15472</v>
      </c>
      <c r="M335" s="656" t="s">
        <v>16351</v>
      </c>
      <c r="N335" s="656"/>
      <c r="O335" s="656" t="s">
        <v>6429</v>
      </c>
      <c r="P335" s="5"/>
      <c r="Q335" s="1447">
        <v>44237</v>
      </c>
      <c r="R335" s="656"/>
      <c r="S335" s="656" t="s">
        <v>465</v>
      </c>
      <c r="T335" s="656"/>
      <c r="U335" s="656"/>
      <c r="V335" s="656"/>
      <c r="W335" s="656" t="s">
        <v>13051</v>
      </c>
      <c r="X335" s="656" t="s">
        <v>498</v>
      </c>
      <c r="Y335" s="656" t="s">
        <v>14278</v>
      </c>
      <c r="Z335" s="656">
        <v>44305.527314814812</v>
      </c>
      <c r="AA335" s="656" t="s">
        <v>14335</v>
      </c>
      <c r="AB335" s="656"/>
    </row>
    <row r="336" spans="1:28">
      <c r="A336" s="656" t="s">
        <v>15470</v>
      </c>
      <c r="B336" s="656" t="s">
        <v>15471</v>
      </c>
      <c r="C336" s="656" t="s">
        <v>21</v>
      </c>
      <c r="D336" s="656" t="s">
        <v>16352</v>
      </c>
      <c r="E336" s="656" t="s">
        <v>14279</v>
      </c>
      <c r="F336" s="1447"/>
      <c r="G336" s="656" t="s">
        <v>16353</v>
      </c>
      <c r="H336" s="656" t="s">
        <v>1777</v>
      </c>
      <c r="I336" s="656" t="s">
        <v>16352</v>
      </c>
      <c r="J336" s="656" t="s">
        <v>16352</v>
      </c>
      <c r="K336" s="656" t="s">
        <v>9774</v>
      </c>
      <c r="L336" s="656"/>
      <c r="M336" s="656" t="s">
        <v>16351</v>
      </c>
      <c r="N336" s="656"/>
      <c r="O336" s="656" t="s">
        <v>6429</v>
      </c>
      <c r="P336" s="5"/>
      <c r="Q336" s="1447">
        <v>44294</v>
      </c>
      <c r="R336" s="656"/>
      <c r="S336" s="656" t="s">
        <v>3077</v>
      </c>
      <c r="T336" s="656"/>
      <c r="U336" s="656"/>
      <c r="V336" s="656"/>
      <c r="W336" s="656" t="s">
        <v>13051</v>
      </c>
      <c r="X336" s="656" t="s">
        <v>498</v>
      </c>
      <c r="Y336" s="656" t="s">
        <v>14278</v>
      </c>
      <c r="Z336" s="656">
        <v>44305.527766203704</v>
      </c>
      <c r="AA336" s="656" t="s">
        <v>14335</v>
      </c>
      <c r="AB336" s="656"/>
    </row>
    <row r="337" spans="1:28">
      <c r="A337" s="656" t="s">
        <v>9623</v>
      </c>
      <c r="B337" s="656" t="s">
        <v>9622</v>
      </c>
      <c r="C337" s="656" t="s">
        <v>21</v>
      </c>
      <c r="D337" s="656" t="s">
        <v>12542</v>
      </c>
      <c r="E337" s="656" t="s">
        <v>14279</v>
      </c>
      <c r="F337" s="1447"/>
      <c r="G337" s="656" t="s">
        <v>10362</v>
      </c>
      <c r="H337" s="656" t="s">
        <v>1777</v>
      </c>
      <c r="I337" s="656" t="s">
        <v>14373</v>
      </c>
      <c r="J337" s="656" t="s">
        <v>12542</v>
      </c>
      <c r="K337" s="656" t="s">
        <v>9774</v>
      </c>
      <c r="L337" s="656"/>
      <c r="M337" s="656" t="s">
        <v>16354</v>
      </c>
      <c r="N337" s="656"/>
      <c r="O337" s="656" t="s">
        <v>6429</v>
      </c>
      <c r="P337" s="5"/>
      <c r="Q337" s="1447">
        <v>44083</v>
      </c>
      <c r="R337" s="656"/>
      <c r="S337" s="656" t="s">
        <v>465</v>
      </c>
      <c r="T337" s="656"/>
      <c r="U337" s="656"/>
      <c r="V337" s="656"/>
      <c r="W337" s="656" t="s">
        <v>13051</v>
      </c>
      <c r="X337" s="656" t="s">
        <v>498</v>
      </c>
      <c r="Y337" s="656" t="s">
        <v>14278</v>
      </c>
      <c r="Z337" s="656">
        <v>44305.525856481479</v>
      </c>
      <c r="AA337" s="656" t="s">
        <v>14335</v>
      </c>
      <c r="AB337" s="656"/>
    </row>
    <row r="338" spans="1:28">
      <c r="A338" s="656" t="s">
        <v>9623</v>
      </c>
      <c r="B338" s="656" t="s">
        <v>9622</v>
      </c>
      <c r="C338" s="656" t="s">
        <v>20</v>
      </c>
      <c r="D338" s="656" t="s">
        <v>15369</v>
      </c>
      <c r="E338" s="656" t="s">
        <v>14275</v>
      </c>
      <c r="F338" s="1447">
        <v>44204</v>
      </c>
      <c r="G338" s="656" t="s">
        <v>10362</v>
      </c>
      <c r="H338" s="656" t="s">
        <v>1777</v>
      </c>
      <c r="I338" s="656"/>
      <c r="J338" s="656"/>
      <c r="K338" s="656"/>
      <c r="L338" s="656" t="s">
        <v>15369</v>
      </c>
      <c r="M338" s="656" t="s">
        <v>16339</v>
      </c>
      <c r="N338" s="656"/>
      <c r="O338" s="656" t="s">
        <v>6429</v>
      </c>
      <c r="P338" s="5" t="s">
        <v>15370</v>
      </c>
      <c r="Q338" s="1447">
        <v>44033</v>
      </c>
      <c r="R338" s="656"/>
      <c r="S338" s="656" t="s">
        <v>465</v>
      </c>
      <c r="T338" s="656"/>
      <c r="U338" s="656"/>
      <c r="V338" s="656"/>
      <c r="W338" s="656" t="s">
        <v>13051</v>
      </c>
      <c r="X338" s="656" t="s">
        <v>498</v>
      </c>
      <c r="Y338" s="656" t="s">
        <v>14278</v>
      </c>
      <c r="Z338" s="656">
        <v>44305.525868055556</v>
      </c>
      <c r="AA338" s="656" t="s">
        <v>14335</v>
      </c>
      <c r="AB338" s="656"/>
    </row>
    <row r="339" spans="1:28">
      <c r="A339" s="656" t="s">
        <v>9623</v>
      </c>
      <c r="B339" s="656" t="s">
        <v>9622</v>
      </c>
      <c r="C339" s="656" t="s">
        <v>20</v>
      </c>
      <c r="D339" s="656" t="s">
        <v>12486</v>
      </c>
      <c r="E339" s="656" t="s">
        <v>14279</v>
      </c>
      <c r="F339" s="1447"/>
      <c r="G339" s="656" t="s">
        <v>10362</v>
      </c>
      <c r="H339" s="656" t="s">
        <v>1777</v>
      </c>
      <c r="I339" s="656"/>
      <c r="J339" s="656"/>
      <c r="K339" s="656"/>
      <c r="L339" s="656" t="s">
        <v>12486</v>
      </c>
      <c r="M339" s="656" t="s">
        <v>16354</v>
      </c>
      <c r="N339" s="656"/>
      <c r="O339" s="656" t="s">
        <v>6429</v>
      </c>
      <c r="P339" s="5"/>
      <c r="Q339" s="1447">
        <v>44062</v>
      </c>
      <c r="R339" s="656"/>
      <c r="S339" s="656" t="s">
        <v>465</v>
      </c>
      <c r="T339" s="656"/>
      <c r="U339" s="656"/>
      <c r="V339" s="656"/>
      <c r="W339" s="656" t="s">
        <v>13051</v>
      </c>
      <c r="X339" s="656" t="s">
        <v>498</v>
      </c>
      <c r="Y339" s="656" t="s">
        <v>14278</v>
      </c>
      <c r="Z339" s="656">
        <v>44305.525856481479</v>
      </c>
      <c r="AA339" s="656" t="s">
        <v>14335</v>
      </c>
      <c r="AB339" s="656"/>
    </row>
    <row r="340" spans="1:28">
      <c r="A340" s="656" t="s">
        <v>8865</v>
      </c>
      <c r="B340" s="656" t="s">
        <v>8828</v>
      </c>
      <c r="C340" s="656" t="s">
        <v>20</v>
      </c>
      <c r="D340" s="656" t="s">
        <v>10232</v>
      </c>
      <c r="E340" s="656" t="s">
        <v>14279</v>
      </c>
      <c r="F340" s="1447"/>
      <c r="G340" s="656" t="s">
        <v>10231</v>
      </c>
      <c r="H340" s="656" t="s">
        <v>1777</v>
      </c>
      <c r="I340" s="656"/>
      <c r="J340" s="656"/>
      <c r="K340" s="656"/>
      <c r="L340" s="656" t="s">
        <v>10232</v>
      </c>
      <c r="M340" s="656" t="s">
        <v>16200</v>
      </c>
      <c r="N340" s="656"/>
      <c r="O340" s="656" t="s">
        <v>6421</v>
      </c>
      <c r="P340" s="5"/>
      <c r="Q340" s="1447">
        <v>43913</v>
      </c>
      <c r="R340" s="656"/>
      <c r="S340" s="656" t="s">
        <v>462</v>
      </c>
      <c r="T340" s="656"/>
      <c r="U340" s="656"/>
      <c r="V340" s="656"/>
      <c r="W340" s="656" t="s">
        <v>13051</v>
      </c>
      <c r="X340" s="656" t="s">
        <v>498</v>
      </c>
      <c r="Y340" s="656" t="s">
        <v>14278</v>
      </c>
      <c r="Z340" s="656">
        <v>44305.52584490741</v>
      </c>
      <c r="AA340" s="656" t="s">
        <v>14335</v>
      </c>
      <c r="AB340" s="656"/>
    </row>
    <row r="341" spans="1:28">
      <c r="A341" s="656" t="s">
        <v>8866</v>
      </c>
      <c r="B341" s="656" t="s">
        <v>8857</v>
      </c>
      <c r="C341" s="656" t="s">
        <v>21</v>
      </c>
      <c r="D341" s="656" t="s">
        <v>10230</v>
      </c>
      <c r="E341" s="656" t="s">
        <v>14313</v>
      </c>
      <c r="F341" s="1447"/>
      <c r="G341" s="656" t="s">
        <v>10150</v>
      </c>
      <c r="H341" s="656" t="s">
        <v>1777</v>
      </c>
      <c r="I341" s="656" t="s">
        <v>14376</v>
      </c>
      <c r="J341" s="656" t="s">
        <v>10230</v>
      </c>
      <c r="K341" s="656" t="s">
        <v>9774</v>
      </c>
      <c r="L341" s="656"/>
      <c r="M341" s="656" t="s">
        <v>16196</v>
      </c>
      <c r="N341" s="656"/>
      <c r="O341" s="656" t="s">
        <v>6395</v>
      </c>
      <c r="P341" s="5"/>
      <c r="Q341" s="1447">
        <v>43913</v>
      </c>
      <c r="R341" s="656">
        <v>44149</v>
      </c>
      <c r="S341" s="656" t="s">
        <v>469</v>
      </c>
      <c r="T341" s="656"/>
      <c r="U341" s="656"/>
      <c r="V341" s="656"/>
      <c r="W341" s="656" t="s">
        <v>13051</v>
      </c>
      <c r="X341" s="656" t="s">
        <v>498</v>
      </c>
      <c r="Y341" s="656" t="s">
        <v>14278</v>
      </c>
      <c r="Z341" s="656">
        <v>44305.525833333333</v>
      </c>
      <c r="AA341" s="656" t="s">
        <v>14335</v>
      </c>
      <c r="AB341" s="656"/>
    </row>
    <row r="342" spans="1:28">
      <c r="A342" s="656" t="s">
        <v>8866</v>
      </c>
      <c r="B342" s="656" t="s">
        <v>8857</v>
      </c>
      <c r="C342" s="656" t="s">
        <v>20</v>
      </c>
      <c r="D342" s="656" t="s">
        <v>10151</v>
      </c>
      <c r="E342" s="656" t="s">
        <v>14275</v>
      </c>
      <c r="F342" s="1447">
        <v>44306</v>
      </c>
      <c r="G342" s="656" t="s">
        <v>10150</v>
      </c>
      <c r="H342" s="656" t="s">
        <v>1777</v>
      </c>
      <c r="I342" s="656"/>
      <c r="J342" s="656"/>
      <c r="K342" s="656"/>
      <c r="L342" s="656" t="s">
        <v>10151</v>
      </c>
      <c r="M342" s="656" t="s">
        <v>16196</v>
      </c>
      <c r="N342" s="656"/>
      <c r="O342" s="656" t="s">
        <v>6395</v>
      </c>
      <c r="P342" s="5" t="s">
        <v>14374</v>
      </c>
      <c r="Q342" s="1447">
        <v>43818</v>
      </c>
      <c r="R342" s="656"/>
      <c r="S342" s="656" t="s">
        <v>469</v>
      </c>
      <c r="T342" s="656"/>
      <c r="U342" s="656"/>
      <c r="V342" s="656"/>
      <c r="W342" s="656" t="s">
        <v>13051</v>
      </c>
      <c r="X342" s="656" t="s">
        <v>498</v>
      </c>
      <c r="Y342" s="656" t="s">
        <v>14278</v>
      </c>
      <c r="Z342" s="656">
        <v>44307.314351851855</v>
      </c>
      <c r="AA342" s="656" t="s">
        <v>14276</v>
      </c>
      <c r="AB342" s="656"/>
    </row>
    <row r="343" spans="1:28">
      <c r="A343" s="656" t="s">
        <v>8866</v>
      </c>
      <c r="B343" s="656" t="s">
        <v>8857</v>
      </c>
      <c r="C343" s="656" t="s">
        <v>20</v>
      </c>
      <c r="D343" s="656" t="s">
        <v>10152</v>
      </c>
      <c r="E343" s="656" t="s">
        <v>14275</v>
      </c>
      <c r="F343" s="1447">
        <v>44306</v>
      </c>
      <c r="G343" s="656" t="s">
        <v>10150</v>
      </c>
      <c r="H343" s="656" t="s">
        <v>1777</v>
      </c>
      <c r="I343" s="656"/>
      <c r="J343" s="656"/>
      <c r="K343" s="656"/>
      <c r="L343" s="656" t="s">
        <v>10152</v>
      </c>
      <c r="M343" s="656" t="s">
        <v>16196</v>
      </c>
      <c r="N343" s="656"/>
      <c r="O343" s="656" t="s">
        <v>6395</v>
      </c>
      <c r="P343" s="5" t="s">
        <v>14375</v>
      </c>
      <c r="Q343" s="1447">
        <v>43818</v>
      </c>
      <c r="R343" s="656"/>
      <c r="S343" s="656" t="s">
        <v>469</v>
      </c>
      <c r="T343" s="656"/>
      <c r="U343" s="656"/>
      <c r="V343" s="656"/>
      <c r="W343" s="656" t="s">
        <v>13051</v>
      </c>
      <c r="X343" s="656" t="s">
        <v>498</v>
      </c>
      <c r="Y343" s="656" t="s">
        <v>14278</v>
      </c>
      <c r="Z343" s="656">
        <v>44307.314571759256</v>
      </c>
      <c r="AA343" s="656" t="s">
        <v>14276</v>
      </c>
      <c r="AB343" s="656"/>
    </row>
    <row r="344" spans="1:28">
      <c r="A344" s="656" t="s">
        <v>8859</v>
      </c>
      <c r="B344" s="656" t="s">
        <v>8858</v>
      </c>
      <c r="C344" s="656" t="s">
        <v>20</v>
      </c>
      <c r="D344" s="656" t="s">
        <v>10114</v>
      </c>
      <c r="E344" s="656" t="s">
        <v>14275</v>
      </c>
      <c r="F344" s="1447">
        <v>44140</v>
      </c>
      <c r="G344" s="656" t="s">
        <v>10113</v>
      </c>
      <c r="H344" s="656" t="s">
        <v>1777</v>
      </c>
      <c r="I344" s="656"/>
      <c r="J344" s="656"/>
      <c r="K344" s="656"/>
      <c r="L344" s="656" t="s">
        <v>10114</v>
      </c>
      <c r="M344" s="656" t="s">
        <v>16196</v>
      </c>
      <c r="N344" s="656"/>
      <c r="O344" s="656" t="s">
        <v>6387</v>
      </c>
      <c r="P344" s="5"/>
      <c r="Q344" s="1447">
        <v>43766</v>
      </c>
      <c r="R344" s="656"/>
      <c r="S344" s="656" t="s">
        <v>497</v>
      </c>
      <c r="T344" s="656"/>
      <c r="U344" s="656"/>
      <c r="V344" s="656"/>
      <c r="W344" s="656" t="s">
        <v>13051</v>
      </c>
      <c r="X344" s="656" t="s">
        <v>498</v>
      </c>
      <c r="Y344" s="656" t="s">
        <v>14278</v>
      </c>
      <c r="Z344" s="656">
        <v>44305.525821759256</v>
      </c>
      <c r="AA344" s="656" t="s">
        <v>14335</v>
      </c>
      <c r="AB344" s="656"/>
    </row>
    <row r="345" spans="1:28">
      <c r="A345" s="656" t="s">
        <v>8849</v>
      </c>
      <c r="B345" s="656" t="s">
        <v>8838</v>
      </c>
      <c r="C345" s="656" t="s">
        <v>21</v>
      </c>
      <c r="D345" s="656" t="s">
        <v>10268</v>
      </c>
      <c r="E345" s="656" t="s">
        <v>14279</v>
      </c>
      <c r="F345" s="1447"/>
      <c r="G345" s="656" t="s">
        <v>10165</v>
      </c>
      <c r="H345" s="656" t="s">
        <v>1777</v>
      </c>
      <c r="I345" s="656" t="s">
        <v>14377</v>
      </c>
      <c r="J345" s="656" t="s">
        <v>10268</v>
      </c>
      <c r="K345" s="656" t="s">
        <v>9774</v>
      </c>
      <c r="L345" s="656"/>
      <c r="M345" s="656" t="s">
        <v>16196</v>
      </c>
      <c r="N345" s="656"/>
      <c r="O345" s="656" t="s">
        <v>6395</v>
      </c>
      <c r="P345" s="5"/>
      <c r="Q345" s="1447">
        <v>43958</v>
      </c>
      <c r="R345" s="656"/>
      <c r="S345" s="656" t="s">
        <v>472</v>
      </c>
      <c r="T345" s="656"/>
      <c r="U345" s="656"/>
      <c r="V345" s="656"/>
      <c r="W345" s="656" t="s">
        <v>13051</v>
      </c>
      <c r="X345" s="656" t="s">
        <v>498</v>
      </c>
      <c r="Y345" s="656" t="s">
        <v>14278</v>
      </c>
      <c r="Z345" s="656">
        <v>44305.525810185187</v>
      </c>
      <c r="AA345" s="656" t="s">
        <v>14335</v>
      </c>
      <c r="AB345" s="656"/>
    </row>
    <row r="346" spans="1:28">
      <c r="A346" s="656" t="s">
        <v>8849</v>
      </c>
      <c r="B346" s="656" t="s">
        <v>8838</v>
      </c>
      <c r="C346" s="656" t="s">
        <v>20</v>
      </c>
      <c r="D346" s="656" t="s">
        <v>10166</v>
      </c>
      <c r="E346" s="656" t="s">
        <v>14279</v>
      </c>
      <c r="F346" s="1447"/>
      <c r="G346" s="656" t="s">
        <v>10165</v>
      </c>
      <c r="H346" s="656" t="s">
        <v>1777</v>
      </c>
      <c r="I346" s="656"/>
      <c r="J346" s="656"/>
      <c r="K346" s="656"/>
      <c r="L346" s="656" t="s">
        <v>10166</v>
      </c>
      <c r="M346" s="656" t="s">
        <v>16196</v>
      </c>
      <c r="N346" s="656"/>
      <c r="O346" s="656" t="s">
        <v>6395</v>
      </c>
      <c r="P346" s="5" t="s">
        <v>14325</v>
      </c>
      <c r="Q346" s="1447">
        <v>43832</v>
      </c>
      <c r="R346" s="656"/>
      <c r="S346" s="656" t="s">
        <v>472</v>
      </c>
      <c r="T346" s="656"/>
      <c r="U346" s="656"/>
      <c r="V346" s="656"/>
      <c r="W346" s="656" t="s">
        <v>13051</v>
      </c>
      <c r="X346" s="656" t="s">
        <v>498</v>
      </c>
      <c r="Y346" s="656" t="s">
        <v>14278</v>
      </c>
      <c r="Z346" s="656">
        <v>44305.525810185187</v>
      </c>
      <c r="AA346" s="656" t="s">
        <v>14335</v>
      </c>
      <c r="AB346" s="656"/>
    </row>
    <row r="347" spans="1:28">
      <c r="A347" s="656" t="s">
        <v>8849</v>
      </c>
      <c r="B347" s="656" t="s">
        <v>8838</v>
      </c>
      <c r="C347" s="656" t="s">
        <v>20</v>
      </c>
      <c r="D347" s="656" t="s">
        <v>10167</v>
      </c>
      <c r="E347" s="656" t="s">
        <v>14279</v>
      </c>
      <c r="F347" s="1447"/>
      <c r="G347" s="656" t="s">
        <v>10165</v>
      </c>
      <c r="H347" s="656" t="s">
        <v>1777</v>
      </c>
      <c r="I347" s="656"/>
      <c r="J347" s="656"/>
      <c r="K347" s="656"/>
      <c r="L347" s="656" t="s">
        <v>10167</v>
      </c>
      <c r="M347" s="656" t="s">
        <v>16196</v>
      </c>
      <c r="N347" s="656"/>
      <c r="O347" s="656" t="s">
        <v>6395</v>
      </c>
      <c r="P347" s="5" t="s">
        <v>14326</v>
      </c>
      <c r="Q347" s="1447">
        <v>43832</v>
      </c>
      <c r="R347" s="656"/>
      <c r="S347" s="656" t="s">
        <v>472</v>
      </c>
      <c r="T347" s="656"/>
      <c r="U347" s="656"/>
      <c r="V347" s="656"/>
      <c r="W347" s="656" t="s">
        <v>13051</v>
      </c>
      <c r="X347" s="656" t="s">
        <v>498</v>
      </c>
      <c r="Y347" s="656" t="s">
        <v>14278</v>
      </c>
      <c r="Z347" s="656">
        <v>44305.525821759256</v>
      </c>
      <c r="AA347" s="656" t="s">
        <v>14335</v>
      </c>
      <c r="AB347" s="656"/>
    </row>
    <row r="348" spans="1:28">
      <c r="A348" s="656" t="s">
        <v>9020</v>
      </c>
      <c r="B348" s="656" t="s">
        <v>13952</v>
      </c>
      <c r="C348" s="656" t="s">
        <v>20</v>
      </c>
      <c r="D348" s="656" t="s">
        <v>16355</v>
      </c>
      <c r="E348" s="656" t="s">
        <v>14279</v>
      </c>
      <c r="F348" s="1447"/>
      <c r="G348" s="656" t="s">
        <v>16356</v>
      </c>
      <c r="H348" s="656" t="s">
        <v>1777</v>
      </c>
      <c r="I348" s="656"/>
      <c r="J348" s="656"/>
      <c r="K348" s="656"/>
      <c r="L348" s="656" t="s">
        <v>16355</v>
      </c>
      <c r="M348" s="656" t="s">
        <v>16357</v>
      </c>
      <c r="N348" s="656"/>
      <c r="O348" s="656" t="s">
        <v>6427</v>
      </c>
      <c r="P348" s="5"/>
      <c r="Q348" s="1447">
        <v>44319</v>
      </c>
      <c r="R348" s="656"/>
      <c r="S348" s="656" t="s">
        <v>8807</v>
      </c>
      <c r="T348" s="656"/>
      <c r="U348" s="656"/>
      <c r="V348" s="656"/>
      <c r="W348" s="656" t="s">
        <v>13051</v>
      </c>
      <c r="X348" s="656" t="s">
        <v>498</v>
      </c>
      <c r="Y348" s="656" t="s">
        <v>14278</v>
      </c>
      <c r="Z348" s="656">
        <v>44319.490439814814</v>
      </c>
      <c r="AA348" s="656" t="s">
        <v>14276</v>
      </c>
      <c r="AB348" s="656"/>
    </row>
    <row r="349" spans="1:28">
      <c r="A349" s="656" t="s">
        <v>8772</v>
      </c>
      <c r="B349" s="656" t="s">
        <v>8771</v>
      </c>
      <c r="C349" s="656" t="s">
        <v>21</v>
      </c>
      <c r="D349" s="656" t="s">
        <v>10123</v>
      </c>
      <c r="E349" s="656" t="s">
        <v>14275</v>
      </c>
      <c r="F349" s="1447">
        <v>44239</v>
      </c>
      <c r="G349" s="656" t="s">
        <v>15371</v>
      </c>
      <c r="H349" s="656" t="s">
        <v>1777</v>
      </c>
      <c r="I349" s="656" t="s">
        <v>14378</v>
      </c>
      <c r="J349" s="656" t="s">
        <v>10123</v>
      </c>
      <c r="K349" s="656" t="s">
        <v>9774</v>
      </c>
      <c r="L349" s="656"/>
      <c r="M349" s="656" t="s">
        <v>16196</v>
      </c>
      <c r="N349" s="656" t="s">
        <v>10124</v>
      </c>
      <c r="O349" s="656" t="s">
        <v>9772</v>
      </c>
      <c r="P349" s="5"/>
      <c r="Q349" s="1447">
        <v>43763</v>
      </c>
      <c r="R349" s="656">
        <v>44090</v>
      </c>
      <c r="S349" s="656" t="s">
        <v>475</v>
      </c>
      <c r="T349" s="656"/>
      <c r="U349" s="656"/>
      <c r="V349" s="656"/>
      <c r="W349" s="656" t="s">
        <v>13051</v>
      </c>
      <c r="X349" s="656" t="s">
        <v>498</v>
      </c>
      <c r="Y349" s="656" t="s">
        <v>14278</v>
      </c>
      <c r="Z349" s="656">
        <v>44305.52579861111</v>
      </c>
      <c r="AA349" s="656" t="s">
        <v>14335</v>
      </c>
      <c r="AB349" s="656"/>
    </row>
    <row r="350" spans="1:28">
      <c r="A350" s="656" t="s">
        <v>8774</v>
      </c>
      <c r="B350" s="656" t="s">
        <v>8773</v>
      </c>
      <c r="C350" s="656" t="s">
        <v>21</v>
      </c>
      <c r="D350" s="656" t="s">
        <v>10183</v>
      </c>
      <c r="E350" s="656" t="s">
        <v>14313</v>
      </c>
      <c r="F350" s="1447"/>
      <c r="G350" s="656" t="s">
        <v>10162</v>
      </c>
      <c r="H350" s="656" t="s">
        <v>1777</v>
      </c>
      <c r="I350" s="656" t="s">
        <v>14379</v>
      </c>
      <c r="J350" s="656" t="s">
        <v>10183</v>
      </c>
      <c r="K350" s="656" t="s">
        <v>9774</v>
      </c>
      <c r="L350" s="656"/>
      <c r="M350" s="656" t="s">
        <v>16196</v>
      </c>
      <c r="N350" s="656"/>
      <c r="O350" s="656" t="s">
        <v>6395</v>
      </c>
      <c r="P350" s="5"/>
      <c r="Q350" s="1447">
        <v>43861</v>
      </c>
      <c r="R350" s="656">
        <v>44165</v>
      </c>
      <c r="S350" s="656" t="s">
        <v>472</v>
      </c>
      <c r="T350" s="656"/>
      <c r="U350" s="656"/>
      <c r="V350" s="656"/>
      <c r="W350" s="656" t="s">
        <v>13051</v>
      </c>
      <c r="X350" s="656" t="s">
        <v>498</v>
      </c>
      <c r="Y350" s="656" t="s">
        <v>14278</v>
      </c>
      <c r="Z350" s="656">
        <v>44305.525787037041</v>
      </c>
      <c r="AA350" s="656" t="s">
        <v>14335</v>
      </c>
      <c r="AB350" s="656"/>
    </row>
    <row r="351" spans="1:28">
      <c r="A351" s="656" t="s">
        <v>8774</v>
      </c>
      <c r="B351" s="656" t="s">
        <v>8773</v>
      </c>
      <c r="C351" s="656" t="s">
        <v>20</v>
      </c>
      <c r="D351" s="656" t="s">
        <v>10163</v>
      </c>
      <c r="E351" s="656" t="s">
        <v>14279</v>
      </c>
      <c r="F351" s="1447"/>
      <c r="G351" s="656" t="s">
        <v>10162</v>
      </c>
      <c r="H351" s="656" t="s">
        <v>1777</v>
      </c>
      <c r="I351" s="656"/>
      <c r="J351" s="656"/>
      <c r="K351" s="656"/>
      <c r="L351" s="656" t="s">
        <v>10163</v>
      </c>
      <c r="M351" s="656" t="s">
        <v>16196</v>
      </c>
      <c r="N351" s="656"/>
      <c r="O351" s="656" t="s">
        <v>6395</v>
      </c>
      <c r="P351" s="5" t="s">
        <v>14325</v>
      </c>
      <c r="Q351" s="1447">
        <v>43832</v>
      </c>
      <c r="R351" s="656"/>
      <c r="S351" s="656" t="s">
        <v>472</v>
      </c>
      <c r="T351" s="656"/>
      <c r="U351" s="656"/>
      <c r="V351" s="656"/>
      <c r="W351" s="656" t="s">
        <v>13051</v>
      </c>
      <c r="X351" s="656" t="s">
        <v>498</v>
      </c>
      <c r="Y351" s="656" t="s">
        <v>14278</v>
      </c>
      <c r="Z351" s="656">
        <v>44305.52579861111</v>
      </c>
      <c r="AA351" s="656" t="s">
        <v>14335</v>
      </c>
      <c r="AB351" s="656"/>
    </row>
    <row r="352" spans="1:28">
      <c r="A352" s="656" t="s">
        <v>8774</v>
      </c>
      <c r="B352" s="656" t="s">
        <v>8773</v>
      </c>
      <c r="C352" s="656" t="s">
        <v>20</v>
      </c>
      <c r="D352" s="656" t="s">
        <v>10164</v>
      </c>
      <c r="E352" s="656" t="s">
        <v>14279</v>
      </c>
      <c r="F352" s="1447"/>
      <c r="G352" s="656" t="s">
        <v>10162</v>
      </c>
      <c r="H352" s="656" t="s">
        <v>1777</v>
      </c>
      <c r="I352" s="656"/>
      <c r="J352" s="656"/>
      <c r="K352" s="656"/>
      <c r="L352" s="656" t="s">
        <v>10164</v>
      </c>
      <c r="M352" s="656" t="s">
        <v>16196</v>
      </c>
      <c r="N352" s="656"/>
      <c r="O352" s="656" t="s">
        <v>6395</v>
      </c>
      <c r="P352" s="5" t="s">
        <v>14326</v>
      </c>
      <c r="Q352" s="1447">
        <v>43832</v>
      </c>
      <c r="R352" s="656"/>
      <c r="S352" s="656" t="s">
        <v>472</v>
      </c>
      <c r="T352" s="656"/>
      <c r="U352" s="656"/>
      <c r="V352" s="656"/>
      <c r="W352" s="656" t="s">
        <v>13051</v>
      </c>
      <c r="X352" s="656" t="s">
        <v>498</v>
      </c>
      <c r="Y352" s="656" t="s">
        <v>14278</v>
      </c>
      <c r="Z352" s="656">
        <v>44305.52579861111</v>
      </c>
      <c r="AA352" s="656" t="s">
        <v>14335</v>
      </c>
      <c r="AB352" s="656"/>
    </row>
    <row r="353" spans="1:28">
      <c r="A353" s="656" t="s">
        <v>8748</v>
      </c>
      <c r="B353" s="656" t="s">
        <v>8744</v>
      </c>
      <c r="C353" s="656" t="s">
        <v>20</v>
      </c>
      <c r="D353" s="656" t="s">
        <v>12649</v>
      </c>
      <c r="E353" s="656" t="s">
        <v>14279</v>
      </c>
      <c r="F353" s="1447"/>
      <c r="G353" s="656" t="s">
        <v>12650</v>
      </c>
      <c r="H353" s="656" t="s">
        <v>1777</v>
      </c>
      <c r="I353" s="656"/>
      <c r="J353" s="656"/>
      <c r="K353" s="656"/>
      <c r="L353" s="656" t="s">
        <v>12649</v>
      </c>
      <c r="M353" s="656" t="s">
        <v>16358</v>
      </c>
      <c r="N353" s="656"/>
      <c r="O353" s="656" t="s">
        <v>6395</v>
      </c>
      <c r="P353" s="5" t="s">
        <v>14380</v>
      </c>
      <c r="Q353" s="1447">
        <v>44090</v>
      </c>
      <c r="R353" s="656"/>
      <c r="S353" s="656" t="s">
        <v>8807</v>
      </c>
      <c r="T353" s="656"/>
      <c r="U353" s="656"/>
      <c r="V353" s="656"/>
      <c r="W353" s="656" t="s">
        <v>13051</v>
      </c>
      <c r="X353" s="656" t="s">
        <v>498</v>
      </c>
      <c r="Y353" s="656" t="s">
        <v>14278</v>
      </c>
      <c r="Z353" s="656">
        <v>44305.525787037041</v>
      </c>
      <c r="AA353" s="656" t="s">
        <v>14335</v>
      </c>
      <c r="AB353" s="656"/>
    </row>
    <row r="354" spans="1:28" ht="29">
      <c r="A354" s="656" t="s">
        <v>8748</v>
      </c>
      <c r="B354" s="656" t="s">
        <v>8744</v>
      </c>
      <c r="C354" s="656" t="s">
        <v>20</v>
      </c>
      <c r="D354" s="656" t="s">
        <v>16006</v>
      </c>
      <c r="E354" s="656" t="s">
        <v>14279</v>
      </c>
      <c r="F354" s="1447"/>
      <c r="G354" s="656" t="s">
        <v>16007</v>
      </c>
      <c r="H354" s="656" t="s">
        <v>1777</v>
      </c>
      <c r="I354" s="656"/>
      <c r="J354" s="656"/>
      <c r="K354" s="656"/>
      <c r="L354" s="656" t="s">
        <v>16006</v>
      </c>
      <c r="M354" s="656" t="s">
        <v>16262</v>
      </c>
      <c r="N354" s="656" t="s">
        <v>14557</v>
      </c>
      <c r="O354" s="656" t="s">
        <v>3606</v>
      </c>
      <c r="P354" s="5" t="s">
        <v>16048</v>
      </c>
      <c r="Q354" s="1447">
        <v>43881</v>
      </c>
      <c r="R354" s="656"/>
      <c r="S354" s="656" t="s">
        <v>8807</v>
      </c>
      <c r="T354" s="656"/>
      <c r="U354" s="656"/>
      <c r="V354" s="656"/>
      <c r="W354" s="656" t="s">
        <v>13051</v>
      </c>
      <c r="X354" s="656" t="s">
        <v>498</v>
      </c>
      <c r="Y354" s="656" t="s">
        <v>14278</v>
      </c>
      <c r="Z354" s="656">
        <v>44305.52753472222</v>
      </c>
      <c r="AA354" s="656" t="s">
        <v>14335</v>
      </c>
      <c r="AB354" s="656"/>
    </row>
    <row r="355" spans="1:28">
      <c r="A355" s="656" t="s">
        <v>8737</v>
      </c>
      <c r="B355" s="656" t="s">
        <v>988</v>
      </c>
      <c r="C355" s="656" t="s">
        <v>21</v>
      </c>
      <c r="D355" s="656" t="s">
        <v>10158</v>
      </c>
      <c r="E355" s="656" t="s">
        <v>14313</v>
      </c>
      <c r="F355" s="1447"/>
      <c r="G355" s="656" t="s">
        <v>10071</v>
      </c>
      <c r="H355" s="656" t="s">
        <v>1777</v>
      </c>
      <c r="I355" s="656" t="s">
        <v>14381</v>
      </c>
      <c r="J355" s="656" t="s">
        <v>10158</v>
      </c>
      <c r="K355" s="656" t="s">
        <v>9774</v>
      </c>
      <c r="L355" s="656"/>
      <c r="M355" s="656" t="s">
        <v>16196</v>
      </c>
      <c r="N355" s="656"/>
      <c r="O355" s="656" t="s">
        <v>6395</v>
      </c>
      <c r="P355" s="5"/>
      <c r="Q355" s="1447">
        <v>43822</v>
      </c>
      <c r="R355" s="656">
        <v>44286</v>
      </c>
      <c r="S355" s="656" t="s">
        <v>472</v>
      </c>
      <c r="T355" s="656"/>
      <c r="U355" s="656"/>
      <c r="V355" s="656"/>
      <c r="W355" s="656" t="s">
        <v>13051</v>
      </c>
      <c r="X355" s="656" t="s">
        <v>498</v>
      </c>
      <c r="Y355" s="656" t="s">
        <v>14278</v>
      </c>
      <c r="Z355" s="656">
        <v>44305.525775462964</v>
      </c>
      <c r="AA355" s="656" t="s">
        <v>14335</v>
      </c>
      <c r="AB355" s="656"/>
    </row>
    <row r="356" spans="1:28">
      <c r="A356" s="656" t="s">
        <v>8737</v>
      </c>
      <c r="B356" s="656" t="s">
        <v>988</v>
      </c>
      <c r="C356" s="656" t="s">
        <v>20</v>
      </c>
      <c r="D356" s="656" t="s">
        <v>10072</v>
      </c>
      <c r="E356" s="656" t="s">
        <v>14279</v>
      </c>
      <c r="F356" s="1447"/>
      <c r="G356" s="656" t="s">
        <v>10071</v>
      </c>
      <c r="H356" s="656" t="s">
        <v>1777</v>
      </c>
      <c r="I356" s="656"/>
      <c r="J356" s="656"/>
      <c r="K356" s="656"/>
      <c r="L356" s="656" t="s">
        <v>10072</v>
      </c>
      <c r="M356" s="656" t="s">
        <v>16196</v>
      </c>
      <c r="N356" s="656"/>
      <c r="O356" s="656" t="s">
        <v>6395</v>
      </c>
      <c r="P356" s="5"/>
      <c r="Q356" s="1447">
        <v>43738</v>
      </c>
      <c r="R356" s="656"/>
      <c r="S356" s="656" t="s">
        <v>472</v>
      </c>
      <c r="T356" s="656"/>
      <c r="U356" s="656"/>
      <c r="V356" s="656"/>
      <c r="W356" s="656" t="s">
        <v>13051</v>
      </c>
      <c r="X356" s="656" t="s">
        <v>498</v>
      </c>
      <c r="Y356" s="656" t="s">
        <v>14278</v>
      </c>
      <c r="Z356" s="656">
        <v>44305.525775462964</v>
      </c>
      <c r="AA356" s="656" t="s">
        <v>14335</v>
      </c>
      <c r="AB356" s="656"/>
    </row>
    <row r="357" spans="1:28">
      <c r="A357" s="656" t="s">
        <v>8699</v>
      </c>
      <c r="B357" s="656" t="s">
        <v>8698</v>
      </c>
      <c r="C357" s="656" t="s">
        <v>21</v>
      </c>
      <c r="D357" s="656" t="s">
        <v>12318</v>
      </c>
      <c r="E357" s="656" t="s">
        <v>14275</v>
      </c>
      <c r="F357" s="1447">
        <v>44173</v>
      </c>
      <c r="G357" s="656" t="s">
        <v>10168</v>
      </c>
      <c r="H357" s="656" t="s">
        <v>1777</v>
      </c>
      <c r="I357" s="656" t="s">
        <v>14382</v>
      </c>
      <c r="J357" s="656" t="s">
        <v>12318</v>
      </c>
      <c r="K357" s="656" t="s">
        <v>9774</v>
      </c>
      <c r="L357" s="656"/>
      <c r="M357" s="656" t="s">
        <v>16196</v>
      </c>
      <c r="N357" s="656"/>
      <c r="O357" s="656" t="s">
        <v>6387</v>
      </c>
      <c r="P357" s="5"/>
      <c r="Q357" s="1447">
        <v>43844</v>
      </c>
      <c r="R357" s="656">
        <v>44004</v>
      </c>
      <c r="S357" s="656" t="s">
        <v>462</v>
      </c>
      <c r="T357" s="656"/>
      <c r="U357" s="656"/>
      <c r="V357" s="656"/>
      <c r="W357" s="656" t="s">
        <v>13051</v>
      </c>
      <c r="X357" s="656" t="s">
        <v>498</v>
      </c>
      <c r="Y357" s="656" t="s">
        <v>14278</v>
      </c>
      <c r="Z357" s="656">
        <v>44305.525752314818</v>
      </c>
      <c r="AA357" s="656" t="s">
        <v>14335</v>
      </c>
      <c r="AB357" s="656"/>
    </row>
    <row r="358" spans="1:28">
      <c r="A358" s="656" t="s">
        <v>8699</v>
      </c>
      <c r="B358" s="656" t="s">
        <v>8698</v>
      </c>
      <c r="C358" s="656" t="s">
        <v>20</v>
      </c>
      <c r="D358" s="656" t="s">
        <v>10169</v>
      </c>
      <c r="E358" s="656" t="s">
        <v>14275</v>
      </c>
      <c r="F358" s="1447">
        <v>44147</v>
      </c>
      <c r="G358" s="656" t="s">
        <v>10168</v>
      </c>
      <c r="H358" s="656" t="s">
        <v>1777</v>
      </c>
      <c r="I358" s="656"/>
      <c r="J358" s="656"/>
      <c r="K358" s="656"/>
      <c r="L358" s="656" t="s">
        <v>10169</v>
      </c>
      <c r="M358" s="656" t="s">
        <v>16196</v>
      </c>
      <c r="N358" s="656"/>
      <c r="O358" s="656" t="s">
        <v>6387</v>
      </c>
      <c r="P358" s="5"/>
      <c r="Q358" s="1447">
        <v>43833</v>
      </c>
      <c r="R358" s="656"/>
      <c r="S358" s="656" t="s">
        <v>462</v>
      </c>
      <c r="T358" s="656"/>
      <c r="U358" s="656"/>
      <c r="V358" s="656"/>
      <c r="W358" s="656" t="s">
        <v>13051</v>
      </c>
      <c r="X358" s="656" t="s">
        <v>498</v>
      </c>
      <c r="Y358" s="656" t="s">
        <v>14278</v>
      </c>
      <c r="Z358" s="656">
        <v>44305.525763888887</v>
      </c>
      <c r="AA358" s="656" t="s">
        <v>14335</v>
      </c>
      <c r="AB358" s="656"/>
    </row>
    <row r="359" spans="1:28">
      <c r="A359" s="656" t="s">
        <v>8699</v>
      </c>
      <c r="B359" s="656" t="s">
        <v>8698</v>
      </c>
      <c r="C359" s="656" t="s">
        <v>20</v>
      </c>
      <c r="D359" s="656" t="s">
        <v>10170</v>
      </c>
      <c r="E359" s="656" t="s">
        <v>14275</v>
      </c>
      <c r="F359" s="1447">
        <v>44147</v>
      </c>
      <c r="G359" s="656" t="s">
        <v>10168</v>
      </c>
      <c r="H359" s="656" t="s">
        <v>1777</v>
      </c>
      <c r="I359" s="656"/>
      <c r="J359" s="656"/>
      <c r="K359" s="656"/>
      <c r="L359" s="656" t="s">
        <v>10170</v>
      </c>
      <c r="M359" s="656" t="s">
        <v>16196</v>
      </c>
      <c r="N359" s="656"/>
      <c r="O359" s="656" t="s">
        <v>6387</v>
      </c>
      <c r="P359" s="5"/>
      <c r="Q359" s="1447">
        <v>43833</v>
      </c>
      <c r="R359" s="656"/>
      <c r="S359" s="656" t="s">
        <v>462</v>
      </c>
      <c r="T359" s="656"/>
      <c r="U359" s="656"/>
      <c r="V359" s="656"/>
      <c r="W359" s="656" t="s">
        <v>13051</v>
      </c>
      <c r="X359" s="656" t="s">
        <v>498</v>
      </c>
      <c r="Y359" s="656" t="s">
        <v>14278</v>
      </c>
      <c r="Z359" s="656">
        <v>44305.525763888887</v>
      </c>
      <c r="AA359" s="656" t="s">
        <v>14335</v>
      </c>
      <c r="AB359" s="656"/>
    </row>
    <row r="360" spans="1:28">
      <c r="A360" s="656" t="s">
        <v>8632</v>
      </c>
      <c r="B360" s="656" t="s">
        <v>8631</v>
      </c>
      <c r="C360" s="656" t="s">
        <v>21</v>
      </c>
      <c r="D360" s="656" t="s">
        <v>13039</v>
      </c>
      <c r="E360" s="656" t="s">
        <v>14313</v>
      </c>
      <c r="F360" s="1447"/>
      <c r="G360" s="656" t="s">
        <v>10108</v>
      </c>
      <c r="H360" s="656" t="s">
        <v>1777</v>
      </c>
      <c r="I360" s="656" t="s">
        <v>14383</v>
      </c>
      <c r="J360" s="656" t="s">
        <v>13039</v>
      </c>
      <c r="K360" s="656" t="s">
        <v>9774</v>
      </c>
      <c r="L360" s="656"/>
      <c r="M360" s="656" t="s">
        <v>16196</v>
      </c>
      <c r="N360" s="656"/>
      <c r="O360" s="656" t="s">
        <v>6395</v>
      </c>
      <c r="P360" s="5"/>
      <c r="Q360" s="1447">
        <v>44182</v>
      </c>
      <c r="R360" s="656">
        <v>44273</v>
      </c>
      <c r="S360" s="656" t="s">
        <v>472</v>
      </c>
      <c r="T360" s="656"/>
      <c r="U360" s="656"/>
      <c r="V360" s="656"/>
      <c r="W360" s="656" t="s">
        <v>13051</v>
      </c>
      <c r="X360" s="656" t="s">
        <v>498</v>
      </c>
      <c r="Y360" s="656" t="s">
        <v>14278</v>
      </c>
      <c r="Z360" s="656">
        <v>44305.525740740741</v>
      </c>
      <c r="AA360" s="656" t="s">
        <v>14335</v>
      </c>
      <c r="AB360" s="656"/>
    </row>
    <row r="361" spans="1:28">
      <c r="A361" s="656" t="s">
        <v>8632</v>
      </c>
      <c r="B361" s="656" t="s">
        <v>8631</v>
      </c>
      <c r="C361" s="656" t="s">
        <v>20</v>
      </c>
      <c r="D361" s="656" t="s">
        <v>15372</v>
      </c>
      <c r="E361" s="656" t="s">
        <v>14279</v>
      </c>
      <c r="F361" s="1447"/>
      <c r="G361" s="656" t="s">
        <v>10108</v>
      </c>
      <c r="H361" s="656" t="s">
        <v>1777</v>
      </c>
      <c r="I361" s="656"/>
      <c r="J361" s="656"/>
      <c r="K361" s="656"/>
      <c r="L361" s="656" t="s">
        <v>15372</v>
      </c>
      <c r="M361" s="656" t="s">
        <v>16196</v>
      </c>
      <c r="N361" s="656"/>
      <c r="O361" s="656" t="s">
        <v>6395</v>
      </c>
      <c r="P361" s="5"/>
      <c r="Q361" s="1447">
        <v>43763</v>
      </c>
      <c r="R361" s="656"/>
      <c r="S361" s="656" t="s">
        <v>472</v>
      </c>
      <c r="T361" s="656"/>
      <c r="U361" s="656"/>
      <c r="V361" s="656"/>
      <c r="W361" s="656" t="s">
        <v>13051</v>
      </c>
      <c r="X361" s="656" t="s">
        <v>498</v>
      </c>
      <c r="Y361" s="656" t="s">
        <v>14278</v>
      </c>
      <c r="Z361" s="656">
        <v>44305.525752314818</v>
      </c>
      <c r="AA361" s="656" t="s">
        <v>14335</v>
      </c>
      <c r="AB361" s="656"/>
    </row>
    <row r="362" spans="1:28">
      <c r="A362" s="656" t="s">
        <v>15024</v>
      </c>
      <c r="B362" s="656" t="s">
        <v>15025</v>
      </c>
      <c r="C362" s="656" t="s">
        <v>20</v>
      </c>
      <c r="D362" s="656" t="s">
        <v>16008</v>
      </c>
      <c r="E362" s="656" t="s">
        <v>14279</v>
      </c>
      <c r="F362" s="1447"/>
      <c r="G362" s="656" t="s">
        <v>16009</v>
      </c>
      <c r="H362" s="656" t="s">
        <v>1777</v>
      </c>
      <c r="I362" s="656"/>
      <c r="J362" s="656"/>
      <c r="K362" s="656"/>
      <c r="L362" s="656" t="s">
        <v>16008</v>
      </c>
      <c r="M362" s="656" t="s">
        <v>16196</v>
      </c>
      <c r="N362" s="656"/>
      <c r="O362" s="656" t="s">
        <v>9714</v>
      </c>
      <c r="P362" s="5"/>
      <c r="Q362" s="1447">
        <v>44249</v>
      </c>
      <c r="R362" s="656"/>
      <c r="S362" s="656" t="s">
        <v>475</v>
      </c>
      <c r="T362" s="656"/>
      <c r="U362" s="656"/>
      <c r="V362" s="656"/>
      <c r="W362" s="656" t="s">
        <v>13051</v>
      </c>
      <c r="X362" s="656" t="s">
        <v>498</v>
      </c>
      <c r="Y362" s="656" t="s">
        <v>14278</v>
      </c>
      <c r="Z362" s="656">
        <v>44305.527430555558</v>
      </c>
      <c r="AA362" s="656" t="s">
        <v>14335</v>
      </c>
      <c r="AB362" s="656"/>
    </row>
    <row r="363" spans="1:28">
      <c r="A363" s="656" t="s">
        <v>8608</v>
      </c>
      <c r="B363" s="656" t="s">
        <v>8797</v>
      </c>
      <c r="C363" s="656" t="s">
        <v>20</v>
      </c>
      <c r="D363" s="656" t="s">
        <v>12268</v>
      </c>
      <c r="E363" s="656" t="s">
        <v>14275</v>
      </c>
      <c r="F363" s="1447">
        <v>43994</v>
      </c>
      <c r="G363" s="656" t="s">
        <v>12267</v>
      </c>
      <c r="H363" s="656" t="s">
        <v>1777</v>
      </c>
      <c r="I363" s="656"/>
      <c r="J363" s="656"/>
      <c r="K363" s="656"/>
      <c r="L363" s="656" t="s">
        <v>12268</v>
      </c>
      <c r="M363" s="656" t="s">
        <v>16200</v>
      </c>
      <c r="N363" s="656"/>
      <c r="O363" s="656" t="s">
        <v>6387</v>
      </c>
      <c r="P363" s="5"/>
      <c r="Q363" s="1447">
        <v>43763</v>
      </c>
      <c r="R363" s="656"/>
      <c r="S363" s="656" t="s">
        <v>462</v>
      </c>
      <c r="T363" s="656"/>
      <c r="U363" s="656"/>
      <c r="V363" s="656"/>
      <c r="W363" s="656" t="s">
        <v>13051</v>
      </c>
      <c r="X363" s="656" t="s">
        <v>498</v>
      </c>
      <c r="Y363" s="656" t="s">
        <v>14278</v>
      </c>
      <c r="Z363" s="656">
        <v>44305.525740740741</v>
      </c>
      <c r="AA363" s="656" t="s">
        <v>14335</v>
      </c>
      <c r="AB363" s="656"/>
    </row>
    <row r="364" spans="1:28">
      <c r="A364" s="656" t="s">
        <v>8556</v>
      </c>
      <c r="B364" s="656" t="s">
        <v>8555</v>
      </c>
      <c r="C364" s="656" t="s">
        <v>20</v>
      </c>
      <c r="D364" s="656" t="s">
        <v>12260</v>
      </c>
      <c r="E364" s="656" t="s">
        <v>14275</v>
      </c>
      <c r="F364" s="1447">
        <v>43818</v>
      </c>
      <c r="G364" s="656" t="s">
        <v>12259</v>
      </c>
      <c r="H364" s="656" t="s">
        <v>1777</v>
      </c>
      <c r="I364" s="656"/>
      <c r="J364" s="656"/>
      <c r="K364" s="656"/>
      <c r="L364" s="656" t="s">
        <v>12260</v>
      </c>
      <c r="M364" s="656" t="s">
        <v>16199</v>
      </c>
      <c r="N364" s="656"/>
      <c r="O364" s="656" t="s">
        <v>6387</v>
      </c>
      <c r="P364" s="5"/>
      <c r="Q364" s="1447">
        <v>43676</v>
      </c>
      <c r="R364" s="656"/>
      <c r="S364" s="656" t="s">
        <v>537</v>
      </c>
      <c r="T364" s="656"/>
      <c r="U364" s="656"/>
      <c r="V364" s="656"/>
      <c r="W364" s="656" t="s">
        <v>13051</v>
      </c>
      <c r="X364" s="656" t="s">
        <v>498</v>
      </c>
      <c r="Y364" s="656" t="s">
        <v>14278</v>
      </c>
      <c r="Z364" s="656">
        <v>44305.525729166664</v>
      </c>
      <c r="AA364" s="656" t="s">
        <v>14335</v>
      </c>
      <c r="AB364" s="656"/>
    </row>
    <row r="365" spans="1:28">
      <c r="A365" s="656" t="s">
        <v>8518</v>
      </c>
      <c r="B365" s="656" t="s">
        <v>8517</v>
      </c>
      <c r="C365" s="656" t="s">
        <v>20</v>
      </c>
      <c r="D365" s="656" t="s">
        <v>10147</v>
      </c>
      <c r="E365" s="656" t="s">
        <v>14279</v>
      </c>
      <c r="F365" s="1447"/>
      <c r="G365" s="656" t="s">
        <v>10146</v>
      </c>
      <c r="H365" s="656" t="s">
        <v>1777</v>
      </c>
      <c r="I365" s="656"/>
      <c r="J365" s="656"/>
      <c r="K365" s="656"/>
      <c r="L365" s="656" t="s">
        <v>10147</v>
      </c>
      <c r="M365" s="656" t="s">
        <v>16196</v>
      </c>
      <c r="N365" s="656"/>
      <c r="O365" s="656" t="s">
        <v>6395</v>
      </c>
      <c r="P365" s="5"/>
      <c r="Q365" s="1447">
        <v>43818</v>
      </c>
      <c r="R365" s="656"/>
      <c r="S365" s="656" t="s">
        <v>469</v>
      </c>
      <c r="T365" s="656"/>
      <c r="U365" s="656"/>
      <c r="V365" s="656"/>
      <c r="W365" s="656" t="s">
        <v>13051</v>
      </c>
      <c r="X365" s="656" t="s">
        <v>498</v>
      </c>
      <c r="Y365" s="656" t="s">
        <v>14278</v>
      </c>
      <c r="Z365" s="656">
        <v>44305.525729166664</v>
      </c>
      <c r="AA365" s="656" t="s">
        <v>14335</v>
      </c>
      <c r="AB365" s="656"/>
    </row>
    <row r="366" spans="1:28">
      <c r="A366" s="656" t="s">
        <v>8518</v>
      </c>
      <c r="B366" s="656" t="s">
        <v>8517</v>
      </c>
      <c r="C366" s="656" t="s">
        <v>20</v>
      </c>
      <c r="D366" s="656" t="s">
        <v>10148</v>
      </c>
      <c r="E366" s="656" t="s">
        <v>14279</v>
      </c>
      <c r="F366" s="1447"/>
      <c r="G366" s="656" t="s">
        <v>10146</v>
      </c>
      <c r="H366" s="656" t="s">
        <v>1777</v>
      </c>
      <c r="I366" s="656"/>
      <c r="J366" s="656"/>
      <c r="K366" s="656"/>
      <c r="L366" s="656" t="s">
        <v>10148</v>
      </c>
      <c r="M366" s="656" t="s">
        <v>16196</v>
      </c>
      <c r="N366" s="656"/>
      <c r="O366" s="656" t="s">
        <v>6395</v>
      </c>
      <c r="P366" s="5"/>
      <c r="Q366" s="1447">
        <v>43818</v>
      </c>
      <c r="R366" s="656"/>
      <c r="S366" s="656" t="s">
        <v>469</v>
      </c>
      <c r="T366" s="656"/>
      <c r="U366" s="656"/>
      <c r="V366" s="656"/>
      <c r="W366" s="656" t="s">
        <v>13051</v>
      </c>
      <c r="X366" s="656" t="s">
        <v>498</v>
      </c>
      <c r="Y366" s="656" t="s">
        <v>14278</v>
      </c>
      <c r="Z366" s="656">
        <v>44305.525717592594</v>
      </c>
      <c r="AA366" s="656" t="s">
        <v>14335</v>
      </c>
      <c r="AB366" s="656"/>
    </row>
    <row r="367" spans="1:28">
      <c r="A367" s="656" t="s">
        <v>8580</v>
      </c>
      <c r="B367" s="656" t="s">
        <v>8566</v>
      </c>
      <c r="C367" s="656" t="s">
        <v>21</v>
      </c>
      <c r="D367" s="656" t="s">
        <v>10235</v>
      </c>
      <c r="E367" s="656" t="s">
        <v>14384</v>
      </c>
      <c r="F367" s="1447">
        <v>44048</v>
      </c>
      <c r="G367" s="656" t="s">
        <v>10181</v>
      </c>
      <c r="H367" s="656" t="s">
        <v>1564</v>
      </c>
      <c r="I367" s="656" t="s">
        <v>14385</v>
      </c>
      <c r="J367" s="656" t="s">
        <v>10235</v>
      </c>
      <c r="K367" s="656" t="s">
        <v>9774</v>
      </c>
      <c r="L367" s="656"/>
      <c r="M367" s="656" t="s">
        <v>1564</v>
      </c>
      <c r="N367" s="656"/>
      <c r="O367" s="656" t="s">
        <v>6421</v>
      </c>
      <c r="P367" s="5" t="s">
        <v>14386</v>
      </c>
      <c r="Q367" s="1447">
        <v>43916</v>
      </c>
      <c r="R367" s="656"/>
      <c r="S367" s="656" t="s">
        <v>462</v>
      </c>
      <c r="T367" s="656"/>
      <c r="U367" s="656"/>
      <c r="V367" s="656"/>
      <c r="W367" s="656" t="s">
        <v>13051</v>
      </c>
      <c r="X367" s="656" t="s">
        <v>498</v>
      </c>
      <c r="Y367" s="656" t="s">
        <v>14278</v>
      </c>
      <c r="Z367" s="656">
        <v>44305.525706018518</v>
      </c>
      <c r="AA367" s="656" t="s">
        <v>14335</v>
      </c>
      <c r="AB367" s="656"/>
    </row>
    <row r="368" spans="1:28">
      <c r="A368" s="656" t="s">
        <v>8580</v>
      </c>
      <c r="B368" s="656" t="s">
        <v>8566</v>
      </c>
      <c r="C368" s="656" t="s">
        <v>20</v>
      </c>
      <c r="D368" s="656" t="s">
        <v>10182</v>
      </c>
      <c r="E368" s="656" t="s">
        <v>14275</v>
      </c>
      <c r="F368" s="1447">
        <v>44055</v>
      </c>
      <c r="G368" s="656" t="s">
        <v>10181</v>
      </c>
      <c r="H368" s="656" t="s">
        <v>1777</v>
      </c>
      <c r="I368" s="656"/>
      <c r="J368" s="656"/>
      <c r="K368" s="656"/>
      <c r="L368" s="656" t="s">
        <v>10182</v>
      </c>
      <c r="M368" s="656" t="s">
        <v>1564</v>
      </c>
      <c r="N368" s="656"/>
      <c r="O368" s="656" t="s">
        <v>6421</v>
      </c>
      <c r="P368" s="5"/>
      <c r="Q368" s="1447">
        <v>43863</v>
      </c>
      <c r="R368" s="656"/>
      <c r="S368" s="656" t="s">
        <v>462</v>
      </c>
      <c r="T368" s="656"/>
      <c r="U368" s="656"/>
      <c r="V368" s="656"/>
      <c r="W368" s="656" t="s">
        <v>13051</v>
      </c>
      <c r="X368" s="656" t="s">
        <v>498</v>
      </c>
      <c r="Y368" s="656" t="s">
        <v>14278</v>
      </c>
      <c r="Z368" s="656">
        <v>44305.525717592594</v>
      </c>
      <c r="AA368" s="656" t="s">
        <v>14335</v>
      </c>
      <c r="AB368" s="656"/>
    </row>
    <row r="369" spans="1:28">
      <c r="A369" s="656" t="s">
        <v>515</v>
      </c>
      <c r="B369" s="656" t="s">
        <v>10053</v>
      </c>
      <c r="C369" s="656" t="s">
        <v>21</v>
      </c>
      <c r="D369" s="656" t="s">
        <v>10122</v>
      </c>
      <c r="E369" s="656" t="s">
        <v>14279</v>
      </c>
      <c r="F369" s="1447"/>
      <c r="G369" s="656" t="s">
        <v>10054</v>
      </c>
      <c r="H369" s="656" t="s">
        <v>1564</v>
      </c>
      <c r="I369" s="656" t="s">
        <v>14387</v>
      </c>
      <c r="J369" s="656" t="s">
        <v>10122</v>
      </c>
      <c r="K369" s="656" t="s">
        <v>9774</v>
      </c>
      <c r="L369" s="656"/>
      <c r="M369" s="656" t="s">
        <v>1564</v>
      </c>
      <c r="N369" s="656"/>
      <c r="O369" s="656" t="s">
        <v>6387</v>
      </c>
      <c r="P369" s="5"/>
      <c r="Q369" s="1447">
        <v>43747</v>
      </c>
      <c r="R369" s="656"/>
      <c r="S369" s="656" t="s">
        <v>462</v>
      </c>
      <c r="T369" s="656"/>
      <c r="U369" s="656"/>
      <c r="V369" s="656"/>
      <c r="W369" s="656" t="s">
        <v>13051</v>
      </c>
      <c r="X369" s="656" t="s">
        <v>498</v>
      </c>
      <c r="Y369" s="656" t="s">
        <v>14278</v>
      </c>
      <c r="Z369" s="656">
        <v>44305.525682870371</v>
      </c>
      <c r="AA369" s="656" t="s">
        <v>14335</v>
      </c>
      <c r="AB369" s="656"/>
    </row>
    <row r="370" spans="1:28">
      <c r="A370" s="656" t="s">
        <v>515</v>
      </c>
      <c r="B370" s="656" t="s">
        <v>10053</v>
      </c>
      <c r="C370" s="656" t="s">
        <v>20</v>
      </c>
      <c r="D370" s="656" t="s">
        <v>10055</v>
      </c>
      <c r="E370" s="656" t="s">
        <v>14279</v>
      </c>
      <c r="F370" s="1447"/>
      <c r="G370" s="656" t="s">
        <v>10054</v>
      </c>
      <c r="H370" s="656" t="s">
        <v>1777</v>
      </c>
      <c r="I370" s="656"/>
      <c r="J370" s="656"/>
      <c r="K370" s="656"/>
      <c r="L370" s="656" t="s">
        <v>10055</v>
      </c>
      <c r="M370" s="656" t="s">
        <v>1564</v>
      </c>
      <c r="N370" s="656"/>
      <c r="O370" s="656" t="s">
        <v>6387</v>
      </c>
      <c r="P370" s="5"/>
      <c r="Q370" s="1447">
        <v>43725</v>
      </c>
      <c r="R370" s="656"/>
      <c r="S370" s="656" t="s">
        <v>462</v>
      </c>
      <c r="T370" s="656"/>
      <c r="U370" s="656"/>
      <c r="V370" s="656"/>
      <c r="W370" s="656" t="s">
        <v>13051</v>
      </c>
      <c r="X370" s="656" t="s">
        <v>498</v>
      </c>
      <c r="Y370" s="656" t="s">
        <v>14278</v>
      </c>
      <c r="Z370" s="656">
        <v>44305.525694444441</v>
      </c>
      <c r="AA370" s="656" t="s">
        <v>14335</v>
      </c>
      <c r="AB370" s="656"/>
    </row>
    <row r="371" spans="1:28">
      <c r="A371" s="656" t="s">
        <v>516</v>
      </c>
      <c r="B371" s="656" t="s">
        <v>10104</v>
      </c>
      <c r="C371" s="656" t="s">
        <v>21</v>
      </c>
      <c r="D371" s="656" t="s">
        <v>10130</v>
      </c>
      <c r="E371" s="656" t="s">
        <v>14279</v>
      </c>
      <c r="F371" s="1447"/>
      <c r="G371" s="656" t="s">
        <v>10105</v>
      </c>
      <c r="H371" s="656" t="s">
        <v>1545</v>
      </c>
      <c r="I371" s="656" t="s">
        <v>14388</v>
      </c>
      <c r="J371" s="656" t="s">
        <v>10130</v>
      </c>
      <c r="K371" s="656" t="s">
        <v>9774</v>
      </c>
      <c r="L371" s="656"/>
      <c r="M371" s="656" t="s">
        <v>1545</v>
      </c>
      <c r="N371" s="656"/>
      <c r="O371" s="656" t="s">
        <v>6387</v>
      </c>
      <c r="P371" s="5"/>
      <c r="Q371" s="1447">
        <v>43801</v>
      </c>
      <c r="R371" s="656"/>
      <c r="S371" s="656" t="s">
        <v>462</v>
      </c>
      <c r="T371" s="656"/>
      <c r="U371" s="656"/>
      <c r="V371" s="656"/>
      <c r="W371" s="656" t="s">
        <v>13051</v>
      </c>
      <c r="X371" s="656" t="s">
        <v>498</v>
      </c>
      <c r="Y371" s="656" t="s">
        <v>14278</v>
      </c>
      <c r="Z371" s="656">
        <v>44305.525671296295</v>
      </c>
      <c r="AA371" s="656" t="s">
        <v>14335</v>
      </c>
      <c r="AB371" s="656"/>
    </row>
    <row r="372" spans="1:28">
      <c r="A372" s="656" t="s">
        <v>516</v>
      </c>
      <c r="B372" s="656" t="s">
        <v>10104</v>
      </c>
      <c r="C372" s="656" t="s">
        <v>20</v>
      </c>
      <c r="D372" s="656" t="s">
        <v>10106</v>
      </c>
      <c r="E372" s="656" t="s">
        <v>14279</v>
      </c>
      <c r="F372" s="1447"/>
      <c r="G372" s="656" t="s">
        <v>10105</v>
      </c>
      <c r="H372" s="656" t="s">
        <v>1777</v>
      </c>
      <c r="I372" s="656"/>
      <c r="J372" s="656"/>
      <c r="K372" s="656"/>
      <c r="L372" s="656" t="s">
        <v>10106</v>
      </c>
      <c r="M372" s="656" t="s">
        <v>1545</v>
      </c>
      <c r="N372" s="656"/>
      <c r="O372" s="656" t="s">
        <v>6387</v>
      </c>
      <c r="P372" s="5"/>
      <c r="Q372" s="1447">
        <v>43763</v>
      </c>
      <c r="R372" s="656"/>
      <c r="S372" s="656" t="s">
        <v>462</v>
      </c>
      <c r="T372" s="656"/>
      <c r="U372" s="656"/>
      <c r="V372" s="656"/>
      <c r="W372" s="656" t="s">
        <v>13051</v>
      </c>
      <c r="X372" s="656" t="s">
        <v>498</v>
      </c>
      <c r="Y372" s="656" t="s">
        <v>14278</v>
      </c>
      <c r="Z372" s="656">
        <v>44305.525671296295</v>
      </c>
      <c r="AA372" s="656" t="s">
        <v>14335</v>
      </c>
      <c r="AB372" s="656"/>
    </row>
    <row r="373" spans="1:28">
      <c r="A373" s="656" t="s">
        <v>517</v>
      </c>
      <c r="B373" s="656" t="s">
        <v>518</v>
      </c>
      <c r="C373" s="656" t="s">
        <v>21</v>
      </c>
      <c r="D373" s="656" t="s">
        <v>10238</v>
      </c>
      <c r="E373" s="656" t="s">
        <v>14275</v>
      </c>
      <c r="F373" s="1447">
        <v>44225</v>
      </c>
      <c r="G373" s="656" t="s">
        <v>10101</v>
      </c>
      <c r="H373" s="656" t="s">
        <v>1777</v>
      </c>
      <c r="I373" s="656" t="s">
        <v>14389</v>
      </c>
      <c r="J373" s="656" t="s">
        <v>10238</v>
      </c>
      <c r="K373" s="656" t="s">
        <v>9774</v>
      </c>
      <c r="L373" s="656"/>
      <c r="M373" s="656" t="s">
        <v>16196</v>
      </c>
      <c r="N373" s="656"/>
      <c r="O373" s="656" t="s">
        <v>6395</v>
      </c>
      <c r="P373" s="5"/>
      <c r="Q373" s="1447">
        <v>43920</v>
      </c>
      <c r="R373" s="656">
        <v>44090</v>
      </c>
      <c r="S373" s="656" t="s">
        <v>472</v>
      </c>
      <c r="T373" s="656"/>
      <c r="U373" s="656"/>
      <c r="V373" s="656"/>
      <c r="W373" s="656" t="s">
        <v>13051</v>
      </c>
      <c r="X373" s="656" t="s">
        <v>498</v>
      </c>
      <c r="Y373" s="656" t="s">
        <v>14278</v>
      </c>
      <c r="Z373" s="656">
        <v>44305.525659722225</v>
      </c>
      <c r="AA373" s="656" t="s">
        <v>14335</v>
      </c>
      <c r="AB373" s="656"/>
    </row>
    <row r="374" spans="1:28">
      <c r="A374" s="656" t="s">
        <v>517</v>
      </c>
      <c r="B374" s="656" t="s">
        <v>518</v>
      </c>
      <c r="C374" s="656" t="s">
        <v>20</v>
      </c>
      <c r="D374" s="656" t="s">
        <v>10102</v>
      </c>
      <c r="E374" s="656" t="s">
        <v>14275</v>
      </c>
      <c r="F374" s="1447">
        <v>44147</v>
      </c>
      <c r="G374" s="656" t="s">
        <v>10101</v>
      </c>
      <c r="H374" s="656" t="s">
        <v>1777</v>
      </c>
      <c r="I374" s="656"/>
      <c r="J374" s="656"/>
      <c r="K374" s="656"/>
      <c r="L374" s="656" t="s">
        <v>10102</v>
      </c>
      <c r="M374" s="656" t="s">
        <v>16196</v>
      </c>
      <c r="N374" s="656"/>
      <c r="O374" s="656" t="s">
        <v>6395</v>
      </c>
      <c r="P374" s="5"/>
      <c r="Q374" s="1447">
        <v>43760</v>
      </c>
      <c r="R374" s="656"/>
      <c r="S374" s="656" t="s">
        <v>472</v>
      </c>
      <c r="T374" s="656"/>
      <c r="U374" s="656"/>
      <c r="V374" s="656"/>
      <c r="W374" s="656" t="s">
        <v>13051</v>
      </c>
      <c r="X374" s="656" t="s">
        <v>498</v>
      </c>
      <c r="Y374" s="656" t="s">
        <v>14278</v>
      </c>
      <c r="Z374" s="656">
        <v>44305.525659722225</v>
      </c>
      <c r="AA374" s="656" t="s">
        <v>14335</v>
      </c>
      <c r="AB374" s="656"/>
    </row>
    <row r="375" spans="1:28">
      <c r="A375" s="656" t="s">
        <v>542</v>
      </c>
      <c r="B375" s="656" t="s">
        <v>543</v>
      </c>
      <c r="C375" s="656" t="s">
        <v>21</v>
      </c>
      <c r="D375" s="656" t="s">
        <v>12315</v>
      </c>
      <c r="E375" s="656" t="s">
        <v>14275</v>
      </c>
      <c r="F375" s="1447">
        <v>44061</v>
      </c>
      <c r="G375" s="656" t="s">
        <v>12263</v>
      </c>
      <c r="H375" s="656" t="s">
        <v>1777</v>
      </c>
      <c r="I375" s="656" t="s">
        <v>14390</v>
      </c>
      <c r="J375" s="656" t="s">
        <v>12315</v>
      </c>
      <c r="K375" s="656" t="s">
        <v>9774</v>
      </c>
      <c r="L375" s="656"/>
      <c r="M375" s="656" t="s">
        <v>16196</v>
      </c>
      <c r="N375" s="656"/>
      <c r="O375" s="656" t="s">
        <v>6387</v>
      </c>
      <c r="P375" s="5"/>
      <c r="Q375" s="1447">
        <v>43732</v>
      </c>
      <c r="R375" s="656">
        <v>43791</v>
      </c>
      <c r="S375" s="656" t="s">
        <v>462</v>
      </c>
      <c r="T375" s="656"/>
      <c r="U375" s="656"/>
      <c r="V375" s="656"/>
      <c r="W375" s="656" t="s">
        <v>13051</v>
      </c>
      <c r="X375" s="656" t="s">
        <v>498</v>
      </c>
      <c r="Y375" s="656" t="s">
        <v>14278</v>
      </c>
      <c r="Z375" s="656">
        <v>44305.525648148148</v>
      </c>
      <c r="AA375" s="656" t="s">
        <v>14335</v>
      </c>
      <c r="AB375" s="656"/>
    </row>
    <row r="376" spans="1:28">
      <c r="A376" s="656" t="s">
        <v>542</v>
      </c>
      <c r="B376" s="656" t="s">
        <v>543</v>
      </c>
      <c r="C376" s="656" t="s">
        <v>20</v>
      </c>
      <c r="D376" s="656" t="s">
        <v>12264</v>
      </c>
      <c r="E376" s="656" t="s">
        <v>14275</v>
      </c>
      <c r="F376" s="1447">
        <v>44032</v>
      </c>
      <c r="G376" s="656" t="s">
        <v>12263</v>
      </c>
      <c r="H376" s="656" t="s">
        <v>1777</v>
      </c>
      <c r="I376" s="656"/>
      <c r="J376" s="656"/>
      <c r="K376" s="656"/>
      <c r="L376" s="656" t="s">
        <v>12264</v>
      </c>
      <c r="M376" s="656" t="s">
        <v>16196</v>
      </c>
      <c r="N376" s="656"/>
      <c r="O376" s="656" t="s">
        <v>6387</v>
      </c>
      <c r="P376" s="5"/>
      <c r="Q376" s="1447">
        <v>43733</v>
      </c>
      <c r="R376" s="656"/>
      <c r="S376" s="656" t="s">
        <v>462</v>
      </c>
      <c r="T376" s="656"/>
      <c r="U376" s="656"/>
      <c r="V376" s="656"/>
      <c r="W376" s="656" t="s">
        <v>13051</v>
      </c>
      <c r="X376" s="656" t="s">
        <v>498</v>
      </c>
      <c r="Y376" s="656" t="s">
        <v>14278</v>
      </c>
      <c r="Z376" s="656">
        <v>44305.525648148148</v>
      </c>
      <c r="AA376" s="656" t="s">
        <v>14335</v>
      </c>
      <c r="AB376" s="656"/>
    </row>
    <row r="377" spans="1:28">
      <c r="A377" s="656" t="s">
        <v>559</v>
      </c>
      <c r="B377" s="656" t="s">
        <v>560</v>
      </c>
      <c r="C377" s="656" t="s">
        <v>21</v>
      </c>
      <c r="D377" s="656" t="s">
        <v>10004</v>
      </c>
      <c r="E377" s="656" t="s">
        <v>14313</v>
      </c>
      <c r="F377" s="1447"/>
      <c r="G377" s="656" t="s">
        <v>9983</v>
      </c>
      <c r="H377" s="656" t="s">
        <v>1777</v>
      </c>
      <c r="I377" s="656" t="s">
        <v>14391</v>
      </c>
      <c r="J377" s="656" t="s">
        <v>10004</v>
      </c>
      <c r="K377" s="656" t="s">
        <v>9774</v>
      </c>
      <c r="L377" s="656"/>
      <c r="M377" s="656" t="s">
        <v>16196</v>
      </c>
      <c r="N377" s="656"/>
      <c r="O377" s="656" t="s">
        <v>9714</v>
      </c>
      <c r="P377" s="5"/>
      <c r="Q377" s="1447">
        <v>43630</v>
      </c>
      <c r="R377" s="656">
        <v>44196</v>
      </c>
      <c r="S377" s="656" t="s">
        <v>9911</v>
      </c>
      <c r="T377" s="656"/>
      <c r="U377" s="656"/>
      <c r="V377" s="656"/>
      <c r="W377" s="656" t="s">
        <v>13051</v>
      </c>
      <c r="X377" s="656" t="s">
        <v>498</v>
      </c>
      <c r="Y377" s="656" t="s">
        <v>14278</v>
      </c>
      <c r="Z377" s="656">
        <v>44305.525636574072</v>
      </c>
      <c r="AA377" s="656" t="s">
        <v>14335</v>
      </c>
      <c r="AB377" s="656"/>
    </row>
    <row r="378" spans="1:28">
      <c r="A378" s="656" t="s">
        <v>559</v>
      </c>
      <c r="B378" s="656" t="s">
        <v>560</v>
      </c>
      <c r="C378" s="656" t="s">
        <v>20</v>
      </c>
      <c r="D378" s="656" t="s">
        <v>9984</v>
      </c>
      <c r="E378" s="656" t="s">
        <v>14279</v>
      </c>
      <c r="F378" s="1447"/>
      <c r="G378" s="656" t="s">
        <v>9983</v>
      </c>
      <c r="H378" s="656" t="s">
        <v>1777</v>
      </c>
      <c r="I378" s="656"/>
      <c r="J378" s="656"/>
      <c r="K378" s="656"/>
      <c r="L378" s="656" t="s">
        <v>9984</v>
      </c>
      <c r="M378" s="656" t="s">
        <v>16196</v>
      </c>
      <c r="N378" s="656"/>
      <c r="O378" s="656" t="s">
        <v>9714</v>
      </c>
      <c r="P378" s="5"/>
      <c r="Q378" s="1447">
        <v>43605</v>
      </c>
      <c r="R378" s="656"/>
      <c r="S378" s="656" t="s">
        <v>9911</v>
      </c>
      <c r="T378" s="656"/>
      <c r="U378" s="656"/>
      <c r="V378" s="656"/>
      <c r="W378" s="656" t="s">
        <v>13051</v>
      </c>
      <c r="X378" s="656" t="s">
        <v>498</v>
      </c>
      <c r="Y378" s="656" t="s">
        <v>14278</v>
      </c>
      <c r="Z378" s="656">
        <v>44305.525648148148</v>
      </c>
      <c r="AA378" s="656" t="s">
        <v>14335</v>
      </c>
      <c r="AB378" s="656"/>
    </row>
    <row r="379" spans="1:28">
      <c r="A379" s="656" t="s">
        <v>562</v>
      </c>
      <c r="B379" s="656" t="s">
        <v>563</v>
      </c>
      <c r="C379" s="656" t="s">
        <v>21</v>
      </c>
      <c r="D379" s="656" t="s">
        <v>15373</v>
      </c>
      <c r="E379" s="656" t="s">
        <v>14275</v>
      </c>
      <c r="F379" s="1447">
        <v>44181</v>
      </c>
      <c r="G379" s="656" t="s">
        <v>9979</v>
      </c>
      <c r="H379" s="656" t="s">
        <v>1777</v>
      </c>
      <c r="I379" s="656" t="s">
        <v>14391</v>
      </c>
      <c r="J379" s="656" t="s">
        <v>15373</v>
      </c>
      <c r="K379" s="656" t="s">
        <v>9774</v>
      </c>
      <c r="L379" s="656"/>
      <c r="M379" s="656" t="s">
        <v>16196</v>
      </c>
      <c r="N379" s="656"/>
      <c r="O379" s="656" t="s">
        <v>9714</v>
      </c>
      <c r="P379" s="5"/>
      <c r="Q379" s="1447">
        <v>43644</v>
      </c>
      <c r="R379" s="656">
        <v>43799</v>
      </c>
      <c r="S379" s="656" t="s">
        <v>9911</v>
      </c>
      <c r="T379" s="656"/>
      <c r="U379" s="656"/>
      <c r="V379" s="656"/>
      <c r="W379" s="656" t="s">
        <v>13051</v>
      </c>
      <c r="X379" s="656" t="s">
        <v>498</v>
      </c>
      <c r="Y379" s="656" t="s">
        <v>14278</v>
      </c>
      <c r="Z379" s="656">
        <v>44305.525625000002</v>
      </c>
      <c r="AA379" s="656" t="s">
        <v>14335</v>
      </c>
      <c r="AB379" s="656"/>
    </row>
    <row r="380" spans="1:28">
      <c r="A380" s="656" t="s">
        <v>562</v>
      </c>
      <c r="B380" s="656" t="s">
        <v>563</v>
      </c>
      <c r="C380" s="656" t="s">
        <v>20</v>
      </c>
      <c r="D380" s="656" t="s">
        <v>9980</v>
      </c>
      <c r="E380" s="656" t="s">
        <v>14275</v>
      </c>
      <c r="F380" s="1447">
        <v>44098</v>
      </c>
      <c r="G380" s="656" t="s">
        <v>9979</v>
      </c>
      <c r="H380" s="656" t="s">
        <v>1777</v>
      </c>
      <c r="I380" s="656"/>
      <c r="J380" s="656"/>
      <c r="K380" s="656"/>
      <c r="L380" s="656" t="s">
        <v>9980</v>
      </c>
      <c r="M380" s="656" t="s">
        <v>16196</v>
      </c>
      <c r="N380" s="656"/>
      <c r="O380" s="656" t="s">
        <v>9714</v>
      </c>
      <c r="P380" s="5"/>
      <c r="Q380" s="1447">
        <v>43605</v>
      </c>
      <c r="R380" s="656"/>
      <c r="S380" s="656" t="s">
        <v>9911</v>
      </c>
      <c r="T380" s="656"/>
      <c r="U380" s="656"/>
      <c r="V380" s="656"/>
      <c r="W380" s="656" t="s">
        <v>13051</v>
      </c>
      <c r="X380" s="656" t="s">
        <v>498</v>
      </c>
      <c r="Y380" s="656" t="s">
        <v>14278</v>
      </c>
      <c r="Z380" s="656">
        <v>44305.525625000002</v>
      </c>
      <c r="AA380" s="656" t="s">
        <v>14335</v>
      </c>
      <c r="AB380" s="656"/>
    </row>
    <row r="381" spans="1:28">
      <c r="A381" s="656" t="s">
        <v>564</v>
      </c>
      <c r="B381" s="656" t="s">
        <v>565</v>
      </c>
      <c r="C381" s="656" t="s">
        <v>21</v>
      </c>
      <c r="D381" s="656" t="s">
        <v>10005</v>
      </c>
      <c r="E381" s="656" t="s">
        <v>14313</v>
      </c>
      <c r="F381" s="1447"/>
      <c r="G381" s="656" t="s">
        <v>9981</v>
      </c>
      <c r="H381" s="656" t="s">
        <v>1777</v>
      </c>
      <c r="I381" s="656" t="s">
        <v>14392</v>
      </c>
      <c r="J381" s="656" t="s">
        <v>10005</v>
      </c>
      <c r="K381" s="656" t="s">
        <v>9774</v>
      </c>
      <c r="L381" s="656"/>
      <c r="M381" s="656" t="s">
        <v>16196</v>
      </c>
      <c r="N381" s="656"/>
      <c r="O381" s="656" t="s">
        <v>9714</v>
      </c>
      <c r="P381" s="5"/>
      <c r="Q381" s="1447">
        <v>43630</v>
      </c>
      <c r="R381" s="656">
        <v>44281</v>
      </c>
      <c r="S381" s="656" t="s">
        <v>9911</v>
      </c>
      <c r="T381" s="656"/>
      <c r="U381" s="656"/>
      <c r="V381" s="656"/>
      <c r="W381" s="656" t="s">
        <v>13051</v>
      </c>
      <c r="X381" s="656" t="s">
        <v>498</v>
      </c>
      <c r="Y381" s="656" t="s">
        <v>14278</v>
      </c>
      <c r="Z381" s="656">
        <v>44305.525613425925</v>
      </c>
      <c r="AA381" s="656" t="s">
        <v>14335</v>
      </c>
      <c r="AB381" s="656"/>
    </row>
    <row r="382" spans="1:28">
      <c r="A382" s="656" t="s">
        <v>564</v>
      </c>
      <c r="B382" s="656" t="s">
        <v>565</v>
      </c>
      <c r="C382" s="656" t="s">
        <v>20</v>
      </c>
      <c r="D382" s="656" t="s">
        <v>9982</v>
      </c>
      <c r="E382" s="656" t="s">
        <v>14279</v>
      </c>
      <c r="F382" s="1447"/>
      <c r="G382" s="656" t="s">
        <v>9981</v>
      </c>
      <c r="H382" s="656" t="s">
        <v>1777</v>
      </c>
      <c r="I382" s="656"/>
      <c r="J382" s="656"/>
      <c r="K382" s="656"/>
      <c r="L382" s="656" t="s">
        <v>9982</v>
      </c>
      <c r="M382" s="656" t="s">
        <v>16196</v>
      </c>
      <c r="N382" s="656"/>
      <c r="O382" s="656" t="s">
        <v>9714</v>
      </c>
      <c r="P382" s="5"/>
      <c r="Q382" s="1447">
        <v>43605</v>
      </c>
      <c r="R382" s="656"/>
      <c r="S382" s="656" t="s">
        <v>9911</v>
      </c>
      <c r="T382" s="656"/>
      <c r="U382" s="656"/>
      <c r="V382" s="656"/>
      <c r="W382" s="656" t="s">
        <v>13051</v>
      </c>
      <c r="X382" s="656" t="s">
        <v>498</v>
      </c>
      <c r="Y382" s="656" t="s">
        <v>14278</v>
      </c>
      <c r="Z382" s="656">
        <v>44305.525613425925</v>
      </c>
      <c r="AA382" s="656" t="s">
        <v>14335</v>
      </c>
      <c r="AB382" s="656"/>
    </row>
    <row r="383" spans="1:28">
      <c r="A383" s="656" t="s">
        <v>574</v>
      </c>
      <c r="B383" s="656" t="s">
        <v>575</v>
      </c>
      <c r="C383" s="656" t="s">
        <v>20</v>
      </c>
      <c r="D383" s="656" t="s">
        <v>10093</v>
      </c>
      <c r="E383" s="656" t="s">
        <v>14275</v>
      </c>
      <c r="F383" s="1447">
        <v>44055</v>
      </c>
      <c r="G383" s="656" t="s">
        <v>10092</v>
      </c>
      <c r="H383" s="656" t="s">
        <v>1777</v>
      </c>
      <c r="I383" s="656"/>
      <c r="J383" s="656"/>
      <c r="K383" s="656"/>
      <c r="L383" s="656" t="s">
        <v>10093</v>
      </c>
      <c r="M383" s="656" t="s">
        <v>16330</v>
      </c>
      <c r="N383" s="656"/>
      <c r="O383" s="656" t="s">
        <v>6387</v>
      </c>
      <c r="P383" s="5"/>
      <c r="Q383" s="1447">
        <v>43748</v>
      </c>
      <c r="R383" s="656"/>
      <c r="S383" s="656" t="s">
        <v>450</v>
      </c>
      <c r="T383" s="656"/>
      <c r="U383" s="656"/>
      <c r="V383" s="656"/>
      <c r="W383" s="656" t="s">
        <v>13051</v>
      </c>
      <c r="X383" s="656" t="s">
        <v>498</v>
      </c>
      <c r="Y383" s="656" t="s">
        <v>14278</v>
      </c>
      <c r="Z383" s="656">
        <v>44305.525601851848</v>
      </c>
      <c r="AA383" s="656" t="s">
        <v>14335</v>
      </c>
      <c r="AB383" s="656"/>
    </row>
    <row r="384" spans="1:28" ht="29">
      <c r="A384" s="656" t="s">
        <v>600</v>
      </c>
      <c r="B384" s="656" t="s">
        <v>601</v>
      </c>
      <c r="C384" s="656" t="s">
        <v>21</v>
      </c>
      <c r="D384" s="656" t="s">
        <v>12252</v>
      </c>
      <c r="E384" s="656" t="s">
        <v>14384</v>
      </c>
      <c r="F384" s="1447">
        <v>43873</v>
      </c>
      <c r="G384" s="656" t="s">
        <v>12244</v>
      </c>
      <c r="H384" s="656" t="s">
        <v>1564</v>
      </c>
      <c r="I384" s="656" t="s">
        <v>14393</v>
      </c>
      <c r="J384" s="656" t="s">
        <v>12252</v>
      </c>
      <c r="K384" s="656" t="s">
        <v>9774</v>
      </c>
      <c r="L384" s="656"/>
      <c r="M384" s="656" t="s">
        <v>1564</v>
      </c>
      <c r="N384" s="656"/>
      <c r="O384" s="656" t="s">
        <v>6387</v>
      </c>
      <c r="P384" s="5" t="s">
        <v>14394</v>
      </c>
      <c r="Q384" s="1447">
        <v>43637</v>
      </c>
      <c r="R384" s="656"/>
      <c r="S384" s="656" t="s">
        <v>462</v>
      </c>
      <c r="T384" s="656"/>
      <c r="U384" s="656"/>
      <c r="V384" s="656"/>
      <c r="W384" s="656" t="s">
        <v>13051</v>
      </c>
      <c r="X384" s="656" t="s">
        <v>498</v>
      </c>
      <c r="Y384" s="656" t="s">
        <v>14278</v>
      </c>
      <c r="Z384" s="656">
        <v>44305.525590277779</v>
      </c>
      <c r="AA384" s="656" t="s">
        <v>14335</v>
      </c>
      <c r="AB384" s="656"/>
    </row>
    <row r="385" spans="1:28">
      <c r="A385" s="656" t="s">
        <v>600</v>
      </c>
      <c r="B385" s="656" t="s">
        <v>601</v>
      </c>
      <c r="C385" s="656" t="s">
        <v>20</v>
      </c>
      <c r="D385" s="656" t="s">
        <v>12245</v>
      </c>
      <c r="E385" s="656" t="s">
        <v>14275</v>
      </c>
      <c r="F385" s="1447">
        <v>43927</v>
      </c>
      <c r="G385" s="656" t="s">
        <v>12244</v>
      </c>
      <c r="H385" s="656" t="s">
        <v>1777</v>
      </c>
      <c r="I385" s="656"/>
      <c r="J385" s="656"/>
      <c r="K385" s="656"/>
      <c r="L385" s="656" t="s">
        <v>12245</v>
      </c>
      <c r="M385" s="656" t="s">
        <v>1564</v>
      </c>
      <c r="N385" s="656"/>
      <c r="O385" s="656" t="s">
        <v>6387</v>
      </c>
      <c r="P385" s="5"/>
      <c r="Q385" s="1447">
        <v>43613</v>
      </c>
      <c r="R385" s="656"/>
      <c r="S385" s="656" t="s">
        <v>462</v>
      </c>
      <c r="T385" s="656"/>
      <c r="U385" s="656"/>
      <c r="V385" s="656"/>
      <c r="W385" s="656" t="s">
        <v>13051</v>
      </c>
      <c r="X385" s="656" t="s">
        <v>498</v>
      </c>
      <c r="Y385" s="656" t="s">
        <v>14278</v>
      </c>
      <c r="Z385" s="656">
        <v>44305.525601851848</v>
      </c>
      <c r="AA385" s="656" t="s">
        <v>14335</v>
      </c>
      <c r="AB385" s="656"/>
    </row>
    <row r="386" spans="1:28">
      <c r="A386" s="656" t="s">
        <v>14979</v>
      </c>
      <c r="B386" s="656" t="s">
        <v>15374</v>
      </c>
      <c r="C386" s="656" t="s">
        <v>20</v>
      </c>
      <c r="D386" s="656" t="s">
        <v>15375</v>
      </c>
      <c r="E386" s="656" t="s">
        <v>14279</v>
      </c>
      <c r="F386" s="1447"/>
      <c r="G386" s="656" t="s">
        <v>15376</v>
      </c>
      <c r="H386" s="656" t="s">
        <v>1777</v>
      </c>
      <c r="I386" s="656"/>
      <c r="J386" s="656"/>
      <c r="K386" s="656"/>
      <c r="L386" s="656" t="s">
        <v>15375</v>
      </c>
      <c r="M386" s="656" t="s">
        <v>16200</v>
      </c>
      <c r="N386" s="656"/>
      <c r="O386" s="656" t="s">
        <v>10175</v>
      </c>
      <c r="P386" s="5"/>
      <c r="Q386" s="1447">
        <v>44224</v>
      </c>
      <c r="R386" s="656"/>
      <c r="S386" s="656" t="s">
        <v>537</v>
      </c>
      <c r="T386" s="656"/>
      <c r="U386" s="656"/>
      <c r="V386" s="656"/>
      <c r="W386" s="656" t="s">
        <v>13051</v>
      </c>
      <c r="X386" s="656" t="s">
        <v>498</v>
      </c>
      <c r="Y386" s="656" t="s">
        <v>14278</v>
      </c>
      <c r="Z386" s="656">
        <v>44305.525590277779</v>
      </c>
      <c r="AA386" s="656" t="s">
        <v>14335</v>
      </c>
      <c r="AB386" s="656"/>
    </row>
    <row r="387" spans="1:28">
      <c r="A387" s="656" t="s">
        <v>14979</v>
      </c>
      <c r="B387" s="656" t="s">
        <v>14980</v>
      </c>
      <c r="C387" s="656" t="s">
        <v>21</v>
      </c>
      <c r="D387" s="656" t="s">
        <v>16359</v>
      </c>
      <c r="E387" s="656" t="s">
        <v>14279</v>
      </c>
      <c r="F387" s="1447"/>
      <c r="G387" s="656" t="s">
        <v>16360</v>
      </c>
      <c r="H387" s="656" t="s">
        <v>1777</v>
      </c>
      <c r="I387" s="656" t="s">
        <v>16361</v>
      </c>
      <c r="J387" s="656" t="s">
        <v>16359</v>
      </c>
      <c r="K387" s="656" t="s">
        <v>9774</v>
      </c>
      <c r="L387" s="656"/>
      <c r="M387" s="656" t="s">
        <v>16200</v>
      </c>
      <c r="N387" s="656"/>
      <c r="O387" s="656" t="s">
        <v>10175</v>
      </c>
      <c r="P387" s="5"/>
      <c r="Q387" s="1447">
        <v>44287</v>
      </c>
      <c r="R387" s="656"/>
      <c r="S387" s="656" t="s">
        <v>537</v>
      </c>
      <c r="T387" s="656"/>
      <c r="U387" s="656"/>
      <c r="V387" s="656"/>
      <c r="W387" s="656" t="s">
        <v>13051</v>
      </c>
      <c r="X387" s="656" t="s">
        <v>498</v>
      </c>
      <c r="Y387" s="656" t="s">
        <v>14278</v>
      </c>
      <c r="Z387" s="656">
        <v>44305.527777777781</v>
      </c>
      <c r="AA387" s="656" t="s">
        <v>14335</v>
      </c>
      <c r="AB387" s="656"/>
    </row>
    <row r="388" spans="1:28">
      <c r="A388" s="656" t="s">
        <v>656</v>
      </c>
      <c r="B388" s="656" t="s">
        <v>12797</v>
      </c>
      <c r="C388" s="656" t="s">
        <v>20</v>
      </c>
      <c r="D388" s="656" t="s">
        <v>12796</v>
      </c>
      <c r="E388" s="656" t="s">
        <v>14279</v>
      </c>
      <c r="F388" s="1447"/>
      <c r="G388" s="656"/>
      <c r="H388" s="656" t="s">
        <v>1777</v>
      </c>
      <c r="I388" s="656"/>
      <c r="J388" s="656"/>
      <c r="K388" s="656"/>
      <c r="L388" s="656" t="s">
        <v>12796</v>
      </c>
      <c r="M388" s="656" t="s">
        <v>12783</v>
      </c>
      <c r="N388" s="656" t="s">
        <v>9991</v>
      </c>
      <c r="O388" s="656" t="s">
        <v>2692</v>
      </c>
      <c r="P388" s="5"/>
      <c r="Q388" s="1447">
        <v>43558</v>
      </c>
      <c r="R388" s="656"/>
      <c r="S388" s="656" t="s">
        <v>12706</v>
      </c>
      <c r="T388" s="656" t="s">
        <v>12706</v>
      </c>
      <c r="U388" s="656" t="s">
        <v>14336</v>
      </c>
      <c r="V388" s="656"/>
      <c r="W388" s="656" t="s">
        <v>13051</v>
      </c>
      <c r="X388" s="656" t="s">
        <v>498</v>
      </c>
      <c r="Y388" s="656" t="s">
        <v>14278</v>
      </c>
      <c r="Z388" s="656">
        <v>44305.525578703702</v>
      </c>
      <c r="AA388" s="656" t="s">
        <v>14335</v>
      </c>
      <c r="AB388" s="656"/>
    </row>
    <row r="389" spans="1:28">
      <c r="A389" s="656" t="s">
        <v>656</v>
      </c>
      <c r="B389" s="656" t="s">
        <v>12799</v>
      </c>
      <c r="C389" s="656" t="s">
        <v>20</v>
      </c>
      <c r="D389" s="656" t="s">
        <v>12798</v>
      </c>
      <c r="E389" s="656" t="s">
        <v>14279</v>
      </c>
      <c r="F389" s="1447"/>
      <c r="G389" s="656"/>
      <c r="H389" s="656" t="s">
        <v>1777</v>
      </c>
      <c r="I389" s="656"/>
      <c r="J389" s="656"/>
      <c r="K389" s="656"/>
      <c r="L389" s="656" t="s">
        <v>12798</v>
      </c>
      <c r="M389" s="656" t="s">
        <v>12783</v>
      </c>
      <c r="N389" s="656" t="s">
        <v>9991</v>
      </c>
      <c r="O389" s="656" t="s">
        <v>2698</v>
      </c>
      <c r="P389" s="5"/>
      <c r="Q389" s="1447">
        <v>43972</v>
      </c>
      <c r="R389" s="656"/>
      <c r="S389" s="656" t="s">
        <v>12706</v>
      </c>
      <c r="T389" s="656" t="s">
        <v>12706</v>
      </c>
      <c r="U389" s="656" t="s">
        <v>14336</v>
      </c>
      <c r="V389" s="656"/>
      <c r="W389" s="656" t="s">
        <v>13051</v>
      </c>
      <c r="X389" s="656" t="s">
        <v>498</v>
      </c>
      <c r="Y389" s="656" t="s">
        <v>14278</v>
      </c>
      <c r="Z389" s="656">
        <v>44305.525590277779</v>
      </c>
      <c r="AA389" s="656" t="s">
        <v>14335</v>
      </c>
      <c r="AB389" s="656"/>
    </row>
    <row r="390" spans="1:28">
      <c r="A390" s="656" t="s">
        <v>690</v>
      </c>
      <c r="B390" s="656" t="s">
        <v>691</v>
      </c>
      <c r="C390" s="656" t="s">
        <v>21</v>
      </c>
      <c r="D390" s="656" t="s">
        <v>9918</v>
      </c>
      <c r="E390" s="656" t="s">
        <v>14275</v>
      </c>
      <c r="F390" s="1447">
        <v>44147</v>
      </c>
      <c r="G390" s="656" t="s">
        <v>9914</v>
      </c>
      <c r="H390" s="656" t="s">
        <v>1777</v>
      </c>
      <c r="I390" s="656" t="s">
        <v>14395</v>
      </c>
      <c r="J390" s="656" t="s">
        <v>9918</v>
      </c>
      <c r="K390" s="656" t="s">
        <v>9774</v>
      </c>
      <c r="L390" s="656"/>
      <c r="M390" s="656" t="s">
        <v>16196</v>
      </c>
      <c r="N390" s="656"/>
      <c r="O390" s="656" t="s">
        <v>6395</v>
      </c>
      <c r="P390" s="5"/>
      <c r="Q390" s="1447">
        <v>43529</v>
      </c>
      <c r="R390" s="656">
        <v>44070</v>
      </c>
      <c r="S390" s="656" t="s">
        <v>472</v>
      </c>
      <c r="T390" s="656"/>
      <c r="U390" s="656"/>
      <c r="V390" s="656"/>
      <c r="W390" s="656" t="s">
        <v>13051</v>
      </c>
      <c r="X390" s="656" t="s">
        <v>498</v>
      </c>
      <c r="Y390" s="656" t="s">
        <v>14278</v>
      </c>
      <c r="Z390" s="656">
        <v>44305.525567129633</v>
      </c>
      <c r="AA390" s="656" t="s">
        <v>14335</v>
      </c>
      <c r="AB390" s="656"/>
    </row>
    <row r="391" spans="1:28">
      <c r="A391" s="656" t="s">
        <v>690</v>
      </c>
      <c r="B391" s="656" t="s">
        <v>691</v>
      </c>
      <c r="C391" s="656" t="s">
        <v>20</v>
      </c>
      <c r="D391" s="656" t="s">
        <v>9915</v>
      </c>
      <c r="E391" s="656" t="s">
        <v>14275</v>
      </c>
      <c r="F391" s="1447">
        <v>44147</v>
      </c>
      <c r="G391" s="656" t="s">
        <v>9914</v>
      </c>
      <c r="H391" s="656" t="s">
        <v>1777</v>
      </c>
      <c r="I391" s="656"/>
      <c r="J391" s="656"/>
      <c r="K391" s="656"/>
      <c r="L391" s="656" t="s">
        <v>9915</v>
      </c>
      <c r="M391" s="656" t="s">
        <v>16196</v>
      </c>
      <c r="N391" s="656"/>
      <c r="O391" s="656" t="s">
        <v>6395</v>
      </c>
      <c r="P391" s="5"/>
      <c r="Q391" s="1447">
        <v>43517</v>
      </c>
      <c r="R391" s="656"/>
      <c r="S391" s="656" t="s">
        <v>472</v>
      </c>
      <c r="T391" s="656"/>
      <c r="U391" s="656"/>
      <c r="V391" s="656"/>
      <c r="W391" s="656" t="s">
        <v>13051</v>
      </c>
      <c r="X391" s="656" t="s">
        <v>498</v>
      </c>
      <c r="Y391" s="656" t="s">
        <v>14278</v>
      </c>
      <c r="Z391" s="656">
        <v>44305.525567129633</v>
      </c>
      <c r="AA391" s="656" t="s">
        <v>14335</v>
      </c>
      <c r="AB391" s="656"/>
    </row>
    <row r="392" spans="1:28">
      <c r="A392" s="656" t="s">
        <v>701</v>
      </c>
      <c r="B392" s="656" t="s">
        <v>12531</v>
      </c>
      <c r="C392" s="656" t="s">
        <v>20</v>
      </c>
      <c r="D392" s="656" t="s">
        <v>12989</v>
      </c>
      <c r="E392" s="656" t="s">
        <v>14279</v>
      </c>
      <c r="F392" s="1447"/>
      <c r="G392" s="656" t="s">
        <v>12990</v>
      </c>
      <c r="H392" s="656" t="s">
        <v>1777</v>
      </c>
      <c r="I392" s="656"/>
      <c r="J392" s="656"/>
      <c r="K392" s="656"/>
      <c r="L392" s="656" t="s">
        <v>12989</v>
      </c>
      <c r="M392" s="656" t="s">
        <v>16196</v>
      </c>
      <c r="N392" s="656"/>
      <c r="O392" s="656" t="s">
        <v>6421</v>
      </c>
      <c r="P392" s="5"/>
      <c r="Q392" s="1447">
        <v>44152</v>
      </c>
      <c r="R392" s="656"/>
      <c r="S392" s="656" t="s">
        <v>462</v>
      </c>
      <c r="T392" s="656"/>
      <c r="U392" s="656"/>
      <c r="V392" s="656"/>
      <c r="W392" s="656" t="s">
        <v>13051</v>
      </c>
      <c r="X392" s="656" t="s">
        <v>498</v>
      </c>
      <c r="Y392" s="656" t="s">
        <v>14278</v>
      </c>
      <c r="Z392" s="656">
        <v>44305.525555555556</v>
      </c>
      <c r="AA392" s="656" t="s">
        <v>14335</v>
      </c>
      <c r="AB392" s="656"/>
    </row>
    <row r="393" spans="1:28">
      <c r="A393" s="656" t="s">
        <v>701</v>
      </c>
      <c r="B393" s="656" t="s">
        <v>12531</v>
      </c>
      <c r="C393" s="656" t="s">
        <v>20</v>
      </c>
      <c r="D393" s="656" t="s">
        <v>12991</v>
      </c>
      <c r="E393" s="656" t="s">
        <v>14279</v>
      </c>
      <c r="F393" s="1447"/>
      <c r="G393" s="656" t="s">
        <v>12990</v>
      </c>
      <c r="H393" s="656" t="s">
        <v>1777</v>
      </c>
      <c r="I393" s="656"/>
      <c r="J393" s="656"/>
      <c r="K393" s="656"/>
      <c r="L393" s="656" t="s">
        <v>12991</v>
      </c>
      <c r="M393" s="656" t="s">
        <v>16196</v>
      </c>
      <c r="N393" s="656"/>
      <c r="O393" s="656" t="s">
        <v>6421</v>
      </c>
      <c r="P393" s="5"/>
      <c r="Q393" s="1447">
        <v>44152</v>
      </c>
      <c r="R393" s="656"/>
      <c r="S393" s="656" t="s">
        <v>462</v>
      </c>
      <c r="T393" s="656"/>
      <c r="U393" s="656"/>
      <c r="V393" s="656"/>
      <c r="W393" s="656" t="s">
        <v>13051</v>
      </c>
      <c r="X393" s="656" t="s">
        <v>498</v>
      </c>
      <c r="Y393" s="656" t="s">
        <v>14278</v>
      </c>
      <c r="Z393" s="656">
        <v>44305.525555555556</v>
      </c>
      <c r="AA393" s="656" t="s">
        <v>14335</v>
      </c>
      <c r="AB393" s="656"/>
    </row>
    <row r="394" spans="1:28">
      <c r="A394" s="656" t="s">
        <v>710</v>
      </c>
      <c r="B394" s="656" t="s">
        <v>9636</v>
      </c>
      <c r="C394" s="656" t="s">
        <v>20</v>
      </c>
      <c r="D394" s="656" t="s">
        <v>10262</v>
      </c>
      <c r="E394" s="656" t="s">
        <v>14279</v>
      </c>
      <c r="F394" s="1447"/>
      <c r="G394" s="656" t="s">
        <v>10261</v>
      </c>
      <c r="H394" s="656" t="s">
        <v>1777</v>
      </c>
      <c r="I394" s="656"/>
      <c r="J394" s="656"/>
      <c r="K394" s="656"/>
      <c r="L394" s="656" t="s">
        <v>10262</v>
      </c>
      <c r="M394" s="656" t="s">
        <v>16200</v>
      </c>
      <c r="N394" s="656"/>
      <c r="O394" s="656" t="s">
        <v>6421</v>
      </c>
      <c r="P394" s="5"/>
      <c r="Q394" s="1447">
        <v>43956</v>
      </c>
      <c r="R394" s="656"/>
      <c r="S394" s="656" t="s">
        <v>462</v>
      </c>
      <c r="T394" s="656"/>
      <c r="U394" s="656"/>
      <c r="V394" s="656"/>
      <c r="W394" s="656" t="s">
        <v>13051</v>
      </c>
      <c r="X394" s="656" t="s">
        <v>498</v>
      </c>
      <c r="Y394" s="656" t="s">
        <v>14278</v>
      </c>
      <c r="Z394" s="656">
        <v>44305.525543981479</v>
      </c>
      <c r="AA394" s="656" t="s">
        <v>14335</v>
      </c>
      <c r="AB394" s="656"/>
    </row>
    <row r="395" spans="1:28">
      <c r="A395" s="656" t="s">
        <v>732</v>
      </c>
      <c r="B395" s="656" t="s">
        <v>733</v>
      </c>
      <c r="C395" s="656" t="s">
        <v>21</v>
      </c>
      <c r="D395" s="656" t="s">
        <v>16362</v>
      </c>
      <c r="E395" s="656" t="s">
        <v>14279</v>
      </c>
      <c r="F395" s="1447"/>
      <c r="G395" s="656" t="s">
        <v>16363</v>
      </c>
      <c r="H395" s="656" t="s">
        <v>1777</v>
      </c>
      <c r="I395" s="656" t="s">
        <v>16364</v>
      </c>
      <c r="J395" s="656" t="s">
        <v>16362</v>
      </c>
      <c r="K395" s="656" t="s">
        <v>9774</v>
      </c>
      <c r="L395" s="656"/>
      <c r="M395" s="656" t="s">
        <v>16196</v>
      </c>
      <c r="N395" s="656"/>
      <c r="O395" s="656" t="s">
        <v>6421</v>
      </c>
      <c r="P395" s="5"/>
      <c r="Q395" s="1447">
        <v>44287</v>
      </c>
      <c r="R395" s="656"/>
      <c r="S395" s="656" t="s">
        <v>462</v>
      </c>
      <c r="T395" s="656"/>
      <c r="U395" s="656"/>
      <c r="V395" s="656"/>
      <c r="W395" s="656" t="s">
        <v>13051</v>
      </c>
      <c r="X395" s="656" t="s">
        <v>498</v>
      </c>
      <c r="Y395" s="656" t="s">
        <v>14278</v>
      </c>
      <c r="Z395" s="656">
        <v>44305.527777777781</v>
      </c>
      <c r="AA395" s="656" t="s">
        <v>14335</v>
      </c>
      <c r="AB395" s="656"/>
    </row>
    <row r="396" spans="1:28">
      <c r="A396" s="656" t="s">
        <v>732</v>
      </c>
      <c r="B396" s="656" t="s">
        <v>733</v>
      </c>
      <c r="C396" s="656" t="s">
        <v>20</v>
      </c>
      <c r="D396" s="656" t="s">
        <v>16365</v>
      </c>
      <c r="E396" s="656" t="s">
        <v>14279</v>
      </c>
      <c r="F396" s="1447"/>
      <c r="G396" s="656"/>
      <c r="H396" s="656" t="s">
        <v>1777</v>
      </c>
      <c r="I396" s="656"/>
      <c r="J396" s="656"/>
      <c r="K396" s="656"/>
      <c r="L396" s="656" t="s">
        <v>16365</v>
      </c>
      <c r="M396" s="656" t="s">
        <v>16196</v>
      </c>
      <c r="N396" s="656"/>
      <c r="O396" s="656" t="s">
        <v>6421</v>
      </c>
      <c r="P396" s="5"/>
      <c r="Q396" s="1447">
        <v>44267</v>
      </c>
      <c r="R396" s="656"/>
      <c r="S396" s="656" t="s">
        <v>462</v>
      </c>
      <c r="T396" s="656"/>
      <c r="U396" s="656"/>
      <c r="V396" s="656" t="s">
        <v>14323</v>
      </c>
      <c r="W396" s="656" t="s">
        <v>13051</v>
      </c>
      <c r="X396" s="656" t="s">
        <v>498</v>
      </c>
      <c r="Y396" s="656" t="s">
        <v>14278</v>
      </c>
      <c r="Z396" s="656">
        <v>44307.651932870373</v>
      </c>
      <c r="AA396" s="656" t="s">
        <v>15959</v>
      </c>
      <c r="AB396" s="656"/>
    </row>
    <row r="397" spans="1:28">
      <c r="A397" s="656" t="s">
        <v>732</v>
      </c>
      <c r="B397" s="656" t="s">
        <v>733</v>
      </c>
      <c r="C397" s="656" t="s">
        <v>20</v>
      </c>
      <c r="D397" s="656" t="s">
        <v>16366</v>
      </c>
      <c r="E397" s="656" t="s">
        <v>14279</v>
      </c>
      <c r="F397" s="1447"/>
      <c r="G397" s="656"/>
      <c r="H397" s="656" t="s">
        <v>1777</v>
      </c>
      <c r="I397" s="656"/>
      <c r="J397" s="656"/>
      <c r="K397" s="656"/>
      <c r="L397" s="656" t="s">
        <v>16366</v>
      </c>
      <c r="M397" s="656" t="s">
        <v>16196</v>
      </c>
      <c r="N397" s="656"/>
      <c r="O397" s="656" t="s">
        <v>6421</v>
      </c>
      <c r="P397" s="5"/>
      <c r="Q397" s="1447">
        <v>44267</v>
      </c>
      <c r="R397" s="656"/>
      <c r="S397" s="656" t="s">
        <v>462</v>
      </c>
      <c r="T397" s="656"/>
      <c r="U397" s="656"/>
      <c r="V397" s="656" t="s">
        <v>15960</v>
      </c>
      <c r="W397" s="656" t="s">
        <v>13051</v>
      </c>
      <c r="X397" s="656" t="s">
        <v>498</v>
      </c>
      <c r="Y397" s="656" t="s">
        <v>14278</v>
      </c>
      <c r="Z397" s="656">
        <v>44307.652557870373</v>
      </c>
      <c r="AA397" s="656" t="s">
        <v>15959</v>
      </c>
      <c r="AB397" s="656"/>
    </row>
    <row r="398" spans="1:28">
      <c r="A398" s="656" t="s">
        <v>734</v>
      </c>
      <c r="B398" s="656" t="s">
        <v>735</v>
      </c>
      <c r="C398" s="656" t="s">
        <v>21</v>
      </c>
      <c r="D398" s="656" t="s">
        <v>15377</v>
      </c>
      <c r="E398" s="656" t="s">
        <v>14275</v>
      </c>
      <c r="F398" s="1447">
        <v>44287</v>
      </c>
      <c r="G398" s="656" t="s">
        <v>10322</v>
      </c>
      <c r="H398" s="656" t="s">
        <v>1777</v>
      </c>
      <c r="I398" s="656" t="s">
        <v>15378</v>
      </c>
      <c r="J398" s="656" t="s">
        <v>15377</v>
      </c>
      <c r="K398" s="656" t="s">
        <v>9774</v>
      </c>
      <c r="L398" s="656"/>
      <c r="M398" s="656" t="s">
        <v>16196</v>
      </c>
      <c r="N398" s="656"/>
      <c r="O398" s="656" t="s">
        <v>6421</v>
      </c>
      <c r="P398" s="5"/>
      <c r="Q398" s="1447">
        <v>44012</v>
      </c>
      <c r="R398" s="656">
        <v>44177</v>
      </c>
      <c r="S398" s="656" t="s">
        <v>462</v>
      </c>
      <c r="T398" s="656"/>
      <c r="U398" s="656"/>
      <c r="V398" s="656"/>
      <c r="W398" s="656" t="s">
        <v>13051</v>
      </c>
      <c r="X398" s="656" t="s">
        <v>498</v>
      </c>
      <c r="Y398" s="656" t="s">
        <v>14278</v>
      </c>
      <c r="Z398" s="656">
        <v>44309.728090277778</v>
      </c>
      <c r="AA398" s="656" t="s">
        <v>15959</v>
      </c>
      <c r="AB398" s="656"/>
    </row>
    <row r="399" spans="1:28">
      <c r="A399" s="656" t="s">
        <v>734</v>
      </c>
      <c r="B399" s="656" t="s">
        <v>735</v>
      </c>
      <c r="C399" s="656" t="s">
        <v>20</v>
      </c>
      <c r="D399" s="656" t="s">
        <v>12421</v>
      </c>
      <c r="E399" s="656" t="s">
        <v>14279</v>
      </c>
      <c r="F399" s="1447"/>
      <c r="G399" s="656" t="s">
        <v>10322</v>
      </c>
      <c r="H399" s="656" t="s">
        <v>1777</v>
      </c>
      <c r="I399" s="656"/>
      <c r="J399" s="656"/>
      <c r="K399" s="656"/>
      <c r="L399" s="656" t="s">
        <v>12421</v>
      </c>
      <c r="M399" s="656" t="s">
        <v>16196</v>
      </c>
      <c r="N399" s="656"/>
      <c r="O399" s="656" t="s">
        <v>6387</v>
      </c>
      <c r="P399" s="5"/>
      <c r="Q399" s="1447">
        <v>43991</v>
      </c>
      <c r="R399" s="656"/>
      <c r="S399" s="656" t="s">
        <v>462</v>
      </c>
      <c r="T399" s="656"/>
      <c r="U399" s="656"/>
      <c r="V399" s="656" t="s">
        <v>14323</v>
      </c>
      <c r="W399" s="656" t="s">
        <v>13051</v>
      </c>
      <c r="X399" s="656" t="s">
        <v>498</v>
      </c>
      <c r="Y399" s="656" t="s">
        <v>14278</v>
      </c>
      <c r="Z399" s="656">
        <v>44305.52553240741</v>
      </c>
      <c r="AA399" s="656" t="s">
        <v>14335</v>
      </c>
      <c r="AB399" s="656"/>
    </row>
    <row r="400" spans="1:28">
      <c r="A400" s="656" t="s">
        <v>734</v>
      </c>
      <c r="B400" s="656" t="s">
        <v>735</v>
      </c>
      <c r="C400" s="656" t="s">
        <v>20</v>
      </c>
      <c r="D400" s="656" t="s">
        <v>12422</v>
      </c>
      <c r="E400" s="656" t="s">
        <v>14279</v>
      </c>
      <c r="F400" s="1447"/>
      <c r="G400" s="656" t="s">
        <v>10322</v>
      </c>
      <c r="H400" s="656" t="s">
        <v>1777</v>
      </c>
      <c r="I400" s="656"/>
      <c r="J400" s="656"/>
      <c r="K400" s="656"/>
      <c r="L400" s="656" t="s">
        <v>12422</v>
      </c>
      <c r="M400" s="656" t="s">
        <v>16196</v>
      </c>
      <c r="N400" s="656"/>
      <c r="O400" s="656" t="s">
        <v>6387</v>
      </c>
      <c r="P400" s="5"/>
      <c r="Q400" s="1447">
        <v>43991</v>
      </c>
      <c r="R400" s="656"/>
      <c r="S400" s="656" t="s">
        <v>462</v>
      </c>
      <c r="T400" s="656"/>
      <c r="U400" s="656"/>
      <c r="V400" s="656" t="s">
        <v>14361</v>
      </c>
      <c r="W400" s="656" t="s">
        <v>13051</v>
      </c>
      <c r="X400" s="656" t="s">
        <v>498</v>
      </c>
      <c r="Y400" s="656" t="s">
        <v>14278</v>
      </c>
      <c r="Z400" s="656">
        <v>44305.525543981479</v>
      </c>
      <c r="AA400" s="656" t="s">
        <v>14335</v>
      </c>
      <c r="AB400" s="656"/>
    </row>
    <row r="401" spans="1:28">
      <c r="A401" s="656" t="s">
        <v>742</v>
      </c>
      <c r="B401" s="656" t="s">
        <v>743</v>
      </c>
      <c r="C401" s="656" t="s">
        <v>21</v>
      </c>
      <c r="D401" s="656" t="s">
        <v>12469</v>
      </c>
      <c r="E401" s="656" t="s">
        <v>14279</v>
      </c>
      <c r="F401" s="1447"/>
      <c r="G401" s="656" t="s">
        <v>10259</v>
      </c>
      <c r="H401" s="656" t="s">
        <v>1777</v>
      </c>
      <c r="I401" s="656" t="s">
        <v>14396</v>
      </c>
      <c r="J401" s="656" t="s">
        <v>12469</v>
      </c>
      <c r="K401" s="656" t="s">
        <v>9774</v>
      </c>
      <c r="L401" s="656"/>
      <c r="M401" s="656" t="s">
        <v>16196</v>
      </c>
      <c r="N401" s="656"/>
      <c r="O401" s="656" t="s">
        <v>6421</v>
      </c>
      <c r="P401" s="5"/>
      <c r="Q401" s="1447">
        <v>44061</v>
      </c>
      <c r="R401" s="656"/>
      <c r="S401" s="656" t="s">
        <v>462</v>
      </c>
      <c r="T401" s="656"/>
      <c r="U401" s="656"/>
      <c r="V401" s="656"/>
      <c r="W401" s="656" t="s">
        <v>13051</v>
      </c>
      <c r="X401" s="656" t="s">
        <v>498</v>
      </c>
      <c r="Y401" s="656" t="s">
        <v>14278</v>
      </c>
      <c r="Z401" s="656">
        <v>44305.525462962964</v>
      </c>
      <c r="AA401" s="656" t="s">
        <v>14335</v>
      </c>
      <c r="AB401" s="656"/>
    </row>
    <row r="402" spans="1:28">
      <c r="A402" s="656" t="s">
        <v>742</v>
      </c>
      <c r="B402" s="656" t="s">
        <v>743</v>
      </c>
      <c r="C402" s="656" t="s">
        <v>21</v>
      </c>
      <c r="D402" s="656" t="s">
        <v>12881</v>
      </c>
      <c r="E402" s="656" t="s">
        <v>14279</v>
      </c>
      <c r="F402" s="1447"/>
      <c r="G402" s="656" t="s">
        <v>12882</v>
      </c>
      <c r="H402" s="656" t="s">
        <v>1777</v>
      </c>
      <c r="I402" s="656" t="s">
        <v>14396</v>
      </c>
      <c r="J402" s="656" t="s">
        <v>12881</v>
      </c>
      <c r="K402" s="656" t="s">
        <v>9774</v>
      </c>
      <c r="L402" s="656"/>
      <c r="M402" s="656" t="s">
        <v>16196</v>
      </c>
      <c r="N402" s="656"/>
      <c r="O402" s="656" t="s">
        <v>6421</v>
      </c>
      <c r="P402" s="5" t="s">
        <v>14397</v>
      </c>
      <c r="Q402" s="1447">
        <v>44119</v>
      </c>
      <c r="R402" s="656"/>
      <c r="S402" s="656" t="s">
        <v>462</v>
      </c>
      <c r="T402" s="656"/>
      <c r="U402" s="656"/>
      <c r="V402" s="656"/>
      <c r="W402" s="656" t="s">
        <v>13051</v>
      </c>
      <c r="X402" s="656" t="s">
        <v>498</v>
      </c>
      <c r="Y402" s="656" t="s">
        <v>14278</v>
      </c>
      <c r="Z402" s="656">
        <v>44305.52547453704</v>
      </c>
      <c r="AA402" s="656" t="s">
        <v>14335</v>
      </c>
      <c r="AB402" s="656"/>
    </row>
    <row r="403" spans="1:28">
      <c r="A403" s="656" t="s">
        <v>742</v>
      </c>
      <c r="B403" s="656" t="s">
        <v>743</v>
      </c>
      <c r="C403" s="656" t="s">
        <v>21</v>
      </c>
      <c r="D403" s="656" t="s">
        <v>12883</v>
      </c>
      <c r="E403" s="656" t="s">
        <v>14279</v>
      </c>
      <c r="F403" s="1447"/>
      <c r="G403" s="656" t="s">
        <v>12884</v>
      </c>
      <c r="H403" s="656" t="s">
        <v>1777</v>
      </c>
      <c r="I403" s="656" t="s">
        <v>14396</v>
      </c>
      <c r="J403" s="656" t="s">
        <v>12883</v>
      </c>
      <c r="K403" s="656" t="s">
        <v>9774</v>
      </c>
      <c r="L403" s="656"/>
      <c r="M403" s="656" t="s">
        <v>16196</v>
      </c>
      <c r="N403" s="656"/>
      <c r="O403" s="656" t="s">
        <v>6421</v>
      </c>
      <c r="P403" s="5" t="s">
        <v>14398</v>
      </c>
      <c r="Q403" s="1447">
        <v>44119</v>
      </c>
      <c r="R403" s="656"/>
      <c r="S403" s="656" t="s">
        <v>462</v>
      </c>
      <c r="T403" s="656"/>
      <c r="U403" s="656"/>
      <c r="V403" s="656"/>
      <c r="W403" s="656" t="s">
        <v>13051</v>
      </c>
      <c r="X403" s="656" t="s">
        <v>498</v>
      </c>
      <c r="Y403" s="656" t="s">
        <v>14278</v>
      </c>
      <c r="Z403" s="656">
        <v>44305.52547453704</v>
      </c>
      <c r="AA403" s="656" t="s">
        <v>14335</v>
      </c>
      <c r="AB403" s="656"/>
    </row>
    <row r="404" spans="1:28">
      <c r="A404" s="656" t="s">
        <v>742</v>
      </c>
      <c r="B404" s="656" t="s">
        <v>743</v>
      </c>
      <c r="C404" s="656" t="s">
        <v>21</v>
      </c>
      <c r="D404" s="656" t="s">
        <v>12885</v>
      </c>
      <c r="E404" s="656" t="s">
        <v>14313</v>
      </c>
      <c r="F404" s="1447"/>
      <c r="G404" s="656" t="s">
        <v>12886</v>
      </c>
      <c r="H404" s="656" t="s">
        <v>1777</v>
      </c>
      <c r="I404" s="656" t="s">
        <v>14396</v>
      </c>
      <c r="J404" s="656" t="s">
        <v>12885</v>
      </c>
      <c r="K404" s="656" t="s">
        <v>9774</v>
      </c>
      <c r="L404" s="656"/>
      <c r="M404" s="656" t="s">
        <v>16196</v>
      </c>
      <c r="N404" s="656"/>
      <c r="O404" s="656" t="s">
        <v>6421</v>
      </c>
      <c r="P404" s="5" t="s">
        <v>14399</v>
      </c>
      <c r="Q404" s="1447">
        <v>44119</v>
      </c>
      <c r="R404" s="656">
        <v>44177</v>
      </c>
      <c r="S404" s="656" t="s">
        <v>462</v>
      </c>
      <c r="T404" s="656"/>
      <c r="U404" s="656"/>
      <c r="V404" s="656"/>
      <c r="W404" s="656" t="s">
        <v>13051</v>
      </c>
      <c r="X404" s="656" t="s">
        <v>498</v>
      </c>
      <c r="Y404" s="656" t="s">
        <v>14278</v>
      </c>
      <c r="Z404" s="656">
        <v>44305.52548611111</v>
      </c>
      <c r="AA404" s="656" t="s">
        <v>14335</v>
      </c>
      <c r="AB404" s="656"/>
    </row>
    <row r="405" spans="1:28">
      <c r="A405" s="656" t="s">
        <v>742</v>
      </c>
      <c r="B405" s="656" t="s">
        <v>743</v>
      </c>
      <c r="C405" s="656" t="s">
        <v>21</v>
      </c>
      <c r="D405" s="656" t="s">
        <v>12887</v>
      </c>
      <c r="E405" s="656" t="s">
        <v>14313</v>
      </c>
      <c r="F405" s="1447"/>
      <c r="G405" s="656" t="s">
        <v>12888</v>
      </c>
      <c r="H405" s="656" t="s">
        <v>1777</v>
      </c>
      <c r="I405" s="656" t="s">
        <v>14396</v>
      </c>
      <c r="J405" s="656" t="s">
        <v>12887</v>
      </c>
      <c r="K405" s="656" t="s">
        <v>9774</v>
      </c>
      <c r="L405" s="656"/>
      <c r="M405" s="656" t="s">
        <v>16196</v>
      </c>
      <c r="N405" s="656"/>
      <c r="O405" s="656" t="s">
        <v>6421</v>
      </c>
      <c r="P405" s="5" t="s">
        <v>15428</v>
      </c>
      <c r="Q405" s="1447">
        <v>44119</v>
      </c>
      <c r="R405" s="656">
        <v>44179</v>
      </c>
      <c r="S405" s="656" t="s">
        <v>462</v>
      </c>
      <c r="T405" s="656"/>
      <c r="U405" s="656"/>
      <c r="V405" s="656"/>
      <c r="W405" s="656" t="s">
        <v>13051</v>
      </c>
      <c r="X405" s="656" t="s">
        <v>498</v>
      </c>
      <c r="Y405" s="656" t="s">
        <v>14278</v>
      </c>
      <c r="Z405" s="656">
        <v>44305.52548611111</v>
      </c>
      <c r="AA405" s="656" t="s">
        <v>14335</v>
      </c>
      <c r="AB405" s="656"/>
    </row>
    <row r="406" spans="1:28">
      <c r="A406" s="656" t="s">
        <v>742</v>
      </c>
      <c r="B406" s="656" t="s">
        <v>743</v>
      </c>
      <c r="C406" s="656" t="s">
        <v>21</v>
      </c>
      <c r="D406" s="656" t="s">
        <v>12889</v>
      </c>
      <c r="E406" s="656" t="s">
        <v>14313</v>
      </c>
      <c r="F406" s="1447"/>
      <c r="G406" s="656" t="s">
        <v>12890</v>
      </c>
      <c r="H406" s="656" t="s">
        <v>1777</v>
      </c>
      <c r="I406" s="656" t="s">
        <v>14396</v>
      </c>
      <c r="J406" s="656" t="s">
        <v>12889</v>
      </c>
      <c r="K406" s="656" t="s">
        <v>9774</v>
      </c>
      <c r="L406" s="656"/>
      <c r="M406" s="656" t="s">
        <v>16196</v>
      </c>
      <c r="N406" s="656"/>
      <c r="O406" s="656" t="s">
        <v>6421</v>
      </c>
      <c r="P406" s="5" t="s">
        <v>15429</v>
      </c>
      <c r="Q406" s="1447">
        <v>44119</v>
      </c>
      <c r="R406" s="656">
        <v>44004</v>
      </c>
      <c r="S406" s="656" t="s">
        <v>462</v>
      </c>
      <c r="T406" s="656"/>
      <c r="U406" s="656"/>
      <c r="V406" s="656"/>
      <c r="W406" s="656" t="s">
        <v>13051</v>
      </c>
      <c r="X406" s="656" t="s">
        <v>498</v>
      </c>
      <c r="Y406" s="656" t="s">
        <v>14278</v>
      </c>
      <c r="Z406" s="656">
        <v>44305.525497685187</v>
      </c>
      <c r="AA406" s="656" t="s">
        <v>14335</v>
      </c>
      <c r="AB406" s="656"/>
    </row>
    <row r="407" spans="1:28">
      <c r="A407" s="656" t="s">
        <v>742</v>
      </c>
      <c r="B407" s="656" t="s">
        <v>743</v>
      </c>
      <c r="C407" s="656" t="s">
        <v>21</v>
      </c>
      <c r="D407" s="656" t="s">
        <v>12891</v>
      </c>
      <c r="E407" s="656" t="s">
        <v>14279</v>
      </c>
      <c r="F407" s="1447"/>
      <c r="G407" s="656" t="s">
        <v>12892</v>
      </c>
      <c r="H407" s="656" t="s">
        <v>1777</v>
      </c>
      <c r="I407" s="656" t="s">
        <v>14396</v>
      </c>
      <c r="J407" s="656" t="s">
        <v>12891</v>
      </c>
      <c r="K407" s="656" t="s">
        <v>9774</v>
      </c>
      <c r="L407" s="656"/>
      <c r="M407" s="656" t="s">
        <v>16196</v>
      </c>
      <c r="N407" s="656"/>
      <c r="O407" s="656" t="s">
        <v>6421</v>
      </c>
      <c r="P407" s="5" t="s">
        <v>15430</v>
      </c>
      <c r="Q407" s="1447">
        <v>44119</v>
      </c>
      <c r="R407" s="656"/>
      <c r="S407" s="656" t="s">
        <v>462</v>
      </c>
      <c r="T407" s="656"/>
      <c r="U407" s="656"/>
      <c r="V407" s="656"/>
      <c r="W407" s="656" t="s">
        <v>13051</v>
      </c>
      <c r="X407" s="656" t="s">
        <v>498</v>
      </c>
      <c r="Y407" s="656" t="s">
        <v>14278</v>
      </c>
      <c r="Z407" s="656">
        <v>44305.525497685187</v>
      </c>
      <c r="AA407" s="656" t="s">
        <v>14335</v>
      </c>
      <c r="AB407" s="656"/>
    </row>
    <row r="408" spans="1:28">
      <c r="A408" s="656" t="s">
        <v>742</v>
      </c>
      <c r="B408" s="656" t="s">
        <v>743</v>
      </c>
      <c r="C408" s="656" t="s">
        <v>21</v>
      </c>
      <c r="D408" s="656" t="s">
        <v>12893</v>
      </c>
      <c r="E408" s="656" t="s">
        <v>14279</v>
      </c>
      <c r="F408" s="1447"/>
      <c r="G408" s="656" t="s">
        <v>12894</v>
      </c>
      <c r="H408" s="656" t="s">
        <v>1777</v>
      </c>
      <c r="I408" s="656" t="s">
        <v>14396</v>
      </c>
      <c r="J408" s="656" t="s">
        <v>12893</v>
      </c>
      <c r="K408" s="656" t="s">
        <v>9774</v>
      </c>
      <c r="L408" s="656"/>
      <c r="M408" s="656" t="s">
        <v>16196</v>
      </c>
      <c r="N408" s="656"/>
      <c r="O408" s="656" t="s">
        <v>6421</v>
      </c>
      <c r="P408" s="5" t="s">
        <v>15431</v>
      </c>
      <c r="Q408" s="1447">
        <v>44119</v>
      </c>
      <c r="R408" s="656"/>
      <c r="S408" s="656" t="s">
        <v>462</v>
      </c>
      <c r="T408" s="656"/>
      <c r="U408" s="656"/>
      <c r="V408" s="656"/>
      <c r="W408" s="656" t="s">
        <v>13051</v>
      </c>
      <c r="X408" s="656" t="s">
        <v>498</v>
      </c>
      <c r="Y408" s="656" t="s">
        <v>14278</v>
      </c>
      <c r="Z408" s="656">
        <v>44305.525509259256</v>
      </c>
      <c r="AA408" s="656" t="s">
        <v>14335</v>
      </c>
      <c r="AB408" s="656"/>
    </row>
    <row r="409" spans="1:28">
      <c r="A409" s="656" t="s">
        <v>742</v>
      </c>
      <c r="B409" s="656" t="s">
        <v>743</v>
      </c>
      <c r="C409" s="656" t="s">
        <v>21</v>
      </c>
      <c r="D409" s="656" t="s">
        <v>12895</v>
      </c>
      <c r="E409" s="656" t="s">
        <v>14279</v>
      </c>
      <c r="F409" s="1447"/>
      <c r="G409" s="656" t="s">
        <v>12896</v>
      </c>
      <c r="H409" s="656" t="s">
        <v>1777</v>
      </c>
      <c r="I409" s="656" t="s">
        <v>14396</v>
      </c>
      <c r="J409" s="656" t="s">
        <v>12895</v>
      </c>
      <c r="K409" s="656" t="s">
        <v>9774</v>
      </c>
      <c r="L409" s="656"/>
      <c r="M409" s="656" t="s">
        <v>16196</v>
      </c>
      <c r="N409" s="656"/>
      <c r="O409" s="656" t="s">
        <v>6421</v>
      </c>
      <c r="P409" s="5" t="s">
        <v>15432</v>
      </c>
      <c r="Q409" s="1447">
        <v>44119</v>
      </c>
      <c r="R409" s="656"/>
      <c r="S409" s="656" t="s">
        <v>462</v>
      </c>
      <c r="T409" s="656"/>
      <c r="U409" s="656"/>
      <c r="V409" s="656"/>
      <c r="W409" s="656" t="s">
        <v>13051</v>
      </c>
      <c r="X409" s="656" t="s">
        <v>498</v>
      </c>
      <c r="Y409" s="656" t="s">
        <v>14278</v>
      </c>
      <c r="Z409" s="656">
        <v>44305.525509259256</v>
      </c>
      <c r="AA409" s="656" t="s">
        <v>14335</v>
      </c>
      <c r="AB409" s="656"/>
    </row>
    <row r="410" spans="1:28">
      <c r="A410" s="656" t="s">
        <v>742</v>
      </c>
      <c r="B410" s="656" t="s">
        <v>743</v>
      </c>
      <c r="C410" s="656" t="s">
        <v>21</v>
      </c>
      <c r="D410" s="656" t="s">
        <v>12897</v>
      </c>
      <c r="E410" s="656" t="s">
        <v>14279</v>
      </c>
      <c r="F410" s="1447"/>
      <c r="G410" s="656" t="s">
        <v>12898</v>
      </c>
      <c r="H410" s="656" t="s">
        <v>1777</v>
      </c>
      <c r="I410" s="656" t="s">
        <v>14396</v>
      </c>
      <c r="J410" s="656" t="s">
        <v>12897</v>
      </c>
      <c r="K410" s="656" t="s">
        <v>9774</v>
      </c>
      <c r="L410" s="656"/>
      <c r="M410" s="656" t="s">
        <v>16196</v>
      </c>
      <c r="N410" s="656"/>
      <c r="O410" s="656" t="s">
        <v>6421</v>
      </c>
      <c r="P410" s="5"/>
      <c r="Q410" s="1447">
        <v>44119</v>
      </c>
      <c r="R410" s="656"/>
      <c r="S410" s="656" t="s">
        <v>462</v>
      </c>
      <c r="T410" s="656"/>
      <c r="U410" s="656"/>
      <c r="V410" s="656"/>
      <c r="W410" s="656" t="s">
        <v>13051</v>
      </c>
      <c r="X410" s="656" t="s">
        <v>498</v>
      </c>
      <c r="Y410" s="656" t="s">
        <v>14278</v>
      </c>
      <c r="Z410" s="656">
        <v>44305.525520833333</v>
      </c>
      <c r="AA410" s="656" t="s">
        <v>14335</v>
      </c>
      <c r="AB410" s="656"/>
    </row>
    <row r="411" spans="1:28">
      <c r="A411" s="656" t="s">
        <v>742</v>
      </c>
      <c r="B411" s="656" t="s">
        <v>743</v>
      </c>
      <c r="C411" s="656" t="s">
        <v>21</v>
      </c>
      <c r="D411" s="656" t="s">
        <v>12899</v>
      </c>
      <c r="E411" s="656" t="s">
        <v>14313</v>
      </c>
      <c r="F411" s="1447"/>
      <c r="G411" s="656" t="s">
        <v>12900</v>
      </c>
      <c r="H411" s="656" t="s">
        <v>1777</v>
      </c>
      <c r="I411" s="656" t="s">
        <v>14396</v>
      </c>
      <c r="J411" s="656" t="s">
        <v>12899</v>
      </c>
      <c r="K411" s="656" t="s">
        <v>9774</v>
      </c>
      <c r="L411" s="656"/>
      <c r="M411" s="656" t="s">
        <v>16196</v>
      </c>
      <c r="N411" s="656"/>
      <c r="O411" s="656" t="s">
        <v>6421</v>
      </c>
      <c r="P411" s="5" t="s">
        <v>14400</v>
      </c>
      <c r="Q411" s="1447">
        <v>44119</v>
      </c>
      <c r="R411" s="656">
        <v>44074</v>
      </c>
      <c r="S411" s="656" t="s">
        <v>462</v>
      </c>
      <c r="T411" s="656"/>
      <c r="U411" s="656"/>
      <c r="V411" s="656"/>
      <c r="W411" s="656" t="s">
        <v>13051</v>
      </c>
      <c r="X411" s="656" t="s">
        <v>498</v>
      </c>
      <c r="Y411" s="656" t="s">
        <v>14278</v>
      </c>
      <c r="Z411" s="656">
        <v>44305.525520833333</v>
      </c>
      <c r="AA411" s="656" t="s">
        <v>14335</v>
      </c>
      <c r="AB411" s="656"/>
    </row>
    <row r="412" spans="1:28">
      <c r="A412" s="656" t="s">
        <v>742</v>
      </c>
      <c r="B412" s="656" t="s">
        <v>743</v>
      </c>
      <c r="C412" s="656" t="s">
        <v>20</v>
      </c>
      <c r="D412" s="656" t="s">
        <v>10260</v>
      </c>
      <c r="E412" s="656" t="s">
        <v>14279</v>
      </c>
      <c r="F412" s="1447"/>
      <c r="G412" s="656" t="s">
        <v>10259</v>
      </c>
      <c r="H412" s="656" t="s">
        <v>1777</v>
      </c>
      <c r="I412" s="656"/>
      <c r="J412" s="656"/>
      <c r="K412" s="656"/>
      <c r="L412" s="656" t="s">
        <v>10260</v>
      </c>
      <c r="M412" s="656" t="s">
        <v>16196</v>
      </c>
      <c r="N412" s="656"/>
      <c r="O412" s="656" t="s">
        <v>6395</v>
      </c>
      <c r="P412" s="5"/>
      <c r="Q412" s="1447">
        <v>43951</v>
      </c>
      <c r="R412" s="656"/>
      <c r="S412" s="656" t="s">
        <v>462</v>
      </c>
      <c r="T412" s="656"/>
      <c r="U412" s="656"/>
      <c r="V412" s="656"/>
      <c r="W412" s="656" t="s">
        <v>13051</v>
      </c>
      <c r="X412" s="656" t="s">
        <v>498</v>
      </c>
      <c r="Y412" s="656" t="s">
        <v>14278</v>
      </c>
      <c r="Z412" s="656">
        <v>44305.525520833333</v>
      </c>
      <c r="AA412" s="656" t="s">
        <v>14335</v>
      </c>
      <c r="AB412" s="656"/>
    </row>
    <row r="413" spans="1:28">
      <c r="A413" s="656" t="s">
        <v>746</v>
      </c>
      <c r="B413" s="656" t="s">
        <v>747</v>
      </c>
      <c r="C413" s="656" t="s">
        <v>20</v>
      </c>
      <c r="D413" s="656" t="s">
        <v>10065</v>
      </c>
      <c r="E413" s="656" t="s">
        <v>14279</v>
      </c>
      <c r="F413" s="1447"/>
      <c r="G413" s="656" t="s">
        <v>10064</v>
      </c>
      <c r="H413" s="656" t="s">
        <v>1777</v>
      </c>
      <c r="I413" s="656"/>
      <c r="J413" s="656"/>
      <c r="K413" s="656"/>
      <c r="L413" s="656" t="s">
        <v>10065</v>
      </c>
      <c r="M413" s="656" t="s">
        <v>16196</v>
      </c>
      <c r="N413" s="656"/>
      <c r="O413" s="656" t="s">
        <v>6395</v>
      </c>
      <c r="P413" s="5"/>
      <c r="Q413" s="1447">
        <v>43733</v>
      </c>
      <c r="R413" s="656"/>
      <c r="S413" s="656" t="s">
        <v>469</v>
      </c>
      <c r="T413" s="656"/>
      <c r="U413" s="656"/>
      <c r="V413" s="656"/>
      <c r="W413" s="656" t="s">
        <v>13051</v>
      </c>
      <c r="X413" s="656" t="s">
        <v>498</v>
      </c>
      <c r="Y413" s="656" t="s">
        <v>14278</v>
      </c>
      <c r="Z413" s="656">
        <v>44305.525451388887</v>
      </c>
      <c r="AA413" s="656" t="s">
        <v>14335</v>
      </c>
      <c r="AB413" s="656"/>
    </row>
    <row r="414" spans="1:28">
      <c r="A414" s="656" t="s">
        <v>746</v>
      </c>
      <c r="B414" s="656" t="s">
        <v>747</v>
      </c>
      <c r="C414" s="656" t="s">
        <v>20</v>
      </c>
      <c r="D414" s="656" t="s">
        <v>10149</v>
      </c>
      <c r="E414" s="656" t="s">
        <v>14279</v>
      </c>
      <c r="F414" s="1447"/>
      <c r="G414" s="656" t="s">
        <v>10064</v>
      </c>
      <c r="H414" s="656" t="s">
        <v>1777</v>
      </c>
      <c r="I414" s="656"/>
      <c r="J414" s="656"/>
      <c r="K414" s="656"/>
      <c r="L414" s="656" t="s">
        <v>10149</v>
      </c>
      <c r="M414" s="656" t="s">
        <v>9450</v>
      </c>
      <c r="N414" s="656" t="s">
        <v>9892</v>
      </c>
      <c r="O414" s="656" t="s">
        <v>6395</v>
      </c>
      <c r="P414" s="5"/>
      <c r="Q414" s="1447">
        <v>43818</v>
      </c>
      <c r="R414" s="656"/>
      <c r="S414" s="656" t="s">
        <v>469</v>
      </c>
      <c r="T414" s="656"/>
      <c r="U414" s="656"/>
      <c r="V414" s="656"/>
      <c r="W414" s="656" t="s">
        <v>13051</v>
      </c>
      <c r="X414" s="656" t="s">
        <v>498</v>
      </c>
      <c r="Y414" s="656" t="s">
        <v>14278</v>
      </c>
      <c r="Z414" s="656">
        <v>44305.525451388887</v>
      </c>
      <c r="AA414" s="656" t="s">
        <v>14335</v>
      </c>
      <c r="AB414" s="656"/>
    </row>
    <row r="415" spans="1:28" ht="29">
      <c r="A415" s="656" t="s">
        <v>748</v>
      </c>
      <c r="B415" s="656" t="s">
        <v>749</v>
      </c>
      <c r="C415" s="656" t="s">
        <v>21</v>
      </c>
      <c r="D415" s="656" t="s">
        <v>12243</v>
      </c>
      <c r="E415" s="656" t="s">
        <v>14275</v>
      </c>
      <c r="F415" s="1447">
        <v>43902</v>
      </c>
      <c r="G415" s="656" t="s">
        <v>12240</v>
      </c>
      <c r="H415" s="656" t="s">
        <v>1777</v>
      </c>
      <c r="I415" s="656" t="s">
        <v>14401</v>
      </c>
      <c r="J415" s="656" t="s">
        <v>12243</v>
      </c>
      <c r="K415" s="656" t="s">
        <v>9774</v>
      </c>
      <c r="L415" s="656"/>
      <c r="M415" s="656" t="s">
        <v>16367</v>
      </c>
      <c r="N415" s="656"/>
      <c r="O415" s="656" t="s">
        <v>6387</v>
      </c>
      <c r="P415" s="5" t="s">
        <v>15433</v>
      </c>
      <c r="Q415" s="1447">
        <v>43602</v>
      </c>
      <c r="R415" s="656">
        <v>43714</v>
      </c>
      <c r="S415" s="656" t="s">
        <v>462</v>
      </c>
      <c r="T415" s="656"/>
      <c r="U415" s="656"/>
      <c r="V415" s="656"/>
      <c r="W415" s="656" t="s">
        <v>13051</v>
      </c>
      <c r="X415" s="656" t="s">
        <v>498</v>
      </c>
      <c r="Y415" s="656" t="s">
        <v>14278</v>
      </c>
      <c r="Z415" s="656">
        <v>44305.525439814817</v>
      </c>
      <c r="AA415" s="656" t="s">
        <v>14335</v>
      </c>
      <c r="AB415" s="656"/>
    </row>
    <row r="416" spans="1:28">
      <c r="A416" s="656" t="s">
        <v>748</v>
      </c>
      <c r="B416" s="656" t="s">
        <v>749</v>
      </c>
      <c r="C416" s="656" t="s">
        <v>20</v>
      </c>
      <c r="D416" s="656" t="s">
        <v>12241</v>
      </c>
      <c r="E416" s="656" t="s">
        <v>14275</v>
      </c>
      <c r="F416" s="1447">
        <v>43927</v>
      </c>
      <c r="G416" s="656" t="s">
        <v>12240</v>
      </c>
      <c r="H416" s="656" t="s">
        <v>1777</v>
      </c>
      <c r="I416" s="656"/>
      <c r="J416" s="656"/>
      <c r="K416" s="656"/>
      <c r="L416" s="656" t="s">
        <v>12241</v>
      </c>
      <c r="M416" s="656" t="s">
        <v>16367</v>
      </c>
      <c r="N416" s="656"/>
      <c r="O416" s="656" t="s">
        <v>6387</v>
      </c>
      <c r="P416" s="5"/>
      <c r="Q416" s="1447">
        <v>43571</v>
      </c>
      <c r="R416" s="656"/>
      <c r="S416" s="656" t="s">
        <v>462</v>
      </c>
      <c r="T416" s="656"/>
      <c r="U416" s="656"/>
      <c r="V416" s="656"/>
      <c r="W416" s="656" t="s">
        <v>13051</v>
      </c>
      <c r="X416" s="656" t="s">
        <v>498</v>
      </c>
      <c r="Y416" s="656" t="s">
        <v>14278</v>
      </c>
      <c r="Z416" s="656">
        <v>44305.525439814817</v>
      </c>
      <c r="AA416" s="656" t="s">
        <v>14335</v>
      </c>
      <c r="AB416" s="656"/>
    </row>
    <row r="417" spans="1:28">
      <c r="A417" s="656" t="s">
        <v>8784</v>
      </c>
      <c r="B417" s="656" t="s">
        <v>8786</v>
      </c>
      <c r="C417" s="656" t="s">
        <v>20</v>
      </c>
      <c r="D417" s="656" t="s">
        <v>12266</v>
      </c>
      <c r="E417" s="656" t="s">
        <v>14275</v>
      </c>
      <c r="F417" s="1447">
        <v>43927</v>
      </c>
      <c r="G417" s="656" t="s">
        <v>12265</v>
      </c>
      <c r="H417" s="656" t="s">
        <v>1777</v>
      </c>
      <c r="I417" s="656"/>
      <c r="J417" s="656"/>
      <c r="K417" s="656"/>
      <c r="L417" s="656" t="s">
        <v>12266</v>
      </c>
      <c r="M417" s="656" t="s">
        <v>16323</v>
      </c>
      <c r="N417" s="656"/>
      <c r="O417" s="656" t="s">
        <v>6387</v>
      </c>
      <c r="P417" s="5"/>
      <c r="Q417" s="1447">
        <v>43760</v>
      </c>
      <c r="R417" s="656"/>
      <c r="S417" s="656" t="s">
        <v>465</v>
      </c>
      <c r="T417" s="656"/>
      <c r="U417" s="656"/>
      <c r="V417" s="656"/>
      <c r="W417" s="656" t="s">
        <v>13051</v>
      </c>
      <c r="X417" s="656" t="s">
        <v>498</v>
      </c>
      <c r="Y417" s="656" t="s">
        <v>14278</v>
      </c>
      <c r="Z417" s="656">
        <v>44305.52542824074</v>
      </c>
      <c r="AA417" s="656" t="s">
        <v>14335</v>
      </c>
      <c r="AB417" s="656"/>
    </row>
    <row r="418" spans="1:28">
      <c r="A418" s="656" t="s">
        <v>8776</v>
      </c>
      <c r="B418" s="656" t="s">
        <v>8775</v>
      </c>
      <c r="C418" s="656" t="s">
        <v>21</v>
      </c>
      <c r="D418" s="656" t="s">
        <v>10128</v>
      </c>
      <c r="E418" s="656" t="s">
        <v>14275</v>
      </c>
      <c r="F418" s="1447">
        <v>44153</v>
      </c>
      <c r="G418" s="656" t="s">
        <v>10086</v>
      </c>
      <c r="H418" s="656" t="s">
        <v>1777</v>
      </c>
      <c r="I418" s="656" t="s">
        <v>14402</v>
      </c>
      <c r="J418" s="656" t="s">
        <v>10128</v>
      </c>
      <c r="K418" s="656" t="s">
        <v>9774</v>
      </c>
      <c r="L418" s="656"/>
      <c r="M418" s="656" t="s">
        <v>16200</v>
      </c>
      <c r="N418" s="656"/>
      <c r="O418" s="656" t="s">
        <v>6387</v>
      </c>
      <c r="P418" s="5"/>
      <c r="Q418" s="1447">
        <v>43790</v>
      </c>
      <c r="R418" s="656">
        <v>44144</v>
      </c>
      <c r="S418" s="656" t="s">
        <v>500</v>
      </c>
      <c r="T418" s="656"/>
      <c r="U418" s="656"/>
      <c r="V418" s="656"/>
      <c r="W418" s="656" t="s">
        <v>13051</v>
      </c>
      <c r="X418" s="656" t="s">
        <v>498</v>
      </c>
      <c r="Y418" s="656" t="s">
        <v>14278</v>
      </c>
      <c r="Z418" s="656">
        <v>44305.52542824074</v>
      </c>
      <c r="AA418" s="656" t="s">
        <v>14335</v>
      </c>
      <c r="AB418" s="656"/>
    </row>
    <row r="419" spans="1:28">
      <c r="A419" s="656" t="s">
        <v>8776</v>
      </c>
      <c r="B419" s="656" t="s">
        <v>8775</v>
      </c>
      <c r="C419" s="656" t="s">
        <v>20</v>
      </c>
      <c r="D419" s="656" t="s">
        <v>10087</v>
      </c>
      <c r="E419" s="656" t="s">
        <v>14275</v>
      </c>
      <c r="F419" s="1447">
        <v>44158</v>
      </c>
      <c r="G419" s="656" t="s">
        <v>10086</v>
      </c>
      <c r="H419" s="656" t="s">
        <v>1777</v>
      </c>
      <c r="I419" s="656"/>
      <c r="J419" s="656"/>
      <c r="K419" s="656"/>
      <c r="L419" s="656" t="s">
        <v>10087</v>
      </c>
      <c r="M419" s="656" t="s">
        <v>16200</v>
      </c>
      <c r="N419" s="656"/>
      <c r="O419" s="656" t="s">
        <v>6387</v>
      </c>
      <c r="P419" s="5"/>
      <c r="Q419" s="1447">
        <v>43743</v>
      </c>
      <c r="R419" s="656"/>
      <c r="S419" s="656" t="s">
        <v>500</v>
      </c>
      <c r="T419" s="656"/>
      <c r="U419" s="656"/>
      <c r="V419" s="656"/>
      <c r="W419" s="656" t="s">
        <v>13051</v>
      </c>
      <c r="X419" s="656" t="s">
        <v>498</v>
      </c>
      <c r="Y419" s="656" t="s">
        <v>14278</v>
      </c>
      <c r="Z419" s="656">
        <v>44305.525439814817</v>
      </c>
      <c r="AA419" s="656" t="s">
        <v>14335</v>
      </c>
      <c r="AB419" s="656"/>
    </row>
    <row r="420" spans="1:28">
      <c r="A420" s="656" t="s">
        <v>752</v>
      </c>
      <c r="B420" s="656" t="s">
        <v>753</v>
      </c>
      <c r="C420" s="656" t="s">
        <v>20</v>
      </c>
      <c r="D420" s="656" t="s">
        <v>10051</v>
      </c>
      <c r="E420" s="656" t="s">
        <v>14279</v>
      </c>
      <c r="F420" s="1447"/>
      <c r="G420" s="656" t="s">
        <v>10050</v>
      </c>
      <c r="H420" s="656" t="s">
        <v>1777</v>
      </c>
      <c r="I420" s="656"/>
      <c r="J420" s="656"/>
      <c r="K420" s="656"/>
      <c r="L420" s="656" t="s">
        <v>10051</v>
      </c>
      <c r="M420" s="656" t="s">
        <v>16196</v>
      </c>
      <c r="N420" s="656"/>
      <c r="O420" s="656" t="s">
        <v>6387</v>
      </c>
      <c r="P420" s="5"/>
      <c r="Q420" s="1447">
        <v>43704</v>
      </c>
      <c r="R420" s="656"/>
      <c r="S420" s="656" t="s">
        <v>472</v>
      </c>
      <c r="T420" s="656"/>
      <c r="U420" s="656"/>
      <c r="V420" s="656"/>
      <c r="W420" s="656" t="s">
        <v>13051</v>
      </c>
      <c r="X420" s="656" t="s">
        <v>498</v>
      </c>
      <c r="Y420" s="656" t="s">
        <v>14278</v>
      </c>
      <c r="Z420" s="656">
        <v>44305.525416666664</v>
      </c>
      <c r="AA420" s="656" t="s">
        <v>14335</v>
      </c>
      <c r="AB420" s="656"/>
    </row>
    <row r="421" spans="1:28">
      <c r="A421" s="656" t="s">
        <v>781</v>
      </c>
      <c r="B421" s="656" t="s">
        <v>782</v>
      </c>
      <c r="C421" s="656" t="s">
        <v>21</v>
      </c>
      <c r="D421" s="656" t="s">
        <v>12224</v>
      </c>
      <c r="E421" s="656" t="s">
        <v>14275</v>
      </c>
      <c r="F421" s="1447">
        <v>43572</v>
      </c>
      <c r="G421" s="656" t="s">
        <v>12221</v>
      </c>
      <c r="H421" s="656" t="s">
        <v>1777</v>
      </c>
      <c r="I421" s="656" t="s">
        <v>14403</v>
      </c>
      <c r="J421" s="656" t="s">
        <v>12224</v>
      </c>
      <c r="K421" s="656" t="s">
        <v>9774</v>
      </c>
      <c r="L421" s="656"/>
      <c r="M421" s="656" t="s">
        <v>16196</v>
      </c>
      <c r="N421" s="656"/>
      <c r="O421" s="656" t="s">
        <v>6387</v>
      </c>
      <c r="P421" s="5"/>
      <c r="Q421" s="1447">
        <v>43535</v>
      </c>
      <c r="R421" s="656">
        <v>43496</v>
      </c>
      <c r="S421" s="656" t="s">
        <v>783</v>
      </c>
      <c r="T421" s="656"/>
      <c r="U421" s="656"/>
      <c r="V421" s="656"/>
      <c r="W421" s="656" t="s">
        <v>13051</v>
      </c>
      <c r="X421" s="656" t="s">
        <v>498</v>
      </c>
      <c r="Y421" s="656" t="s">
        <v>14278</v>
      </c>
      <c r="Z421" s="656">
        <v>44305.525416666664</v>
      </c>
      <c r="AA421" s="656" t="s">
        <v>14335</v>
      </c>
      <c r="AB421" s="656"/>
    </row>
    <row r="422" spans="1:28">
      <c r="A422" s="656" t="s">
        <v>781</v>
      </c>
      <c r="B422" s="656" t="s">
        <v>782</v>
      </c>
      <c r="C422" s="656" t="s">
        <v>20</v>
      </c>
      <c r="D422" s="656" t="s">
        <v>12222</v>
      </c>
      <c r="E422" s="656" t="s">
        <v>14275</v>
      </c>
      <c r="F422" s="1447">
        <v>43606</v>
      </c>
      <c r="G422" s="656" t="s">
        <v>12221</v>
      </c>
      <c r="H422" s="656" t="s">
        <v>1777</v>
      </c>
      <c r="I422" s="656"/>
      <c r="J422" s="656"/>
      <c r="K422" s="656"/>
      <c r="L422" s="656" t="s">
        <v>12222</v>
      </c>
      <c r="M422" s="656" t="s">
        <v>16196</v>
      </c>
      <c r="N422" s="656"/>
      <c r="O422" s="656" t="s">
        <v>6387</v>
      </c>
      <c r="P422" s="5"/>
      <c r="Q422" s="1447">
        <v>43509</v>
      </c>
      <c r="R422" s="656"/>
      <c r="S422" s="656" t="s">
        <v>783</v>
      </c>
      <c r="T422" s="656"/>
      <c r="U422" s="656"/>
      <c r="V422" s="656"/>
      <c r="W422" s="656" t="s">
        <v>13051</v>
      </c>
      <c r="X422" s="656" t="s">
        <v>498</v>
      </c>
      <c r="Y422" s="656" t="s">
        <v>14278</v>
      </c>
      <c r="Z422" s="656">
        <v>44305.525416666664</v>
      </c>
      <c r="AA422" s="656" t="s">
        <v>14335</v>
      </c>
      <c r="AB422" s="656"/>
    </row>
    <row r="423" spans="1:28">
      <c r="A423" s="656" t="s">
        <v>786</v>
      </c>
      <c r="B423" s="656" t="s">
        <v>787</v>
      </c>
      <c r="C423" s="656" t="s">
        <v>21</v>
      </c>
      <c r="D423" s="656" t="s">
        <v>12319</v>
      </c>
      <c r="E423" s="656" t="s">
        <v>14275</v>
      </c>
      <c r="F423" s="1447">
        <v>44298</v>
      </c>
      <c r="G423" s="656" t="s">
        <v>9948</v>
      </c>
      <c r="H423" s="656" t="s">
        <v>1777</v>
      </c>
      <c r="I423" s="656" t="s">
        <v>14405</v>
      </c>
      <c r="J423" s="656" t="s">
        <v>12319</v>
      </c>
      <c r="K423" s="656" t="s">
        <v>9774</v>
      </c>
      <c r="L423" s="656"/>
      <c r="M423" s="656" t="s">
        <v>16196</v>
      </c>
      <c r="N423" s="656"/>
      <c r="O423" s="656" t="s">
        <v>6395</v>
      </c>
      <c r="P423" s="5"/>
      <c r="Q423" s="1447">
        <v>43910</v>
      </c>
      <c r="R423" s="656">
        <v>43922</v>
      </c>
      <c r="S423" s="656" t="s">
        <v>472</v>
      </c>
      <c r="T423" s="656"/>
      <c r="U423" s="656"/>
      <c r="V423" s="656"/>
      <c r="W423" s="656" t="s">
        <v>13051</v>
      </c>
      <c r="X423" s="656" t="s">
        <v>498</v>
      </c>
      <c r="Y423" s="656" t="s">
        <v>14278</v>
      </c>
      <c r="Z423" s="656">
        <v>44305.525405092594</v>
      </c>
      <c r="AA423" s="656" t="s">
        <v>14335</v>
      </c>
      <c r="AB423" s="656"/>
    </row>
    <row r="424" spans="1:28">
      <c r="A424" s="656" t="s">
        <v>786</v>
      </c>
      <c r="B424" s="656" t="s">
        <v>787</v>
      </c>
      <c r="C424" s="656" t="s">
        <v>20</v>
      </c>
      <c r="D424" s="656" t="s">
        <v>9949</v>
      </c>
      <c r="E424" s="656" t="s">
        <v>14279</v>
      </c>
      <c r="F424" s="1447"/>
      <c r="G424" s="656" t="s">
        <v>9948</v>
      </c>
      <c r="H424" s="656" t="s">
        <v>1777</v>
      </c>
      <c r="I424" s="656"/>
      <c r="J424" s="656"/>
      <c r="K424" s="656"/>
      <c r="L424" s="656" t="s">
        <v>9949</v>
      </c>
      <c r="M424" s="656" t="s">
        <v>16368</v>
      </c>
      <c r="N424" s="656"/>
      <c r="O424" s="656" t="s">
        <v>6395</v>
      </c>
      <c r="P424" s="5" t="s">
        <v>14404</v>
      </c>
      <c r="Q424" s="1447">
        <v>43571</v>
      </c>
      <c r="R424" s="656"/>
      <c r="S424" s="656" t="s">
        <v>472</v>
      </c>
      <c r="T424" s="656"/>
      <c r="U424" s="656"/>
      <c r="V424" s="656"/>
      <c r="W424" s="656" t="s">
        <v>13051</v>
      </c>
      <c r="X424" s="656" t="s">
        <v>498</v>
      </c>
      <c r="Y424" s="656" t="s">
        <v>14278</v>
      </c>
      <c r="Z424" s="656">
        <v>44305.525405092594</v>
      </c>
      <c r="AA424" s="656" t="s">
        <v>14335</v>
      </c>
      <c r="AB424" s="656"/>
    </row>
    <row r="425" spans="1:28">
      <c r="A425" s="656" t="s">
        <v>786</v>
      </c>
      <c r="B425" s="656" t="s">
        <v>787</v>
      </c>
      <c r="C425" s="656" t="s">
        <v>20</v>
      </c>
      <c r="D425" s="656" t="s">
        <v>10027</v>
      </c>
      <c r="E425" s="656" t="s">
        <v>14275</v>
      </c>
      <c r="F425" s="1447">
        <v>44263</v>
      </c>
      <c r="G425" s="656" t="s">
        <v>9948</v>
      </c>
      <c r="H425" s="656" t="s">
        <v>1777</v>
      </c>
      <c r="I425" s="656"/>
      <c r="J425" s="656"/>
      <c r="K425" s="656"/>
      <c r="L425" s="656" t="s">
        <v>10027</v>
      </c>
      <c r="M425" s="656" t="s">
        <v>16196</v>
      </c>
      <c r="N425" s="656"/>
      <c r="O425" s="656" t="s">
        <v>6395</v>
      </c>
      <c r="P425" s="5"/>
      <c r="Q425" s="1447">
        <v>43676</v>
      </c>
      <c r="R425" s="656"/>
      <c r="S425" s="656" t="s">
        <v>472</v>
      </c>
      <c r="T425" s="656"/>
      <c r="U425" s="656"/>
      <c r="V425" s="656"/>
      <c r="W425" s="656" t="s">
        <v>13051</v>
      </c>
      <c r="X425" s="656" t="s">
        <v>498</v>
      </c>
      <c r="Y425" s="656" t="s">
        <v>14278</v>
      </c>
      <c r="Z425" s="656">
        <v>44305.525405092594</v>
      </c>
      <c r="AA425" s="656" t="s">
        <v>14335</v>
      </c>
      <c r="AB425" s="656"/>
    </row>
    <row r="426" spans="1:28">
      <c r="A426" s="656" t="s">
        <v>788</v>
      </c>
      <c r="B426" s="656" t="s">
        <v>789</v>
      </c>
      <c r="C426" s="656" t="s">
        <v>20</v>
      </c>
      <c r="D426" s="656" t="s">
        <v>9969</v>
      </c>
      <c r="E426" s="656" t="s">
        <v>14279</v>
      </c>
      <c r="F426" s="1447"/>
      <c r="G426" s="656" t="s">
        <v>9968</v>
      </c>
      <c r="H426" s="656" t="s">
        <v>1777</v>
      </c>
      <c r="I426" s="656"/>
      <c r="J426" s="656"/>
      <c r="K426" s="656"/>
      <c r="L426" s="656" t="s">
        <v>9969</v>
      </c>
      <c r="M426" s="656" t="s">
        <v>16196</v>
      </c>
      <c r="N426" s="656"/>
      <c r="O426" s="656" t="s">
        <v>6395</v>
      </c>
      <c r="P426" s="5"/>
      <c r="Q426" s="1447">
        <v>43585</v>
      </c>
      <c r="R426" s="656"/>
      <c r="S426" s="656" t="s">
        <v>472</v>
      </c>
      <c r="T426" s="656"/>
      <c r="U426" s="656"/>
      <c r="V426" s="656"/>
      <c r="W426" s="656" t="s">
        <v>13051</v>
      </c>
      <c r="X426" s="656" t="s">
        <v>498</v>
      </c>
      <c r="Y426" s="656" t="s">
        <v>14278</v>
      </c>
      <c r="Z426" s="656">
        <v>44305.525393518517</v>
      </c>
      <c r="AA426" s="656" t="s">
        <v>14335</v>
      </c>
      <c r="AB426" s="656"/>
    </row>
    <row r="427" spans="1:28">
      <c r="A427" s="656" t="s">
        <v>804</v>
      </c>
      <c r="B427" s="656" t="s">
        <v>805</v>
      </c>
      <c r="C427" s="656" t="s">
        <v>21</v>
      </c>
      <c r="D427" s="656" t="s">
        <v>12314</v>
      </c>
      <c r="E427" s="656" t="s">
        <v>14275</v>
      </c>
      <c r="F427" s="1447">
        <v>44088</v>
      </c>
      <c r="G427" s="656" t="s">
        <v>9937</v>
      </c>
      <c r="H427" s="656" t="s">
        <v>1777</v>
      </c>
      <c r="I427" s="656" t="s">
        <v>14406</v>
      </c>
      <c r="J427" s="656" t="s">
        <v>12314</v>
      </c>
      <c r="K427" s="656" t="s">
        <v>9774</v>
      </c>
      <c r="L427" s="656"/>
      <c r="M427" s="656" t="s">
        <v>16323</v>
      </c>
      <c r="N427" s="656"/>
      <c r="O427" s="656" t="s">
        <v>9714</v>
      </c>
      <c r="P427" s="5" t="s">
        <v>15434</v>
      </c>
      <c r="Q427" s="1447">
        <v>43672</v>
      </c>
      <c r="R427" s="656">
        <v>43980</v>
      </c>
      <c r="S427" s="656" t="s">
        <v>9911</v>
      </c>
      <c r="T427" s="656"/>
      <c r="U427" s="656"/>
      <c r="V427" s="656"/>
      <c r="W427" s="656" t="s">
        <v>13051</v>
      </c>
      <c r="X427" s="656" t="s">
        <v>498</v>
      </c>
      <c r="Y427" s="656" t="s">
        <v>14278</v>
      </c>
      <c r="Z427" s="656">
        <v>44305.525381944448</v>
      </c>
      <c r="AA427" s="656" t="s">
        <v>14335</v>
      </c>
      <c r="AB427" s="656"/>
    </row>
    <row r="428" spans="1:28">
      <c r="A428" s="656" t="s">
        <v>804</v>
      </c>
      <c r="B428" s="656" t="s">
        <v>805</v>
      </c>
      <c r="C428" s="656" t="s">
        <v>20</v>
      </c>
      <c r="D428" s="656" t="s">
        <v>9938</v>
      </c>
      <c r="E428" s="656" t="s">
        <v>14275</v>
      </c>
      <c r="F428" s="1447">
        <v>44055</v>
      </c>
      <c r="G428" s="656" t="s">
        <v>9937</v>
      </c>
      <c r="H428" s="656" t="s">
        <v>1777</v>
      </c>
      <c r="I428" s="656"/>
      <c r="J428" s="656"/>
      <c r="K428" s="656"/>
      <c r="L428" s="656" t="s">
        <v>9938</v>
      </c>
      <c r="M428" s="656" t="s">
        <v>16323</v>
      </c>
      <c r="N428" s="656"/>
      <c r="O428" s="656" t="s">
        <v>9714</v>
      </c>
      <c r="P428" s="5"/>
      <c r="Q428" s="1447">
        <v>43528</v>
      </c>
      <c r="R428" s="656"/>
      <c r="S428" s="656" t="s">
        <v>9911</v>
      </c>
      <c r="T428" s="656"/>
      <c r="U428" s="656"/>
      <c r="V428" s="656"/>
      <c r="W428" s="656" t="s">
        <v>13051</v>
      </c>
      <c r="X428" s="656" t="s">
        <v>498</v>
      </c>
      <c r="Y428" s="656" t="s">
        <v>14278</v>
      </c>
      <c r="Z428" s="656">
        <v>44305.525381944448</v>
      </c>
      <c r="AA428" s="656" t="s">
        <v>14335</v>
      </c>
      <c r="AB428" s="656"/>
    </row>
    <row r="429" spans="1:28">
      <c r="A429" s="656" t="s">
        <v>806</v>
      </c>
      <c r="B429" s="656" t="s">
        <v>807</v>
      </c>
      <c r="C429" s="656" t="s">
        <v>21</v>
      </c>
      <c r="D429" s="656" t="s">
        <v>10218</v>
      </c>
      <c r="E429" s="656" t="s">
        <v>14313</v>
      </c>
      <c r="F429" s="1447"/>
      <c r="G429" s="656" t="s">
        <v>10217</v>
      </c>
      <c r="H429" s="656" t="s">
        <v>1777</v>
      </c>
      <c r="I429" s="656" t="s">
        <v>14407</v>
      </c>
      <c r="J429" s="656" t="s">
        <v>10218</v>
      </c>
      <c r="K429" s="656" t="s">
        <v>9774</v>
      </c>
      <c r="L429" s="656"/>
      <c r="M429" s="656" t="s">
        <v>16369</v>
      </c>
      <c r="N429" s="656"/>
      <c r="O429" s="656" t="s">
        <v>6427</v>
      </c>
      <c r="P429" s="5"/>
      <c r="Q429" s="1447"/>
      <c r="R429" s="656">
        <v>44267</v>
      </c>
      <c r="S429" s="656" t="s">
        <v>455</v>
      </c>
      <c r="T429" s="656"/>
      <c r="U429" s="656"/>
      <c r="V429" s="656"/>
      <c r="W429" s="656" t="s">
        <v>13051</v>
      </c>
      <c r="X429" s="656" t="s">
        <v>498</v>
      </c>
      <c r="Y429" s="656" t="s">
        <v>14278</v>
      </c>
      <c r="Z429" s="656">
        <v>44305.525370370371</v>
      </c>
      <c r="AA429" s="656" t="s">
        <v>14335</v>
      </c>
      <c r="AB429" s="656"/>
    </row>
    <row r="430" spans="1:28">
      <c r="A430" s="656" t="s">
        <v>832</v>
      </c>
      <c r="B430" s="656" t="s">
        <v>833</v>
      </c>
      <c r="C430" s="656" t="s">
        <v>20</v>
      </c>
      <c r="D430" s="656" t="s">
        <v>12543</v>
      </c>
      <c r="E430" s="656" t="s">
        <v>14279</v>
      </c>
      <c r="F430" s="1447"/>
      <c r="G430" s="656" t="s">
        <v>12544</v>
      </c>
      <c r="H430" s="656" t="s">
        <v>1777</v>
      </c>
      <c r="I430" s="656"/>
      <c r="J430" s="656"/>
      <c r="K430" s="656"/>
      <c r="L430" s="656" t="s">
        <v>12543</v>
      </c>
      <c r="M430" s="656" t="s">
        <v>9450</v>
      </c>
      <c r="N430" s="656" t="s">
        <v>9892</v>
      </c>
      <c r="O430" s="656" t="s">
        <v>10186</v>
      </c>
      <c r="P430" s="5" t="s">
        <v>14408</v>
      </c>
      <c r="Q430" s="1447">
        <v>44083</v>
      </c>
      <c r="R430" s="656"/>
      <c r="S430" s="656" t="s">
        <v>469</v>
      </c>
      <c r="T430" s="656"/>
      <c r="U430" s="656"/>
      <c r="V430" s="656"/>
      <c r="W430" s="656" t="s">
        <v>13051</v>
      </c>
      <c r="X430" s="656" t="s">
        <v>498</v>
      </c>
      <c r="Y430" s="656" t="s">
        <v>14278</v>
      </c>
      <c r="Z430" s="656">
        <v>44305.525358796294</v>
      </c>
      <c r="AA430" s="656" t="s">
        <v>14335</v>
      </c>
      <c r="AB430" s="656"/>
    </row>
    <row r="431" spans="1:28">
      <c r="A431" s="656" t="s">
        <v>832</v>
      </c>
      <c r="B431" s="656" t="s">
        <v>833</v>
      </c>
      <c r="C431" s="656" t="s">
        <v>20</v>
      </c>
      <c r="D431" s="656" t="s">
        <v>12545</v>
      </c>
      <c r="E431" s="656" t="s">
        <v>14279</v>
      </c>
      <c r="F431" s="1447"/>
      <c r="G431" s="656" t="s">
        <v>12544</v>
      </c>
      <c r="H431" s="656" t="s">
        <v>1777</v>
      </c>
      <c r="I431" s="656"/>
      <c r="J431" s="656"/>
      <c r="K431" s="656"/>
      <c r="L431" s="656" t="s">
        <v>12545</v>
      </c>
      <c r="M431" s="656" t="s">
        <v>9450</v>
      </c>
      <c r="N431" s="656" t="s">
        <v>9892</v>
      </c>
      <c r="O431" s="656" t="s">
        <v>10186</v>
      </c>
      <c r="P431" s="5" t="s">
        <v>14409</v>
      </c>
      <c r="Q431" s="1447">
        <v>44083</v>
      </c>
      <c r="R431" s="656"/>
      <c r="S431" s="656" t="s">
        <v>469</v>
      </c>
      <c r="T431" s="656"/>
      <c r="U431" s="656"/>
      <c r="V431" s="656"/>
      <c r="W431" s="656" t="s">
        <v>13051</v>
      </c>
      <c r="X431" s="656" t="s">
        <v>498</v>
      </c>
      <c r="Y431" s="656" t="s">
        <v>14278</v>
      </c>
      <c r="Z431" s="656">
        <v>44305.525358796294</v>
      </c>
      <c r="AA431" s="656" t="s">
        <v>14335</v>
      </c>
      <c r="AB431" s="656"/>
    </row>
    <row r="432" spans="1:28">
      <c r="A432" s="656" t="s">
        <v>848</v>
      </c>
      <c r="B432" s="656" t="s">
        <v>849</v>
      </c>
      <c r="C432" s="656" t="s">
        <v>21</v>
      </c>
      <c r="D432" s="656" t="s">
        <v>10185</v>
      </c>
      <c r="E432" s="656" t="s">
        <v>14275</v>
      </c>
      <c r="F432" s="1447">
        <v>44298</v>
      </c>
      <c r="G432" s="656" t="s">
        <v>9950</v>
      </c>
      <c r="H432" s="656" t="s">
        <v>1777</v>
      </c>
      <c r="I432" s="656" t="s">
        <v>14410</v>
      </c>
      <c r="J432" s="656" t="s">
        <v>10185</v>
      </c>
      <c r="K432" s="656" t="s">
        <v>9774</v>
      </c>
      <c r="L432" s="656"/>
      <c r="M432" s="656" t="s">
        <v>16196</v>
      </c>
      <c r="N432" s="656"/>
      <c r="O432" s="656" t="s">
        <v>10186</v>
      </c>
      <c r="P432" s="5"/>
      <c r="Q432" s="1447">
        <v>43861</v>
      </c>
      <c r="R432" s="656">
        <v>44060</v>
      </c>
      <c r="S432" s="656" t="s">
        <v>462</v>
      </c>
      <c r="T432" s="656"/>
      <c r="U432" s="656"/>
      <c r="V432" s="656"/>
      <c r="W432" s="656" t="s">
        <v>13051</v>
      </c>
      <c r="X432" s="656" t="s">
        <v>498</v>
      </c>
      <c r="Y432" s="656" t="s">
        <v>14278</v>
      </c>
      <c r="Z432" s="656">
        <v>44305.525347222225</v>
      </c>
      <c r="AA432" s="656" t="s">
        <v>14335</v>
      </c>
      <c r="AB432" s="656"/>
    </row>
    <row r="433" spans="1:28">
      <c r="A433" s="656" t="s">
        <v>848</v>
      </c>
      <c r="B433" s="656" t="s">
        <v>849</v>
      </c>
      <c r="C433" s="656" t="s">
        <v>20</v>
      </c>
      <c r="D433" s="656" t="s">
        <v>9951</v>
      </c>
      <c r="E433" s="656" t="s">
        <v>14275</v>
      </c>
      <c r="F433" s="1447">
        <v>44306</v>
      </c>
      <c r="G433" s="656" t="s">
        <v>9950</v>
      </c>
      <c r="H433" s="656" t="s">
        <v>1777</v>
      </c>
      <c r="I433" s="656"/>
      <c r="J433" s="656"/>
      <c r="K433" s="656"/>
      <c r="L433" s="656" t="s">
        <v>9951</v>
      </c>
      <c r="M433" s="656" t="s">
        <v>16368</v>
      </c>
      <c r="N433" s="656"/>
      <c r="O433" s="656" t="s">
        <v>9757</v>
      </c>
      <c r="P433" s="5"/>
      <c r="Q433" s="1447">
        <v>43564</v>
      </c>
      <c r="R433" s="656"/>
      <c r="S433" s="656" t="s">
        <v>462</v>
      </c>
      <c r="T433" s="656"/>
      <c r="U433" s="656"/>
      <c r="V433" s="656"/>
      <c r="W433" s="656" t="s">
        <v>13051</v>
      </c>
      <c r="X433" s="656" t="s">
        <v>498</v>
      </c>
      <c r="Y433" s="656" t="s">
        <v>14278</v>
      </c>
      <c r="Z433" s="656">
        <v>44307.315393518518</v>
      </c>
      <c r="AA433" s="656" t="s">
        <v>14276</v>
      </c>
      <c r="AB433" s="656"/>
    </row>
    <row r="434" spans="1:28">
      <c r="A434" s="656" t="s">
        <v>856</v>
      </c>
      <c r="B434" s="656" t="s">
        <v>857</v>
      </c>
      <c r="C434" s="656" t="s">
        <v>20</v>
      </c>
      <c r="D434" s="656" t="s">
        <v>9967</v>
      </c>
      <c r="E434" s="656" t="s">
        <v>14279</v>
      </c>
      <c r="F434" s="1447"/>
      <c r="G434" s="656" t="s">
        <v>9966</v>
      </c>
      <c r="H434" s="656" t="s">
        <v>1777</v>
      </c>
      <c r="I434" s="656"/>
      <c r="J434" s="656"/>
      <c r="K434" s="656"/>
      <c r="L434" s="656" t="s">
        <v>9967</v>
      </c>
      <c r="M434" s="656" t="s">
        <v>16196</v>
      </c>
      <c r="N434" s="656"/>
      <c r="O434" s="656" t="s">
        <v>6395</v>
      </c>
      <c r="P434" s="5"/>
      <c r="Q434" s="1447">
        <v>43585</v>
      </c>
      <c r="R434" s="656"/>
      <c r="S434" s="656" t="s">
        <v>472</v>
      </c>
      <c r="T434" s="656"/>
      <c r="U434" s="656"/>
      <c r="V434" s="656"/>
      <c r="W434" s="656" t="s">
        <v>13051</v>
      </c>
      <c r="X434" s="656" t="s">
        <v>498</v>
      </c>
      <c r="Y434" s="656" t="s">
        <v>14278</v>
      </c>
      <c r="Z434" s="656">
        <v>44305.525335648148</v>
      </c>
      <c r="AA434" s="656" t="s">
        <v>14335</v>
      </c>
      <c r="AB434" s="656"/>
    </row>
    <row r="435" spans="1:28">
      <c r="A435" s="656" t="s">
        <v>858</v>
      </c>
      <c r="B435" s="656" t="s">
        <v>859</v>
      </c>
      <c r="C435" s="656" t="s">
        <v>20</v>
      </c>
      <c r="D435" s="656" t="s">
        <v>9965</v>
      </c>
      <c r="E435" s="656" t="s">
        <v>14279</v>
      </c>
      <c r="F435" s="1447"/>
      <c r="G435" s="656" t="s">
        <v>9964</v>
      </c>
      <c r="H435" s="656" t="s">
        <v>1777</v>
      </c>
      <c r="I435" s="656"/>
      <c r="J435" s="656"/>
      <c r="K435" s="656"/>
      <c r="L435" s="656" t="s">
        <v>9965</v>
      </c>
      <c r="M435" s="656" t="s">
        <v>16196</v>
      </c>
      <c r="N435" s="656"/>
      <c r="O435" s="656" t="s">
        <v>6395</v>
      </c>
      <c r="P435" s="5"/>
      <c r="Q435" s="1447">
        <v>43585</v>
      </c>
      <c r="R435" s="656"/>
      <c r="S435" s="656" t="s">
        <v>472</v>
      </c>
      <c r="T435" s="656"/>
      <c r="U435" s="656"/>
      <c r="V435" s="656"/>
      <c r="W435" s="656" t="s">
        <v>13051</v>
      </c>
      <c r="X435" s="656" t="s">
        <v>498</v>
      </c>
      <c r="Y435" s="656" t="s">
        <v>14278</v>
      </c>
      <c r="Z435" s="656">
        <v>44305.525335648148</v>
      </c>
      <c r="AA435" s="656" t="s">
        <v>14335</v>
      </c>
      <c r="AB435" s="656"/>
    </row>
    <row r="436" spans="1:28">
      <c r="A436" s="656" t="s">
        <v>939</v>
      </c>
      <c r="B436" s="656" t="s">
        <v>940</v>
      </c>
      <c r="C436" s="656" t="s">
        <v>20</v>
      </c>
      <c r="D436" s="656" t="s">
        <v>10041</v>
      </c>
      <c r="E436" s="656" t="s">
        <v>14279</v>
      </c>
      <c r="F436" s="1447"/>
      <c r="G436" s="656" t="s">
        <v>10040</v>
      </c>
      <c r="H436" s="656" t="s">
        <v>1777</v>
      </c>
      <c r="I436" s="656"/>
      <c r="J436" s="656"/>
      <c r="K436" s="656"/>
      <c r="L436" s="656" t="s">
        <v>10041</v>
      </c>
      <c r="M436" s="656" t="s">
        <v>16196</v>
      </c>
      <c r="N436" s="656"/>
      <c r="O436" s="656" t="s">
        <v>6395</v>
      </c>
      <c r="P436" s="5"/>
      <c r="Q436" s="1447">
        <v>43704</v>
      </c>
      <c r="R436" s="656"/>
      <c r="S436" s="656" t="s">
        <v>472</v>
      </c>
      <c r="T436" s="656"/>
      <c r="U436" s="656"/>
      <c r="V436" s="656"/>
      <c r="W436" s="656" t="s">
        <v>13051</v>
      </c>
      <c r="X436" s="656" t="s">
        <v>498</v>
      </c>
      <c r="Y436" s="656" t="s">
        <v>14278</v>
      </c>
      <c r="Z436" s="656">
        <v>44305.525335648148</v>
      </c>
      <c r="AA436" s="656" t="s">
        <v>14335</v>
      </c>
      <c r="AB436" s="656"/>
    </row>
    <row r="437" spans="1:28">
      <c r="A437" s="656" t="s">
        <v>949</v>
      </c>
      <c r="B437" s="656" t="s">
        <v>950</v>
      </c>
      <c r="C437" s="656" t="s">
        <v>21</v>
      </c>
      <c r="D437" s="656" t="s">
        <v>10052</v>
      </c>
      <c r="E437" s="656" t="s">
        <v>14313</v>
      </c>
      <c r="F437" s="1447"/>
      <c r="G437" s="656" t="s">
        <v>10044</v>
      </c>
      <c r="H437" s="656" t="s">
        <v>1777</v>
      </c>
      <c r="I437" s="656" t="s">
        <v>14411</v>
      </c>
      <c r="J437" s="656" t="s">
        <v>10052</v>
      </c>
      <c r="K437" s="656" t="s">
        <v>9774</v>
      </c>
      <c r="L437" s="656"/>
      <c r="M437" s="656" t="s">
        <v>16318</v>
      </c>
      <c r="N437" s="656"/>
      <c r="O437" s="656" t="s">
        <v>6395</v>
      </c>
      <c r="P437" s="5"/>
      <c r="Q437" s="1447">
        <v>43721</v>
      </c>
      <c r="R437" s="656">
        <v>44286</v>
      </c>
      <c r="S437" s="656" t="s">
        <v>472</v>
      </c>
      <c r="T437" s="656"/>
      <c r="U437" s="656"/>
      <c r="V437" s="656"/>
      <c r="W437" s="656" t="s">
        <v>13051</v>
      </c>
      <c r="X437" s="656" t="s">
        <v>498</v>
      </c>
      <c r="Y437" s="656" t="s">
        <v>14278</v>
      </c>
      <c r="Z437" s="656">
        <v>44305.525312500002</v>
      </c>
      <c r="AA437" s="656" t="s">
        <v>14335</v>
      </c>
      <c r="AB437" s="656"/>
    </row>
    <row r="438" spans="1:28" ht="29">
      <c r="A438" s="656" t="s">
        <v>949</v>
      </c>
      <c r="B438" s="656" t="s">
        <v>950</v>
      </c>
      <c r="C438" s="656" t="s">
        <v>20</v>
      </c>
      <c r="D438" s="656" t="s">
        <v>10045</v>
      </c>
      <c r="E438" s="656" t="s">
        <v>14279</v>
      </c>
      <c r="F438" s="1447"/>
      <c r="G438" s="656" t="s">
        <v>10044</v>
      </c>
      <c r="H438" s="656" t="s">
        <v>1777</v>
      </c>
      <c r="I438" s="656"/>
      <c r="J438" s="656"/>
      <c r="K438" s="656"/>
      <c r="L438" s="656" t="s">
        <v>10045</v>
      </c>
      <c r="M438" s="656" t="s">
        <v>16196</v>
      </c>
      <c r="N438" s="656"/>
      <c r="O438" s="656" t="s">
        <v>6395</v>
      </c>
      <c r="P438" s="5" t="s">
        <v>16049</v>
      </c>
      <c r="Q438" s="1447">
        <v>43705</v>
      </c>
      <c r="R438" s="656"/>
      <c r="S438" s="656" t="s">
        <v>472</v>
      </c>
      <c r="T438" s="656"/>
      <c r="U438" s="656"/>
      <c r="V438" s="656"/>
      <c r="W438" s="656" t="s">
        <v>13051</v>
      </c>
      <c r="X438" s="656" t="s">
        <v>498</v>
      </c>
      <c r="Y438" s="656" t="s">
        <v>14278</v>
      </c>
      <c r="Z438" s="656">
        <v>44305.525312500002</v>
      </c>
      <c r="AA438" s="656" t="s">
        <v>14335</v>
      </c>
      <c r="AB438" s="656"/>
    </row>
    <row r="439" spans="1:28">
      <c r="A439" s="656" t="s">
        <v>949</v>
      </c>
      <c r="B439" s="656" t="s">
        <v>950</v>
      </c>
      <c r="C439" s="656" t="s">
        <v>20</v>
      </c>
      <c r="D439" s="656" t="s">
        <v>15379</v>
      </c>
      <c r="E439" s="656" t="s">
        <v>14279</v>
      </c>
      <c r="F439" s="1447"/>
      <c r="G439" s="656" t="s">
        <v>10044</v>
      </c>
      <c r="H439" s="656" t="s">
        <v>1777</v>
      </c>
      <c r="I439" s="656"/>
      <c r="J439" s="656"/>
      <c r="K439" s="656"/>
      <c r="L439" s="656" t="s">
        <v>15379</v>
      </c>
      <c r="M439" s="656" t="s">
        <v>16318</v>
      </c>
      <c r="N439" s="656"/>
      <c r="O439" s="656" t="s">
        <v>6395</v>
      </c>
      <c r="P439" s="5" t="s">
        <v>15380</v>
      </c>
      <c r="Q439" s="1447">
        <v>44203</v>
      </c>
      <c r="R439" s="656"/>
      <c r="S439" s="656" t="s">
        <v>472</v>
      </c>
      <c r="T439" s="656"/>
      <c r="U439" s="656"/>
      <c r="V439" s="656"/>
      <c r="W439" s="656" t="s">
        <v>13051</v>
      </c>
      <c r="X439" s="656" t="s">
        <v>498</v>
      </c>
      <c r="Y439" s="656" t="s">
        <v>14278</v>
      </c>
      <c r="Z439" s="656">
        <v>44305.525312500002</v>
      </c>
      <c r="AA439" s="656" t="s">
        <v>14335</v>
      </c>
      <c r="AB439" s="656"/>
    </row>
    <row r="440" spans="1:28">
      <c r="A440" s="656" t="s">
        <v>951</v>
      </c>
      <c r="B440" s="656" t="s">
        <v>952</v>
      </c>
      <c r="C440" s="656" t="s">
        <v>20</v>
      </c>
      <c r="D440" s="656" t="s">
        <v>9963</v>
      </c>
      <c r="E440" s="656" t="s">
        <v>14279</v>
      </c>
      <c r="F440" s="1447"/>
      <c r="G440" s="656" t="s">
        <v>9962</v>
      </c>
      <c r="H440" s="656" t="s">
        <v>1777</v>
      </c>
      <c r="I440" s="656"/>
      <c r="J440" s="656"/>
      <c r="K440" s="656"/>
      <c r="L440" s="656" t="s">
        <v>9963</v>
      </c>
      <c r="M440" s="656" t="s">
        <v>16196</v>
      </c>
      <c r="N440" s="656"/>
      <c r="O440" s="656" t="s">
        <v>6395</v>
      </c>
      <c r="P440" s="5"/>
      <c r="Q440" s="1447">
        <v>43585</v>
      </c>
      <c r="R440" s="656"/>
      <c r="S440" s="656" t="s">
        <v>472</v>
      </c>
      <c r="T440" s="656"/>
      <c r="U440" s="656"/>
      <c r="V440" s="656"/>
      <c r="W440" s="656" t="s">
        <v>13051</v>
      </c>
      <c r="X440" s="656" t="s">
        <v>498</v>
      </c>
      <c r="Y440" s="656" t="s">
        <v>14278</v>
      </c>
      <c r="Z440" s="656">
        <v>44305.525300925925</v>
      </c>
      <c r="AA440" s="656" t="s">
        <v>14335</v>
      </c>
      <c r="AB440" s="656"/>
    </row>
    <row r="441" spans="1:28">
      <c r="A441" s="656" t="s">
        <v>8815</v>
      </c>
      <c r="B441" s="656" t="s">
        <v>8891</v>
      </c>
      <c r="C441" s="656" t="s">
        <v>21</v>
      </c>
      <c r="D441" s="656" t="s">
        <v>10196</v>
      </c>
      <c r="E441" s="656" t="s">
        <v>14313</v>
      </c>
      <c r="F441" s="1447"/>
      <c r="G441" s="656" t="s">
        <v>10142</v>
      </c>
      <c r="H441" s="656" t="s">
        <v>1777</v>
      </c>
      <c r="I441" s="656" t="s">
        <v>14412</v>
      </c>
      <c r="J441" s="656" t="s">
        <v>10196</v>
      </c>
      <c r="K441" s="656" t="s">
        <v>9774</v>
      </c>
      <c r="L441" s="656"/>
      <c r="M441" s="656" t="s">
        <v>16351</v>
      </c>
      <c r="N441" s="656"/>
      <c r="O441" s="656" t="s">
        <v>6395</v>
      </c>
      <c r="P441" s="5"/>
      <c r="Q441" s="1447">
        <v>43880</v>
      </c>
      <c r="R441" s="656">
        <v>44252</v>
      </c>
      <c r="S441" s="656" t="s">
        <v>472</v>
      </c>
      <c r="T441" s="656"/>
      <c r="U441" s="656"/>
      <c r="V441" s="656"/>
      <c r="W441" s="656" t="s">
        <v>13051</v>
      </c>
      <c r="X441" s="656" t="s">
        <v>498</v>
      </c>
      <c r="Y441" s="656" t="s">
        <v>14278</v>
      </c>
      <c r="Z441" s="656">
        <v>44305.525289351855</v>
      </c>
      <c r="AA441" s="656" t="s">
        <v>14335</v>
      </c>
      <c r="AB441" s="656"/>
    </row>
    <row r="442" spans="1:28">
      <c r="A442" s="656" t="s">
        <v>8815</v>
      </c>
      <c r="B442" s="656" t="s">
        <v>8891</v>
      </c>
      <c r="C442" s="656" t="s">
        <v>20</v>
      </c>
      <c r="D442" s="656" t="s">
        <v>10143</v>
      </c>
      <c r="E442" s="656" t="s">
        <v>14279</v>
      </c>
      <c r="F442" s="1447"/>
      <c r="G442" s="656" t="s">
        <v>10142</v>
      </c>
      <c r="H442" s="656" t="s">
        <v>1777</v>
      </c>
      <c r="I442" s="656"/>
      <c r="J442" s="656"/>
      <c r="K442" s="656"/>
      <c r="L442" s="656" t="s">
        <v>10143</v>
      </c>
      <c r="M442" s="656" t="s">
        <v>16196</v>
      </c>
      <c r="N442" s="656"/>
      <c r="O442" s="656" t="s">
        <v>6395</v>
      </c>
      <c r="P442" s="5"/>
      <c r="Q442" s="1447">
        <v>43810</v>
      </c>
      <c r="R442" s="656"/>
      <c r="S442" s="656" t="s">
        <v>472</v>
      </c>
      <c r="T442" s="656"/>
      <c r="U442" s="656"/>
      <c r="V442" s="656"/>
      <c r="W442" s="656" t="s">
        <v>13051</v>
      </c>
      <c r="X442" s="656" t="s">
        <v>498</v>
      </c>
      <c r="Y442" s="656" t="s">
        <v>14278</v>
      </c>
      <c r="Z442" s="656">
        <v>44305.525289351855</v>
      </c>
      <c r="AA442" s="656" t="s">
        <v>14335</v>
      </c>
      <c r="AB442" s="656"/>
    </row>
    <row r="443" spans="1:28">
      <c r="A443" s="656" t="s">
        <v>8815</v>
      </c>
      <c r="B443" s="656" t="s">
        <v>8891</v>
      </c>
      <c r="C443" s="656" t="s">
        <v>20</v>
      </c>
      <c r="D443" s="656" t="s">
        <v>14971</v>
      </c>
      <c r="E443" s="656" t="s">
        <v>14279</v>
      </c>
      <c r="F443" s="1447"/>
      <c r="G443" s="656" t="s">
        <v>10142</v>
      </c>
      <c r="H443" s="656" t="s">
        <v>1777</v>
      </c>
      <c r="I443" s="656"/>
      <c r="J443" s="656"/>
      <c r="K443" s="656"/>
      <c r="L443" s="656" t="s">
        <v>14971</v>
      </c>
      <c r="M443" s="656" t="s">
        <v>16351</v>
      </c>
      <c r="N443" s="656"/>
      <c r="O443" s="656" t="s">
        <v>6395</v>
      </c>
      <c r="P443" s="5"/>
      <c r="Q443" s="1447">
        <v>44182</v>
      </c>
      <c r="R443" s="656"/>
      <c r="S443" s="656" t="s">
        <v>472</v>
      </c>
      <c r="T443" s="656"/>
      <c r="U443" s="656"/>
      <c r="V443" s="656"/>
      <c r="W443" s="656" t="s">
        <v>13051</v>
      </c>
      <c r="X443" s="656" t="s">
        <v>498</v>
      </c>
      <c r="Y443" s="656" t="s">
        <v>14278</v>
      </c>
      <c r="Z443" s="656">
        <v>44305.525300925925</v>
      </c>
      <c r="AA443" s="656" t="s">
        <v>14335</v>
      </c>
      <c r="AB443" s="656"/>
    </row>
    <row r="444" spans="1:28">
      <c r="A444" s="656" t="s">
        <v>8738</v>
      </c>
      <c r="B444" s="656" t="s">
        <v>8735</v>
      </c>
      <c r="C444" s="656" t="s">
        <v>20</v>
      </c>
      <c r="D444" s="656" t="s">
        <v>10141</v>
      </c>
      <c r="E444" s="656" t="s">
        <v>14279</v>
      </c>
      <c r="F444" s="1447"/>
      <c r="G444" s="656" t="s">
        <v>10140</v>
      </c>
      <c r="H444" s="656" t="s">
        <v>1777</v>
      </c>
      <c r="I444" s="656"/>
      <c r="J444" s="656"/>
      <c r="K444" s="656"/>
      <c r="L444" s="656" t="s">
        <v>10141</v>
      </c>
      <c r="M444" s="656" t="s">
        <v>16196</v>
      </c>
      <c r="N444" s="656"/>
      <c r="O444" s="656" t="s">
        <v>6395</v>
      </c>
      <c r="P444" s="5"/>
      <c r="Q444" s="1447">
        <v>43810</v>
      </c>
      <c r="R444" s="656"/>
      <c r="S444" s="656" t="s">
        <v>472</v>
      </c>
      <c r="T444" s="656"/>
      <c r="U444" s="656"/>
      <c r="V444" s="656"/>
      <c r="W444" s="656" t="s">
        <v>13051</v>
      </c>
      <c r="X444" s="656" t="s">
        <v>498</v>
      </c>
      <c r="Y444" s="656" t="s">
        <v>14278</v>
      </c>
      <c r="Z444" s="656">
        <v>44305.525289351855</v>
      </c>
      <c r="AA444" s="656" t="s">
        <v>14335</v>
      </c>
      <c r="AB444" s="656"/>
    </row>
    <row r="445" spans="1:28">
      <c r="A445" s="656" t="s">
        <v>957</v>
      </c>
      <c r="B445" s="656" t="s">
        <v>960</v>
      </c>
      <c r="C445" s="656" t="s">
        <v>21</v>
      </c>
      <c r="D445" s="656" t="s">
        <v>10080</v>
      </c>
      <c r="E445" s="656" t="s">
        <v>14313</v>
      </c>
      <c r="F445" s="1447"/>
      <c r="G445" s="656" t="s">
        <v>10062</v>
      </c>
      <c r="H445" s="656" t="s">
        <v>1777</v>
      </c>
      <c r="I445" s="656" t="s">
        <v>14413</v>
      </c>
      <c r="J445" s="656" t="s">
        <v>10080</v>
      </c>
      <c r="K445" s="656" t="s">
        <v>9774</v>
      </c>
      <c r="L445" s="656"/>
      <c r="M445" s="656" t="s">
        <v>16196</v>
      </c>
      <c r="N445" s="656"/>
      <c r="O445" s="656" t="s">
        <v>6395</v>
      </c>
      <c r="P445" s="5"/>
      <c r="Q445" s="1447">
        <v>43741</v>
      </c>
      <c r="R445" s="656">
        <v>44272</v>
      </c>
      <c r="S445" s="656" t="s">
        <v>472</v>
      </c>
      <c r="T445" s="656"/>
      <c r="U445" s="656"/>
      <c r="V445" s="656"/>
      <c r="W445" s="656" t="s">
        <v>13051</v>
      </c>
      <c r="X445" s="656" t="s">
        <v>498</v>
      </c>
      <c r="Y445" s="656" t="s">
        <v>14278</v>
      </c>
      <c r="Z445" s="656">
        <v>44305.525277777779</v>
      </c>
      <c r="AA445" s="656" t="s">
        <v>14335</v>
      </c>
      <c r="AB445" s="656"/>
    </row>
    <row r="446" spans="1:28">
      <c r="A446" s="656" t="s">
        <v>957</v>
      </c>
      <c r="B446" s="656" t="s">
        <v>960</v>
      </c>
      <c r="C446" s="656" t="s">
        <v>20</v>
      </c>
      <c r="D446" s="656" t="s">
        <v>10063</v>
      </c>
      <c r="E446" s="656" t="s">
        <v>14279</v>
      </c>
      <c r="F446" s="1447"/>
      <c r="G446" s="656" t="s">
        <v>10062</v>
      </c>
      <c r="H446" s="656" t="s">
        <v>1777</v>
      </c>
      <c r="I446" s="656"/>
      <c r="J446" s="656"/>
      <c r="K446" s="656"/>
      <c r="L446" s="656" t="s">
        <v>10063</v>
      </c>
      <c r="M446" s="656" t="s">
        <v>16196</v>
      </c>
      <c r="N446" s="656"/>
      <c r="O446" s="656" t="s">
        <v>6395</v>
      </c>
      <c r="P446" s="5"/>
      <c r="Q446" s="1447">
        <v>43725</v>
      </c>
      <c r="R446" s="656"/>
      <c r="S446" s="656" t="s">
        <v>472</v>
      </c>
      <c r="T446" s="656"/>
      <c r="U446" s="656"/>
      <c r="V446" s="656"/>
      <c r="W446" s="656" t="s">
        <v>13051</v>
      </c>
      <c r="X446" s="656" t="s">
        <v>498</v>
      </c>
      <c r="Y446" s="656" t="s">
        <v>14278</v>
      </c>
      <c r="Z446" s="656">
        <v>44305.525277777779</v>
      </c>
      <c r="AA446" s="656" t="s">
        <v>14335</v>
      </c>
      <c r="AB446" s="656"/>
    </row>
    <row r="447" spans="1:28">
      <c r="A447" s="656" t="s">
        <v>959</v>
      </c>
      <c r="B447" s="656" t="s">
        <v>958</v>
      </c>
      <c r="C447" s="656" t="s">
        <v>21</v>
      </c>
      <c r="D447" s="656" t="s">
        <v>10096</v>
      </c>
      <c r="E447" s="656" t="s">
        <v>14279</v>
      </c>
      <c r="F447" s="1447"/>
      <c r="G447" s="656" t="s">
        <v>10081</v>
      </c>
      <c r="H447" s="656" t="s">
        <v>1777</v>
      </c>
      <c r="I447" s="656" t="s">
        <v>14413</v>
      </c>
      <c r="J447" s="656" t="s">
        <v>10096</v>
      </c>
      <c r="K447" s="656" t="s">
        <v>9774</v>
      </c>
      <c r="L447" s="656"/>
      <c r="M447" s="656" t="s">
        <v>16196</v>
      </c>
      <c r="N447" s="656"/>
      <c r="O447" s="656" t="s">
        <v>6395</v>
      </c>
      <c r="P447" s="5"/>
      <c r="Q447" s="1447">
        <v>43754</v>
      </c>
      <c r="R447" s="656"/>
      <c r="S447" s="656" t="s">
        <v>472</v>
      </c>
      <c r="T447" s="656"/>
      <c r="U447" s="656"/>
      <c r="V447" s="656"/>
      <c r="W447" s="656" t="s">
        <v>13051</v>
      </c>
      <c r="X447" s="656" t="s">
        <v>498</v>
      </c>
      <c r="Y447" s="656" t="s">
        <v>14278</v>
      </c>
      <c r="Z447" s="656">
        <v>44305.525266203702</v>
      </c>
      <c r="AA447" s="656" t="s">
        <v>14335</v>
      </c>
      <c r="AB447" s="656"/>
    </row>
    <row r="448" spans="1:28">
      <c r="A448" s="656" t="s">
        <v>959</v>
      </c>
      <c r="B448" s="656" t="s">
        <v>958</v>
      </c>
      <c r="C448" s="656" t="s">
        <v>20</v>
      </c>
      <c r="D448" s="656" t="s">
        <v>10082</v>
      </c>
      <c r="E448" s="656" t="s">
        <v>14279</v>
      </c>
      <c r="F448" s="1447"/>
      <c r="G448" s="656" t="s">
        <v>10081</v>
      </c>
      <c r="H448" s="656" t="s">
        <v>1777</v>
      </c>
      <c r="I448" s="656"/>
      <c r="J448" s="656"/>
      <c r="K448" s="656"/>
      <c r="L448" s="656" t="s">
        <v>10082</v>
      </c>
      <c r="M448" s="656" t="s">
        <v>16196</v>
      </c>
      <c r="N448" s="656"/>
      <c r="O448" s="656" t="s">
        <v>6395</v>
      </c>
      <c r="P448" s="5"/>
      <c r="Q448" s="1447">
        <v>43745</v>
      </c>
      <c r="R448" s="656"/>
      <c r="S448" s="656" t="s">
        <v>472</v>
      </c>
      <c r="T448" s="656"/>
      <c r="U448" s="656"/>
      <c r="V448" s="656"/>
      <c r="W448" s="656" t="s">
        <v>13051</v>
      </c>
      <c r="X448" s="656" t="s">
        <v>498</v>
      </c>
      <c r="Y448" s="656" t="s">
        <v>14278</v>
      </c>
      <c r="Z448" s="656">
        <v>44305.525266203702</v>
      </c>
      <c r="AA448" s="656" t="s">
        <v>14335</v>
      </c>
      <c r="AB448" s="656"/>
    </row>
    <row r="449" spans="1:28">
      <c r="A449" s="656" t="s">
        <v>961</v>
      </c>
      <c r="B449" s="656" t="s">
        <v>962</v>
      </c>
      <c r="C449" s="656" t="s">
        <v>20</v>
      </c>
      <c r="D449" s="656" t="s">
        <v>9961</v>
      </c>
      <c r="E449" s="656" t="s">
        <v>14279</v>
      </c>
      <c r="F449" s="1447"/>
      <c r="G449" s="656" t="s">
        <v>9960</v>
      </c>
      <c r="H449" s="656" t="s">
        <v>1777</v>
      </c>
      <c r="I449" s="656"/>
      <c r="J449" s="656"/>
      <c r="K449" s="656"/>
      <c r="L449" s="656" t="s">
        <v>9961</v>
      </c>
      <c r="M449" s="656" t="s">
        <v>16196</v>
      </c>
      <c r="N449" s="656"/>
      <c r="O449" s="656" t="s">
        <v>6395</v>
      </c>
      <c r="P449" s="5"/>
      <c r="Q449" s="1447">
        <v>43585</v>
      </c>
      <c r="R449" s="656"/>
      <c r="S449" s="656" t="s">
        <v>472</v>
      </c>
      <c r="T449" s="656"/>
      <c r="U449" s="656"/>
      <c r="V449" s="656"/>
      <c r="W449" s="656" t="s">
        <v>13051</v>
      </c>
      <c r="X449" s="656" t="s">
        <v>498</v>
      </c>
      <c r="Y449" s="656" t="s">
        <v>14278</v>
      </c>
      <c r="Z449" s="656">
        <v>44305.525254629632</v>
      </c>
      <c r="AA449" s="656" t="s">
        <v>14335</v>
      </c>
      <c r="AB449" s="656"/>
    </row>
    <row r="450" spans="1:28">
      <c r="A450" s="656" t="s">
        <v>970</v>
      </c>
      <c r="B450" s="656" t="s">
        <v>971</v>
      </c>
      <c r="C450" s="656" t="s">
        <v>21</v>
      </c>
      <c r="D450" s="656" t="s">
        <v>10013</v>
      </c>
      <c r="E450" s="656" t="s">
        <v>14313</v>
      </c>
      <c r="F450" s="1447"/>
      <c r="G450" s="656" t="s">
        <v>10000</v>
      </c>
      <c r="H450" s="656" t="s">
        <v>1777</v>
      </c>
      <c r="I450" s="656" t="s">
        <v>14414</v>
      </c>
      <c r="J450" s="656" t="s">
        <v>10013</v>
      </c>
      <c r="K450" s="656" t="s">
        <v>9774</v>
      </c>
      <c r="L450" s="656"/>
      <c r="M450" s="656" t="s">
        <v>16196</v>
      </c>
      <c r="N450" s="656"/>
      <c r="O450" s="656" t="s">
        <v>6395</v>
      </c>
      <c r="P450" s="5"/>
      <c r="Q450" s="1447">
        <v>43662</v>
      </c>
      <c r="R450" s="656">
        <v>44043</v>
      </c>
      <c r="S450" s="656" t="s">
        <v>472</v>
      </c>
      <c r="T450" s="656"/>
      <c r="U450" s="656"/>
      <c r="V450" s="656"/>
      <c r="W450" s="656" t="s">
        <v>13051</v>
      </c>
      <c r="X450" s="656" t="s">
        <v>498</v>
      </c>
      <c r="Y450" s="656" t="s">
        <v>14278</v>
      </c>
      <c r="Z450" s="656">
        <v>44305.525231481479</v>
      </c>
      <c r="AA450" s="656" t="s">
        <v>14335</v>
      </c>
      <c r="AB450" s="656"/>
    </row>
    <row r="451" spans="1:28">
      <c r="A451" s="656" t="s">
        <v>970</v>
      </c>
      <c r="B451" s="656" t="s">
        <v>971</v>
      </c>
      <c r="C451" s="656" t="s">
        <v>20</v>
      </c>
      <c r="D451" s="656" t="s">
        <v>10001</v>
      </c>
      <c r="E451" s="656" t="s">
        <v>14279</v>
      </c>
      <c r="F451" s="1447"/>
      <c r="G451" s="656" t="s">
        <v>10000</v>
      </c>
      <c r="H451" s="656" t="s">
        <v>1777</v>
      </c>
      <c r="I451" s="656"/>
      <c r="J451" s="656"/>
      <c r="K451" s="656"/>
      <c r="L451" s="656" t="s">
        <v>10001</v>
      </c>
      <c r="M451" s="656" t="s">
        <v>16368</v>
      </c>
      <c r="N451" s="656"/>
      <c r="O451" s="656" t="s">
        <v>6395</v>
      </c>
      <c r="P451" s="5"/>
      <c r="Q451" s="1447">
        <v>43641</v>
      </c>
      <c r="R451" s="656"/>
      <c r="S451" s="656" t="s">
        <v>472</v>
      </c>
      <c r="T451" s="656"/>
      <c r="U451" s="656"/>
      <c r="V451" s="656"/>
      <c r="W451" s="656" t="s">
        <v>13051</v>
      </c>
      <c r="X451" s="656" t="s">
        <v>498</v>
      </c>
      <c r="Y451" s="656" t="s">
        <v>14278</v>
      </c>
      <c r="Z451" s="656">
        <v>44305.525243055556</v>
      </c>
      <c r="AA451" s="656" t="s">
        <v>14335</v>
      </c>
      <c r="AB451" s="656"/>
    </row>
    <row r="452" spans="1:28">
      <c r="A452" s="656" t="s">
        <v>970</v>
      </c>
      <c r="B452" s="656" t="s">
        <v>971</v>
      </c>
      <c r="C452" s="656" t="s">
        <v>20</v>
      </c>
      <c r="D452" s="656" t="s">
        <v>10026</v>
      </c>
      <c r="E452" s="656" t="s">
        <v>14279</v>
      </c>
      <c r="F452" s="1447"/>
      <c r="G452" s="656" t="s">
        <v>10000</v>
      </c>
      <c r="H452" s="656" t="s">
        <v>1777</v>
      </c>
      <c r="I452" s="656"/>
      <c r="J452" s="656"/>
      <c r="K452" s="656"/>
      <c r="L452" s="656" t="s">
        <v>10026</v>
      </c>
      <c r="M452" s="656" t="s">
        <v>16196</v>
      </c>
      <c r="N452" s="656"/>
      <c r="O452" s="656" t="s">
        <v>6395</v>
      </c>
      <c r="P452" s="5"/>
      <c r="Q452" s="1447">
        <v>43676</v>
      </c>
      <c r="R452" s="656"/>
      <c r="S452" s="656" t="s">
        <v>472</v>
      </c>
      <c r="T452" s="656"/>
      <c r="U452" s="656"/>
      <c r="V452" s="656"/>
      <c r="W452" s="656" t="s">
        <v>13051</v>
      </c>
      <c r="X452" s="656" t="s">
        <v>498</v>
      </c>
      <c r="Y452" s="656" t="s">
        <v>14278</v>
      </c>
      <c r="Z452" s="656">
        <v>44305.525254629632</v>
      </c>
      <c r="AA452" s="656" t="s">
        <v>14335</v>
      </c>
      <c r="AB452" s="656"/>
    </row>
    <row r="453" spans="1:28">
      <c r="A453" s="656" t="s">
        <v>972</v>
      </c>
      <c r="B453" s="656" t="s">
        <v>973</v>
      </c>
      <c r="C453" s="656" t="s">
        <v>20</v>
      </c>
      <c r="D453" s="656" t="s">
        <v>9959</v>
      </c>
      <c r="E453" s="656" t="s">
        <v>14279</v>
      </c>
      <c r="F453" s="1447"/>
      <c r="G453" s="656" t="s">
        <v>9958</v>
      </c>
      <c r="H453" s="656" t="s">
        <v>1777</v>
      </c>
      <c r="I453" s="656"/>
      <c r="J453" s="656"/>
      <c r="K453" s="656"/>
      <c r="L453" s="656" t="s">
        <v>9959</v>
      </c>
      <c r="M453" s="656" t="s">
        <v>16196</v>
      </c>
      <c r="N453" s="656"/>
      <c r="O453" s="656" t="s">
        <v>6395</v>
      </c>
      <c r="P453" s="5"/>
      <c r="Q453" s="1447">
        <v>43585</v>
      </c>
      <c r="R453" s="656"/>
      <c r="S453" s="656" t="s">
        <v>472</v>
      </c>
      <c r="T453" s="656"/>
      <c r="U453" s="656"/>
      <c r="V453" s="656"/>
      <c r="W453" s="656" t="s">
        <v>13051</v>
      </c>
      <c r="X453" s="656" t="s">
        <v>498</v>
      </c>
      <c r="Y453" s="656" t="s">
        <v>14278</v>
      </c>
      <c r="Z453" s="656">
        <v>44305.525219907409</v>
      </c>
      <c r="AA453" s="656" t="s">
        <v>14335</v>
      </c>
      <c r="AB453" s="656"/>
    </row>
    <row r="454" spans="1:28">
      <c r="A454" s="656" t="s">
        <v>989</v>
      </c>
      <c r="B454" s="656" t="s">
        <v>990</v>
      </c>
      <c r="C454" s="656" t="s">
        <v>21</v>
      </c>
      <c r="D454" s="656" t="s">
        <v>10012</v>
      </c>
      <c r="E454" s="656" t="s">
        <v>14384</v>
      </c>
      <c r="F454" s="1447">
        <v>44046</v>
      </c>
      <c r="G454" s="656" t="s">
        <v>10011</v>
      </c>
      <c r="H454" s="656" t="s">
        <v>1777</v>
      </c>
      <c r="I454" s="656" t="s">
        <v>14415</v>
      </c>
      <c r="J454" s="656" t="s">
        <v>10012</v>
      </c>
      <c r="K454" s="656" t="s">
        <v>9774</v>
      </c>
      <c r="L454" s="656"/>
      <c r="M454" s="656" t="s">
        <v>16196</v>
      </c>
      <c r="N454" s="656"/>
      <c r="O454" s="656" t="s">
        <v>6395</v>
      </c>
      <c r="P454" s="5" t="s">
        <v>14416</v>
      </c>
      <c r="Q454" s="1447">
        <v>43662</v>
      </c>
      <c r="R454" s="656"/>
      <c r="S454" s="656" t="s">
        <v>472</v>
      </c>
      <c r="T454" s="656"/>
      <c r="U454" s="656"/>
      <c r="V454" s="656"/>
      <c r="W454" s="656" t="s">
        <v>13051</v>
      </c>
      <c r="X454" s="656" t="s">
        <v>498</v>
      </c>
      <c r="Y454" s="656" t="s">
        <v>14278</v>
      </c>
      <c r="Z454" s="656">
        <v>44305.525208333333</v>
      </c>
      <c r="AA454" s="656" t="s">
        <v>14335</v>
      </c>
      <c r="AB454" s="656"/>
    </row>
    <row r="455" spans="1:28">
      <c r="A455" s="656" t="s">
        <v>989</v>
      </c>
      <c r="B455" s="656" t="s">
        <v>990</v>
      </c>
      <c r="C455" s="656" t="s">
        <v>20</v>
      </c>
      <c r="D455" s="656" t="s">
        <v>12258</v>
      </c>
      <c r="E455" s="656" t="s">
        <v>14275</v>
      </c>
      <c r="F455" s="1447">
        <v>44032</v>
      </c>
      <c r="G455" s="656" t="s">
        <v>10011</v>
      </c>
      <c r="H455" s="656" t="s">
        <v>1777</v>
      </c>
      <c r="I455" s="656"/>
      <c r="J455" s="656"/>
      <c r="K455" s="656"/>
      <c r="L455" s="656" t="s">
        <v>12258</v>
      </c>
      <c r="M455" s="656" t="s">
        <v>16196</v>
      </c>
      <c r="N455" s="656"/>
      <c r="O455" s="656" t="s">
        <v>6395</v>
      </c>
      <c r="P455" s="5"/>
      <c r="Q455" s="1447">
        <v>43665</v>
      </c>
      <c r="R455" s="656"/>
      <c r="S455" s="656" t="s">
        <v>472</v>
      </c>
      <c r="T455" s="656"/>
      <c r="U455" s="656"/>
      <c r="V455" s="656"/>
      <c r="W455" s="656" t="s">
        <v>13051</v>
      </c>
      <c r="X455" s="656" t="s">
        <v>498</v>
      </c>
      <c r="Y455" s="656" t="s">
        <v>14278</v>
      </c>
      <c r="Z455" s="656">
        <v>44305.525219907409</v>
      </c>
      <c r="AA455" s="656" t="s">
        <v>14335</v>
      </c>
      <c r="AB455" s="656"/>
    </row>
    <row r="456" spans="1:28">
      <c r="A456" s="656" t="s">
        <v>991</v>
      </c>
      <c r="B456" s="656" t="s">
        <v>992</v>
      </c>
      <c r="C456" s="656" t="s">
        <v>21</v>
      </c>
      <c r="D456" s="656" t="s">
        <v>12311</v>
      </c>
      <c r="E456" s="656" t="s">
        <v>14313</v>
      </c>
      <c r="F456" s="1447"/>
      <c r="G456" s="656" t="s">
        <v>10018</v>
      </c>
      <c r="H456" s="656" t="s">
        <v>1777</v>
      </c>
      <c r="I456" s="656" t="s">
        <v>14415</v>
      </c>
      <c r="J456" s="656" t="s">
        <v>12311</v>
      </c>
      <c r="K456" s="656" t="s">
        <v>9774</v>
      </c>
      <c r="L456" s="656"/>
      <c r="M456" s="656" t="s">
        <v>16196</v>
      </c>
      <c r="N456" s="656"/>
      <c r="O456" s="656" t="s">
        <v>6395</v>
      </c>
      <c r="P456" s="5"/>
      <c r="Q456" s="1447">
        <v>43662</v>
      </c>
      <c r="R456" s="656">
        <v>43886</v>
      </c>
      <c r="S456" s="656" t="s">
        <v>472</v>
      </c>
      <c r="T456" s="656"/>
      <c r="U456" s="656"/>
      <c r="V456" s="656"/>
      <c r="W456" s="656" t="s">
        <v>13051</v>
      </c>
      <c r="X456" s="656" t="s">
        <v>498</v>
      </c>
      <c r="Y456" s="656" t="s">
        <v>14278</v>
      </c>
      <c r="Z456" s="656">
        <v>44305.525185185186</v>
      </c>
      <c r="AA456" s="656" t="s">
        <v>14335</v>
      </c>
      <c r="AB456" s="656"/>
    </row>
    <row r="457" spans="1:28">
      <c r="A457" s="656" t="s">
        <v>991</v>
      </c>
      <c r="B457" s="656" t="s">
        <v>992</v>
      </c>
      <c r="C457" s="656" t="s">
        <v>20</v>
      </c>
      <c r="D457" s="656" t="s">
        <v>10019</v>
      </c>
      <c r="E457" s="656" t="s">
        <v>14279</v>
      </c>
      <c r="F457" s="1447"/>
      <c r="G457" s="656" t="s">
        <v>10018</v>
      </c>
      <c r="H457" s="656" t="s">
        <v>1777</v>
      </c>
      <c r="I457" s="656"/>
      <c r="J457" s="656"/>
      <c r="K457" s="656"/>
      <c r="L457" s="656" t="s">
        <v>10019</v>
      </c>
      <c r="M457" s="656" t="s">
        <v>16196</v>
      </c>
      <c r="N457" s="656"/>
      <c r="O457" s="656" t="s">
        <v>6395</v>
      </c>
      <c r="P457" s="5"/>
      <c r="Q457" s="1447">
        <v>43665</v>
      </c>
      <c r="R457" s="656"/>
      <c r="S457" s="656" t="s">
        <v>472</v>
      </c>
      <c r="T457" s="656"/>
      <c r="U457" s="656"/>
      <c r="V457" s="656"/>
      <c r="W457" s="656" t="s">
        <v>13051</v>
      </c>
      <c r="X457" s="656" t="s">
        <v>498</v>
      </c>
      <c r="Y457" s="656" t="s">
        <v>14278</v>
      </c>
      <c r="Z457" s="656">
        <v>44305.525196759256</v>
      </c>
      <c r="AA457" s="656" t="s">
        <v>14335</v>
      </c>
      <c r="AB457" s="656"/>
    </row>
    <row r="458" spans="1:28">
      <c r="A458" s="656" t="s">
        <v>993</v>
      </c>
      <c r="B458" s="656" t="s">
        <v>994</v>
      </c>
      <c r="C458" s="656" t="s">
        <v>20</v>
      </c>
      <c r="D458" s="656" t="s">
        <v>9957</v>
      </c>
      <c r="E458" s="656" t="s">
        <v>14279</v>
      </c>
      <c r="F458" s="1447"/>
      <c r="G458" s="656" t="s">
        <v>9956</v>
      </c>
      <c r="H458" s="656" t="s">
        <v>1777</v>
      </c>
      <c r="I458" s="656"/>
      <c r="J458" s="656"/>
      <c r="K458" s="656"/>
      <c r="L458" s="656" t="s">
        <v>9957</v>
      </c>
      <c r="M458" s="656" t="s">
        <v>16196</v>
      </c>
      <c r="N458" s="656"/>
      <c r="O458" s="656" t="s">
        <v>6395</v>
      </c>
      <c r="P458" s="5"/>
      <c r="Q458" s="1447">
        <v>43585</v>
      </c>
      <c r="R458" s="656"/>
      <c r="S458" s="656" t="s">
        <v>472</v>
      </c>
      <c r="T458" s="656"/>
      <c r="U458" s="656"/>
      <c r="V458" s="656"/>
      <c r="W458" s="656" t="s">
        <v>13051</v>
      </c>
      <c r="X458" s="656" t="s">
        <v>498</v>
      </c>
      <c r="Y458" s="656" t="s">
        <v>14278</v>
      </c>
      <c r="Z458" s="656">
        <v>44305.525185185186</v>
      </c>
      <c r="AA458" s="656" t="s">
        <v>14335</v>
      </c>
      <c r="AB458" s="656"/>
    </row>
    <row r="459" spans="1:28">
      <c r="A459" s="656" t="s">
        <v>999</v>
      </c>
      <c r="B459" s="656" t="s">
        <v>1000</v>
      </c>
      <c r="C459" s="656" t="s">
        <v>21</v>
      </c>
      <c r="D459" s="656" t="s">
        <v>10233</v>
      </c>
      <c r="E459" s="656" t="s">
        <v>14313</v>
      </c>
      <c r="F459" s="1447"/>
      <c r="G459" s="656" t="s">
        <v>10036</v>
      </c>
      <c r="H459" s="656" t="s">
        <v>1777</v>
      </c>
      <c r="I459" s="656" t="s">
        <v>14417</v>
      </c>
      <c r="J459" s="656" t="s">
        <v>10233</v>
      </c>
      <c r="K459" s="656" t="s">
        <v>9774</v>
      </c>
      <c r="L459" s="656"/>
      <c r="M459" s="656" t="s">
        <v>16196</v>
      </c>
      <c r="N459" s="656"/>
      <c r="O459" s="656" t="s">
        <v>6395</v>
      </c>
      <c r="P459" s="5" t="s">
        <v>15381</v>
      </c>
      <c r="Q459" s="1447">
        <v>43914</v>
      </c>
      <c r="R459" s="656">
        <v>44131</v>
      </c>
      <c r="S459" s="656" t="s">
        <v>462</v>
      </c>
      <c r="T459" s="656"/>
      <c r="U459" s="656"/>
      <c r="V459" s="656"/>
      <c r="W459" s="656" t="s">
        <v>13051</v>
      </c>
      <c r="X459" s="656" t="s">
        <v>498</v>
      </c>
      <c r="Y459" s="656" t="s">
        <v>14278</v>
      </c>
      <c r="Z459" s="656">
        <v>44305.525173611109</v>
      </c>
      <c r="AA459" s="656" t="s">
        <v>14335</v>
      </c>
      <c r="AB459" s="656"/>
    </row>
    <row r="460" spans="1:28">
      <c r="A460" s="656" t="s">
        <v>999</v>
      </c>
      <c r="B460" s="656" t="s">
        <v>1000</v>
      </c>
      <c r="C460" s="656" t="s">
        <v>20</v>
      </c>
      <c r="D460" s="656" t="s">
        <v>10037</v>
      </c>
      <c r="E460" s="656" t="s">
        <v>14279</v>
      </c>
      <c r="F460" s="1447"/>
      <c r="G460" s="656" t="s">
        <v>10036</v>
      </c>
      <c r="H460" s="656" t="s">
        <v>1777</v>
      </c>
      <c r="I460" s="656"/>
      <c r="J460" s="656"/>
      <c r="K460" s="656"/>
      <c r="L460" s="656" t="s">
        <v>10037</v>
      </c>
      <c r="M460" s="656" t="s">
        <v>16196</v>
      </c>
      <c r="N460" s="656"/>
      <c r="O460" s="656" t="s">
        <v>6395</v>
      </c>
      <c r="P460" s="5"/>
      <c r="Q460" s="1447">
        <v>43678</v>
      </c>
      <c r="R460" s="656"/>
      <c r="S460" s="656" t="s">
        <v>462</v>
      </c>
      <c r="T460" s="656"/>
      <c r="U460" s="656"/>
      <c r="V460" s="656"/>
      <c r="W460" s="656" t="s">
        <v>13051</v>
      </c>
      <c r="X460" s="656" t="s">
        <v>498</v>
      </c>
      <c r="Y460" s="656" t="s">
        <v>14278</v>
      </c>
      <c r="Z460" s="656">
        <v>44305.525173611109</v>
      </c>
      <c r="AA460" s="656" t="s">
        <v>14335</v>
      </c>
      <c r="AB460" s="656"/>
    </row>
    <row r="461" spans="1:28">
      <c r="A461" s="656" t="s">
        <v>1001</v>
      </c>
      <c r="B461" s="656" t="s">
        <v>1002</v>
      </c>
      <c r="C461" s="656" t="s">
        <v>21</v>
      </c>
      <c r="D461" s="656" t="s">
        <v>10157</v>
      </c>
      <c r="E461" s="656" t="s">
        <v>14313</v>
      </c>
      <c r="F461" s="1447"/>
      <c r="G461" s="656" t="s">
        <v>10115</v>
      </c>
      <c r="H461" s="656" t="s">
        <v>1777</v>
      </c>
      <c r="I461" s="656" t="s">
        <v>14418</v>
      </c>
      <c r="J461" s="656" t="s">
        <v>10157</v>
      </c>
      <c r="K461" s="656" t="s">
        <v>9774</v>
      </c>
      <c r="L461" s="656"/>
      <c r="M461" s="656" t="s">
        <v>16196</v>
      </c>
      <c r="N461" s="656"/>
      <c r="O461" s="656" t="s">
        <v>6395</v>
      </c>
      <c r="P461" s="5"/>
      <c r="Q461" s="1447">
        <v>43822</v>
      </c>
      <c r="R461" s="656">
        <v>44130</v>
      </c>
      <c r="S461" s="656" t="s">
        <v>472</v>
      </c>
      <c r="T461" s="656"/>
      <c r="U461" s="656"/>
      <c r="V461" s="656"/>
      <c r="W461" s="656" t="s">
        <v>13051</v>
      </c>
      <c r="X461" s="656" t="s">
        <v>498</v>
      </c>
      <c r="Y461" s="656" t="s">
        <v>14278</v>
      </c>
      <c r="Z461" s="656">
        <v>44305.525150462963</v>
      </c>
      <c r="AA461" s="656" t="s">
        <v>14335</v>
      </c>
      <c r="AB461" s="656"/>
    </row>
    <row r="462" spans="1:28">
      <c r="A462" s="656" t="s">
        <v>1001</v>
      </c>
      <c r="B462" s="656" t="s">
        <v>1002</v>
      </c>
      <c r="C462" s="656" t="s">
        <v>20</v>
      </c>
      <c r="D462" s="656" t="s">
        <v>10116</v>
      </c>
      <c r="E462" s="656" t="s">
        <v>14279</v>
      </c>
      <c r="F462" s="1447"/>
      <c r="G462" s="656" t="s">
        <v>10115</v>
      </c>
      <c r="H462" s="656" t="s">
        <v>1777</v>
      </c>
      <c r="I462" s="656"/>
      <c r="J462" s="656"/>
      <c r="K462" s="656"/>
      <c r="L462" s="656" t="s">
        <v>10116</v>
      </c>
      <c r="M462" s="656" t="s">
        <v>16196</v>
      </c>
      <c r="N462" s="656"/>
      <c r="O462" s="656" t="s">
        <v>6395</v>
      </c>
      <c r="P462" s="5" t="s">
        <v>14323</v>
      </c>
      <c r="Q462" s="1447">
        <v>43761</v>
      </c>
      <c r="R462" s="656"/>
      <c r="S462" s="656" t="s">
        <v>472</v>
      </c>
      <c r="T462" s="656"/>
      <c r="U462" s="656"/>
      <c r="V462" s="656"/>
      <c r="W462" s="656" t="s">
        <v>13051</v>
      </c>
      <c r="X462" s="656" t="s">
        <v>498</v>
      </c>
      <c r="Y462" s="656" t="s">
        <v>14278</v>
      </c>
      <c r="Z462" s="656">
        <v>44305.52516203704</v>
      </c>
      <c r="AA462" s="656" t="s">
        <v>14335</v>
      </c>
      <c r="AB462" s="656"/>
    </row>
    <row r="463" spans="1:28">
      <c r="A463" s="656" t="s">
        <v>1001</v>
      </c>
      <c r="B463" s="656" t="s">
        <v>1002</v>
      </c>
      <c r="C463" s="656" t="s">
        <v>20</v>
      </c>
      <c r="D463" s="656" t="s">
        <v>10117</v>
      </c>
      <c r="E463" s="656" t="s">
        <v>14279</v>
      </c>
      <c r="F463" s="1447"/>
      <c r="G463" s="656" t="s">
        <v>10115</v>
      </c>
      <c r="H463" s="656" t="s">
        <v>1777</v>
      </c>
      <c r="I463" s="656"/>
      <c r="J463" s="656"/>
      <c r="K463" s="656"/>
      <c r="L463" s="656" t="s">
        <v>10117</v>
      </c>
      <c r="M463" s="656" t="s">
        <v>16196</v>
      </c>
      <c r="N463" s="656"/>
      <c r="O463" s="656" t="s">
        <v>6395</v>
      </c>
      <c r="P463" s="5" t="s">
        <v>14326</v>
      </c>
      <c r="Q463" s="1447">
        <v>43761</v>
      </c>
      <c r="R463" s="656"/>
      <c r="S463" s="656" t="s">
        <v>472</v>
      </c>
      <c r="T463" s="656"/>
      <c r="U463" s="656"/>
      <c r="V463" s="656"/>
      <c r="W463" s="656" t="s">
        <v>13051</v>
      </c>
      <c r="X463" s="656" t="s">
        <v>498</v>
      </c>
      <c r="Y463" s="656" t="s">
        <v>14278</v>
      </c>
      <c r="Z463" s="656">
        <v>44305.52516203704</v>
      </c>
      <c r="AA463" s="656" t="s">
        <v>14335</v>
      </c>
      <c r="AB463" s="656"/>
    </row>
    <row r="464" spans="1:28">
      <c r="A464" s="656" t="s">
        <v>1003</v>
      </c>
      <c r="B464" s="656" t="s">
        <v>1004</v>
      </c>
      <c r="C464" s="656" t="s">
        <v>20</v>
      </c>
      <c r="D464" s="656" t="s">
        <v>10015</v>
      </c>
      <c r="E464" s="656" t="s">
        <v>14279</v>
      </c>
      <c r="F464" s="1447"/>
      <c r="G464" s="656" t="s">
        <v>10014</v>
      </c>
      <c r="H464" s="656" t="s">
        <v>1777</v>
      </c>
      <c r="I464" s="656"/>
      <c r="J464" s="656"/>
      <c r="K464" s="656"/>
      <c r="L464" s="656" t="s">
        <v>10015</v>
      </c>
      <c r="M464" s="656" t="s">
        <v>16196</v>
      </c>
      <c r="N464" s="656"/>
      <c r="O464" s="656" t="s">
        <v>6387</v>
      </c>
      <c r="P464" s="5" t="s">
        <v>14419</v>
      </c>
      <c r="Q464" s="1447">
        <v>43663</v>
      </c>
      <c r="R464" s="656"/>
      <c r="S464" s="656" t="s">
        <v>472</v>
      </c>
      <c r="T464" s="656"/>
      <c r="U464" s="656"/>
      <c r="V464" s="656" t="s">
        <v>14323</v>
      </c>
      <c r="W464" s="656" t="s">
        <v>13051</v>
      </c>
      <c r="X464" s="656" t="s">
        <v>498</v>
      </c>
      <c r="Y464" s="656" t="s">
        <v>14278</v>
      </c>
      <c r="Z464" s="656">
        <v>44305.525138888886</v>
      </c>
      <c r="AA464" s="656" t="s">
        <v>14335</v>
      </c>
      <c r="AB464" s="656"/>
    </row>
    <row r="465" spans="1:28">
      <c r="A465" s="656" t="s">
        <v>1003</v>
      </c>
      <c r="B465" s="656" t="s">
        <v>1004</v>
      </c>
      <c r="C465" s="656" t="s">
        <v>20</v>
      </c>
      <c r="D465" s="656" t="s">
        <v>10017</v>
      </c>
      <c r="E465" s="656" t="s">
        <v>14279</v>
      </c>
      <c r="F465" s="1447"/>
      <c r="G465" s="656" t="s">
        <v>10014</v>
      </c>
      <c r="H465" s="656" t="s">
        <v>1777</v>
      </c>
      <c r="I465" s="656"/>
      <c r="J465" s="656"/>
      <c r="K465" s="656"/>
      <c r="L465" s="656" t="s">
        <v>10017</v>
      </c>
      <c r="M465" s="656" t="s">
        <v>16196</v>
      </c>
      <c r="N465" s="656"/>
      <c r="O465" s="656" t="s">
        <v>6387</v>
      </c>
      <c r="P465" s="5" t="s">
        <v>14420</v>
      </c>
      <c r="Q465" s="1447">
        <v>43663</v>
      </c>
      <c r="R465" s="656"/>
      <c r="S465" s="656" t="s">
        <v>472</v>
      </c>
      <c r="T465" s="656"/>
      <c r="U465" s="656"/>
      <c r="V465" s="656" t="s">
        <v>14361</v>
      </c>
      <c r="W465" s="656" t="s">
        <v>13051</v>
      </c>
      <c r="X465" s="656" t="s">
        <v>498</v>
      </c>
      <c r="Y465" s="656" t="s">
        <v>14278</v>
      </c>
      <c r="Z465" s="656">
        <v>44305.525138888886</v>
      </c>
      <c r="AA465" s="656" t="s">
        <v>14335</v>
      </c>
      <c r="AB465" s="656"/>
    </row>
    <row r="466" spans="1:28">
      <c r="A466" s="656" t="s">
        <v>1010</v>
      </c>
      <c r="B466" s="656" t="s">
        <v>1011</v>
      </c>
      <c r="C466" s="656" t="s">
        <v>21</v>
      </c>
      <c r="D466" s="656" t="s">
        <v>12256</v>
      </c>
      <c r="E466" s="656" t="s">
        <v>14275</v>
      </c>
      <c r="F466" s="1447">
        <v>44011</v>
      </c>
      <c r="G466" s="656" t="s">
        <v>12246</v>
      </c>
      <c r="H466" s="656" t="s">
        <v>1777</v>
      </c>
      <c r="I466" s="656" t="s">
        <v>14421</v>
      </c>
      <c r="J466" s="656" t="s">
        <v>12256</v>
      </c>
      <c r="K466" s="656" t="s">
        <v>9774</v>
      </c>
      <c r="L466" s="656"/>
      <c r="M466" s="656" t="s">
        <v>16196</v>
      </c>
      <c r="N466" s="656"/>
      <c r="O466" s="656" t="s">
        <v>6395</v>
      </c>
      <c r="P466" s="5"/>
      <c r="Q466" s="1447">
        <v>43662</v>
      </c>
      <c r="R466" s="656">
        <v>43861</v>
      </c>
      <c r="S466" s="656" t="s">
        <v>472</v>
      </c>
      <c r="T466" s="656"/>
      <c r="U466" s="656"/>
      <c r="V466" s="656"/>
      <c r="W466" s="656" t="s">
        <v>13051</v>
      </c>
      <c r="X466" s="656" t="s">
        <v>498</v>
      </c>
      <c r="Y466" s="656" t="s">
        <v>14278</v>
      </c>
      <c r="Z466" s="656">
        <v>44305.525127314817</v>
      </c>
      <c r="AA466" s="656" t="s">
        <v>14335</v>
      </c>
      <c r="AB466" s="656"/>
    </row>
    <row r="467" spans="1:28">
      <c r="A467" s="656" t="s">
        <v>1010</v>
      </c>
      <c r="B467" s="656" t="s">
        <v>1011</v>
      </c>
      <c r="C467" s="656" t="s">
        <v>20</v>
      </c>
      <c r="D467" s="656" t="s">
        <v>12247</v>
      </c>
      <c r="E467" s="656" t="s">
        <v>14275</v>
      </c>
      <c r="F467" s="1447">
        <v>44004</v>
      </c>
      <c r="G467" s="656" t="s">
        <v>12246</v>
      </c>
      <c r="H467" s="656" t="s">
        <v>1777</v>
      </c>
      <c r="I467" s="656"/>
      <c r="J467" s="656"/>
      <c r="K467" s="656"/>
      <c r="L467" s="656" t="s">
        <v>12247</v>
      </c>
      <c r="M467" s="656" t="s">
        <v>16196</v>
      </c>
      <c r="N467" s="656"/>
      <c r="O467" s="656" t="s">
        <v>6395</v>
      </c>
      <c r="P467" s="5"/>
      <c r="Q467" s="1447">
        <v>43619</v>
      </c>
      <c r="R467" s="656"/>
      <c r="S467" s="656" t="s">
        <v>472</v>
      </c>
      <c r="T467" s="656"/>
      <c r="U467" s="656"/>
      <c r="V467" s="656"/>
      <c r="W467" s="656" t="s">
        <v>13051</v>
      </c>
      <c r="X467" s="656" t="s">
        <v>498</v>
      </c>
      <c r="Y467" s="656" t="s">
        <v>14278</v>
      </c>
      <c r="Z467" s="656">
        <v>44305.525138888886</v>
      </c>
      <c r="AA467" s="656" t="s">
        <v>14335</v>
      </c>
      <c r="AB467" s="656"/>
    </row>
    <row r="468" spans="1:28">
      <c r="A468" s="656" t="s">
        <v>8638</v>
      </c>
      <c r="B468" s="656" t="s">
        <v>8637</v>
      </c>
      <c r="C468" s="656" t="s">
        <v>21</v>
      </c>
      <c r="D468" s="656" t="s">
        <v>12384</v>
      </c>
      <c r="E468" s="656" t="s">
        <v>14279</v>
      </c>
      <c r="F468" s="1447"/>
      <c r="G468" s="656" t="s">
        <v>10341</v>
      </c>
      <c r="H468" s="656" t="s">
        <v>1777</v>
      </c>
      <c r="I468" s="656" t="s">
        <v>14422</v>
      </c>
      <c r="J468" s="656" t="s">
        <v>12384</v>
      </c>
      <c r="K468" s="656" t="s">
        <v>9774</v>
      </c>
      <c r="L468" s="656"/>
      <c r="M468" s="656" t="s">
        <v>16196</v>
      </c>
      <c r="N468" s="656"/>
      <c r="O468" s="656" t="s">
        <v>6395</v>
      </c>
      <c r="P468" s="5"/>
      <c r="Q468" s="1447">
        <v>44040</v>
      </c>
      <c r="R468" s="656"/>
      <c r="S468" s="656" t="s">
        <v>472</v>
      </c>
      <c r="T468" s="656"/>
      <c r="U468" s="656"/>
      <c r="V468" s="656"/>
      <c r="W468" s="656" t="s">
        <v>13051</v>
      </c>
      <c r="X468" s="656" t="s">
        <v>498</v>
      </c>
      <c r="Y468" s="656" t="s">
        <v>14278</v>
      </c>
      <c r="Z468" s="656">
        <v>44305.52511574074</v>
      </c>
      <c r="AA468" s="656" t="s">
        <v>14335</v>
      </c>
      <c r="AB468" s="656"/>
    </row>
    <row r="469" spans="1:28">
      <c r="A469" s="656" t="s">
        <v>8638</v>
      </c>
      <c r="B469" s="656" t="s">
        <v>8637</v>
      </c>
      <c r="C469" s="656" t="s">
        <v>20</v>
      </c>
      <c r="D469" s="656" t="s">
        <v>10342</v>
      </c>
      <c r="E469" s="656" t="s">
        <v>14279</v>
      </c>
      <c r="F469" s="1447"/>
      <c r="G469" s="656" t="s">
        <v>10341</v>
      </c>
      <c r="H469" s="656" t="s">
        <v>1777</v>
      </c>
      <c r="I469" s="656"/>
      <c r="J469" s="656"/>
      <c r="K469" s="656"/>
      <c r="L469" s="656" t="s">
        <v>10342</v>
      </c>
      <c r="M469" s="656" t="s">
        <v>16196</v>
      </c>
      <c r="N469" s="656"/>
      <c r="O469" s="656" t="s">
        <v>6395</v>
      </c>
      <c r="P469" s="5"/>
      <c r="Q469" s="1447">
        <v>44028</v>
      </c>
      <c r="R469" s="656"/>
      <c r="S469" s="656" t="s">
        <v>472</v>
      </c>
      <c r="T469" s="656"/>
      <c r="U469" s="656"/>
      <c r="V469" s="656"/>
      <c r="W469" s="656" t="s">
        <v>13051</v>
      </c>
      <c r="X469" s="656" t="s">
        <v>498</v>
      </c>
      <c r="Y469" s="656" t="s">
        <v>14278</v>
      </c>
      <c r="Z469" s="656">
        <v>44305.525127314817</v>
      </c>
      <c r="AA469" s="656" t="s">
        <v>14335</v>
      </c>
      <c r="AB469" s="656"/>
    </row>
    <row r="470" spans="1:28">
      <c r="A470" s="656" t="s">
        <v>8640</v>
      </c>
      <c r="B470" s="656" t="s">
        <v>8639</v>
      </c>
      <c r="C470" s="656" t="s">
        <v>21</v>
      </c>
      <c r="D470" s="656" t="s">
        <v>10211</v>
      </c>
      <c r="E470" s="656" t="s">
        <v>14279</v>
      </c>
      <c r="F470" s="1447"/>
      <c r="G470" s="656" t="s">
        <v>10109</v>
      </c>
      <c r="H470" s="656" t="s">
        <v>1777</v>
      </c>
      <c r="I470" s="656" t="s">
        <v>14422</v>
      </c>
      <c r="J470" s="656" t="s">
        <v>10211</v>
      </c>
      <c r="K470" s="656" t="s">
        <v>9774</v>
      </c>
      <c r="L470" s="656"/>
      <c r="M470" s="656" t="s">
        <v>16196</v>
      </c>
      <c r="N470" s="656"/>
      <c r="O470" s="656" t="s">
        <v>6395</v>
      </c>
      <c r="P470" s="5" t="s">
        <v>14423</v>
      </c>
      <c r="Q470" s="1447">
        <v>43894</v>
      </c>
      <c r="R470" s="656"/>
      <c r="S470" s="656" t="s">
        <v>472</v>
      </c>
      <c r="T470" s="656"/>
      <c r="U470" s="656"/>
      <c r="V470" s="656"/>
      <c r="W470" s="656" t="s">
        <v>13051</v>
      </c>
      <c r="X470" s="656" t="s">
        <v>498</v>
      </c>
      <c r="Y470" s="656" t="s">
        <v>14278</v>
      </c>
      <c r="Z470" s="656">
        <v>44305.525092592594</v>
      </c>
      <c r="AA470" s="656" t="s">
        <v>14335</v>
      </c>
      <c r="AB470" s="656"/>
    </row>
    <row r="471" spans="1:28">
      <c r="A471" s="656" t="s">
        <v>8640</v>
      </c>
      <c r="B471" s="656" t="s">
        <v>8639</v>
      </c>
      <c r="C471" s="656" t="s">
        <v>20</v>
      </c>
      <c r="D471" s="656" t="s">
        <v>10110</v>
      </c>
      <c r="E471" s="656" t="s">
        <v>14279</v>
      </c>
      <c r="F471" s="1447"/>
      <c r="G471" s="656" t="s">
        <v>10109</v>
      </c>
      <c r="H471" s="656" t="s">
        <v>1777</v>
      </c>
      <c r="I471" s="656"/>
      <c r="J471" s="656"/>
      <c r="K471" s="656"/>
      <c r="L471" s="656" t="s">
        <v>10110</v>
      </c>
      <c r="M471" s="656" t="s">
        <v>16196</v>
      </c>
      <c r="N471" s="656"/>
      <c r="O471" s="656" t="s">
        <v>6395</v>
      </c>
      <c r="P471" s="5"/>
      <c r="Q471" s="1447">
        <v>43763</v>
      </c>
      <c r="R471" s="656"/>
      <c r="S471" s="656" t="s">
        <v>472</v>
      </c>
      <c r="T471" s="656"/>
      <c r="U471" s="656"/>
      <c r="V471" s="656"/>
      <c r="W471" s="656" t="s">
        <v>13051</v>
      </c>
      <c r="X471" s="656" t="s">
        <v>498</v>
      </c>
      <c r="Y471" s="656" t="s">
        <v>14278</v>
      </c>
      <c r="Z471" s="656">
        <v>44305.525104166663</v>
      </c>
      <c r="AA471" s="656" t="s">
        <v>14335</v>
      </c>
      <c r="AB471" s="656"/>
    </row>
    <row r="472" spans="1:28">
      <c r="A472" s="656" t="s">
        <v>1033</v>
      </c>
      <c r="B472" s="656" t="s">
        <v>1015</v>
      </c>
      <c r="C472" s="656" t="s">
        <v>21</v>
      </c>
      <c r="D472" s="656" t="s">
        <v>10159</v>
      </c>
      <c r="E472" s="656" t="s">
        <v>14279</v>
      </c>
      <c r="F472" s="1447"/>
      <c r="G472" s="656" t="s">
        <v>10060</v>
      </c>
      <c r="H472" s="656" t="s">
        <v>1777</v>
      </c>
      <c r="I472" s="656" t="s">
        <v>14422</v>
      </c>
      <c r="J472" s="656" t="s">
        <v>10159</v>
      </c>
      <c r="K472" s="656" t="s">
        <v>9774</v>
      </c>
      <c r="L472" s="656"/>
      <c r="M472" s="656" t="s">
        <v>16196</v>
      </c>
      <c r="N472" s="656"/>
      <c r="O472" s="656" t="s">
        <v>6395</v>
      </c>
      <c r="P472" s="5"/>
      <c r="Q472" s="1447">
        <v>43819</v>
      </c>
      <c r="R472" s="656"/>
      <c r="S472" s="656" t="s">
        <v>472</v>
      </c>
      <c r="T472" s="656"/>
      <c r="U472" s="656"/>
      <c r="V472" s="656"/>
      <c r="W472" s="656" t="s">
        <v>13051</v>
      </c>
      <c r="X472" s="656" t="s">
        <v>498</v>
      </c>
      <c r="Y472" s="656" t="s">
        <v>14278</v>
      </c>
      <c r="Z472" s="656">
        <v>44305.525081018517</v>
      </c>
      <c r="AA472" s="656" t="s">
        <v>14335</v>
      </c>
      <c r="AB472" s="656"/>
    </row>
    <row r="473" spans="1:28">
      <c r="A473" s="656" t="s">
        <v>1033</v>
      </c>
      <c r="B473" s="656" t="s">
        <v>1015</v>
      </c>
      <c r="C473" s="656" t="s">
        <v>20</v>
      </c>
      <c r="D473" s="656" t="s">
        <v>10061</v>
      </c>
      <c r="E473" s="656" t="s">
        <v>14279</v>
      </c>
      <c r="F473" s="1447"/>
      <c r="G473" s="656" t="s">
        <v>10060</v>
      </c>
      <c r="H473" s="656" t="s">
        <v>1777</v>
      </c>
      <c r="I473" s="656"/>
      <c r="J473" s="656"/>
      <c r="K473" s="656"/>
      <c r="L473" s="656" t="s">
        <v>10061</v>
      </c>
      <c r="M473" s="656" t="s">
        <v>16196</v>
      </c>
      <c r="N473" s="656"/>
      <c r="O473" s="656" t="s">
        <v>6395</v>
      </c>
      <c r="P473" s="5"/>
      <c r="Q473" s="1447">
        <v>43725</v>
      </c>
      <c r="R473" s="656"/>
      <c r="S473" s="656" t="s">
        <v>472</v>
      </c>
      <c r="T473" s="656"/>
      <c r="U473" s="656"/>
      <c r="V473" s="656"/>
      <c r="W473" s="656" t="s">
        <v>13051</v>
      </c>
      <c r="X473" s="656" t="s">
        <v>498</v>
      </c>
      <c r="Y473" s="656" t="s">
        <v>14278</v>
      </c>
      <c r="Z473" s="656">
        <v>44305.525092592594</v>
      </c>
      <c r="AA473" s="656" t="s">
        <v>14335</v>
      </c>
      <c r="AB473" s="656"/>
    </row>
    <row r="474" spans="1:28">
      <c r="A474" s="656" t="s">
        <v>12639</v>
      </c>
      <c r="B474" s="656" t="s">
        <v>12638</v>
      </c>
      <c r="C474" s="656" t="s">
        <v>20</v>
      </c>
      <c r="D474" s="656" t="s">
        <v>12975</v>
      </c>
      <c r="E474" s="656" t="s">
        <v>14279</v>
      </c>
      <c r="F474" s="1447"/>
      <c r="G474" s="656" t="s">
        <v>12976</v>
      </c>
      <c r="H474" s="656" t="s">
        <v>1777</v>
      </c>
      <c r="I474" s="656"/>
      <c r="J474" s="656"/>
      <c r="K474" s="656"/>
      <c r="L474" s="656" t="s">
        <v>12975</v>
      </c>
      <c r="M474" s="656" t="s">
        <v>16196</v>
      </c>
      <c r="N474" s="656"/>
      <c r="O474" s="656" t="s">
        <v>6395</v>
      </c>
      <c r="P474" s="5"/>
      <c r="Q474" s="1447">
        <v>44145</v>
      </c>
      <c r="R474" s="656"/>
      <c r="S474" s="656" t="s">
        <v>472</v>
      </c>
      <c r="T474" s="656"/>
      <c r="U474" s="656"/>
      <c r="V474" s="656"/>
      <c r="W474" s="656" t="s">
        <v>13051</v>
      </c>
      <c r="X474" s="656" t="s">
        <v>498</v>
      </c>
      <c r="Y474" s="656" t="s">
        <v>14278</v>
      </c>
      <c r="Z474" s="656">
        <v>44305.525081018517</v>
      </c>
      <c r="AA474" s="656" t="s">
        <v>14335</v>
      </c>
      <c r="AB474" s="656"/>
    </row>
    <row r="475" spans="1:28">
      <c r="A475" s="656" t="s">
        <v>8778</v>
      </c>
      <c r="B475" s="656" t="s">
        <v>8777</v>
      </c>
      <c r="C475" s="656" t="s">
        <v>21</v>
      </c>
      <c r="D475" s="656" t="s">
        <v>12271</v>
      </c>
      <c r="E475" s="656" t="s">
        <v>14275</v>
      </c>
      <c r="F475" s="1447">
        <v>43977</v>
      </c>
      <c r="G475" s="656" t="s">
        <v>12269</v>
      </c>
      <c r="H475" s="656" t="s">
        <v>1777</v>
      </c>
      <c r="I475" s="656" t="s">
        <v>14424</v>
      </c>
      <c r="J475" s="656" t="s">
        <v>12271</v>
      </c>
      <c r="K475" s="656" t="s">
        <v>9774</v>
      </c>
      <c r="L475" s="656"/>
      <c r="M475" s="656" t="s">
        <v>16196</v>
      </c>
      <c r="N475" s="656"/>
      <c r="O475" s="656" t="s">
        <v>6395</v>
      </c>
      <c r="P475" s="5"/>
      <c r="Q475" s="1447">
        <v>43794</v>
      </c>
      <c r="R475" s="656">
        <v>43921</v>
      </c>
      <c r="S475" s="656" t="s">
        <v>472</v>
      </c>
      <c r="T475" s="656"/>
      <c r="U475" s="656"/>
      <c r="V475" s="656"/>
      <c r="W475" s="656" t="s">
        <v>13051</v>
      </c>
      <c r="X475" s="656" t="s">
        <v>498</v>
      </c>
      <c r="Y475" s="656" t="s">
        <v>14278</v>
      </c>
      <c r="Z475" s="656">
        <v>44305.525069444448</v>
      </c>
      <c r="AA475" s="656" t="s">
        <v>14335</v>
      </c>
      <c r="AB475" s="656"/>
    </row>
    <row r="476" spans="1:28">
      <c r="A476" s="656" t="s">
        <v>8778</v>
      </c>
      <c r="B476" s="656" t="s">
        <v>8777</v>
      </c>
      <c r="C476" s="656" t="s">
        <v>20</v>
      </c>
      <c r="D476" s="656" t="s">
        <v>12270</v>
      </c>
      <c r="E476" s="656" t="s">
        <v>14275</v>
      </c>
      <c r="F476" s="1447">
        <v>44013</v>
      </c>
      <c r="G476" s="656" t="s">
        <v>12269</v>
      </c>
      <c r="H476" s="656" t="s">
        <v>1777</v>
      </c>
      <c r="I476" s="656"/>
      <c r="J476" s="656"/>
      <c r="K476" s="656"/>
      <c r="L476" s="656" t="s">
        <v>12270</v>
      </c>
      <c r="M476" s="656" t="s">
        <v>16196</v>
      </c>
      <c r="N476" s="656"/>
      <c r="O476" s="656" t="s">
        <v>6395</v>
      </c>
      <c r="P476" s="5"/>
      <c r="Q476" s="1447">
        <v>43763</v>
      </c>
      <c r="R476" s="656"/>
      <c r="S476" s="656" t="s">
        <v>472</v>
      </c>
      <c r="T476" s="656"/>
      <c r="U476" s="656"/>
      <c r="V476" s="656"/>
      <c r="W476" s="656" t="s">
        <v>13051</v>
      </c>
      <c r="X476" s="656" t="s">
        <v>498</v>
      </c>
      <c r="Y476" s="656" t="s">
        <v>14278</v>
      </c>
      <c r="Z476" s="656">
        <v>44305.525069444448</v>
      </c>
      <c r="AA476" s="656" t="s">
        <v>14335</v>
      </c>
      <c r="AB476" s="656"/>
    </row>
    <row r="477" spans="1:28">
      <c r="A477" s="656" t="s">
        <v>1035</v>
      </c>
      <c r="B477" s="656" t="s">
        <v>1036</v>
      </c>
      <c r="C477" s="656" t="s">
        <v>20</v>
      </c>
      <c r="D477" s="656" t="s">
        <v>10138</v>
      </c>
      <c r="E477" s="656" t="s">
        <v>14279</v>
      </c>
      <c r="F477" s="1447"/>
      <c r="G477" s="656" t="s">
        <v>10137</v>
      </c>
      <c r="H477" s="656" t="s">
        <v>1777</v>
      </c>
      <c r="I477" s="656"/>
      <c r="J477" s="656"/>
      <c r="K477" s="656"/>
      <c r="L477" s="656" t="s">
        <v>10138</v>
      </c>
      <c r="M477" s="656" t="s">
        <v>16196</v>
      </c>
      <c r="N477" s="656"/>
      <c r="O477" s="656" t="s">
        <v>6395</v>
      </c>
      <c r="P477" s="5"/>
      <c r="Q477" s="1447">
        <v>43810</v>
      </c>
      <c r="R477" s="656"/>
      <c r="S477" s="656" t="s">
        <v>472</v>
      </c>
      <c r="T477" s="656"/>
      <c r="U477" s="656"/>
      <c r="V477" s="656"/>
      <c r="W477" s="656" t="s">
        <v>13051</v>
      </c>
      <c r="X477" s="656" t="s">
        <v>498</v>
      </c>
      <c r="Y477" s="656" t="s">
        <v>14278</v>
      </c>
      <c r="Z477" s="656">
        <v>44305.525046296294</v>
      </c>
      <c r="AA477" s="656" t="s">
        <v>14335</v>
      </c>
      <c r="AB477" s="656"/>
    </row>
    <row r="478" spans="1:28">
      <c r="A478" s="656" t="s">
        <v>1035</v>
      </c>
      <c r="B478" s="656" t="s">
        <v>1036</v>
      </c>
      <c r="C478" s="656" t="s">
        <v>20</v>
      </c>
      <c r="D478" s="656" t="s">
        <v>10155</v>
      </c>
      <c r="E478" s="656" t="s">
        <v>14279</v>
      </c>
      <c r="F478" s="1447"/>
      <c r="G478" s="656" t="s">
        <v>10137</v>
      </c>
      <c r="H478" s="656" t="s">
        <v>1777</v>
      </c>
      <c r="I478" s="656"/>
      <c r="J478" s="656"/>
      <c r="K478" s="656"/>
      <c r="L478" s="656" t="s">
        <v>10155</v>
      </c>
      <c r="M478" s="656" t="s">
        <v>9450</v>
      </c>
      <c r="N478" s="656" t="s">
        <v>9892</v>
      </c>
      <c r="O478" s="656" t="s">
        <v>6395</v>
      </c>
      <c r="P478" s="5" t="s">
        <v>14349</v>
      </c>
      <c r="Q478" s="1447">
        <v>43818</v>
      </c>
      <c r="R478" s="656"/>
      <c r="S478" s="656" t="s">
        <v>472</v>
      </c>
      <c r="T478" s="656"/>
      <c r="U478" s="656"/>
      <c r="V478" s="656"/>
      <c r="W478" s="656" t="s">
        <v>13051</v>
      </c>
      <c r="X478" s="656" t="s">
        <v>498</v>
      </c>
      <c r="Y478" s="656" t="s">
        <v>14278</v>
      </c>
      <c r="Z478" s="656">
        <v>44305.525057870371</v>
      </c>
      <c r="AA478" s="656" t="s">
        <v>14335</v>
      </c>
      <c r="AB478" s="656"/>
    </row>
    <row r="479" spans="1:28">
      <c r="A479" s="656" t="s">
        <v>1035</v>
      </c>
      <c r="B479" s="656" t="s">
        <v>1036</v>
      </c>
      <c r="C479" s="656" t="s">
        <v>20</v>
      </c>
      <c r="D479" s="656" t="s">
        <v>10156</v>
      </c>
      <c r="E479" s="656" t="s">
        <v>14279</v>
      </c>
      <c r="F479" s="1447"/>
      <c r="G479" s="656" t="s">
        <v>10137</v>
      </c>
      <c r="H479" s="656" t="s">
        <v>1777</v>
      </c>
      <c r="I479" s="656"/>
      <c r="J479" s="656"/>
      <c r="K479" s="656"/>
      <c r="L479" s="656" t="s">
        <v>10156</v>
      </c>
      <c r="M479" s="656" t="s">
        <v>9450</v>
      </c>
      <c r="N479" s="656" t="s">
        <v>9892</v>
      </c>
      <c r="O479" s="656" t="s">
        <v>6395</v>
      </c>
      <c r="P479" s="5" t="s">
        <v>14350</v>
      </c>
      <c r="Q479" s="1447">
        <v>43818</v>
      </c>
      <c r="R479" s="656"/>
      <c r="S479" s="656" t="s">
        <v>472</v>
      </c>
      <c r="T479" s="656"/>
      <c r="U479" s="656"/>
      <c r="V479" s="656"/>
      <c r="W479" s="656" t="s">
        <v>13051</v>
      </c>
      <c r="X479" s="656" t="s">
        <v>498</v>
      </c>
      <c r="Y479" s="656" t="s">
        <v>14278</v>
      </c>
      <c r="Z479" s="656">
        <v>44305.525057870371</v>
      </c>
      <c r="AA479" s="656" t="s">
        <v>14335</v>
      </c>
      <c r="AB479" s="656"/>
    </row>
    <row r="480" spans="1:28" ht="29">
      <c r="A480" s="656" t="s">
        <v>1037</v>
      </c>
      <c r="B480" s="656" t="s">
        <v>9972</v>
      </c>
      <c r="C480" s="656" t="s">
        <v>21</v>
      </c>
      <c r="D480" s="656" t="s">
        <v>10010</v>
      </c>
      <c r="E480" s="656" t="s">
        <v>14275</v>
      </c>
      <c r="F480" s="1447">
        <v>44284</v>
      </c>
      <c r="G480" s="656" t="s">
        <v>9973</v>
      </c>
      <c r="H480" s="656" t="s">
        <v>1777</v>
      </c>
      <c r="I480" s="656" t="s">
        <v>14424</v>
      </c>
      <c r="J480" s="656" t="s">
        <v>10010</v>
      </c>
      <c r="K480" s="656" t="s">
        <v>9774</v>
      </c>
      <c r="L480" s="656"/>
      <c r="M480" s="656" t="s">
        <v>16196</v>
      </c>
      <c r="N480" s="656"/>
      <c r="O480" s="656" t="s">
        <v>6395</v>
      </c>
      <c r="P480" s="5" t="s">
        <v>16468</v>
      </c>
      <c r="Q480" s="1447">
        <v>43657</v>
      </c>
      <c r="R480" s="656">
        <v>44057</v>
      </c>
      <c r="S480" s="656" t="s">
        <v>472</v>
      </c>
      <c r="T480" s="656"/>
      <c r="U480" s="656"/>
      <c r="V480" s="656"/>
      <c r="W480" s="656" t="s">
        <v>13051</v>
      </c>
      <c r="X480" s="656" t="s">
        <v>498</v>
      </c>
      <c r="Y480" s="656" t="s">
        <v>14278</v>
      </c>
      <c r="Z480" s="656">
        <v>44313.586192129631</v>
      </c>
      <c r="AA480" s="656" t="s">
        <v>14276</v>
      </c>
      <c r="AB480" s="656"/>
    </row>
    <row r="481" spans="1:28">
      <c r="A481" s="656" t="s">
        <v>1037</v>
      </c>
      <c r="B481" s="656" t="s">
        <v>9972</v>
      </c>
      <c r="C481" s="656" t="s">
        <v>20</v>
      </c>
      <c r="D481" s="656" t="s">
        <v>9974</v>
      </c>
      <c r="E481" s="656" t="s">
        <v>14275</v>
      </c>
      <c r="F481" s="1447">
        <v>44253</v>
      </c>
      <c r="G481" s="656" t="s">
        <v>9973</v>
      </c>
      <c r="H481" s="656" t="s">
        <v>1777</v>
      </c>
      <c r="I481" s="656"/>
      <c r="J481" s="656"/>
      <c r="K481" s="656"/>
      <c r="L481" s="656" t="s">
        <v>9974</v>
      </c>
      <c r="M481" s="656" t="s">
        <v>16368</v>
      </c>
      <c r="N481" s="656"/>
      <c r="O481" s="656" t="s">
        <v>6395</v>
      </c>
      <c r="P481" s="5"/>
      <c r="Q481" s="1447">
        <v>43595</v>
      </c>
      <c r="R481" s="656"/>
      <c r="S481" s="656" t="s">
        <v>472</v>
      </c>
      <c r="T481" s="656"/>
      <c r="U481" s="656"/>
      <c r="V481" s="656"/>
      <c r="W481" s="656" t="s">
        <v>13051</v>
      </c>
      <c r="X481" s="656" t="s">
        <v>498</v>
      </c>
      <c r="Y481" s="656" t="s">
        <v>14278</v>
      </c>
      <c r="Z481" s="656">
        <v>44305.525034722225</v>
      </c>
      <c r="AA481" s="656" t="s">
        <v>14335</v>
      </c>
      <c r="AB481" s="656"/>
    </row>
    <row r="482" spans="1:28">
      <c r="A482" s="656" t="s">
        <v>1037</v>
      </c>
      <c r="B482" s="656" t="s">
        <v>9972</v>
      </c>
      <c r="C482" s="656" t="s">
        <v>20</v>
      </c>
      <c r="D482" s="656" t="s">
        <v>10025</v>
      </c>
      <c r="E482" s="656" t="s">
        <v>14275</v>
      </c>
      <c r="F482" s="1447">
        <v>44253</v>
      </c>
      <c r="G482" s="656" t="s">
        <v>9973</v>
      </c>
      <c r="H482" s="656" t="s">
        <v>1777</v>
      </c>
      <c r="I482" s="656"/>
      <c r="J482" s="656"/>
      <c r="K482" s="656"/>
      <c r="L482" s="656" t="s">
        <v>10025</v>
      </c>
      <c r="M482" s="656" t="s">
        <v>16196</v>
      </c>
      <c r="N482" s="656"/>
      <c r="O482" s="656" t="s">
        <v>6395</v>
      </c>
      <c r="P482" s="5" t="s">
        <v>15435</v>
      </c>
      <c r="Q482" s="1447">
        <v>43676</v>
      </c>
      <c r="R482" s="656"/>
      <c r="S482" s="656" t="s">
        <v>472</v>
      </c>
      <c r="T482" s="656"/>
      <c r="U482" s="656"/>
      <c r="V482" s="656"/>
      <c r="W482" s="656" t="s">
        <v>13051</v>
      </c>
      <c r="X482" s="656" t="s">
        <v>498</v>
      </c>
      <c r="Y482" s="656" t="s">
        <v>14278</v>
      </c>
      <c r="Z482" s="656">
        <v>44305.525034722225</v>
      </c>
      <c r="AA482" s="656" t="s">
        <v>14335</v>
      </c>
      <c r="AB482" s="656"/>
    </row>
    <row r="483" spans="1:28">
      <c r="A483" s="656" t="s">
        <v>1038</v>
      </c>
      <c r="B483" s="656" t="s">
        <v>1039</v>
      </c>
      <c r="C483" s="656" t="s">
        <v>21</v>
      </c>
      <c r="D483" s="656" t="s">
        <v>10038</v>
      </c>
      <c r="E483" s="656" t="s">
        <v>14275</v>
      </c>
      <c r="F483" s="1447">
        <v>44263</v>
      </c>
      <c r="G483" s="656" t="s">
        <v>10034</v>
      </c>
      <c r="H483" s="656" t="s">
        <v>1777</v>
      </c>
      <c r="I483" s="656" t="s">
        <v>14424</v>
      </c>
      <c r="J483" s="656" t="s">
        <v>10038</v>
      </c>
      <c r="K483" s="656" t="s">
        <v>9774</v>
      </c>
      <c r="L483" s="656"/>
      <c r="M483" s="656" t="s">
        <v>16196</v>
      </c>
      <c r="N483" s="656"/>
      <c r="O483" s="656" t="s">
        <v>6395</v>
      </c>
      <c r="P483" s="5"/>
      <c r="Q483" s="1447">
        <v>43678</v>
      </c>
      <c r="R483" s="656">
        <v>44092</v>
      </c>
      <c r="S483" s="656" t="s">
        <v>472</v>
      </c>
      <c r="T483" s="656"/>
      <c r="U483" s="656"/>
      <c r="V483" s="656"/>
      <c r="W483" s="656" t="s">
        <v>13051</v>
      </c>
      <c r="X483" s="656" t="s">
        <v>498</v>
      </c>
      <c r="Y483" s="656" t="s">
        <v>14278</v>
      </c>
      <c r="Z483" s="656">
        <v>44305.524988425925</v>
      </c>
      <c r="AA483" s="656" t="s">
        <v>14335</v>
      </c>
      <c r="AB483" s="656"/>
    </row>
    <row r="484" spans="1:28">
      <c r="A484" s="656" t="s">
        <v>1038</v>
      </c>
      <c r="B484" s="656" t="s">
        <v>1039</v>
      </c>
      <c r="C484" s="656" t="s">
        <v>20</v>
      </c>
      <c r="D484" s="656" t="s">
        <v>10035</v>
      </c>
      <c r="E484" s="656" t="s">
        <v>14275</v>
      </c>
      <c r="F484" s="1447">
        <v>44263</v>
      </c>
      <c r="G484" s="656" t="s">
        <v>10034</v>
      </c>
      <c r="H484" s="656" t="s">
        <v>1777</v>
      </c>
      <c r="I484" s="656"/>
      <c r="J484" s="656"/>
      <c r="K484" s="656"/>
      <c r="L484" s="656" t="s">
        <v>10035</v>
      </c>
      <c r="M484" s="656" t="s">
        <v>16196</v>
      </c>
      <c r="N484" s="656"/>
      <c r="O484" s="656" t="s">
        <v>6395</v>
      </c>
      <c r="P484" s="5"/>
      <c r="Q484" s="1447">
        <v>43678</v>
      </c>
      <c r="R484" s="656"/>
      <c r="S484" s="656" t="s">
        <v>472</v>
      </c>
      <c r="T484" s="656"/>
      <c r="U484" s="656"/>
      <c r="V484" s="656"/>
      <c r="W484" s="656" t="s">
        <v>13051</v>
      </c>
      <c r="X484" s="656" t="s">
        <v>498</v>
      </c>
      <c r="Y484" s="656" t="s">
        <v>14278</v>
      </c>
      <c r="Z484" s="656">
        <v>44305.525000000001</v>
      </c>
      <c r="AA484" s="656" t="s">
        <v>14335</v>
      </c>
      <c r="AB484" s="656"/>
    </row>
    <row r="485" spans="1:28">
      <c r="A485" s="656" t="s">
        <v>1038</v>
      </c>
      <c r="B485" s="656" t="s">
        <v>1039</v>
      </c>
      <c r="C485" s="656" t="s">
        <v>20</v>
      </c>
      <c r="D485" s="656" t="s">
        <v>10153</v>
      </c>
      <c r="E485" s="656" t="s">
        <v>14275</v>
      </c>
      <c r="F485" s="1447">
        <v>44249</v>
      </c>
      <c r="G485" s="656" t="s">
        <v>10034</v>
      </c>
      <c r="H485" s="656" t="s">
        <v>1777</v>
      </c>
      <c r="I485" s="656"/>
      <c r="J485" s="656"/>
      <c r="K485" s="656"/>
      <c r="L485" s="656" t="s">
        <v>10153</v>
      </c>
      <c r="M485" s="656" t="s">
        <v>9450</v>
      </c>
      <c r="N485" s="656" t="s">
        <v>9892</v>
      </c>
      <c r="O485" s="656" t="s">
        <v>6395</v>
      </c>
      <c r="P485" s="5" t="s">
        <v>14349</v>
      </c>
      <c r="Q485" s="1447">
        <v>43818</v>
      </c>
      <c r="R485" s="656"/>
      <c r="S485" s="656" t="s">
        <v>472</v>
      </c>
      <c r="T485" s="656"/>
      <c r="U485" s="656"/>
      <c r="V485" s="656"/>
      <c r="W485" s="656" t="s">
        <v>13051</v>
      </c>
      <c r="X485" s="656" t="s">
        <v>498</v>
      </c>
      <c r="Y485" s="656" t="s">
        <v>14278</v>
      </c>
      <c r="Z485" s="656">
        <v>44305.525000000001</v>
      </c>
      <c r="AA485" s="656" t="s">
        <v>14335</v>
      </c>
      <c r="AB485" s="656"/>
    </row>
    <row r="486" spans="1:28">
      <c r="A486" s="656" t="s">
        <v>1038</v>
      </c>
      <c r="B486" s="656" t="s">
        <v>1039</v>
      </c>
      <c r="C486" s="656" t="s">
        <v>20</v>
      </c>
      <c r="D486" s="656" t="s">
        <v>10154</v>
      </c>
      <c r="E486" s="656" t="s">
        <v>14275</v>
      </c>
      <c r="F486" s="1447">
        <v>44249</v>
      </c>
      <c r="G486" s="656" t="s">
        <v>10034</v>
      </c>
      <c r="H486" s="656" t="s">
        <v>1777</v>
      </c>
      <c r="I486" s="656"/>
      <c r="J486" s="656"/>
      <c r="K486" s="656"/>
      <c r="L486" s="656" t="s">
        <v>10154</v>
      </c>
      <c r="M486" s="656" t="s">
        <v>9450</v>
      </c>
      <c r="N486" s="656" t="s">
        <v>9892</v>
      </c>
      <c r="O486" s="656" t="s">
        <v>6395</v>
      </c>
      <c r="P486" s="5" t="s">
        <v>14350</v>
      </c>
      <c r="Q486" s="1447">
        <v>43818</v>
      </c>
      <c r="R486" s="656"/>
      <c r="S486" s="656" t="s">
        <v>472</v>
      </c>
      <c r="T486" s="656"/>
      <c r="U486" s="656"/>
      <c r="V486" s="656"/>
      <c r="W486" s="656" t="s">
        <v>13051</v>
      </c>
      <c r="X486" s="656" t="s">
        <v>498</v>
      </c>
      <c r="Y486" s="656" t="s">
        <v>14278</v>
      </c>
      <c r="Z486" s="656">
        <v>44305.525023148148</v>
      </c>
      <c r="AA486" s="656" t="s">
        <v>14335</v>
      </c>
      <c r="AB486" s="656"/>
    </row>
    <row r="487" spans="1:28" ht="29">
      <c r="A487" s="656" t="s">
        <v>1040</v>
      </c>
      <c r="B487" s="656" t="s">
        <v>1041</v>
      </c>
      <c r="C487" s="656" t="s">
        <v>21</v>
      </c>
      <c r="D487" s="656" t="s">
        <v>10079</v>
      </c>
      <c r="E487" s="656" t="s">
        <v>14275</v>
      </c>
      <c r="F487" s="1447">
        <v>44279</v>
      </c>
      <c r="G487" s="656" t="s">
        <v>10032</v>
      </c>
      <c r="H487" s="656" t="s">
        <v>1777</v>
      </c>
      <c r="I487" s="656" t="s">
        <v>14424</v>
      </c>
      <c r="J487" s="656" t="s">
        <v>10079</v>
      </c>
      <c r="K487" s="656" t="s">
        <v>9774</v>
      </c>
      <c r="L487" s="656"/>
      <c r="M487" s="656" t="s">
        <v>16196</v>
      </c>
      <c r="N487" s="656"/>
      <c r="O487" s="656" t="s">
        <v>6395</v>
      </c>
      <c r="P487" s="5" t="s">
        <v>16050</v>
      </c>
      <c r="Q487" s="1447">
        <v>43684</v>
      </c>
      <c r="R487" s="656"/>
      <c r="S487" s="656" t="s">
        <v>472</v>
      </c>
      <c r="T487" s="656"/>
      <c r="U487" s="656"/>
      <c r="V487" s="656"/>
      <c r="W487" s="656" t="s">
        <v>13051</v>
      </c>
      <c r="X487" s="656" t="s">
        <v>498</v>
      </c>
      <c r="Y487" s="656" t="s">
        <v>14278</v>
      </c>
      <c r="Z487" s="656">
        <v>44305.524965277778</v>
      </c>
      <c r="AA487" s="656" t="s">
        <v>14335</v>
      </c>
      <c r="AB487" s="656"/>
    </row>
    <row r="488" spans="1:28">
      <c r="A488" s="656" t="s">
        <v>1040</v>
      </c>
      <c r="B488" s="656" t="s">
        <v>1041</v>
      </c>
      <c r="C488" s="656" t="s">
        <v>20</v>
      </c>
      <c r="D488" s="656" t="s">
        <v>10033</v>
      </c>
      <c r="E488" s="656" t="s">
        <v>14275</v>
      </c>
      <c r="F488" s="1447">
        <v>44249</v>
      </c>
      <c r="G488" s="656" t="s">
        <v>10032</v>
      </c>
      <c r="H488" s="656" t="s">
        <v>1777</v>
      </c>
      <c r="I488" s="656"/>
      <c r="J488" s="656"/>
      <c r="K488" s="656"/>
      <c r="L488" s="656" t="s">
        <v>10033</v>
      </c>
      <c r="M488" s="656" t="s">
        <v>16196</v>
      </c>
      <c r="N488" s="656"/>
      <c r="O488" s="656" t="s">
        <v>6395</v>
      </c>
      <c r="P488" s="5"/>
      <c r="Q488" s="1447">
        <v>43678</v>
      </c>
      <c r="R488" s="656"/>
      <c r="S488" s="656" t="s">
        <v>472</v>
      </c>
      <c r="T488" s="656"/>
      <c r="U488" s="656"/>
      <c r="V488" s="656"/>
      <c r="W488" s="656" t="s">
        <v>13051</v>
      </c>
      <c r="X488" s="656" t="s">
        <v>498</v>
      </c>
      <c r="Y488" s="656" t="s">
        <v>14278</v>
      </c>
      <c r="Z488" s="656">
        <v>44305.524976851855</v>
      </c>
      <c r="AA488" s="656" t="s">
        <v>14335</v>
      </c>
      <c r="AB488" s="656"/>
    </row>
    <row r="489" spans="1:28">
      <c r="A489" s="656" t="s">
        <v>1040</v>
      </c>
      <c r="B489" s="656" t="s">
        <v>1041</v>
      </c>
      <c r="C489" s="656" t="s">
        <v>20</v>
      </c>
      <c r="D489" s="656" t="s">
        <v>10144</v>
      </c>
      <c r="E489" s="656" t="s">
        <v>14275</v>
      </c>
      <c r="F489" s="1447">
        <v>44249</v>
      </c>
      <c r="G489" s="656" t="s">
        <v>10032</v>
      </c>
      <c r="H489" s="656" t="s">
        <v>1777</v>
      </c>
      <c r="I489" s="656"/>
      <c r="J489" s="656"/>
      <c r="K489" s="656"/>
      <c r="L489" s="656" t="s">
        <v>10144</v>
      </c>
      <c r="M489" s="656" t="s">
        <v>9450</v>
      </c>
      <c r="N489" s="656" t="s">
        <v>9892</v>
      </c>
      <c r="O489" s="656" t="s">
        <v>6395</v>
      </c>
      <c r="P489" s="5" t="s">
        <v>14349</v>
      </c>
      <c r="Q489" s="1447">
        <v>43816</v>
      </c>
      <c r="R489" s="656"/>
      <c r="S489" s="656" t="s">
        <v>472</v>
      </c>
      <c r="T489" s="656"/>
      <c r="U489" s="656"/>
      <c r="V489" s="656"/>
      <c r="W489" s="656" t="s">
        <v>13051</v>
      </c>
      <c r="X489" s="656" t="s">
        <v>498</v>
      </c>
      <c r="Y489" s="656" t="s">
        <v>14278</v>
      </c>
      <c r="Z489" s="656">
        <v>44305.524988425925</v>
      </c>
      <c r="AA489" s="656" t="s">
        <v>14335</v>
      </c>
      <c r="AB489" s="656"/>
    </row>
    <row r="490" spans="1:28">
      <c r="A490" s="656" t="s">
        <v>1040</v>
      </c>
      <c r="B490" s="656" t="s">
        <v>1041</v>
      </c>
      <c r="C490" s="656" t="s">
        <v>20</v>
      </c>
      <c r="D490" s="656" t="s">
        <v>10145</v>
      </c>
      <c r="E490" s="656" t="s">
        <v>14275</v>
      </c>
      <c r="F490" s="1447">
        <v>44249</v>
      </c>
      <c r="G490" s="656" t="s">
        <v>10032</v>
      </c>
      <c r="H490" s="656" t="s">
        <v>1777</v>
      </c>
      <c r="I490" s="656"/>
      <c r="J490" s="656"/>
      <c r="K490" s="656"/>
      <c r="L490" s="656" t="s">
        <v>10145</v>
      </c>
      <c r="M490" s="656" t="s">
        <v>9450</v>
      </c>
      <c r="N490" s="656" t="s">
        <v>9892</v>
      </c>
      <c r="O490" s="656" t="s">
        <v>6395</v>
      </c>
      <c r="P490" s="5" t="s">
        <v>14425</v>
      </c>
      <c r="Q490" s="1447">
        <v>43816</v>
      </c>
      <c r="R490" s="656"/>
      <c r="S490" s="656" t="s">
        <v>472</v>
      </c>
      <c r="T490" s="656"/>
      <c r="U490" s="656"/>
      <c r="V490" s="656"/>
      <c r="W490" s="656" t="s">
        <v>13051</v>
      </c>
      <c r="X490" s="656" t="s">
        <v>498</v>
      </c>
      <c r="Y490" s="656" t="s">
        <v>14278</v>
      </c>
      <c r="Z490" s="656">
        <v>44305.524988425925</v>
      </c>
      <c r="AA490" s="656" t="s">
        <v>14335</v>
      </c>
      <c r="AB490" s="656"/>
    </row>
    <row r="491" spans="1:28">
      <c r="A491" s="656" t="s">
        <v>1045</v>
      </c>
      <c r="B491" s="656" t="s">
        <v>1019</v>
      </c>
      <c r="C491" s="656" t="s">
        <v>20</v>
      </c>
      <c r="D491" s="656" t="s">
        <v>9947</v>
      </c>
      <c r="E491" s="656" t="s">
        <v>14279</v>
      </c>
      <c r="F491" s="1447"/>
      <c r="G491" s="656" t="s">
        <v>9946</v>
      </c>
      <c r="H491" s="656" t="s">
        <v>1777</v>
      </c>
      <c r="I491" s="656"/>
      <c r="J491" s="656"/>
      <c r="K491" s="656"/>
      <c r="L491" s="656" t="s">
        <v>9947</v>
      </c>
      <c r="M491" s="656" t="s">
        <v>16368</v>
      </c>
      <c r="N491" s="656"/>
      <c r="O491" s="656" t="s">
        <v>6395</v>
      </c>
      <c r="P491" s="5"/>
      <c r="Q491" s="1447">
        <v>43571</v>
      </c>
      <c r="R491" s="656"/>
      <c r="S491" s="656" t="s">
        <v>3756</v>
      </c>
      <c r="T491" s="656"/>
      <c r="U491" s="656"/>
      <c r="V491" s="656"/>
      <c r="W491" s="656" t="s">
        <v>13051</v>
      </c>
      <c r="X491" s="656" t="s">
        <v>498</v>
      </c>
      <c r="Y491" s="656" t="s">
        <v>14278</v>
      </c>
      <c r="Z491" s="656">
        <v>44305.524953703702</v>
      </c>
      <c r="AA491" s="656" t="s">
        <v>14335</v>
      </c>
      <c r="AB491" s="656"/>
    </row>
    <row r="492" spans="1:28">
      <c r="A492" s="656" t="s">
        <v>1045</v>
      </c>
      <c r="B492" s="656" t="s">
        <v>1019</v>
      </c>
      <c r="C492" s="656" t="s">
        <v>20</v>
      </c>
      <c r="D492" s="656" t="s">
        <v>10024</v>
      </c>
      <c r="E492" s="656" t="s">
        <v>14279</v>
      </c>
      <c r="F492" s="1447"/>
      <c r="G492" s="656" t="s">
        <v>9946</v>
      </c>
      <c r="H492" s="656" t="s">
        <v>1777</v>
      </c>
      <c r="I492" s="656"/>
      <c r="J492" s="656"/>
      <c r="K492" s="656"/>
      <c r="L492" s="656" t="s">
        <v>10024</v>
      </c>
      <c r="M492" s="656" t="s">
        <v>16196</v>
      </c>
      <c r="N492" s="656"/>
      <c r="O492" s="656" t="s">
        <v>6395</v>
      </c>
      <c r="P492" s="5"/>
      <c r="Q492" s="1447">
        <v>43676</v>
      </c>
      <c r="R492" s="656"/>
      <c r="S492" s="656" t="s">
        <v>472</v>
      </c>
      <c r="T492" s="656"/>
      <c r="U492" s="656"/>
      <c r="V492" s="656"/>
      <c r="W492" s="656" t="s">
        <v>13051</v>
      </c>
      <c r="X492" s="656" t="s">
        <v>498</v>
      </c>
      <c r="Y492" s="656" t="s">
        <v>14278</v>
      </c>
      <c r="Z492" s="656">
        <v>44305.524965277778</v>
      </c>
      <c r="AA492" s="656" t="s">
        <v>14335</v>
      </c>
      <c r="AB492" s="656"/>
    </row>
    <row r="493" spans="1:28">
      <c r="A493" s="656" t="s">
        <v>1046</v>
      </c>
      <c r="B493" s="656" t="s">
        <v>1047</v>
      </c>
      <c r="C493" s="656" t="s">
        <v>21</v>
      </c>
      <c r="D493" s="656" t="s">
        <v>10103</v>
      </c>
      <c r="E493" s="656" t="s">
        <v>14313</v>
      </c>
      <c r="F493" s="1447"/>
      <c r="G493" s="656" t="s">
        <v>10028</v>
      </c>
      <c r="H493" s="656" t="s">
        <v>1777</v>
      </c>
      <c r="I493" s="656" t="s">
        <v>14426</v>
      </c>
      <c r="J493" s="656" t="s">
        <v>10103</v>
      </c>
      <c r="K493" s="656" t="s">
        <v>9774</v>
      </c>
      <c r="L493" s="656"/>
      <c r="M493" s="656" t="s">
        <v>16319</v>
      </c>
      <c r="N493" s="656"/>
      <c r="O493" s="656" t="s">
        <v>6387</v>
      </c>
      <c r="P493" s="5"/>
      <c r="Q493" s="1447">
        <v>43763</v>
      </c>
      <c r="R493" s="656">
        <v>44281</v>
      </c>
      <c r="S493" s="656" t="s">
        <v>465</v>
      </c>
      <c r="T493" s="656"/>
      <c r="U493" s="656"/>
      <c r="V493" s="656"/>
      <c r="W493" s="656" t="s">
        <v>13051</v>
      </c>
      <c r="X493" s="656" t="s">
        <v>498</v>
      </c>
      <c r="Y493" s="656" t="s">
        <v>14278</v>
      </c>
      <c r="Z493" s="656">
        <v>44305.524953703702</v>
      </c>
      <c r="AA493" s="656" t="s">
        <v>14335</v>
      </c>
      <c r="AB493" s="656"/>
    </row>
    <row r="494" spans="1:28">
      <c r="A494" s="656" t="s">
        <v>1046</v>
      </c>
      <c r="B494" s="656" t="s">
        <v>1047</v>
      </c>
      <c r="C494" s="656" t="s">
        <v>20</v>
      </c>
      <c r="D494" s="656" t="s">
        <v>10029</v>
      </c>
      <c r="E494" s="656" t="s">
        <v>14279</v>
      </c>
      <c r="F494" s="1447"/>
      <c r="G494" s="656" t="s">
        <v>10028</v>
      </c>
      <c r="H494" s="656" t="s">
        <v>1777</v>
      </c>
      <c r="I494" s="656"/>
      <c r="J494" s="656"/>
      <c r="K494" s="656"/>
      <c r="L494" s="656" t="s">
        <v>10029</v>
      </c>
      <c r="M494" s="656" t="s">
        <v>16262</v>
      </c>
      <c r="N494" s="656"/>
      <c r="O494" s="656" t="s">
        <v>6387</v>
      </c>
      <c r="P494" s="5"/>
      <c r="Q494" s="1447">
        <v>43676</v>
      </c>
      <c r="R494" s="656"/>
      <c r="S494" s="656" t="s">
        <v>465</v>
      </c>
      <c r="T494" s="656"/>
      <c r="U494" s="656"/>
      <c r="V494" s="656"/>
      <c r="W494" s="656" t="s">
        <v>13051</v>
      </c>
      <c r="X494" s="656" t="s">
        <v>498</v>
      </c>
      <c r="Y494" s="656" t="s">
        <v>14278</v>
      </c>
      <c r="Z494" s="656">
        <v>44305.524953703702</v>
      </c>
      <c r="AA494" s="656" t="s">
        <v>14335</v>
      </c>
      <c r="AB494" s="656"/>
    </row>
    <row r="495" spans="1:28">
      <c r="A495" s="656" t="s">
        <v>1046</v>
      </c>
      <c r="B495" s="656" t="s">
        <v>1047</v>
      </c>
      <c r="C495" s="656" t="s">
        <v>20</v>
      </c>
      <c r="D495" s="656" t="s">
        <v>16010</v>
      </c>
      <c r="E495" s="656" t="s">
        <v>14279</v>
      </c>
      <c r="F495" s="1447"/>
      <c r="G495" s="656" t="s">
        <v>16011</v>
      </c>
      <c r="H495" s="656" t="s">
        <v>1777</v>
      </c>
      <c r="I495" s="656"/>
      <c r="J495" s="656"/>
      <c r="K495" s="656"/>
      <c r="L495" s="656" t="s">
        <v>16010</v>
      </c>
      <c r="M495" s="656" t="s">
        <v>16319</v>
      </c>
      <c r="N495" s="656"/>
      <c r="O495" s="656" t="s">
        <v>6427</v>
      </c>
      <c r="P495" s="5"/>
      <c r="Q495" s="1447">
        <v>44265</v>
      </c>
      <c r="R495" s="656"/>
      <c r="S495" s="656" t="s">
        <v>455</v>
      </c>
      <c r="T495" s="656"/>
      <c r="U495" s="656"/>
      <c r="V495" s="656"/>
      <c r="W495" s="656" t="s">
        <v>13051</v>
      </c>
      <c r="X495" s="656" t="s">
        <v>498</v>
      </c>
      <c r="Y495" s="656" t="s">
        <v>14278</v>
      </c>
      <c r="Z495" s="656">
        <v>44305.52752314815</v>
      </c>
      <c r="AA495" s="656" t="s">
        <v>14335</v>
      </c>
      <c r="AB495" s="656"/>
    </row>
    <row r="496" spans="1:28">
      <c r="A496" s="656" t="s">
        <v>1079</v>
      </c>
      <c r="B496" s="656" t="s">
        <v>1080</v>
      </c>
      <c r="C496" s="656" t="s">
        <v>21</v>
      </c>
      <c r="D496" s="656" t="s">
        <v>9909</v>
      </c>
      <c r="E496" s="656" t="s">
        <v>14275</v>
      </c>
      <c r="F496" s="1447">
        <v>44308</v>
      </c>
      <c r="G496" s="656" t="s">
        <v>9898</v>
      </c>
      <c r="H496" s="656" t="s">
        <v>1777</v>
      </c>
      <c r="I496" s="656" t="s">
        <v>14427</v>
      </c>
      <c r="J496" s="656" t="s">
        <v>9909</v>
      </c>
      <c r="K496" s="656" t="s">
        <v>9774</v>
      </c>
      <c r="L496" s="656"/>
      <c r="M496" s="656" t="s">
        <v>16196</v>
      </c>
      <c r="N496" s="656"/>
      <c r="O496" s="656" t="s">
        <v>6395</v>
      </c>
      <c r="P496" s="5"/>
      <c r="Q496" s="1447">
        <v>43474</v>
      </c>
      <c r="R496" s="656">
        <v>44158</v>
      </c>
      <c r="S496" s="656" t="s">
        <v>1338</v>
      </c>
      <c r="T496" s="656"/>
      <c r="U496" s="656"/>
      <c r="V496" s="656"/>
      <c r="W496" s="656" t="s">
        <v>13051</v>
      </c>
      <c r="X496" s="656" t="s">
        <v>498</v>
      </c>
      <c r="Y496" s="656" t="s">
        <v>14278</v>
      </c>
      <c r="Z496" s="656">
        <v>44313.360335648147</v>
      </c>
      <c r="AA496" s="656" t="s">
        <v>14276</v>
      </c>
      <c r="AB496" s="656"/>
    </row>
    <row r="497" spans="1:28">
      <c r="A497" s="656" t="s">
        <v>1079</v>
      </c>
      <c r="B497" s="656" t="s">
        <v>1080</v>
      </c>
      <c r="C497" s="656" t="s">
        <v>20</v>
      </c>
      <c r="D497" s="656" t="s">
        <v>9899</v>
      </c>
      <c r="E497" s="656" t="s">
        <v>14275</v>
      </c>
      <c r="F497" s="1447">
        <v>44306</v>
      </c>
      <c r="G497" s="656" t="s">
        <v>9898</v>
      </c>
      <c r="H497" s="656" t="s">
        <v>1777</v>
      </c>
      <c r="I497" s="656"/>
      <c r="J497" s="656"/>
      <c r="K497" s="656"/>
      <c r="L497" s="656" t="s">
        <v>9899</v>
      </c>
      <c r="M497" s="656" t="s">
        <v>16196</v>
      </c>
      <c r="N497" s="656"/>
      <c r="O497" s="656" t="s">
        <v>6395</v>
      </c>
      <c r="P497" s="5"/>
      <c r="Q497" s="1447">
        <v>43431</v>
      </c>
      <c r="R497" s="656"/>
      <c r="S497" s="656" t="s">
        <v>1338</v>
      </c>
      <c r="T497" s="656"/>
      <c r="U497" s="656"/>
      <c r="V497" s="656"/>
      <c r="W497" s="656" t="s">
        <v>13051</v>
      </c>
      <c r="X497" s="656" t="s">
        <v>498</v>
      </c>
      <c r="Y497" s="656" t="s">
        <v>14278</v>
      </c>
      <c r="Z497" s="656">
        <v>44307.317847222221</v>
      </c>
      <c r="AA497" s="656" t="s">
        <v>14276</v>
      </c>
      <c r="AB497" s="656"/>
    </row>
    <row r="498" spans="1:28">
      <c r="A498" s="656" t="s">
        <v>1079</v>
      </c>
      <c r="B498" s="656" t="s">
        <v>1080</v>
      </c>
      <c r="C498" s="656" t="s">
        <v>20</v>
      </c>
      <c r="D498" s="656" t="s">
        <v>9916</v>
      </c>
      <c r="E498" s="656" t="s">
        <v>14275</v>
      </c>
      <c r="F498" s="1447">
        <v>44293</v>
      </c>
      <c r="G498" s="656" t="s">
        <v>9898</v>
      </c>
      <c r="H498" s="656" t="s">
        <v>1777</v>
      </c>
      <c r="I498" s="656"/>
      <c r="J498" s="656"/>
      <c r="K498" s="656"/>
      <c r="L498" s="656" t="s">
        <v>9916</v>
      </c>
      <c r="M498" s="656" t="s">
        <v>9450</v>
      </c>
      <c r="N498" s="656" t="s">
        <v>9892</v>
      </c>
      <c r="O498" s="656" t="s">
        <v>6395</v>
      </c>
      <c r="P498" s="5" t="s">
        <v>15436</v>
      </c>
      <c r="Q498" s="1447">
        <v>43518</v>
      </c>
      <c r="R498" s="656"/>
      <c r="S498" s="656" t="s">
        <v>1338</v>
      </c>
      <c r="T498" s="656"/>
      <c r="U498" s="656"/>
      <c r="V498" s="656"/>
      <c r="W498" s="656" t="s">
        <v>13051</v>
      </c>
      <c r="X498" s="656" t="s">
        <v>498</v>
      </c>
      <c r="Y498" s="656" t="s">
        <v>14278</v>
      </c>
      <c r="Z498" s="656">
        <v>44305.524930555555</v>
      </c>
      <c r="AA498" s="656" t="s">
        <v>14335</v>
      </c>
      <c r="AB498" s="656"/>
    </row>
    <row r="499" spans="1:28">
      <c r="A499" s="656" t="s">
        <v>1079</v>
      </c>
      <c r="B499" s="656" t="s">
        <v>1080</v>
      </c>
      <c r="C499" s="656" t="s">
        <v>20</v>
      </c>
      <c r="D499" s="656" t="s">
        <v>9917</v>
      </c>
      <c r="E499" s="656" t="s">
        <v>14275</v>
      </c>
      <c r="F499" s="1447">
        <v>44293</v>
      </c>
      <c r="G499" s="656" t="s">
        <v>9898</v>
      </c>
      <c r="H499" s="656" t="s">
        <v>1777</v>
      </c>
      <c r="I499" s="656"/>
      <c r="J499" s="656"/>
      <c r="K499" s="656"/>
      <c r="L499" s="656" t="s">
        <v>9917</v>
      </c>
      <c r="M499" s="656" t="s">
        <v>9450</v>
      </c>
      <c r="N499" s="656" t="s">
        <v>9892</v>
      </c>
      <c r="O499" s="656" t="s">
        <v>6395</v>
      </c>
      <c r="P499" s="5" t="s">
        <v>14428</v>
      </c>
      <c r="Q499" s="1447">
        <v>43518</v>
      </c>
      <c r="R499" s="656"/>
      <c r="S499" s="656" t="s">
        <v>1338</v>
      </c>
      <c r="T499" s="656"/>
      <c r="U499" s="656"/>
      <c r="V499" s="656"/>
      <c r="W499" s="656" t="s">
        <v>13051</v>
      </c>
      <c r="X499" s="656" t="s">
        <v>498</v>
      </c>
      <c r="Y499" s="656" t="s">
        <v>14278</v>
      </c>
      <c r="Z499" s="656">
        <v>44305.524942129632</v>
      </c>
      <c r="AA499" s="656" t="s">
        <v>14335</v>
      </c>
      <c r="AB499" s="656"/>
    </row>
    <row r="500" spans="1:28" ht="29">
      <c r="A500" s="656" t="s">
        <v>12641</v>
      </c>
      <c r="B500" s="656" t="s">
        <v>12640</v>
      </c>
      <c r="C500" s="656" t="s">
        <v>20</v>
      </c>
      <c r="D500" s="656" t="s">
        <v>16012</v>
      </c>
      <c r="E500" s="656" t="s">
        <v>14279</v>
      </c>
      <c r="F500" s="1447"/>
      <c r="G500" s="656" t="s">
        <v>16013</v>
      </c>
      <c r="H500" s="656" t="s">
        <v>1777</v>
      </c>
      <c r="I500" s="656"/>
      <c r="J500" s="656"/>
      <c r="K500" s="656"/>
      <c r="L500" s="656" t="s">
        <v>16012</v>
      </c>
      <c r="M500" s="656" t="s">
        <v>12703</v>
      </c>
      <c r="N500" s="656" t="s">
        <v>14557</v>
      </c>
      <c r="O500" s="656" t="s">
        <v>2707</v>
      </c>
      <c r="P500" s="5" t="s">
        <v>15426</v>
      </c>
      <c r="Q500" s="1447">
        <v>44188</v>
      </c>
      <c r="R500" s="656"/>
      <c r="S500" s="656" t="s">
        <v>455</v>
      </c>
      <c r="T500" s="656"/>
      <c r="U500" s="656"/>
      <c r="V500" s="656"/>
      <c r="W500" s="656" t="s">
        <v>13051</v>
      </c>
      <c r="X500" s="656" t="s">
        <v>498</v>
      </c>
      <c r="Y500" s="656" t="s">
        <v>14278</v>
      </c>
      <c r="Z500" s="656">
        <v>44306.418958333335</v>
      </c>
      <c r="AA500" s="656" t="s">
        <v>15959</v>
      </c>
      <c r="AB500" s="656"/>
    </row>
    <row r="501" spans="1:28">
      <c r="A501" s="656" t="s">
        <v>9281</v>
      </c>
      <c r="B501" s="656" t="s">
        <v>12795</v>
      </c>
      <c r="C501" s="656" t="s">
        <v>20</v>
      </c>
      <c r="D501" s="656" t="s">
        <v>12794</v>
      </c>
      <c r="E501" s="656" t="s">
        <v>14279</v>
      </c>
      <c r="F501" s="1447"/>
      <c r="G501" s="656"/>
      <c r="H501" s="656" t="s">
        <v>1777</v>
      </c>
      <c r="I501" s="656"/>
      <c r="J501" s="656"/>
      <c r="K501" s="656"/>
      <c r="L501" s="656" t="s">
        <v>12794</v>
      </c>
      <c r="M501" s="656" t="s">
        <v>12713</v>
      </c>
      <c r="N501" s="656" t="s">
        <v>9991</v>
      </c>
      <c r="O501" s="656" t="s">
        <v>2698</v>
      </c>
      <c r="P501" s="5"/>
      <c r="Q501" s="1447">
        <v>43972</v>
      </c>
      <c r="R501" s="656"/>
      <c r="S501" s="656" t="s">
        <v>12706</v>
      </c>
      <c r="T501" s="656" t="s">
        <v>12706</v>
      </c>
      <c r="U501" s="656" t="s">
        <v>14429</v>
      </c>
      <c r="V501" s="656"/>
      <c r="W501" s="656" t="s">
        <v>13051</v>
      </c>
      <c r="X501" s="656" t="s">
        <v>498</v>
      </c>
      <c r="Y501" s="656" t="s">
        <v>14278</v>
      </c>
      <c r="Z501" s="656">
        <v>44305.524907407409</v>
      </c>
      <c r="AA501" s="656" t="s">
        <v>14335</v>
      </c>
      <c r="AB501" s="656"/>
    </row>
    <row r="502" spans="1:28">
      <c r="A502" s="656" t="s">
        <v>9283</v>
      </c>
      <c r="B502" s="656" t="s">
        <v>9282</v>
      </c>
      <c r="C502" s="656" t="s">
        <v>20</v>
      </c>
      <c r="D502" s="656" t="s">
        <v>16014</v>
      </c>
      <c r="E502" s="656" t="s">
        <v>14279</v>
      </c>
      <c r="F502" s="1447"/>
      <c r="G502" s="656" t="s">
        <v>16015</v>
      </c>
      <c r="H502" s="656" t="s">
        <v>1777</v>
      </c>
      <c r="I502" s="656"/>
      <c r="J502" s="656"/>
      <c r="K502" s="656"/>
      <c r="L502" s="656" t="s">
        <v>16014</v>
      </c>
      <c r="M502" s="656" t="s">
        <v>12713</v>
      </c>
      <c r="N502" s="656" t="s">
        <v>14557</v>
      </c>
      <c r="O502" s="656" t="s">
        <v>2698</v>
      </c>
      <c r="P502" s="5"/>
      <c r="Q502" s="1447">
        <v>44245</v>
      </c>
      <c r="R502" s="656"/>
      <c r="S502" s="656" t="s">
        <v>455</v>
      </c>
      <c r="T502" s="656"/>
      <c r="U502" s="656"/>
      <c r="V502" s="656"/>
      <c r="W502" s="656" t="s">
        <v>13051</v>
      </c>
      <c r="X502" s="656" t="s">
        <v>498</v>
      </c>
      <c r="Y502" s="656" t="s">
        <v>14278</v>
      </c>
      <c r="Z502" s="656">
        <v>44305.527418981481</v>
      </c>
      <c r="AA502" s="656" t="s">
        <v>14335</v>
      </c>
      <c r="AB502" s="656"/>
    </row>
    <row r="503" spans="1:28">
      <c r="A503" s="656" t="s">
        <v>9285</v>
      </c>
      <c r="B503" s="656" t="s">
        <v>9284</v>
      </c>
      <c r="C503" s="656" t="s">
        <v>20</v>
      </c>
      <c r="D503" s="656" t="s">
        <v>16016</v>
      </c>
      <c r="E503" s="656" t="s">
        <v>14279</v>
      </c>
      <c r="F503" s="1447"/>
      <c r="G503" s="656" t="s">
        <v>16017</v>
      </c>
      <c r="H503" s="656" t="s">
        <v>1777</v>
      </c>
      <c r="I503" s="656"/>
      <c r="J503" s="656"/>
      <c r="K503" s="656"/>
      <c r="L503" s="656" t="s">
        <v>16016</v>
      </c>
      <c r="M503" s="656" t="s">
        <v>12713</v>
      </c>
      <c r="N503" s="656" t="s">
        <v>14557</v>
      </c>
      <c r="O503" s="656" t="s">
        <v>2698</v>
      </c>
      <c r="P503" s="5"/>
      <c r="Q503" s="1447">
        <v>44245</v>
      </c>
      <c r="R503" s="656"/>
      <c r="S503" s="656" t="s">
        <v>455</v>
      </c>
      <c r="T503" s="656"/>
      <c r="U503" s="656"/>
      <c r="V503" s="656"/>
      <c r="W503" s="656" t="s">
        <v>13051</v>
      </c>
      <c r="X503" s="656" t="s">
        <v>498</v>
      </c>
      <c r="Y503" s="656" t="s">
        <v>14278</v>
      </c>
      <c r="Z503" s="656">
        <v>44305.527407407404</v>
      </c>
      <c r="AA503" s="656" t="s">
        <v>14335</v>
      </c>
      <c r="AB503" s="656"/>
    </row>
    <row r="504" spans="1:28">
      <c r="A504" s="656" t="s">
        <v>8618</v>
      </c>
      <c r="B504" s="656" t="s">
        <v>12793</v>
      </c>
      <c r="C504" s="656" t="s">
        <v>20</v>
      </c>
      <c r="D504" s="656" t="s">
        <v>12792</v>
      </c>
      <c r="E504" s="656" t="s">
        <v>14279</v>
      </c>
      <c r="F504" s="1447"/>
      <c r="G504" s="656"/>
      <c r="H504" s="656" t="s">
        <v>1777</v>
      </c>
      <c r="I504" s="656"/>
      <c r="J504" s="656"/>
      <c r="K504" s="656"/>
      <c r="L504" s="656" t="s">
        <v>12792</v>
      </c>
      <c r="M504" s="656" t="s">
        <v>12783</v>
      </c>
      <c r="N504" s="656" t="s">
        <v>9991</v>
      </c>
      <c r="O504" s="656" t="s">
        <v>2698</v>
      </c>
      <c r="P504" s="5"/>
      <c r="Q504" s="1447">
        <v>43972</v>
      </c>
      <c r="R504" s="656"/>
      <c r="S504" s="656" t="s">
        <v>12706</v>
      </c>
      <c r="T504" s="656" t="s">
        <v>12706</v>
      </c>
      <c r="U504" s="656" t="s">
        <v>14336</v>
      </c>
      <c r="V504" s="656"/>
      <c r="W504" s="656" t="s">
        <v>13051</v>
      </c>
      <c r="X504" s="656" t="s">
        <v>498</v>
      </c>
      <c r="Y504" s="656" t="s">
        <v>14278</v>
      </c>
      <c r="Z504" s="656">
        <v>44305.524907407409</v>
      </c>
      <c r="AA504" s="656" t="s">
        <v>14335</v>
      </c>
      <c r="AB504" s="656"/>
    </row>
    <row r="505" spans="1:28">
      <c r="A505" s="656" t="s">
        <v>9289</v>
      </c>
      <c r="B505" s="656" t="s">
        <v>12791</v>
      </c>
      <c r="C505" s="656" t="s">
        <v>20</v>
      </c>
      <c r="D505" s="656" t="s">
        <v>12790</v>
      </c>
      <c r="E505" s="656" t="s">
        <v>14279</v>
      </c>
      <c r="F505" s="1447"/>
      <c r="G505" s="656"/>
      <c r="H505" s="656" t="s">
        <v>1777</v>
      </c>
      <c r="I505" s="656"/>
      <c r="J505" s="656"/>
      <c r="K505" s="656"/>
      <c r="L505" s="656" t="s">
        <v>12790</v>
      </c>
      <c r="M505" s="656" t="s">
        <v>12713</v>
      </c>
      <c r="N505" s="656" t="s">
        <v>9991</v>
      </c>
      <c r="O505" s="656" t="s">
        <v>2698</v>
      </c>
      <c r="P505" s="5"/>
      <c r="Q505" s="1447">
        <v>43972</v>
      </c>
      <c r="R505" s="656"/>
      <c r="S505" s="656" t="s">
        <v>12706</v>
      </c>
      <c r="T505" s="656" t="s">
        <v>12706</v>
      </c>
      <c r="U505" s="656" t="s">
        <v>14336</v>
      </c>
      <c r="V505" s="656"/>
      <c r="W505" s="656" t="s">
        <v>13051</v>
      </c>
      <c r="X505" s="656" t="s">
        <v>498</v>
      </c>
      <c r="Y505" s="656" t="s">
        <v>14278</v>
      </c>
      <c r="Z505" s="656">
        <v>44305.524895833332</v>
      </c>
      <c r="AA505" s="656" t="s">
        <v>14335</v>
      </c>
      <c r="AB505" s="656"/>
    </row>
    <row r="506" spans="1:28">
      <c r="A506" s="656" t="s">
        <v>8619</v>
      </c>
      <c r="B506" s="656" t="s">
        <v>12789</v>
      </c>
      <c r="C506" s="656" t="s">
        <v>21</v>
      </c>
      <c r="D506" s="656" t="s">
        <v>12788</v>
      </c>
      <c r="E506" s="656" t="s">
        <v>14279</v>
      </c>
      <c r="F506" s="1447"/>
      <c r="G506" s="656"/>
      <c r="H506" s="656" t="s">
        <v>1777</v>
      </c>
      <c r="I506" s="656" t="s">
        <v>14430</v>
      </c>
      <c r="J506" s="656" t="s">
        <v>12788</v>
      </c>
      <c r="K506" s="656" t="s">
        <v>9774</v>
      </c>
      <c r="L506" s="656"/>
      <c r="M506" s="656" t="s">
        <v>12783</v>
      </c>
      <c r="N506" s="656" t="s">
        <v>9991</v>
      </c>
      <c r="O506" s="656" t="s">
        <v>2698</v>
      </c>
      <c r="P506" s="5"/>
      <c r="Q506" s="1447">
        <v>44092</v>
      </c>
      <c r="R506" s="656"/>
      <c r="S506" s="656" t="s">
        <v>12706</v>
      </c>
      <c r="T506" s="656" t="s">
        <v>12706</v>
      </c>
      <c r="U506" s="656" t="s">
        <v>14336</v>
      </c>
      <c r="V506" s="656"/>
      <c r="W506" s="656" t="s">
        <v>13051</v>
      </c>
      <c r="X506" s="656" t="s">
        <v>498</v>
      </c>
      <c r="Y506" s="656" t="s">
        <v>14278</v>
      </c>
      <c r="Z506" s="656">
        <v>44305.524884259263</v>
      </c>
      <c r="AA506" s="656" t="s">
        <v>14335</v>
      </c>
      <c r="AB506" s="656"/>
    </row>
    <row r="507" spans="1:28">
      <c r="A507" s="656" t="s">
        <v>8619</v>
      </c>
      <c r="B507" s="656" t="s">
        <v>12785</v>
      </c>
      <c r="C507" s="656" t="s">
        <v>20</v>
      </c>
      <c r="D507" s="656" t="s">
        <v>12784</v>
      </c>
      <c r="E507" s="656" t="s">
        <v>14279</v>
      </c>
      <c r="F507" s="1447"/>
      <c r="G507" s="656"/>
      <c r="H507" s="656" t="s">
        <v>1777</v>
      </c>
      <c r="I507" s="656"/>
      <c r="J507" s="656"/>
      <c r="K507" s="656"/>
      <c r="L507" s="656" t="s">
        <v>12784</v>
      </c>
      <c r="M507" s="656" t="s">
        <v>12783</v>
      </c>
      <c r="N507" s="656" t="s">
        <v>9991</v>
      </c>
      <c r="O507" s="656" t="s">
        <v>2698</v>
      </c>
      <c r="P507" s="5"/>
      <c r="Q507" s="1447">
        <v>43972</v>
      </c>
      <c r="R507" s="656"/>
      <c r="S507" s="656" t="s">
        <v>12706</v>
      </c>
      <c r="T507" s="656" t="s">
        <v>12706</v>
      </c>
      <c r="U507" s="656" t="s">
        <v>14336</v>
      </c>
      <c r="V507" s="656"/>
      <c r="W507" s="656" t="s">
        <v>13051</v>
      </c>
      <c r="X507" s="656" t="s">
        <v>498</v>
      </c>
      <c r="Y507" s="656" t="s">
        <v>14278</v>
      </c>
      <c r="Z507" s="656">
        <v>44305.524884259263</v>
      </c>
      <c r="AA507" s="656" t="s">
        <v>14335</v>
      </c>
      <c r="AB507" s="656"/>
    </row>
    <row r="508" spans="1:28">
      <c r="A508" s="656" t="s">
        <v>8619</v>
      </c>
      <c r="B508" s="656" t="s">
        <v>12787</v>
      </c>
      <c r="C508" s="656" t="s">
        <v>20</v>
      </c>
      <c r="D508" s="656" t="s">
        <v>12786</v>
      </c>
      <c r="E508" s="656" t="s">
        <v>14279</v>
      </c>
      <c r="F508" s="1447"/>
      <c r="G508" s="656"/>
      <c r="H508" s="656" t="s">
        <v>1777</v>
      </c>
      <c r="I508" s="656"/>
      <c r="J508" s="656"/>
      <c r="K508" s="656"/>
      <c r="L508" s="656" t="s">
        <v>12786</v>
      </c>
      <c r="M508" s="656" t="s">
        <v>12783</v>
      </c>
      <c r="N508" s="656" t="s">
        <v>9991</v>
      </c>
      <c r="O508" s="656" t="s">
        <v>2698</v>
      </c>
      <c r="P508" s="5"/>
      <c r="Q508" s="1447">
        <v>43972</v>
      </c>
      <c r="R508" s="656"/>
      <c r="S508" s="656" t="s">
        <v>12706</v>
      </c>
      <c r="T508" s="656" t="s">
        <v>12706</v>
      </c>
      <c r="U508" s="656" t="s">
        <v>14336</v>
      </c>
      <c r="V508" s="656"/>
      <c r="W508" s="656" t="s">
        <v>13051</v>
      </c>
      <c r="X508" s="656" t="s">
        <v>498</v>
      </c>
      <c r="Y508" s="656" t="s">
        <v>14278</v>
      </c>
      <c r="Z508" s="656">
        <v>44305.524895833332</v>
      </c>
      <c r="AA508" s="656" t="s">
        <v>14335</v>
      </c>
      <c r="AB508" s="656"/>
    </row>
    <row r="509" spans="1:28">
      <c r="A509" s="656" t="s">
        <v>8529</v>
      </c>
      <c r="B509" s="656" t="s">
        <v>12782</v>
      </c>
      <c r="C509" s="656" t="s">
        <v>20</v>
      </c>
      <c r="D509" s="656" t="s">
        <v>12781</v>
      </c>
      <c r="E509" s="656" t="s">
        <v>14279</v>
      </c>
      <c r="F509" s="1447"/>
      <c r="G509" s="656"/>
      <c r="H509" s="656" t="s">
        <v>1777</v>
      </c>
      <c r="I509" s="656"/>
      <c r="J509" s="656"/>
      <c r="K509" s="656"/>
      <c r="L509" s="656" t="s">
        <v>12781</v>
      </c>
      <c r="M509" s="656" t="s">
        <v>12780</v>
      </c>
      <c r="N509" s="656" t="s">
        <v>9991</v>
      </c>
      <c r="O509" s="656" t="s">
        <v>2698</v>
      </c>
      <c r="P509" s="5"/>
      <c r="Q509" s="1447">
        <v>43972</v>
      </c>
      <c r="R509" s="656"/>
      <c r="S509" s="656" t="s">
        <v>12706</v>
      </c>
      <c r="T509" s="656" t="s">
        <v>12706</v>
      </c>
      <c r="U509" s="656" t="s">
        <v>14336</v>
      </c>
      <c r="V509" s="656"/>
      <c r="W509" s="656" t="s">
        <v>13051</v>
      </c>
      <c r="X509" s="656" t="s">
        <v>498</v>
      </c>
      <c r="Y509" s="656" t="s">
        <v>14278</v>
      </c>
      <c r="Z509" s="656">
        <v>44305.524872685186</v>
      </c>
      <c r="AA509" s="656" t="s">
        <v>14335</v>
      </c>
      <c r="AB509" s="656"/>
    </row>
    <row r="510" spans="1:28">
      <c r="A510" s="656" t="s">
        <v>8520</v>
      </c>
      <c r="B510" s="656" t="s">
        <v>12779</v>
      </c>
      <c r="C510" s="656" t="s">
        <v>20</v>
      </c>
      <c r="D510" s="656" t="s">
        <v>12778</v>
      </c>
      <c r="E510" s="656" t="s">
        <v>14279</v>
      </c>
      <c r="F510" s="1447"/>
      <c r="G510" s="656"/>
      <c r="H510" s="656" t="s">
        <v>1777</v>
      </c>
      <c r="I510" s="656"/>
      <c r="J510" s="656"/>
      <c r="K510" s="656"/>
      <c r="L510" s="656" t="s">
        <v>12778</v>
      </c>
      <c r="M510" s="656" t="s">
        <v>12713</v>
      </c>
      <c r="N510" s="656" t="s">
        <v>9991</v>
      </c>
      <c r="O510" s="656" t="s">
        <v>2698</v>
      </c>
      <c r="P510" s="5"/>
      <c r="Q510" s="1447">
        <v>43972</v>
      </c>
      <c r="R510" s="656"/>
      <c r="S510" s="656" t="s">
        <v>12706</v>
      </c>
      <c r="T510" s="656" t="s">
        <v>12706</v>
      </c>
      <c r="U510" s="656" t="s">
        <v>14336</v>
      </c>
      <c r="V510" s="656"/>
      <c r="W510" s="656" t="s">
        <v>13051</v>
      </c>
      <c r="X510" s="656" t="s">
        <v>498</v>
      </c>
      <c r="Y510" s="656" t="s">
        <v>14278</v>
      </c>
      <c r="Z510" s="656">
        <v>44305.524872685186</v>
      </c>
      <c r="AA510" s="656" t="s">
        <v>14335</v>
      </c>
      <c r="AB510" s="656"/>
    </row>
    <row r="511" spans="1:28">
      <c r="A511" s="656" t="s">
        <v>1081</v>
      </c>
      <c r="B511" s="656" t="s">
        <v>12777</v>
      </c>
      <c r="C511" s="656" t="s">
        <v>21</v>
      </c>
      <c r="D511" s="656" t="s">
        <v>10318</v>
      </c>
      <c r="E511" s="656" t="s">
        <v>14279</v>
      </c>
      <c r="F511" s="1447"/>
      <c r="G511" s="656"/>
      <c r="H511" s="656" t="s">
        <v>1777</v>
      </c>
      <c r="I511" s="656" t="s">
        <v>14431</v>
      </c>
      <c r="J511" s="656" t="s">
        <v>10318</v>
      </c>
      <c r="K511" s="656" t="s">
        <v>9774</v>
      </c>
      <c r="L511" s="656"/>
      <c r="M511" s="656" t="s">
        <v>12713</v>
      </c>
      <c r="N511" s="656" t="s">
        <v>9991</v>
      </c>
      <c r="O511" s="656" t="s">
        <v>2700</v>
      </c>
      <c r="P511" s="5"/>
      <c r="Q511" s="1447">
        <v>43693</v>
      </c>
      <c r="R511" s="656"/>
      <c r="S511" s="656" t="s">
        <v>12706</v>
      </c>
      <c r="T511" s="656" t="s">
        <v>12706</v>
      </c>
      <c r="U511" s="656" t="s">
        <v>14336</v>
      </c>
      <c r="V511" s="656"/>
      <c r="W511" s="656" t="s">
        <v>13051</v>
      </c>
      <c r="X511" s="656" t="s">
        <v>498</v>
      </c>
      <c r="Y511" s="656" t="s">
        <v>14278</v>
      </c>
      <c r="Z511" s="656">
        <v>44305.524826388886</v>
      </c>
      <c r="AA511" s="656" t="s">
        <v>14335</v>
      </c>
      <c r="AB511" s="656"/>
    </row>
    <row r="512" spans="1:28">
      <c r="A512" s="656" t="s">
        <v>1081</v>
      </c>
      <c r="B512" s="656" t="s">
        <v>12770</v>
      </c>
      <c r="C512" s="656" t="s">
        <v>20</v>
      </c>
      <c r="D512" s="656" t="s">
        <v>12769</v>
      </c>
      <c r="E512" s="656" t="s">
        <v>14279</v>
      </c>
      <c r="F512" s="1447"/>
      <c r="G512" s="656"/>
      <c r="H512" s="656" t="s">
        <v>1777</v>
      </c>
      <c r="I512" s="656"/>
      <c r="J512" s="656"/>
      <c r="K512" s="656"/>
      <c r="L512" s="656" t="s">
        <v>12771</v>
      </c>
      <c r="M512" s="656" t="s">
        <v>12713</v>
      </c>
      <c r="N512" s="656" t="s">
        <v>9991</v>
      </c>
      <c r="O512" s="656" t="s">
        <v>2700</v>
      </c>
      <c r="P512" s="5"/>
      <c r="Q512" s="1447">
        <v>43558</v>
      </c>
      <c r="R512" s="656"/>
      <c r="S512" s="656" t="s">
        <v>12706</v>
      </c>
      <c r="T512" s="656" t="s">
        <v>12706</v>
      </c>
      <c r="U512" s="656" t="s">
        <v>14336</v>
      </c>
      <c r="V512" s="656"/>
      <c r="W512" s="656" t="s">
        <v>13051</v>
      </c>
      <c r="X512" s="656" t="s">
        <v>498</v>
      </c>
      <c r="Y512" s="656" t="s">
        <v>14278</v>
      </c>
      <c r="Z512" s="656">
        <v>44305.524826388886</v>
      </c>
      <c r="AA512" s="656" t="s">
        <v>14335</v>
      </c>
      <c r="AB512" s="656"/>
    </row>
    <row r="513" spans="1:28">
      <c r="A513" s="656" t="s">
        <v>1081</v>
      </c>
      <c r="B513" s="656" t="s">
        <v>12770</v>
      </c>
      <c r="C513" s="656" t="s">
        <v>20</v>
      </c>
      <c r="D513" s="656" t="s">
        <v>12771</v>
      </c>
      <c r="E513" s="656" t="s">
        <v>14279</v>
      </c>
      <c r="F513" s="1447"/>
      <c r="G513" s="656"/>
      <c r="H513" s="656" t="s">
        <v>1777</v>
      </c>
      <c r="I513" s="656"/>
      <c r="J513" s="656"/>
      <c r="K513" s="656"/>
      <c r="L513" s="656" t="s">
        <v>12772</v>
      </c>
      <c r="M513" s="656" t="s">
        <v>12703</v>
      </c>
      <c r="N513" s="656" t="s">
        <v>9991</v>
      </c>
      <c r="O513" s="656" t="s">
        <v>2700</v>
      </c>
      <c r="P513" s="5"/>
      <c r="Q513" s="1447">
        <v>43558</v>
      </c>
      <c r="R513" s="656"/>
      <c r="S513" s="656" t="s">
        <v>12706</v>
      </c>
      <c r="T513" s="656" t="s">
        <v>12706</v>
      </c>
      <c r="U513" s="656" t="s">
        <v>14336</v>
      </c>
      <c r="V513" s="656"/>
      <c r="W513" s="656" t="s">
        <v>13051</v>
      </c>
      <c r="X513" s="656" t="s">
        <v>498</v>
      </c>
      <c r="Y513" s="656" t="s">
        <v>14278</v>
      </c>
      <c r="Z513" s="656">
        <v>44305.524837962963</v>
      </c>
      <c r="AA513" s="656" t="s">
        <v>14335</v>
      </c>
      <c r="AB513" s="656"/>
    </row>
    <row r="514" spans="1:28">
      <c r="A514" s="656" t="s">
        <v>1081</v>
      </c>
      <c r="B514" s="656" t="s">
        <v>12773</v>
      </c>
      <c r="C514" s="656" t="s">
        <v>20</v>
      </c>
      <c r="D514" s="656" t="s">
        <v>12772</v>
      </c>
      <c r="E514" s="656" t="s">
        <v>14279</v>
      </c>
      <c r="F514" s="1447"/>
      <c r="G514" s="656"/>
      <c r="H514" s="656" t="s">
        <v>1777</v>
      </c>
      <c r="I514" s="656"/>
      <c r="J514" s="656"/>
      <c r="K514" s="656"/>
      <c r="L514" s="656" t="s">
        <v>12774</v>
      </c>
      <c r="M514" s="656" t="s">
        <v>12707</v>
      </c>
      <c r="N514" s="656" t="s">
        <v>9991</v>
      </c>
      <c r="O514" s="656" t="s">
        <v>2700</v>
      </c>
      <c r="P514" s="5"/>
      <c r="Q514" s="1447">
        <v>43558</v>
      </c>
      <c r="R514" s="656"/>
      <c r="S514" s="656" t="s">
        <v>12706</v>
      </c>
      <c r="T514" s="656" t="s">
        <v>12706</v>
      </c>
      <c r="U514" s="656" t="s">
        <v>14336</v>
      </c>
      <c r="V514" s="656"/>
      <c r="W514" s="656" t="s">
        <v>13051</v>
      </c>
      <c r="X514" s="656" t="s">
        <v>498</v>
      </c>
      <c r="Y514" s="656" t="s">
        <v>14278</v>
      </c>
      <c r="Z514" s="656">
        <v>44305.52484953704</v>
      </c>
      <c r="AA514" s="656" t="s">
        <v>14335</v>
      </c>
      <c r="AB514" s="656"/>
    </row>
    <row r="515" spans="1:28">
      <c r="A515" s="656" t="s">
        <v>1081</v>
      </c>
      <c r="B515" s="656" t="s">
        <v>12775</v>
      </c>
      <c r="C515" s="656" t="s">
        <v>20</v>
      </c>
      <c r="D515" s="656" t="s">
        <v>12774</v>
      </c>
      <c r="E515" s="656" t="s">
        <v>14279</v>
      </c>
      <c r="F515" s="1447"/>
      <c r="G515" s="656"/>
      <c r="H515" s="656" t="s">
        <v>1777</v>
      </c>
      <c r="I515" s="656"/>
      <c r="J515" s="656"/>
      <c r="K515" s="656"/>
      <c r="L515" s="656" t="s">
        <v>9990</v>
      </c>
      <c r="M515" s="656" t="s">
        <v>12710</v>
      </c>
      <c r="N515" s="656" t="s">
        <v>9991</v>
      </c>
      <c r="O515" s="656" t="s">
        <v>2700</v>
      </c>
      <c r="P515" s="5"/>
      <c r="Q515" s="1447">
        <v>43558</v>
      </c>
      <c r="R515" s="656"/>
      <c r="S515" s="656" t="s">
        <v>12706</v>
      </c>
      <c r="T515" s="656" t="s">
        <v>12706</v>
      </c>
      <c r="U515" s="656" t="s">
        <v>14336</v>
      </c>
      <c r="V515" s="656"/>
      <c r="W515" s="656" t="s">
        <v>13051</v>
      </c>
      <c r="X515" s="656" t="s">
        <v>498</v>
      </c>
      <c r="Y515" s="656" t="s">
        <v>14278</v>
      </c>
      <c r="Z515" s="656">
        <v>44305.52484953704</v>
      </c>
      <c r="AA515" s="656" t="s">
        <v>14335</v>
      </c>
      <c r="AB515" s="656"/>
    </row>
    <row r="516" spans="1:28">
      <c r="A516" s="656" t="s">
        <v>1081</v>
      </c>
      <c r="B516" s="656" t="s">
        <v>12776</v>
      </c>
      <c r="C516" s="656" t="s">
        <v>20</v>
      </c>
      <c r="D516" s="656" t="s">
        <v>9990</v>
      </c>
      <c r="E516" s="656" t="s">
        <v>14279</v>
      </c>
      <c r="F516" s="1447"/>
      <c r="G516" s="656"/>
      <c r="H516" s="656" t="s">
        <v>1777</v>
      </c>
      <c r="I516" s="656"/>
      <c r="J516" s="656"/>
      <c r="K516" s="656"/>
      <c r="L516" s="656" t="s">
        <v>9990</v>
      </c>
      <c r="M516" s="656" t="s">
        <v>12713</v>
      </c>
      <c r="N516" s="656" t="s">
        <v>9991</v>
      </c>
      <c r="O516" s="656" t="s">
        <v>2700</v>
      </c>
      <c r="P516" s="5"/>
      <c r="Q516" s="1447">
        <v>43558</v>
      </c>
      <c r="R516" s="656"/>
      <c r="S516" s="656" t="s">
        <v>12706</v>
      </c>
      <c r="T516" s="656" t="s">
        <v>12706</v>
      </c>
      <c r="U516" s="656" t="s">
        <v>14336</v>
      </c>
      <c r="V516" s="656"/>
      <c r="W516" s="656" t="s">
        <v>13051</v>
      </c>
      <c r="X516" s="656" t="s">
        <v>498</v>
      </c>
      <c r="Y516" s="656" t="s">
        <v>14278</v>
      </c>
      <c r="Z516" s="656">
        <v>44305.524861111109</v>
      </c>
      <c r="AA516" s="656" t="s">
        <v>14335</v>
      </c>
      <c r="AB516" s="656"/>
    </row>
    <row r="517" spans="1:28">
      <c r="A517" s="656" t="s">
        <v>1083</v>
      </c>
      <c r="B517" s="656" t="s">
        <v>12768</v>
      </c>
      <c r="C517" s="656" t="s">
        <v>21</v>
      </c>
      <c r="D517" s="656" t="s">
        <v>12767</v>
      </c>
      <c r="E517" s="656" t="s">
        <v>14279</v>
      </c>
      <c r="F517" s="1447"/>
      <c r="G517" s="656"/>
      <c r="H517" s="656" t="s">
        <v>1777</v>
      </c>
      <c r="I517" s="656" t="s">
        <v>14432</v>
      </c>
      <c r="J517" s="656" t="s">
        <v>12767</v>
      </c>
      <c r="K517" s="656" t="s">
        <v>9774</v>
      </c>
      <c r="L517" s="656"/>
      <c r="M517" s="656" t="s">
        <v>12713</v>
      </c>
      <c r="N517" s="656" t="s">
        <v>9991</v>
      </c>
      <c r="O517" s="656" t="s">
        <v>2698</v>
      </c>
      <c r="P517" s="5"/>
      <c r="Q517" s="1447">
        <v>44061</v>
      </c>
      <c r="R517" s="656"/>
      <c r="S517" s="656" t="s">
        <v>12706</v>
      </c>
      <c r="T517" s="656" t="s">
        <v>12706</v>
      </c>
      <c r="U517" s="656" t="s">
        <v>14336</v>
      </c>
      <c r="V517" s="656"/>
      <c r="W517" s="656" t="s">
        <v>13051</v>
      </c>
      <c r="X517" s="656" t="s">
        <v>498</v>
      </c>
      <c r="Y517" s="656" t="s">
        <v>14278</v>
      </c>
      <c r="Z517" s="656">
        <v>44305.524780092594</v>
      </c>
      <c r="AA517" s="656" t="s">
        <v>14335</v>
      </c>
      <c r="AB517" s="656"/>
    </row>
    <row r="518" spans="1:28">
      <c r="A518" s="656" t="s">
        <v>1083</v>
      </c>
      <c r="B518" s="656" t="s">
        <v>12758</v>
      </c>
      <c r="C518" s="656" t="s">
        <v>20</v>
      </c>
      <c r="D518" s="656" t="s">
        <v>12757</v>
      </c>
      <c r="E518" s="656" t="s">
        <v>14279</v>
      </c>
      <c r="F518" s="1447"/>
      <c r="G518" s="656"/>
      <c r="H518" s="656" t="s">
        <v>1777</v>
      </c>
      <c r="I518" s="656"/>
      <c r="J518" s="656"/>
      <c r="K518" s="656"/>
      <c r="L518" s="656" t="s">
        <v>12757</v>
      </c>
      <c r="M518" s="656" t="s">
        <v>12703</v>
      </c>
      <c r="N518" s="656" t="s">
        <v>9991</v>
      </c>
      <c r="O518" s="656" t="s">
        <v>2698</v>
      </c>
      <c r="P518" s="5"/>
      <c r="Q518" s="1447">
        <v>43788</v>
      </c>
      <c r="R518" s="656"/>
      <c r="S518" s="656" t="s">
        <v>12706</v>
      </c>
      <c r="T518" s="656" t="s">
        <v>12706</v>
      </c>
      <c r="U518" s="656" t="s">
        <v>14336</v>
      </c>
      <c r="V518" s="656"/>
      <c r="W518" s="656" t="s">
        <v>13051</v>
      </c>
      <c r="X518" s="656" t="s">
        <v>498</v>
      </c>
      <c r="Y518" s="656" t="s">
        <v>14278</v>
      </c>
      <c r="Z518" s="656">
        <v>44305.524791666663</v>
      </c>
      <c r="AA518" s="656" t="s">
        <v>14335</v>
      </c>
      <c r="AB518" s="656"/>
    </row>
    <row r="519" spans="1:28">
      <c r="A519" s="656" t="s">
        <v>1083</v>
      </c>
      <c r="B519" s="656" t="s">
        <v>12760</v>
      </c>
      <c r="C519" s="656" t="s">
        <v>20</v>
      </c>
      <c r="D519" s="656" t="s">
        <v>12759</v>
      </c>
      <c r="E519" s="656" t="s">
        <v>14279</v>
      </c>
      <c r="F519" s="1447"/>
      <c r="G519" s="656"/>
      <c r="H519" s="656" t="s">
        <v>1777</v>
      </c>
      <c r="I519" s="656"/>
      <c r="J519" s="656"/>
      <c r="K519" s="656"/>
      <c r="L519" s="656" t="s">
        <v>12759</v>
      </c>
      <c r="M519" s="656" t="s">
        <v>12735</v>
      </c>
      <c r="N519" s="656" t="s">
        <v>9991</v>
      </c>
      <c r="O519" s="656" t="s">
        <v>2698</v>
      </c>
      <c r="P519" s="5"/>
      <c r="Q519" s="1447">
        <v>43788</v>
      </c>
      <c r="R519" s="656"/>
      <c r="S519" s="656" t="s">
        <v>12706</v>
      </c>
      <c r="T519" s="656" t="s">
        <v>12706</v>
      </c>
      <c r="U519" s="656" t="s">
        <v>14336</v>
      </c>
      <c r="V519" s="656"/>
      <c r="W519" s="656" t="s">
        <v>13051</v>
      </c>
      <c r="X519" s="656" t="s">
        <v>498</v>
      </c>
      <c r="Y519" s="656" t="s">
        <v>14278</v>
      </c>
      <c r="Z519" s="656">
        <v>44305.524791666663</v>
      </c>
      <c r="AA519" s="656" t="s">
        <v>14335</v>
      </c>
      <c r="AB519" s="656"/>
    </row>
    <row r="520" spans="1:28">
      <c r="A520" s="656" t="s">
        <v>1083</v>
      </c>
      <c r="B520" s="656" t="s">
        <v>12762</v>
      </c>
      <c r="C520" s="656" t="s">
        <v>20</v>
      </c>
      <c r="D520" s="656" t="s">
        <v>12761</v>
      </c>
      <c r="E520" s="656" t="s">
        <v>14279</v>
      </c>
      <c r="F520" s="1447"/>
      <c r="G520" s="656"/>
      <c r="H520" s="656" t="s">
        <v>1777</v>
      </c>
      <c r="I520" s="656"/>
      <c r="J520" s="656"/>
      <c r="K520" s="656"/>
      <c r="L520" s="656" t="s">
        <v>12761</v>
      </c>
      <c r="M520" s="656" t="s">
        <v>12707</v>
      </c>
      <c r="N520" s="656" t="s">
        <v>9991</v>
      </c>
      <c r="O520" s="656" t="s">
        <v>2698</v>
      </c>
      <c r="P520" s="5"/>
      <c r="Q520" s="1447">
        <v>43788</v>
      </c>
      <c r="R520" s="656"/>
      <c r="S520" s="656" t="s">
        <v>12706</v>
      </c>
      <c r="T520" s="656" t="s">
        <v>12706</v>
      </c>
      <c r="U520" s="656" t="s">
        <v>14336</v>
      </c>
      <c r="V520" s="656"/>
      <c r="W520" s="656" t="s">
        <v>13051</v>
      </c>
      <c r="X520" s="656" t="s">
        <v>498</v>
      </c>
      <c r="Y520" s="656" t="s">
        <v>14278</v>
      </c>
      <c r="Z520" s="656">
        <v>44305.52480324074</v>
      </c>
      <c r="AA520" s="656" t="s">
        <v>14335</v>
      </c>
      <c r="AB520" s="656"/>
    </row>
    <row r="521" spans="1:28">
      <c r="A521" s="656" t="s">
        <v>1083</v>
      </c>
      <c r="B521" s="656" t="s">
        <v>12764</v>
      </c>
      <c r="C521" s="656" t="s">
        <v>20</v>
      </c>
      <c r="D521" s="656" t="s">
        <v>12763</v>
      </c>
      <c r="E521" s="656" t="s">
        <v>14279</v>
      </c>
      <c r="F521" s="1447"/>
      <c r="G521" s="656"/>
      <c r="H521" s="656" t="s">
        <v>1777</v>
      </c>
      <c r="I521" s="656"/>
      <c r="J521" s="656"/>
      <c r="K521" s="656"/>
      <c r="L521" s="656" t="s">
        <v>12763</v>
      </c>
      <c r="M521" s="656" t="s">
        <v>12710</v>
      </c>
      <c r="N521" s="656" t="s">
        <v>9991</v>
      </c>
      <c r="O521" s="656" t="s">
        <v>2698</v>
      </c>
      <c r="P521" s="5"/>
      <c r="Q521" s="1447">
        <v>43788</v>
      </c>
      <c r="R521" s="656"/>
      <c r="S521" s="656" t="s">
        <v>12706</v>
      </c>
      <c r="T521" s="656" t="s">
        <v>12706</v>
      </c>
      <c r="U521" s="656" t="s">
        <v>14336</v>
      </c>
      <c r="V521" s="656"/>
      <c r="W521" s="656" t="s">
        <v>13051</v>
      </c>
      <c r="X521" s="656" t="s">
        <v>498</v>
      </c>
      <c r="Y521" s="656" t="s">
        <v>14278</v>
      </c>
      <c r="Z521" s="656">
        <v>44305.524814814817</v>
      </c>
      <c r="AA521" s="656" t="s">
        <v>14335</v>
      </c>
      <c r="AB521" s="656"/>
    </row>
    <row r="522" spans="1:28">
      <c r="A522" s="656" t="s">
        <v>1083</v>
      </c>
      <c r="B522" s="656" t="s">
        <v>12766</v>
      </c>
      <c r="C522" s="656" t="s">
        <v>20</v>
      </c>
      <c r="D522" s="656" t="s">
        <v>12765</v>
      </c>
      <c r="E522" s="656" t="s">
        <v>14279</v>
      </c>
      <c r="F522" s="1447"/>
      <c r="G522" s="656"/>
      <c r="H522" s="656" t="s">
        <v>1777</v>
      </c>
      <c r="I522" s="656"/>
      <c r="J522" s="656"/>
      <c r="K522" s="656"/>
      <c r="L522" s="656" t="s">
        <v>12765</v>
      </c>
      <c r="M522" s="656" t="s">
        <v>12713</v>
      </c>
      <c r="N522" s="656" t="s">
        <v>9991</v>
      </c>
      <c r="O522" s="656" t="s">
        <v>2698</v>
      </c>
      <c r="P522" s="5"/>
      <c r="Q522" s="1447">
        <v>43788</v>
      </c>
      <c r="R522" s="656"/>
      <c r="S522" s="656" t="s">
        <v>12706</v>
      </c>
      <c r="T522" s="656" t="s">
        <v>12706</v>
      </c>
      <c r="U522" s="656" t="s">
        <v>14336</v>
      </c>
      <c r="V522" s="656"/>
      <c r="W522" s="656" t="s">
        <v>13051</v>
      </c>
      <c r="X522" s="656" t="s">
        <v>498</v>
      </c>
      <c r="Y522" s="656" t="s">
        <v>14278</v>
      </c>
      <c r="Z522" s="656">
        <v>44305.524814814817</v>
      </c>
      <c r="AA522" s="656" t="s">
        <v>14335</v>
      </c>
      <c r="AB522" s="656"/>
    </row>
    <row r="523" spans="1:28">
      <c r="A523" s="656" t="s">
        <v>1085</v>
      </c>
      <c r="B523" s="656" t="s">
        <v>12756</v>
      </c>
      <c r="C523" s="656" t="s">
        <v>21</v>
      </c>
      <c r="D523" s="656" t="s">
        <v>12755</v>
      </c>
      <c r="E523" s="656" t="s">
        <v>14279</v>
      </c>
      <c r="F523" s="1447"/>
      <c r="G523" s="656"/>
      <c r="H523" s="656" t="s">
        <v>1777</v>
      </c>
      <c r="I523" s="656" t="s">
        <v>14433</v>
      </c>
      <c r="J523" s="656" t="s">
        <v>12755</v>
      </c>
      <c r="K523" s="656" t="s">
        <v>9774</v>
      </c>
      <c r="L523" s="656"/>
      <c r="M523" s="656" t="s">
        <v>12713</v>
      </c>
      <c r="N523" s="656" t="s">
        <v>9991</v>
      </c>
      <c r="O523" s="656" t="s">
        <v>2698</v>
      </c>
      <c r="P523" s="5"/>
      <c r="Q523" s="1447">
        <v>44098</v>
      </c>
      <c r="R523" s="656"/>
      <c r="S523" s="656" t="s">
        <v>12706</v>
      </c>
      <c r="T523" s="656" t="s">
        <v>12706</v>
      </c>
      <c r="U523" s="656" t="s">
        <v>14336</v>
      </c>
      <c r="V523" s="656"/>
      <c r="W523" s="656" t="s">
        <v>13051</v>
      </c>
      <c r="X523" s="656" t="s">
        <v>498</v>
      </c>
      <c r="Y523" s="656" t="s">
        <v>14278</v>
      </c>
      <c r="Z523" s="656">
        <v>44305.524745370371</v>
      </c>
      <c r="AA523" s="656" t="s">
        <v>14335</v>
      </c>
      <c r="AB523" s="656"/>
    </row>
    <row r="524" spans="1:28">
      <c r="A524" s="656" t="s">
        <v>1085</v>
      </c>
      <c r="B524" s="656" t="s">
        <v>12746</v>
      </c>
      <c r="C524" s="656" t="s">
        <v>20</v>
      </c>
      <c r="D524" s="656" t="s">
        <v>12745</v>
      </c>
      <c r="E524" s="656" t="s">
        <v>14279</v>
      </c>
      <c r="F524" s="1447"/>
      <c r="G524" s="656"/>
      <c r="H524" s="656" t="s">
        <v>1777</v>
      </c>
      <c r="I524" s="656"/>
      <c r="J524" s="656"/>
      <c r="K524" s="656"/>
      <c r="L524" s="656" t="s">
        <v>12745</v>
      </c>
      <c r="M524" s="656" t="s">
        <v>12703</v>
      </c>
      <c r="N524" s="656" t="s">
        <v>9991</v>
      </c>
      <c r="O524" s="656" t="s">
        <v>2698</v>
      </c>
      <c r="P524" s="5"/>
      <c r="Q524" s="1447">
        <v>43788</v>
      </c>
      <c r="R524" s="656"/>
      <c r="S524" s="656" t="s">
        <v>12706</v>
      </c>
      <c r="T524" s="656" t="s">
        <v>12706</v>
      </c>
      <c r="U524" s="656" t="s">
        <v>14336</v>
      </c>
      <c r="V524" s="656"/>
      <c r="W524" s="656" t="s">
        <v>13051</v>
      </c>
      <c r="X524" s="656" t="s">
        <v>498</v>
      </c>
      <c r="Y524" s="656" t="s">
        <v>14278</v>
      </c>
      <c r="Z524" s="656">
        <v>44305.524756944447</v>
      </c>
      <c r="AA524" s="656" t="s">
        <v>14335</v>
      </c>
      <c r="AB524" s="656"/>
    </row>
    <row r="525" spans="1:28">
      <c r="A525" s="656" t="s">
        <v>1085</v>
      </c>
      <c r="B525" s="656" t="s">
        <v>12748</v>
      </c>
      <c r="C525" s="656" t="s">
        <v>20</v>
      </c>
      <c r="D525" s="656" t="s">
        <v>12747</v>
      </c>
      <c r="E525" s="656" t="s">
        <v>14279</v>
      </c>
      <c r="F525" s="1447"/>
      <c r="G525" s="656"/>
      <c r="H525" s="656" t="s">
        <v>1777</v>
      </c>
      <c r="I525" s="656"/>
      <c r="J525" s="656"/>
      <c r="K525" s="656"/>
      <c r="L525" s="656" t="s">
        <v>12747</v>
      </c>
      <c r="M525" s="656" t="s">
        <v>12735</v>
      </c>
      <c r="N525" s="656" t="s">
        <v>9991</v>
      </c>
      <c r="O525" s="656" t="s">
        <v>2698</v>
      </c>
      <c r="P525" s="5"/>
      <c r="Q525" s="1447">
        <v>43788</v>
      </c>
      <c r="R525" s="656"/>
      <c r="S525" s="656" t="s">
        <v>12706</v>
      </c>
      <c r="T525" s="656" t="s">
        <v>12706</v>
      </c>
      <c r="U525" s="656" t="s">
        <v>14336</v>
      </c>
      <c r="V525" s="656"/>
      <c r="W525" s="656" t="s">
        <v>13051</v>
      </c>
      <c r="X525" s="656" t="s">
        <v>498</v>
      </c>
      <c r="Y525" s="656" t="s">
        <v>14278</v>
      </c>
      <c r="Z525" s="656">
        <v>44305.524756944447</v>
      </c>
      <c r="AA525" s="656" t="s">
        <v>14335</v>
      </c>
      <c r="AB525" s="656"/>
    </row>
    <row r="526" spans="1:28">
      <c r="A526" s="656" t="s">
        <v>1085</v>
      </c>
      <c r="B526" s="656" t="s">
        <v>12750</v>
      </c>
      <c r="C526" s="656" t="s">
        <v>20</v>
      </c>
      <c r="D526" s="656" t="s">
        <v>12749</v>
      </c>
      <c r="E526" s="656" t="s">
        <v>14279</v>
      </c>
      <c r="F526" s="1447"/>
      <c r="G526" s="656"/>
      <c r="H526" s="656" t="s">
        <v>1777</v>
      </c>
      <c r="I526" s="656"/>
      <c r="J526" s="656"/>
      <c r="K526" s="656"/>
      <c r="L526" s="656" t="s">
        <v>12749</v>
      </c>
      <c r="M526" s="656" t="s">
        <v>12707</v>
      </c>
      <c r="N526" s="656" t="s">
        <v>9991</v>
      </c>
      <c r="O526" s="656" t="s">
        <v>2698</v>
      </c>
      <c r="P526" s="5"/>
      <c r="Q526" s="1447">
        <v>43788</v>
      </c>
      <c r="R526" s="656"/>
      <c r="S526" s="656" t="s">
        <v>12706</v>
      </c>
      <c r="T526" s="656" t="s">
        <v>12706</v>
      </c>
      <c r="U526" s="656" t="s">
        <v>14336</v>
      </c>
      <c r="V526" s="656"/>
      <c r="W526" s="656" t="s">
        <v>13051</v>
      </c>
      <c r="X526" s="656" t="s">
        <v>498</v>
      </c>
      <c r="Y526" s="656" t="s">
        <v>14278</v>
      </c>
      <c r="Z526" s="656">
        <v>44305.524768518517</v>
      </c>
      <c r="AA526" s="656" t="s">
        <v>14335</v>
      </c>
      <c r="AB526" s="656"/>
    </row>
    <row r="527" spans="1:28">
      <c r="A527" s="656" t="s">
        <v>1085</v>
      </c>
      <c r="B527" s="656" t="s">
        <v>12752</v>
      </c>
      <c r="C527" s="656" t="s">
        <v>20</v>
      </c>
      <c r="D527" s="656" t="s">
        <v>12751</v>
      </c>
      <c r="E527" s="656" t="s">
        <v>14279</v>
      </c>
      <c r="F527" s="1447"/>
      <c r="G527" s="656"/>
      <c r="H527" s="656" t="s">
        <v>1777</v>
      </c>
      <c r="I527" s="656"/>
      <c r="J527" s="656"/>
      <c r="K527" s="656"/>
      <c r="L527" s="656" t="s">
        <v>12751</v>
      </c>
      <c r="M527" s="656" t="s">
        <v>12710</v>
      </c>
      <c r="N527" s="656" t="s">
        <v>9991</v>
      </c>
      <c r="O527" s="656" t="s">
        <v>2698</v>
      </c>
      <c r="P527" s="5"/>
      <c r="Q527" s="1447">
        <v>43788</v>
      </c>
      <c r="R527" s="656"/>
      <c r="S527" s="656" t="s">
        <v>12706</v>
      </c>
      <c r="T527" s="656" t="s">
        <v>12706</v>
      </c>
      <c r="U527" s="656" t="s">
        <v>14336</v>
      </c>
      <c r="V527" s="656"/>
      <c r="W527" s="656" t="s">
        <v>13051</v>
      </c>
      <c r="X527" s="656" t="s">
        <v>498</v>
      </c>
      <c r="Y527" s="656" t="s">
        <v>14278</v>
      </c>
      <c r="Z527" s="656">
        <v>44305.524768518517</v>
      </c>
      <c r="AA527" s="656" t="s">
        <v>14335</v>
      </c>
      <c r="AB527" s="656"/>
    </row>
    <row r="528" spans="1:28">
      <c r="A528" s="656" t="s">
        <v>1085</v>
      </c>
      <c r="B528" s="656" t="s">
        <v>12754</v>
      </c>
      <c r="C528" s="656" t="s">
        <v>20</v>
      </c>
      <c r="D528" s="656" t="s">
        <v>12753</v>
      </c>
      <c r="E528" s="656" t="s">
        <v>14279</v>
      </c>
      <c r="F528" s="1447"/>
      <c r="G528" s="656"/>
      <c r="H528" s="656" t="s">
        <v>1777</v>
      </c>
      <c r="I528" s="656"/>
      <c r="J528" s="656"/>
      <c r="K528" s="656"/>
      <c r="L528" s="656" t="s">
        <v>12753</v>
      </c>
      <c r="M528" s="656" t="s">
        <v>12713</v>
      </c>
      <c r="N528" s="656" t="s">
        <v>9991</v>
      </c>
      <c r="O528" s="656" t="s">
        <v>2698</v>
      </c>
      <c r="P528" s="5"/>
      <c r="Q528" s="1447">
        <v>43788</v>
      </c>
      <c r="R528" s="656"/>
      <c r="S528" s="656" t="s">
        <v>12706</v>
      </c>
      <c r="T528" s="656" t="s">
        <v>12706</v>
      </c>
      <c r="U528" s="656" t="s">
        <v>14336</v>
      </c>
      <c r="V528" s="656"/>
      <c r="W528" s="656" t="s">
        <v>13051</v>
      </c>
      <c r="X528" s="656" t="s">
        <v>498</v>
      </c>
      <c r="Y528" s="656" t="s">
        <v>14278</v>
      </c>
      <c r="Z528" s="656">
        <v>44305.524780092594</v>
      </c>
      <c r="AA528" s="656" t="s">
        <v>14335</v>
      </c>
      <c r="AB528" s="656"/>
    </row>
    <row r="529" spans="1:28">
      <c r="A529" s="656" t="s">
        <v>1087</v>
      </c>
      <c r="B529" s="656" t="s">
        <v>12743</v>
      </c>
      <c r="C529" s="656" t="s">
        <v>21</v>
      </c>
      <c r="D529" s="656" t="s">
        <v>12744</v>
      </c>
      <c r="E529" s="656" t="s">
        <v>14279</v>
      </c>
      <c r="F529" s="1447"/>
      <c r="G529" s="656"/>
      <c r="H529" s="656" t="s">
        <v>1385</v>
      </c>
      <c r="I529" s="656" t="s">
        <v>14434</v>
      </c>
      <c r="J529" s="656" t="s">
        <v>12744</v>
      </c>
      <c r="K529" s="656" t="s">
        <v>9774</v>
      </c>
      <c r="L529" s="656"/>
      <c r="M529" s="656" t="s">
        <v>12735</v>
      </c>
      <c r="N529" s="656" t="s">
        <v>9991</v>
      </c>
      <c r="O529" s="656" t="s">
        <v>2698</v>
      </c>
      <c r="P529" s="5"/>
      <c r="Q529" s="1447">
        <v>44026</v>
      </c>
      <c r="R529" s="656"/>
      <c r="S529" s="656" t="s">
        <v>12706</v>
      </c>
      <c r="T529" s="656" t="s">
        <v>12706</v>
      </c>
      <c r="U529" s="656" t="s">
        <v>14336</v>
      </c>
      <c r="V529" s="656"/>
      <c r="W529" s="656" t="s">
        <v>13051</v>
      </c>
      <c r="X529" s="656" t="s">
        <v>498</v>
      </c>
      <c r="Y529" s="656" t="s">
        <v>14278</v>
      </c>
      <c r="Z529" s="656">
        <v>44305.524733796294</v>
      </c>
      <c r="AA529" s="656" t="s">
        <v>14335</v>
      </c>
      <c r="AB529" s="656"/>
    </row>
    <row r="530" spans="1:28">
      <c r="A530" s="656" t="s">
        <v>1087</v>
      </c>
      <c r="B530" s="656" t="s">
        <v>12743</v>
      </c>
      <c r="C530" s="656" t="s">
        <v>20</v>
      </c>
      <c r="D530" s="656" t="s">
        <v>12742</v>
      </c>
      <c r="E530" s="656" t="s">
        <v>14279</v>
      </c>
      <c r="F530" s="1447"/>
      <c r="G530" s="656"/>
      <c r="H530" s="656" t="s">
        <v>1777</v>
      </c>
      <c r="I530" s="656"/>
      <c r="J530" s="656"/>
      <c r="K530" s="656"/>
      <c r="L530" s="656" t="s">
        <v>12742</v>
      </c>
      <c r="M530" s="656" t="s">
        <v>12735</v>
      </c>
      <c r="N530" s="656" t="s">
        <v>9991</v>
      </c>
      <c r="O530" s="656" t="s">
        <v>2698</v>
      </c>
      <c r="P530" s="5"/>
      <c r="Q530" s="1447">
        <v>43741</v>
      </c>
      <c r="R530" s="656"/>
      <c r="S530" s="656" t="s">
        <v>12706</v>
      </c>
      <c r="T530" s="656" t="s">
        <v>12706</v>
      </c>
      <c r="U530" s="656" t="s">
        <v>14336</v>
      </c>
      <c r="V530" s="656"/>
      <c r="W530" s="656" t="s">
        <v>13051</v>
      </c>
      <c r="X530" s="656" t="s">
        <v>498</v>
      </c>
      <c r="Y530" s="656" t="s">
        <v>14278</v>
      </c>
      <c r="Z530" s="656">
        <v>44305.524745370371</v>
      </c>
      <c r="AA530" s="656" t="s">
        <v>14335</v>
      </c>
      <c r="AB530" s="656"/>
    </row>
    <row r="531" spans="1:28">
      <c r="A531" s="656" t="s">
        <v>1089</v>
      </c>
      <c r="B531" s="656" t="s">
        <v>12732</v>
      </c>
      <c r="C531" s="656" t="s">
        <v>20</v>
      </c>
      <c r="D531" s="656" t="s">
        <v>12731</v>
      </c>
      <c r="E531" s="656" t="s">
        <v>14279</v>
      </c>
      <c r="F531" s="1447"/>
      <c r="G531" s="656"/>
      <c r="H531" s="656" t="s">
        <v>1777</v>
      </c>
      <c r="I531" s="656"/>
      <c r="J531" s="656"/>
      <c r="K531" s="656"/>
      <c r="L531" s="656" t="s">
        <v>12731</v>
      </c>
      <c r="M531" s="656" t="s">
        <v>12713</v>
      </c>
      <c r="N531" s="656" t="s">
        <v>9991</v>
      </c>
      <c r="O531" s="656" t="s">
        <v>2707</v>
      </c>
      <c r="P531" s="5"/>
      <c r="Q531" s="1447">
        <v>43972</v>
      </c>
      <c r="R531" s="656"/>
      <c r="S531" s="656" t="s">
        <v>12706</v>
      </c>
      <c r="T531" s="656" t="s">
        <v>12706</v>
      </c>
      <c r="U531" s="656" t="s">
        <v>14429</v>
      </c>
      <c r="V531" s="656"/>
      <c r="W531" s="656" t="s">
        <v>13051</v>
      </c>
      <c r="X531" s="656" t="s">
        <v>498</v>
      </c>
      <c r="Y531" s="656" t="s">
        <v>14278</v>
      </c>
      <c r="Z531" s="656">
        <v>44305.524710648147</v>
      </c>
      <c r="AA531" s="656" t="s">
        <v>14335</v>
      </c>
      <c r="AB531" s="656"/>
    </row>
    <row r="532" spans="1:28">
      <c r="A532" s="656" t="s">
        <v>1089</v>
      </c>
      <c r="B532" s="656" t="s">
        <v>12734</v>
      </c>
      <c r="C532" s="656" t="s">
        <v>20</v>
      </c>
      <c r="D532" s="656" t="s">
        <v>12733</v>
      </c>
      <c r="E532" s="656" t="s">
        <v>14279</v>
      </c>
      <c r="F532" s="1447"/>
      <c r="G532" s="656"/>
      <c r="H532" s="656" t="s">
        <v>1777</v>
      </c>
      <c r="I532" s="656"/>
      <c r="J532" s="656"/>
      <c r="K532" s="656"/>
      <c r="L532" s="656" t="s">
        <v>12733</v>
      </c>
      <c r="M532" s="656" t="s">
        <v>12703</v>
      </c>
      <c r="N532" s="656" t="s">
        <v>9991</v>
      </c>
      <c r="O532" s="656" t="s">
        <v>2707</v>
      </c>
      <c r="P532" s="5"/>
      <c r="Q532" s="1447">
        <v>43972</v>
      </c>
      <c r="R532" s="656"/>
      <c r="S532" s="656" t="s">
        <v>12706</v>
      </c>
      <c r="T532" s="656" t="s">
        <v>12706</v>
      </c>
      <c r="U532" s="656" t="s">
        <v>14429</v>
      </c>
      <c r="V532" s="656"/>
      <c r="W532" s="656" t="s">
        <v>13051</v>
      </c>
      <c r="X532" s="656" t="s">
        <v>498</v>
      </c>
      <c r="Y532" s="656" t="s">
        <v>14278</v>
      </c>
      <c r="Z532" s="656">
        <v>44305.524722222224</v>
      </c>
      <c r="AA532" s="656" t="s">
        <v>14335</v>
      </c>
      <c r="AB532" s="656"/>
    </row>
    <row r="533" spans="1:28">
      <c r="A533" s="656" t="s">
        <v>1089</v>
      </c>
      <c r="B533" s="656" t="s">
        <v>12737</v>
      </c>
      <c r="C533" s="656" t="s">
        <v>20</v>
      </c>
      <c r="D533" s="656" t="s">
        <v>12736</v>
      </c>
      <c r="E533" s="656" t="s">
        <v>14279</v>
      </c>
      <c r="F533" s="1447"/>
      <c r="G533" s="656"/>
      <c r="H533" s="656" t="s">
        <v>1777</v>
      </c>
      <c r="I533" s="656"/>
      <c r="J533" s="656"/>
      <c r="K533" s="656"/>
      <c r="L533" s="656" t="s">
        <v>12736</v>
      </c>
      <c r="M533" s="656" t="s">
        <v>12735</v>
      </c>
      <c r="N533" s="656" t="s">
        <v>9991</v>
      </c>
      <c r="O533" s="656" t="s">
        <v>2707</v>
      </c>
      <c r="P533" s="5"/>
      <c r="Q533" s="1447">
        <v>43972</v>
      </c>
      <c r="R533" s="656"/>
      <c r="S533" s="656" t="s">
        <v>12706</v>
      </c>
      <c r="T533" s="656" t="s">
        <v>12706</v>
      </c>
      <c r="U533" s="656" t="s">
        <v>14429</v>
      </c>
      <c r="V533" s="656"/>
      <c r="W533" s="656" t="s">
        <v>13051</v>
      </c>
      <c r="X533" s="656" t="s">
        <v>498</v>
      </c>
      <c r="Y533" s="656" t="s">
        <v>14278</v>
      </c>
      <c r="Z533" s="656">
        <v>44305.524733796294</v>
      </c>
      <c r="AA533" s="656" t="s">
        <v>14335</v>
      </c>
      <c r="AB533" s="656"/>
    </row>
    <row r="534" spans="1:28">
      <c r="A534" s="656" t="s">
        <v>1089</v>
      </c>
      <c r="B534" s="656" t="s">
        <v>12739</v>
      </c>
      <c r="C534" s="656" t="s">
        <v>20</v>
      </c>
      <c r="D534" s="656" t="s">
        <v>12738</v>
      </c>
      <c r="E534" s="656" t="s">
        <v>14279</v>
      </c>
      <c r="F534" s="1447"/>
      <c r="G534" s="656"/>
      <c r="H534" s="656" t="s">
        <v>1777</v>
      </c>
      <c r="I534" s="656"/>
      <c r="J534" s="656"/>
      <c r="K534" s="656"/>
      <c r="L534" s="656" t="s">
        <v>12738</v>
      </c>
      <c r="M534" s="656" t="s">
        <v>1364</v>
      </c>
      <c r="N534" s="656" t="s">
        <v>9991</v>
      </c>
      <c r="O534" s="656" t="s">
        <v>2707</v>
      </c>
      <c r="P534" s="5"/>
      <c r="Q534" s="1447">
        <v>43972</v>
      </c>
      <c r="R534" s="656"/>
      <c r="S534" s="656" t="s">
        <v>12706</v>
      </c>
      <c r="T534" s="656" t="s">
        <v>12706</v>
      </c>
      <c r="U534" s="656" t="s">
        <v>14429</v>
      </c>
      <c r="V534" s="656"/>
      <c r="W534" s="656" t="s">
        <v>13051</v>
      </c>
      <c r="X534" s="656" t="s">
        <v>498</v>
      </c>
      <c r="Y534" s="656" t="s">
        <v>14278</v>
      </c>
      <c r="Z534" s="656">
        <v>44305.524722222224</v>
      </c>
      <c r="AA534" s="656" t="s">
        <v>14335</v>
      </c>
      <c r="AB534" s="656"/>
    </row>
    <row r="535" spans="1:28">
      <c r="A535" s="656" t="s">
        <v>1089</v>
      </c>
      <c r="B535" s="656" t="s">
        <v>12741</v>
      </c>
      <c r="C535" s="656" t="s">
        <v>20</v>
      </c>
      <c r="D535" s="656" t="s">
        <v>12740</v>
      </c>
      <c r="E535" s="656" t="s">
        <v>14279</v>
      </c>
      <c r="F535" s="1447"/>
      <c r="G535" s="656"/>
      <c r="H535" s="656" t="s">
        <v>1777</v>
      </c>
      <c r="I535" s="656"/>
      <c r="J535" s="656"/>
      <c r="K535" s="656"/>
      <c r="L535" s="656" t="s">
        <v>12740</v>
      </c>
      <c r="M535" s="656" t="s">
        <v>12707</v>
      </c>
      <c r="N535" s="656" t="s">
        <v>9991</v>
      </c>
      <c r="O535" s="656" t="s">
        <v>2707</v>
      </c>
      <c r="P535" s="5"/>
      <c r="Q535" s="1447">
        <v>43972</v>
      </c>
      <c r="R535" s="656"/>
      <c r="S535" s="656" t="s">
        <v>12706</v>
      </c>
      <c r="T535" s="656" t="s">
        <v>12706</v>
      </c>
      <c r="U535" s="656" t="s">
        <v>14429</v>
      </c>
      <c r="V535" s="656"/>
      <c r="W535" s="656" t="s">
        <v>13051</v>
      </c>
      <c r="X535" s="656" t="s">
        <v>498</v>
      </c>
      <c r="Y535" s="656" t="s">
        <v>14278</v>
      </c>
      <c r="Z535" s="656">
        <v>44305.524733796294</v>
      </c>
      <c r="AA535" s="656" t="s">
        <v>14335</v>
      </c>
      <c r="AB535" s="656"/>
    </row>
    <row r="536" spans="1:28">
      <c r="A536" s="656" t="s">
        <v>1090</v>
      </c>
      <c r="B536" s="656" t="s">
        <v>12717</v>
      </c>
      <c r="C536" s="656" t="s">
        <v>21</v>
      </c>
      <c r="D536" s="656" t="s">
        <v>12716</v>
      </c>
      <c r="E536" s="656" t="s">
        <v>14279</v>
      </c>
      <c r="F536" s="1447"/>
      <c r="G536" s="656"/>
      <c r="H536" s="656" t="s">
        <v>1777</v>
      </c>
      <c r="I536" s="656" t="s">
        <v>14435</v>
      </c>
      <c r="J536" s="656" t="s">
        <v>12716</v>
      </c>
      <c r="K536" s="656" t="s">
        <v>9774</v>
      </c>
      <c r="L536" s="656"/>
      <c r="M536" s="656" t="s">
        <v>12713</v>
      </c>
      <c r="N536" s="656" t="s">
        <v>9991</v>
      </c>
      <c r="O536" s="656" t="s">
        <v>2707</v>
      </c>
      <c r="P536" s="5"/>
      <c r="Q536" s="1447">
        <v>43693</v>
      </c>
      <c r="R536" s="656"/>
      <c r="S536" s="656" t="s">
        <v>12706</v>
      </c>
      <c r="T536" s="656" t="s">
        <v>12706</v>
      </c>
      <c r="U536" s="656" t="s">
        <v>14429</v>
      </c>
      <c r="V536" s="656"/>
      <c r="W536" s="656" t="s">
        <v>13051</v>
      </c>
      <c r="X536" s="656" t="s">
        <v>498</v>
      </c>
      <c r="Y536" s="656" t="s">
        <v>14278</v>
      </c>
      <c r="Z536" s="656">
        <v>44305.524664351855</v>
      </c>
      <c r="AA536" s="656" t="s">
        <v>14335</v>
      </c>
      <c r="AB536" s="656"/>
    </row>
    <row r="537" spans="1:28">
      <c r="A537" s="656" t="s">
        <v>1090</v>
      </c>
      <c r="B537" s="656" t="s">
        <v>12705</v>
      </c>
      <c r="C537" s="656" t="s">
        <v>20</v>
      </c>
      <c r="D537" s="656" t="s">
        <v>12704</v>
      </c>
      <c r="E537" s="656" t="s">
        <v>14279</v>
      </c>
      <c r="F537" s="1447"/>
      <c r="G537" s="656"/>
      <c r="H537" s="656" t="s">
        <v>1777</v>
      </c>
      <c r="I537" s="656"/>
      <c r="J537" s="656"/>
      <c r="K537" s="656"/>
      <c r="L537" s="656" t="s">
        <v>12704</v>
      </c>
      <c r="M537" s="656" t="s">
        <v>12703</v>
      </c>
      <c r="N537" s="656" t="s">
        <v>9991</v>
      </c>
      <c r="O537" s="656" t="s">
        <v>2707</v>
      </c>
      <c r="P537" s="5"/>
      <c r="Q537" s="1447">
        <v>43558</v>
      </c>
      <c r="R537" s="656"/>
      <c r="S537" s="656" t="s">
        <v>12706</v>
      </c>
      <c r="T537" s="656" t="s">
        <v>12706</v>
      </c>
      <c r="U537" s="656" t="s">
        <v>14429</v>
      </c>
      <c r="V537" s="656"/>
      <c r="W537" s="656" t="s">
        <v>13051</v>
      </c>
      <c r="X537" s="656" t="s">
        <v>498</v>
      </c>
      <c r="Y537" s="656" t="s">
        <v>14278</v>
      </c>
      <c r="Z537" s="656">
        <v>44305.524675925924</v>
      </c>
      <c r="AA537" s="656" t="s">
        <v>14335</v>
      </c>
      <c r="AB537" s="656"/>
    </row>
    <row r="538" spans="1:28">
      <c r="A538" s="656" t="s">
        <v>1090</v>
      </c>
      <c r="B538" s="656" t="s">
        <v>12709</v>
      </c>
      <c r="C538" s="656" t="s">
        <v>20</v>
      </c>
      <c r="D538" s="656" t="s">
        <v>12708</v>
      </c>
      <c r="E538" s="656" t="s">
        <v>14279</v>
      </c>
      <c r="F538" s="1447"/>
      <c r="G538" s="656"/>
      <c r="H538" s="656" t="s">
        <v>1777</v>
      </c>
      <c r="I538" s="656"/>
      <c r="J538" s="656"/>
      <c r="K538" s="656"/>
      <c r="L538" s="656" t="s">
        <v>12708</v>
      </c>
      <c r="M538" s="656" t="s">
        <v>12707</v>
      </c>
      <c r="N538" s="656" t="s">
        <v>9991</v>
      </c>
      <c r="O538" s="656" t="s">
        <v>2707</v>
      </c>
      <c r="P538" s="5"/>
      <c r="Q538" s="1447">
        <v>43558</v>
      </c>
      <c r="R538" s="656"/>
      <c r="S538" s="656" t="s">
        <v>12706</v>
      </c>
      <c r="T538" s="656" t="s">
        <v>12706</v>
      </c>
      <c r="U538" s="656" t="s">
        <v>14429</v>
      </c>
      <c r="V538" s="656"/>
      <c r="W538" s="656" t="s">
        <v>13051</v>
      </c>
      <c r="X538" s="656" t="s">
        <v>498</v>
      </c>
      <c r="Y538" s="656" t="s">
        <v>14278</v>
      </c>
      <c r="Z538" s="656">
        <v>44305.524675925924</v>
      </c>
      <c r="AA538" s="656" t="s">
        <v>14335</v>
      </c>
      <c r="AB538" s="656"/>
    </row>
    <row r="539" spans="1:28">
      <c r="A539" s="656" t="s">
        <v>1090</v>
      </c>
      <c r="B539" s="656" t="s">
        <v>12712</v>
      </c>
      <c r="C539" s="656" t="s">
        <v>20</v>
      </c>
      <c r="D539" s="656" t="s">
        <v>12711</v>
      </c>
      <c r="E539" s="656" t="s">
        <v>14279</v>
      </c>
      <c r="F539" s="1447"/>
      <c r="G539" s="656"/>
      <c r="H539" s="656" t="s">
        <v>1777</v>
      </c>
      <c r="I539" s="656"/>
      <c r="J539" s="656"/>
      <c r="K539" s="656"/>
      <c r="L539" s="656" t="s">
        <v>12711</v>
      </c>
      <c r="M539" s="656" t="s">
        <v>12710</v>
      </c>
      <c r="N539" s="656" t="s">
        <v>9991</v>
      </c>
      <c r="O539" s="656" t="s">
        <v>2707</v>
      </c>
      <c r="P539" s="5"/>
      <c r="Q539" s="1447">
        <v>43558</v>
      </c>
      <c r="R539" s="656"/>
      <c r="S539" s="656" t="s">
        <v>12706</v>
      </c>
      <c r="T539" s="656" t="s">
        <v>12706</v>
      </c>
      <c r="U539" s="656" t="s">
        <v>14429</v>
      </c>
      <c r="V539" s="656"/>
      <c r="W539" s="656" t="s">
        <v>13051</v>
      </c>
      <c r="X539" s="656" t="s">
        <v>498</v>
      </c>
      <c r="Y539" s="656" t="s">
        <v>14278</v>
      </c>
      <c r="Z539" s="656">
        <v>44305.524687500001</v>
      </c>
      <c r="AA539" s="656" t="s">
        <v>14335</v>
      </c>
      <c r="AB539" s="656"/>
    </row>
    <row r="540" spans="1:28">
      <c r="A540" s="656" t="s">
        <v>1090</v>
      </c>
      <c r="B540" s="656" t="s">
        <v>12715</v>
      </c>
      <c r="C540" s="656" t="s">
        <v>20</v>
      </c>
      <c r="D540" s="656" t="s">
        <v>12714</v>
      </c>
      <c r="E540" s="656" t="s">
        <v>14279</v>
      </c>
      <c r="F540" s="1447"/>
      <c r="G540" s="656"/>
      <c r="H540" s="656" t="s">
        <v>1777</v>
      </c>
      <c r="I540" s="656"/>
      <c r="J540" s="656"/>
      <c r="K540" s="656"/>
      <c r="L540" s="656" t="s">
        <v>12714</v>
      </c>
      <c r="M540" s="656" t="s">
        <v>12713</v>
      </c>
      <c r="N540" s="656" t="s">
        <v>9991</v>
      </c>
      <c r="O540" s="656" t="s">
        <v>2707</v>
      </c>
      <c r="P540" s="5"/>
      <c r="Q540" s="1447">
        <v>43558</v>
      </c>
      <c r="R540" s="656"/>
      <c r="S540" s="656" t="s">
        <v>12706</v>
      </c>
      <c r="T540" s="656" t="s">
        <v>12706</v>
      </c>
      <c r="U540" s="656" t="s">
        <v>14429</v>
      </c>
      <c r="V540" s="656"/>
      <c r="W540" s="656" t="s">
        <v>13051</v>
      </c>
      <c r="X540" s="656" t="s">
        <v>498</v>
      </c>
      <c r="Y540" s="656" t="s">
        <v>14278</v>
      </c>
      <c r="Z540" s="656">
        <v>44305.524687500001</v>
      </c>
      <c r="AA540" s="656" t="s">
        <v>14335</v>
      </c>
      <c r="AB540" s="656"/>
    </row>
    <row r="541" spans="1:28">
      <c r="A541" s="656" t="s">
        <v>1090</v>
      </c>
      <c r="B541" s="656" t="s">
        <v>12720</v>
      </c>
      <c r="C541" s="656" t="s">
        <v>20</v>
      </c>
      <c r="D541" s="656" t="s">
        <v>12719</v>
      </c>
      <c r="E541" s="656" t="s">
        <v>14279</v>
      </c>
      <c r="F541" s="1447"/>
      <c r="G541" s="656"/>
      <c r="H541" s="656" t="s">
        <v>1777</v>
      </c>
      <c r="I541" s="656"/>
      <c r="J541" s="656"/>
      <c r="K541" s="656"/>
      <c r="L541" s="656" t="s">
        <v>12719</v>
      </c>
      <c r="M541" s="656" t="s">
        <v>12718</v>
      </c>
      <c r="N541" s="656" t="s">
        <v>9991</v>
      </c>
      <c r="O541" s="656" t="s">
        <v>2707</v>
      </c>
      <c r="P541" s="5"/>
      <c r="Q541" s="1447">
        <v>44070</v>
      </c>
      <c r="R541" s="656"/>
      <c r="S541" s="656" t="s">
        <v>12706</v>
      </c>
      <c r="T541" s="656" t="s">
        <v>12706</v>
      </c>
      <c r="U541" s="656" t="s">
        <v>14429</v>
      </c>
      <c r="V541" s="656"/>
      <c r="W541" s="656" t="s">
        <v>13051</v>
      </c>
      <c r="X541" s="656" t="s">
        <v>498</v>
      </c>
      <c r="Y541" s="656" t="s">
        <v>14278</v>
      </c>
      <c r="Z541" s="656">
        <v>44305.524699074071</v>
      </c>
      <c r="AA541" s="656" t="s">
        <v>14335</v>
      </c>
      <c r="AB541" s="656"/>
    </row>
    <row r="542" spans="1:28">
      <c r="A542" s="656" t="s">
        <v>1090</v>
      </c>
      <c r="B542" s="656" t="s">
        <v>12722</v>
      </c>
      <c r="C542" s="656" t="s">
        <v>20</v>
      </c>
      <c r="D542" s="656" t="s">
        <v>12721</v>
      </c>
      <c r="E542" s="656" t="s">
        <v>14279</v>
      </c>
      <c r="F542" s="1447"/>
      <c r="G542" s="656"/>
      <c r="H542" s="656" t="s">
        <v>1777</v>
      </c>
      <c r="I542" s="656"/>
      <c r="J542" s="656"/>
      <c r="K542" s="656"/>
      <c r="L542" s="656" t="s">
        <v>12721</v>
      </c>
      <c r="M542" s="656" t="s">
        <v>12710</v>
      </c>
      <c r="N542" s="656" t="s">
        <v>9991</v>
      </c>
      <c r="O542" s="656" t="s">
        <v>2707</v>
      </c>
      <c r="P542" s="5"/>
      <c r="Q542" s="1447">
        <v>43539</v>
      </c>
      <c r="R542" s="656"/>
      <c r="S542" s="656" t="s">
        <v>12706</v>
      </c>
      <c r="T542" s="656" t="s">
        <v>12706</v>
      </c>
      <c r="U542" s="656" t="s">
        <v>14429</v>
      </c>
      <c r="V542" s="656"/>
      <c r="W542" s="656" t="s">
        <v>13051</v>
      </c>
      <c r="X542" s="656" t="s">
        <v>498</v>
      </c>
      <c r="Y542" s="656" t="s">
        <v>14278</v>
      </c>
      <c r="Z542" s="656">
        <v>44305.524699074071</v>
      </c>
      <c r="AA542" s="656" t="s">
        <v>14335</v>
      </c>
      <c r="AB542" s="656"/>
    </row>
    <row r="543" spans="1:28">
      <c r="A543" s="656" t="s">
        <v>1092</v>
      </c>
      <c r="B543" s="656" t="s">
        <v>12724</v>
      </c>
      <c r="C543" s="656" t="s">
        <v>20</v>
      </c>
      <c r="D543" s="656" t="s">
        <v>12723</v>
      </c>
      <c r="E543" s="656" t="s">
        <v>14279</v>
      </c>
      <c r="F543" s="1447"/>
      <c r="G543" s="656"/>
      <c r="H543" s="656" t="s">
        <v>1777</v>
      </c>
      <c r="I543" s="656"/>
      <c r="J543" s="656"/>
      <c r="K543" s="656"/>
      <c r="L543" s="656" t="s">
        <v>12723</v>
      </c>
      <c r="M543" s="656" t="s">
        <v>12703</v>
      </c>
      <c r="N543" s="656" t="s">
        <v>9991</v>
      </c>
      <c r="O543" s="656" t="s">
        <v>2698</v>
      </c>
      <c r="P543" s="5"/>
      <c r="Q543" s="1447">
        <v>43558</v>
      </c>
      <c r="R543" s="656"/>
      <c r="S543" s="656" t="s">
        <v>12706</v>
      </c>
      <c r="T543" s="656" t="s">
        <v>12706</v>
      </c>
      <c r="U543" s="656" t="s">
        <v>14336</v>
      </c>
      <c r="V543" s="656"/>
      <c r="W543" s="656" t="s">
        <v>13051</v>
      </c>
      <c r="X543" s="656" t="s">
        <v>498</v>
      </c>
      <c r="Y543" s="656" t="s">
        <v>14278</v>
      </c>
      <c r="Z543" s="656">
        <v>44305.524641203701</v>
      </c>
      <c r="AA543" s="656" t="s">
        <v>14335</v>
      </c>
      <c r="AB543" s="656"/>
    </row>
    <row r="544" spans="1:28">
      <c r="A544" s="656" t="s">
        <v>1092</v>
      </c>
      <c r="B544" s="656" t="s">
        <v>12726</v>
      </c>
      <c r="C544" s="656" t="s">
        <v>20</v>
      </c>
      <c r="D544" s="656" t="s">
        <v>12725</v>
      </c>
      <c r="E544" s="656" t="s">
        <v>14279</v>
      </c>
      <c r="F544" s="1447"/>
      <c r="G544" s="656"/>
      <c r="H544" s="656" t="s">
        <v>1777</v>
      </c>
      <c r="I544" s="656"/>
      <c r="J544" s="656"/>
      <c r="K544" s="656"/>
      <c r="L544" s="656" t="s">
        <v>12725</v>
      </c>
      <c r="M544" s="656" t="s">
        <v>12707</v>
      </c>
      <c r="N544" s="656" t="s">
        <v>9991</v>
      </c>
      <c r="O544" s="656" t="s">
        <v>2698</v>
      </c>
      <c r="P544" s="5"/>
      <c r="Q544" s="1447">
        <v>43558</v>
      </c>
      <c r="R544" s="656"/>
      <c r="S544" s="656" t="s">
        <v>12706</v>
      </c>
      <c r="T544" s="656" t="s">
        <v>12706</v>
      </c>
      <c r="U544" s="656" t="s">
        <v>14336</v>
      </c>
      <c r="V544" s="656"/>
      <c r="W544" s="656" t="s">
        <v>13051</v>
      </c>
      <c r="X544" s="656" t="s">
        <v>498</v>
      </c>
      <c r="Y544" s="656" t="s">
        <v>14278</v>
      </c>
      <c r="Z544" s="656">
        <v>44305.524652777778</v>
      </c>
      <c r="AA544" s="656" t="s">
        <v>14335</v>
      </c>
      <c r="AB544" s="656"/>
    </row>
    <row r="545" spans="1:28">
      <c r="A545" s="656" t="s">
        <v>1092</v>
      </c>
      <c r="B545" s="656" t="s">
        <v>12728</v>
      </c>
      <c r="C545" s="656" t="s">
        <v>20</v>
      </c>
      <c r="D545" s="656" t="s">
        <v>12727</v>
      </c>
      <c r="E545" s="656" t="s">
        <v>14279</v>
      </c>
      <c r="F545" s="1447"/>
      <c r="G545" s="656"/>
      <c r="H545" s="656" t="s">
        <v>1777</v>
      </c>
      <c r="I545" s="656"/>
      <c r="J545" s="656"/>
      <c r="K545" s="656"/>
      <c r="L545" s="656" t="s">
        <v>12727</v>
      </c>
      <c r="M545" s="656" t="s">
        <v>12710</v>
      </c>
      <c r="N545" s="656" t="s">
        <v>9991</v>
      </c>
      <c r="O545" s="656" t="s">
        <v>2698</v>
      </c>
      <c r="P545" s="5"/>
      <c r="Q545" s="1447">
        <v>43558</v>
      </c>
      <c r="R545" s="656"/>
      <c r="S545" s="656" t="s">
        <v>12706</v>
      </c>
      <c r="T545" s="656" t="s">
        <v>12706</v>
      </c>
      <c r="U545" s="656" t="s">
        <v>14336</v>
      </c>
      <c r="V545" s="656"/>
      <c r="W545" s="656" t="s">
        <v>13051</v>
      </c>
      <c r="X545" s="656" t="s">
        <v>498</v>
      </c>
      <c r="Y545" s="656" t="s">
        <v>14278</v>
      </c>
      <c r="Z545" s="656">
        <v>44305.524652777778</v>
      </c>
      <c r="AA545" s="656" t="s">
        <v>14335</v>
      </c>
      <c r="AB545" s="656"/>
    </row>
    <row r="546" spans="1:28">
      <c r="A546" s="656" t="s">
        <v>1092</v>
      </c>
      <c r="B546" s="656" t="s">
        <v>12730</v>
      </c>
      <c r="C546" s="656" t="s">
        <v>20</v>
      </c>
      <c r="D546" s="656" t="s">
        <v>12729</v>
      </c>
      <c r="E546" s="656" t="s">
        <v>14279</v>
      </c>
      <c r="F546" s="1447"/>
      <c r="G546" s="656"/>
      <c r="H546" s="656" t="s">
        <v>1777</v>
      </c>
      <c r="I546" s="656"/>
      <c r="J546" s="656"/>
      <c r="K546" s="656"/>
      <c r="L546" s="656" t="s">
        <v>12729</v>
      </c>
      <c r="M546" s="656" t="s">
        <v>12713</v>
      </c>
      <c r="N546" s="656" t="s">
        <v>9991</v>
      </c>
      <c r="O546" s="656" t="s">
        <v>2698</v>
      </c>
      <c r="P546" s="5"/>
      <c r="Q546" s="1447">
        <v>43558</v>
      </c>
      <c r="R546" s="656"/>
      <c r="S546" s="656" t="s">
        <v>12706</v>
      </c>
      <c r="T546" s="656" t="s">
        <v>12706</v>
      </c>
      <c r="U546" s="656" t="s">
        <v>14336</v>
      </c>
      <c r="V546" s="656"/>
      <c r="W546" s="656" t="s">
        <v>13051</v>
      </c>
      <c r="X546" s="656" t="s">
        <v>498</v>
      </c>
      <c r="Y546" s="656" t="s">
        <v>14278</v>
      </c>
      <c r="Z546" s="656">
        <v>44305.524664351855</v>
      </c>
      <c r="AA546" s="656" t="s">
        <v>14335</v>
      </c>
      <c r="AB546" s="656"/>
    </row>
    <row r="547" spans="1:28">
      <c r="A547" s="656" t="s">
        <v>10075</v>
      </c>
      <c r="B547" s="656" t="s">
        <v>10076</v>
      </c>
      <c r="C547" s="656" t="s">
        <v>20</v>
      </c>
      <c r="D547" s="656" t="s">
        <v>10078</v>
      </c>
      <c r="E547" s="656" t="s">
        <v>14275</v>
      </c>
      <c r="F547" s="1447">
        <v>44188</v>
      </c>
      <c r="G547" s="656" t="s">
        <v>10077</v>
      </c>
      <c r="H547" s="656" t="s">
        <v>1777</v>
      </c>
      <c r="I547" s="656"/>
      <c r="J547" s="656"/>
      <c r="K547" s="656"/>
      <c r="L547" s="656" t="s">
        <v>10078</v>
      </c>
      <c r="M547" s="656" t="s">
        <v>16323</v>
      </c>
      <c r="N547" s="656"/>
      <c r="O547" s="656" t="s">
        <v>6387</v>
      </c>
      <c r="P547" s="5"/>
      <c r="Q547" s="1447">
        <v>43739</v>
      </c>
      <c r="R547" s="656"/>
      <c r="S547" s="656" t="s">
        <v>465</v>
      </c>
      <c r="T547" s="656"/>
      <c r="U547" s="656"/>
      <c r="V547" s="656"/>
      <c r="W547" s="656" t="s">
        <v>13051</v>
      </c>
      <c r="X547" s="656" t="s">
        <v>498</v>
      </c>
      <c r="Y547" s="656" t="s">
        <v>14278</v>
      </c>
      <c r="Z547" s="656">
        <v>44305.524641203701</v>
      </c>
      <c r="AA547" s="656" t="s">
        <v>14335</v>
      </c>
      <c r="AB547" s="656"/>
    </row>
    <row r="548" spans="1:28">
      <c r="A548" s="656" t="s">
        <v>1098</v>
      </c>
      <c r="B548" s="656" t="s">
        <v>1099</v>
      </c>
      <c r="C548" s="656" t="s">
        <v>21</v>
      </c>
      <c r="D548" s="656" t="s">
        <v>10057</v>
      </c>
      <c r="E548" s="656" t="s">
        <v>14279</v>
      </c>
      <c r="F548" s="1447"/>
      <c r="G548" s="656" t="s">
        <v>9975</v>
      </c>
      <c r="H548" s="656" t="s">
        <v>1777</v>
      </c>
      <c r="I548" s="656" t="s">
        <v>14436</v>
      </c>
      <c r="J548" s="656" t="s">
        <v>10057</v>
      </c>
      <c r="K548" s="656" t="s">
        <v>9774</v>
      </c>
      <c r="L548" s="656"/>
      <c r="M548" s="656" t="s">
        <v>16196</v>
      </c>
      <c r="N548" s="656"/>
      <c r="O548" s="656" t="s">
        <v>6387</v>
      </c>
      <c r="P548" s="5"/>
      <c r="Q548" s="1447">
        <v>43727</v>
      </c>
      <c r="R548" s="656"/>
      <c r="S548" s="656" t="s">
        <v>462</v>
      </c>
      <c r="T548" s="656"/>
      <c r="U548" s="656"/>
      <c r="V548" s="656"/>
      <c r="W548" s="656" t="s">
        <v>13051</v>
      </c>
      <c r="X548" s="656" t="s">
        <v>498</v>
      </c>
      <c r="Y548" s="656" t="s">
        <v>14278</v>
      </c>
      <c r="Z548" s="656">
        <v>44305.524629629632</v>
      </c>
      <c r="AA548" s="656" t="s">
        <v>14335</v>
      </c>
      <c r="AB548" s="656"/>
    </row>
    <row r="549" spans="1:28">
      <c r="A549" s="656" t="s">
        <v>1098</v>
      </c>
      <c r="B549" s="656" t="s">
        <v>1099</v>
      </c>
      <c r="C549" s="656" t="s">
        <v>20</v>
      </c>
      <c r="D549" s="656" t="s">
        <v>9976</v>
      </c>
      <c r="E549" s="656" t="s">
        <v>14279</v>
      </c>
      <c r="F549" s="1447"/>
      <c r="G549" s="656" t="s">
        <v>9975</v>
      </c>
      <c r="H549" s="656" t="s">
        <v>1777</v>
      </c>
      <c r="I549" s="656"/>
      <c r="J549" s="656"/>
      <c r="K549" s="656"/>
      <c r="L549" s="656" t="s">
        <v>9976</v>
      </c>
      <c r="M549" s="656" t="s">
        <v>16196</v>
      </c>
      <c r="N549" s="656"/>
      <c r="O549" s="656" t="s">
        <v>6387</v>
      </c>
      <c r="P549" s="5"/>
      <c r="Q549" s="1447">
        <v>43605</v>
      </c>
      <c r="R549" s="656"/>
      <c r="S549" s="656" t="s">
        <v>462</v>
      </c>
      <c r="T549" s="656"/>
      <c r="U549" s="656"/>
      <c r="V549" s="656"/>
      <c r="W549" s="656" t="s">
        <v>13051</v>
      </c>
      <c r="X549" s="656" t="s">
        <v>498</v>
      </c>
      <c r="Y549" s="656" t="s">
        <v>14278</v>
      </c>
      <c r="Z549" s="656">
        <v>44305.524629629632</v>
      </c>
      <c r="AA549" s="656" t="s">
        <v>14335</v>
      </c>
      <c r="AB549" s="656"/>
    </row>
    <row r="550" spans="1:28">
      <c r="A550" s="656" t="s">
        <v>1108</v>
      </c>
      <c r="B550" s="656" t="s">
        <v>1109</v>
      </c>
      <c r="C550" s="656" t="s">
        <v>21</v>
      </c>
      <c r="D550" s="656" t="s">
        <v>10184</v>
      </c>
      <c r="E550" s="656" t="s">
        <v>14275</v>
      </c>
      <c r="F550" s="1447">
        <v>44266</v>
      </c>
      <c r="G550" s="656" t="s">
        <v>10118</v>
      </c>
      <c r="H550" s="656" t="s">
        <v>1777</v>
      </c>
      <c r="I550" s="656" t="s">
        <v>14437</v>
      </c>
      <c r="J550" s="656" t="s">
        <v>10184</v>
      </c>
      <c r="K550" s="656" t="s">
        <v>9774</v>
      </c>
      <c r="L550" s="656"/>
      <c r="M550" s="656" t="s">
        <v>16196</v>
      </c>
      <c r="N550" s="656"/>
      <c r="O550" s="656" t="s">
        <v>6421</v>
      </c>
      <c r="P550" s="5"/>
      <c r="Q550" s="1447">
        <v>43861</v>
      </c>
      <c r="R550" s="656">
        <v>44033</v>
      </c>
      <c r="S550" s="656" t="s">
        <v>462</v>
      </c>
      <c r="T550" s="656"/>
      <c r="U550" s="656"/>
      <c r="V550" s="656"/>
      <c r="W550" s="656" t="s">
        <v>13051</v>
      </c>
      <c r="X550" s="656" t="s">
        <v>498</v>
      </c>
      <c r="Y550" s="656" t="s">
        <v>14278</v>
      </c>
      <c r="Z550" s="656">
        <v>44305.524618055555</v>
      </c>
      <c r="AA550" s="656" t="s">
        <v>14335</v>
      </c>
      <c r="AB550" s="656"/>
    </row>
    <row r="551" spans="1:28">
      <c r="A551" s="656" t="s">
        <v>1108</v>
      </c>
      <c r="B551" s="656" t="s">
        <v>1109</v>
      </c>
      <c r="C551" s="656" t="s">
        <v>20</v>
      </c>
      <c r="D551" s="656" t="s">
        <v>10119</v>
      </c>
      <c r="E551" s="656" t="s">
        <v>14275</v>
      </c>
      <c r="F551" s="1447">
        <v>44293</v>
      </c>
      <c r="G551" s="656" t="s">
        <v>10118</v>
      </c>
      <c r="H551" s="656" t="s">
        <v>1777</v>
      </c>
      <c r="I551" s="656"/>
      <c r="J551" s="656"/>
      <c r="K551" s="656"/>
      <c r="L551" s="656" t="s">
        <v>10119</v>
      </c>
      <c r="M551" s="656" t="s">
        <v>16196</v>
      </c>
      <c r="N551" s="656"/>
      <c r="O551" s="656" t="s">
        <v>6387</v>
      </c>
      <c r="P551" s="5"/>
      <c r="Q551" s="1447">
        <v>43778</v>
      </c>
      <c r="R551" s="656"/>
      <c r="S551" s="656" t="s">
        <v>462</v>
      </c>
      <c r="T551" s="656"/>
      <c r="U551" s="656"/>
      <c r="V551" s="656"/>
      <c r="W551" s="656" t="s">
        <v>13051</v>
      </c>
      <c r="X551" s="656" t="s">
        <v>498</v>
      </c>
      <c r="Y551" s="656" t="s">
        <v>14278</v>
      </c>
      <c r="Z551" s="656">
        <v>44305.524618055555</v>
      </c>
      <c r="AA551" s="656" t="s">
        <v>14335</v>
      </c>
      <c r="AB551" s="656"/>
    </row>
    <row r="552" spans="1:28">
      <c r="A552" s="656" t="s">
        <v>1108</v>
      </c>
      <c r="B552" s="656" t="s">
        <v>1109</v>
      </c>
      <c r="C552" s="656" t="s">
        <v>20</v>
      </c>
      <c r="D552" s="656" t="s">
        <v>10139</v>
      </c>
      <c r="E552" s="656" t="s">
        <v>14275</v>
      </c>
      <c r="F552" s="1447">
        <v>44293</v>
      </c>
      <c r="G552" s="656" t="s">
        <v>10118</v>
      </c>
      <c r="H552" s="656" t="s">
        <v>1777</v>
      </c>
      <c r="I552" s="656"/>
      <c r="J552" s="656"/>
      <c r="K552" s="656"/>
      <c r="L552" s="656" t="s">
        <v>10139</v>
      </c>
      <c r="M552" s="656" t="s">
        <v>16196</v>
      </c>
      <c r="N552" s="656"/>
      <c r="O552" s="656" t="s">
        <v>6395</v>
      </c>
      <c r="P552" s="5"/>
      <c r="Q552" s="1447">
        <v>43810</v>
      </c>
      <c r="R552" s="656"/>
      <c r="S552" s="656" t="s">
        <v>462</v>
      </c>
      <c r="T552" s="656"/>
      <c r="U552" s="656"/>
      <c r="V552" s="656"/>
      <c r="W552" s="656" t="s">
        <v>13051</v>
      </c>
      <c r="X552" s="656" t="s">
        <v>498</v>
      </c>
      <c r="Y552" s="656" t="s">
        <v>14278</v>
      </c>
      <c r="Z552" s="656">
        <v>44305.524629629632</v>
      </c>
      <c r="AA552" s="656" t="s">
        <v>14335</v>
      </c>
      <c r="AB552" s="656"/>
    </row>
    <row r="553" spans="1:28">
      <c r="A553" s="656" t="s">
        <v>1110</v>
      </c>
      <c r="B553" s="656" t="s">
        <v>1111</v>
      </c>
      <c r="C553" s="656" t="s">
        <v>20</v>
      </c>
      <c r="D553" s="656" t="s">
        <v>10112</v>
      </c>
      <c r="E553" s="656" t="s">
        <v>14275</v>
      </c>
      <c r="F553" s="1447">
        <v>44249</v>
      </c>
      <c r="G553" s="656" t="s">
        <v>10111</v>
      </c>
      <c r="H553" s="656" t="s">
        <v>1777</v>
      </c>
      <c r="I553" s="656"/>
      <c r="J553" s="656"/>
      <c r="K553" s="656"/>
      <c r="L553" s="656" t="s">
        <v>10112</v>
      </c>
      <c r="M553" s="656" t="s">
        <v>16330</v>
      </c>
      <c r="N553" s="656"/>
      <c r="O553" s="656" t="s">
        <v>6387</v>
      </c>
      <c r="P553" s="5"/>
      <c r="Q553" s="1447">
        <v>43766</v>
      </c>
      <c r="R553" s="656"/>
      <c r="S553" s="656" t="s">
        <v>450</v>
      </c>
      <c r="T553" s="656"/>
      <c r="U553" s="656"/>
      <c r="V553" s="656"/>
      <c r="W553" s="656" t="s">
        <v>13051</v>
      </c>
      <c r="X553" s="656" t="s">
        <v>498</v>
      </c>
      <c r="Y553" s="656" t="s">
        <v>14278</v>
      </c>
      <c r="Z553" s="656">
        <v>44305.524606481478</v>
      </c>
      <c r="AA553" s="656" t="s">
        <v>14335</v>
      </c>
      <c r="AB553" s="656"/>
    </row>
    <row r="554" spans="1:28">
      <c r="A554" s="656" t="s">
        <v>1151</v>
      </c>
      <c r="B554" s="656" t="s">
        <v>1152</v>
      </c>
      <c r="C554" s="656" t="s">
        <v>21</v>
      </c>
      <c r="D554" s="656" t="s">
        <v>12853</v>
      </c>
      <c r="E554" s="656" t="s">
        <v>14279</v>
      </c>
      <c r="F554" s="1447"/>
      <c r="G554" s="656" t="s">
        <v>12388</v>
      </c>
      <c r="H554" s="656" t="s">
        <v>1777</v>
      </c>
      <c r="I554" s="656" t="s">
        <v>14438</v>
      </c>
      <c r="J554" s="656" t="s">
        <v>12853</v>
      </c>
      <c r="K554" s="656" t="s">
        <v>9774</v>
      </c>
      <c r="L554" s="656"/>
      <c r="M554" s="656" t="s">
        <v>16330</v>
      </c>
      <c r="N554" s="656"/>
      <c r="O554" s="656" t="s">
        <v>10214</v>
      </c>
      <c r="P554" s="5"/>
      <c r="Q554" s="1447">
        <v>44130</v>
      </c>
      <c r="R554" s="656"/>
      <c r="S554" s="656" t="s">
        <v>450</v>
      </c>
      <c r="T554" s="656"/>
      <c r="U554" s="656"/>
      <c r="V554" s="656"/>
      <c r="W554" s="656" t="s">
        <v>13051</v>
      </c>
      <c r="X554" s="656" t="s">
        <v>498</v>
      </c>
      <c r="Y554" s="656" t="s">
        <v>14278</v>
      </c>
      <c r="Z554" s="656">
        <v>44305.524583333332</v>
      </c>
      <c r="AA554" s="656" t="s">
        <v>14335</v>
      </c>
      <c r="AB554" s="656"/>
    </row>
    <row r="555" spans="1:28">
      <c r="A555" s="656" t="s">
        <v>1151</v>
      </c>
      <c r="B555" s="656" t="s">
        <v>1152</v>
      </c>
      <c r="C555" s="656" t="s">
        <v>20</v>
      </c>
      <c r="D555" s="656" t="s">
        <v>12387</v>
      </c>
      <c r="E555" s="656" t="s">
        <v>14279</v>
      </c>
      <c r="F555" s="1447"/>
      <c r="G555" s="656" t="s">
        <v>12388</v>
      </c>
      <c r="H555" s="656" t="s">
        <v>1777</v>
      </c>
      <c r="I555" s="656"/>
      <c r="J555" s="656"/>
      <c r="K555" s="656"/>
      <c r="L555" s="656" t="s">
        <v>12387</v>
      </c>
      <c r="M555" s="656" t="s">
        <v>16330</v>
      </c>
      <c r="N555" s="656"/>
      <c r="O555" s="656" t="s">
        <v>10214</v>
      </c>
      <c r="P555" s="5"/>
      <c r="Q555" s="1447">
        <v>44041</v>
      </c>
      <c r="R555" s="656"/>
      <c r="S555" s="656" t="s">
        <v>450</v>
      </c>
      <c r="T555" s="656"/>
      <c r="U555" s="656"/>
      <c r="V555" s="656"/>
      <c r="W555" s="656" t="s">
        <v>13051</v>
      </c>
      <c r="X555" s="656" t="s">
        <v>498</v>
      </c>
      <c r="Y555" s="656" t="s">
        <v>14278</v>
      </c>
      <c r="Z555" s="656">
        <v>44305.524594907409</v>
      </c>
      <c r="AA555" s="656" t="s">
        <v>14335</v>
      </c>
      <c r="AB555" s="656"/>
    </row>
    <row r="556" spans="1:28">
      <c r="A556" s="656" t="s">
        <v>1187</v>
      </c>
      <c r="B556" s="656" t="s">
        <v>1188</v>
      </c>
      <c r="C556" s="656" t="s">
        <v>20</v>
      </c>
      <c r="D556" s="656" t="s">
        <v>12237</v>
      </c>
      <c r="E556" s="656" t="s">
        <v>14275</v>
      </c>
      <c r="F556" s="1447">
        <v>44028</v>
      </c>
      <c r="G556" s="656" t="s">
        <v>12236</v>
      </c>
      <c r="H556" s="656" t="s">
        <v>1777</v>
      </c>
      <c r="I556" s="656"/>
      <c r="J556" s="656"/>
      <c r="K556" s="656"/>
      <c r="L556" s="656" t="s">
        <v>12237</v>
      </c>
      <c r="M556" s="656" t="s">
        <v>16323</v>
      </c>
      <c r="N556" s="656"/>
      <c r="O556" s="656" t="s">
        <v>6387</v>
      </c>
      <c r="P556" s="5"/>
      <c r="Q556" s="1447">
        <v>43552</v>
      </c>
      <c r="R556" s="656"/>
      <c r="S556" s="656" t="s">
        <v>1050</v>
      </c>
      <c r="T556" s="656"/>
      <c r="U556" s="656"/>
      <c r="V556" s="656"/>
      <c r="W556" s="656" t="s">
        <v>13051</v>
      </c>
      <c r="X556" s="656" t="s">
        <v>498</v>
      </c>
      <c r="Y556" s="656" t="s">
        <v>14278</v>
      </c>
      <c r="Z556" s="656">
        <v>44305.524571759262</v>
      </c>
      <c r="AA556" s="656" t="s">
        <v>14335</v>
      </c>
      <c r="AB556" s="656"/>
    </row>
    <row r="557" spans="1:28">
      <c r="A557" s="656" t="s">
        <v>1202</v>
      </c>
      <c r="B557" s="656" t="s">
        <v>1203</v>
      </c>
      <c r="C557" s="656" t="s">
        <v>20</v>
      </c>
      <c r="D557" s="656" t="s">
        <v>9971</v>
      </c>
      <c r="E557" s="656" t="s">
        <v>14275</v>
      </c>
      <c r="F557" s="1447">
        <v>44229</v>
      </c>
      <c r="G557" s="656" t="s">
        <v>9970</v>
      </c>
      <c r="H557" s="656" t="s">
        <v>1777</v>
      </c>
      <c r="I557" s="656"/>
      <c r="J557" s="656"/>
      <c r="K557" s="656"/>
      <c r="L557" s="656" t="s">
        <v>9971</v>
      </c>
      <c r="M557" s="656" t="s">
        <v>16196</v>
      </c>
      <c r="N557" s="656"/>
      <c r="O557" s="656" t="s">
        <v>6395</v>
      </c>
      <c r="P557" s="5"/>
      <c r="Q557" s="1447">
        <v>43585</v>
      </c>
      <c r="R557" s="656"/>
      <c r="S557" s="656" t="s">
        <v>472</v>
      </c>
      <c r="T557" s="656"/>
      <c r="U557" s="656"/>
      <c r="V557" s="656"/>
      <c r="W557" s="656" t="s">
        <v>13051</v>
      </c>
      <c r="X557" s="656" t="s">
        <v>498</v>
      </c>
      <c r="Y557" s="656" t="s">
        <v>14278</v>
      </c>
      <c r="Z557" s="656">
        <v>44305.524571759262</v>
      </c>
      <c r="AA557" s="656" t="s">
        <v>14335</v>
      </c>
      <c r="AB557" s="656"/>
    </row>
    <row r="558" spans="1:28">
      <c r="A558" s="656" t="s">
        <v>1204</v>
      </c>
      <c r="B558" s="656" t="s">
        <v>1205</v>
      </c>
      <c r="C558" s="656" t="s">
        <v>20</v>
      </c>
      <c r="D558" s="656" t="s">
        <v>9924</v>
      </c>
      <c r="E558" s="656" t="s">
        <v>14279</v>
      </c>
      <c r="F558" s="1447"/>
      <c r="G558" s="656" t="s">
        <v>9923</v>
      </c>
      <c r="H558" s="656" t="s">
        <v>1777</v>
      </c>
      <c r="I558" s="656"/>
      <c r="J558" s="656"/>
      <c r="K558" s="656"/>
      <c r="L558" s="656" t="s">
        <v>9924</v>
      </c>
      <c r="M558" s="656" t="s">
        <v>16196</v>
      </c>
      <c r="N558" s="656"/>
      <c r="O558" s="656" t="s">
        <v>6395</v>
      </c>
      <c r="P558" s="5"/>
      <c r="Q558" s="1447">
        <v>43529</v>
      </c>
      <c r="R558" s="656"/>
      <c r="S558" s="656" t="s">
        <v>1338</v>
      </c>
      <c r="T558" s="656"/>
      <c r="U558" s="656"/>
      <c r="V558" s="656"/>
      <c r="W558" s="656" t="s">
        <v>13051</v>
      </c>
      <c r="X558" s="656" t="s">
        <v>498</v>
      </c>
      <c r="Y558" s="656" t="s">
        <v>14278</v>
      </c>
      <c r="Z558" s="656">
        <v>44305.524548611109</v>
      </c>
      <c r="AA558" s="656" t="s">
        <v>14335</v>
      </c>
      <c r="AB558" s="656"/>
    </row>
    <row r="559" spans="1:28">
      <c r="A559" s="656" t="s">
        <v>1208</v>
      </c>
      <c r="B559" s="656" t="s">
        <v>1209</v>
      </c>
      <c r="C559" s="656" t="s">
        <v>21</v>
      </c>
      <c r="D559" s="656" t="s">
        <v>10016</v>
      </c>
      <c r="E559" s="656" t="s">
        <v>14279</v>
      </c>
      <c r="F559" s="1447"/>
      <c r="G559" s="656" t="s">
        <v>9992</v>
      </c>
      <c r="H559" s="656" t="s">
        <v>1777</v>
      </c>
      <c r="I559" s="656" t="s">
        <v>14439</v>
      </c>
      <c r="J559" s="656" t="s">
        <v>10016</v>
      </c>
      <c r="K559" s="656" t="s">
        <v>9774</v>
      </c>
      <c r="L559" s="656"/>
      <c r="M559" s="656" t="s">
        <v>16196</v>
      </c>
      <c r="N559" s="656"/>
      <c r="O559" s="656" t="s">
        <v>6387</v>
      </c>
      <c r="P559" s="5"/>
      <c r="Q559" s="1447">
        <v>43662</v>
      </c>
      <c r="R559" s="656"/>
      <c r="S559" s="656" t="s">
        <v>462</v>
      </c>
      <c r="T559" s="656"/>
      <c r="U559" s="656"/>
      <c r="V559" s="656"/>
      <c r="W559" s="656" t="s">
        <v>13051</v>
      </c>
      <c r="X559" s="656" t="s">
        <v>498</v>
      </c>
      <c r="Y559" s="656" t="s">
        <v>14278</v>
      </c>
      <c r="Z559" s="656">
        <v>44305.524537037039</v>
      </c>
      <c r="AA559" s="656" t="s">
        <v>14335</v>
      </c>
      <c r="AB559" s="656"/>
    </row>
    <row r="560" spans="1:28">
      <c r="A560" s="656" t="s">
        <v>1208</v>
      </c>
      <c r="B560" s="656" t="s">
        <v>1209</v>
      </c>
      <c r="C560" s="656" t="s">
        <v>20</v>
      </c>
      <c r="D560" s="656" t="s">
        <v>9993</v>
      </c>
      <c r="E560" s="656" t="s">
        <v>14279</v>
      </c>
      <c r="F560" s="1447"/>
      <c r="G560" s="656" t="s">
        <v>9992</v>
      </c>
      <c r="H560" s="656" t="s">
        <v>1777</v>
      </c>
      <c r="I560" s="656"/>
      <c r="J560" s="656"/>
      <c r="K560" s="656"/>
      <c r="L560" s="656" t="s">
        <v>9993</v>
      </c>
      <c r="M560" s="656" t="s">
        <v>16196</v>
      </c>
      <c r="N560" s="656"/>
      <c r="O560" s="656" t="s">
        <v>9757</v>
      </c>
      <c r="P560" s="5"/>
      <c r="Q560" s="1447">
        <v>43579</v>
      </c>
      <c r="R560" s="656"/>
      <c r="S560" s="656" t="s">
        <v>462</v>
      </c>
      <c r="T560" s="656"/>
      <c r="U560" s="656"/>
      <c r="V560" s="656"/>
      <c r="W560" s="656" t="s">
        <v>13051</v>
      </c>
      <c r="X560" s="656" t="s">
        <v>498</v>
      </c>
      <c r="Y560" s="656" t="s">
        <v>14278</v>
      </c>
      <c r="Z560" s="656">
        <v>44305.524548611109</v>
      </c>
      <c r="AA560" s="656" t="s">
        <v>14335</v>
      </c>
      <c r="AB560" s="656"/>
    </row>
    <row r="561" spans="1:28">
      <c r="A561" s="656" t="s">
        <v>1208</v>
      </c>
      <c r="B561" s="656" t="s">
        <v>1209</v>
      </c>
      <c r="C561" s="656" t="s">
        <v>21</v>
      </c>
      <c r="D561" s="656" t="s">
        <v>16018</v>
      </c>
      <c r="E561" s="656" t="s">
        <v>14279</v>
      </c>
      <c r="F561" s="1447"/>
      <c r="G561" s="656"/>
      <c r="H561" s="656" t="s">
        <v>1777</v>
      </c>
      <c r="I561" s="656" t="s">
        <v>14439</v>
      </c>
      <c r="J561" s="656" t="s">
        <v>16018</v>
      </c>
      <c r="K561" s="656" t="s">
        <v>9774</v>
      </c>
      <c r="L561" s="656"/>
      <c r="M561" s="656" t="s">
        <v>16196</v>
      </c>
      <c r="N561" s="656"/>
      <c r="O561" s="656" t="s">
        <v>6421</v>
      </c>
      <c r="P561" s="5"/>
      <c r="Q561" s="1447">
        <v>44251</v>
      </c>
      <c r="R561" s="656"/>
      <c r="S561" s="656" t="s">
        <v>462</v>
      </c>
      <c r="T561" s="656"/>
      <c r="U561" s="656"/>
      <c r="V561" s="656"/>
      <c r="W561" s="656" t="s">
        <v>13051</v>
      </c>
      <c r="X561" s="656" t="s">
        <v>498</v>
      </c>
      <c r="Y561" s="656" t="s">
        <v>14278</v>
      </c>
      <c r="Z561" s="656">
        <v>44305.52747685185</v>
      </c>
      <c r="AA561" s="656" t="s">
        <v>14335</v>
      </c>
      <c r="AB561" s="656"/>
    </row>
    <row r="562" spans="1:28">
      <c r="A562" s="656" t="s">
        <v>1208</v>
      </c>
      <c r="B562" s="656" t="s">
        <v>1209</v>
      </c>
      <c r="C562" s="656" t="s">
        <v>21</v>
      </c>
      <c r="D562" s="656" t="s">
        <v>16019</v>
      </c>
      <c r="E562" s="656" t="s">
        <v>14279</v>
      </c>
      <c r="F562" s="1447"/>
      <c r="G562" s="656"/>
      <c r="H562" s="656" t="s">
        <v>1777</v>
      </c>
      <c r="I562" s="656" t="s">
        <v>14439</v>
      </c>
      <c r="J562" s="656" t="s">
        <v>16019</v>
      </c>
      <c r="K562" s="656" t="s">
        <v>9774</v>
      </c>
      <c r="L562" s="656"/>
      <c r="M562" s="656" t="s">
        <v>16196</v>
      </c>
      <c r="N562" s="656"/>
      <c r="O562" s="656" t="s">
        <v>6421</v>
      </c>
      <c r="P562" s="5"/>
      <c r="Q562" s="1447">
        <v>44251</v>
      </c>
      <c r="R562" s="656"/>
      <c r="S562" s="656" t="s">
        <v>462</v>
      </c>
      <c r="T562" s="656"/>
      <c r="U562" s="656"/>
      <c r="V562" s="656"/>
      <c r="W562" s="656" t="s">
        <v>13051</v>
      </c>
      <c r="X562" s="656" t="s">
        <v>498</v>
      </c>
      <c r="Y562" s="656" t="s">
        <v>14278</v>
      </c>
      <c r="Z562" s="656">
        <v>44305.52747685185</v>
      </c>
      <c r="AA562" s="656" t="s">
        <v>14335</v>
      </c>
      <c r="AB562" s="656"/>
    </row>
    <row r="563" spans="1:28">
      <c r="A563" s="656" t="s">
        <v>1208</v>
      </c>
      <c r="B563" s="656" t="s">
        <v>1209</v>
      </c>
      <c r="C563" s="656" t="s">
        <v>21</v>
      </c>
      <c r="D563" s="656" t="s">
        <v>16020</v>
      </c>
      <c r="E563" s="656" t="s">
        <v>14313</v>
      </c>
      <c r="F563" s="1447"/>
      <c r="G563" s="656"/>
      <c r="H563" s="656" t="s">
        <v>1777</v>
      </c>
      <c r="I563" s="656" t="s">
        <v>14439</v>
      </c>
      <c r="J563" s="656" t="s">
        <v>16020</v>
      </c>
      <c r="K563" s="656" t="s">
        <v>9774</v>
      </c>
      <c r="L563" s="656"/>
      <c r="M563" s="656" t="s">
        <v>16196</v>
      </c>
      <c r="N563" s="656"/>
      <c r="O563" s="656" t="s">
        <v>6421</v>
      </c>
      <c r="P563" s="5"/>
      <c r="Q563" s="1447">
        <v>44285</v>
      </c>
      <c r="R563" s="656">
        <v>44074</v>
      </c>
      <c r="S563" s="656" t="s">
        <v>462</v>
      </c>
      <c r="T563" s="656"/>
      <c r="U563" s="656"/>
      <c r="V563" s="656" t="s">
        <v>14323</v>
      </c>
      <c r="W563" s="656" t="s">
        <v>13051</v>
      </c>
      <c r="X563" s="656" t="s">
        <v>498</v>
      </c>
      <c r="Y563" s="656" t="s">
        <v>14278</v>
      </c>
      <c r="Z563" s="656">
        <v>44305.527685185189</v>
      </c>
      <c r="AA563" s="656" t="s">
        <v>14335</v>
      </c>
      <c r="AB563" s="656"/>
    </row>
    <row r="564" spans="1:28">
      <c r="A564" s="656" t="s">
        <v>1217</v>
      </c>
      <c r="B564" s="656" t="s">
        <v>1218</v>
      </c>
      <c r="C564" s="656" t="s">
        <v>20</v>
      </c>
      <c r="D564" s="656" t="s">
        <v>9936</v>
      </c>
      <c r="E564" s="656" t="s">
        <v>14275</v>
      </c>
      <c r="F564" s="1447">
        <v>44067</v>
      </c>
      <c r="G564" s="656" t="s">
        <v>9935</v>
      </c>
      <c r="H564" s="656" t="s">
        <v>1777</v>
      </c>
      <c r="I564" s="656"/>
      <c r="J564" s="656"/>
      <c r="K564" s="656"/>
      <c r="L564" s="656" t="s">
        <v>9936</v>
      </c>
      <c r="M564" s="656" t="s">
        <v>16200</v>
      </c>
      <c r="N564" s="656"/>
      <c r="O564" s="656" t="s">
        <v>6387</v>
      </c>
      <c r="P564" s="5"/>
      <c r="Q564" s="1447">
        <v>43552</v>
      </c>
      <c r="R564" s="656"/>
      <c r="S564" s="656" t="s">
        <v>1300</v>
      </c>
      <c r="T564" s="656"/>
      <c r="U564" s="656"/>
      <c r="V564" s="656"/>
      <c r="W564" s="656" t="s">
        <v>13051</v>
      </c>
      <c r="X564" s="656" t="s">
        <v>498</v>
      </c>
      <c r="Y564" s="656" t="s">
        <v>14278</v>
      </c>
      <c r="Z564" s="656">
        <v>44305.524537037039</v>
      </c>
      <c r="AA564" s="656" t="s">
        <v>14335</v>
      </c>
      <c r="AB564" s="656"/>
    </row>
    <row r="565" spans="1:28">
      <c r="A565" s="656" t="s">
        <v>1221</v>
      </c>
      <c r="B565" s="656" t="s">
        <v>1222</v>
      </c>
      <c r="C565" s="656" t="s">
        <v>20</v>
      </c>
      <c r="D565" s="656" t="s">
        <v>10095</v>
      </c>
      <c r="E565" s="656" t="s">
        <v>14275</v>
      </c>
      <c r="F565" s="1447">
        <v>44253</v>
      </c>
      <c r="G565" s="656" t="s">
        <v>10094</v>
      </c>
      <c r="H565" s="656" t="s">
        <v>1777</v>
      </c>
      <c r="I565" s="656"/>
      <c r="J565" s="656"/>
      <c r="K565" s="656"/>
      <c r="L565" s="656" t="s">
        <v>10095</v>
      </c>
      <c r="M565" s="656" t="s">
        <v>16262</v>
      </c>
      <c r="N565" s="656"/>
      <c r="O565" s="656" t="s">
        <v>6387</v>
      </c>
      <c r="P565" s="5"/>
      <c r="Q565" s="1447">
        <v>43748</v>
      </c>
      <c r="R565" s="656"/>
      <c r="S565" s="656" t="s">
        <v>465</v>
      </c>
      <c r="T565" s="656"/>
      <c r="U565" s="656"/>
      <c r="V565" s="656"/>
      <c r="W565" s="656" t="s">
        <v>13051</v>
      </c>
      <c r="X565" s="656" t="s">
        <v>498</v>
      </c>
      <c r="Y565" s="656" t="s">
        <v>14278</v>
      </c>
      <c r="Z565" s="656">
        <v>44305.524525462963</v>
      </c>
      <c r="AA565" s="656" t="s">
        <v>14335</v>
      </c>
      <c r="AB565" s="656"/>
    </row>
    <row r="566" spans="1:28">
      <c r="A566" s="656" t="s">
        <v>1223</v>
      </c>
      <c r="B566" s="656" t="s">
        <v>1224</v>
      </c>
      <c r="C566" s="656" t="s">
        <v>20</v>
      </c>
      <c r="D566" s="656" t="s">
        <v>12235</v>
      </c>
      <c r="E566" s="656" t="s">
        <v>14275</v>
      </c>
      <c r="F566" s="1447">
        <v>44007</v>
      </c>
      <c r="G566" s="656" t="s">
        <v>12234</v>
      </c>
      <c r="H566" s="656" t="s">
        <v>1777</v>
      </c>
      <c r="I566" s="656"/>
      <c r="J566" s="656"/>
      <c r="K566" s="656"/>
      <c r="L566" s="656" t="s">
        <v>12235</v>
      </c>
      <c r="M566" s="656" t="s">
        <v>16200</v>
      </c>
      <c r="N566" s="656"/>
      <c r="O566" s="656" t="s">
        <v>6387</v>
      </c>
      <c r="P566" s="5"/>
      <c r="Q566" s="1447">
        <v>43552</v>
      </c>
      <c r="R566" s="656"/>
      <c r="S566" s="656" t="s">
        <v>500</v>
      </c>
      <c r="T566" s="656"/>
      <c r="U566" s="656"/>
      <c r="V566" s="656"/>
      <c r="W566" s="656" t="s">
        <v>13051</v>
      </c>
      <c r="X566" s="656" t="s">
        <v>498</v>
      </c>
      <c r="Y566" s="656" t="s">
        <v>14278</v>
      </c>
      <c r="Z566" s="656">
        <v>44305.524525462963</v>
      </c>
      <c r="AA566" s="656" t="s">
        <v>14335</v>
      </c>
      <c r="AB566" s="656"/>
    </row>
    <row r="567" spans="1:28">
      <c r="A567" s="656" t="s">
        <v>9649</v>
      </c>
      <c r="B567" s="656" t="s">
        <v>9648</v>
      </c>
      <c r="C567" s="656" t="s">
        <v>21</v>
      </c>
      <c r="D567" s="656" t="s">
        <v>10330</v>
      </c>
      <c r="E567" s="656" t="s">
        <v>14275</v>
      </c>
      <c r="F567" s="1447">
        <v>44316</v>
      </c>
      <c r="G567" s="656" t="s">
        <v>10286</v>
      </c>
      <c r="H567" s="656" t="s">
        <v>1777</v>
      </c>
      <c r="I567" s="656" t="s">
        <v>14440</v>
      </c>
      <c r="J567" s="656" t="s">
        <v>10330</v>
      </c>
      <c r="K567" s="656" t="s">
        <v>9774</v>
      </c>
      <c r="L567" s="656"/>
      <c r="M567" s="656" t="s">
        <v>16196</v>
      </c>
      <c r="N567" s="656" t="s">
        <v>14557</v>
      </c>
      <c r="O567" s="656" t="s">
        <v>16370</v>
      </c>
      <c r="P567" s="5" t="s">
        <v>14933</v>
      </c>
      <c r="Q567" s="1447">
        <v>44025</v>
      </c>
      <c r="R567" s="656">
        <v>44124</v>
      </c>
      <c r="S567" s="656" t="s">
        <v>462</v>
      </c>
      <c r="T567" s="656"/>
      <c r="U567" s="656"/>
      <c r="V567" s="656"/>
      <c r="W567" s="656" t="s">
        <v>13051</v>
      </c>
      <c r="X567" s="656" t="s">
        <v>498</v>
      </c>
      <c r="Y567" s="656" t="s">
        <v>14278</v>
      </c>
      <c r="Z567" s="656">
        <v>44319.420451388891</v>
      </c>
      <c r="AA567" s="656" t="s">
        <v>14276</v>
      </c>
      <c r="AB567" s="656"/>
    </row>
    <row r="568" spans="1:28" ht="29">
      <c r="A568" s="656" t="s">
        <v>9649</v>
      </c>
      <c r="B568" s="656" t="s">
        <v>9648</v>
      </c>
      <c r="C568" s="656" t="s">
        <v>21</v>
      </c>
      <c r="D568" s="656" t="s">
        <v>12276</v>
      </c>
      <c r="E568" s="656" t="s">
        <v>14384</v>
      </c>
      <c r="F568" s="1447">
        <v>44021</v>
      </c>
      <c r="G568" s="656" t="s">
        <v>10286</v>
      </c>
      <c r="H568" s="656" t="s">
        <v>1777</v>
      </c>
      <c r="I568" s="656" t="s">
        <v>14441</v>
      </c>
      <c r="J568" s="656" t="s">
        <v>12276</v>
      </c>
      <c r="K568" s="656" t="s">
        <v>9774</v>
      </c>
      <c r="L568" s="656"/>
      <c r="M568" s="656" t="s">
        <v>16196</v>
      </c>
      <c r="N568" s="656"/>
      <c r="O568" s="656" t="s">
        <v>6421</v>
      </c>
      <c r="P568" s="5" t="s">
        <v>14442</v>
      </c>
      <c r="Q568" s="1447">
        <v>44020</v>
      </c>
      <c r="R568" s="656"/>
      <c r="S568" s="656" t="s">
        <v>462</v>
      </c>
      <c r="T568" s="656"/>
      <c r="U568" s="656"/>
      <c r="V568" s="656"/>
      <c r="W568" s="656" t="s">
        <v>13051</v>
      </c>
      <c r="X568" s="656" t="s">
        <v>498</v>
      </c>
      <c r="Y568" s="656" t="s">
        <v>14278</v>
      </c>
      <c r="Z568" s="656">
        <v>44305.524513888886</v>
      </c>
      <c r="AA568" s="656" t="s">
        <v>14335</v>
      </c>
      <c r="AB568" s="656"/>
    </row>
    <row r="569" spans="1:28">
      <c r="A569" s="656" t="s">
        <v>9649</v>
      </c>
      <c r="B569" s="656" t="s">
        <v>9648</v>
      </c>
      <c r="C569" s="656" t="s">
        <v>20</v>
      </c>
      <c r="D569" s="656" t="s">
        <v>10287</v>
      </c>
      <c r="E569" s="656" t="s">
        <v>14279</v>
      </c>
      <c r="F569" s="1447"/>
      <c r="G569" s="656" t="s">
        <v>10286</v>
      </c>
      <c r="H569" s="656" t="s">
        <v>1777</v>
      </c>
      <c r="I569" s="656"/>
      <c r="J569" s="656"/>
      <c r="K569" s="656"/>
      <c r="L569" s="656" t="s">
        <v>10287</v>
      </c>
      <c r="M569" s="656" t="s">
        <v>16196</v>
      </c>
      <c r="N569" s="656" t="s">
        <v>9991</v>
      </c>
      <c r="O569" s="656"/>
      <c r="P569" s="5" t="s">
        <v>14932</v>
      </c>
      <c r="Q569" s="1447">
        <v>43983</v>
      </c>
      <c r="R569" s="656"/>
      <c r="S569" s="656" t="s">
        <v>462</v>
      </c>
      <c r="T569" s="656"/>
      <c r="U569" s="656"/>
      <c r="V569" s="656"/>
      <c r="W569" s="656" t="s">
        <v>13051</v>
      </c>
      <c r="X569" s="656" t="s">
        <v>498</v>
      </c>
      <c r="Y569" s="656" t="s">
        <v>14278</v>
      </c>
      <c r="Z569" s="656">
        <v>44305.524513888886</v>
      </c>
      <c r="AA569" s="656" t="s">
        <v>14335</v>
      </c>
      <c r="AB569" s="656"/>
    </row>
    <row r="570" spans="1:28">
      <c r="A570" s="656" t="s">
        <v>1229</v>
      </c>
      <c r="B570" s="656" t="s">
        <v>1230</v>
      </c>
      <c r="C570" s="656" t="s">
        <v>21</v>
      </c>
      <c r="D570" s="656" t="s">
        <v>12651</v>
      </c>
      <c r="E570" s="656" t="s">
        <v>14279</v>
      </c>
      <c r="F570" s="1447"/>
      <c r="G570" s="656" t="s">
        <v>10120</v>
      </c>
      <c r="H570" s="656" t="s">
        <v>1777</v>
      </c>
      <c r="I570" s="656" t="s">
        <v>14443</v>
      </c>
      <c r="J570" s="656" t="s">
        <v>12651</v>
      </c>
      <c r="K570" s="656" t="s">
        <v>9774</v>
      </c>
      <c r="L570" s="656"/>
      <c r="M570" s="656" t="s">
        <v>16196</v>
      </c>
      <c r="N570" s="656"/>
      <c r="O570" s="656" t="s">
        <v>6421</v>
      </c>
      <c r="P570" s="5"/>
      <c r="Q570" s="1447">
        <v>44083</v>
      </c>
      <c r="R570" s="656"/>
      <c r="S570" s="656" t="s">
        <v>462</v>
      </c>
      <c r="T570" s="656"/>
      <c r="U570" s="656"/>
      <c r="V570" s="656"/>
      <c r="W570" s="656" t="s">
        <v>13051</v>
      </c>
      <c r="X570" s="656" t="s">
        <v>498</v>
      </c>
      <c r="Y570" s="656" t="s">
        <v>14278</v>
      </c>
      <c r="Z570" s="656">
        <v>44305.524502314816</v>
      </c>
      <c r="AA570" s="656" t="s">
        <v>14335</v>
      </c>
      <c r="AB570" s="656"/>
    </row>
    <row r="571" spans="1:28">
      <c r="A571" s="656" t="s">
        <v>1229</v>
      </c>
      <c r="B571" s="656" t="s">
        <v>1230</v>
      </c>
      <c r="C571" s="656" t="s">
        <v>20</v>
      </c>
      <c r="D571" s="656" t="s">
        <v>10121</v>
      </c>
      <c r="E571" s="656" t="s">
        <v>14279</v>
      </c>
      <c r="F571" s="1447"/>
      <c r="G571" s="656" t="s">
        <v>10120</v>
      </c>
      <c r="H571" s="656" t="s">
        <v>1777</v>
      </c>
      <c r="I571" s="656"/>
      <c r="J571" s="656"/>
      <c r="K571" s="656"/>
      <c r="L571" s="656" t="s">
        <v>10121</v>
      </c>
      <c r="M571" s="656" t="s">
        <v>16196</v>
      </c>
      <c r="N571" s="656"/>
      <c r="O571" s="656" t="s">
        <v>6387</v>
      </c>
      <c r="P571" s="5"/>
      <c r="Q571" s="1447">
        <v>43738</v>
      </c>
      <c r="R571" s="656"/>
      <c r="S571" s="656" t="s">
        <v>462</v>
      </c>
      <c r="T571" s="656"/>
      <c r="U571" s="656"/>
      <c r="V571" s="656"/>
      <c r="W571" s="656" t="s">
        <v>13051</v>
      </c>
      <c r="X571" s="656" t="s">
        <v>498</v>
      </c>
      <c r="Y571" s="656" t="s">
        <v>14278</v>
      </c>
      <c r="Z571" s="656">
        <v>44305.524502314816</v>
      </c>
      <c r="AA571" s="656" t="s">
        <v>14335</v>
      </c>
      <c r="AB571" s="656"/>
    </row>
    <row r="572" spans="1:28">
      <c r="A572" s="656" t="s">
        <v>1233</v>
      </c>
      <c r="B572" s="656" t="s">
        <v>1234</v>
      </c>
      <c r="C572" s="656" t="s">
        <v>21</v>
      </c>
      <c r="D572" s="656" t="s">
        <v>12257</v>
      </c>
      <c r="E572" s="656" t="s">
        <v>14275</v>
      </c>
      <c r="F572" s="1447">
        <v>43991</v>
      </c>
      <c r="G572" s="656" t="s">
        <v>9952</v>
      </c>
      <c r="H572" s="656" t="s">
        <v>1777</v>
      </c>
      <c r="I572" s="656" t="s">
        <v>14444</v>
      </c>
      <c r="J572" s="656" t="s">
        <v>12257</v>
      </c>
      <c r="K572" s="656" t="s">
        <v>9774</v>
      </c>
      <c r="L572" s="656"/>
      <c r="M572" s="656" t="s">
        <v>16196</v>
      </c>
      <c r="N572" s="656"/>
      <c r="O572" s="656" t="s">
        <v>6387</v>
      </c>
      <c r="P572" s="5"/>
      <c r="Q572" s="1447">
        <v>43662</v>
      </c>
      <c r="R572" s="656">
        <v>43808</v>
      </c>
      <c r="S572" s="656" t="s">
        <v>462</v>
      </c>
      <c r="T572" s="656"/>
      <c r="U572" s="656"/>
      <c r="V572" s="656"/>
      <c r="W572" s="656" t="s">
        <v>13051</v>
      </c>
      <c r="X572" s="656" t="s">
        <v>498</v>
      </c>
      <c r="Y572" s="656" t="s">
        <v>14278</v>
      </c>
      <c r="Z572" s="656">
        <v>44305.52449074074</v>
      </c>
      <c r="AA572" s="656" t="s">
        <v>14335</v>
      </c>
      <c r="AB572" s="656"/>
    </row>
    <row r="573" spans="1:28">
      <c r="A573" s="656" t="s">
        <v>1233</v>
      </c>
      <c r="B573" s="656" t="s">
        <v>1234</v>
      </c>
      <c r="C573" s="656" t="s">
        <v>20</v>
      </c>
      <c r="D573" s="656" t="s">
        <v>9953</v>
      </c>
      <c r="E573" s="656" t="s">
        <v>14275</v>
      </c>
      <c r="F573" s="1447">
        <v>44057</v>
      </c>
      <c r="G573" s="656" t="s">
        <v>9952</v>
      </c>
      <c r="H573" s="656" t="s">
        <v>1777</v>
      </c>
      <c r="I573" s="656"/>
      <c r="J573" s="656"/>
      <c r="K573" s="656"/>
      <c r="L573" s="656" t="s">
        <v>9953</v>
      </c>
      <c r="M573" s="656" t="s">
        <v>16196</v>
      </c>
      <c r="N573" s="656"/>
      <c r="O573" s="656" t="s">
        <v>9757</v>
      </c>
      <c r="P573" s="5"/>
      <c r="Q573" s="1447">
        <v>43570</v>
      </c>
      <c r="R573" s="656"/>
      <c r="S573" s="656" t="s">
        <v>1300</v>
      </c>
      <c r="T573" s="656"/>
      <c r="U573" s="656"/>
      <c r="V573" s="656"/>
      <c r="W573" s="656" t="s">
        <v>13051</v>
      </c>
      <c r="X573" s="656" t="s">
        <v>498</v>
      </c>
      <c r="Y573" s="656" t="s">
        <v>14278</v>
      </c>
      <c r="Z573" s="656">
        <v>44305.52449074074</v>
      </c>
      <c r="AA573" s="656" t="s">
        <v>14335</v>
      </c>
      <c r="AB573" s="656"/>
    </row>
    <row r="574" spans="1:28">
      <c r="A574" s="656" t="s">
        <v>1235</v>
      </c>
      <c r="B574" s="656" t="s">
        <v>1236</v>
      </c>
      <c r="C574" s="656" t="s">
        <v>20</v>
      </c>
      <c r="D574" s="656" t="s">
        <v>9934</v>
      </c>
      <c r="E574" s="656" t="s">
        <v>14279</v>
      </c>
      <c r="F574" s="1447"/>
      <c r="G574" s="656" t="s">
        <v>9933</v>
      </c>
      <c r="H574" s="656" t="s">
        <v>1777</v>
      </c>
      <c r="I574" s="656"/>
      <c r="J574" s="656"/>
      <c r="K574" s="656"/>
      <c r="L574" s="656" t="s">
        <v>9934</v>
      </c>
      <c r="M574" s="656" t="s">
        <v>16196</v>
      </c>
      <c r="N574" s="656"/>
      <c r="O574" s="656" t="s">
        <v>6387</v>
      </c>
      <c r="P574" s="5"/>
      <c r="Q574" s="1447">
        <v>43552</v>
      </c>
      <c r="R574" s="656"/>
      <c r="S574" s="656" t="s">
        <v>1300</v>
      </c>
      <c r="T574" s="656"/>
      <c r="U574" s="656"/>
      <c r="V574" s="656"/>
      <c r="W574" s="656" t="s">
        <v>13051</v>
      </c>
      <c r="X574" s="656" t="s">
        <v>498</v>
      </c>
      <c r="Y574" s="656" t="s">
        <v>14278</v>
      </c>
      <c r="Z574" s="656">
        <v>44305.52447916667</v>
      </c>
      <c r="AA574" s="656" t="s">
        <v>14335</v>
      </c>
      <c r="AB574" s="656"/>
    </row>
    <row r="575" spans="1:28">
      <c r="A575" s="656" t="s">
        <v>1237</v>
      </c>
      <c r="B575" s="656" t="s">
        <v>1238</v>
      </c>
      <c r="C575" s="656" t="s">
        <v>20</v>
      </c>
      <c r="D575" s="656" t="s">
        <v>9932</v>
      </c>
      <c r="E575" s="656" t="s">
        <v>14279</v>
      </c>
      <c r="F575" s="1447"/>
      <c r="G575" s="656" t="s">
        <v>9931</v>
      </c>
      <c r="H575" s="656" t="s">
        <v>1777</v>
      </c>
      <c r="I575" s="656"/>
      <c r="J575" s="656"/>
      <c r="K575" s="656"/>
      <c r="L575" s="656" t="s">
        <v>9932</v>
      </c>
      <c r="M575" s="656" t="s">
        <v>16196</v>
      </c>
      <c r="N575" s="656"/>
      <c r="O575" s="656" t="s">
        <v>6387</v>
      </c>
      <c r="P575" s="5"/>
      <c r="Q575" s="1447">
        <v>43552</v>
      </c>
      <c r="R575" s="656"/>
      <c r="S575" s="656" t="s">
        <v>1300</v>
      </c>
      <c r="T575" s="656"/>
      <c r="U575" s="656"/>
      <c r="V575" s="656"/>
      <c r="W575" s="656" t="s">
        <v>13051</v>
      </c>
      <c r="X575" s="656" t="s">
        <v>498</v>
      </c>
      <c r="Y575" s="656" t="s">
        <v>14278</v>
      </c>
      <c r="Z575" s="656">
        <v>44305.52447916667</v>
      </c>
      <c r="AA575" s="656" t="s">
        <v>14335</v>
      </c>
      <c r="AB575" s="656"/>
    </row>
    <row r="576" spans="1:28">
      <c r="A576" s="656" t="s">
        <v>1240</v>
      </c>
      <c r="B576" s="656" t="s">
        <v>1241</v>
      </c>
      <c r="C576" s="656" t="s">
        <v>20</v>
      </c>
      <c r="D576" s="656" t="s">
        <v>9930</v>
      </c>
      <c r="E576" s="656" t="s">
        <v>14279</v>
      </c>
      <c r="F576" s="1447"/>
      <c r="G576" s="656" t="s">
        <v>9929</v>
      </c>
      <c r="H576" s="656" t="s">
        <v>1777</v>
      </c>
      <c r="I576" s="656"/>
      <c r="J576" s="656"/>
      <c r="K576" s="656"/>
      <c r="L576" s="656" t="s">
        <v>9930</v>
      </c>
      <c r="M576" s="656" t="s">
        <v>16196</v>
      </c>
      <c r="N576" s="656"/>
      <c r="O576" s="656" t="s">
        <v>6387</v>
      </c>
      <c r="P576" s="5"/>
      <c r="Q576" s="1447">
        <v>43552</v>
      </c>
      <c r="R576" s="656"/>
      <c r="S576" s="656" t="s">
        <v>1300</v>
      </c>
      <c r="T576" s="656"/>
      <c r="U576" s="656"/>
      <c r="V576" s="656"/>
      <c r="W576" s="656" t="s">
        <v>13051</v>
      </c>
      <c r="X576" s="656" t="s">
        <v>498</v>
      </c>
      <c r="Y576" s="656" t="s">
        <v>14278</v>
      </c>
      <c r="Z576" s="656">
        <v>44305.524467592593</v>
      </c>
      <c r="AA576" s="656" t="s">
        <v>14335</v>
      </c>
      <c r="AB576" s="656"/>
    </row>
    <row r="577" spans="1:28">
      <c r="A577" s="656" t="s">
        <v>1242</v>
      </c>
      <c r="B577" s="656" t="s">
        <v>1243</v>
      </c>
      <c r="C577" s="656" t="s">
        <v>21</v>
      </c>
      <c r="D577" s="656" t="s">
        <v>15382</v>
      </c>
      <c r="E577" s="656" t="s">
        <v>14313</v>
      </c>
      <c r="F577" s="1447"/>
      <c r="G577" s="656" t="s">
        <v>9927</v>
      </c>
      <c r="H577" s="656" t="s">
        <v>1777</v>
      </c>
      <c r="I577" s="656" t="s">
        <v>15383</v>
      </c>
      <c r="J577" s="656" t="s">
        <v>15382</v>
      </c>
      <c r="K577" s="656" t="s">
        <v>9774</v>
      </c>
      <c r="L577" s="656"/>
      <c r="M577" s="656" t="s">
        <v>16196</v>
      </c>
      <c r="N577" s="656"/>
      <c r="O577" s="656" t="s">
        <v>6421</v>
      </c>
      <c r="P577" s="5" t="s">
        <v>15384</v>
      </c>
      <c r="Q577" s="1447">
        <v>43920</v>
      </c>
      <c r="R577" s="656">
        <v>43921</v>
      </c>
      <c r="S577" s="656" t="s">
        <v>462</v>
      </c>
      <c r="T577" s="656"/>
      <c r="U577" s="656"/>
      <c r="V577" s="656"/>
      <c r="W577" s="656" t="s">
        <v>13051</v>
      </c>
      <c r="X577" s="656" t="s">
        <v>498</v>
      </c>
      <c r="Y577" s="656" t="s">
        <v>14278</v>
      </c>
      <c r="Z577" s="656">
        <v>44305.524456018517</v>
      </c>
      <c r="AA577" s="656" t="s">
        <v>14335</v>
      </c>
      <c r="AB577" s="656"/>
    </row>
    <row r="578" spans="1:28">
      <c r="A578" s="656" t="s">
        <v>1242</v>
      </c>
      <c r="B578" s="656" t="s">
        <v>1243</v>
      </c>
      <c r="C578" s="656" t="s">
        <v>20</v>
      </c>
      <c r="D578" s="656" t="s">
        <v>9928</v>
      </c>
      <c r="E578" s="656" t="s">
        <v>14279</v>
      </c>
      <c r="F578" s="1447"/>
      <c r="G578" s="656" t="s">
        <v>9927</v>
      </c>
      <c r="H578" s="656" t="s">
        <v>1777</v>
      </c>
      <c r="I578" s="656"/>
      <c r="J578" s="656"/>
      <c r="K578" s="656"/>
      <c r="L578" s="656" t="s">
        <v>9928</v>
      </c>
      <c r="M578" s="656" t="s">
        <v>16196</v>
      </c>
      <c r="N578" s="656"/>
      <c r="O578" s="656" t="s">
        <v>6387</v>
      </c>
      <c r="P578" s="5"/>
      <c r="Q578" s="1447">
        <v>43552</v>
      </c>
      <c r="R578" s="656"/>
      <c r="S578" s="656" t="s">
        <v>1300</v>
      </c>
      <c r="T578" s="656"/>
      <c r="U578" s="656"/>
      <c r="V578" s="656"/>
      <c r="W578" s="656" t="s">
        <v>13051</v>
      </c>
      <c r="X578" s="656" t="s">
        <v>498</v>
      </c>
      <c r="Y578" s="656" t="s">
        <v>14278</v>
      </c>
      <c r="Z578" s="656">
        <v>44305.524467592593</v>
      </c>
      <c r="AA578" s="656" t="s">
        <v>14335</v>
      </c>
      <c r="AB578" s="656"/>
    </row>
    <row r="579" spans="1:28">
      <c r="A579" s="656" t="s">
        <v>1244</v>
      </c>
      <c r="B579" s="656" t="s">
        <v>1245</v>
      </c>
      <c r="C579" s="656" t="s">
        <v>20</v>
      </c>
      <c r="D579" s="656" t="s">
        <v>12233</v>
      </c>
      <c r="E579" s="656" t="s">
        <v>14275</v>
      </c>
      <c r="F579" s="1447">
        <v>44007</v>
      </c>
      <c r="G579" s="656" t="s">
        <v>12232</v>
      </c>
      <c r="H579" s="656" t="s">
        <v>1777</v>
      </c>
      <c r="I579" s="656"/>
      <c r="J579" s="656"/>
      <c r="K579" s="656"/>
      <c r="L579" s="656" t="s">
        <v>12233</v>
      </c>
      <c r="M579" s="656" t="s">
        <v>16196</v>
      </c>
      <c r="N579" s="656"/>
      <c r="O579" s="656" t="s">
        <v>6387</v>
      </c>
      <c r="P579" s="5"/>
      <c r="Q579" s="1447">
        <v>43552</v>
      </c>
      <c r="R579" s="656"/>
      <c r="S579" s="656" t="s">
        <v>1050</v>
      </c>
      <c r="T579" s="656"/>
      <c r="U579" s="656"/>
      <c r="V579" s="656"/>
      <c r="W579" s="656" t="s">
        <v>13051</v>
      </c>
      <c r="X579" s="656" t="s">
        <v>498</v>
      </c>
      <c r="Y579" s="656" t="s">
        <v>14278</v>
      </c>
      <c r="Z579" s="656">
        <v>44305.524456018517</v>
      </c>
      <c r="AA579" s="656" t="s">
        <v>14335</v>
      </c>
      <c r="AB579" s="656"/>
    </row>
    <row r="580" spans="1:28">
      <c r="A580" s="656" t="s">
        <v>1248</v>
      </c>
      <c r="B580" s="656" t="s">
        <v>1249</v>
      </c>
      <c r="C580" s="656" t="s">
        <v>20</v>
      </c>
      <c r="D580" s="656" t="s">
        <v>9926</v>
      </c>
      <c r="E580" s="656" t="s">
        <v>14275</v>
      </c>
      <c r="F580" s="1447">
        <v>44174</v>
      </c>
      <c r="G580" s="656" t="s">
        <v>9925</v>
      </c>
      <c r="H580" s="656" t="s">
        <v>1777</v>
      </c>
      <c r="I580" s="656"/>
      <c r="J580" s="656"/>
      <c r="K580" s="656"/>
      <c r="L580" s="656" t="s">
        <v>9926</v>
      </c>
      <c r="M580" s="656" t="s">
        <v>16265</v>
      </c>
      <c r="N580" s="656"/>
      <c r="O580" s="656" t="s">
        <v>6387</v>
      </c>
      <c r="P580" s="5"/>
      <c r="Q580" s="1447">
        <v>43552</v>
      </c>
      <c r="R580" s="656"/>
      <c r="S580" s="656" t="s">
        <v>1050</v>
      </c>
      <c r="T580" s="656"/>
      <c r="U580" s="656"/>
      <c r="V580" s="656"/>
      <c r="W580" s="656" t="s">
        <v>13051</v>
      </c>
      <c r="X580" s="656" t="s">
        <v>498</v>
      </c>
      <c r="Y580" s="656" t="s">
        <v>14278</v>
      </c>
      <c r="Z580" s="656">
        <v>44305.524444444447</v>
      </c>
      <c r="AA580" s="656" t="s">
        <v>14335</v>
      </c>
      <c r="AB580" s="656"/>
    </row>
    <row r="581" spans="1:28">
      <c r="A581" s="656" t="s">
        <v>1252</v>
      </c>
      <c r="B581" s="656" t="s">
        <v>1253</v>
      </c>
      <c r="C581" s="656" t="s">
        <v>20</v>
      </c>
      <c r="D581" s="656" t="s">
        <v>12167</v>
      </c>
      <c r="E581" s="656" t="s">
        <v>14275</v>
      </c>
      <c r="F581" s="1447">
        <v>43717</v>
      </c>
      <c r="G581" s="656" t="s">
        <v>12166</v>
      </c>
      <c r="H581" s="656" t="s">
        <v>1777</v>
      </c>
      <c r="I581" s="656"/>
      <c r="J581" s="656"/>
      <c r="K581" s="656"/>
      <c r="L581" s="656" t="s">
        <v>12167</v>
      </c>
      <c r="M581" s="656" t="s">
        <v>12783</v>
      </c>
      <c r="N581" s="656"/>
      <c r="O581" s="656" t="s">
        <v>6387</v>
      </c>
      <c r="P581" s="5"/>
      <c r="Q581" s="1447">
        <v>43390</v>
      </c>
      <c r="R581" s="656"/>
      <c r="S581" s="656" t="s">
        <v>1050</v>
      </c>
      <c r="T581" s="656"/>
      <c r="U581" s="656" t="s">
        <v>1050</v>
      </c>
      <c r="V581" s="656"/>
      <c r="W581" s="656" t="s">
        <v>13051</v>
      </c>
      <c r="X581" s="656" t="s">
        <v>498</v>
      </c>
      <c r="Y581" s="656" t="s">
        <v>14278</v>
      </c>
      <c r="Z581" s="656">
        <v>44305.524444444447</v>
      </c>
      <c r="AA581" s="656" t="s">
        <v>14335</v>
      </c>
      <c r="AB581" s="656"/>
    </row>
    <row r="582" spans="1:28">
      <c r="A582" s="656" t="s">
        <v>1258</v>
      </c>
      <c r="B582" s="656" t="s">
        <v>1259</v>
      </c>
      <c r="C582" s="656" t="s">
        <v>21</v>
      </c>
      <c r="D582" s="656" t="s">
        <v>12317</v>
      </c>
      <c r="E582" s="656" t="s">
        <v>14275</v>
      </c>
      <c r="F582" s="1447">
        <v>44147</v>
      </c>
      <c r="G582" s="656" t="s">
        <v>9921</v>
      </c>
      <c r="H582" s="656" t="s">
        <v>1584</v>
      </c>
      <c r="I582" s="656" t="s">
        <v>14445</v>
      </c>
      <c r="J582" s="656" t="s">
        <v>12317</v>
      </c>
      <c r="K582" s="656" t="s">
        <v>9774</v>
      </c>
      <c r="L582" s="656"/>
      <c r="M582" s="656" t="s">
        <v>16371</v>
      </c>
      <c r="N582" s="656"/>
      <c r="O582" s="656" t="s">
        <v>6387</v>
      </c>
      <c r="P582" s="5"/>
      <c r="Q582" s="1447">
        <v>43755</v>
      </c>
      <c r="R582" s="656">
        <v>44007</v>
      </c>
      <c r="S582" s="656" t="s">
        <v>465</v>
      </c>
      <c r="T582" s="656"/>
      <c r="U582" s="656"/>
      <c r="V582" s="656"/>
      <c r="W582" s="656" t="s">
        <v>13051</v>
      </c>
      <c r="X582" s="656" t="s">
        <v>498</v>
      </c>
      <c r="Y582" s="656" t="s">
        <v>14278</v>
      </c>
      <c r="Z582" s="656">
        <v>44306.422395833331</v>
      </c>
      <c r="AA582" s="656" t="s">
        <v>15959</v>
      </c>
      <c r="AB582" s="656"/>
    </row>
    <row r="583" spans="1:28">
      <c r="A583" s="656" t="s">
        <v>1258</v>
      </c>
      <c r="B583" s="656" t="s">
        <v>1259</v>
      </c>
      <c r="C583" s="656" t="s">
        <v>21</v>
      </c>
      <c r="D583" s="656" t="s">
        <v>12272</v>
      </c>
      <c r="E583" s="656" t="s">
        <v>14384</v>
      </c>
      <c r="F583" s="1447">
        <v>43754</v>
      </c>
      <c r="G583" s="656" t="s">
        <v>9921</v>
      </c>
      <c r="H583" s="656" t="s">
        <v>1777</v>
      </c>
      <c r="I583" s="656" t="s">
        <v>14446</v>
      </c>
      <c r="J583" s="656" t="s">
        <v>12272</v>
      </c>
      <c r="K583" s="656" t="s">
        <v>9774</v>
      </c>
      <c r="L583" s="656"/>
      <c r="M583" s="656" t="s">
        <v>16371</v>
      </c>
      <c r="N583" s="656"/>
      <c r="O583" s="656" t="s">
        <v>6387</v>
      </c>
      <c r="P583" s="5" t="s">
        <v>14447</v>
      </c>
      <c r="Q583" s="1447">
        <v>43753</v>
      </c>
      <c r="R583" s="656"/>
      <c r="S583" s="656" t="s">
        <v>465</v>
      </c>
      <c r="T583" s="656"/>
      <c r="U583" s="656"/>
      <c r="V583" s="656"/>
      <c r="W583" s="656" t="s">
        <v>13051</v>
      </c>
      <c r="X583" s="656" t="s">
        <v>498</v>
      </c>
      <c r="Y583" s="656" t="s">
        <v>14278</v>
      </c>
      <c r="Z583" s="656">
        <v>44306.422118055554</v>
      </c>
      <c r="AA583" s="656" t="s">
        <v>15959</v>
      </c>
      <c r="AB583" s="656"/>
    </row>
    <row r="584" spans="1:28">
      <c r="A584" s="656" t="s">
        <v>1258</v>
      </c>
      <c r="B584" s="656" t="s">
        <v>1259</v>
      </c>
      <c r="C584" s="656" t="s">
        <v>20</v>
      </c>
      <c r="D584" s="656" t="s">
        <v>9922</v>
      </c>
      <c r="E584" s="656" t="s">
        <v>14275</v>
      </c>
      <c r="F584" s="1447">
        <v>44147</v>
      </c>
      <c r="G584" s="656" t="s">
        <v>9921</v>
      </c>
      <c r="H584" s="656" t="s">
        <v>1777</v>
      </c>
      <c r="I584" s="656"/>
      <c r="J584" s="656"/>
      <c r="K584" s="656"/>
      <c r="L584" s="656" t="s">
        <v>9922</v>
      </c>
      <c r="M584" s="656" t="s">
        <v>16371</v>
      </c>
      <c r="N584" s="656"/>
      <c r="O584" s="656" t="s">
        <v>6387</v>
      </c>
      <c r="P584" s="5"/>
      <c r="Q584" s="1447">
        <v>43529</v>
      </c>
      <c r="R584" s="656"/>
      <c r="S584" s="656" t="s">
        <v>783</v>
      </c>
      <c r="T584" s="656"/>
      <c r="U584" s="656"/>
      <c r="V584" s="656"/>
      <c r="W584" s="656" t="s">
        <v>13051</v>
      </c>
      <c r="X584" s="656" t="s">
        <v>498</v>
      </c>
      <c r="Y584" s="656" t="s">
        <v>14278</v>
      </c>
      <c r="Z584" s="656">
        <v>44305.753634259258</v>
      </c>
      <c r="AA584" s="656" t="s">
        <v>14335</v>
      </c>
      <c r="AB584" s="656"/>
    </row>
    <row r="585" spans="1:28">
      <c r="A585" s="656" t="s">
        <v>1260</v>
      </c>
      <c r="B585" s="656" t="s">
        <v>1261</v>
      </c>
      <c r="C585" s="656" t="s">
        <v>20</v>
      </c>
      <c r="D585" s="656" t="s">
        <v>12231</v>
      </c>
      <c r="E585" s="656" t="s">
        <v>14275</v>
      </c>
      <c r="F585" s="1447">
        <v>43578</v>
      </c>
      <c r="G585" s="656" t="s">
        <v>12230</v>
      </c>
      <c r="H585" s="656" t="s">
        <v>1777</v>
      </c>
      <c r="I585" s="656"/>
      <c r="J585" s="656"/>
      <c r="K585" s="656"/>
      <c r="L585" s="656" t="s">
        <v>12231</v>
      </c>
      <c r="M585" s="656" t="s">
        <v>16262</v>
      </c>
      <c r="N585" s="656"/>
      <c r="O585" s="656" t="s">
        <v>6387</v>
      </c>
      <c r="P585" s="5"/>
      <c r="Q585" s="1447">
        <v>43552</v>
      </c>
      <c r="R585" s="656"/>
      <c r="S585" s="656" t="s">
        <v>458</v>
      </c>
      <c r="T585" s="656"/>
      <c r="U585" s="656"/>
      <c r="V585" s="656"/>
      <c r="W585" s="656" t="s">
        <v>13051</v>
      </c>
      <c r="X585" s="656" t="s">
        <v>498</v>
      </c>
      <c r="Y585" s="656" t="s">
        <v>14278</v>
      </c>
      <c r="Z585" s="656">
        <v>44305.524375000001</v>
      </c>
      <c r="AA585" s="656" t="s">
        <v>14335</v>
      </c>
      <c r="AB585" s="656"/>
    </row>
    <row r="586" spans="1:28">
      <c r="A586" s="656" t="s">
        <v>1260</v>
      </c>
      <c r="B586" s="656" t="s">
        <v>1261</v>
      </c>
      <c r="C586" s="656" t="s">
        <v>20</v>
      </c>
      <c r="D586" s="656" t="s">
        <v>12242</v>
      </c>
      <c r="E586" s="656" t="s">
        <v>14275</v>
      </c>
      <c r="F586" s="1447">
        <v>44032</v>
      </c>
      <c r="G586" s="656" t="s">
        <v>12230</v>
      </c>
      <c r="H586" s="656" t="s">
        <v>1777</v>
      </c>
      <c r="I586" s="656"/>
      <c r="J586" s="656"/>
      <c r="K586" s="656"/>
      <c r="L586" s="656" t="s">
        <v>12242</v>
      </c>
      <c r="M586" s="656" t="s">
        <v>16326</v>
      </c>
      <c r="N586" s="656"/>
      <c r="O586" s="656" t="s">
        <v>6387</v>
      </c>
      <c r="P586" s="5"/>
      <c r="Q586" s="1447">
        <v>43578</v>
      </c>
      <c r="R586" s="656"/>
      <c r="S586" s="656" t="s">
        <v>458</v>
      </c>
      <c r="T586" s="656"/>
      <c r="U586" s="656"/>
      <c r="V586" s="656"/>
      <c r="W586" s="656" t="s">
        <v>13051</v>
      </c>
      <c r="X586" s="656" t="s">
        <v>498</v>
      </c>
      <c r="Y586" s="656" t="s">
        <v>14278</v>
      </c>
      <c r="Z586" s="656">
        <v>44305.524386574078</v>
      </c>
      <c r="AA586" s="656" t="s">
        <v>14335</v>
      </c>
      <c r="AB586" s="656"/>
    </row>
    <row r="587" spans="1:28">
      <c r="A587" s="656" t="s">
        <v>1264</v>
      </c>
      <c r="B587" s="656" t="s">
        <v>1265</v>
      </c>
      <c r="C587" s="656" t="s">
        <v>20</v>
      </c>
      <c r="D587" s="656" t="s">
        <v>9904</v>
      </c>
      <c r="E587" s="656" t="s">
        <v>14279</v>
      </c>
      <c r="F587" s="1447"/>
      <c r="G587" s="656" t="s">
        <v>9903</v>
      </c>
      <c r="H587" s="656" t="s">
        <v>1777</v>
      </c>
      <c r="I587" s="656"/>
      <c r="J587" s="656"/>
      <c r="K587" s="656"/>
      <c r="L587" s="656" t="s">
        <v>9904</v>
      </c>
      <c r="M587" s="656" t="s">
        <v>16196</v>
      </c>
      <c r="N587" s="656"/>
      <c r="O587" s="656" t="s">
        <v>6395</v>
      </c>
      <c r="P587" s="5"/>
      <c r="Q587" s="1447">
        <v>43455</v>
      </c>
      <c r="R587" s="656"/>
      <c r="S587" s="656" t="s">
        <v>469</v>
      </c>
      <c r="T587" s="656"/>
      <c r="U587" s="656"/>
      <c r="V587" s="656"/>
      <c r="W587" s="656" t="s">
        <v>13051</v>
      </c>
      <c r="X587" s="656" t="s">
        <v>498</v>
      </c>
      <c r="Y587" s="656" t="s">
        <v>14278</v>
      </c>
      <c r="Z587" s="656">
        <v>44305.524375000001</v>
      </c>
      <c r="AA587" s="656" t="s">
        <v>14335</v>
      </c>
      <c r="AB587" s="656"/>
    </row>
    <row r="588" spans="1:28">
      <c r="A588" s="656" t="s">
        <v>1273</v>
      </c>
      <c r="B588" s="656" t="s">
        <v>1257</v>
      </c>
      <c r="C588" s="656" t="s">
        <v>21</v>
      </c>
      <c r="D588" s="656" t="s">
        <v>12316</v>
      </c>
      <c r="E588" s="656" t="s">
        <v>14275</v>
      </c>
      <c r="F588" s="1447">
        <v>44124</v>
      </c>
      <c r="G588" s="656" t="s">
        <v>9994</v>
      </c>
      <c r="H588" s="656" t="s">
        <v>1777</v>
      </c>
      <c r="I588" s="656" t="s">
        <v>14448</v>
      </c>
      <c r="J588" s="656" t="s">
        <v>12316</v>
      </c>
      <c r="K588" s="656" t="s">
        <v>9774</v>
      </c>
      <c r="L588" s="656"/>
      <c r="M588" s="656" t="s">
        <v>16344</v>
      </c>
      <c r="N588" s="656"/>
      <c r="O588" s="656" t="s">
        <v>6387</v>
      </c>
      <c r="P588" s="5"/>
      <c r="Q588" s="1447">
        <v>43741</v>
      </c>
      <c r="R588" s="656">
        <v>43924</v>
      </c>
      <c r="S588" s="656" t="s">
        <v>465</v>
      </c>
      <c r="T588" s="656"/>
      <c r="U588" s="656"/>
      <c r="V588" s="656"/>
      <c r="W588" s="656" t="s">
        <v>13051</v>
      </c>
      <c r="X588" s="656" t="s">
        <v>498</v>
      </c>
      <c r="Y588" s="656" t="s">
        <v>14278</v>
      </c>
      <c r="Z588" s="656">
        <v>44305.524363425924</v>
      </c>
      <c r="AA588" s="656" t="s">
        <v>14335</v>
      </c>
      <c r="AB588" s="656"/>
    </row>
    <row r="589" spans="1:28">
      <c r="A589" s="656" t="s">
        <v>1273</v>
      </c>
      <c r="B589" s="656" t="s">
        <v>1257</v>
      </c>
      <c r="C589" s="656" t="s">
        <v>20</v>
      </c>
      <c r="D589" s="656" t="s">
        <v>9995</v>
      </c>
      <c r="E589" s="656" t="s">
        <v>14275</v>
      </c>
      <c r="F589" s="1447">
        <v>44140</v>
      </c>
      <c r="G589" s="656" t="s">
        <v>9994</v>
      </c>
      <c r="H589" s="656" t="s">
        <v>1777</v>
      </c>
      <c r="I589" s="656"/>
      <c r="J589" s="656"/>
      <c r="K589" s="656"/>
      <c r="L589" s="656" t="s">
        <v>9995</v>
      </c>
      <c r="M589" s="656" t="s">
        <v>16344</v>
      </c>
      <c r="N589" s="656"/>
      <c r="O589" s="656" t="s">
        <v>6387</v>
      </c>
      <c r="P589" s="5"/>
      <c r="Q589" s="1447">
        <v>43622</v>
      </c>
      <c r="R589" s="656"/>
      <c r="S589" s="656" t="s">
        <v>465</v>
      </c>
      <c r="T589" s="656"/>
      <c r="U589" s="656"/>
      <c r="V589" s="656"/>
      <c r="W589" s="656" t="s">
        <v>13051</v>
      </c>
      <c r="X589" s="656" t="s">
        <v>498</v>
      </c>
      <c r="Y589" s="656" t="s">
        <v>14278</v>
      </c>
      <c r="Z589" s="656">
        <v>44305.524363425924</v>
      </c>
      <c r="AA589" s="656" t="s">
        <v>14335</v>
      </c>
      <c r="AB589" s="656"/>
    </row>
    <row r="590" spans="1:28">
      <c r="A590" s="656" t="s">
        <v>1274</v>
      </c>
      <c r="B590" s="656" t="s">
        <v>1275</v>
      </c>
      <c r="C590" s="656" t="s">
        <v>21</v>
      </c>
      <c r="D590" s="656" t="s">
        <v>12309</v>
      </c>
      <c r="E590" s="656" t="s">
        <v>14313</v>
      </c>
      <c r="F590" s="1447"/>
      <c r="G590" s="656" t="s">
        <v>9906</v>
      </c>
      <c r="H590" s="656" t="s">
        <v>1777</v>
      </c>
      <c r="I590" s="656" t="s">
        <v>14449</v>
      </c>
      <c r="J590" s="656" t="s">
        <v>12309</v>
      </c>
      <c r="K590" s="656" t="s">
        <v>9774</v>
      </c>
      <c r="L590" s="656"/>
      <c r="M590" s="656" t="s">
        <v>16196</v>
      </c>
      <c r="N590" s="656"/>
      <c r="O590" s="656" t="s">
        <v>9757</v>
      </c>
      <c r="P590" s="5"/>
      <c r="Q590" s="1447">
        <v>43518</v>
      </c>
      <c r="R590" s="656">
        <v>43812</v>
      </c>
      <c r="S590" s="656" t="s">
        <v>1300</v>
      </c>
      <c r="T590" s="656" t="s">
        <v>1300</v>
      </c>
      <c r="U590" s="656" t="s">
        <v>1300</v>
      </c>
      <c r="V590" s="656"/>
      <c r="W590" s="656" t="s">
        <v>13051</v>
      </c>
      <c r="X590" s="656" t="s">
        <v>498</v>
      </c>
      <c r="Y590" s="656" t="s">
        <v>14278</v>
      </c>
      <c r="Z590" s="656">
        <v>44305.524351851855</v>
      </c>
      <c r="AA590" s="656" t="s">
        <v>14335</v>
      </c>
      <c r="AB590" s="656"/>
    </row>
    <row r="591" spans="1:28">
      <c r="A591" s="656" t="s">
        <v>1274</v>
      </c>
      <c r="B591" s="656" t="s">
        <v>1275</v>
      </c>
      <c r="C591" s="656" t="s">
        <v>21</v>
      </c>
      <c r="D591" s="656" t="s">
        <v>10284</v>
      </c>
      <c r="E591" s="656" t="s">
        <v>14279</v>
      </c>
      <c r="F591" s="1447"/>
      <c r="G591" s="656" t="s">
        <v>9906</v>
      </c>
      <c r="H591" s="656" t="s">
        <v>1777</v>
      </c>
      <c r="I591" s="656" t="s">
        <v>14449</v>
      </c>
      <c r="J591" s="656" t="s">
        <v>10284</v>
      </c>
      <c r="K591" s="656" t="s">
        <v>9774</v>
      </c>
      <c r="L591" s="656"/>
      <c r="M591" s="656" t="s">
        <v>16196</v>
      </c>
      <c r="N591" s="656"/>
      <c r="O591" s="656" t="s">
        <v>6387</v>
      </c>
      <c r="P591" s="5"/>
      <c r="Q591" s="1447">
        <v>43959</v>
      </c>
      <c r="R591" s="656"/>
      <c r="S591" s="656" t="s">
        <v>462</v>
      </c>
      <c r="T591" s="656"/>
      <c r="U591" s="656"/>
      <c r="V591" s="656"/>
      <c r="W591" s="656" t="s">
        <v>13051</v>
      </c>
      <c r="X591" s="656" t="s">
        <v>498</v>
      </c>
      <c r="Y591" s="656" t="s">
        <v>14278</v>
      </c>
      <c r="Z591" s="656">
        <v>44305.524351851855</v>
      </c>
      <c r="AA591" s="656" t="s">
        <v>14335</v>
      </c>
      <c r="AB591" s="656"/>
    </row>
    <row r="592" spans="1:28">
      <c r="A592" s="656" t="s">
        <v>1274</v>
      </c>
      <c r="B592" s="656" t="s">
        <v>1275</v>
      </c>
      <c r="C592" s="656" t="s">
        <v>20</v>
      </c>
      <c r="D592" s="656" t="s">
        <v>9907</v>
      </c>
      <c r="E592" s="656" t="s">
        <v>14279</v>
      </c>
      <c r="F592" s="1447"/>
      <c r="G592" s="656" t="s">
        <v>9906</v>
      </c>
      <c r="H592" s="656" t="s">
        <v>1777</v>
      </c>
      <c r="I592" s="656"/>
      <c r="J592" s="656"/>
      <c r="K592" s="656"/>
      <c r="L592" s="656" t="s">
        <v>9907</v>
      </c>
      <c r="M592" s="656" t="s">
        <v>16196</v>
      </c>
      <c r="N592" s="656"/>
      <c r="O592" s="656" t="s">
        <v>9757</v>
      </c>
      <c r="P592" s="5"/>
      <c r="Q592" s="1447">
        <v>43482</v>
      </c>
      <c r="R592" s="656"/>
      <c r="S592" s="656" t="s">
        <v>1300</v>
      </c>
      <c r="T592" s="656"/>
      <c r="U592" s="656"/>
      <c r="V592" s="656"/>
      <c r="W592" s="656" t="s">
        <v>13051</v>
      </c>
      <c r="X592" s="656" t="s">
        <v>498</v>
      </c>
      <c r="Y592" s="656" t="s">
        <v>14278</v>
      </c>
      <c r="Z592" s="656">
        <v>44305.524351851855</v>
      </c>
      <c r="AA592" s="656" t="s">
        <v>14335</v>
      </c>
      <c r="AB592" s="656"/>
    </row>
    <row r="593" spans="1:28">
      <c r="A593" s="656" t="s">
        <v>1284</v>
      </c>
      <c r="B593" s="656" t="s">
        <v>1285</v>
      </c>
      <c r="C593" s="656" t="s">
        <v>20</v>
      </c>
      <c r="D593" s="656" t="s">
        <v>12229</v>
      </c>
      <c r="E593" s="656" t="s">
        <v>14275</v>
      </c>
      <c r="F593" s="1447">
        <v>43578</v>
      </c>
      <c r="G593" s="656" t="s">
        <v>12228</v>
      </c>
      <c r="H593" s="656" t="s">
        <v>1777</v>
      </c>
      <c r="I593" s="656"/>
      <c r="J593" s="656"/>
      <c r="K593" s="656"/>
      <c r="L593" s="656" t="s">
        <v>12229</v>
      </c>
      <c r="M593" s="656" t="s">
        <v>16262</v>
      </c>
      <c r="N593" s="656"/>
      <c r="O593" s="656" t="s">
        <v>6387</v>
      </c>
      <c r="P593" s="5"/>
      <c r="Q593" s="1447">
        <v>43552</v>
      </c>
      <c r="R593" s="656"/>
      <c r="S593" s="656" t="s">
        <v>783</v>
      </c>
      <c r="T593" s="656"/>
      <c r="U593" s="656"/>
      <c r="V593" s="656"/>
      <c r="W593" s="656" t="s">
        <v>13051</v>
      </c>
      <c r="X593" s="656" t="s">
        <v>498</v>
      </c>
      <c r="Y593" s="656" t="s">
        <v>14278</v>
      </c>
      <c r="Z593" s="656">
        <v>44305.524340277778</v>
      </c>
      <c r="AA593" s="656" t="s">
        <v>14335</v>
      </c>
      <c r="AB593" s="656"/>
    </row>
    <row r="594" spans="1:28">
      <c r="A594" s="656" t="s">
        <v>1286</v>
      </c>
      <c r="B594" s="656" t="s">
        <v>1287</v>
      </c>
      <c r="C594" s="656" t="s">
        <v>21</v>
      </c>
      <c r="D594" s="656" t="s">
        <v>12223</v>
      </c>
      <c r="E594" s="656" t="s">
        <v>14275</v>
      </c>
      <c r="F594" s="1447">
        <v>43754</v>
      </c>
      <c r="G594" s="656" t="s">
        <v>12160</v>
      </c>
      <c r="H594" s="656" t="s">
        <v>1777</v>
      </c>
      <c r="I594" s="656" t="s">
        <v>14450</v>
      </c>
      <c r="J594" s="656" t="s">
        <v>12223</v>
      </c>
      <c r="K594" s="656" t="s">
        <v>9774</v>
      </c>
      <c r="L594" s="656"/>
      <c r="M594" s="656" t="s">
        <v>16318</v>
      </c>
      <c r="N594" s="656"/>
      <c r="O594" s="656" t="s">
        <v>6395</v>
      </c>
      <c r="P594" s="5"/>
      <c r="Q594" s="1447">
        <v>43517</v>
      </c>
      <c r="R594" s="656">
        <v>43668</v>
      </c>
      <c r="S594" s="656" t="s">
        <v>3756</v>
      </c>
      <c r="T594" s="656"/>
      <c r="U594" s="656"/>
      <c r="V594" s="656"/>
      <c r="W594" s="656" t="s">
        <v>13051</v>
      </c>
      <c r="X594" s="656" t="s">
        <v>498</v>
      </c>
      <c r="Y594" s="656" t="s">
        <v>14278</v>
      </c>
      <c r="Z594" s="656">
        <v>44305.524317129632</v>
      </c>
      <c r="AA594" s="656" t="s">
        <v>14335</v>
      </c>
      <c r="AB594" s="656"/>
    </row>
    <row r="595" spans="1:28">
      <c r="A595" s="656" t="s">
        <v>1286</v>
      </c>
      <c r="B595" s="656" t="s">
        <v>1287</v>
      </c>
      <c r="C595" s="656" t="s">
        <v>20</v>
      </c>
      <c r="D595" s="656" t="s">
        <v>12161</v>
      </c>
      <c r="E595" s="656" t="s">
        <v>14275</v>
      </c>
      <c r="F595" s="1447">
        <v>43766</v>
      </c>
      <c r="G595" s="656" t="s">
        <v>12160</v>
      </c>
      <c r="H595" s="656" t="s">
        <v>1777</v>
      </c>
      <c r="I595" s="656"/>
      <c r="J595" s="656"/>
      <c r="K595" s="656"/>
      <c r="L595" s="656" t="s">
        <v>12161</v>
      </c>
      <c r="M595" s="656" t="s">
        <v>16318</v>
      </c>
      <c r="N595" s="656"/>
      <c r="O595" s="656" t="s">
        <v>6395</v>
      </c>
      <c r="P595" s="5"/>
      <c r="Q595" s="1447">
        <v>43384</v>
      </c>
      <c r="R595" s="656"/>
      <c r="S595" s="656" t="s">
        <v>3756</v>
      </c>
      <c r="T595" s="656" t="s">
        <v>3756</v>
      </c>
      <c r="U595" s="656"/>
      <c r="V595" s="656"/>
      <c r="W595" s="656" t="s">
        <v>13051</v>
      </c>
      <c r="X595" s="656" t="s">
        <v>498</v>
      </c>
      <c r="Y595" s="656" t="s">
        <v>14278</v>
      </c>
      <c r="Z595" s="656">
        <v>44305.524328703701</v>
      </c>
      <c r="AA595" s="656" t="s">
        <v>14335</v>
      </c>
      <c r="AB595" s="656"/>
    </row>
    <row r="596" spans="1:28">
      <c r="A596" s="656" t="s">
        <v>1303</v>
      </c>
      <c r="B596" s="656" t="s">
        <v>1304</v>
      </c>
      <c r="C596" s="656" t="s">
        <v>20</v>
      </c>
      <c r="D596" s="656" t="s">
        <v>12144</v>
      </c>
      <c r="E596" s="656" t="s">
        <v>14275</v>
      </c>
      <c r="F596" s="1447">
        <v>43557</v>
      </c>
      <c r="G596" s="656" t="s">
        <v>12143</v>
      </c>
      <c r="H596" s="656" t="s">
        <v>1777</v>
      </c>
      <c r="I596" s="656"/>
      <c r="J596" s="656"/>
      <c r="K596" s="656"/>
      <c r="L596" s="656" t="s">
        <v>12144</v>
      </c>
      <c r="M596" s="656" t="s">
        <v>16196</v>
      </c>
      <c r="N596" s="656"/>
      <c r="O596" s="656" t="s">
        <v>6395</v>
      </c>
      <c r="P596" s="5"/>
      <c r="Q596" s="1447">
        <v>43369</v>
      </c>
      <c r="R596" s="656"/>
      <c r="S596" s="656" t="s">
        <v>3756</v>
      </c>
      <c r="T596" s="656"/>
      <c r="U596" s="656" t="s">
        <v>3756</v>
      </c>
      <c r="V596" s="656"/>
      <c r="W596" s="656" t="s">
        <v>13051</v>
      </c>
      <c r="X596" s="656" t="s">
        <v>498</v>
      </c>
      <c r="Y596" s="656" t="s">
        <v>14278</v>
      </c>
      <c r="Z596" s="656">
        <v>44305.524305555555</v>
      </c>
      <c r="AA596" s="656" t="s">
        <v>14335</v>
      </c>
      <c r="AB596" s="656"/>
    </row>
    <row r="597" spans="1:28">
      <c r="A597" s="656" t="s">
        <v>8895</v>
      </c>
      <c r="B597" s="656" t="s">
        <v>8894</v>
      </c>
      <c r="C597" s="656" t="s">
        <v>21</v>
      </c>
      <c r="D597" s="656" t="s">
        <v>10192</v>
      </c>
      <c r="E597" s="656" t="s">
        <v>14279</v>
      </c>
      <c r="F597" s="1447"/>
      <c r="G597" s="656" t="s">
        <v>10191</v>
      </c>
      <c r="H597" s="656" t="s">
        <v>1777</v>
      </c>
      <c r="I597" s="656" t="s">
        <v>14451</v>
      </c>
      <c r="J597" s="656" t="s">
        <v>10192</v>
      </c>
      <c r="K597" s="656" t="s">
        <v>9774</v>
      </c>
      <c r="L597" s="656"/>
      <c r="M597" s="656" t="s">
        <v>16324</v>
      </c>
      <c r="N597" s="656"/>
      <c r="O597" s="656" t="s">
        <v>6421</v>
      </c>
      <c r="P597" s="5"/>
      <c r="Q597" s="1447">
        <v>43867</v>
      </c>
      <c r="R597" s="656"/>
      <c r="S597" s="656" t="s">
        <v>462</v>
      </c>
      <c r="T597" s="656"/>
      <c r="U597" s="656"/>
      <c r="V597" s="656"/>
      <c r="W597" s="656" t="s">
        <v>13051</v>
      </c>
      <c r="X597" s="656" t="s">
        <v>498</v>
      </c>
      <c r="Y597" s="656" t="s">
        <v>14278</v>
      </c>
      <c r="Z597" s="656">
        <v>44305.524305555555</v>
      </c>
      <c r="AA597" s="656" t="s">
        <v>14335</v>
      </c>
      <c r="AB597" s="656"/>
    </row>
    <row r="598" spans="1:28">
      <c r="A598" s="656" t="s">
        <v>8895</v>
      </c>
      <c r="B598" s="656" t="s">
        <v>8894</v>
      </c>
      <c r="C598" s="656" t="s">
        <v>21</v>
      </c>
      <c r="D598" s="656" t="s">
        <v>10194</v>
      </c>
      <c r="E598" s="656" t="s">
        <v>14279</v>
      </c>
      <c r="F598" s="1447"/>
      <c r="G598" s="656" t="s">
        <v>10193</v>
      </c>
      <c r="H598" s="656" t="s">
        <v>1777</v>
      </c>
      <c r="I598" s="656" t="s">
        <v>14451</v>
      </c>
      <c r="J598" s="656" t="s">
        <v>10194</v>
      </c>
      <c r="K598" s="656" t="s">
        <v>9774</v>
      </c>
      <c r="L598" s="656"/>
      <c r="M598" s="656" t="s">
        <v>16321</v>
      </c>
      <c r="N598" s="656"/>
      <c r="O598" s="656" t="s">
        <v>6421</v>
      </c>
      <c r="P598" s="5"/>
      <c r="Q598" s="1447">
        <v>43867</v>
      </c>
      <c r="R598" s="656"/>
      <c r="S598" s="656" t="s">
        <v>462</v>
      </c>
      <c r="T598" s="656"/>
      <c r="U598" s="656"/>
      <c r="V598" s="656"/>
      <c r="W598" s="656" t="s">
        <v>13051</v>
      </c>
      <c r="X598" s="656" t="s">
        <v>498</v>
      </c>
      <c r="Y598" s="656" t="s">
        <v>14278</v>
      </c>
      <c r="Z598" s="656">
        <v>44305.524293981478</v>
      </c>
      <c r="AA598" s="656" t="s">
        <v>14335</v>
      </c>
      <c r="AB598" s="656"/>
    </row>
    <row r="599" spans="1:28">
      <c r="A599" s="656" t="s">
        <v>8895</v>
      </c>
      <c r="B599" s="656" t="s">
        <v>8894</v>
      </c>
      <c r="C599" s="656" t="s">
        <v>20</v>
      </c>
      <c r="D599" s="656" t="s">
        <v>10161</v>
      </c>
      <c r="E599" s="656" t="s">
        <v>14279</v>
      </c>
      <c r="F599" s="1447"/>
      <c r="G599" s="656" t="s">
        <v>10160</v>
      </c>
      <c r="H599" s="656" t="s">
        <v>1777</v>
      </c>
      <c r="I599" s="656"/>
      <c r="J599" s="656"/>
      <c r="K599" s="656"/>
      <c r="L599" s="656" t="s">
        <v>10161</v>
      </c>
      <c r="M599" s="656" t="s">
        <v>16200</v>
      </c>
      <c r="N599" s="656"/>
      <c r="O599" s="656" t="s">
        <v>6387</v>
      </c>
      <c r="P599" s="5"/>
      <c r="Q599" s="1447">
        <v>43819</v>
      </c>
      <c r="R599" s="656"/>
      <c r="S599" s="656" t="s">
        <v>462</v>
      </c>
      <c r="T599" s="656"/>
      <c r="U599" s="656"/>
      <c r="V599" s="656"/>
      <c r="W599" s="656" t="s">
        <v>13051</v>
      </c>
      <c r="X599" s="656" t="s">
        <v>498</v>
      </c>
      <c r="Y599" s="656" t="s">
        <v>14278</v>
      </c>
      <c r="Z599" s="656">
        <v>44305.524305555555</v>
      </c>
      <c r="AA599" s="656" t="s">
        <v>14335</v>
      </c>
      <c r="AB599" s="656"/>
    </row>
    <row r="600" spans="1:28" ht="29">
      <c r="A600" s="656" t="s">
        <v>1308</v>
      </c>
      <c r="B600" s="656" t="s">
        <v>1309</v>
      </c>
      <c r="C600" s="656" t="s">
        <v>20</v>
      </c>
      <c r="D600" s="656" t="s">
        <v>12251</v>
      </c>
      <c r="E600" s="656" t="s">
        <v>14275</v>
      </c>
      <c r="F600" s="1447">
        <v>43640</v>
      </c>
      <c r="G600" s="656" t="s">
        <v>12250</v>
      </c>
      <c r="H600" s="656" t="s">
        <v>1777</v>
      </c>
      <c r="I600" s="656"/>
      <c r="J600" s="656"/>
      <c r="K600" s="656"/>
      <c r="L600" s="656" t="s">
        <v>12251</v>
      </c>
      <c r="M600" s="656" t="s">
        <v>16262</v>
      </c>
      <c r="N600" s="656"/>
      <c r="O600" s="656" t="s">
        <v>6387</v>
      </c>
      <c r="P600" s="5" t="s">
        <v>14452</v>
      </c>
      <c r="Q600" s="1447">
        <v>43629</v>
      </c>
      <c r="R600" s="656"/>
      <c r="S600" s="656" t="s">
        <v>462</v>
      </c>
      <c r="T600" s="656"/>
      <c r="U600" s="656"/>
      <c r="V600" s="656"/>
      <c r="W600" s="656" t="s">
        <v>13051</v>
      </c>
      <c r="X600" s="656" t="s">
        <v>498</v>
      </c>
      <c r="Y600" s="656" t="s">
        <v>14278</v>
      </c>
      <c r="Z600" s="656">
        <v>44305.524282407408</v>
      </c>
      <c r="AA600" s="656" t="s">
        <v>14335</v>
      </c>
      <c r="AB600" s="656"/>
    </row>
    <row r="601" spans="1:28">
      <c r="A601" s="656" t="s">
        <v>1308</v>
      </c>
      <c r="B601" s="656" t="s">
        <v>1309</v>
      </c>
      <c r="C601" s="656" t="s">
        <v>20</v>
      </c>
      <c r="D601" s="656" t="s">
        <v>12253</v>
      </c>
      <c r="E601" s="656" t="s">
        <v>14275</v>
      </c>
      <c r="F601" s="1447">
        <v>43819</v>
      </c>
      <c r="G601" s="656" t="s">
        <v>12250</v>
      </c>
      <c r="H601" s="656" t="s">
        <v>1777</v>
      </c>
      <c r="I601" s="656"/>
      <c r="J601" s="656"/>
      <c r="K601" s="656"/>
      <c r="L601" s="656" t="s">
        <v>12253</v>
      </c>
      <c r="M601" s="656" t="s">
        <v>16200</v>
      </c>
      <c r="N601" s="656"/>
      <c r="O601" s="656" t="s">
        <v>6387</v>
      </c>
      <c r="P601" s="5"/>
      <c r="Q601" s="1447">
        <v>43641</v>
      </c>
      <c r="R601" s="656"/>
      <c r="S601" s="656" t="s">
        <v>462</v>
      </c>
      <c r="T601" s="656"/>
      <c r="U601" s="656"/>
      <c r="V601" s="656"/>
      <c r="W601" s="656" t="s">
        <v>13051</v>
      </c>
      <c r="X601" s="656" t="s">
        <v>498</v>
      </c>
      <c r="Y601" s="656" t="s">
        <v>14278</v>
      </c>
      <c r="Z601" s="656">
        <v>44305.524293981478</v>
      </c>
      <c r="AA601" s="656" t="s">
        <v>14335</v>
      </c>
      <c r="AB601" s="656"/>
    </row>
    <row r="602" spans="1:28">
      <c r="A602" s="656" t="s">
        <v>1334</v>
      </c>
      <c r="B602" s="656" t="s">
        <v>15385</v>
      </c>
      <c r="C602" s="656" t="s">
        <v>20</v>
      </c>
      <c r="D602" s="656" t="s">
        <v>15386</v>
      </c>
      <c r="E602" s="656" t="s">
        <v>14275</v>
      </c>
      <c r="F602" s="1447">
        <v>44188</v>
      </c>
      <c r="G602" s="656" t="s">
        <v>15387</v>
      </c>
      <c r="H602" s="656" t="s">
        <v>1777</v>
      </c>
      <c r="I602" s="656"/>
      <c r="J602" s="656"/>
      <c r="K602" s="656"/>
      <c r="L602" s="656" t="s">
        <v>15386</v>
      </c>
      <c r="M602" s="656" t="s">
        <v>16196</v>
      </c>
      <c r="N602" s="656"/>
      <c r="O602" s="656" t="s">
        <v>6395</v>
      </c>
      <c r="P602" s="5"/>
      <c r="Q602" s="1447">
        <v>43353</v>
      </c>
      <c r="R602" s="656"/>
      <c r="S602" s="656" t="s">
        <v>3756</v>
      </c>
      <c r="T602" s="656"/>
      <c r="U602" s="656" t="s">
        <v>3756</v>
      </c>
      <c r="V602" s="656"/>
      <c r="W602" s="656" t="s">
        <v>13051</v>
      </c>
      <c r="X602" s="656" t="s">
        <v>498</v>
      </c>
      <c r="Y602" s="656" t="s">
        <v>14278</v>
      </c>
      <c r="Z602" s="656">
        <v>44305.524282407408</v>
      </c>
      <c r="AA602" s="656" t="s">
        <v>14335</v>
      </c>
      <c r="AB602" s="656"/>
    </row>
    <row r="603" spans="1:28">
      <c r="A603" s="656" t="s">
        <v>1339</v>
      </c>
      <c r="B603" s="656" t="s">
        <v>1340</v>
      </c>
      <c r="C603" s="656" t="s">
        <v>20</v>
      </c>
      <c r="D603" s="656" t="s">
        <v>12153</v>
      </c>
      <c r="E603" s="656" t="s">
        <v>14275</v>
      </c>
      <c r="F603" s="1447">
        <v>43818</v>
      </c>
      <c r="G603" s="656" t="s">
        <v>12152</v>
      </c>
      <c r="H603" s="656" t="s">
        <v>1777</v>
      </c>
      <c r="I603" s="656"/>
      <c r="J603" s="656"/>
      <c r="K603" s="656"/>
      <c r="L603" s="656" t="s">
        <v>12153</v>
      </c>
      <c r="M603" s="656" t="s">
        <v>16321</v>
      </c>
      <c r="N603" s="656"/>
      <c r="O603" s="656" t="s">
        <v>6387</v>
      </c>
      <c r="P603" s="5"/>
      <c r="Q603" s="1447">
        <v>43378</v>
      </c>
      <c r="R603" s="656"/>
      <c r="S603" s="656" t="s">
        <v>1300</v>
      </c>
      <c r="T603" s="656"/>
      <c r="U603" s="656"/>
      <c r="V603" s="656"/>
      <c r="W603" s="656" t="s">
        <v>13051</v>
      </c>
      <c r="X603" s="656" t="s">
        <v>498</v>
      </c>
      <c r="Y603" s="656" t="s">
        <v>14278</v>
      </c>
      <c r="Z603" s="656">
        <v>44305.524270833332</v>
      </c>
      <c r="AA603" s="656" t="s">
        <v>14335</v>
      </c>
      <c r="AB603" s="656"/>
    </row>
    <row r="604" spans="1:28">
      <c r="A604" s="656" t="s">
        <v>1349</v>
      </c>
      <c r="B604" s="656" t="s">
        <v>1350</v>
      </c>
      <c r="C604" s="656" t="s">
        <v>20</v>
      </c>
      <c r="D604" s="656" t="s">
        <v>12157</v>
      </c>
      <c r="E604" s="656" t="s">
        <v>14275</v>
      </c>
      <c r="F604" s="1447">
        <v>43871</v>
      </c>
      <c r="G604" s="656" t="s">
        <v>12156</v>
      </c>
      <c r="H604" s="656" t="s">
        <v>1777</v>
      </c>
      <c r="I604" s="656"/>
      <c r="J604" s="656"/>
      <c r="K604" s="656"/>
      <c r="L604" s="656" t="s">
        <v>12157</v>
      </c>
      <c r="M604" s="656" t="s">
        <v>16319</v>
      </c>
      <c r="N604" s="656"/>
      <c r="O604" s="656" t="s">
        <v>6387</v>
      </c>
      <c r="P604" s="5"/>
      <c r="Q604" s="1447">
        <v>43383</v>
      </c>
      <c r="R604" s="656"/>
      <c r="S604" s="656" t="s">
        <v>1050</v>
      </c>
      <c r="T604" s="656" t="s">
        <v>1050</v>
      </c>
      <c r="U604" s="656"/>
      <c r="V604" s="656"/>
      <c r="W604" s="656" t="s">
        <v>13051</v>
      </c>
      <c r="X604" s="656" t="s">
        <v>498</v>
      </c>
      <c r="Y604" s="656" t="s">
        <v>14278</v>
      </c>
      <c r="Z604" s="656">
        <v>44305.524270833332</v>
      </c>
      <c r="AA604" s="656" t="s">
        <v>14335</v>
      </c>
      <c r="AB604" s="656"/>
    </row>
    <row r="605" spans="1:28">
      <c r="A605" s="656" t="s">
        <v>1355</v>
      </c>
      <c r="B605" s="656" t="s">
        <v>1356</v>
      </c>
      <c r="C605" s="656" t="s">
        <v>20</v>
      </c>
      <c r="D605" s="656" t="s">
        <v>12128</v>
      </c>
      <c r="E605" s="656" t="s">
        <v>14275</v>
      </c>
      <c r="F605" s="1447">
        <v>43888</v>
      </c>
      <c r="G605" s="656" t="s">
        <v>12127</v>
      </c>
      <c r="H605" s="656" t="s">
        <v>1777</v>
      </c>
      <c r="I605" s="656"/>
      <c r="J605" s="656"/>
      <c r="K605" s="656"/>
      <c r="L605" s="656" t="s">
        <v>12128</v>
      </c>
      <c r="M605" s="656" t="s">
        <v>16196</v>
      </c>
      <c r="N605" s="656"/>
      <c r="O605" s="656" t="s">
        <v>6395</v>
      </c>
      <c r="P605" s="5"/>
      <c r="Q605" s="1447">
        <v>43328</v>
      </c>
      <c r="R605" s="656"/>
      <c r="S605" s="656" t="s">
        <v>3756</v>
      </c>
      <c r="T605" s="656"/>
      <c r="U605" s="656"/>
      <c r="V605" s="656"/>
      <c r="W605" s="656" t="s">
        <v>13051</v>
      </c>
      <c r="X605" s="656" t="s">
        <v>498</v>
      </c>
      <c r="Y605" s="656" t="s">
        <v>14278</v>
      </c>
      <c r="Z605" s="656">
        <v>44305.524259259262</v>
      </c>
      <c r="AA605" s="656" t="s">
        <v>14335</v>
      </c>
      <c r="AB605" s="656"/>
    </row>
    <row r="606" spans="1:28">
      <c r="A606" s="656" t="s">
        <v>1370</v>
      </c>
      <c r="B606" s="656" t="s">
        <v>1371</v>
      </c>
      <c r="C606" s="656" t="s">
        <v>21</v>
      </c>
      <c r="D606" s="656" t="s">
        <v>9986</v>
      </c>
      <c r="E606" s="656" t="s">
        <v>14313</v>
      </c>
      <c r="F606" s="1447"/>
      <c r="G606" s="656" t="s">
        <v>9985</v>
      </c>
      <c r="H606" s="656" t="s">
        <v>1777</v>
      </c>
      <c r="I606" s="656" t="s">
        <v>14453</v>
      </c>
      <c r="J606" s="656" t="s">
        <v>9986</v>
      </c>
      <c r="K606" s="656" t="s">
        <v>9774</v>
      </c>
      <c r="L606" s="656"/>
      <c r="M606" s="656" t="s">
        <v>16196</v>
      </c>
      <c r="N606" s="656"/>
      <c r="O606" s="656" t="s">
        <v>6395</v>
      </c>
      <c r="P606" s="5"/>
      <c r="Q606" s="1447">
        <v>43616</v>
      </c>
      <c r="R606" s="656">
        <v>44076</v>
      </c>
      <c r="S606" s="656" t="s">
        <v>469</v>
      </c>
      <c r="T606" s="656"/>
      <c r="U606" s="656"/>
      <c r="V606" s="656"/>
      <c r="W606" s="656" t="s">
        <v>13051</v>
      </c>
      <c r="X606" s="656" t="s">
        <v>498</v>
      </c>
      <c r="Y606" s="656" t="s">
        <v>14278</v>
      </c>
      <c r="Z606" s="656">
        <v>44305.524224537039</v>
      </c>
      <c r="AA606" s="656" t="s">
        <v>14335</v>
      </c>
      <c r="AB606" s="656"/>
    </row>
    <row r="607" spans="1:28">
      <c r="A607" s="656" t="s">
        <v>1370</v>
      </c>
      <c r="B607" s="656" t="s">
        <v>1371</v>
      </c>
      <c r="C607" s="656" t="s">
        <v>20</v>
      </c>
      <c r="D607" s="656" t="s">
        <v>9987</v>
      </c>
      <c r="E607" s="656" t="s">
        <v>14279</v>
      </c>
      <c r="F607" s="1447"/>
      <c r="G607" s="656" t="s">
        <v>9985</v>
      </c>
      <c r="H607" s="656" t="s">
        <v>1777</v>
      </c>
      <c r="I607" s="656"/>
      <c r="J607" s="656"/>
      <c r="K607" s="656"/>
      <c r="L607" s="656" t="s">
        <v>9987</v>
      </c>
      <c r="M607" s="656" t="s">
        <v>16368</v>
      </c>
      <c r="N607" s="656"/>
      <c r="O607" s="656" t="s">
        <v>6395</v>
      </c>
      <c r="P607" s="5"/>
      <c r="Q607" s="1447">
        <v>43619</v>
      </c>
      <c r="R607" s="656"/>
      <c r="S607" s="656" t="s">
        <v>469</v>
      </c>
      <c r="T607" s="656"/>
      <c r="U607" s="656"/>
      <c r="V607" s="656"/>
      <c r="W607" s="656" t="s">
        <v>13051</v>
      </c>
      <c r="X607" s="656" t="s">
        <v>498</v>
      </c>
      <c r="Y607" s="656" t="s">
        <v>14278</v>
      </c>
      <c r="Z607" s="656">
        <v>44305.524236111109</v>
      </c>
      <c r="AA607" s="656" t="s">
        <v>14335</v>
      </c>
      <c r="AB607" s="656"/>
    </row>
    <row r="608" spans="1:28">
      <c r="A608" s="656" t="s">
        <v>1370</v>
      </c>
      <c r="B608" s="656" t="s">
        <v>1371</v>
      </c>
      <c r="C608" s="656" t="s">
        <v>20</v>
      </c>
      <c r="D608" s="656" t="s">
        <v>10008</v>
      </c>
      <c r="E608" s="656" t="s">
        <v>14279</v>
      </c>
      <c r="F608" s="1447"/>
      <c r="G608" s="656" t="s">
        <v>9985</v>
      </c>
      <c r="H608" s="656" t="s">
        <v>1777</v>
      </c>
      <c r="I608" s="656"/>
      <c r="J608" s="656"/>
      <c r="K608" s="656"/>
      <c r="L608" s="656" t="s">
        <v>10008</v>
      </c>
      <c r="M608" s="656" t="s">
        <v>9450</v>
      </c>
      <c r="N608" s="656" t="s">
        <v>9892</v>
      </c>
      <c r="O608" s="656" t="s">
        <v>6395</v>
      </c>
      <c r="P608" s="5" t="s">
        <v>14454</v>
      </c>
      <c r="Q608" s="1447">
        <v>43656</v>
      </c>
      <c r="R608" s="656"/>
      <c r="S608" s="656" t="s">
        <v>469</v>
      </c>
      <c r="T608" s="656"/>
      <c r="U608" s="656"/>
      <c r="V608" s="656"/>
      <c r="W608" s="656" t="s">
        <v>13051</v>
      </c>
      <c r="X608" s="656" t="s">
        <v>498</v>
      </c>
      <c r="Y608" s="656" t="s">
        <v>14278</v>
      </c>
      <c r="Z608" s="656">
        <v>44305.524236111109</v>
      </c>
      <c r="AA608" s="656" t="s">
        <v>14335</v>
      </c>
      <c r="AB608" s="656"/>
    </row>
    <row r="609" spans="1:28">
      <c r="A609" s="656" t="s">
        <v>1370</v>
      </c>
      <c r="B609" s="656" t="s">
        <v>1371</v>
      </c>
      <c r="C609" s="656" t="s">
        <v>20</v>
      </c>
      <c r="D609" s="656" t="s">
        <v>10009</v>
      </c>
      <c r="E609" s="656" t="s">
        <v>14279</v>
      </c>
      <c r="F609" s="1447"/>
      <c r="G609" s="656" t="s">
        <v>9985</v>
      </c>
      <c r="H609" s="656" t="s">
        <v>1777</v>
      </c>
      <c r="I609" s="656"/>
      <c r="J609" s="656"/>
      <c r="K609" s="656"/>
      <c r="L609" s="656" t="s">
        <v>10009</v>
      </c>
      <c r="M609" s="656" t="s">
        <v>9450</v>
      </c>
      <c r="N609" s="656" t="s">
        <v>9892</v>
      </c>
      <c r="O609" s="656" t="s">
        <v>6395</v>
      </c>
      <c r="P609" s="5" t="s">
        <v>15437</v>
      </c>
      <c r="Q609" s="1447">
        <v>43656</v>
      </c>
      <c r="R609" s="656"/>
      <c r="S609" s="656" t="s">
        <v>469</v>
      </c>
      <c r="T609" s="656"/>
      <c r="U609" s="656"/>
      <c r="V609" s="656"/>
      <c r="W609" s="656" t="s">
        <v>13051</v>
      </c>
      <c r="X609" s="656" t="s">
        <v>498</v>
      </c>
      <c r="Y609" s="656" t="s">
        <v>14278</v>
      </c>
      <c r="Z609" s="656">
        <v>44305.524247685185</v>
      </c>
      <c r="AA609" s="656" t="s">
        <v>14335</v>
      </c>
      <c r="AB609" s="656"/>
    </row>
    <row r="610" spans="1:28">
      <c r="A610" s="656" t="s">
        <v>1370</v>
      </c>
      <c r="B610" s="656" t="s">
        <v>1371</v>
      </c>
      <c r="C610" s="656" t="s">
        <v>20</v>
      </c>
      <c r="D610" s="656" t="s">
        <v>10023</v>
      </c>
      <c r="E610" s="656" t="s">
        <v>14279</v>
      </c>
      <c r="F610" s="1447"/>
      <c r="G610" s="656" t="s">
        <v>9985</v>
      </c>
      <c r="H610" s="656" t="s">
        <v>1777</v>
      </c>
      <c r="I610" s="656"/>
      <c r="J610" s="656"/>
      <c r="K610" s="656"/>
      <c r="L610" s="656" t="s">
        <v>10023</v>
      </c>
      <c r="M610" s="656" t="s">
        <v>16196</v>
      </c>
      <c r="N610" s="656"/>
      <c r="O610" s="656" t="s">
        <v>6395</v>
      </c>
      <c r="P610" s="5"/>
      <c r="Q610" s="1447">
        <v>43676</v>
      </c>
      <c r="R610" s="656"/>
      <c r="S610" s="656" t="s">
        <v>469</v>
      </c>
      <c r="T610" s="656"/>
      <c r="U610" s="656"/>
      <c r="V610" s="656"/>
      <c r="W610" s="656" t="s">
        <v>13051</v>
      </c>
      <c r="X610" s="656" t="s">
        <v>498</v>
      </c>
      <c r="Y610" s="656" t="s">
        <v>14278</v>
      </c>
      <c r="Z610" s="656">
        <v>44305.524259259262</v>
      </c>
      <c r="AA610" s="656" t="s">
        <v>14335</v>
      </c>
      <c r="AB610" s="656"/>
    </row>
    <row r="611" spans="1:28">
      <c r="A611" s="656" t="s">
        <v>1373</v>
      </c>
      <c r="B611" s="656" t="s">
        <v>1374</v>
      </c>
      <c r="C611" s="656" t="s">
        <v>21</v>
      </c>
      <c r="D611" s="656" t="s">
        <v>12168</v>
      </c>
      <c r="E611" s="656" t="s">
        <v>14275</v>
      </c>
      <c r="F611" s="1447">
        <v>43671</v>
      </c>
      <c r="G611" s="656" t="s">
        <v>12088</v>
      </c>
      <c r="H611" s="656" t="s">
        <v>1777</v>
      </c>
      <c r="I611" s="656" t="s">
        <v>14455</v>
      </c>
      <c r="J611" s="656" t="s">
        <v>12168</v>
      </c>
      <c r="K611" s="656" t="s">
        <v>9774</v>
      </c>
      <c r="L611" s="656"/>
      <c r="M611" s="656" t="s">
        <v>16368</v>
      </c>
      <c r="N611" s="656"/>
      <c r="O611" s="656" t="s">
        <v>6395</v>
      </c>
      <c r="P611" s="5" t="s">
        <v>14456</v>
      </c>
      <c r="Q611" s="1447">
        <v>43392</v>
      </c>
      <c r="R611" s="656">
        <v>43496</v>
      </c>
      <c r="S611" s="656" t="s">
        <v>1394</v>
      </c>
      <c r="T611" s="656"/>
      <c r="U611" s="656"/>
      <c r="V611" s="656"/>
      <c r="W611" s="656" t="s">
        <v>13051</v>
      </c>
      <c r="X611" s="656" t="s">
        <v>498</v>
      </c>
      <c r="Y611" s="656" t="s">
        <v>14278</v>
      </c>
      <c r="Z611" s="656">
        <v>44305.524224537039</v>
      </c>
      <c r="AA611" s="656" t="s">
        <v>14335</v>
      </c>
      <c r="AB611" s="656"/>
    </row>
    <row r="612" spans="1:28">
      <c r="A612" s="656" t="s">
        <v>1373</v>
      </c>
      <c r="B612" s="656" t="s">
        <v>1374</v>
      </c>
      <c r="C612" s="656" t="s">
        <v>20</v>
      </c>
      <c r="D612" s="656" t="s">
        <v>12089</v>
      </c>
      <c r="E612" s="656" t="s">
        <v>14275</v>
      </c>
      <c r="F612" s="1447">
        <v>43670</v>
      </c>
      <c r="G612" s="656" t="s">
        <v>12088</v>
      </c>
      <c r="H612" s="656" t="s">
        <v>1777</v>
      </c>
      <c r="I612" s="656"/>
      <c r="J612" s="656"/>
      <c r="K612" s="656"/>
      <c r="L612" s="656" t="s">
        <v>12089</v>
      </c>
      <c r="M612" s="656" t="s">
        <v>16368</v>
      </c>
      <c r="N612" s="656"/>
      <c r="O612" s="656" t="s">
        <v>6395</v>
      </c>
      <c r="P612" s="5"/>
      <c r="Q612" s="1447">
        <v>43312</v>
      </c>
      <c r="R612" s="656"/>
      <c r="S612" s="656" t="s">
        <v>1394</v>
      </c>
      <c r="T612" s="656"/>
      <c r="U612" s="656"/>
      <c r="V612" s="656"/>
      <c r="W612" s="656" t="s">
        <v>13051</v>
      </c>
      <c r="X612" s="656" t="s">
        <v>498</v>
      </c>
      <c r="Y612" s="656" t="s">
        <v>14278</v>
      </c>
      <c r="Z612" s="656">
        <v>44305.524224537039</v>
      </c>
      <c r="AA612" s="656" t="s">
        <v>14335</v>
      </c>
      <c r="AB612" s="656"/>
    </row>
    <row r="613" spans="1:28">
      <c r="A613" s="656" t="s">
        <v>1377</v>
      </c>
      <c r="B613" s="656" t="s">
        <v>1378</v>
      </c>
      <c r="C613" s="656" t="s">
        <v>21</v>
      </c>
      <c r="D613" s="656" t="s">
        <v>12180</v>
      </c>
      <c r="E613" s="656" t="s">
        <v>14275</v>
      </c>
      <c r="F613" s="1447">
        <v>43671</v>
      </c>
      <c r="G613" s="656" t="s">
        <v>12179</v>
      </c>
      <c r="H613" s="656" t="s">
        <v>1777</v>
      </c>
      <c r="I613" s="656" t="s">
        <v>14457</v>
      </c>
      <c r="J613" s="656" t="s">
        <v>12180</v>
      </c>
      <c r="K613" s="656" t="s">
        <v>9774</v>
      </c>
      <c r="L613" s="656"/>
      <c r="M613" s="656" t="s">
        <v>16196</v>
      </c>
      <c r="N613" s="656"/>
      <c r="O613" s="656" t="s">
        <v>6395</v>
      </c>
      <c r="P613" s="5"/>
      <c r="Q613" s="1447">
        <v>43392</v>
      </c>
      <c r="R613" s="656">
        <v>43581</v>
      </c>
      <c r="S613" s="656" t="s">
        <v>1949</v>
      </c>
      <c r="T613" s="656"/>
      <c r="U613" s="656" t="s">
        <v>1949</v>
      </c>
      <c r="V613" s="656"/>
      <c r="W613" s="656" t="s">
        <v>13051</v>
      </c>
      <c r="X613" s="656" t="s">
        <v>498</v>
      </c>
      <c r="Y613" s="656" t="s">
        <v>14278</v>
      </c>
      <c r="Z613" s="656">
        <v>44305.524201388886</v>
      </c>
      <c r="AA613" s="656" t="s">
        <v>14335</v>
      </c>
      <c r="AB613" s="656"/>
    </row>
    <row r="614" spans="1:28">
      <c r="A614" s="656" t="s">
        <v>1377</v>
      </c>
      <c r="B614" s="656" t="s">
        <v>12118</v>
      </c>
      <c r="C614" s="656" t="s">
        <v>20</v>
      </c>
      <c r="D614" s="656" t="s">
        <v>12120</v>
      </c>
      <c r="E614" s="656" t="s">
        <v>14275</v>
      </c>
      <c r="F614" s="1447">
        <v>43689</v>
      </c>
      <c r="G614" s="656" t="s">
        <v>12119</v>
      </c>
      <c r="H614" s="656" t="s">
        <v>1777</v>
      </c>
      <c r="I614" s="656"/>
      <c r="J614" s="656"/>
      <c r="K614" s="656"/>
      <c r="L614" s="656" t="s">
        <v>12120</v>
      </c>
      <c r="M614" s="656" t="s">
        <v>16196</v>
      </c>
      <c r="N614" s="656"/>
      <c r="O614" s="656" t="s">
        <v>6395</v>
      </c>
      <c r="P614" s="5"/>
      <c r="Q614" s="1447">
        <v>43327</v>
      </c>
      <c r="R614" s="656"/>
      <c r="S614" s="656" t="s">
        <v>1949</v>
      </c>
      <c r="T614" s="656"/>
      <c r="U614" s="656"/>
      <c r="V614" s="656"/>
      <c r="W614" s="656" t="s">
        <v>13051</v>
      </c>
      <c r="X614" s="656" t="s">
        <v>498</v>
      </c>
      <c r="Y614" s="656" t="s">
        <v>14278</v>
      </c>
      <c r="Z614" s="656">
        <v>44305.524201388886</v>
      </c>
      <c r="AA614" s="656" t="s">
        <v>14335</v>
      </c>
      <c r="AB614" s="656"/>
    </row>
    <row r="615" spans="1:28">
      <c r="A615" s="656" t="s">
        <v>1377</v>
      </c>
      <c r="B615" s="656" t="s">
        <v>1378</v>
      </c>
      <c r="C615" s="656" t="s">
        <v>20</v>
      </c>
      <c r="D615" s="656" t="s">
        <v>12195</v>
      </c>
      <c r="E615" s="656" t="s">
        <v>14275</v>
      </c>
      <c r="F615" s="1447">
        <v>43689</v>
      </c>
      <c r="G615" s="656" t="s">
        <v>12179</v>
      </c>
      <c r="H615" s="656" t="s">
        <v>1777</v>
      </c>
      <c r="I615" s="656"/>
      <c r="J615" s="656"/>
      <c r="K615" s="656"/>
      <c r="L615" s="656" t="s">
        <v>12195</v>
      </c>
      <c r="M615" s="656" t="s">
        <v>9450</v>
      </c>
      <c r="N615" s="656" t="s">
        <v>9892</v>
      </c>
      <c r="O615" s="656" t="s">
        <v>6395</v>
      </c>
      <c r="P615" s="5" t="s">
        <v>14409</v>
      </c>
      <c r="Q615" s="1447">
        <v>43403</v>
      </c>
      <c r="R615" s="656"/>
      <c r="S615" s="656" t="s">
        <v>1949</v>
      </c>
      <c r="T615" s="656"/>
      <c r="U615" s="656" t="s">
        <v>1949</v>
      </c>
      <c r="V615" s="656"/>
      <c r="W615" s="656" t="s">
        <v>13051</v>
      </c>
      <c r="X615" s="656" t="s">
        <v>498</v>
      </c>
      <c r="Y615" s="656" t="s">
        <v>14278</v>
      </c>
      <c r="Z615" s="656">
        <v>44305.524212962962</v>
      </c>
      <c r="AA615" s="656" t="s">
        <v>14335</v>
      </c>
      <c r="AB615" s="656"/>
    </row>
    <row r="616" spans="1:28">
      <c r="A616" s="656" t="s">
        <v>1377</v>
      </c>
      <c r="B616" s="656" t="s">
        <v>1378</v>
      </c>
      <c r="C616" s="656" t="s">
        <v>20</v>
      </c>
      <c r="D616" s="656" t="s">
        <v>12209</v>
      </c>
      <c r="E616" s="656" t="s">
        <v>14275</v>
      </c>
      <c r="F616" s="1447">
        <v>43689</v>
      </c>
      <c r="G616" s="656" t="s">
        <v>12179</v>
      </c>
      <c r="H616" s="656" t="s">
        <v>1777</v>
      </c>
      <c r="I616" s="656"/>
      <c r="J616" s="656"/>
      <c r="K616" s="656"/>
      <c r="L616" s="656" t="s">
        <v>12209</v>
      </c>
      <c r="M616" s="656" t="s">
        <v>9450</v>
      </c>
      <c r="N616" s="656" t="s">
        <v>9892</v>
      </c>
      <c r="O616" s="656" t="s">
        <v>6395</v>
      </c>
      <c r="P616" s="5" t="s">
        <v>14408</v>
      </c>
      <c r="Q616" s="1447">
        <v>43431</v>
      </c>
      <c r="R616" s="656"/>
      <c r="S616" s="656" t="s">
        <v>1949</v>
      </c>
      <c r="T616" s="656"/>
      <c r="U616" s="656"/>
      <c r="V616" s="656"/>
      <c r="W616" s="656" t="s">
        <v>13051</v>
      </c>
      <c r="X616" s="656" t="s">
        <v>498</v>
      </c>
      <c r="Y616" s="656" t="s">
        <v>14278</v>
      </c>
      <c r="Z616" s="656">
        <v>44305.524212962962</v>
      </c>
      <c r="AA616" s="656" t="s">
        <v>14335</v>
      </c>
      <c r="AB616" s="656"/>
    </row>
    <row r="617" spans="1:28">
      <c r="A617" s="656" t="s">
        <v>1379</v>
      </c>
      <c r="B617" s="656" t="s">
        <v>1380</v>
      </c>
      <c r="C617" s="656" t="s">
        <v>21</v>
      </c>
      <c r="D617" s="656" t="s">
        <v>12178</v>
      </c>
      <c r="E617" s="656" t="s">
        <v>14275</v>
      </c>
      <c r="F617" s="1447">
        <v>43788</v>
      </c>
      <c r="G617" s="656" t="s">
        <v>12177</v>
      </c>
      <c r="H617" s="656" t="s">
        <v>1777</v>
      </c>
      <c r="I617" s="656" t="s">
        <v>14457</v>
      </c>
      <c r="J617" s="656" t="s">
        <v>12178</v>
      </c>
      <c r="K617" s="656" t="s">
        <v>9774</v>
      </c>
      <c r="L617" s="656"/>
      <c r="M617" s="656" t="s">
        <v>16196</v>
      </c>
      <c r="N617" s="656"/>
      <c r="O617" s="656" t="s">
        <v>6395</v>
      </c>
      <c r="P617" s="5"/>
      <c r="Q617" s="1447">
        <v>43392</v>
      </c>
      <c r="R617" s="656">
        <v>43589</v>
      </c>
      <c r="S617" s="656" t="s">
        <v>1949</v>
      </c>
      <c r="T617" s="656"/>
      <c r="U617" s="656" t="s">
        <v>1949</v>
      </c>
      <c r="V617" s="656"/>
      <c r="W617" s="656" t="s">
        <v>13051</v>
      </c>
      <c r="X617" s="656" t="s">
        <v>498</v>
      </c>
      <c r="Y617" s="656" t="s">
        <v>14278</v>
      </c>
      <c r="Z617" s="656">
        <v>44305.524189814816</v>
      </c>
      <c r="AA617" s="656" t="s">
        <v>14335</v>
      </c>
      <c r="AB617" s="656"/>
    </row>
    <row r="618" spans="1:28">
      <c r="A618" s="656" t="s">
        <v>1379</v>
      </c>
      <c r="B618" s="656" t="s">
        <v>12129</v>
      </c>
      <c r="C618" s="656" t="s">
        <v>20</v>
      </c>
      <c r="D618" s="656" t="s">
        <v>12131</v>
      </c>
      <c r="E618" s="656" t="s">
        <v>14275</v>
      </c>
      <c r="F618" s="1447">
        <v>43943</v>
      </c>
      <c r="G618" s="656" t="s">
        <v>12130</v>
      </c>
      <c r="H618" s="656" t="s">
        <v>1777</v>
      </c>
      <c r="I618" s="656"/>
      <c r="J618" s="656"/>
      <c r="K618" s="656"/>
      <c r="L618" s="656" t="s">
        <v>12131</v>
      </c>
      <c r="M618" s="656" t="s">
        <v>16196</v>
      </c>
      <c r="N618" s="656"/>
      <c r="O618" s="656" t="s">
        <v>6395</v>
      </c>
      <c r="P618" s="5"/>
      <c r="Q618" s="1447">
        <v>43328</v>
      </c>
      <c r="R618" s="656"/>
      <c r="S618" s="656" t="s">
        <v>1949</v>
      </c>
      <c r="T618" s="656"/>
      <c r="U618" s="656"/>
      <c r="V618" s="656"/>
      <c r="W618" s="656" t="s">
        <v>13051</v>
      </c>
      <c r="X618" s="656" t="s">
        <v>498</v>
      </c>
      <c r="Y618" s="656" t="s">
        <v>14278</v>
      </c>
      <c r="Z618" s="656">
        <v>44305.524189814816</v>
      </c>
      <c r="AA618" s="656" t="s">
        <v>14335</v>
      </c>
      <c r="AB618" s="656"/>
    </row>
    <row r="619" spans="1:28">
      <c r="A619" s="656" t="s">
        <v>1381</v>
      </c>
      <c r="B619" s="656" t="s">
        <v>1382</v>
      </c>
      <c r="C619" s="656" t="s">
        <v>21</v>
      </c>
      <c r="D619" s="656" t="s">
        <v>12176</v>
      </c>
      <c r="E619" s="656" t="s">
        <v>14275</v>
      </c>
      <c r="F619" s="1447">
        <v>43956</v>
      </c>
      <c r="G619" s="656" t="s">
        <v>12175</v>
      </c>
      <c r="H619" s="656" t="s">
        <v>1777</v>
      </c>
      <c r="I619" s="656" t="s">
        <v>14457</v>
      </c>
      <c r="J619" s="656" t="s">
        <v>12176</v>
      </c>
      <c r="K619" s="656" t="s">
        <v>9774</v>
      </c>
      <c r="L619" s="656"/>
      <c r="M619" s="656" t="s">
        <v>16196</v>
      </c>
      <c r="N619" s="656"/>
      <c r="O619" s="656" t="s">
        <v>6395</v>
      </c>
      <c r="P619" s="5"/>
      <c r="Q619" s="1447">
        <v>43392</v>
      </c>
      <c r="R619" s="656">
        <v>43768</v>
      </c>
      <c r="S619" s="656" t="s">
        <v>1949</v>
      </c>
      <c r="T619" s="656"/>
      <c r="U619" s="656" t="s">
        <v>1949</v>
      </c>
      <c r="V619" s="656"/>
      <c r="W619" s="656" t="s">
        <v>13051</v>
      </c>
      <c r="X619" s="656" t="s">
        <v>498</v>
      </c>
      <c r="Y619" s="656" t="s">
        <v>14278</v>
      </c>
      <c r="Z619" s="656">
        <v>44305.524178240739</v>
      </c>
      <c r="AA619" s="656" t="s">
        <v>14335</v>
      </c>
      <c r="AB619" s="656"/>
    </row>
    <row r="620" spans="1:28">
      <c r="A620" s="656" t="s">
        <v>1381</v>
      </c>
      <c r="B620" s="656" t="s">
        <v>12121</v>
      </c>
      <c r="C620" s="656" t="s">
        <v>20</v>
      </c>
      <c r="D620" s="656" t="s">
        <v>12123</v>
      </c>
      <c r="E620" s="656" t="s">
        <v>14275</v>
      </c>
      <c r="F620" s="1447">
        <v>43955</v>
      </c>
      <c r="G620" s="656" t="s">
        <v>12122</v>
      </c>
      <c r="H620" s="656" t="s">
        <v>1777</v>
      </c>
      <c r="I620" s="656"/>
      <c r="J620" s="656"/>
      <c r="K620" s="656"/>
      <c r="L620" s="656" t="s">
        <v>12123</v>
      </c>
      <c r="M620" s="656" t="s">
        <v>16196</v>
      </c>
      <c r="N620" s="656"/>
      <c r="O620" s="656" t="s">
        <v>6395</v>
      </c>
      <c r="P620" s="5"/>
      <c r="Q620" s="1447">
        <v>43327</v>
      </c>
      <c r="R620" s="656"/>
      <c r="S620" s="656" t="s">
        <v>1949</v>
      </c>
      <c r="T620" s="656"/>
      <c r="U620" s="656"/>
      <c r="V620" s="656"/>
      <c r="W620" s="656" t="s">
        <v>13051</v>
      </c>
      <c r="X620" s="656" t="s">
        <v>498</v>
      </c>
      <c r="Y620" s="656" t="s">
        <v>14278</v>
      </c>
      <c r="Z620" s="656">
        <v>44305.524189814816</v>
      </c>
      <c r="AA620" s="656" t="s">
        <v>14335</v>
      </c>
      <c r="AB620" s="656"/>
    </row>
    <row r="621" spans="1:28">
      <c r="A621" s="656" t="s">
        <v>1383</v>
      </c>
      <c r="B621" s="656" t="s">
        <v>1384</v>
      </c>
      <c r="C621" s="656" t="s">
        <v>21</v>
      </c>
      <c r="D621" s="656" t="s">
        <v>12174</v>
      </c>
      <c r="E621" s="656" t="s">
        <v>14275</v>
      </c>
      <c r="F621" s="1447">
        <v>43966</v>
      </c>
      <c r="G621" s="656" t="s">
        <v>12173</v>
      </c>
      <c r="H621" s="656" t="s">
        <v>1777</v>
      </c>
      <c r="I621" s="656" t="s">
        <v>14457</v>
      </c>
      <c r="J621" s="656" t="s">
        <v>12174</v>
      </c>
      <c r="K621" s="656" t="s">
        <v>9774</v>
      </c>
      <c r="L621" s="656"/>
      <c r="M621" s="656" t="s">
        <v>16196</v>
      </c>
      <c r="N621" s="656"/>
      <c r="O621" s="656" t="s">
        <v>6395</v>
      </c>
      <c r="P621" s="5"/>
      <c r="Q621" s="1447">
        <v>43392</v>
      </c>
      <c r="R621" s="656">
        <v>43882</v>
      </c>
      <c r="S621" s="656" t="s">
        <v>1949</v>
      </c>
      <c r="T621" s="656"/>
      <c r="U621" s="656" t="s">
        <v>1949</v>
      </c>
      <c r="V621" s="656"/>
      <c r="W621" s="656" t="s">
        <v>13051</v>
      </c>
      <c r="X621" s="656" t="s">
        <v>498</v>
      </c>
      <c r="Y621" s="656" t="s">
        <v>14278</v>
      </c>
      <c r="Z621" s="656">
        <v>44305.52416666667</v>
      </c>
      <c r="AA621" s="656" t="s">
        <v>14335</v>
      </c>
      <c r="AB621" s="656"/>
    </row>
    <row r="622" spans="1:28">
      <c r="A622" s="656" t="s">
        <v>1383</v>
      </c>
      <c r="B622" s="656" t="s">
        <v>12124</v>
      </c>
      <c r="C622" s="656" t="s">
        <v>20</v>
      </c>
      <c r="D622" s="656" t="s">
        <v>12126</v>
      </c>
      <c r="E622" s="656" t="s">
        <v>14275</v>
      </c>
      <c r="F622" s="1447">
        <v>43964</v>
      </c>
      <c r="G622" s="656" t="s">
        <v>12125</v>
      </c>
      <c r="H622" s="656" t="s">
        <v>1777</v>
      </c>
      <c r="I622" s="656"/>
      <c r="J622" s="656"/>
      <c r="K622" s="656"/>
      <c r="L622" s="656" t="s">
        <v>12126</v>
      </c>
      <c r="M622" s="656" t="s">
        <v>16196</v>
      </c>
      <c r="N622" s="656"/>
      <c r="O622" s="656" t="s">
        <v>6395</v>
      </c>
      <c r="P622" s="5"/>
      <c r="Q622" s="1447">
        <v>43328</v>
      </c>
      <c r="R622" s="656"/>
      <c r="S622" s="656" t="s">
        <v>1949</v>
      </c>
      <c r="T622" s="656"/>
      <c r="U622" s="656"/>
      <c r="V622" s="656"/>
      <c r="W622" s="656" t="s">
        <v>13051</v>
      </c>
      <c r="X622" s="656" t="s">
        <v>498</v>
      </c>
      <c r="Y622" s="656" t="s">
        <v>14278</v>
      </c>
      <c r="Z622" s="656">
        <v>44305.52416666667</v>
      </c>
      <c r="AA622" s="656" t="s">
        <v>14335</v>
      </c>
      <c r="AB622" s="656"/>
    </row>
    <row r="623" spans="1:28">
      <c r="A623" s="656" t="s">
        <v>1385</v>
      </c>
      <c r="B623" s="656" t="s">
        <v>1386</v>
      </c>
      <c r="C623" s="656" t="s">
        <v>21</v>
      </c>
      <c r="D623" s="656" t="s">
        <v>12172</v>
      </c>
      <c r="E623" s="656" t="s">
        <v>14275</v>
      </c>
      <c r="F623" s="1447">
        <v>43956</v>
      </c>
      <c r="G623" s="656" t="s">
        <v>12162</v>
      </c>
      <c r="H623" s="656" t="s">
        <v>1777</v>
      </c>
      <c r="I623" s="656" t="s">
        <v>14457</v>
      </c>
      <c r="J623" s="656" t="s">
        <v>12172</v>
      </c>
      <c r="K623" s="656" t="s">
        <v>9774</v>
      </c>
      <c r="L623" s="656"/>
      <c r="M623" s="656" t="s">
        <v>16196</v>
      </c>
      <c r="N623" s="656"/>
      <c r="O623" s="656" t="s">
        <v>6395</v>
      </c>
      <c r="P623" s="5"/>
      <c r="Q623" s="1447">
        <v>43392</v>
      </c>
      <c r="R623" s="656">
        <v>43766</v>
      </c>
      <c r="S623" s="656" t="s">
        <v>1949</v>
      </c>
      <c r="T623" s="656"/>
      <c r="U623" s="656" t="s">
        <v>1949</v>
      </c>
      <c r="V623" s="656"/>
      <c r="W623" s="656" t="s">
        <v>13051</v>
      </c>
      <c r="X623" s="656" t="s">
        <v>498</v>
      </c>
      <c r="Y623" s="656" t="s">
        <v>14278</v>
      </c>
      <c r="Z623" s="656">
        <v>44305.524143518516</v>
      </c>
      <c r="AA623" s="656" t="s">
        <v>14335</v>
      </c>
      <c r="AB623" s="656"/>
    </row>
    <row r="624" spans="1:28">
      <c r="A624" s="656" t="s">
        <v>1385</v>
      </c>
      <c r="B624" s="656" t="s">
        <v>1386</v>
      </c>
      <c r="C624" s="656" t="s">
        <v>20</v>
      </c>
      <c r="D624" s="656" t="s">
        <v>12163</v>
      </c>
      <c r="E624" s="656" t="s">
        <v>14275</v>
      </c>
      <c r="F624" s="1447">
        <v>43955</v>
      </c>
      <c r="G624" s="656" t="s">
        <v>12162</v>
      </c>
      <c r="H624" s="656" t="s">
        <v>1777</v>
      </c>
      <c r="I624" s="656"/>
      <c r="J624" s="656"/>
      <c r="K624" s="656"/>
      <c r="L624" s="656" t="s">
        <v>12163</v>
      </c>
      <c r="M624" s="656" t="s">
        <v>16196</v>
      </c>
      <c r="N624" s="656"/>
      <c r="O624" s="656" t="s">
        <v>6395</v>
      </c>
      <c r="P624" s="5"/>
      <c r="Q624" s="1447">
        <v>43385</v>
      </c>
      <c r="R624" s="656"/>
      <c r="S624" s="656" t="s">
        <v>1949</v>
      </c>
      <c r="T624" s="656" t="s">
        <v>1949</v>
      </c>
      <c r="U624" s="656"/>
      <c r="V624" s="656"/>
      <c r="W624" s="656" t="s">
        <v>13051</v>
      </c>
      <c r="X624" s="656" t="s">
        <v>498</v>
      </c>
      <c r="Y624" s="656" t="s">
        <v>14278</v>
      </c>
      <c r="Z624" s="656">
        <v>44305.524155092593</v>
      </c>
      <c r="AA624" s="656" t="s">
        <v>14335</v>
      </c>
      <c r="AB624" s="656"/>
    </row>
    <row r="625" spans="1:28">
      <c r="A625" s="656" t="s">
        <v>1389</v>
      </c>
      <c r="B625" s="656" t="s">
        <v>1390</v>
      </c>
      <c r="C625" s="656" t="s">
        <v>21</v>
      </c>
      <c r="D625" s="656" t="s">
        <v>12171</v>
      </c>
      <c r="E625" s="656" t="s">
        <v>14458</v>
      </c>
      <c r="F625" s="1447">
        <v>43952</v>
      </c>
      <c r="G625" s="656" t="s">
        <v>12083</v>
      </c>
      <c r="H625" s="656" t="s">
        <v>1777</v>
      </c>
      <c r="I625" s="656" t="s">
        <v>14457</v>
      </c>
      <c r="J625" s="656" t="s">
        <v>12171</v>
      </c>
      <c r="K625" s="656" t="s">
        <v>9774</v>
      </c>
      <c r="L625" s="656"/>
      <c r="M625" s="656" t="s">
        <v>16196</v>
      </c>
      <c r="N625" s="656"/>
      <c r="O625" s="656" t="s">
        <v>6395</v>
      </c>
      <c r="P625" s="5" t="s">
        <v>14459</v>
      </c>
      <c r="Q625" s="1447">
        <v>43392</v>
      </c>
      <c r="R625" s="656"/>
      <c r="S625" s="656" t="s">
        <v>1949</v>
      </c>
      <c r="T625" s="656"/>
      <c r="U625" s="656" t="s">
        <v>1949</v>
      </c>
      <c r="V625" s="656"/>
      <c r="W625" s="656" t="s">
        <v>13051</v>
      </c>
      <c r="X625" s="656" t="s">
        <v>498</v>
      </c>
      <c r="Y625" s="656" t="s">
        <v>14278</v>
      </c>
      <c r="Z625" s="656">
        <v>44305.524108796293</v>
      </c>
      <c r="AA625" s="656" t="s">
        <v>14335</v>
      </c>
      <c r="AB625" s="656"/>
    </row>
    <row r="626" spans="1:28">
      <c r="A626" s="656" t="s">
        <v>1389</v>
      </c>
      <c r="B626" s="656" t="s">
        <v>1390</v>
      </c>
      <c r="C626" s="656" t="s">
        <v>20</v>
      </c>
      <c r="D626" s="656" t="s">
        <v>12084</v>
      </c>
      <c r="E626" s="656" t="s">
        <v>14275</v>
      </c>
      <c r="F626" s="1447">
        <v>43964</v>
      </c>
      <c r="G626" s="656" t="s">
        <v>12083</v>
      </c>
      <c r="H626" s="656" t="s">
        <v>1777</v>
      </c>
      <c r="I626" s="656"/>
      <c r="J626" s="656"/>
      <c r="K626" s="656"/>
      <c r="L626" s="656" t="s">
        <v>12084</v>
      </c>
      <c r="M626" s="656" t="s">
        <v>16196</v>
      </c>
      <c r="N626" s="656"/>
      <c r="O626" s="656" t="s">
        <v>6395</v>
      </c>
      <c r="P626" s="5"/>
      <c r="Q626" s="1447">
        <v>43306</v>
      </c>
      <c r="R626" s="656"/>
      <c r="S626" s="656" t="s">
        <v>1949</v>
      </c>
      <c r="T626" s="656"/>
      <c r="U626" s="656"/>
      <c r="V626" s="656" t="s">
        <v>14323</v>
      </c>
      <c r="W626" s="656" t="s">
        <v>13051</v>
      </c>
      <c r="X626" s="656" t="s">
        <v>498</v>
      </c>
      <c r="Y626" s="656" t="s">
        <v>14278</v>
      </c>
      <c r="Z626" s="656">
        <v>44305.52412037037</v>
      </c>
      <c r="AA626" s="656" t="s">
        <v>14335</v>
      </c>
      <c r="AB626" s="656"/>
    </row>
    <row r="627" spans="1:28">
      <c r="A627" s="656" t="s">
        <v>1389</v>
      </c>
      <c r="B627" s="656" t="s">
        <v>1390</v>
      </c>
      <c r="C627" s="656" t="s">
        <v>20</v>
      </c>
      <c r="D627" s="656" t="s">
        <v>12085</v>
      </c>
      <c r="E627" s="656" t="s">
        <v>14275</v>
      </c>
      <c r="F627" s="1447">
        <v>43955</v>
      </c>
      <c r="G627" s="656" t="s">
        <v>12083</v>
      </c>
      <c r="H627" s="656" t="s">
        <v>1777</v>
      </c>
      <c r="I627" s="656"/>
      <c r="J627" s="656"/>
      <c r="K627" s="656"/>
      <c r="L627" s="656" t="s">
        <v>12085</v>
      </c>
      <c r="M627" s="656" t="s">
        <v>16196</v>
      </c>
      <c r="N627" s="656"/>
      <c r="O627" s="656" t="s">
        <v>6395</v>
      </c>
      <c r="P627" s="5"/>
      <c r="Q627" s="1447">
        <v>43306</v>
      </c>
      <c r="R627" s="656"/>
      <c r="S627" s="656" t="s">
        <v>1949</v>
      </c>
      <c r="T627" s="656"/>
      <c r="U627" s="656"/>
      <c r="V627" s="656" t="s">
        <v>14361</v>
      </c>
      <c r="W627" s="656" t="s">
        <v>13051</v>
      </c>
      <c r="X627" s="656" t="s">
        <v>498</v>
      </c>
      <c r="Y627" s="656" t="s">
        <v>14278</v>
      </c>
      <c r="Z627" s="656">
        <v>44305.524131944447</v>
      </c>
      <c r="AA627" s="656" t="s">
        <v>14335</v>
      </c>
      <c r="AB627" s="656"/>
    </row>
    <row r="628" spans="1:28">
      <c r="A628" s="656" t="s">
        <v>1389</v>
      </c>
      <c r="B628" s="656" t="s">
        <v>1390</v>
      </c>
      <c r="C628" s="656" t="s">
        <v>20</v>
      </c>
      <c r="D628" s="656" t="s">
        <v>12210</v>
      </c>
      <c r="E628" s="656" t="s">
        <v>14275</v>
      </c>
      <c r="F628" s="1447">
        <v>43964</v>
      </c>
      <c r="G628" s="656" t="s">
        <v>12083</v>
      </c>
      <c r="H628" s="656" t="s">
        <v>1777</v>
      </c>
      <c r="I628" s="656"/>
      <c r="J628" s="656"/>
      <c r="K628" s="656"/>
      <c r="L628" s="656" t="s">
        <v>12210</v>
      </c>
      <c r="M628" s="656" t="s">
        <v>9450</v>
      </c>
      <c r="N628" s="656" t="s">
        <v>9892</v>
      </c>
      <c r="O628" s="656" t="s">
        <v>6395</v>
      </c>
      <c r="P628" s="5" t="s">
        <v>14408</v>
      </c>
      <c r="Q628" s="1447">
        <v>43431</v>
      </c>
      <c r="R628" s="656"/>
      <c r="S628" s="656" t="s">
        <v>1949</v>
      </c>
      <c r="T628" s="656"/>
      <c r="U628" s="656"/>
      <c r="V628" s="656"/>
      <c r="W628" s="656" t="s">
        <v>13051</v>
      </c>
      <c r="X628" s="656" t="s">
        <v>498</v>
      </c>
      <c r="Y628" s="656" t="s">
        <v>14278</v>
      </c>
      <c r="Z628" s="656">
        <v>44305.524143518516</v>
      </c>
      <c r="AA628" s="656" t="s">
        <v>14335</v>
      </c>
      <c r="AB628" s="656"/>
    </row>
    <row r="629" spans="1:28">
      <c r="A629" s="656" t="s">
        <v>1389</v>
      </c>
      <c r="B629" s="656" t="s">
        <v>1390</v>
      </c>
      <c r="C629" s="656" t="s">
        <v>20</v>
      </c>
      <c r="D629" s="656" t="s">
        <v>12211</v>
      </c>
      <c r="E629" s="656" t="s">
        <v>14275</v>
      </c>
      <c r="F629" s="1447">
        <v>43964</v>
      </c>
      <c r="G629" s="656" t="s">
        <v>12083</v>
      </c>
      <c r="H629" s="656" t="s">
        <v>1777</v>
      </c>
      <c r="I629" s="656"/>
      <c r="J629" s="656"/>
      <c r="K629" s="656"/>
      <c r="L629" s="656" t="s">
        <v>12211</v>
      </c>
      <c r="M629" s="656" t="s">
        <v>9450</v>
      </c>
      <c r="N629" s="656" t="s">
        <v>9892</v>
      </c>
      <c r="O629" s="656" t="s">
        <v>6395</v>
      </c>
      <c r="P629" s="5" t="s">
        <v>14409</v>
      </c>
      <c r="Q629" s="1447">
        <v>43431</v>
      </c>
      <c r="R629" s="656"/>
      <c r="S629" s="656" t="s">
        <v>1949</v>
      </c>
      <c r="T629" s="656"/>
      <c r="U629" s="656"/>
      <c r="V629" s="656"/>
      <c r="W629" s="656" t="s">
        <v>13051</v>
      </c>
      <c r="X629" s="656" t="s">
        <v>498</v>
      </c>
      <c r="Y629" s="656" t="s">
        <v>14278</v>
      </c>
      <c r="Z629" s="656">
        <v>44305.524143518516</v>
      </c>
      <c r="AA629" s="656" t="s">
        <v>14335</v>
      </c>
      <c r="AB629" s="656"/>
    </row>
    <row r="630" spans="1:28">
      <c r="A630" s="656" t="s">
        <v>1399</v>
      </c>
      <c r="B630" s="656" t="s">
        <v>1400</v>
      </c>
      <c r="C630" s="656" t="s">
        <v>20</v>
      </c>
      <c r="D630" s="656" t="s">
        <v>12204</v>
      </c>
      <c r="E630" s="656" t="s">
        <v>14275</v>
      </c>
      <c r="F630" s="1447">
        <v>43717</v>
      </c>
      <c r="G630" s="656" t="s">
        <v>12203</v>
      </c>
      <c r="H630" s="656" t="s">
        <v>1777</v>
      </c>
      <c r="I630" s="656"/>
      <c r="J630" s="656"/>
      <c r="K630" s="656"/>
      <c r="L630" s="656" t="s">
        <v>12204</v>
      </c>
      <c r="M630" s="656" t="s">
        <v>16351</v>
      </c>
      <c r="N630" s="656"/>
      <c r="O630" s="656" t="s">
        <v>6387</v>
      </c>
      <c r="P630" s="5"/>
      <c r="Q630" s="1447">
        <v>43404</v>
      </c>
      <c r="R630" s="656"/>
      <c r="S630" s="656" t="s">
        <v>1050</v>
      </c>
      <c r="T630" s="656"/>
      <c r="U630" s="656" t="s">
        <v>1050</v>
      </c>
      <c r="V630" s="656"/>
      <c r="W630" s="656" t="s">
        <v>13051</v>
      </c>
      <c r="X630" s="656" t="s">
        <v>498</v>
      </c>
      <c r="Y630" s="656" t="s">
        <v>14278</v>
      </c>
      <c r="Z630" s="656">
        <v>44305.524108796293</v>
      </c>
      <c r="AA630" s="656" t="s">
        <v>14335</v>
      </c>
      <c r="AB630" s="656"/>
    </row>
    <row r="631" spans="1:28">
      <c r="A631" s="656" t="s">
        <v>1445</v>
      </c>
      <c r="B631" s="656" t="s">
        <v>1446</v>
      </c>
      <c r="C631" s="656" t="s">
        <v>20</v>
      </c>
      <c r="D631" s="656" t="s">
        <v>12134</v>
      </c>
      <c r="E631" s="656" t="s">
        <v>14275</v>
      </c>
      <c r="F631" s="1447">
        <v>43927</v>
      </c>
      <c r="G631" s="656" t="s">
        <v>12133</v>
      </c>
      <c r="H631" s="656" t="s">
        <v>1777</v>
      </c>
      <c r="I631" s="656"/>
      <c r="J631" s="656"/>
      <c r="K631" s="656"/>
      <c r="L631" s="656" t="s">
        <v>12134</v>
      </c>
      <c r="M631" s="656" t="s">
        <v>16196</v>
      </c>
      <c r="N631" s="656"/>
      <c r="O631" s="656" t="s">
        <v>6395</v>
      </c>
      <c r="P631" s="5"/>
      <c r="Q631" s="1447">
        <v>43336</v>
      </c>
      <c r="R631" s="656"/>
      <c r="S631" s="656" t="s">
        <v>3756</v>
      </c>
      <c r="T631" s="656"/>
      <c r="U631" s="656"/>
      <c r="V631" s="656"/>
      <c r="W631" s="656" t="s">
        <v>13051</v>
      </c>
      <c r="X631" s="656" t="s">
        <v>498</v>
      </c>
      <c r="Y631" s="656" t="s">
        <v>14278</v>
      </c>
      <c r="Z631" s="656">
        <v>44305.524097222224</v>
      </c>
      <c r="AA631" s="656" t="s">
        <v>14335</v>
      </c>
      <c r="AB631" s="656"/>
    </row>
    <row r="632" spans="1:28">
      <c r="A632" s="656" t="s">
        <v>1455</v>
      </c>
      <c r="B632" s="656" t="s">
        <v>1456</v>
      </c>
      <c r="C632" s="656" t="s">
        <v>21</v>
      </c>
      <c r="D632" s="656" t="s">
        <v>9883</v>
      </c>
      <c r="E632" s="656" t="s">
        <v>14313</v>
      </c>
      <c r="F632" s="1447"/>
      <c r="G632" s="656" t="s">
        <v>9882</v>
      </c>
      <c r="H632" s="656" t="s">
        <v>1777</v>
      </c>
      <c r="I632" s="656" t="s">
        <v>14460</v>
      </c>
      <c r="J632" s="656" t="s">
        <v>9883</v>
      </c>
      <c r="K632" s="656" t="s">
        <v>9774</v>
      </c>
      <c r="L632" s="656"/>
      <c r="M632" s="656" t="s">
        <v>16196</v>
      </c>
      <c r="N632" s="656"/>
      <c r="O632" s="656" t="s">
        <v>6395</v>
      </c>
      <c r="P632" s="5"/>
      <c r="Q632" s="1447">
        <v>43383</v>
      </c>
      <c r="R632" s="656">
        <v>44012</v>
      </c>
      <c r="S632" s="656" t="s">
        <v>1338</v>
      </c>
      <c r="T632" s="656" t="s">
        <v>836</v>
      </c>
      <c r="U632" s="656" t="s">
        <v>1338</v>
      </c>
      <c r="V632" s="656"/>
      <c r="W632" s="656" t="s">
        <v>13051</v>
      </c>
      <c r="X632" s="656" t="s">
        <v>498</v>
      </c>
      <c r="Y632" s="656" t="s">
        <v>14278</v>
      </c>
      <c r="Z632" s="656">
        <v>44305.524097222224</v>
      </c>
      <c r="AA632" s="656" t="s">
        <v>14335</v>
      </c>
      <c r="AB632" s="656"/>
    </row>
    <row r="633" spans="1:28">
      <c r="A633" s="656" t="s">
        <v>1455</v>
      </c>
      <c r="B633" s="656" t="s">
        <v>1456</v>
      </c>
      <c r="C633" s="656" t="s">
        <v>20</v>
      </c>
      <c r="D633" s="656" t="s">
        <v>9897</v>
      </c>
      <c r="E633" s="656" t="s">
        <v>14275</v>
      </c>
      <c r="F633" s="1447">
        <v>44253</v>
      </c>
      <c r="G633" s="656" t="s">
        <v>9882</v>
      </c>
      <c r="H633" s="656" t="s">
        <v>1777</v>
      </c>
      <c r="I633" s="656"/>
      <c r="J633" s="656"/>
      <c r="K633" s="656"/>
      <c r="L633" s="656" t="s">
        <v>9897</v>
      </c>
      <c r="M633" s="656" t="s">
        <v>16196</v>
      </c>
      <c r="N633" s="656"/>
      <c r="O633" s="656" t="s">
        <v>6395</v>
      </c>
      <c r="P633" s="5"/>
      <c r="Q633" s="1447">
        <v>43423</v>
      </c>
      <c r="R633" s="656"/>
      <c r="S633" s="656" t="s">
        <v>1338</v>
      </c>
      <c r="T633" s="656"/>
      <c r="U633" s="656"/>
      <c r="V633" s="656"/>
      <c r="W633" s="656" t="s">
        <v>13051</v>
      </c>
      <c r="X633" s="656" t="s">
        <v>498</v>
      </c>
      <c r="Y633" s="656" t="s">
        <v>14278</v>
      </c>
      <c r="Z633" s="656">
        <v>44305.524097222224</v>
      </c>
      <c r="AA633" s="656" t="s">
        <v>14335</v>
      </c>
      <c r="AB633" s="656"/>
    </row>
    <row r="634" spans="1:28">
      <c r="A634" s="656" t="s">
        <v>9292</v>
      </c>
      <c r="B634" s="656" t="s">
        <v>12642</v>
      </c>
      <c r="C634" s="656" t="s">
        <v>21</v>
      </c>
      <c r="D634" s="656" t="s">
        <v>15388</v>
      </c>
      <c r="E634" s="656" t="s">
        <v>14279</v>
      </c>
      <c r="F634" s="1447"/>
      <c r="G634" s="656" t="s">
        <v>15389</v>
      </c>
      <c r="H634" s="656" t="s">
        <v>1777</v>
      </c>
      <c r="I634" s="656" t="s">
        <v>15390</v>
      </c>
      <c r="J634" s="656" t="s">
        <v>15388</v>
      </c>
      <c r="K634" s="656" t="s">
        <v>9774</v>
      </c>
      <c r="L634" s="656"/>
      <c r="M634" s="656" t="s">
        <v>16262</v>
      </c>
      <c r="N634" s="656"/>
      <c r="O634" s="656" t="s">
        <v>6425</v>
      </c>
      <c r="P634" s="5"/>
      <c r="Q634" s="1447">
        <v>44195</v>
      </c>
      <c r="R634" s="656"/>
      <c r="S634" s="656" t="s">
        <v>445</v>
      </c>
      <c r="T634" s="656"/>
      <c r="U634" s="656"/>
      <c r="V634" s="656"/>
      <c r="W634" s="656" t="s">
        <v>13051</v>
      </c>
      <c r="X634" s="656" t="s">
        <v>498</v>
      </c>
      <c r="Y634" s="656" t="s">
        <v>14278</v>
      </c>
      <c r="Z634" s="656">
        <v>44305.524085648147</v>
      </c>
      <c r="AA634" s="656" t="s">
        <v>14335</v>
      </c>
      <c r="AB634" s="656"/>
    </row>
    <row r="635" spans="1:28">
      <c r="A635" s="656" t="s">
        <v>9292</v>
      </c>
      <c r="B635" s="656" t="s">
        <v>9291</v>
      </c>
      <c r="C635" s="656" t="s">
        <v>20</v>
      </c>
      <c r="D635" s="656" t="s">
        <v>12484</v>
      </c>
      <c r="E635" s="656" t="s">
        <v>14279</v>
      </c>
      <c r="F635" s="1447"/>
      <c r="G635" s="656" t="s">
        <v>12485</v>
      </c>
      <c r="H635" s="656" t="s">
        <v>1777</v>
      </c>
      <c r="I635" s="656"/>
      <c r="J635" s="656"/>
      <c r="K635" s="656"/>
      <c r="L635" s="656" t="s">
        <v>12484</v>
      </c>
      <c r="M635" s="656" t="s">
        <v>16262</v>
      </c>
      <c r="N635" s="656"/>
      <c r="O635" s="656" t="s">
        <v>6425</v>
      </c>
      <c r="P635" s="5"/>
      <c r="Q635" s="1447">
        <v>44062</v>
      </c>
      <c r="R635" s="656"/>
      <c r="S635" s="656" t="s">
        <v>445</v>
      </c>
      <c r="T635" s="656"/>
      <c r="U635" s="656"/>
      <c r="V635" s="656"/>
      <c r="W635" s="656" t="s">
        <v>13051</v>
      </c>
      <c r="X635" s="656" t="s">
        <v>498</v>
      </c>
      <c r="Y635" s="656" t="s">
        <v>14278</v>
      </c>
      <c r="Z635" s="656">
        <v>44305.524085648147</v>
      </c>
      <c r="AA635" s="656" t="s">
        <v>14335</v>
      </c>
      <c r="AB635" s="656"/>
    </row>
    <row r="636" spans="1:28">
      <c r="A636" s="656" t="s">
        <v>1463</v>
      </c>
      <c r="B636" s="656" t="s">
        <v>1464</v>
      </c>
      <c r="C636" s="656" t="s">
        <v>20</v>
      </c>
      <c r="D636" s="656" t="s">
        <v>9997</v>
      </c>
      <c r="E636" s="656" t="s">
        <v>14275</v>
      </c>
      <c r="F636" s="1447">
        <v>44147</v>
      </c>
      <c r="G636" s="656" t="s">
        <v>9996</v>
      </c>
      <c r="H636" s="656" t="s">
        <v>1777</v>
      </c>
      <c r="I636" s="656"/>
      <c r="J636" s="656"/>
      <c r="K636" s="656"/>
      <c r="L636" s="656" t="s">
        <v>9997</v>
      </c>
      <c r="M636" s="656" t="s">
        <v>16262</v>
      </c>
      <c r="N636" s="656"/>
      <c r="O636" s="656" t="s">
        <v>6387</v>
      </c>
      <c r="P636" s="5"/>
      <c r="Q636" s="1447">
        <v>43629</v>
      </c>
      <c r="R636" s="656"/>
      <c r="S636" s="656" t="s">
        <v>445</v>
      </c>
      <c r="T636" s="656"/>
      <c r="U636" s="656"/>
      <c r="V636" s="656"/>
      <c r="W636" s="656" t="s">
        <v>13051</v>
      </c>
      <c r="X636" s="656" t="s">
        <v>498</v>
      </c>
      <c r="Y636" s="656" t="s">
        <v>14278</v>
      </c>
      <c r="Z636" s="656">
        <v>44305.524085648147</v>
      </c>
      <c r="AA636" s="656" t="s">
        <v>14335</v>
      </c>
      <c r="AB636" s="656"/>
    </row>
    <row r="637" spans="1:28">
      <c r="A637" s="656" t="s">
        <v>1465</v>
      </c>
      <c r="B637" s="656" t="s">
        <v>1466</v>
      </c>
      <c r="C637" s="656" t="s">
        <v>20</v>
      </c>
      <c r="D637" s="656" t="s">
        <v>12077</v>
      </c>
      <c r="E637" s="656" t="s">
        <v>14275</v>
      </c>
      <c r="F637" s="1447">
        <v>43521</v>
      </c>
      <c r="G637" s="656" t="s">
        <v>12075</v>
      </c>
      <c r="H637" s="656" t="s">
        <v>1777</v>
      </c>
      <c r="I637" s="656"/>
      <c r="J637" s="656"/>
      <c r="K637" s="656"/>
      <c r="L637" s="656" t="s">
        <v>12077</v>
      </c>
      <c r="M637" s="656" t="s">
        <v>16196</v>
      </c>
      <c r="N637" s="656"/>
      <c r="O637" s="656" t="s">
        <v>6387</v>
      </c>
      <c r="P637" s="5"/>
      <c r="Q637" s="1447">
        <v>43300</v>
      </c>
      <c r="R637" s="656"/>
      <c r="S637" s="656" t="s">
        <v>12076</v>
      </c>
      <c r="T637" s="656"/>
      <c r="U637" s="656"/>
      <c r="V637" s="656" t="s">
        <v>14323</v>
      </c>
      <c r="W637" s="656" t="s">
        <v>13051</v>
      </c>
      <c r="X637" s="656" t="s">
        <v>498</v>
      </c>
      <c r="Y637" s="656" t="s">
        <v>14278</v>
      </c>
      <c r="Z637" s="656">
        <v>44305.524074074077</v>
      </c>
      <c r="AA637" s="656" t="s">
        <v>14335</v>
      </c>
      <c r="AB637" s="656"/>
    </row>
    <row r="638" spans="1:28">
      <c r="A638" s="656" t="s">
        <v>1465</v>
      </c>
      <c r="B638" s="656" t="s">
        <v>1466</v>
      </c>
      <c r="C638" s="656" t="s">
        <v>20</v>
      </c>
      <c r="D638" s="656" t="s">
        <v>12149</v>
      </c>
      <c r="E638" s="656" t="s">
        <v>14275</v>
      </c>
      <c r="F638" s="1447">
        <v>43508</v>
      </c>
      <c r="G638" s="656" t="s">
        <v>12075</v>
      </c>
      <c r="H638" s="656" t="s">
        <v>1777</v>
      </c>
      <c r="I638" s="656"/>
      <c r="J638" s="656"/>
      <c r="K638" s="656"/>
      <c r="L638" s="656" t="s">
        <v>12149</v>
      </c>
      <c r="M638" s="656" t="s">
        <v>16196</v>
      </c>
      <c r="N638" s="656"/>
      <c r="O638" s="656" t="s">
        <v>6387</v>
      </c>
      <c r="P638" s="5"/>
      <c r="Q638" s="1447">
        <v>43300</v>
      </c>
      <c r="R638" s="656"/>
      <c r="S638" s="656" t="s">
        <v>9725</v>
      </c>
      <c r="T638" s="656"/>
      <c r="U638" s="656"/>
      <c r="V638" s="656" t="s">
        <v>14361</v>
      </c>
      <c r="W638" s="656" t="s">
        <v>13051</v>
      </c>
      <c r="X638" s="656" t="s">
        <v>498</v>
      </c>
      <c r="Y638" s="656" t="s">
        <v>14278</v>
      </c>
      <c r="Z638" s="656">
        <v>44305.524085648147</v>
      </c>
      <c r="AA638" s="656" t="s">
        <v>14335</v>
      </c>
      <c r="AB638" s="656"/>
    </row>
    <row r="639" spans="1:28">
      <c r="A639" s="656" t="s">
        <v>1469</v>
      </c>
      <c r="B639" s="656" t="s">
        <v>1320</v>
      </c>
      <c r="C639" s="656" t="s">
        <v>20</v>
      </c>
      <c r="D639" s="656" t="s">
        <v>10003</v>
      </c>
      <c r="E639" s="656" t="s">
        <v>14275</v>
      </c>
      <c r="F639" s="1447">
        <v>44154</v>
      </c>
      <c r="G639" s="656" t="s">
        <v>10002</v>
      </c>
      <c r="H639" s="656" t="s">
        <v>1777</v>
      </c>
      <c r="I639" s="656"/>
      <c r="J639" s="656"/>
      <c r="K639" s="656"/>
      <c r="L639" s="656" t="s">
        <v>10003</v>
      </c>
      <c r="M639" s="656" t="s">
        <v>16200</v>
      </c>
      <c r="N639" s="656"/>
      <c r="O639" s="656" t="s">
        <v>6387</v>
      </c>
      <c r="P639" s="5"/>
      <c r="Q639" s="1447">
        <v>43648</v>
      </c>
      <c r="R639" s="656"/>
      <c r="S639" s="656" t="s">
        <v>462</v>
      </c>
      <c r="T639" s="656"/>
      <c r="U639" s="656"/>
      <c r="V639" s="656"/>
      <c r="W639" s="656" t="s">
        <v>13051</v>
      </c>
      <c r="X639" s="656" t="s">
        <v>498</v>
      </c>
      <c r="Y639" s="656" t="s">
        <v>14278</v>
      </c>
      <c r="Z639" s="656">
        <v>44305.524062500001</v>
      </c>
      <c r="AA639" s="656" t="s">
        <v>14335</v>
      </c>
      <c r="AB639" s="656"/>
    </row>
    <row r="640" spans="1:28">
      <c r="A640" s="656" t="s">
        <v>1471</v>
      </c>
      <c r="B640" s="656" t="s">
        <v>1472</v>
      </c>
      <c r="C640" s="656" t="s">
        <v>20</v>
      </c>
      <c r="D640" s="656" t="s">
        <v>12074</v>
      </c>
      <c r="E640" s="656" t="s">
        <v>14275</v>
      </c>
      <c r="F640" s="1447">
        <v>43521</v>
      </c>
      <c r="G640" s="656" t="s">
        <v>12073</v>
      </c>
      <c r="H640" s="656" t="s">
        <v>1777</v>
      </c>
      <c r="I640" s="656"/>
      <c r="J640" s="656"/>
      <c r="K640" s="656"/>
      <c r="L640" s="656" t="s">
        <v>12074</v>
      </c>
      <c r="M640" s="656" t="s">
        <v>12783</v>
      </c>
      <c r="N640" s="656"/>
      <c r="O640" s="656" t="s">
        <v>6387</v>
      </c>
      <c r="P640" s="5"/>
      <c r="Q640" s="1447">
        <v>43298</v>
      </c>
      <c r="R640" s="656"/>
      <c r="S640" s="656" t="s">
        <v>1050</v>
      </c>
      <c r="T640" s="656"/>
      <c r="U640" s="656"/>
      <c r="V640" s="656"/>
      <c r="W640" s="656" t="s">
        <v>13051</v>
      </c>
      <c r="X640" s="656" t="s">
        <v>498</v>
      </c>
      <c r="Y640" s="656" t="s">
        <v>14278</v>
      </c>
      <c r="Z640" s="656">
        <v>44305.524050925924</v>
      </c>
      <c r="AA640" s="656" t="s">
        <v>14335</v>
      </c>
      <c r="AB640" s="656"/>
    </row>
    <row r="641" spans="1:28">
      <c r="A641" s="656" t="s">
        <v>1475</v>
      </c>
      <c r="B641" s="656" t="s">
        <v>1476</v>
      </c>
      <c r="C641" s="656" t="s">
        <v>20</v>
      </c>
      <c r="D641" s="656" t="s">
        <v>12033</v>
      </c>
      <c r="E641" s="656" t="s">
        <v>14275</v>
      </c>
      <c r="F641" s="1447">
        <v>43819</v>
      </c>
      <c r="G641" s="656" t="s">
        <v>12032</v>
      </c>
      <c r="H641" s="656" t="s">
        <v>1777</v>
      </c>
      <c r="I641" s="656"/>
      <c r="J641" s="656"/>
      <c r="K641" s="656"/>
      <c r="L641" s="656" t="s">
        <v>12033</v>
      </c>
      <c r="M641" s="656" t="s">
        <v>16196</v>
      </c>
      <c r="N641" s="656"/>
      <c r="O641" s="656" t="s">
        <v>6387</v>
      </c>
      <c r="P641" s="5"/>
      <c r="Q641" s="1447">
        <v>43238</v>
      </c>
      <c r="R641" s="656"/>
      <c r="S641" s="656" t="s">
        <v>1300</v>
      </c>
      <c r="T641" s="656"/>
      <c r="U641" s="656" t="s">
        <v>1300</v>
      </c>
      <c r="V641" s="656"/>
      <c r="W641" s="656" t="s">
        <v>13051</v>
      </c>
      <c r="X641" s="656" t="s">
        <v>498</v>
      </c>
      <c r="Y641" s="656" t="s">
        <v>14278</v>
      </c>
      <c r="Z641" s="656">
        <v>44305.524050925924</v>
      </c>
      <c r="AA641" s="656" t="s">
        <v>14335</v>
      </c>
      <c r="AB641" s="656"/>
    </row>
    <row r="642" spans="1:28">
      <c r="A642" s="656" t="s">
        <v>1487</v>
      </c>
      <c r="B642" s="656" t="s">
        <v>1488</v>
      </c>
      <c r="C642" s="656" t="s">
        <v>20</v>
      </c>
      <c r="D642" s="656" t="s">
        <v>9842</v>
      </c>
      <c r="E642" s="656" t="s">
        <v>14275</v>
      </c>
      <c r="F642" s="1447">
        <v>43942</v>
      </c>
      <c r="G642" s="656" t="s">
        <v>9841</v>
      </c>
      <c r="H642" s="656" t="s">
        <v>1777</v>
      </c>
      <c r="I642" s="656"/>
      <c r="J642" s="656"/>
      <c r="K642" s="656"/>
      <c r="L642" s="656" t="s">
        <v>9842</v>
      </c>
      <c r="M642" s="656" t="s">
        <v>16196</v>
      </c>
      <c r="N642" s="656"/>
      <c r="O642" s="656" t="s">
        <v>9714</v>
      </c>
      <c r="P642" s="5"/>
      <c r="Q642" s="1447">
        <v>43262</v>
      </c>
      <c r="R642" s="656"/>
      <c r="S642" s="656" t="s">
        <v>9725</v>
      </c>
      <c r="T642" s="656"/>
      <c r="U642" s="656"/>
      <c r="V642" s="656"/>
      <c r="W642" s="656" t="s">
        <v>13051</v>
      </c>
      <c r="X642" s="656" t="s">
        <v>498</v>
      </c>
      <c r="Y642" s="656" t="s">
        <v>14278</v>
      </c>
      <c r="Z642" s="656">
        <v>44305.524039351854</v>
      </c>
      <c r="AA642" s="656" t="s">
        <v>14335</v>
      </c>
      <c r="AB642" s="656"/>
    </row>
    <row r="643" spans="1:28">
      <c r="A643" s="656" t="s">
        <v>1491</v>
      </c>
      <c r="B643" s="656" t="s">
        <v>1492</v>
      </c>
      <c r="C643" s="656" t="s">
        <v>21</v>
      </c>
      <c r="D643" s="656" t="s">
        <v>12218</v>
      </c>
      <c r="E643" s="656" t="s">
        <v>14275</v>
      </c>
      <c r="F643" s="1447">
        <v>43944</v>
      </c>
      <c r="G643" s="656" t="s">
        <v>12164</v>
      </c>
      <c r="H643" s="656" t="s">
        <v>1777</v>
      </c>
      <c r="I643" s="656" t="s">
        <v>14461</v>
      </c>
      <c r="J643" s="656" t="s">
        <v>12218</v>
      </c>
      <c r="K643" s="656" t="s">
        <v>9774</v>
      </c>
      <c r="L643" s="656"/>
      <c r="M643" s="656" t="s">
        <v>12783</v>
      </c>
      <c r="N643" s="656"/>
      <c r="O643" s="656" t="s">
        <v>6387</v>
      </c>
      <c r="P643" s="5"/>
      <c r="Q643" s="1447">
        <v>43473</v>
      </c>
      <c r="R643" s="656">
        <v>43787</v>
      </c>
      <c r="S643" s="656" t="s">
        <v>1050</v>
      </c>
      <c r="T643" s="656"/>
      <c r="U643" s="656"/>
      <c r="V643" s="656"/>
      <c r="W643" s="656" t="s">
        <v>13051</v>
      </c>
      <c r="X643" s="656" t="s">
        <v>498</v>
      </c>
      <c r="Y643" s="656" t="s">
        <v>14278</v>
      </c>
      <c r="Z643" s="656">
        <v>44305.524027777778</v>
      </c>
      <c r="AA643" s="656" t="s">
        <v>14335</v>
      </c>
      <c r="AB643" s="656"/>
    </row>
    <row r="644" spans="1:28">
      <c r="A644" s="656" t="s">
        <v>1491</v>
      </c>
      <c r="B644" s="656" t="s">
        <v>1492</v>
      </c>
      <c r="C644" s="656" t="s">
        <v>20</v>
      </c>
      <c r="D644" s="656" t="s">
        <v>12165</v>
      </c>
      <c r="E644" s="656" t="s">
        <v>14275</v>
      </c>
      <c r="F644" s="1447">
        <v>43943</v>
      </c>
      <c r="G644" s="656" t="s">
        <v>12164</v>
      </c>
      <c r="H644" s="656" t="s">
        <v>1777</v>
      </c>
      <c r="I644" s="656"/>
      <c r="J644" s="656"/>
      <c r="K644" s="656"/>
      <c r="L644" s="656" t="s">
        <v>12165</v>
      </c>
      <c r="M644" s="656" t="s">
        <v>12783</v>
      </c>
      <c r="N644" s="656"/>
      <c r="O644" s="656" t="s">
        <v>6387</v>
      </c>
      <c r="P644" s="5"/>
      <c r="Q644" s="1447">
        <v>43390</v>
      </c>
      <c r="R644" s="656"/>
      <c r="S644" s="656" t="s">
        <v>1050</v>
      </c>
      <c r="T644" s="656"/>
      <c r="U644" s="656" t="s">
        <v>1050</v>
      </c>
      <c r="V644" s="656"/>
      <c r="W644" s="656" t="s">
        <v>13051</v>
      </c>
      <c r="X644" s="656" t="s">
        <v>498</v>
      </c>
      <c r="Y644" s="656" t="s">
        <v>14278</v>
      </c>
      <c r="Z644" s="656">
        <v>44305.524039351854</v>
      </c>
      <c r="AA644" s="656" t="s">
        <v>14335</v>
      </c>
      <c r="AB644" s="656"/>
    </row>
    <row r="645" spans="1:28">
      <c r="A645" s="656" t="s">
        <v>1523</v>
      </c>
      <c r="B645" s="656" t="s">
        <v>9861</v>
      </c>
      <c r="C645" s="656" t="s">
        <v>21</v>
      </c>
      <c r="D645" s="656" t="s">
        <v>12151</v>
      </c>
      <c r="E645" s="656" t="s">
        <v>14384</v>
      </c>
      <c r="F645" s="1447">
        <v>43388</v>
      </c>
      <c r="G645" s="656" t="s">
        <v>9862</v>
      </c>
      <c r="H645" s="656" t="s">
        <v>1777</v>
      </c>
      <c r="I645" s="656" t="s">
        <v>14462</v>
      </c>
      <c r="J645" s="656" t="s">
        <v>12151</v>
      </c>
      <c r="K645" s="656" t="s">
        <v>9774</v>
      </c>
      <c r="L645" s="656"/>
      <c r="M645" s="656" t="s">
        <v>12703</v>
      </c>
      <c r="N645" s="656"/>
      <c r="O645" s="656" t="s">
        <v>6387</v>
      </c>
      <c r="P645" s="5" t="s">
        <v>15438</v>
      </c>
      <c r="Q645" s="1447">
        <v>43378</v>
      </c>
      <c r="R645" s="656"/>
      <c r="S645" s="656" t="s">
        <v>1050</v>
      </c>
      <c r="T645" s="656"/>
      <c r="U645" s="656" t="s">
        <v>1050</v>
      </c>
      <c r="V645" s="656"/>
      <c r="W645" s="656" t="s">
        <v>13051</v>
      </c>
      <c r="X645" s="656" t="s">
        <v>498</v>
      </c>
      <c r="Y645" s="656" t="s">
        <v>14278</v>
      </c>
      <c r="Z645" s="656">
        <v>44306.42291666667</v>
      </c>
      <c r="AA645" s="656" t="s">
        <v>15959</v>
      </c>
      <c r="AB645" s="656"/>
    </row>
    <row r="646" spans="1:28">
      <c r="A646" s="656" t="s">
        <v>1523</v>
      </c>
      <c r="B646" s="656" t="s">
        <v>9861</v>
      </c>
      <c r="C646" s="656" t="s">
        <v>21</v>
      </c>
      <c r="D646" s="656" t="s">
        <v>9885</v>
      </c>
      <c r="E646" s="656" t="s">
        <v>14279</v>
      </c>
      <c r="F646" s="1447"/>
      <c r="G646" s="656" t="s">
        <v>9862</v>
      </c>
      <c r="H646" s="656" t="s">
        <v>1584</v>
      </c>
      <c r="I646" s="656" t="s">
        <v>14463</v>
      </c>
      <c r="J646" s="656" t="s">
        <v>9885</v>
      </c>
      <c r="K646" s="656" t="s">
        <v>9774</v>
      </c>
      <c r="L646" s="656"/>
      <c r="M646" s="656" t="s">
        <v>12703</v>
      </c>
      <c r="N646" s="656"/>
      <c r="O646" s="656" t="s">
        <v>6387</v>
      </c>
      <c r="P646" s="5"/>
      <c r="Q646" s="1447">
        <v>43385</v>
      </c>
      <c r="R646" s="656"/>
      <c r="S646" s="656" t="s">
        <v>1050</v>
      </c>
      <c r="T646" s="656" t="s">
        <v>1050</v>
      </c>
      <c r="U646" s="656"/>
      <c r="V646" s="656"/>
      <c r="W646" s="656" t="s">
        <v>13051</v>
      </c>
      <c r="X646" s="656" t="s">
        <v>498</v>
      </c>
      <c r="Y646" s="656" t="s">
        <v>14278</v>
      </c>
      <c r="Z646" s="656">
        <v>44306.423391203702</v>
      </c>
      <c r="AA646" s="656" t="s">
        <v>15959</v>
      </c>
      <c r="AB646" s="656"/>
    </row>
    <row r="647" spans="1:28">
      <c r="A647" s="656" t="s">
        <v>1523</v>
      </c>
      <c r="B647" s="656" t="s">
        <v>9861</v>
      </c>
      <c r="C647" s="656" t="s">
        <v>20</v>
      </c>
      <c r="D647" s="656" t="s">
        <v>9863</v>
      </c>
      <c r="E647" s="656" t="s">
        <v>14279</v>
      </c>
      <c r="F647" s="1447"/>
      <c r="G647" s="656" t="s">
        <v>9862</v>
      </c>
      <c r="H647" s="656" t="s">
        <v>1777</v>
      </c>
      <c r="I647" s="656"/>
      <c r="J647" s="656"/>
      <c r="K647" s="656"/>
      <c r="L647" s="656" t="s">
        <v>9863</v>
      </c>
      <c r="M647" s="656" t="s">
        <v>12703</v>
      </c>
      <c r="N647" s="656"/>
      <c r="O647" s="656" t="s">
        <v>6387</v>
      </c>
      <c r="P647" s="5"/>
      <c r="Q647" s="1447">
        <v>43349</v>
      </c>
      <c r="R647" s="656"/>
      <c r="S647" s="656" t="s">
        <v>1050</v>
      </c>
      <c r="T647" s="656"/>
      <c r="U647" s="656"/>
      <c r="V647" s="656"/>
      <c r="W647" s="656" t="s">
        <v>13051</v>
      </c>
      <c r="X647" s="656" t="s">
        <v>498</v>
      </c>
      <c r="Y647" s="656" t="s">
        <v>14278</v>
      </c>
      <c r="Z647" s="656">
        <v>44305.753657407404</v>
      </c>
      <c r="AA647" s="656" t="s">
        <v>14335</v>
      </c>
      <c r="AB647" s="656"/>
    </row>
    <row r="648" spans="1:28">
      <c r="A648" s="656" t="s">
        <v>1525</v>
      </c>
      <c r="B648" s="656" t="s">
        <v>1526</v>
      </c>
      <c r="C648" s="656" t="s">
        <v>21</v>
      </c>
      <c r="D648" s="656" t="s">
        <v>12150</v>
      </c>
      <c r="E648" s="656" t="s">
        <v>14384</v>
      </c>
      <c r="F648" s="1447">
        <v>43388</v>
      </c>
      <c r="G648" s="656" t="s">
        <v>9859</v>
      </c>
      <c r="H648" s="656" t="s">
        <v>1777</v>
      </c>
      <c r="I648" s="656" t="s">
        <v>14464</v>
      </c>
      <c r="J648" s="656" t="s">
        <v>12150</v>
      </c>
      <c r="K648" s="656" t="s">
        <v>9774</v>
      </c>
      <c r="L648" s="656"/>
      <c r="M648" s="656" t="s">
        <v>12703</v>
      </c>
      <c r="N648" s="656"/>
      <c r="O648" s="656" t="s">
        <v>6387</v>
      </c>
      <c r="P648" s="5" t="s">
        <v>15391</v>
      </c>
      <c r="Q648" s="1447">
        <v>43378</v>
      </c>
      <c r="R648" s="656"/>
      <c r="S648" s="656" t="s">
        <v>1050</v>
      </c>
      <c r="T648" s="656"/>
      <c r="U648" s="656" t="s">
        <v>1050</v>
      </c>
      <c r="V648" s="656"/>
      <c r="W648" s="656" t="s">
        <v>13051</v>
      </c>
      <c r="X648" s="656" t="s">
        <v>498</v>
      </c>
      <c r="Y648" s="656" t="s">
        <v>14278</v>
      </c>
      <c r="Z648" s="656">
        <v>44306.434282407405</v>
      </c>
      <c r="AA648" s="656" t="s">
        <v>15959</v>
      </c>
      <c r="AB648" s="656"/>
    </row>
    <row r="649" spans="1:28">
      <c r="A649" s="656" t="s">
        <v>1525</v>
      </c>
      <c r="B649" s="656" t="s">
        <v>1526</v>
      </c>
      <c r="C649" s="656" t="s">
        <v>21</v>
      </c>
      <c r="D649" s="656" t="s">
        <v>9884</v>
      </c>
      <c r="E649" s="656" t="s">
        <v>14279</v>
      </c>
      <c r="F649" s="1447"/>
      <c r="G649" s="656" t="s">
        <v>9859</v>
      </c>
      <c r="H649" s="656" t="s">
        <v>1584</v>
      </c>
      <c r="I649" s="656" t="s">
        <v>14465</v>
      </c>
      <c r="J649" s="656" t="s">
        <v>9884</v>
      </c>
      <c r="K649" s="656" t="s">
        <v>9774</v>
      </c>
      <c r="L649" s="656"/>
      <c r="M649" s="656" t="s">
        <v>12703</v>
      </c>
      <c r="N649" s="656"/>
      <c r="O649" s="656" t="s">
        <v>6387</v>
      </c>
      <c r="P649" s="5"/>
      <c r="Q649" s="1447">
        <v>43385</v>
      </c>
      <c r="R649" s="656"/>
      <c r="S649" s="656" t="s">
        <v>1050</v>
      </c>
      <c r="T649" s="656" t="s">
        <v>1050</v>
      </c>
      <c r="U649" s="656"/>
      <c r="V649" s="656"/>
      <c r="W649" s="656" t="s">
        <v>13051</v>
      </c>
      <c r="X649" s="656" t="s">
        <v>498</v>
      </c>
      <c r="Y649" s="656" t="s">
        <v>14278</v>
      </c>
      <c r="Z649" s="656">
        <v>44306.434513888889</v>
      </c>
      <c r="AA649" s="656" t="s">
        <v>15959</v>
      </c>
      <c r="AB649" s="656"/>
    </row>
    <row r="650" spans="1:28">
      <c r="A650" s="656" t="s">
        <v>1525</v>
      </c>
      <c r="B650" s="656" t="s">
        <v>1526</v>
      </c>
      <c r="C650" s="656" t="s">
        <v>20</v>
      </c>
      <c r="D650" s="656" t="s">
        <v>9860</v>
      </c>
      <c r="E650" s="656" t="s">
        <v>14279</v>
      </c>
      <c r="F650" s="1447"/>
      <c r="G650" s="656" t="s">
        <v>9859</v>
      </c>
      <c r="H650" s="656" t="s">
        <v>1777</v>
      </c>
      <c r="I650" s="656"/>
      <c r="J650" s="656"/>
      <c r="K650" s="656"/>
      <c r="L650" s="656" t="s">
        <v>9860</v>
      </c>
      <c r="M650" s="656" t="s">
        <v>12703</v>
      </c>
      <c r="N650" s="656"/>
      <c r="O650" s="656" t="s">
        <v>6387</v>
      </c>
      <c r="P650" s="5"/>
      <c r="Q650" s="1447">
        <v>43349</v>
      </c>
      <c r="R650" s="656"/>
      <c r="S650" s="656" t="s">
        <v>1050</v>
      </c>
      <c r="T650" s="656"/>
      <c r="U650" s="656" t="s">
        <v>1050</v>
      </c>
      <c r="V650" s="656"/>
      <c r="W650" s="656" t="s">
        <v>13051</v>
      </c>
      <c r="X650" s="656" t="s">
        <v>498</v>
      </c>
      <c r="Y650" s="656" t="s">
        <v>14278</v>
      </c>
      <c r="Z650" s="656">
        <v>44305.753680555557</v>
      </c>
      <c r="AA650" s="656" t="s">
        <v>14335</v>
      </c>
      <c r="AB650" s="656"/>
    </row>
    <row r="651" spans="1:28">
      <c r="A651" s="656" t="s">
        <v>1549</v>
      </c>
      <c r="B651" s="656" t="s">
        <v>1550</v>
      </c>
      <c r="C651" s="656" t="s">
        <v>20</v>
      </c>
      <c r="D651" s="656" t="s">
        <v>12043</v>
      </c>
      <c r="E651" s="656" t="s">
        <v>14275</v>
      </c>
      <c r="F651" s="1447">
        <v>43542</v>
      </c>
      <c r="G651" s="656" t="s">
        <v>12042</v>
      </c>
      <c r="H651" s="656" t="s">
        <v>1777</v>
      </c>
      <c r="I651" s="656"/>
      <c r="J651" s="656"/>
      <c r="K651" s="656"/>
      <c r="L651" s="656" t="s">
        <v>12043</v>
      </c>
      <c r="M651" s="656" t="s">
        <v>16372</v>
      </c>
      <c r="N651" s="656"/>
      <c r="O651" s="656" t="s">
        <v>6387</v>
      </c>
      <c r="P651" s="5"/>
      <c r="Q651" s="1447">
        <v>43250</v>
      </c>
      <c r="R651" s="656"/>
      <c r="S651" s="656" t="s">
        <v>1300</v>
      </c>
      <c r="T651" s="656"/>
      <c r="U651" s="656" t="s">
        <v>1300</v>
      </c>
      <c r="V651" s="656"/>
      <c r="W651" s="656" t="s">
        <v>13051</v>
      </c>
      <c r="X651" s="656" t="s">
        <v>498</v>
      </c>
      <c r="Y651" s="656" t="s">
        <v>14278</v>
      </c>
      <c r="Z651" s="656">
        <v>44305.523993055554</v>
      </c>
      <c r="AA651" s="656" t="s">
        <v>14335</v>
      </c>
      <c r="AB651" s="656"/>
    </row>
    <row r="652" spans="1:28">
      <c r="A652" s="656" t="s">
        <v>1553</v>
      </c>
      <c r="B652" s="656" t="s">
        <v>1554</v>
      </c>
      <c r="C652" s="656" t="s">
        <v>21</v>
      </c>
      <c r="D652" s="656" t="s">
        <v>12086</v>
      </c>
      <c r="E652" s="656" t="s">
        <v>14275</v>
      </c>
      <c r="F652" s="1447">
        <v>43903</v>
      </c>
      <c r="G652" s="656" t="s">
        <v>12053</v>
      </c>
      <c r="H652" s="656" t="s">
        <v>1777</v>
      </c>
      <c r="I652" s="656" t="s">
        <v>14466</v>
      </c>
      <c r="J652" s="656" t="s">
        <v>12086</v>
      </c>
      <c r="K652" s="656" t="s">
        <v>9774</v>
      </c>
      <c r="L652" s="656"/>
      <c r="M652" s="656" t="s">
        <v>16373</v>
      </c>
      <c r="N652" s="656"/>
      <c r="O652" s="656" t="s">
        <v>6387</v>
      </c>
      <c r="P652" s="5"/>
      <c r="Q652" s="1447">
        <v>43308</v>
      </c>
      <c r="R652" s="656">
        <v>43708</v>
      </c>
      <c r="S652" s="656" t="s">
        <v>1050</v>
      </c>
      <c r="T652" s="656"/>
      <c r="U652" s="656"/>
      <c r="V652" s="656"/>
      <c r="W652" s="656" t="s">
        <v>13051</v>
      </c>
      <c r="X652" s="656" t="s">
        <v>498</v>
      </c>
      <c r="Y652" s="656" t="s">
        <v>14278</v>
      </c>
      <c r="Z652" s="656">
        <v>44305.523981481485</v>
      </c>
      <c r="AA652" s="656" t="s">
        <v>14335</v>
      </c>
      <c r="AB652" s="656"/>
    </row>
    <row r="653" spans="1:28">
      <c r="A653" s="656" t="s">
        <v>1553</v>
      </c>
      <c r="B653" s="656" t="s">
        <v>1554</v>
      </c>
      <c r="C653" s="656" t="s">
        <v>20</v>
      </c>
      <c r="D653" s="656" t="s">
        <v>12054</v>
      </c>
      <c r="E653" s="656" t="s">
        <v>14275</v>
      </c>
      <c r="F653" s="1447">
        <v>43927</v>
      </c>
      <c r="G653" s="656" t="s">
        <v>12053</v>
      </c>
      <c r="H653" s="656" t="s">
        <v>1777</v>
      </c>
      <c r="I653" s="656"/>
      <c r="J653" s="656"/>
      <c r="K653" s="656"/>
      <c r="L653" s="656" t="s">
        <v>12054</v>
      </c>
      <c r="M653" s="656" t="s">
        <v>16373</v>
      </c>
      <c r="N653" s="656"/>
      <c r="O653" s="656" t="s">
        <v>6395</v>
      </c>
      <c r="P653" s="5"/>
      <c r="Q653" s="1447">
        <v>43270</v>
      </c>
      <c r="R653" s="656"/>
      <c r="S653" s="656" t="s">
        <v>1050</v>
      </c>
      <c r="T653" s="656"/>
      <c r="U653" s="656" t="s">
        <v>1050</v>
      </c>
      <c r="V653" s="656"/>
      <c r="W653" s="656" t="s">
        <v>13051</v>
      </c>
      <c r="X653" s="656" t="s">
        <v>498</v>
      </c>
      <c r="Y653" s="656" t="s">
        <v>14278</v>
      </c>
      <c r="Z653" s="656">
        <v>44305.523993055554</v>
      </c>
      <c r="AA653" s="656" t="s">
        <v>14335</v>
      </c>
      <c r="AB653" s="656"/>
    </row>
    <row r="654" spans="1:28">
      <c r="A654" s="656" t="s">
        <v>1559</v>
      </c>
      <c r="B654" s="656" t="s">
        <v>1560</v>
      </c>
      <c r="C654" s="656" t="s">
        <v>21</v>
      </c>
      <c r="D654" s="656" t="s">
        <v>12132</v>
      </c>
      <c r="E654" s="656" t="s">
        <v>14275</v>
      </c>
      <c r="F654" s="1447">
        <v>43640</v>
      </c>
      <c r="G654" s="656" t="s">
        <v>12049</v>
      </c>
      <c r="H654" s="656" t="s">
        <v>1777</v>
      </c>
      <c r="I654" s="656" t="s">
        <v>14467</v>
      </c>
      <c r="J654" s="656" t="s">
        <v>12132</v>
      </c>
      <c r="K654" s="656" t="s">
        <v>9774</v>
      </c>
      <c r="L654" s="656"/>
      <c r="M654" s="656" t="s">
        <v>16340</v>
      </c>
      <c r="N654" s="656"/>
      <c r="O654" s="656" t="s">
        <v>6387</v>
      </c>
      <c r="P654" s="5"/>
      <c r="Q654" s="1447">
        <v>43335</v>
      </c>
      <c r="R654" s="656">
        <v>43462</v>
      </c>
      <c r="S654" s="656" t="s">
        <v>1300</v>
      </c>
      <c r="T654" s="656"/>
      <c r="U654" s="656"/>
      <c r="V654" s="656"/>
      <c r="W654" s="656" t="s">
        <v>13051</v>
      </c>
      <c r="X654" s="656" t="s">
        <v>498</v>
      </c>
      <c r="Y654" s="656" t="s">
        <v>14278</v>
      </c>
      <c r="Z654" s="656">
        <v>44305.523981481485</v>
      </c>
      <c r="AA654" s="656" t="s">
        <v>14335</v>
      </c>
      <c r="AB654" s="656"/>
    </row>
    <row r="655" spans="1:28">
      <c r="A655" s="656" t="s">
        <v>1559</v>
      </c>
      <c r="B655" s="656" t="s">
        <v>1560</v>
      </c>
      <c r="C655" s="656" t="s">
        <v>20</v>
      </c>
      <c r="D655" s="656" t="s">
        <v>12050</v>
      </c>
      <c r="E655" s="656" t="s">
        <v>14275</v>
      </c>
      <c r="F655" s="1447">
        <v>43640</v>
      </c>
      <c r="G655" s="656" t="s">
        <v>12049</v>
      </c>
      <c r="H655" s="656" t="s">
        <v>1777</v>
      </c>
      <c r="I655" s="656"/>
      <c r="J655" s="656"/>
      <c r="K655" s="656"/>
      <c r="L655" s="656" t="s">
        <v>12050</v>
      </c>
      <c r="M655" s="656" t="s">
        <v>16340</v>
      </c>
      <c r="N655" s="656"/>
      <c r="O655" s="656" t="s">
        <v>6387</v>
      </c>
      <c r="P655" s="5"/>
      <c r="Q655" s="1447">
        <v>43264</v>
      </c>
      <c r="R655" s="656"/>
      <c r="S655" s="656" t="s">
        <v>1300</v>
      </c>
      <c r="T655" s="656"/>
      <c r="U655" s="656" t="s">
        <v>1300</v>
      </c>
      <c r="V655" s="656"/>
      <c r="W655" s="656" t="s">
        <v>13051</v>
      </c>
      <c r="X655" s="656" t="s">
        <v>498</v>
      </c>
      <c r="Y655" s="656" t="s">
        <v>14278</v>
      </c>
      <c r="Z655" s="656">
        <v>44305.523981481485</v>
      </c>
      <c r="AA655" s="656" t="s">
        <v>14335</v>
      </c>
      <c r="AB655" s="656"/>
    </row>
    <row r="656" spans="1:28">
      <c r="A656" s="656" t="s">
        <v>1570</v>
      </c>
      <c r="B656" s="656" t="s">
        <v>1571</v>
      </c>
      <c r="C656" s="656" t="s">
        <v>20</v>
      </c>
      <c r="D656" s="656" t="s">
        <v>12008</v>
      </c>
      <c r="E656" s="656" t="s">
        <v>14275</v>
      </c>
      <c r="F656" s="1447">
        <v>43689</v>
      </c>
      <c r="G656" s="656" t="s">
        <v>12007</v>
      </c>
      <c r="H656" s="656" t="s">
        <v>1777</v>
      </c>
      <c r="I656" s="656"/>
      <c r="J656" s="656"/>
      <c r="K656" s="656"/>
      <c r="L656" s="656" t="s">
        <v>12008</v>
      </c>
      <c r="M656" s="656" t="s">
        <v>16200</v>
      </c>
      <c r="N656" s="656"/>
      <c r="O656" s="656" t="s">
        <v>6387</v>
      </c>
      <c r="P656" s="5"/>
      <c r="Q656" s="1447">
        <v>43195</v>
      </c>
      <c r="R656" s="656"/>
      <c r="S656" s="656" t="s">
        <v>500</v>
      </c>
      <c r="T656" s="656"/>
      <c r="U656" s="656" t="s">
        <v>500</v>
      </c>
      <c r="V656" s="656"/>
      <c r="W656" s="656" t="s">
        <v>13051</v>
      </c>
      <c r="X656" s="656" t="s">
        <v>498</v>
      </c>
      <c r="Y656" s="656" t="s">
        <v>14278</v>
      </c>
      <c r="Z656" s="656">
        <v>44305.523969907408</v>
      </c>
      <c r="AA656" s="656" t="s">
        <v>14335</v>
      </c>
      <c r="AB656" s="656"/>
    </row>
    <row r="657" spans="1:28">
      <c r="A657" s="656" t="s">
        <v>1574</v>
      </c>
      <c r="B657" s="656" t="s">
        <v>11155</v>
      </c>
      <c r="C657" s="656" t="s">
        <v>21</v>
      </c>
      <c r="D657" s="656" t="s">
        <v>11929</v>
      </c>
      <c r="E657" s="656" t="s">
        <v>14275</v>
      </c>
      <c r="F657" s="1447">
        <v>43615</v>
      </c>
      <c r="G657" s="656" t="s">
        <v>11156</v>
      </c>
      <c r="H657" s="656" t="s">
        <v>1777</v>
      </c>
      <c r="I657" s="656" t="s">
        <v>14468</v>
      </c>
      <c r="J657" s="656" t="s">
        <v>11929</v>
      </c>
      <c r="K657" s="656" t="s">
        <v>9774</v>
      </c>
      <c r="L657" s="656"/>
      <c r="M657" s="656" t="s">
        <v>16196</v>
      </c>
      <c r="N657" s="656"/>
      <c r="O657" s="656" t="s">
        <v>6395</v>
      </c>
      <c r="P657" s="5"/>
      <c r="Q657" s="1447">
        <v>43157</v>
      </c>
      <c r="R657" s="656">
        <v>43446</v>
      </c>
      <c r="S657" s="656" t="s">
        <v>1394</v>
      </c>
      <c r="T657" s="656" t="s">
        <v>1394</v>
      </c>
      <c r="U657" s="656" t="s">
        <v>541</v>
      </c>
      <c r="V657" s="656"/>
      <c r="W657" s="656" t="s">
        <v>13051</v>
      </c>
      <c r="X657" s="656" t="s">
        <v>498</v>
      </c>
      <c r="Y657" s="656" t="s">
        <v>14278</v>
      </c>
      <c r="Z657" s="656">
        <v>44305.523958333331</v>
      </c>
      <c r="AA657" s="656" t="s">
        <v>14335</v>
      </c>
      <c r="AB657" s="656"/>
    </row>
    <row r="658" spans="1:28">
      <c r="A658" s="656" t="s">
        <v>1574</v>
      </c>
      <c r="B658" s="656" t="s">
        <v>11155</v>
      </c>
      <c r="C658" s="656" t="s">
        <v>20</v>
      </c>
      <c r="D658" s="656" t="s">
        <v>11157</v>
      </c>
      <c r="E658" s="656" t="s">
        <v>14275</v>
      </c>
      <c r="F658" s="1447">
        <v>43620</v>
      </c>
      <c r="G658" s="656" t="s">
        <v>11156</v>
      </c>
      <c r="H658" s="656" t="s">
        <v>1777</v>
      </c>
      <c r="I658" s="656"/>
      <c r="J658" s="656"/>
      <c r="K658" s="656"/>
      <c r="L658" s="656" t="s">
        <v>11157</v>
      </c>
      <c r="M658" s="656" t="s">
        <v>16196</v>
      </c>
      <c r="N658" s="656"/>
      <c r="O658" s="656" t="s">
        <v>9714</v>
      </c>
      <c r="P658" s="5"/>
      <c r="Q658" s="1447"/>
      <c r="R658" s="656"/>
      <c r="S658" s="656" t="s">
        <v>1394</v>
      </c>
      <c r="T658" s="656" t="s">
        <v>282</v>
      </c>
      <c r="U658" s="656" t="s">
        <v>1394</v>
      </c>
      <c r="V658" s="656"/>
      <c r="W658" s="656" t="s">
        <v>13051</v>
      </c>
      <c r="X658" s="656" t="s">
        <v>498</v>
      </c>
      <c r="Y658" s="656" t="s">
        <v>14278</v>
      </c>
      <c r="Z658" s="656">
        <v>44305.523969907408</v>
      </c>
      <c r="AA658" s="656" t="s">
        <v>14335</v>
      </c>
      <c r="AB658" s="656"/>
    </row>
    <row r="659" spans="1:28">
      <c r="A659" s="656" t="s">
        <v>1606</v>
      </c>
      <c r="B659" s="656" t="s">
        <v>1607</v>
      </c>
      <c r="C659" s="656" t="s">
        <v>21</v>
      </c>
      <c r="D659" s="656" t="s">
        <v>11918</v>
      </c>
      <c r="E659" s="656" t="s">
        <v>14275</v>
      </c>
      <c r="F659" s="1447">
        <v>43668</v>
      </c>
      <c r="G659" s="656" t="s">
        <v>11903</v>
      </c>
      <c r="H659" s="656" t="s">
        <v>1777</v>
      </c>
      <c r="I659" s="656" t="s">
        <v>14469</v>
      </c>
      <c r="J659" s="656" t="s">
        <v>11918</v>
      </c>
      <c r="K659" s="656" t="s">
        <v>9774</v>
      </c>
      <c r="L659" s="656"/>
      <c r="M659" s="656" t="s">
        <v>16196</v>
      </c>
      <c r="N659" s="656"/>
      <c r="O659" s="656" t="s">
        <v>6395</v>
      </c>
      <c r="P659" s="5"/>
      <c r="Q659" s="1447">
        <v>43147</v>
      </c>
      <c r="R659" s="656">
        <v>43602</v>
      </c>
      <c r="S659" s="656" t="s">
        <v>1394</v>
      </c>
      <c r="T659" s="656"/>
      <c r="U659" s="656" t="s">
        <v>1394</v>
      </c>
      <c r="V659" s="656"/>
      <c r="W659" s="656" t="s">
        <v>13051</v>
      </c>
      <c r="X659" s="656" t="s">
        <v>498</v>
      </c>
      <c r="Y659" s="656" t="s">
        <v>14278</v>
      </c>
      <c r="Z659" s="656">
        <v>44305.523935185185</v>
      </c>
      <c r="AA659" s="656" t="s">
        <v>14335</v>
      </c>
      <c r="AB659" s="656"/>
    </row>
    <row r="660" spans="1:28">
      <c r="A660" s="656" t="s">
        <v>1606</v>
      </c>
      <c r="B660" s="656" t="s">
        <v>1607</v>
      </c>
      <c r="C660" s="656" t="s">
        <v>20</v>
      </c>
      <c r="D660" s="656" t="s">
        <v>11904</v>
      </c>
      <c r="E660" s="656" t="s">
        <v>14275</v>
      </c>
      <c r="F660" s="1447">
        <v>43493</v>
      </c>
      <c r="G660" s="656" t="s">
        <v>11903</v>
      </c>
      <c r="H660" s="656" t="s">
        <v>1777</v>
      </c>
      <c r="I660" s="656"/>
      <c r="J660" s="656"/>
      <c r="K660" s="656"/>
      <c r="L660" s="656" t="s">
        <v>11904</v>
      </c>
      <c r="M660" s="656" t="s">
        <v>1947</v>
      </c>
      <c r="N660" s="656"/>
      <c r="O660" s="656" t="s">
        <v>6395</v>
      </c>
      <c r="P660" s="5"/>
      <c r="Q660" s="1447">
        <v>43131</v>
      </c>
      <c r="R660" s="656"/>
      <c r="S660" s="656" t="s">
        <v>1394</v>
      </c>
      <c r="T660" s="656"/>
      <c r="U660" s="656"/>
      <c r="V660" s="656"/>
      <c r="W660" s="656" t="s">
        <v>13051</v>
      </c>
      <c r="X660" s="656" t="s">
        <v>498</v>
      </c>
      <c r="Y660" s="656" t="s">
        <v>14278</v>
      </c>
      <c r="Z660" s="656">
        <v>44305.523946759262</v>
      </c>
      <c r="AA660" s="656" t="s">
        <v>14335</v>
      </c>
      <c r="AB660" s="656"/>
    </row>
    <row r="661" spans="1:28">
      <c r="A661" s="656" t="s">
        <v>1606</v>
      </c>
      <c r="B661" s="656" t="s">
        <v>1607</v>
      </c>
      <c r="C661" s="656" t="s">
        <v>20</v>
      </c>
      <c r="D661" s="656" t="s">
        <v>11983</v>
      </c>
      <c r="E661" s="656" t="s">
        <v>14275</v>
      </c>
      <c r="F661" s="1447">
        <v>43665</v>
      </c>
      <c r="G661" s="656" t="s">
        <v>11903</v>
      </c>
      <c r="H661" s="656" t="s">
        <v>1777</v>
      </c>
      <c r="I661" s="656"/>
      <c r="J661" s="656"/>
      <c r="K661" s="656"/>
      <c r="L661" s="656" t="s">
        <v>11983</v>
      </c>
      <c r="M661" s="656" t="s">
        <v>16196</v>
      </c>
      <c r="N661" s="656"/>
      <c r="O661" s="656" t="s">
        <v>6395</v>
      </c>
      <c r="P661" s="5"/>
      <c r="Q661" s="1447">
        <v>43165</v>
      </c>
      <c r="R661" s="656"/>
      <c r="S661" s="656" t="s">
        <v>1394</v>
      </c>
      <c r="T661" s="656" t="s">
        <v>541</v>
      </c>
      <c r="U661" s="656" t="s">
        <v>1394</v>
      </c>
      <c r="V661" s="656"/>
      <c r="W661" s="656" t="s">
        <v>13051</v>
      </c>
      <c r="X661" s="656" t="s">
        <v>498</v>
      </c>
      <c r="Y661" s="656" t="s">
        <v>14278</v>
      </c>
      <c r="Z661" s="656">
        <v>44305.523958333331</v>
      </c>
      <c r="AA661" s="656" t="s">
        <v>14335</v>
      </c>
      <c r="AB661" s="656"/>
    </row>
    <row r="662" spans="1:28">
      <c r="A662" s="656" t="s">
        <v>1633</v>
      </c>
      <c r="B662" s="656" t="s">
        <v>1634</v>
      </c>
      <c r="C662" s="656" t="s">
        <v>21</v>
      </c>
      <c r="D662" s="656" t="s">
        <v>12000</v>
      </c>
      <c r="E662" s="656" t="s">
        <v>14275</v>
      </c>
      <c r="F662" s="1447">
        <v>43399</v>
      </c>
      <c r="G662" s="656" t="s">
        <v>11999</v>
      </c>
      <c r="H662" s="656" t="s">
        <v>1777</v>
      </c>
      <c r="I662" s="656" t="s">
        <v>14470</v>
      </c>
      <c r="J662" s="656" t="s">
        <v>12000</v>
      </c>
      <c r="K662" s="656" t="s">
        <v>9774</v>
      </c>
      <c r="L662" s="656"/>
      <c r="M662" s="656" t="s">
        <v>16196</v>
      </c>
      <c r="N662" s="656"/>
      <c r="O662" s="656" t="s">
        <v>6395</v>
      </c>
      <c r="P662" s="5"/>
      <c r="Q662" s="1447">
        <v>43182</v>
      </c>
      <c r="R662" s="656">
        <v>43242</v>
      </c>
      <c r="S662" s="656" t="s">
        <v>1394</v>
      </c>
      <c r="T662" s="656"/>
      <c r="U662" s="656" t="s">
        <v>1394</v>
      </c>
      <c r="V662" s="656"/>
      <c r="W662" s="656" t="s">
        <v>13051</v>
      </c>
      <c r="X662" s="656" t="s">
        <v>498</v>
      </c>
      <c r="Y662" s="656" t="s">
        <v>14278</v>
      </c>
      <c r="Z662" s="656">
        <v>44305.523912037039</v>
      </c>
      <c r="AA662" s="656" t="s">
        <v>14335</v>
      </c>
      <c r="AB662" s="656"/>
    </row>
    <row r="663" spans="1:28">
      <c r="A663" s="656" t="s">
        <v>1633</v>
      </c>
      <c r="B663" s="656" t="s">
        <v>11898</v>
      </c>
      <c r="C663" s="656" t="s">
        <v>20</v>
      </c>
      <c r="D663" s="656" t="s">
        <v>11900</v>
      </c>
      <c r="E663" s="656" t="s">
        <v>14275</v>
      </c>
      <c r="F663" s="1447">
        <v>43349</v>
      </c>
      <c r="G663" s="656" t="s">
        <v>11899</v>
      </c>
      <c r="H663" s="656" t="s">
        <v>1777</v>
      </c>
      <c r="I663" s="656"/>
      <c r="J663" s="656"/>
      <c r="K663" s="656"/>
      <c r="L663" s="656" t="s">
        <v>11900</v>
      </c>
      <c r="M663" s="656" t="s">
        <v>16196</v>
      </c>
      <c r="N663" s="656"/>
      <c r="O663" s="656" t="s">
        <v>6395</v>
      </c>
      <c r="P663" s="5"/>
      <c r="Q663" s="1447">
        <v>43129</v>
      </c>
      <c r="R663" s="656"/>
      <c r="S663" s="656" t="s">
        <v>1394</v>
      </c>
      <c r="T663" s="656"/>
      <c r="U663" s="656" t="s">
        <v>1394</v>
      </c>
      <c r="V663" s="656"/>
      <c r="W663" s="656" t="s">
        <v>13051</v>
      </c>
      <c r="X663" s="656" t="s">
        <v>498</v>
      </c>
      <c r="Y663" s="656" t="s">
        <v>14278</v>
      </c>
      <c r="Z663" s="656">
        <v>44305.523923611108</v>
      </c>
      <c r="AA663" s="656" t="s">
        <v>14335</v>
      </c>
      <c r="AB663" s="656"/>
    </row>
    <row r="664" spans="1:28">
      <c r="A664" s="656" t="s">
        <v>1633</v>
      </c>
      <c r="B664" s="656" t="s">
        <v>1634</v>
      </c>
      <c r="C664" s="656" t="s">
        <v>20</v>
      </c>
      <c r="D664" s="656" t="s">
        <v>12047</v>
      </c>
      <c r="E664" s="656" t="s">
        <v>14275</v>
      </c>
      <c r="F664" s="1447">
        <v>43349</v>
      </c>
      <c r="G664" s="656" t="s">
        <v>12046</v>
      </c>
      <c r="H664" s="656" t="s">
        <v>1777</v>
      </c>
      <c r="I664" s="656"/>
      <c r="J664" s="656"/>
      <c r="K664" s="656"/>
      <c r="L664" s="656" t="s">
        <v>12047</v>
      </c>
      <c r="M664" s="656" t="s">
        <v>16196</v>
      </c>
      <c r="N664" s="656"/>
      <c r="O664" s="656" t="s">
        <v>6395</v>
      </c>
      <c r="P664" s="5"/>
      <c r="Q664" s="1447">
        <v>43256</v>
      </c>
      <c r="R664" s="656"/>
      <c r="S664" s="656" t="s">
        <v>3756</v>
      </c>
      <c r="T664" s="656"/>
      <c r="U664" s="656" t="s">
        <v>3756</v>
      </c>
      <c r="V664" s="656"/>
      <c r="W664" s="656" t="s">
        <v>13051</v>
      </c>
      <c r="X664" s="656" t="s">
        <v>498</v>
      </c>
      <c r="Y664" s="656" t="s">
        <v>14278</v>
      </c>
      <c r="Z664" s="656">
        <v>44305.523923611108</v>
      </c>
      <c r="AA664" s="656" t="s">
        <v>14335</v>
      </c>
      <c r="AB664" s="656"/>
    </row>
    <row r="665" spans="1:28">
      <c r="A665" s="656" t="s">
        <v>1645</v>
      </c>
      <c r="B665" s="656" t="s">
        <v>1646</v>
      </c>
      <c r="C665" s="656" t="s">
        <v>21</v>
      </c>
      <c r="D665" s="656" t="s">
        <v>12001</v>
      </c>
      <c r="E665" s="656" t="s">
        <v>14275</v>
      </c>
      <c r="F665" s="1447">
        <v>43670</v>
      </c>
      <c r="G665" s="656" t="s">
        <v>11910</v>
      </c>
      <c r="H665" s="656" t="s">
        <v>1777</v>
      </c>
      <c r="I665" s="656" t="s">
        <v>14471</v>
      </c>
      <c r="J665" s="656" t="s">
        <v>12001</v>
      </c>
      <c r="K665" s="656" t="s">
        <v>9774</v>
      </c>
      <c r="L665" s="656"/>
      <c r="M665" s="656" t="s">
        <v>16324</v>
      </c>
      <c r="N665" s="656"/>
      <c r="O665" s="656" t="s">
        <v>6387</v>
      </c>
      <c r="P665" s="5"/>
      <c r="Q665" s="1447">
        <v>43185</v>
      </c>
      <c r="R665" s="656">
        <v>43493</v>
      </c>
      <c r="S665" s="656" t="s">
        <v>1300</v>
      </c>
      <c r="T665" s="656"/>
      <c r="U665" s="656" t="s">
        <v>1300</v>
      </c>
      <c r="V665" s="656"/>
      <c r="W665" s="656" t="s">
        <v>13051</v>
      </c>
      <c r="X665" s="656" t="s">
        <v>498</v>
      </c>
      <c r="Y665" s="656" t="s">
        <v>14278</v>
      </c>
      <c r="Z665" s="656">
        <v>44305.523900462962</v>
      </c>
      <c r="AA665" s="656" t="s">
        <v>14335</v>
      </c>
      <c r="AB665" s="656"/>
    </row>
    <row r="666" spans="1:28">
      <c r="A666" s="656" t="s">
        <v>1645</v>
      </c>
      <c r="B666" s="656" t="s">
        <v>1646</v>
      </c>
      <c r="C666" s="656" t="s">
        <v>20</v>
      </c>
      <c r="D666" s="656" t="s">
        <v>11911</v>
      </c>
      <c r="E666" s="656" t="s">
        <v>14275</v>
      </c>
      <c r="F666" s="1447">
        <v>43689</v>
      </c>
      <c r="G666" s="656" t="s">
        <v>11910</v>
      </c>
      <c r="H666" s="656" t="s">
        <v>1777</v>
      </c>
      <c r="I666" s="656"/>
      <c r="J666" s="656"/>
      <c r="K666" s="656"/>
      <c r="L666" s="656" t="s">
        <v>11911</v>
      </c>
      <c r="M666" s="656" t="s">
        <v>16324</v>
      </c>
      <c r="N666" s="656"/>
      <c r="O666" s="656" t="s">
        <v>6387</v>
      </c>
      <c r="P666" s="5"/>
      <c r="Q666" s="1447">
        <v>43137</v>
      </c>
      <c r="R666" s="656"/>
      <c r="S666" s="656" t="s">
        <v>1300</v>
      </c>
      <c r="T666" s="656"/>
      <c r="U666" s="656" t="s">
        <v>1300</v>
      </c>
      <c r="V666" s="656"/>
      <c r="W666" s="656" t="s">
        <v>13051</v>
      </c>
      <c r="X666" s="656" t="s">
        <v>498</v>
      </c>
      <c r="Y666" s="656" t="s">
        <v>14278</v>
      </c>
      <c r="Z666" s="656">
        <v>44305.523912037039</v>
      </c>
      <c r="AA666" s="656" t="s">
        <v>14335</v>
      </c>
      <c r="AB666" s="656"/>
    </row>
    <row r="667" spans="1:28">
      <c r="A667" s="656" t="s">
        <v>1647</v>
      </c>
      <c r="B667" s="656" t="s">
        <v>1648</v>
      </c>
      <c r="C667" s="656" t="s">
        <v>20</v>
      </c>
      <c r="D667" s="656" t="s">
        <v>11883</v>
      </c>
      <c r="E667" s="656" t="s">
        <v>14275</v>
      </c>
      <c r="F667" s="1447">
        <v>43332</v>
      </c>
      <c r="G667" s="656" t="s">
        <v>11882</v>
      </c>
      <c r="H667" s="656" t="s">
        <v>1777</v>
      </c>
      <c r="I667" s="656"/>
      <c r="J667" s="656"/>
      <c r="K667" s="656"/>
      <c r="L667" s="656" t="s">
        <v>11883</v>
      </c>
      <c r="M667" s="656" t="s">
        <v>16374</v>
      </c>
      <c r="N667" s="656"/>
      <c r="O667" s="656" t="s">
        <v>6387</v>
      </c>
      <c r="P667" s="5"/>
      <c r="Q667" s="1447">
        <v>43108</v>
      </c>
      <c r="R667" s="656"/>
      <c r="S667" s="656" t="s">
        <v>1300</v>
      </c>
      <c r="T667" s="656"/>
      <c r="U667" s="656" t="s">
        <v>1300</v>
      </c>
      <c r="V667" s="656"/>
      <c r="W667" s="656" t="s">
        <v>13051</v>
      </c>
      <c r="X667" s="656" t="s">
        <v>498</v>
      </c>
      <c r="Y667" s="656" t="s">
        <v>14278</v>
      </c>
      <c r="Z667" s="656">
        <v>44305.523900462962</v>
      </c>
      <c r="AA667" s="656" t="s">
        <v>14335</v>
      </c>
      <c r="AB667" s="656"/>
    </row>
    <row r="668" spans="1:28">
      <c r="A668" s="656" t="s">
        <v>1649</v>
      </c>
      <c r="B668" s="656" t="s">
        <v>1650</v>
      </c>
      <c r="C668" s="656" t="s">
        <v>21</v>
      </c>
      <c r="D668" s="656" t="s">
        <v>12087</v>
      </c>
      <c r="E668" s="656" t="s">
        <v>14275</v>
      </c>
      <c r="F668" s="1447">
        <v>43942</v>
      </c>
      <c r="G668" s="656" t="s">
        <v>11994</v>
      </c>
      <c r="H668" s="656" t="s">
        <v>1777</v>
      </c>
      <c r="I668" s="656" t="s">
        <v>14472</v>
      </c>
      <c r="J668" s="656" t="s">
        <v>12087</v>
      </c>
      <c r="K668" s="656" t="s">
        <v>9774</v>
      </c>
      <c r="L668" s="656"/>
      <c r="M668" s="656" t="s">
        <v>16375</v>
      </c>
      <c r="N668" s="656"/>
      <c r="O668" s="656" t="s">
        <v>6387</v>
      </c>
      <c r="P668" s="5"/>
      <c r="Q668" s="1447">
        <v>43312</v>
      </c>
      <c r="R668" s="656">
        <v>43811</v>
      </c>
      <c r="S668" s="656" t="s">
        <v>1050</v>
      </c>
      <c r="T668" s="656"/>
      <c r="U668" s="656"/>
      <c r="V668" s="656"/>
      <c r="W668" s="656" t="s">
        <v>13051</v>
      </c>
      <c r="X668" s="656" t="s">
        <v>498</v>
      </c>
      <c r="Y668" s="656" t="s">
        <v>14278</v>
      </c>
      <c r="Z668" s="656">
        <v>44305.75372685185</v>
      </c>
      <c r="AA668" s="656" t="s">
        <v>14335</v>
      </c>
      <c r="AB668" s="656"/>
    </row>
    <row r="669" spans="1:28">
      <c r="A669" s="656" t="s">
        <v>1649</v>
      </c>
      <c r="B669" s="656" t="s">
        <v>1650</v>
      </c>
      <c r="C669" s="656" t="s">
        <v>20</v>
      </c>
      <c r="D669" s="656" t="s">
        <v>11995</v>
      </c>
      <c r="E669" s="656" t="s">
        <v>14275</v>
      </c>
      <c r="F669" s="1447">
        <v>43294</v>
      </c>
      <c r="G669" s="656" t="s">
        <v>11994</v>
      </c>
      <c r="H669" s="656" t="s">
        <v>1777</v>
      </c>
      <c r="I669" s="656"/>
      <c r="J669" s="656"/>
      <c r="K669" s="656"/>
      <c r="L669" s="656" t="s">
        <v>11995</v>
      </c>
      <c r="M669" s="656" t="s">
        <v>1364</v>
      </c>
      <c r="N669" s="656"/>
      <c r="O669" s="656" t="s">
        <v>6387</v>
      </c>
      <c r="P669" s="5"/>
      <c r="Q669" s="1447">
        <v>43179</v>
      </c>
      <c r="R669" s="656"/>
      <c r="S669" s="656" t="s">
        <v>1667</v>
      </c>
      <c r="T669" s="656"/>
      <c r="U669" s="656" t="s">
        <v>1667</v>
      </c>
      <c r="V669" s="656"/>
      <c r="W669" s="656" t="s">
        <v>13051</v>
      </c>
      <c r="X669" s="656" t="s">
        <v>498</v>
      </c>
      <c r="Y669" s="656" t="s">
        <v>14278</v>
      </c>
      <c r="Z669" s="656">
        <v>44305.523888888885</v>
      </c>
      <c r="AA669" s="656" t="s">
        <v>14335</v>
      </c>
      <c r="AB669" s="656"/>
    </row>
    <row r="670" spans="1:28">
      <c r="A670" s="656" t="s">
        <v>1649</v>
      </c>
      <c r="B670" s="656" t="s">
        <v>1650</v>
      </c>
      <c r="C670" s="656" t="s">
        <v>20</v>
      </c>
      <c r="D670" s="656" t="s">
        <v>15392</v>
      </c>
      <c r="E670" s="656" t="s">
        <v>14275</v>
      </c>
      <c r="F670" s="1447">
        <v>43935</v>
      </c>
      <c r="G670" s="656" t="s">
        <v>11994</v>
      </c>
      <c r="H670" s="656" t="s">
        <v>1777</v>
      </c>
      <c r="I670" s="656"/>
      <c r="J670" s="656"/>
      <c r="K670" s="656"/>
      <c r="L670" s="656" t="s">
        <v>15392</v>
      </c>
      <c r="M670" s="656" t="s">
        <v>1175</v>
      </c>
      <c r="N670" s="656"/>
      <c r="O670" s="656" t="s">
        <v>6387</v>
      </c>
      <c r="P670" s="5"/>
      <c r="Q670" s="1447">
        <v>43256</v>
      </c>
      <c r="R670" s="656"/>
      <c r="S670" s="656" t="s">
        <v>1050</v>
      </c>
      <c r="T670" s="656"/>
      <c r="U670" s="656" t="s">
        <v>1050</v>
      </c>
      <c r="V670" s="656"/>
      <c r="W670" s="656" t="s">
        <v>13051</v>
      </c>
      <c r="X670" s="656" t="s">
        <v>498</v>
      </c>
      <c r="Y670" s="656" t="s">
        <v>14278</v>
      </c>
      <c r="Z670" s="656">
        <v>44305.523888888885</v>
      </c>
      <c r="AA670" s="656" t="s">
        <v>14335</v>
      </c>
      <c r="AB670" s="656"/>
    </row>
    <row r="671" spans="1:28">
      <c r="A671" s="656" t="s">
        <v>1651</v>
      </c>
      <c r="B671" s="656" t="s">
        <v>9830</v>
      </c>
      <c r="C671" s="656" t="s">
        <v>21</v>
      </c>
      <c r="D671" s="656" t="s">
        <v>12304</v>
      </c>
      <c r="E671" s="656" t="s">
        <v>14275</v>
      </c>
      <c r="F671" s="1447">
        <v>44074</v>
      </c>
      <c r="G671" s="656" t="s">
        <v>9831</v>
      </c>
      <c r="H671" s="656" t="s">
        <v>1777</v>
      </c>
      <c r="I671" s="656" t="s">
        <v>14473</v>
      </c>
      <c r="J671" s="656" t="s">
        <v>12304</v>
      </c>
      <c r="K671" s="656" t="s">
        <v>9774</v>
      </c>
      <c r="L671" s="656"/>
      <c r="M671" s="656" t="s">
        <v>16331</v>
      </c>
      <c r="N671" s="656"/>
      <c r="O671" s="656" t="s">
        <v>6387</v>
      </c>
      <c r="P671" s="5"/>
      <c r="Q671" s="1447">
        <v>43312</v>
      </c>
      <c r="R671" s="656">
        <v>43858</v>
      </c>
      <c r="S671" s="656" t="s">
        <v>1300</v>
      </c>
      <c r="T671" s="656"/>
      <c r="U671" s="656"/>
      <c r="V671" s="656"/>
      <c r="W671" s="656" t="s">
        <v>13051</v>
      </c>
      <c r="X671" s="656" t="s">
        <v>498</v>
      </c>
      <c r="Y671" s="656" t="s">
        <v>14278</v>
      </c>
      <c r="Z671" s="656">
        <v>44305.523865740739</v>
      </c>
      <c r="AA671" s="656" t="s">
        <v>14335</v>
      </c>
      <c r="AB671" s="656"/>
    </row>
    <row r="672" spans="1:28">
      <c r="A672" s="656" t="s">
        <v>1651</v>
      </c>
      <c r="B672" s="656" t="s">
        <v>9830</v>
      </c>
      <c r="C672" s="656" t="s">
        <v>20</v>
      </c>
      <c r="D672" s="656" t="s">
        <v>9832</v>
      </c>
      <c r="E672" s="656" t="s">
        <v>14275</v>
      </c>
      <c r="F672" s="1447">
        <v>44074</v>
      </c>
      <c r="G672" s="656" t="s">
        <v>9831</v>
      </c>
      <c r="H672" s="656" t="s">
        <v>1777</v>
      </c>
      <c r="I672" s="656"/>
      <c r="J672" s="656"/>
      <c r="K672" s="656"/>
      <c r="L672" s="656" t="s">
        <v>9832</v>
      </c>
      <c r="M672" s="656" t="s">
        <v>16331</v>
      </c>
      <c r="N672" s="656"/>
      <c r="O672" s="656" t="s">
        <v>6387</v>
      </c>
      <c r="P672" s="5"/>
      <c r="Q672" s="1447">
        <v>43238</v>
      </c>
      <c r="R672" s="656"/>
      <c r="S672" s="656" t="s">
        <v>1300</v>
      </c>
      <c r="T672" s="656"/>
      <c r="U672" s="656" t="s">
        <v>1300</v>
      </c>
      <c r="V672" s="656"/>
      <c r="W672" s="656" t="s">
        <v>13051</v>
      </c>
      <c r="X672" s="656" t="s">
        <v>498</v>
      </c>
      <c r="Y672" s="656" t="s">
        <v>14278</v>
      </c>
      <c r="Z672" s="656">
        <v>44305.523877314816</v>
      </c>
      <c r="AA672" s="656" t="s">
        <v>14335</v>
      </c>
      <c r="AB672" s="656"/>
    </row>
    <row r="673" spans="1:28">
      <c r="A673" s="656" t="s">
        <v>1654</v>
      </c>
      <c r="B673" s="656" t="s">
        <v>1655</v>
      </c>
      <c r="C673" s="656" t="s">
        <v>21</v>
      </c>
      <c r="D673" s="656" t="s">
        <v>12093</v>
      </c>
      <c r="E673" s="656" t="s">
        <v>14275</v>
      </c>
      <c r="F673" s="1447">
        <v>43690</v>
      </c>
      <c r="G673" s="656" t="s">
        <v>12026</v>
      </c>
      <c r="H673" s="656" t="s">
        <v>1777</v>
      </c>
      <c r="I673" s="656" t="s">
        <v>14474</v>
      </c>
      <c r="J673" s="656" t="s">
        <v>12093</v>
      </c>
      <c r="K673" s="656" t="s">
        <v>9774</v>
      </c>
      <c r="L673" s="656"/>
      <c r="M673" s="656" t="s">
        <v>16327</v>
      </c>
      <c r="N673" s="656"/>
      <c r="O673" s="656" t="s">
        <v>6387</v>
      </c>
      <c r="P673" s="5"/>
      <c r="Q673" s="1447">
        <v>43322</v>
      </c>
      <c r="R673" s="656">
        <v>43563</v>
      </c>
      <c r="S673" s="656" t="s">
        <v>1050</v>
      </c>
      <c r="T673" s="656"/>
      <c r="U673" s="656"/>
      <c r="V673" s="656"/>
      <c r="W673" s="656" t="s">
        <v>13051</v>
      </c>
      <c r="X673" s="656" t="s">
        <v>498</v>
      </c>
      <c r="Y673" s="656" t="s">
        <v>14278</v>
      </c>
      <c r="Z673" s="656">
        <v>44305.523854166669</v>
      </c>
      <c r="AA673" s="656" t="s">
        <v>14335</v>
      </c>
      <c r="AB673" s="656"/>
    </row>
    <row r="674" spans="1:28">
      <c r="A674" s="656" t="s">
        <v>1654</v>
      </c>
      <c r="B674" s="656" t="s">
        <v>1655</v>
      </c>
      <c r="C674" s="656" t="s">
        <v>20</v>
      </c>
      <c r="D674" s="656" t="s">
        <v>12027</v>
      </c>
      <c r="E674" s="656" t="s">
        <v>14275</v>
      </c>
      <c r="F674" s="1447">
        <v>43689</v>
      </c>
      <c r="G674" s="656" t="s">
        <v>12026</v>
      </c>
      <c r="H674" s="656" t="s">
        <v>1777</v>
      </c>
      <c r="I674" s="656"/>
      <c r="J674" s="656"/>
      <c r="K674" s="656"/>
      <c r="L674" s="656" t="s">
        <v>12027</v>
      </c>
      <c r="M674" s="656" t="s">
        <v>16327</v>
      </c>
      <c r="N674" s="656"/>
      <c r="O674" s="656" t="s">
        <v>6395</v>
      </c>
      <c r="P674" s="5"/>
      <c r="Q674" s="1447">
        <v>43221</v>
      </c>
      <c r="R674" s="656"/>
      <c r="S674" s="656" t="s">
        <v>1050</v>
      </c>
      <c r="T674" s="656"/>
      <c r="U674" s="656" t="s">
        <v>1050</v>
      </c>
      <c r="V674" s="656"/>
      <c r="W674" s="656" t="s">
        <v>13051</v>
      </c>
      <c r="X674" s="656" t="s">
        <v>498</v>
      </c>
      <c r="Y674" s="656" t="s">
        <v>14278</v>
      </c>
      <c r="Z674" s="656">
        <v>44305.523854166669</v>
      </c>
      <c r="AA674" s="656" t="s">
        <v>14335</v>
      </c>
      <c r="AB674" s="656"/>
    </row>
    <row r="675" spans="1:28">
      <c r="A675" s="656" t="s">
        <v>1664</v>
      </c>
      <c r="B675" s="656" t="s">
        <v>1665</v>
      </c>
      <c r="C675" s="656" t="s">
        <v>20</v>
      </c>
      <c r="D675" s="656" t="s">
        <v>12079</v>
      </c>
      <c r="E675" s="656" t="s">
        <v>14275</v>
      </c>
      <c r="F675" s="1447">
        <v>44007</v>
      </c>
      <c r="G675" s="656" t="s">
        <v>12078</v>
      </c>
      <c r="H675" s="656" t="s">
        <v>1777</v>
      </c>
      <c r="I675" s="656"/>
      <c r="J675" s="656"/>
      <c r="K675" s="656"/>
      <c r="L675" s="656" t="s">
        <v>12079</v>
      </c>
      <c r="M675" s="656" t="s">
        <v>16196</v>
      </c>
      <c r="N675" s="656"/>
      <c r="O675" s="656" t="s">
        <v>6395</v>
      </c>
      <c r="P675" s="5" t="s">
        <v>14323</v>
      </c>
      <c r="Q675" s="1447">
        <v>43300</v>
      </c>
      <c r="R675" s="656"/>
      <c r="S675" s="656" t="s">
        <v>3756</v>
      </c>
      <c r="T675" s="656"/>
      <c r="U675" s="656"/>
      <c r="V675" s="656" t="s">
        <v>14323</v>
      </c>
      <c r="W675" s="656" t="s">
        <v>13051</v>
      </c>
      <c r="X675" s="656" t="s">
        <v>498</v>
      </c>
      <c r="Y675" s="656" t="s">
        <v>14278</v>
      </c>
      <c r="Z675" s="656">
        <v>44305.523831018516</v>
      </c>
      <c r="AA675" s="656" t="s">
        <v>14335</v>
      </c>
      <c r="AB675" s="656"/>
    </row>
    <row r="676" spans="1:28">
      <c r="A676" s="656" t="s">
        <v>1664</v>
      </c>
      <c r="B676" s="656" t="s">
        <v>1665</v>
      </c>
      <c r="C676" s="656" t="s">
        <v>20</v>
      </c>
      <c r="D676" s="656" t="s">
        <v>12080</v>
      </c>
      <c r="E676" s="656" t="s">
        <v>14275</v>
      </c>
      <c r="F676" s="1447">
        <v>44007</v>
      </c>
      <c r="G676" s="656" t="s">
        <v>12078</v>
      </c>
      <c r="H676" s="656" t="s">
        <v>1777</v>
      </c>
      <c r="I676" s="656"/>
      <c r="J676" s="656"/>
      <c r="K676" s="656"/>
      <c r="L676" s="656" t="s">
        <v>12080</v>
      </c>
      <c r="M676" s="656" t="s">
        <v>16196</v>
      </c>
      <c r="N676" s="656"/>
      <c r="O676" s="656" t="s">
        <v>6395</v>
      </c>
      <c r="P676" s="5" t="s">
        <v>14475</v>
      </c>
      <c r="Q676" s="1447">
        <v>43300</v>
      </c>
      <c r="R676" s="656"/>
      <c r="S676" s="656" t="s">
        <v>3756</v>
      </c>
      <c r="T676" s="656"/>
      <c r="U676" s="656"/>
      <c r="V676" s="656" t="s">
        <v>14361</v>
      </c>
      <c r="W676" s="656" t="s">
        <v>13051</v>
      </c>
      <c r="X676" s="656" t="s">
        <v>498</v>
      </c>
      <c r="Y676" s="656" t="s">
        <v>14278</v>
      </c>
      <c r="Z676" s="656">
        <v>44305.523842592593</v>
      </c>
      <c r="AA676" s="656" t="s">
        <v>14335</v>
      </c>
      <c r="AB676" s="656"/>
    </row>
    <row r="677" spans="1:28">
      <c r="A677" s="656" t="s">
        <v>1669</v>
      </c>
      <c r="B677" s="656" t="s">
        <v>1670</v>
      </c>
      <c r="C677" s="656" t="s">
        <v>21</v>
      </c>
      <c r="D677" s="656" t="s">
        <v>11913</v>
      </c>
      <c r="E677" s="656" t="s">
        <v>14275</v>
      </c>
      <c r="F677" s="1447">
        <v>43370</v>
      </c>
      <c r="G677" s="656" t="s">
        <v>11878</v>
      </c>
      <c r="H677" s="656" t="s">
        <v>1777</v>
      </c>
      <c r="I677" s="656" t="s">
        <v>14476</v>
      </c>
      <c r="J677" s="656" t="s">
        <v>11913</v>
      </c>
      <c r="K677" s="656" t="s">
        <v>9774</v>
      </c>
      <c r="L677" s="656"/>
      <c r="M677" s="656" t="s">
        <v>16265</v>
      </c>
      <c r="N677" s="656"/>
      <c r="O677" s="656" t="s">
        <v>6387</v>
      </c>
      <c r="P677" s="5"/>
      <c r="Q677" s="1447">
        <v>43137</v>
      </c>
      <c r="R677" s="656">
        <v>43189</v>
      </c>
      <c r="S677" s="656" t="s">
        <v>1300</v>
      </c>
      <c r="T677" s="656"/>
      <c r="U677" s="656" t="s">
        <v>1300</v>
      </c>
      <c r="V677" s="656"/>
      <c r="W677" s="656" t="s">
        <v>13051</v>
      </c>
      <c r="X677" s="656" t="s">
        <v>498</v>
      </c>
      <c r="Y677" s="656" t="s">
        <v>14278</v>
      </c>
      <c r="Z677" s="656">
        <v>44305.52380787037</v>
      </c>
      <c r="AA677" s="656" t="s">
        <v>14335</v>
      </c>
      <c r="AB677" s="656"/>
    </row>
    <row r="678" spans="1:28">
      <c r="A678" s="656" t="s">
        <v>1669</v>
      </c>
      <c r="B678" s="656" t="s">
        <v>1670</v>
      </c>
      <c r="C678" s="656" t="s">
        <v>20</v>
      </c>
      <c r="D678" s="656" t="s">
        <v>11879</v>
      </c>
      <c r="E678" s="656" t="s">
        <v>14275</v>
      </c>
      <c r="F678" s="1447">
        <v>43369</v>
      </c>
      <c r="G678" s="656" t="s">
        <v>11878</v>
      </c>
      <c r="H678" s="656" t="s">
        <v>1777</v>
      </c>
      <c r="I678" s="656"/>
      <c r="J678" s="656"/>
      <c r="K678" s="656"/>
      <c r="L678" s="656" t="s">
        <v>11879</v>
      </c>
      <c r="M678" s="656" t="s">
        <v>1947</v>
      </c>
      <c r="N678" s="656"/>
      <c r="O678" s="656" t="s">
        <v>6387</v>
      </c>
      <c r="P678" s="5"/>
      <c r="Q678" s="1447">
        <v>43083</v>
      </c>
      <c r="R678" s="656"/>
      <c r="S678" s="656" t="s">
        <v>1300</v>
      </c>
      <c r="T678" s="656"/>
      <c r="U678" s="656" t="s">
        <v>1300</v>
      </c>
      <c r="V678" s="656"/>
      <c r="W678" s="656" t="s">
        <v>13051</v>
      </c>
      <c r="X678" s="656" t="s">
        <v>498</v>
      </c>
      <c r="Y678" s="656" t="s">
        <v>14278</v>
      </c>
      <c r="Z678" s="656">
        <v>44305.52380787037</v>
      </c>
      <c r="AA678" s="656" t="s">
        <v>14335</v>
      </c>
      <c r="AB678" s="656"/>
    </row>
    <row r="679" spans="1:28">
      <c r="A679" s="656" t="s">
        <v>1669</v>
      </c>
      <c r="B679" s="656" t="s">
        <v>1670</v>
      </c>
      <c r="C679" s="656" t="s">
        <v>20</v>
      </c>
      <c r="D679" s="656" t="s">
        <v>11992</v>
      </c>
      <c r="E679" s="656" t="s">
        <v>14275</v>
      </c>
      <c r="F679" s="1447">
        <v>43369</v>
      </c>
      <c r="G679" s="656" t="s">
        <v>11878</v>
      </c>
      <c r="H679" s="656" t="s">
        <v>1777</v>
      </c>
      <c r="I679" s="656"/>
      <c r="J679" s="656"/>
      <c r="K679" s="656"/>
      <c r="L679" s="656" t="s">
        <v>11992</v>
      </c>
      <c r="M679" s="656" t="s">
        <v>16265</v>
      </c>
      <c r="N679" s="656"/>
      <c r="O679" s="656" t="s">
        <v>6387</v>
      </c>
      <c r="P679" s="5"/>
      <c r="Q679" s="1447">
        <v>43165</v>
      </c>
      <c r="R679" s="656"/>
      <c r="S679" s="656" t="s">
        <v>1300</v>
      </c>
      <c r="T679" s="656" t="s">
        <v>14477</v>
      </c>
      <c r="U679" s="656" t="s">
        <v>1300</v>
      </c>
      <c r="V679" s="656"/>
      <c r="W679" s="656" t="s">
        <v>13051</v>
      </c>
      <c r="X679" s="656" t="s">
        <v>498</v>
      </c>
      <c r="Y679" s="656" t="s">
        <v>14278</v>
      </c>
      <c r="Z679" s="656">
        <v>44305.523819444446</v>
      </c>
      <c r="AA679" s="656" t="s">
        <v>14335</v>
      </c>
      <c r="AB679" s="656"/>
    </row>
    <row r="680" spans="1:28">
      <c r="A680" s="656" t="s">
        <v>1674</v>
      </c>
      <c r="B680" s="656" t="s">
        <v>1675</v>
      </c>
      <c r="C680" s="656" t="s">
        <v>20</v>
      </c>
      <c r="D680" s="656" t="s">
        <v>12159</v>
      </c>
      <c r="E680" s="656" t="s">
        <v>14275</v>
      </c>
      <c r="F680" s="1447">
        <v>43745</v>
      </c>
      <c r="G680" s="656" t="s">
        <v>12158</v>
      </c>
      <c r="H680" s="656" t="s">
        <v>1777</v>
      </c>
      <c r="I680" s="656"/>
      <c r="J680" s="656"/>
      <c r="K680" s="656"/>
      <c r="L680" s="656" t="s">
        <v>12159</v>
      </c>
      <c r="M680" s="656" t="s">
        <v>12703</v>
      </c>
      <c r="N680" s="656"/>
      <c r="O680" s="656" t="s">
        <v>6387</v>
      </c>
      <c r="P680" s="5"/>
      <c r="Q680" s="1447">
        <v>43384</v>
      </c>
      <c r="R680" s="656"/>
      <c r="S680" s="656" t="s">
        <v>458</v>
      </c>
      <c r="T680" s="656" t="s">
        <v>458</v>
      </c>
      <c r="U680" s="656" t="s">
        <v>500</v>
      </c>
      <c r="V680" s="656"/>
      <c r="W680" s="656" t="s">
        <v>13051</v>
      </c>
      <c r="X680" s="656" t="s">
        <v>498</v>
      </c>
      <c r="Y680" s="656" t="s">
        <v>14278</v>
      </c>
      <c r="Z680" s="656">
        <v>44305.753750000003</v>
      </c>
      <c r="AA680" s="656" t="s">
        <v>14335</v>
      </c>
      <c r="AB680" s="656"/>
    </row>
    <row r="681" spans="1:28">
      <c r="A681" s="656" t="s">
        <v>13019</v>
      </c>
      <c r="B681" s="656" t="s">
        <v>13018</v>
      </c>
      <c r="C681" s="656" t="s">
        <v>21</v>
      </c>
      <c r="D681" s="656" t="s">
        <v>14972</v>
      </c>
      <c r="E681" s="656" t="s">
        <v>14279</v>
      </c>
      <c r="F681" s="1447"/>
      <c r="G681" s="656" t="s">
        <v>14973</v>
      </c>
      <c r="H681" s="656" t="s">
        <v>1777</v>
      </c>
      <c r="I681" s="656" t="s">
        <v>14974</v>
      </c>
      <c r="J681" s="656" t="s">
        <v>14972</v>
      </c>
      <c r="K681" s="656" t="s">
        <v>9774</v>
      </c>
      <c r="L681" s="656"/>
      <c r="M681" s="656" t="s">
        <v>16196</v>
      </c>
      <c r="N681" s="656"/>
      <c r="O681" s="656" t="s">
        <v>6395</v>
      </c>
      <c r="P681" s="5"/>
      <c r="Q681" s="1447">
        <v>44204</v>
      </c>
      <c r="R681" s="656"/>
      <c r="S681" s="656" t="s">
        <v>472</v>
      </c>
      <c r="T681" s="656"/>
      <c r="U681" s="656"/>
      <c r="V681" s="656"/>
      <c r="W681" s="656" t="s">
        <v>13051</v>
      </c>
      <c r="X681" s="656" t="s">
        <v>498</v>
      </c>
      <c r="Y681" s="656" t="s">
        <v>14278</v>
      </c>
      <c r="Z681" s="656">
        <v>44305.523784722223</v>
      </c>
      <c r="AA681" s="656" t="s">
        <v>14335</v>
      </c>
      <c r="AB681" s="656"/>
    </row>
    <row r="682" spans="1:28">
      <c r="A682" s="656" t="s">
        <v>13019</v>
      </c>
      <c r="B682" s="656" t="s">
        <v>13018</v>
      </c>
      <c r="C682" s="656" t="s">
        <v>20</v>
      </c>
      <c r="D682" s="656" t="s">
        <v>14975</v>
      </c>
      <c r="E682" s="656" t="s">
        <v>14279</v>
      </c>
      <c r="F682" s="1447"/>
      <c r="G682" s="656" t="s">
        <v>14973</v>
      </c>
      <c r="H682" s="656" t="s">
        <v>1777</v>
      </c>
      <c r="I682" s="656"/>
      <c r="J682" s="656"/>
      <c r="K682" s="656"/>
      <c r="L682" s="656" t="s">
        <v>14975</v>
      </c>
      <c r="M682" s="656" t="s">
        <v>16196</v>
      </c>
      <c r="N682" s="656"/>
      <c r="O682" s="656" t="s">
        <v>6395</v>
      </c>
      <c r="P682" s="5"/>
      <c r="Q682" s="1447">
        <v>44203</v>
      </c>
      <c r="R682" s="656"/>
      <c r="S682" s="656" t="s">
        <v>472</v>
      </c>
      <c r="T682" s="656"/>
      <c r="U682" s="656"/>
      <c r="V682" s="656"/>
      <c r="W682" s="656" t="s">
        <v>13051</v>
      </c>
      <c r="X682" s="656" t="s">
        <v>498</v>
      </c>
      <c r="Y682" s="656" t="s">
        <v>14278</v>
      </c>
      <c r="Z682" s="656">
        <v>44305.523784722223</v>
      </c>
      <c r="AA682" s="656" t="s">
        <v>14335</v>
      </c>
      <c r="AB682" s="656"/>
    </row>
    <row r="683" spans="1:28">
      <c r="A683" s="656" t="s">
        <v>1680</v>
      </c>
      <c r="B683" s="656" t="s">
        <v>10131</v>
      </c>
      <c r="C683" s="656" t="s">
        <v>21</v>
      </c>
      <c r="D683" s="656" t="s">
        <v>10133</v>
      </c>
      <c r="E683" s="656" t="s">
        <v>14279</v>
      </c>
      <c r="F683" s="1447"/>
      <c r="G683" s="656" t="s">
        <v>10132</v>
      </c>
      <c r="H683" s="656" t="s">
        <v>1584</v>
      </c>
      <c r="I683" s="656" t="s">
        <v>14478</v>
      </c>
      <c r="J683" s="656" t="s">
        <v>10133</v>
      </c>
      <c r="K683" s="656" t="s">
        <v>9774</v>
      </c>
      <c r="L683" s="656"/>
      <c r="M683" s="656" t="s">
        <v>12703</v>
      </c>
      <c r="N683" s="656"/>
      <c r="O683" s="656" t="s">
        <v>6387</v>
      </c>
      <c r="P683" s="5"/>
      <c r="Q683" s="1447">
        <v>43790</v>
      </c>
      <c r="R683" s="656"/>
      <c r="S683" s="656" t="s">
        <v>462</v>
      </c>
      <c r="T683" s="656"/>
      <c r="U683" s="656"/>
      <c r="V683" s="656"/>
      <c r="W683" s="656" t="s">
        <v>13051</v>
      </c>
      <c r="X683" s="656" t="s">
        <v>498</v>
      </c>
      <c r="Y683" s="656" t="s">
        <v>14278</v>
      </c>
      <c r="Z683" s="656">
        <v>44306.435335648152</v>
      </c>
      <c r="AA683" s="656" t="s">
        <v>15959</v>
      </c>
      <c r="AB683" s="656"/>
    </row>
    <row r="684" spans="1:28">
      <c r="A684" s="656" t="s">
        <v>1680</v>
      </c>
      <c r="B684" s="656" t="s">
        <v>10083</v>
      </c>
      <c r="C684" s="656" t="s">
        <v>20</v>
      </c>
      <c r="D684" s="656" t="s">
        <v>10085</v>
      </c>
      <c r="E684" s="656" t="s">
        <v>14279</v>
      </c>
      <c r="F684" s="1447"/>
      <c r="G684" s="656" t="s">
        <v>10084</v>
      </c>
      <c r="H684" s="656" t="s">
        <v>1777</v>
      </c>
      <c r="I684" s="656"/>
      <c r="J684" s="656"/>
      <c r="K684" s="656"/>
      <c r="L684" s="656" t="s">
        <v>10085</v>
      </c>
      <c r="M684" s="656" t="s">
        <v>12703</v>
      </c>
      <c r="N684" s="656"/>
      <c r="O684" s="656" t="s">
        <v>6387</v>
      </c>
      <c r="P684" s="5"/>
      <c r="Q684" s="1447">
        <v>43743</v>
      </c>
      <c r="R684" s="656"/>
      <c r="S684" s="656" t="s">
        <v>462</v>
      </c>
      <c r="T684" s="656"/>
      <c r="U684" s="656"/>
      <c r="V684" s="656"/>
      <c r="W684" s="656" t="s">
        <v>13051</v>
      </c>
      <c r="X684" s="656" t="s">
        <v>498</v>
      </c>
      <c r="Y684" s="656" t="s">
        <v>14278</v>
      </c>
      <c r="Z684" s="656">
        <v>44306.420555555553</v>
      </c>
      <c r="AA684" s="656" t="s">
        <v>15959</v>
      </c>
      <c r="AB684" s="656"/>
    </row>
    <row r="685" spans="1:28">
      <c r="A685" s="656" t="s">
        <v>1681</v>
      </c>
      <c r="B685" s="656" t="s">
        <v>1682</v>
      </c>
      <c r="C685" s="656" t="s">
        <v>21</v>
      </c>
      <c r="D685" s="656" t="s">
        <v>11893</v>
      </c>
      <c r="E685" s="656" t="s">
        <v>14275</v>
      </c>
      <c r="F685" s="1447">
        <v>43423</v>
      </c>
      <c r="G685" s="656" t="s">
        <v>11869</v>
      </c>
      <c r="H685" s="656" t="s">
        <v>1777</v>
      </c>
      <c r="I685" s="656" t="s">
        <v>14479</v>
      </c>
      <c r="J685" s="656" t="s">
        <v>11893</v>
      </c>
      <c r="K685" s="656" t="s">
        <v>9774</v>
      </c>
      <c r="L685" s="656"/>
      <c r="M685" s="656" t="s">
        <v>16376</v>
      </c>
      <c r="N685" s="656"/>
      <c r="O685" s="656" t="s">
        <v>6387</v>
      </c>
      <c r="P685" s="5"/>
      <c r="Q685" s="1447">
        <v>43122</v>
      </c>
      <c r="R685" s="656">
        <v>43308</v>
      </c>
      <c r="S685" s="656" t="s">
        <v>1300</v>
      </c>
      <c r="T685" s="656"/>
      <c r="U685" s="656" t="s">
        <v>1300</v>
      </c>
      <c r="V685" s="656"/>
      <c r="W685" s="656" t="s">
        <v>13051</v>
      </c>
      <c r="X685" s="656" t="s">
        <v>498</v>
      </c>
      <c r="Y685" s="656" t="s">
        <v>14278</v>
      </c>
      <c r="Z685" s="656">
        <v>44305.523761574077</v>
      </c>
      <c r="AA685" s="656" t="s">
        <v>14335</v>
      </c>
      <c r="AB685" s="656"/>
    </row>
    <row r="686" spans="1:28">
      <c r="A686" s="656" t="s">
        <v>1681</v>
      </c>
      <c r="B686" s="656" t="s">
        <v>1682</v>
      </c>
      <c r="C686" s="656" t="s">
        <v>20</v>
      </c>
      <c r="D686" s="656" t="s">
        <v>11870</v>
      </c>
      <c r="E686" s="656" t="s">
        <v>14275</v>
      </c>
      <c r="F686" s="1447">
        <v>43424</v>
      </c>
      <c r="G686" s="656" t="s">
        <v>11869</v>
      </c>
      <c r="H686" s="656" t="s">
        <v>1777</v>
      </c>
      <c r="I686" s="656"/>
      <c r="J686" s="656"/>
      <c r="K686" s="656"/>
      <c r="L686" s="656" t="s">
        <v>11870</v>
      </c>
      <c r="M686" s="656" t="s">
        <v>16376</v>
      </c>
      <c r="N686" s="656"/>
      <c r="O686" s="656" t="s">
        <v>6387</v>
      </c>
      <c r="P686" s="5"/>
      <c r="Q686" s="1447">
        <v>43098</v>
      </c>
      <c r="R686" s="656"/>
      <c r="S686" s="656" t="s">
        <v>1300</v>
      </c>
      <c r="T686" s="656"/>
      <c r="U686" s="656" t="s">
        <v>1300</v>
      </c>
      <c r="V686" s="656"/>
      <c r="W686" s="656" t="s">
        <v>13051</v>
      </c>
      <c r="X686" s="656" t="s">
        <v>498</v>
      </c>
      <c r="Y686" s="656" t="s">
        <v>14278</v>
      </c>
      <c r="Z686" s="656">
        <v>44305.523761574077</v>
      </c>
      <c r="AA686" s="656" t="s">
        <v>14335</v>
      </c>
      <c r="AB686" s="656"/>
    </row>
    <row r="687" spans="1:28">
      <c r="A687" s="656" t="s">
        <v>1683</v>
      </c>
      <c r="B687" s="656" t="s">
        <v>9652</v>
      </c>
      <c r="C687" s="656" t="s">
        <v>21</v>
      </c>
      <c r="D687" s="656" t="s">
        <v>10328</v>
      </c>
      <c r="E687" s="656" t="s">
        <v>14279</v>
      </c>
      <c r="F687" s="1447"/>
      <c r="G687" s="656" t="s">
        <v>10327</v>
      </c>
      <c r="H687" s="656" t="s">
        <v>1777</v>
      </c>
      <c r="I687" s="656" t="s">
        <v>14480</v>
      </c>
      <c r="J687" s="656" t="s">
        <v>10328</v>
      </c>
      <c r="K687" s="656" t="s">
        <v>9774</v>
      </c>
      <c r="L687" s="656"/>
      <c r="M687" s="656" t="s">
        <v>16196</v>
      </c>
      <c r="N687" s="656"/>
      <c r="O687" s="656" t="s">
        <v>6395</v>
      </c>
      <c r="P687" s="5"/>
      <c r="Q687" s="1447">
        <v>44020</v>
      </c>
      <c r="R687" s="656"/>
      <c r="S687" s="656" t="s">
        <v>469</v>
      </c>
      <c r="T687" s="656"/>
      <c r="U687" s="656"/>
      <c r="V687" s="656"/>
      <c r="W687" s="656" t="s">
        <v>13051</v>
      </c>
      <c r="X687" s="656" t="s">
        <v>498</v>
      </c>
      <c r="Y687" s="656" t="s">
        <v>14278</v>
      </c>
      <c r="Z687" s="656">
        <v>44305.523738425924</v>
      </c>
      <c r="AA687" s="656" t="s">
        <v>14335</v>
      </c>
      <c r="AB687" s="656"/>
    </row>
    <row r="688" spans="1:28">
      <c r="A688" s="656" t="s">
        <v>1683</v>
      </c>
      <c r="B688" s="656" t="s">
        <v>10222</v>
      </c>
      <c r="C688" s="656" t="s">
        <v>20</v>
      </c>
      <c r="D688" s="656" t="s">
        <v>10224</v>
      </c>
      <c r="E688" s="656" t="s">
        <v>14279</v>
      </c>
      <c r="F688" s="1447"/>
      <c r="G688" s="656" t="s">
        <v>10223</v>
      </c>
      <c r="H688" s="656" t="s">
        <v>1777</v>
      </c>
      <c r="I688" s="656"/>
      <c r="J688" s="656"/>
      <c r="K688" s="656"/>
      <c r="L688" s="656" t="s">
        <v>10224</v>
      </c>
      <c r="M688" s="656" t="s">
        <v>16196</v>
      </c>
      <c r="N688" s="656"/>
      <c r="O688" s="656" t="s">
        <v>6395</v>
      </c>
      <c r="P688" s="5" t="s">
        <v>14323</v>
      </c>
      <c r="Q688" s="1447">
        <v>43910</v>
      </c>
      <c r="R688" s="656"/>
      <c r="S688" s="656" t="s">
        <v>469</v>
      </c>
      <c r="T688" s="656"/>
      <c r="U688" s="656"/>
      <c r="V688" s="656"/>
      <c r="W688" s="656" t="s">
        <v>13051</v>
      </c>
      <c r="X688" s="656" t="s">
        <v>498</v>
      </c>
      <c r="Y688" s="656" t="s">
        <v>14278</v>
      </c>
      <c r="Z688" s="656">
        <v>44305.523738425924</v>
      </c>
      <c r="AA688" s="656" t="s">
        <v>14335</v>
      </c>
      <c r="AB688" s="656"/>
    </row>
    <row r="689" spans="1:28">
      <c r="A689" s="656" t="s">
        <v>1683</v>
      </c>
      <c r="B689" s="656" t="s">
        <v>10222</v>
      </c>
      <c r="C689" s="656" t="s">
        <v>20</v>
      </c>
      <c r="D689" s="656" t="s">
        <v>10225</v>
      </c>
      <c r="E689" s="656" t="s">
        <v>14279</v>
      </c>
      <c r="F689" s="1447"/>
      <c r="G689" s="656" t="s">
        <v>10223</v>
      </c>
      <c r="H689" s="656" t="s">
        <v>1777</v>
      </c>
      <c r="I689" s="656"/>
      <c r="J689" s="656"/>
      <c r="K689" s="656"/>
      <c r="L689" s="656" t="s">
        <v>10225</v>
      </c>
      <c r="M689" s="656" t="s">
        <v>16196</v>
      </c>
      <c r="N689" s="656"/>
      <c r="O689" s="656" t="s">
        <v>6395</v>
      </c>
      <c r="P689" s="5" t="s">
        <v>14324</v>
      </c>
      <c r="Q689" s="1447">
        <v>43910</v>
      </c>
      <c r="R689" s="656"/>
      <c r="S689" s="656" t="s">
        <v>469</v>
      </c>
      <c r="T689" s="656"/>
      <c r="U689" s="656"/>
      <c r="V689" s="656"/>
      <c r="W689" s="656" t="s">
        <v>13051</v>
      </c>
      <c r="X689" s="656" t="s">
        <v>498</v>
      </c>
      <c r="Y689" s="656" t="s">
        <v>14278</v>
      </c>
      <c r="Z689" s="656">
        <v>44305.52375</v>
      </c>
      <c r="AA689" s="656" t="s">
        <v>14335</v>
      </c>
      <c r="AB689" s="656"/>
    </row>
    <row r="690" spans="1:28">
      <c r="A690" s="656" t="s">
        <v>1690</v>
      </c>
      <c r="B690" s="656" t="s">
        <v>1691</v>
      </c>
      <c r="C690" s="656" t="s">
        <v>21</v>
      </c>
      <c r="D690" s="656" t="s">
        <v>12194</v>
      </c>
      <c r="E690" s="656" t="s">
        <v>14384</v>
      </c>
      <c r="F690" s="1447">
        <v>43952</v>
      </c>
      <c r="G690" s="656" t="s">
        <v>12066</v>
      </c>
      <c r="H690" s="656" t="s">
        <v>1777</v>
      </c>
      <c r="I690" s="656" t="s">
        <v>14481</v>
      </c>
      <c r="J690" s="656" t="s">
        <v>12194</v>
      </c>
      <c r="K690" s="656" t="s">
        <v>9774</v>
      </c>
      <c r="L690" s="656"/>
      <c r="M690" s="656" t="s">
        <v>16196</v>
      </c>
      <c r="N690" s="656"/>
      <c r="O690" s="656" t="s">
        <v>6395</v>
      </c>
      <c r="P690" s="5" t="s">
        <v>14482</v>
      </c>
      <c r="Q690" s="1447">
        <v>43397</v>
      </c>
      <c r="R690" s="656"/>
      <c r="S690" s="656" t="s">
        <v>3756</v>
      </c>
      <c r="T690" s="656"/>
      <c r="U690" s="656" t="s">
        <v>541</v>
      </c>
      <c r="V690" s="656"/>
      <c r="W690" s="656" t="s">
        <v>13051</v>
      </c>
      <c r="X690" s="656" t="s">
        <v>498</v>
      </c>
      <c r="Y690" s="656" t="s">
        <v>14278</v>
      </c>
      <c r="Z690" s="656">
        <v>44305.523726851854</v>
      </c>
      <c r="AA690" s="656" t="s">
        <v>14335</v>
      </c>
      <c r="AB690" s="656"/>
    </row>
    <row r="691" spans="1:28">
      <c r="A691" s="656" t="s">
        <v>1690</v>
      </c>
      <c r="B691" s="656" t="s">
        <v>1691</v>
      </c>
      <c r="C691" s="656" t="s">
        <v>20</v>
      </c>
      <c r="D691" s="656" t="s">
        <v>12067</v>
      </c>
      <c r="E691" s="656" t="s">
        <v>14275</v>
      </c>
      <c r="F691" s="1447">
        <v>43979</v>
      </c>
      <c r="G691" s="656" t="s">
        <v>12066</v>
      </c>
      <c r="H691" s="656" t="s">
        <v>1777</v>
      </c>
      <c r="I691" s="656"/>
      <c r="J691" s="656"/>
      <c r="K691" s="656"/>
      <c r="L691" s="656" t="s">
        <v>12067</v>
      </c>
      <c r="M691" s="656" t="s">
        <v>16196</v>
      </c>
      <c r="N691" s="656"/>
      <c r="O691" s="656" t="s">
        <v>6395</v>
      </c>
      <c r="P691" s="5"/>
      <c r="Q691" s="1447">
        <v>43283</v>
      </c>
      <c r="R691" s="656"/>
      <c r="S691" s="656" t="s">
        <v>3756</v>
      </c>
      <c r="T691" s="656"/>
      <c r="U691" s="656"/>
      <c r="V691" s="656"/>
      <c r="W691" s="656" t="s">
        <v>13051</v>
      </c>
      <c r="X691" s="656" t="s">
        <v>498</v>
      </c>
      <c r="Y691" s="656" t="s">
        <v>14278</v>
      </c>
      <c r="Z691" s="656">
        <v>44305.523738425924</v>
      </c>
      <c r="AA691" s="656" t="s">
        <v>14335</v>
      </c>
      <c r="AB691" s="656"/>
    </row>
    <row r="692" spans="1:28">
      <c r="A692" s="656" t="s">
        <v>1694</v>
      </c>
      <c r="B692" s="656" t="s">
        <v>1695</v>
      </c>
      <c r="C692" s="656" t="s">
        <v>21</v>
      </c>
      <c r="D692" s="656" t="s">
        <v>12002</v>
      </c>
      <c r="E692" s="656" t="s">
        <v>14384</v>
      </c>
      <c r="F692" s="1447">
        <v>43500</v>
      </c>
      <c r="G692" s="656" t="s">
        <v>11914</v>
      </c>
      <c r="H692" s="656" t="s">
        <v>1777</v>
      </c>
      <c r="I692" s="656" t="s">
        <v>14483</v>
      </c>
      <c r="J692" s="656" t="s">
        <v>12002</v>
      </c>
      <c r="K692" s="656" t="s">
        <v>9774</v>
      </c>
      <c r="L692" s="656"/>
      <c r="M692" s="656" t="s">
        <v>16338</v>
      </c>
      <c r="N692" s="656"/>
      <c r="O692" s="656" t="s">
        <v>6395</v>
      </c>
      <c r="P692" s="5" t="s">
        <v>14484</v>
      </c>
      <c r="Q692" s="1447">
        <v>43185</v>
      </c>
      <c r="R692" s="656"/>
      <c r="S692" s="656" t="s">
        <v>1050</v>
      </c>
      <c r="T692" s="656"/>
      <c r="U692" s="656" t="s">
        <v>1050</v>
      </c>
      <c r="V692" s="656"/>
      <c r="W692" s="656" t="s">
        <v>13051</v>
      </c>
      <c r="X692" s="656" t="s">
        <v>498</v>
      </c>
      <c r="Y692" s="656" t="s">
        <v>14278</v>
      </c>
      <c r="Z692" s="656">
        <v>44305.523715277777</v>
      </c>
      <c r="AA692" s="656" t="s">
        <v>14335</v>
      </c>
      <c r="AB692" s="656"/>
    </row>
    <row r="693" spans="1:28">
      <c r="A693" s="656" t="s">
        <v>1694</v>
      </c>
      <c r="B693" s="656" t="s">
        <v>1695</v>
      </c>
      <c r="C693" s="656" t="s">
        <v>20</v>
      </c>
      <c r="D693" s="656" t="s">
        <v>11915</v>
      </c>
      <c r="E693" s="656" t="s">
        <v>14275</v>
      </c>
      <c r="F693" s="1447">
        <v>43508</v>
      </c>
      <c r="G693" s="656" t="s">
        <v>11914</v>
      </c>
      <c r="H693" s="656" t="s">
        <v>1777</v>
      </c>
      <c r="I693" s="656"/>
      <c r="J693" s="656"/>
      <c r="K693" s="656"/>
      <c r="L693" s="656" t="s">
        <v>11915</v>
      </c>
      <c r="M693" s="656" t="s">
        <v>16338</v>
      </c>
      <c r="N693" s="656"/>
      <c r="O693" s="656" t="s">
        <v>6395</v>
      </c>
      <c r="P693" s="5"/>
      <c r="Q693" s="1447">
        <v>43144</v>
      </c>
      <c r="R693" s="656"/>
      <c r="S693" s="656" t="s">
        <v>1050</v>
      </c>
      <c r="T693" s="656"/>
      <c r="U693" s="656" t="s">
        <v>1050</v>
      </c>
      <c r="V693" s="656"/>
      <c r="W693" s="656" t="s">
        <v>13051</v>
      </c>
      <c r="X693" s="656" t="s">
        <v>498</v>
      </c>
      <c r="Y693" s="656" t="s">
        <v>14278</v>
      </c>
      <c r="Z693" s="656">
        <v>44305.523715277777</v>
      </c>
      <c r="AA693" s="656" t="s">
        <v>14335</v>
      </c>
      <c r="AB693" s="656"/>
    </row>
    <row r="694" spans="1:28">
      <c r="A694" s="656" t="s">
        <v>1694</v>
      </c>
      <c r="B694" s="656" t="s">
        <v>1695</v>
      </c>
      <c r="C694" s="656" t="s">
        <v>20</v>
      </c>
      <c r="D694" s="656" t="s">
        <v>11917</v>
      </c>
      <c r="E694" s="656" t="s">
        <v>14275</v>
      </c>
      <c r="F694" s="1447">
        <v>43493</v>
      </c>
      <c r="G694" s="656" t="s">
        <v>11914</v>
      </c>
      <c r="H694" s="656" t="s">
        <v>1777</v>
      </c>
      <c r="I694" s="656"/>
      <c r="J694" s="656"/>
      <c r="K694" s="656"/>
      <c r="L694" s="656" t="s">
        <v>11917</v>
      </c>
      <c r="M694" s="656" t="s">
        <v>1947</v>
      </c>
      <c r="N694" s="656"/>
      <c r="O694" s="656" t="s">
        <v>6395</v>
      </c>
      <c r="P694" s="5"/>
      <c r="Q694" s="1447">
        <v>43146</v>
      </c>
      <c r="R694" s="656"/>
      <c r="S694" s="656" t="s">
        <v>1050</v>
      </c>
      <c r="T694" s="656"/>
      <c r="U694" s="656" t="s">
        <v>1050</v>
      </c>
      <c r="V694" s="656"/>
      <c r="W694" s="656" t="s">
        <v>13051</v>
      </c>
      <c r="X694" s="656" t="s">
        <v>498</v>
      </c>
      <c r="Y694" s="656" t="s">
        <v>14278</v>
      </c>
      <c r="Z694" s="656">
        <v>44305.523715277777</v>
      </c>
      <c r="AA694" s="656" t="s">
        <v>14335</v>
      </c>
      <c r="AB694" s="656"/>
    </row>
    <row r="695" spans="1:28">
      <c r="A695" s="656" t="s">
        <v>1698</v>
      </c>
      <c r="B695" s="656" t="s">
        <v>1699</v>
      </c>
      <c r="C695" s="656" t="s">
        <v>20</v>
      </c>
      <c r="D695" s="656" t="s">
        <v>11855</v>
      </c>
      <c r="E695" s="656" t="s">
        <v>14275</v>
      </c>
      <c r="F695" s="1447">
        <v>43818</v>
      </c>
      <c r="G695" s="656" t="s">
        <v>11854</v>
      </c>
      <c r="H695" s="656" t="s">
        <v>1777</v>
      </c>
      <c r="I695" s="656"/>
      <c r="J695" s="656"/>
      <c r="K695" s="656"/>
      <c r="L695" s="656" t="s">
        <v>11855</v>
      </c>
      <c r="M695" s="656" t="s">
        <v>16377</v>
      </c>
      <c r="N695" s="656"/>
      <c r="O695" s="656" t="s">
        <v>6387</v>
      </c>
      <c r="P695" s="5"/>
      <c r="Q695" s="1447">
        <v>43088</v>
      </c>
      <c r="R695" s="656"/>
      <c r="S695" s="656" t="s">
        <v>1050</v>
      </c>
      <c r="T695" s="656" t="s">
        <v>1050</v>
      </c>
      <c r="U695" s="656" t="s">
        <v>1078</v>
      </c>
      <c r="V695" s="656"/>
      <c r="W695" s="656" t="s">
        <v>13051</v>
      </c>
      <c r="X695" s="656" t="s">
        <v>498</v>
      </c>
      <c r="Y695" s="656" t="s">
        <v>14278</v>
      </c>
      <c r="Z695" s="656">
        <v>44305.5237037037</v>
      </c>
      <c r="AA695" s="656" t="s">
        <v>14335</v>
      </c>
      <c r="AB695" s="656"/>
    </row>
    <row r="696" spans="1:28">
      <c r="A696" s="656" t="s">
        <v>1706</v>
      </c>
      <c r="B696" s="656" t="s">
        <v>1707</v>
      </c>
      <c r="C696" s="656" t="s">
        <v>21</v>
      </c>
      <c r="D696" s="656" t="s">
        <v>10205</v>
      </c>
      <c r="E696" s="656" t="s">
        <v>14275</v>
      </c>
      <c r="F696" s="1447">
        <v>44313</v>
      </c>
      <c r="G696" s="656" t="s">
        <v>9865</v>
      </c>
      <c r="H696" s="656" t="s">
        <v>1584</v>
      </c>
      <c r="I696" s="656" t="s">
        <v>14485</v>
      </c>
      <c r="J696" s="656" t="s">
        <v>10205</v>
      </c>
      <c r="K696" s="656" t="s">
        <v>9774</v>
      </c>
      <c r="L696" s="656"/>
      <c r="M696" s="656" t="s">
        <v>12703</v>
      </c>
      <c r="N696" s="656"/>
      <c r="O696" s="656" t="s">
        <v>6387</v>
      </c>
      <c r="P696" s="5"/>
      <c r="Q696" s="1447">
        <v>43887</v>
      </c>
      <c r="R696" s="656">
        <v>44255</v>
      </c>
      <c r="S696" s="656" t="s">
        <v>450</v>
      </c>
      <c r="T696" s="656"/>
      <c r="U696" s="656"/>
      <c r="V696" s="656"/>
      <c r="W696" s="656" t="s">
        <v>13051</v>
      </c>
      <c r="X696" s="656" t="s">
        <v>498</v>
      </c>
      <c r="Y696" s="656" t="s">
        <v>14278</v>
      </c>
      <c r="Z696" s="656">
        <v>44314.684039351851</v>
      </c>
      <c r="AA696" s="656" t="s">
        <v>14276</v>
      </c>
      <c r="AB696" s="656"/>
    </row>
    <row r="697" spans="1:28">
      <c r="A697" s="656" t="s">
        <v>1706</v>
      </c>
      <c r="B697" s="656" t="s">
        <v>1707</v>
      </c>
      <c r="C697" s="656" t="s">
        <v>20</v>
      </c>
      <c r="D697" s="656" t="s">
        <v>9866</v>
      </c>
      <c r="E697" s="656" t="s">
        <v>14279</v>
      </c>
      <c r="F697" s="1447"/>
      <c r="G697" s="656" t="s">
        <v>9865</v>
      </c>
      <c r="H697" s="656" t="s">
        <v>1777</v>
      </c>
      <c r="I697" s="656"/>
      <c r="J697" s="656"/>
      <c r="K697" s="656"/>
      <c r="L697" s="656" t="s">
        <v>9866</v>
      </c>
      <c r="M697" s="656" t="s">
        <v>12703</v>
      </c>
      <c r="N697" s="656"/>
      <c r="O697" s="656" t="s">
        <v>6387</v>
      </c>
      <c r="P697" s="5"/>
      <c r="Q697" s="1447">
        <v>43360</v>
      </c>
      <c r="R697" s="656"/>
      <c r="S697" s="656" t="s">
        <v>458</v>
      </c>
      <c r="T697" s="656"/>
      <c r="U697" s="656" t="s">
        <v>458</v>
      </c>
      <c r="V697" s="656"/>
      <c r="W697" s="656" t="s">
        <v>13051</v>
      </c>
      <c r="X697" s="656" t="s">
        <v>498</v>
      </c>
      <c r="Y697" s="656" t="s">
        <v>14278</v>
      </c>
      <c r="Z697" s="656">
        <v>44305.753761574073</v>
      </c>
      <c r="AA697" s="656" t="s">
        <v>14335</v>
      </c>
      <c r="AB697" s="656"/>
    </row>
    <row r="698" spans="1:28">
      <c r="A698" s="656" t="s">
        <v>1734</v>
      </c>
      <c r="B698" s="656" t="s">
        <v>1735</v>
      </c>
      <c r="C698" s="656" t="s">
        <v>21</v>
      </c>
      <c r="D698" s="656" t="s">
        <v>11924</v>
      </c>
      <c r="E698" s="656" t="s">
        <v>14275</v>
      </c>
      <c r="F698" s="1447">
        <v>43509</v>
      </c>
      <c r="G698" s="656" t="s">
        <v>11908</v>
      </c>
      <c r="H698" s="656" t="s">
        <v>1777</v>
      </c>
      <c r="I698" s="656" t="s">
        <v>14486</v>
      </c>
      <c r="J698" s="656" t="s">
        <v>11924</v>
      </c>
      <c r="K698" s="656" t="s">
        <v>9774</v>
      </c>
      <c r="L698" s="656"/>
      <c r="M698" s="656" t="s">
        <v>16321</v>
      </c>
      <c r="N698" s="656"/>
      <c r="O698" s="656" t="s">
        <v>6387</v>
      </c>
      <c r="P698" s="5"/>
      <c r="Q698" s="1447">
        <v>43157</v>
      </c>
      <c r="R698" s="656">
        <v>43371</v>
      </c>
      <c r="S698" s="656" t="s">
        <v>1300</v>
      </c>
      <c r="T698" s="656"/>
      <c r="U698" s="656" t="s">
        <v>1300</v>
      </c>
      <c r="V698" s="656"/>
      <c r="W698" s="656" t="s">
        <v>13051</v>
      </c>
      <c r="X698" s="656" t="s">
        <v>498</v>
      </c>
      <c r="Y698" s="656" t="s">
        <v>14278</v>
      </c>
      <c r="Z698" s="656">
        <v>44305.523680555554</v>
      </c>
      <c r="AA698" s="656" t="s">
        <v>14335</v>
      </c>
      <c r="AB698" s="656"/>
    </row>
    <row r="699" spans="1:28">
      <c r="A699" s="656" t="s">
        <v>1734</v>
      </c>
      <c r="B699" s="656" t="s">
        <v>1735</v>
      </c>
      <c r="C699" s="656" t="s">
        <v>20</v>
      </c>
      <c r="D699" s="656" t="s">
        <v>11909</v>
      </c>
      <c r="E699" s="656" t="s">
        <v>14275</v>
      </c>
      <c r="F699" s="1447">
        <v>43508</v>
      </c>
      <c r="G699" s="656" t="s">
        <v>11908</v>
      </c>
      <c r="H699" s="656" t="s">
        <v>1777</v>
      </c>
      <c r="I699" s="656"/>
      <c r="J699" s="656"/>
      <c r="K699" s="656"/>
      <c r="L699" s="656" t="s">
        <v>11909</v>
      </c>
      <c r="M699" s="656" t="s">
        <v>16321</v>
      </c>
      <c r="N699" s="656"/>
      <c r="O699" s="656" t="s">
        <v>6387</v>
      </c>
      <c r="P699" s="5"/>
      <c r="Q699" s="1447">
        <v>43137</v>
      </c>
      <c r="R699" s="656"/>
      <c r="S699" s="656" t="s">
        <v>1300</v>
      </c>
      <c r="T699" s="656"/>
      <c r="U699" s="656" t="s">
        <v>1300</v>
      </c>
      <c r="V699" s="656"/>
      <c r="W699" s="656" t="s">
        <v>13051</v>
      </c>
      <c r="X699" s="656" t="s">
        <v>498</v>
      </c>
      <c r="Y699" s="656" t="s">
        <v>14278</v>
      </c>
      <c r="Z699" s="656">
        <v>44305.523692129631</v>
      </c>
      <c r="AA699" s="656" t="s">
        <v>14335</v>
      </c>
      <c r="AB699" s="656"/>
    </row>
    <row r="700" spans="1:28">
      <c r="A700" s="656" t="s">
        <v>1748</v>
      </c>
      <c r="B700" s="656" t="s">
        <v>16378</v>
      </c>
      <c r="C700" s="656" t="s">
        <v>21</v>
      </c>
      <c r="D700" s="656" t="s">
        <v>10285</v>
      </c>
      <c r="E700" s="656" t="s">
        <v>14313</v>
      </c>
      <c r="F700" s="1447"/>
      <c r="G700" s="656" t="s">
        <v>16379</v>
      </c>
      <c r="H700" s="656" t="s">
        <v>1777</v>
      </c>
      <c r="I700" s="656" t="s">
        <v>14487</v>
      </c>
      <c r="J700" s="656" t="s">
        <v>10285</v>
      </c>
      <c r="K700" s="656" t="s">
        <v>9774</v>
      </c>
      <c r="L700" s="656"/>
      <c r="M700" s="656" t="s">
        <v>16200</v>
      </c>
      <c r="N700" s="656"/>
      <c r="O700" s="656" t="s">
        <v>10214</v>
      </c>
      <c r="P700" s="5"/>
      <c r="Q700" s="1447">
        <v>43984</v>
      </c>
      <c r="R700" s="656">
        <v>44286</v>
      </c>
      <c r="S700" s="656" t="s">
        <v>450</v>
      </c>
      <c r="T700" s="656"/>
      <c r="U700" s="656"/>
      <c r="V700" s="656"/>
      <c r="W700" s="656" t="s">
        <v>13051</v>
      </c>
      <c r="X700" s="656" t="s">
        <v>498</v>
      </c>
      <c r="Y700" s="656" t="s">
        <v>14278</v>
      </c>
      <c r="Z700" s="656">
        <v>44305.523668981485</v>
      </c>
      <c r="AA700" s="656" t="s">
        <v>14335</v>
      </c>
      <c r="AB700" s="656"/>
    </row>
    <row r="701" spans="1:28">
      <c r="A701" s="656" t="s">
        <v>1748</v>
      </c>
      <c r="B701" s="656" t="s">
        <v>9052</v>
      </c>
      <c r="C701" s="656" t="s">
        <v>20</v>
      </c>
      <c r="D701" s="656" t="s">
        <v>10246</v>
      </c>
      <c r="E701" s="656" t="s">
        <v>14279</v>
      </c>
      <c r="F701" s="1447"/>
      <c r="G701" s="656" t="s">
        <v>10245</v>
      </c>
      <c r="H701" s="656" t="s">
        <v>1777</v>
      </c>
      <c r="I701" s="656"/>
      <c r="J701" s="656"/>
      <c r="K701" s="656"/>
      <c r="L701" s="656" t="s">
        <v>10246</v>
      </c>
      <c r="M701" s="656" t="s">
        <v>16200</v>
      </c>
      <c r="N701" s="656"/>
      <c r="O701" s="656" t="s">
        <v>10214</v>
      </c>
      <c r="P701" s="5"/>
      <c r="Q701" s="1447">
        <v>43942</v>
      </c>
      <c r="R701" s="656"/>
      <c r="S701" s="656" t="s">
        <v>537</v>
      </c>
      <c r="T701" s="656"/>
      <c r="U701" s="656"/>
      <c r="V701" s="656"/>
      <c r="W701" s="656" t="s">
        <v>13051</v>
      </c>
      <c r="X701" s="656" t="s">
        <v>498</v>
      </c>
      <c r="Y701" s="656" t="s">
        <v>14278</v>
      </c>
      <c r="Z701" s="656">
        <v>44305.523680555554</v>
      </c>
      <c r="AA701" s="656" t="s">
        <v>14335</v>
      </c>
      <c r="AB701" s="656"/>
    </row>
    <row r="702" spans="1:28">
      <c r="A702" s="656" t="s">
        <v>1748</v>
      </c>
      <c r="B702" s="656" t="s">
        <v>9052</v>
      </c>
      <c r="C702" s="656" t="s">
        <v>20</v>
      </c>
      <c r="D702" s="656" t="s">
        <v>16021</v>
      </c>
      <c r="E702" s="656" t="s">
        <v>14279</v>
      </c>
      <c r="F702" s="1447"/>
      <c r="G702" s="656" t="s">
        <v>16022</v>
      </c>
      <c r="H702" s="656" t="s">
        <v>1777</v>
      </c>
      <c r="I702" s="656"/>
      <c r="J702" s="656"/>
      <c r="K702" s="656"/>
      <c r="L702" s="656" t="s">
        <v>16021</v>
      </c>
      <c r="M702" s="656" t="s">
        <v>16200</v>
      </c>
      <c r="N702" s="656"/>
      <c r="O702" s="656" t="s">
        <v>10214</v>
      </c>
      <c r="P702" s="5"/>
      <c r="Q702" s="1447">
        <v>44238</v>
      </c>
      <c r="R702" s="656"/>
      <c r="S702" s="656" t="s">
        <v>450</v>
      </c>
      <c r="T702" s="656"/>
      <c r="U702" s="656"/>
      <c r="V702" s="656"/>
      <c r="W702" s="656" t="s">
        <v>13051</v>
      </c>
      <c r="X702" s="656" t="s">
        <v>498</v>
      </c>
      <c r="Y702" s="656" t="s">
        <v>14278</v>
      </c>
      <c r="Z702" s="656">
        <v>44305.527337962965</v>
      </c>
      <c r="AA702" s="656" t="s">
        <v>14335</v>
      </c>
      <c r="AB702" s="656"/>
    </row>
    <row r="703" spans="1:28">
      <c r="A703" s="656" t="s">
        <v>1748</v>
      </c>
      <c r="B703" s="656" t="s">
        <v>16023</v>
      </c>
      <c r="C703" s="656" t="s">
        <v>21</v>
      </c>
      <c r="D703" s="656" t="s">
        <v>16024</v>
      </c>
      <c r="E703" s="656" t="s">
        <v>14279</v>
      </c>
      <c r="F703" s="1447"/>
      <c r="G703" s="656" t="s">
        <v>16025</v>
      </c>
      <c r="H703" s="656" t="s">
        <v>1777</v>
      </c>
      <c r="I703" s="656" t="s">
        <v>14487</v>
      </c>
      <c r="J703" s="656" t="s">
        <v>16024</v>
      </c>
      <c r="K703" s="656" t="s">
        <v>9774</v>
      </c>
      <c r="L703" s="656"/>
      <c r="M703" s="656" t="s">
        <v>16200</v>
      </c>
      <c r="N703" s="656"/>
      <c r="O703" s="656" t="s">
        <v>10214</v>
      </c>
      <c r="P703" s="5"/>
      <c r="Q703" s="1447">
        <v>44281</v>
      </c>
      <c r="R703" s="656"/>
      <c r="S703" s="656" t="s">
        <v>537</v>
      </c>
      <c r="T703" s="656"/>
      <c r="U703" s="656"/>
      <c r="V703" s="656"/>
      <c r="W703" s="656" t="s">
        <v>13051</v>
      </c>
      <c r="X703" s="656" t="s">
        <v>498</v>
      </c>
      <c r="Y703" s="656" t="s">
        <v>14278</v>
      </c>
      <c r="Z703" s="656">
        <v>44305.527696759258</v>
      </c>
      <c r="AA703" s="656" t="s">
        <v>14335</v>
      </c>
      <c r="AB703" s="656"/>
    </row>
    <row r="704" spans="1:28">
      <c r="A704" s="656" t="s">
        <v>1753</v>
      </c>
      <c r="B704" s="656" t="s">
        <v>1754</v>
      </c>
      <c r="C704" s="656" t="s">
        <v>20</v>
      </c>
      <c r="D704" s="656" t="s">
        <v>12215</v>
      </c>
      <c r="E704" s="656" t="s">
        <v>14275</v>
      </c>
      <c r="F704" s="1447">
        <v>43626</v>
      </c>
      <c r="G704" s="656" t="s">
        <v>12214</v>
      </c>
      <c r="H704" s="656" t="s">
        <v>1777</v>
      </c>
      <c r="I704" s="656"/>
      <c r="J704" s="656"/>
      <c r="K704" s="656"/>
      <c r="L704" s="656" t="s">
        <v>12215</v>
      </c>
      <c r="M704" s="656" t="s">
        <v>16372</v>
      </c>
      <c r="N704" s="656"/>
      <c r="O704" s="656" t="s">
        <v>6387</v>
      </c>
      <c r="P704" s="5"/>
      <c r="Q704" s="1447">
        <v>43441</v>
      </c>
      <c r="R704" s="656"/>
      <c r="S704" s="656" t="s">
        <v>783</v>
      </c>
      <c r="T704" s="656"/>
      <c r="U704" s="656"/>
      <c r="V704" s="656"/>
      <c r="W704" s="656" t="s">
        <v>13051</v>
      </c>
      <c r="X704" s="656" t="s">
        <v>498</v>
      </c>
      <c r="Y704" s="656" t="s">
        <v>14278</v>
      </c>
      <c r="Z704" s="656">
        <v>44305.523668981485</v>
      </c>
      <c r="AA704" s="656" t="s">
        <v>14335</v>
      </c>
      <c r="AB704" s="656"/>
    </row>
    <row r="705" spans="1:28">
      <c r="A705" s="656" t="s">
        <v>1755</v>
      </c>
      <c r="B705" s="656" t="s">
        <v>1756</v>
      </c>
      <c r="C705" s="656" t="s">
        <v>20</v>
      </c>
      <c r="D705" s="656" t="s">
        <v>12045</v>
      </c>
      <c r="E705" s="656" t="s">
        <v>14275</v>
      </c>
      <c r="F705" s="1447">
        <v>43595</v>
      </c>
      <c r="G705" s="656" t="s">
        <v>12044</v>
      </c>
      <c r="H705" s="656" t="s">
        <v>1777</v>
      </c>
      <c r="I705" s="656"/>
      <c r="J705" s="656"/>
      <c r="K705" s="656"/>
      <c r="L705" s="656" t="s">
        <v>12045</v>
      </c>
      <c r="M705" s="656" t="s">
        <v>16380</v>
      </c>
      <c r="N705" s="656"/>
      <c r="O705" s="656" t="s">
        <v>6387</v>
      </c>
      <c r="P705" s="5"/>
      <c r="Q705" s="1447">
        <v>43250</v>
      </c>
      <c r="R705" s="656"/>
      <c r="S705" s="656" t="s">
        <v>783</v>
      </c>
      <c r="T705" s="656"/>
      <c r="U705" s="656" t="s">
        <v>783</v>
      </c>
      <c r="V705" s="656"/>
      <c r="W705" s="656" t="s">
        <v>13051</v>
      </c>
      <c r="X705" s="656" t="s">
        <v>498</v>
      </c>
      <c r="Y705" s="656" t="s">
        <v>14278</v>
      </c>
      <c r="Z705" s="656">
        <v>44305.523657407408</v>
      </c>
      <c r="AA705" s="656" t="s">
        <v>14335</v>
      </c>
      <c r="AB705" s="656"/>
    </row>
    <row r="706" spans="1:28">
      <c r="A706" s="656" t="s">
        <v>1759</v>
      </c>
      <c r="B706" s="656" t="s">
        <v>1760</v>
      </c>
      <c r="C706" s="656" t="s">
        <v>21</v>
      </c>
      <c r="D706" s="656" t="s">
        <v>12052</v>
      </c>
      <c r="E706" s="656" t="s">
        <v>14275</v>
      </c>
      <c r="F706" s="1447">
        <v>43668</v>
      </c>
      <c r="G706" s="656" t="s">
        <v>12051</v>
      </c>
      <c r="H706" s="656" t="s">
        <v>1777</v>
      </c>
      <c r="I706" s="656" t="s">
        <v>14488</v>
      </c>
      <c r="J706" s="656" t="s">
        <v>12052</v>
      </c>
      <c r="K706" s="656" t="s">
        <v>9774</v>
      </c>
      <c r="L706" s="656"/>
      <c r="M706" s="656" t="s">
        <v>16381</v>
      </c>
      <c r="N706" s="656"/>
      <c r="O706" s="656" t="s">
        <v>9714</v>
      </c>
      <c r="P706" s="5"/>
      <c r="Q706" s="1447">
        <v>43269</v>
      </c>
      <c r="R706" s="656">
        <v>43511</v>
      </c>
      <c r="S706" s="656" t="s">
        <v>783</v>
      </c>
      <c r="T706" s="656"/>
      <c r="U706" s="656" t="s">
        <v>783</v>
      </c>
      <c r="V706" s="656"/>
      <c r="W706" s="656" t="s">
        <v>13051</v>
      </c>
      <c r="X706" s="656" t="s">
        <v>498</v>
      </c>
      <c r="Y706" s="656" t="s">
        <v>14278</v>
      </c>
      <c r="Z706" s="656">
        <v>44305.523645833331</v>
      </c>
      <c r="AA706" s="656" t="s">
        <v>14335</v>
      </c>
      <c r="AB706" s="656"/>
    </row>
    <row r="707" spans="1:28">
      <c r="A707" s="656" t="s">
        <v>1759</v>
      </c>
      <c r="B707" s="656" t="s">
        <v>1760</v>
      </c>
      <c r="C707" s="656" t="s">
        <v>20</v>
      </c>
      <c r="D707" s="656" t="s">
        <v>12071</v>
      </c>
      <c r="E707" s="656" t="s">
        <v>14275</v>
      </c>
      <c r="F707" s="1447">
        <v>43633</v>
      </c>
      <c r="G707" s="656" t="s">
        <v>12051</v>
      </c>
      <c r="H707" s="656" t="s">
        <v>1777</v>
      </c>
      <c r="I707" s="656"/>
      <c r="J707" s="656"/>
      <c r="K707" s="656"/>
      <c r="L707" s="656" t="s">
        <v>12071</v>
      </c>
      <c r="M707" s="656" t="s">
        <v>16381</v>
      </c>
      <c r="N707" s="656"/>
      <c r="O707" s="656" t="s">
        <v>9714</v>
      </c>
      <c r="P707" s="5"/>
      <c r="Q707" s="1447">
        <v>43262</v>
      </c>
      <c r="R707" s="656"/>
      <c r="S707" s="656" t="s">
        <v>783</v>
      </c>
      <c r="T707" s="656"/>
      <c r="U707" s="656"/>
      <c r="V707" s="656"/>
      <c r="W707" s="656" t="s">
        <v>13051</v>
      </c>
      <c r="X707" s="656" t="s">
        <v>498</v>
      </c>
      <c r="Y707" s="656" t="s">
        <v>14278</v>
      </c>
      <c r="Z707" s="656">
        <v>44305.523657407408</v>
      </c>
      <c r="AA707" s="656" t="s">
        <v>14335</v>
      </c>
      <c r="AB707" s="656"/>
    </row>
    <row r="708" spans="1:28">
      <c r="A708" s="656" t="s">
        <v>1781</v>
      </c>
      <c r="B708" s="656" t="s">
        <v>1782</v>
      </c>
      <c r="C708" s="656" t="s">
        <v>21</v>
      </c>
      <c r="D708" s="656" t="s">
        <v>12142</v>
      </c>
      <c r="E708" s="656" t="s">
        <v>14384</v>
      </c>
      <c r="F708" s="1447">
        <v>43585</v>
      </c>
      <c r="G708" s="656" t="s">
        <v>12011</v>
      </c>
      <c r="H708" s="656" t="s">
        <v>1777</v>
      </c>
      <c r="I708" s="656" t="s">
        <v>14490</v>
      </c>
      <c r="J708" s="656" t="s">
        <v>12142</v>
      </c>
      <c r="K708" s="656" t="s">
        <v>9774</v>
      </c>
      <c r="L708" s="656"/>
      <c r="M708" s="656" t="s">
        <v>1584</v>
      </c>
      <c r="N708" s="656"/>
      <c r="O708" s="656" t="s">
        <v>6387</v>
      </c>
      <c r="P708" s="5" t="s">
        <v>15393</v>
      </c>
      <c r="Q708" s="1447">
        <v>43369</v>
      </c>
      <c r="R708" s="656"/>
      <c r="S708" s="656" t="s">
        <v>500</v>
      </c>
      <c r="T708" s="656"/>
      <c r="U708" s="656" t="s">
        <v>500</v>
      </c>
      <c r="V708" s="656"/>
      <c r="W708" s="656" t="s">
        <v>13051</v>
      </c>
      <c r="X708" s="656" t="s">
        <v>498</v>
      </c>
      <c r="Y708" s="656" t="s">
        <v>14278</v>
      </c>
      <c r="Z708" s="656">
        <v>44305.523634259262</v>
      </c>
      <c r="AA708" s="656" t="s">
        <v>14335</v>
      </c>
      <c r="AB708" s="656"/>
    </row>
    <row r="709" spans="1:28">
      <c r="A709" s="656" t="s">
        <v>1781</v>
      </c>
      <c r="B709" s="656" t="s">
        <v>1782</v>
      </c>
      <c r="C709" s="656" t="s">
        <v>21</v>
      </c>
      <c r="D709" s="656" t="s">
        <v>12193</v>
      </c>
      <c r="E709" s="656" t="s">
        <v>14275</v>
      </c>
      <c r="F709" s="1447">
        <v>43594</v>
      </c>
      <c r="G709" s="656" t="s">
        <v>12011</v>
      </c>
      <c r="H709" s="656" t="s">
        <v>1584</v>
      </c>
      <c r="I709" s="656" t="s">
        <v>14489</v>
      </c>
      <c r="J709" s="656" t="s">
        <v>12193</v>
      </c>
      <c r="K709" s="656" t="s">
        <v>9774</v>
      </c>
      <c r="L709" s="656"/>
      <c r="M709" s="656" t="s">
        <v>1584</v>
      </c>
      <c r="N709" s="656"/>
      <c r="O709" s="656" t="s">
        <v>6387</v>
      </c>
      <c r="P709" s="5"/>
      <c r="Q709" s="1447">
        <v>43397</v>
      </c>
      <c r="R709" s="656">
        <v>43395</v>
      </c>
      <c r="S709" s="656" t="s">
        <v>500</v>
      </c>
      <c r="T709" s="656"/>
      <c r="U709" s="656" t="s">
        <v>500</v>
      </c>
      <c r="V709" s="656"/>
      <c r="W709" s="656" t="s">
        <v>13051</v>
      </c>
      <c r="X709" s="656" t="s">
        <v>498</v>
      </c>
      <c r="Y709" s="656" t="s">
        <v>14278</v>
      </c>
      <c r="Z709" s="656">
        <v>44305.523634259262</v>
      </c>
      <c r="AA709" s="656" t="s">
        <v>14335</v>
      </c>
      <c r="AB709" s="656"/>
    </row>
    <row r="710" spans="1:28">
      <c r="A710" s="656" t="s">
        <v>1781</v>
      </c>
      <c r="B710" s="656" t="s">
        <v>1782</v>
      </c>
      <c r="C710" s="656" t="s">
        <v>20</v>
      </c>
      <c r="D710" s="656" t="s">
        <v>12012</v>
      </c>
      <c r="E710" s="656" t="s">
        <v>14275</v>
      </c>
      <c r="F710" s="1447">
        <v>43606</v>
      </c>
      <c r="G710" s="656" t="s">
        <v>12011</v>
      </c>
      <c r="H710" s="656" t="s">
        <v>1777</v>
      </c>
      <c r="I710" s="656"/>
      <c r="J710" s="656"/>
      <c r="K710" s="656"/>
      <c r="L710" s="656" t="s">
        <v>12012</v>
      </c>
      <c r="M710" s="656" t="s">
        <v>16371</v>
      </c>
      <c r="N710" s="656"/>
      <c r="O710" s="656" t="s">
        <v>6387</v>
      </c>
      <c r="P710" s="5"/>
      <c r="Q710" s="1447">
        <v>43207</v>
      </c>
      <c r="R710" s="656"/>
      <c r="S710" s="656" t="s">
        <v>500</v>
      </c>
      <c r="T710" s="656"/>
      <c r="U710" s="656" t="s">
        <v>500</v>
      </c>
      <c r="V710" s="656"/>
      <c r="W710" s="656" t="s">
        <v>13051</v>
      </c>
      <c r="X710" s="656" t="s">
        <v>498</v>
      </c>
      <c r="Y710" s="656" t="s">
        <v>14278</v>
      </c>
      <c r="Z710" s="656">
        <v>44305.753796296296</v>
      </c>
      <c r="AA710" s="656" t="s">
        <v>14335</v>
      </c>
      <c r="AB710" s="656"/>
    </row>
    <row r="711" spans="1:28">
      <c r="A711" s="656" t="s">
        <v>1796</v>
      </c>
      <c r="B711" s="656" t="s">
        <v>1797</v>
      </c>
      <c r="C711" s="656" t="s">
        <v>21</v>
      </c>
      <c r="D711" s="656" t="s">
        <v>12181</v>
      </c>
      <c r="E711" s="656" t="s">
        <v>14275</v>
      </c>
      <c r="F711" s="1447">
        <v>43875</v>
      </c>
      <c r="G711" s="656" t="s">
        <v>12136</v>
      </c>
      <c r="H711" s="656" t="s">
        <v>1777</v>
      </c>
      <c r="I711" s="656" t="s">
        <v>14491</v>
      </c>
      <c r="J711" s="656" t="s">
        <v>12181</v>
      </c>
      <c r="K711" s="656" t="s">
        <v>9774</v>
      </c>
      <c r="L711" s="656"/>
      <c r="M711" s="656" t="s">
        <v>16200</v>
      </c>
      <c r="N711" s="656"/>
      <c r="O711" s="656" t="s">
        <v>6387</v>
      </c>
      <c r="P711" s="5"/>
      <c r="Q711" s="1447">
        <v>43395</v>
      </c>
      <c r="R711" s="656">
        <v>43630</v>
      </c>
      <c r="S711" s="656" t="s">
        <v>500</v>
      </c>
      <c r="T711" s="656"/>
      <c r="U711" s="656" t="s">
        <v>500</v>
      </c>
      <c r="V711" s="656"/>
      <c r="W711" s="656" t="s">
        <v>13051</v>
      </c>
      <c r="X711" s="656" t="s">
        <v>498</v>
      </c>
      <c r="Y711" s="656" t="s">
        <v>14278</v>
      </c>
      <c r="Z711" s="656">
        <v>44305.523622685185</v>
      </c>
      <c r="AA711" s="656" t="s">
        <v>14335</v>
      </c>
      <c r="AB711" s="656"/>
    </row>
    <row r="712" spans="1:28">
      <c r="A712" s="656" t="s">
        <v>1796</v>
      </c>
      <c r="B712" s="656" t="s">
        <v>1797</v>
      </c>
      <c r="C712" s="656" t="s">
        <v>20</v>
      </c>
      <c r="D712" s="656" t="s">
        <v>12137</v>
      </c>
      <c r="E712" s="656" t="s">
        <v>14275</v>
      </c>
      <c r="F712" s="1447">
        <v>43927</v>
      </c>
      <c r="G712" s="656" t="s">
        <v>12136</v>
      </c>
      <c r="H712" s="656" t="s">
        <v>1777</v>
      </c>
      <c r="I712" s="656"/>
      <c r="J712" s="656"/>
      <c r="K712" s="656"/>
      <c r="L712" s="656" t="s">
        <v>12137</v>
      </c>
      <c r="M712" s="656" t="s">
        <v>16200</v>
      </c>
      <c r="N712" s="656"/>
      <c r="O712" s="656" t="s">
        <v>6387</v>
      </c>
      <c r="P712" s="5"/>
      <c r="Q712" s="1447">
        <v>43349</v>
      </c>
      <c r="R712" s="656"/>
      <c r="S712" s="656" t="s">
        <v>500</v>
      </c>
      <c r="T712" s="656"/>
      <c r="U712" s="656" t="s">
        <v>500</v>
      </c>
      <c r="V712" s="656"/>
      <c r="W712" s="656" t="s">
        <v>13051</v>
      </c>
      <c r="X712" s="656" t="s">
        <v>498</v>
      </c>
      <c r="Y712" s="656" t="s">
        <v>14278</v>
      </c>
      <c r="Z712" s="656">
        <v>44305.523622685185</v>
      </c>
      <c r="AA712" s="656" t="s">
        <v>14335</v>
      </c>
      <c r="AB712" s="656"/>
    </row>
    <row r="713" spans="1:28">
      <c r="A713" s="656" t="s">
        <v>1810</v>
      </c>
      <c r="B713" s="656" t="s">
        <v>1811</v>
      </c>
      <c r="C713" s="656" t="s">
        <v>20</v>
      </c>
      <c r="D713" s="656" t="s">
        <v>12058</v>
      </c>
      <c r="E713" s="656" t="s">
        <v>14275</v>
      </c>
      <c r="F713" s="1447">
        <v>43273</v>
      </c>
      <c r="G713" s="656" t="s">
        <v>12057</v>
      </c>
      <c r="H713" s="656" t="s">
        <v>1777</v>
      </c>
      <c r="I713" s="656"/>
      <c r="J713" s="656"/>
      <c r="K713" s="656"/>
      <c r="L713" s="656" t="s">
        <v>12058</v>
      </c>
      <c r="M713" s="656" t="s">
        <v>16200</v>
      </c>
      <c r="N713" s="656"/>
      <c r="O713" s="656" t="s">
        <v>6395</v>
      </c>
      <c r="P713" s="5"/>
      <c r="Q713" s="1447">
        <v>43262</v>
      </c>
      <c r="R713" s="656"/>
      <c r="S713" s="656" t="s">
        <v>3756</v>
      </c>
      <c r="T713" s="656"/>
      <c r="U713" s="656"/>
      <c r="V713" s="656"/>
      <c r="W713" s="656" t="s">
        <v>13051</v>
      </c>
      <c r="X713" s="656" t="s">
        <v>498</v>
      </c>
      <c r="Y713" s="656" t="s">
        <v>14278</v>
      </c>
      <c r="Z713" s="656">
        <v>44305.523611111108</v>
      </c>
      <c r="AA713" s="656" t="s">
        <v>14335</v>
      </c>
      <c r="AB713" s="656"/>
    </row>
    <row r="714" spans="1:28">
      <c r="A714" s="656" t="s">
        <v>1810</v>
      </c>
      <c r="B714" s="656" t="s">
        <v>1811</v>
      </c>
      <c r="C714" s="656" t="s">
        <v>20</v>
      </c>
      <c r="D714" s="656" t="s">
        <v>12072</v>
      </c>
      <c r="E714" s="656" t="s">
        <v>14275</v>
      </c>
      <c r="F714" s="1447">
        <v>43626</v>
      </c>
      <c r="G714" s="656" t="s">
        <v>12057</v>
      </c>
      <c r="H714" s="656" t="s">
        <v>1777</v>
      </c>
      <c r="I714" s="656"/>
      <c r="J714" s="656"/>
      <c r="K714" s="656"/>
      <c r="L714" s="656" t="s">
        <v>12072</v>
      </c>
      <c r="M714" s="656" t="s">
        <v>16196</v>
      </c>
      <c r="N714" s="656"/>
      <c r="O714" s="656" t="s">
        <v>6395</v>
      </c>
      <c r="P714" s="5"/>
      <c r="Q714" s="1447">
        <v>43270</v>
      </c>
      <c r="R714" s="656"/>
      <c r="S714" s="656" t="s">
        <v>3756</v>
      </c>
      <c r="T714" s="656"/>
      <c r="U714" s="656"/>
      <c r="V714" s="656"/>
      <c r="W714" s="656" t="s">
        <v>13051</v>
      </c>
      <c r="X714" s="656" t="s">
        <v>498</v>
      </c>
      <c r="Y714" s="656" t="s">
        <v>14278</v>
      </c>
      <c r="Z714" s="656">
        <v>44305.523611111108</v>
      </c>
      <c r="AA714" s="656" t="s">
        <v>14335</v>
      </c>
      <c r="AB714" s="656"/>
    </row>
    <row r="715" spans="1:28">
      <c r="A715" s="656" t="s">
        <v>1814</v>
      </c>
      <c r="B715" s="656" t="s">
        <v>1815</v>
      </c>
      <c r="C715" s="656" t="s">
        <v>21</v>
      </c>
      <c r="D715" s="656" t="s">
        <v>12003</v>
      </c>
      <c r="E715" s="656" t="s">
        <v>14384</v>
      </c>
      <c r="F715" s="1447">
        <v>43264</v>
      </c>
      <c r="G715" s="656" t="s">
        <v>11876</v>
      </c>
      <c r="H715" s="656" t="s">
        <v>1777</v>
      </c>
      <c r="I715" s="656" t="s">
        <v>14492</v>
      </c>
      <c r="J715" s="656" t="s">
        <v>12003</v>
      </c>
      <c r="K715" s="656" t="s">
        <v>9774</v>
      </c>
      <c r="L715" s="656"/>
      <c r="M715" s="656" t="s">
        <v>16196</v>
      </c>
      <c r="N715" s="656"/>
      <c r="O715" s="656" t="s">
        <v>6395</v>
      </c>
      <c r="P715" s="5" t="s">
        <v>14493</v>
      </c>
      <c r="Q715" s="1447">
        <v>43185</v>
      </c>
      <c r="R715" s="656"/>
      <c r="S715" s="656" t="s">
        <v>1394</v>
      </c>
      <c r="T715" s="656"/>
      <c r="U715" s="656" t="s">
        <v>1394</v>
      </c>
      <c r="V715" s="656"/>
      <c r="W715" s="656" t="s">
        <v>13051</v>
      </c>
      <c r="X715" s="656" t="s">
        <v>498</v>
      </c>
      <c r="Y715" s="656" t="s">
        <v>14278</v>
      </c>
      <c r="Z715" s="656">
        <v>44305.523587962962</v>
      </c>
      <c r="AA715" s="656" t="s">
        <v>14335</v>
      </c>
      <c r="AB715" s="656"/>
    </row>
    <row r="716" spans="1:28">
      <c r="A716" s="656" t="s">
        <v>1814</v>
      </c>
      <c r="B716" s="656" t="s">
        <v>1815</v>
      </c>
      <c r="C716" s="656" t="s">
        <v>20</v>
      </c>
      <c r="D716" s="656" t="s">
        <v>11877</v>
      </c>
      <c r="E716" s="656" t="s">
        <v>14275</v>
      </c>
      <c r="F716" s="1447">
        <v>43286</v>
      </c>
      <c r="G716" s="656" t="s">
        <v>11876</v>
      </c>
      <c r="H716" s="656" t="s">
        <v>1777</v>
      </c>
      <c r="I716" s="656"/>
      <c r="J716" s="656"/>
      <c r="K716" s="656"/>
      <c r="L716" s="656" t="s">
        <v>11877</v>
      </c>
      <c r="M716" s="656" t="s">
        <v>1947</v>
      </c>
      <c r="N716" s="656"/>
      <c r="O716" s="656" t="s">
        <v>6395</v>
      </c>
      <c r="P716" s="5"/>
      <c r="Q716" s="1447">
        <v>43082</v>
      </c>
      <c r="R716" s="656"/>
      <c r="S716" s="656" t="s">
        <v>1394</v>
      </c>
      <c r="T716" s="656"/>
      <c r="U716" s="656" t="s">
        <v>1394</v>
      </c>
      <c r="V716" s="656"/>
      <c r="W716" s="656" t="s">
        <v>13051</v>
      </c>
      <c r="X716" s="656" t="s">
        <v>498</v>
      </c>
      <c r="Y716" s="656" t="s">
        <v>14278</v>
      </c>
      <c r="Z716" s="656">
        <v>44305.523599537039</v>
      </c>
      <c r="AA716" s="656" t="s">
        <v>14335</v>
      </c>
      <c r="AB716" s="656"/>
    </row>
    <row r="717" spans="1:28">
      <c r="A717" s="656" t="s">
        <v>1814</v>
      </c>
      <c r="B717" s="656" t="s">
        <v>1815</v>
      </c>
      <c r="C717" s="656" t="s">
        <v>20</v>
      </c>
      <c r="D717" s="656" t="s">
        <v>11982</v>
      </c>
      <c r="E717" s="656" t="s">
        <v>14275</v>
      </c>
      <c r="F717" s="1447">
        <v>43286</v>
      </c>
      <c r="G717" s="656" t="s">
        <v>11876</v>
      </c>
      <c r="H717" s="656" t="s">
        <v>1777</v>
      </c>
      <c r="I717" s="656"/>
      <c r="J717" s="656"/>
      <c r="K717" s="656"/>
      <c r="L717" s="656" t="s">
        <v>11982</v>
      </c>
      <c r="M717" s="656" t="s">
        <v>16196</v>
      </c>
      <c r="N717" s="656"/>
      <c r="O717" s="656" t="s">
        <v>6395</v>
      </c>
      <c r="P717" s="5"/>
      <c r="Q717" s="1447">
        <v>43165</v>
      </c>
      <c r="R717" s="656"/>
      <c r="S717" s="656" t="s">
        <v>1394</v>
      </c>
      <c r="T717" s="656"/>
      <c r="U717" s="656" t="s">
        <v>1394</v>
      </c>
      <c r="V717" s="656"/>
      <c r="W717" s="656" t="s">
        <v>13051</v>
      </c>
      <c r="X717" s="656" t="s">
        <v>498</v>
      </c>
      <c r="Y717" s="656" t="s">
        <v>14278</v>
      </c>
      <c r="Z717" s="656">
        <v>44305.523599537039</v>
      </c>
      <c r="AA717" s="656" t="s">
        <v>14335</v>
      </c>
      <c r="AB717" s="656"/>
    </row>
    <row r="718" spans="1:28">
      <c r="A718" s="656" t="s">
        <v>1816</v>
      </c>
      <c r="B718" s="656" t="s">
        <v>1817</v>
      </c>
      <c r="C718" s="656" t="s">
        <v>21</v>
      </c>
      <c r="D718" s="656" t="s">
        <v>11925</v>
      </c>
      <c r="E718" s="656" t="s">
        <v>14275</v>
      </c>
      <c r="F718" s="1447">
        <v>43825</v>
      </c>
      <c r="G718" s="656" t="s">
        <v>11884</v>
      </c>
      <c r="H718" s="656" t="s">
        <v>1777</v>
      </c>
      <c r="I718" s="656" t="s">
        <v>14494</v>
      </c>
      <c r="J718" s="656" t="s">
        <v>11925</v>
      </c>
      <c r="K718" s="656" t="s">
        <v>9774</v>
      </c>
      <c r="L718" s="656"/>
      <c r="M718" s="656" t="s">
        <v>16368</v>
      </c>
      <c r="N718" s="656"/>
      <c r="O718" s="656" t="s">
        <v>6395</v>
      </c>
      <c r="P718" s="5"/>
      <c r="Q718" s="1447">
        <v>43157</v>
      </c>
      <c r="R718" s="656">
        <v>43768</v>
      </c>
      <c r="S718" s="656" t="s">
        <v>1394</v>
      </c>
      <c r="T718" s="656"/>
      <c r="U718" s="656" t="s">
        <v>1394</v>
      </c>
      <c r="V718" s="656"/>
      <c r="W718" s="656" t="s">
        <v>13051</v>
      </c>
      <c r="X718" s="656" t="s">
        <v>498</v>
      </c>
      <c r="Y718" s="656" t="s">
        <v>14278</v>
      </c>
      <c r="Z718" s="656">
        <v>44305.523576388892</v>
      </c>
      <c r="AA718" s="656" t="s">
        <v>14335</v>
      </c>
      <c r="AB718" s="656"/>
    </row>
    <row r="719" spans="1:28">
      <c r="A719" s="656" t="s">
        <v>1816</v>
      </c>
      <c r="B719" s="656" t="s">
        <v>1817</v>
      </c>
      <c r="C719" s="656" t="s">
        <v>20</v>
      </c>
      <c r="D719" s="656" t="s">
        <v>11885</v>
      </c>
      <c r="E719" s="656" t="s">
        <v>14275</v>
      </c>
      <c r="F719" s="1447">
        <v>43493</v>
      </c>
      <c r="G719" s="656" t="s">
        <v>11884</v>
      </c>
      <c r="H719" s="656" t="s">
        <v>1777</v>
      </c>
      <c r="I719" s="656"/>
      <c r="J719" s="656"/>
      <c r="K719" s="656"/>
      <c r="L719" s="656" t="s">
        <v>11885</v>
      </c>
      <c r="M719" s="656" t="s">
        <v>1947</v>
      </c>
      <c r="N719" s="656"/>
      <c r="O719" s="656" t="s">
        <v>6395</v>
      </c>
      <c r="P719" s="5"/>
      <c r="Q719" s="1447">
        <v>43108</v>
      </c>
      <c r="R719" s="656"/>
      <c r="S719" s="656" t="s">
        <v>1394</v>
      </c>
      <c r="T719" s="656"/>
      <c r="U719" s="656" t="s">
        <v>1394</v>
      </c>
      <c r="V719" s="656"/>
      <c r="W719" s="656" t="s">
        <v>13051</v>
      </c>
      <c r="X719" s="656" t="s">
        <v>498</v>
      </c>
      <c r="Y719" s="656" t="s">
        <v>14278</v>
      </c>
      <c r="Z719" s="656">
        <v>44305.523576388892</v>
      </c>
      <c r="AA719" s="656" t="s">
        <v>14335</v>
      </c>
      <c r="AB719" s="656"/>
    </row>
    <row r="720" spans="1:28">
      <c r="A720" s="656" t="s">
        <v>1816</v>
      </c>
      <c r="B720" s="656" t="s">
        <v>1817</v>
      </c>
      <c r="C720" s="656" t="s">
        <v>20</v>
      </c>
      <c r="D720" s="656" t="s">
        <v>11981</v>
      </c>
      <c r="E720" s="656" t="s">
        <v>14275</v>
      </c>
      <c r="F720" s="1447">
        <v>43808</v>
      </c>
      <c r="G720" s="656" t="s">
        <v>11884</v>
      </c>
      <c r="H720" s="656" t="s">
        <v>1777</v>
      </c>
      <c r="I720" s="656"/>
      <c r="J720" s="656"/>
      <c r="K720" s="656"/>
      <c r="L720" s="656" t="s">
        <v>11981</v>
      </c>
      <c r="M720" s="656" t="s">
        <v>16368</v>
      </c>
      <c r="N720" s="656"/>
      <c r="O720" s="656" t="s">
        <v>6395</v>
      </c>
      <c r="P720" s="5"/>
      <c r="Q720" s="1447">
        <v>43165</v>
      </c>
      <c r="R720" s="656"/>
      <c r="S720" s="656" t="s">
        <v>1394</v>
      </c>
      <c r="T720" s="656"/>
      <c r="U720" s="656" t="s">
        <v>1394</v>
      </c>
      <c r="V720" s="656"/>
      <c r="W720" s="656" t="s">
        <v>13051</v>
      </c>
      <c r="X720" s="656" t="s">
        <v>498</v>
      </c>
      <c r="Y720" s="656" t="s">
        <v>14278</v>
      </c>
      <c r="Z720" s="656">
        <v>44305.523587962962</v>
      </c>
      <c r="AA720" s="656" t="s">
        <v>14335</v>
      </c>
      <c r="AB720" s="656"/>
    </row>
    <row r="721" spans="1:28">
      <c r="A721" s="656" t="s">
        <v>1816</v>
      </c>
      <c r="B721" s="656" t="s">
        <v>1817</v>
      </c>
      <c r="C721" s="656" t="s">
        <v>20</v>
      </c>
      <c r="D721" s="656" t="s">
        <v>12878</v>
      </c>
      <c r="E721" s="656" t="s">
        <v>14275</v>
      </c>
      <c r="F721" s="1447">
        <v>44216</v>
      </c>
      <c r="G721" s="656" t="s">
        <v>11884</v>
      </c>
      <c r="H721" s="656" t="s">
        <v>1777</v>
      </c>
      <c r="I721" s="656"/>
      <c r="J721" s="656"/>
      <c r="K721" s="656"/>
      <c r="L721" s="656" t="s">
        <v>12878</v>
      </c>
      <c r="M721" s="656" t="s">
        <v>9450</v>
      </c>
      <c r="N721" s="656" t="s">
        <v>9892</v>
      </c>
      <c r="O721" s="656" t="s">
        <v>6395</v>
      </c>
      <c r="P721" s="5"/>
      <c r="Q721" s="1447">
        <v>44138</v>
      </c>
      <c r="R721" s="656"/>
      <c r="S721" s="656" t="s">
        <v>472</v>
      </c>
      <c r="T721" s="656"/>
      <c r="U721" s="656"/>
      <c r="V721" s="656"/>
      <c r="W721" s="656" t="s">
        <v>13051</v>
      </c>
      <c r="X721" s="656" t="s">
        <v>498</v>
      </c>
      <c r="Y721" s="656" t="s">
        <v>14278</v>
      </c>
      <c r="Z721" s="656">
        <v>44305.523587962962</v>
      </c>
      <c r="AA721" s="656" t="s">
        <v>14335</v>
      </c>
      <c r="AB721" s="656"/>
    </row>
    <row r="722" spans="1:28">
      <c r="A722" s="656" t="s">
        <v>1818</v>
      </c>
      <c r="B722" s="656" t="s">
        <v>1819</v>
      </c>
      <c r="C722" s="656" t="s">
        <v>21</v>
      </c>
      <c r="D722" s="656" t="s">
        <v>11926</v>
      </c>
      <c r="E722" s="656" t="s">
        <v>14384</v>
      </c>
      <c r="F722" s="1447">
        <v>43678</v>
      </c>
      <c r="G722" s="656" t="s">
        <v>11888</v>
      </c>
      <c r="H722" s="656" t="s">
        <v>1777</v>
      </c>
      <c r="I722" s="656" t="s">
        <v>14495</v>
      </c>
      <c r="J722" s="656" t="s">
        <v>11926</v>
      </c>
      <c r="K722" s="656" t="s">
        <v>9774</v>
      </c>
      <c r="L722" s="656"/>
      <c r="M722" s="656" t="s">
        <v>16196</v>
      </c>
      <c r="N722" s="656"/>
      <c r="O722" s="656" t="s">
        <v>6395</v>
      </c>
      <c r="P722" s="5" t="s">
        <v>14496</v>
      </c>
      <c r="Q722" s="1447">
        <v>43157</v>
      </c>
      <c r="R722" s="656"/>
      <c r="S722" s="656" t="s">
        <v>1394</v>
      </c>
      <c r="T722" s="656"/>
      <c r="U722" s="656" t="s">
        <v>1394</v>
      </c>
      <c r="V722" s="656"/>
      <c r="W722" s="656" t="s">
        <v>13051</v>
      </c>
      <c r="X722" s="656" t="s">
        <v>498</v>
      </c>
      <c r="Y722" s="656" t="s">
        <v>14278</v>
      </c>
      <c r="Z722" s="656">
        <v>44305.523553240739</v>
      </c>
      <c r="AA722" s="656" t="s">
        <v>14335</v>
      </c>
      <c r="AB722" s="656"/>
    </row>
    <row r="723" spans="1:28">
      <c r="A723" s="656" t="s">
        <v>1818</v>
      </c>
      <c r="B723" s="656" t="s">
        <v>1819</v>
      </c>
      <c r="C723" s="656" t="s">
        <v>20</v>
      </c>
      <c r="D723" s="656" t="s">
        <v>11889</v>
      </c>
      <c r="E723" s="656" t="s">
        <v>14275</v>
      </c>
      <c r="F723" s="1447">
        <v>43493</v>
      </c>
      <c r="G723" s="656" t="s">
        <v>11888</v>
      </c>
      <c r="H723" s="656" t="s">
        <v>1777</v>
      </c>
      <c r="I723" s="656"/>
      <c r="J723" s="656"/>
      <c r="K723" s="656"/>
      <c r="L723" s="656" t="s">
        <v>11889</v>
      </c>
      <c r="M723" s="656" t="s">
        <v>1947</v>
      </c>
      <c r="N723" s="656"/>
      <c r="O723" s="656" t="s">
        <v>6395</v>
      </c>
      <c r="P723" s="5"/>
      <c r="Q723" s="1447">
        <v>43112</v>
      </c>
      <c r="R723" s="656"/>
      <c r="S723" s="656" t="s">
        <v>1394</v>
      </c>
      <c r="T723" s="656"/>
      <c r="U723" s="656" t="s">
        <v>1394</v>
      </c>
      <c r="V723" s="656"/>
      <c r="W723" s="656" t="s">
        <v>13051</v>
      </c>
      <c r="X723" s="656" t="s">
        <v>498</v>
      </c>
      <c r="Y723" s="656" t="s">
        <v>14278</v>
      </c>
      <c r="Z723" s="656">
        <v>44305.523564814815</v>
      </c>
      <c r="AA723" s="656" t="s">
        <v>14335</v>
      </c>
      <c r="AB723" s="656"/>
    </row>
    <row r="724" spans="1:28">
      <c r="A724" s="656" t="s">
        <v>1818</v>
      </c>
      <c r="B724" s="656" t="s">
        <v>1819</v>
      </c>
      <c r="C724" s="656" t="s">
        <v>20</v>
      </c>
      <c r="D724" s="656" t="s">
        <v>11980</v>
      </c>
      <c r="E724" s="656" t="s">
        <v>14275</v>
      </c>
      <c r="F724" s="1447">
        <v>43689</v>
      </c>
      <c r="G724" s="656" t="s">
        <v>11888</v>
      </c>
      <c r="H724" s="656" t="s">
        <v>1777</v>
      </c>
      <c r="I724" s="656"/>
      <c r="J724" s="656"/>
      <c r="K724" s="656"/>
      <c r="L724" s="656" t="s">
        <v>11980</v>
      </c>
      <c r="M724" s="656" t="s">
        <v>16196</v>
      </c>
      <c r="N724" s="656"/>
      <c r="O724" s="656" t="s">
        <v>6395</v>
      </c>
      <c r="P724" s="5"/>
      <c r="Q724" s="1447">
        <v>43165</v>
      </c>
      <c r="R724" s="656"/>
      <c r="S724" s="656" t="s">
        <v>1394</v>
      </c>
      <c r="T724" s="656"/>
      <c r="U724" s="656" t="s">
        <v>1394</v>
      </c>
      <c r="V724" s="656"/>
      <c r="W724" s="656" t="s">
        <v>13051</v>
      </c>
      <c r="X724" s="656" t="s">
        <v>498</v>
      </c>
      <c r="Y724" s="656" t="s">
        <v>14278</v>
      </c>
      <c r="Z724" s="656">
        <v>44305.523564814815</v>
      </c>
      <c r="AA724" s="656" t="s">
        <v>14335</v>
      </c>
      <c r="AB724" s="656"/>
    </row>
    <row r="725" spans="1:28">
      <c r="A725" s="656" t="s">
        <v>1820</v>
      </c>
      <c r="B725" s="656" t="s">
        <v>1821</v>
      </c>
      <c r="C725" s="656" t="s">
        <v>21</v>
      </c>
      <c r="D725" s="656" t="s">
        <v>11928</v>
      </c>
      <c r="E725" s="656" t="s">
        <v>14384</v>
      </c>
      <c r="F725" s="1447">
        <v>43803</v>
      </c>
      <c r="G725" s="656" t="s">
        <v>11927</v>
      </c>
      <c r="H725" s="656" t="s">
        <v>1777</v>
      </c>
      <c r="I725" s="656" t="s">
        <v>14497</v>
      </c>
      <c r="J725" s="656" t="s">
        <v>11928</v>
      </c>
      <c r="K725" s="656" t="s">
        <v>9774</v>
      </c>
      <c r="L725" s="656"/>
      <c r="M725" s="656" t="s">
        <v>16196</v>
      </c>
      <c r="N725" s="656"/>
      <c r="O725" s="656" t="s">
        <v>6395</v>
      </c>
      <c r="P725" s="5" t="s">
        <v>14498</v>
      </c>
      <c r="Q725" s="1447">
        <v>43157</v>
      </c>
      <c r="R725" s="656"/>
      <c r="S725" s="656" t="s">
        <v>1394</v>
      </c>
      <c r="T725" s="656"/>
      <c r="U725" s="656" t="s">
        <v>1394</v>
      </c>
      <c r="V725" s="656"/>
      <c r="W725" s="656" t="s">
        <v>13051</v>
      </c>
      <c r="X725" s="656" t="s">
        <v>498</v>
      </c>
      <c r="Y725" s="656" t="s">
        <v>14278</v>
      </c>
      <c r="Z725" s="656">
        <v>44305.523541666669</v>
      </c>
      <c r="AA725" s="656" t="s">
        <v>14335</v>
      </c>
      <c r="AB725" s="656"/>
    </row>
    <row r="726" spans="1:28">
      <c r="A726" s="656" t="s">
        <v>1820</v>
      </c>
      <c r="B726" s="656" t="s">
        <v>11866</v>
      </c>
      <c r="C726" s="656" t="s">
        <v>20</v>
      </c>
      <c r="D726" s="656" t="s">
        <v>11868</v>
      </c>
      <c r="E726" s="656" t="s">
        <v>14275</v>
      </c>
      <c r="F726" s="1447">
        <v>43587</v>
      </c>
      <c r="G726" s="656" t="s">
        <v>11867</v>
      </c>
      <c r="H726" s="656" t="s">
        <v>1777</v>
      </c>
      <c r="I726" s="656"/>
      <c r="J726" s="656"/>
      <c r="K726" s="656"/>
      <c r="L726" s="656" t="s">
        <v>11868</v>
      </c>
      <c r="M726" s="656" t="s">
        <v>1947</v>
      </c>
      <c r="N726" s="656"/>
      <c r="O726" s="656" t="s">
        <v>6395</v>
      </c>
      <c r="P726" s="5"/>
      <c r="Q726" s="1447">
        <v>43098</v>
      </c>
      <c r="R726" s="656"/>
      <c r="S726" s="656" t="s">
        <v>1394</v>
      </c>
      <c r="T726" s="656"/>
      <c r="U726" s="656" t="s">
        <v>1394</v>
      </c>
      <c r="V726" s="656"/>
      <c r="W726" s="656" t="s">
        <v>13051</v>
      </c>
      <c r="X726" s="656" t="s">
        <v>498</v>
      </c>
      <c r="Y726" s="656" t="s">
        <v>14278</v>
      </c>
      <c r="Z726" s="656">
        <v>44305.523541666669</v>
      </c>
      <c r="AA726" s="656" t="s">
        <v>14335</v>
      </c>
      <c r="AB726" s="656"/>
    </row>
    <row r="727" spans="1:28">
      <c r="A727" s="656" t="s">
        <v>1820</v>
      </c>
      <c r="B727" s="656" t="s">
        <v>1821</v>
      </c>
      <c r="C727" s="656" t="s">
        <v>20</v>
      </c>
      <c r="D727" s="656" t="s">
        <v>11979</v>
      </c>
      <c r="E727" s="656" t="s">
        <v>14275</v>
      </c>
      <c r="F727" s="1447">
        <v>43819</v>
      </c>
      <c r="G727" s="656" t="s">
        <v>11927</v>
      </c>
      <c r="H727" s="656" t="s">
        <v>1777</v>
      </c>
      <c r="I727" s="656"/>
      <c r="J727" s="656"/>
      <c r="K727" s="656"/>
      <c r="L727" s="656" t="s">
        <v>11979</v>
      </c>
      <c r="M727" s="656" t="s">
        <v>16196</v>
      </c>
      <c r="N727" s="656"/>
      <c r="O727" s="656" t="s">
        <v>6395</v>
      </c>
      <c r="P727" s="5"/>
      <c r="Q727" s="1447">
        <v>43165</v>
      </c>
      <c r="R727" s="656"/>
      <c r="S727" s="656" t="s">
        <v>1394</v>
      </c>
      <c r="T727" s="656"/>
      <c r="U727" s="656" t="s">
        <v>1394</v>
      </c>
      <c r="V727" s="656"/>
      <c r="W727" s="656" t="s">
        <v>13051</v>
      </c>
      <c r="X727" s="656" t="s">
        <v>498</v>
      </c>
      <c r="Y727" s="656" t="s">
        <v>14278</v>
      </c>
      <c r="Z727" s="656">
        <v>44305.523553240739</v>
      </c>
      <c r="AA727" s="656" t="s">
        <v>14335</v>
      </c>
      <c r="AB727" s="656"/>
    </row>
    <row r="728" spans="1:28">
      <c r="A728" s="656" t="s">
        <v>1826</v>
      </c>
      <c r="B728" s="656" t="s">
        <v>1827</v>
      </c>
      <c r="C728" s="656" t="s">
        <v>20</v>
      </c>
      <c r="D728" s="656" t="s">
        <v>9815</v>
      </c>
      <c r="E728" s="656" t="s">
        <v>14275</v>
      </c>
      <c r="F728" s="1447">
        <v>44089</v>
      </c>
      <c r="G728" s="656" t="s">
        <v>9814</v>
      </c>
      <c r="H728" s="656" t="s">
        <v>1777</v>
      </c>
      <c r="I728" s="656"/>
      <c r="J728" s="656"/>
      <c r="K728" s="656"/>
      <c r="L728" s="656" t="s">
        <v>9815</v>
      </c>
      <c r="M728" s="656" t="s">
        <v>16196</v>
      </c>
      <c r="N728" s="656"/>
      <c r="O728" s="656" t="s">
        <v>6387</v>
      </c>
      <c r="P728" s="5"/>
      <c r="Q728" s="1447">
        <v>43172</v>
      </c>
      <c r="R728" s="656"/>
      <c r="S728" s="656" t="s">
        <v>1300</v>
      </c>
      <c r="T728" s="656"/>
      <c r="U728" s="656" t="s">
        <v>1300</v>
      </c>
      <c r="V728" s="656"/>
      <c r="W728" s="656" t="s">
        <v>13051</v>
      </c>
      <c r="X728" s="656" t="s">
        <v>498</v>
      </c>
      <c r="Y728" s="656" t="s">
        <v>14278</v>
      </c>
      <c r="Z728" s="656">
        <v>44305.523530092592</v>
      </c>
      <c r="AA728" s="656" t="s">
        <v>14335</v>
      </c>
      <c r="AB728" s="656"/>
    </row>
    <row r="729" spans="1:28">
      <c r="A729" s="656" t="s">
        <v>1831</v>
      </c>
      <c r="B729" s="656" t="s">
        <v>1832</v>
      </c>
      <c r="C729" s="656" t="s">
        <v>20</v>
      </c>
      <c r="D729" s="656" t="s">
        <v>9823</v>
      </c>
      <c r="E729" s="656" t="s">
        <v>14275</v>
      </c>
      <c r="F729" s="1447">
        <v>44263</v>
      </c>
      <c r="G729" s="656" t="s">
        <v>9822</v>
      </c>
      <c r="H729" s="656" t="s">
        <v>1777</v>
      </c>
      <c r="I729" s="656"/>
      <c r="J729" s="656"/>
      <c r="K729" s="656"/>
      <c r="L729" s="656" t="s">
        <v>9823</v>
      </c>
      <c r="M729" s="656" t="s">
        <v>16196</v>
      </c>
      <c r="N729" s="656"/>
      <c r="O729" s="656" t="s">
        <v>6395</v>
      </c>
      <c r="P729" s="5"/>
      <c r="Q729" s="1447">
        <v>43194</v>
      </c>
      <c r="R729" s="656"/>
      <c r="S729" s="656" t="s">
        <v>3756</v>
      </c>
      <c r="T729" s="656"/>
      <c r="U729" s="656" t="s">
        <v>541</v>
      </c>
      <c r="V729" s="656"/>
      <c r="W729" s="656" t="s">
        <v>13051</v>
      </c>
      <c r="X729" s="656" t="s">
        <v>498</v>
      </c>
      <c r="Y729" s="656" t="s">
        <v>14278</v>
      </c>
      <c r="Z729" s="656">
        <v>44305.523530092592</v>
      </c>
      <c r="AA729" s="656" t="s">
        <v>14335</v>
      </c>
      <c r="AB729" s="656"/>
    </row>
    <row r="730" spans="1:28">
      <c r="A730" s="656" t="s">
        <v>12959</v>
      </c>
      <c r="B730" s="656" t="s">
        <v>12958</v>
      </c>
      <c r="C730" s="656" t="s">
        <v>20</v>
      </c>
      <c r="D730" s="656" t="s">
        <v>15394</v>
      </c>
      <c r="E730" s="656" t="s">
        <v>14279</v>
      </c>
      <c r="F730" s="1447"/>
      <c r="G730" s="656" t="s">
        <v>15395</v>
      </c>
      <c r="H730" s="656" t="s">
        <v>1777</v>
      </c>
      <c r="I730" s="656"/>
      <c r="J730" s="656"/>
      <c r="K730" s="656"/>
      <c r="L730" s="656" t="s">
        <v>15394</v>
      </c>
      <c r="M730" s="656" t="s">
        <v>16319</v>
      </c>
      <c r="N730" s="656"/>
      <c r="O730" s="656" t="s">
        <v>10175</v>
      </c>
      <c r="P730" s="5"/>
      <c r="Q730" s="1447">
        <v>44223</v>
      </c>
      <c r="R730" s="656"/>
      <c r="S730" s="656" t="s">
        <v>455</v>
      </c>
      <c r="T730" s="656"/>
      <c r="U730" s="656"/>
      <c r="V730" s="656"/>
      <c r="W730" s="656" t="s">
        <v>13051</v>
      </c>
      <c r="X730" s="656" t="s">
        <v>498</v>
      </c>
      <c r="Y730" s="656" t="s">
        <v>14278</v>
      </c>
      <c r="Z730" s="656">
        <v>44305.523518518516</v>
      </c>
      <c r="AA730" s="656" t="s">
        <v>14335</v>
      </c>
      <c r="AB730" s="656"/>
    </row>
    <row r="731" spans="1:28">
      <c r="A731" s="656" t="s">
        <v>12959</v>
      </c>
      <c r="B731" s="656" t="s">
        <v>12958</v>
      </c>
      <c r="C731" s="656" t="s">
        <v>21</v>
      </c>
      <c r="D731" s="656" t="s">
        <v>16026</v>
      </c>
      <c r="E731" s="656" t="s">
        <v>14279</v>
      </c>
      <c r="F731" s="1447"/>
      <c r="G731" s="656" t="s">
        <v>16027</v>
      </c>
      <c r="H731" s="656" t="s">
        <v>1777</v>
      </c>
      <c r="I731" s="656" t="s">
        <v>16028</v>
      </c>
      <c r="J731" s="656" t="s">
        <v>16026</v>
      </c>
      <c r="K731" s="656" t="s">
        <v>9774</v>
      </c>
      <c r="L731" s="656"/>
      <c r="M731" s="656" t="s">
        <v>16319</v>
      </c>
      <c r="N731" s="656"/>
      <c r="O731" s="656" t="s">
        <v>10175</v>
      </c>
      <c r="P731" s="5"/>
      <c r="Q731" s="1447">
        <v>44277</v>
      </c>
      <c r="R731" s="656"/>
      <c r="S731" s="656" t="s">
        <v>4052</v>
      </c>
      <c r="T731" s="656"/>
      <c r="U731" s="656"/>
      <c r="V731" s="656"/>
      <c r="W731" s="656" t="s">
        <v>13051</v>
      </c>
      <c r="X731" s="656" t="s">
        <v>498</v>
      </c>
      <c r="Y731" s="656" t="s">
        <v>14278</v>
      </c>
      <c r="Z731" s="656">
        <v>44305.527581018519</v>
      </c>
      <c r="AA731" s="656" t="s">
        <v>14335</v>
      </c>
      <c r="AB731" s="656"/>
    </row>
    <row r="732" spans="1:28">
      <c r="A732" s="656" t="s">
        <v>1914</v>
      </c>
      <c r="B732" s="656" t="s">
        <v>9843</v>
      </c>
      <c r="C732" s="656" t="s">
        <v>21</v>
      </c>
      <c r="D732" s="656" t="s">
        <v>12302</v>
      </c>
      <c r="E732" s="656" t="s">
        <v>14275</v>
      </c>
      <c r="F732" s="1447">
        <v>44057</v>
      </c>
      <c r="G732" s="656" t="s">
        <v>9844</v>
      </c>
      <c r="H732" s="656" t="s">
        <v>1777</v>
      </c>
      <c r="I732" s="656" t="s">
        <v>14499</v>
      </c>
      <c r="J732" s="656" t="s">
        <v>12302</v>
      </c>
      <c r="K732" s="656" t="s">
        <v>9774</v>
      </c>
      <c r="L732" s="656"/>
      <c r="M732" s="656" t="s">
        <v>16319</v>
      </c>
      <c r="N732" s="656"/>
      <c r="O732" s="656" t="s">
        <v>6387</v>
      </c>
      <c r="P732" s="5"/>
      <c r="Q732" s="1447">
        <v>43360</v>
      </c>
      <c r="R732" s="656">
        <v>43787</v>
      </c>
      <c r="S732" s="656" t="s">
        <v>1050</v>
      </c>
      <c r="T732" s="656"/>
      <c r="U732" s="656" t="s">
        <v>1050</v>
      </c>
      <c r="V732" s="656"/>
      <c r="W732" s="656" t="s">
        <v>13051</v>
      </c>
      <c r="X732" s="656" t="s">
        <v>498</v>
      </c>
      <c r="Y732" s="656" t="s">
        <v>14278</v>
      </c>
      <c r="Z732" s="656">
        <v>44305.5234837963</v>
      </c>
      <c r="AA732" s="656" t="s">
        <v>14335</v>
      </c>
      <c r="AB732" s="656"/>
    </row>
    <row r="733" spans="1:28" ht="29">
      <c r="A733" s="656" t="s">
        <v>1914</v>
      </c>
      <c r="B733" s="656" t="s">
        <v>1915</v>
      </c>
      <c r="C733" s="656" t="s">
        <v>21</v>
      </c>
      <c r="D733" s="656" t="s">
        <v>9869</v>
      </c>
      <c r="E733" s="656" t="s">
        <v>14384</v>
      </c>
      <c r="F733" s="1447">
        <v>44057</v>
      </c>
      <c r="G733" s="656" t="s">
        <v>9867</v>
      </c>
      <c r="H733" s="656" t="s">
        <v>1584</v>
      </c>
      <c r="I733" s="656" t="s">
        <v>14500</v>
      </c>
      <c r="J733" s="656" t="s">
        <v>9869</v>
      </c>
      <c r="K733" s="656" t="s">
        <v>9774</v>
      </c>
      <c r="L733" s="656"/>
      <c r="M733" s="656" t="s">
        <v>12703</v>
      </c>
      <c r="N733" s="656"/>
      <c r="O733" s="656" t="s">
        <v>6387</v>
      </c>
      <c r="P733" s="5" t="s">
        <v>15439</v>
      </c>
      <c r="Q733" s="1447">
        <v>43360</v>
      </c>
      <c r="R733" s="656"/>
      <c r="S733" s="656" t="s">
        <v>1050</v>
      </c>
      <c r="T733" s="656"/>
      <c r="U733" s="656"/>
      <c r="V733" s="656"/>
      <c r="W733" s="656" t="s">
        <v>13051</v>
      </c>
      <c r="X733" s="656" t="s">
        <v>498</v>
      </c>
      <c r="Y733" s="656" t="s">
        <v>14278</v>
      </c>
      <c r="Z733" s="656">
        <v>44306.474386574075</v>
      </c>
      <c r="AA733" s="656" t="s">
        <v>14276</v>
      </c>
      <c r="AB733" s="656"/>
    </row>
    <row r="734" spans="1:28">
      <c r="A734" s="656" t="s">
        <v>1914</v>
      </c>
      <c r="B734" s="656" t="s">
        <v>1915</v>
      </c>
      <c r="C734" s="656" t="s">
        <v>21</v>
      </c>
      <c r="D734" s="656" t="s">
        <v>12308</v>
      </c>
      <c r="E734" s="656" t="s">
        <v>14275</v>
      </c>
      <c r="F734" s="1447">
        <v>44057</v>
      </c>
      <c r="G734" s="656" t="s">
        <v>9867</v>
      </c>
      <c r="H734" s="656" t="s">
        <v>1777</v>
      </c>
      <c r="I734" s="656" t="s">
        <v>14499</v>
      </c>
      <c r="J734" s="656" t="s">
        <v>12308</v>
      </c>
      <c r="K734" s="656" t="s">
        <v>9774</v>
      </c>
      <c r="L734" s="656"/>
      <c r="M734" s="656" t="s">
        <v>12703</v>
      </c>
      <c r="N734" s="656"/>
      <c r="O734" s="656" t="s">
        <v>6387</v>
      </c>
      <c r="P734" s="5"/>
      <c r="Q734" s="1447">
        <v>43480</v>
      </c>
      <c r="R734" s="656">
        <v>43787</v>
      </c>
      <c r="S734" s="656" t="s">
        <v>1050</v>
      </c>
      <c r="T734" s="656"/>
      <c r="U734" s="656"/>
      <c r="V734" s="656"/>
      <c r="W734" s="656" t="s">
        <v>13051</v>
      </c>
      <c r="X734" s="656" t="s">
        <v>498</v>
      </c>
      <c r="Y734" s="656" t="s">
        <v>14278</v>
      </c>
      <c r="Z734" s="656">
        <v>44319.578379629631</v>
      </c>
      <c r="AA734" s="656" t="s">
        <v>15959</v>
      </c>
      <c r="AB734" s="656"/>
    </row>
    <row r="735" spans="1:28" ht="29">
      <c r="A735" s="656" t="s">
        <v>1914</v>
      </c>
      <c r="B735" s="656" t="s">
        <v>9843</v>
      </c>
      <c r="C735" s="656" t="s">
        <v>20</v>
      </c>
      <c r="D735" s="656" t="s">
        <v>9845</v>
      </c>
      <c r="E735" s="656" t="s">
        <v>14275</v>
      </c>
      <c r="F735" s="1447">
        <v>44055</v>
      </c>
      <c r="G735" s="656" t="s">
        <v>9844</v>
      </c>
      <c r="H735" s="656" t="s">
        <v>1777</v>
      </c>
      <c r="I735" s="656"/>
      <c r="J735" s="656"/>
      <c r="K735" s="656"/>
      <c r="L735" s="656" t="s">
        <v>9845</v>
      </c>
      <c r="M735" s="656" t="s">
        <v>16319</v>
      </c>
      <c r="N735" s="656"/>
      <c r="O735" s="656" t="s">
        <v>6387</v>
      </c>
      <c r="P735" s="5" t="s">
        <v>15440</v>
      </c>
      <c r="Q735" s="1447">
        <v>43311</v>
      </c>
      <c r="R735" s="656"/>
      <c r="S735" s="656" t="s">
        <v>1050</v>
      </c>
      <c r="T735" s="656"/>
      <c r="U735" s="656"/>
      <c r="V735" s="656"/>
      <c r="W735" s="656" t="s">
        <v>13051</v>
      </c>
      <c r="X735" s="656" t="s">
        <v>498</v>
      </c>
      <c r="Y735" s="656" t="s">
        <v>14278</v>
      </c>
      <c r="Z735" s="656">
        <v>44305.523495370369</v>
      </c>
      <c r="AA735" s="656" t="s">
        <v>14335</v>
      </c>
      <c r="AB735" s="656"/>
    </row>
    <row r="736" spans="1:28">
      <c r="A736" s="656" t="s">
        <v>1914</v>
      </c>
      <c r="B736" s="656" t="s">
        <v>1915</v>
      </c>
      <c r="C736" s="656" t="s">
        <v>20</v>
      </c>
      <c r="D736" s="656" t="s">
        <v>9868</v>
      </c>
      <c r="E736" s="656" t="s">
        <v>14275</v>
      </c>
      <c r="F736" s="1447">
        <v>44055</v>
      </c>
      <c r="G736" s="656" t="s">
        <v>9867</v>
      </c>
      <c r="H736" s="656" t="s">
        <v>1777</v>
      </c>
      <c r="I736" s="656"/>
      <c r="J736" s="656"/>
      <c r="K736" s="656"/>
      <c r="L736" s="656" t="s">
        <v>9868</v>
      </c>
      <c r="M736" s="656" t="s">
        <v>12703</v>
      </c>
      <c r="N736" s="656"/>
      <c r="O736" s="656" t="s">
        <v>6387</v>
      </c>
      <c r="P736" s="5"/>
      <c r="Q736" s="1447">
        <v>43238</v>
      </c>
      <c r="R736" s="656"/>
      <c r="S736" s="656" t="s">
        <v>1050</v>
      </c>
      <c r="T736" s="656"/>
      <c r="U736" s="656"/>
      <c r="V736" s="656"/>
      <c r="W736" s="656" t="s">
        <v>13051</v>
      </c>
      <c r="X736" s="656" t="s">
        <v>498</v>
      </c>
      <c r="Y736" s="656" t="s">
        <v>14278</v>
      </c>
      <c r="Z736" s="656">
        <v>44319.578946759262</v>
      </c>
      <c r="AA736" s="656" t="s">
        <v>15959</v>
      </c>
      <c r="AB736" s="656"/>
    </row>
    <row r="737" spans="1:28">
      <c r="A737" s="656" t="s">
        <v>1930</v>
      </c>
      <c r="B737" s="656" t="s">
        <v>1931</v>
      </c>
      <c r="C737" s="656" t="s">
        <v>21</v>
      </c>
      <c r="D737" s="656" t="s">
        <v>11781</v>
      </c>
      <c r="E737" s="656" t="s">
        <v>14275</v>
      </c>
      <c r="F737" s="1447">
        <v>43249</v>
      </c>
      <c r="G737" s="656" t="s">
        <v>11780</v>
      </c>
      <c r="H737" s="656" t="s">
        <v>1777</v>
      </c>
      <c r="I737" s="656" t="s">
        <v>14501</v>
      </c>
      <c r="J737" s="656" t="s">
        <v>11781</v>
      </c>
      <c r="K737" s="656" t="s">
        <v>9733</v>
      </c>
      <c r="L737" s="656"/>
      <c r="M737" s="656" t="s">
        <v>16196</v>
      </c>
      <c r="N737" s="656"/>
      <c r="O737" s="656" t="s">
        <v>6395</v>
      </c>
      <c r="P737" s="5"/>
      <c r="Q737" s="1447">
        <v>43045</v>
      </c>
      <c r="R737" s="656">
        <v>43131</v>
      </c>
      <c r="S737" s="656" t="s">
        <v>1394</v>
      </c>
      <c r="T737" s="656" t="s">
        <v>14280</v>
      </c>
      <c r="U737" s="656" t="s">
        <v>11626</v>
      </c>
      <c r="V737" s="656"/>
      <c r="W737" s="656" t="s">
        <v>13051</v>
      </c>
      <c r="X737" s="656" t="s">
        <v>498</v>
      </c>
      <c r="Y737" s="656" t="s">
        <v>14278</v>
      </c>
      <c r="Z737" s="656">
        <v>44305.523472222223</v>
      </c>
      <c r="AA737" s="656" t="s">
        <v>14335</v>
      </c>
      <c r="AB737" s="656"/>
    </row>
    <row r="738" spans="1:28">
      <c r="A738" s="656" t="s">
        <v>1930</v>
      </c>
      <c r="B738" s="656" t="s">
        <v>1931</v>
      </c>
      <c r="C738" s="656" t="s">
        <v>20</v>
      </c>
      <c r="D738" s="656" t="s">
        <v>11783</v>
      </c>
      <c r="E738" s="656" t="s">
        <v>14275</v>
      </c>
      <c r="F738" s="1447">
        <v>43222</v>
      </c>
      <c r="G738" s="656" t="s">
        <v>11782</v>
      </c>
      <c r="H738" s="656" t="s">
        <v>1777</v>
      </c>
      <c r="I738" s="656"/>
      <c r="J738" s="656"/>
      <c r="K738" s="656"/>
      <c r="L738" s="656" t="s">
        <v>11783</v>
      </c>
      <c r="M738" s="656" t="s">
        <v>1947</v>
      </c>
      <c r="N738" s="656"/>
      <c r="O738" s="656" t="s">
        <v>6395</v>
      </c>
      <c r="P738" s="5"/>
      <c r="Q738" s="1447"/>
      <c r="R738" s="656"/>
      <c r="S738" s="656" t="s">
        <v>1394</v>
      </c>
      <c r="T738" s="656" t="s">
        <v>14280</v>
      </c>
      <c r="U738" s="656" t="s">
        <v>11626</v>
      </c>
      <c r="V738" s="656"/>
      <c r="W738" s="656" t="s">
        <v>13051</v>
      </c>
      <c r="X738" s="656" t="s">
        <v>498</v>
      </c>
      <c r="Y738" s="656" t="s">
        <v>14278</v>
      </c>
      <c r="Z738" s="656">
        <v>44305.523472222223</v>
      </c>
      <c r="AA738" s="656" t="s">
        <v>14335</v>
      </c>
      <c r="AB738" s="656"/>
    </row>
    <row r="739" spans="1:28">
      <c r="A739" s="656" t="s">
        <v>1936</v>
      </c>
      <c r="B739" s="656" t="s">
        <v>1937</v>
      </c>
      <c r="C739" s="656" t="s">
        <v>20</v>
      </c>
      <c r="D739" s="656" t="s">
        <v>11997</v>
      </c>
      <c r="E739" s="656" t="s">
        <v>14275</v>
      </c>
      <c r="F739" s="1447">
        <v>43578</v>
      </c>
      <c r="G739" s="656" t="s">
        <v>11996</v>
      </c>
      <c r="H739" s="656" t="s">
        <v>1777</v>
      </c>
      <c r="I739" s="656"/>
      <c r="J739" s="656"/>
      <c r="K739" s="656"/>
      <c r="L739" s="656" t="s">
        <v>11997</v>
      </c>
      <c r="M739" s="656" t="s">
        <v>16196</v>
      </c>
      <c r="N739" s="656"/>
      <c r="O739" s="656" t="s">
        <v>6387</v>
      </c>
      <c r="P739" s="5"/>
      <c r="Q739" s="1447">
        <v>43179</v>
      </c>
      <c r="R739" s="656"/>
      <c r="S739" s="656" t="s">
        <v>1300</v>
      </c>
      <c r="T739" s="656"/>
      <c r="U739" s="656" t="s">
        <v>1300</v>
      </c>
      <c r="V739" s="656"/>
      <c r="W739" s="656" t="s">
        <v>13051</v>
      </c>
      <c r="X739" s="656" t="s">
        <v>498</v>
      </c>
      <c r="Y739" s="656" t="s">
        <v>14278</v>
      </c>
      <c r="Z739" s="656">
        <v>44305.523460648146</v>
      </c>
      <c r="AA739" s="656" t="s">
        <v>14335</v>
      </c>
      <c r="AB739" s="656"/>
    </row>
    <row r="740" spans="1:28">
      <c r="A740" s="656" t="s">
        <v>1936</v>
      </c>
      <c r="B740" s="656" t="s">
        <v>1937</v>
      </c>
      <c r="C740" s="656" t="s">
        <v>20</v>
      </c>
      <c r="D740" s="656" t="s">
        <v>12138</v>
      </c>
      <c r="E740" s="656" t="s">
        <v>14275</v>
      </c>
      <c r="F740" s="1447">
        <v>43818</v>
      </c>
      <c r="G740" s="656" t="s">
        <v>11996</v>
      </c>
      <c r="H740" s="656" t="s">
        <v>1777</v>
      </c>
      <c r="I740" s="656"/>
      <c r="J740" s="656"/>
      <c r="K740" s="656"/>
      <c r="L740" s="656" t="s">
        <v>12138</v>
      </c>
      <c r="M740" s="656" t="s">
        <v>16199</v>
      </c>
      <c r="N740" s="656"/>
      <c r="O740" s="656" t="s">
        <v>6387</v>
      </c>
      <c r="P740" s="5"/>
      <c r="Q740" s="1447">
        <v>43360</v>
      </c>
      <c r="R740" s="656"/>
      <c r="S740" s="656" t="s">
        <v>500</v>
      </c>
      <c r="T740" s="656"/>
      <c r="U740" s="656" t="s">
        <v>500</v>
      </c>
      <c r="V740" s="656"/>
      <c r="W740" s="656" t="s">
        <v>13051</v>
      </c>
      <c r="X740" s="656" t="s">
        <v>498</v>
      </c>
      <c r="Y740" s="656" t="s">
        <v>14278</v>
      </c>
      <c r="Z740" s="656">
        <v>44305.523460648146</v>
      </c>
      <c r="AA740" s="656" t="s">
        <v>14335</v>
      </c>
      <c r="AB740" s="656"/>
    </row>
    <row r="741" spans="1:28">
      <c r="A741" s="656" t="s">
        <v>1941</v>
      </c>
      <c r="B741" s="656" t="s">
        <v>1942</v>
      </c>
      <c r="C741" s="656" t="s">
        <v>21</v>
      </c>
      <c r="D741" s="656" t="s">
        <v>11890</v>
      </c>
      <c r="E741" s="656" t="s">
        <v>14384</v>
      </c>
      <c r="F741" s="1447">
        <v>43347</v>
      </c>
      <c r="G741" s="656" t="s">
        <v>11856</v>
      </c>
      <c r="H741" s="656" t="s">
        <v>1777</v>
      </c>
      <c r="I741" s="656" t="s">
        <v>14503</v>
      </c>
      <c r="J741" s="656" t="s">
        <v>11890</v>
      </c>
      <c r="K741" s="656" t="s">
        <v>9774</v>
      </c>
      <c r="L741" s="656"/>
      <c r="M741" s="656" t="s">
        <v>1584</v>
      </c>
      <c r="N741" s="656"/>
      <c r="O741" s="656" t="s">
        <v>6387</v>
      </c>
      <c r="P741" s="5" t="s">
        <v>15396</v>
      </c>
      <c r="Q741" s="1447">
        <v>43119</v>
      </c>
      <c r="R741" s="656"/>
      <c r="S741" s="656" t="s">
        <v>1050</v>
      </c>
      <c r="T741" s="656"/>
      <c r="U741" s="656" t="s">
        <v>1050</v>
      </c>
      <c r="V741" s="656"/>
      <c r="W741" s="656" t="s">
        <v>13051</v>
      </c>
      <c r="X741" s="656" t="s">
        <v>498</v>
      </c>
      <c r="Y741" s="656" t="s">
        <v>14278</v>
      </c>
      <c r="Z741" s="656">
        <v>44305.5234375</v>
      </c>
      <c r="AA741" s="656" t="s">
        <v>14335</v>
      </c>
      <c r="AB741" s="656"/>
    </row>
    <row r="742" spans="1:28">
      <c r="A742" s="656" t="s">
        <v>1941</v>
      </c>
      <c r="B742" s="656" t="s">
        <v>1942</v>
      </c>
      <c r="C742" s="656" t="s">
        <v>21</v>
      </c>
      <c r="D742" s="656" t="s">
        <v>12023</v>
      </c>
      <c r="E742" s="656" t="s">
        <v>14275</v>
      </c>
      <c r="F742" s="1447">
        <v>43347</v>
      </c>
      <c r="G742" s="656" t="s">
        <v>11856</v>
      </c>
      <c r="H742" s="656" t="s">
        <v>1584</v>
      </c>
      <c r="I742" s="656" t="s">
        <v>14502</v>
      </c>
      <c r="J742" s="656" t="s">
        <v>12023</v>
      </c>
      <c r="K742" s="656" t="s">
        <v>9774</v>
      </c>
      <c r="L742" s="656"/>
      <c r="M742" s="656" t="s">
        <v>1584</v>
      </c>
      <c r="N742" s="656"/>
      <c r="O742" s="656" t="s">
        <v>6387</v>
      </c>
      <c r="P742" s="5"/>
      <c r="Q742" s="1447">
        <v>43197</v>
      </c>
      <c r="R742" s="656">
        <v>43189</v>
      </c>
      <c r="S742" s="656" t="s">
        <v>1050</v>
      </c>
      <c r="T742" s="656"/>
      <c r="U742" s="656" t="s">
        <v>1050</v>
      </c>
      <c r="V742" s="656"/>
      <c r="W742" s="656" t="s">
        <v>13051</v>
      </c>
      <c r="X742" s="656" t="s">
        <v>498</v>
      </c>
      <c r="Y742" s="656" t="s">
        <v>14278</v>
      </c>
      <c r="Z742" s="656">
        <v>44305.523449074077</v>
      </c>
      <c r="AA742" s="656" t="s">
        <v>14335</v>
      </c>
      <c r="AB742" s="656"/>
    </row>
    <row r="743" spans="1:28">
      <c r="A743" s="656" t="s">
        <v>1941</v>
      </c>
      <c r="B743" s="656" t="s">
        <v>1942</v>
      </c>
      <c r="C743" s="656" t="s">
        <v>20</v>
      </c>
      <c r="D743" s="656" t="s">
        <v>11857</v>
      </c>
      <c r="E743" s="656" t="s">
        <v>14275</v>
      </c>
      <c r="F743" s="1447">
        <v>43308</v>
      </c>
      <c r="G743" s="656" t="s">
        <v>11856</v>
      </c>
      <c r="H743" s="656" t="s">
        <v>1777</v>
      </c>
      <c r="I743" s="656"/>
      <c r="J743" s="656"/>
      <c r="K743" s="656"/>
      <c r="L743" s="656" t="s">
        <v>11857</v>
      </c>
      <c r="M743" s="656" t="s">
        <v>12703</v>
      </c>
      <c r="N743" s="656"/>
      <c r="O743" s="656" t="s">
        <v>6387</v>
      </c>
      <c r="P743" s="5"/>
      <c r="Q743" s="1447">
        <v>43088</v>
      </c>
      <c r="R743" s="656"/>
      <c r="S743" s="656" t="s">
        <v>1050</v>
      </c>
      <c r="T743" s="656" t="s">
        <v>1050</v>
      </c>
      <c r="U743" s="656" t="s">
        <v>1051</v>
      </c>
      <c r="V743" s="656"/>
      <c r="W743" s="656" t="s">
        <v>13051</v>
      </c>
      <c r="X743" s="656" t="s">
        <v>498</v>
      </c>
      <c r="Y743" s="656" t="s">
        <v>14278</v>
      </c>
      <c r="Z743" s="656">
        <v>44305.753819444442</v>
      </c>
      <c r="AA743" s="656" t="s">
        <v>14335</v>
      </c>
      <c r="AB743" s="656"/>
    </row>
    <row r="744" spans="1:28">
      <c r="A744" s="656" t="s">
        <v>1989</v>
      </c>
      <c r="B744" s="656" t="s">
        <v>1990</v>
      </c>
      <c r="C744" s="656" t="s">
        <v>21</v>
      </c>
      <c r="D744" s="656" t="s">
        <v>10088</v>
      </c>
      <c r="E744" s="656" t="s">
        <v>14275</v>
      </c>
      <c r="F744" s="1447">
        <v>44316</v>
      </c>
      <c r="G744" s="656" t="s">
        <v>9977</v>
      </c>
      <c r="H744" s="656" t="s">
        <v>1777</v>
      </c>
      <c r="I744" s="656" t="s">
        <v>14504</v>
      </c>
      <c r="J744" s="656" t="s">
        <v>10088</v>
      </c>
      <c r="K744" s="656" t="s">
        <v>9774</v>
      </c>
      <c r="L744" s="656"/>
      <c r="M744" s="656" t="s">
        <v>16199</v>
      </c>
      <c r="N744" s="656"/>
      <c r="O744" s="656" t="s">
        <v>6387</v>
      </c>
      <c r="P744" s="5"/>
      <c r="Q744" s="1447">
        <v>43748</v>
      </c>
      <c r="R744" s="656">
        <v>44044</v>
      </c>
      <c r="S744" s="656" t="s">
        <v>462</v>
      </c>
      <c r="T744" s="656"/>
      <c r="U744" s="656"/>
      <c r="V744" s="656"/>
      <c r="W744" s="656" t="s">
        <v>13051</v>
      </c>
      <c r="X744" s="656" t="s">
        <v>498</v>
      </c>
      <c r="Y744" s="656" t="s">
        <v>14278</v>
      </c>
      <c r="Z744" s="656">
        <v>44319.415347222224</v>
      </c>
      <c r="AA744" s="656" t="s">
        <v>14276</v>
      </c>
      <c r="AB744" s="656"/>
    </row>
    <row r="745" spans="1:28">
      <c r="A745" s="656" t="s">
        <v>1989</v>
      </c>
      <c r="B745" s="656" t="s">
        <v>1990</v>
      </c>
      <c r="C745" s="656" t="s">
        <v>20</v>
      </c>
      <c r="D745" s="656" t="s">
        <v>9978</v>
      </c>
      <c r="E745" s="656" t="s">
        <v>14279</v>
      </c>
      <c r="F745" s="1447"/>
      <c r="G745" s="656" t="s">
        <v>9977</v>
      </c>
      <c r="H745" s="656" t="s">
        <v>1777</v>
      </c>
      <c r="I745" s="656"/>
      <c r="J745" s="656"/>
      <c r="K745" s="656"/>
      <c r="L745" s="656" t="s">
        <v>9978</v>
      </c>
      <c r="M745" s="656" t="s">
        <v>16199</v>
      </c>
      <c r="N745" s="656"/>
      <c r="O745" s="656" t="s">
        <v>6387</v>
      </c>
      <c r="P745" s="5"/>
      <c r="Q745" s="1447">
        <v>43606</v>
      </c>
      <c r="R745" s="656"/>
      <c r="S745" s="656" t="s">
        <v>462</v>
      </c>
      <c r="T745" s="656"/>
      <c r="U745" s="656"/>
      <c r="V745" s="656"/>
      <c r="W745" s="656" t="s">
        <v>13051</v>
      </c>
      <c r="X745" s="656" t="s">
        <v>498</v>
      </c>
      <c r="Y745" s="656" t="s">
        <v>14278</v>
      </c>
      <c r="Z745" s="656">
        <v>44305.523425925923</v>
      </c>
      <c r="AA745" s="656" t="s">
        <v>14335</v>
      </c>
      <c r="AB745" s="656"/>
    </row>
    <row r="746" spans="1:28">
      <c r="A746" s="656" t="s">
        <v>2004</v>
      </c>
      <c r="B746" s="656" t="s">
        <v>2005</v>
      </c>
      <c r="C746" s="656" t="s">
        <v>21</v>
      </c>
      <c r="D746" s="656" t="s">
        <v>9905</v>
      </c>
      <c r="E746" s="656" t="s">
        <v>14279</v>
      </c>
      <c r="F746" s="1447"/>
      <c r="G746" s="656" t="s">
        <v>9895</v>
      </c>
      <c r="H746" s="656" t="s">
        <v>1777</v>
      </c>
      <c r="I746" s="656" t="s">
        <v>14505</v>
      </c>
      <c r="J746" s="656" t="s">
        <v>9905</v>
      </c>
      <c r="K746" s="656" t="s">
        <v>9774</v>
      </c>
      <c r="L746" s="656"/>
      <c r="M746" s="656" t="s">
        <v>16209</v>
      </c>
      <c r="N746" s="656"/>
      <c r="O746" s="656" t="s">
        <v>6395</v>
      </c>
      <c r="P746" s="5"/>
      <c r="Q746" s="1447">
        <v>43483</v>
      </c>
      <c r="R746" s="656"/>
      <c r="S746" s="656" t="s">
        <v>1050</v>
      </c>
      <c r="T746" s="656"/>
      <c r="U746" s="656"/>
      <c r="V746" s="656"/>
      <c r="W746" s="656" t="s">
        <v>13051</v>
      </c>
      <c r="X746" s="656" t="s">
        <v>498</v>
      </c>
      <c r="Y746" s="656" t="s">
        <v>14278</v>
      </c>
      <c r="Z746" s="656">
        <v>44305.523414351854</v>
      </c>
      <c r="AA746" s="656" t="s">
        <v>14335</v>
      </c>
      <c r="AB746" s="656"/>
    </row>
    <row r="747" spans="1:28">
      <c r="A747" s="656" t="s">
        <v>2004</v>
      </c>
      <c r="B747" s="656" t="s">
        <v>2005</v>
      </c>
      <c r="C747" s="656" t="s">
        <v>20</v>
      </c>
      <c r="D747" s="656" t="s">
        <v>9896</v>
      </c>
      <c r="E747" s="656" t="s">
        <v>14279</v>
      </c>
      <c r="F747" s="1447"/>
      <c r="G747" s="656" t="s">
        <v>9895</v>
      </c>
      <c r="H747" s="656" t="s">
        <v>1777</v>
      </c>
      <c r="I747" s="656"/>
      <c r="J747" s="656"/>
      <c r="K747" s="656"/>
      <c r="L747" s="656" t="s">
        <v>9896</v>
      </c>
      <c r="M747" s="656" t="s">
        <v>16209</v>
      </c>
      <c r="N747" s="656"/>
      <c r="O747" s="656" t="s">
        <v>6387</v>
      </c>
      <c r="P747" s="5"/>
      <c r="Q747" s="1447">
        <v>43419</v>
      </c>
      <c r="R747" s="656"/>
      <c r="S747" s="656" t="s">
        <v>1050</v>
      </c>
      <c r="T747" s="656"/>
      <c r="U747" s="656"/>
      <c r="V747" s="656"/>
      <c r="W747" s="656" t="s">
        <v>13051</v>
      </c>
      <c r="X747" s="656" t="s">
        <v>498</v>
      </c>
      <c r="Y747" s="656" t="s">
        <v>14278</v>
      </c>
      <c r="Z747" s="656">
        <v>44305.523414351854</v>
      </c>
      <c r="AA747" s="656" t="s">
        <v>14335</v>
      </c>
      <c r="AB747" s="656"/>
    </row>
    <row r="748" spans="1:28" ht="29">
      <c r="A748" s="656" t="s">
        <v>2004</v>
      </c>
      <c r="B748" s="656" t="s">
        <v>13810</v>
      </c>
      <c r="C748" s="656" t="s">
        <v>21</v>
      </c>
      <c r="D748" s="656" t="s">
        <v>16029</v>
      </c>
      <c r="E748" s="656" t="s">
        <v>14275</v>
      </c>
      <c r="F748" s="1447">
        <v>44301</v>
      </c>
      <c r="G748" s="656" t="s">
        <v>16030</v>
      </c>
      <c r="H748" s="656" t="s">
        <v>1777</v>
      </c>
      <c r="I748" s="656" t="s">
        <v>14505</v>
      </c>
      <c r="J748" s="656" t="s">
        <v>16029</v>
      </c>
      <c r="K748" s="656" t="s">
        <v>9774</v>
      </c>
      <c r="L748" s="656"/>
      <c r="M748" s="656" t="s">
        <v>16209</v>
      </c>
      <c r="N748" s="656"/>
      <c r="O748" s="656" t="s">
        <v>6387</v>
      </c>
      <c r="P748" s="5" t="s">
        <v>16051</v>
      </c>
      <c r="Q748" s="1447">
        <v>44246</v>
      </c>
      <c r="R748" s="656">
        <v>44074</v>
      </c>
      <c r="S748" s="656" t="s">
        <v>445</v>
      </c>
      <c r="T748" s="656"/>
      <c r="U748" s="656"/>
      <c r="V748" s="656"/>
      <c r="W748" s="656" t="s">
        <v>13051</v>
      </c>
      <c r="X748" s="656" t="s">
        <v>498</v>
      </c>
      <c r="Y748" s="656" t="s">
        <v>14278</v>
      </c>
      <c r="Z748" s="656">
        <v>44314.711956018517</v>
      </c>
      <c r="AA748" s="656" t="s">
        <v>14276</v>
      </c>
      <c r="AB748" s="656"/>
    </row>
    <row r="749" spans="1:28">
      <c r="A749" s="656" t="s">
        <v>2010</v>
      </c>
      <c r="B749" s="656" t="s">
        <v>2011</v>
      </c>
      <c r="C749" s="656" t="s">
        <v>21</v>
      </c>
      <c r="D749" s="656" t="s">
        <v>9858</v>
      </c>
      <c r="E749" s="656" t="s">
        <v>14279</v>
      </c>
      <c r="F749" s="1447"/>
      <c r="G749" s="656" t="s">
        <v>9826</v>
      </c>
      <c r="H749" s="656" t="s">
        <v>1777</v>
      </c>
      <c r="I749" s="656" t="s">
        <v>14506</v>
      </c>
      <c r="J749" s="656" t="s">
        <v>9858</v>
      </c>
      <c r="K749" s="656" t="s">
        <v>9774</v>
      </c>
      <c r="L749" s="656"/>
      <c r="M749" s="656" t="s">
        <v>16196</v>
      </c>
      <c r="N749" s="656"/>
      <c r="O749" s="656" t="s">
        <v>6395</v>
      </c>
      <c r="P749" s="5"/>
      <c r="Q749" s="1447">
        <v>43333</v>
      </c>
      <c r="R749" s="656"/>
      <c r="S749" s="656" t="s">
        <v>3756</v>
      </c>
      <c r="T749" s="656"/>
      <c r="U749" s="656"/>
      <c r="V749" s="656"/>
      <c r="W749" s="656" t="s">
        <v>13051</v>
      </c>
      <c r="X749" s="656" t="s">
        <v>498</v>
      </c>
      <c r="Y749" s="656" t="s">
        <v>14278</v>
      </c>
      <c r="Z749" s="656">
        <v>44305.5233912037</v>
      </c>
      <c r="AA749" s="656" t="s">
        <v>14335</v>
      </c>
      <c r="AB749" s="656"/>
    </row>
    <row r="750" spans="1:28">
      <c r="A750" s="656" t="s">
        <v>2010</v>
      </c>
      <c r="B750" s="656" t="s">
        <v>2011</v>
      </c>
      <c r="C750" s="656" t="s">
        <v>20</v>
      </c>
      <c r="D750" s="656" t="s">
        <v>9827</v>
      </c>
      <c r="E750" s="656" t="s">
        <v>14279</v>
      </c>
      <c r="F750" s="1447"/>
      <c r="G750" s="656" t="s">
        <v>9826</v>
      </c>
      <c r="H750" s="656" t="s">
        <v>1777</v>
      </c>
      <c r="I750" s="656"/>
      <c r="J750" s="656"/>
      <c r="K750" s="656"/>
      <c r="L750" s="656" t="s">
        <v>9827</v>
      </c>
      <c r="M750" s="656" t="s">
        <v>16196</v>
      </c>
      <c r="N750" s="656"/>
      <c r="O750" s="656" t="s">
        <v>6395</v>
      </c>
      <c r="P750" s="5"/>
      <c r="Q750" s="1447">
        <v>43221</v>
      </c>
      <c r="R750" s="656"/>
      <c r="S750" s="656" t="s">
        <v>3756</v>
      </c>
      <c r="T750" s="656"/>
      <c r="U750" s="656" t="s">
        <v>3756</v>
      </c>
      <c r="V750" s="656"/>
      <c r="W750" s="656" t="s">
        <v>13051</v>
      </c>
      <c r="X750" s="656" t="s">
        <v>498</v>
      </c>
      <c r="Y750" s="656" t="s">
        <v>14278</v>
      </c>
      <c r="Z750" s="656">
        <v>44305.5233912037</v>
      </c>
      <c r="AA750" s="656" t="s">
        <v>14335</v>
      </c>
      <c r="AB750" s="656"/>
    </row>
    <row r="751" spans="1:28">
      <c r="A751" s="656" t="s">
        <v>2010</v>
      </c>
      <c r="B751" s="656" t="s">
        <v>2011</v>
      </c>
      <c r="C751" s="656" t="s">
        <v>20</v>
      </c>
      <c r="D751" s="656" t="s">
        <v>9891</v>
      </c>
      <c r="E751" s="656" t="s">
        <v>14279</v>
      </c>
      <c r="F751" s="1447"/>
      <c r="G751" s="656" t="s">
        <v>9826</v>
      </c>
      <c r="H751" s="656" t="s">
        <v>1777</v>
      </c>
      <c r="I751" s="656"/>
      <c r="J751" s="656"/>
      <c r="K751" s="656"/>
      <c r="L751" s="656" t="s">
        <v>9891</v>
      </c>
      <c r="M751" s="656" t="s">
        <v>9450</v>
      </c>
      <c r="N751" s="656" t="s">
        <v>9892</v>
      </c>
      <c r="O751" s="656" t="s">
        <v>6395</v>
      </c>
      <c r="P751" s="5" t="s">
        <v>14409</v>
      </c>
      <c r="Q751" s="1447">
        <v>43403</v>
      </c>
      <c r="R751" s="656"/>
      <c r="S751" s="656" t="s">
        <v>3756</v>
      </c>
      <c r="T751" s="656"/>
      <c r="U751" s="656" t="s">
        <v>3756</v>
      </c>
      <c r="V751" s="656"/>
      <c r="W751" s="656" t="s">
        <v>13051</v>
      </c>
      <c r="X751" s="656" t="s">
        <v>498</v>
      </c>
      <c r="Y751" s="656" t="s">
        <v>14278</v>
      </c>
      <c r="Z751" s="656">
        <v>44305.523402777777</v>
      </c>
      <c r="AA751" s="656" t="s">
        <v>14335</v>
      </c>
      <c r="AB751" s="656"/>
    </row>
    <row r="752" spans="1:28">
      <c r="A752" s="656" t="s">
        <v>2010</v>
      </c>
      <c r="B752" s="656" t="s">
        <v>2011</v>
      </c>
      <c r="C752" s="656" t="s">
        <v>20</v>
      </c>
      <c r="D752" s="656" t="s">
        <v>9902</v>
      </c>
      <c r="E752" s="656" t="s">
        <v>14279</v>
      </c>
      <c r="F752" s="1447"/>
      <c r="G752" s="656" t="s">
        <v>9826</v>
      </c>
      <c r="H752" s="656" t="s">
        <v>1777</v>
      </c>
      <c r="I752" s="656"/>
      <c r="J752" s="656"/>
      <c r="K752" s="656"/>
      <c r="L752" s="656" t="s">
        <v>9902</v>
      </c>
      <c r="M752" s="656" t="s">
        <v>9450</v>
      </c>
      <c r="N752" s="656" t="s">
        <v>9892</v>
      </c>
      <c r="O752" s="656" t="s">
        <v>6395</v>
      </c>
      <c r="P752" s="5" t="s">
        <v>14507</v>
      </c>
      <c r="Q752" s="1447">
        <v>43431</v>
      </c>
      <c r="R752" s="656"/>
      <c r="S752" s="656" t="s">
        <v>3756</v>
      </c>
      <c r="T752" s="656"/>
      <c r="U752" s="656"/>
      <c r="V752" s="656"/>
      <c r="W752" s="656" t="s">
        <v>13051</v>
      </c>
      <c r="X752" s="656" t="s">
        <v>498</v>
      </c>
      <c r="Y752" s="656" t="s">
        <v>14278</v>
      </c>
      <c r="Z752" s="656">
        <v>44305.523402777777</v>
      </c>
      <c r="AA752" s="656" t="s">
        <v>14335</v>
      </c>
      <c r="AB752" s="656"/>
    </row>
    <row r="753" spans="1:28" ht="29">
      <c r="A753" s="656" t="s">
        <v>2010</v>
      </c>
      <c r="B753" s="656" t="s">
        <v>2011</v>
      </c>
      <c r="C753" s="656" t="s">
        <v>21</v>
      </c>
      <c r="D753" s="656" t="s">
        <v>16031</v>
      </c>
      <c r="E753" s="656" t="s">
        <v>14275</v>
      </c>
      <c r="F753" s="1447">
        <v>44302</v>
      </c>
      <c r="G753" s="656" t="s">
        <v>16032</v>
      </c>
      <c r="H753" s="656" t="s">
        <v>1777</v>
      </c>
      <c r="I753" s="656" t="s">
        <v>14506</v>
      </c>
      <c r="J753" s="656" t="s">
        <v>16031</v>
      </c>
      <c r="K753" s="656" t="s">
        <v>9774</v>
      </c>
      <c r="L753" s="656"/>
      <c r="M753" s="656" t="s">
        <v>16196</v>
      </c>
      <c r="N753" s="656"/>
      <c r="O753" s="656" t="s">
        <v>6387</v>
      </c>
      <c r="P753" s="5" t="s">
        <v>16052</v>
      </c>
      <c r="Q753" s="1447">
        <v>44270</v>
      </c>
      <c r="R753" s="656">
        <v>44255</v>
      </c>
      <c r="S753" s="656" t="s">
        <v>472</v>
      </c>
      <c r="T753" s="656"/>
      <c r="U753" s="656"/>
      <c r="V753" s="656"/>
      <c r="W753" s="656" t="s">
        <v>13051</v>
      </c>
      <c r="X753" s="656" t="s">
        <v>498</v>
      </c>
      <c r="Y753" s="656" t="s">
        <v>14278</v>
      </c>
      <c r="Z753" s="656">
        <v>44314.698935185188</v>
      </c>
      <c r="AA753" s="656" t="s">
        <v>14276</v>
      </c>
      <c r="AB753" s="656"/>
    </row>
    <row r="754" spans="1:28">
      <c r="A754" s="656" t="s">
        <v>2022</v>
      </c>
      <c r="B754" s="656" t="s">
        <v>2023</v>
      </c>
      <c r="C754" s="656" t="s">
        <v>21</v>
      </c>
      <c r="D754" s="656" t="s">
        <v>12202</v>
      </c>
      <c r="E754" s="656" t="s">
        <v>14384</v>
      </c>
      <c r="F754" s="1447">
        <v>43623</v>
      </c>
      <c r="G754" s="656" t="s">
        <v>12040</v>
      </c>
      <c r="H754" s="656" t="s">
        <v>1777</v>
      </c>
      <c r="I754" s="656" t="s">
        <v>14508</v>
      </c>
      <c r="J754" s="656" t="s">
        <v>12202</v>
      </c>
      <c r="K754" s="656" t="s">
        <v>9774</v>
      </c>
      <c r="L754" s="656"/>
      <c r="M754" s="656" t="s">
        <v>16196</v>
      </c>
      <c r="N754" s="656"/>
      <c r="O754" s="656" t="s">
        <v>6395</v>
      </c>
      <c r="P754" s="5" t="s">
        <v>14509</v>
      </c>
      <c r="Q754" s="1447">
        <v>43404</v>
      </c>
      <c r="R754" s="656"/>
      <c r="S754" s="656" t="s">
        <v>3756</v>
      </c>
      <c r="T754" s="656"/>
      <c r="U754" s="656" t="s">
        <v>3756</v>
      </c>
      <c r="V754" s="656"/>
      <c r="W754" s="656" t="s">
        <v>13051</v>
      </c>
      <c r="X754" s="656" t="s">
        <v>498</v>
      </c>
      <c r="Y754" s="656" t="s">
        <v>14278</v>
      </c>
      <c r="Z754" s="656">
        <v>44305.523379629631</v>
      </c>
      <c r="AA754" s="656" t="s">
        <v>14335</v>
      </c>
      <c r="AB754" s="656"/>
    </row>
    <row r="755" spans="1:28">
      <c r="A755" s="656" t="s">
        <v>2022</v>
      </c>
      <c r="B755" s="656" t="s">
        <v>2023</v>
      </c>
      <c r="C755" s="656" t="s">
        <v>20</v>
      </c>
      <c r="D755" s="656" t="s">
        <v>12041</v>
      </c>
      <c r="E755" s="656" t="s">
        <v>14275</v>
      </c>
      <c r="F755" s="1447">
        <v>43955</v>
      </c>
      <c r="G755" s="656" t="s">
        <v>12040</v>
      </c>
      <c r="H755" s="656" t="s">
        <v>1777</v>
      </c>
      <c r="I755" s="656"/>
      <c r="J755" s="656"/>
      <c r="K755" s="656"/>
      <c r="L755" s="656" t="s">
        <v>12041</v>
      </c>
      <c r="M755" s="656" t="s">
        <v>16196</v>
      </c>
      <c r="N755" s="656"/>
      <c r="O755" s="656" t="s">
        <v>6395</v>
      </c>
      <c r="P755" s="5"/>
      <c r="Q755" s="1447">
        <v>43250</v>
      </c>
      <c r="R755" s="656"/>
      <c r="S755" s="656" t="s">
        <v>3756</v>
      </c>
      <c r="T755" s="656"/>
      <c r="U755" s="656" t="s">
        <v>3756</v>
      </c>
      <c r="V755" s="656"/>
      <c r="W755" s="656" t="s">
        <v>13051</v>
      </c>
      <c r="X755" s="656" t="s">
        <v>498</v>
      </c>
      <c r="Y755" s="656" t="s">
        <v>14278</v>
      </c>
      <c r="Z755" s="656">
        <v>44305.523379629631</v>
      </c>
      <c r="AA755" s="656" t="s">
        <v>14335</v>
      </c>
      <c r="AB755" s="656"/>
    </row>
    <row r="756" spans="1:28">
      <c r="A756" s="656" t="s">
        <v>2028</v>
      </c>
      <c r="B756" s="656" t="s">
        <v>2029</v>
      </c>
      <c r="C756" s="656" t="s">
        <v>20</v>
      </c>
      <c r="D756" s="656" t="s">
        <v>10049</v>
      </c>
      <c r="E756" s="656" t="s">
        <v>14275</v>
      </c>
      <c r="F756" s="1447">
        <v>44158</v>
      </c>
      <c r="G756" s="656" t="s">
        <v>10048</v>
      </c>
      <c r="H756" s="656" t="s">
        <v>1777</v>
      </c>
      <c r="I756" s="656"/>
      <c r="J756" s="656"/>
      <c r="K756" s="656"/>
      <c r="L756" s="656" t="s">
        <v>10049</v>
      </c>
      <c r="M756" s="656" t="s">
        <v>1564</v>
      </c>
      <c r="N756" s="656"/>
      <c r="O756" s="656" t="s">
        <v>6387</v>
      </c>
      <c r="P756" s="5"/>
      <c r="Q756" s="1447">
        <v>43706</v>
      </c>
      <c r="R756" s="656"/>
      <c r="S756" s="656" t="s">
        <v>465</v>
      </c>
      <c r="T756" s="656"/>
      <c r="U756" s="656"/>
      <c r="V756" s="656"/>
      <c r="W756" s="656" t="s">
        <v>13051</v>
      </c>
      <c r="X756" s="656" t="s">
        <v>498</v>
      </c>
      <c r="Y756" s="656" t="s">
        <v>14278</v>
      </c>
      <c r="Z756" s="656">
        <v>44305.523368055554</v>
      </c>
      <c r="AA756" s="656" t="s">
        <v>14335</v>
      </c>
      <c r="AB756" s="656"/>
    </row>
    <row r="757" spans="1:28">
      <c r="A757" s="656" t="s">
        <v>2033</v>
      </c>
      <c r="B757" s="656" t="s">
        <v>2034</v>
      </c>
      <c r="C757" s="656" t="s">
        <v>21</v>
      </c>
      <c r="D757" s="656" t="s">
        <v>12295</v>
      </c>
      <c r="E757" s="656" t="s">
        <v>14275</v>
      </c>
      <c r="F757" s="1447">
        <v>44280</v>
      </c>
      <c r="G757" s="656" t="s">
        <v>12294</v>
      </c>
      <c r="H757" s="656" t="s">
        <v>1777</v>
      </c>
      <c r="I757" s="656" t="s">
        <v>14511</v>
      </c>
      <c r="J757" s="656" t="s">
        <v>12295</v>
      </c>
      <c r="K757" s="656" t="s">
        <v>9774</v>
      </c>
      <c r="L757" s="656"/>
      <c r="M757" s="656" t="s">
        <v>16196</v>
      </c>
      <c r="N757" s="656"/>
      <c r="O757" s="656" t="s">
        <v>9714</v>
      </c>
      <c r="P757" s="5"/>
      <c r="Q757" s="1447">
        <v>43173</v>
      </c>
      <c r="R757" s="656">
        <v>43555</v>
      </c>
      <c r="S757" s="656" t="s">
        <v>1949</v>
      </c>
      <c r="T757" s="656"/>
      <c r="U757" s="656" t="s">
        <v>1949</v>
      </c>
      <c r="V757" s="656"/>
      <c r="W757" s="656" t="s">
        <v>13051</v>
      </c>
      <c r="X757" s="656" t="s">
        <v>498</v>
      </c>
      <c r="Y757" s="656" t="s">
        <v>14278</v>
      </c>
      <c r="Z757" s="656">
        <v>44305.523356481484</v>
      </c>
      <c r="AA757" s="656" t="s">
        <v>14335</v>
      </c>
      <c r="AB757" s="656"/>
    </row>
    <row r="758" spans="1:28">
      <c r="A758" s="656" t="s">
        <v>2033</v>
      </c>
      <c r="B758" s="656" t="s">
        <v>2034</v>
      </c>
      <c r="C758" s="656" t="s">
        <v>20</v>
      </c>
      <c r="D758" s="656" t="s">
        <v>9798</v>
      </c>
      <c r="E758" s="656" t="s">
        <v>14275</v>
      </c>
      <c r="F758" s="1447">
        <v>44253</v>
      </c>
      <c r="G758" s="656" t="s">
        <v>9797</v>
      </c>
      <c r="H758" s="656" t="s">
        <v>1777</v>
      </c>
      <c r="I758" s="656"/>
      <c r="J758" s="656"/>
      <c r="K758" s="656"/>
      <c r="L758" s="656" t="s">
        <v>9798</v>
      </c>
      <c r="M758" s="656" t="s">
        <v>16196</v>
      </c>
      <c r="N758" s="656"/>
      <c r="O758" s="656" t="s">
        <v>9714</v>
      </c>
      <c r="P758" s="5"/>
      <c r="Q758" s="1447">
        <v>43090</v>
      </c>
      <c r="R758" s="656"/>
      <c r="S758" s="656" t="s">
        <v>1949</v>
      </c>
      <c r="T758" s="656" t="s">
        <v>1949</v>
      </c>
      <c r="U758" s="656" t="s">
        <v>14510</v>
      </c>
      <c r="V758" s="656"/>
      <c r="W758" s="656" t="s">
        <v>13051</v>
      </c>
      <c r="X758" s="656" t="s">
        <v>498</v>
      </c>
      <c r="Y758" s="656" t="s">
        <v>14278</v>
      </c>
      <c r="Z758" s="656">
        <v>44305.523356481484</v>
      </c>
      <c r="AA758" s="656" t="s">
        <v>14335</v>
      </c>
      <c r="AB758" s="656"/>
    </row>
    <row r="759" spans="1:28">
      <c r="A759" s="656" t="s">
        <v>2035</v>
      </c>
      <c r="B759" s="656" t="s">
        <v>2036</v>
      </c>
      <c r="C759" s="656" t="s">
        <v>21</v>
      </c>
      <c r="D759" s="656" t="s">
        <v>12300</v>
      </c>
      <c r="E759" s="656" t="s">
        <v>14275</v>
      </c>
      <c r="F759" s="1447">
        <v>44074</v>
      </c>
      <c r="G759" s="656" t="s">
        <v>9795</v>
      </c>
      <c r="H759" s="656" t="s">
        <v>1777</v>
      </c>
      <c r="I759" s="656" t="s">
        <v>14512</v>
      </c>
      <c r="J759" s="656" t="s">
        <v>12300</v>
      </c>
      <c r="K759" s="656" t="s">
        <v>9774</v>
      </c>
      <c r="L759" s="656"/>
      <c r="M759" s="656" t="s">
        <v>16196</v>
      </c>
      <c r="N759" s="656"/>
      <c r="O759" s="656" t="s">
        <v>9833</v>
      </c>
      <c r="P759" s="5"/>
      <c r="Q759" s="1447">
        <v>43238</v>
      </c>
      <c r="R759" s="656">
        <v>43738</v>
      </c>
      <c r="S759" s="656" t="s">
        <v>9725</v>
      </c>
      <c r="T759" s="656"/>
      <c r="U759" s="656" t="s">
        <v>9725</v>
      </c>
      <c r="V759" s="656"/>
      <c r="W759" s="656" t="s">
        <v>13051</v>
      </c>
      <c r="X759" s="656" t="s">
        <v>498</v>
      </c>
      <c r="Y759" s="656" t="s">
        <v>14278</v>
      </c>
      <c r="Z759" s="656">
        <v>44305.523344907408</v>
      </c>
      <c r="AA759" s="656" t="s">
        <v>14335</v>
      </c>
      <c r="AB759" s="656"/>
    </row>
    <row r="760" spans="1:28">
      <c r="A760" s="656" t="s">
        <v>2035</v>
      </c>
      <c r="B760" s="656" t="s">
        <v>2036</v>
      </c>
      <c r="C760" s="656" t="s">
        <v>20</v>
      </c>
      <c r="D760" s="656" t="s">
        <v>9796</v>
      </c>
      <c r="E760" s="656" t="s">
        <v>14275</v>
      </c>
      <c r="F760" s="1447">
        <v>44074</v>
      </c>
      <c r="G760" s="656" t="s">
        <v>9795</v>
      </c>
      <c r="H760" s="656" t="s">
        <v>1777</v>
      </c>
      <c r="I760" s="656"/>
      <c r="J760" s="656"/>
      <c r="K760" s="656"/>
      <c r="L760" s="656" t="s">
        <v>9796</v>
      </c>
      <c r="M760" s="656" t="s">
        <v>16196</v>
      </c>
      <c r="N760" s="656"/>
      <c r="O760" s="656" t="s">
        <v>9714</v>
      </c>
      <c r="P760" s="5"/>
      <c r="Q760" s="1447">
        <v>43055</v>
      </c>
      <c r="R760" s="656"/>
      <c r="S760" s="656" t="s">
        <v>1949</v>
      </c>
      <c r="T760" s="656" t="s">
        <v>282</v>
      </c>
      <c r="U760" s="656" t="s">
        <v>11626</v>
      </c>
      <c r="V760" s="656"/>
      <c r="W760" s="656" t="s">
        <v>13051</v>
      </c>
      <c r="X760" s="656" t="s">
        <v>498</v>
      </c>
      <c r="Y760" s="656" t="s">
        <v>14278</v>
      </c>
      <c r="Z760" s="656">
        <v>44305.523344907408</v>
      </c>
      <c r="AA760" s="656" t="s">
        <v>14335</v>
      </c>
      <c r="AB760" s="656"/>
    </row>
    <row r="761" spans="1:28">
      <c r="A761" s="656" t="s">
        <v>2037</v>
      </c>
      <c r="B761" s="656" t="s">
        <v>2038</v>
      </c>
      <c r="C761" s="656" t="s">
        <v>21</v>
      </c>
      <c r="D761" s="656" t="s">
        <v>11916</v>
      </c>
      <c r="E761" s="656" t="s">
        <v>14275</v>
      </c>
      <c r="F761" s="1447">
        <v>43598</v>
      </c>
      <c r="G761" s="656" t="s">
        <v>11850</v>
      </c>
      <c r="H761" s="656" t="s">
        <v>1777</v>
      </c>
      <c r="I761" s="656" t="s">
        <v>14513</v>
      </c>
      <c r="J761" s="656" t="s">
        <v>11916</v>
      </c>
      <c r="K761" s="656" t="s">
        <v>9774</v>
      </c>
      <c r="L761" s="656"/>
      <c r="M761" s="656" t="s">
        <v>16196</v>
      </c>
      <c r="N761" s="656"/>
      <c r="O761" s="656" t="s">
        <v>9714</v>
      </c>
      <c r="P761" s="5"/>
      <c r="Q761" s="1447">
        <v>43145</v>
      </c>
      <c r="R761" s="656">
        <v>43292</v>
      </c>
      <c r="S761" s="656" t="s">
        <v>1949</v>
      </c>
      <c r="T761" s="656"/>
      <c r="U761" s="656" t="s">
        <v>1949</v>
      </c>
      <c r="V761" s="656"/>
      <c r="W761" s="656" t="s">
        <v>13051</v>
      </c>
      <c r="X761" s="656" t="s">
        <v>498</v>
      </c>
      <c r="Y761" s="656" t="s">
        <v>14278</v>
      </c>
      <c r="Z761" s="656">
        <v>44305.523321759261</v>
      </c>
      <c r="AA761" s="656" t="s">
        <v>14335</v>
      </c>
      <c r="AB761" s="656"/>
    </row>
    <row r="762" spans="1:28">
      <c r="A762" s="656" t="s">
        <v>2037</v>
      </c>
      <c r="B762" s="656" t="s">
        <v>2038</v>
      </c>
      <c r="C762" s="656" t="s">
        <v>20</v>
      </c>
      <c r="D762" s="656" t="s">
        <v>11851</v>
      </c>
      <c r="E762" s="656" t="s">
        <v>14275</v>
      </c>
      <c r="F762" s="1447">
        <v>43595</v>
      </c>
      <c r="G762" s="656" t="s">
        <v>11850</v>
      </c>
      <c r="H762" s="656" t="s">
        <v>1777</v>
      </c>
      <c r="I762" s="656"/>
      <c r="J762" s="656"/>
      <c r="K762" s="656"/>
      <c r="L762" s="656" t="s">
        <v>11851</v>
      </c>
      <c r="M762" s="656" t="s">
        <v>16196</v>
      </c>
      <c r="N762" s="656"/>
      <c r="O762" s="656" t="s">
        <v>9714</v>
      </c>
      <c r="P762" s="5"/>
      <c r="Q762" s="1447">
        <v>43055</v>
      </c>
      <c r="R762" s="656"/>
      <c r="S762" s="656" t="s">
        <v>1949</v>
      </c>
      <c r="T762" s="656" t="s">
        <v>282</v>
      </c>
      <c r="U762" s="656" t="s">
        <v>11626</v>
      </c>
      <c r="V762" s="656"/>
      <c r="W762" s="656" t="s">
        <v>13051</v>
      </c>
      <c r="X762" s="656" t="s">
        <v>498</v>
      </c>
      <c r="Y762" s="656" t="s">
        <v>14278</v>
      </c>
      <c r="Z762" s="656">
        <v>44305.523333333331</v>
      </c>
      <c r="AA762" s="656" t="s">
        <v>14335</v>
      </c>
      <c r="AB762" s="656"/>
    </row>
    <row r="763" spans="1:28">
      <c r="A763" s="656" t="s">
        <v>2039</v>
      </c>
      <c r="B763" s="656" t="s">
        <v>2040</v>
      </c>
      <c r="C763" s="656" t="s">
        <v>21</v>
      </c>
      <c r="D763" s="656" t="s">
        <v>11934</v>
      </c>
      <c r="E763" s="656" t="s">
        <v>14275</v>
      </c>
      <c r="F763" s="1447">
        <v>43444</v>
      </c>
      <c r="G763" s="656" t="s">
        <v>11848</v>
      </c>
      <c r="H763" s="656" t="s">
        <v>1777</v>
      </c>
      <c r="I763" s="656" t="s">
        <v>14514</v>
      </c>
      <c r="J763" s="656" t="s">
        <v>11934</v>
      </c>
      <c r="K763" s="656" t="s">
        <v>9774</v>
      </c>
      <c r="L763" s="656"/>
      <c r="M763" s="656" t="s">
        <v>16196</v>
      </c>
      <c r="N763" s="656"/>
      <c r="O763" s="656" t="s">
        <v>9714</v>
      </c>
      <c r="P763" s="5"/>
      <c r="Q763" s="1447">
        <v>43164</v>
      </c>
      <c r="R763" s="656">
        <v>43342</v>
      </c>
      <c r="S763" s="656" t="s">
        <v>1949</v>
      </c>
      <c r="T763" s="656"/>
      <c r="U763" s="656" t="s">
        <v>11626</v>
      </c>
      <c r="V763" s="656"/>
      <c r="W763" s="656" t="s">
        <v>13051</v>
      </c>
      <c r="X763" s="656" t="s">
        <v>498</v>
      </c>
      <c r="Y763" s="656" t="s">
        <v>14278</v>
      </c>
      <c r="Z763" s="656">
        <v>44305.523310185185</v>
      </c>
      <c r="AA763" s="656" t="s">
        <v>14335</v>
      </c>
      <c r="AB763" s="656"/>
    </row>
    <row r="764" spans="1:28">
      <c r="A764" s="656" t="s">
        <v>2039</v>
      </c>
      <c r="B764" s="656" t="s">
        <v>2040</v>
      </c>
      <c r="C764" s="656" t="s">
        <v>20</v>
      </c>
      <c r="D764" s="656" t="s">
        <v>11849</v>
      </c>
      <c r="E764" s="656" t="s">
        <v>14275</v>
      </c>
      <c r="F764" s="1447">
        <v>43448</v>
      </c>
      <c r="G764" s="656" t="s">
        <v>11848</v>
      </c>
      <c r="H764" s="656" t="s">
        <v>1777</v>
      </c>
      <c r="I764" s="656"/>
      <c r="J764" s="656"/>
      <c r="K764" s="656"/>
      <c r="L764" s="656" t="s">
        <v>11849</v>
      </c>
      <c r="M764" s="656" t="s">
        <v>16196</v>
      </c>
      <c r="N764" s="656"/>
      <c r="O764" s="656" t="s">
        <v>9714</v>
      </c>
      <c r="P764" s="5"/>
      <c r="Q764" s="1447">
        <v>43055</v>
      </c>
      <c r="R764" s="656"/>
      <c r="S764" s="656" t="s">
        <v>1949</v>
      </c>
      <c r="T764" s="656" t="s">
        <v>282</v>
      </c>
      <c r="U764" s="656" t="s">
        <v>11626</v>
      </c>
      <c r="V764" s="656"/>
      <c r="W764" s="656" t="s">
        <v>13051</v>
      </c>
      <c r="X764" s="656" t="s">
        <v>498</v>
      </c>
      <c r="Y764" s="656" t="s">
        <v>14278</v>
      </c>
      <c r="Z764" s="656">
        <v>44305.523321759261</v>
      </c>
      <c r="AA764" s="656" t="s">
        <v>14335</v>
      </c>
      <c r="AB764" s="656"/>
    </row>
    <row r="765" spans="1:28">
      <c r="A765" s="656" t="s">
        <v>2041</v>
      </c>
      <c r="B765" s="656" t="s">
        <v>2042</v>
      </c>
      <c r="C765" s="656" t="s">
        <v>21</v>
      </c>
      <c r="D765" s="656" t="s">
        <v>12293</v>
      </c>
      <c r="E765" s="656" t="s">
        <v>14275</v>
      </c>
      <c r="F765" s="1447">
        <v>44211</v>
      </c>
      <c r="G765" s="656" t="s">
        <v>9793</v>
      </c>
      <c r="H765" s="656" t="s">
        <v>1777</v>
      </c>
      <c r="I765" s="656" t="s">
        <v>14515</v>
      </c>
      <c r="J765" s="656" t="s">
        <v>12293</v>
      </c>
      <c r="K765" s="656" t="s">
        <v>9774</v>
      </c>
      <c r="L765" s="656"/>
      <c r="M765" s="656" t="s">
        <v>16196</v>
      </c>
      <c r="N765" s="656"/>
      <c r="O765" s="656" t="s">
        <v>9714</v>
      </c>
      <c r="P765" s="5"/>
      <c r="Q765" s="1447">
        <v>43164</v>
      </c>
      <c r="R765" s="656">
        <v>44011</v>
      </c>
      <c r="S765" s="656" t="s">
        <v>1949</v>
      </c>
      <c r="T765" s="656"/>
      <c r="U765" s="656" t="s">
        <v>11626</v>
      </c>
      <c r="V765" s="656"/>
      <c r="W765" s="656" t="s">
        <v>13051</v>
      </c>
      <c r="X765" s="656" t="s">
        <v>498</v>
      </c>
      <c r="Y765" s="656" t="s">
        <v>14278</v>
      </c>
      <c r="Z765" s="656">
        <v>44305.523298611108</v>
      </c>
      <c r="AA765" s="656" t="s">
        <v>14335</v>
      </c>
      <c r="AB765" s="656"/>
    </row>
    <row r="766" spans="1:28">
      <c r="A766" s="656" t="s">
        <v>2041</v>
      </c>
      <c r="B766" s="656" t="s">
        <v>2042</v>
      </c>
      <c r="C766" s="656" t="s">
        <v>20</v>
      </c>
      <c r="D766" s="656" t="s">
        <v>9794</v>
      </c>
      <c r="E766" s="656" t="s">
        <v>14275</v>
      </c>
      <c r="F766" s="1447">
        <v>44221</v>
      </c>
      <c r="G766" s="656" t="s">
        <v>9793</v>
      </c>
      <c r="H766" s="656" t="s">
        <v>1777</v>
      </c>
      <c r="I766" s="656"/>
      <c r="J766" s="656"/>
      <c r="K766" s="656"/>
      <c r="L766" s="656" t="s">
        <v>9794</v>
      </c>
      <c r="M766" s="656" t="s">
        <v>16196</v>
      </c>
      <c r="N766" s="656"/>
      <c r="O766" s="656" t="s">
        <v>9714</v>
      </c>
      <c r="P766" s="5"/>
      <c r="Q766" s="1447">
        <v>43055</v>
      </c>
      <c r="R766" s="656"/>
      <c r="S766" s="656" t="s">
        <v>1949</v>
      </c>
      <c r="T766" s="656" t="s">
        <v>282</v>
      </c>
      <c r="U766" s="656" t="s">
        <v>11626</v>
      </c>
      <c r="V766" s="656"/>
      <c r="W766" s="656" t="s">
        <v>13051</v>
      </c>
      <c r="X766" s="656" t="s">
        <v>498</v>
      </c>
      <c r="Y766" s="656" t="s">
        <v>14278</v>
      </c>
      <c r="Z766" s="656">
        <v>44305.523310185185</v>
      </c>
      <c r="AA766" s="656" t="s">
        <v>14335</v>
      </c>
      <c r="AB766" s="656"/>
    </row>
    <row r="767" spans="1:28">
      <c r="A767" s="656" t="s">
        <v>2043</v>
      </c>
      <c r="B767" s="656" t="s">
        <v>2044</v>
      </c>
      <c r="C767" s="656" t="s">
        <v>21</v>
      </c>
      <c r="D767" s="656" t="s">
        <v>15397</v>
      </c>
      <c r="E767" s="656" t="s">
        <v>14275</v>
      </c>
      <c r="F767" s="1447">
        <v>44236</v>
      </c>
      <c r="G767" s="656" t="s">
        <v>9791</v>
      </c>
      <c r="H767" s="656" t="s">
        <v>1777</v>
      </c>
      <c r="I767" s="656" t="s">
        <v>15398</v>
      </c>
      <c r="J767" s="656" t="s">
        <v>15397</v>
      </c>
      <c r="K767" s="656" t="s">
        <v>9774</v>
      </c>
      <c r="L767" s="656"/>
      <c r="M767" s="656" t="s">
        <v>16196</v>
      </c>
      <c r="N767" s="656"/>
      <c r="O767" s="656" t="s">
        <v>9833</v>
      </c>
      <c r="P767" s="5"/>
      <c r="Q767" s="1447">
        <v>43249</v>
      </c>
      <c r="R767" s="656">
        <v>43615</v>
      </c>
      <c r="S767" s="656" t="s">
        <v>9725</v>
      </c>
      <c r="T767" s="656"/>
      <c r="U767" s="656" t="s">
        <v>9725</v>
      </c>
      <c r="V767" s="656"/>
      <c r="W767" s="656" t="s">
        <v>13051</v>
      </c>
      <c r="X767" s="656" t="s">
        <v>498</v>
      </c>
      <c r="Y767" s="656" t="s">
        <v>14278</v>
      </c>
      <c r="Z767" s="656">
        <v>44305.523287037038</v>
      </c>
      <c r="AA767" s="656" t="s">
        <v>14335</v>
      </c>
      <c r="AB767" s="656"/>
    </row>
    <row r="768" spans="1:28">
      <c r="A768" s="656" t="s">
        <v>2043</v>
      </c>
      <c r="B768" s="656" t="s">
        <v>2044</v>
      </c>
      <c r="C768" s="656" t="s">
        <v>20</v>
      </c>
      <c r="D768" s="656" t="s">
        <v>9792</v>
      </c>
      <c r="E768" s="656" t="s">
        <v>14275</v>
      </c>
      <c r="F768" s="1447">
        <v>44216</v>
      </c>
      <c r="G768" s="656" t="s">
        <v>9791</v>
      </c>
      <c r="H768" s="656" t="s">
        <v>1777</v>
      </c>
      <c r="I768" s="656"/>
      <c r="J768" s="656"/>
      <c r="K768" s="656"/>
      <c r="L768" s="656" t="s">
        <v>9792</v>
      </c>
      <c r="M768" s="656" t="s">
        <v>16196</v>
      </c>
      <c r="N768" s="656"/>
      <c r="O768" s="656" t="s">
        <v>9714</v>
      </c>
      <c r="P768" s="5"/>
      <c r="Q768" s="1447">
        <v>43055</v>
      </c>
      <c r="R768" s="656"/>
      <c r="S768" s="656" t="s">
        <v>1949</v>
      </c>
      <c r="T768" s="656" t="s">
        <v>282</v>
      </c>
      <c r="U768" s="656" t="s">
        <v>11626</v>
      </c>
      <c r="V768" s="656"/>
      <c r="W768" s="656" t="s">
        <v>13051</v>
      </c>
      <c r="X768" s="656" t="s">
        <v>498</v>
      </c>
      <c r="Y768" s="656" t="s">
        <v>14278</v>
      </c>
      <c r="Z768" s="656">
        <v>44305.523287037038</v>
      </c>
      <c r="AA768" s="656" t="s">
        <v>14335</v>
      </c>
      <c r="AB768" s="656"/>
    </row>
    <row r="769" spans="1:28">
      <c r="A769" s="656" t="s">
        <v>2043</v>
      </c>
      <c r="B769" s="656" t="s">
        <v>2044</v>
      </c>
      <c r="C769" s="656" t="s">
        <v>20</v>
      </c>
      <c r="D769" s="656" t="s">
        <v>9881</v>
      </c>
      <c r="E769" s="656" t="s">
        <v>14275</v>
      </c>
      <c r="F769" s="1447">
        <v>44221</v>
      </c>
      <c r="G769" s="656" t="s">
        <v>9791</v>
      </c>
      <c r="H769" s="656" t="s">
        <v>1777</v>
      </c>
      <c r="I769" s="656"/>
      <c r="J769" s="656"/>
      <c r="K769" s="656"/>
      <c r="L769" s="656" t="s">
        <v>9881</v>
      </c>
      <c r="M769" s="656" t="s">
        <v>16382</v>
      </c>
      <c r="N769" s="656"/>
      <c r="O769" s="656" t="s">
        <v>9714</v>
      </c>
      <c r="P769" s="5"/>
      <c r="Q769" s="1447">
        <v>43381</v>
      </c>
      <c r="R769" s="656"/>
      <c r="S769" s="656" t="s">
        <v>9725</v>
      </c>
      <c r="T769" s="656"/>
      <c r="U769" s="656" t="s">
        <v>9725</v>
      </c>
      <c r="V769" s="656"/>
      <c r="W769" s="656" t="s">
        <v>13051</v>
      </c>
      <c r="X769" s="656" t="s">
        <v>498</v>
      </c>
      <c r="Y769" s="656" t="s">
        <v>14278</v>
      </c>
      <c r="Z769" s="656">
        <v>44305.523298611108</v>
      </c>
      <c r="AA769" s="656" t="s">
        <v>14335</v>
      </c>
      <c r="AB769" s="656"/>
    </row>
    <row r="770" spans="1:28">
      <c r="A770" s="656" t="s">
        <v>2045</v>
      </c>
      <c r="B770" s="656" t="s">
        <v>2046</v>
      </c>
      <c r="C770" s="656" t="s">
        <v>21</v>
      </c>
      <c r="D770" s="656" t="s">
        <v>12301</v>
      </c>
      <c r="E770" s="656" t="s">
        <v>14275</v>
      </c>
      <c r="F770" s="1447">
        <v>44154</v>
      </c>
      <c r="G770" s="656" t="s">
        <v>9789</v>
      </c>
      <c r="H770" s="656" t="s">
        <v>1777</v>
      </c>
      <c r="I770" s="656" t="s">
        <v>14512</v>
      </c>
      <c r="J770" s="656" t="s">
        <v>12301</v>
      </c>
      <c r="K770" s="656" t="s">
        <v>9774</v>
      </c>
      <c r="L770" s="656"/>
      <c r="M770" s="656" t="s">
        <v>16196</v>
      </c>
      <c r="N770" s="656"/>
      <c r="O770" s="656" t="s">
        <v>9833</v>
      </c>
      <c r="P770" s="5"/>
      <c r="Q770" s="1447">
        <v>43238</v>
      </c>
      <c r="R770" s="656">
        <v>43524</v>
      </c>
      <c r="S770" s="656" t="s">
        <v>9725</v>
      </c>
      <c r="T770" s="656"/>
      <c r="U770" s="656" t="s">
        <v>9725</v>
      </c>
      <c r="V770" s="656"/>
      <c r="W770" s="656" t="s">
        <v>13051</v>
      </c>
      <c r="X770" s="656" t="s">
        <v>498</v>
      </c>
      <c r="Y770" s="656" t="s">
        <v>14278</v>
      </c>
      <c r="Z770" s="656">
        <v>44305.523275462961</v>
      </c>
      <c r="AA770" s="656" t="s">
        <v>14335</v>
      </c>
      <c r="AB770" s="656"/>
    </row>
    <row r="771" spans="1:28">
      <c r="A771" s="656" t="s">
        <v>2045</v>
      </c>
      <c r="B771" s="656" t="s">
        <v>2046</v>
      </c>
      <c r="C771" s="656" t="s">
        <v>20</v>
      </c>
      <c r="D771" s="656" t="s">
        <v>9790</v>
      </c>
      <c r="E771" s="656" t="s">
        <v>14275</v>
      </c>
      <c r="F771" s="1447">
        <v>44158</v>
      </c>
      <c r="G771" s="656" t="s">
        <v>9789</v>
      </c>
      <c r="H771" s="656" t="s">
        <v>1777</v>
      </c>
      <c r="I771" s="656"/>
      <c r="J771" s="656"/>
      <c r="K771" s="656"/>
      <c r="L771" s="656" t="s">
        <v>9790</v>
      </c>
      <c r="M771" s="656" t="s">
        <v>16196</v>
      </c>
      <c r="N771" s="656"/>
      <c r="O771" s="656" t="s">
        <v>9714</v>
      </c>
      <c r="P771" s="5"/>
      <c r="Q771" s="1447">
        <v>43055</v>
      </c>
      <c r="R771" s="656"/>
      <c r="S771" s="656" t="s">
        <v>1949</v>
      </c>
      <c r="T771" s="656" t="s">
        <v>282</v>
      </c>
      <c r="U771" s="656" t="s">
        <v>11626</v>
      </c>
      <c r="V771" s="656"/>
      <c r="W771" s="656" t="s">
        <v>13051</v>
      </c>
      <c r="X771" s="656" t="s">
        <v>498</v>
      </c>
      <c r="Y771" s="656" t="s">
        <v>14278</v>
      </c>
      <c r="Z771" s="656">
        <v>44305.523275462961</v>
      </c>
      <c r="AA771" s="656" t="s">
        <v>14335</v>
      </c>
      <c r="AB771" s="656"/>
    </row>
    <row r="772" spans="1:28">
      <c r="A772" s="656" t="s">
        <v>2061</v>
      </c>
      <c r="B772" s="656" t="s">
        <v>9765</v>
      </c>
      <c r="C772" s="656" t="s">
        <v>20</v>
      </c>
      <c r="D772" s="656" t="s">
        <v>9767</v>
      </c>
      <c r="E772" s="656" t="s">
        <v>14275</v>
      </c>
      <c r="F772" s="1447">
        <v>44243</v>
      </c>
      <c r="G772" s="656" t="s">
        <v>9766</v>
      </c>
      <c r="H772" s="656" t="s">
        <v>1777</v>
      </c>
      <c r="I772" s="656"/>
      <c r="J772" s="656"/>
      <c r="K772" s="656"/>
      <c r="L772" s="656" t="s">
        <v>9767</v>
      </c>
      <c r="M772" s="656" t="s">
        <v>16196</v>
      </c>
      <c r="N772" s="656"/>
      <c r="O772" s="656" t="s">
        <v>9714</v>
      </c>
      <c r="P772" s="5"/>
      <c r="Q772" s="1447">
        <v>42591</v>
      </c>
      <c r="R772" s="656"/>
      <c r="S772" s="656" t="s">
        <v>1949</v>
      </c>
      <c r="T772" s="656" t="s">
        <v>282</v>
      </c>
      <c r="U772" s="656" t="s">
        <v>11626</v>
      </c>
      <c r="V772" s="656"/>
      <c r="W772" s="656" t="s">
        <v>13051</v>
      </c>
      <c r="X772" s="656" t="s">
        <v>498</v>
      </c>
      <c r="Y772" s="656" t="s">
        <v>14278</v>
      </c>
      <c r="Z772" s="656">
        <v>44305.523263888892</v>
      </c>
      <c r="AA772" s="656" t="s">
        <v>14335</v>
      </c>
      <c r="AB772" s="656"/>
    </row>
    <row r="773" spans="1:28">
      <c r="A773" s="656" t="s">
        <v>2068</v>
      </c>
      <c r="B773" s="656" t="s">
        <v>2069</v>
      </c>
      <c r="C773" s="656" t="s">
        <v>21</v>
      </c>
      <c r="D773" s="656" t="s">
        <v>11777</v>
      </c>
      <c r="E773" s="656" t="s">
        <v>14275</v>
      </c>
      <c r="F773" s="1447">
        <v>43277</v>
      </c>
      <c r="G773" s="656" t="s">
        <v>11776</v>
      </c>
      <c r="H773" s="656" t="s">
        <v>1777</v>
      </c>
      <c r="I773" s="656" t="s">
        <v>14516</v>
      </c>
      <c r="J773" s="656" t="s">
        <v>11777</v>
      </c>
      <c r="K773" s="656" t="s">
        <v>9774</v>
      </c>
      <c r="L773" s="656"/>
      <c r="M773" s="656" t="s">
        <v>16262</v>
      </c>
      <c r="N773" s="656"/>
      <c r="O773" s="656" t="s">
        <v>6387</v>
      </c>
      <c r="P773" s="5"/>
      <c r="Q773" s="1447">
        <v>43053</v>
      </c>
      <c r="R773" s="656">
        <v>43108</v>
      </c>
      <c r="S773" s="656" t="s">
        <v>655</v>
      </c>
      <c r="T773" s="656" t="s">
        <v>14277</v>
      </c>
      <c r="U773" s="656" t="s">
        <v>655</v>
      </c>
      <c r="V773" s="656"/>
      <c r="W773" s="656" t="s">
        <v>13051</v>
      </c>
      <c r="X773" s="656" t="s">
        <v>498</v>
      </c>
      <c r="Y773" s="656" t="s">
        <v>14278</v>
      </c>
      <c r="Z773" s="656">
        <v>44305.523263888892</v>
      </c>
      <c r="AA773" s="656" t="s">
        <v>14335</v>
      </c>
      <c r="AB773" s="656"/>
    </row>
    <row r="774" spans="1:28">
      <c r="A774" s="656" t="s">
        <v>2068</v>
      </c>
      <c r="B774" s="656" t="s">
        <v>2069</v>
      </c>
      <c r="C774" s="656" t="s">
        <v>20</v>
      </c>
      <c r="D774" s="656" t="s">
        <v>11779</v>
      </c>
      <c r="E774" s="656" t="s">
        <v>14275</v>
      </c>
      <c r="F774" s="1447">
        <v>43273</v>
      </c>
      <c r="G774" s="656" t="s">
        <v>11778</v>
      </c>
      <c r="H774" s="656" t="s">
        <v>1777</v>
      </c>
      <c r="I774" s="656"/>
      <c r="J774" s="656"/>
      <c r="K774" s="656"/>
      <c r="L774" s="656" t="s">
        <v>11779</v>
      </c>
      <c r="M774" s="656" t="s">
        <v>16262</v>
      </c>
      <c r="N774" s="656"/>
      <c r="O774" s="656" t="s">
        <v>6387</v>
      </c>
      <c r="P774" s="5"/>
      <c r="Q774" s="1447"/>
      <c r="R774" s="656"/>
      <c r="S774" s="656" t="s">
        <v>655</v>
      </c>
      <c r="T774" s="656" t="s">
        <v>14277</v>
      </c>
      <c r="U774" s="656" t="s">
        <v>655</v>
      </c>
      <c r="V774" s="656"/>
      <c r="W774" s="656" t="s">
        <v>13051</v>
      </c>
      <c r="X774" s="656" t="s">
        <v>498</v>
      </c>
      <c r="Y774" s="656" t="s">
        <v>14278</v>
      </c>
      <c r="Z774" s="656">
        <v>44305.523263888892</v>
      </c>
      <c r="AA774" s="656" t="s">
        <v>14335</v>
      </c>
      <c r="AB774" s="656"/>
    </row>
    <row r="775" spans="1:28">
      <c r="A775" s="656" t="s">
        <v>2073</v>
      </c>
      <c r="B775" s="656" t="s">
        <v>2074</v>
      </c>
      <c r="C775" s="656" t="s">
        <v>21</v>
      </c>
      <c r="D775" s="656" t="s">
        <v>9840</v>
      </c>
      <c r="E775" s="656" t="s">
        <v>14384</v>
      </c>
      <c r="F775" s="1447">
        <v>44077</v>
      </c>
      <c r="G775" s="656" t="s">
        <v>9839</v>
      </c>
      <c r="H775" s="656" t="s">
        <v>1777</v>
      </c>
      <c r="I775" s="656" t="s">
        <v>14517</v>
      </c>
      <c r="J775" s="656" t="s">
        <v>9840</v>
      </c>
      <c r="K775" s="656" t="s">
        <v>9774</v>
      </c>
      <c r="L775" s="656"/>
      <c r="M775" s="656" t="s">
        <v>16196</v>
      </c>
      <c r="N775" s="656"/>
      <c r="O775" s="656" t="s">
        <v>9757</v>
      </c>
      <c r="P775" s="5" t="s">
        <v>14518</v>
      </c>
      <c r="Q775" s="1447">
        <v>43279</v>
      </c>
      <c r="R775" s="656"/>
      <c r="S775" s="656" t="s">
        <v>1300</v>
      </c>
      <c r="T775" s="656"/>
      <c r="U775" s="656"/>
      <c r="V775" s="656"/>
      <c r="W775" s="656" t="s">
        <v>13051</v>
      </c>
      <c r="X775" s="656" t="s">
        <v>498</v>
      </c>
      <c r="Y775" s="656" t="s">
        <v>14278</v>
      </c>
      <c r="Z775" s="656">
        <v>44305.523252314815</v>
      </c>
      <c r="AA775" s="656" t="s">
        <v>14335</v>
      </c>
      <c r="AB775" s="656"/>
    </row>
    <row r="776" spans="1:28">
      <c r="A776" s="656" t="s">
        <v>2073</v>
      </c>
      <c r="B776" s="656" t="s">
        <v>2074</v>
      </c>
      <c r="C776" s="656" t="s">
        <v>20</v>
      </c>
      <c r="D776" s="656" t="s">
        <v>12022</v>
      </c>
      <c r="E776" s="656" t="s">
        <v>14275</v>
      </c>
      <c r="F776" s="1447">
        <v>44032</v>
      </c>
      <c r="G776" s="656" t="s">
        <v>9839</v>
      </c>
      <c r="H776" s="656" t="s">
        <v>1777</v>
      </c>
      <c r="I776" s="656"/>
      <c r="J776" s="656"/>
      <c r="K776" s="656"/>
      <c r="L776" s="656" t="s">
        <v>12022</v>
      </c>
      <c r="M776" s="656" t="s">
        <v>16196</v>
      </c>
      <c r="N776" s="656"/>
      <c r="O776" s="656" t="s">
        <v>9757</v>
      </c>
      <c r="P776" s="5"/>
      <c r="Q776" s="1447">
        <v>43213</v>
      </c>
      <c r="R776" s="656"/>
      <c r="S776" s="656" t="s">
        <v>1300</v>
      </c>
      <c r="T776" s="656"/>
      <c r="U776" s="656" t="s">
        <v>1300</v>
      </c>
      <c r="V776" s="656"/>
      <c r="W776" s="656" t="s">
        <v>13051</v>
      </c>
      <c r="X776" s="656" t="s">
        <v>498</v>
      </c>
      <c r="Y776" s="656" t="s">
        <v>14278</v>
      </c>
      <c r="Z776" s="656">
        <v>44305.523252314815</v>
      </c>
      <c r="AA776" s="656" t="s">
        <v>14335</v>
      </c>
      <c r="AB776" s="656"/>
    </row>
    <row r="777" spans="1:28">
      <c r="A777" s="656" t="s">
        <v>2075</v>
      </c>
      <c r="B777" s="656" t="s">
        <v>12017</v>
      </c>
      <c r="C777" s="656" t="s">
        <v>20</v>
      </c>
      <c r="D777" s="656" t="s">
        <v>12019</v>
      </c>
      <c r="E777" s="656" t="s">
        <v>14275</v>
      </c>
      <c r="F777" s="1447">
        <v>44005</v>
      </c>
      <c r="G777" s="656" t="s">
        <v>12018</v>
      </c>
      <c r="H777" s="656" t="s">
        <v>1777</v>
      </c>
      <c r="I777" s="656"/>
      <c r="J777" s="656"/>
      <c r="K777" s="656"/>
      <c r="L777" s="656" t="s">
        <v>12019</v>
      </c>
      <c r="M777" s="656" t="s">
        <v>16196</v>
      </c>
      <c r="N777" s="656"/>
      <c r="O777" s="656" t="s">
        <v>9757</v>
      </c>
      <c r="P777" s="5"/>
      <c r="Q777" s="1447">
        <v>43213</v>
      </c>
      <c r="R777" s="656"/>
      <c r="S777" s="656" t="s">
        <v>1300</v>
      </c>
      <c r="T777" s="656"/>
      <c r="U777" s="656" t="s">
        <v>1300</v>
      </c>
      <c r="V777" s="656"/>
      <c r="W777" s="656" t="s">
        <v>13051</v>
      </c>
      <c r="X777" s="656" t="s">
        <v>498</v>
      </c>
      <c r="Y777" s="656" t="s">
        <v>14278</v>
      </c>
      <c r="Z777" s="656">
        <v>44305.523240740738</v>
      </c>
      <c r="AA777" s="656" t="s">
        <v>14335</v>
      </c>
      <c r="AB777" s="656"/>
    </row>
    <row r="778" spans="1:28">
      <c r="A778" s="656" t="s">
        <v>2075</v>
      </c>
      <c r="B778" s="656" t="s">
        <v>2076</v>
      </c>
      <c r="C778" s="656" t="s">
        <v>20</v>
      </c>
      <c r="D778" s="656" t="s">
        <v>12274</v>
      </c>
      <c r="E778" s="656" t="s">
        <v>14275</v>
      </c>
      <c r="F778" s="1447">
        <v>44005</v>
      </c>
      <c r="G778" s="656" t="s">
        <v>12273</v>
      </c>
      <c r="H778" s="656" t="s">
        <v>1777</v>
      </c>
      <c r="I778" s="656"/>
      <c r="J778" s="656"/>
      <c r="K778" s="656"/>
      <c r="L778" s="656" t="s">
        <v>12274</v>
      </c>
      <c r="M778" s="656" t="s">
        <v>9450</v>
      </c>
      <c r="N778" s="656" t="s">
        <v>9892</v>
      </c>
      <c r="O778" s="656" t="s">
        <v>6395</v>
      </c>
      <c r="P778" s="5"/>
      <c r="Q778" s="1447">
        <v>43889</v>
      </c>
      <c r="R778" s="656"/>
      <c r="S778" s="656" t="s">
        <v>462</v>
      </c>
      <c r="T778" s="656"/>
      <c r="U778" s="656"/>
      <c r="V778" s="656" t="s">
        <v>14323</v>
      </c>
      <c r="W778" s="656" t="s">
        <v>13051</v>
      </c>
      <c r="X778" s="656" t="s">
        <v>498</v>
      </c>
      <c r="Y778" s="656" t="s">
        <v>14278</v>
      </c>
      <c r="Z778" s="656">
        <v>44305.523240740738</v>
      </c>
      <c r="AA778" s="656" t="s">
        <v>14335</v>
      </c>
      <c r="AB778" s="656"/>
    </row>
    <row r="779" spans="1:28">
      <c r="A779" s="656" t="s">
        <v>2077</v>
      </c>
      <c r="B779" s="656" t="s">
        <v>2078</v>
      </c>
      <c r="C779" s="656" t="s">
        <v>20</v>
      </c>
      <c r="D779" s="656" t="s">
        <v>12016</v>
      </c>
      <c r="E779" s="656" t="s">
        <v>14275</v>
      </c>
      <c r="F779" s="1447">
        <v>43871</v>
      </c>
      <c r="G779" s="656" t="s">
        <v>12015</v>
      </c>
      <c r="H779" s="656" t="s">
        <v>1777</v>
      </c>
      <c r="I779" s="656"/>
      <c r="J779" s="656"/>
      <c r="K779" s="656"/>
      <c r="L779" s="656" t="s">
        <v>12016</v>
      </c>
      <c r="M779" s="656" t="s">
        <v>16196</v>
      </c>
      <c r="N779" s="656"/>
      <c r="O779" s="656" t="s">
        <v>6387</v>
      </c>
      <c r="P779" s="5"/>
      <c r="Q779" s="1447">
        <v>43213</v>
      </c>
      <c r="R779" s="656"/>
      <c r="S779" s="656" t="s">
        <v>1300</v>
      </c>
      <c r="T779" s="656"/>
      <c r="U779" s="656" t="s">
        <v>1300</v>
      </c>
      <c r="V779" s="656"/>
      <c r="W779" s="656" t="s">
        <v>13051</v>
      </c>
      <c r="X779" s="656" t="s">
        <v>498</v>
      </c>
      <c r="Y779" s="656" t="s">
        <v>14278</v>
      </c>
      <c r="Z779" s="656">
        <v>44305.523229166669</v>
      </c>
      <c r="AA779" s="656" t="s">
        <v>14335</v>
      </c>
      <c r="AB779" s="656"/>
    </row>
    <row r="780" spans="1:28">
      <c r="A780" s="656" t="s">
        <v>2079</v>
      </c>
      <c r="B780" s="656" t="s">
        <v>2080</v>
      </c>
      <c r="C780" s="656" t="s">
        <v>20</v>
      </c>
      <c r="D780" s="656" t="s">
        <v>12029</v>
      </c>
      <c r="E780" s="656" t="s">
        <v>14275</v>
      </c>
      <c r="F780" s="1447">
        <v>43888</v>
      </c>
      <c r="G780" s="656" t="s">
        <v>12028</v>
      </c>
      <c r="H780" s="656" t="s">
        <v>1777</v>
      </c>
      <c r="I780" s="656"/>
      <c r="J780" s="656"/>
      <c r="K780" s="656"/>
      <c r="L780" s="656" t="s">
        <v>12029</v>
      </c>
      <c r="M780" s="656" t="s">
        <v>16196</v>
      </c>
      <c r="N780" s="656"/>
      <c r="O780" s="656" t="s">
        <v>6387</v>
      </c>
      <c r="P780" s="5"/>
      <c r="Q780" s="1447">
        <v>43221</v>
      </c>
      <c r="R780" s="656"/>
      <c r="S780" s="656" t="s">
        <v>1300</v>
      </c>
      <c r="T780" s="656"/>
      <c r="U780" s="656" t="s">
        <v>1300</v>
      </c>
      <c r="V780" s="656"/>
      <c r="W780" s="656" t="s">
        <v>13051</v>
      </c>
      <c r="X780" s="656" t="s">
        <v>498</v>
      </c>
      <c r="Y780" s="656" t="s">
        <v>14278</v>
      </c>
      <c r="Z780" s="656">
        <v>44305.523229166669</v>
      </c>
      <c r="AA780" s="656" t="s">
        <v>14335</v>
      </c>
      <c r="AB780" s="656"/>
    </row>
    <row r="781" spans="1:28">
      <c r="A781" s="656" t="s">
        <v>2081</v>
      </c>
      <c r="B781" s="656" t="s">
        <v>2082</v>
      </c>
      <c r="C781" s="656" t="s">
        <v>20</v>
      </c>
      <c r="D781" s="656" t="s">
        <v>12014</v>
      </c>
      <c r="E781" s="656" t="s">
        <v>14275</v>
      </c>
      <c r="F781" s="1447"/>
      <c r="G781" s="656" t="s">
        <v>12013</v>
      </c>
      <c r="H781" s="656" t="s">
        <v>1777</v>
      </c>
      <c r="I781" s="656"/>
      <c r="J781" s="656"/>
      <c r="K781" s="656"/>
      <c r="L781" s="656" t="s">
        <v>12014</v>
      </c>
      <c r="M781" s="656" t="s">
        <v>16196</v>
      </c>
      <c r="N781" s="656"/>
      <c r="O781" s="656" t="s">
        <v>9757</v>
      </c>
      <c r="P781" s="5"/>
      <c r="Q781" s="1447">
        <v>43213</v>
      </c>
      <c r="R781" s="656"/>
      <c r="S781" s="656" t="s">
        <v>1300</v>
      </c>
      <c r="T781" s="656"/>
      <c r="U781" s="656" t="s">
        <v>1300</v>
      </c>
      <c r="V781" s="656"/>
      <c r="W781" s="656" t="s">
        <v>13051</v>
      </c>
      <c r="X781" s="656" t="s">
        <v>498</v>
      </c>
      <c r="Y781" s="656" t="s">
        <v>14278</v>
      </c>
      <c r="Z781" s="656">
        <v>44305.523229166669</v>
      </c>
      <c r="AA781" s="656" t="s">
        <v>14335</v>
      </c>
      <c r="AB781" s="656"/>
    </row>
    <row r="782" spans="1:28">
      <c r="A782" s="656" t="s">
        <v>2083</v>
      </c>
      <c r="B782" s="656" t="s">
        <v>2084</v>
      </c>
      <c r="C782" s="656" t="s">
        <v>21</v>
      </c>
      <c r="D782" s="656" t="s">
        <v>12141</v>
      </c>
      <c r="E782" s="656" t="s">
        <v>14275</v>
      </c>
      <c r="F782" s="1447">
        <v>43642</v>
      </c>
      <c r="G782" s="656" t="s">
        <v>12038</v>
      </c>
      <c r="H782" s="656" t="s">
        <v>1777</v>
      </c>
      <c r="I782" s="656" t="s">
        <v>14519</v>
      </c>
      <c r="J782" s="656" t="s">
        <v>12141</v>
      </c>
      <c r="K782" s="656" t="s">
        <v>9774</v>
      </c>
      <c r="L782" s="656"/>
      <c r="M782" s="656" t="s">
        <v>16196</v>
      </c>
      <c r="N782" s="656"/>
      <c r="O782" s="656" t="s">
        <v>9757</v>
      </c>
      <c r="P782" s="5"/>
      <c r="Q782" s="1447">
        <v>43364</v>
      </c>
      <c r="R782" s="656">
        <v>43444</v>
      </c>
      <c r="S782" s="656" t="s">
        <v>1300</v>
      </c>
      <c r="T782" s="656"/>
      <c r="U782" s="656"/>
      <c r="V782" s="656"/>
      <c r="W782" s="656" t="s">
        <v>13051</v>
      </c>
      <c r="X782" s="656" t="s">
        <v>498</v>
      </c>
      <c r="Y782" s="656" t="s">
        <v>14278</v>
      </c>
      <c r="Z782" s="656">
        <v>44305.523206018515</v>
      </c>
      <c r="AA782" s="656" t="s">
        <v>14335</v>
      </c>
      <c r="AB782" s="656"/>
    </row>
    <row r="783" spans="1:28">
      <c r="A783" s="656" t="s">
        <v>2083</v>
      </c>
      <c r="B783" s="656" t="s">
        <v>2084</v>
      </c>
      <c r="C783" s="656" t="s">
        <v>20</v>
      </c>
      <c r="D783" s="656" t="s">
        <v>12039</v>
      </c>
      <c r="E783" s="656" t="s">
        <v>14275</v>
      </c>
      <c r="F783" s="1447">
        <v>43651</v>
      </c>
      <c r="G783" s="656" t="s">
        <v>12038</v>
      </c>
      <c r="H783" s="656" t="s">
        <v>1777</v>
      </c>
      <c r="I783" s="656"/>
      <c r="J783" s="656"/>
      <c r="K783" s="656"/>
      <c r="L783" s="656" t="s">
        <v>12039</v>
      </c>
      <c r="M783" s="656" t="s">
        <v>16196</v>
      </c>
      <c r="N783" s="656"/>
      <c r="O783" s="656" t="s">
        <v>9757</v>
      </c>
      <c r="P783" s="5"/>
      <c r="Q783" s="1447">
        <v>43242</v>
      </c>
      <c r="R783" s="656"/>
      <c r="S783" s="656" t="s">
        <v>1300</v>
      </c>
      <c r="T783" s="656"/>
      <c r="U783" s="656" t="s">
        <v>1300</v>
      </c>
      <c r="V783" s="656"/>
      <c r="W783" s="656" t="s">
        <v>13051</v>
      </c>
      <c r="X783" s="656" t="s">
        <v>498</v>
      </c>
      <c r="Y783" s="656" t="s">
        <v>14278</v>
      </c>
      <c r="Z783" s="656">
        <v>44305.523217592592</v>
      </c>
      <c r="AA783" s="656" t="s">
        <v>14335</v>
      </c>
      <c r="AB783" s="656"/>
    </row>
    <row r="784" spans="1:28">
      <c r="A784" s="656" t="s">
        <v>2083</v>
      </c>
      <c r="B784" s="656" t="s">
        <v>2084</v>
      </c>
      <c r="C784" s="656" t="s">
        <v>20</v>
      </c>
      <c r="D784" s="656" t="s">
        <v>12182</v>
      </c>
      <c r="E784" s="656" t="s">
        <v>14275</v>
      </c>
      <c r="F784" s="1447">
        <v>43441</v>
      </c>
      <c r="G784" s="656" t="s">
        <v>12038</v>
      </c>
      <c r="H784" s="656" t="s">
        <v>1777</v>
      </c>
      <c r="I784" s="656"/>
      <c r="J784" s="656"/>
      <c r="K784" s="656"/>
      <c r="L784" s="656" t="s">
        <v>12182</v>
      </c>
      <c r="M784" s="656" t="s">
        <v>16368</v>
      </c>
      <c r="N784" s="656"/>
      <c r="O784" s="656" t="s">
        <v>9757</v>
      </c>
      <c r="P784" s="5"/>
      <c r="Q784" s="1447">
        <v>43395</v>
      </c>
      <c r="R784" s="656"/>
      <c r="S784" s="656" t="s">
        <v>1300</v>
      </c>
      <c r="T784" s="656"/>
      <c r="U784" s="656" t="s">
        <v>1300</v>
      </c>
      <c r="V784" s="656"/>
      <c r="W784" s="656" t="s">
        <v>13051</v>
      </c>
      <c r="X784" s="656" t="s">
        <v>498</v>
      </c>
      <c r="Y784" s="656" t="s">
        <v>14278</v>
      </c>
      <c r="Z784" s="656">
        <v>44305.523217592592</v>
      </c>
      <c r="AA784" s="656" t="s">
        <v>14335</v>
      </c>
      <c r="AB784" s="656"/>
    </row>
    <row r="785" spans="1:28">
      <c r="A785" s="656" t="s">
        <v>2098</v>
      </c>
      <c r="B785" s="656" t="s">
        <v>2099</v>
      </c>
      <c r="C785" s="656" t="s">
        <v>20</v>
      </c>
      <c r="D785" s="656" t="s">
        <v>9901</v>
      </c>
      <c r="E785" s="656" t="s">
        <v>14275</v>
      </c>
      <c r="F785" s="1447">
        <v>44057</v>
      </c>
      <c r="G785" s="656" t="s">
        <v>9900</v>
      </c>
      <c r="H785" s="656" t="s">
        <v>1777</v>
      </c>
      <c r="I785" s="656"/>
      <c r="J785" s="656"/>
      <c r="K785" s="656"/>
      <c r="L785" s="656" t="s">
        <v>9901</v>
      </c>
      <c r="M785" s="656" t="s">
        <v>16196</v>
      </c>
      <c r="N785" s="656"/>
      <c r="O785" s="656" t="s">
        <v>9757</v>
      </c>
      <c r="P785" s="5"/>
      <c r="Q785" s="1447">
        <v>43430</v>
      </c>
      <c r="R785" s="656"/>
      <c r="S785" s="656" t="s">
        <v>1300</v>
      </c>
      <c r="T785" s="656"/>
      <c r="U785" s="656"/>
      <c r="V785" s="656"/>
      <c r="W785" s="656" t="s">
        <v>13051</v>
      </c>
      <c r="X785" s="656" t="s">
        <v>498</v>
      </c>
      <c r="Y785" s="656" t="s">
        <v>14278</v>
      </c>
      <c r="Z785" s="656">
        <v>44305.523206018515</v>
      </c>
      <c r="AA785" s="656" t="s">
        <v>14335</v>
      </c>
      <c r="AB785" s="656"/>
    </row>
    <row r="786" spans="1:28">
      <c r="A786" s="656" t="s">
        <v>2098</v>
      </c>
      <c r="B786" s="656" t="s">
        <v>2099</v>
      </c>
      <c r="C786" s="656" t="s">
        <v>20</v>
      </c>
      <c r="D786" s="656" t="s">
        <v>9943</v>
      </c>
      <c r="E786" s="656" t="s">
        <v>14275</v>
      </c>
      <c r="F786" s="1447">
        <v>44057</v>
      </c>
      <c r="G786" s="656" t="s">
        <v>9900</v>
      </c>
      <c r="H786" s="656" t="s">
        <v>1777</v>
      </c>
      <c r="I786" s="656"/>
      <c r="J786" s="656"/>
      <c r="K786" s="656"/>
      <c r="L786" s="656" t="s">
        <v>9943</v>
      </c>
      <c r="M786" s="656" t="s">
        <v>16196</v>
      </c>
      <c r="N786" s="656"/>
      <c r="O786" s="656" t="s">
        <v>9757</v>
      </c>
      <c r="P786" s="5"/>
      <c r="Q786" s="1447">
        <v>43542</v>
      </c>
      <c r="R786" s="656"/>
      <c r="S786" s="656" t="s">
        <v>1300</v>
      </c>
      <c r="T786" s="656"/>
      <c r="U786" s="656"/>
      <c r="V786" s="656"/>
      <c r="W786" s="656" t="s">
        <v>13051</v>
      </c>
      <c r="X786" s="656" t="s">
        <v>498</v>
      </c>
      <c r="Y786" s="656" t="s">
        <v>14278</v>
      </c>
      <c r="Z786" s="656">
        <v>44305.523206018515</v>
      </c>
      <c r="AA786" s="656" t="s">
        <v>14335</v>
      </c>
      <c r="AB786" s="656"/>
    </row>
    <row r="787" spans="1:28">
      <c r="A787" s="656" t="s">
        <v>2128</v>
      </c>
      <c r="B787" s="656" t="s">
        <v>2129</v>
      </c>
      <c r="C787" s="656" t="s">
        <v>21</v>
      </c>
      <c r="D787" s="656" t="s">
        <v>11993</v>
      </c>
      <c r="E787" s="656" t="s">
        <v>14275</v>
      </c>
      <c r="F787" s="1447">
        <v>43511</v>
      </c>
      <c r="G787" s="656" t="s">
        <v>11864</v>
      </c>
      <c r="H787" s="656" t="s">
        <v>1777</v>
      </c>
      <c r="I787" s="656" t="s">
        <v>14521</v>
      </c>
      <c r="J787" s="656" t="s">
        <v>11993</v>
      </c>
      <c r="K787" s="656" t="s">
        <v>9774</v>
      </c>
      <c r="L787" s="656"/>
      <c r="M787" s="656" t="s">
        <v>16196</v>
      </c>
      <c r="N787" s="656"/>
      <c r="O787" s="656" t="s">
        <v>6387</v>
      </c>
      <c r="P787" s="5"/>
      <c r="Q787" s="1447">
        <v>43178</v>
      </c>
      <c r="R787" s="656">
        <v>43368</v>
      </c>
      <c r="S787" s="656" t="s">
        <v>1300</v>
      </c>
      <c r="T787" s="656"/>
      <c r="U787" s="656" t="s">
        <v>1300</v>
      </c>
      <c r="V787" s="656"/>
      <c r="W787" s="656" t="s">
        <v>13051</v>
      </c>
      <c r="X787" s="656" t="s">
        <v>498</v>
      </c>
      <c r="Y787" s="656" t="s">
        <v>14278</v>
      </c>
      <c r="Z787" s="656">
        <v>44305.523194444446</v>
      </c>
      <c r="AA787" s="656" t="s">
        <v>14335</v>
      </c>
      <c r="AB787" s="656"/>
    </row>
    <row r="788" spans="1:28">
      <c r="A788" s="656" t="s">
        <v>2128</v>
      </c>
      <c r="B788" s="656" t="s">
        <v>2129</v>
      </c>
      <c r="C788" s="656" t="s">
        <v>20</v>
      </c>
      <c r="D788" s="656" t="s">
        <v>11865</v>
      </c>
      <c r="E788" s="656" t="s">
        <v>14275</v>
      </c>
      <c r="F788" s="1447">
        <v>43528</v>
      </c>
      <c r="G788" s="656" t="s">
        <v>11864</v>
      </c>
      <c r="H788" s="656" t="s">
        <v>1777</v>
      </c>
      <c r="I788" s="656"/>
      <c r="J788" s="656"/>
      <c r="K788" s="656"/>
      <c r="L788" s="656" t="s">
        <v>11865</v>
      </c>
      <c r="M788" s="656" t="s">
        <v>16196</v>
      </c>
      <c r="N788" s="656"/>
      <c r="O788" s="656" t="s">
        <v>6387</v>
      </c>
      <c r="P788" s="5" t="s">
        <v>14520</v>
      </c>
      <c r="Q788" s="1447">
        <v>43098</v>
      </c>
      <c r="R788" s="656"/>
      <c r="S788" s="656" t="s">
        <v>1300</v>
      </c>
      <c r="T788" s="656"/>
      <c r="U788" s="656" t="s">
        <v>1300</v>
      </c>
      <c r="V788" s="656"/>
      <c r="W788" s="656" t="s">
        <v>13051</v>
      </c>
      <c r="X788" s="656" t="s">
        <v>498</v>
      </c>
      <c r="Y788" s="656" t="s">
        <v>14278</v>
      </c>
      <c r="Z788" s="656">
        <v>44305.523182870369</v>
      </c>
      <c r="AA788" s="656" t="s">
        <v>14335</v>
      </c>
      <c r="AB788" s="656"/>
    </row>
    <row r="789" spans="1:28">
      <c r="A789" s="656" t="s">
        <v>2128</v>
      </c>
      <c r="B789" s="656" t="s">
        <v>2129</v>
      </c>
      <c r="C789" s="656" t="s">
        <v>20</v>
      </c>
      <c r="D789" s="656" t="s">
        <v>11873</v>
      </c>
      <c r="E789" s="656" t="s">
        <v>14275</v>
      </c>
      <c r="F789" s="1447">
        <v>43383</v>
      </c>
      <c r="G789" s="656" t="s">
        <v>11864</v>
      </c>
      <c r="H789" s="656" t="s">
        <v>1777</v>
      </c>
      <c r="I789" s="656"/>
      <c r="J789" s="656"/>
      <c r="K789" s="656"/>
      <c r="L789" s="656" t="s">
        <v>11873</v>
      </c>
      <c r="M789" s="656" t="s">
        <v>1947</v>
      </c>
      <c r="N789" s="656"/>
      <c r="O789" s="656" t="s">
        <v>6387</v>
      </c>
      <c r="P789" s="5" t="s">
        <v>14934</v>
      </c>
      <c r="Q789" s="1447">
        <v>43108</v>
      </c>
      <c r="R789" s="656"/>
      <c r="S789" s="656" t="s">
        <v>1300</v>
      </c>
      <c r="T789" s="656"/>
      <c r="U789" s="656" t="s">
        <v>1300</v>
      </c>
      <c r="V789" s="656"/>
      <c r="W789" s="656" t="s">
        <v>13051</v>
      </c>
      <c r="X789" s="656" t="s">
        <v>498</v>
      </c>
      <c r="Y789" s="656" t="s">
        <v>14278</v>
      </c>
      <c r="Z789" s="656">
        <v>44305.523194444446</v>
      </c>
      <c r="AA789" s="656" t="s">
        <v>14335</v>
      </c>
      <c r="AB789" s="656"/>
    </row>
    <row r="790" spans="1:28">
      <c r="A790" s="656" t="s">
        <v>2138</v>
      </c>
      <c r="B790" s="656" t="s">
        <v>2139</v>
      </c>
      <c r="C790" s="656" t="s">
        <v>20</v>
      </c>
      <c r="D790" s="656" t="s">
        <v>12146</v>
      </c>
      <c r="E790" s="656" t="s">
        <v>14275</v>
      </c>
      <c r="F790" s="1447">
        <v>43818</v>
      </c>
      <c r="G790" s="656" t="s">
        <v>12145</v>
      </c>
      <c r="H790" s="656" t="s">
        <v>1777</v>
      </c>
      <c r="I790" s="656"/>
      <c r="J790" s="656"/>
      <c r="K790" s="656"/>
      <c r="L790" s="656" t="s">
        <v>12146</v>
      </c>
      <c r="M790" s="656" t="s">
        <v>12783</v>
      </c>
      <c r="N790" s="656"/>
      <c r="O790" s="656" t="s">
        <v>6387</v>
      </c>
      <c r="P790" s="5"/>
      <c r="Q790" s="1447">
        <v>43369</v>
      </c>
      <c r="R790" s="656"/>
      <c r="S790" s="656" t="s">
        <v>1050</v>
      </c>
      <c r="T790" s="656"/>
      <c r="U790" s="656" t="s">
        <v>1050</v>
      </c>
      <c r="V790" s="656"/>
      <c r="W790" s="656" t="s">
        <v>13051</v>
      </c>
      <c r="X790" s="656" t="s">
        <v>498</v>
      </c>
      <c r="Y790" s="656" t="s">
        <v>14278</v>
      </c>
      <c r="Z790" s="656">
        <v>44305.5231712963</v>
      </c>
      <c r="AA790" s="656" t="s">
        <v>14335</v>
      </c>
      <c r="AB790" s="656"/>
    </row>
    <row r="791" spans="1:28">
      <c r="A791" s="656" t="s">
        <v>2142</v>
      </c>
      <c r="B791" s="656" t="s">
        <v>2143</v>
      </c>
      <c r="C791" s="656" t="s">
        <v>20</v>
      </c>
      <c r="D791" s="656" t="s">
        <v>12037</v>
      </c>
      <c r="E791" s="656" t="s">
        <v>14275</v>
      </c>
      <c r="F791" s="1447">
        <v>43420</v>
      </c>
      <c r="G791" s="656" t="s">
        <v>12036</v>
      </c>
      <c r="H791" s="656" t="s">
        <v>1777</v>
      </c>
      <c r="I791" s="656"/>
      <c r="J791" s="656"/>
      <c r="K791" s="656"/>
      <c r="L791" s="656" t="s">
        <v>12037</v>
      </c>
      <c r="M791" s="656" t="s">
        <v>12703</v>
      </c>
      <c r="N791" s="656"/>
      <c r="O791" s="656" t="s">
        <v>6387</v>
      </c>
      <c r="P791" s="5" t="s">
        <v>14522</v>
      </c>
      <c r="Q791" s="1447">
        <v>43238</v>
      </c>
      <c r="R791" s="656"/>
      <c r="S791" s="656" t="s">
        <v>655</v>
      </c>
      <c r="T791" s="656"/>
      <c r="U791" s="656" t="s">
        <v>655</v>
      </c>
      <c r="V791" s="656"/>
      <c r="W791" s="656" t="s">
        <v>13051</v>
      </c>
      <c r="X791" s="656" t="s">
        <v>498</v>
      </c>
      <c r="Y791" s="656" t="s">
        <v>14278</v>
      </c>
      <c r="Z791" s="656">
        <v>44305.753842592596</v>
      </c>
      <c r="AA791" s="656" t="s">
        <v>14335</v>
      </c>
      <c r="AB791" s="656"/>
    </row>
    <row r="792" spans="1:28">
      <c r="A792" s="656" t="s">
        <v>2157</v>
      </c>
      <c r="B792" s="656" t="s">
        <v>654</v>
      </c>
      <c r="C792" s="656" t="s">
        <v>20</v>
      </c>
      <c r="D792" s="656" t="s">
        <v>12062</v>
      </c>
      <c r="E792" s="656" t="s">
        <v>14275</v>
      </c>
      <c r="F792" s="1447">
        <v>43766</v>
      </c>
      <c r="G792" s="656" t="s">
        <v>12061</v>
      </c>
      <c r="H792" s="656" t="s">
        <v>1777</v>
      </c>
      <c r="I792" s="656"/>
      <c r="J792" s="656"/>
      <c r="K792" s="656"/>
      <c r="L792" s="656" t="s">
        <v>12062</v>
      </c>
      <c r="M792" s="656" t="s">
        <v>16196</v>
      </c>
      <c r="N792" s="656"/>
      <c r="O792" s="656" t="s">
        <v>6395</v>
      </c>
      <c r="P792" s="5"/>
      <c r="Q792" s="1447">
        <v>43276</v>
      </c>
      <c r="R792" s="656"/>
      <c r="S792" s="656" t="s">
        <v>1050</v>
      </c>
      <c r="T792" s="656"/>
      <c r="U792" s="656"/>
      <c r="V792" s="656"/>
      <c r="W792" s="656" t="s">
        <v>13051</v>
      </c>
      <c r="X792" s="656" t="s">
        <v>498</v>
      </c>
      <c r="Y792" s="656" t="s">
        <v>14278</v>
      </c>
      <c r="Z792" s="656">
        <v>44305.523159722223</v>
      </c>
      <c r="AA792" s="656" t="s">
        <v>14335</v>
      </c>
      <c r="AB792" s="656"/>
    </row>
    <row r="793" spans="1:28">
      <c r="A793" s="656" t="s">
        <v>2163</v>
      </c>
      <c r="B793" s="656" t="s">
        <v>2164</v>
      </c>
      <c r="C793" s="656" t="s">
        <v>20</v>
      </c>
      <c r="D793" s="656" t="s">
        <v>12021</v>
      </c>
      <c r="E793" s="656" t="s">
        <v>14275</v>
      </c>
      <c r="F793" s="1447">
        <v>43871</v>
      </c>
      <c r="G793" s="656" t="s">
        <v>12020</v>
      </c>
      <c r="H793" s="656" t="s">
        <v>1777</v>
      </c>
      <c r="I793" s="656"/>
      <c r="J793" s="656"/>
      <c r="K793" s="656"/>
      <c r="L793" s="656" t="s">
        <v>12021</v>
      </c>
      <c r="M793" s="656" t="s">
        <v>16196</v>
      </c>
      <c r="N793" s="656"/>
      <c r="O793" s="656" t="s">
        <v>6387</v>
      </c>
      <c r="P793" s="5"/>
      <c r="Q793" s="1447">
        <v>43213</v>
      </c>
      <c r="R793" s="656"/>
      <c r="S793" s="656" t="s">
        <v>1050</v>
      </c>
      <c r="T793" s="656"/>
      <c r="U793" s="656" t="s">
        <v>1050</v>
      </c>
      <c r="V793" s="656"/>
      <c r="W793" s="656" t="s">
        <v>13051</v>
      </c>
      <c r="X793" s="656" t="s">
        <v>498</v>
      </c>
      <c r="Y793" s="656" t="s">
        <v>14278</v>
      </c>
      <c r="Z793" s="656">
        <v>44305.5231712963</v>
      </c>
      <c r="AA793" s="656" t="s">
        <v>14335</v>
      </c>
      <c r="AB793" s="656"/>
    </row>
    <row r="794" spans="1:28">
      <c r="A794" s="656" t="s">
        <v>2177</v>
      </c>
      <c r="B794" s="656" t="s">
        <v>2178</v>
      </c>
      <c r="C794" s="656" t="s">
        <v>20</v>
      </c>
      <c r="D794" s="656" t="s">
        <v>11847</v>
      </c>
      <c r="E794" s="656" t="s">
        <v>14275</v>
      </c>
      <c r="F794" s="1447">
        <v>43284</v>
      </c>
      <c r="G794" s="656" t="s">
        <v>11846</v>
      </c>
      <c r="H794" s="656" t="s">
        <v>1777</v>
      </c>
      <c r="I794" s="656"/>
      <c r="J794" s="656"/>
      <c r="K794" s="656"/>
      <c r="L794" s="656" t="s">
        <v>11847</v>
      </c>
      <c r="M794" s="656" t="s">
        <v>16327</v>
      </c>
      <c r="N794" s="656"/>
      <c r="O794" s="656" t="s">
        <v>6387</v>
      </c>
      <c r="P794" s="5"/>
      <c r="Q794" s="1447">
        <v>43069</v>
      </c>
      <c r="R794" s="656"/>
      <c r="S794" s="656" t="s">
        <v>655</v>
      </c>
      <c r="T794" s="656"/>
      <c r="U794" s="656" t="s">
        <v>14523</v>
      </c>
      <c r="V794" s="656"/>
      <c r="W794" s="656" t="s">
        <v>13051</v>
      </c>
      <c r="X794" s="656" t="s">
        <v>498</v>
      </c>
      <c r="Y794" s="656" t="s">
        <v>14278</v>
      </c>
      <c r="Z794" s="656">
        <v>44305.523159722223</v>
      </c>
      <c r="AA794" s="656" t="s">
        <v>14335</v>
      </c>
      <c r="AB794" s="656"/>
    </row>
    <row r="795" spans="1:28">
      <c r="A795" s="656" t="s">
        <v>2181</v>
      </c>
      <c r="B795" s="656" t="s">
        <v>2180</v>
      </c>
      <c r="C795" s="656" t="s">
        <v>21</v>
      </c>
      <c r="D795" s="656" t="s">
        <v>12288</v>
      </c>
      <c r="E795" s="656" t="s">
        <v>14275</v>
      </c>
      <c r="F795" s="1447">
        <v>44284</v>
      </c>
      <c r="G795" s="656" t="s">
        <v>11862</v>
      </c>
      <c r="H795" s="656" t="s">
        <v>1777</v>
      </c>
      <c r="I795" s="656" t="s">
        <v>14526</v>
      </c>
      <c r="J795" s="656" t="s">
        <v>12288</v>
      </c>
      <c r="K795" s="656" t="s">
        <v>9774</v>
      </c>
      <c r="L795" s="656"/>
      <c r="M795" s="656" t="s">
        <v>12783</v>
      </c>
      <c r="N795" s="656"/>
      <c r="O795" s="656" t="s">
        <v>6387</v>
      </c>
      <c r="P795" s="5"/>
      <c r="Q795" s="1447">
        <v>43098</v>
      </c>
      <c r="R795" s="656">
        <v>43963</v>
      </c>
      <c r="S795" s="656" t="s">
        <v>783</v>
      </c>
      <c r="T795" s="656"/>
      <c r="U795" s="656" t="s">
        <v>783</v>
      </c>
      <c r="V795" s="656"/>
      <c r="W795" s="656" t="s">
        <v>13051</v>
      </c>
      <c r="X795" s="656" t="s">
        <v>498</v>
      </c>
      <c r="Y795" s="656" t="s">
        <v>14278</v>
      </c>
      <c r="Z795" s="656">
        <v>44305.523136574076</v>
      </c>
      <c r="AA795" s="656" t="s">
        <v>14335</v>
      </c>
      <c r="AB795" s="656"/>
    </row>
    <row r="796" spans="1:28">
      <c r="A796" s="656" t="s">
        <v>2181</v>
      </c>
      <c r="B796" s="656" t="s">
        <v>2180</v>
      </c>
      <c r="C796" s="656" t="s">
        <v>20</v>
      </c>
      <c r="D796" s="656" t="s">
        <v>9764</v>
      </c>
      <c r="E796" s="656" t="s">
        <v>14275</v>
      </c>
      <c r="F796" s="1447">
        <v>44293</v>
      </c>
      <c r="G796" s="656" t="s">
        <v>9763</v>
      </c>
      <c r="H796" s="656" t="s">
        <v>1777</v>
      </c>
      <c r="I796" s="656"/>
      <c r="J796" s="656"/>
      <c r="K796" s="656"/>
      <c r="L796" s="656" t="s">
        <v>9764</v>
      </c>
      <c r="M796" s="656" t="s">
        <v>12783</v>
      </c>
      <c r="N796" s="656"/>
      <c r="O796" s="656" t="s">
        <v>6387</v>
      </c>
      <c r="P796" s="5"/>
      <c r="Q796" s="1447">
        <v>43012</v>
      </c>
      <c r="R796" s="656"/>
      <c r="S796" s="656" t="s">
        <v>783</v>
      </c>
      <c r="T796" s="656" t="s">
        <v>14524</v>
      </c>
      <c r="U796" s="656" t="s">
        <v>1667</v>
      </c>
      <c r="V796" s="656"/>
      <c r="W796" s="656" t="s">
        <v>13051</v>
      </c>
      <c r="X796" s="656" t="s">
        <v>498</v>
      </c>
      <c r="Y796" s="656" t="s">
        <v>14278</v>
      </c>
      <c r="Z796" s="656">
        <v>44305.523148148146</v>
      </c>
      <c r="AA796" s="656" t="s">
        <v>14335</v>
      </c>
      <c r="AB796" s="656"/>
    </row>
    <row r="797" spans="1:28">
      <c r="A797" s="656" t="s">
        <v>2181</v>
      </c>
      <c r="B797" s="656" t="s">
        <v>2180</v>
      </c>
      <c r="C797" s="656" t="s">
        <v>20</v>
      </c>
      <c r="D797" s="656" t="s">
        <v>11863</v>
      </c>
      <c r="E797" s="656" t="s">
        <v>14275</v>
      </c>
      <c r="F797" s="1447">
        <v>43420</v>
      </c>
      <c r="G797" s="656" t="s">
        <v>11862</v>
      </c>
      <c r="H797" s="656" t="s">
        <v>1777</v>
      </c>
      <c r="I797" s="656"/>
      <c r="J797" s="656"/>
      <c r="K797" s="656"/>
      <c r="L797" s="656" t="s">
        <v>11863</v>
      </c>
      <c r="M797" s="656" t="s">
        <v>1947</v>
      </c>
      <c r="N797" s="656"/>
      <c r="O797" s="656" t="s">
        <v>6387</v>
      </c>
      <c r="P797" s="5" t="s">
        <v>14525</v>
      </c>
      <c r="Q797" s="1447">
        <v>43098</v>
      </c>
      <c r="R797" s="656"/>
      <c r="S797" s="656" t="s">
        <v>783</v>
      </c>
      <c r="T797" s="656"/>
      <c r="U797" s="656" t="s">
        <v>783</v>
      </c>
      <c r="V797" s="656"/>
      <c r="W797" s="656" t="s">
        <v>13051</v>
      </c>
      <c r="X797" s="656" t="s">
        <v>498</v>
      </c>
      <c r="Y797" s="656" t="s">
        <v>14278</v>
      </c>
      <c r="Z797" s="656">
        <v>44305.523148148146</v>
      </c>
      <c r="AA797" s="656" t="s">
        <v>14335</v>
      </c>
      <c r="AB797" s="656"/>
    </row>
    <row r="798" spans="1:28">
      <c r="A798" s="656" t="s">
        <v>2187</v>
      </c>
      <c r="B798" s="656" t="s">
        <v>2188</v>
      </c>
      <c r="C798" s="656" t="s">
        <v>21</v>
      </c>
      <c r="D798" s="656" t="s">
        <v>12220</v>
      </c>
      <c r="E798" s="656" t="s">
        <v>14275</v>
      </c>
      <c r="F798" s="1447">
        <v>43903</v>
      </c>
      <c r="G798" s="656" t="s">
        <v>12216</v>
      </c>
      <c r="H798" s="656" t="s">
        <v>1777</v>
      </c>
      <c r="I798" s="656" t="s">
        <v>14527</v>
      </c>
      <c r="J798" s="656" t="s">
        <v>12220</v>
      </c>
      <c r="K798" s="656" t="s">
        <v>9774</v>
      </c>
      <c r="L798" s="656"/>
      <c r="M798" s="656" t="s">
        <v>16331</v>
      </c>
      <c r="N798" s="656"/>
      <c r="O798" s="656" t="s">
        <v>6387</v>
      </c>
      <c r="P798" s="5"/>
      <c r="Q798" s="1447">
        <v>43474</v>
      </c>
      <c r="R798" s="656">
        <v>43777</v>
      </c>
      <c r="S798" s="656" t="s">
        <v>1300</v>
      </c>
      <c r="T798" s="656"/>
      <c r="U798" s="656"/>
      <c r="V798" s="656"/>
      <c r="W798" s="656" t="s">
        <v>13051</v>
      </c>
      <c r="X798" s="656" t="s">
        <v>498</v>
      </c>
      <c r="Y798" s="656" t="s">
        <v>14278</v>
      </c>
      <c r="Z798" s="656">
        <v>44305.523125</v>
      </c>
      <c r="AA798" s="656" t="s">
        <v>14335</v>
      </c>
      <c r="AB798" s="656"/>
    </row>
    <row r="799" spans="1:28">
      <c r="A799" s="656" t="s">
        <v>2187</v>
      </c>
      <c r="B799" s="656" t="s">
        <v>2188</v>
      </c>
      <c r="C799" s="656" t="s">
        <v>20</v>
      </c>
      <c r="D799" s="656" t="s">
        <v>12217</v>
      </c>
      <c r="E799" s="656" t="s">
        <v>14275</v>
      </c>
      <c r="F799" s="1447">
        <v>43927</v>
      </c>
      <c r="G799" s="656" t="s">
        <v>12216</v>
      </c>
      <c r="H799" s="656" t="s">
        <v>1777</v>
      </c>
      <c r="I799" s="656"/>
      <c r="J799" s="656"/>
      <c r="K799" s="656"/>
      <c r="L799" s="656" t="s">
        <v>12217</v>
      </c>
      <c r="M799" s="656" t="s">
        <v>16331</v>
      </c>
      <c r="N799" s="656"/>
      <c r="O799" s="656" t="s">
        <v>6387</v>
      </c>
      <c r="P799" s="5"/>
      <c r="Q799" s="1447">
        <v>43441</v>
      </c>
      <c r="R799" s="656"/>
      <c r="S799" s="656" t="s">
        <v>1300</v>
      </c>
      <c r="T799" s="656"/>
      <c r="U799" s="656"/>
      <c r="V799" s="656"/>
      <c r="W799" s="656" t="s">
        <v>13051</v>
      </c>
      <c r="X799" s="656" t="s">
        <v>498</v>
      </c>
      <c r="Y799" s="656" t="s">
        <v>14278</v>
      </c>
      <c r="Z799" s="656">
        <v>44305.523148148146</v>
      </c>
      <c r="AA799" s="656" t="s">
        <v>14335</v>
      </c>
      <c r="AB799" s="656"/>
    </row>
    <row r="800" spans="1:28">
      <c r="A800" s="656" t="s">
        <v>2189</v>
      </c>
      <c r="B800" s="656" t="s">
        <v>2190</v>
      </c>
      <c r="C800" s="656" t="s">
        <v>21</v>
      </c>
      <c r="D800" s="656" t="s">
        <v>12219</v>
      </c>
      <c r="E800" s="656" t="s">
        <v>14275</v>
      </c>
      <c r="F800" s="1447">
        <v>43935</v>
      </c>
      <c r="G800" s="656" t="s">
        <v>12212</v>
      </c>
      <c r="H800" s="656" t="s">
        <v>1777</v>
      </c>
      <c r="I800" s="656" t="s">
        <v>14529</v>
      </c>
      <c r="J800" s="656" t="s">
        <v>12219</v>
      </c>
      <c r="K800" s="656" t="s">
        <v>9774</v>
      </c>
      <c r="L800" s="656"/>
      <c r="M800" s="656" t="s">
        <v>16383</v>
      </c>
      <c r="N800" s="656"/>
      <c r="O800" s="656" t="s">
        <v>6387</v>
      </c>
      <c r="P800" s="5"/>
      <c r="Q800" s="1447">
        <v>43474</v>
      </c>
      <c r="R800" s="656">
        <v>43777</v>
      </c>
      <c r="S800" s="656" t="s">
        <v>1300</v>
      </c>
      <c r="T800" s="656"/>
      <c r="U800" s="656"/>
      <c r="V800" s="656"/>
      <c r="W800" s="656" t="s">
        <v>13051</v>
      </c>
      <c r="X800" s="656" t="s">
        <v>498</v>
      </c>
      <c r="Y800" s="656" t="s">
        <v>14278</v>
      </c>
      <c r="Z800" s="656">
        <v>44305.523125</v>
      </c>
      <c r="AA800" s="656" t="s">
        <v>14335</v>
      </c>
      <c r="AB800" s="656"/>
    </row>
    <row r="801" spans="1:28">
      <c r="A801" s="656" t="s">
        <v>2189</v>
      </c>
      <c r="B801" s="656" t="s">
        <v>2190</v>
      </c>
      <c r="C801" s="656" t="s">
        <v>20</v>
      </c>
      <c r="D801" s="656" t="s">
        <v>12213</v>
      </c>
      <c r="E801" s="656" t="s">
        <v>14275</v>
      </c>
      <c r="F801" s="1447">
        <v>43935</v>
      </c>
      <c r="G801" s="656" t="s">
        <v>12212</v>
      </c>
      <c r="H801" s="656" t="s">
        <v>1777</v>
      </c>
      <c r="I801" s="656"/>
      <c r="J801" s="656"/>
      <c r="K801" s="656"/>
      <c r="L801" s="656" t="s">
        <v>12213</v>
      </c>
      <c r="M801" s="656" t="s">
        <v>16383</v>
      </c>
      <c r="N801" s="656"/>
      <c r="O801" s="656" t="s">
        <v>6387</v>
      </c>
      <c r="P801" s="5" t="s">
        <v>14528</v>
      </c>
      <c r="Q801" s="1447">
        <v>43439</v>
      </c>
      <c r="R801" s="656"/>
      <c r="S801" s="656" t="s">
        <v>1300</v>
      </c>
      <c r="T801" s="656"/>
      <c r="U801" s="656"/>
      <c r="V801" s="656"/>
      <c r="W801" s="656" t="s">
        <v>13051</v>
      </c>
      <c r="X801" s="656" t="s">
        <v>498</v>
      </c>
      <c r="Y801" s="656" t="s">
        <v>14278</v>
      </c>
      <c r="Z801" s="656">
        <v>44305.523125</v>
      </c>
      <c r="AA801" s="656" t="s">
        <v>14335</v>
      </c>
      <c r="AB801" s="656"/>
    </row>
    <row r="802" spans="1:28">
      <c r="A802" s="656" t="s">
        <v>2201</v>
      </c>
      <c r="B802" s="656" t="s">
        <v>2202</v>
      </c>
      <c r="C802" s="656" t="s">
        <v>21</v>
      </c>
      <c r="D802" s="656" t="s">
        <v>10129</v>
      </c>
      <c r="E802" s="656" t="s">
        <v>14279</v>
      </c>
      <c r="F802" s="1447"/>
      <c r="G802" s="656" t="s">
        <v>10058</v>
      </c>
      <c r="H802" s="656" t="s">
        <v>1777</v>
      </c>
      <c r="I802" s="656" t="s">
        <v>14530</v>
      </c>
      <c r="J802" s="656" t="s">
        <v>10129</v>
      </c>
      <c r="K802" s="656" t="s">
        <v>9774</v>
      </c>
      <c r="L802" s="656"/>
      <c r="M802" s="656" t="s">
        <v>16382</v>
      </c>
      <c r="N802" s="656"/>
      <c r="O802" s="656" t="s">
        <v>6387</v>
      </c>
      <c r="P802" s="5"/>
      <c r="Q802" s="1447">
        <v>43794</v>
      </c>
      <c r="R802" s="656"/>
      <c r="S802" s="656" t="s">
        <v>462</v>
      </c>
      <c r="T802" s="656"/>
      <c r="U802" s="656"/>
      <c r="V802" s="656"/>
      <c r="W802" s="656" t="s">
        <v>13051</v>
      </c>
      <c r="X802" s="656" t="s">
        <v>498</v>
      </c>
      <c r="Y802" s="656" t="s">
        <v>14278</v>
      </c>
      <c r="Z802" s="656">
        <v>44305.523113425923</v>
      </c>
      <c r="AA802" s="656" t="s">
        <v>14335</v>
      </c>
      <c r="AB802" s="656"/>
    </row>
    <row r="803" spans="1:28">
      <c r="A803" s="656" t="s">
        <v>2201</v>
      </c>
      <c r="B803" s="656" t="s">
        <v>2202</v>
      </c>
      <c r="C803" s="656" t="s">
        <v>20</v>
      </c>
      <c r="D803" s="656" t="s">
        <v>10059</v>
      </c>
      <c r="E803" s="656" t="s">
        <v>14279</v>
      </c>
      <c r="F803" s="1447"/>
      <c r="G803" s="656" t="s">
        <v>10058</v>
      </c>
      <c r="H803" s="656" t="s">
        <v>1777</v>
      </c>
      <c r="I803" s="656"/>
      <c r="J803" s="656"/>
      <c r="K803" s="656"/>
      <c r="L803" s="656" t="s">
        <v>10059</v>
      </c>
      <c r="M803" s="656" t="s">
        <v>16382</v>
      </c>
      <c r="N803" s="656"/>
      <c r="O803" s="656" t="s">
        <v>6387</v>
      </c>
      <c r="P803" s="5"/>
      <c r="Q803" s="1447">
        <v>43731</v>
      </c>
      <c r="R803" s="656"/>
      <c r="S803" s="656" t="s">
        <v>462</v>
      </c>
      <c r="T803" s="656"/>
      <c r="U803" s="656"/>
      <c r="V803" s="656"/>
      <c r="W803" s="656" t="s">
        <v>13051</v>
      </c>
      <c r="X803" s="656" t="s">
        <v>498</v>
      </c>
      <c r="Y803" s="656" t="s">
        <v>14278</v>
      </c>
      <c r="Z803" s="656">
        <v>44305.523113425923</v>
      </c>
      <c r="AA803" s="656" t="s">
        <v>14335</v>
      </c>
      <c r="AB803" s="656"/>
    </row>
    <row r="804" spans="1:28">
      <c r="A804" s="656" t="s">
        <v>2213</v>
      </c>
      <c r="B804" s="656" t="s">
        <v>9653</v>
      </c>
      <c r="C804" s="656" t="s">
        <v>21</v>
      </c>
      <c r="D804" s="656" t="s">
        <v>12451</v>
      </c>
      <c r="E804" s="656" t="s">
        <v>14279</v>
      </c>
      <c r="F804" s="1447"/>
      <c r="G804" s="656" t="s">
        <v>12452</v>
      </c>
      <c r="H804" s="656" t="s">
        <v>1777</v>
      </c>
      <c r="I804" s="656" t="s">
        <v>14531</v>
      </c>
      <c r="J804" s="656" t="s">
        <v>12451</v>
      </c>
      <c r="K804" s="656" t="s">
        <v>9774</v>
      </c>
      <c r="L804" s="656"/>
      <c r="M804" s="656" t="s">
        <v>16384</v>
      </c>
      <c r="N804" s="656"/>
      <c r="O804" s="656" t="s">
        <v>6429</v>
      </c>
      <c r="P804" s="5"/>
      <c r="Q804" s="1447">
        <v>44050</v>
      </c>
      <c r="R804" s="656"/>
      <c r="S804" s="656" t="s">
        <v>465</v>
      </c>
      <c r="T804" s="656"/>
      <c r="U804" s="656"/>
      <c r="V804" s="656"/>
      <c r="W804" s="656" t="s">
        <v>13051</v>
      </c>
      <c r="X804" s="656" t="s">
        <v>498</v>
      </c>
      <c r="Y804" s="656" t="s">
        <v>14278</v>
      </c>
      <c r="Z804" s="656">
        <v>44305.523101851853</v>
      </c>
      <c r="AA804" s="656" t="s">
        <v>14335</v>
      </c>
      <c r="AB804" s="656"/>
    </row>
    <row r="805" spans="1:28">
      <c r="A805" s="656" t="s">
        <v>2213</v>
      </c>
      <c r="B805" s="656" t="s">
        <v>10089</v>
      </c>
      <c r="C805" s="656" t="s">
        <v>20</v>
      </c>
      <c r="D805" s="656" t="s">
        <v>10091</v>
      </c>
      <c r="E805" s="656" t="s">
        <v>14279</v>
      </c>
      <c r="F805" s="1447"/>
      <c r="G805" s="656" t="s">
        <v>10090</v>
      </c>
      <c r="H805" s="656" t="s">
        <v>1777</v>
      </c>
      <c r="I805" s="656"/>
      <c r="J805" s="656"/>
      <c r="K805" s="656"/>
      <c r="L805" s="656" t="s">
        <v>10091</v>
      </c>
      <c r="M805" s="656" t="s">
        <v>16384</v>
      </c>
      <c r="N805" s="656"/>
      <c r="O805" s="656" t="s">
        <v>6387</v>
      </c>
      <c r="P805" s="5"/>
      <c r="Q805" s="1447">
        <v>43748</v>
      </c>
      <c r="R805" s="656"/>
      <c r="S805" s="656" t="s">
        <v>465</v>
      </c>
      <c r="T805" s="656"/>
      <c r="U805" s="656"/>
      <c r="V805" s="656"/>
      <c r="W805" s="656" t="s">
        <v>13051</v>
      </c>
      <c r="X805" s="656" t="s">
        <v>498</v>
      </c>
      <c r="Y805" s="656" t="s">
        <v>14278</v>
      </c>
      <c r="Z805" s="656">
        <v>44305.523101851853</v>
      </c>
      <c r="AA805" s="656" t="s">
        <v>14335</v>
      </c>
      <c r="AB805" s="656"/>
    </row>
    <row r="806" spans="1:28">
      <c r="A806" s="656" t="s">
        <v>2226</v>
      </c>
      <c r="B806" s="656" t="s">
        <v>2227</v>
      </c>
      <c r="C806" s="656" t="s">
        <v>21</v>
      </c>
      <c r="D806" s="656" t="s">
        <v>11912</v>
      </c>
      <c r="E806" s="656" t="s">
        <v>14275</v>
      </c>
      <c r="F806" s="1447">
        <v>43370</v>
      </c>
      <c r="G806" s="656" t="s">
        <v>11858</v>
      </c>
      <c r="H806" s="656" t="s">
        <v>1777</v>
      </c>
      <c r="I806" s="656" t="s">
        <v>14532</v>
      </c>
      <c r="J806" s="656" t="s">
        <v>11912</v>
      </c>
      <c r="K806" s="656" t="s">
        <v>9774</v>
      </c>
      <c r="L806" s="656"/>
      <c r="M806" s="656" t="s">
        <v>16200</v>
      </c>
      <c r="N806" s="656"/>
      <c r="O806" s="656" t="s">
        <v>6387</v>
      </c>
      <c r="P806" s="5"/>
      <c r="Q806" s="1447">
        <v>43137</v>
      </c>
      <c r="R806" s="656">
        <v>43189</v>
      </c>
      <c r="S806" s="656" t="s">
        <v>1300</v>
      </c>
      <c r="T806" s="656"/>
      <c r="U806" s="656" t="s">
        <v>1300</v>
      </c>
      <c r="V806" s="656"/>
      <c r="W806" s="656" t="s">
        <v>13051</v>
      </c>
      <c r="X806" s="656" t="s">
        <v>498</v>
      </c>
      <c r="Y806" s="656" t="s">
        <v>14278</v>
      </c>
      <c r="Z806" s="656">
        <v>44305.523090277777</v>
      </c>
      <c r="AA806" s="656" t="s">
        <v>14335</v>
      </c>
      <c r="AB806" s="656"/>
    </row>
    <row r="807" spans="1:28">
      <c r="A807" s="656" t="s">
        <v>2226</v>
      </c>
      <c r="B807" s="656" t="s">
        <v>2227</v>
      </c>
      <c r="C807" s="656" t="s">
        <v>20</v>
      </c>
      <c r="D807" s="656" t="s">
        <v>11859</v>
      </c>
      <c r="E807" s="656" t="s">
        <v>14275</v>
      </c>
      <c r="F807" s="1447">
        <v>43369</v>
      </c>
      <c r="G807" s="656" t="s">
        <v>11858</v>
      </c>
      <c r="H807" s="656" t="s">
        <v>1777</v>
      </c>
      <c r="I807" s="656"/>
      <c r="J807" s="656"/>
      <c r="K807" s="656"/>
      <c r="L807" s="656" t="s">
        <v>11859</v>
      </c>
      <c r="M807" s="656" t="s">
        <v>1947</v>
      </c>
      <c r="N807" s="656"/>
      <c r="O807" s="656" t="s">
        <v>6387</v>
      </c>
      <c r="P807" s="5"/>
      <c r="Q807" s="1447">
        <v>43090</v>
      </c>
      <c r="R807" s="656"/>
      <c r="S807" s="656" t="s">
        <v>1300</v>
      </c>
      <c r="T807" s="656" t="s">
        <v>1300</v>
      </c>
      <c r="U807" s="656" t="s">
        <v>1301</v>
      </c>
      <c r="V807" s="656"/>
      <c r="W807" s="656" t="s">
        <v>13051</v>
      </c>
      <c r="X807" s="656" t="s">
        <v>498</v>
      </c>
      <c r="Y807" s="656" t="s">
        <v>14278</v>
      </c>
      <c r="Z807" s="656">
        <v>44305.523090277777</v>
      </c>
      <c r="AA807" s="656" t="s">
        <v>14335</v>
      </c>
      <c r="AB807" s="656"/>
    </row>
    <row r="808" spans="1:28">
      <c r="A808" s="656" t="s">
        <v>2226</v>
      </c>
      <c r="B808" s="656" t="s">
        <v>2227</v>
      </c>
      <c r="C808" s="656" t="s">
        <v>20</v>
      </c>
      <c r="D808" s="656" t="s">
        <v>11991</v>
      </c>
      <c r="E808" s="656" t="s">
        <v>14275</v>
      </c>
      <c r="F808" s="1447">
        <v>43369</v>
      </c>
      <c r="G808" s="656" t="s">
        <v>11858</v>
      </c>
      <c r="H808" s="656" t="s">
        <v>1777</v>
      </c>
      <c r="I808" s="656"/>
      <c r="J808" s="656"/>
      <c r="K808" s="656"/>
      <c r="L808" s="656" t="s">
        <v>11991</v>
      </c>
      <c r="M808" s="656" t="s">
        <v>16200</v>
      </c>
      <c r="N808" s="656"/>
      <c r="O808" s="656" t="s">
        <v>6387</v>
      </c>
      <c r="P808" s="5"/>
      <c r="Q808" s="1447">
        <v>43165</v>
      </c>
      <c r="R808" s="656"/>
      <c r="S808" s="656" t="s">
        <v>1300</v>
      </c>
      <c r="T808" s="656" t="s">
        <v>14477</v>
      </c>
      <c r="U808" s="656" t="s">
        <v>1300</v>
      </c>
      <c r="V808" s="656"/>
      <c r="W808" s="656" t="s">
        <v>13051</v>
      </c>
      <c r="X808" s="656" t="s">
        <v>498</v>
      </c>
      <c r="Y808" s="656" t="s">
        <v>14278</v>
      </c>
      <c r="Z808" s="656">
        <v>44305.523101851853</v>
      </c>
      <c r="AA808" s="656" t="s">
        <v>14335</v>
      </c>
      <c r="AB808" s="656"/>
    </row>
    <row r="809" spans="1:28">
      <c r="A809" s="656" t="s">
        <v>12965</v>
      </c>
      <c r="B809" s="656" t="s">
        <v>12964</v>
      </c>
      <c r="C809" s="656" t="s">
        <v>20</v>
      </c>
      <c r="D809" s="656" t="s">
        <v>15399</v>
      </c>
      <c r="E809" s="656" t="s">
        <v>14279</v>
      </c>
      <c r="F809" s="1447"/>
      <c r="G809" s="656" t="s">
        <v>15400</v>
      </c>
      <c r="H809" s="656" t="s">
        <v>1777</v>
      </c>
      <c r="I809" s="656"/>
      <c r="J809" s="656"/>
      <c r="K809" s="656"/>
      <c r="L809" s="656" t="s">
        <v>15399</v>
      </c>
      <c r="M809" s="656" t="s">
        <v>16200</v>
      </c>
      <c r="N809" s="656"/>
      <c r="O809" s="656" t="s">
        <v>10214</v>
      </c>
      <c r="P809" s="5"/>
      <c r="Q809" s="1447">
        <v>44210</v>
      </c>
      <c r="R809" s="656"/>
      <c r="S809" s="656" t="s">
        <v>450</v>
      </c>
      <c r="T809" s="656"/>
      <c r="U809" s="656"/>
      <c r="V809" s="656"/>
      <c r="W809" s="656" t="s">
        <v>13051</v>
      </c>
      <c r="X809" s="656" t="s">
        <v>498</v>
      </c>
      <c r="Y809" s="656" t="s">
        <v>14278</v>
      </c>
      <c r="Z809" s="656">
        <v>44305.523078703707</v>
      </c>
      <c r="AA809" s="656" t="s">
        <v>14335</v>
      </c>
      <c r="AB809" s="656"/>
    </row>
    <row r="810" spans="1:28">
      <c r="A810" s="656" t="s">
        <v>2330</v>
      </c>
      <c r="B810" s="656" t="s">
        <v>11843</v>
      </c>
      <c r="C810" s="656" t="s">
        <v>21</v>
      </c>
      <c r="D810" s="656" t="s">
        <v>11998</v>
      </c>
      <c r="E810" s="656" t="s">
        <v>14275</v>
      </c>
      <c r="F810" s="1447">
        <v>43594</v>
      </c>
      <c r="G810" s="656" t="s">
        <v>11844</v>
      </c>
      <c r="H810" s="656" t="s">
        <v>1777</v>
      </c>
      <c r="I810" s="656" t="s">
        <v>14533</v>
      </c>
      <c r="J810" s="656" t="s">
        <v>11998</v>
      </c>
      <c r="K810" s="656" t="s">
        <v>9774</v>
      </c>
      <c r="L810" s="656"/>
      <c r="M810" s="656" t="s">
        <v>16196</v>
      </c>
      <c r="N810" s="656"/>
      <c r="O810" s="656" t="s">
        <v>6395</v>
      </c>
      <c r="P810" s="5" t="s">
        <v>14534</v>
      </c>
      <c r="Q810" s="1447">
        <v>43182</v>
      </c>
      <c r="R810" s="656">
        <v>43382</v>
      </c>
      <c r="S810" s="656" t="s">
        <v>3756</v>
      </c>
      <c r="T810" s="656"/>
      <c r="U810" s="656" t="s">
        <v>541</v>
      </c>
      <c r="V810" s="656"/>
      <c r="W810" s="656" t="s">
        <v>13051</v>
      </c>
      <c r="X810" s="656" t="s">
        <v>498</v>
      </c>
      <c r="Y810" s="656" t="s">
        <v>14278</v>
      </c>
      <c r="Z810" s="656">
        <v>44305.52306712963</v>
      </c>
      <c r="AA810" s="656" t="s">
        <v>14335</v>
      </c>
      <c r="AB810" s="656"/>
    </row>
    <row r="811" spans="1:28">
      <c r="A811" s="656" t="s">
        <v>2330</v>
      </c>
      <c r="B811" s="656" t="s">
        <v>11843</v>
      </c>
      <c r="C811" s="656" t="s">
        <v>20</v>
      </c>
      <c r="D811" s="656" t="s">
        <v>11845</v>
      </c>
      <c r="E811" s="656" t="s">
        <v>14275</v>
      </c>
      <c r="F811" s="1447">
        <v>43587</v>
      </c>
      <c r="G811" s="656" t="s">
        <v>11844</v>
      </c>
      <c r="H811" s="656" t="s">
        <v>1777</v>
      </c>
      <c r="I811" s="656"/>
      <c r="J811" s="656"/>
      <c r="K811" s="656"/>
      <c r="L811" s="656" t="s">
        <v>11845</v>
      </c>
      <c r="M811" s="656" t="s">
        <v>16196</v>
      </c>
      <c r="N811" s="656"/>
      <c r="O811" s="656" t="s">
        <v>6395</v>
      </c>
      <c r="P811" s="5"/>
      <c r="Q811" s="1447">
        <v>43081</v>
      </c>
      <c r="R811" s="656"/>
      <c r="S811" s="656" t="s">
        <v>3756</v>
      </c>
      <c r="T811" s="656" t="s">
        <v>1395</v>
      </c>
      <c r="U811" s="656" t="s">
        <v>541</v>
      </c>
      <c r="V811" s="656"/>
      <c r="W811" s="656" t="s">
        <v>13051</v>
      </c>
      <c r="X811" s="656" t="s">
        <v>498</v>
      </c>
      <c r="Y811" s="656" t="s">
        <v>14278</v>
      </c>
      <c r="Z811" s="656">
        <v>44305.52306712963</v>
      </c>
      <c r="AA811" s="656" t="s">
        <v>14335</v>
      </c>
      <c r="AB811" s="656"/>
    </row>
    <row r="812" spans="1:28">
      <c r="A812" s="656" t="s">
        <v>2330</v>
      </c>
      <c r="B812" s="656" t="s">
        <v>11843</v>
      </c>
      <c r="C812" s="656" t="s">
        <v>20</v>
      </c>
      <c r="D812" s="656" t="s">
        <v>11984</v>
      </c>
      <c r="E812" s="656" t="s">
        <v>14275</v>
      </c>
      <c r="F812" s="1447">
        <v>43493</v>
      </c>
      <c r="G812" s="656" t="s">
        <v>11844</v>
      </c>
      <c r="H812" s="656" t="s">
        <v>1777</v>
      </c>
      <c r="I812" s="656"/>
      <c r="J812" s="656"/>
      <c r="K812" s="656"/>
      <c r="L812" s="656" t="s">
        <v>11984</v>
      </c>
      <c r="M812" s="656" t="s">
        <v>1947</v>
      </c>
      <c r="N812" s="656"/>
      <c r="O812" s="656" t="s">
        <v>6395</v>
      </c>
      <c r="P812" s="5"/>
      <c r="Q812" s="1447">
        <v>43165</v>
      </c>
      <c r="R812" s="656"/>
      <c r="S812" s="656" t="s">
        <v>3756</v>
      </c>
      <c r="T812" s="656"/>
      <c r="U812" s="656" t="s">
        <v>3756</v>
      </c>
      <c r="V812" s="656"/>
      <c r="W812" s="656" t="s">
        <v>13051</v>
      </c>
      <c r="X812" s="656" t="s">
        <v>498</v>
      </c>
      <c r="Y812" s="656" t="s">
        <v>14278</v>
      </c>
      <c r="Z812" s="656">
        <v>44305.523078703707</v>
      </c>
      <c r="AA812" s="656" t="s">
        <v>14335</v>
      </c>
      <c r="AB812" s="656"/>
    </row>
    <row r="813" spans="1:28">
      <c r="A813" s="656" t="s">
        <v>2338</v>
      </c>
      <c r="B813" s="656" t="s">
        <v>2339</v>
      </c>
      <c r="C813" s="656" t="s">
        <v>20</v>
      </c>
      <c r="D813" s="656" t="s">
        <v>12069</v>
      </c>
      <c r="E813" s="656" t="s">
        <v>14275</v>
      </c>
      <c r="F813" s="1447">
        <v>43357</v>
      </c>
      <c r="G813" s="656" t="s">
        <v>12068</v>
      </c>
      <c r="H813" s="656" t="s">
        <v>1777</v>
      </c>
      <c r="I813" s="656"/>
      <c r="J813" s="656"/>
      <c r="K813" s="656"/>
      <c r="L813" s="656" t="s">
        <v>12069</v>
      </c>
      <c r="M813" s="656" t="s">
        <v>16196</v>
      </c>
      <c r="N813" s="656"/>
      <c r="O813" s="656" t="s">
        <v>6395</v>
      </c>
      <c r="P813" s="5"/>
      <c r="Q813" s="1447">
        <v>43283</v>
      </c>
      <c r="R813" s="656"/>
      <c r="S813" s="656" t="s">
        <v>1394</v>
      </c>
      <c r="T813" s="656"/>
      <c r="U813" s="656"/>
      <c r="V813" s="656"/>
      <c r="W813" s="656" t="s">
        <v>13051</v>
      </c>
      <c r="X813" s="656" t="s">
        <v>498</v>
      </c>
      <c r="Y813" s="656" t="s">
        <v>14278</v>
      </c>
      <c r="Z813" s="656">
        <v>44305.523055555554</v>
      </c>
      <c r="AA813" s="656" t="s">
        <v>14335</v>
      </c>
      <c r="AB813" s="656"/>
    </row>
    <row r="814" spans="1:28">
      <c r="A814" s="656" t="s">
        <v>2341</v>
      </c>
      <c r="B814" s="656" t="s">
        <v>2342</v>
      </c>
      <c r="C814" s="656" t="s">
        <v>21</v>
      </c>
      <c r="D814" s="656" t="s">
        <v>12048</v>
      </c>
      <c r="E814" s="656" t="s">
        <v>14275</v>
      </c>
      <c r="F814" s="1447">
        <v>43882</v>
      </c>
      <c r="G814" s="656" t="s">
        <v>12030</v>
      </c>
      <c r="H814" s="656" t="s">
        <v>1777</v>
      </c>
      <c r="I814" s="656" t="s">
        <v>14535</v>
      </c>
      <c r="J814" s="656" t="s">
        <v>12048</v>
      </c>
      <c r="K814" s="656" t="s">
        <v>9774</v>
      </c>
      <c r="L814" s="656"/>
      <c r="M814" s="656" t="s">
        <v>16385</v>
      </c>
      <c r="N814" s="656"/>
      <c r="O814" s="656" t="s">
        <v>6387</v>
      </c>
      <c r="P814" s="5"/>
      <c r="Q814" s="1447">
        <v>43259</v>
      </c>
      <c r="R814" s="656">
        <v>43766</v>
      </c>
      <c r="S814" s="656" t="s">
        <v>1300</v>
      </c>
      <c r="T814" s="656"/>
      <c r="U814" s="656" t="s">
        <v>1300</v>
      </c>
      <c r="V814" s="656"/>
      <c r="W814" s="656" t="s">
        <v>13051</v>
      </c>
      <c r="X814" s="656" t="s">
        <v>498</v>
      </c>
      <c r="Y814" s="656" t="s">
        <v>14278</v>
      </c>
      <c r="Z814" s="656">
        <v>44305.523043981484</v>
      </c>
      <c r="AA814" s="656" t="s">
        <v>14335</v>
      </c>
      <c r="AB814" s="656"/>
    </row>
    <row r="815" spans="1:28">
      <c r="A815" s="656" t="s">
        <v>2341</v>
      </c>
      <c r="B815" s="656" t="s">
        <v>2342</v>
      </c>
      <c r="C815" s="656" t="s">
        <v>20</v>
      </c>
      <c r="D815" s="656" t="s">
        <v>12031</v>
      </c>
      <c r="E815" s="656" t="s">
        <v>14275</v>
      </c>
      <c r="F815" s="1447">
        <v>43927</v>
      </c>
      <c r="G815" s="656" t="s">
        <v>12030</v>
      </c>
      <c r="H815" s="656" t="s">
        <v>1777</v>
      </c>
      <c r="I815" s="656"/>
      <c r="J815" s="656"/>
      <c r="K815" s="656"/>
      <c r="L815" s="656" t="s">
        <v>12031</v>
      </c>
      <c r="M815" s="656" t="s">
        <v>16385</v>
      </c>
      <c r="N815" s="656"/>
      <c r="O815" s="656" t="s">
        <v>6387</v>
      </c>
      <c r="P815" s="5"/>
      <c r="Q815" s="1447">
        <v>43238</v>
      </c>
      <c r="R815" s="656"/>
      <c r="S815" s="656" t="s">
        <v>1300</v>
      </c>
      <c r="T815" s="656"/>
      <c r="U815" s="656" t="s">
        <v>1300</v>
      </c>
      <c r="V815" s="656"/>
      <c r="W815" s="656" t="s">
        <v>13051</v>
      </c>
      <c r="X815" s="656" t="s">
        <v>498</v>
      </c>
      <c r="Y815" s="656" t="s">
        <v>14278</v>
      </c>
      <c r="Z815" s="656">
        <v>44305.523055555554</v>
      </c>
      <c r="AA815" s="656" t="s">
        <v>14335</v>
      </c>
      <c r="AB815" s="656"/>
    </row>
    <row r="816" spans="1:28">
      <c r="A816" s="656" t="s">
        <v>2349</v>
      </c>
      <c r="B816" s="656" t="s">
        <v>2350</v>
      </c>
      <c r="C816" s="656" t="s">
        <v>20</v>
      </c>
      <c r="D816" s="656" t="s">
        <v>11887</v>
      </c>
      <c r="E816" s="656" t="s">
        <v>14275</v>
      </c>
      <c r="F816" s="1447">
        <v>43396</v>
      </c>
      <c r="G816" s="656" t="s">
        <v>11886</v>
      </c>
      <c r="H816" s="656" t="s">
        <v>1777</v>
      </c>
      <c r="I816" s="656"/>
      <c r="J816" s="656"/>
      <c r="K816" s="656"/>
      <c r="L816" s="656" t="s">
        <v>11887</v>
      </c>
      <c r="M816" s="656" t="s">
        <v>16196</v>
      </c>
      <c r="N816" s="656"/>
      <c r="O816" s="656" t="s">
        <v>9757</v>
      </c>
      <c r="P816" s="5"/>
      <c r="Q816" s="1447">
        <v>43112</v>
      </c>
      <c r="R816" s="656"/>
      <c r="S816" s="656" t="s">
        <v>1300</v>
      </c>
      <c r="T816" s="656"/>
      <c r="U816" s="656" t="s">
        <v>1300</v>
      </c>
      <c r="V816" s="656"/>
      <c r="W816" s="656" t="s">
        <v>13051</v>
      </c>
      <c r="X816" s="656" t="s">
        <v>498</v>
      </c>
      <c r="Y816" s="656" t="s">
        <v>14278</v>
      </c>
      <c r="Z816" s="656">
        <v>44305.523043981484</v>
      </c>
      <c r="AA816" s="656" t="s">
        <v>14335</v>
      </c>
      <c r="AB816" s="656"/>
    </row>
    <row r="817" spans="1:28">
      <c r="A817" s="656" t="s">
        <v>2357</v>
      </c>
      <c r="B817" s="656" t="s">
        <v>2358</v>
      </c>
      <c r="C817" s="656" t="s">
        <v>21</v>
      </c>
      <c r="D817" s="656" t="s">
        <v>12005</v>
      </c>
      <c r="E817" s="656" t="s">
        <v>14384</v>
      </c>
      <c r="F817" s="1447">
        <v>43742</v>
      </c>
      <c r="G817" s="656" t="s">
        <v>12004</v>
      </c>
      <c r="H817" s="656" t="s">
        <v>1777</v>
      </c>
      <c r="I817" s="656" t="s">
        <v>14536</v>
      </c>
      <c r="J817" s="656" t="s">
        <v>12005</v>
      </c>
      <c r="K817" s="656" t="s">
        <v>9774</v>
      </c>
      <c r="L817" s="656"/>
      <c r="M817" s="656" t="s">
        <v>16196</v>
      </c>
      <c r="N817" s="656"/>
      <c r="O817" s="656"/>
      <c r="P817" s="5" t="s">
        <v>14509</v>
      </c>
      <c r="Q817" s="1447">
        <v>43185</v>
      </c>
      <c r="R817" s="656"/>
      <c r="S817" s="656" t="s">
        <v>1949</v>
      </c>
      <c r="T817" s="656"/>
      <c r="U817" s="656" t="s">
        <v>1949</v>
      </c>
      <c r="V817" s="656"/>
      <c r="W817" s="656" t="s">
        <v>13051</v>
      </c>
      <c r="X817" s="656" t="s">
        <v>498</v>
      </c>
      <c r="Y817" s="656" t="s">
        <v>14278</v>
      </c>
      <c r="Z817" s="656">
        <v>44305.523032407407</v>
      </c>
      <c r="AA817" s="656" t="s">
        <v>14335</v>
      </c>
      <c r="AB817" s="656"/>
    </row>
    <row r="818" spans="1:28">
      <c r="A818" s="656" t="s">
        <v>2361</v>
      </c>
      <c r="B818" s="656" t="s">
        <v>2362</v>
      </c>
      <c r="C818" s="656" t="s">
        <v>21</v>
      </c>
      <c r="D818" s="656" t="s">
        <v>12299</v>
      </c>
      <c r="E818" s="656" t="s">
        <v>14275</v>
      </c>
      <c r="F818" s="1447">
        <v>44057</v>
      </c>
      <c r="G818" s="656" t="s">
        <v>9824</v>
      </c>
      <c r="H818" s="656" t="s">
        <v>1777</v>
      </c>
      <c r="I818" s="656" t="s">
        <v>14537</v>
      </c>
      <c r="J818" s="656" t="s">
        <v>12299</v>
      </c>
      <c r="K818" s="656" t="s">
        <v>9774</v>
      </c>
      <c r="L818" s="656"/>
      <c r="M818" s="656" t="s">
        <v>16262</v>
      </c>
      <c r="N818" s="656"/>
      <c r="O818" s="656" t="s">
        <v>6387</v>
      </c>
      <c r="P818" s="5"/>
      <c r="Q818" s="1447">
        <v>43236</v>
      </c>
      <c r="R818" s="656">
        <v>43759</v>
      </c>
      <c r="S818" s="656" t="s">
        <v>1050</v>
      </c>
      <c r="T818" s="656"/>
      <c r="U818" s="656" t="s">
        <v>1050</v>
      </c>
      <c r="V818" s="656"/>
      <c r="W818" s="656" t="s">
        <v>13051</v>
      </c>
      <c r="X818" s="656" t="s">
        <v>498</v>
      </c>
      <c r="Y818" s="656" t="s">
        <v>14278</v>
      </c>
      <c r="Z818" s="656">
        <v>44305.523020833331</v>
      </c>
      <c r="AA818" s="656" t="s">
        <v>14335</v>
      </c>
      <c r="AB818" s="656"/>
    </row>
    <row r="819" spans="1:28">
      <c r="A819" s="656" t="s">
        <v>2361</v>
      </c>
      <c r="B819" s="656" t="s">
        <v>2362</v>
      </c>
      <c r="C819" s="656" t="s">
        <v>20</v>
      </c>
      <c r="D819" s="656" t="s">
        <v>9825</v>
      </c>
      <c r="E819" s="656" t="s">
        <v>14275</v>
      </c>
      <c r="F819" s="1447">
        <v>44067</v>
      </c>
      <c r="G819" s="656" t="s">
        <v>9824</v>
      </c>
      <c r="H819" s="656" t="s">
        <v>1777</v>
      </c>
      <c r="I819" s="656"/>
      <c r="J819" s="656"/>
      <c r="K819" s="656"/>
      <c r="L819" s="656" t="s">
        <v>9825</v>
      </c>
      <c r="M819" s="656" t="s">
        <v>16262</v>
      </c>
      <c r="N819" s="656"/>
      <c r="O819" s="656" t="s">
        <v>6387</v>
      </c>
      <c r="P819" s="5"/>
      <c r="Q819" s="1447">
        <v>43213</v>
      </c>
      <c r="R819" s="656"/>
      <c r="S819" s="656" t="s">
        <v>1050</v>
      </c>
      <c r="T819" s="656"/>
      <c r="U819" s="656" t="s">
        <v>1050</v>
      </c>
      <c r="V819" s="656"/>
      <c r="W819" s="656" t="s">
        <v>13051</v>
      </c>
      <c r="X819" s="656" t="s">
        <v>498</v>
      </c>
      <c r="Y819" s="656" t="s">
        <v>14278</v>
      </c>
      <c r="Z819" s="656">
        <v>44305.523020833331</v>
      </c>
      <c r="AA819" s="656" t="s">
        <v>14335</v>
      </c>
      <c r="AB819" s="656"/>
    </row>
    <row r="820" spans="1:28">
      <c r="A820" s="656" t="s">
        <v>2363</v>
      </c>
      <c r="B820" s="656" t="s">
        <v>2364</v>
      </c>
      <c r="C820" s="656" t="s">
        <v>20</v>
      </c>
      <c r="D820" s="656" t="s">
        <v>11775</v>
      </c>
      <c r="E820" s="656" t="s">
        <v>14275</v>
      </c>
      <c r="F820" s="1447">
        <v>43332</v>
      </c>
      <c r="G820" s="656" t="s">
        <v>11774</v>
      </c>
      <c r="H820" s="656" t="s">
        <v>1777</v>
      </c>
      <c r="I820" s="656"/>
      <c r="J820" s="656"/>
      <c r="K820" s="656"/>
      <c r="L820" s="656" t="s">
        <v>11775</v>
      </c>
      <c r="M820" s="656" t="s">
        <v>16386</v>
      </c>
      <c r="N820" s="656"/>
      <c r="O820" s="656" t="s">
        <v>6387</v>
      </c>
      <c r="P820" s="5"/>
      <c r="Q820" s="1447"/>
      <c r="R820" s="656"/>
      <c r="S820" s="656" t="s">
        <v>655</v>
      </c>
      <c r="T820" s="656" t="s">
        <v>14277</v>
      </c>
      <c r="U820" s="656" t="s">
        <v>655</v>
      </c>
      <c r="V820" s="656"/>
      <c r="W820" s="656" t="s">
        <v>13051</v>
      </c>
      <c r="X820" s="656" t="s">
        <v>498</v>
      </c>
      <c r="Y820" s="656" t="s">
        <v>14278</v>
      </c>
      <c r="Z820" s="656">
        <v>44305.523009259261</v>
      </c>
      <c r="AA820" s="656" t="s">
        <v>14335</v>
      </c>
      <c r="AB820" s="656"/>
    </row>
    <row r="821" spans="1:28">
      <c r="A821" s="656" t="s">
        <v>2365</v>
      </c>
      <c r="B821" s="656" t="s">
        <v>2366</v>
      </c>
      <c r="C821" s="656" t="s">
        <v>21</v>
      </c>
      <c r="D821" s="656" t="s">
        <v>11943</v>
      </c>
      <c r="E821" s="656" t="s">
        <v>14384</v>
      </c>
      <c r="F821" s="1447">
        <v>43181</v>
      </c>
      <c r="G821" s="656" t="s">
        <v>11880</v>
      </c>
      <c r="H821" s="656" t="s">
        <v>1777</v>
      </c>
      <c r="I821" s="656" t="s">
        <v>14538</v>
      </c>
      <c r="J821" s="656" t="s">
        <v>11943</v>
      </c>
      <c r="K821" s="656" t="s">
        <v>9774</v>
      </c>
      <c r="L821" s="656"/>
      <c r="M821" s="656" t="s">
        <v>16387</v>
      </c>
      <c r="N821" s="656"/>
      <c r="O821" s="656" t="s">
        <v>6387</v>
      </c>
      <c r="P821" s="5" t="s">
        <v>14539</v>
      </c>
      <c r="Q821" s="1447">
        <v>43173</v>
      </c>
      <c r="R821" s="656"/>
      <c r="S821" s="656" t="s">
        <v>783</v>
      </c>
      <c r="T821" s="656"/>
      <c r="U821" s="656" t="s">
        <v>783</v>
      </c>
      <c r="V821" s="656"/>
      <c r="W821" s="656" t="s">
        <v>13051</v>
      </c>
      <c r="X821" s="656" t="s">
        <v>498</v>
      </c>
      <c r="Y821" s="656" t="s">
        <v>14278</v>
      </c>
      <c r="Z821" s="656">
        <v>44305.522997685184</v>
      </c>
      <c r="AA821" s="656" t="s">
        <v>14335</v>
      </c>
      <c r="AB821" s="656"/>
    </row>
    <row r="822" spans="1:28">
      <c r="A822" s="656" t="s">
        <v>2365</v>
      </c>
      <c r="B822" s="656" t="s">
        <v>2366</v>
      </c>
      <c r="C822" s="656" t="s">
        <v>20</v>
      </c>
      <c r="D822" s="656" t="s">
        <v>11881</v>
      </c>
      <c r="E822" s="656" t="s">
        <v>14275</v>
      </c>
      <c r="F822" s="1447">
        <v>43332</v>
      </c>
      <c r="G822" s="656" t="s">
        <v>11880</v>
      </c>
      <c r="H822" s="656" t="s">
        <v>1777</v>
      </c>
      <c r="I822" s="656"/>
      <c r="J822" s="656"/>
      <c r="K822" s="656"/>
      <c r="L822" s="656" t="s">
        <v>11881</v>
      </c>
      <c r="M822" s="656" t="s">
        <v>16387</v>
      </c>
      <c r="N822" s="656"/>
      <c r="O822" s="656" t="s">
        <v>6387</v>
      </c>
      <c r="P822" s="5"/>
      <c r="Q822" s="1447">
        <v>43108</v>
      </c>
      <c r="R822" s="656"/>
      <c r="S822" s="656" t="s">
        <v>783</v>
      </c>
      <c r="T822" s="656"/>
      <c r="U822" s="656" t="s">
        <v>783</v>
      </c>
      <c r="V822" s="656"/>
      <c r="W822" s="656" t="s">
        <v>13051</v>
      </c>
      <c r="X822" s="656" t="s">
        <v>498</v>
      </c>
      <c r="Y822" s="656" t="s">
        <v>14278</v>
      </c>
      <c r="Z822" s="656">
        <v>44305.523009259261</v>
      </c>
      <c r="AA822" s="656" t="s">
        <v>14335</v>
      </c>
      <c r="AB822" s="656"/>
    </row>
    <row r="823" spans="1:28">
      <c r="A823" s="656" t="s">
        <v>2365</v>
      </c>
      <c r="B823" s="656" t="s">
        <v>2366</v>
      </c>
      <c r="C823" s="656" t="s">
        <v>20</v>
      </c>
      <c r="D823" s="656" t="s">
        <v>11905</v>
      </c>
      <c r="E823" s="656" t="s">
        <v>14275</v>
      </c>
      <c r="F823" s="1447">
        <v>43327</v>
      </c>
      <c r="G823" s="656" t="s">
        <v>11880</v>
      </c>
      <c r="H823" s="656" t="s">
        <v>1777</v>
      </c>
      <c r="I823" s="656"/>
      <c r="J823" s="656"/>
      <c r="K823" s="656"/>
      <c r="L823" s="656" t="s">
        <v>11905</v>
      </c>
      <c r="M823" s="656" t="s">
        <v>16388</v>
      </c>
      <c r="N823" s="656"/>
      <c r="O823" s="656" t="s">
        <v>6387</v>
      </c>
      <c r="P823" s="5"/>
      <c r="Q823" s="1447">
        <v>43108</v>
      </c>
      <c r="R823" s="656"/>
      <c r="S823" s="656" t="s">
        <v>783</v>
      </c>
      <c r="T823" s="656"/>
      <c r="U823" s="656" t="s">
        <v>783</v>
      </c>
      <c r="V823" s="656"/>
      <c r="W823" s="656" t="s">
        <v>13051</v>
      </c>
      <c r="X823" s="656" t="s">
        <v>498</v>
      </c>
      <c r="Y823" s="656" t="s">
        <v>14278</v>
      </c>
      <c r="Z823" s="656">
        <v>44305.523009259261</v>
      </c>
      <c r="AA823" s="656" t="s">
        <v>14335</v>
      </c>
      <c r="AB823" s="656"/>
    </row>
    <row r="824" spans="1:28">
      <c r="A824" s="656" t="s">
        <v>2379</v>
      </c>
      <c r="B824" s="656" t="s">
        <v>2380</v>
      </c>
      <c r="C824" s="656" t="s">
        <v>21</v>
      </c>
      <c r="D824" s="656" t="s">
        <v>9811</v>
      </c>
      <c r="E824" s="656" t="s">
        <v>14275</v>
      </c>
      <c r="F824" s="1447">
        <v>44298</v>
      </c>
      <c r="G824" s="656" t="s">
        <v>9810</v>
      </c>
      <c r="H824" s="656" t="s">
        <v>1777</v>
      </c>
      <c r="I824" s="656" t="s">
        <v>14541</v>
      </c>
      <c r="J824" s="656" t="s">
        <v>9811</v>
      </c>
      <c r="K824" s="656" t="s">
        <v>9774</v>
      </c>
      <c r="L824" s="656"/>
      <c r="M824" s="656" t="s">
        <v>16389</v>
      </c>
      <c r="N824" s="656"/>
      <c r="O824" s="656" t="s">
        <v>6387</v>
      </c>
      <c r="P824" s="5"/>
      <c r="Q824" s="1447">
        <v>43137</v>
      </c>
      <c r="R824" s="656">
        <v>44067</v>
      </c>
      <c r="S824" s="656" t="s">
        <v>1300</v>
      </c>
      <c r="T824" s="656" t="s">
        <v>1301</v>
      </c>
      <c r="U824" s="656" t="s">
        <v>1300</v>
      </c>
      <c r="V824" s="656"/>
      <c r="W824" s="656" t="s">
        <v>13051</v>
      </c>
      <c r="X824" s="656" t="s">
        <v>498</v>
      </c>
      <c r="Y824" s="656" t="s">
        <v>14278</v>
      </c>
      <c r="Z824" s="656">
        <v>44305.522962962961</v>
      </c>
      <c r="AA824" s="656" t="s">
        <v>14335</v>
      </c>
      <c r="AB824" s="656"/>
    </row>
    <row r="825" spans="1:28">
      <c r="A825" s="656" t="s">
        <v>2379</v>
      </c>
      <c r="B825" s="656" t="s">
        <v>2380</v>
      </c>
      <c r="C825" s="656" t="s">
        <v>20</v>
      </c>
      <c r="D825" s="656" t="s">
        <v>11825</v>
      </c>
      <c r="E825" s="656" t="s">
        <v>14275</v>
      </c>
      <c r="F825" s="1447">
        <v>43420</v>
      </c>
      <c r="G825" s="656" t="s">
        <v>9810</v>
      </c>
      <c r="H825" s="656" t="s">
        <v>1777</v>
      </c>
      <c r="I825" s="656"/>
      <c r="J825" s="656"/>
      <c r="K825" s="656"/>
      <c r="L825" s="656" t="s">
        <v>11825</v>
      </c>
      <c r="M825" s="656" t="s">
        <v>1947</v>
      </c>
      <c r="N825" s="656"/>
      <c r="O825" s="656" t="s">
        <v>6387</v>
      </c>
      <c r="P825" s="5" t="s">
        <v>14540</v>
      </c>
      <c r="Q825" s="1447">
        <v>43080</v>
      </c>
      <c r="R825" s="656"/>
      <c r="S825" s="656" t="s">
        <v>1300</v>
      </c>
      <c r="T825" s="656" t="s">
        <v>1301</v>
      </c>
      <c r="U825" s="656" t="s">
        <v>1300</v>
      </c>
      <c r="V825" s="656"/>
      <c r="W825" s="656" t="s">
        <v>13051</v>
      </c>
      <c r="X825" s="656" t="s">
        <v>498</v>
      </c>
      <c r="Y825" s="656" t="s">
        <v>14278</v>
      </c>
      <c r="Z825" s="656">
        <v>44305.522974537038</v>
      </c>
      <c r="AA825" s="656" t="s">
        <v>14335</v>
      </c>
      <c r="AB825" s="656"/>
    </row>
    <row r="826" spans="1:28">
      <c r="A826" s="656" t="s">
        <v>2379</v>
      </c>
      <c r="B826" s="656" t="s">
        <v>2380</v>
      </c>
      <c r="C826" s="656" t="s">
        <v>20</v>
      </c>
      <c r="D826" s="656" t="s">
        <v>11990</v>
      </c>
      <c r="E826" s="656" t="s">
        <v>14275</v>
      </c>
      <c r="F826" s="1447">
        <v>43606</v>
      </c>
      <c r="G826" s="656" t="s">
        <v>9810</v>
      </c>
      <c r="H826" s="656" t="s">
        <v>1777</v>
      </c>
      <c r="I826" s="656"/>
      <c r="J826" s="656"/>
      <c r="K826" s="656"/>
      <c r="L826" s="656" t="s">
        <v>11990</v>
      </c>
      <c r="M826" s="656" t="s">
        <v>16196</v>
      </c>
      <c r="N826" s="656"/>
      <c r="O826" s="656" t="s">
        <v>6387</v>
      </c>
      <c r="P826" s="5"/>
      <c r="Q826" s="1447">
        <v>43165</v>
      </c>
      <c r="R826" s="656"/>
      <c r="S826" s="656" t="s">
        <v>1300</v>
      </c>
      <c r="T826" s="656"/>
      <c r="U826" s="656" t="s">
        <v>1300</v>
      </c>
      <c r="V826" s="656"/>
      <c r="W826" s="656" t="s">
        <v>13051</v>
      </c>
      <c r="X826" s="656" t="s">
        <v>498</v>
      </c>
      <c r="Y826" s="656" t="s">
        <v>14278</v>
      </c>
      <c r="Z826" s="656">
        <v>44305.522986111115</v>
      </c>
      <c r="AA826" s="656" t="s">
        <v>14335</v>
      </c>
      <c r="AB826" s="656"/>
    </row>
    <row r="827" spans="1:28">
      <c r="A827" s="656" t="s">
        <v>2379</v>
      </c>
      <c r="B827" s="656" t="s">
        <v>2380</v>
      </c>
      <c r="C827" s="656" t="s">
        <v>20</v>
      </c>
      <c r="D827" s="656" t="s">
        <v>9908</v>
      </c>
      <c r="E827" s="656" t="s">
        <v>14275</v>
      </c>
      <c r="F827" s="1447">
        <v>44237</v>
      </c>
      <c r="G827" s="656" t="s">
        <v>9810</v>
      </c>
      <c r="H827" s="656" t="s">
        <v>1777</v>
      </c>
      <c r="I827" s="656"/>
      <c r="J827" s="656"/>
      <c r="K827" s="656"/>
      <c r="L827" s="656" t="s">
        <v>9908</v>
      </c>
      <c r="M827" s="656" t="s">
        <v>16389</v>
      </c>
      <c r="N827" s="656"/>
      <c r="O827" s="656" t="s">
        <v>6387</v>
      </c>
      <c r="P827" s="5"/>
      <c r="Q827" s="1447">
        <v>43510</v>
      </c>
      <c r="R827" s="656"/>
      <c r="S827" s="656" t="s">
        <v>1300</v>
      </c>
      <c r="T827" s="656"/>
      <c r="U827" s="656"/>
      <c r="V827" s="656"/>
      <c r="W827" s="656" t="s">
        <v>13051</v>
      </c>
      <c r="X827" s="656" t="s">
        <v>498</v>
      </c>
      <c r="Y827" s="656" t="s">
        <v>14278</v>
      </c>
      <c r="Z827" s="656">
        <v>44305.522986111115</v>
      </c>
      <c r="AA827" s="656" t="s">
        <v>14335</v>
      </c>
      <c r="AB827" s="656"/>
    </row>
    <row r="828" spans="1:28">
      <c r="A828" s="656" t="s">
        <v>2421</v>
      </c>
      <c r="B828" s="656" t="s">
        <v>2422</v>
      </c>
      <c r="C828" s="656" t="s">
        <v>21</v>
      </c>
      <c r="D828" s="656" t="s">
        <v>12285</v>
      </c>
      <c r="E828" s="656" t="s">
        <v>14275</v>
      </c>
      <c r="F828" s="1447">
        <v>44173</v>
      </c>
      <c r="G828" s="656" t="s">
        <v>11772</v>
      </c>
      <c r="H828" s="656" t="s">
        <v>1777</v>
      </c>
      <c r="I828" s="656" t="s">
        <v>14542</v>
      </c>
      <c r="J828" s="656" t="s">
        <v>12285</v>
      </c>
      <c r="K828" s="656" t="s">
        <v>9733</v>
      </c>
      <c r="L828" s="656"/>
      <c r="M828" s="656" t="s">
        <v>16196</v>
      </c>
      <c r="N828" s="656"/>
      <c r="O828" s="656" t="s">
        <v>9757</v>
      </c>
      <c r="P828" s="5"/>
      <c r="Q828" s="1447">
        <v>43020</v>
      </c>
      <c r="R828" s="656">
        <v>43213</v>
      </c>
      <c r="S828" s="656" t="s">
        <v>1300</v>
      </c>
      <c r="T828" s="656" t="s">
        <v>4198</v>
      </c>
      <c r="U828" s="656" t="s">
        <v>1300</v>
      </c>
      <c r="V828" s="656"/>
      <c r="W828" s="656" t="s">
        <v>13051</v>
      </c>
      <c r="X828" s="656" t="s">
        <v>498</v>
      </c>
      <c r="Y828" s="656" t="s">
        <v>14278</v>
      </c>
      <c r="Z828" s="656">
        <v>44305.522951388892</v>
      </c>
      <c r="AA828" s="656" t="s">
        <v>14335</v>
      </c>
      <c r="AB828" s="656"/>
    </row>
    <row r="829" spans="1:28">
      <c r="A829" s="656" t="s">
        <v>2421</v>
      </c>
      <c r="B829" s="656" t="s">
        <v>2422</v>
      </c>
      <c r="C829" s="656" t="s">
        <v>20</v>
      </c>
      <c r="D829" s="656" t="s">
        <v>11773</v>
      </c>
      <c r="E829" s="656" t="s">
        <v>14275</v>
      </c>
      <c r="F829" s="1447">
        <v>43888</v>
      </c>
      <c r="G829" s="656" t="s">
        <v>11772</v>
      </c>
      <c r="H829" s="656" t="s">
        <v>1777</v>
      </c>
      <c r="I829" s="656"/>
      <c r="J829" s="656"/>
      <c r="K829" s="656"/>
      <c r="L829" s="656" t="s">
        <v>11773</v>
      </c>
      <c r="M829" s="656" t="s">
        <v>16196</v>
      </c>
      <c r="N829" s="656"/>
      <c r="O829" s="656" t="s">
        <v>9757</v>
      </c>
      <c r="P829" s="5"/>
      <c r="Q829" s="1447">
        <v>42943</v>
      </c>
      <c r="R829" s="656"/>
      <c r="S829" s="656" t="s">
        <v>1300</v>
      </c>
      <c r="T829" s="656" t="s">
        <v>4198</v>
      </c>
      <c r="U829" s="656" t="s">
        <v>1300</v>
      </c>
      <c r="V829" s="656"/>
      <c r="W829" s="656" t="s">
        <v>13051</v>
      </c>
      <c r="X829" s="656" t="s">
        <v>498</v>
      </c>
      <c r="Y829" s="656" t="s">
        <v>14278</v>
      </c>
      <c r="Z829" s="656">
        <v>44305.522951388892</v>
      </c>
      <c r="AA829" s="656" t="s">
        <v>14335</v>
      </c>
      <c r="AB829" s="656"/>
    </row>
    <row r="830" spans="1:28">
      <c r="A830" s="656" t="s">
        <v>2421</v>
      </c>
      <c r="B830" s="656" t="s">
        <v>2422</v>
      </c>
      <c r="C830" s="656" t="s">
        <v>20</v>
      </c>
      <c r="D830" s="656" t="s">
        <v>10207</v>
      </c>
      <c r="E830" s="656" t="s">
        <v>14275</v>
      </c>
      <c r="F830" s="1447">
        <v>44067</v>
      </c>
      <c r="G830" s="656" t="s">
        <v>10206</v>
      </c>
      <c r="H830" s="656" t="s">
        <v>1777</v>
      </c>
      <c r="I830" s="656"/>
      <c r="J830" s="656"/>
      <c r="K830" s="656"/>
      <c r="L830" s="656" t="s">
        <v>10207</v>
      </c>
      <c r="M830" s="656" t="s">
        <v>16196</v>
      </c>
      <c r="N830" s="656"/>
      <c r="O830" s="656" t="s">
        <v>6395</v>
      </c>
      <c r="P830" s="5"/>
      <c r="Q830" s="1447">
        <v>43887</v>
      </c>
      <c r="R830" s="656"/>
      <c r="S830" s="656" t="s">
        <v>462</v>
      </c>
      <c r="T830" s="656"/>
      <c r="U830" s="656"/>
      <c r="V830" s="656" t="s">
        <v>14323</v>
      </c>
      <c r="W830" s="656" t="s">
        <v>13051</v>
      </c>
      <c r="X830" s="656" t="s">
        <v>498</v>
      </c>
      <c r="Y830" s="656" t="s">
        <v>14278</v>
      </c>
      <c r="Z830" s="656">
        <v>44305.522962962961</v>
      </c>
      <c r="AA830" s="656" t="s">
        <v>14335</v>
      </c>
      <c r="AB830" s="656"/>
    </row>
    <row r="831" spans="1:28">
      <c r="A831" s="656" t="s">
        <v>2423</v>
      </c>
      <c r="B831" s="656" t="s">
        <v>2424</v>
      </c>
      <c r="C831" s="656" t="s">
        <v>20</v>
      </c>
      <c r="D831" s="656" t="s">
        <v>11771</v>
      </c>
      <c r="E831" s="656" t="s">
        <v>14275</v>
      </c>
      <c r="F831" s="1447">
        <v>43180</v>
      </c>
      <c r="G831" s="656" t="s">
        <v>11770</v>
      </c>
      <c r="H831" s="656" t="s">
        <v>1777</v>
      </c>
      <c r="I831" s="656"/>
      <c r="J831" s="656"/>
      <c r="K831" s="656"/>
      <c r="L831" s="656" t="s">
        <v>11771</v>
      </c>
      <c r="M831" s="656" t="s">
        <v>1947</v>
      </c>
      <c r="N831" s="656"/>
      <c r="O831" s="656" t="s">
        <v>6395</v>
      </c>
      <c r="P831" s="5"/>
      <c r="Q831" s="1447"/>
      <c r="R831" s="656"/>
      <c r="S831" s="656" t="s">
        <v>1394</v>
      </c>
      <c r="T831" s="656" t="s">
        <v>14280</v>
      </c>
      <c r="U831" s="656" t="s">
        <v>11626</v>
      </c>
      <c r="V831" s="656"/>
      <c r="W831" s="656" t="s">
        <v>13051</v>
      </c>
      <c r="X831" s="656" t="s">
        <v>498</v>
      </c>
      <c r="Y831" s="656" t="s">
        <v>14278</v>
      </c>
      <c r="Z831" s="656">
        <v>44305.522928240738</v>
      </c>
      <c r="AA831" s="656" t="s">
        <v>14335</v>
      </c>
      <c r="AB831" s="656"/>
    </row>
    <row r="832" spans="1:28">
      <c r="A832" s="656" t="s">
        <v>2423</v>
      </c>
      <c r="B832" s="656" t="s">
        <v>2424</v>
      </c>
      <c r="C832" s="656" t="s">
        <v>20</v>
      </c>
      <c r="D832" s="656" t="s">
        <v>11978</v>
      </c>
      <c r="E832" s="656" t="s">
        <v>14275</v>
      </c>
      <c r="F832" s="1447">
        <v>43185</v>
      </c>
      <c r="G832" s="656" t="s">
        <v>11977</v>
      </c>
      <c r="H832" s="656" t="s">
        <v>1777</v>
      </c>
      <c r="I832" s="656"/>
      <c r="J832" s="656"/>
      <c r="K832" s="656"/>
      <c r="L832" s="656" t="s">
        <v>11978</v>
      </c>
      <c r="M832" s="656" t="s">
        <v>16321</v>
      </c>
      <c r="N832" s="656"/>
      <c r="O832" s="656" t="s">
        <v>6395</v>
      </c>
      <c r="P832" s="5"/>
      <c r="Q832" s="1447">
        <v>43165</v>
      </c>
      <c r="R832" s="656"/>
      <c r="S832" s="656" t="s">
        <v>1394</v>
      </c>
      <c r="T832" s="656"/>
      <c r="U832" s="656" t="s">
        <v>1394</v>
      </c>
      <c r="V832" s="656"/>
      <c r="W832" s="656" t="s">
        <v>13051</v>
      </c>
      <c r="X832" s="656" t="s">
        <v>498</v>
      </c>
      <c r="Y832" s="656" t="s">
        <v>14278</v>
      </c>
      <c r="Z832" s="656">
        <v>44305.522939814815</v>
      </c>
      <c r="AA832" s="656" t="s">
        <v>14335</v>
      </c>
      <c r="AB832" s="656"/>
    </row>
    <row r="833" spans="1:28">
      <c r="A833" s="656" t="s">
        <v>2437</v>
      </c>
      <c r="B833" s="656" t="s">
        <v>2438</v>
      </c>
      <c r="C833" s="656" t="s">
        <v>21</v>
      </c>
      <c r="D833" s="656" t="s">
        <v>12292</v>
      </c>
      <c r="E833" s="656" t="s">
        <v>14275</v>
      </c>
      <c r="F833" s="1447">
        <v>44057</v>
      </c>
      <c r="G833" s="656" t="s">
        <v>11860</v>
      </c>
      <c r="H833" s="656" t="s">
        <v>1777</v>
      </c>
      <c r="I833" s="656" t="s">
        <v>14543</v>
      </c>
      <c r="J833" s="656" t="s">
        <v>12292</v>
      </c>
      <c r="K833" s="656" t="s">
        <v>9774</v>
      </c>
      <c r="L833" s="656"/>
      <c r="M833" s="656" t="s">
        <v>16262</v>
      </c>
      <c r="N833" s="656"/>
      <c r="O833" s="656" t="s">
        <v>6387</v>
      </c>
      <c r="P833" s="5"/>
      <c r="Q833" s="1447">
        <v>43126</v>
      </c>
      <c r="R833" s="656">
        <v>43191</v>
      </c>
      <c r="S833" s="656" t="s">
        <v>1050</v>
      </c>
      <c r="T833" s="656"/>
      <c r="U833" s="656" t="s">
        <v>1050</v>
      </c>
      <c r="V833" s="656"/>
      <c r="W833" s="656" t="s">
        <v>13051</v>
      </c>
      <c r="X833" s="656" t="s">
        <v>498</v>
      </c>
      <c r="Y833" s="656" t="s">
        <v>14278</v>
      </c>
      <c r="Z833" s="656">
        <v>44305.522916666669</v>
      </c>
      <c r="AA833" s="656" t="s">
        <v>14335</v>
      </c>
      <c r="AB833" s="656"/>
    </row>
    <row r="834" spans="1:28">
      <c r="A834" s="656" t="s">
        <v>2437</v>
      </c>
      <c r="B834" s="656" t="s">
        <v>2438</v>
      </c>
      <c r="C834" s="656" t="s">
        <v>20</v>
      </c>
      <c r="D834" s="656" t="s">
        <v>11861</v>
      </c>
      <c r="E834" s="656" t="s">
        <v>14275</v>
      </c>
      <c r="F834" s="1447">
        <v>43997</v>
      </c>
      <c r="G834" s="656" t="s">
        <v>11860</v>
      </c>
      <c r="H834" s="656" t="s">
        <v>1777</v>
      </c>
      <c r="I834" s="656"/>
      <c r="J834" s="656"/>
      <c r="K834" s="656"/>
      <c r="L834" s="656" t="s">
        <v>11861</v>
      </c>
      <c r="M834" s="656" t="s">
        <v>16262</v>
      </c>
      <c r="N834" s="656"/>
      <c r="O834" s="656" t="s">
        <v>6387</v>
      </c>
      <c r="P834" s="5"/>
      <c r="Q834" s="1447">
        <v>43098</v>
      </c>
      <c r="R834" s="656"/>
      <c r="S834" s="656" t="s">
        <v>1050</v>
      </c>
      <c r="T834" s="656"/>
      <c r="U834" s="656" t="s">
        <v>655</v>
      </c>
      <c r="V834" s="656"/>
      <c r="W834" s="656" t="s">
        <v>13051</v>
      </c>
      <c r="X834" s="656" t="s">
        <v>498</v>
      </c>
      <c r="Y834" s="656" t="s">
        <v>14278</v>
      </c>
      <c r="Z834" s="656">
        <v>44305.522928240738</v>
      </c>
      <c r="AA834" s="656" t="s">
        <v>14335</v>
      </c>
      <c r="AB834" s="656"/>
    </row>
    <row r="835" spans="1:28">
      <c r="A835" s="656" t="s">
        <v>2439</v>
      </c>
      <c r="B835" s="656" t="s">
        <v>2440</v>
      </c>
      <c r="C835" s="656" t="s">
        <v>21</v>
      </c>
      <c r="D835" s="656" t="s">
        <v>12291</v>
      </c>
      <c r="E835" s="656" t="s">
        <v>14275</v>
      </c>
      <c r="F835" s="1447">
        <v>44057</v>
      </c>
      <c r="G835" s="656" t="s">
        <v>9806</v>
      </c>
      <c r="H835" s="656" t="s">
        <v>1777</v>
      </c>
      <c r="I835" s="656" t="s">
        <v>14543</v>
      </c>
      <c r="J835" s="656" t="s">
        <v>12291</v>
      </c>
      <c r="K835" s="656" t="s">
        <v>9774</v>
      </c>
      <c r="L835" s="656"/>
      <c r="M835" s="656" t="s">
        <v>16262</v>
      </c>
      <c r="N835" s="656"/>
      <c r="O835" s="656" t="s">
        <v>6387</v>
      </c>
      <c r="P835" s="5"/>
      <c r="Q835" s="1447">
        <v>43126</v>
      </c>
      <c r="R835" s="656">
        <v>43371</v>
      </c>
      <c r="S835" s="656" t="s">
        <v>1050</v>
      </c>
      <c r="T835" s="656"/>
      <c r="U835" s="656"/>
      <c r="V835" s="656"/>
      <c r="W835" s="656" t="s">
        <v>13051</v>
      </c>
      <c r="X835" s="656" t="s">
        <v>498</v>
      </c>
      <c r="Y835" s="656" t="s">
        <v>14278</v>
      </c>
      <c r="Z835" s="656">
        <v>44305.522905092592</v>
      </c>
      <c r="AA835" s="656" t="s">
        <v>14335</v>
      </c>
      <c r="AB835" s="656"/>
    </row>
    <row r="836" spans="1:28">
      <c r="A836" s="656" t="s">
        <v>2439</v>
      </c>
      <c r="B836" s="656" t="s">
        <v>2440</v>
      </c>
      <c r="C836" s="656" t="s">
        <v>20</v>
      </c>
      <c r="D836" s="656" t="s">
        <v>9807</v>
      </c>
      <c r="E836" s="656" t="s">
        <v>14275</v>
      </c>
      <c r="F836" s="1447">
        <v>44071</v>
      </c>
      <c r="G836" s="656" t="s">
        <v>9806</v>
      </c>
      <c r="H836" s="656" t="s">
        <v>1777</v>
      </c>
      <c r="I836" s="656"/>
      <c r="J836" s="656"/>
      <c r="K836" s="656"/>
      <c r="L836" s="656" t="s">
        <v>9807</v>
      </c>
      <c r="M836" s="656" t="s">
        <v>16262</v>
      </c>
      <c r="N836" s="656"/>
      <c r="O836" s="656" t="s">
        <v>6387</v>
      </c>
      <c r="P836" s="5"/>
      <c r="Q836" s="1447">
        <v>43098</v>
      </c>
      <c r="R836" s="656"/>
      <c r="S836" s="656" t="s">
        <v>1050</v>
      </c>
      <c r="T836" s="656"/>
      <c r="U836" s="656" t="s">
        <v>655</v>
      </c>
      <c r="V836" s="656"/>
      <c r="W836" s="656" t="s">
        <v>13051</v>
      </c>
      <c r="X836" s="656" t="s">
        <v>498</v>
      </c>
      <c r="Y836" s="656" t="s">
        <v>14278</v>
      </c>
      <c r="Z836" s="656">
        <v>44305.522916666669</v>
      </c>
      <c r="AA836" s="656" t="s">
        <v>14335</v>
      </c>
      <c r="AB836" s="656"/>
    </row>
    <row r="837" spans="1:28">
      <c r="A837" s="656" t="s">
        <v>2441</v>
      </c>
      <c r="B837" s="656" t="s">
        <v>2442</v>
      </c>
      <c r="C837" s="656" t="s">
        <v>21</v>
      </c>
      <c r="D837" s="656" t="s">
        <v>12290</v>
      </c>
      <c r="E837" s="656" t="s">
        <v>14275</v>
      </c>
      <c r="F837" s="1447">
        <v>44057</v>
      </c>
      <c r="G837" s="656" t="s">
        <v>9804</v>
      </c>
      <c r="H837" s="656" t="s">
        <v>1777</v>
      </c>
      <c r="I837" s="656" t="s">
        <v>14543</v>
      </c>
      <c r="J837" s="656" t="s">
        <v>12290</v>
      </c>
      <c r="K837" s="656" t="s">
        <v>9774</v>
      </c>
      <c r="L837" s="656"/>
      <c r="M837" s="656" t="s">
        <v>16262</v>
      </c>
      <c r="N837" s="656"/>
      <c r="O837" s="656" t="s">
        <v>6387</v>
      </c>
      <c r="P837" s="5"/>
      <c r="Q837" s="1447">
        <v>43126</v>
      </c>
      <c r="R837" s="656">
        <v>43644</v>
      </c>
      <c r="S837" s="656" t="s">
        <v>1050</v>
      </c>
      <c r="T837" s="656"/>
      <c r="U837" s="656" t="s">
        <v>1050</v>
      </c>
      <c r="V837" s="656"/>
      <c r="W837" s="656" t="s">
        <v>13051</v>
      </c>
      <c r="X837" s="656" t="s">
        <v>498</v>
      </c>
      <c r="Y837" s="656" t="s">
        <v>14278</v>
      </c>
      <c r="Z837" s="656">
        <v>44305.522893518515</v>
      </c>
      <c r="AA837" s="656" t="s">
        <v>14335</v>
      </c>
      <c r="AB837" s="656"/>
    </row>
    <row r="838" spans="1:28">
      <c r="A838" s="656" t="s">
        <v>2441</v>
      </c>
      <c r="B838" s="656" t="s">
        <v>2442</v>
      </c>
      <c r="C838" s="656" t="s">
        <v>20</v>
      </c>
      <c r="D838" s="656" t="s">
        <v>9805</v>
      </c>
      <c r="E838" s="656" t="s">
        <v>14275</v>
      </c>
      <c r="F838" s="1447">
        <v>44071</v>
      </c>
      <c r="G838" s="656" t="s">
        <v>9804</v>
      </c>
      <c r="H838" s="656" t="s">
        <v>1777</v>
      </c>
      <c r="I838" s="656"/>
      <c r="J838" s="656"/>
      <c r="K838" s="656"/>
      <c r="L838" s="656" t="s">
        <v>9805</v>
      </c>
      <c r="M838" s="656" t="s">
        <v>16262</v>
      </c>
      <c r="N838" s="656"/>
      <c r="O838" s="656" t="s">
        <v>6387</v>
      </c>
      <c r="P838" s="5"/>
      <c r="Q838" s="1447">
        <v>43098</v>
      </c>
      <c r="R838" s="656"/>
      <c r="S838" s="656" t="s">
        <v>1050</v>
      </c>
      <c r="T838" s="656"/>
      <c r="U838" s="656" t="s">
        <v>655</v>
      </c>
      <c r="V838" s="656"/>
      <c r="W838" s="656" t="s">
        <v>13051</v>
      </c>
      <c r="X838" s="656" t="s">
        <v>498</v>
      </c>
      <c r="Y838" s="656" t="s">
        <v>14278</v>
      </c>
      <c r="Z838" s="656">
        <v>44305.522905092592</v>
      </c>
      <c r="AA838" s="656" t="s">
        <v>14335</v>
      </c>
      <c r="AB838" s="656"/>
    </row>
    <row r="839" spans="1:28">
      <c r="A839" s="656" t="s">
        <v>2443</v>
      </c>
      <c r="B839" s="656" t="s">
        <v>2444</v>
      </c>
      <c r="C839" s="656" t="s">
        <v>21</v>
      </c>
      <c r="D839" s="656" t="s">
        <v>12289</v>
      </c>
      <c r="E839" s="656" t="s">
        <v>14275</v>
      </c>
      <c r="F839" s="1447">
        <v>44055</v>
      </c>
      <c r="G839" s="656" t="s">
        <v>9802</v>
      </c>
      <c r="H839" s="656" t="s">
        <v>1777</v>
      </c>
      <c r="I839" s="656" t="s">
        <v>14543</v>
      </c>
      <c r="J839" s="656" t="s">
        <v>12289</v>
      </c>
      <c r="K839" s="656" t="s">
        <v>9774</v>
      </c>
      <c r="L839" s="656"/>
      <c r="M839" s="656" t="s">
        <v>16262</v>
      </c>
      <c r="N839" s="656"/>
      <c r="O839" s="656" t="s">
        <v>6387</v>
      </c>
      <c r="P839" s="5"/>
      <c r="Q839" s="1447">
        <v>43126</v>
      </c>
      <c r="R839" s="656">
        <v>43434</v>
      </c>
      <c r="S839" s="656" t="s">
        <v>1050</v>
      </c>
      <c r="T839" s="656"/>
      <c r="U839" s="656" t="s">
        <v>1050</v>
      </c>
      <c r="V839" s="656"/>
      <c r="W839" s="656" t="s">
        <v>13051</v>
      </c>
      <c r="X839" s="656" t="s">
        <v>498</v>
      </c>
      <c r="Y839" s="656" t="s">
        <v>14278</v>
      </c>
      <c r="Z839" s="656">
        <v>44305.522893518515</v>
      </c>
      <c r="AA839" s="656" t="s">
        <v>14335</v>
      </c>
      <c r="AB839" s="656"/>
    </row>
    <row r="840" spans="1:28">
      <c r="A840" s="656" t="s">
        <v>2443</v>
      </c>
      <c r="B840" s="656" t="s">
        <v>2444</v>
      </c>
      <c r="C840" s="656" t="s">
        <v>20</v>
      </c>
      <c r="D840" s="656" t="s">
        <v>9803</v>
      </c>
      <c r="E840" s="656" t="s">
        <v>14275</v>
      </c>
      <c r="F840" s="1447">
        <v>44071</v>
      </c>
      <c r="G840" s="656" t="s">
        <v>9802</v>
      </c>
      <c r="H840" s="656" t="s">
        <v>1777</v>
      </c>
      <c r="I840" s="656"/>
      <c r="J840" s="656"/>
      <c r="K840" s="656"/>
      <c r="L840" s="656" t="s">
        <v>9803</v>
      </c>
      <c r="M840" s="656" t="s">
        <v>16262</v>
      </c>
      <c r="N840" s="656"/>
      <c r="O840" s="656" t="s">
        <v>6387</v>
      </c>
      <c r="P840" s="5"/>
      <c r="Q840" s="1447">
        <v>43098</v>
      </c>
      <c r="R840" s="656"/>
      <c r="S840" s="656" t="s">
        <v>1050</v>
      </c>
      <c r="T840" s="656"/>
      <c r="U840" s="656" t="s">
        <v>655</v>
      </c>
      <c r="V840" s="656"/>
      <c r="W840" s="656" t="s">
        <v>13051</v>
      </c>
      <c r="X840" s="656" t="s">
        <v>498</v>
      </c>
      <c r="Y840" s="656" t="s">
        <v>14278</v>
      </c>
      <c r="Z840" s="656">
        <v>44305.522893518515</v>
      </c>
      <c r="AA840" s="656" t="s">
        <v>14335</v>
      </c>
      <c r="AB840" s="656"/>
    </row>
    <row r="841" spans="1:28">
      <c r="A841" s="656" t="s">
        <v>2445</v>
      </c>
      <c r="B841" s="656" t="s">
        <v>2446</v>
      </c>
      <c r="C841" s="656" t="s">
        <v>21</v>
      </c>
      <c r="D841" s="656" t="s">
        <v>11897</v>
      </c>
      <c r="E841" s="656" t="s">
        <v>14458</v>
      </c>
      <c r="F841" s="1447">
        <v>43126</v>
      </c>
      <c r="G841" s="656" t="s">
        <v>11896</v>
      </c>
      <c r="H841" s="656" t="s">
        <v>1777</v>
      </c>
      <c r="I841" s="656" t="s">
        <v>14543</v>
      </c>
      <c r="J841" s="656" t="s">
        <v>11897</v>
      </c>
      <c r="K841" s="656" t="s">
        <v>9774</v>
      </c>
      <c r="L841" s="656"/>
      <c r="M841" s="656" t="s">
        <v>16262</v>
      </c>
      <c r="N841" s="656"/>
      <c r="O841" s="656" t="s">
        <v>6387</v>
      </c>
      <c r="P841" s="5" t="s">
        <v>14544</v>
      </c>
      <c r="Q841" s="1447">
        <v>43126</v>
      </c>
      <c r="R841" s="656"/>
      <c r="S841" s="656" t="s">
        <v>655</v>
      </c>
      <c r="T841" s="656"/>
      <c r="U841" s="656" t="s">
        <v>655</v>
      </c>
      <c r="V841" s="656"/>
      <c r="W841" s="656" t="s">
        <v>13051</v>
      </c>
      <c r="X841" s="656" t="s">
        <v>498</v>
      </c>
      <c r="Y841" s="656" t="s">
        <v>14278</v>
      </c>
      <c r="Z841" s="656">
        <v>44305.522870370369</v>
      </c>
      <c r="AA841" s="656" t="s">
        <v>14335</v>
      </c>
      <c r="AB841" s="656"/>
    </row>
    <row r="842" spans="1:28">
      <c r="A842" s="656" t="s">
        <v>2449</v>
      </c>
      <c r="B842" s="656" t="s">
        <v>2450</v>
      </c>
      <c r="C842" s="656" t="s">
        <v>21</v>
      </c>
      <c r="D842" s="656" t="s">
        <v>9761</v>
      </c>
      <c r="E842" s="656" t="s">
        <v>14279</v>
      </c>
      <c r="F842" s="1447"/>
      <c r="G842" s="656" t="s">
        <v>9760</v>
      </c>
      <c r="H842" s="656" t="s">
        <v>1777</v>
      </c>
      <c r="I842" s="656" t="s">
        <v>14545</v>
      </c>
      <c r="J842" s="656" t="s">
        <v>9761</v>
      </c>
      <c r="K842" s="656" t="s">
        <v>9733</v>
      </c>
      <c r="L842" s="656"/>
      <c r="M842" s="656" t="s">
        <v>16351</v>
      </c>
      <c r="N842" s="656"/>
      <c r="O842" s="656" t="s">
        <v>6387</v>
      </c>
      <c r="P842" s="5"/>
      <c r="Q842" s="1447">
        <v>43034</v>
      </c>
      <c r="R842" s="656"/>
      <c r="S842" s="656" t="s">
        <v>655</v>
      </c>
      <c r="T842" s="656" t="s">
        <v>14277</v>
      </c>
      <c r="U842" s="656" t="s">
        <v>655</v>
      </c>
      <c r="V842" s="656"/>
      <c r="W842" s="656" t="s">
        <v>13051</v>
      </c>
      <c r="X842" s="656" t="s">
        <v>498</v>
      </c>
      <c r="Y842" s="656" t="s">
        <v>14278</v>
      </c>
      <c r="Z842" s="656">
        <v>44305.522847222222</v>
      </c>
      <c r="AA842" s="656" t="s">
        <v>14335</v>
      </c>
      <c r="AB842" s="656"/>
    </row>
    <row r="843" spans="1:28">
      <c r="A843" s="656" t="s">
        <v>2449</v>
      </c>
      <c r="B843" s="656" t="s">
        <v>2450</v>
      </c>
      <c r="C843" s="656" t="s">
        <v>21</v>
      </c>
      <c r="D843" s="656" t="s">
        <v>12255</v>
      </c>
      <c r="E843" s="656" t="s">
        <v>14384</v>
      </c>
      <c r="F843" s="1447">
        <v>43644</v>
      </c>
      <c r="G843" s="656" t="s">
        <v>12254</v>
      </c>
      <c r="H843" s="656" t="s">
        <v>1777</v>
      </c>
      <c r="I843" s="656" t="s">
        <v>14466</v>
      </c>
      <c r="J843" s="656" t="s">
        <v>12255</v>
      </c>
      <c r="K843" s="656" t="s">
        <v>9774</v>
      </c>
      <c r="L843" s="656"/>
      <c r="M843" s="656" t="s">
        <v>16351</v>
      </c>
      <c r="N843" s="656"/>
      <c r="O843" s="656" t="s">
        <v>6387</v>
      </c>
      <c r="P843" s="5" t="s">
        <v>14546</v>
      </c>
      <c r="Q843" s="1447">
        <v>43308</v>
      </c>
      <c r="R843" s="656"/>
      <c r="S843" s="656" t="s">
        <v>465</v>
      </c>
      <c r="T843" s="656"/>
      <c r="U843" s="656"/>
      <c r="V843" s="656"/>
      <c r="W843" s="656" t="s">
        <v>13051</v>
      </c>
      <c r="X843" s="656" t="s">
        <v>498</v>
      </c>
      <c r="Y843" s="656" t="s">
        <v>14278</v>
      </c>
      <c r="Z843" s="656">
        <v>44305.522847222222</v>
      </c>
      <c r="AA843" s="656" t="s">
        <v>14335</v>
      </c>
      <c r="AB843" s="656"/>
    </row>
    <row r="844" spans="1:28">
      <c r="A844" s="656" t="s">
        <v>2449</v>
      </c>
      <c r="B844" s="656" t="s">
        <v>2450</v>
      </c>
      <c r="C844" s="656" t="s">
        <v>20</v>
      </c>
      <c r="D844" s="656" t="s">
        <v>9762</v>
      </c>
      <c r="E844" s="656" t="s">
        <v>14279</v>
      </c>
      <c r="F844" s="1447"/>
      <c r="G844" s="656" t="s">
        <v>9760</v>
      </c>
      <c r="H844" s="656" t="s">
        <v>1777</v>
      </c>
      <c r="I844" s="656"/>
      <c r="J844" s="656"/>
      <c r="K844" s="656"/>
      <c r="L844" s="656" t="s">
        <v>9762</v>
      </c>
      <c r="M844" s="656" t="s">
        <v>16351</v>
      </c>
      <c r="N844" s="656"/>
      <c r="O844" s="656" t="s">
        <v>6387</v>
      </c>
      <c r="P844" s="5"/>
      <c r="Q844" s="1447"/>
      <c r="R844" s="656"/>
      <c r="S844" s="656" t="s">
        <v>655</v>
      </c>
      <c r="T844" s="656" t="s">
        <v>14277</v>
      </c>
      <c r="U844" s="656" t="s">
        <v>655</v>
      </c>
      <c r="V844" s="656"/>
      <c r="W844" s="656" t="s">
        <v>13051</v>
      </c>
      <c r="X844" s="656" t="s">
        <v>498</v>
      </c>
      <c r="Y844" s="656" t="s">
        <v>14278</v>
      </c>
      <c r="Z844" s="656">
        <v>44305.522858796299</v>
      </c>
      <c r="AA844" s="656" t="s">
        <v>14335</v>
      </c>
      <c r="AB844" s="656"/>
    </row>
    <row r="845" spans="1:28">
      <c r="A845" s="656" t="s">
        <v>2451</v>
      </c>
      <c r="B845" s="656" t="s">
        <v>2452</v>
      </c>
      <c r="C845" s="656" t="s">
        <v>21</v>
      </c>
      <c r="D845" s="656" t="s">
        <v>12063</v>
      </c>
      <c r="E845" s="656" t="s">
        <v>14275</v>
      </c>
      <c r="F845" s="1447">
        <v>43640</v>
      </c>
      <c r="G845" s="656" t="s">
        <v>12055</v>
      </c>
      <c r="H845" s="656" t="s">
        <v>1777</v>
      </c>
      <c r="I845" s="656" t="s">
        <v>14547</v>
      </c>
      <c r="J845" s="656" t="s">
        <v>12063</v>
      </c>
      <c r="K845" s="656" t="s">
        <v>9774</v>
      </c>
      <c r="L845" s="656"/>
      <c r="M845" s="656" t="s">
        <v>16196</v>
      </c>
      <c r="N845" s="656"/>
      <c r="O845" s="656" t="s">
        <v>6387</v>
      </c>
      <c r="P845" s="5"/>
      <c r="Q845" s="1447">
        <v>43279</v>
      </c>
      <c r="R845" s="656">
        <v>43490</v>
      </c>
      <c r="S845" s="656" t="s">
        <v>1300</v>
      </c>
      <c r="T845" s="656"/>
      <c r="U845" s="656"/>
      <c r="V845" s="656"/>
      <c r="W845" s="656" t="s">
        <v>13051</v>
      </c>
      <c r="X845" s="656" t="s">
        <v>498</v>
      </c>
      <c r="Y845" s="656" t="s">
        <v>14278</v>
      </c>
      <c r="Z845" s="656">
        <v>44305.522835648146</v>
      </c>
      <c r="AA845" s="656" t="s">
        <v>14335</v>
      </c>
      <c r="AB845" s="656"/>
    </row>
    <row r="846" spans="1:28">
      <c r="A846" s="656" t="s">
        <v>2451</v>
      </c>
      <c r="B846" s="656" t="s">
        <v>2452</v>
      </c>
      <c r="C846" s="656" t="s">
        <v>20</v>
      </c>
      <c r="D846" s="656" t="s">
        <v>12056</v>
      </c>
      <c r="E846" s="656" t="s">
        <v>14275</v>
      </c>
      <c r="F846" s="1447">
        <v>43640</v>
      </c>
      <c r="G846" s="656" t="s">
        <v>12055</v>
      </c>
      <c r="H846" s="656" t="s">
        <v>1777</v>
      </c>
      <c r="I846" s="656"/>
      <c r="J846" s="656"/>
      <c r="K846" s="656"/>
      <c r="L846" s="656" t="s">
        <v>12056</v>
      </c>
      <c r="M846" s="656" t="s">
        <v>16196</v>
      </c>
      <c r="N846" s="656"/>
      <c r="O846" s="656" t="s">
        <v>6387</v>
      </c>
      <c r="P846" s="5"/>
      <c r="Q846" s="1447">
        <v>43270</v>
      </c>
      <c r="R846" s="656"/>
      <c r="S846" s="656" t="s">
        <v>1300</v>
      </c>
      <c r="T846" s="656"/>
      <c r="U846" s="656" t="s">
        <v>1300</v>
      </c>
      <c r="V846" s="656"/>
      <c r="W846" s="656" t="s">
        <v>13051</v>
      </c>
      <c r="X846" s="656" t="s">
        <v>498</v>
      </c>
      <c r="Y846" s="656" t="s">
        <v>14278</v>
      </c>
      <c r="Z846" s="656">
        <v>44305.522835648146</v>
      </c>
      <c r="AA846" s="656" t="s">
        <v>14335</v>
      </c>
      <c r="AB846" s="656"/>
    </row>
    <row r="847" spans="1:28">
      <c r="A847" s="656" t="s">
        <v>2459</v>
      </c>
      <c r="B847" s="656" t="s">
        <v>2460</v>
      </c>
      <c r="C847" s="656" t="s">
        <v>20</v>
      </c>
      <c r="D847" s="656" t="s">
        <v>11769</v>
      </c>
      <c r="E847" s="656" t="s">
        <v>14275</v>
      </c>
      <c r="F847" s="1447">
        <v>43640</v>
      </c>
      <c r="G847" s="656" t="s">
        <v>11768</v>
      </c>
      <c r="H847" s="656" t="s">
        <v>1777</v>
      </c>
      <c r="I847" s="656"/>
      <c r="J847" s="656"/>
      <c r="K847" s="656"/>
      <c r="L847" s="656" t="s">
        <v>11769</v>
      </c>
      <c r="M847" s="656" t="s">
        <v>1564</v>
      </c>
      <c r="N847" s="656"/>
      <c r="O847" s="656" t="s">
        <v>6387</v>
      </c>
      <c r="P847" s="5"/>
      <c r="Q847" s="1447">
        <v>43041</v>
      </c>
      <c r="R847" s="656"/>
      <c r="S847" s="656" t="s">
        <v>1300</v>
      </c>
      <c r="T847" s="656" t="s">
        <v>1301</v>
      </c>
      <c r="U847" s="656" t="s">
        <v>1300</v>
      </c>
      <c r="V847" s="656"/>
      <c r="W847" s="656" t="s">
        <v>13051</v>
      </c>
      <c r="X847" s="656" t="s">
        <v>498</v>
      </c>
      <c r="Y847" s="656" t="s">
        <v>14278</v>
      </c>
      <c r="Z847" s="656">
        <v>44305.522824074076</v>
      </c>
      <c r="AA847" s="656" t="s">
        <v>14335</v>
      </c>
      <c r="AB847" s="656"/>
    </row>
    <row r="848" spans="1:28">
      <c r="A848" s="656" t="s">
        <v>2466</v>
      </c>
      <c r="B848" s="656" t="s">
        <v>2467</v>
      </c>
      <c r="C848" s="656" t="s">
        <v>21</v>
      </c>
      <c r="D848" s="656" t="s">
        <v>12284</v>
      </c>
      <c r="E848" s="656" t="s">
        <v>14275</v>
      </c>
      <c r="F848" s="1447">
        <v>44251</v>
      </c>
      <c r="G848" s="656" t="s">
        <v>11766</v>
      </c>
      <c r="H848" s="656" t="s">
        <v>1777</v>
      </c>
      <c r="I848" s="656" t="s">
        <v>14548</v>
      </c>
      <c r="J848" s="656" t="s">
        <v>12284</v>
      </c>
      <c r="K848" s="656" t="s">
        <v>9733</v>
      </c>
      <c r="L848" s="656"/>
      <c r="M848" s="656" t="s">
        <v>16196</v>
      </c>
      <c r="N848" s="656"/>
      <c r="O848" s="656" t="s">
        <v>6395</v>
      </c>
      <c r="P848" s="5"/>
      <c r="Q848" s="1447">
        <v>43035</v>
      </c>
      <c r="R848" s="656">
        <v>43688</v>
      </c>
      <c r="S848" s="656" t="s">
        <v>1394</v>
      </c>
      <c r="T848" s="656" t="s">
        <v>14280</v>
      </c>
      <c r="U848" s="656" t="s">
        <v>11626</v>
      </c>
      <c r="V848" s="656"/>
      <c r="W848" s="656" t="s">
        <v>13051</v>
      </c>
      <c r="X848" s="656" t="s">
        <v>498</v>
      </c>
      <c r="Y848" s="656" t="s">
        <v>14278</v>
      </c>
      <c r="Z848" s="656">
        <v>44305.522812499999</v>
      </c>
      <c r="AA848" s="656" t="s">
        <v>14335</v>
      </c>
      <c r="AB848" s="656"/>
    </row>
    <row r="849" spans="1:28">
      <c r="A849" s="656" t="s">
        <v>2466</v>
      </c>
      <c r="B849" s="656" t="s">
        <v>2467</v>
      </c>
      <c r="C849" s="656" t="s">
        <v>20</v>
      </c>
      <c r="D849" s="656" t="s">
        <v>11767</v>
      </c>
      <c r="E849" s="656" t="s">
        <v>14275</v>
      </c>
      <c r="F849" s="1447">
        <v>43542</v>
      </c>
      <c r="G849" s="656" t="s">
        <v>11766</v>
      </c>
      <c r="H849" s="656" t="s">
        <v>1777</v>
      </c>
      <c r="I849" s="656"/>
      <c r="J849" s="656"/>
      <c r="K849" s="656"/>
      <c r="L849" s="656" t="s">
        <v>11767</v>
      </c>
      <c r="M849" s="656" t="s">
        <v>1947</v>
      </c>
      <c r="N849" s="656"/>
      <c r="O849" s="656" t="s">
        <v>6395</v>
      </c>
      <c r="P849" s="5"/>
      <c r="Q849" s="1447">
        <v>42990</v>
      </c>
      <c r="R849" s="656"/>
      <c r="S849" s="656" t="s">
        <v>1394</v>
      </c>
      <c r="T849" s="656" t="s">
        <v>14280</v>
      </c>
      <c r="U849" s="656" t="s">
        <v>11626</v>
      </c>
      <c r="V849" s="656"/>
      <c r="W849" s="656" t="s">
        <v>13051</v>
      </c>
      <c r="X849" s="656" t="s">
        <v>498</v>
      </c>
      <c r="Y849" s="656" t="s">
        <v>14278</v>
      </c>
      <c r="Z849" s="656">
        <v>44305.522824074076</v>
      </c>
      <c r="AA849" s="656" t="s">
        <v>14335</v>
      </c>
      <c r="AB849" s="656"/>
    </row>
    <row r="850" spans="1:28">
      <c r="A850" s="656" t="s">
        <v>2466</v>
      </c>
      <c r="B850" s="656" t="s">
        <v>2467</v>
      </c>
      <c r="C850" s="656" t="s">
        <v>20</v>
      </c>
      <c r="D850" s="656" t="s">
        <v>9819</v>
      </c>
      <c r="E850" s="656" t="s">
        <v>14275</v>
      </c>
      <c r="F850" s="1447">
        <v>44263</v>
      </c>
      <c r="G850" s="656" t="s">
        <v>9818</v>
      </c>
      <c r="H850" s="656" t="s">
        <v>1777</v>
      </c>
      <c r="I850" s="656"/>
      <c r="J850" s="656"/>
      <c r="K850" s="656"/>
      <c r="L850" s="656" t="s">
        <v>9819</v>
      </c>
      <c r="M850" s="656" t="s">
        <v>16196</v>
      </c>
      <c r="N850" s="656"/>
      <c r="O850" s="656" t="s">
        <v>6395</v>
      </c>
      <c r="P850" s="5"/>
      <c r="Q850" s="1447">
        <v>43165</v>
      </c>
      <c r="R850" s="656"/>
      <c r="S850" s="656" t="s">
        <v>1394</v>
      </c>
      <c r="T850" s="656"/>
      <c r="U850" s="656" t="s">
        <v>1394</v>
      </c>
      <c r="V850" s="656"/>
      <c r="W850" s="656" t="s">
        <v>13051</v>
      </c>
      <c r="X850" s="656" t="s">
        <v>498</v>
      </c>
      <c r="Y850" s="656" t="s">
        <v>14278</v>
      </c>
      <c r="Z850" s="656">
        <v>44305.522824074076</v>
      </c>
      <c r="AA850" s="656" t="s">
        <v>14335</v>
      </c>
      <c r="AB850" s="656"/>
    </row>
    <row r="851" spans="1:28">
      <c r="A851" s="656" t="s">
        <v>2468</v>
      </c>
      <c r="B851" s="656" t="s">
        <v>2469</v>
      </c>
      <c r="C851" s="656" t="s">
        <v>21</v>
      </c>
      <c r="D851" s="656" t="s">
        <v>11764</v>
      </c>
      <c r="E851" s="656" t="s">
        <v>14275</v>
      </c>
      <c r="F851" s="1447">
        <v>43292</v>
      </c>
      <c r="G851" s="656" t="s">
        <v>11763</v>
      </c>
      <c r="H851" s="656" t="s">
        <v>1777</v>
      </c>
      <c r="I851" s="656" t="s">
        <v>14549</v>
      </c>
      <c r="J851" s="656" t="s">
        <v>11764</v>
      </c>
      <c r="K851" s="656" t="s">
        <v>9733</v>
      </c>
      <c r="L851" s="656"/>
      <c r="M851" s="656" t="s">
        <v>16196</v>
      </c>
      <c r="N851" s="656"/>
      <c r="O851" s="656" t="s">
        <v>6395</v>
      </c>
      <c r="P851" s="5"/>
      <c r="Q851" s="1447">
        <v>43017</v>
      </c>
      <c r="R851" s="656">
        <v>43131</v>
      </c>
      <c r="S851" s="656" t="s">
        <v>1394</v>
      </c>
      <c r="T851" s="656" t="s">
        <v>14280</v>
      </c>
      <c r="U851" s="656" t="s">
        <v>11626</v>
      </c>
      <c r="V851" s="656"/>
      <c r="W851" s="656" t="s">
        <v>13051</v>
      </c>
      <c r="X851" s="656" t="s">
        <v>498</v>
      </c>
      <c r="Y851" s="656" t="s">
        <v>14278</v>
      </c>
      <c r="Z851" s="656">
        <v>44305.522800925923</v>
      </c>
      <c r="AA851" s="656" t="s">
        <v>14335</v>
      </c>
      <c r="AB851" s="656"/>
    </row>
    <row r="852" spans="1:28">
      <c r="A852" s="656" t="s">
        <v>2468</v>
      </c>
      <c r="B852" s="656" t="s">
        <v>2469</v>
      </c>
      <c r="C852" s="656" t="s">
        <v>20</v>
      </c>
      <c r="D852" s="656" t="s">
        <v>11765</v>
      </c>
      <c r="E852" s="656" t="s">
        <v>14275</v>
      </c>
      <c r="F852" s="1447">
        <v>43273</v>
      </c>
      <c r="G852" s="656" t="s">
        <v>11763</v>
      </c>
      <c r="H852" s="656" t="s">
        <v>1777</v>
      </c>
      <c r="I852" s="656"/>
      <c r="J852" s="656"/>
      <c r="K852" s="656"/>
      <c r="L852" s="656" t="s">
        <v>11765</v>
      </c>
      <c r="M852" s="656" t="s">
        <v>1947</v>
      </c>
      <c r="N852" s="656"/>
      <c r="O852" s="656" t="s">
        <v>6395</v>
      </c>
      <c r="P852" s="5"/>
      <c r="Q852" s="1447"/>
      <c r="R852" s="656"/>
      <c r="S852" s="656" t="s">
        <v>1394</v>
      </c>
      <c r="T852" s="656" t="s">
        <v>14280</v>
      </c>
      <c r="U852" s="656" t="s">
        <v>11626</v>
      </c>
      <c r="V852" s="656"/>
      <c r="W852" s="656" t="s">
        <v>13051</v>
      </c>
      <c r="X852" s="656" t="s">
        <v>498</v>
      </c>
      <c r="Y852" s="656" t="s">
        <v>14278</v>
      </c>
      <c r="Z852" s="656">
        <v>44305.522800925923</v>
      </c>
      <c r="AA852" s="656" t="s">
        <v>14335</v>
      </c>
      <c r="AB852" s="656"/>
    </row>
    <row r="853" spans="1:28">
      <c r="A853" s="656" t="s">
        <v>2468</v>
      </c>
      <c r="B853" s="656" t="s">
        <v>2469</v>
      </c>
      <c r="C853" s="656" t="s">
        <v>20</v>
      </c>
      <c r="D853" s="656" t="s">
        <v>11976</v>
      </c>
      <c r="E853" s="656" t="s">
        <v>14275</v>
      </c>
      <c r="F853" s="1447">
        <v>43273</v>
      </c>
      <c r="G853" s="656" t="s">
        <v>11975</v>
      </c>
      <c r="H853" s="656" t="s">
        <v>1777</v>
      </c>
      <c r="I853" s="656"/>
      <c r="J853" s="656"/>
      <c r="K853" s="656"/>
      <c r="L853" s="656" t="s">
        <v>11976</v>
      </c>
      <c r="M853" s="656" t="s">
        <v>16196</v>
      </c>
      <c r="N853" s="656"/>
      <c r="O853" s="656" t="s">
        <v>6395</v>
      </c>
      <c r="P853" s="5"/>
      <c r="Q853" s="1447">
        <v>43165</v>
      </c>
      <c r="R853" s="656"/>
      <c r="S853" s="656" t="s">
        <v>1394</v>
      </c>
      <c r="T853" s="656"/>
      <c r="U853" s="656"/>
      <c r="V853" s="656"/>
      <c r="W853" s="656" t="s">
        <v>13051</v>
      </c>
      <c r="X853" s="656" t="s">
        <v>498</v>
      </c>
      <c r="Y853" s="656" t="s">
        <v>14278</v>
      </c>
      <c r="Z853" s="656">
        <v>44305.522812499999</v>
      </c>
      <c r="AA853" s="656" t="s">
        <v>14335</v>
      </c>
      <c r="AB853" s="656"/>
    </row>
    <row r="854" spans="1:28">
      <c r="A854" s="656" t="s">
        <v>2470</v>
      </c>
      <c r="B854" s="656" t="s">
        <v>2471</v>
      </c>
      <c r="C854" s="656" t="s">
        <v>21</v>
      </c>
      <c r="D854" s="656" t="s">
        <v>11761</v>
      </c>
      <c r="E854" s="656" t="s">
        <v>14275</v>
      </c>
      <c r="F854" s="1447">
        <v>43516</v>
      </c>
      <c r="G854" s="656" t="s">
        <v>11760</v>
      </c>
      <c r="H854" s="656" t="s">
        <v>1777</v>
      </c>
      <c r="I854" s="656" t="s">
        <v>14550</v>
      </c>
      <c r="J854" s="656" t="s">
        <v>11761</v>
      </c>
      <c r="K854" s="656" t="s">
        <v>9750</v>
      </c>
      <c r="L854" s="656"/>
      <c r="M854" s="656" t="s">
        <v>16196</v>
      </c>
      <c r="N854" s="656"/>
      <c r="O854" s="656" t="s">
        <v>6395</v>
      </c>
      <c r="P854" s="5"/>
      <c r="Q854" s="1447">
        <v>42963</v>
      </c>
      <c r="R854" s="656">
        <v>43221</v>
      </c>
      <c r="S854" s="656" t="s">
        <v>1394</v>
      </c>
      <c r="T854" s="656" t="s">
        <v>14280</v>
      </c>
      <c r="U854" s="656" t="s">
        <v>11626</v>
      </c>
      <c r="V854" s="656"/>
      <c r="W854" s="656" t="s">
        <v>13051</v>
      </c>
      <c r="X854" s="656" t="s">
        <v>498</v>
      </c>
      <c r="Y854" s="656" t="s">
        <v>14278</v>
      </c>
      <c r="Z854" s="656">
        <v>44305.522789351853</v>
      </c>
      <c r="AA854" s="656" t="s">
        <v>14335</v>
      </c>
      <c r="AB854" s="656"/>
    </row>
    <row r="855" spans="1:28">
      <c r="A855" s="656" t="s">
        <v>2470</v>
      </c>
      <c r="B855" s="656" t="s">
        <v>2471</v>
      </c>
      <c r="C855" s="656" t="s">
        <v>20</v>
      </c>
      <c r="D855" s="656" t="s">
        <v>11762</v>
      </c>
      <c r="E855" s="656" t="s">
        <v>14275</v>
      </c>
      <c r="F855" s="1447">
        <v>43487</v>
      </c>
      <c r="G855" s="656" t="s">
        <v>11760</v>
      </c>
      <c r="H855" s="656" t="s">
        <v>1777</v>
      </c>
      <c r="I855" s="656"/>
      <c r="J855" s="656"/>
      <c r="K855" s="656"/>
      <c r="L855" s="656" t="s">
        <v>11762</v>
      </c>
      <c r="M855" s="656" t="s">
        <v>1947</v>
      </c>
      <c r="N855" s="656"/>
      <c r="O855" s="656" t="s">
        <v>6395</v>
      </c>
      <c r="P855" s="5"/>
      <c r="Q855" s="1447"/>
      <c r="R855" s="656"/>
      <c r="S855" s="656" t="s">
        <v>1394</v>
      </c>
      <c r="T855" s="656" t="s">
        <v>14280</v>
      </c>
      <c r="U855" s="656" t="s">
        <v>11626</v>
      </c>
      <c r="V855" s="656"/>
      <c r="W855" s="656" t="s">
        <v>13051</v>
      </c>
      <c r="X855" s="656" t="s">
        <v>498</v>
      </c>
      <c r="Y855" s="656" t="s">
        <v>14278</v>
      </c>
      <c r="Z855" s="656">
        <v>44305.522789351853</v>
      </c>
      <c r="AA855" s="656" t="s">
        <v>14335</v>
      </c>
      <c r="AB855" s="656"/>
    </row>
    <row r="856" spans="1:28">
      <c r="A856" s="656" t="s">
        <v>2470</v>
      </c>
      <c r="B856" s="656" t="s">
        <v>2471</v>
      </c>
      <c r="C856" s="656" t="s">
        <v>20</v>
      </c>
      <c r="D856" s="656" t="s">
        <v>11974</v>
      </c>
      <c r="E856" s="656" t="s">
        <v>14275</v>
      </c>
      <c r="F856" s="1447">
        <v>43549</v>
      </c>
      <c r="G856" s="656" t="s">
        <v>11973</v>
      </c>
      <c r="H856" s="656" t="s">
        <v>1777</v>
      </c>
      <c r="I856" s="656"/>
      <c r="J856" s="656"/>
      <c r="K856" s="656"/>
      <c r="L856" s="656" t="s">
        <v>11974</v>
      </c>
      <c r="M856" s="656" t="s">
        <v>16196</v>
      </c>
      <c r="N856" s="656"/>
      <c r="O856" s="656" t="s">
        <v>6395</v>
      </c>
      <c r="P856" s="5"/>
      <c r="Q856" s="1447">
        <v>43165</v>
      </c>
      <c r="R856" s="656"/>
      <c r="S856" s="656" t="s">
        <v>1394</v>
      </c>
      <c r="T856" s="656"/>
      <c r="U856" s="656" t="s">
        <v>1394</v>
      </c>
      <c r="V856" s="656"/>
      <c r="W856" s="656" t="s">
        <v>13051</v>
      </c>
      <c r="X856" s="656" t="s">
        <v>498</v>
      </c>
      <c r="Y856" s="656" t="s">
        <v>14278</v>
      </c>
      <c r="Z856" s="656">
        <v>44305.522800925923</v>
      </c>
      <c r="AA856" s="656" t="s">
        <v>14335</v>
      </c>
      <c r="AB856" s="656"/>
    </row>
    <row r="857" spans="1:28">
      <c r="A857" s="656" t="s">
        <v>2472</v>
      </c>
      <c r="B857" s="656" t="s">
        <v>2473</v>
      </c>
      <c r="C857" s="656" t="s">
        <v>20</v>
      </c>
      <c r="D857" s="656" t="s">
        <v>11758</v>
      </c>
      <c r="E857" s="656" t="s">
        <v>14275</v>
      </c>
      <c r="F857" s="1447">
        <v>43327</v>
      </c>
      <c r="G857" s="656" t="s">
        <v>11757</v>
      </c>
      <c r="H857" s="656" t="s">
        <v>1777</v>
      </c>
      <c r="I857" s="656"/>
      <c r="J857" s="656"/>
      <c r="K857" s="656"/>
      <c r="L857" s="656" t="s">
        <v>11758</v>
      </c>
      <c r="M857" s="656" t="s">
        <v>1947</v>
      </c>
      <c r="N857" s="656"/>
      <c r="O857" s="656" t="s">
        <v>6395</v>
      </c>
      <c r="P857" s="5"/>
      <c r="Q857" s="1447"/>
      <c r="R857" s="656"/>
      <c r="S857" s="656" t="s">
        <v>1394</v>
      </c>
      <c r="T857" s="656" t="s">
        <v>14280</v>
      </c>
      <c r="U857" s="656" t="s">
        <v>11626</v>
      </c>
      <c r="V857" s="656"/>
      <c r="W857" s="656" t="s">
        <v>13051</v>
      </c>
      <c r="X857" s="656" t="s">
        <v>498</v>
      </c>
      <c r="Y857" s="656" t="s">
        <v>14278</v>
      </c>
      <c r="Z857" s="656">
        <v>44305.522766203707</v>
      </c>
      <c r="AA857" s="656" t="s">
        <v>14335</v>
      </c>
      <c r="AB857" s="656"/>
    </row>
    <row r="858" spans="1:28">
      <c r="A858" s="656" t="s">
        <v>2472</v>
      </c>
      <c r="B858" s="656" t="s">
        <v>2473</v>
      </c>
      <c r="C858" s="656" t="s">
        <v>20</v>
      </c>
      <c r="D858" s="656" t="s">
        <v>11759</v>
      </c>
      <c r="E858" s="656" t="s">
        <v>14275</v>
      </c>
      <c r="F858" s="1447">
        <v>43308</v>
      </c>
      <c r="G858" s="656" t="s">
        <v>11757</v>
      </c>
      <c r="H858" s="656" t="s">
        <v>1777</v>
      </c>
      <c r="I858" s="656"/>
      <c r="J858" s="656"/>
      <c r="K858" s="656"/>
      <c r="L858" s="656" t="s">
        <v>11759</v>
      </c>
      <c r="M858" s="656" t="s">
        <v>16196</v>
      </c>
      <c r="N858" s="656"/>
      <c r="O858" s="656" t="s">
        <v>6395</v>
      </c>
      <c r="P858" s="5"/>
      <c r="Q858" s="1447"/>
      <c r="R858" s="656"/>
      <c r="S858" s="656" t="s">
        <v>1394</v>
      </c>
      <c r="T858" s="656" t="s">
        <v>14280</v>
      </c>
      <c r="U858" s="656" t="s">
        <v>11626</v>
      </c>
      <c r="V858" s="656"/>
      <c r="W858" s="656" t="s">
        <v>13051</v>
      </c>
      <c r="X858" s="656" t="s">
        <v>498</v>
      </c>
      <c r="Y858" s="656" t="s">
        <v>14278</v>
      </c>
      <c r="Z858" s="656">
        <v>44305.522777777776</v>
      </c>
      <c r="AA858" s="656" t="s">
        <v>14335</v>
      </c>
      <c r="AB858" s="656"/>
    </row>
    <row r="859" spans="1:28">
      <c r="A859" s="656" t="s">
        <v>2474</v>
      </c>
      <c r="B859" s="656" t="s">
        <v>2289</v>
      </c>
      <c r="C859" s="656" t="s">
        <v>21</v>
      </c>
      <c r="D859" s="656" t="s">
        <v>11755</v>
      </c>
      <c r="E859" s="656" t="s">
        <v>14275</v>
      </c>
      <c r="F859" s="1447">
        <v>43308</v>
      </c>
      <c r="G859" s="656" t="s">
        <v>11754</v>
      </c>
      <c r="H859" s="656" t="s">
        <v>1777</v>
      </c>
      <c r="I859" s="656" t="s">
        <v>14551</v>
      </c>
      <c r="J859" s="656" t="s">
        <v>11755</v>
      </c>
      <c r="K859" s="656" t="s">
        <v>9733</v>
      </c>
      <c r="L859" s="656"/>
      <c r="M859" s="656" t="s">
        <v>16196</v>
      </c>
      <c r="N859" s="656"/>
      <c r="O859" s="656" t="s">
        <v>6395</v>
      </c>
      <c r="P859" s="5"/>
      <c r="Q859" s="1447">
        <v>43017</v>
      </c>
      <c r="R859" s="656">
        <v>43039</v>
      </c>
      <c r="S859" s="656" t="s">
        <v>1394</v>
      </c>
      <c r="T859" s="656" t="s">
        <v>14280</v>
      </c>
      <c r="U859" s="656" t="s">
        <v>11626</v>
      </c>
      <c r="V859" s="656"/>
      <c r="W859" s="656" t="s">
        <v>13051</v>
      </c>
      <c r="X859" s="656" t="s">
        <v>498</v>
      </c>
      <c r="Y859" s="656" t="s">
        <v>14278</v>
      </c>
      <c r="Z859" s="656">
        <v>44305.52275462963</v>
      </c>
      <c r="AA859" s="656" t="s">
        <v>14335</v>
      </c>
      <c r="AB859" s="656"/>
    </row>
    <row r="860" spans="1:28">
      <c r="A860" s="656" t="s">
        <v>2474</v>
      </c>
      <c r="B860" s="656" t="s">
        <v>2289</v>
      </c>
      <c r="C860" s="656" t="s">
        <v>20</v>
      </c>
      <c r="D860" s="656" t="s">
        <v>11756</v>
      </c>
      <c r="E860" s="656" t="s">
        <v>14275</v>
      </c>
      <c r="F860" s="1447">
        <v>43301</v>
      </c>
      <c r="G860" s="656" t="s">
        <v>11754</v>
      </c>
      <c r="H860" s="656" t="s">
        <v>1777</v>
      </c>
      <c r="I860" s="656"/>
      <c r="J860" s="656"/>
      <c r="K860" s="656"/>
      <c r="L860" s="656" t="s">
        <v>11756</v>
      </c>
      <c r="M860" s="656" t="s">
        <v>1947</v>
      </c>
      <c r="N860" s="656"/>
      <c r="O860" s="656" t="s">
        <v>6395</v>
      </c>
      <c r="P860" s="5"/>
      <c r="Q860" s="1447"/>
      <c r="R860" s="656"/>
      <c r="S860" s="656" t="s">
        <v>1394</v>
      </c>
      <c r="T860" s="656" t="s">
        <v>14280</v>
      </c>
      <c r="U860" s="656" t="s">
        <v>11626</v>
      </c>
      <c r="V860" s="656"/>
      <c r="W860" s="656" t="s">
        <v>13051</v>
      </c>
      <c r="X860" s="656" t="s">
        <v>498</v>
      </c>
      <c r="Y860" s="656" t="s">
        <v>14278</v>
      </c>
      <c r="Z860" s="656">
        <v>44305.52275462963</v>
      </c>
      <c r="AA860" s="656" t="s">
        <v>14335</v>
      </c>
      <c r="AB860" s="656"/>
    </row>
    <row r="861" spans="1:28">
      <c r="A861" s="656" t="s">
        <v>2474</v>
      </c>
      <c r="B861" s="656" t="s">
        <v>2289</v>
      </c>
      <c r="C861" s="656" t="s">
        <v>20</v>
      </c>
      <c r="D861" s="656" t="s">
        <v>11972</v>
      </c>
      <c r="E861" s="656" t="s">
        <v>14275</v>
      </c>
      <c r="F861" s="1447">
        <v>43287</v>
      </c>
      <c r="G861" s="656" t="s">
        <v>11971</v>
      </c>
      <c r="H861" s="656" t="s">
        <v>1777</v>
      </c>
      <c r="I861" s="656"/>
      <c r="J861" s="656"/>
      <c r="K861" s="656"/>
      <c r="L861" s="656" t="s">
        <v>11972</v>
      </c>
      <c r="M861" s="656" t="s">
        <v>16196</v>
      </c>
      <c r="N861" s="656"/>
      <c r="O861" s="656" t="s">
        <v>6395</v>
      </c>
      <c r="P861" s="5"/>
      <c r="Q861" s="1447">
        <v>43165</v>
      </c>
      <c r="R861" s="656"/>
      <c r="S861" s="656" t="s">
        <v>1394</v>
      </c>
      <c r="T861" s="656"/>
      <c r="U861" s="656" t="s">
        <v>1394</v>
      </c>
      <c r="V861" s="656"/>
      <c r="W861" s="656" t="s">
        <v>13051</v>
      </c>
      <c r="X861" s="656" t="s">
        <v>498</v>
      </c>
      <c r="Y861" s="656" t="s">
        <v>14278</v>
      </c>
      <c r="Z861" s="656">
        <v>44305.522766203707</v>
      </c>
      <c r="AA861" s="656" t="s">
        <v>14335</v>
      </c>
      <c r="AB861" s="656"/>
    </row>
    <row r="862" spans="1:28">
      <c r="A862" s="656" t="s">
        <v>2475</v>
      </c>
      <c r="B862" s="656" t="s">
        <v>2476</v>
      </c>
      <c r="C862" s="656" t="s">
        <v>20</v>
      </c>
      <c r="D862" s="656" t="s">
        <v>11753</v>
      </c>
      <c r="E862" s="656" t="s">
        <v>14275</v>
      </c>
      <c r="F862" s="1447">
        <v>43493</v>
      </c>
      <c r="G862" s="656" t="s">
        <v>11752</v>
      </c>
      <c r="H862" s="656" t="s">
        <v>1777</v>
      </c>
      <c r="I862" s="656"/>
      <c r="J862" s="656"/>
      <c r="K862" s="656"/>
      <c r="L862" s="656" t="s">
        <v>11753</v>
      </c>
      <c r="M862" s="656" t="s">
        <v>1947</v>
      </c>
      <c r="N862" s="656"/>
      <c r="O862" s="656" t="s">
        <v>6395</v>
      </c>
      <c r="P862" s="5"/>
      <c r="Q862" s="1447"/>
      <c r="R862" s="656"/>
      <c r="S862" s="656" t="s">
        <v>1394</v>
      </c>
      <c r="T862" s="656" t="s">
        <v>14280</v>
      </c>
      <c r="U862" s="656" t="s">
        <v>11626</v>
      </c>
      <c r="V862" s="656"/>
      <c r="W862" s="656" t="s">
        <v>13051</v>
      </c>
      <c r="X862" s="656" t="s">
        <v>498</v>
      </c>
      <c r="Y862" s="656" t="s">
        <v>14278</v>
      </c>
      <c r="Z862" s="656">
        <v>44305.522743055553</v>
      </c>
      <c r="AA862" s="656" t="s">
        <v>14335</v>
      </c>
      <c r="AB862" s="656"/>
    </row>
    <row r="863" spans="1:28">
      <c r="A863" s="656" t="s">
        <v>2475</v>
      </c>
      <c r="B863" s="656" t="s">
        <v>2476</v>
      </c>
      <c r="C863" s="656" t="s">
        <v>20</v>
      </c>
      <c r="D863" s="656" t="s">
        <v>11970</v>
      </c>
      <c r="E863" s="656" t="s">
        <v>14275</v>
      </c>
      <c r="F863" s="1447">
        <v>43888</v>
      </c>
      <c r="G863" s="656" t="s">
        <v>11969</v>
      </c>
      <c r="H863" s="656" t="s">
        <v>1777</v>
      </c>
      <c r="I863" s="656"/>
      <c r="J863" s="656"/>
      <c r="K863" s="656"/>
      <c r="L863" s="656" t="s">
        <v>11970</v>
      </c>
      <c r="M863" s="656" t="s">
        <v>16196</v>
      </c>
      <c r="N863" s="656"/>
      <c r="O863" s="656" t="s">
        <v>6395</v>
      </c>
      <c r="P863" s="5"/>
      <c r="Q863" s="1447">
        <v>43165</v>
      </c>
      <c r="R863" s="656"/>
      <c r="S863" s="656" t="s">
        <v>1394</v>
      </c>
      <c r="T863" s="656"/>
      <c r="U863" s="656"/>
      <c r="V863" s="656"/>
      <c r="W863" s="656" t="s">
        <v>13051</v>
      </c>
      <c r="X863" s="656" t="s">
        <v>498</v>
      </c>
      <c r="Y863" s="656" t="s">
        <v>14278</v>
      </c>
      <c r="Z863" s="656">
        <v>44305.522743055553</v>
      </c>
      <c r="AA863" s="656" t="s">
        <v>14335</v>
      </c>
      <c r="AB863" s="656"/>
    </row>
    <row r="864" spans="1:28">
      <c r="A864" s="656" t="s">
        <v>2482</v>
      </c>
      <c r="B864" s="656" t="s">
        <v>2483</v>
      </c>
      <c r="C864" s="656" t="s">
        <v>20</v>
      </c>
      <c r="D864" s="656" t="s">
        <v>12010</v>
      </c>
      <c r="E864" s="656" t="s">
        <v>14275</v>
      </c>
      <c r="F864" s="1447">
        <v>43606</v>
      </c>
      <c r="G864" s="656" t="s">
        <v>12009</v>
      </c>
      <c r="H864" s="656" t="s">
        <v>1777</v>
      </c>
      <c r="I864" s="656"/>
      <c r="J864" s="656"/>
      <c r="K864" s="656"/>
      <c r="L864" s="656" t="s">
        <v>12010</v>
      </c>
      <c r="M864" s="656" t="s">
        <v>16196</v>
      </c>
      <c r="N864" s="656"/>
      <c r="O864" s="656" t="s">
        <v>6387</v>
      </c>
      <c r="P864" s="5" t="s">
        <v>14552</v>
      </c>
      <c r="Q864" s="1447">
        <v>43207</v>
      </c>
      <c r="R864" s="656"/>
      <c r="S864" s="656" t="s">
        <v>1300</v>
      </c>
      <c r="T864" s="656"/>
      <c r="U864" s="656" t="s">
        <v>1300</v>
      </c>
      <c r="V864" s="656"/>
      <c r="W864" s="656" t="s">
        <v>13051</v>
      </c>
      <c r="X864" s="656" t="s">
        <v>498</v>
      </c>
      <c r="Y864" s="656" t="s">
        <v>14278</v>
      </c>
      <c r="Z864" s="656">
        <v>44305.522719907407</v>
      </c>
      <c r="AA864" s="656" t="s">
        <v>14335</v>
      </c>
      <c r="AB864" s="656"/>
    </row>
    <row r="865" spans="1:28">
      <c r="A865" s="656" t="s">
        <v>2485</v>
      </c>
      <c r="B865" s="656" t="s">
        <v>2486</v>
      </c>
      <c r="C865" s="656" t="s">
        <v>20</v>
      </c>
      <c r="D865" s="656" t="s">
        <v>12361</v>
      </c>
      <c r="E865" s="656" t="s">
        <v>14553</v>
      </c>
      <c r="F865" s="1447"/>
      <c r="G865" s="656" t="s">
        <v>12360</v>
      </c>
      <c r="H865" s="656" t="s">
        <v>1777</v>
      </c>
      <c r="I865" s="656"/>
      <c r="J865" s="656"/>
      <c r="K865" s="656"/>
      <c r="L865" s="656" t="s">
        <v>12361</v>
      </c>
      <c r="M865" s="656" t="s">
        <v>16199</v>
      </c>
      <c r="N865" s="656" t="s">
        <v>9991</v>
      </c>
      <c r="O865" s="656" t="s">
        <v>12362</v>
      </c>
      <c r="P865" s="5"/>
      <c r="Q865" s="1447"/>
      <c r="R865" s="656"/>
      <c r="S865" s="656" t="s">
        <v>655</v>
      </c>
      <c r="T865" s="656" t="s">
        <v>9991</v>
      </c>
      <c r="U865" s="656" t="s">
        <v>9991</v>
      </c>
      <c r="V865" s="656"/>
      <c r="W865" s="656" t="s">
        <v>13051</v>
      </c>
      <c r="X865" s="656" t="s">
        <v>498</v>
      </c>
      <c r="Y865" s="656" t="s">
        <v>14278</v>
      </c>
      <c r="Z865" s="656">
        <v>44305.52270833333</v>
      </c>
      <c r="AA865" s="656" t="s">
        <v>14335</v>
      </c>
      <c r="AB865" s="656"/>
    </row>
    <row r="866" spans="1:28">
      <c r="A866" s="656" t="s">
        <v>8622</v>
      </c>
      <c r="B866" s="656" t="s">
        <v>8621</v>
      </c>
      <c r="C866" s="656" t="s">
        <v>21</v>
      </c>
      <c r="D866" s="656" t="s">
        <v>15401</v>
      </c>
      <c r="E866" s="656" t="s">
        <v>14279</v>
      </c>
      <c r="F866" s="1447"/>
      <c r="G866" s="656" t="s">
        <v>10030</v>
      </c>
      <c r="H866" s="656" t="s">
        <v>1777</v>
      </c>
      <c r="I866" s="656" t="s">
        <v>14554</v>
      </c>
      <c r="J866" s="656" t="s">
        <v>15401</v>
      </c>
      <c r="K866" s="656" t="s">
        <v>9774</v>
      </c>
      <c r="L866" s="656"/>
      <c r="M866" s="656" t="s">
        <v>16200</v>
      </c>
      <c r="N866" s="656"/>
      <c r="O866" s="656" t="s">
        <v>6387</v>
      </c>
      <c r="P866" s="5"/>
      <c r="Q866" s="1447">
        <v>43700</v>
      </c>
      <c r="R866" s="656"/>
      <c r="S866" s="656" t="s">
        <v>450</v>
      </c>
      <c r="T866" s="656"/>
      <c r="U866" s="656"/>
      <c r="V866" s="656"/>
      <c r="W866" s="656" t="s">
        <v>13051</v>
      </c>
      <c r="X866" s="656" t="s">
        <v>498</v>
      </c>
      <c r="Y866" s="656" t="s">
        <v>14278</v>
      </c>
      <c r="Z866" s="656">
        <v>44305.522696759261</v>
      </c>
      <c r="AA866" s="656" t="s">
        <v>14335</v>
      </c>
      <c r="AB866" s="656"/>
    </row>
    <row r="867" spans="1:28">
      <c r="A867" s="656" t="s">
        <v>8622</v>
      </c>
      <c r="B867" s="656" t="s">
        <v>8621</v>
      </c>
      <c r="C867" s="656" t="s">
        <v>20</v>
      </c>
      <c r="D867" s="656" t="s">
        <v>10031</v>
      </c>
      <c r="E867" s="656" t="s">
        <v>14279</v>
      </c>
      <c r="F867" s="1447"/>
      <c r="G867" s="656" t="s">
        <v>10030</v>
      </c>
      <c r="H867" s="656" t="s">
        <v>1777</v>
      </c>
      <c r="I867" s="656"/>
      <c r="J867" s="656"/>
      <c r="K867" s="656"/>
      <c r="L867" s="656" t="s">
        <v>10031</v>
      </c>
      <c r="M867" s="656" t="s">
        <v>16200</v>
      </c>
      <c r="N867" s="656"/>
      <c r="O867" s="656" t="s">
        <v>6387</v>
      </c>
      <c r="P867" s="5"/>
      <c r="Q867" s="1447">
        <v>43676</v>
      </c>
      <c r="R867" s="656"/>
      <c r="S867" s="656" t="s">
        <v>450</v>
      </c>
      <c r="T867" s="656"/>
      <c r="U867" s="656"/>
      <c r="V867" s="656"/>
      <c r="W867" s="656" t="s">
        <v>13051</v>
      </c>
      <c r="X867" s="656" t="s">
        <v>498</v>
      </c>
      <c r="Y867" s="656" t="s">
        <v>14278</v>
      </c>
      <c r="Z867" s="656">
        <v>44305.522696759261</v>
      </c>
      <c r="AA867" s="656" t="s">
        <v>14335</v>
      </c>
      <c r="AB867" s="656"/>
    </row>
    <row r="868" spans="1:28">
      <c r="A868" s="656" t="s">
        <v>8624</v>
      </c>
      <c r="B868" s="656" t="s">
        <v>8623</v>
      </c>
      <c r="C868" s="656" t="s">
        <v>21</v>
      </c>
      <c r="D868" s="656" t="s">
        <v>10099</v>
      </c>
      <c r="E868" s="656" t="s">
        <v>14279</v>
      </c>
      <c r="F868" s="1447"/>
      <c r="G868" s="656" t="s">
        <v>10098</v>
      </c>
      <c r="H868" s="656" t="s">
        <v>1777</v>
      </c>
      <c r="I868" s="656" t="s">
        <v>14554</v>
      </c>
      <c r="J868" s="656" t="s">
        <v>10099</v>
      </c>
      <c r="K868" s="656" t="s">
        <v>9774</v>
      </c>
      <c r="L868" s="656"/>
      <c r="M868" s="656" t="s">
        <v>16324</v>
      </c>
      <c r="N868" s="656"/>
      <c r="O868" s="656" t="s">
        <v>6387</v>
      </c>
      <c r="P868" s="5"/>
      <c r="Q868" s="1447">
        <v>43760</v>
      </c>
      <c r="R868" s="656"/>
      <c r="S868" s="656" t="s">
        <v>450</v>
      </c>
      <c r="T868" s="656"/>
      <c r="U868" s="656"/>
      <c r="V868" s="656"/>
      <c r="W868" s="656" t="s">
        <v>13051</v>
      </c>
      <c r="X868" s="656" t="s">
        <v>498</v>
      </c>
      <c r="Y868" s="656" t="s">
        <v>14278</v>
      </c>
      <c r="Z868" s="656">
        <v>44305.522696759261</v>
      </c>
      <c r="AA868" s="656" t="s">
        <v>14335</v>
      </c>
      <c r="AB868" s="656"/>
    </row>
    <row r="869" spans="1:28">
      <c r="A869" s="656" t="s">
        <v>8624</v>
      </c>
      <c r="B869" s="656" t="s">
        <v>8623</v>
      </c>
      <c r="C869" s="656" t="s">
        <v>20</v>
      </c>
      <c r="D869" s="656" t="s">
        <v>10107</v>
      </c>
      <c r="E869" s="656" t="s">
        <v>14279</v>
      </c>
      <c r="F869" s="1447"/>
      <c r="G869" s="656" t="s">
        <v>10098</v>
      </c>
      <c r="H869" s="656" t="s">
        <v>1777</v>
      </c>
      <c r="I869" s="656"/>
      <c r="J869" s="656"/>
      <c r="K869" s="656"/>
      <c r="L869" s="656" t="s">
        <v>10107</v>
      </c>
      <c r="M869" s="656" t="s">
        <v>16324</v>
      </c>
      <c r="N869" s="656"/>
      <c r="O869" s="656" t="s">
        <v>6387</v>
      </c>
      <c r="P869" s="5"/>
      <c r="Q869" s="1447">
        <v>43763</v>
      </c>
      <c r="R869" s="656"/>
      <c r="S869" s="656" t="s">
        <v>450</v>
      </c>
      <c r="T869" s="656"/>
      <c r="U869" s="656"/>
      <c r="V869" s="656"/>
      <c r="W869" s="656" t="s">
        <v>13051</v>
      </c>
      <c r="X869" s="656" t="s">
        <v>498</v>
      </c>
      <c r="Y869" s="656" t="s">
        <v>14278</v>
      </c>
      <c r="Z869" s="656">
        <v>44305.522685185184</v>
      </c>
      <c r="AA869" s="656" t="s">
        <v>14335</v>
      </c>
      <c r="AB869" s="656"/>
    </row>
    <row r="870" spans="1:28">
      <c r="A870" s="656" t="s">
        <v>8626</v>
      </c>
      <c r="B870" s="656" t="s">
        <v>8625</v>
      </c>
      <c r="C870" s="656" t="s">
        <v>21</v>
      </c>
      <c r="D870" s="656" t="s">
        <v>10039</v>
      </c>
      <c r="E870" s="656" t="s">
        <v>14313</v>
      </c>
      <c r="F870" s="1447"/>
      <c r="G870" s="656" t="s">
        <v>10006</v>
      </c>
      <c r="H870" s="656" t="s">
        <v>1777</v>
      </c>
      <c r="I870" s="656" t="s">
        <v>14554</v>
      </c>
      <c r="J870" s="656" t="s">
        <v>10039</v>
      </c>
      <c r="K870" s="656" t="s">
        <v>9774</v>
      </c>
      <c r="L870" s="656"/>
      <c r="M870" s="656" t="s">
        <v>16200</v>
      </c>
      <c r="N870" s="656"/>
      <c r="O870" s="656" t="s">
        <v>6387</v>
      </c>
      <c r="P870" s="5"/>
      <c r="Q870" s="1447">
        <v>43697</v>
      </c>
      <c r="R870" s="656">
        <v>44135</v>
      </c>
      <c r="S870" s="656" t="s">
        <v>450</v>
      </c>
      <c r="T870" s="656"/>
      <c r="U870" s="656"/>
      <c r="V870" s="656"/>
      <c r="W870" s="656" t="s">
        <v>13051</v>
      </c>
      <c r="X870" s="656" t="s">
        <v>498</v>
      </c>
      <c r="Y870" s="656" t="s">
        <v>14278</v>
      </c>
      <c r="Z870" s="656">
        <v>44305.522673611114</v>
      </c>
      <c r="AA870" s="656" t="s">
        <v>14335</v>
      </c>
      <c r="AB870" s="656"/>
    </row>
    <row r="871" spans="1:28">
      <c r="A871" s="656" t="s">
        <v>8626</v>
      </c>
      <c r="B871" s="656" t="s">
        <v>8625</v>
      </c>
      <c r="C871" s="656" t="s">
        <v>20</v>
      </c>
      <c r="D871" s="656" t="s">
        <v>10007</v>
      </c>
      <c r="E871" s="656" t="s">
        <v>14279</v>
      </c>
      <c r="F871" s="1447"/>
      <c r="G871" s="656" t="s">
        <v>10006</v>
      </c>
      <c r="H871" s="656" t="s">
        <v>1777</v>
      </c>
      <c r="I871" s="656"/>
      <c r="J871" s="656"/>
      <c r="K871" s="656"/>
      <c r="L871" s="656" t="s">
        <v>10007</v>
      </c>
      <c r="M871" s="656" t="s">
        <v>16200</v>
      </c>
      <c r="N871" s="656"/>
      <c r="O871" s="656" t="s">
        <v>6387</v>
      </c>
      <c r="P871" s="5"/>
      <c r="Q871" s="1447">
        <v>43654</v>
      </c>
      <c r="R871" s="656"/>
      <c r="S871" s="656" t="s">
        <v>450</v>
      </c>
      <c r="T871" s="656"/>
      <c r="U871" s="656"/>
      <c r="V871" s="656"/>
      <c r="W871" s="656" t="s">
        <v>13051</v>
      </c>
      <c r="X871" s="656" t="s">
        <v>498</v>
      </c>
      <c r="Y871" s="656" t="s">
        <v>14278</v>
      </c>
      <c r="Z871" s="656">
        <v>44305.522685185184</v>
      </c>
      <c r="AA871" s="656" t="s">
        <v>14335</v>
      </c>
      <c r="AB871" s="656"/>
    </row>
    <row r="872" spans="1:28">
      <c r="A872" s="656" t="s">
        <v>8628</v>
      </c>
      <c r="B872" s="656" t="s">
        <v>8627</v>
      </c>
      <c r="C872" s="656" t="s">
        <v>21</v>
      </c>
      <c r="D872" s="656" t="s">
        <v>10097</v>
      </c>
      <c r="E872" s="656" t="s">
        <v>14279</v>
      </c>
      <c r="F872" s="1447"/>
      <c r="G872" s="656" t="s">
        <v>10046</v>
      </c>
      <c r="H872" s="656" t="s">
        <v>1777</v>
      </c>
      <c r="I872" s="656" t="s">
        <v>14555</v>
      </c>
      <c r="J872" s="656" t="s">
        <v>10097</v>
      </c>
      <c r="K872" s="656" t="s">
        <v>9774</v>
      </c>
      <c r="L872" s="656"/>
      <c r="M872" s="656" t="s">
        <v>16200</v>
      </c>
      <c r="N872" s="656"/>
      <c r="O872" s="656" t="s">
        <v>6387</v>
      </c>
      <c r="P872" s="5"/>
      <c r="Q872" s="1447">
        <v>43760</v>
      </c>
      <c r="R872" s="656"/>
      <c r="S872" s="656" t="s">
        <v>450</v>
      </c>
      <c r="T872" s="656"/>
      <c r="U872" s="656"/>
      <c r="V872" s="656"/>
      <c r="W872" s="656" t="s">
        <v>13051</v>
      </c>
      <c r="X872" s="656" t="s">
        <v>498</v>
      </c>
      <c r="Y872" s="656" t="s">
        <v>14278</v>
      </c>
      <c r="Z872" s="656">
        <v>44305.522662037038</v>
      </c>
      <c r="AA872" s="656" t="s">
        <v>14335</v>
      </c>
      <c r="AB872" s="656"/>
    </row>
    <row r="873" spans="1:28">
      <c r="A873" s="656" t="s">
        <v>8628</v>
      </c>
      <c r="B873" s="656" t="s">
        <v>8627</v>
      </c>
      <c r="C873" s="656" t="s">
        <v>20</v>
      </c>
      <c r="D873" s="656" t="s">
        <v>10047</v>
      </c>
      <c r="E873" s="656" t="s">
        <v>14279</v>
      </c>
      <c r="F873" s="1447"/>
      <c r="G873" s="656" t="s">
        <v>10046</v>
      </c>
      <c r="H873" s="656" t="s">
        <v>1777</v>
      </c>
      <c r="I873" s="656"/>
      <c r="J873" s="656"/>
      <c r="K873" s="656"/>
      <c r="L873" s="656" t="s">
        <v>10047</v>
      </c>
      <c r="M873" s="656" t="s">
        <v>16200</v>
      </c>
      <c r="N873" s="656"/>
      <c r="O873" s="656" t="s">
        <v>6387</v>
      </c>
      <c r="P873" s="5"/>
      <c r="Q873" s="1447">
        <v>43705</v>
      </c>
      <c r="R873" s="656"/>
      <c r="S873" s="656" t="s">
        <v>450</v>
      </c>
      <c r="T873" s="656"/>
      <c r="U873" s="656"/>
      <c r="V873" s="656"/>
      <c r="W873" s="656" t="s">
        <v>13051</v>
      </c>
      <c r="X873" s="656" t="s">
        <v>498</v>
      </c>
      <c r="Y873" s="656" t="s">
        <v>14278</v>
      </c>
      <c r="Z873" s="656">
        <v>44305.522673611114</v>
      </c>
      <c r="AA873" s="656" t="s">
        <v>14335</v>
      </c>
      <c r="AB873" s="656"/>
    </row>
    <row r="874" spans="1:28" ht="58">
      <c r="A874" s="656" t="s">
        <v>8628</v>
      </c>
      <c r="B874" s="656" t="s">
        <v>8627</v>
      </c>
      <c r="C874" s="656" t="s">
        <v>21</v>
      </c>
      <c r="D874" s="656" t="s">
        <v>16033</v>
      </c>
      <c r="E874" s="656" t="s">
        <v>14275</v>
      </c>
      <c r="F874" s="1447">
        <v>44301</v>
      </c>
      <c r="G874" s="656" t="s">
        <v>16034</v>
      </c>
      <c r="H874" s="656" t="s">
        <v>1777</v>
      </c>
      <c r="I874" s="656" t="s">
        <v>14554</v>
      </c>
      <c r="J874" s="656" t="s">
        <v>16033</v>
      </c>
      <c r="K874" s="656" t="s">
        <v>9774</v>
      </c>
      <c r="L874" s="656"/>
      <c r="M874" s="656" t="s">
        <v>16200</v>
      </c>
      <c r="N874" s="656"/>
      <c r="O874" s="656" t="s">
        <v>6387</v>
      </c>
      <c r="P874" s="5" t="s">
        <v>16053</v>
      </c>
      <c r="Q874" s="1447">
        <v>44274</v>
      </c>
      <c r="R874" s="656">
        <v>44012</v>
      </c>
      <c r="S874" s="656" t="s">
        <v>537</v>
      </c>
      <c r="T874" s="656"/>
      <c r="U874" s="656"/>
      <c r="V874" s="656"/>
      <c r="W874" s="656" t="s">
        <v>13051</v>
      </c>
      <c r="X874" s="656" t="s">
        <v>498</v>
      </c>
      <c r="Y874" s="656" t="s">
        <v>14278</v>
      </c>
      <c r="Z874" s="656">
        <v>44314.71297453704</v>
      </c>
      <c r="AA874" s="656" t="s">
        <v>14276</v>
      </c>
      <c r="AB874" s="656"/>
    </row>
    <row r="875" spans="1:28">
      <c r="A875" s="656" t="s">
        <v>2491</v>
      </c>
      <c r="B875" s="656" t="s">
        <v>2492</v>
      </c>
      <c r="C875" s="656" t="s">
        <v>21</v>
      </c>
      <c r="D875" s="656" t="s">
        <v>12208</v>
      </c>
      <c r="E875" s="656" t="s">
        <v>14275</v>
      </c>
      <c r="F875" s="1447">
        <v>43991</v>
      </c>
      <c r="G875" s="656" t="s">
        <v>12205</v>
      </c>
      <c r="H875" s="656" t="s">
        <v>1777</v>
      </c>
      <c r="I875" s="656" t="s">
        <v>14556</v>
      </c>
      <c r="J875" s="656" t="s">
        <v>12208</v>
      </c>
      <c r="K875" s="656" t="s">
        <v>9774</v>
      </c>
      <c r="L875" s="656"/>
      <c r="M875" s="656" t="s">
        <v>16319</v>
      </c>
      <c r="N875" s="656"/>
      <c r="O875" s="656" t="s">
        <v>6387</v>
      </c>
      <c r="P875" s="5"/>
      <c r="Q875" s="1447">
        <v>43433</v>
      </c>
      <c r="R875" s="656">
        <v>43657</v>
      </c>
      <c r="S875" s="656" t="s">
        <v>500</v>
      </c>
      <c r="T875" s="656"/>
      <c r="U875" s="656"/>
      <c r="V875" s="656"/>
      <c r="W875" s="656" t="s">
        <v>13051</v>
      </c>
      <c r="X875" s="656" t="s">
        <v>498</v>
      </c>
      <c r="Y875" s="656" t="s">
        <v>14278</v>
      </c>
      <c r="Z875" s="656">
        <v>44305.522650462961</v>
      </c>
      <c r="AA875" s="656" t="s">
        <v>14335</v>
      </c>
      <c r="AB875" s="656"/>
    </row>
    <row r="876" spans="1:28">
      <c r="A876" s="656" t="s">
        <v>2491</v>
      </c>
      <c r="B876" s="656" t="s">
        <v>2492</v>
      </c>
      <c r="C876" s="656" t="s">
        <v>20</v>
      </c>
      <c r="D876" s="656" t="s">
        <v>12206</v>
      </c>
      <c r="E876" s="656" t="s">
        <v>14275</v>
      </c>
      <c r="F876" s="1447">
        <v>43997</v>
      </c>
      <c r="G876" s="656" t="s">
        <v>12205</v>
      </c>
      <c r="H876" s="656" t="s">
        <v>1777</v>
      </c>
      <c r="I876" s="656"/>
      <c r="J876" s="656"/>
      <c r="K876" s="656"/>
      <c r="L876" s="656" t="s">
        <v>12206</v>
      </c>
      <c r="M876" s="656" t="s">
        <v>16319</v>
      </c>
      <c r="N876" s="656"/>
      <c r="O876" s="656" t="s">
        <v>6387</v>
      </c>
      <c r="P876" s="5"/>
      <c r="Q876" s="1447">
        <v>43423</v>
      </c>
      <c r="R876" s="656"/>
      <c r="S876" s="656" t="s">
        <v>500</v>
      </c>
      <c r="T876" s="656"/>
      <c r="U876" s="656"/>
      <c r="V876" s="656"/>
      <c r="W876" s="656" t="s">
        <v>13051</v>
      </c>
      <c r="X876" s="656" t="s">
        <v>498</v>
      </c>
      <c r="Y876" s="656" t="s">
        <v>14278</v>
      </c>
      <c r="Z876" s="656">
        <v>44305.522650462961</v>
      </c>
      <c r="AA876" s="656" t="s">
        <v>14335</v>
      </c>
      <c r="AB876" s="656"/>
    </row>
    <row r="877" spans="1:28">
      <c r="A877" s="656" t="s">
        <v>2495</v>
      </c>
      <c r="B877" s="656" t="s">
        <v>2496</v>
      </c>
      <c r="C877" s="656" t="s">
        <v>20</v>
      </c>
      <c r="D877" s="656" t="s">
        <v>12364</v>
      </c>
      <c r="E877" s="656" t="s">
        <v>14553</v>
      </c>
      <c r="F877" s="1447"/>
      <c r="G877" s="656" t="s">
        <v>12363</v>
      </c>
      <c r="H877" s="656" t="s">
        <v>1777</v>
      </c>
      <c r="I877" s="656"/>
      <c r="J877" s="656"/>
      <c r="K877" s="656"/>
      <c r="L877" s="656" t="s">
        <v>12364</v>
      </c>
      <c r="M877" s="656" t="s">
        <v>16200</v>
      </c>
      <c r="N877" s="656" t="s">
        <v>9991</v>
      </c>
      <c r="O877" s="656"/>
      <c r="P877" s="5" t="s">
        <v>14557</v>
      </c>
      <c r="Q877" s="1447">
        <v>43348</v>
      </c>
      <c r="R877" s="656"/>
      <c r="S877" s="656" t="s">
        <v>450</v>
      </c>
      <c r="T877" s="656"/>
      <c r="U877" s="656"/>
      <c r="V877" s="656"/>
      <c r="W877" s="656" t="s">
        <v>13051</v>
      </c>
      <c r="X877" s="656" t="s">
        <v>498</v>
      </c>
      <c r="Y877" s="656" t="s">
        <v>14278</v>
      </c>
      <c r="Z877" s="656">
        <v>44305.522638888891</v>
      </c>
      <c r="AA877" s="656" t="s">
        <v>14335</v>
      </c>
      <c r="AB877" s="656"/>
    </row>
    <row r="878" spans="1:28">
      <c r="A878" s="656" t="s">
        <v>2497</v>
      </c>
      <c r="B878" s="656" t="s">
        <v>2498</v>
      </c>
      <c r="C878" s="656" t="s">
        <v>21</v>
      </c>
      <c r="D878" s="656" t="s">
        <v>12135</v>
      </c>
      <c r="E878" s="656" t="s">
        <v>14275</v>
      </c>
      <c r="F878" s="1447">
        <v>43991</v>
      </c>
      <c r="G878" s="656" t="s">
        <v>12059</v>
      </c>
      <c r="H878" s="656" t="s">
        <v>1777</v>
      </c>
      <c r="I878" s="656" t="s">
        <v>14554</v>
      </c>
      <c r="J878" s="656" t="s">
        <v>12135</v>
      </c>
      <c r="K878" s="656" t="s">
        <v>9774</v>
      </c>
      <c r="L878" s="656"/>
      <c r="M878" s="656" t="s">
        <v>16200</v>
      </c>
      <c r="N878" s="656"/>
      <c r="O878" s="656" t="s">
        <v>6387</v>
      </c>
      <c r="P878" s="5" t="s">
        <v>14558</v>
      </c>
      <c r="Q878" s="1447">
        <v>43320</v>
      </c>
      <c r="R878" s="656">
        <v>43646</v>
      </c>
      <c r="S878" s="656" t="s">
        <v>500</v>
      </c>
      <c r="T878" s="656"/>
      <c r="U878" s="656"/>
      <c r="V878" s="656"/>
      <c r="W878" s="656" t="s">
        <v>13051</v>
      </c>
      <c r="X878" s="656" t="s">
        <v>498</v>
      </c>
      <c r="Y878" s="656" t="s">
        <v>14278</v>
      </c>
      <c r="Z878" s="656">
        <v>44305.522627314815</v>
      </c>
      <c r="AA878" s="656" t="s">
        <v>14335</v>
      </c>
      <c r="AB878" s="656"/>
    </row>
    <row r="879" spans="1:28">
      <c r="A879" s="656" t="s">
        <v>2497</v>
      </c>
      <c r="B879" s="656" t="s">
        <v>2498</v>
      </c>
      <c r="C879" s="656" t="s">
        <v>20</v>
      </c>
      <c r="D879" s="656" t="s">
        <v>12060</v>
      </c>
      <c r="E879" s="656" t="s">
        <v>14275</v>
      </c>
      <c r="F879" s="1447">
        <v>43997</v>
      </c>
      <c r="G879" s="656" t="s">
        <v>12059</v>
      </c>
      <c r="H879" s="656" t="s">
        <v>1777</v>
      </c>
      <c r="I879" s="656"/>
      <c r="J879" s="656"/>
      <c r="K879" s="656"/>
      <c r="L879" s="656" t="s">
        <v>12060</v>
      </c>
      <c r="M879" s="656" t="s">
        <v>16200</v>
      </c>
      <c r="N879" s="656"/>
      <c r="O879" s="656" t="s">
        <v>6387</v>
      </c>
      <c r="P879" s="5"/>
      <c r="Q879" s="1447">
        <v>43276</v>
      </c>
      <c r="R879" s="656"/>
      <c r="S879" s="656" t="s">
        <v>500</v>
      </c>
      <c r="T879" s="656"/>
      <c r="U879" s="656"/>
      <c r="V879" s="656"/>
      <c r="W879" s="656" t="s">
        <v>13051</v>
      </c>
      <c r="X879" s="656" t="s">
        <v>498</v>
      </c>
      <c r="Y879" s="656" t="s">
        <v>14278</v>
      </c>
      <c r="Z879" s="656">
        <v>44305.522638888891</v>
      </c>
      <c r="AA879" s="656" t="s">
        <v>14335</v>
      </c>
      <c r="AB879" s="656"/>
    </row>
    <row r="880" spans="1:28">
      <c r="A880" s="656" t="s">
        <v>2499</v>
      </c>
      <c r="B880" s="656" t="s">
        <v>11937</v>
      </c>
      <c r="C880" s="656" t="s">
        <v>20</v>
      </c>
      <c r="D880" s="656" t="s">
        <v>11939</v>
      </c>
      <c r="E880" s="656" t="s">
        <v>14275</v>
      </c>
      <c r="F880" s="1447">
        <v>43501</v>
      </c>
      <c r="G880" s="656" t="s">
        <v>11938</v>
      </c>
      <c r="H880" s="656" t="s">
        <v>1777</v>
      </c>
      <c r="I880" s="656"/>
      <c r="J880" s="656"/>
      <c r="K880" s="656"/>
      <c r="L880" s="656" t="s">
        <v>11939</v>
      </c>
      <c r="M880" s="656" t="s">
        <v>16200</v>
      </c>
      <c r="N880" s="656"/>
      <c r="O880" s="656" t="s">
        <v>6387</v>
      </c>
      <c r="P880" s="5"/>
      <c r="Q880" s="1447">
        <v>43168</v>
      </c>
      <c r="R880" s="656"/>
      <c r="S880" s="656" t="s">
        <v>500</v>
      </c>
      <c r="T880" s="656"/>
      <c r="U880" s="656" t="s">
        <v>500</v>
      </c>
      <c r="V880" s="656"/>
      <c r="W880" s="656" t="s">
        <v>13051</v>
      </c>
      <c r="X880" s="656" t="s">
        <v>498</v>
      </c>
      <c r="Y880" s="656" t="s">
        <v>14278</v>
      </c>
      <c r="Z880" s="656">
        <v>44305.522615740738</v>
      </c>
      <c r="AA880" s="656" t="s">
        <v>14335</v>
      </c>
      <c r="AB880" s="656"/>
    </row>
    <row r="881" spans="1:28">
      <c r="A881" s="656" t="s">
        <v>2501</v>
      </c>
      <c r="B881" s="656" t="s">
        <v>2502</v>
      </c>
      <c r="C881" s="656" t="s">
        <v>21</v>
      </c>
      <c r="D881" s="656" t="s">
        <v>11842</v>
      </c>
      <c r="E881" s="656" t="s">
        <v>14275</v>
      </c>
      <c r="F881" s="1447">
        <v>43581</v>
      </c>
      <c r="G881" s="656" t="s">
        <v>11841</v>
      </c>
      <c r="H881" s="656" t="s">
        <v>1777</v>
      </c>
      <c r="I881" s="656" t="s">
        <v>14554</v>
      </c>
      <c r="J881" s="656" t="s">
        <v>11842</v>
      </c>
      <c r="K881" s="656" t="s">
        <v>9774</v>
      </c>
      <c r="L881" s="656"/>
      <c r="M881" s="656" t="s">
        <v>16200</v>
      </c>
      <c r="N881" s="656"/>
      <c r="O881" s="656" t="s">
        <v>6387</v>
      </c>
      <c r="P881" s="5"/>
      <c r="Q881" s="1447">
        <v>43074</v>
      </c>
      <c r="R881" s="656">
        <v>43385</v>
      </c>
      <c r="S881" s="656" t="s">
        <v>500</v>
      </c>
      <c r="T881" s="656" t="s">
        <v>14559</v>
      </c>
      <c r="U881" s="656" t="s">
        <v>500</v>
      </c>
      <c r="V881" s="656"/>
      <c r="W881" s="656" t="s">
        <v>13051</v>
      </c>
      <c r="X881" s="656" t="s">
        <v>498</v>
      </c>
      <c r="Y881" s="656" t="s">
        <v>14278</v>
      </c>
      <c r="Z881" s="656">
        <v>44305.522604166668</v>
      </c>
      <c r="AA881" s="656" t="s">
        <v>14335</v>
      </c>
      <c r="AB881" s="656"/>
    </row>
    <row r="882" spans="1:28">
      <c r="A882" s="656" t="s">
        <v>2501</v>
      </c>
      <c r="B882" s="656" t="s">
        <v>2502</v>
      </c>
      <c r="C882" s="656" t="s">
        <v>20</v>
      </c>
      <c r="D882" s="656" t="s">
        <v>11751</v>
      </c>
      <c r="E882" s="656" t="s">
        <v>14275</v>
      </c>
      <c r="F882" s="1447">
        <v>43383</v>
      </c>
      <c r="G882" s="656" t="s">
        <v>11750</v>
      </c>
      <c r="H882" s="656" t="s">
        <v>1777</v>
      </c>
      <c r="I882" s="656"/>
      <c r="J882" s="656"/>
      <c r="K882" s="656"/>
      <c r="L882" s="656" t="s">
        <v>11751</v>
      </c>
      <c r="M882" s="656" t="s">
        <v>1947</v>
      </c>
      <c r="N882" s="656"/>
      <c r="O882" s="656" t="s">
        <v>6387</v>
      </c>
      <c r="P882" s="5"/>
      <c r="Q882" s="1447">
        <v>42990</v>
      </c>
      <c r="R882" s="656"/>
      <c r="S882" s="656" t="s">
        <v>500</v>
      </c>
      <c r="T882" s="656" t="s">
        <v>14559</v>
      </c>
      <c r="U882" s="656" t="s">
        <v>500</v>
      </c>
      <c r="V882" s="656"/>
      <c r="W882" s="656" t="s">
        <v>13051</v>
      </c>
      <c r="X882" s="656" t="s">
        <v>498</v>
      </c>
      <c r="Y882" s="656" t="s">
        <v>14278</v>
      </c>
      <c r="Z882" s="656">
        <v>44305.522604166668</v>
      </c>
      <c r="AA882" s="656" t="s">
        <v>14335</v>
      </c>
      <c r="AB882" s="656"/>
    </row>
    <row r="883" spans="1:28">
      <c r="A883" s="656" t="s">
        <v>2501</v>
      </c>
      <c r="B883" s="656" t="s">
        <v>2502</v>
      </c>
      <c r="C883" s="656" t="s">
        <v>20</v>
      </c>
      <c r="D883" s="656" t="s">
        <v>11989</v>
      </c>
      <c r="E883" s="656" t="s">
        <v>14275</v>
      </c>
      <c r="F883" s="1447">
        <v>43578</v>
      </c>
      <c r="G883" s="656" t="s">
        <v>11841</v>
      </c>
      <c r="H883" s="656" t="s">
        <v>1777</v>
      </c>
      <c r="I883" s="656"/>
      <c r="J883" s="656"/>
      <c r="K883" s="656"/>
      <c r="L883" s="656" t="s">
        <v>11989</v>
      </c>
      <c r="M883" s="656" t="s">
        <v>16200</v>
      </c>
      <c r="N883" s="656"/>
      <c r="O883" s="656" t="s">
        <v>6387</v>
      </c>
      <c r="P883" s="5"/>
      <c r="Q883" s="1447">
        <v>43165</v>
      </c>
      <c r="R883" s="656"/>
      <c r="S883" s="656" t="s">
        <v>500</v>
      </c>
      <c r="T883" s="656"/>
      <c r="U883" s="656" t="s">
        <v>500</v>
      </c>
      <c r="V883" s="656"/>
      <c r="W883" s="656" t="s">
        <v>13051</v>
      </c>
      <c r="X883" s="656" t="s">
        <v>498</v>
      </c>
      <c r="Y883" s="656" t="s">
        <v>14278</v>
      </c>
      <c r="Z883" s="656">
        <v>44305.522615740738</v>
      </c>
      <c r="AA883" s="656" t="s">
        <v>14335</v>
      </c>
      <c r="AB883" s="656"/>
    </row>
    <row r="884" spans="1:28">
      <c r="A884" s="656" t="s">
        <v>2503</v>
      </c>
      <c r="B884" s="656" t="s">
        <v>2504</v>
      </c>
      <c r="C884" s="656" t="s">
        <v>20</v>
      </c>
      <c r="D884" s="656" t="s">
        <v>11749</v>
      </c>
      <c r="E884" s="656" t="s">
        <v>14275</v>
      </c>
      <c r="F884" s="1447">
        <v>43396</v>
      </c>
      <c r="G884" s="656" t="s">
        <v>11748</v>
      </c>
      <c r="H884" s="656" t="s">
        <v>1777</v>
      </c>
      <c r="I884" s="656"/>
      <c r="J884" s="656"/>
      <c r="K884" s="656"/>
      <c r="L884" s="656" t="s">
        <v>11749</v>
      </c>
      <c r="M884" s="656" t="s">
        <v>1947</v>
      </c>
      <c r="N884" s="656"/>
      <c r="O884" s="656" t="s">
        <v>6387</v>
      </c>
      <c r="P884" s="5"/>
      <c r="Q884" s="1447">
        <v>42990</v>
      </c>
      <c r="R884" s="656"/>
      <c r="S884" s="656" t="s">
        <v>500</v>
      </c>
      <c r="T884" s="656" t="s">
        <v>14559</v>
      </c>
      <c r="U884" s="656" t="s">
        <v>500</v>
      </c>
      <c r="V884" s="656"/>
      <c r="W884" s="656" t="s">
        <v>13051</v>
      </c>
      <c r="X884" s="656" t="s">
        <v>498</v>
      </c>
      <c r="Y884" s="656" t="s">
        <v>14278</v>
      </c>
      <c r="Z884" s="656">
        <v>44305.522592592592</v>
      </c>
      <c r="AA884" s="656" t="s">
        <v>14335</v>
      </c>
      <c r="AB884" s="656"/>
    </row>
    <row r="885" spans="1:28">
      <c r="A885" s="656" t="s">
        <v>2503</v>
      </c>
      <c r="B885" s="656" t="s">
        <v>2504</v>
      </c>
      <c r="C885" s="656" t="s">
        <v>20</v>
      </c>
      <c r="D885" s="656" t="s">
        <v>11988</v>
      </c>
      <c r="E885" s="656" t="s">
        <v>14275</v>
      </c>
      <c r="F885" s="1447">
        <v>43487</v>
      </c>
      <c r="G885" s="656" t="s">
        <v>11987</v>
      </c>
      <c r="H885" s="656" t="s">
        <v>1777</v>
      </c>
      <c r="I885" s="656"/>
      <c r="J885" s="656"/>
      <c r="K885" s="656"/>
      <c r="L885" s="656" t="s">
        <v>11988</v>
      </c>
      <c r="M885" s="656" t="s">
        <v>16200</v>
      </c>
      <c r="N885" s="656"/>
      <c r="O885" s="656" t="s">
        <v>6387</v>
      </c>
      <c r="P885" s="5"/>
      <c r="Q885" s="1447">
        <v>43165</v>
      </c>
      <c r="R885" s="656"/>
      <c r="S885" s="656" t="s">
        <v>500</v>
      </c>
      <c r="T885" s="656"/>
      <c r="U885" s="656" t="s">
        <v>4161</v>
      </c>
      <c r="V885" s="656"/>
      <c r="W885" s="656" t="s">
        <v>13051</v>
      </c>
      <c r="X885" s="656" t="s">
        <v>498</v>
      </c>
      <c r="Y885" s="656" t="s">
        <v>14278</v>
      </c>
      <c r="Z885" s="656">
        <v>44305.522592592592</v>
      </c>
      <c r="AA885" s="656" t="s">
        <v>14335</v>
      </c>
      <c r="AB885" s="656"/>
    </row>
    <row r="886" spans="1:28">
      <c r="A886" s="656" t="s">
        <v>2505</v>
      </c>
      <c r="B886" s="656" t="s">
        <v>2506</v>
      </c>
      <c r="C886" s="656" t="s">
        <v>21</v>
      </c>
      <c r="D886" s="656" t="s">
        <v>11746</v>
      </c>
      <c r="E886" s="656" t="s">
        <v>14458</v>
      </c>
      <c r="F886" s="1447">
        <v>43074</v>
      </c>
      <c r="G886" s="656" t="s">
        <v>11745</v>
      </c>
      <c r="H886" s="656" t="s">
        <v>1777</v>
      </c>
      <c r="I886" s="656" t="s">
        <v>14554</v>
      </c>
      <c r="J886" s="656" t="s">
        <v>11746</v>
      </c>
      <c r="K886" s="656" t="s">
        <v>9750</v>
      </c>
      <c r="L886" s="656"/>
      <c r="M886" s="656" t="s">
        <v>16200</v>
      </c>
      <c r="N886" s="656"/>
      <c r="O886" s="656" t="s">
        <v>6387</v>
      </c>
      <c r="P886" s="5" t="s">
        <v>14560</v>
      </c>
      <c r="Q886" s="1447">
        <v>42963</v>
      </c>
      <c r="R886" s="656"/>
      <c r="S886" s="656" t="s">
        <v>500</v>
      </c>
      <c r="T886" s="656" t="s">
        <v>14559</v>
      </c>
      <c r="U886" s="656" t="s">
        <v>500</v>
      </c>
      <c r="V886" s="656"/>
      <c r="W886" s="656" t="s">
        <v>13051</v>
      </c>
      <c r="X886" s="656" t="s">
        <v>498</v>
      </c>
      <c r="Y886" s="656" t="s">
        <v>14278</v>
      </c>
      <c r="Z886" s="656">
        <v>44305.522569444445</v>
      </c>
      <c r="AA886" s="656" t="s">
        <v>14335</v>
      </c>
      <c r="AB886" s="656"/>
    </row>
    <row r="887" spans="1:28">
      <c r="A887" s="656" t="s">
        <v>2505</v>
      </c>
      <c r="B887" s="656" t="s">
        <v>2506</v>
      </c>
      <c r="C887" s="656" t="s">
        <v>20</v>
      </c>
      <c r="D887" s="656" t="s">
        <v>11747</v>
      </c>
      <c r="E887" s="656" t="s">
        <v>14275</v>
      </c>
      <c r="F887" s="1447">
        <v>43420</v>
      </c>
      <c r="G887" s="656" t="s">
        <v>11745</v>
      </c>
      <c r="H887" s="656" t="s">
        <v>1777</v>
      </c>
      <c r="I887" s="656"/>
      <c r="J887" s="656"/>
      <c r="K887" s="656"/>
      <c r="L887" s="656" t="s">
        <v>11747</v>
      </c>
      <c r="M887" s="656" t="s">
        <v>1947</v>
      </c>
      <c r="N887" s="656"/>
      <c r="O887" s="656" t="s">
        <v>6387</v>
      </c>
      <c r="P887" s="5" t="s">
        <v>14561</v>
      </c>
      <c r="Q887" s="1447">
        <v>42963</v>
      </c>
      <c r="R887" s="656"/>
      <c r="S887" s="656" t="s">
        <v>500</v>
      </c>
      <c r="T887" s="656" t="s">
        <v>14559</v>
      </c>
      <c r="U887" s="656" t="s">
        <v>500</v>
      </c>
      <c r="V887" s="656"/>
      <c r="W887" s="656" t="s">
        <v>13051</v>
      </c>
      <c r="X887" s="656" t="s">
        <v>498</v>
      </c>
      <c r="Y887" s="656" t="s">
        <v>14278</v>
      </c>
      <c r="Z887" s="656">
        <v>44305.522569444445</v>
      </c>
      <c r="AA887" s="656" t="s">
        <v>14335</v>
      </c>
      <c r="AB887" s="656"/>
    </row>
    <row r="888" spans="1:28">
      <c r="A888" s="656" t="s">
        <v>2505</v>
      </c>
      <c r="B888" s="656" t="s">
        <v>2506</v>
      </c>
      <c r="C888" s="656" t="s">
        <v>20</v>
      </c>
      <c r="D888" s="656" t="s">
        <v>9759</v>
      </c>
      <c r="E888" s="656" t="s">
        <v>14279</v>
      </c>
      <c r="F888" s="1447"/>
      <c r="G888" s="656" t="s">
        <v>9758</v>
      </c>
      <c r="H888" s="656" t="s">
        <v>1777</v>
      </c>
      <c r="I888" s="656"/>
      <c r="J888" s="656"/>
      <c r="K888" s="656"/>
      <c r="L888" s="656" t="s">
        <v>9759</v>
      </c>
      <c r="M888" s="656" t="s">
        <v>16200</v>
      </c>
      <c r="N888" s="656"/>
      <c r="O888" s="656" t="s">
        <v>6387</v>
      </c>
      <c r="P888" s="5" t="s">
        <v>14935</v>
      </c>
      <c r="Q888" s="1447"/>
      <c r="R888" s="656"/>
      <c r="S888" s="656" t="s">
        <v>500</v>
      </c>
      <c r="T888" s="656" t="s">
        <v>14559</v>
      </c>
      <c r="U888" s="656" t="s">
        <v>500</v>
      </c>
      <c r="V888" s="656"/>
      <c r="W888" s="656" t="s">
        <v>13051</v>
      </c>
      <c r="X888" s="656" t="s">
        <v>498</v>
      </c>
      <c r="Y888" s="656" t="s">
        <v>14278</v>
      </c>
      <c r="Z888" s="656">
        <v>44305.522581018522</v>
      </c>
      <c r="AA888" s="656" t="s">
        <v>14335</v>
      </c>
      <c r="AB888" s="656"/>
    </row>
    <row r="889" spans="1:28">
      <c r="A889" s="656" t="s">
        <v>2507</v>
      </c>
      <c r="B889" s="656" t="s">
        <v>2508</v>
      </c>
      <c r="C889" s="656" t="s">
        <v>21</v>
      </c>
      <c r="D889" s="656" t="s">
        <v>11743</v>
      </c>
      <c r="E889" s="656" t="s">
        <v>14275</v>
      </c>
      <c r="F889" s="1447">
        <v>43292</v>
      </c>
      <c r="G889" s="656" t="s">
        <v>11742</v>
      </c>
      <c r="H889" s="656" t="s">
        <v>1777</v>
      </c>
      <c r="I889" s="656" t="s">
        <v>14562</v>
      </c>
      <c r="J889" s="656" t="s">
        <v>11743</v>
      </c>
      <c r="K889" s="656" t="s">
        <v>9750</v>
      </c>
      <c r="L889" s="656"/>
      <c r="M889" s="656" t="s">
        <v>16196</v>
      </c>
      <c r="N889" s="656"/>
      <c r="O889" s="656" t="s">
        <v>6395</v>
      </c>
      <c r="P889" s="5"/>
      <c r="Q889" s="1447">
        <v>42954</v>
      </c>
      <c r="R889" s="656">
        <v>43190</v>
      </c>
      <c r="S889" s="656" t="s">
        <v>1394</v>
      </c>
      <c r="T889" s="656" t="s">
        <v>14280</v>
      </c>
      <c r="U889" s="656" t="s">
        <v>11626</v>
      </c>
      <c r="V889" s="656"/>
      <c r="W889" s="656" t="s">
        <v>13051</v>
      </c>
      <c r="X889" s="656" t="s">
        <v>498</v>
      </c>
      <c r="Y889" s="656" t="s">
        <v>14278</v>
      </c>
      <c r="Z889" s="656">
        <v>44305.522546296299</v>
      </c>
      <c r="AA889" s="656" t="s">
        <v>14335</v>
      </c>
      <c r="AB889" s="656"/>
    </row>
    <row r="890" spans="1:28">
      <c r="A890" s="656" t="s">
        <v>2507</v>
      </c>
      <c r="B890" s="656" t="s">
        <v>2508</v>
      </c>
      <c r="C890" s="656" t="s">
        <v>20</v>
      </c>
      <c r="D890" s="656" t="s">
        <v>11744</v>
      </c>
      <c r="E890" s="656" t="s">
        <v>14275</v>
      </c>
      <c r="F890" s="1447">
        <v>43286</v>
      </c>
      <c r="G890" s="656" t="s">
        <v>11742</v>
      </c>
      <c r="H890" s="656" t="s">
        <v>1777</v>
      </c>
      <c r="I890" s="656"/>
      <c r="J890" s="656"/>
      <c r="K890" s="656"/>
      <c r="L890" s="656" t="s">
        <v>11744</v>
      </c>
      <c r="M890" s="656" t="s">
        <v>1947</v>
      </c>
      <c r="N890" s="656"/>
      <c r="O890" s="656" t="s">
        <v>6395</v>
      </c>
      <c r="P890" s="5"/>
      <c r="Q890" s="1447"/>
      <c r="R890" s="656"/>
      <c r="S890" s="656" t="s">
        <v>1394</v>
      </c>
      <c r="T890" s="656" t="s">
        <v>14280</v>
      </c>
      <c r="U890" s="656" t="s">
        <v>11626</v>
      </c>
      <c r="V890" s="656"/>
      <c r="W890" s="656" t="s">
        <v>13051</v>
      </c>
      <c r="X890" s="656" t="s">
        <v>498</v>
      </c>
      <c r="Y890" s="656" t="s">
        <v>14278</v>
      </c>
      <c r="Z890" s="656">
        <v>44305.522569444445</v>
      </c>
      <c r="AA890" s="656" t="s">
        <v>14335</v>
      </c>
      <c r="AB890" s="656"/>
    </row>
    <row r="891" spans="1:28">
      <c r="A891" s="656" t="s">
        <v>2507</v>
      </c>
      <c r="B891" s="656" t="s">
        <v>2508</v>
      </c>
      <c r="C891" s="656" t="s">
        <v>20</v>
      </c>
      <c r="D891" s="656" t="s">
        <v>11968</v>
      </c>
      <c r="E891" s="656" t="s">
        <v>14275</v>
      </c>
      <c r="F891" s="1447">
        <v>43286</v>
      </c>
      <c r="G891" s="656" t="s">
        <v>11967</v>
      </c>
      <c r="H891" s="656" t="s">
        <v>1777</v>
      </c>
      <c r="I891" s="656"/>
      <c r="J891" s="656"/>
      <c r="K891" s="656"/>
      <c r="L891" s="656" t="s">
        <v>11968</v>
      </c>
      <c r="M891" s="656" t="s">
        <v>16196</v>
      </c>
      <c r="N891" s="656"/>
      <c r="O891" s="656" t="s">
        <v>6395</v>
      </c>
      <c r="P891" s="5"/>
      <c r="Q891" s="1447">
        <v>43165</v>
      </c>
      <c r="R891" s="656"/>
      <c r="S891" s="656" t="s">
        <v>1394</v>
      </c>
      <c r="T891" s="656"/>
      <c r="U891" s="656" t="s">
        <v>1394</v>
      </c>
      <c r="V891" s="656"/>
      <c r="W891" s="656" t="s">
        <v>13051</v>
      </c>
      <c r="X891" s="656" t="s">
        <v>498</v>
      </c>
      <c r="Y891" s="656" t="s">
        <v>14278</v>
      </c>
      <c r="Z891" s="656">
        <v>44305.522569444445</v>
      </c>
      <c r="AA891" s="656" t="s">
        <v>14335</v>
      </c>
      <c r="AB891" s="656"/>
    </row>
    <row r="892" spans="1:28">
      <c r="A892" s="656" t="s">
        <v>2509</v>
      </c>
      <c r="B892" s="656" t="s">
        <v>2510</v>
      </c>
      <c r="C892" s="656" t="s">
        <v>20</v>
      </c>
      <c r="D892" s="656" t="s">
        <v>11741</v>
      </c>
      <c r="E892" s="656" t="s">
        <v>14275</v>
      </c>
      <c r="F892" s="1447">
        <v>43222</v>
      </c>
      <c r="G892" s="656" t="s">
        <v>11740</v>
      </c>
      <c r="H892" s="656" t="s">
        <v>1777</v>
      </c>
      <c r="I892" s="656"/>
      <c r="J892" s="656"/>
      <c r="K892" s="656"/>
      <c r="L892" s="656" t="s">
        <v>11741</v>
      </c>
      <c r="M892" s="656" t="s">
        <v>1584</v>
      </c>
      <c r="N892" s="656"/>
      <c r="O892" s="656" t="s">
        <v>6387</v>
      </c>
      <c r="P892" s="5"/>
      <c r="Q892" s="1447">
        <v>42927</v>
      </c>
      <c r="R892" s="656"/>
      <c r="S892" s="656" t="s">
        <v>1667</v>
      </c>
      <c r="T892" s="656" t="s">
        <v>14524</v>
      </c>
      <c r="U892" s="656" t="s">
        <v>1667</v>
      </c>
      <c r="V892" s="656"/>
      <c r="W892" s="656" t="s">
        <v>13051</v>
      </c>
      <c r="X892" s="656" t="s">
        <v>498</v>
      </c>
      <c r="Y892" s="656" t="s">
        <v>14278</v>
      </c>
      <c r="Z892" s="656">
        <v>44305.522546296299</v>
      </c>
      <c r="AA892" s="656" t="s">
        <v>14335</v>
      </c>
      <c r="AB892" s="656"/>
    </row>
    <row r="893" spans="1:28">
      <c r="A893" s="656" t="s">
        <v>2514</v>
      </c>
      <c r="B893" s="656" t="s">
        <v>2515</v>
      </c>
      <c r="C893" s="656" t="s">
        <v>21</v>
      </c>
      <c r="D893" s="656" t="s">
        <v>11923</v>
      </c>
      <c r="E893" s="656" t="s">
        <v>14384</v>
      </c>
      <c r="F893" s="1447">
        <v>43419</v>
      </c>
      <c r="G893" s="656" t="s">
        <v>11906</v>
      </c>
      <c r="H893" s="656" t="s">
        <v>1777</v>
      </c>
      <c r="I893" s="656" t="s">
        <v>14563</v>
      </c>
      <c r="J893" s="656" t="s">
        <v>11923</v>
      </c>
      <c r="K893" s="656" t="s">
        <v>9774</v>
      </c>
      <c r="L893" s="656"/>
      <c r="M893" s="656" t="s">
        <v>16324</v>
      </c>
      <c r="N893" s="656"/>
      <c r="O893" s="656" t="s">
        <v>6387</v>
      </c>
      <c r="P893" s="5" t="s">
        <v>14564</v>
      </c>
      <c r="Q893" s="1447">
        <v>43157</v>
      </c>
      <c r="R893" s="656"/>
      <c r="S893" s="656" t="s">
        <v>1300</v>
      </c>
      <c r="T893" s="656"/>
      <c r="U893" s="656" t="s">
        <v>1300</v>
      </c>
      <c r="V893" s="656"/>
      <c r="W893" s="656" t="s">
        <v>13051</v>
      </c>
      <c r="X893" s="656" t="s">
        <v>498</v>
      </c>
      <c r="Y893" s="656" t="s">
        <v>14278</v>
      </c>
      <c r="Z893" s="656">
        <v>44305.522534722222</v>
      </c>
      <c r="AA893" s="656" t="s">
        <v>14335</v>
      </c>
      <c r="AB893" s="656"/>
    </row>
    <row r="894" spans="1:28">
      <c r="A894" s="656" t="s">
        <v>2514</v>
      </c>
      <c r="B894" s="656" t="s">
        <v>2515</v>
      </c>
      <c r="C894" s="656" t="s">
        <v>20</v>
      </c>
      <c r="D894" s="656" t="s">
        <v>11907</v>
      </c>
      <c r="E894" s="656" t="s">
        <v>14275</v>
      </c>
      <c r="F894" s="1447">
        <v>43420</v>
      </c>
      <c r="G894" s="656" t="s">
        <v>11906</v>
      </c>
      <c r="H894" s="656" t="s">
        <v>1777</v>
      </c>
      <c r="I894" s="656"/>
      <c r="J894" s="656"/>
      <c r="K894" s="656"/>
      <c r="L894" s="656" t="s">
        <v>11907</v>
      </c>
      <c r="M894" s="656" t="s">
        <v>16324</v>
      </c>
      <c r="N894" s="656"/>
      <c r="O894" s="656" t="s">
        <v>6387</v>
      </c>
      <c r="P894" s="5"/>
      <c r="Q894" s="1447">
        <v>43137</v>
      </c>
      <c r="R894" s="656"/>
      <c r="S894" s="656" t="s">
        <v>1300</v>
      </c>
      <c r="T894" s="656"/>
      <c r="U894" s="656" t="s">
        <v>1300</v>
      </c>
      <c r="V894" s="656"/>
      <c r="W894" s="656" t="s">
        <v>13051</v>
      </c>
      <c r="X894" s="656" t="s">
        <v>498</v>
      </c>
      <c r="Y894" s="656" t="s">
        <v>14278</v>
      </c>
      <c r="Z894" s="656">
        <v>44305.522534722222</v>
      </c>
      <c r="AA894" s="656" t="s">
        <v>14335</v>
      </c>
      <c r="AB894" s="656"/>
    </row>
    <row r="895" spans="1:28">
      <c r="A895" s="656" t="s">
        <v>2522</v>
      </c>
      <c r="B895" s="656" t="s">
        <v>2523</v>
      </c>
      <c r="C895" s="656" t="s">
        <v>20</v>
      </c>
      <c r="D895" s="656" t="s">
        <v>11739</v>
      </c>
      <c r="E895" s="656" t="s">
        <v>14275</v>
      </c>
      <c r="F895" s="1447">
        <v>43501</v>
      </c>
      <c r="G895" s="656" t="s">
        <v>11738</v>
      </c>
      <c r="H895" s="656" t="s">
        <v>1777</v>
      </c>
      <c r="I895" s="656"/>
      <c r="J895" s="656"/>
      <c r="K895" s="656"/>
      <c r="L895" s="656" t="s">
        <v>11739</v>
      </c>
      <c r="M895" s="656" t="s">
        <v>16265</v>
      </c>
      <c r="N895" s="656"/>
      <c r="O895" s="656" t="s">
        <v>6387</v>
      </c>
      <c r="P895" s="5"/>
      <c r="Q895" s="1447">
        <v>42839</v>
      </c>
      <c r="R895" s="656"/>
      <c r="S895" s="656" t="s">
        <v>1667</v>
      </c>
      <c r="T895" s="656" t="s">
        <v>14524</v>
      </c>
      <c r="U895" s="656" t="s">
        <v>1667</v>
      </c>
      <c r="V895" s="656"/>
      <c r="W895" s="656" t="s">
        <v>13051</v>
      </c>
      <c r="X895" s="656" t="s">
        <v>498</v>
      </c>
      <c r="Y895" s="656" t="s">
        <v>14278</v>
      </c>
      <c r="Z895" s="656">
        <v>44305.522523148145</v>
      </c>
      <c r="AA895" s="656" t="s">
        <v>14335</v>
      </c>
      <c r="AB895" s="656"/>
    </row>
    <row r="896" spans="1:28">
      <c r="A896" s="656" t="s">
        <v>2524</v>
      </c>
      <c r="B896" s="656" t="s">
        <v>2525</v>
      </c>
      <c r="C896" s="656" t="s">
        <v>20</v>
      </c>
      <c r="D896" s="656" t="s">
        <v>11737</v>
      </c>
      <c r="E896" s="656" t="s">
        <v>14275</v>
      </c>
      <c r="F896" s="1447">
        <v>43405</v>
      </c>
      <c r="G896" s="656" t="s">
        <v>11736</v>
      </c>
      <c r="H896" s="656" t="s">
        <v>1777</v>
      </c>
      <c r="I896" s="656"/>
      <c r="J896" s="656"/>
      <c r="K896" s="656"/>
      <c r="L896" s="656" t="s">
        <v>11737</v>
      </c>
      <c r="M896" s="656" t="s">
        <v>16262</v>
      </c>
      <c r="N896" s="656"/>
      <c r="O896" s="656" t="s">
        <v>6387</v>
      </c>
      <c r="P896" s="5"/>
      <c r="Q896" s="1447">
        <v>42843</v>
      </c>
      <c r="R896" s="656"/>
      <c r="S896" s="656" t="s">
        <v>783</v>
      </c>
      <c r="T896" s="656" t="s">
        <v>14524</v>
      </c>
      <c r="U896" s="656" t="s">
        <v>1667</v>
      </c>
      <c r="V896" s="656"/>
      <c r="W896" s="656" t="s">
        <v>13051</v>
      </c>
      <c r="X896" s="656" t="s">
        <v>498</v>
      </c>
      <c r="Y896" s="656" t="s">
        <v>14278</v>
      </c>
      <c r="Z896" s="656">
        <v>44305.522523148145</v>
      </c>
      <c r="AA896" s="656" t="s">
        <v>14335</v>
      </c>
      <c r="AB896" s="656"/>
    </row>
    <row r="897" spans="1:28">
      <c r="A897" s="656" t="s">
        <v>2526</v>
      </c>
      <c r="B897" s="656" t="s">
        <v>2527</v>
      </c>
      <c r="C897" s="656" t="s">
        <v>20</v>
      </c>
      <c r="D897" s="656" t="s">
        <v>11735</v>
      </c>
      <c r="E897" s="656" t="s">
        <v>14275</v>
      </c>
      <c r="F897" s="1447">
        <v>43396</v>
      </c>
      <c r="G897" s="656" t="s">
        <v>11734</v>
      </c>
      <c r="H897" s="656" t="s">
        <v>1777</v>
      </c>
      <c r="I897" s="656"/>
      <c r="J897" s="656"/>
      <c r="K897" s="656"/>
      <c r="L897" s="656" t="s">
        <v>11735</v>
      </c>
      <c r="M897" s="656" t="s">
        <v>16200</v>
      </c>
      <c r="N897" s="656"/>
      <c r="O897" s="656" t="s">
        <v>6393</v>
      </c>
      <c r="P897" s="5"/>
      <c r="Q897" s="1447">
        <v>42839</v>
      </c>
      <c r="R897" s="656"/>
      <c r="S897" s="656" t="s">
        <v>1300</v>
      </c>
      <c r="T897" s="656" t="s">
        <v>4198</v>
      </c>
      <c r="U897" s="656" t="s">
        <v>1300</v>
      </c>
      <c r="V897" s="656"/>
      <c r="W897" s="656" t="s">
        <v>13051</v>
      </c>
      <c r="X897" s="656" t="s">
        <v>498</v>
      </c>
      <c r="Y897" s="656" t="s">
        <v>14278</v>
      </c>
      <c r="Z897" s="656">
        <v>44305.522523148145</v>
      </c>
      <c r="AA897" s="656" t="s">
        <v>14335</v>
      </c>
      <c r="AB897" s="656"/>
    </row>
    <row r="898" spans="1:28">
      <c r="A898" s="656" t="s">
        <v>2544</v>
      </c>
      <c r="B898" s="656" t="s">
        <v>2545</v>
      </c>
      <c r="C898" s="656" t="s">
        <v>20</v>
      </c>
      <c r="D898" s="656" t="s">
        <v>11733</v>
      </c>
      <c r="E898" s="656" t="s">
        <v>14275</v>
      </c>
      <c r="F898" s="1447">
        <v>43250</v>
      </c>
      <c r="G898" s="656" t="s">
        <v>11732</v>
      </c>
      <c r="H898" s="656" t="s">
        <v>1777</v>
      </c>
      <c r="I898" s="656"/>
      <c r="J898" s="656"/>
      <c r="K898" s="656"/>
      <c r="L898" s="656" t="s">
        <v>11733</v>
      </c>
      <c r="M898" s="656" t="s">
        <v>16196</v>
      </c>
      <c r="N898" s="656"/>
      <c r="O898" s="656" t="s">
        <v>9757</v>
      </c>
      <c r="P898" s="5"/>
      <c r="Q898" s="1447">
        <v>42943</v>
      </c>
      <c r="R898" s="656"/>
      <c r="S898" s="656" t="s">
        <v>1300</v>
      </c>
      <c r="T898" s="656" t="s">
        <v>4198</v>
      </c>
      <c r="U898" s="656" t="s">
        <v>1300</v>
      </c>
      <c r="V898" s="656"/>
      <c r="W898" s="656" t="s">
        <v>13051</v>
      </c>
      <c r="X898" s="656" t="s">
        <v>498</v>
      </c>
      <c r="Y898" s="656" t="s">
        <v>14278</v>
      </c>
      <c r="Z898" s="656">
        <v>44305.522511574076</v>
      </c>
      <c r="AA898" s="656" t="s">
        <v>14335</v>
      </c>
      <c r="AB898" s="656"/>
    </row>
    <row r="899" spans="1:28">
      <c r="A899" s="656" t="s">
        <v>2546</v>
      </c>
      <c r="B899" s="656" t="s">
        <v>2547</v>
      </c>
      <c r="C899" s="656" t="s">
        <v>21</v>
      </c>
      <c r="D899" s="656" t="s">
        <v>11731</v>
      </c>
      <c r="E899" s="656" t="s">
        <v>14275</v>
      </c>
      <c r="F899" s="1447">
        <v>43126</v>
      </c>
      <c r="G899" s="656" t="s">
        <v>11730</v>
      </c>
      <c r="H899" s="656" t="s">
        <v>1777</v>
      </c>
      <c r="I899" s="656" t="s">
        <v>14565</v>
      </c>
      <c r="J899" s="656" t="s">
        <v>11731</v>
      </c>
      <c r="K899" s="656" t="s">
        <v>9750</v>
      </c>
      <c r="L899" s="656"/>
      <c r="M899" s="656" t="s">
        <v>16380</v>
      </c>
      <c r="N899" s="656"/>
      <c r="O899" s="656" t="s">
        <v>6393</v>
      </c>
      <c r="P899" s="5"/>
      <c r="Q899" s="1447">
        <v>42811</v>
      </c>
      <c r="R899" s="656">
        <v>42825</v>
      </c>
      <c r="S899" s="656" t="s">
        <v>500</v>
      </c>
      <c r="T899" s="656" t="s">
        <v>14559</v>
      </c>
      <c r="U899" s="656" t="s">
        <v>500</v>
      </c>
      <c r="V899" s="656"/>
      <c r="W899" s="656" t="s">
        <v>13051</v>
      </c>
      <c r="X899" s="656" t="s">
        <v>498</v>
      </c>
      <c r="Y899" s="656" t="s">
        <v>14278</v>
      </c>
      <c r="Z899" s="656">
        <v>44305.522511574076</v>
      </c>
      <c r="AA899" s="656" t="s">
        <v>14335</v>
      </c>
      <c r="AB899" s="656"/>
    </row>
    <row r="900" spans="1:28">
      <c r="A900" s="656" t="s">
        <v>2550</v>
      </c>
      <c r="B900" s="656" t="s">
        <v>2256</v>
      </c>
      <c r="C900" s="656" t="s">
        <v>21</v>
      </c>
      <c r="D900" s="656" t="s">
        <v>11728</v>
      </c>
      <c r="E900" s="656" t="s">
        <v>14275</v>
      </c>
      <c r="F900" s="1447">
        <v>43951</v>
      </c>
      <c r="G900" s="656" t="s">
        <v>11727</v>
      </c>
      <c r="H900" s="656" t="s">
        <v>1777</v>
      </c>
      <c r="I900" s="656" t="s">
        <v>14566</v>
      </c>
      <c r="J900" s="656" t="s">
        <v>11728</v>
      </c>
      <c r="K900" s="656" t="s">
        <v>9774</v>
      </c>
      <c r="L900" s="656"/>
      <c r="M900" s="656" t="s">
        <v>16196</v>
      </c>
      <c r="N900" s="656"/>
      <c r="O900" s="656" t="s">
        <v>6395</v>
      </c>
      <c r="P900" s="5"/>
      <c r="Q900" s="1447">
        <v>42996</v>
      </c>
      <c r="R900" s="656">
        <v>43709</v>
      </c>
      <c r="S900" s="656" t="s">
        <v>1394</v>
      </c>
      <c r="T900" s="656" t="s">
        <v>14280</v>
      </c>
      <c r="U900" s="656" t="s">
        <v>11626</v>
      </c>
      <c r="V900" s="656"/>
      <c r="W900" s="656" t="s">
        <v>13051</v>
      </c>
      <c r="X900" s="656" t="s">
        <v>498</v>
      </c>
      <c r="Y900" s="656" t="s">
        <v>14278</v>
      </c>
      <c r="Z900" s="656">
        <v>44305.522488425922</v>
      </c>
      <c r="AA900" s="656" t="s">
        <v>14335</v>
      </c>
      <c r="AB900" s="656"/>
    </row>
    <row r="901" spans="1:28">
      <c r="A901" s="656" t="s">
        <v>2550</v>
      </c>
      <c r="B901" s="656" t="s">
        <v>2256</v>
      </c>
      <c r="C901" s="656" t="s">
        <v>20</v>
      </c>
      <c r="D901" s="656" t="s">
        <v>11729</v>
      </c>
      <c r="E901" s="656" t="s">
        <v>14275</v>
      </c>
      <c r="F901" s="1447">
        <v>43606</v>
      </c>
      <c r="G901" s="656" t="s">
        <v>11727</v>
      </c>
      <c r="H901" s="656" t="s">
        <v>1777</v>
      </c>
      <c r="I901" s="656"/>
      <c r="J901" s="656"/>
      <c r="K901" s="656"/>
      <c r="L901" s="656" t="s">
        <v>11729</v>
      </c>
      <c r="M901" s="656" t="s">
        <v>1947</v>
      </c>
      <c r="N901" s="656"/>
      <c r="O901" s="656" t="s">
        <v>6395</v>
      </c>
      <c r="P901" s="5"/>
      <c r="Q901" s="1447"/>
      <c r="R901" s="656"/>
      <c r="S901" s="656" t="s">
        <v>1394</v>
      </c>
      <c r="T901" s="656" t="s">
        <v>14280</v>
      </c>
      <c r="U901" s="656" t="s">
        <v>11626</v>
      </c>
      <c r="V901" s="656"/>
      <c r="W901" s="656" t="s">
        <v>13051</v>
      </c>
      <c r="X901" s="656" t="s">
        <v>498</v>
      </c>
      <c r="Y901" s="656" t="s">
        <v>14278</v>
      </c>
      <c r="Z901" s="656">
        <v>44305.522499999999</v>
      </c>
      <c r="AA901" s="656" t="s">
        <v>14335</v>
      </c>
      <c r="AB901" s="656"/>
    </row>
    <row r="902" spans="1:28">
      <c r="A902" s="656" t="s">
        <v>2550</v>
      </c>
      <c r="B902" s="656" t="s">
        <v>2256</v>
      </c>
      <c r="C902" s="656" t="s">
        <v>20</v>
      </c>
      <c r="D902" s="656" t="s">
        <v>11966</v>
      </c>
      <c r="E902" s="656" t="s">
        <v>14275</v>
      </c>
      <c r="F902" s="1447">
        <v>43943</v>
      </c>
      <c r="G902" s="656" t="s">
        <v>11965</v>
      </c>
      <c r="H902" s="656" t="s">
        <v>1777</v>
      </c>
      <c r="I902" s="656"/>
      <c r="J902" s="656"/>
      <c r="K902" s="656"/>
      <c r="L902" s="656" t="s">
        <v>11966</v>
      </c>
      <c r="M902" s="656" t="s">
        <v>16196</v>
      </c>
      <c r="N902" s="656"/>
      <c r="O902" s="656" t="s">
        <v>6395</v>
      </c>
      <c r="P902" s="5"/>
      <c r="Q902" s="1447">
        <v>43165</v>
      </c>
      <c r="R902" s="656"/>
      <c r="S902" s="656" t="s">
        <v>1394</v>
      </c>
      <c r="T902" s="656"/>
      <c r="U902" s="656"/>
      <c r="V902" s="656"/>
      <c r="W902" s="656" t="s">
        <v>13051</v>
      </c>
      <c r="X902" s="656" t="s">
        <v>498</v>
      </c>
      <c r="Y902" s="656" t="s">
        <v>14278</v>
      </c>
      <c r="Z902" s="656">
        <v>44305.522499999999</v>
      </c>
      <c r="AA902" s="656" t="s">
        <v>14335</v>
      </c>
      <c r="AB902" s="656"/>
    </row>
    <row r="903" spans="1:28">
      <c r="A903" s="656" t="s">
        <v>2573</v>
      </c>
      <c r="B903" s="656" t="s">
        <v>11723</v>
      </c>
      <c r="C903" s="656" t="s">
        <v>21</v>
      </c>
      <c r="D903" s="656" t="s">
        <v>11725</v>
      </c>
      <c r="E903" s="656" t="s">
        <v>14275</v>
      </c>
      <c r="F903" s="1447">
        <v>43817</v>
      </c>
      <c r="G903" s="656" t="s">
        <v>11724</v>
      </c>
      <c r="H903" s="656" t="s">
        <v>1777</v>
      </c>
      <c r="I903" s="656" t="s">
        <v>14567</v>
      </c>
      <c r="J903" s="656" t="s">
        <v>11725</v>
      </c>
      <c r="K903" s="656" t="s">
        <v>9733</v>
      </c>
      <c r="L903" s="656"/>
      <c r="M903" s="656" t="s">
        <v>16196</v>
      </c>
      <c r="N903" s="656"/>
      <c r="O903" s="656" t="s">
        <v>6395</v>
      </c>
      <c r="P903" s="5"/>
      <c r="Q903" s="1447">
        <v>43035</v>
      </c>
      <c r="R903" s="656">
        <v>43524</v>
      </c>
      <c r="S903" s="656" t="s">
        <v>1394</v>
      </c>
      <c r="T903" s="656" t="s">
        <v>14280</v>
      </c>
      <c r="U903" s="656" t="s">
        <v>11626</v>
      </c>
      <c r="V903" s="656"/>
      <c r="W903" s="656" t="s">
        <v>13051</v>
      </c>
      <c r="X903" s="656" t="s">
        <v>498</v>
      </c>
      <c r="Y903" s="656" t="s">
        <v>14278</v>
      </c>
      <c r="Z903" s="656">
        <v>44305.522476851853</v>
      </c>
      <c r="AA903" s="656" t="s">
        <v>14335</v>
      </c>
      <c r="AB903" s="656"/>
    </row>
    <row r="904" spans="1:28">
      <c r="A904" s="656" t="s">
        <v>2573</v>
      </c>
      <c r="B904" s="656" t="s">
        <v>11723</v>
      </c>
      <c r="C904" s="656" t="s">
        <v>20</v>
      </c>
      <c r="D904" s="656" t="s">
        <v>11726</v>
      </c>
      <c r="E904" s="656" t="s">
        <v>14275</v>
      </c>
      <c r="F904" s="1447">
        <v>43542</v>
      </c>
      <c r="G904" s="656" t="s">
        <v>11724</v>
      </c>
      <c r="H904" s="656" t="s">
        <v>1777</v>
      </c>
      <c r="I904" s="656"/>
      <c r="J904" s="656"/>
      <c r="K904" s="656"/>
      <c r="L904" s="656" t="s">
        <v>11726</v>
      </c>
      <c r="M904" s="656" t="s">
        <v>1947</v>
      </c>
      <c r="N904" s="656"/>
      <c r="O904" s="656" t="s">
        <v>6395</v>
      </c>
      <c r="P904" s="5"/>
      <c r="Q904" s="1447"/>
      <c r="R904" s="656"/>
      <c r="S904" s="656" t="s">
        <v>1394</v>
      </c>
      <c r="T904" s="656" t="s">
        <v>14280</v>
      </c>
      <c r="U904" s="656" t="s">
        <v>11626</v>
      </c>
      <c r="V904" s="656"/>
      <c r="W904" s="656" t="s">
        <v>13051</v>
      </c>
      <c r="X904" s="656" t="s">
        <v>498</v>
      </c>
      <c r="Y904" s="656" t="s">
        <v>14278</v>
      </c>
      <c r="Z904" s="656">
        <v>44305.522488425922</v>
      </c>
      <c r="AA904" s="656" t="s">
        <v>14335</v>
      </c>
      <c r="AB904" s="656"/>
    </row>
    <row r="905" spans="1:28">
      <c r="A905" s="656" t="s">
        <v>2573</v>
      </c>
      <c r="B905" s="656" t="s">
        <v>11723</v>
      </c>
      <c r="C905" s="656" t="s">
        <v>20</v>
      </c>
      <c r="D905" s="656" t="s">
        <v>11964</v>
      </c>
      <c r="E905" s="656" t="s">
        <v>14275</v>
      </c>
      <c r="F905" s="1447">
        <v>43727</v>
      </c>
      <c r="G905" s="656" t="s">
        <v>11963</v>
      </c>
      <c r="H905" s="656" t="s">
        <v>1777</v>
      </c>
      <c r="I905" s="656"/>
      <c r="J905" s="656"/>
      <c r="K905" s="656"/>
      <c r="L905" s="656" t="s">
        <v>11964</v>
      </c>
      <c r="M905" s="656" t="s">
        <v>16196</v>
      </c>
      <c r="N905" s="656"/>
      <c r="O905" s="656" t="s">
        <v>6395</v>
      </c>
      <c r="P905" s="5"/>
      <c r="Q905" s="1447">
        <v>43165</v>
      </c>
      <c r="R905" s="656"/>
      <c r="S905" s="656" t="s">
        <v>1394</v>
      </c>
      <c r="T905" s="656"/>
      <c r="U905" s="656" t="s">
        <v>1394</v>
      </c>
      <c r="V905" s="656"/>
      <c r="W905" s="656" t="s">
        <v>13051</v>
      </c>
      <c r="X905" s="656" t="s">
        <v>498</v>
      </c>
      <c r="Y905" s="656" t="s">
        <v>14278</v>
      </c>
      <c r="Z905" s="656">
        <v>44305.522488425922</v>
      </c>
      <c r="AA905" s="656" t="s">
        <v>14335</v>
      </c>
      <c r="AB905" s="656"/>
    </row>
    <row r="906" spans="1:28">
      <c r="A906" s="656" t="s">
        <v>2577</v>
      </c>
      <c r="B906" s="656" t="s">
        <v>2578</v>
      </c>
      <c r="C906" s="656" t="s">
        <v>20</v>
      </c>
      <c r="D906" s="656" t="s">
        <v>11722</v>
      </c>
      <c r="E906" s="656" t="s">
        <v>14275</v>
      </c>
      <c r="F906" s="1447">
        <v>43308</v>
      </c>
      <c r="G906" s="656" t="s">
        <v>11721</v>
      </c>
      <c r="H906" s="656" t="s">
        <v>1777</v>
      </c>
      <c r="I906" s="656"/>
      <c r="J906" s="656"/>
      <c r="K906" s="656"/>
      <c r="L906" s="656" t="s">
        <v>11722</v>
      </c>
      <c r="M906" s="656" t="s">
        <v>1947</v>
      </c>
      <c r="N906" s="656"/>
      <c r="O906" s="656" t="s">
        <v>6395</v>
      </c>
      <c r="P906" s="5"/>
      <c r="Q906" s="1447"/>
      <c r="R906" s="656"/>
      <c r="S906" s="656" t="s">
        <v>1394</v>
      </c>
      <c r="T906" s="656" t="s">
        <v>14280</v>
      </c>
      <c r="U906" s="656" t="s">
        <v>11626</v>
      </c>
      <c r="V906" s="656"/>
      <c r="W906" s="656" t="s">
        <v>13051</v>
      </c>
      <c r="X906" s="656" t="s">
        <v>498</v>
      </c>
      <c r="Y906" s="656" t="s">
        <v>14278</v>
      </c>
      <c r="Z906" s="656">
        <v>44305.522465277776</v>
      </c>
      <c r="AA906" s="656" t="s">
        <v>14335</v>
      </c>
      <c r="AB906" s="656"/>
    </row>
    <row r="907" spans="1:28">
      <c r="A907" s="656" t="s">
        <v>2577</v>
      </c>
      <c r="B907" s="656" t="s">
        <v>2578</v>
      </c>
      <c r="C907" s="656" t="s">
        <v>20</v>
      </c>
      <c r="D907" s="656" t="s">
        <v>11962</v>
      </c>
      <c r="E907" s="656" t="s">
        <v>14275</v>
      </c>
      <c r="F907" s="1447">
        <v>43308</v>
      </c>
      <c r="G907" s="656" t="s">
        <v>11961</v>
      </c>
      <c r="H907" s="656" t="s">
        <v>1777</v>
      </c>
      <c r="I907" s="656"/>
      <c r="J907" s="656"/>
      <c r="K907" s="656"/>
      <c r="L907" s="656" t="s">
        <v>11962</v>
      </c>
      <c r="M907" s="656" t="s">
        <v>16196</v>
      </c>
      <c r="N907" s="656"/>
      <c r="O907" s="656" t="s">
        <v>6395</v>
      </c>
      <c r="P907" s="5"/>
      <c r="Q907" s="1447">
        <v>43165</v>
      </c>
      <c r="R907" s="656"/>
      <c r="S907" s="656" t="s">
        <v>1394</v>
      </c>
      <c r="T907" s="656"/>
      <c r="U907" s="656" t="s">
        <v>1394</v>
      </c>
      <c r="V907" s="656"/>
      <c r="W907" s="656" t="s">
        <v>13051</v>
      </c>
      <c r="X907" s="656" t="s">
        <v>498</v>
      </c>
      <c r="Y907" s="656" t="s">
        <v>14278</v>
      </c>
      <c r="Z907" s="656">
        <v>44305.522476851853</v>
      </c>
      <c r="AA907" s="656" t="s">
        <v>14335</v>
      </c>
      <c r="AB907" s="656"/>
    </row>
    <row r="908" spans="1:28">
      <c r="A908" s="656" t="s">
        <v>2581</v>
      </c>
      <c r="B908" s="656" t="s">
        <v>2285</v>
      </c>
      <c r="C908" s="656" t="s">
        <v>20</v>
      </c>
      <c r="D908" s="656" t="s">
        <v>12092</v>
      </c>
      <c r="E908" s="656" t="s">
        <v>14275</v>
      </c>
      <c r="F908" s="1447">
        <v>43819</v>
      </c>
      <c r="G908" s="656" t="s">
        <v>12091</v>
      </c>
      <c r="H908" s="656" t="s">
        <v>1777</v>
      </c>
      <c r="I908" s="656"/>
      <c r="J908" s="656"/>
      <c r="K908" s="656"/>
      <c r="L908" s="656" t="s">
        <v>12092</v>
      </c>
      <c r="M908" s="656" t="s">
        <v>16196</v>
      </c>
      <c r="N908" s="656"/>
      <c r="O908" s="656" t="s">
        <v>6395</v>
      </c>
      <c r="P908" s="5"/>
      <c r="Q908" s="1447">
        <v>43319</v>
      </c>
      <c r="R908" s="656"/>
      <c r="S908" s="656" t="s">
        <v>3756</v>
      </c>
      <c r="T908" s="656"/>
      <c r="U908" s="656"/>
      <c r="V908" s="656"/>
      <c r="W908" s="656" t="s">
        <v>13051</v>
      </c>
      <c r="X908" s="656" t="s">
        <v>498</v>
      </c>
      <c r="Y908" s="656" t="s">
        <v>14278</v>
      </c>
      <c r="Z908" s="656">
        <v>44305.522465277776</v>
      </c>
      <c r="AA908" s="656" t="s">
        <v>14335</v>
      </c>
      <c r="AB908" s="656"/>
    </row>
    <row r="909" spans="1:28">
      <c r="A909" s="656" t="s">
        <v>2588</v>
      </c>
      <c r="B909" s="656" t="s">
        <v>2589</v>
      </c>
      <c r="C909" s="656" t="s">
        <v>21</v>
      </c>
      <c r="D909" s="656" t="s">
        <v>12006</v>
      </c>
      <c r="E909" s="656" t="s">
        <v>14275</v>
      </c>
      <c r="F909" s="1447">
        <v>43581</v>
      </c>
      <c r="G909" s="656" t="s">
        <v>11959</v>
      </c>
      <c r="H909" s="656" t="s">
        <v>1777</v>
      </c>
      <c r="I909" s="656" t="s">
        <v>14568</v>
      </c>
      <c r="J909" s="656" t="s">
        <v>12006</v>
      </c>
      <c r="K909" s="656" t="s">
        <v>9774</v>
      </c>
      <c r="L909" s="656"/>
      <c r="M909" s="656" t="s">
        <v>16196</v>
      </c>
      <c r="N909" s="656"/>
      <c r="O909" s="656" t="s">
        <v>6395</v>
      </c>
      <c r="P909" s="5"/>
      <c r="Q909" s="1447">
        <v>43195</v>
      </c>
      <c r="R909" s="656">
        <v>43445</v>
      </c>
      <c r="S909" s="656" t="s">
        <v>3756</v>
      </c>
      <c r="T909" s="656"/>
      <c r="U909" s="656" t="s">
        <v>541</v>
      </c>
      <c r="V909" s="656"/>
      <c r="W909" s="656" t="s">
        <v>13051</v>
      </c>
      <c r="X909" s="656" t="s">
        <v>498</v>
      </c>
      <c r="Y909" s="656" t="s">
        <v>14278</v>
      </c>
      <c r="Z909" s="656">
        <v>44305.52244212963</v>
      </c>
      <c r="AA909" s="656" t="s">
        <v>14335</v>
      </c>
      <c r="AB909" s="656"/>
    </row>
    <row r="910" spans="1:28">
      <c r="A910" s="656" t="s">
        <v>2588</v>
      </c>
      <c r="B910" s="656" t="s">
        <v>2589</v>
      </c>
      <c r="C910" s="656" t="s">
        <v>20</v>
      </c>
      <c r="D910" s="656" t="s">
        <v>11720</v>
      </c>
      <c r="E910" s="656" t="s">
        <v>14275</v>
      </c>
      <c r="F910" s="1447">
        <v>43493</v>
      </c>
      <c r="G910" s="656" t="s">
        <v>11719</v>
      </c>
      <c r="H910" s="656" t="s">
        <v>1777</v>
      </c>
      <c r="I910" s="656"/>
      <c r="J910" s="656"/>
      <c r="K910" s="656"/>
      <c r="L910" s="656" t="s">
        <v>11720</v>
      </c>
      <c r="M910" s="656" t="s">
        <v>1947</v>
      </c>
      <c r="N910" s="656"/>
      <c r="O910" s="656" t="s">
        <v>6395</v>
      </c>
      <c r="P910" s="5"/>
      <c r="Q910" s="1447"/>
      <c r="R910" s="656"/>
      <c r="S910" s="656" t="s">
        <v>1394</v>
      </c>
      <c r="T910" s="656" t="s">
        <v>14280</v>
      </c>
      <c r="U910" s="656" t="s">
        <v>11626</v>
      </c>
      <c r="V910" s="656"/>
      <c r="W910" s="656" t="s">
        <v>13051</v>
      </c>
      <c r="X910" s="656" t="s">
        <v>498</v>
      </c>
      <c r="Y910" s="656" t="s">
        <v>14278</v>
      </c>
      <c r="Z910" s="656">
        <v>44305.522453703707</v>
      </c>
      <c r="AA910" s="656" t="s">
        <v>14335</v>
      </c>
      <c r="AB910" s="656"/>
    </row>
    <row r="911" spans="1:28">
      <c r="A911" s="656" t="s">
        <v>2588</v>
      </c>
      <c r="B911" s="656" t="s">
        <v>2589</v>
      </c>
      <c r="C911" s="656" t="s">
        <v>20</v>
      </c>
      <c r="D911" s="656" t="s">
        <v>11960</v>
      </c>
      <c r="E911" s="656" t="s">
        <v>14275</v>
      </c>
      <c r="F911" s="1447">
        <v>43549</v>
      </c>
      <c r="G911" s="656" t="s">
        <v>11959</v>
      </c>
      <c r="H911" s="656" t="s">
        <v>1777</v>
      </c>
      <c r="I911" s="656"/>
      <c r="J911" s="656"/>
      <c r="K911" s="656"/>
      <c r="L911" s="656" t="s">
        <v>11960</v>
      </c>
      <c r="M911" s="656" t="s">
        <v>16196</v>
      </c>
      <c r="N911" s="656"/>
      <c r="O911" s="656" t="s">
        <v>6395</v>
      </c>
      <c r="P911" s="5"/>
      <c r="Q911" s="1447">
        <v>43165</v>
      </c>
      <c r="R911" s="656"/>
      <c r="S911" s="656" t="s">
        <v>1394</v>
      </c>
      <c r="T911" s="656"/>
      <c r="U911" s="656" t="s">
        <v>1394</v>
      </c>
      <c r="V911" s="656"/>
      <c r="W911" s="656" t="s">
        <v>13051</v>
      </c>
      <c r="X911" s="656" t="s">
        <v>498</v>
      </c>
      <c r="Y911" s="656" t="s">
        <v>14278</v>
      </c>
      <c r="Z911" s="656">
        <v>44305.522453703707</v>
      </c>
      <c r="AA911" s="656" t="s">
        <v>14335</v>
      </c>
      <c r="AB911" s="656"/>
    </row>
    <row r="912" spans="1:28">
      <c r="A912" s="656" t="s">
        <v>2590</v>
      </c>
      <c r="B912" s="656" t="s">
        <v>2591</v>
      </c>
      <c r="C912" s="656" t="s">
        <v>21</v>
      </c>
      <c r="D912" s="656" t="s">
        <v>11717</v>
      </c>
      <c r="E912" s="656" t="s">
        <v>14275</v>
      </c>
      <c r="F912" s="1447">
        <v>43518</v>
      </c>
      <c r="G912" s="656" t="s">
        <v>11716</v>
      </c>
      <c r="H912" s="656" t="s">
        <v>1777</v>
      </c>
      <c r="I912" s="656" t="s">
        <v>14569</v>
      </c>
      <c r="J912" s="656" t="s">
        <v>11717</v>
      </c>
      <c r="K912" s="656" t="s">
        <v>9733</v>
      </c>
      <c r="L912" s="656"/>
      <c r="M912" s="656" t="s">
        <v>16196</v>
      </c>
      <c r="N912" s="656"/>
      <c r="O912" s="656" t="s">
        <v>6387</v>
      </c>
      <c r="P912" s="5"/>
      <c r="Q912" s="1447">
        <v>42808</v>
      </c>
      <c r="R912" s="656">
        <v>43190</v>
      </c>
      <c r="S912" s="656" t="s">
        <v>1394</v>
      </c>
      <c r="T912" s="656" t="s">
        <v>14280</v>
      </c>
      <c r="U912" s="656" t="s">
        <v>11626</v>
      </c>
      <c r="V912" s="656"/>
      <c r="W912" s="656" t="s">
        <v>13051</v>
      </c>
      <c r="X912" s="656" t="s">
        <v>498</v>
      </c>
      <c r="Y912" s="656" t="s">
        <v>14278</v>
      </c>
      <c r="Z912" s="656">
        <v>44305.522430555553</v>
      </c>
      <c r="AA912" s="656" t="s">
        <v>14335</v>
      </c>
      <c r="AB912" s="656"/>
    </row>
    <row r="913" spans="1:28">
      <c r="A913" s="656" t="s">
        <v>2590</v>
      </c>
      <c r="B913" s="656" t="s">
        <v>2591</v>
      </c>
      <c r="C913" s="656" t="s">
        <v>20</v>
      </c>
      <c r="D913" s="656" t="s">
        <v>11718</v>
      </c>
      <c r="E913" s="656" t="s">
        <v>14275</v>
      </c>
      <c r="F913" s="1447">
        <v>43501</v>
      </c>
      <c r="G913" s="656" t="s">
        <v>11716</v>
      </c>
      <c r="H913" s="656" t="s">
        <v>1777</v>
      </c>
      <c r="I913" s="656"/>
      <c r="J913" s="656"/>
      <c r="K913" s="656"/>
      <c r="L913" s="656" t="s">
        <v>11718</v>
      </c>
      <c r="M913" s="656" t="s">
        <v>16196</v>
      </c>
      <c r="N913" s="656"/>
      <c r="O913" s="656" t="s">
        <v>6395</v>
      </c>
      <c r="P913" s="5"/>
      <c r="Q913" s="1447">
        <v>42809</v>
      </c>
      <c r="R913" s="656"/>
      <c r="S913" s="656" t="s">
        <v>1394</v>
      </c>
      <c r="T913" s="656" t="s">
        <v>14280</v>
      </c>
      <c r="U913" s="656" t="s">
        <v>11626</v>
      </c>
      <c r="V913" s="656"/>
      <c r="W913" s="656" t="s">
        <v>13051</v>
      </c>
      <c r="X913" s="656" t="s">
        <v>498</v>
      </c>
      <c r="Y913" s="656" t="s">
        <v>14278</v>
      </c>
      <c r="Z913" s="656">
        <v>44305.52244212963</v>
      </c>
      <c r="AA913" s="656" t="s">
        <v>14335</v>
      </c>
      <c r="AB913" s="656"/>
    </row>
    <row r="914" spans="1:28">
      <c r="A914" s="656" t="s">
        <v>2592</v>
      </c>
      <c r="B914" s="656" t="s">
        <v>2593</v>
      </c>
      <c r="C914" s="656" t="s">
        <v>21</v>
      </c>
      <c r="D914" s="656" t="s">
        <v>12523</v>
      </c>
      <c r="E914" s="656" t="s">
        <v>14313</v>
      </c>
      <c r="F914" s="1447"/>
      <c r="G914" s="656" t="s">
        <v>10073</v>
      </c>
      <c r="H914" s="656" t="s">
        <v>1584</v>
      </c>
      <c r="I914" s="656" t="s">
        <v>14570</v>
      </c>
      <c r="J914" s="656" t="s">
        <v>12523</v>
      </c>
      <c r="K914" s="656" t="s">
        <v>9774</v>
      </c>
      <c r="L914" s="656"/>
      <c r="M914" s="656" t="s">
        <v>12703</v>
      </c>
      <c r="N914" s="656"/>
      <c r="O914" s="656" t="s">
        <v>6427</v>
      </c>
      <c r="P914" s="5"/>
      <c r="Q914" s="1447">
        <v>44076</v>
      </c>
      <c r="R914" s="656">
        <v>44286</v>
      </c>
      <c r="S914" s="656" t="s">
        <v>455</v>
      </c>
      <c r="T914" s="656"/>
      <c r="U914" s="656"/>
      <c r="V914" s="656"/>
      <c r="W914" s="656" t="s">
        <v>13051</v>
      </c>
      <c r="X914" s="656" t="s">
        <v>498</v>
      </c>
      <c r="Y914" s="656" t="s">
        <v>14278</v>
      </c>
      <c r="Z914" s="656">
        <v>44306.417928240742</v>
      </c>
      <c r="AA914" s="656" t="s">
        <v>15959</v>
      </c>
      <c r="AB914" s="656"/>
    </row>
    <row r="915" spans="1:28">
      <c r="A915" s="656" t="s">
        <v>2592</v>
      </c>
      <c r="B915" s="656" t="s">
        <v>2593</v>
      </c>
      <c r="C915" s="656" t="s">
        <v>20</v>
      </c>
      <c r="D915" s="656" t="s">
        <v>10074</v>
      </c>
      <c r="E915" s="656" t="s">
        <v>14279</v>
      </c>
      <c r="F915" s="1447"/>
      <c r="G915" s="656" t="s">
        <v>10073</v>
      </c>
      <c r="H915" s="656" t="s">
        <v>1777</v>
      </c>
      <c r="I915" s="656"/>
      <c r="J915" s="656"/>
      <c r="K915" s="656"/>
      <c r="L915" s="656" t="s">
        <v>10074</v>
      </c>
      <c r="M915" s="656" t="s">
        <v>12703</v>
      </c>
      <c r="N915" s="656"/>
      <c r="O915" s="656" t="s">
        <v>6387</v>
      </c>
      <c r="P915" s="5"/>
      <c r="Q915" s="1447">
        <v>43739</v>
      </c>
      <c r="R915" s="656"/>
      <c r="S915" s="656" t="s">
        <v>450</v>
      </c>
      <c r="T915" s="656"/>
      <c r="U915" s="656"/>
      <c r="V915" s="656"/>
      <c r="W915" s="656" t="s">
        <v>13051</v>
      </c>
      <c r="X915" s="656" t="s">
        <v>498</v>
      </c>
      <c r="Y915" s="656" t="s">
        <v>14278</v>
      </c>
      <c r="Z915" s="656">
        <v>44306.419259259259</v>
      </c>
      <c r="AA915" s="656" t="s">
        <v>15959</v>
      </c>
      <c r="AB915" s="656"/>
    </row>
    <row r="916" spans="1:28">
      <c r="A916" s="656" t="s">
        <v>2595</v>
      </c>
      <c r="B916" s="656" t="s">
        <v>2596</v>
      </c>
      <c r="C916" s="656" t="s">
        <v>20</v>
      </c>
      <c r="D916" s="656" t="s">
        <v>12082</v>
      </c>
      <c r="E916" s="656" t="s">
        <v>14275</v>
      </c>
      <c r="F916" s="1447">
        <v>43626</v>
      </c>
      <c r="G916" s="656" t="s">
        <v>12081</v>
      </c>
      <c r="H916" s="656" t="s">
        <v>1777</v>
      </c>
      <c r="I916" s="656"/>
      <c r="J916" s="656"/>
      <c r="K916" s="656"/>
      <c r="L916" s="656" t="s">
        <v>12082</v>
      </c>
      <c r="M916" s="656" t="s">
        <v>12703</v>
      </c>
      <c r="N916" s="656"/>
      <c r="O916" s="656" t="s">
        <v>6387</v>
      </c>
      <c r="P916" s="5"/>
      <c r="Q916" s="1447">
        <v>43305</v>
      </c>
      <c r="R916" s="656"/>
      <c r="S916" s="656" t="s">
        <v>500</v>
      </c>
      <c r="T916" s="656"/>
      <c r="U916" s="656"/>
      <c r="V916" s="656"/>
      <c r="W916" s="656" t="s">
        <v>13051</v>
      </c>
      <c r="X916" s="656" t="s">
        <v>498</v>
      </c>
      <c r="Y916" s="656" t="s">
        <v>14278</v>
      </c>
      <c r="Z916" s="656">
        <v>44305.753865740742</v>
      </c>
      <c r="AA916" s="656" t="s">
        <v>14335</v>
      </c>
      <c r="AB916" s="656"/>
    </row>
    <row r="917" spans="1:28" ht="29">
      <c r="A917" s="656" t="s">
        <v>2599</v>
      </c>
      <c r="B917" s="656" t="s">
        <v>1111</v>
      </c>
      <c r="C917" s="656" t="s">
        <v>20</v>
      </c>
      <c r="D917" s="656" t="s">
        <v>16390</v>
      </c>
      <c r="E917" s="656" t="s">
        <v>14279</v>
      </c>
      <c r="F917" s="1447"/>
      <c r="G917" s="656" t="s">
        <v>16391</v>
      </c>
      <c r="H917" s="656" t="s">
        <v>1777</v>
      </c>
      <c r="I917" s="656"/>
      <c r="J917" s="656"/>
      <c r="K917" s="656"/>
      <c r="L917" s="656" t="s">
        <v>16390</v>
      </c>
      <c r="M917" s="656" t="s">
        <v>16330</v>
      </c>
      <c r="N917" s="656" t="s">
        <v>14557</v>
      </c>
      <c r="O917" s="656" t="s">
        <v>2637</v>
      </c>
      <c r="P917" s="5" t="s">
        <v>16469</v>
      </c>
      <c r="Q917" s="1447">
        <v>44265</v>
      </c>
      <c r="R917" s="656"/>
      <c r="S917" s="656" t="s">
        <v>1195</v>
      </c>
      <c r="T917" s="656"/>
      <c r="U917" s="656"/>
      <c r="V917" s="656"/>
      <c r="W917" s="656" t="s">
        <v>13051</v>
      </c>
      <c r="X917" s="656" t="s">
        <v>498</v>
      </c>
      <c r="Y917" s="656" t="s">
        <v>14278</v>
      </c>
      <c r="Z917" s="656">
        <v>44305.527766203704</v>
      </c>
      <c r="AA917" s="656" t="s">
        <v>14335</v>
      </c>
      <c r="AB917" s="656"/>
    </row>
    <row r="918" spans="1:28">
      <c r="A918" s="656" t="s">
        <v>2599</v>
      </c>
      <c r="B918" s="656" t="s">
        <v>1111</v>
      </c>
      <c r="C918" s="656" t="s">
        <v>20</v>
      </c>
      <c r="D918" s="656" t="s">
        <v>16392</v>
      </c>
      <c r="E918" s="656" t="s">
        <v>14279</v>
      </c>
      <c r="F918" s="1447"/>
      <c r="G918" s="656" t="s">
        <v>16393</v>
      </c>
      <c r="H918" s="656" t="s">
        <v>1777</v>
      </c>
      <c r="I918" s="656"/>
      <c r="J918" s="656"/>
      <c r="K918" s="656"/>
      <c r="L918" s="656" t="s">
        <v>16392</v>
      </c>
      <c r="M918" s="656" t="s">
        <v>16330</v>
      </c>
      <c r="N918" s="656" t="s">
        <v>14557</v>
      </c>
      <c r="O918" s="656" t="s">
        <v>2637</v>
      </c>
      <c r="P918" s="5"/>
      <c r="Q918" s="1447">
        <v>44308</v>
      </c>
      <c r="R918" s="656"/>
      <c r="S918" s="656" t="s">
        <v>1195</v>
      </c>
      <c r="T918" s="656"/>
      <c r="U918" s="656"/>
      <c r="V918" s="656"/>
      <c r="W918" s="656" t="s">
        <v>13051</v>
      </c>
      <c r="X918" s="656" t="s">
        <v>498</v>
      </c>
      <c r="Y918" s="656" t="s">
        <v>14278</v>
      </c>
      <c r="Z918" s="656">
        <v>44309.528032407405</v>
      </c>
      <c r="AA918" s="656" t="s">
        <v>14276</v>
      </c>
      <c r="AB918" s="656"/>
    </row>
    <row r="919" spans="1:28">
      <c r="A919" s="656" t="s">
        <v>2602</v>
      </c>
      <c r="B919" s="656" t="s">
        <v>2603</v>
      </c>
      <c r="C919" s="656" t="s">
        <v>20</v>
      </c>
      <c r="D919" s="656" t="s">
        <v>12035</v>
      </c>
      <c r="E919" s="656" t="s">
        <v>14275</v>
      </c>
      <c r="F919" s="1447">
        <v>43808</v>
      </c>
      <c r="G919" s="656" t="s">
        <v>12034</v>
      </c>
      <c r="H919" s="656" t="s">
        <v>1777</v>
      </c>
      <c r="I919" s="656"/>
      <c r="J919" s="656"/>
      <c r="K919" s="656"/>
      <c r="L919" s="656" t="s">
        <v>12035</v>
      </c>
      <c r="M919" s="656" t="s">
        <v>16323</v>
      </c>
      <c r="N919" s="656"/>
      <c r="O919" s="656" t="s">
        <v>6395</v>
      </c>
      <c r="P919" s="5"/>
      <c r="Q919" s="1447">
        <v>43238</v>
      </c>
      <c r="R919" s="656"/>
      <c r="S919" s="656" t="s">
        <v>1050</v>
      </c>
      <c r="T919" s="656"/>
      <c r="U919" s="656" t="s">
        <v>1050</v>
      </c>
      <c r="V919" s="656"/>
      <c r="W919" s="656" t="s">
        <v>13051</v>
      </c>
      <c r="X919" s="656" t="s">
        <v>498</v>
      </c>
      <c r="Y919" s="656" t="s">
        <v>14278</v>
      </c>
      <c r="Z919" s="656">
        <v>44305.522418981483</v>
      </c>
      <c r="AA919" s="656" t="s">
        <v>14335</v>
      </c>
      <c r="AB919" s="656"/>
    </row>
    <row r="920" spans="1:28">
      <c r="A920" s="656" t="s">
        <v>2612</v>
      </c>
      <c r="B920" s="656" t="s">
        <v>2613</v>
      </c>
      <c r="C920" s="656" t="s">
        <v>20</v>
      </c>
      <c r="D920" s="656" t="s">
        <v>11715</v>
      </c>
      <c r="E920" s="656" t="s">
        <v>14275</v>
      </c>
      <c r="F920" s="1447">
        <v>43336</v>
      </c>
      <c r="G920" s="656" t="s">
        <v>11714</v>
      </c>
      <c r="H920" s="656" t="s">
        <v>1777</v>
      </c>
      <c r="I920" s="656"/>
      <c r="J920" s="656"/>
      <c r="K920" s="656"/>
      <c r="L920" s="656" t="s">
        <v>11715</v>
      </c>
      <c r="M920" s="656" t="s">
        <v>16196</v>
      </c>
      <c r="N920" s="656"/>
      <c r="O920" s="656" t="s">
        <v>6393</v>
      </c>
      <c r="P920" s="5"/>
      <c r="Q920" s="1447">
        <v>42843</v>
      </c>
      <c r="R920" s="656"/>
      <c r="S920" s="656" t="s">
        <v>1300</v>
      </c>
      <c r="T920" s="656" t="s">
        <v>14559</v>
      </c>
      <c r="U920" s="656" t="s">
        <v>500</v>
      </c>
      <c r="V920" s="656"/>
      <c r="W920" s="656" t="s">
        <v>13051</v>
      </c>
      <c r="X920" s="656" t="s">
        <v>498</v>
      </c>
      <c r="Y920" s="656" t="s">
        <v>14278</v>
      </c>
      <c r="Z920" s="656">
        <v>44305.522407407407</v>
      </c>
      <c r="AA920" s="656" t="s">
        <v>14335</v>
      </c>
      <c r="AB920" s="656"/>
    </row>
    <row r="921" spans="1:28">
      <c r="A921" s="656" t="s">
        <v>2619</v>
      </c>
      <c r="B921" s="656" t="s">
        <v>2620</v>
      </c>
      <c r="C921" s="656" t="s">
        <v>21</v>
      </c>
      <c r="D921" s="656" t="s">
        <v>11712</v>
      </c>
      <c r="E921" s="656" t="s">
        <v>14384</v>
      </c>
      <c r="F921" s="1447">
        <v>43795</v>
      </c>
      <c r="G921" s="656" t="s">
        <v>11711</v>
      </c>
      <c r="H921" s="656" t="s">
        <v>1777</v>
      </c>
      <c r="I921" s="656" t="s">
        <v>14571</v>
      </c>
      <c r="J921" s="656" t="s">
        <v>11712</v>
      </c>
      <c r="K921" s="656" t="s">
        <v>9733</v>
      </c>
      <c r="L921" s="656"/>
      <c r="M921" s="656" t="s">
        <v>16196</v>
      </c>
      <c r="N921" s="656"/>
      <c r="O921" s="656" t="s">
        <v>6395</v>
      </c>
      <c r="P921" s="5" t="s">
        <v>14572</v>
      </c>
      <c r="Q921" s="1447">
        <v>42808</v>
      </c>
      <c r="R921" s="656"/>
      <c r="S921" s="656" t="s">
        <v>1394</v>
      </c>
      <c r="T921" s="656" t="s">
        <v>14280</v>
      </c>
      <c r="U921" s="656" t="s">
        <v>11626</v>
      </c>
      <c r="V921" s="656"/>
      <c r="W921" s="656" t="s">
        <v>13051</v>
      </c>
      <c r="X921" s="656" t="s">
        <v>498</v>
      </c>
      <c r="Y921" s="656" t="s">
        <v>14278</v>
      </c>
      <c r="Z921" s="656">
        <v>44305.52239583333</v>
      </c>
      <c r="AA921" s="656" t="s">
        <v>14335</v>
      </c>
      <c r="AB921" s="656"/>
    </row>
    <row r="922" spans="1:28">
      <c r="A922" s="656" t="s">
        <v>2619</v>
      </c>
      <c r="B922" s="656" t="s">
        <v>2620</v>
      </c>
      <c r="C922" s="656" t="s">
        <v>20</v>
      </c>
      <c r="D922" s="656" t="s">
        <v>11713</v>
      </c>
      <c r="E922" s="656" t="s">
        <v>14275</v>
      </c>
      <c r="F922" s="1447">
        <v>43819</v>
      </c>
      <c r="G922" s="656" t="s">
        <v>11711</v>
      </c>
      <c r="H922" s="656" t="s">
        <v>1777</v>
      </c>
      <c r="I922" s="656"/>
      <c r="J922" s="656"/>
      <c r="K922" s="656"/>
      <c r="L922" s="656" t="s">
        <v>11713</v>
      </c>
      <c r="M922" s="656" t="s">
        <v>16196</v>
      </c>
      <c r="N922" s="656"/>
      <c r="O922" s="656" t="s">
        <v>6395</v>
      </c>
      <c r="P922" s="5"/>
      <c r="Q922" s="1447">
        <v>43336</v>
      </c>
      <c r="R922" s="656"/>
      <c r="S922" s="656" t="s">
        <v>1394</v>
      </c>
      <c r="T922" s="656" t="s">
        <v>14280</v>
      </c>
      <c r="U922" s="656" t="s">
        <v>11626</v>
      </c>
      <c r="V922" s="656"/>
      <c r="W922" s="656" t="s">
        <v>13051</v>
      </c>
      <c r="X922" s="656" t="s">
        <v>498</v>
      </c>
      <c r="Y922" s="656" t="s">
        <v>14278</v>
      </c>
      <c r="Z922" s="656">
        <v>44305.522407407407</v>
      </c>
      <c r="AA922" s="656" t="s">
        <v>14335</v>
      </c>
      <c r="AB922" s="656"/>
    </row>
    <row r="923" spans="1:28">
      <c r="A923" s="656" t="s">
        <v>2621</v>
      </c>
      <c r="B923" s="656" t="s">
        <v>2622</v>
      </c>
      <c r="C923" s="656" t="s">
        <v>20</v>
      </c>
      <c r="D923" s="656" t="s">
        <v>11709</v>
      </c>
      <c r="E923" s="656" t="s">
        <v>14275</v>
      </c>
      <c r="F923" s="1447">
        <v>43088</v>
      </c>
      <c r="G923" s="656" t="s">
        <v>11708</v>
      </c>
      <c r="H923" s="656" t="s">
        <v>1777</v>
      </c>
      <c r="I923" s="656"/>
      <c r="J923" s="656"/>
      <c r="K923" s="656"/>
      <c r="L923" s="656" t="s">
        <v>11709</v>
      </c>
      <c r="M923" s="656" t="s">
        <v>1947</v>
      </c>
      <c r="N923" s="656"/>
      <c r="O923" s="656" t="s">
        <v>6393</v>
      </c>
      <c r="P923" s="5"/>
      <c r="Q923" s="1447">
        <v>42843</v>
      </c>
      <c r="R923" s="656"/>
      <c r="S923" s="656" t="s">
        <v>500</v>
      </c>
      <c r="T923" s="656" t="s">
        <v>4198</v>
      </c>
      <c r="U923" s="656" t="s">
        <v>1300</v>
      </c>
      <c r="V923" s="656"/>
      <c r="W923" s="656" t="s">
        <v>13051</v>
      </c>
      <c r="X923" s="656" t="s">
        <v>498</v>
      </c>
      <c r="Y923" s="656" t="s">
        <v>14278</v>
      </c>
      <c r="Z923" s="656">
        <v>44305.52238425926</v>
      </c>
      <c r="AA923" s="656" t="s">
        <v>14335</v>
      </c>
      <c r="AB923" s="656"/>
    </row>
    <row r="924" spans="1:28">
      <c r="A924" s="656" t="s">
        <v>2621</v>
      </c>
      <c r="B924" s="656" t="s">
        <v>2622</v>
      </c>
      <c r="C924" s="656" t="s">
        <v>20</v>
      </c>
      <c r="D924" s="656" t="s">
        <v>11710</v>
      </c>
      <c r="E924" s="656" t="s">
        <v>14275</v>
      </c>
      <c r="F924" s="1447">
        <v>43124</v>
      </c>
      <c r="G924" s="656" t="s">
        <v>11708</v>
      </c>
      <c r="H924" s="656" t="s">
        <v>1777</v>
      </c>
      <c r="I924" s="656"/>
      <c r="J924" s="656"/>
      <c r="K924" s="656"/>
      <c r="L924" s="656" t="s">
        <v>11710</v>
      </c>
      <c r="M924" s="656" t="s">
        <v>16196</v>
      </c>
      <c r="N924" s="656"/>
      <c r="O924" s="656" t="s">
        <v>6393</v>
      </c>
      <c r="P924" s="5"/>
      <c r="Q924" s="1447">
        <v>42843</v>
      </c>
      <c r="R924" s="656"/>
      <c r="S924" s="656" t="s">
        <v>500</v>
      </c>
      <c r="T924" s="656" t="s">
        <v>4198</v>
      </c>
      <c r="U924" s="656" t="s">
        <v>1300</v>
      </c>
      <c r="V924" s="656"/>
      <c r="W924" s="656" t="s">
        <v>13051</v>
      </c>
      <c r="X924" s="656" t="s">
        <v>498</v>
      </c>
      <c r="Y924" s="656" t="s">
        <v>14278</v>
      </c>
      <c r="Z924" s="656">
        <v>44305.52239583333</v>
      </c>
      <c r="AA924" s="656" t="s">
        <v>14335</v>
      </c>
      <c r="AB924" s="656"/>
    </row>
    <row r="925" spans="1:28">
      <c r="A925" s="656" t="s">
        <v>2627</v>
      </c>
      <c r="B925" s="656" t="s">
        <v>2628</v>
      </c>
      <c r="C925" s="656" t="s">
        <v>21</v>
      </c>
      <c r="D925" s="656" t="s">
        <v>11706</v>
      </c>
      <c r="E925" s="656" t="s">
        <v>14384</v>
      </c>
      <c r="F925" s="1447">
        <v>43157</v>
      </c>
      <c r="G925" s="656" t="s">
        <v>11705</v>
      </c>
      <c r="H925" s="656" t="s">
        <v>1777</v>
      </c>
      <c r="I925" s="656" t="s">
        <v>14573</v>
      </c>
      <c r="J925" s="656" t="s">
        <v>11706</v>
      </c>
      <c r="K925" s="656" t="s">
        <v>9733</v>
      </c>
      <c r="L925" s="656"/>
      <c r="M925" s="656" t="s">
        <v>16196</v>
      </c>
      <c r="N925" s="656"/>
      <c r="O925" s="656" t="s">
        <v>6395</v>
      </c>
      <c r="P925" s="5" t="s">
        <v>14574</v>
      </c>
      <c r="Q925" s="1447">
        <v>42776</v>
      </c>
      <c r="R925" s="656"/>
      <c r="S925" s="656" t="s">
        <v>1394</v>
      </c>
      <c r="T925" s="656" t="s">
        <v>14280</v>
      </c>
      <c r="U925" s="656" t="s">
        <v>11626</v>
      </c>
      <c r="V925" s="656"/>
      <c r="W925" s="656" t="s">
        <v>13051</v>
      </c>
      <c r="X925" s="656" t="s">
        <v>498</v>
      </c>
      <c r="Y925" s="656" t="s">
        <v>14278</v>
      </c>
      <c r="Z925" s="656">
        <v>44305.52238425926</v>
      </c>
      <c r="AA925" s="656" t="s">
        <v>14335</v>
      </c>
      <c r="AB925" s="656"/>
    </row>
    <row r="926" spans="1:28">
      <c r="A926" s="656" t="s">
        <v>2627</v>
      </c>
      <c r="B926" s="656" t="s">
        <v>2628</v>
      </c>
      <c r="C926" s="656" t="s">
        <v>20</v>
      </c>
      <c r="D926" s="656" t="s">
        <v>11707</v>
      </c>
      <c r="E926" s="656" t="s">
        <v>14275</v>
      </c>
      <c r="F926" s="1447">
        <v>43172</v>
      </c>
      <c r="G926" s="656" t="s">
        <v>11705</v>
      </c>
      <c r="H926" s="656" t="s">
        <v>1777</v>
      </c>
      <c r="I926" s="656"/>
      <c r="J926" s="656"/>
      <c r="K926" s="656"/>
      <c r="L926" s="656" t="s">
        <v>11707</v>
      </c>
      <c r="M926" s="656" t="s">
        <v>16196</v>
      </c>
      <c r="N926" s="656"/>
      <c r="O926" s="656" t="s">
        <v>6395</v>
      </c>
      <c r="P926" s="5"/>
      <c r="Q926" s="1447"/>
      <c r="R926" s="656"/>
      <c r="S926" s="656" t="s">
        <v>1394</v>
      </c>
      <c r="T926" s="656" t="s">
        <v>14280</v>
      </c>
      <c r="U926" s="656" t="s">
        <v>11626</v>
      </c>
      <c r="V926" s="656"/>
      <c r="W926" s="656" t="s">
        <v>13051</v>
      </c>
      <c r="X926" s="656" t="s">
        <v>498</v>
      </c>
      <c r="Y926" s="656" t="s">
        <v>14278</v>
      </c>
      <c r="Z926" s="656">
        <v>44305.52238425926</v>
      </c>
      <c r="AA926" s="656" t="s">
        <v>14335</v>
      </c>
      <c r="AB926" s="656"/>
    </row>
    <row r="927" spans="1:28">
      <c r="A927" s="656" t="s">
        <v>2629</v>
      </c>
      <c r="B927" s="656" t="s">
        <v>2630</v>
      </c>
      <c r="C927" s="656" t="s">
        <v>21</v>
      </c>
      <c r="D927" s="656" t="s">
        <v>11702</v>
      </c>
      <c r="E927" s="656" t="s">
        <v>14275</v>
      </c>
      <c r="F927" s="1447">
        <v>43308</v>
      </c>
      <c r="G927" s="656" t="s">
        <v>11701</v>
      </c>
      <c r="H927" s="656" t="s">
        <v>1777</v>
      </c>
      <c r="I927" s="656" t="s">
        <v>14575</v>
      </c>
      <c r="J927" s="656" t="s">
        <v>11702</v>
      </c>
      <c r="K927" s="656" t="s">
        <v>9733</v>
      </c>
      <c r="L927" s="656"/>
      <c r="M927" s="656" t="s">
        <v>16196</v>
      </c>
      <c r="N927" s="656"/>
      <c r="O927" s="656" t="s">
        <v>6395</v>
      </c>
      <c r="P927" s="5"/>
      <c r="Q927" s="1447">
        <v>42776</v>
      </c>
      <c r="R927" s="656">
        <v>43085</v>
      </c>
      <c r="S927" s="656" t="s">
        <v>1394</v>
      </c>
      <c r="T927" s="656" t="s">
        <v>14280</v>
      </c>
      <c r="U927" s="656" t="s">
        <v>11626</v>
      </c>
      <c r="V927" s="656"/>
      <c r="W927" s="656" t="s">
        <v>13051</v>
      </c>
      <c r="X927" s="656" t="s">
        <v>498</v>
      </c>
      <c r="Y927" s="656" t="s">
        <v>14278</v>
      </c>
      <c r="Z927" s="656">
        <v>44305.522361111114</v>
      </c>
      <c r="AA927" s="656" t="s">
        <v>14335</v>
      </c>
      <c r="AB927" s="656"/>
    </row>
    <row r="928" spans="1:28">
      <c r="A928" s="656" t="s">
        <v>2629</v>
      </c>
      <c r="B928" s="656" t="s">
        <v>2630</v>
      </c>
      <c r="C928" s="656" t="s">
        <v>20</v>
      </c>
      <c r="D928" s="656" t="s">
        <v>11703</v>
      </c>
      <c r="E928" s="656" t="s">
        <v>14275</v>
      </c>
      <c r="F928" s="1447">
        <v>43250</v>
      </c>
      <c r="G928" s="656" t="s">
        <v>11701</v>
      </c>
      <c r="H928" s="656" t="s">
        <v>1777</v>
      </c>
      <c r="I928" s="656"/>
      <c r="J928" s="656"/>
      <c r="K928" s="656"/>
      <c r="L928" s="656" t="s">
        <v>11703</v>
      </c>
      <c r="M928" s="656" t="s">
        <v>1947</v>
      </c>
      <c r="N928" s="656"/>
      <c r="O928" s="656" t="s">
        <v>6395</v>
      </c>
      <c r="P928" s="5"/>
      <c r="Q928" s="1447"/>
      <c r="R928" s="656"/>
      <c r="S928" s="656" t="s">
        <v>1394</v>
      </c>
      <c r="T928" s="656" t="s">
        <v>14280</v>
      </c>
      <c r="U928" s="656" t="s">
        <v>11626</v>
      </c>
      <c r="V928" s="656"/>
      <c r="W928" s="656" t="s">
        <v>13051</v>
      </c>
      <c r="X928" s="656" t="s">
        <v>498</v>
      </c>
      <c r="Y928" s="656" t="s">
        <v>14278</v>
      </c>
      <c r="Z928" s="656">
        <v>44305.522372685184</v>
      </c>
      <c r="AA928" s="656" t="s">
        <v>14335</v>
      </c>
      <c r="AB928" s="656"/>
    </row>
    <row r="929" spans="1:28">
      <c r="A929" s="656" t="s">
        <v>2629</v>
      </c>
      <c r="B929" s="656" t="s">
        <v>2630</v>
      </c>
      <c r="C929" s="656" t="s">
        <v>20</v>
      </c>
      <c r="D929" s="656" t="s">
        <v>11704</v>
      </c>
      <c r="E929" s="656" t="s">
        <v>14275</v>
      </c>
      <c r="F929" s="1447">
        <v>43250</v>
      </c>
      <c r="G929" s="656" t="s">
        <v>11701</v>
      </c>
      <c r="H929" s="656" t="s">
        <v>1777</v>
      </c>
      <c r="I929" s="656"/>
      <c r="J929" s="656"/>
      <c r="K929" s="656"/>
      <c r="L929" s="656" t="s">
        <v>11704</v>
      </c>
      <c r="M929" s="656" t="s">
        <v>16196</v>
      </c>
      <c r="N929" s="656"/>
      <c r="O929" s="656" t="s">
        <v>6395</v>
      </c>
      <c r="P929" s="5"/>
      <c r="Q929" s="1447"/>
      <c r="R929" s="656"/>
      <c r="S929" s="656" t="s">
        <v>1394</v>
      </c>
      <c r="T929" s="656" t="s">
        <v>14280</v>
      </c>
      <c r="U929" s="656" t="s">
        <v>11626</v>
      </c>
      <c r="V929" s="656"/>
      <c r="W929" s="656" t="s">
        <v>13051</v>
      </c>
      <c r="X929" s="656" t="s">
        <v>498</v>
      </c>
      <c r="Y929" s="656" t="s">
        <v>14278</v>
      </c>
      <c r="Z929" s="656">
        <v>44305.522372685184</v>
      </c>
      <c r="AA929" s="656" t="s">
        <v>14335</v>
      </c>
      <c r="AB929" s="656"/>
    </row>
    <row r="930" spans="1:28">
      <c r="A930" s="656" t="s">
        <v>2631</v>
      </c>
      <c r="B930" s="656" t="s">
        <v>2632</v>
      </c>
      <c r="C930" s="656" t="s">
        <v>21</v>
      </c>
      <c r="D930" s="656" t="s">
        <v>11699</v>
      </c>
      <c r="E930" s="656" t="s">
        <v>14275</v>
      </c>
      <c r="F930" s="1447">
        <v>43492</v>
      </c>
      <c r="G930" s="656" t="s">
        <v>11698</v>
      </c>
      <c r="H930" s="656" t="s">
        <v>1777</v>
      </c>
      <c r="I930" s="656" t="s">
        <v>14575</v>
      </c>
      <c r="J930" s="656" t="s">
        <v>11699</v>
      </c>
      <c r="K930" s="656" t="s">
        <v>9733</v>
      </c>
      <c r="L930" s="656"/>
      <c r="M930" s="656" t="s">
        <v>16196</v>
      </c>
      <c r="N930" s="656"/>
      <c r="O930" s="656" t="s">
        <v>6395</v>
      </c>
      <c r="P930" s="5"/>
      <c r="Q930" s="1447">
        <v>42776</v>
      </c>
      <c r="R930" s="656">
        <v>43361</v>
      </c>
      <c r="S930" s="656" t="s">
        <v>1394</v>
      </c>
      <c r="T930" s="656" t="s">
        <v>14280</v>
      </c>
      <c r="U930" s="656" t="s">
        <v>11626</v>
      </c>
      <c r="V930" s="656"/>
      <c r="W930" s="656" t="s">
        <v>13051</v>
      </c>
      <c r="X930" s="656" t="s">
        <v>498</v>
      </c>
      <c r="Y930" s="656" t="s">
        <v>14278</v>
      </c>
      <c r="Z930" s="656">
        <v>44305.522349537037</v>
      </c>
      <c r="AA930" s="656" t="s">
        <v>14335</v>
      </c>
      <c r="AB930" s="656"/>
    </row>
    <row r="931" spans="1:28">
      <c r="A931" s="656" t="s">
        <v>2631</v>
      </c>
      <c r="B931" s="656" t="s">
        <v>2632</v>
      </c>
      <c r="C931" s="656" t="s">
        <v>20</v>
      </c>
      <c r="D931" s="656" t="s">
        <v>11700</v>
      </c>
      <c r="E931" s="656" t="s">
        <v>14275</v>
      </c>
      <c r="F931" s="1447">
        <v>43493</v>
      </c>
      <c r="G931" s="656" t="s">
        <v>11698</v>
      </c>
      <c r="H931" s="656" t="s">
        <v>1777</v>
      </c>
      <c r="I931" s="656"/>
      <c r="J931" s="656"/>
      <c r="K931" s="656"/>
      <c r="L931" s="656" t="s">
        <v>11700</v>
      </c>
      <c r="M931" s="656" t="s">
        <v>16196</v>
      </c>
      <c r="N931" s="656"/>
      <c r="O931" s="656" t="s">
        <v>6395</v>
      </c>
      <c r="P931" s="5"/>
      <c r="Q931" s="1447"/>
      <c r="R931" s="656"/>
      <c r="S931" s="656" t="s">
        <v>1394</v>
      </c>
      <c r="T931" s="656" t="s">
        <v>14280</v>
      </c>
      <c r="U931" s="656" t="s">
        <v>11626</v>
      </c>
      <c r="V931" s="656"/>
      <c r="W931" s="656" t="s">
        <v>13051</v>
      </c>
      <c r="X931" s="656" t="s">
        <v>498</v>
      </c>
      <c r="Y931" s="656" t="s">
        <v>14278</v>
      </c>
      <c r="Z931" s="656">
        <v>44305.522361111114</v>
      </c>
      <c r="AA931" s="656" t="s">
        <v>14335</v>
      </c>
      <c r="AB931" s="656"/>
    </row>
    <row r="932" spans="1:28">
      <c r="A932" s="656" t="s">
        <v>2637</v>
      </c>
      <c r="B932" s="656" t="s">
        <v>2638</v>
      </c>
      <c r="C932" s="656" t="s">
        <v>21</v>
      </c>
      <c r="D932" s="656" t="s">
        <v>11695</v>
      </c>
      <c r="E932" s="656" t="s">
        <v>14275</v>
      </c>
      <c r="F932" s="1447">
        <v>43021</v>
      </c>
      <c r="G932" s="656" t="s">
        <v>11694</v>
      </c>
      <c r="H932" s="656" t="s">
        <v>1777</v>
      </c>
      <c r="I932" s="656" t="s">
        <v>14576</v>
      </c>
      <c r="J932" s="656" t="s">
        <v>11695</v>
      </c>
      <c r="K932" s="656" t="s">
        <v>9733</v>
      </c>
      <c r="L932" s="656"/>
      <c r="M932" s="656" t="s">
        <v>16196</v>
      </c>
      <c r="N932" s="656"/>
      <c r="O932" s="656" t="s">
        <v>6395</v>
      </c>
      <c r="P932" s="5"/>
      <c r="Q932" s="1447">
        <v>42811</v>
      </c>
      <c r="R932" s="656">
        <v>42826</v>
      </c>
      <c r="S932" s="656" t="s">
        <v>1394</v>
      </c>
      <c r="T932" s="656" t="s">
        <v>14280</v>
      </c>
      <c r="U932" s="656" t="s">
        <v>11626</v>
      </c>
      <c r="V932" s="656"/>
      <c r="W932" s="656" t="s">
        <v>13051</v>
      </c>
      <c r="X932" s="656" t="s">
        <v>498</v>
      </c>
      <c r="Y932" s="656" t="s">
        <v>14278</v>
      </c>
      <c r="Z932" s="656">
        <v>44305.522337962961</v>
      </c>
      <c r="AA932" s="656" t="s">
        <v>14335</v>
      </c>
      <c r="AB932" s="656"/>
    </row>
    <row r="933" spans="1:28">
      <c r="A933" s="656" t="s">
        <v>2637</v>
      </c>
      <c r="B933" s="656" t="s">
        <v>2638</v>
      </c>
      <c r="C933" s="656" t="s">
        <v>20</v>
      </c>
      <c r="D933" s="656" t="s">
        <v>11696</v>
      </c>
      <c r="E933" s="656" t="s">
        <v>14275</v>
      </c>
      <c r="F933" s="1447">
        <v>43034</v>
      </c>
      <c r="G933" s="656" t="s">
        <v>11694</v>
      </c>
      <c r="H933" s="656" t="s">
        <v>1777</v>
      </c>
      <c r="I933" s="656"/>
      <c r="J933" s="656"/>
      <c r="K933" s="656"/>
      <c r="L933" s="656" t="s">
        <v>11696</v>
      </c>
      <c r="M933" s="656" t="s">
        <v>1947</v>
      </c>
      <c r="N933" s="656"/>
      <c r="O933" s="656" t="s">
        <v>6395</v>
      </c>
      <c r="P933" s="5"/>
      <c r="Q933" s="1447"/>
      <c r="R933" s="656"/>
      <c r="S933" s="656" t="s">
        <v>1394</v>
      </c>
      <c r="T933" s="656" t="s">
        <v>14280</v>
      </c>
      <c r="U933" s="656" t="s">
        <v>11626</v>
      </c>
      <c r="V933" s="656"/>
      <c r="W933" s="656" t="s">
        <v>13051</v>
      </c>
      <c r="X933" s="656" t="s">
        <v>498</v>
      </c>
      <c r="Y933" s="656" t="s">
        <v>14278</v>
      </c>
      <c r="Z933" s="656">
        <v>44305.522337962961</v>
      </c>
      <c r="AA933" s="656" t="s">
        <v>14335</v>
      </c>
      <c r="AB933" s="656"/>
    </row>
    <row r="934" spans="1:28">
      <c r="A934" s="656" t="s">
        <v>2637</v>
      </c>
      <c r="B934" s="656" t="s">
        <v>2638</v>
      </c>
      <c r="C934" s="656" t="s">
        <v>20</v>
      </c>
      <c r="D934" s="656" t="s">
        <v>11697</v>
      </c>
      <c r="E934" s="656" t="s">
        <v>14275</v>
      </c>
      <c r="F934" s="1447">
        <v>43066</v>
      </c>
      <c r="G934" s="656" t="s">
        <v>11694</v>
      </c>
      <c r="H934" s="656" t="s">
        <v>1777</v>
      </c>
      <c r="I934" s="656"/>
      <c r="J934" s="656"/>
      <c r="K934" s="656"/>
      <c r="L934" s="656" t="s">
        <v>11697</v>
      </c>
      <c r="M934" s="656" t="s">
        <v>16196</v>
      </c>
      <c r="N934" s="656"/>
      <c r="O934" s="656" t="s">
        <v>6395</v>
      </c>
      <c r="P934" s="5"/>
      <c r="Q934" s="1447"/>
      <c r="R934" s="656"/>
      <c r="S934" s="656" t="s">
        <v>1394</v>
      </c>
      <c r="T934" s="656" t="s">
        <v>14280</v>
      </c>
      <c r="U934" s="656" t="s">
        <v>11626</v>
      </c>
      <c r="V934" s="656"/>
      <c r="W934" s="656" t="s">
        <v>13051</v>
      </c>
      <c r="X934" s="656" t="s">
        <v>498</v>
      </c>
      <c r="Y934" s="656" t="s">
        <v>14278</v>
      </c>
      <c r="Z934" s="656">
        <v>44305.522349537037</v>
      </c>
      <c r="AA934" s="656" t="s">
        <v>14335</v>
      </c>
      <c r="AB934" s="656"/>
    </row>
    <row r="935" spans="1:28">
      <c r="A935" s="656" t="s">
        <v>2639</v>
      </c>
      <c r="B935" s="656" t="s">
        <v>2640</v>
      </c>
      <c r="C935" s="656" t="s">
        <v>21</v>
      </c>
      <c r="D935" s="656" t="s">
        <v>11692</v>
      </c>
      <c r="E935" s="656" t="s">
        <v>14275</v>
      </c>
      <c r="F935" s="1447">
        <v>43021</v>
      </c>
      <c r="G935" s="656" t="s">
        <v>11691</v>
      </c>
      <c r="H935" s="656" t="s">
        <v>1777</v>
      </c>
      <c r="I935" s="656" t="s">
        <v>14575</v>
      </c>
      <c r="J935" s="656" t="s">
        <v>11692</v>
      </c>
      <c r="K935" s="656" t="s">
        <v>9733</v>
      </c>
      <c r="L935" s="656"/>
      <c r="M935" s="656" t="s">
        <v>16196</v>
      </c>
      <c r="N935" s="656"/>
      <c r="O935" s="656" t="s">
        <v>6395</v>
      </c>
      <c r="P935" s="5"/>
      <c r="Q935" s="1447">
        <v>42776</v>
      </c>
      <c r="R935" s="656">
        <v>42990</v>
      </c>
      <c r="S935" s="656" t="s">
        <v>1394</v>
      </c>
      <c r="T935" s="656" t="s">
        <v>14280</v>
      </c>
      <c r="U935" s="656" t="s">
        <v>11626</v>
      </c>
      <c r="V935" s="656"/>
      <c r="W935" s="656" t="s">
        <v>13051</v>
      </c>
      <c r="X935" s="656" t="s">
        <v>498</v>
      </c>
      <c r="Y935" s="656" t="s">
        <v>14278</v>
      </c>
      <c r="Z935" s="656">
        <v>44305.522326388891</v>
      </c>
      <c r="AA935" s="656" t="s">
        <v>14335</v>
      </c>
      <c r="AB935" s="656"/>
    </row>
    <row r="936" spans="1:28">
      <c r="A936" s="656" t="s">
        <v>2639</v>
      </c>
      <c r="B936" s="656" t="s">
        <v>2640</v>
      </c>
      <c r="C936" s="656" t="s">
        <v>20</v>
      </c>
      <c r="D936" s="656" t="s">
        <v>11693</v>
      </c>
      <c r="E936" s="656" t="s">
        <v>14275</v>
      </c>
      <c r="F936" s="1447">
        <v>43066</v>
      </c>
      <c r="G936" s="656" t="s">
        <v>11691</v>
      </c>
      <c r="H936" s="656" t="s">
        <v>1777</v>
      </c>
      <c r="I936" s="656"/>
      <c r="J936" s="656"/>
      <c r="K936" s="656"/>
      <c r="L936" s="656" t="s">
        <v>11693</v>
      </c>
      <c r="M936" s="656" t="s">
        <v>16196</v>
      </c>
      <c r="N936" s="656"/>
      <c r="O936" s="656" t="s">
        <v>6395</v>
      </c>
      <c r="P936" s="5"/>
      <c r="Q936" s="1447"/>
      <c r="R936" s="656"/>
      <c r="S936" s="656" t="s">
        <v>1394</v>
      </c>
      <c r="T936" s="656" t="s">
        <v>14280</v>
      </c>
      <c r="U936" s="656" t="s">
        <v>11626</v>
      </c>
      <c r="V936" s="656"/>
      <c r="W936" s="656" t="s">
        <v>13051</v>
      </c>
      <c r="X936" s="656" t="s">
        <v>498</v>
      </c>
      <c r="Y936" s="656" t="s">
        <v>14278</v>
      </c>
      <c r="Z936" s="656">
        <v>44305.522337962961</v>
      </c>
      <c r="AA936" s="656" t="s">
        <v>14335</v>
      </c>
      <c r="AB936" s="656"/>
    </row>
    <row r="937" spans="1:28">
      <c r="A937" s="656" t="s">
        <v>2641</v>
      </c>
      <c r="B937" s="656" t="s">
        <v>2642</v>
      </c>
      <c r="C937" s="656" t="s">
        <v>20</v>
      </c>
      <c r="D937" s="656" t="s">
        <v>11690</v>
      </c>
      <c r="E937" s="656" t="s">
        <v>14275</v>
      </c>
      <c r="F937" s="1447">
        <v>43073</v>
      </c>
      <c r="G937" s="656" t="s">
        <v>11689</v>
      </c>
      <c r="H937" s="656" t="s">
        <v>1777</v>
      </c>
      <c r="I937" s="656"/>
      <c r="J937" s="656"/>
      <c r="K937" s="656"/>
      <c r="L937" s="656" t="s">
        <v>11690</v>
      </c>
      <c r="M937" s="656" t="s">
        <v>16196</v>
      </c>
      <c r="N937" s="656"/>
      <c r="O937" s="656" t="s">
        <v>6395</v>
      </c>
      <c r="P937" s="5"/>
      <c r="Q937" s="1447"/>
      <c r="R937" s="656"/>
      <c r="S937" s="656" t="s">
        <v>1394</v>
      </c>
      <c r="T937" s="656" t="s">
        <v>14280</v>
      </c>
      <c r="U937" s="656" t="s">
        <v>11626</v>
      </c>
      <c r="V937" s="656"/>
      <c r="W937" s="656" t="s">
        <v>13051</v>
      </c>
      <c r="X937" s="656" t="s">
        <v>498</v>
      </c>
      <c r="Y937" s="656" t="s">
        <v>14278</v>
      </c>
      <c r="Z937" s="656">
        <v>44305.522314814814</v>
      </c>
      <c r="AA937" s="656" t="s">
        <v>14335</v>
      </c>
      <c r="AB937" s="656"/>
    </row>
    <row r="938" spans="1:28">
      <c r="A938" s="656" t="s">
        <v>2643</v>
      </c>
      <c r="B938" s="656" t="s">
        <v>2644</v>
      </c>
      <c r="C938" s="656" t="s">
        <v>20</v>
      </c>
      <c r="D938" s="656" t="s">
        <v>11687</v>
      </c>
      <c r="E938" s="656" t="s">
        <v>14275</v>
      </c>
      <c r="F938" s="1447">
        <v>43222</v>
      </c>
      <c r="G938" s="656" t="s">
        <v>11686</v>
      </c>
      <c r="H938" s="656" t="s">
        <v>1777</v>
      </c>
      <c r="I938" s="656"/>
      <c r="J938" s="656"/>
      <c r="K938" s="656"/>
      <c r="L938" s="656" t="s">
        <v>11687</v>
      </c>
      <c r="M938" s="656" t="s">
        <v>1947</v>
      </c>
      <c r="N938" s="656" t="s">
        <v>11683</v>
      </c>
      <c r="O938" s="656" t="s">
        <v>6395</v>
      </c>
      <c r="P938" s="5"/>
      <c r="Q938" s="1447"/>
      <c r="R938" s="656"/>
      <c r="S938" s="656" t="s">
        <v>1394</v>
      </c>
      <c r="T938" s="656" t="s">
        <v>14280</v>
      </c>
      <c r="U938" s="656" t="s">
        <v>11683</v>
      </c>
      <c r="V938" s="656"/>
      <c r="W938" s="656" t="s">
        <v>13051</v>
      </c>
      <c r="X938" s="656" t="s">
        <v>498</v>
      </c>
      <c r="Y938" s="656" t="s">
        <v>14278</v>
      </c>
      <c r="Z938" s="656">
        <v>44305.522303240738</v>
      </c>
      <c r="AA938" s="656" t="s">
        <v>14335</v>
      </c>
      <c r="AB938" s="656"/>
    </row>
    <row r="939" spans="1:28">
      <c r="A939" s="656" t="s">
        <v>2643</v>
      </c>
      <c r="B939" s="656" t="s">
        <v>2644</v>
      </c>
      <c r="C939" s="656" t="s">
        <v>20</v>
      </c>
      <c r="D939" s="656" t="s">
        <v>11688</v>
      </c>
      <c r="E939" s="656" t="s">
        <v>14275</v>
      </c>
      <c r="F939" s="1447">
        <v>43222</v>
      </c>
      <c r="G939" s="656" t="s">
        <v>11686</v>
      </c>
      <c r="H939" s="656" t="s">
        <v>1777</v>
      </c>
      <c r="I939" s="656"/>
      <c r="J939" s="656"/>
      <c r="K939" s="656"/>
      <c r="L939" s="656" t="s">
        <v>11688</v>
      </c>
      <c r="M939" s="656" t="s">
        <v>16196</v>
      </c>
      <c r="N939" s="656" t="s">
        <v>11683</v>
      </c>
      <c r="O939" s="656" t="s">
        <v>6395</v>
      </c>
      <c r="P939" s="5"/>
      <c r="Q939" s="1447"/>
      <c r="R939" s="656"/>
      <c r="S939" s="656" t="s">
        <v>1394</v>
      </c>
      <c r="T939" s="656" t="s">
        <v>14280</v>
      </c>
      <c r="U939" s="656" t="s">
        <v>11683</v>
      </c>
      <c r="V939" s="656"/>
      <c r="W939" s="656" t="s">
        <v>13051</v>
      </c>
      <c r="X939" s="656" t="s">
        <v>498</v>
      </c>
      <c r="Y939" s="656" t="s">
        <v>14278</v>
      </c>
      <c r="Z939" s="656">
        <v>44305.522314814814</v>
      </c>
      <c r="AA939" s="656" t="s">
        <v>14335</v>
      </c>
      <c r="AB939" s="656"/>
    </row>
    <row r="940" spans="1:28">
      <c r="A940" s="656" t="s">
        <v>2645</v>
      </c>
      <c r="B940" s="656" t="s">
        <v>2646</v>
      </c>
      <c r="C940" s="656" t="s">
        <v>21</v>
      </c>
      <c r="D940" s="656" t="s">
        <v>11682</v>
      </c>
      <c r="E940" s="656" t="s">
        <v>14275</v>
      </c>
      <c r="F940" s="1447">
        <v>43453</v>
      </c>
      <c r="G940" s="656" t="s">
        <v>11681</v>
      </c>
      <c r="H940" s="656" t="s">
        <v>1777</v>
      </c>
      <c r="I940" s="656" t="s">
        <v>14573</v>
      </c>
      <c r="J940" s="656" t="s">
        <v>11682</v>
      </c>
      <c r="K940" s="656" t="s">
        <v>9733</v>
      </c>
      <c r="L940" s="656"/>
      <c r="M940" s="656" t="s">
        <v>16196</v>
      </c>
      <c r="N940" s="656" t="s">
        <v>11683</v>
      </c>
      <c r="O940" s="656" t="s">
        <v>6395</v>
      </c>
      <c r="P940" s="5"/>
      <c r="Q940" s="1447">
        <v>42776</v>
      </c>
      <c r="R940" s="656">
        <v>43187</v>
      </c>
      <c r="S940" s="656" t="s">
        <v>1394</v>
      </c>
      <c r="T940" s="656" t="s">
        <v>14280</v>
      </c>
      <c r="U940" s="656" t="s">
        <v>11683</v>
      </c>
      <c r="V940" s="656"/>
      <c r="W940" s="656" t="s">
        <v>13051</v>
      </c>
      <c r="X940" s="656" t="s">
        <v>498</v>
      </c>
      <c r="Y940" s="656" t="s">
        <v>14278</v>
      </c>
      <c r="Z940" s="656">
        <v>44305.522291666668</v>
      </c>
      <c r="AA940" s="656" t="s">
        <v>14335</v>
      </c>
      <c r="AB940" s="656"/>
    </row>
    <row r="941" spans="1:28">
      <c r="A941" s="656" t="s">
        <v>2645</v>
      </c>
      <c r="B941" s="656" t="s">
        <v>2646</v>
      </c>
      <c r="C941" s="656" t="s">
        <v>20</v>
      </c>
      <c r="D941" s="656" t="s">
        <v>11684</v>
      </c>
      <c r="E941" s="656" t="s">
        <v>14275</v>
      </c>
      <c r="F941" s="1447">
        <v>43448</v>
      </c>
      <c r="G941" s="656" t="s">
        <v>11681</v>
      </c>
      <c r="H941" s="656" t="s">
        <v>1777</v>
      </c>
      <c r="I941" s="656"/>
      <c r="J941" s="656"/>
      <c r="K941" s="656"/>
      <c r="L941" s="656" t="s">
        <v>11684</v>
      </c>
      <c r="M941" s="656" t="s">
        <v>1947</v>
      </c>
      <c r="N941" s="656" t="s">
        <v>11683</v>
      </c>
      <c r="O941" s="656" t="s">
        <v>6395</v>
      </c>
      <c r="P941" s="5"/>
      <c r="Q941" s="1447"/>
      <c r="R941" s="656"/>
      <c r="S941" s="656" t="s">
        <v>1394</v>
      </c>
      <c r="T941" s="656" t="s">
        <v>14280</v>
      </c>
      <c r="U941" s="656" t="s">
        <v>11683</v>
      </c>
      <c r="V941" s="656"/>
      <c r="W941" s="656" t="s">
        <v>13051</v>
      </c>
      <c r="X941" s="656" t="s">
        <v>498</v>
      </c>
      <c r="Y941" s="656" t="s">
        <v>14278</v>
      </c>
      <c r="Z941" s="656">
        <v>44305.522291666668</v>
      </c>
      <c r="AA941" s="656" t="s">
        <v>14335</v>
      </c>
      <c r="AB941" s="656"/>
    </row>
    <row r="942" spans="1:28">
      <c r="A942" s="656" t="s">
        <v>2645</v>
      </c>
      <c r="B942" s="656" t="s">
        <v>2646</v>
      </c>
      <c r="C942" s="656" t="s">
        <v>20</v>
      </c>
      <c r="D942" s="656" t="s">
        <v>11685</v>
      </c>
      <c r="E942" s="656" t="s">
        <v>14275</v>
      </c>
      <c r="F942" s="1447">
        <v>43448</v>
      </c>
      <c r="G942" s="656" t="s">
        <v>11681</v>
      </c>
      <c r="H942" s="656" t="s">
        <v>1777</v>
      </c>
      <c r="I942" s="656"/>
      <c r="J942" s="656"/>
      <c r="K942" s="656"/>
      <c r="L942" s="656" t="s">
        <v>11685</v>
      </c>
      <c r="M942" s="656" t="s">
        <v>16196</v>
      </c>
      <c r="N942" s="656" t="s">
        <v>11683</v>
      </c>
      <c r="O942" s="656" t="s">
        <v>6395</v>
      </c>
      <c r="P942" s="5"/>
      <c r="Q942" s="1447"/>
      <c r="R942" s="656"/>
      <c r="S942" s="656" t="s">
        <v>1394</v>
      </c>
      <c r="T942" s="656" t="s">
        <v>14280</v>
      </c>
      <c r="U942" s="656" t="s">
        <v>11683</v>
      </c>
      <c r="V942" s="656"/>
      <c r="W942" s="656" t="s">
        <v>13051</v>
      </c>
      <c r="X942" s="656" t="s">
        <v>498</v>
      </c>
      <c r="Y942" s="656" t="s">
        <v>14278</v>
      </c>
      <c r="Z942" s="656">
        <v>44305.522303240738</v>
      </c>
      <c r="AA942" s="656" t="s">
        <v>14335</v>
      </c>
      <c r="AB942" s="656"/>
    </row>
    <row r="943" spans="1:28">
      <c r="A943" s="656" t="s">
        <v>2647</v>
      </c>
      <c r="B943" s="656" t="s">
        <v>2648</v>
      </c>
      <c r="C943" s="656" t="s">
        <v>21</v>
      </c>
      <c r="D943" s="656" t="s">
        <v>11678</v>
      </c>
      <c r="E943" s="656" t="s">
        <v>14384</v>
      </c>
      <c r="F943" s="1447">
        <v>43070</v>
      </c>
      <c r="G943" s="656" t="s">
        <v>11677</v>
      </c>
      <c r="H943" s="656" t="s">
        <v>1777</v>
      </c>
      <c r="I943" s="656" t="s">
        <v>14573</v>
      </c>
      <c r="J943" s="656" t="s">
        <v>11678</v>
      </c>
      <c r="K943" s="656" t="s">
        <v>9733</v>
      </c>
      <c r="L943" s="656"/>
      <c r="M943" s="656" t="s">
        <v>16196</v>
      </c>
      <c r="N943" s="656"/>
      <c r="O943" s="656" t="s">
        <v>6395</v>
      </c>
      <c r="P943" s="5" t="s">
        <v>14577</v>
      </c>
      <c r="Q943" s="1447">
        <v>42780</v>
      </c>
      <c r="R943" s="656"/>
      <c r="S943" s="656" t="s">
        <v>1394</v>
      </c>
      <c r="T943" s="656" t="s">
        <v>14280</v>
      </c>
      <c r="U943" s="656" t="s">
        <v>11626</v>
      </c>
      <c r="V943" s="656"/>
      <c r="W943" s="656" t="s">
        <v>13051</v>
      </c>
      <c r="X943" s="656" t="s">
        <v>498</v>
      </c>
      <c r="Y943" s="656" t="s">
        <v>14278</v>
      </c>
      <c r="Z943" s="656">
        <v>44305.522280092591</v>
      </c>
      <c r="AA943" s="656" t="s">
        <v>14335</v>
      </c>
      <c r="AB943" s="656"/>
    </row>
    <row r="944" spans="1:28">
      <c r="A944" s="656" t="s">
        <v>2647</v>
      </c>
      <c r="B944" s="656" t="s">
        <v>2648</v>
      </c>
      <c r="C944" s="656" t="s">
        <v>20</v>
      </c>
      <c r="D944" s="656" t="s">
        <v>11679</v>
      </c>
      <c r="E944" s="656" t="s">
        <v>14275</v>
      </c>
      <c r="F944" s="1447">
        <v>43073</v>
      </c>
      <c r="G944" s="656" t="s">
        <v>11677</v>
      </c>
      <c r="H944" s="656" t="s">
        <v>1777</v>
      </c>
      <c r="I944" s="656"/>
      <c r="J944" s="656"/>
      <c r="K944" s="656"/>
      <c r="L944" s="656" t="s">
        <v>11679</v>
      </c>
      <c r="M944" s="656" t="s">
        <v>1947</v>
      </c>
      <c r="N944" s="656"/>
      <c r="O944" s="656" t="s">
        <v>6395</v>
      </c>
      <c r="P944" s="5"/>
      <c r="Q944" s="1447"/>
      <c r="R944" s="656"/>
      <c r="S944" s="656" t="s">
        <v>1394</v>
      </c>
      <c r="T944" s="656" t="s">
        <v>14280</v>
      </c>
      <c r="U944" s="656" t="s">
        <v>11626</v>
      </c>
      <c r="V944" s="656"/>
      <c r="W944" s="656" t="s">
        <v>13051</v>
      </c>
      <c r="X944" s="656" t="s">
        <v>498</v>
      </c>
      <c r="Y944" s="656" t="s">
        <v>14278</v>
      </c>
      <c r="Z944" s="656">
        <v>44305.522280092591</v>
      </c>
      <c r="AA944" s="656" t="s">
        <v>14335</v>
      </c>
      <c r="AB944" s="656"/>
    </row>
    <row r="945" spans="1:28">
      <c r="A945" s="656" t="s">
        <v>2647</v>
      </c>
      <c r="B945" s="656" t="s">
        <v>2648</v>
      </c>
      <c r="C945" s="656" t="s">
        <v>20</v>
      </c>
      <c r="D945" s="656" t="s">
        <v>11680</v>
      </c>
      <c r="E945" s="656" t="s">
        <v>14275</v>
      </c>
      <c r="F945" s="1447">
        <v>43118</v>
      </c>
      <c r="G945" s="656" t="s">
        <v>11677</v>
      </c>
      <c r="H945" s="656" t="s">
        <v>1777</v>
      </c>
      <c r="I945" s="656"/>
      <c r="J945" s="656"/>
      <c r="K945" s="656"/>
      <c r="L945" s="656" t="s">
        <v>11680</v>
      </c>
      <c r="M945" s="656" t="s">
        <v>16196</v>
      </c>
      <c r="N945" s="656"/>
      <c r="O945" s="656" t="s">
        <v>6395</v>
      </c>
      <c r="P945" s="5"/>
      <c r="Q945" s="1447"/>
      <c r="R945" s="656"/>
      <c r="S945" s="656" t="s">
        <v>1394</v>
      </c>
      <c r="T945" s="656" t="s">
        <v>14280</v>
      </c>
      <c r="U945" s="656" t="s">
        <v>11626</v>
      </c>
      <c r="V945" s="656"/>
      <c r="W945" s="656" t="s">
        <v>13051</v>
      </c>
      <c r="X945" s="656" t="s">
        <v>498</v>
      </c>
      <c r="Y945" s="656" t="s">
        <v>14278</v>
      </c>
      <c r="Z945" s="656">
        <v>44305.522280092591</v>
      </c>
      <c r="AA945" s="656" t="s">
        <v>14335</v>
      </c>
      <c r="AB945" s="656"/>
    </row>
    <row r="946" spans="1:28">
      <c r="A946" s="656" t="s">
        <v>2649</v>
      </c>
      <c r="B946" s="656" t="s">
        <v>2650</v>
      </c>
      <c r="C946" s="656" t="s">
        <v>20</v>
      </c>
      <c r="D946" s="656" t="s">
        <v>11676</v>
      </c>
      <c r="E946" s="656" t="s">
        <v>14275</v>
      </c>
      <c r="F946" s="1447">
        <v>43587</v>
      </c>
      <c r="G946" s="656" t="s">
        <v>11675</v>
      </c>
      <c r="H946" s="656" t="s">
        <v>1777</v>
      </c>
      <c r="I946" s="656"/>
      <c r="J946" s="656"/>
      <c r="K946" s="656"/>
      <c r="L946" s="656" t="s">
        <v>11676</v>
      </c>
      <c r="M946" s="656" t="s">
        <v>16196</v>
      </c>
      <c r="N946" s="656"/>
      <c r="O946" s="656" t="s">
        <v>6395</v>
      </c>
      <c r="P946" s="5"/>
      <c r="Q946" s="1447"/>
      <c r="R946" s="656"/>
      <c r="S946" s="656" t="s">
        <v>1394</v>
      </c>
      <c r="T946" s="656" t="s">
        <v>14280</v>
      </c>
      <c r="U946" s="656" t="s">
        <v>11626</v>
      </c>
      <c r="V946" s="656"/>
      <c r="W946" s="656" t="s">
        <v>13051</v>
      </c>
      <c r="X946" s="656" t="s">
        <v>498</v>
      </c>
      <c r="Y946" s="656" t="s">
        <v>14278</v>
      </c>
      <c r="Z946" s="656">
        <v>44305.522268518522</v>
      </c>
      <c r="AA946" s="656" t="s">
        <v>14335</v>
      </c>
      <c r="AB946" s="656"/>
    </row>
    <row r="947" spans="1:28">
      <c r="A947" s="656" t="s">
        <v>2651</v>
      </c>
      <c r="B947" s="656" t="s">
        <v>2652</v>
      </c>
      <c r="C947" s="656" t="s">
        <v>21</v>
      </c>
      <c r="D947" s="656" t="s">
        <v>11673</v>
      </c>
      <c r="E947" s="656" t="s">
        <v>14384</v>
      </c>
      <c r="F947" s="1447">
        <v>43257</v>
      </c>
      <c r="G947" s="656" t="s">
        <v>11672</v>
      </c>
      <c r="H947" s="656" t="s">
        <v>1777</v>
      </c>
      <c r="I947" s="656" t="s">
        <v>14578</v>
      </c>
      <c r="J947" s="656" t="s">
        <v>11673</v>
      </c>
      <c r="K947" s="656" t="s">
        <v>9733</v>
      </c>
      <c r="L947" s="656"/>
      <c r="M947" s="656" t="s">
        <v>16196</v>
      </c>
      <c r="N947" s="656"/>
      <c r="O947" s="656" t="s">
        <v>6395</v>
      </c>
      <c r="P947" s="5" t="s">
        <v>14579</v>
      </c>
      <c r="Q947" s="1447">
        <v>42776</v>
      </c>
      <c r="R947" s="656"/>
      <c r="S947" s="656" t="s">
        <v>1394</v>
      </c>
      <c r="T947" s="656" t="s">
        <v>14280</v>
      </c>
      <c r="U947" s="656" t="s">
        <v>11626</v>
      </c>
      <c r="V947" s="656"/>
      <c r="W947" s="656" t="s">
        <v>13051</v>
      </c>
      <c r="X947" s="656" t="s">
        <v>498</v>
      </c>
      <c r="Y947" s="656" t="s">
        <v>14278</v>
      </c>
      <c r="Z947" s="656">
        <v>44305.522256944445</v>
      </c>
      <c r="AA947" s="656" t="s">
        <v>14335</v>
      </c>
      <c r="AB947" s="656"/>
    </row>
    <row r="948" spans="1:28">
      <c r="A948" s="656" t="s">
        <v>2651</v>
      </c>
      <c r="B948" s="656" t="s">
        <v>2652</v>
      </c>
      <c r="C948" s="656" t="s">
        <v>20</v>
      </c>
      <c r="D948" s="656" t="s">
        <v>11674</v>
      </c>
      <c r="E948" s="656" t="s">
        <v>14275</v>
      </c>
      <c r="F948" s="1447">
        <v>43273</v>
      </c>
      <c r="G948" s="656" t="s">
        <v>11672</v>
      </c>
      <c r="H948" s="656" t="s">
        <v>1777</v>
      </c>
      <c r="I948" s="656"/>
      <c r="J948" s="656"/>
      <c r="K948" s="656"/>
      <c r="L948" s="656" t="s">
        <v>11674</v>
      </c>
      <c r="M948" s="656" t="s">
        <v>16196</v>
      </c>
      <c r="N948" s="656"/>
      <c r="O948" s="656" t="s">
        <v>6395</v>
      </c>
      <c r="P948" s="5"/>
      <c r="Q948" s="1447"/>
      <c r="R948" s="656"/>
      <c r="S948" s="656" t="s">
        <v>1394</v>
      </c>
      <c r="T948" s="656" t="s">
        <v>14280</v>
      </c>
      <c r="U948" s="656" t="s">
        <v>11626</v>
      </c>
      <c r="V948" s="656"/>
      <c r="W948" s="656" t="s">
        <v>13051</v>
      </c>
      <c r="X948" s="656" t="s">
        <v>498</v>
      </c>
      <c r="Y948" s="656" t="s">
        <v>14278</v>
      </c>
      <c r="Z948" s="656">
        <v>44305.522268518522</v>
      </c>
      <c r="AA948" s="656" t="s">
        <v>14335</v>
      </c>
      <c r="AB948" s="656"/>
    </row>
    <row r="949" spans="1:28">
      <c r="A949" s="656" t="s">
        <v>2653</v>
      </c>
      <c r="B949" s="656" t="s">
        <v>2654</v>
      </c>
      <c r="C949" s="656" t="s">
        <v>21</v>
      </c>
      <c r="D949" s="656" t="s">
        <v>11670</v>
      </c>
      <c r="E949" s="656" t="s">
        <v>14275</v>
      </c>
      <c r="F949" s="1447">
        <v>43189</v>
      </c>
      <c r="G949" s="656" t="s">
        <v>11669</v>
      </c>
      <c r="H949" s="656" t="s">
        <v>1777</v>
      </c>
      <c r="I949" s="656" t="s">
        <v>14578</v>
      </c>
      <c r="J949" s="656" t="s">
        <v>11670</v>
      </c>
      <c r="K949" s="656" t="s">
        <v>9733</v>
      </c>
      <c r="L949" s="656"/>
      <c r="M949" s="656" t="s">
        <v>16196</v>
      </c>
      <c r="N949" s="656"/>
      <c r="O949" s="656" t="s">
        <v>6395</v>
      </c>
      <c r="P949" s="5"/>
      <c r="Q949" s="1447">
        <v>42776</v>
      </c>
      <c r="R949" s="656">
        <v>43029</v>
      </c>
      <c r="S949" s="656" t="s">
        <v>1394</v>
      </c>
      <c r="T949" s="656" t="s">
        <v>14280</v>
      </c>
      <c r="U949" s="656" t="s">
        <v>11626</v>
      </c>
      <c r="V949" s="656"/>
      <c r="W949" s="656" t="s">
        <v>13051</v>
      </c>
      <c r="X949" s="656" t="s">
        <v>498</v>
      </c>
      <c r="Y949" s="656" t="s">
        <v>14278</v>
      </c>
      <c r="Z949" s="656">
        <v>44305.522256944445</v>
      </c>
      <c r="AA949" s="656" t="s">
        <v>14335</v>
      </c>
      <c r="AB949" s="656"/>
    </row>
    <row r="950" spans="1:28">
      <c r="A950" s="656" t="s">
        <v>2653</v>
      </c>
      <c r="B950" s="656" t="s">
        <v>2654</v>
      </c>
      <c r="C950" s="656" t="s">
        <v>20</v>
      </c>
      <c r="D950" s="656" t="s">
        <v>11671</v>
      </c>
      <c r="E950" s="656" t="s">
        <v>14275</v>
      </c>
      <c r="F950" s="1447">
        <v>43172</v>
      </c>
      <c r="G950" s="656" t="s">
        <v>11669</v>
      </c>
      <c r="H950" s="656" t="s">
        <v>1777</v>
      </c>
      <c r="I950" s="656"/>
      <c r="J950" s="656"/>
      <c r="K950" s="656"/>
      <c r="L950" s="656" t="s">
        <v>11671</v>
      </c>
      <c r="M950" s="656" t="s">
        <v>16196</v>
      </c>
      <c r="N950" s="656"/>
      <c r="O950" s="656" t="s">
        <v>6395</v>
      </c>
      <c r="P950" s="5"/>
      <c r="Q950" s="1447"/>
      <c r="R950" s="656"/>
      <c r="S950" s="656" t="s">
        <v>1394</v>
      </c>
      <c r="T950" s="656" t="s">
        <v>14280</v>
      </c>
      <c r="U950" s="656" t="s">
        <v>11626</v>
      </c>
      <c r="V950" s="656"/>
      <c r="W950" s="656" t="s">
        <v>13051</v>
      </c>
      <c r="X950" s="656" t="s">
        <v>498</v>
      </c>
      <c r="Y950" s="656" t="s">
        <v>14278</v>
      </c>
      <c r="Z950" s="656">
        <v>44305.522256944445</v>
      </c>
      <c r="AA950" s="656" t="s">
        <v>14335</v>
      </c>
      <c r="AB950" s="656"/>
    </row>
    <row r="951" spans="1:28">
      <c r="A951" s="656" t="s">
        <v>2656</v>
      </c>
      <c r="B951" s="656" t="s">
        <v>2657</v>
      </c>
      <c r="C951" s="656" t="s">
        <v>21</v>
      </c>
      <c r="D951" s="656" t="s">
        <v>11666</v>
      </c>
      <c r="E951" s="656" t="s">
        <v>14275</v>
      </c>
      <c r="F951" s="1447">
        <v>43250</v>
      </c>
      <c r="G951" s="656" t="s">
        <v>11665</v>
      </c>
      <c r="H951" s="656" t="s">
        <v>1777</v>
      </c>
      <c r="I951" s="656" t="s">
        <v>14578</v>
      </c>
      <c r="J951" s="656" t="s">
        <v>11666</v>
      </c>
      <c r="K951" s="656" t="s">
        <v>9733</v>
      </c>
      <c r="L951" s="656"/>
      <c r="M951" s="656" t="s">
        <v>16196</v>
      </c>
      <c r="N951" s="656"/>
      <c r="O951" s="656" t="s">
        <v>6395</v>
      </c>
      <c r="P951" s="5"/>
      <c r="Q951" s="1447">
        <v>42776</v>
      </c>
      <c r="R951" s="656">
        <v>43110</v>
      </c>
      <c r="S951" s="656" t="s">
        <v>1394</v>
      </c>
      <c r="T951" s="656" t="s">
        <v>14280</v>
      </c>
      <c r="U951" s="656" t="s">
        <v>11626</v>
      </c>
      <c r="V951" s="656"/>
      <c r="W951" s="656" t="s">
        <v>13051</v>
      </c>
      <c r="X951" s="656" t="s">
        <v>498</v>
      </c>
      <c r="Y951" s="656" t="s">
        <v>14278</v>
      </c>
      <c r="Z951" s="656">
        <v>44305.522233796299</v>
      </c>
      <c r="AA951" s="656" t="s">
        <v>14335</v>
      </c>
      <c r="AB951" s="656"/>
    </row>
    <row r="952" spans="1:28">
      <c r="A952" s="656" t="s">
        <v>2656</v>
      </c>
      <c r="B952" s="656" t="s">
        <v>2657</v>
      </c>
      <c r="C952" s="656" t="s">
        <v>20</v>
      </c>
      <c r="D952" s="656" t="s">
        <v>11667</v>
      </c>
      <c r="E952" s="656" t="s">
        <v>14275</v>
      </c>
      <c r="F952" s="1447">
        <v>43250</v>
      </c>
      <c r="G952" s="656" t="s">
        <v>11665</v>
      </c>
      <c r="H952" s="656" t="s">
        <v>1777</v>
      </c>
      <c r="I952" s="656"/>
      <c r="J952" s="656"/>
      <c r="K952" s="656"/>
      <c r="L952" s="656" t="s">
        <v>11667</v>
      </c>
      <c r="M952" s="656" t="s">
        <v>1947</v>
      </c>
      <c r="N952" s="656"/>
      <c r="O952" s="656" t="s">
        <v>6395</v>
      </c>
      <c r="P952" s="5"/>
      <c r="Q952" s="1447"/>
      <c r="R952" s="656"/>
      <c r="S952" s="656" t="s">
        <v>1394</v>
      </c>
      <c r="T952" s="656" t="s">
        <v>14280</v>
      </c>
      <c r="U952" s="656" t="s">
        <v>11626</v>
      </c>
      <c r="V952" s="656"/>
      <c r="W952" s="656" t="s">
        <v>13051</v>
      </c>
      <c r="X952" s="656" t="s">
        <v>498</v>
      </c>
      <c r="Y952" s="656" t="s">
        <v>14278</v>
      </c>
      <c r="Z952" s="656">
        <v>44305.522245370368</v>
      </c>
      <c r="AA952" s="656" t="s">
        <v>14335</v>
      </c>
      <c r="AB952" s="656"/>
    </row>
    <row r="953" spans="1:28">
      <c r="A953" s="656" t="s">
        <v>2656</v>
      </c>
      <c r="B953" s="656" t="s">
        <v>2657</v>
      </c>
      <c r="C953" s="656" t="s">
        <v>20</v>
      </c>
      <c r="D953" s="656" t="s">
        <v>11668</v>
      </c>
      <c r="E953" s="656" t="s">
        <v>14275</v>
      </c>
      <c r="F953" s="1447">
        <v>43250</v>
      </c>
      <c r="G953" s="656" t="s">
        <v>11665</v>
      </c>
      <c r="H953" s="656" t="s">
        <v>1777</v>
      </c>
      <c r="I953" s="656"/>
      <c r="J953" s="656"/>
      <c r="K953" s="656"/>
      <c r="L953" s="656" t="s">
        <v>11668</v>
      </c>
      <c r="M953" s="656" t="s">
        <v>16196</v>
      </c>
      <c r="N953" s="656"/>
      <c r="O953" s="656" t="s">
        <v>6395</v>
      </c>
      <c r="P953" s="5"/>
      <c r="Q953" s="1447"/>
      <c r="R953" s="656"/>
      <c r="S953" s="656" t="s">
        <v>1394</v>
      </c>
      <c r="T953" s="656" t="s">
        <v>14280</v>
      </c>
      <c r="U953" s="656" t="s">
        <v>11626</v>
      </c>
      <c r="V953" s="656"/>
      <c r="W953" s="656" t="s">
        <v>13051</v>
      </c>
      <c r="X953" s="656" t="s">
        <v>498</v>
      </c>
      <c r="Y953" s="656" t="s">
        <v>14278</v>
      </c>
      <c r="Z953" s="656">
        <v>44305.522245370368</v>
      </c>
      <c r="AA953" s="656" t="s">
        <v>14335</v>
      </c>
      <c r="AB953" s="656"/>
    </row>
    <row r="954" spans="1:28">
      <c r="A954" s="656" t="s">
        <v>9695</v>
      </c>
      <c r="B954" s="656" t="s">
        <v>9355</v>
      </c>
      <c r="C954" s="656" t="s">
        <v>21</v>
      </c>
      <c r="D954" s="656" t="s">
        <v>12973</v>
      </c>
      <c r="E954" s="656" t="s">
        <v>14313</v>
      </c>
      <c r="F954" s="1447"/>
      <c r="G954" s="656" t="s">
        <v>12974</v>
      </c>
      <c r="H954" s="656" t="s">
        <v>1777</v>
      </c>
      <c r="I954" s="656" t="s">
        <v>14580</v>
      </c>
      <c r="J954" s="656" t="s">
        <v>12973</v>
      </c>
      <c r="K954" s="656" t="s">
        <v>9774</v>
      </c>
      <c r="L954" s="656"/>
      <c r="M954" s="656" t="s">
        <v>16394</v>
      </c>
      <c r="N954" s="656"/>
      <c r="O954" s="656" t="s">
        <v>6425</v>
      </c>
      <c r="P954" s="5"/>
      <c r="Q954" s="1447">
        <v>44145</v>
      </c>
      <c r="R954" s="656">
        <v>44280</v>
      </c>
      <c r="S954" s="656" t="s">
        <v>472</v>
      </c>
      <c r="T954" s="656"/>
      <c r="U954" s="656"/>
      <c r="V954" s="656"/>
      <c r="W954" s="656" t="s">
        <v>13051</v>
      </c>
      <c r="X954" s="656" t="s">
        <v>498</v>
      </c>
      <c r="Y954" s="656" t="s">
        <v>14278</v>
      </c>
      <c r="Z954" s="656">
        <v>44305.522233796299</v>
      </c>
      <c r="AA954" s="656" t="s">
        <v>14335</v>
      </c>
      <c r="AB954" s="656"/>
    </row>
    <row r="955" spans="1:28">
      <c r="A955" s="656" t="s">
        <v>2658</v>
      </c>
      <c r="B955" s="656" t="s">
        <v>2659</v>
      </c>
      <c r="C955" s="656" t="s">
        <v>21</v>
      </c>
      <c r="D955" s="656" t="s">
        <v>11663</v>
      </c>
      <c r="E955" s="656" t="s">
        <v>14275</v>
      </c>
      <c r="F955" s="1447">
        <v>43095</v>
      </c>
      <c r="G955" s="656" t="s">
        <v>11662</v>
      </c>
      <c r="H955" s="656" t="s">
        <v>1777</v>
      </c>
      <c r="I955" s="656" t="s">
        <v>14581</v>
      </c>
      <c r="J955" s="656" t="s">
        <v>11663</v>
      </c>
      <c r="K955" s="656" t="s">
        <v>10398</v>
      </c>
      <c r="L955" s="656"/>
      <c r="M955" s="656" t="s">
        <v>16394</v>
      </c>
      <c r="N955" s="656"/>
      <c r="O955" s="656" t="s">
        <v>6387</v>
      </c>
      <c r="P955" s="5" t="s">
        <v>14936</v>
      </c>
      <c r="Q955" s="1447">
        <v>42779</v>
      </c>
      <c r="R955" s="656">
        <v>42823</v>
      </c>
      <c r="S955" s="656" t="s">
        <v>783</v>
      </c>
      <c r="T955" s="656" t="s">
        <v>14524</v>
      </c>
      <c r="U955" s="656" t="s">
        <v>1667</v>
      </c>
      <c r="V955" s="656"/>
      <c r="W955" s="656" t="s">
        <v>13051</v>
      </c>
      <c r="X955" s="656" t="s">
        <v>498</v>
      </c>
      <c r="Y955" s="656" t="s">
        <v>14278</v>
      </c>
      <c r="Z955" s="656">
        <v>44305.522222222222</v>
      </c>
      <c r="AA955" s="656" t="s">
        <v>14335</v>
      </c>
      <c r="AB955" s="656"/>
    </row>
    <row r="956" spans="1:28">
      <c r="A956" s="656" t="s">
        <v>2658</v>
      </c>
      <c r="B956" s="656" t="s">
        <v>2659</v>
      </c>
      <c r="C956" s="656" t="s">
        <v>20</v>
      </c>
      <c r="D956" s="656" t="s">
        <v>11664</v>
      </c>
      <c r="E956" s="656" t="s">
        <v>14275</v>
      </c>
      <c r="F956" s="1447">
        <v>43088</v>
      </c>
      <c r="G956" s="656" t="s">
        <v>11662</v>
      </c>
      <c r="H956" s="656" t="s">
        <v>1777</v>
      </c>
      <c r="I956" s="656"/>
      <c r="J956" s="656"/>
      <c r="K956" s="656"/>
      <c r="L956" s="656" t="s">
        <v>11664</v>
      </c>
      <c r="M956" s="656" t="s">
        <v>16394</v>
      </c>
      <c r="N956" s="656"/>
      <c r="O956" s="656" t="s">
        <v>6387</v>
      </c>
      <c r="P956" s="5"/>
      <c r="Q956" s="1447">
        <v>42817</v>
      </c>
      <c r="R956" s="656"/>
      <c r="S956" s="656" t="s">
        <v>783</v>
      </c>
      <c r="T956" s="656" t="s">
        <v>14524</v>
      </c>
      <c r="U956" s="656" t="s">
        <v>1667</v>
      </c>
      <c r="V956" s="656"/>
      <c r="W956" s="656" t="s">
        <v>13051</v>
      </c>
      <c r="X956" s="656" t="s">
        <v>498</v>
      </c>
      <c r="Y956" s="656" t="s">
        <v>14278</v>
      </c>
      <c r="Z956" s="656">
        <v>44305.522222222222</v>
      </c>
      <c r="AA956" s="656" t="s">
        <v>14335</v>
      </c>
      <c r="AB956" s="656"/>
    </row>
    <row r="957" spans="1:28">
      <c r="A957" s="656" t="s">
        <v>2662</v>
      </c>
      <c r="B957" s="656" t="s">
        <v>2663</v>
      </c>
      <c r="C957" s="656" t="s">
        <v>21</v>
      </c>
      <c r="D957" s="656" t="s">
        <v>11660</v>
      </c>
      <c r="E957" s="656" t="s">
        <v>14275</v>
      </c>
      <c r="F957" s="1447">
        <v>43126</v>
      </c>
      <c r="G957" s="656" t="s">
        <v>11659</v>
      </c>
      <c r="H957" s="656" t="s">
        <v>1777</v>
      </c>
      <c r="I957" s="656" t="s">
        <v>14582</v>
      </c>
      <c r="J957" s="656" t="s">
        <v>11660</v>
      </c>
      <c r="K957" s="656" t="s">
        <v>9733</v>
      </c>
      <c r="L957" s="656"/>
      <c r="M957" s="656" t="s">
        <v>16199</v>
      </c>
      <c r="N957" s="656"/>
      <c r="O957" s="656" t="s">
        <v>6387</v>
      </c>
      <c r="P957" s="5"/>
      <c r="Q957" s="1447">
        <v>42779</v>
      </c>
      <c r="R957" s="656">
        <v>42825</v>
      </c>
      <c r="S957" s="656" t="s">
        <v>655</v>
      </c>
      <c r="T957" s="656" t="s">
        <v>14277</v>
      </c>
      <c r="U957" s="656" t="s">
        <v>655</v>
      </c>
      <c r="V957" s="656"/>
      <c r="W957" s="656" t="s">
        <v>13051</v>
      </c>
      <c r="X957" s="656" t="s">
        <v>498</v>
      </c>
      <c r="Y957" s="656" t="s">
        <v>14278</v>
      </c>
      <c r="Z957" s="656">
        <v>44305.522210648145</v>
      </c>
      <c r="AA957" s="656" t="s">
        <v>14335</v>
      </c>
      <c r="AB957" s="656"/>
    </row>
    <row r="958" spans="1:28">
      <c r="A958" s="656" t="s">
        <v>2662</v>
      </c>
      <c r="B958" s="656" t="s">
        <v>2663</v>
      </c>
      <c r="C958" s="656" t="s">
        <v>20</v>
      </c>
      <c r="D958" s="656" t="s">
        <v>11661</v>
      </c>
      <c r="E958" s="656" t="s">
        <v>14275</v>
      </c>
      <c r="F958" s="1447">
        <v>43088</v>
      </c>
      <c r="G958" s="656" t="s">
        <v>11659</v>
      </c>
      <c r="H958" s="656" t="s">
        <v>1777</v>
      </c>
      <c r="I958" s="656"/>
      <c r="J958" s="656"/>
      <c r="K958" s="656"/>
      <c r="L958" s="656" t="s">
        <v>11661</v>
      </c>
      <c r="M958" s="656" t="s">
        <v>16199</v>
      </c>
      <c r="N958" s="656"/>
      <c r="O958" s="656" t="s">
        <v>6387</v>
      </c>
      <c r="P958" s="5"/>
      <c r="Q958" s="1447"/>
      <c r="R958" s="656"/>
      <c r="S958" s="656" t="s">
        <v>655</v>
      </c>
      <c r="T958" s="656" t="s">
        <v>14277</v>
      </c>
      <c r="U958" s="656" t="s">
        <v>655</v>
      </c>
      <c r="V958" s="656"/>
      <c r="W958" s="656" t="s">
        <v>13051</v>
      </c>
      <c r="X958" s="656" t="s">
        <v>498</v>
      </c>
      <c r="Y958" s="656" t="s">
        <v>14278</v>
      </c>
      <c r="Z958" s="656">
        <v>44305.522210648145</v>
      </c>
      <c r="AA958" s="656" t="s">
        <v>14335</v>
      </c>
      <c r="AB958" s="656"/>
    </row>
    <row r="959" spans="1:28">
      <c r="A959" s="656" t="s">
        <v>2664</v>
      </c>
      <c r="B959" s="656" t="s">
        <v>2665</v>
      </c>
      <c r="C959" s="656" t="s">
        <v>21</v>
      </c>
      <c r="D959" s="656" t="s">
        <v>11658</v>
      </c>
      <c r="E959" s="656" t="s">
        <v>14275</v>
      </c>
      <c r="F959" s="1447">
        <v>43126</v>
      </c>
      <c r="G959" s="656" t="s">
        <v>11657</v>
      </c>
      <c r="H959" s="656" t="s">
        <v>1777</v>
      </c>
      <c r="I959" s="656" t="s">
        <v>14583</v>
      </c>
      <c r="J959" s="656" t="s">
        <v>11658</v>
      </c>
      <c r="K959" s="656" t="s">
        <v>9750</v>
      </c>
      <c r="L959" s="656"/>
      <c r="M959" s="656" t="s">
        <v>16340</v>
      </c>
      <c r="N959" s="656"/>
      <c r="O959" s="656" t="s">
        <v>6393</v>
      </c>
      <c r="P959" s="5"/>
      <c r="Q959" s="1447">
        <v>42811</v>
      </c>
      <c r="R959" s="656">
        <v>42825</v>
      </c>
      <c r="S959" s="656" t="s">
        <v>500</v>
      </c>
      <c r="T959" s="656" t="s">
        <v>14559</v>
      </c>
      <c r="U959" s="656" t="s">
        <v>500</v>
      </c>
      <c r="V959" s="656"/>
      <c r="W959" s="656" t="s">
        <v>13051</v>
      </c>
      <c r="X959" s="656" t="s">
        <v>498</v>
      </c>
      <c r="Y959" s="656" t="s">
        <v>14278</v>
      </c>
      <c r="Z959" s="656">
        <v>44305.522210648145</v>
      </c>
      <c r="AA959" s="656" t="s">
        <v>14335</v>
      </c>
      <c r="AB959" s="656"/>
    </row>
    <row r="960" spans="1:28">
      <c r="A960" s="656" t="s">
        <v>2666</v>
      </c>
      <c r="B960" s="656" t="s">
        <v>2667</v>
      </c>
      <c r="C960" s="656" t="s">
        <v>20</v>
      </c>
      <c r="D960" s="656" t="s">
        <v>11656</v>
      </c>
      <c r="E960" s="656" t="s">
        <v>14275</v>
      </c>
      <c r="F960" s="1447">
        <v>43228</v>
      </c>
      <c r="G960" s="656" t="s">
        <v>11655</v>
      </c>
      <c r="H960" s="656" t="s">
        <v>1777</v>
      </c>
      <c r="I960" s="656"/>
      <c r="J960" s="656"/>
      <c r="K960" s="656"/>
      <c r="L960" s="656" t="s">
        <v>11656</v>
      </c>
      <c r="M960" s="656" t="s">
        <v>16196</v>
      </c>
      <c r="N960" s="656"/>
      <c r="O960" s="656" t="s">
        <v>9757</v>
      </c>
      <c r="P960" s="5"/>
      <c r="Q960" s="1447">
        <v>42783</v>
      </c>
      <c r="R960" s="656"/>
      <c r="S960" s="656" t="s">
        <v>1300</v>
      </c>
      <c r="T960" s="656" t="s">
        <v>4198</v>
      </c>
      <c r="U960" s="656" t="s">
        <v>1300</v>
      </c>
      <c r="V960" s="656"/>
      <c r="W960" s="656" t="s">
        <v>13051</v>
      </c>
      <c r="X960" s="656" t="s">
        <v>498</v>
      </c>
      <c r="Y960" s="656" t="s">
        <v>14278</v>
      </c>
      <c r="Z960" s="656">
        <v>44305.522210648145</v>
      </c>
      <c r="AA960" s="656" t="s">
        <v>14335</v>
      </c>
      <c r="AB960" s="656"/>
    </row>
    <row r="961" spans="1:28">
      <c r="A961" s="656" t="s">
        <v>2668</v>
      </c>
      <c r="B961" s="656" t="s">
        <v>2669</v>
      </c>
      <c r="C961" s="656" t="s">
        <v>20</v>
      </c>
      <c r="D961" s="656" t="s">
        <v>11654</v>
      </c>
      <c r="E961" s="656" t="s">
        <v>14275</v>
      </c>
      <c r="F961" s="1447">
        <v>43888</v>
      </c>
      <c r="G961" s="656" t="s">
        <v>11653</v>
      </c>
      <c r="H961" s="656" t="s">
        <v>1777</v>
      </c>
      <c r="I961" s="656"/>
      <c r="J961" s="656"/>
      <c r="K961" s="656"/>
      <c r="L961" s="656" t="s">
        <v>11654</v>
      </c>
      <c r="M961" s="656" t="s">
        <v>16196</v>
      </c>
      <c r="N961" s="656"/>
      <c r="O961" s="656" t="s">
        <v>9757</v>
      </c>
      <c r="P961" s="5"/>
      <c r="Q961" s="1447">
        <v>42769</v>
      </c>
      <c r="R961" s="656"/>
      <c r="S961" s="656" t="s">
        <v>1300</v>
      </c>
      <c r="T961" s="656" t="s">
        <v>4198</v>
      </c>
      <c r="U961" s="656" t="s">
        <v>1300</v>
      </c>
      <c r="V961" s="656"/>
      <c r="W961" s="656" t="s">
        <v>13051</v>
      </c>
      <c r="X961" s="656" t="s">
        <v>498</v>
      </c>
      <c r="Y961" s="656" t="s">
        <v>14278</v>
      </c>
      <c r="Z961" s="656">
        <v>44305.522199074076</v>
      </c>
      <c r="AA961" s="656" t="s">
        <v>14335</v>
      </c>
      <c r="AB961" s="656"/>
    </row>
    <row r="962" spans="1:28">
      <c r="A962" s="656" t="s">
        <v>2670</v>
      </c>
      <c r="B962" s="656" t="s">
        <v>2671</v>
      </c>
      <c r="C962" s="656" t="s">
        <v>20</v>
      </c>
      <c r="D962" s="656" t="s">
        <v>11652</v>
      </c>
      <c r="E962" s="656" t="s">
        <v>14275</v>
      </c>
      <c r="F962" s="1447">
        <v>43027</v>
      </c>
      <c r="G962" s="656" t="s">
        <v>11651</v>
      </c>
      <c r="H962" s="656" t="s">
        <v>1777</v>
      </c>
      <c r="I962" s="656"/>
      <c r="J962" s="656"/>
      <c r="K962" s="656"/>
      <c r="L962" s="656" t="s">
        <v>11652</v>
      </c>
      <c r="M962" s="656" t="s">
        <v>16395</v>
      </c>
      <c r="N962" s="656"/>
      <c r="O962" s="656" t="s">
        <v>6393</v>
      </c>
      <c r="P962" s="5"/>
      <c r="Q962" s="1447">
        <v>42779</v>
      </c>
      <c r="R962" s="656"/>
      <c r="S962" s="656" t="s">
        <v>1300</v>
      </c>
      <c r="T962" s="656" t="s">
        <v>4198</v>
      </c>
      <c r="U962" s="656" t="s">
        <v>1300</v>
      </c>
      <c r="V962" s="656"/>
      <c r="W962" s="656" t="s">
        <v>13051</v>
      </c>
      <c r="X962" s="656" t="s">
        <v>498</v>
      </c>
      <c r="Y962" s="656" t="s">
        <v>14278</v>
      </c>
      <c r="Z962" s="656">
        <v>44305.522187499999</v>
      </c>
      <c r="AA962" s="656" t="s">
        <v>14335</v>
      </c>
      <c r="AB962" s="656"/>
    </row>
    <row r="963" spans="1:28">
      <c r="A963" s="656" t="s">
        <v>2672</v>
      </c>
      <c r="B963" s="656" t="s">
        <v>2673</v>
      </c>
      <c r="C963" s="656" t="s">
        <v>20</v>
      </c>
      <c r="D963" s="656" t="s">
        <v>11650</v>
      </c>
      <c r="E963" s="656" t="s">
        <v>14275</v>
      </c>
      <c r="F963" s="1447">
        <v>43027</v>
      </c>
      <c r="G963" s="656" t="s">
        <v>11649</v>
      </c>
      <c r="H963" s="656" t="s">
        <v>1777</v>
      </c>
      <c r="I963" s="656"/>
      <c r="J963" s="656"/>
      <c r="K963" s="656"/>
      <c r="L963" s="656" t="s">
        <v>11650</v>
      </c>
      <c r="M963" s="656" t="s">
        <v>16196</v>
      </c>
      <c r="N963" s="656"/>
      <c r="O963" s="656" t="s">
        <v>6387</v>
      </c>
      <c r="P963" s="5"/>
      <c r="Q963" s="1447">
        <v>42774</v>
      </c>
      <c r="R963" s="656"/>
      <c r="S963" s="656" t="s">
        <v>1300</v>
      </c>
      <c r="T963" s="656" t="s">
        <v>4198</v>
      </c>
      <c r="U963" s="656" t="s">
        <v>1300</v>
      </c>
      <c r="V963" s="656"/>
      <c r="W963" s="656" t="s">
        <v>13051</v>
      </c>
      <c r="X963" s="656" t="s">
        <v>498</v>
      </c>
      <c r="Y963" s="656" t="s">
        <v>14278</v>
      </c>
      <c r="Z963" s="656">
        <v>44305.522187499999</v>
      </c>
      <c r="AA963" s="656" t="s">
        <v>14335</v>
      </c>
      <c r="AB963" s="656"/>
    </row>
    <row r="964" spans="1:28">
      <c r="A964" s="656" t="s">
        <v>2680</v>
      </c>
      <c r="B964" s="656" t="s">
        <v>2681</v>
      </c>
      <c r="C964" s="656" t="s">
        <v>21</v>
      </c>
      <c r="D964" s="656" t="s">
        <v>11646</v>
      </c>
      <c r="E964" s="656" t="s">
        <v>14275</v>
      </c>
      <c r="F964" s="1447">
        <v>43447</v>
      </c>
      <c r="G964" s="656" t="s">
        <v>11645</v>
      </c>
      <c r="H964" s="656" t="s">
        <v>1777</v>
      </c>
      <c r="I964" s="656" t="s">
        <v>14584</v>
      </c>
      <c r="J964" s="656" t="s">
        <v>11646</v>
      </c>
      <c r="K964" s="656" t="s">
        <v>9733</v>
      </c>
      <c r="L964" s="656"/>
      <c r="M964" s="656" t="s">
        <v>16196</v>
      </c>
      <c r="N964" s="656"/>
      <c r="O964" s="656" t="s">
        <v>9757</v>
      </c>
      <c r="P964" s="5"/>
      <c r="Q964" s="1447">
        <v>43025</v>
      </c>
      <c r="R964" s="656">
        <v>43213</v>
      </c>
      <c r="S964" s="656" t="s">
        <v>1300</v>
      </c>
      <c r="T964" s="656" t="s">
        <v>4198</v>
      </c>
      <c r="U964" s="656" t="s">
        <v>1300</v>
      </c>
      <c r="V964" s="656"/>
      <c r="W964" s="656" t="s">
        <v>13051</v>
      </c>
      <c r="X964" s="656" t="s">
        <v>498</v>
      </c>
      <c r="Y964" s="656" t="s">
        <v>14278</v>
      </c>
      <c r="Z964" s="656">
        <v>44305.522164351853</v>
      </c>
      <c r="AA964" s="656" t="s">
        <v>14335</v>
      </c>
      <c r="AB964" s="656"/>
    </row>
    <row r="965" spans="1:28">
      <c r="A965" s="656" t="s">
        <v>2680</v>
      </c>
      <c r="B965" s="656" t="s">
        <v>2681</v>
      </c>
      <c r="C965" s="656" t="s">
        <v>20</v>
      </c>
      <c r="D965" s="656" t="s">
        <v>11647</v>
      </c>
      <c r="E965" s="656" t="s">
        <v>14275</v>
      </c>
      <c r="F965" s="1447">
        <v>43441</v>
      </c>
      <c r="G965" s="656" t="s">
        <v>11645</v>
      </c>
      <c r="H965" s="656" t="s">
        <v>1777</v>
      </c>
      <c r="I965" s="656"/>
      <c r="J965" s="656"/>
      <c r="K965" s="656"/>
      <c r="L965" s="656" t="s">
        <v>11647</v>
      </c>
      <c r="M965" s="656" t="s">
        <v>1947</v>
      </c>
      <c r="N965" s="656"/>
      <c r="O965" s="656" t="s">
        <v>9757</v>
      </c>
      <c r="P965" s="5"/>
      <c r="Q965" s="1447">
        <v>42779</v>
      </c>
      <c r="R965" s="656"/>
      <c r="S965" s="656" t="s">
        <v>1300</v>
      </c>
      <c r="T965" s="656" t="s">
        <v>4198</v>
      </c>
      <c r="U965" s="656" t="s">
        <v>1300</v>
      </c>
      <c r="V965" s="656"/>
      <c r="W965" s="656" t="s">
        <v>13051</v>
      </c>
      <c r="X965" s="656" t="s">
        <v>498</v>
      </c>
      <c r="Y965" s="656" t="s">
        <v>14278</v>
      </c>
      <c r="Z965" s="656">
        <v>44305.522164351853</v>
      </c>
      <c r="AA965" s="656" t="s">
        <v>14335</v>
      </c>
      <c r="AB965" s="656"/>
    </row>
    <row r="966" spans="1:28">
      <c r="A966" s="656" t="s">
        <v>2680</v>
      </c>
      <c r="B966" s="656" t="s">
        <v>2681</v>
      </c>
      <c r="C966" s="656" t="s">
        <v>20</v>
      </c>
      <c r="D966" s="656" t="s">
        <v>11648</v>
      </c>
      <c r="E966" s="656" t="s">
        <v>14275</v>
      </c>
      <c r="F966" s="1447">
        <v>43448</v>
      </c>
      <c r="G966" s="656" t="s">
        <v>11645</v>
      </c>
      <c r="H966" s="656" t="s">
        <v>1777</v>
      </c>
      <c r="I966" s="656"/>
      <c r="J966" s="656"/>
      <c r="K966" s="656"/>
      <c r="L966" s="656" t="s">
        <v>11648</v>
      </c>
      <c r="M966" s="656" t="s">
        <v>16196</v>
      </c>
      <c r="N966" s="656"/>
      <c r="O966" s="656" t="s">
        <v>9757</v>
      </c>
      <c r="P966" s="5"/>
      <c r="Q966" s="1447">
        <v>42779</v>
      </c>
      <c r="R966" s="656"/>
      <c r="S966" s="656" t="s">
        <v>1300</v>
      </c>
      <c r="T966" s="656" t="s">
        <v>4198</v>
      </c>
      <c r="U966" s="656" t="s">
        <v>1300</v>
      </c>
      <c r="V966" s="656"/>
      <c r="W966" s="656" t="s">
        <v>13051</v>
      </c>
      <c r="X966" s="656" t="s">
        <v>498</v>
      </c>
      <c r="Y966" s="656" t="s">
        <v>14278</v>
      </c>
      <c r="Z966" s="656">
        <v>44305.522187499999</v>
      </c>
      <c r="AA966" s="656" t="s">
        <v>14335</v>
      </c>
      <c r="AB966" s="656"/>
    </row>
    <row r="967" spans="1:28">
      <c r="A967" s="656" t="s">
        <v>2688</v>
      </c>
      <c r="B967" s="656" t="s">
        <v>2689</v>
      </c>
      <c r="C967" s="656" t="s">
        <v>20</v>
      </c>
      <c r="D967" s="656" t="s">
        <v>9756</v>
      </c>
      <c r="E967" s="656" t="s">
        <v>14275</v>
      </c>
      <c r="F967" s="1447">
        <v>43888</v>
      </c>
      <c r="G967" s="656" t="s">
        <v>9755</v>
      </c>
      <c r="H967" s="656" t="s">
        <v>1777</v>
      </c>
      <c r="I967" s="656"/>
      <c r="J967" s="656"/>
      <c r="K967" s="656"/>
      <c r="L967" s="656" t="s">
        <v>9756</v>
      </c>
      <c r="M967" s="656" t="s">
        <v>16196</v>
      </c>
      <c r="N967" s="656"/>
      <c r="O967" s="656" t="s">
        <v>9757</v>
      </c>
      <c r="P967" s="5"/>
      <c r="Q967" s="1447">
        <v>42752</v>
      </c>
      <c r="R967" s="656"/>
      <c r="S967" s="656" t="s">
        <v>1300</v>
      </c>
      <c r="T967" s="656" t="s">
        <v>4198</v>
      </c>
      <c r="U967" s="656" t="s">
        <v>1300</v>
      </c>
      <c r="V967" s="656"/>
      <c r="W967" s="656" t="s">
        <v>13051</v>
      </c>
      <c r="X967" s="656" t="s">
        <v>498</v>
      </c>
      <c r="Y967" s="656" t="s">
        <v>14278</v>
      </c>
      <c r="Z967" s="656">
        <v>44305.522152777776</v>
      </c>
      <c r="AA967" s="656" t="s">
        <v>14335</v>
      </c>
      <c r="AB967" s="656"/>
    </row>
    <row r="968" spans="1:28">
      <c r="A968" s="656" t="s">
        <v>2690</v>
      </c>
      <c r="B968" s="656" t="s">
        <v>2691</v>
      </c>
      <c r="C968" s="656" t="s">
        <v>20</v>
      </c>
      <c r="D968" s="656" t="s">
        <v>11644</v>
      </c>
      <c r="E968" s="656" t="s">
        <v>14275</v>
      </c>
      <c r="F968" s="1447">
        <v>43222</v>
      </c>
      <c r="G968" s="656" t="s">
        <v>11643</v>
      </c>
      <c r="H968" s="656" t="s">
        <v>1777</v>
      </c>
      <c r="I968" s="656"/>
      <c r="J968" s="656"/>
      <c r="K968" s="656"/>
      <c r="L968" s="656" t="s">
        <v>11644</v>
      </c>
      <c r="M968" s="656" t="s">
        <v>16196</v>
      </c>
      <c r="N968" s="656"/>
      <c r="O968" s="656" t="s">
        <v>9757</v>
      </c>
      <c r="P968" s="5"/>
      <c r="Q968" s="1447">
        <v>42815</v>
      </c>
      <c r="R968" s="656"/>
      <c r="S968" s="656" t="s">
        <v>1300</v>
      </c>
      <c r="T968" s="656" t="s">
        <v>4198</v>
      </c>
      <c r="U968" s="656" t="s">
        <v>1300</v>
      </c>
      <c r="V968" s="656"/>
      <c r="W968" s="656" t="s">
        <v>13051</v>
      </c>
      <c r="X968" s="656" t="s">
        <v>498</v>
      </c>
      <c r="Y968" s="656" t="s">
        <v>14278</v>
      </c>
      <c r="Z968" s="656">
        <v>44305.522152777776</v>
      </c>
      <c r="AA968" s="656" t="s">
        <v>14335</v>
      </c>
      <c r="AB968" s="656"/>
    </row>
    <row r="969" spans="1:28">
      <c r="A969" s="656" t="s">
        <v>2698</v>
      </c>
      <c r="B969" s="656" t="s">
        <v>2699</v>
      </c>
      <c r="C969" s="656" t="s">
        <v>20</v>
      </c>
      <c r="D969" s="656" t="s">
        <v>11642</v>
      </c>
      <c r="E969" s="656" t="s">
        <v>14275</v>
      </c>
      <c r="F969" s="1447">
        <v>43118</v>
      </c>
      <c r="G969" s="656" t="s">
        <v>11641</v>
      </c>
      <c r="H969" s="656" t="s">
        <v>1777</v>
      </c>
      <c r="I969" s="656"/>
      <c r="J969" s="656"/>
      <c r="K969" s="656"/>
      <c r="L969" s="656" t="s">
        <v>11642</v>
      </c>
      <c r="M969" s="656" t="s">
        <v>16200</v>
      </c>
      <c r="N969" s="656"/>
      <c r="O969" s="656" t="s">
        <v>6387</v>
      </c>
      <c r="P969" s="5"/>
      <c r="Q969" s="1447">
        <v>42761</v>
      </c>
      <c r="R969" s="656"/>
      <c r="S969" s="656" t="s">
        <v>500</v>
      </c>
      <c r="T969" s="656" t="s">
        <v>14559</v>
      </c>
      <c r="U969" s="656" t="s">
        <v>500</v>
      </c>
      <c r="V969" s="656"/>
      <c r="W969" s="656" t="s">
        <v>13051</v>
      </c>
      <c r="X969" s="656" t="s">
        <v>498</v>
      </c>
      <c r="Y969" s="656" t="s">
        <v>14278</v>
      </c>
      <c r="Z969" s="656">
        <v>44305.522141203706</v>
      </c>
      <c r="AA969" s="656" t="s">
        <v>14335</v>
      </c>
      <c r="AB969" s="656"/>
    </row>
    <row r="970" spans="1:28">
      <c r="A970" s="656" t="s">
        <v>2703</v>
      </c>
      <c r="B970" s="656" t="s">
        <v>2704</v>
      </c>
      <c r="C970" s="656" t="s">
        <v>20</v>
      </c>
      <c r="D970" s="656" t="s">
        <v>11640</v>
      </c>
      <c r="E970" s="656" t="s">
        <v>14275</v>
      </c>
      <c r="F970" s="1447">
        <v>43228</v>
      </c>
      <c r="G970" s="656" t="s">
        <v>11639</v>
      </c>
      <c r="H970" s="656" t="s">
        <v>1777</v>
      </c>
      <c r="I970" s="656"/>
      <c r="J970" s="656"/>
      <c r="K970" s="656"/>
      <c r="L970" s="656" t="s">
        <v>11640</v>
      </c>
      <c r="M970" s="656" t="s">
        <v>16394</v>
      </c>
      <c r="N970" s="656"/>
      <c r="O970" s="656" t="s">
        <v>6387</v>
      </c>
      <c r="P970" s="5"/>
      <c r="Q970" s="1447">
        <v>42774</v>
      </c>
      <c r="R970" s="656"/>
      <c r="S970" s="656" t="s">
        <v>1667</v>
      </c>
      <c r="T970" s="656" t="s">
        <v>14277</v>
      </c>
      <c r="U970" s="656" t="s">
        <v>655</v>
      </c>
      <c r="V970" s="656"/>
      <c r="W970" s="656" t="s">
        <v>13051</v>
      </c>
      <c r="X970" s="656" t="s">
        <v>498</v>
      </c>
      <c r="Y970" s="656" t="s">
        <v>14278</v>
      </c>
      <c r="Z970" s="656">
        <v>44305.522141203706</v>
      </c>
      <c r="AA970" s="656" t="s">
        <v>14335</v>
      </c>
      <c r="AB970" s="656"/>
    </row>
    <row r="971" spans="1:28">
      <c r="A971" s="656" t="s">
        <v>2707</v>
      </c>
      <c r="B971" s="656" t="s">
        <v>2708</v>
      </c>
      <c r="C971" s="656" t="s">
        <v>21</v>
      </c>
      <c r="D971" s="656" t="s">
        <v>11637</v>
      </c>
      <c r="E971" s="656" t="s">
        <v>14275</v>
      </c>
      <c r="F971" s="1447">
        <v>43552</v>
      </c>
      <c r="G971" s="656" t="s">
        <v>11636</v>
      </c>
      <c r="H971" s="656" t="s">
        <v>1777</v>
      </c>
      <c r="I971" s="656" t="s">
        <v>14585</v>
      </c>
      <c r="J971" s="656" t="s">
        <v>11637</v>
      </c>
      <c r="K971" s="656" t="s">
        <v>9750</v>
      </c>
      <c r="L971" s="656"/>
      <c r="M971" s="656" t="s">
        <v>16196</v>
      </c>
      <c r="N971" s="656"/>
      <c r="O971" s="656" t="s">
        <v>6393</v>
      </c>
      <c r="P971" s="5"/>
      <c r="Q971" s="1447">
        <v>42779</v>
      </c>
      <c r="R971" s="656">
        <v>42825</v>
      </c>
      <c r="S971" s="656" t="s">
        <v>1300</v>
      </c>
      <c r="T971" s="656" t="s">
        <v>4198</v>
      </c>
      <c r="U971" s="656" t="s">
        <v>1300</v>
      </c>
      <c r="V971" s="656"/>
      <c r="W971" s="656" t="s">
        <v>13051</v>
      </c>
      <c r="X971" s="656" t="s">
        <v>498</v>
      </c>
      <c r="Y971" s="656" t="s">
        <v>14278</v>
      </c>
      <c r="Z971" s="656">
        <v>44305.522129629629</v>
      </c>
      <c r="AA971" s="656" t="s">
        <v>14335</v>
      </c>
      <c r="AB971" s="656"/>
    </row>
    <row r="972" spans="1:28">
      <c r="A972" s="656" t="s">
        <v>2707</v>
      </c>
      <c r="B972" s="656" t="s">
        <v>2708</v>
      </c>
      <c r="C972" s="656" t="s">
        <v>20</v>
      </c>
      <c r="D972" s="656" t="s">
        <v>11638</v>
      </c>
      <c r="E972" s="656" t="s">
        <v>14275</v>
      </c>
      <c r="F972" s="1447">
        <v>43614</v>
      </c>
      <c r="G972" s="656" t="s">
        <v>11636</v>
      </c>
      <c r="H972" s="656" t="s">
        <v>1777</v>
      </c>
      <c r="I972" s="656"/>
      <c r="J972" s="656"/>
      <c r="K972" s="656"/>
      <c r="L972" s="656" t="s">
        <v>11638</v>
      </c>
      <c r="M972" s="656" t="s">
        <v>16196</v>
      </c>
      <c r="N972" s="656"/>
      <c r="O972" s="656" t="s">
        <v>9757</v>
      </c>
      <c r="P972" s="5"/>
      <c r="Q972" s="1447">
        <v>42752</v>
      </c>
      <c r="R972" s="656"/>
      <c r="S972" s="656" t="s">
        <v>1300</v>
      </c>
      <c r="T972" s="656" t="s">
        <v>4198</v>
      </c>
      <c r="U972" s="656" t="s">
        <v>1300</v>
      </c>
      <c r="V972" s="656"/>
      <c r="W972" s="656" t="s">
        <v>13051</v>
      </c>
      <c r="X972" s="656" t="s">
        <v>498</v>
      </c>
      <c r="Y972" s="656" t="s">
        <v>14278</v>
      </c>
      <c r="Z972" s="656">
        <v>44305.522129629629</v>
      </c>
      <c r="AA972" s="656" t="s">
        <v>14335</v>
      </c>
      <c r="AB972" s="656"/>
    </row>
    <row r="973" spans="1:28">
      <c r="A973" s="656" t="s">
        <v>2709</v>
      </c>
      <c r="B973" s="656" t="s">
        <v>2710</v>
      </c>
      <c r="C973" s="656" t="s">
        <v>21</v>
      </c>
      <c r="D973" s="656" t="s">
        <v>11634</v>
      </c>
      <c r="E973" s="656" t="s">
        <v>14275</v>
      </c>
      <c r="F973" s="1447">
        <v>43067</v>
      </c>
      <c r="G973" s="656" t="s">
        <v>11633</v>
      </c>
      <c r="H973" s="656" t="s">
        <v>1777</v>
      </c>
      <c r="I973" s="656" t="s">
        <v>14575</v>
      </c>
      <c r="J973" s="656" t="s">
        <v>11634</v>
      </c>
      <c r="K973" s="656" t="s">
        <v>9733</v>
      </c>
      <c r="L973" s="656"/>
      <c r="M973" s="656" t="s">
        <v>16196</v>
      </c>
      <c r="N973" s="656"/>
      <c r="O973" s="656" t="s">
        <v>6395</v>
      </c>
      <c r="P973" s="5"/>
      <c r="Q973" s="1447">
        <v>42776</v>
      </c>
      <c r="R973" s="656">
        <v>42855</v>
      </c>
      <c r="S973" s="656" t="s">
        <v>655</v>
      </c>
      <c r="T973" s="656" t="s">
        <v>14280</v>
      </c>
      <c r="U973" s="656" t="s">
        <v>11626</v>
      </c>
      <c r="V973" s="656"/>
      <c r="W973" s="656" t="s">
        <v>13051</v>
      </c>
      <c r="X973" s="656" t="s">
        <v>498</v>
      </c>
      <c r="Y973" s="656" t="s">
        <v>14278</v>
      </c>
      <c r="Z973" s="656">
        <v>44305.522094907406</v>
      </c>
      <c r="AA973" s="656" t="s">
        <v>14335</v>
      </c>
      <c r="AB973" s="656"/>
    </row>
    <row r="974" spans="1:28">
      <c r="A974" s="656" t="s">
        <v>2709</v>
      </c>
      <c r="B974" s="656" t="s">
        <v>2710</v>
      </c>
      <c r="C974" s="656" t="s">
        <v>21</v>
      </c>
      <c r="D974" s="656" t="s">
        <v>12239</v>
      </c>
      <c r="E974" s="656" t="s">
        <v>14384</v>
      </c>
      <c r="F974" s="1447">
        <v>43563</v>
      </c>
      <c r="G974" s="656" t="s">
        <v>12238</v>
      </c>
      <c r="H974" s="656" t="s">
        <v>1777</v>
      </c>
      <c r="I974" s="656" t="s">
        <v>14586</v>
      </c>
      <c r="J974" s="656" t="s">
        <v>12239</v>
      </c>
      <c r="K974" s="656" t="s">
        <v>9774</v>
      </c>
      <c r="L974" s="656"/>
      <c r="M974" s="656" t="s">
        <v>16196</v>
      </c>
      <c r="N974" s="656"/>
      <c r="O974" s="656"/>
      <c r="P974" s="5" t="s">
        <v>14587</v>
      </c>
      <c r="Q974" s="1447">
        <v>43157</v>
      </c>
      <c r="R974" s="656"/>
      <c r="S974" s="656" t="s">
        <v>1050</v>
      </c>
      <c r="T974" s="656"/>
      <c r="U974" s="656"/>
      <c r="V974" s="656"/>
      <c r="W974" s="656" t="s">
        <v>13051</v>
      </c>
      <c r="X974" s="656" t="s">
        <v>498</v>
      </c>
      <c r="Y974" s="656" t="s">
        <v>14278</v>
      </c>
      <c r="Z974" s="656">
        <v>44305.522094907406</v>
      </c>
      <c r="AA974" s="656" t="s">
        <v>14335</v>
      </c>
      <c r="AB974" s="656"/>
    </row>
    <row r="975" spans="1:28">
      <c r="A975" s="656" t="s">
        <v>2709</v>
      </c>
      <c r="B975" s="656" t="s">
        <v>2710</v>
      </c>
      <c r="C975" s="656" t="s">
        <v>20</v>
      </c>
      <c r="D975" s="656" t="s">
        <v>11635</v>
      </c>
      <c r="E975" s="656" t="s">
        <v>14275</v>
      </c>
      <c r="F975" s="1447">
        <v>43047</v>
      </c>
      <c r="G975" s="656" t="s">
        <v>11633</v>
      </c>
      <c r="H975" s="656" t="s">
        <v>1777</v>
      </c>
      <c r="I975" s="656"/>
      <c r="J975" s="656"/>
      <c r="K975" s="656"/>
      <c r="L975" s="656" t="s">
        <v>11635</v>
      </c>
      <c r="M975" s="656" t="s">
        <v>16196</v>
      </c>
      <c r="N975" s="656"/>
      <c r="O975" s="656" t="s">
        <v>6395</v>
      </c>
      <c r="P975" s="5"/>
      <c r="Q975" s="1447"/>
      <c r="R975" s="656"/>
      <c r="S975" s="656" t="s">
        <v>655</v>
      </c>
      <c r="T975" s="656" t="s">
        <v>14280</v>
      </c>
      <c r="U975" s="656" t="s">
        <v>11626</v>
      </c>
      <c r="V975" s="656"/>
      <c r="W975" s="656" t="s">
        <v>13051</v>
      </c>
      <c r="X975" s="656" t="s">
        <v>498</v>
      </c>
      <c r="Y975" s="656" t="s">
        <v>14278</v>
      </c>
      <c r="Z975" s="656">
        <v>44305.522106481483</v>
      </c>
      <c r="AA975" s="656" t="s">
        <v>14335</v>
      </c>
      <c r="AB975" s="656"/>
    </row>
    <row r="976" spans="1:28">
      <c r="A976" s="656" t="s">
        <v>2715</v>
      </c>
      <c r="B976" s="656" t="s">
        <v>2716</v>
      </c>
      <c r="C976" s="656" t="s">
        <v>21</v>
      </c>
      <c r="D976" s="656" t="s">
        <v>11630</v>
      </c>
      <c r="E976" s="656" t="s">
        <v>14275</v>
      </c>
      <c r="F976" s="1447">
        <v>43277</v>
      </c>
      <c r="G976" s="656" t="s">
        <v>11629</v>
      </c>
      <c r="H976" s="656" t="s">
        <v>1777</v>
      </c>
      <c r="I976" s="656" t="s">
        <v>14575</v>
      </c>
      <c r="J976" s="656" t="s">
        <v>11630</v>
      </c>
      <c r="K976" s="656" t="s">
        <v>9733</v>
      </c>
      <c r="L976" s="656"/>
      <c r="M976" s="656" t="s">
        <v>16196</v>
      </c>
      <c r="N976" s="656"/>
      <c r="O976" s="656" t="s">
        <v>6395</v>
      </c>
      <c r="P976" s="5"/>
      <c r="Q976" s="1447">
        <v>43277</v>
      </c>
      <c r="R976" s="656">
        <v>43038</v>
      </c>
      <c r="S976" s="656" t="s">
        <v>655</v>
      </c>
      <c r="T976" s="656" t="s">
        <v>14280</v>
      </c>
      <c r="U976" s="656" t="s">
        <v>11626</v>
      </c>
      <c r="V976" s="656"/>
      <c r="W976" s="656" t="s">
        <v>13051</v>
      </c>
      <c r="X976" s="656" t="s">
        <v>498</v>
      </c>
      <c r="Y976" s="656" t="s">
        <v>14278</v>
      </c>
      <c r="Z976" s="656">
        <v>44305.52207175926</v>
      </c>
      <c r="AA976" s="656" t="s">
        <v>14335</v>
      </c>
      <c r="AB976" s="656"/>
    </row>
    <row r="977" spans="1:28">
      <c r="A977" s="656" t="s">
        <v>2715</v>
      </c>
      <c r="B977" s="656" t="s">
        <v>2716</v>
      </c>
      <c r="C977" s="656" t="s">
        <v>20</v>
      </c>
      <c r="D977" s="656" t="s">
        <v>11631</v>
      </c>
      <c r="E977" s="656" t="s">
        <v>14275</v>
      </c>
      <c r="F977" s="1447">
        <v>43222</v>
      </c>
      <c r="G977" s="656" t="s">
        <v>11629</v>
      </c>
      <c r="H977" s="656" t="s">
        <v>1777</v>
      </c>
      <c r="I977" s="656"/>
      <c r="J977" s="656"/>
      <c r="K977" s="656"/>
      <c r="L977" s="656" t="s">
        <v>11631</v>
      </c>
      <c r="M977" s="656" t="s">
        <v>1947</v>
      </c>
      <c r="N977" s="656"/>
      <c r="O977" s="656" t="s">
        <v>6395</v>
      </c>
      <c r="P977" s="5"/>
      <c r="Q977" s="1447"/>
      <c r="R977" s="656"/>
      <c r="S977" s="656" t="s">
        <v>655</v>
      </c>
      <c r="T977" s="656" t="s">
        <v>14280</v>
      </c>
      <c r="U977" s="656" t="s">
        <v>11626</v>
      </c>
      <c r="V977" s="656"/>
      <c r="W977" s="656" t="s">
        <v>13051</v>
      </c>
      <c r="X977" s="656" t="s">
        <v>498</v>
      </c>
      <c r="Y977" s="656" t="s">
        <v>14278</v>
      </c>
      <c r="Z977" s="656">
        <v>44305.522083333337</v>
      </c>
      <c r="AA977" s="656" t="s">
        <v>14335</v>
      </c>
      <c r="AB977" s="656"/>
    </row>
    <row r="978" spans="1:28">
      <c r="A978" s="656" t="s">
        <v>2715</v>
      </c>
      <c r="B978" s="656" t="s">
        <v>2716</v>
      </c>
      <c r="C978" s="656" t="s">
        <v>20</v>
      </c>
      <c r="D978" s="656" t="s">
        <v>11632</v>
      </c>
      <c r="E978" s="656" t="s">
        <v>14275</v>
      </c>
      <c r="F978" s="1447">
        <v>43354</v>
      </c>
      <c r="G978" s="656" t="s">
        <v>11629</v>
      </c>
      <c r="H978" s="656" t="s">
        <v>1777</v>
      </c>
      <c r="I978" s="656"/>
      <c r="J978" s="656"/>
      <c r="K978" s="656"/>
      <c r="L978" s="656" t="s">
        <v>11632</v>
      </c>
      <c r="M978" s="656" t="s">
        <v>16196</v>
      </c>
      <c r="N978" s="656"/>
      <c r="O978" s="656" t="s">
        <v>6395</v>
      </c>
      <c r="P978" s="5"/>
      <c r="Q978" s="1447"/>
      <c r="R978" s="656"/>
      <c r="S978" s="656" t="s">
        <v>655</v>
      </c>
      <c r="T978" s="656" t="s">
        <v>14280</v>
      </c>
      <c r="U978" s="656" t="s">
        <v>11626</v>
      </c>
      <c r="V978" s="656"/>
      <c r="W978" s="656" t="s">
        <v>13051</v>
      </c>
      <c r="X978" s="656" t="s">
        <v>498</v>
      </c>
      <c r="Y978" s="656" t="s">
        <v>14278</v>
      </c>
      <c r="Z978" s="656">
        <v>44305.522094907406</v>
      </c>
      <c r="AA978" s="656" t="s">
        <v>14335</v>
      </c>
      <c r="AB978" s="656"/>
    </row>
    <row r="979" spans="1:28">
      <c r="A979" s="656" t="s">
        <v>2721</v>
      </c>
      <c r="B979" s="656" t="s">
        <v>2722</v>
      </c>
      <c r="C979" s="656" t="s">
        <v>21</v>
      </c>
      <c r="D979" s="656" t="s">
        <v>11627</v>
      </c>
      <c r="E979" s="656" t="s">
        <v>14275</v>
      </c>
      <c r="F979" s="1447">
        <v>43021</v>
      </c>
      <c r="G979" s="656" t="s">
        <v>11625</v>
      </c>
      <c r="H979" s="656" t="s">
        <v>1777</v>
      </c>
      <c r="I979" s="656" t="s">
        <v>14588</v>
      </c>
      <c r="J979" s="656" t="s">
        <v>11627</v>
      </c>
      <c r="K979" s="656" t="s">
        <v>9782</v>
      </c>
      <c r="L979" s="656"/>
      <c r="M979" s="656" t="s">
        <v>16196</v>
      </c>
      <c r="N979" s="656"/>
      <c r="O979" s="656" t="s">
        <v>6395</v>
      </c>
      <c r="P979" s="5"/>
      <c r="Q979" s="1447">
        <v>42811</v>
      </c>
      <c r="R979" s="656">
        <v>42825</v>
      </c>
      <c r="S979" s="656" t="s">
        <v>11626</v>
      </c>
      <c r="T979" s="656" t="s">
        <v>14280</v>
      </c>
      <c r="U979" s="656" t="s">
        <v>11626</v>
      </c>
      <c r="V979" s="656"/>
      <c r="W979" s="656" t="s">
        <v>13051</v>
      </c>
      <c r="X979" s="656" t="s">
        <v>498</v>
      </c>
      <c r="Y979" s="656" t="s">
        <v>14278</v>
      </c>
      <c r="Z979" s="656">
        <v>44305.522060185183</v>
      </c>
      <c r="AA979" s="656" t="s">
        <v>14335</v>
      </c>
      <c r="AB979" s="656"/>
    </row>
    <row r="980" spans="1:28">
      <c r="A980" s="656" t="s">
        <v>2721</v>
      </c>
      <c r="B980" s="656" t="s">
        <v>2722</v>
      </c>
      <c r="C980" s="656" t="s">
        <v>20</v>
      </c>
      <c r="D980" s="656" t="s">
        <v>11628</v>
      </c>
      <c r="E980" s="656" t="s">
        <v>14275</v>
      </c>
      <c r="F980" s="1447">
        <v>43047</v>
      </c>
      <c r="G980" s="656" t="s">
        <v>11625</v>
      </c>
      <c r="H980" s="656" t="s">
        <v>1777</v>
      </c>
      <c r="I980" s="656"/>
      <c r="J980" s="656"/>
      <c r="K980" s="656"/>
      <c r="L980" s="656" t="s">
        <v>11628</v>
      </c>
      <c r="M980" s="656" t="s">
        <v>16196</v>
      </c>
      <c r="N980" s="656"/>
      <c r="O980" s="656" t="s">
        <v>6395</v>
      </c>
      <c r="P980" s="5"/>
      <c r="Q980" s="1447"/>
      <c r="R980" s="656"/>
      <c r="S980" s="656" t="s">
        <v>11626</v>
      </c>
      <c r="T980" s="656" t="s">
        <v>14280</v>
      </c>
      <c r="U980" s="656" t="s">
        <v>11626</v>
      </c>
      <c r="V980" s="656"/>
      <c r="W980" s="656" t="s">
        <v>13051</v>
      </c>
      <c r="X980" s="656" t="s">
        <v>498</v>
      </c>
      <c r="Y980" s="656" t="s">
        <v>14278</v>
      </c>
      <c r="Z980" s="656">
        <v>44305.522060185183</v>
      </c>
      <c r="AA980" s="656" t="s">
        <v>14335</v>
      </c>
      <c r="AB980" s="656"/>
    </row>
    <row r="981" spans="1:28">
      <c r="A981" s="656" t="s">
        <v>2742</v>
      </c>
      <c r="B981" s="656" t="s">
        <v>2743</v>
      </c>
      <c r="C981" s="656" t="s">
        <v>21</v>
      </c>
      <c r="D981" s="656" t="s">
        <v>11622</v>
      </c>
      <c r="E981" s="656" t="s">
        <v>14275</v>
      </c>
      <c r="F981" s="1447">
        <v>43300</v>
      </c>
      <c r="G981" s="656" t="s">
        <v>11621</v>
      </c>
      <c r="H981" s="656" t="s">
        <v>1777</v>
      </c>
      <c r="I981" s="656" t="s">
        <v>14573</v>
      </c>
      <c r="J981" s="656" t="s">
        <v>11622</v>
      </c>
      <c r="K981" s="656" t="s">
        <v>9733</v>
      </c>
      <c r="L981" s="656"/>
      <c r="M981" s="656" t="s">
        <v>16196</v>
      </c>
      <c r="N981" s="656"/>
      <c r="O981" s="656" t="s">
        <v>6395</v>
      </c>
      <c r="P981" s="5"/>
      <c r="Q981" s="1447">
        <v>42776</v>
      </c>
      <c r="R981" s="656">
        <v>42990</v>
      </c>
      <c r="S981" s="656" t="s">
        <v>1394</v>
      </c>
      <c r="T981" s="656" t="s">
        <v>14280</v>
      </c>
      <c r="U981" s="656" t="s">
        <v>11626</v>
      </c>
      <c r="V981" s="656"/>
      <c r="W981" s="656" t="s">
        <v>13051</v>
      </c>
      <c r="X981" s="656" t="s">
        <v>498</v>
      </c>
      <c r="Y981" s="656" t="s">
        <v>14278</v>
      </c>
      <c r="Z981" s="656">
        <v>44305.522048611114</v>
      </c>
      <c r="AA981" s="656" t="s">
        <v>14335</v>
      </c>
      <c r="AB981" s="656"/>
    </row>
    <row r="982" spans="1:28">
      <c r="A982" s="656" t="s">
        <v>2742</v>
      </c>
      <c r="B982" s="656" t="s">
        <v>2743</v>
      </c>
      <c r="C982" s="656" t="s">
        <v>20</v>
      </c>
      <c r="D982" s="656" t="s">
        <v>11623</v>
      </c>
      <c r="E982" s="656" t="s">
        <v>14275</v>
      </c>
      <c r="F982" s="1447">
        <v>43286</v>
      </c>
      <c r="G982" s="656" t="s">
        <v>11621</v>
      </c>
      <c r="H982" s="656" t="s">
        <v>1777</v>
      </c>
      <c r="I982" s="656"/>
      <c r="J982" s="656"/>
      <c r="K982" s="656"/>
      <c r="L982" s="656" t="s">
        <v>11623</v>
      </c>
      <c r="M982" s="656" t="s">
        <v>1947</v>
      </c>
      <c r="N982" s="656"/>
      <c r="O982" s="656" t="s">
        <v>6395</v>
      </c>
      <c r="P982" s="5"/>
      <c r="Q982" s="1447"/>
      <c r="R982" s="656"/>
      <c r="S982" s="656" t="s">
        <v>1394</v>
      </c>
      <c r="T982" s="656" t="s">
        <v>14280</v>
      </c>
      <c r="U982" s="656" t="s">
        <v>11626</v>
      </c>
      <c r="V982" s="656"/>
      <c r="W982" s="656" t="s">
        <v>13051</v>
      </c>
      <c r="X982" s="656" t="s">
        <v>498</v>
      </c>
      <c r="Y982" s="656" t="s">
        <v>14278</v>
      </c>
      <c r="Z982" s="656">
        <v>44305.522048611114</v>
      </c>
      <c r="AA982" s="656" t="s">
        <v>14335</v>
      </c>
      <c r="AB982" s="656"/>
    </row>
    <row r="983" spans="1:28">
      <c r="A983" s="656" t="s">
        <v>2742</v>
      </c>
      <c r="B983" s="656" t="s">
        <v>2743</v>
      </c>
      <c r="C983" s="656" t="s">
        <v>20</v>
      </c>
      <c r="D983" s="656" t="s">
        <v>11624</v>
      </c>
      <c r="E983" s="656" t="s">
        <v>14275</v>
      </c>
      <c r="F983" s="1447">
        <v>43298</v>
      </c>
      <c r="G983" s="656" t="s">
        <v>11621</v>
      </c>
      <c r="H983" s="656" t="s">
        <v>1777</v>
      </c>
      <c r="I983" s="656"/>
      <c r="J983" s="656"/>
      <c r="K983" s="656"/>
      <c r="L983" s="656" t="s">
        <v>11624</v>
      </c>
      <c r="M983" s="656" t="s">
        <v>16196</v>
      </c>
      <c r="N983" s="656"/>
      <c r="O983" s="656" t="s">
        <v>6395</v>
      </c>
      <c r="P983" s="5"/>
      <c r="Q983" s="1447"/>
      <c r="R983" s="656"/>
      <c r="S983" s="656" t="s">
        <v>1394</v>
      </c>
      <c r="T983" s="656" t="s">
        <v>14280</v>
      </c>
      <c r="U983" s="656" t="s">
        <v>11626</v>
      </c>
      <c r="V983" s="656"/>
      <c r="W983" s="656" t="s">
        <v>13051</v>
      </c>
      <c r="X983" s="656" t="s">
        <v>498</v>
      </c>
      <c r="Y983" s="656" t="s">
        <v>14278</v>
      </c>
      <c r="Z983" s="656">
        <v>44305.522060185183</v>
      </c>
      <c r="AA983" s="656" t="s">
        <v>14335</v>
      </c>
      <c r="AB983" s="656"/>
    </row>
    <row r="984" spans="1:28">
      <c r="A984" s="656" t="s">
        <v>2744</v>
      </c>
      <c r="B984" s="656" t="s">
        <v>2745</v>
      </c>
      <c r="C984" s="656" t="s">
        <v>21</v>
      </c>
      <c r="D984" s="656" t="s">
        <v>11619</v>
      </c>
      <c r="E984" s="656" t="s">
        <v>14384</v>
      </c>
      <c r="F984" s="1447">
        <v>43355</v>
      </c>
      <c r="G984" s="656" t="s">
        <v>11618</v>
      </c>
      <c r="H984" s="656" t="s">
        <v>1777</v>
      </c>
      <c r="I984" s="656" t="s">
        <v>14589</v>
      </c>
      <c r="J984" s="656" t="s">
        <v>11619</v>
      </c>
      <c r="K984" s="656" t="s">
        <v>9733</v>
      </c>
      <c r="L984" s="656"/>
      <c r="M984" s="656" t="s">
        <v>16196</v>
      </c>
      <c r="N984" s="656"/>
      <c r="O984" s="656" t="s">
        <v>6395</v>
      </c>
      <c r="P984" s="5" t="s">
        <v>14590</v>
      </c>
      <c r="Q984" s="1447">
        <v>42824</v>
      </c>
      <c r="R984" s="656"/>
      <c r="S984" s="656" t="s">
        <v>1394</v>
      </c>
      <c r="T984" s="656" t="s">
        <v>14280</v>
      </c>
      <c r="U984" s="656" t="s">
        <v>11626</v>
      </c>
      <c r="V984" s="656"/>
      <c r="W984" s="656" t="s">
        <v>13051</v>
      </c>
      <c r="X984" s="656" t="s">
        <v>498</v>
      </c>
      <c r="Y984" s="656" t="s">
        <v>14278</v>
      </c>
      <c r="Z984" s="656">
        <v>44305.52202546296</v>
      </c>
      <c r="AA984" s="656" t="s">
        <v>14335</v>
      </c>
      <c r="AB984" s="656"/>
    </row>
    <row r="985" spans="1:28">
      <c r="A985" s="656" t="s">
        <v>2744</v>
      </c>
      <c r="B985" s="656" t="s">
        <v>2745</v>
      </c>
      <c r="C985" s="656" t="s">
        <v>20</v>
      </c>
      <c r="D985" s="656" t="s">
        <v>11620</v>
      </c>
      <c r="E985" s="656" t="s">
        <v>14275</v>
      </c>
      <c r="F985" s="1447">
        <v>43349</v>
      </c>
      <c r="G985" s="656" t="s">
        <v>11618</v>
      </c>
      <c r="H985" s="656" t="s">
        <v>1777</v>
      </c>
      <c r="I985" s="656"/>
      <c r="J985" s="656"/>
      <c r="K985" s="656"/>
      <c r="L985" s="656" t="s">
        <v>11620</v>
      </c>
      <c r="M985" s="656" t="s">
        <v>16196</v>
      </c>
      <c r="N985" s="656"/>
      <c r="O985" s="656" t="s">
        <v>6395</v>
      </c>
      <c r="P985" s="5"/>
      <c r="Q985" s="1447"/>
      <c r="R985" s="656"/>
      <c r="S985" s="656" t="s">
        <v>1394</v>
      </c>
      <c r="T985" s="656" t="s">
        <v>14280</v>
      </c>
      <c r="U985" s="656" t="s">
        <v>11626</v>
      </c>
      <c r="V985" s="656"/>
      <c r="W985" s="656" t="s">
        <v>13051</v>
      </c>
      <c r="X985" s="656" t="s">
        <v>498</v>
      </c>
      <c r="Y985" s="656" t="s">
        <v>14278</v>
      </c>
      <c r="Z985" s="656">
        <v>44305.522037037037</v>
      </c>
      <c r="AA985" s="656" t="s">
        <v>14335</v>
      </c>
      <c r="AB985" s="656"/>
    </row>
    <row r="986" spans="1:28">
      <c r="A986" s="656" t="s">
        <v>2746</v>
      </c>
      <c r="B986" s="656" t="s">
        <v>2747</v>
      </c>
      <c r="C986" s="656" t="s">
        <v>20</v>
      </c>
      <c r="D986" s="656" t="s">
        <v>9754</v>
      </c>
      <c r="E986" s="656" t="s">
        <v>14275</v>
      </c>
      <c r="F986" s="1447">
        <v>44125</v>
      </c>
      <c r="G986" s="656" t="s">
        <v>9753</v>
      </c>
      <c r="H986" s="656" t="s">
        <v>1777</v>
      </c>
      <c r="I986" s="656"/>
      <c r="J986" s="656"/>
      <c r="K986" s="656"/>
      <c r="L986" s="656" t="s">
        <v>9754</v>
      </c>
      <c r="M986" s="656" t="s">
        <v>16323</v>
      </c>
      <c r="N986" s="656"/>
      <c r="O986" s="656" t="s">
        <v>6387</v>
      </c>
      <c r="P986" s="5"/>
      <c r="Q986" s="1447"/>
      <c r="R986" s="656"/>
      <c r="S986" s="656" t="s">
        <v>655</v>
      </c>
      <c r="T986" s="656" t="s">
        <v>14277</v>
      </c>
      <c r="U986" s="656" t="s">
        <v>655</v>
      </c>
      <c r="V986" s="656"/>
      <c r="W986" s="656" t="s">
        <v>13051</v>
      </c>
      <c r="X986" s="656" t="s">
        <v>498</v>
      </c>
      <c r="Y986" s="656" t="s">
        <v>14278</v>
      </c>
      <c r="Z986" s="656">
        <v>44305.52202546296</v>
      </c>
      <c r="AA986" s="656" t="s">
        <v>14335</v>
      </c>
      <c r="AB986" s="656"/>
    </row>
    <row r="987" spans="1:28">
      <c r="A987" s="656" t="s">
        <v>2794</v>
      </c>
      <c r="B987" s="656" t="s">
        <v>2795</v>
      </c>
      <c r="C987" s="656" t="s">
        <v>21</v>
      </c>
      <c r="D987" s="656" t="s">
        <v>11616</v>
      </c>
      <c r="E987" s="656" t="s">
        <v>14275</v>
      </c>
      <c r="F987" s="1447">
        <v>43509</v>
      </c>
      <c r="G987" s="656" t="s">
        <v>11615</v>
      </c>
      <c r="H987" s="656" t="s">
        <v>1777</v>
      </c>
      <c r="I987" s="656" t="s">
        <v>14591</v>
      </c>
      <c r="J987" s="656" t="s">
        <v>11616</v>
      </c>
      <c r="K987" s="656" t="s">
        <v>9733</v>
      </c>
      <c r="L987" s="656"/>
      <c r="M987" s="656" t="s">
        <v>16196</v>
      </c>
      <c r="N987" s="656"/>
      <c r="O987" s="656" t="s">
        <v>6387</v>
      </c>
      <c r="P987" s="5"/>
      <c r="Q987" s="1447">
        <v>43019</v>
      </c>
      <c r="R987" s="656">
        <v>43293</v>
      </c>
      <c r="S987" s="656" t="s">
        <v>1394</v>
      </c>
      <c r="T987" s="656" t="s">
        <v>4198</v>
      </c>
      <c r="U987" s="656" t="s">
        <v>1300</v>
      </c>
      <c r="V987" s="656"/>
      <c r="W987" s="656" t="s">
        <v>13051</v>
      </c>
      <c r="X987" s="656" t="s">
        <v>498</v>
      </c>
      <c r="Y987" s="656" t="s">
        <v>14278</v>
      </c>
      <c r="Z987" s="656">
        <v>44305.522002314814</v>
      </c>
      <c r="AA987" s="656" t="s">
        <v>14335</v>
      </c>
      <c r="AB987" s="656"/>
    </row>
    <row r="988" spans="1:28">
      <c r="A988" s="656" t="s">
        <v>2794</v>
      </c>
      <c r="B988" s="656" t="s">
        <v>2795</v>
      </c>
      <c r="C988" s="656" t="s">
        <v>20</v>
      </c>
      <c r="D988" s="656" t="s">
        <v>11617</v>
      </c>
      <c r="E988" s="656" t="s">
        <v>14275</v>
      </c>
      <c r="F988" s="1447">
        <v>43424</v>
      </c>
      <c r="G988" s="656" t="s">
        <v>11615</v>
      </c>
      <c r="H988" s="656" t="s">
        <v>1777</v>
      </c>
      <c r="I988" s="656"/>
      <c r="J988" s="656"/>
      <c r="K988" s="656"/>
      <c r="L988" s="656" t="s">
        <v>11617</v>
      </c>
      <c r="M988" s="656" t="s">
        <v>1947</v>
      </c>
      <c r="N988" s="656"/>
      <c r="O988" s="656" t="s">
        <v>6387</v>
      </c>
      <c r="P988" s="5"/>
      <c r="Q988" s="1447">
        <v>42916</v>
      </c>
      <c r="R988" s="656"/>
      <c r="S988" s="656" t="s">
        <v>1394</v>
      </c>
      <c r="T988" s="656" t="s">
        <v>4198</v>
      </c>
      <c r="U988" s="656" t="s">
        <v>1300</v>
      </c>
      <c r="V988" s="656"/>
      <c r="W988" s="656" t="s">
        <v>13051</v>
      </c>
      <c r="X988" s="656" t="s">
        <v>498</v>
      </c>
      <c r="Y988" s="656" t="s">
        <v>14278</v>
      </c>
      <c r="Z988" s="656">
        <v>44305.522013888891</v>
      </c>
      <c r="AA988" s="656" t="s">
        <v>14335</v>
      </c>
      <c r="AB988" s="656"/>
    </row>
    <row r="989" spans="1:28">
      <c r="A989" s="656" t="s">
        <v>2794</v>
      </c>
      <c r="B989" s="656" t="s">
        <v>2795</v>
      </c>
      <c r="C989" s="656" t="s">
        <v>20</v>
      </c>
      <c r="D989" s="656" t="s">
        <v>11986</v>
      </c>
      <c r="E989" s="656" t="s">
        <v>14275</v>
      </c>
      <c r="F989" s="1447">
        <v>43508</v>
      </c>
      <c r="G989" s="656" t="s">
        <v>11985</v>
      </c>
      <c r="H989" s="656" t="s">
        <v>1777</v>
      </c>
      <c r="I989" s="656"/>
      <c r="J989" s="656"/>
      <c r="K989" s="656"/>
      <c r="L989" s="656" t="s">
        <v>11986</v>
      </c>
      <c r="M989" s="656" t="s">
        <v>16196</v>
      </c>
      <c r="N989" s="656"/>
      <c r="O989" s="656" t="s">
        <v>6395</v>
      </c>
      <c r="P989" s="5"/>
      <c r="Q989" s="1447">
        <v>43165</v>
      </c>
      <c r="R989" s="656"/>
      <c r="S989" s="656" t="s">
        <v>1300</v>
      </c>
      <c r="T989" s="656"/>
      <c r="U989" s="656" t="s">
        <v>1300</v>
      </c>
      <c r="V989" s="656"/>
      <c r="W989" s="656" t="s">
        <v>13051</v>
      </c>
      <c r="X989" s="656" t="s">
        <v>498</v>
      </c>
      <c r="Y989" s="656" t="s">
        <v>14278</v>
      </c>
      <c r="Z989" s="656">
        <v>44305.522013888891</v>
      </c>
      <c r="AA989" s="656" t="s">
        <v>14335</v>
      </c>
      <c r="AB989" s="656"/>
    </row>
    <row r="990" spans="1:28">
      <c r="A990" s="656" t="s">
        <v>2796</v>
      </c>
      <c r="B990" s="656" t="s">
        <v>2797</v>
      </c>
      <c r="C990" s="656" t="s">
        <v>20</v>
      </c>
      <c r="D990" s="656" t="s">
        <v>11613</v>
      </c>
      <c r="E990" s="656" t="s">
        <v>14275</v>
      </c>
      <c r="F990" s="1447">
        <v>43250</v>
      </c>
      <c r="G990" s="656" t="s">
        <v>11612</v>
      </c>
      <c r="H990" s="656" t="s">
        <v>1777</v>
      </c>
      <c r="I990" s="656"/>
      <c r="J990" s="656"/>
      <c r="K990" s="656"/>
      <c r="L990" s="656" t="s">
        <v>11613</v>
      </c>
      <c r="M990" s="656" t="s">
        <v>1947</v>
      </c>
      <c r="N990" s="656"/>
      <c r="O990" s="656" t="s">
        <v>6395</v>
      </c>
      <c r="P990" s="5"/>
      <c r="Q990" s="1447"/>
      <c r="R990" s="656"/>
      <c r="S990" s="656" t="s">
        <v>1394</v>
      </c>
      <c r="T990" s="656" t="s">
        <v>14280</v>
      </c>
      <c r="U990" s="656" t="s">
        <v>11626</v>
      </c>
      <c r="V990" s="656"/>
      <c r="W990" s="656" t="s">
        <v>13051</v>
      </c>
      <c r="X990" s="656" t="s">
        <v>498</v>
      </c>
      <c r="Y990" s="656" t="s">
        <v>14278</v>
      </c>
      <c r="Z990" s="656">
        <v>44305.521990740737</v>
      </c>
      <c r="AA990" s="656" t="s">
        <v>14335</v>
      </c>
      <c r="AB990" s="656"/>
    </row>
    <row r="991" spans="1:28">
      <c r="A991" s="656" t="s">
        <v>2796</v>
      </c>
      <c r="B991" s="656" t="s">
        <v>2797</v>
      </c>
      <c r="C991" s="656" t="s">
        <v>20</v>
      </c>
      <c r="D991" s="656" t="s">
        <v>11614</v>
      </c>
      <c r="E991" s="656" t="s">
        <v>14275</v>
      </c>
      <c r="F991" s="1447">
        <v>43228</v>
      </c>
      <c r="G991" s="656" t="s">
        <v>11612</v>
      </c>
      <c r="H991" s="656" t="s">
        <v>1777</v>
      </c>
      <c r="I991" s="656"/>
      <c r="J991" s="656"/>
      <c r="K991" s="656"/>
      <c r="L991" s="656" t="s">
        <v>11614</v>
      </c>
      <c r="M991" s="656" t="s">
        <v>16196</v>
      </c>
      <c r="N991" s="656"/>
      <c r="O991" s="656" t="s">
        <v>6395</v>
      </c>
      <c r="P991" s="5"/>
      <c r="Q991" s="1447"/>
      <c r="R991" s="656"/>
      <c r="S991" s="656" t="s">
        <v>1394</v>
      </c>
      <c r="T991" s="656" t="s">
        <v>14280</v>
      </c>
      <c r="U991" s="656" t="s">
        <v>11626</v>
      </c>
      <c r="V991" s="656"/>
      <c r="W991" s="656" t="s">
        <v>13051</v>
      </c>
      <c r="X991" s="656" t="s">
        <v>498</v>
      </c>
      <c r="Y991" s="656" t="s">
        <v>14278</v>
      </c>
      <c r="Z991" s="656">
        <v>44305.522002314814</v>
      </c>
      <c r="AA991" s="656" t="s">
        <v>14335</v>
      </c>
      <c r="AB991" s="656"/>
    </row>
    <row r="992" spans="1:28">
      <c r="A992" s="656" t="s">
        <v>2821</v>
      </c>
      <c r="B992" s="656" t="s">
        <v>2822</v>
      </c>
      <c r="C992" s="656" t="s">
        <v>20</v>
      </c>
      <c r="D992" s="656" t="s">
        <v>11611</v>
      </c>
      <c r="E992" s="656" t="s">
        <v>14275</v>
      </c>
      <c r="F992" s="1447">
        <v>43563</v>
      </c>
      <c r="G992" s="656" t="s">
        <v>11610</v>
      </c>
      <c r="H992" s="656" t="s">
        <v>1777</v>
      </c>
      <c r="I992" s="656"/>
      <c r="J992" s="656"/>
      <c r="K992" s="656"/>
      <c r="L992" s="656" t="s">
        <v>11611</v>
      </c>
      <c r="M992" s="656" t="s">
        <v>16323</v>
      </c>
      <c r="N992" s="656"/>
      <c r="O992" s="656" t="s">
        <v>6387</v>
      </c>
      <c r="P992" s="5"/>
      <c r="Q992" s="1447"/>
      <c r="R992" s="656"/>
      <c r="S992" s="656" t="s">
        <v>655</v>
      </c>
      <c r="T992" s="656" t="s">
        <v>14277</v>
      </c>
      <c r="U992" s="656" t="s">
        <v>655</v>
      </c>
      <c r="V992" s="656"/>
      <c r="W992" s="656" t="s">
        <v>13051</v>
      </c>
      <c r="X992" s="656" t="s">
        <v>498</v>
      </c>
      <c r="Y992" s="656" t="s">
        <v>14278</v>
      </c>
      <c r="Z992" s="656">
        <v>44305.521990740737</v>
      </c>
      <c r="AA992" s="656" t="s">
        <v>14335</v>
      </c>
      <c r="AB992" s="656"/>
    </row>
    <row r="993" spans="1:28">
      <c r="A993" s="656" t="s">
        <v>2824</v>
      </c>
      <c r="B993" s="656" t="s">
        <v>2825</v>
      </c>
      <c r="C993" s="656" t="s">
        <v>20</v>
      </c>
      <c r="D993" s="656" t="s">
        <v>11609</v>
      </c>
      <c r="E993" s="656" t="s">
        <v>14275</v>
      </c>
      <c r="F993" s="1447">
        <v>43095</v>
      </c>
      <c r="G993" s="656" t="s">
        <v>11608</v>
      </c>
      <c r="H993" s="656" t="s">
        <v>1777</v>
      </c>
      <c r="I993" s="656"/>
      <c r="J993" s="656"/>
      <c r="K993" s="656"/>
      <c r="L993" s="656" t="s">
        <v>11609</v>
      </c>
      <c r="M993" s="656" t="s">
        <v>12703</v>
      </c>
      <c r="N993" s="656"/>
      <c r="O993" s="656" t="s">
        <v>6387</v>
      </c>
      <c r="P993" s="5"/>
      <c r="Q993" s="1447">
        <v>42720</v>
      </c>
      <c r="R993" s="656"/>
      <c r="S993" s="656" t="s">
        <v>1667</v>
      </c>
      <c r="T993" s="656" t="s">
        <v>14559</v>
      </c>
      <c r="U993" s="656" t="s">
        <v>500</v>
      </c>
      <c r="V993" s="656"/>
      <c r="W993" s="656" t="s">
        <v>13051</v>
      </c>
      <c r="X993" s="656" t="s">
        <v>498</v>
      </c>
      <c r="Y993" s="656" t="s">
        <v>14278</v>
      </c>
      <c r="Z993" s="656">
        <v>44305.753888888888</v>
      </c>
      <c r="AA993" s="656" t="s">
        <v>14335</v>
      </c>
      <c r="AB993" s="656"/>
    </row>
    <row r="994" spans="1:28">
      <c r="A994" s="656" t="s">
        <v>2830</v>
      </c>
      <c r="B994" s="656" t="s">
        <v>2831</v>
      </c>
      <c r="C994" s="656" t="s">
        <v>21</v>
      </c>
      <c r="D994" s="656" t="s">
        <v>11606</v>
      </c>
      <c r="E994" s="656" t="s">
        <v>14275</v>
      </c>
      <c r="F994" s="1447">
        <v>43095</v>
      </c>
      <c r="G994" s="656" t="s">
        <v>11605</v>
      </c>
      <c r="H994" s="656" t="s">
        <v>1777</v>
      </c>
      <c r="I994" s="656" t="s">
        <v>14592</v>
      </c>
      <c r="J994" s="656" t="s">
        <v>11606</v>
      </c>
      <c r="K994" s="656" t="s">
        <v>9750</v>
      </c>
      <c r="L994" s="656"/>
      <c r="M994" s="656" t="s">
        <v>16196</v>
      </c>
      <c r="N994" s="656"/>
      <c r="O994" s="656" t="s">
        <v>6393</v>
      </c>
      <c r="P994" s="5"/>
      <c r="Q994" s="1447">
        <v>42776</v>
      </c>
      <c r="R994" s="656">
        <v>42934</v>
      </c>
      <c r="S994" s="656" t="s">
        <v>1300</v>
      </c>
      <c r="T994" s="656" t="s">
        <v>4198</v>
      </c>
      <c r="U994" s="656" t="s">
        <v>1300</v>
      </c>
      <c r="V994" s="656"/>
      <c r="W994" s="656" t="s">
        <v>13051</v>
      </c>
      <c r="X994" s="656" t="s">
        <v>498</v>
      </c>
      <c r="Y994" s="656" t="s">
        <v>14278</v>
      </c>
      <c r="Z994" s="656">
        <v>44305.521956018521</v>
      </c>
      <c r="AA994" s="656" t="s">
        <v>14335</v>
      </c>
      <c r="AB994" s="656"/>
    </row>
    <row r="995" spans="1:28">
      <c r="A995" s="656" t="s">
        <v>2830</v>
      </c>
      <c r="B995" s="656" t="s">
        <v>2831</v>
      </c>
      <c r="C995" s="656" t="s">
        <v>20</v>
      </c>
      <c r="D995" s="656" t="s">
        <v>11607</v>
      </c>
      <c r="E995" s="656" t="s">
        <v>14275</v>
      </c>
      <c r="F995" s="1447">
        <v>43052</v>
      </c>
      <c r="G995" s="656" t="s">
        <v>11605</v>
      </c>
      <c r="H995" s="656" t="s">
        <v>1777</v>
      </c>
      <c r="I995" s="656"/>
      <c r="J995" s="656"/>
      <c r="K995" s="656"/>
      <c r="L995" s="656" t="s">
        <v>11607</v>
      </c>
      <c r="M995" s="656" t="s">
        <v>16196</v>
      </c>
      <c r="N995" s="656"/>
      <c r="O995" s="656" t="s">
        <v>9757</v>
      </c>
      <c r="P995" s="5"/>
      <c r="Q995" s="1447">
        <v>42783</v>
      </c>
      <c r="R995" s="656"/>
      <c r="S995" s="656" t="s">
        <v>1300</v>
      </c>
      <c r="T995" s="656" t="s">
        <v>4198</v>
      </c>
      <c r="U995" s="656" t="s">
        <v>1300</v>
      </c>
      <c r="V995" s="656"/>
      <c r="W995" s="656" t="s">
        <v>13051</v>
      </c>
      <c r="X995" s="656" t="s">
        <v>498</v>
      </c>
      <c r="Y995" s="656" t="s">
        <v>14278</v>
      </c>
      <c r="Z995" s="656">
        <v>44305.521967592591</v>
      </c>
      <c r="AA995" s="656" t="s">
        <v>14335</v>
      </c>
      <c r="AB995" s="656"/>
    </row>
    <row r="996" spans="1:28">
      <c r="A996" s="656" t="s">
        <v>2837</v>
      </c>
      <c r="B996" s="656" t="s">
        <v>2838</v>
      </c>
      <c r="C996" s="656" t="s">
        <v>21</v>
      </c>
      <c r="D996" s="656" t="s">
        <v>11922</v>
      </c>
      <c r="E996" s="656" t="s">
        <v>14275</v>
      </c>
      <c r="F996" s="1447">
        <v>43480</v>
      </c>
      <c r="G996" s="656" t="s">
        <v>11921</v>
      </c>
      <c r="H996" s="656" t="s">
        <v>1777</v>
      </c>
      <c r="I996" s="656" t="s">
        <v>14593</v>
      </c>
      <c r="J996" s="656" t="s">
        <v>11922</v>
      </c>
      <c r="K996" s="656" t="s">
        <v>9774</v>
      </c>
      <c r="L996" s="656"/>
      <c r="M996" s="656" t="s">
        <v>16318</v>
      </c>
      <c r="N996" s="656"/>
      <c r="O996" s="656" t="s">
        <v>6393</v>
      </c>
      <c r="P996" s="5"/>
      <c r="Q996" s="1447">
        <v>43157</v>
      </c>
      <c r="R996" s="656">
        <v>43221</v>
      </c>
      <c r="S996" s="656" t="s">
        <v>1667</v>
      </c>
      <c r="T996" s="656"/>
      <c r="U996" s="656" t="s">
        <v>1667</v>
      </c>
      <c r="V996" s="656"/>
      <c r="W996" s="656" t="s">
        <v>13051</v>
      </c>
      <c r="X996" s="656" t="s">
        <v>498</v>
      </c>
      <c r="Y996" s="656" t="s">
        <v>14278</v>
      </c>
      <c r="Z996" s="656">
        <v>44305.521944444445</v>
      </c>
      <c r="AA996" s="656" t="s">
        <v>14335</v>
      </c>
      <c r="AB996" s="656"/>
    </row>
    <row r="997" spans="1:28">
      <c r="A997" s="656" t="s">
        <v>2837</v>
      </c>
      <c r="B997" s="656" t="s">
        <v>2838</v>
      </c>
      <c r="C997" s="656" t="s">
        <v>20</v>
      </c>
      <c r="D997" s="656" t="s">
        <v>11604</v>
      </c>
      <c r="E997" s="656" t="s">
        <v>14275</v>
      </c>
      <c r="F997" s="1447">
        <v>43487</v>
      </c>
      <c r="G997" s="656" t="s">
        <v>11603</v>
      </c>
      <c r="H997" s="656" t="s">
        <v>1777</v>
      </c>
      <c r="I997" s="656"/>
      <c r="J997" s="656"/>
      <c r="K997" s="656"/>
      <c r="L997" s="656" t="s">
        <v>11604</v>
      </c>
      <c r="M997" s="656" t="s">
        <v>16318</v>
      </c>
      <c r="N997" s="656"/>
      <c r="O997" s="656" t="s">
        <v>6393</v>
      </c>
      <c r="P997" s="5"/>
      <c r="Q997" s="1447">
        <v>42761</v>
      </c>
      <c r="R997" s="656"/>
      <c r="S997" s="656" t="s">
        <v>1667</v>
      </c>
      <c r="T997" s="656" t="s">
        <v>14559</v>
      </c>
      <c r="U997" s="656" t="s">
        <v>500</v>
      </c>
      <c r="V997" s="656"/>
      <c r="W997" s="656" t="s">
        <v>13051</v>
      </c>
      <c r="X997" s="656" t="s">
        <v>498</v>
      </c>
      <c r="Y997" s="656" t="s">
        <v>14278</v>
      </c>
      <c r="Z997" s="656">
        <v>44305.521944444445</v>
      </c>
      <c r="AA997" s="656" t="s">
        <v>14335</v>
      </c>
      <c r="AB997" s="656"/>
    </row>
    <row r="998" spans="1:28">
      <c r="A998" s="656" t="s">
        <v>2839</v>
      </c>
      <c r="B998" s="656" t="s">
        <v>2840</v>
      </c>
      <c r="C998" s="656" t="s">
        <v>20</v>
      </c>
      <c r="D998" s="656" t="s">
        <v>11602</v>
      </c>
      <c r="E998" s="656" t="s">
        <v>14275</v>
      </c>
      <c r="F998" s="1447">
        <v>43213</v>
      </c>
      <c r="G998" s="656" t="s">
        <v>11601</v>
      </c>
      <c r="H998" s="656" t="s">
        <v>1777</v>
      </c>
      <c r="I998" s="656"/>
      <c r="J998" s="656"/>
      <c r="K998" s="656"/>
      <c r="L998" s="656" t="s">
        <v>11602</v>
      </c>
      <c r="M998" s="656" t="s">
        <v>1584</v>
      </c>
      <c r="N998" s="656"/>
      <c r="O998" s="656" t="s">
        <v>6387</v>
      </c>
      <c r="P998" s="5"/>
      <c r="Q998" s="1447">
        <v>42835</v>
      </c>
      <c r="R998" s="656"/>
      <c r="S998" s="656" t="s">
        <v>1667</v>
      </c>
      <c r="T998" s="656" t="s">
        <v>14524</v>
      </c>
      <c r="U998" s="656" t="s">
        <v>1667</v>
      </c>
      <c r="V998" s="656"/>
      <c r="W998" s="656" t="s">
        <v>13051</v>
      </c>
      <c r="X998" s="656" t="s">
        <v>498</v>
      </c>
      <c r="Y998" s="656" t="s">
        <v>14278</v>
      </c>
      <c r="Z998" s="656">
        <v>44305.521944444445</v>
      </c>
      <c r="AA998" s="656" t="s">
        <v>14335</v>
      </c>
      <c r="AB998" s="656"/>
    </row>
    <row r="999" spans="1:28">
      <c r="A999" s="656" t="s">
        <v>2848</v>
      </c>
      <c r="B999" s="656" t="s">
        <v>2088</v>
      </c>
      <c r="C999" s="656" t="s">
        <v>21</v>
      </c>
      <c r="D999" s="656" t="s">
        <v>15402</v>
      </c>
      <c r="E999" s="656" t="s">
        <v>14275</v>
      </c>
      <c r="F999" s="1447">
        <v>44263</v>
      </c>
      <c r="G999" s="656" t="s">
        <v>9954</v>
      </c>
      <c r="H999" s="656" t="s">
        <v>1777</v>
      </c>
      <c r="I999" s="656" t="s">
        <v>15403</v>
      </c>
      <c r="J999" s="656" t="s">
        <v>15402</v>
      </c>
      <c r="K999" s="656" t="s">
        <v>9774</v>
      </c>
      <c r="L999" s="656"/>
      <c r="M999" s="656" t="s">
        <v>16196</v>
      </c>
      <c r="N999" s="656"/>
      <c r="O999" s="656" t="s">
        <v>6395</v>
      </c>
      <c r="P999" s="5" t="s">
        <v>15404</v>
      </c>
      <c r="Q999" s="1447">
        <v>43816</v>
      </c>
      <c r="R999" s="656">
        <v>44088</v>
      </c>
      <c r="S999" s="656" t="s">
        <v>469</v>
      </c>
      <c r="T999" s="656"/>
      <c r="U999" s="656"/>
      <c r="V999" s="656"/>
      <c r="W999" s="656" t="s">
        <v>13051</v>
      </c>
      <c r="X999" s="656" t="s">
        <v>498</v>
      </c>
      <c r="Y999" s="656" t="s">
        <v>14278</v>
      </c>
      <c r="Z999" s="656">
        <v>44305.521921296298</v>
      </c>
      <c r="AA999" s="656" t="s">
        <v>14335</v>
      </c>
      <c r="AB999" s="656"/>
    </row>
    <row r="1000" spans="1:28">
      <c r="A1000" s="656" t="s">
        <v>2848</v>
      </c>
      <c r="B1000" s="656" t="s">
        <v>2088</v>
      </c>
      <c r="C1000" s="656" t="s">
        <v>20</v>
      </c>
      <c r="D1000" s="656" t="s">
        <v>9955</v>
      </c>
      <c r="E1000" s="656" t="s">
        <v>14275</v>
      </c>
      <c r="F1000" s="1447">
        <v>44263</v>
      </c>
      <c r="G1000" s="656" t="s">
        <v>9954</v>
      </c>
      <c r="H1000" s="656" t="s">
        <v>1777</v>
      </c>
      <c r="I1000" s="656"/>
      <c r="J1000" s="656"/>
      <c r="K1000" s="656"/>
      <c r="L1000" s="656" t="s">
        <v>9955</v>
      </c>
      <c r="M1000" s="656" t="s">
        <v>16368</v>
      </c>
      <c r="N1000" s="656"/>
      <c r="O1000" s="656" t="s">
        <v>6395</v>
      </c>
      <c r="P1000" s="5"/>
      <c r="Q1000" s="1447">
        <v>43584</v>
      </c>
      <c r="R1000" s="656"/>
      <c r="S1000" s="656" t="s">
        <v>1338</v>
      </c>
      <c r="T1000" s="656"/>
      <c r="U1000" s="656"/>
      <c r="V1000" s="656"/>
      <c r="W1000" s="656" t="s">
        <v>13051</v>
      </c>
      <c r="X1000" s="656" t="s">
        <v>498</v>
      </c>
      <c r="Y1000" s="656" t="s">
        <v>14278</v>
      </c>
      <c r="Z1000" s="656">
        <v>44305.521921296298</v>
      </c>
      <c r="AA1000" s="656" t="s">
        <v>14335</v>
      </c>
      <c r="AB1000" s="656"/>
    </row>
    <row r="1001" spans="1:28">
      <c r="A1001" s="656" t="s">
        <v>2848</v>
      </c>
      <c r="B1001" s="656" t="s">
        <v>2088</v>
      </c>
      <c r="C1001" s="656" t="s">
        <v>20</v>
      </c>
      <c r="D1001" s="656" t="s">
        <v>10022</v>
      </c>
      <c r="E1001" s="656" t="s">
        <v>14275</v>
      </c>
      <c r="F1001" s="1447">
        <v>44263</v>
      </c>
      <c r="G1001" s="656" t="s">
        <v>9954</v>
      </c>
      <c r="H1001" s="656" t="s">
        <v>1777</v>
      </c>
      <c r="I1001" s="656"/>
      <c r="J1001" s="656"/>
      <c r="K1001" s="656"/>
      <c r="L1001" s="656" t="s">
        <v>10022</v>
      </c>
      <c r="M1001" s="656" t="s">
        <v>16196</v>
      </c>
      <c r="N1001" s="656"/>
      <c r="O1001" s="656" t="s">
        <v>6395</v>
      </c>
      <c r="P1001" s="5"/>
      <c r="Q1001" s="1447">
        <v>43676</v>
      </c>
      <c r="R1001" s="656"/>
      <c r="S1001" s="656" t="s">
        <v>469</v>
      </c>
      <c r="T1001" s="656"/>
      <c r="U1001" s="656"/>
      <c r="V1001" s="656"/>
      <c r="W1001" s="656" t="s">
        <v>13051</v>
      </c>
      <c r="X1001" s="656" t="s">
        <v>498</v>
      </c>
      <c r="Y1001" s="656" t="s">
        <v>14278</v>
      </c>
      <c r="Z1001" s="656">
        <v>44305.521932870368</v>
      </c>
      <c r="AA1001" s="656" t="s">
        <v>14335</v>
      </c>
      <c r="AB1001" s="656"/>
    </row>
    <row r="1002" spans="1:28">
      <c r="A1002" s="656" t="s">
        <v>2850</v>
      </c>
      <c r="B1002" s="656" t="s">
        <v>2760</v>
      </c>
      <c r="C1002" s="656" t="s">
        <v>21</v>
      </c>
      <c r="D1002" s="656" t="s">
        <v>11598</v>
      </c>
      <c r="E1002" s="656" t="s">
        <v>14275</v>
      </c>
      <c r="F1002" s="1447">
        <v>43277</v>
      </c>
      <c r="G1002" s="656" t="s">
        <v>11597</v>
      </c>
      <c r="H1002" s="656" t="s">
        <v>1777</v>
      </c>
      <c r="I1002" s="656" t="s">
        <v>14575</v>
      </c>
      <c r="J1002" s="656" t="s">
        <v>11598</v>
      </c>
      <c r="K1002" s="656" t="s">
        <v>9733</v>
      </c>
      <c r="L1002" s="656"/>
      <c r="M1002" s="656" t="s">
        <v>16196</v>
      </c>
      <c r="N1002" s="656"/>
      <c r="O1002" s="656" t="s">
        <v>6395</v>
      </c>
      <c r="P1002" s="5"/>
      <c r="Q1002" s="1447">
        <v>43277</v>
      </c>
      <c r="R1002" s="656">
        <v>43035</v>
      </c>
      <c r="S1002" s="656" t="s">
        <v>1394</v>
      </c>
      <c r="T1002" s="656" t="s">
        <v>14280</v>
      </c>
      <c r="U1002" s="656" t="s">
        <v>11626</v>
      </c>
      <c r="V1002" s="656"/>
      <c r="W1002" s="656" t="s">
        <v>13051</v>
      </c>
      <c r="X1002" s="656" t="s">
        <v>498</v>
      </c>
      <c r="Y1002" s="656" t="s">
        <v>14278</v>
      </c>
      <c r="Z1002" s="656">
        <v>44305.521898148145</v>
      </c>
      <c r="AA1002" s="656" t="s">
        <v>14335</v>
      </c>
      <c r="AB1002" s="656"/>
    </row>
    <row r="1003" spans="1:28">
      <c r="A1003" s="656" t="s">
        <v>2850</v>
      </c>
      <c r="B1003" s="656" t="s">
        <v>2760</v>
      </c>
      <c r="C1003" s="656" t="s">
        <v>20</v>
      </c>
      <c r="D1003" s="656" t="s">
        <v>11599</v>
      </c>
      <c r="E1003" s="656" t="s">
        <v>14275</v>
      </c>
      <c r="F1003" s="1447">
        <v>43222</v>
      </c>
      <c r="G1003" s="656" t="s">
        <v>11597</v>
      </c>
      <c r="H1003" s="656" t="s">
        <v>1777</v>
      </c>
      <c r="I1003" s="656"/>
      <c r="J1003" s="656"/>
      <c r="K1003" s="656"/>
      <c r="L1003" s="656" t="s">
        <v>11599</v>
      </c>
      <c r="M1003" s="656" t="s">
        <v>1947</v>
      </c>
      <c r="N1003" s="656"/>
      <c r="O1003" s="656" t="s">
        <v>6395</v>
      </c>
      <c r="P1003" s="5"/>
      <c r="Q1003" s="1447"/>
      <c r="R1003" s="656"/>
      <c r="S1003" s="656" t="s">
        <v>1394</v>
      </c>
      <c r="T1003" s="656" t="s">
        <v>14280</v>
      </c>
      <c r="U1003" s="656" t="s">
        <v>11626</v>
      </c>
      <c r="V1003" s="656"/>
      <c r="W1003" s="656" t="s">
        <v>13051</v>
      </c>
      <c r="X1003" s="656" t="s">
        <v>498</v>
      </c>
      <c r="Y1003" s="656" t="s">
        <v>14278</v>
      </c>
      <c r="Z1003" s="656">
        <v>44305.521909722222</v>
      </c>
      <c r="AA1003" s="656" t="s">
        <v>14335</v>
      </c>
      <c r="AB1003" s="656"/>
    </row>
    <row r="1004" spans="1:28">
      <c r="A1004" s="656" t="s">
        <v>2850</v>
      </c>
      <c r="B1004" s="656" t="s">
        <v>2760</v>
      </c>
      <c r="C1004" s="656" t="s">
        <v>20</v>
      </c>
      <c r="D1004" s="656" t="s">
        <v>11600</v>
      </c>
      <c r="E1004" s="656" t="s">
        <v>14275</v>
      </c>
      <c r="F1004" s="1447">
        <v>43222</v>
      </c>
      <c r="G1004" s="656" t="s">
        <v>11597</v>
      </c>
      <c r="H1004" s="656" t="s">
        <v>1777</v>
      </c>
      <c r="I1004" s="656"/>
      <c r="J1004" s="656"/>
      <c r="K1004" s="656"/>
      <c r="L1004" s="656" t="s">
        <v>11600</v>
      </c>
      <c r="M1004" s="656" t="s">
        <v>16196</v>
      </c>
      <c r="N1004" s="656"/>
      <c r="O1004" s="656" t="s">
        <v>6395</v>
      </c>
      <c r="P1004" s="5"/>
      <c r="Q1004" s="1447"/>
      <c r="R1004" s="656"/>
      <c r="S1004" s="656" t="s">
        <v>1394</v>
      </c>
      <c r="T1004" s="656" t="s">
        <v>14280</v>
      </c>
      <c r="U1004" s="656" t="s">
        <v>11626</v>
      </c>
      <c r="V1004" s="656"/>
      <c r="W1004" s="656" t="s">
        <v>13051</v>
      </c>
      <c r="X1004" s="656" t="s">
        <v>498</v>
      </c>
      <c r="Y1004" s="656" t="s">
        <v>14278</v>
      </c>
      <c r="Z1004" s="656">
        <v>44305.521909722222</v>
      </c>
      <c r="AA1004" s="656" t="s">
        <v>14335</v>
      </c>
      <c r="AB1004" s="656"/>
    </row>
    <row r="1005" spans="1:28">
      <c r="A1005" s="656" t="s">
        <v>2855</v>
      </c>
      <c r="B1005" s="656" t="s">
        <v>2856</v>
      </c>
      <c r="C1005" s="656" t="s">
        <v>21</v>
      </c>
      <c r="D1005" s="656" t="s">
        <v>11594</v>
      </c>
      <c r="E1005" s="656" t="s">
        <v>14384</v>
      </c>
      <c r="F1005" s="1447">
        <v>43347</v>
      </c>
      <c r="G1005" s="656" t="s">
        <v>11593</v>
      </c>
      <c r="H1005" s="656" t="s">
        <v>1777</v>
      </c>
      <c r="I1005" s="656" t="s">
        <v>14575</v>
      </c>
      <c r="J1005" s="656" t="s">
        <v>11594</v>
      </c>
      <c r="K1005" s="656" t="s">
        <v>9733</v>
      </c>
      <c r="L1005" s="656"/>
      <c r="M1005" s="656" t="s">
        <v>16196</v>
      </c>
      <c r="N1005" s="656"/>
      <c r="O1005" s="656" t="s">
        <v>6395</v>
      </c>
      <c r="P1005" s="5" t="s">
        <v>14594</v>
      </c>
      <c r="Q1005" s="1447">
        <v>42776</v>
      </c>
      <c r="R1005" s="656"/>
      <c r="S1005" s="656" t="s">
        <v>1394</v>
      </c>
      <c r="T1005" s="656" t="s">
        <v>14280</v>
      </c>
      <c r="U1005" s="656" t="s">
        <v>11626</v>
      </c>
      <c r="V1005" s="656"/>
      <c r="W1005" s="656" t="s">
        <v>13051</v>
      </c>
      <c r="X1005" s="656" t="s">
        <v>498</v>
      </c>
      <c r="Y1005" s="656" t="s">
        <v>14278</v>
      </c>
      <c r="Z1005" s="656">
        <v>44305.521886574075</v>
      </c>
      <c r="AA1005" s="656" t="s">
        <v>14335</v>
      </c>
      <c r="AB1005" s="656"/>
    </row>
    <row r="1006" spans="1:28">
      <c r="A1006" s="656" t="s">
        <v>2855</v>
      </c>
      <c r="B1006" s="656" t="s">
        <v>2856</v>
      </c>
      <c r="C1006" s="656" t="s">
        <v>20</v>
      </c>
      <c r="D1006" s="656" t="s">
        <v>11595</v>
      </c>
      <c r="E1006" s="656" t="s">
        <v>14275</v>
      </c>
      <c r="F1006" s="1447">
        <v>43336</v>
      </c>
      <c r="G1006" s="656" t="s">
        <v>11593</v>
      </c>
      <c r="H1006" s="656" t="s">
        <v>1777</v>
      </c>
      <c r="I1006" s="656"/>
      <c r="J1006" s="656"/>
      <c r="K1006" s="656"/>
      <c r="L1006" s="656" t="s">
        <v>11595</v>
      </c>
      <c r="M1006" s="656" t="s">
        <v>1947</v>
      </c>
      <c r="N1006" s="656"/>
      <c r="O1006" s="656" t="s">
        <v>6395</v>
      </c>
      <c r="P1006" s="5"/>
      <c r="Q1006" s="1447"/>
      <c r="R1006" s="656"/>
      <c r="S1006" s="656" t="s">
        <v>1394</v>
      </c>
      <c r="T1006" s="656" t="s">
        <v>14280</v>
      </c>
      <c r="U1006" s="656" t="s">
        <v>11626</v>
      </c>
      <c r="V1006" s="656"/>
      <c r="W1006" s="656" t="s">
        <v>13051</v>
      </c>
      <c r="X1006" s="656" t="s">
        <v>498</v>
      </c>
      <c r="Y1006" s="656" t="s">
        <v>14278</v>
      </c>
      <c r="Z1006" s="656">
        <v>44305.521886574075</v>
      </c>
      <c r="AA1006" s="656" t="s">
        <v>14335</v>
      </c>
      <c r="AB1006" s="656"/>
    </row>
    <row r="1007" spans="1:28">
      <c r="A1007" s="656" t="s">
        <v>2855</v>
      </c>
      <c r="B1007" s="656" t="s">
        <v>2856</v>
      </c>
      <c r="C1007" s="656" t="s">
        <v>20</v>
      </c>
      <c r="D1007" s="656" t="s">
        <v>11596</v>
      </c>
      <c r="E1007" s="656" t="s">
        <v>14275</v>
      </c>
      <c r="F1007" s="1447">
        <v>43349</v>
      </c>
      <c r="G1007" s="656" t="s">
        <v>11593</v>
      </c>
      <c r="H1007" s="656" t="s">
        <v>1777</v>
      </c>
      <c r="I1007" s="656"/>
      <c r="J1007" s="656"/>
      <c r="K1007" s="656"/>
      <c r="L1007" s="656" t="s">
        <v>11596</v>
      </c>
      <c r="M1007" s="656" t="s">
        <v>16196</v>
      </c>
      <c r="N1007" s="656"/>
      <c r="O1007" s="656" t="s">
        <v>6395</v>
      </c>
      <c r="P1007" s="5"/>
      <c r="Q1007" s="1447"/>
      <c r="R1007" s="656"/>
      <c r="S1007" s="656" t="s">
        <v>1394</v>
      </c>
      <c r="T1007" s="656" t="s">
        <v>14280</v>
      </c>
      <c r="U1007" s="656" t="s">
        <v>11626</v>
      </c>
      <c r="V1007" s="656"/>
      <c r="W1007" s="656" t="s">
        <v>13051</v>
      </c>
      <c r="X1007" s="656" t="s">
        <v>498</v>
      </c>
      <c r="Y1007" s="656" t="s">
        <v>14278</v>
      </c>
      <c r="Z1007" s="656">
        <v>44305.521898148145</v>
      </c>
      <c r="AA1007" s="656" t="s">
        <v>14335</v>
      </c>
      <c r="AB1007" s="656"/>
    </row>
    <row r="1008" spans="1:28">
      <c r="A1008" s="656" t="s">
        <v>2865</v>
      </c>
      <c r="B1008" s="656" t="s">
        <v>2866</v>
      </c>
      <c r="C1008" s="656" t="s">
        <v>21</v>
      </c>
      <c r="D1008" s="656" t="s">
        <v>12283</v>
      </c>
      <c r="E1008" s="656" t="s">
        <v>14275</v>
      </c>
      <c r="F1008" s="1447">
        <v>44116</v>
      </c>
      <c r="G1008" s="656" t="s">
        <v>11591</v>
      </c>
      <c r="H1008" s="656" t="s">
        <v>1777</v>
      </c>
      <c r="I1008" s="656" t="s">
        <v>14595</v>
      </c>
      <c r="J1008" s="656" t="s">
        <v>12283</v>
      </c>
      <c r="K1008" s="656" t="s">
        <v>10398</v>
      </c>
      <c r="L1008" s="656"/>
      <c r="M1008" s="656" t="s">
        <v>12783</v>
      </c>
      <c r="N1008" s="656"/>
      <c r="O1008" s="656" t="s">
        <v>6387</v>
      </c>
      <c r="P1008" s="5" t="s">
        <v>14936</v>
      </c>
      <c r="Q1008" s="1447">
        <v>42776</v>
      </c>
      <c r="R1008" s="656">
        <v>43963</v>
      </c>
      <c r="S1008" s="656" t="s">
        <v>783</v>
      </c>
      <c r="T1008" s="656" t="s">
        <v>14524</v>
      </c>
      <c r="U1008" s="656" t="s">
        <v>1667</v>
      </c>
      <c r="V1008" s="656"/>
      <c r="W1008" s="656" t="s">
        <v>13051</v>
      </c>
      <c r="X1008" s="656" t="s">
        <v>498</v>
      </c>
      <c r="Y1008" s="656" t="s">
        <v>14278</v>
      </c>
      <c r="Z1008" s="656">
        <v>44305.521874999999</v>
      </c>
      <c r="AA1008" s="656" t="s">
        <v>14335</v>
      </c>
      <c r="AB1008" s="656"/>
    </row>
    <row r="1009" spans="1:28">
      <c r="A1009" s="656" t="s">
        <v>2865</v>
      </c>
      <c r="B1009" s="656" t="s">
        <v>2866</v>
      </c>
      <c r="C1009" s="656" t="s">
        <v>20</v>
      </c>
      <c r="D1009" s="656" t="s">
        <v>11592</v>
      </c>
      <c r="E1009" s="656" t="s">
        <v>14275</v>
      </c>
      <c r="F1009" s="1447">
        <v>43563</v>
      </c>
      <c r="G1009" s="656" t="s">
        <v>11591</v>
      </c>
      <c r="H1009" s="656" t="s">
        <v>1777</v>
      </c>
      <c r="I1009" s="656"/>
      <c r="J1009" s="656"/>
      <c r="K1009" s="656"/>
      <c r="L1009" s="656" t="s">
        <v>11592</v>
      </c>
      <c r="M1009" s="656" t="s">
        <v>16265</v>
      </c>
      <c r="N1009" s="656"/>
      <c r="O1009" s="656" t="s">
        <v>6387</v>
      </c>
      <c r="P1009" s="5"/>
      <c r="Q1009" s="1447">
        <v>42774</v>
      </c>
      <c r="R1009" s="656"/>
      <c r="S1009" s="656" t="s">
        <v>783</v>
      </c>
      <c r="T1009" s="656" t="s">
        <v>14524</v>
      </c>
      <c r="U1009" s="656" t="s">
        <v>1667</v>
      </c>
      <c r="V1009" s="656"/>
      <c r="W1009" s="656" t="s">
        <v>13051</v>
      </c>
      <c r="X1009" s="656" t="s">
        <v>498</v>
      </c>
      <c r="Y1009" s="656" t="s">
        <v>14278</v>
      </c>
      <c r="Z1009" s="656">
        <v>44305.521874999999</v>
      </c>
      <c r="AA1009" s="656" t="s">
        <v>14335</v>
      </c>
      <c r="AB1009" s="656"/>
    </row>
    <row r="1010" spans="1:28">
      <c r="A1010" s="656" t="s">
        <v>2869</v>
      </c>
      <c r="B1010" s="656" t="s">
        <v>2870</v>
      </c>
      <c r="C1010" s="656" t="s">
        <v>21</v>
      </c>
      <c r="D1010" s="656" t="s">
        <v>12282</v>
      </c>
      <c r="E1010" s="656" t="s">
        <v>14275</v>
      </c>
      <c r="F1010" s="1447">
        <v>44116</v>
      </c>
      <c r="G1010" s="656" t="s">
        <v>11589</v>
      </c>
      <c r="H1010" s="656" t="s">
        <v>1777</v>
      </c>
      <c r="I1010" s="656" t="s">
        <v>14596</v>
      </c>
      <c r="J1010" s="656" t="s">
        <v>12282</v>
      </c>
      <c r="K1010" s="656" t="s">
        <v>9782</v>
      </c>
      <c r="L1010" s="656"/>
      <c r="M1010" s="656" t="s">
        <v>12783</v>
      </c>
      <c r="N1010" s="656"/>
      <c r="O1010" s="656" t="s">
        <v>6387</v>
      </c>
      <c r="P1010" s="5" t="s">
        <v>4738</v>
      </c>
      <c r="Q1010" s="1447">
        <v>42811</v>
      </c>
      <c r="R1010" s="656">
        <v>43963</v>
      </c>
      <c r="S1010" s="656" t="s">
        <v>783</v>
      </c>
      <c r="T1010" s="656" t="s">
        <v>14559</v>
      </c>
      <c r="U1010" s="656" t="s">
        <v>500</v>
      </c>
      <c r="V1010" s="656"/>
      <c r="W1010" s="656" t="s">
        <v>13051</v>
      </c>
      <c r="X1010" s="656" t="s">
        <v>498</v>
      </c>
      <c r="Y1010" s="656" t="s">
        <v>14278</v>
      </c>
      <c r="Z1010" s="656">
        <v>44305.521863425929</v>
      </c>
      <c r="AA1010" s="656" t="s">
        <v>14335</v>
      </c>
      <c r="AB1010" s="656"/>
    </row>
    <row r="1011" spans="1:28">
      <c r="A1011" s="656" t="s">
        <v>2869</v>
      </c>
      <c r="B1011" s="656" t="s">
        <v>2870</v>
      </c>
      <c r="C1011" s="656" t="s">
        <v>20</v>
      </c>
      <c r="D1011" s="656" t="s">
        <v>11590</v>
      </c>
      <c r="E1011" s="656" t="s">
        <v>14275</v>
      </c>
      <c r="F1011" s="1447">
        <v>43563</v>
      </c>
      <c r="G1011" s="656" t="s">
        <v>11589</v>
      </c>
      <c r="H1011" s="656" t="s">
        <v>1777</v>
      </c>
      <c r="I1011" s="656"/>
      <c r="J1011" s="656"/>
      <c r="K1011" s="656"/>
      <c r="L1011" s="656" t="s">
        <v>11590</v>
      </c>
      <c r="M1011" s="656" t="s">
        <v>12783</v>
      </c>
      <c r="N1011" s="656"/>
      <c r="O1011" s="656" t="s">
        <v>6387</v>
      </c>
      <c r="P1011" s="5" t="s">
        <v>4738</v>
      </c>
      <c r="Q1011" s="1447">
        <v>42811</v>
      </c>
      <c r="R1011" s="656"/>
      <c r="S1011" s="656" t="s">
        <v>783</v>
      </c>
      <c r="T1011" s="656" t="s">
        <v>14559</v>
      </c>
      <c r="U1011" s="656" t="s">
        <v>500</v>
      </c>
      <c r="V1011" s="656"/>
      <c r="W1011" s="656" t="s">
        <v>13051</v>
      </c>
      <c r="X1011" s="656" t="s">
        <v>498</v>
      </c>
      <c r="Y1011" s="656" t="s">
        <v>14278</v>
      </c>
      <c r="Z1011" s="656">
        <v>44305.521874999999</v>
      </c>
      <c r="AA1011" s="656" t="s">
        <v>14335</v>
      </c>
      <c r="AB1011" s="656"/>
    </row>
    <row r="1012" spans="1:28">
      <c r="A1012" s="656" t="s">
        <v>2879</v>
      </c>
      <c r="B1012" s="656" t="s">
        <v>2880</v>
      </c>
      <c r="C1012" s="656" t="s">
        <v>21</v>
      </c>
      <c r="D1012" s="656" t="s">
        <v>12305</v>
      </c>
      <c r="E1012" s="656" t="s">
        <v>14275</v>
      </c>
      <c r="F1012" s="1447">
        <v>44173</v>
      </c>
      <c r="G1012" s="656" t="s">
        <v>9828</v>
      </c>
      <c r="H1012" s="656" t="s">
        <v>1777</v>
      </c>
      <c r="I1012" s="656" t="s">
        <v>14597</v>
      </c>
      <c r="J1012" s="656" t="s">
        <v>12305</v>
      </c>
      <c r="K1012" s="656" t="s">
        <v>9774</v>
      </c>
      <c r="L1012" s="656"/>
      <c r="M1012" s="656" t="s">
        <v>16196</v>
      </c>
      <c r="N1012" s="656"/>
      <c r="O1012" s="656" t="s">
        <v>6387</v>
      </c>
      <c r="P1012" s="5"/>
      <c r="Q1012" s="1447">
        <v>43308</v>
      </c>
      <c r="R1012" s="656">
        <v>43787</v>
      </c>
      <c r="S1012" s="656" t="s">
        <v>1300</v>
      </c>
      <c r="T1012" s="656"/>
      <c r="U1012" s="656"/>
      <c r="V1012" s="656"/>
      <c r="W1012" s="656" t="s">
        <v>13051</v>
      </c>
      <c r="X1012" s="656" t="s">
        <v>498</v>
      </c>
      <c r="Y1012" s="656" t="s">
        <v>14278</v>
      </c>
      <c r="Z1012" s="656">
        <v>44305.521851851852</v>
      </c>
      <c r="AA1012" s="656" t="s">
        <v>14335</v>
      </c>
      <c r="AB1012" s="656"/>
    </row>
    <row r="1013" spans="1:28">
      <c r="A1013" s="656" t="s">
        <v>2879</v>
      </c>
      <c r="B1013" s="656" t="s">
        <v>2880</v>
      </c>
      <c r="C1013" s="656" t="s">
        <v>20</v>
      </c>
      <c r="D1013" s="656" t="s">
        <v>9829</v>
      </c>
      <c r="E1013" s="656" t="s">
        <v>14275</v>
      </c>
      <c r="F1013" s="1447">
        <v>44154</v>
      </c>
      <c r="G1013" s="656" t="s">
        <v>9828</v>
      </c>
      <c r="H1013" s="656" t="s">
        <v>1777</v>
      </c>
      <c r="I1013" s="656"/>
      <c r="J1013" s="656"/>
      <c r="K1013" s="656"/>
      <c r="L1013" s="656" t="s">
        <v>9829</v>
      </c>
      <c r="M1013" s="656" t="s">
        <v>16196</v>
      </c>
      <c r="N1013" s="656"/>
      <c r="O1013" s="656" t="s">
        <v>6387</v>
      </c>
      <c r="P1013" s="5"/>
      <c r="Q1013" s="1447">
        <v>43221</v>
      </c>
      <c r="R1013" s="656"/>
      <c r="S1013" s="656" t="s">
        <v>1300</v>
      </c>
      <c r="T1013" s="656"/>
      <c r="U1013" s="656" t="s">
        <v>1300</v>
      </c>
      <c r="V1013" s="656"/>
      <c r="W1013" s="656" t="s">
        <v>13051</v>
      </c>
      <c r="X1013" s="656" t="s">
        <v>498</v>
      </c>
      <c r="Y1013" s="656" t="s">
        <v>14278</v>
      </c>
      <c r="Z1013" s="656">
        <v>44305.521863425929</v>
      </c>
      <c r="AA1013" s="656" t="s">
        <v>14335</v>
      </c>
      <c r="AB1013" s="656"/>
    </row>
    <row r="1014" spans="1:28">
      <c r="A1014" s="656" t="s">
        <v>2887</v>
      </c>
      <c r="B1014" s="656" t="s">
        <v>2888</v>
      </c>
      <c r="C1014" s="656" t="s">
        <v>21</v>
      </c>
      <c r="D1014" s="656" t="s">
        <v>11587</v>
      </c>
      <c r="E1014" s="656" t="s">
        <v>14384</v>
      </c>
      <c r="F1014" s="1447">
        <v>43056</v>
      </c>
      <c r="G1014" s="656" t="s">
        <v>11586</v>
      </c>
      <c r="H1014" s="656" t="s">
        <v>1777</v>
      </c>
      <c r="I1014" s="656" t="s">
        <v>14592</v>
      </c>
      <c r="J1014" s="656" t="s">
        <v>11587</v>
      </c>
      <c r="K1014" s="656" t="s">
        <v>9750</v>
      </c>
      <c r="L1014" s="656"/>
      <c r="M1014" s="656" t="s">
        <v>16196</v>
      </c>
      <c r="N1014" s="656"/>
      <c r="O1014" s="656" t="s">
        <v>6393</v>
      </c>
      <c r="P1014" s="5" t="s">
        <v>14560</v>
      </c>
      <c r="Q1014" s="1447">
        <v>42776</v>
      </c>
      <c r="R1014" s="656"/>
      <c r="S1014" s="656" t="s">
        <v>1300</v>
      </c>
      <c r="T1014" s="656" t="s">
        <v>4198</v>
      </c>
      <c r="U1014" s="656" t="s">
        <v>1300</v>
      </c>
      <c r="V1014" s="656"/>
      <c r="W1014" s="656" t="s">
        <v>13051</v>
      </c>
      <c r="X1014" s="656" t="s">
        <v>498</v>
      </c>
      <c r="Y1014" s="656" t="s">
        <v>14278</v>
      </c>
      <c r="Z1014" s="656">
        <v>44305.521840277775</v>
      </c>
      <c r="AA1014" s="656" t="s">
        <v>14335</v>
      </c>
      <c r="AB1014" s="656"/>
    </row>
    <row r="1015" spans="1:28">
      <c r="A1015" s="656" t="s">
        <v>2887</v>
      </c>
      <c r="B1015" s="656" t="s">
        <v>2888</v>
      </c>
      <c r="C1015" s="656" t="s">
        <v>20</v>
      </c>
      <c r="D1015" s="656" t="s">
        <v>11588</v>
      </c>
      <c r="E1015" s="656" t="s">
        <v>14275</v>
      </c>
      <c r="F1015" s="1447">
        <v>43066</v>
      </c>
      <c r="G1015" s="656" t="s">
        <v>11586</v>
      </c>
      <c r="H1015" s="656" t="s">
        <v>1777</v>
      </c>
      <c r="I1015" s="656"/>
      <c r="J1015" s="656"/>
      <c r="K1015" s="656"/>
      <c r="L1015" s="656" t="s">
        <v>11588</v>
      </c>
      <c r="M1015" s="656" t="s">
        <v>16196</v>
      </c>
      <c r="N1015" s="656"/>
      <c r="O1015" s="656" t="s">
        <v>9757</v>
      </c>
      <c r="P1015" s="5"/>
      <c r="Q1015" s="1447">
        <v>42783</v>
      </c>
      <c r="R1015" s="656"/>
      <c r="S1015" s="656" t="s">
        <v>1300</v>
      </c>
      <c r="T1015" s="656" t="s">
        <v>4198</v>
      </c>
      <c r="U1015" s="656" t="s">
        <v>1300</v>
      </c>
      <c r="V1015" s="656"/>
      <c r="W1015" s="656" t="s">
        <v>13051</v>
      </c>
      <c r="X1015" s="656" t="s">
        <v>498</v>
      </c>
      <c r="Y1015" s="656" t="s">
        <v>14278</v>
      </c>
      <c r="Z1015" s="656">
        <v>44305.521851851852</v>
      </c>
      <c r="AA1015" s="656" t="s">
        <v>14335</v>
      </c>
      <c r="AB1015" s="656"/>
    </row>
    <row r="1016" spans="1:28">
      <c r="A1016" s="656" t="s">
        <v>2891</v>
      </c>
      <c r="B1016" s="656" t="s">
        <v>2892</v>
      </c>
      <c r="C1016" s="656" t="s">
        <v>20</v>
      </c>
      <c r="D1016" s="656" t="s">
        <v>11584</v>
      </c>
      <c r="E1016" s="656" t="s">
        <v>14275</v>
      </c>
      <c r="F1016" s="1447">
        <v>43088</v>
      </c>
      <c r="G1016" s="656" t="s">
        <v>11583</v>
      </c>
      <c r="H1016" s="656" t="s">
        <v>1777</v>
      </c>
      <c r="I1016" s="656"/>
      <c r="J1016" s="656"/>
      <c r="K1016" s="656"/>
      <c r="L1016" s="656" t="s">
        <v>11584</v>
      </c>
      <c r="M1016" s="656" t="s">
        <v>1947</v>
      </c>
      <c r="N1016" s="656"/>
      <c r="O1016" s="656" t="s">
        <v>9757</v>
      </c>
      <c r="P1016" s="5"/>
      <c r="Q1016" s="1447">
        <v>42783</v>
      </c>
      <c r="R1016" s="656"/>
      <c r="S1016" s="656" t="s">
        <v>1300</v>
      </c>
      <c r="T1016" s="656" t="s">
        <v>4198</v>
      </c>
      <c r="U1016" s="656" t="s">
        <v>1300</v>
      </c>
      <c r="V1016" s="656"/>
      <c r="W1016" s="656" t="s">
        <v>13051</v>
      </c>
      <c r="X1016" s="656" t="s">
        <v>498</v>
      </c>
      <c r="Y1016" s="656" t="s">
        <v>14278</v>
      </c>
      <c r="Z1016" s="656">
        <v>44305.521828703706</v>
      </c>
      <c r="AA1016" s="656" t="s">
        <v>14335</v>
      </c>
      <c r="AB1016" s="656"/>
    </row>
    <row r="1017" spans="1:28">
      <c r="A1017" s="656" t="s">
        <v>2891</v>
      </c>
      <c r="B1017" s="656" t="s">
        <v>2892</v>
      </c>
      <c r="C1017" s="656" t="s">
        <v>20</v>
      </c>
      <c r="D1017" s="656" t="s">
        <v>11585</v>
      </c>
      <c r="E1017" s="656" t="s">
        <v>14275</v>
      </c>
      <c r="F1017" s="1447">
        <v>43088</v>
      </c>
      <c r="G1017" s="656" t="s">
        <v>11583</v>
      </c>
      <c r="H1017" s="656" t="s">
        <v>1777</v>
      </c>
      <c r="I1017" s="656"/>
      <c r="J1017" s="656"/>
      <c r="K1017" s="656"/>
      <c r="L1017" s="656" t="s">
        <v>11585</v>
      </c>
      <c r="M1017" s="656" t="s">
        <v>16196</v>
      </c>
      <c r="N1017" s="656"/>
      <c r="O1017" s="656" t="s">
        <v>9757</v>
      </c>
      <c r="P1017" s="5"/>
      <c r="Q1017" s="1447">
        <v>42783</v>
      </c>
      <c r="R1017" s="656"/>
      <c r="S1017" s="656" t="s">
        <v>1300</v>
      </c>
      <c r="T1017" s="656" t="s">
        <v>4198</v>
      </c>
      <c r="U1017" s="656" t="s">
        <v>1300</v>
      </c>
      <c r="V1017" s="656"/>
      <c r="W1017" s="656" t="s">
        <v>13051</v>
      </c>
      <c r="X1017" s="656" t="s">
        <v>498</v>
      </c>
      <c r="Y1017" s="656" t="s">
        <v>14278</v>
      </c>
      <c r="Z1017" s="656">
        <v>44305.521840277775</v>
      </c>
      <c r="AA1017" s="656" t="s">
        <v>14335</v>
      </c>
      <c r="AB1017" s="656"/>
    </row>
    <row r="1018" spans="1:28">
      <c r="A1018" s="656" t="s">
        <v>2895</v>
      </c>
      <c r="B1018" s="656" t="s">
        <v>2896</v>
      </c>
      <c r="C1018" s="656" t="s">
        <v>21</v>
      </c>
      <c r="D1018" s="656" t="s">
        <v>11581</v>
      </c>
      <c r="E1018" s="656" t="s">
        <v>14275</v>
      </c>
      <c r="F1018" s="1447">
        <v>43756</v>
      </c>
      <c r="G1018" s="656" t="s">
        <v>11580</v>
      </c>
      <c r="H1018" s="656" t="s">
        <v>1274</v>
      </c>
      <c r="I1018" s="656" t="s">
        <v>14598</v>
      </c>
      <c r="J1018" s="656" t="s">
        <v>11581</v>
      </c>
      <c r="K1018" s="656" t="s">
        <v>9750</v>
      </c>
      <c r="L1018" s="656"/>
      <c r="M1018" s="656" t="s">
        <v>1274</v>
      </c>
      <c r="N1018" s="656"/>
      <c r="O1018" s="656" t="s">
        <v>6387</v>
      </c>
      <c r="P1018" s="5"/>
      <c r="Q1018" s="1447">
        <v>42908</v>
      </c>
      <c r="R1018" s="656">
        <v>43525</v>
      </c>
      <c r="S1018" s="656" t="s">
        <v>500</v>
      </c>
      <c r="T1018" s="656" t="s">
        <v>14559</v>
      </c>
      <c r="U1018" s="656" t="s">
        <v>500</v>
      </c>
      <c r="V1018" s="656"/>
      <c r="W1018" s="656" t="s">
        <v>13051</v>
      </c>
      <c r="X1018" s="656" t="s">
        <v>498</v>
      </c>
      <c r="Y1018" s="656" t="s">
        <v>14278</v>
      </c>
      <c r="Z1018" s="656">
        <v>44305.521817129629</v>
      </c>
      <c r="AA1018" s="656" t="s">
        <v>14335</v>
      </c>
      <c r="AB1018" s="656"/>
    </row>
    <row r="1019" spans="1:28">
      <c r="A1019" s="656" t="s">
        <v>2895</v>
      </c>
      <c r="B1019" s="656" t="s">
        <v>2896</v>
      </c>
      <c r="C1019" s="656" t="s">
        <v>21</v>
      </c>
      <c r="D1019" s="656" t="s">
        <v>12249</v>
      </c>
      <c r="E1019" s="656" t="s">
        <v>14384</v>
      </c>
      <c r="F1019" s="1447">
        <v>43717</v>
      </c>
      <c r="G1019" s="656" t="s">
        <v>12248</v>
      </c>
      <c r="H1019" s="656" t="s">
        <v>1274</v>
      </c>
      <c r="I1019" s="656" t="s">
        <v>14598</v>
      </c>
      <c r="J1019" s="656" t="s">
        <v>12249</v>
      </c>
      <c r="K1019" s="656" t="s">
        <v>9774</v>
      </c>
      <c r="L1019" s="656"/>
      <c r="M1019" s="656" t="s">
        <v>1274</v>
      </c>
      <c r="N1019" s="656"/>
      <c r="O1019" s="656" t="s">
        <v>6387</v>
      </c>
      <c r="P1019" s="5" t="s">
        <v>14599</v>
      </c>
      <c r="Q1019" s="1447">
        <v>43626</v>
      </c>
      <c r="R1019" s="656"/>
      <c r="S1019" s="656" t="s">
        <v>462</v>
      </c>
      <c r="T1019" s="656"/>
      <c r="U1019" s="656"/>
      <c r="V1019" s="656"/>
      <c r="W1019" s="656" t="s">
        <v>13051</v>
      </c>
      <c r="X1019" s="656" t="s">
        <v>498</v>
      </c>
      <c r="Y1019" s="656" t="s">
        <v>14278</v>
      </c>
      <c r="Z1019" s="656">
        <v>44305.521817129629</v>
      </c>
      <c r="AA1019" s="656" t="s">
        <v>14335</v>
      </c>
      <c r="AB1019" s="656"/>
    </row>
    <row r="1020" spans="1:28">
      <c r="A1020" s="656" t="s">
        <v>2895</v>
      </c>
      <c r="B1020" s="656" t="s">
        <v>2896</v>
      </c>
      <c r="C1020" s="656" t="s">
        <v>20</v>
      </c>
      <c r="D1020" s="656" t="s">
        <v>11582</v>
      </c>
      <c r="E1020" s="656" t="s">
        <v>14275</v>
      </c>
      <c r="F1020" s="1447">
        <v>43760</v>
      </c>
      <c r="G1020" s="656" t="s">
        <v>11580</v>
      </c>
      <c r="H1020" s="656" t="s">
        <v>1777</v>
      </c>
      <c r="I1020" s="656"/>
      <c r="J1020" s="656"/>
      <c r="K1020" s="656"/>
      <c r="L1020" s="656" t="s">
        <v>11582</v>
      </c>
      <c r="M1020" s="656" t="s">
        <v>1274</v>
      </c>
      <c r="N1020" s="656"/>
      <c r="O1020" s="656" t="s">
        <v>6393</v>
      </c>
      <c r="P1020" s="5"/>
      <c r="Q1020" s="1447">
        <v>42843</v>
      </c>
      <c r="R1020" s="656"/>
      <c r="S1020" s="656" t="s">
        <v>500</v>
      </c>
      <c r="T1020" s="656" t="s">
        <v>14559</v>
      </c>
      <c r="U1020" s="656" t="s">
        <v>500</v>
      </c>
      <c r="V1020" s="656"/>
      <c r="W1020" s="656" t="s">
        <v>13051</v>
      </c>
      <c r="X1020" s="656" t="s">
        <v>498</v>
      </c>
      <c r="Y1020" s="656" t="s">
        <v>14278</v>
      </c>
      <c r="Z1020" s="656">
        <v>44305.521828703706</v>
      </c>
      <c r="AA1020" s="656" t="s">
        <v>14335</v>
      </c>
      <c r="AB1020" s="656"/>
    </row>
    <row r="1021" spans="1:28">
      <c r="A1021" s="656" t="s">
        <v>2897</v>
      </c>
      <c r="B1021" s="656" t="s">
        <v>2898</v>
      </c>
      <c r="C1021" s="656" t="s">
        <v>20</v>
      </c>
      <c r="D1021" s="656" t="s">
        <v>11579</v>
      </c>
      <c r="E1021" s="656" t="s">
        <v>14275</v>
      </c>
      <c r="F1021" s="1447">
        <v>43222</v>
      </c>
      <c r="G1021" s="656" t="s">
        <v>11578</v>
      </c>
      <c r="H1021" s="656" t="s">
        <v>1777</v>
      </c>
      <c r="I1021" s="656"/>
      <c r="J1021" s="656"/>
      <c r="K1021" s="656"/>
      <c r="L1021" s="656" t="s">
        <v>11579</v>
      </c>
      <c r="M1021" s="656" t="s">
        <v>16344</v>
      </c>
      <c r="N1021" s="656"/>
      <c r="O1021" s="656" t="s">
        <v>6387</v>
      </c>
      <c r="P1021" s="5"/>
      <c r="Q1021" s="1447">
        <v>42927</v>
      </c>
      <c r="R1021" s="656"/>
      <c r="S1021" s="656" t="s">
        <v>1667</v>
      </c>
      <c r="T1021" s="656" t="s">
        <v>14524</v>
      </c>
      <c r="U1021" s="656" t="s">
        <v>1667</v>
      </c>
      <c r="V1021" s="656"/>
      <c r="W1021" s="656" t="s">
        <v>13051</v>
      </c>
      <c r="X1021" s="656" t="s">
        <v>498</v>
      </c>
      <c r="Y1021" s="656" t="s">
        <v>14278</v>
      </c>
      <c r="Z1021" s="656">
        <v>44305.521805555552</v>
      </c>
      <c r="AA1021" s="656" t="s">
        <v>14335</v>
      </c>
      <c r="AB1021" s="656"/>
    </row>
    <row r="1022" spans="1:28">
      <c r="A1022" s="656" t="s">
        <v>2945</v>
      </c>
      <c r="B1022" s="656" t="s">
        <v>2946</v>
      </c>
      <c r="C1022" s="656" t="s">
        <v>21</v>
      </c>
      <c r="D1022" s="656" t="s">
        <v>11853</v>
      </c>
      <c r="E1022" s="656" t="s">
        <v>14275</v>
      </c>
      <c r="F1022" s="1447">
        <v>43277</v>
      </c>
      <c r="G1022" s="656" t="s">
        <v>11852</v>
      </c>
      <c r="H1022" s="656" t="s">
        <v>1777</v>
      </c>
      <c r="I1022" s="656" t="s">
        <v>14600</v>
      </c>
      <c r="J1022" s="656" t="s">
        <v>11853</v>
      </c>
      <c r="K1022" s="656" t="s">
        <v>9774</v>
      </c>
      <c r="L1022" s="656"/>
      <c r="M1022" s="656" t="s">
        <v>16196</v>
      </c>
      <c r="N1022" s="656"/>
      <c r="O1022" s="656" t="s">
        <v>6395</v>
      </c>
      <c r="P1022" s="5"/>
      <c r="Q1022" s="1447">
        <v>43088</v>
      </c>
      <c r="R1022" s="656">
        <v>43100</v>
      </c>
      <c r="S1022" s="656" t="s">
        <v>1394</v>
      </c>
      <c r="T1022" s="656"/>
      <c r="U1022" s="656"/>
      <c r="V1022" s="656"/>
      <c r="W1022" s="656" t="s">
        <v>13051</v>
      </c>
      <c r="X1022" s="656" t="s">
        <v>498</v>
      </c>
      <c r="Y1022" s="656" t="s">
        <v>14278</v>
      </c>
      <c r="Z1022" s="656">
        <v>44305.521805555552</v>
      </c>
      <c r="AA1022" s="656" t="s">
        <v>14335</v>
      </c>
      <c r="AB1022" s="656"/>
    </row>
    <row r="1023" spans="1:28">
      <c r="A1023" s="656" t="s">
        <v>2945</v>
      </c>
      <c r="B1023" s="656" t="s">
        <v>2946</v>
      </c>
      <c r="C1023" s="656" t="s">
        <v>20</v>
      </c>
      <c r="D1023" s="656" t="s">
        <v>11577</v>
      </c>
      <c r="E1023" s="656" t="s">
        <v>14275</v>
      </c>
      <c r="F1023" s="1447">
        <v>43284</v>
      </c>
      <c r="G1023" s="656" t="s">
        <v>11576</v>
      </c>
      <c r="H1023" s="656" t="s">
        <v>1777</v>
      </c>
      <c r="I1023" s="656"/>
      <c r="J1023" s="656"/>
      <c r="K1023" s="656"/>
      <c r="L1023" s="656" t="s">
        <v>11577</v>
      </c>
      <c r="M1023" s="656" t="s">
        <v>16196</v>
      </c>
      <c r="N1023" s="656"/>
      <c r="O1023" s="656" t="s">
        <v>6395</v>
      </c>
      <c r="P1023" s="5"/>
      <c r="Q1023" s="1447">
        <v>42293</v>
      </c>
      <c r="R1023" s="656"/>
      <c r="S1023" s="656" t="s">
        <v>1394</v>
      </c>
      <c r="T1023" s="656" t="s">
        <v>14280</v>
      </c>
      <c r="U1023" s="656" t="s">
        <v>11626</v>
      </c>
      <c r="V1023" s="656"/>
      <c r="W1023" s="656" t="s">
        <v>13051</v>
      </c>
      <c r="X1023" s="656" t="s">
        <v>498</v>
      </c>
      <c r="Y1023" s="656" t="s">
        <v>14278</v>
      </c>
      <c r="Z1023" s="656">
        <v>44305.521817129629</v>
      </c>
      <c r="AA1023" s="656" t="s">
        <v>14335</v>
      </c>
      <c r="AB1023" s="656"/>
    </row>
    <row r="1024" spans="1:28">
      <c r="A1024" s="656" t="s">
        <v>3017</v>
      </c>
      <c r="B1024" s="656" t="s">
        <v>3018</v>
      </c>
      <c r="C1024" s="656" t="s">
        <v>21</v>
      </c>
      <c r="D1024" s="656" t="s">
        <v>11574</v>
      </c>
      <c r="E1024" s="656" t="s">
        <v>14384</v>
      </c>
      <c r="F1024" s="1447">
        <v>43375</v>
      </c>
      <c r="G1024" s="656" t="s">
        <v>11573</v>
      </c>
      <c r="H1024" s="656" t="s">
        <v>1777</v>
      </c>
      <c r="I1024" s="656" t="s">
        <v>14601</v>
      </c>
      <c r="J1024" s="656" t="s">
        <v>11574</v>
      </c>
      <c r="K1024" s="656" t="s">
        <v>9733</v>
      </c>
      <c r="L1024" s="656"/>
      <c r="M1024" s="656" t="s">
        <v>16196</v>
      </c>
      <c r="N1024" s="656"/>
      <c r="O1024" s="656" t="s">
        <v>6395</v>
      </c>
      <c r="P1024" s="5" t="s">
        <v>14602</v>
      </c>
      <c r="Q1024" s="1447">
        <v>43005</v>
      </c>
      <c r="R1024" s="656"/>
      <c r="S1024" s="656" t="s">
        <v>1394</v>
      </c>
      <c r="T1024" s="656" t="s">
        <v>14280</v>
      </c>
      <c r="U1024" s="656" t="s">
        <v>11626</v>
      </c>
      <c r="V1024" s="656"/>
      <c r="W1024" s="656" t="s">
        <v>13051</v>
      </c>
      <c r="X1024" s="656" t="s">
        <v>498</v>
      </c>
      <c r="Y1024" s="656" t="s">
        <v>14278</v>
      </c>
      <c r="Z1024" s="656">
        <v>44305.521782407406</v>
      </c>
      <c r="AA1024" s="656" t="s">
        <v>14335</v>
      </c>
      <c r="AB1024" s="656"/>
    </row>
    <row r="1025" spans="1:28">
      <c r="A1025" s="656" t="s">
        <v>3017</v>
      </c>
      <c r="B1025" s="656" t="s">
        <v>3018</v>
      </c>
      <c r="C1025" s="656" t="s">
        <v>20</v>
      </c>
      <c r="D1025" s="656" t="s">
        <v>11575</v>
      </c>
      <c r="E1025" s="656" t="s">
        <v>14275</v>
      </c>
      <c r="F1025" s="1447">
        <v>43383</v>
      </c>
      <c r="G1025" s="656" t="s">
        <v>11573</v>
      </c>
      <c r="H1025" s="656" t="s">
        <v>1777</v>
      </c>
      <c r="I1025" s="656"/>
      <c r="J1025" s="656"/>
      <c r="K1025" s="656"/>
      <c r="L1025" s="656" t="s">
        <v>11575</v>
      </c>
      <c r="M1025" s="656" t="s">
        <v>1947</v>
      </c>
      <c r="N1025" s="656"/>
      <c r="O1025" s="656" t="s">
        <v>6395</v>
      </c>
      <c r="P1025" s="5"/>
      <c r="Q1025" s="1447"/>
      <c r="R1025" s="656"/>
      <c r="S1025" s="656" t="s">
        <v>1394</v>
      </c>
      <c r="T1025" s="656" t="s">
        <v>14280</v>
      </c>
      <c r="U1025" s="656" t="s">
        <v>11626</v>
      </c>
      <c r="V1025" s="656"/>
      <c r="W1025" s="656" t="s">
        <v>13051</v>
      </c>
      <c r="X1025" s="656" t="s">
        <v>498</v>
      </c>
      <c r="Y1025" s="656" t="s">
        <v>14278</v>
      </c>
      <c r="Z1025" s="656">
        <v>44305.521793981483</v>
      </c>
      <c r="AA1025" s="656" t="s">
        <v>14335</v>
      </c>
      <c r="AB1025" s="656"/>
    </row>
    <row r="1026" spans="1:28">
      <c r="A1026" s="656" t="s">
        <v>3017</v>
      </c>
      <c r="B1026" s="656" t="s">
        <v>3018</v>
      </c>
      <c r="C1026" s="656" t="s">
        <v>20</v>
      </c>
      <c r="D1026" s="656" t="s">
        <v>11958</v>
      </c>
      <c r="E1026" s="656" t="s">
        <v>14275</v>
      </c>
      <c r="F1026" s="1447">
        <v>43383</v>
      </c>
      <c r="G1026" s="656" t="s">
        <v>11957</v>
      </c>
      <c r="H1026" s="656" t="s">
        <v>1777</v>
      </c>
      <c r="I1026" s="656"/>
      <c r="J1026" s="656"/>
      <c r="K1026" s="656"/>
      <c r="L1026" s="656" t="s">
        <v>11958</v>
      </c>
      <c r="M1026" s="656" t="s">
        <v>16196</v>
      </c>
      <c r="N1026" s="656"/>
      <c r="O1026" s="656" t="s">
        <v>6395</v>
      </c>
      <c r="P1026" s="5"/>
      <c r="Q1026" s="1447">
        <v>43165</v>
      </c>
      <c r="R1026" s="656"/>
      <c r="S1026" s="656" t="s">
        <v>1394</v>
      </c>
      <c r="T1026" s="656" t="s">
        <v>1394</v>
      </c>
      <c r="U1026" s="656" t="s">
        <v>1394</v>
      </c>
      <c r="V1026" s="656"/>
      <c r="W1026" s="656" t="s">
        <v>13051</v>
      </c>
      <c r="X1026" s="656" t="s">
        <v>498</v>
      </c>
      <c r="Y1026" s="656" t="s">
        <v>14278</v>
      </c>
      <c r="Z1026" s="656">
        <v>44305.521793981483</v>
      </c>
      <c r="AA1026" s="656" t="s">
        <v>14335</v>
      </c>
      <c r="AB1026" s="656"/>
    </row>
    <row r="1027" spans="1:28">
      <c r="A1027" s="656" t="s">
        <v>3021</v>
      </c>
      <c r="B1027" s="656" t="s">
        <v>3022</v>
      </c>
      <c r="C1027" s="656" t="s">
        <v>21</v>
      </c>
      <c r="D1027" s="656" t="s">
        <v>11570</v>
      </c>
      <c r="E1027" s="656" t="s">
        <v>14384</v>
      </c>
      <c r="F1027" s="1447">
        <v>43014</v>
      </c>
      <c r="G1027" s="656" t="s">
        <v>9751</v>
      </c>
      <c r="H1027" s="656" t="s">
        <v>1777</v>
      </c>
      <c r="I1027" s="656" t="s">
        <v>14603</v>
      </c>
      <c r="J1027" s="656" t="s">
        <v>11570</v>
      </c>
      <c r="K1027" s="656" t="s">
        <v>9733</v>
      </c>
      <c r="L1027" s="656"/>
      <c r="M1027" s="656" t="s">
        <v>16196</v>
      </c>
      <c r="N1027" s="656"/>
      <c r="O1027" s="656" t="s">
        <v>6395</v>
      </c>
      <c r="P1027" s="5" t="s">
        <v>14937</v>
      </c>
      <c r="Q1027" s="1447">
        <v>42996</v>
      </c>
      <c r="R1027" s="656"/>
      <c r="S1027" s="656" t="s">
        <v>1394</v>
      </c>
      <c r="T1027" s="656" t="s">
        <v>14280</v>
      </c>
      <c r="U1027" s="656" t="s">
        <v>11626</v>
      </c>
      <c r="V1027" s="656"/>
      <c r="W1027" s="656" t="s">
        <v>13051</v>
      </c>
      <c r="X1027" s="656" t="s">
        <v>498</v>
      </c>
      <c r="Y1027" s="656" t="s">
        <v>14278</v>
      </c>
      <c r="Z1027" s="656">
        <v>44305.521770833337</v>
      </c>
      <c r="AA1027" s="656" t="s">
        <v>14335</v>
      </c>
      <c r="AB1027" s="656"/>
    </row>
    <row r="1028" spans="1:28">
      <c r="A1028" s="656" t="s">
        <v>3021</v>
      </c>
      <c r="B1028" s="656" t="s">
        <v>3022</v>
      </c>
      <c r="C1028" s="656" t="s">
        <v>20</v>
      </c>
      <c r="D1028" s="656" t="s">
        <v>11572</v>
      </c>
      <c r="E1028" s="656" t="s">
        <v>14275</v>
      </c>
      <c r="F1028" s="1447">
        <v>43027</v>
      </c>
      <c r="G1028" s="656" t="s">
        <v>11571</v>
      </c>
      <c r="H1028" s="656" t="s">
        <v>1777</v>
      </c>
      <c r="I1028" s="656"/>
      <c r="J1028" s="656"/>
      <c r="K1028" s="656"/>
      <c r="L1028" s="656" t="s">
        <v>11572</v>
      </c>
      <c r="M1028" s="656" t="s">
        <v>1947</v>
      </c>
      <c r="N1028" s="656"/>
      <c r="O1028" s="656" t="s">
        <v>6395</v>
      </c>
      <c r="P1028" s="5"/>
      <c r="Q1028" s="1447"/>
      <c r="R1028" s="656"/>
      <c r="S1028" s="656" t="s">
        <v>1394</v>
      </c>
      <c r="T1028" s="656" t="s">
        <v>14280</v>
      </c>
      <c r="U1028" s="656" t="s">
        <v>11626</v>
      </c>
      <c r="V1028" s="656"/>
      <c r="W1028" s="656" t="s">
        <v>13051</v>
      </c>
      <c r="X1028" s="656" t="s">
        <v>498</v>
      </c>
      <c r="Y1028" s="656" t="s">
        <v>14278</v>
      </c>
      <c r="Z1028" s="656">
        <v>44305.521782407406</v>
      </c>
      <c r="AA1028" s="656" t="s">
        <v>14335</v>
      </c>
      <c r="AB1028" s="656"/>
    </row>
    <row r="1029" spans="1:28">
      <c r="A1029" s="656" t="s">
        <v>3025</v>
      </c>
      <c r="B1029" s="656" t="s">
        <v>3026</v>
      </c>
      <c r="C1029" s="656" t="s">
        <v>20</v>
      </c>
      <c r="D1029" s="656" t="s">
        <v>11932</v>
      </c>
      <c r="E1029" s="656" t="s">
        <v>14275</v>
      </c>
      <c r="F1029" s="1447">
        <v>43888</v>
      </c>
      <c r="G1029" s="656" t="s">
        <v>11931</v>
      </c>
      <c r="H1029" s="656" t="s">
        <v>1777</v>
      </c>
      <c r="I1029" s="656"/>
      <c r="J1029" s="656"/>
      <c r="K1029" s="656"/>
      <c r="L1029" s="656" t="s">
        <v>11932</v>
      </c>
      <c r="M1029" s="656" t="s">
        <v>16196</v>
      </c>
      <c r="N1029" s="656"/>
      <c r="O1029" s="656" t="s">
        <v>6395</v>
      </c>
      <c r="P1029" s="5"/>
      <c r="Q1029" s="1447">
        <v>43164</v>
      </c>
      <c r="R1029" s="656"/>
      <c r="S1029" s="656" t="s">
        <v>3756</v>
      </c>
      <c r="T1029" s="656"/>
      <c r="U1029" s="656" t="s">
        <v>541</v>
      </c>
      <c r="V1029" s="656"/>
      <c r="W1029" s="656" t="s">
        <v>13051</v>
      </c>
      <c r="X1029" s="656" t="s">
        <v>498</v>
      </c>
      <c r="Y1029" s="656" t="s">
        <v>14278</v>
      </c>
      <c r="Z1029" s="656">
        <v>44305.52175925926</v>
      </c>
      <c r="AA1029" s="656" t="s">
        <v>14335</v>
      </c>
      <c r="AB1029" s="656"/>
    </row>
    <row r="1030" spans="1:28">
      <c r="A1030" s="656" t="s">
        <v>3025</v>
      </c>
      <c r="B1030" s="656" t="s">
        <v>3026</v>
      </c>
      <c r="C1030" s="656" t="s">
        <v>20</v>
      </c>
      <c r="D1030" s="656" t="s">
        <v>11933</v>
      </c>
      <c r="E1030" s="656" t="s">
        <v>14275</v>
      </c>
      <c r="F1030" s="1447">
        <v>43549</v>
      </c>
      <c r="G1030" s="656" t="s">
        <v>11931</v>
      </c>
      <c r="H1030" s="656" t="s">
        <v>1777</v>
      </c>
      <c r="I1030" s="656"/>
      <c r="J1030" s="656"/>
      <c r="K1030" s="656"/>
      <c r="L1030" s="656" t="s">
        <v>11933</v>
      </c>
      <c r="M1030" s="656" t="s">
        <v>1947</v>
      </c>
      <c r="N1030" s="656"/>
      <c r="O1030" s="656" t="s">
        <v>6395</v>
      </c>
      <c r="P1030" s="5"/>
      <c r="Q1030" s="1447">
        <v>43164</v>
      </c>
      <c r="R1030" s="656"/>
      <c r="S1030" s="656" t="s">
        <v>3756</v>
      </c>
      <c r="T1030" s="656"/>
      <c r="U1030" s="656" t="s">
        <v>541</v>
      </c>
      <c r="V1030" s="656"/>
      <c r="W1030" s="656" t="s">
        <v>13051</v>
      </c>
      <c r="X1030" s="656" t="s">
        <v>498</v>
      </c>
      <c r="Y1030" s="656" t="s">
        <v>14278</v>
      </c>
      <c r="Z1030" s="656">
        <v>44305.521770833337</v>
      </c>
      <c r="AA1030" s="656" t="s">
        <v>14335</v>
      </c>
      <c r="AB1030" s="656"/>
    </row>
    <row r="1031" spans="1:28">
      <c r="A1031" s="656" t="s">
        <v>3029</v>
      </c>
      <c r="B1031" s="656" t="s">
        <v>3030</v>
      </c>
      <c r="C1031" s="656" t="s">
        <v>21</v>
      </c>
      <c r="D1031" s="656" t="s">
        <v>9749</v>
      </c>
      <c r="E1031" s="656" t="s">
        <v>14275</v>
      </c>
      <c r="F1031" s="1447">
        <v>44266</v>
      </c>
      <c r="G1031" s="656" t="s">
        <v>9748</v>
      </c>
      <c r="H1031" s="656" t="s">
        <v>1777</v>
      </c>
      <c r="I1031" s="656" t="s">
        <v>14604</v>
      </c>
      <c r="J1031" s="656" t="s">
        <v>9749</v>
      </c>
      <c r="K1031" s="656" t="s">
        <v>9750</v>
      </c>
      <c r="L1031" s="656"/>
      <c r="M1031" s="656" t="s">
        <v>16196</v>
      </c>
      <c r="N1031" s="656"/>
      <c r="O1031" s="656" t="s">
        <v>6395</v>
      </c>
      <c r="P1031" s="5"/>
      <c r="Q1031" s="1447">
        <v>42859</v>
      </c>
      <c r="R1031" s="656">
        <v>44102</v>
      </c>
      <c r="S1031" s="656" t="s">
        <v>1394</v>
      </c>
      <c r="T1031" s="656" t="s">
        <v>14280</v>
      </c>
      <c r="U1031" s="656" t="s">
        <v>11626</v>
      </c>
      <c r="V1031" s="656"/>
      <c r="W1031" s="656" t="s">
        <v>13051</v>
      </c>
      <c r="X1031" s="656" t="s">
        <v>498</v>
      </c>
      <c r="Y1031" s="656" t="s">
        <v>14278</v>
      </c>
      <c r="Z1031" s="656">
        <v>44305.521747685183</v>
      </c>
      <c r="AA1031" s="656" t="s">
        <v>14335</v>
      </c>
      <c r="AB1031" s="656"/>
    </row>
    <row r="1032" spans="1:28">
      <c r="A1032" s="656" t="s">
        <v>3029</v>
      </c>
      <c r="B1032" s="656" t="s">
        <v>3030</v>
      </c>
      <c r="C1032" s="656" t="s">
        <v>20</v>
      </c>
      <c r="D1032" s="656" t="s">
        <v>11569</v>
      </c>
      <c r="E1032" s="656" t="s">
        <v>14275</v>
      </c>
      <c r="F1032" s="1447">
        <v>43493</v>
      </c>
      <c r="G1032" s="656" t="s">
        <v>9748</v>
      </c>
      <c r="H1032" s="656" t="s">
        <v>1777</v>
      </c>
      <c r="I1032" s="656"/>
      <c r="J1032" s="656"/>
      <c r="K1032" s="656"/>
      <c r="L1032" s="656" t="s">
        <v>11569</v>
      </c>
      <c r="M1032" s="656" t="s">
        <v>1947</v>
      </c>
      <c r="N1032" s="656"/>
      <c r="O1032" s="656" t="s">
        <v>6395</v>
      </c>
      <c r="P1032" s="5"/>
      <c r="Q1032" s="1447"/>
      <c r="R1032" s="656"/>
      <c r="S1032" s="656" t="s">
        <v>1394</v>
      </c>
      <c r="T1032" s="656" t="s">
        <v>14280</v>
      </c>
      <c r="U1032" s="656" t="s">
        <v>11626</v>
      </c>
      <c r="V1032" s="656"/>
      <c r="W1032" s="656" t="s">
        <v>13051</v>
      </c>
      <c r="X1032" s="656" t="s">
        <v>498</v>
      </c>
      <c r="Y1032" s="656" t="s">
        <v>14278</v>
      </c>
      <c r="Z1032" s="656">
        <v>44305.521747685183</v>
      </c>
      <c r="AA1032" s="656" t="s">
        <v>14335</v>
      </c>
      <c r="AB1032" s="656"/>
    </row>
    <row r="1033" spans="1:28">
      <c r="A1033" s="656" t="s">
        <v>3029</v>
      </c>
      <c r="B1033" s="656" t="s">
        <v>3030</v>
      </c>
      <c r="C1033" s="656" t="s">
        <v>20</v>
      </c>
      <c r="D1033" s="656" t="s">
        <v>9752</v>
      </c>
      <c r="E1033" s="656" t="s">
        <v>14275</v>
      </c>
      <c r="F1033" s="1447">
        <v>44229</v>
      </c>
      <c r="G1033" s="656" t="s">
        <v>9751</v>
      </c>
      <c r="H1033" s="656" t="s">
        <v>1777</v>
      </c>
      <c r="I1033" s="656"/>
      <c r="J1033" s="656"/>
      <c r="K1033" s="656"/>
      <c r="L1033" s="656" t="s">
        <v>9752</v>
      </c>
      <c r="M1033" s="656" t="s">
        <v>16196</v>
      </c>
      <c r="N1033" s="656"/>
      <c r="O1033" s="656" t="s">
        <v>6395</v>
      </c>
      <c r="P1033" s="5"/>
      <c r="Q1033" s="1447">
        <v>42769</v>
      </c>
      <c r="R1033" s="656"/>
      <c r="S1033" s="656" t="s">
        <v>1394</v>
      </c>
      <c r="T1033" s="656" t="s">
        <v>14280</v>
      </c>
      <c r="U1033" s="656" t="s">
        <v>11626</v>
      </c>
      <c r="V1033" s="656"/>
      <c r="W1033" s="656" t="s">
        <v>13051</v>
      </c>
      <c r="X1033" s="656" t="s">
        <v>498</v>
      </c>
      <c r="Y1033" s="656" t="s">
        <v>14278</v>
      </c>
      <c r="Z1033" s="656">
        <v>44305.521747685183</v>
      </c>
      <c r="AA1033" s="656" t="s">
        <v>14335</v>
      </c>
      <c r="AB1033" s="656"/>
    </row>
    <row r="1034" spans="1:28">
      <c r="A1034" s="656" t="s">
        <v>3029</v>
      </c>
      <c r="B1034" s="656" t="s">
        <v>3030</v>
      </c>
      <c r="C1034" s="656" t="s">
        <v>20</v>
      </c>
      <c r="D1034" s="656" t="s">
        <v>9821</v>
      </c>
      <c r="E1034" s="656" t="s">
        <v>14275</v>
      </c>
      <c r="F1034" s="1447">
        <v>44229</v>
      </c>
      <c r="G1034" s="656" t="s">
        <v>9820</v>
      </c>
      <c r="H1034" s="656" t="s">
        <v>1777</v>
      </c>
      <c r="I1034" s="656"/>
      <c r="J1034" s="656"/>
      <c r="K1034" s="656"/>
      <c r="L1034" s="656" t="s">
        <v>9821</v>
      </c>
      <c r="M1034" s="656" t="s">
        <v>16368</v>
      </c>
      <c r="N1034" s="656"/>
      <c r="O1034" s="656" t="s">
        <v>6395</v>
      </c>
      <c r="P1034" s="5"/>
      <c r="Q1034" s="1447">
        <v>43165</v>
      </c>
      <c r="R1034" s="656"/>
      <c r="S1034" s="656" t="s">
        <v>1394</v>
      </c>
      <c r="T1034" s="656"/>
      <c r="U1034" s="656"/>
      <c r="V1034" s="656"/>
      <c r="W1034" s="656" t="s">
        <v>13051</v>
      </c>
      <c r="X1034" s="656" t="s">
        <v>498</v>
      </c>
      <c r="Y1034" s="656" t="s">
        <v>14278</v>
      </c>
      <c r="Z1034" s="656">
        <v>44305.52175925926</v>
      </c>
      <c r="AA1034" s="656" t="s">
        <v>14335</v>
      </c>
      <c r="AB1034" s="656"/>
    </row>
    <row r="1035" spans="1:28">
      <c r="A1035" s="656" t="s">
        <v>3032</v>
      </c>
      <c r="B1035" s="656" t="s">
        <v>3033</v>
      </c>
      <c r="C1035" s="656" t="s">
        <v>21</v>
      </c>
      <c r="D1035" s="656" t="s">
        <v>9747</v>
      </c>
      <c r="E1035" s="656" t="s">
        <v>14275</v>
      </c>
      <c r="F1035" s="1447">
        <v>44279</v>
      </c>
      <c r="G1035" s="656" t="s">
        <v>9746</v>
      </c>
      <c r="H1035" s="656" t="s">
        <v>1777</v>
      </c>
      <c r="I1035" s="656" t="s">
        <v>14605</v>
      </c>
      <c r="J1035" s="656" t="s">
        <v>9747</v>
      </c>
      <c r="K1035" s="656" t="s">
        <v>9733</v>
      </c>
      <c r="L1035" s="656"/>
      <c r="M1035" s="656" t="s">
        <v>16196</v>
      </c>
      <c r="N1035" s="656"/>
      <c r="O1035" s="656" t="s">
        <v>6395</v>
      </c>
      <c r="P1035" s="5"/>
      <c r="Q1035" s="1447">
        <v>43020</v>
      </c>
      <c r="R1035" s="656">
        <v>44183</v>
      </c>
      <c r="S1035" s="656" t="s">
        <v>1394</v>
      </c>
      <c r="T1035" s="656" t="s">
        <v>14280</v>
      </c>
      <c r="U1035" s="656" t="s">
        <v>11626</v>
      </c>
      <c r="V1035" s="656"/>
      <c r="W1035" s="656" t="s">
        <v>13051</v>
      </c>
      <c r="X1035" s="656" t="s">
        <v>498</v>
      </c>
      <c r="Y1035" s="656" t="s">
        <v>14278</v>
      </c>
      <c r="Z1035" s="656">
        <v>44305.521724537037</v>
      </c>
      <c r="AA1035" s="656" t="s">
        <v>14335</v>
      </c>
      <c r="AB1035" s="656"/>
    </row>
    <row r="1036" spans="1:28">
      <c r="A1036" s="656" t="s">
        <v>3032</v>
      </c>
      <c r="B1036" s="656" t="s">
        <v>3033</v>
      </c>
      <c r="C1036" s="656" t="s">
        <v>20</v>
      </c>
      <c r="D1036" s="656" t="s">
        <v>11568</v>
      </c>
      <c r="E1036" s="656" t="s">
        <v>14275</v>
      </c>
      <c r="F1036" s="1447">
        <v>43542</v>
      </c>
      <c r="G1036" s="656" t="s">
        <v>9746</v>
      </c>
      <c r="H1036" s="656" t="s">
        <v>1777</v>
      </c>
      <c r="I1036" s="656"/>
      <c r="J1036" s="656"/>
      <c r="K1036" s="656"/>
      <c r="L1036" s="656" t="s">
        <v>11568</v>
      </c>
      <c r="M1036" s="656" t="s">
        <v>1947</v>
      </c>
      <c r="N1036" s="656"/>
      <c r="O1036" s="656" t="s">
        <v>6395</v>
      </c>
      <c r="P1036" s="5"/>
      <c r="Q1036" s="1447"/>
      <c r="R1036" s="656"/>
      <c r="S1036" s="656" t="s">
        <v>1394</v>
      </c>
      <c r="T1036" s="656" t="s">
        <v>14280</v>
      </c>
      <c r="U1036" s="656" t="s">
        <v>11626</v>
      </c>
      <c r="V1036" s="656"/>
      <c r="W1036" s="656" t="s">
        <v>13051</v>
      </c>
      <c r="X1036" s="656" t="s">
        <v>498</v>
      </c>
      <c r="Y1036" s="656" t="s">
        <v>14278</v>
      </c>
      <c r="Z1036" s="656">
        <v>44305.521736111114</v>
      </c>
      <c r="AA1036" s="656" t="s">
        <v>14335</v>
      </c>
      <c r="AB1036" s="656"/>
    </row>
    <row r="1037" spans="1:28">
      <c r="A1037" s="656" t="s">
        <v>3032</v>
      </c>
      <c r="B1037" s="656" t="s">
        <v>3033</v>
      </c>
      <c r="C1037" s="656" t="s">
        <v>20</v>
      </c>
      <c r="D1037" s="656" t="s">
        <v>9817</v>
      </c>
      <c r="E1037" s="656" t="s">
        <v>14275</v>
      </c>
      <c r="F1037" s="1447">
        <v>44249</v>
      </c>
      <c r="G1037" s="656" t="s">
        <v>9816</v>
      </c>
      <c r="H1037" s="656" t="s">
        <v>1777</v>
      </c>
      <c r="I1037" s="656"/>
      <c r="J1037" s="656"/>
      <c r="K1037" s="656"/>
      <c r="L1037" s="656" t="s">
        <v>9817</v>
      </c>
      <c r="M1037" s="656" t="s">
        <v>16368</v>
      </c>
      <c r="N1037" s="656"/>
      <c r="O1037" s="656" t="s">
        <v>6395</v>
      </c>
      <c r="P1037" s="5"/>
      <c r="Q1037" s="1447">
        <v>43165</v>
      </c>
      <c r="R1037" s="656"/>
      <c r="S1037" s="656" t="s">
        <v>1394</v>
      </c>
      <c r="T1037" s="656"/>
      <c r="U1037" s="656" t="s">
        <v>1394</v>
      </c>
      <c r="V1037" s="656"/>
      <c r="W1037" s="656" t="s">
        <v>13051</v>
      </c>
      <c r="X1037" s="656" t="s">
        <v>498</v>
      </c>
      <c r="Y1037" s="656" t="s">
        <v>14278</v>
      </c>
      <c r="Z1037" s="656">
        <v>44305.521736111114</v>
      </c>
      <c r="AA1037" s="656" t="s">
        <v>14335</v>
      </c>
      <c r="AB1037" s="656"/>
    </row>
    <row r="1038" spans="1:28">
      <c r="A1038" s="656" t="s">
        <v>3036</v>
      </c>
      <c r="B1038" s="656" t="s">
        <v>3037</v>
      </c>
      <c r="C1038" s="656" t="s">
        <v>21</v>
      </c>
      <c r="D1038" s="656" t="s">
        <v>11930</v>
      </c>
      <c r="E1038" s="656" t="s">
        <v>14384</v>
      </c>
      <c r="F1038" s="1447">
        <v>43348</v>
      </c>
      <c r="G1038" s="656" t="s">
        <v>11901</v>
      </c>
      <c r="H1038" s="656" t="s">
        <v>1777</v>
      </c>
      <c r="I1038" s="656" t="s">
        <v>14606</v>
      </c>
      <c r="J1038" s="656" t="s">
        <v>11930</v>
      </c>
      <c r="K1038" s="656" t="s">
        <v>9774</v>
      </c>
      <c r="L1038" s="656"/>
      <c r="M1038" s="656" t="s">
        <v>16396</v>
      </c>
      <c r="N1038" s="656"/>
      <c r="O1038" s="656" t="s">
        <v>6387</v>
      </c>
      <c r="P1038" s="5" t="s">
        <v>14607</v>
      </c>
      <c r="Q1038" s="1447">
        <v>43159</v>
      </c>
      <c r="R1038" s="656"/>
      <c r="S1038" s="656" t="s">
        <v>1667</v>
      </c>
      <c r="T1038" s="656" t="s">
        <v>14524</v>
      </c>
      <c r="U1038" s="656" t="s">
        <v>1667</v>
      </c>
      <c r="V1038" s="656"/>
      <c r="W1038" s="656" t="s">
        <v>13051</v>
      </c>
      <c r="X1038" s="656" t="s">
        <v>498</v>
      </c>
      <c r="Y1038" s="656" t="s">
        <v>14278</v>
      </c>
      <c r="Z1038" s="656">
        <v>44305.52171296296</v>
      </c>
      <c r="AA1038" s="656" t="s">
        <v>14335</v>
      </c>
      <c r="AB1038" s="656"/>
    </row>
    <row r="1039" spans="1:28">
      <c r="A1039" s="656" t="s">
        <v>3036</v>
      </c>
      <c r="B1039" s="656" t="s">
        <v>11565</v>
      </c>
      <c r="C1039" s="656" t="s">
        <v>20</v>
      </c>
      <c r="D1039" s="656" t="s">
        <v>11567</v>
      </c>
      <c r="E1039" s="656" t="s">
        <v>14275</v>
      </c>
      <c r="F1039" s="1447">
        <v>43350</v>
      </c>
      <c r="G1039" s="656" t="s">
        <v>11566</v>
      </c>
      <c r="H1039" s="656" t="s">
        <v>1777</v>
      </c>
      <c r="I1039" s="656"/>
      <c r="J1039" s="656"/>
      <c r="K1039" s="656"/>
      <c r="L1039" s="656" t="s">
        <v>11567</v>
      </c>
      <c r="M1039" s="656" t="s">
        <v>16396</v>
      </c>
      <c r="N1039" s="656"/>
      <c r="O1039" s="656" t="s">
        <v>6387</v>
      </c>
      <c r="P1039" s="5"/>
      <c r="Q1039" s="1447">
        <v>42961</v>
      </c>
      <c r="R1039" s="656"/>
      <c r="S1039" s="656" t="s">
        <v>1667</v>
      </c>
      <c r="T1039" s="656" t="s">
        <v>14524</v>
      </c>
      <c r="U1039" s="656" t="s">
        <v>1667</v>
      </c>
      <c r="V1039" s="656"/>
      <c r="W1039" s="656" t="s">
        <v>13051</v>
      </c>
      <c r="X1039" s="656" t="s">
        <v>498</v>
      </c>
      <c r="Y1039" s="656" t="s">
        <v>14278</v>
      </c>
      <c r="Z1039" s="656">
        <v>44305.52171296296</v>
      </c>
      <c r="AA1039" s="656" t="s">
        <v>14335</v>
      </c>
      <c r="AB1039" s="656"/>
    </row>
    <row r="1040" spans="1:28">
      <c r="A1040" s="656" t="s">
        <v>3036</v>
      </c>
      <c r="B1040" s="656" t="s">
        <v>3037</v>
      </c>
      <c r="C1040" s="656" t="s">
        <v>20</v>
      </c>
      <c r="D1040" s="656" t="s">
        <v>11902</v>
      </c>
      <c r="E1040" s="656" t="s">
        <v>14275</v>
      </c>
      <c r="F1040" s="1447">
        <v>43350</v>
      </c>
      <c r="G1040" s="656" t="s">
        <v>11901</v>
      </c>
      <c r="H1040" s="656" t="s">
        <v>1777</v>
      </c>
      <c r="I1040" s="656"/>
      <c r="J1040" s="656"/>
      <c r="K1040" s="656"/>
      <c r="L1040" s="656" t="s">
        <v>11902</v>
      </c>
      <c r="M1040" s="656" t="s">
        <v>16397</v>
      </c>
      <c r="N1040" s="656"/>
      <c r="O1040" s="656" t="s">
        <v>6395</v>
      </c>
      <c r="P1040" s="5"/>
      <c r="Q1040" s="1447">
        <v>43131</v>
      </c>
      <c r="R1040" s="656"/>
      <c r="S1040" s="656" t="s">
        <v>1667</v>
      </c>
      <c r="T1040" s="656"/>
      <c r="U1040" s="656" t="s">
        <v>1667</v>
      </c>
      <c r="V1040" s="656"/>
      <c r="W1040" s="656" t="s">
        <v>13051</v>
      </c>
      <c r="X1040" s="656" t="s">
        <v>498</v>
      </c>
      <c r="Y1040" s="656" t="s">
        <v>14278</v>
      </c>
      <c r="Z1040" s="656">
        <v>44305.521724537037</v>
      </c>
      <c r="AA1040" s="656" t="s">
        <v>14335</v>
      </c>
      <c r="AB1040" s="656"/>
    </row>
    <row r="1041" spans="1:28">
      <c r="A1041" s="656" t="s">
        <v>3038</v>
      </c>
      <c r="B1041" s="656" t="s">
        <v>3039</v>
      </c>
      <c r="C1041" s="656" t="s">
        <v>21</v>
      </c>
      <c r="D1041" s="656" t="s">
        <v>11563</v>
      </c>
      <c r="E1041" s="656" t="s">
        <v>14275</v>
      </c>
      <c r="F1041" s="1447">
        <v>43447</v>
      </c>
      <c r="G1041" s="656" t="s">
        <v>11562</v>
      </c>
      <c r="H1041" s="656" t="s">
        <v>1777</v>
      </c>
      <c r="I1041" s="656" t="s">
        <v>14608</v>
      </c>
      <c r="J1041" s="656" t="s">
        <v>11563</v>
      </c>
      <c r="K1041" s="656" t="s">
        <v>9750</v>
      </c>
      <c r="L1041" s="656"/>
      <c r="M1041" s="656" t="s">
        <v>16398</v>
      </c>
      <c r="N1041" s="656"/>
      <c r="O1041" s="656" t="s">
        <v>6393</v>
      </c>
      <c r="P1041" s="5"/>
      <c r="Q1041" s="1447">
        <v>42843</v>
      </c>
      <c r="R1041" s="656">
        <v>43273</v>
      </c>
      <c r="S1041" s="656" t="s">
        <v>1300</v>
      </c>
      <c r="T1041" s="656" t="s">
        <v>4198</v>
      </c>
      <c r="U1041" s="656" t="s">
        <v>1300</v>
      </c>
      <c r="V1041" s="656"/>
      <c r="W1041" s="656" t="s">
        <v>13051</v>
      </c>
      <c r="X1041" s="656" t="s">
        <v>498</v>
      </c>
      <c r="Y1041" s="656" t="s">
        <v>14278</v>
      </c>
      <c r="Z1041" s="656">
        <v>44305.521701388891</v>
      </c>
      <c r="AA1041" s="656" t="s">
        <v>14335</v>
      </c>
      <c r="AB1041" s="656"/>
    </row>
    <row r="1042" spans="1:28">
      <c r="A1042" s="656" t="s">
        <v>3038</v>
      </c>
      <c r="B1042" s="656" t="s">
        <v>3039</v>
      </c>
      <c r="C1042" s="656" t="s">
        <v>20</v>
      </c>
      <c r="D1042" s="656" t="s">
        <v>11564</v>
      </c>
      <c r="E1042" s="656" t="s">
        <v>14275</v>
      </c>
      <c r="F1042" s="1447">
        <v>43448</v>
      </c>
      <c r="G1042" s="656" t="s">
        <v>11562</v>
      </c>
      <c r="H1042" s="656" t="s">
        <v>1777</v>
      </c>
      <c r="I1042" s="656"/>
      <c r="J1042" s="656"/>
      <c r="K1042" s="656"/>
      <c r="L1042" s="656" t="s">
        <v>11564</v>
      </c>
      <c r="M1042" s="656" t="s">
        <v>16398</v>
      </c>
      <c r="N1042" s="656"/>
      <c r="O1042" s="656" t="s">
        <v>6393</v>
      </c>
      <c r="P1042" s="5"/>
      <c r="Q1042" s="1447">
        <v>42843</v>
      </c>
      <c r="R1042" s="656"/>
      <c r="S1042" s="656" t="s">
        <v>1300</v>
      </c>
      <c r="T1042" s="656" t="s">
        <v>4198</v>
      </c>
      <c r="U1042" s="656" t="s">
        <v>1300</v>
      </c>
      <c r="V1042" s="656"/>
      <c r="W1042" s="656" t="s">
        <v>13051</v>
      </c>
      <c r="X1042" s="656" t="s">
        <v>498</v>
      </c>
      <c r="Y1042" s="656" t="s">
        <v>14278</v>
      </c>
      <c r="Z1042" s="656">
        <v>44305.521701388891</v>
      </c>
      <c r="AA1042" s="656" t="s">
        <v>14335</v>
      </c>
      <c r="AB1042" s="656"/>
    </row>
    <row r="1043" spans="1:28">
      <c r="A1043" s="656" t="s">
        <v>3044</v>
      </c>
      <c r="B1043" s="656" t="s">
        <v>3045</v>
      </c>
      <c r="C1043" s="656" t="s">
        <v>21</v>
      </c>
      <c r="D1043" s="656" t="s">
        <v>10056</v>
      </c>
      <c r="E1043" s="656" t="s">
        <v>14279</v>
      </c>
      <c r="F1043" s="1447"/>
      <c r="G1043" s="656" t="s">
        <v>9944</v>
      </c>
      <c r="H1043" s="656" t="s">
        <v>1777</v>
      </c>
      <c r="I1043" s="656" t="s">
        <v>14609</v>
      </c>
      <c r="J1043" s="656" t="s">
        <v>10056</v>
      </c>
      <c r="K1043" s="656" t="s">
        <v>9774</v>
      </c>
      <c r="L1043" s="656"/>
      <c r="M1043" s="656" t="s">
        <v>16397</v>
      </c>
      <c r="N1043" s="656"/>
      <c r="O1043" s="656" t="s">
        <v>6387</v>
      </c>
      <c r="P1043" s="5"/>
      <c r="Q1043" s="1447">
        <v>43727</v>
      </c>
      <c r="R1043" s="656"/>
      <c r="S1043" s="656" t="s">
        <v>455</v>
      </c>
      <c r="T1043" s="656"/>
      <c r="U1043" s="656"/>
      <c r="V1043" s="656"/>
      <c r="W1043" s="656" t="s">
        <v>13051</v>
      </c>
      <c r="X1043" s="656" t="s">
        <v>498</v>
      </c>
      <c r="Y1043" s="656" t="s">
        <v>14278</v>
      </c>
      <c r="Z1043" s="656">
        <v>44305.521689814814</v>
      </c>
      <c r="AA1043" s="656" t="s">
        <v>14335</v>
      </c>
      <c r="AB1043" s="656"/>
    </row>
    <row r="1044" spans="1:28">
      <c r="A1044" s="656" t="s">
        <v>3044</v>
      </c>
      <c r="B1044" s="656" t="s">
        <v>3045</v>
      </c>
      <c r="C1044" s="656" t="s">
        <v>20</v>
      </c>
      <c r="D1044" s="656" t="s">
        <v>9945</v>
      </c>
      <c r="E1044" s="656" t="s">
        <v>14279</v>
      </c>
      <c r="F1044" s="1447"/>
      <c r="G1044" s="656" t="s">
        <v>9944</v>
      </c>
      <c r="H1044" s="656" t="s">
        <v>1777</v>
      </c>
      <c r="I1044" s="656"/>
      <c r="J1044" s="656"/>
      <c r="K1044" s="656"/>
      <c r="L1044" s="656" t="s">
        <v>9945</v>
      </c>
      <c r="M1044" s="656" t="s">
        <v>16397</v>
      </c>
      <c r="N1044" s="656"/>
      <c r="O1044" s="656" t="s">
        <v>6387</v>
      </c>
      <c r="P1044" s="5"/>
      <c r="Q1044" s="1447">
        <v>43564</v>
      </c>
      <c r="R1044" s="656"/>
      <c r="S1044" s="656" t="s">
        <v>783</v>
      </c>
      <c r="T1044" s="656"/>
      <c r="U1044" s="656"/>
      <c r="V1044" s="656"/>
      <c r="W1044" s="656" t="s">
        <v>13051</v>
      </c>
      <c r="X1044" s="656" t="s">
        <v>498</v>
      </c>
      <c r="Y1044" s="656" t="s">
        <v>14278</v>
      </c>
      <c r="Z1044" s="656">
        <v>44305.521689814814</v>
      </c>
      <c r="AA1044" s="656" t="s">
        <v>14335</v>
      </c>
      <c r="AB1044" s="656"/>
    </row>
    <row r="1045" spans="1:28">
      <c r="A1045" s="656" t="s">
        <v>3050</v>
      </c>
      <c r="B1045" s="656" t="s">
        <v>9743</v>
      </c>
      <c r="C1045" s="656" t="s">
        <v>21</v>
      </c>
      <c r="D1045" s="656" t="s">
        <v>9808</v>
      </c>
      <c r="E1045" s="656" t="s">
        <v>14279</v>
      </c>
      <c r="F1045" s="1447"/>
      <c r="G1045" s="656" t="s">
        <v>9799</v>
      </c>
      <c r="H1045" s="656" t="s">
        <v>1175</v>
      </c>
      <c r="I1045" s="656" t="s">
        <v>14612</v>
      </c>
      <c r="J1045" s="656" t="s">
        <v>9808</v>
      </c>
      <c r="K1045" s="656" t="s">
        <v>9774</v>
      </c>
      <c r="L1045" s="656"/>
      <c r="M1045" s="656" t="s">
        <v>16399</v>
      </c>
      <c r="N1045" s="656"/>
      <c r="O1045" s="656" t="s">
        <v>6387</v>
      </c>
      <c r="P1045" s="5"/>
      <c r="Q1045" s="1447">
        <v>43098</v>
      </c>
      <c r="R1045" s="656"/>
      <c r="S1045" s="656" t="s">
        <v>783</v>
      </c>
      <c r="T1045" s="656"/>
      <c r="U1045" s="656" t="s">
        <v>783</v>
      </c>
      <c r="V1045" s="656"/>
      <c r="W1045" s="656" t="s">
        <v>13051</v>
      </c>
      <c r="X1045" s="656" t="s">
        <v>498</v>
      </c>
      <c r="Y1045" s="656" t="s">
        <v>14278</v>
      </c>
      <c r="Z1045" s="656">
        <v>44306.438703703701</v>
      </c>
      <c r="AA1045" s="656" t="s">
        <v>15959</v>
      </c>
      <c r="AB1045" s="656"/>
    </row>
    <row r="1046" spans="1:28">
      <c r="A1046" s="656" t="s">
        <v>3050</v>
      </c>
      <c r="B1046" s="656" t="s">
        <v>9743</v>
      </c>
      <c r="C1046" s="656" t="s">
        <v>21</v>
      </c>
      <c r="D1046" s="656" t="s">
        <v>9809</v>
      </c>
      <c r="E1046" s="656" t="s">
        <v>14279</v>
      </c>
      <c r="F1046" s="1447"/>
      <c r="G1046" s="656" t="s">
        <v>9799</v>
      </c>
      <c r="H1046" s="656" t="s">
        <v>1584</v>
      </c>
      <c r="I1046" s="656" t="s">
        <v>14610</v>
      </c>
      <c r="J1046" s="656" t="s">
        <v>9809</v>
      </c>
      <c r="K1046" s="656" t="s">
        <v>9774</v>
      </c>
      <c r="L1046" s="656"/>
      <c r="M1046" s="656" t="s">
        <v>16357</v>
      </c>
      <c r="N1046" s="656"/>
      <c r="O1046" s="656" t="s">
        <v>6387</v>
      </c>
      <c r="P1046" s="5"/>
      <c r="Q1046" s="1447">
        <v>43098</v>
      </c>
      <c r="R1046" s="656"/>
      <c r="S1046" s="656" t="s">
        <v>783</v>
      </c>
      <c r="T1046" s="656"/>
      <c r="U1046" s="656" t="s">
        <v>783</v>
      </c>
      <c r="V1046" s="656"/>
      <c r="W1046" s="656" t="s">
        <v>13051</v>
      </c>
      <c r="X1046" s="656" t="s">
        <v>498</v>
      </c>
      <c r="Y1046" s="656" t="s">
        <v>14278</v>
      </c>
      <c r="Z1046" s="656">
        <v>44306.43886574074</v>
      </c>
      <c r="AA1046" s="656" t="s">
        <v>15959</v>
      </c>
      <c r="AB1046" s="656"/>
    </row>
    <row r="1047" spans="1:28">
      <c r="A1047" s="656" t="s">
        <v>3050</v>
      </c>
      <c r="B1047" s="656" t="s">
        <v>3051</v>
      </c>
      <c r="C1047" s="656" t="s">
        <v>21</v>
      </c>
      <c r="D1047" s="656" t="s">
        <v>10257</v>
      </c>
      <c r="E1047" s="656" t="s">
        <v>14279</v>
      </c>
      <c r="F1047" s="1447"/>
      <c r="G1047" s="656" t="s">
        <v>10226</v>
      </c>
      <c r="H1047" s="656" t="s">
        <v>1777</v>
      </c>
      <c r="I1047" s="656" t="s">
        <v>14611</v>
      </c>
      <c r="J1047" s="656" t="s">
        <v>10257</v>
      </c>
      <c r="K1047" s="656" t="s">
        <v>9774</v>
      </c>
      <c r="L1047" s="656"/>
      <c r="M1047" s="656" t="s">
        <v>10228</v>
      </c>
      <c r="N1047" s="656"/>
      <c r="O1047" s="656" t="s">
        <v>6427</v>
      </c>
      <c r="P1047" s="5"/>
      <c r="Q1047" s="1447">
        <v>43950</v>
      </c>
      <c r="R1047" s="656"/>
      <c r="S1047" s="656" t="s">
        <v>455</v>
      </c>
      <c r="T1047" s="656"/>
      <c r="U1047" s="656"/>
      <c r="V1047" s="656"/>
      <c r="W1047" s="656" t="s">
        <v>13051</v>
      </c>
      <c r="X1047" s="656" t="s">
        <v>498</v>
      </c>
      <c r="Y1047" s="656" t="s">
        <v>14278</v>
      </c>
      <c r="Z1047" s="656">
        <v>44305.521666666667</v>
      </c>
      <c r="AA1047" s="656" t="s">
        <v>14335</v>
      </c>
      <c r="AB1047" s="656"/>
    </row>
    <row r="1048" spans="1:28">
      <c r="A1048" s="656" t="s">
        <v>3050</v>
      </c>
      <c r="B1048" s="656" t="s">
        <v>9743</v>
      </c>
      <c r="C1048" s="656" t="s">
        <v>20</v>
      </c>
      <c r="D1048" s="656" t="s">
        <v>9745</v>
      </c>
      <c r="E1048" s="656" t="s">
        <v>14279</v>
      </c>
      <c r="F1048" s="1447"/>
      <c r="G1048" s="656" t="s">
        <v>9744</v>
      </c>
      <c r="H1048" s="656" t="s">
        <v>1777</v>
      </c>
      <c r="I1048" s="656"/>
      <c r="J1048" s="656"/>
      <c r="K1048" s="656"/>
      <c r="L1048" s="656" t="s">
        <v>9745</v>
      </c>
      <c r="M1048" s="656" t="s">
        <v>12783</v>
      </c>
      <c r="N1048" s="656"/>
      <c r="O1048" s="656" t="s">
        <v>6387</v>
      </c>
      <c r="P1048" s="5"/>
      <c r="Q1048" s="1447">
        <v>43012</v>
      </c>
      <c r="R1048" s="656"/>
      <c r="S1048" s="656" t="s">
        <v>783</v>
      </c>
      <c r="T1048" s="656" t="s">
        <v>14524</v>
      </c>
      <c r="U1048" s="656" t="s">
        <v>1667</v>
      </c>
      <c r="V1048" s="656"/>
      <c r="W1048" s="656" t="s">
        <v>13051</v>
      </c>
      <c r="X1048" s="656" t="s">
        <v>498</v>
      </c>
      <c r="Y1048" s="656" t="s">
        <v>14278</v>
      </c>
      <c r="Z1048" s="656">
        <v>44305.521666666667</v>
      </c>
      <c r="AA1048" s="656" t="s">
        <v>14335</v>
      </c>
      <c r="AB1048" s="656"/>
    </row>
    <row r="1049" spans="1:28">
      <c r="A1049" s="656" t="s">
        <v>3050</v>
      </c>
      <c r="B1049" s="656" t="s">
        <v>9743</v>
      </c>
      <c r="C1049" s="656" t="s">
        <v>20</v>
      </c>
      <c r="D1049" s="656" t="s">
        <v>9800</v>
      </c>
      <c r="E1049" s="656" t="s">
        <v>14275</v>
      </c>
      <c r="F1049" s="1447">
        <v>44306</v>
      </c>
      <c r="G1049" s="656" t="s">
        <v>9799</v>
      </c>
      <c r="H1049" s="656" t="s">
        <v>1777</v>
      </c>
      <c r="I1049" s="656"/>
      <c r="J1049" s="656"/>
      <c r="K1049" s="656"/>
      <c r="L1049" s="656" t="s">
        <v>9800</v>
      </c>
      <c r="M1049" s="656" t="s">
        <v>16357</v>
      </c>
      <c r="N1049" s="656"/>
      <c r="O1049" s="656" t="s">
        <v>6387</v>
      </c>
      <c r="P1049" s="5"/>
      <c r="Q1049" s="1447">
        <v>43098</v>
      </c>
      <c r="R1049" s="656"/>
      <c r="S1049" s="656" t="s">
        <v>783</v>
      </c>
      <c r="T1049" s="656" t="s">
        <v>783</v>
      </c>
      <c r="U1049" s="656" t="s">
        <v>783</v>
      </c>
      <c r="V1049" s="656"/>
      <c r="W1049" s="656" t="s">
        <v>13051</v>
      </c>
      <c r="X1049" s="656" t="s">
        <v>498</v>
      </c>
      <c r="Y1049" s="656" t="s">
        <v>14278</v>
      </c>
      <c r="Z1049" s="656">
        <v>44307.341412037036</v>
      </c>
      <c r="AA1049" s="656" t="s">
        <v>14276</v>
      </c>
      <c r="AB1049" s="656"/>
    </row>
    <row r="1050" spans="1:28">
      <c r="A1050" s="656" t="s">
        <v>3050</v>
      </c>
      <c r="B1050" s="656" t="s">
        <v>9743</v>
      </c>
      <c r="C1050" s="656" t="s">
        <v>20</v>
      </c>
      <c r="D1050" s="656" t="s">
        <v>9801</v>
      </c>
      <c r="E1050" s="656" t="s">
        <v>14279</v>
      </c>
      <c r="F1050" s="1447"/>
      <c r="G1050" s="656" t="s">
        <v>9799</v>
      </c>
      <c r="H1050" s="656" t="s">
        <v>1777</v>
      </c>
      <c r="I1050" s="656"/>
      <c r="J1050" s="656"/>
      <c r="K1050" s="656"/>
      <c r="L1050" s="656" t="s">
        <v>9801</v>
      </c>
      <c r="M1050" s="656" t="s">
        <v>16399</v>
      </c>
      <c r="N1050" s="656"/>
      <c r="O1050" s="656" t="s">
        <v>6387</v>
      </c>
      <c r="P1050" s="5"/>
      <c r="Q1050" s="1447">
        <v>43098</v>
      </c>
      <c r="R1050" s="656"/>
      <c r="S1050" s="656" t="s">
        <v>783</v>
      </c>
      <c r="T1050" s="656"/>
      <c r="U1050" s="656" t="s">
        <v>783</v>
      </c>
      <c r="V1050" s="656"/>
      <c r="W1050" s="656" t="s">
        <v>13051</v>
      </c>
      <c r="X1050" s="656" t="s">
        <v>498</v>
      </c>
      <c r="Y1050" s="656" t="s">
        <v>14278</v>
      </c>
      <c r="Z1050" s="656">
        <v>44305.753946759258</v>
      </c>
      <c r="AA1050" s="656" t="s">
        <v>14335</v>
      </c>
      <c r="AB1050" s="656"/>
    </row>
    <row r="1051" spans="1:28">
      <c r="A1051" s="656" t="s">
        <v>3050</v>
      </c>
      <c r="B1051" s="656" t="s">
        <v>3051</v>
      </c>
      <c r="C1051" s="656" t="s">
        <v>20</v>
      </c>
      <c r="D1051" s="656" t="s">
        <v>10227</v>
      </c>
      <c r="E1051" s="656" t="s">
        <v>14279</v>
      </c>
      <c r="F1051" s="1447"/>
      <c r="G1051" s="656" t="s">
        <v>10226</v>
      </c>
      <c r="H1051" s="656" t="s">
        <v>1777</v>
      </c>
      <c r="I1051" s="656"/>
      <c r="J1051" s="656"/>
      <c r="K1051" s="656"/>
      <c r="L1051" s="656" t="s">
        <v>10227</v>
      </c>
      <c r="M1051" s="656" t="s">
        <v>10228</v>
      </c>
      <c r="N1051" s="656"/>
      <c r="O1051" s="656" t="s">
        <v>6427</v>
      </c>
      <c r="P1051" s="5"/>
      <c r="Q1051" s="1447">
        <v>43899</v>
      </c>
      <c r="R1051" s="656"/>
      <c r="S1051" s="656" t="s">
        <v>455</v>
      </c>
      <c r="T1051" s="656"/>
      <c r="U1051" s="656"/>
      <c r="V1051" s="656"/>
      <c r="W1051" s="656" t="s">
        <v>13051</v>
      </c>
      <c r="X1051" s="656" t="s">
        <v>498</v>
      </c>
      <c r="Y1051" s="656" t="s">
        <v>14278</v>
      </c>
      <c r="Z1051" s="656">
        <v>44305.521689814814</v>
      </c>
      <c r="AA1051" s="656" t="s">
        <v>14335</v>
      </c>
      <c r="AB1051" s="656"/>
    </row>
    <row r="1052" spans="1:28">
      <c r="A1052" s="656" t="s">
        <v>3052</v>
      </c>
      <c r="B1052" s="656" t="s">
        <v>3053</v>
      </c>
      <c r="C1052" s="656" t="s">
        <v>21</v>
      </c>
      <c r="D1052" s="656" t="s">
        <v>11831</v>
      </c>
      <c r="E1052" s="656" t="s">
        <v>14275</v>
      </c>
      <c r="F1052" s="1447">
        <v>43423</v>
      </c>
      <c r="G1052" s="656" t="s">
        <v>11830</v>
      </c>
      <c r="H1052" s="656" t="s">
        <v>1777</v>
      </c>
      <c r="I1052" s="656" t="s">
        <v>14613</v>
      </c>
      <c r="J1052" s="656" t="s">
        <v>11831</v>
      </c>
      <c r="K1052" s="656" t="s">
        <v>9774</v>
      </c>
      <c r="L1052" s="656"/>
      <c r="M1052" s="656" t="s">
        <v>16323</v>
      </c>
      <c r="N1052" s="656"/>
      <c r="O1052" s="656" t="s">
        <v>6387</v>
      </c>
      <c r="P1052" s="5"/>
      <c r="Q1052" s="1447">
        <v>43069</v>
      </c>
      <c r="R1052" s="656">
        <v>43247</v>
      </c>
      <c r="S1052" s="656" t="s">
        <v>783</v>
      </c>
      <c r="T1052" s="656" t="s">
        <v>14277</v>
      </c>
      <c r="U1052" s="656" t="s">
        <v>783</v>
      </c>
      <c r="V1052" s="656"/>
      <c r="W1052" s="656" t="s">
        <v>13051</v>
      </c>
      <c r="X1052" s="656" t="s">
        <v>498</v>
      </c>
      <c r="Y1052" s="656" t="s">
        <v>14278</v>
      </c>
      <c r="Z1052" s="656">
        <v>44305.521643518521</v>
      </c>
      <c r="AA1052" s="656" t="s">
        <v>14335</v>
      </c>
      <c r="AB1052" s="656"/>
    </row>
    <row r="1053" spans="1:28">
      <c r="A1053" s="656" t="s">
        <v>3052</v>
      </c>
      <c r="B1053" s="656" t="s">
        <v>3053</v>
      </c>
      <c r="C1053" s="656" t="s">
        <v>20</v>
      </c>
      <c r="D1053" s="656" t="s">
        <v>11561</v>
      </c>
      <c r="E1053" s="656" t="s">
        <v>14275</v>
      </c>
      <c r="F1053" s="1447">
        <v>43420</v>
      </c>
      <c r="G1053" s="656" t="s">
        <v>11560</v>
      </c>
      <c r="H1053" s="656" t="s">
        <v>1777</v>
      </c>
      <c r="I1053" s="656"/>
      <c r="J1053" s="656"/>
      <c r="K1053" s="656"/>
      <c r="L1053" s="656" t="s">
        <v>11561</v>
      </c>
      <c r="M1053" s="656" t="s">
        <v>16400</v>
      </c>
      <c r="N1053" s="656"/>
      <c r="O1053" s="656" t="s">
        <v>6387</v>
      </c>
      <c r="P1053" s="5"/>
      <c r="Q1053" s="1447">
        <v>43012</v>
      </c>
      <c r="R1053" s="656"/>
      <c r="S1053" s="656" t="s">
        <v>783</v>
      </c>
      <c r="T1053" s="656" t="s">
        <v>14277</v>
      </c>
      <c r="U1053" s="656" t="s">
        <v>655</v>
      </c>
      <c r="V1053" s="656"/>
      <c r="W1053" s="656" t="s">
        <v>13051</v>
      </c>
      <c r="X1053" s="656" t="s">
        <v>498</v>
      </c>
      <c r="Y1053" s="656" t="s">
        <v>14278</v>
      </c>
      <c r="Z1053" s="656">
        <v>44305.521643518521</v>
      </c>
      <c r="AA1053" s="656" t="s">
        <v>14335</v>
      </c>
      <c r="AB1053" s="656"/>
    </row>
    <row r="1054" spans="1:28">
      <c r="A1054" s="656" t="s">
        <v>3054</v>
      </c>
      <c r="B1054" s="656" t="s">
        <v>2366</v>
      </c>
      <c r="C1054" s="656" t="s">
        <v>20</v>
      </c>
      <c r="D1054" s="656" t="s">
        <v>11559</v>
      </c>
      <c r="E1054" s="656" t="s">
        <v>14275</v>
      </c>
      <c r="F1054" s="1447">
        <v>43143</v>
      </c>
      <c r="G1054" s="656" t="s">
        <v>11558</v>
      </c>
      <c r="H1054" s="656" t="s">
        <v>1777</v>
      </c>
      <c r="I1054" s="656"/>
      <c r="J1054" s="656"/>
      <c r="K1054" s="656"/>
      <c r="L1054" s="656" t="s">
        <v>11559</v>
      </c>
      <c r="M1054" s="656" t="s">
        <v>16323</v>
      </c>
      <c r="N1054" s="656"/>
      <c r="O1054" s="656" t="s">
        <v>6387</v>
      </c>
      <c r="P1054" s="5"/>
      <c r="Q1054" s="1447"/>
      <c r="R1054" s="656"/>
      <c r="S1054" s="656" t="s">
        <v>783</v>
      </c>
      <c r="T1054" s="656" t="s">
        <v>14277</v>
      </c>
      <c r="U1054" s="656" t="s">
        <v>655</v>
      </c>
      <c r="V1054" s="656"/>
      <c r="W1054" s="656" t="s">
        <v>13051</v>
      </c>
      <c r="X1054" s="656" t="s">
        <v>498</v>
      </c>
      <c r="Y1054" s="656" t="s">
        <v>14278</v>
      </c>
      <c r="Z1054" s="656">
        <v>44305.521643518521</v>
      </c>
      <c r="AA1054" s="656" t="s">
        <v>14335</v>
      </c>
      <c r="AB1054" s="656"/>
    </row>
    <row r="1055" spans="1:28">
      <c r="A1055" s="656" t="s">
        <v>3055</v>
      </c>
      <c r="B1055" s="656" t="s">
        <v>3056</v>
      </c>
      <c r="C1055" s="656" t="s">
        <v>21</v>
      </c>
      <c r="D1055" s="656" t="s">
        <v>11872</v>
      </c>
      <c r="E1055" s="656" t="s">
        <v>14275</v>
      </c>
      <c r="F1055" s="1447">
        <v>43413</v>
      </c>
      <c r="G1055" s="656" t="s">
        <v>11871</v>
      </c>
      <c r="H1055" s="656" t="s">
        <v>1777</v>
      </c>
      <c r="I1055" s="656" t="s">
        <v>14614</v>
      </c>
      <c r="J1055" s="656" t="s">
        <v>11872</v>
      </c>
      <c r="K1055" s="656" t="s">
        <v>9774</v>
      </c>
      <c r="L1055" s="656"/>
      <c r="M1055" s="656" t="s">
        <v>16196</v>
      </c>
      <c r="N1055" s="656"/>
      <c r="O1055" s="656" t="s">
        <v>9757</v>
      </c>
      <c r="P1055" s="5"/>
      <c r="Q1055" s="1447">
        <v>43104</v>
      </c>
      <c r="R1055" s="656">
        <v>43343</v>
      </c>
      <c r="S1055" s="656" t="s">
        <v>1300</v>
      </c>
      <c r="T1055" s="656" t="s">
        <v>13</v>
      </c>
      <c r="U1055" s="656" t="s">
        <v>1300</v>
      </c>
      <c r="V1055" s="656"/>
      <c r="W1055" s="656" t="s">
        <v>13051</v>
      </c>
      <c r="X1055" s="656" t="s">
        <v>498</v>
      </c>
      <c r="Y1055" s="656" t="s">
        <v>14278</v>
      </c>
      <c r="Z1055" s="656">
        <v>44305.521631944444</v>
      </c>
      <c r="AA1055" s="656" t="s">
        <v>14335</v>
      </c>
      <c r="AB1055" s="656"/>
    </row>
    <row r="1056" spans="1:28">
      <c r="A1056" s="656" t="s">
        <v>3055</v>
      </c>
      <c r="B1056" s="656" t="s">
        <v>3056</v>
      </c>
      <c r="C1056" s="656" t="s">
        <v>20</v>
      </c>
      <c r="D1056" s="656" t="s">
        <v>11557</v>
      </c>
      <c r="E1056" s="656" t="s">
        <v>14275</v>
      </c>
      <c r="F1056" s="1447">
        <v>43405</v>
      </c>
      <c r="G1056" s="656" t="s">
        <v>11556</v>
      </c>
      <c r="H1056" s="656" t="s">
        <v>1777</v>
      </c>
      <c r="I1056" s="656"/>
      <c r="J1056" s="656"/>
      <c r="K1056" s="656"/>
      <c r="L1056" s="656" t="s">
        <v>11557</v>
      </c>
      <c r="M1056" s="656" t="s">
        <v>16196</v>
      </c>
      <c r="N1056" s="656"/>
      <c r="O1056" s="656" t="s">
        <v>9757</v>
      </c>
      <c r="P1056" s="5"/>
      <c r="Q1056" s="1447">
        <v>43041</v>
      </c>
      <c r="R1056" s="656"/>
      <c r="S1056" s="656" t="s">
        <v>1300</v>
      </c>
      <c r="T1056" s="656" t="s">
        <v>13</v>
      </c>
      <c r="U1056" s="656" t="s">
        <v>1300</v>
      </c>
      <c r="V1056" s="656"/>
      <c r="W1056" s="656" t="s">
        <v>13051</v>
      </c>
      <c r="X1056" s="656" t="s">
        <v>498</v>
      </c>
      <c r="Y1056" s="656" t="s">
        <v>14278</v>
      </c>
      <c r="Z1056" s="656">
        <v>44305.521631944444</v>
      </c>
      <c r="AA1056" s="656" t="s">
        <v>14335</v>
      </c>
      <c r="AB1056" s="656"/>
    </row>
    <row r="1057" spans="1:28">
      <c r="A1057" s="656" t="s">
        <v>3057</v>
      </c>
      <c r="B1057" s="656" t="s">
        <v>3058</v>
      </c>
      <c r="C1057" s="656" t="s">
        <v>20</v>
      </c>
      <c r="D1057" s="656" t="s">
        <v>11555</v>
      </c>
      <c r="E1057" s="656" t="s">
        <v>14275</v>
      </c>
      <c r="F1057" s="1447">
        <v>43301</v>
      </c>
      <c r="G1057" s="656" t="s">
        <v>11554</v>
      </c>
      <c r="H1057" s="656" t="s">
        <v>1777</v>
      </c>
      <c r="I1057" s="656"/>
      <c r="J1057" s="656"/>
      <c r="K1057" s="656"/>
      <c r="L1057" s="656" t="s">
        <v>11555</v>
      </c>
      <c r="M1057" s="656" t="s">
        <v>16200</v>
      </c>
      <c r="N1057" s="656"/>
      <c r="O1057" s="656" t="s">
        <v>6393</v>
      </c>
      <c r="P1057" s="5"/>
      <c r="Q1057" s="1447">
        <v>42839</v>
      </c>
      <c r="R1057" s="656"/>
      <c r="S1057" s="656" t="s">
        <v>500</v>
      </c>
      <c r="T1057" s="656" t="s">
        <v>14559</v>
      </c>
      <c r="U1057" s="656" t="s">
        <v>500</v>
      </c>
      <c r="V1057" s="656"/>
      <c r="W1057" s="656" t="s">
        <v>13051</v>
      </c>
      <c r="X1057" s="656" t="s">
        <v>498</v>
      </c>
      <c r="Y1057" s="656" t="s">
        <v>14278</v>
      </c>
      <c r="Z1057" s="656">
        <v>44305.521620370368</v>
      </c>
      <c r="AA1057" s="656" t="s">
        <v>14335</v>
      </c>
      <c r="AB1057" s="656"/>
    </row>
    <row r="1058" spans="1:28" ht="29">
      <c r="A1058" s="656" t="s">
        <v>3065</v>
      </c>
      <c r="B1058" s="656" t="s">
        <v>3066</v>
      </c>
      <c r="C1058" s="656" t="s">
        <v>21</v>
      </c>
      <c r="D1058" s="656" t="s">
        <v>11553</v>
      </c>
      <c r="E1058" s="656" t="s">
        <v>14384</v>
      </c>
      <c r="F1058" s="1447">
        <v>43586</v>
      </c>
      <c r="G1058" s="656" t="s">
        <v>11552</v>
      </c>
      <c r="H1058" s="656" t="s">
        <v>1584</v>
      </c>
      <c r="I1058" s="656" t="s">
        <v>14615</v>
      </c>
      <c r="J1058" s="656" t="s">
        <v>11553</v>
      </c>
      <c r="K1058" s="656" t="s">
        <v>9774</v>
      </c>
      <c r="L1058" s="656"/>
      <c r="M1058" s="656" t="s">
        <v>1584</v>
      </c>
      <c r="N1058" s="656"/>
      <c r="O1058" s="656" t="s">
        <v>6387</v>
      </c>
      <c r="P1058" s="5" t="s">
        <v>15441</v>
      </c>
      <c r="Q1058" s="1447">
        <v>42794</v>
      </c>
      <c r="R1058" s="656"/>
      <c r="S1058" s="656" t="s">
        <v>783</v>
      </c>
      <c r="T1058" s="656" t="s">
        <v>14559</v>
      </c>
      <c r="U1058" s="656" t="s">
        <v>500</v>
      </c>
      <c r="V1058" s="656"/>
      <c r="W1058" s="656" t="s">
        <v>13051</v>
      </c>
      <c r="X1058" s="656" t="s">
        <v>498</v>
      </c>
      <c r="Y1058" s="656" t="s">
        <v>14278</v>
      </c>
      <c r="Z1058" s="656">
        <v>44305.521608796298</v>
      </c>
      <c r="AA1058" s="656" t="s">
        <v>14335</v>
      </c>
      <c r="AB1058" s="656"/>
    </row>
    <row r="1059" spans="1:28">
      <c r="A1059" s="656" t="s">
        <v>3065</v>
      </c>
      <c r="B1059" s="656" t="s">
        <v>3066</v>
      </c>
      <c r="C1059" s="656" t="s">
        <v>21</v>
      </c>
      <c r="D1059" s="656" t="s">
        <v>12226</v>
      </c>
      <c r="E1059" s="656" t="s">
        <v>14275</v>
      </c>
      <c r="F1059" s="1447">
        <v>43668</v>
      </c>
      <c r="G1059" s="656" t="s">
        <v>12225</v>
      </c>
      <c r="H1059" s="656" t="s">
        <v>1777</v>
      </c>
      <c r="I1059" s="656" t="s">
        <v>14616</v>
      </c>
      <c r="J1059" s="656" t="s">
        <v>12226</v>
      </c>
      <c r="K1059" s="656" t="s">
        <v>9774</v>
      </c>
      <c r="L1059" s="656"/>
      <c r="M1059" s="656" t="s">
        <v>16336</v>
      </c>
      <c r="N1059" s="656"/>
      <c r="O1059" s="656" t="s">
        <v>6387</v>
      </c>
      <c r="P1059" s="5"/>
      <c r="Q1059" s="1447">
        <v>43539</v>
      </c>
      <c r="R1059" s="656">
        <v>43189</v>
      </c>
      <c r="S1059" s="656" t="s">
        <v>783</v>
      </c>
      <c r="T1059" s="656"/>
      <c r="U1059" s="656"/>
      <c r="V1059" s="656"/>
      <c r="W1059" s="656" t="s">
        <v>13051</v>
      </c>
      <c r="X1059" s="656" t="s">
        <v>498</v>
      </c>
      <c r="Y1059" s="656" t="s">
        <v>14278</v>
      </c>
      <c r="Z1059" s="656">
        <v>44305.521620370368</v>
      </c>
      <c r="AA1059" s="656" t="s">
        <v>14335</v>
      </c>
      <c r="AB1059" s="656"/>
    </row>
    <row r="1060" spans="1:28">
      <c r="A1060" s="656" t="s">
        <v>3071</v>
      </c>
      <c r="B1060" s="656" t="s">
        <v>11549</v>
      </c>
      <c r="C1060" s="656" t="s">
        <v>20</v>
      </c>
      <c r="D1060" s="656" t="s">
        <v>11551</v>
      </c>
      <c r="E1060" s="656" t="s">
        <v>14275</v>
      </c>
      <c r="F1060" s="1447">
        <v>42873</v>
      </c>
      <c r="G1060" s="656" t="s">
        <v>11550</v>
      </c>
      <c r="H1060" s="656" t="s">
        <v>1777</v>
      </c>
      <c r="I1060" s="656"/>
      <c r="J1060" s="656"/>
      <c r="K1060" s="656"/>
      <c r="L1060" s="656" t="s">
        <v>11551</v>
      </c>
      <c r="M1060" s="656" t="s">
        <v>16200</v>
      </c>
      <c r="N1060" s="656"/>
      <c r="O1060" s="656" t="s">
        <v>6393</v>
      </c>
      <c r="P1060" s="5"/>
      <c r="Q1060" s="1447">
        <v>42856</v>
      </c>
      <c r="R1060" s="656"/>
      <c r="S1060" s="656" t="s">
        <v>500</v>
      </c>
      <c r="T1060" s="656" t="s">
        <v>14559</v>
      </c>
      <c r="U1060" s="656" t="s">
        <v>500</v>
      </c>
      <c r="V1060" s="656"/>
      <c r="W1060" s="656" t="s">
        <v>13051</v>
      </c>
      <c r="X1060" s="656" t="s">
        <v>498</v>
      </c>
      <c r="Y1060" s="656" t="s">
        <v>14278</v>
      </c>
      <c r="Z1060" s="656">
        <v>44305.521597222221</v>
      </c>
      <c r="AA1060" s="656" t="s">
        <v>14335</v>
      </c>
      <c r="AB1060" s="656"/>
    </row>
    <row r="1061" spans="1:28">
      <c r="A1061" s="656" t="s">
        <v>3073</v>
      </c>
      <c r="B1061" s="656" t="s">
        <v>3074</v>
      </c>
      <c r="C1061" s="656" t="s">
        <v>20</v>
      </c>
      <c r="D1061" s="656" t="s">
        <v>11548</v>
      </c>
      <c r="E1061" s="656" t="s">
        <v>14275</v>
      </c>
      <c r="F1061" s="1447">
        <v>43172</v>
      </c>
      <c r="G1061" s="656" t="s">
        <v>11547</v>
      </c>
      <c r="H1061" s="656" t="s">
        <v>1777</v>
      </c>
      <c r="I1061" s="656"/>
      <c r="J1061" s="656"/>
      <c r="K1061" s="656"/>
      <c r="L1061" s="656" t="s">
        <v>11548</v>
      </c>
      <c r="M1061" s="656" t="s">
        <v>16401</v>
      </c>
      <c r="N1061" s="656"/>
      <c r="O1061" s="656" t="s">
        <v>6387</v>
      </c>
      <c r="P1061" s="5"/>
      <c r="Q1061" s="1447"/>
      <c r="R1061" s="656"/>
      <c r="S1061" s="656" t="s">
        <v>655</v>
      </c>
      <c r="T1061" s="656" t="s">
        <v>14277</v>
      </c>
      <c r="U1061" s="656" t="s">
        <v>655</v>
      </c>
      <c r="V1061" s="656"/>
      <c r="W1061" s="656" t="s">
        <v>13051</v>
      </c>
      <c r="X1061" s="656" t="s">
        <v>498</v>
      </c>
      <c r="Y1061" s="656" t="s">
        <v>14278</v>
      </c>
      <c r="Z1061" s="656">
        <v>44305.521585648145</v>
      </c>
      <c r="AA1061" s="656" t="s">
        <v>14335</v>
      </c>
      <c r="AB1061" s="656"/>
    </row>
    <row r="1062" spans="1:28">
      <c r="A1062" s="656" t="s">
        <v>3075</v>
      </c>
      <c r="B1062" s="656" t="s">
        <v>3076</v>
      </c>
      <c r="C1062" s="656" t="s">
        <v>21</v>
      </c>
      <c r="D1062" s="656" t="s">
        <v>11895</v>
      </c>
      <c r="E1062" s="656" t="s">
        <v>14275</v>
      </c>
      <c r="F1062" s="1447">
        <v>43594</v>
      </c>
      <c r="G1062" s="656" t="s">
        <v>11894</v>
      </c>
      <c r="H1062" s="656" t="s">
        <v>1777</v>
      </c>
      <c r="I1062" s="656" t="s">
        <v>14617</v>
      </c>
      <c r="J1062" s="656" t="s">
        <v>11895</v>
      </c>
      <c r="K1062" s="656" t="s">
        <v>9774</v>
      </c>
      <c r="L1062" s="656"/>
      <c r="M1062" s="656" t="s">
        <v>16344</v>
      </c>
      <c r="N1062" s="656"/>
      <c r="O1062" s="656" t="s">
        <v>6387</v>
      </c>
      <c r="P1062" s="5"/>
      <c r="Q1062" s="1447">
        <v>43123</v>
      </c>
      <c r="R1062" s="656">
        <v>43508</v>
      </c>
      <c r="S1062" s="656" t="s">
        <v>1667</v>
      </c>
      <c r="T1062" s="656" t="s">
        <v>14277</v>
      </c>
      <c r="U1062" s="656" t="s">
        <v>655</v>
      </c>
      <c r="V1062" s="656"/>
      <c r="W1062" s="656" t="s">
        <v>13051</v>
      </c>
      <c r="X1062" s="656" t="s">
        <v>498</v>
      </c>
      <c r="Y1062" s="656" t="s">
        <v>14278</v>
      </c>
      <c r="Z1062" s="656">
        <v>44305.521574074075</v>
      </c>
      <c r="AA1062" s="656" t="s">
        <v>14335</v>
      </c>
      <c r="AB1062" s="656"/>
    </row>
    <row r="1063" spans="1:28">
      <c r="A1063" s="656" t="s">
        <v>3075</v>
      </c>
      <c r="B1063" s="656" t="s">
        <v>11544</v>
      </c>
      <c r="C1063" s="656" t="s">
        <v>20</v>
      </c>
      <c r="D1063" s="656" t="s">
        <v>11546</v>
      </c>
      <c r="E1063" s="656" t="s">
        <v>14275</v>
      </c>
      <c r="F1063" s="1447">
        <v>43609</v>
      </c>
      <c r="G1063" s="656" t="s">
        <v>11545</v>
      </c>
      <c r="H1063" s="656" t="s">
        <v>1777</v>
      </c>
      <c r="I1063" s="656"/>
      <c r="J1063" s="656"/>
      <c r="K1063" s="656"/>
      <c r="L1063" s="656" t="s">
        <v>11546</v>
      </c>
      <c r="M1063" s="656" t="s">
        <v>16344</v>
      </c>
      <c r="N1063" s="656"/>
      <c r="O1063" s="656" t="s">
        <v>6387</v>
      </c>
      <c r="P1063" s="5"/>
      <c r="Q1063" s="1447">
        <v>42994</v>
      </c>
      <c r="R1063" s="656"/>
      <c r="S1063" s="656" t="s">
        <v>1667</v>
      </c>
      <c r="T1063" s="656" t="s">
        <v>14277</v>
      </c>
      <c r="U1063" s="656" t="s">
        <v>655</v>
      </c>
      <c r="V1063" s="656"/>
      <c r="W1063" s="656" t="s">
        <v>13051</v>
      </c>
      <c r="X1063" s="656" t="s">
        <v>498</v>
      </c>
      <c r="Y1063" s="656" t="s">
        <v>14278</v>
      </c>
      <c r="Z1063" s="656">
        <v>44305.521585648145</v>
      </c>
      <c r="AA1063" s="656" t="s">
        <v>14335</v>
      </c>
      <c r="AB1063" s="656"/>
    </row>
    <row r="1064" spans="1:28">
      <c r="A1064" s="656" t="s">
        <v>3082</v>
      </c>
      <c r="B1064" s="656" t="s">
        <v>3083</v>
      </c>
      <c r="C1064" s="656" t="s">
        <v>21</v>
      </c>
      <c r="D1064" s="656" t="s">
        <v>11542</v>
      </c>
      <c r="E1064" s="656" t="s">
        <v>14275</v>
      </c>
      <c r="F1064" s="1447">
        <v>43370</v>
      </c>
      <c r="G1064" s="656" t="s">
        <v>11541</v>
      </c>
      <c r="H1064" s="656" t="s">
        <v>1777</v>
      </c>
      <c r="I1064" s="656" t="s">
        <v>14618</v>
      </c>
      <c r="J1064" s="656" t="s">
        <v>11542</v>
      </c>
      <c r="K1064" s="656" t="s">
        <v>9782</v>
      </c>
      <c r="L1064" s="656"/>
      <c r="M1064" s="656" t="s">
        <v>16196</v>
      </c>
      <c r="N1064" s="656"/>
      <c r="O1064" s="656" t="s">
        <v>6395</v>
      </c>
      <c r="P1064" s="5"/>
      <c r="Q1064" s="1447">
        <v>42726</v>
      </c>
      <c r="R1064" s="656">
        <v>43175</v>
      </c>
      <c r="S1064" s="656" t="s">
        <v>1394</v>
      </c>
      <c r="T1064" s="656" t="s">
        <v>4198</v>
      </c>
      <c r="U1064" s="656" t="s">
        <v>1300</v>
      </c>
      <c r="V1064" s="656"/>
      <c r="W1064" s="656" t="s">
        <v>13051</v>
      </c>
      <c r="X1064" s="656" t="s">
        <v>498</v>
      </c>
      <c r="Y1064" s="656" t="s">
        <v>14278</v>
      </c>
      <c r="Z1064" s="656">
        <v>44305.521562499998</v>
      </c>
      <c r="AA1064" s="656" t="s">
        <v>14335</v>
      </c>
      <c r="AB1064" s="656"/>
    </row>
    <row r="1065" spans="1:28">
      <c r="A1065" s="656" t="s">
        <v>3082</v>
      </c>
      <c r="B1065" s="656" t="s">
        <v>3083</v>
      </c>
      <c r="C1065" s="656" t="s">
        <v>20</v>
      </c>
      <c r="D1065" s="656" t="s">
        <v>11543</v>
      </c>
      <c r="E1065" s="656" t="s">
        <v>14275</v>
      </c>
      <c r="F1065" s="1447">
        <v>43369</v>
      </c>
      <c r="G1065" s="656" t="s">
        <v>11541</v>
      </c>
      <c r="H1065" s="656" t="s">
        <v>1777</v>
      </c>
      <c r="I1065" s="656"/>
      <c r="J1065" s="656"/>
      <c r="K1065" s="656"/>
      <c r="L1065" s="656" t="s">
        <v>11543</v>
      </c>
      <c r="M1065" s="656" t="s">
        <v>16196</v>
      </c>
      <c r="N1065" s="656"/>
      <c r="O1065" s="656" t="s">
        <v>6395</v>
      </c>
      <c r="P1065" s="5"/>
      <c r="Q1065" s="1447"/>
      <c r="R1065" s="656"/>
      <c r="S1065" s="656" t="s">
        <v>1394</v>
      </c>
      <c r="T1065" s="656" t="s">
        <v>4198</v>
      </c>
      <c r="U1065" s="656" t="s">
        <v>1300</v>
      </c>
      <c r="V1065" s="656"/>
      <c r="W1065" s="656" t="s">
        <v>13051</v>
      </c>
      <c r="X1065" s="656" t="s">
        <v>498</v>
      </c>
      <c r="Y1065" s="656" t="s">
        <v>14278</v>
      </c>
      <c r="Z1065" s="656">
        <v>44305.521574074075</v>
      </c>
      <c r="AA1065" s="656" t="s">
        <v>14335</v>
      </c>
      <c r="AB1065" s="656"/>
    </row>
    <row r="1066" spans="1:28">
      <c r="A1066" s="656" t="s">
        <v>3086</v>
      </c>
      <c r="B1066" s="656" t="s">
        <v>3087</v>
      </c>
      <c r="C1066" s="656" t="s">
        <v>21</v>
      </c>
      <c r="D1066" s="656" t="s">
        <v>11827</v>
      </c>
      <c r="E1066" s="656" t="s">
        <v>14384</v>
      </c>
      <c r="F1066" s="1447">
        <v>43321</v>
      </c>
      <c r="G1066" s="656" t="s">
        <v>11826</v>
      </c>
      <c r="H1066" s="656" t="s">
        <v>1777</v>
      </c>
      <c r="I1066" s="656" t="s">
        <v>14619</v>
      </c>
      <c r="J1066" s="656" t="s">
        <v>11827</v>
      </c>
      <c r="K1066" s="656" t="s">
        <v>9774</v>
      </c>
      <c r="L1066" s="656"/>
      <c r="M1066" s="656" t="s">
        <v>12783</v>
      </c>
      <c r="N1066" s="656"/>
      <c r="O1066" s="656" t="s">
        <v>6387</v>
      </c>
      <c r="P1066" s="5" t="s">
        <v>14620</v>
      </c>
      <c r="Q1066" s="1447">
        <v>43069</v>
      </c>
      <c r="R1066" s="656"/>
      <c r="S1066" s="656" t="s">
        <v>655</v>
      </c>
      <c r="T1066" s="656" t="s">
        <v>14277</v>
      </c>
      <c r="U1066" s="656" t="s">
        <v>655</v>
      </c>
      <c r="V1066" s="656"/>
      <c r="W1066" s="656" t="s">
        <v>13051</v>
      </c>
      <c r="X1066" s="656" t="s">
        <v>498</v>
      </c>
      <c r="Y1066" s="656" t="s">
        <v>14278</v>
      </c>
      <c r="Z1066" s="656">
        <v>44305.521550925929</v>
      </c>
      <c r="AA1066" s="656" t="s">
        <v>14335</v>
      </c>
      <c r="AB1066" s="656"/>
    </row>
    <row r="1067" spans="1:28">
      <c r="A1067" s="656" t="s">
        <v>3086</v>
      </c>
      <c r="B1067" s="656" t="s">
        <v>3087</v>
      </c>
      <c r="C1067" s="656" t="s">
        <v>20</v>
      </c>
      <c r="D1067" s="656" t="s">
        <v>11540</v>
      </c>
      <c r="E1067" s="656" t="s">
        <v>14275</v>
      </c>
      <c r="F1067" s="1447">
        <v>43327</v>
      </c>
      <c r="G1067" s="656" t="s">
        <v>11539</v>
      </c>
      <c r="H1067" s="656" t="s">
        <v>1777</v>
      </c>
      <c r="I1067" s="656"/>
      <c r="J1067" s="656"/>
      <c r="K1067" s="656"/>
      <c r="L1067" s="656" t="s">
        <v>11540</v>
      </c>
      <c r="M1067" s="656" t="s">
        <v>12783</v>
      </c>
      <c r="N1067" s="656"/>
      <c r="O1067" s="656" t="s">
        <v>6387</v>
      </c>
      <c r="P1067" s="5"/>
      <c r="Q1067" s="1447"/>
      <c r="R1067" s="656"/>
      <c r="S1067" s="656" t="s">
        <v>655</v>
      </c>
      <c r="T1067" s="656" t="s">
        <v>14277</v>
      </c>
      <c r="U1067" s="656" t="s">
        <v>655</v>
      </c>
      <c r="V1067" s="656"/>
      <c r="W1067" s="656" t="s">
        <v>13051</v>
      </c>
      <c r="X1067" s="656" t="s">
        <v>498</v>
      </c>
      <c r="Y1067" s="656" t="s">
        <v>14278</v>
      </c>
      <c r="Z1067" s="656">
        <v>44305.521562499998</v>
      </c>
      <c r="AA1067" s="656" t="s">
        <v>14335</v>
      </c>
      <c r="AB1067" s="656"/>
    </row>
    <row r="1068" spans="1:28">
      <c r="A1068" s="656" t="s">
        <v>3088</v>
      </c>
      <c r="B1068" s="656" t="s">
        <v>3089</v>
      </c>
      <c r="C1068" s="656" t="s">
        <v>21</v>
      </c>
      <c r="D1068" s="656" t="s">
        <v>11537</v>
      </c>
      <c r="E1068" s="656" t="s">
        <v>14275</v>
      </c>
      <c r="F1068" s="1447">
        <v>43748</v>
      </c>
      <c r="G1068" s="656" t="s">
        <v>11536</v>
      </c>
      <c r="H1068" s="656" t="s">
        <v>1777</v>
      </c>
      <c r="I1068" s="656" t="s">
        <v>14621</v>
      </c>
      <c r="J1068" s="656" t="s">
        <v>11537</v>
      </c>
      <c r="K1068" s="656" t="s">
        <v>9733</v>
      </c>
      <c r="L1068" s="656"/>
      <c r="M1068" s="656" t="s">
        <v>16196</v>
      </c>
      <c r="N1068" s="656"/>
      <c r="O1068" s="656" t="s">
        <v>6395</v>
      </c>
      <c r="P1068" s="5"/>
      <c r="Q1068" s="1447">
        <v>42787</v>
      </c>
      <c r="R1068" s="656">
        <v>43546</v>
      </c>
      <c r="S1068" s="656" t="s">
        <v>1394</v>
      </c>
      <c r="T1068" s="656" t="s">
        <v>14280</v>
      </c>
      <c r="U1068" s="656" t="s">
        <v>11626</v>
      </c>
      <c r="V1068" s="656"/>
      <c r="W1068" s="656" t="s">
        <v>13051</v>
      </c>
      <c r="X1068" s="656" t="s">
        <v>498</v>
      </c>
      <c r="Y1068" s="656" t="s">
        <v>14278</v>
      </c>
      <c r="Z1068" s="656">
        <v>44305.521539351852</v>
      </c>
      <c r="AA1068" s="656" t="s">
        <v>14335</v>
      </c>
      <c r="AB1068" s="656"/>
    </row>
    <row r="1069" spans="1:28">
      <c r="A1069" s="656" t="s">
        <v>3088</v>
      </c>
      <c r="B1069" s="656" t="s">
        <v>3089</v>
      </c>
      <c r="C1069" s="656" t="s">
        <v>20</v>
      </c>
      <c r="D1069" s="656" t="s">
        <v>11538</v>
      </c>
      <c r="E1069" s="656" t="s">
        <v>14275</v>
      </c>
      <c r="F1069" s="1447">
        <v>43718</v>
      </c>
      <c r="G1069" s="656" t="s">
        <v>11536</v>
      </c>
      <c r="H1069" s="656" t="s">
        <v>1777</v>
      </c>
      <c r="I1069" s="656"/>
      <c r="J1069" s="656"/>
      <c r="K1069" s="656"/>
      <c r="L1069" s="656" t="s">
        <v>11538</v>
      </c>
      <c r="M1069" s="656" t="s">
        <v>16196</v>
      </c>
      <c r="N1069" s="656"/>
      <c r="O1069" s="656" t="s">
        <v>6395</v>
      </c>
      <c r="P1069" s="5"/>
      <c r="Q1069" s="1447"/>
      <c r="R1069" s="656"/>
      <c r="S1069" s="656" t="s">
        <v>1394</v>
      </c>
      <c r="T1069" s="656" t="s">
        <v>14280</v>
      </c>
      <c r="U1069" s="656" t="s">
        <v>11626</v>
      </c>
      <c r="V1069" s="656"/>
      <c r="W1069" s="656" t="s">
        <v>13051</v>
      </c>
      <c r="X1069" s="656" t="s">
        <v>498</v>
      </c>
      <c r="Y1069" s="656" t="s">
        <v>14278</v>
      </c>
      <c r="Z1069" s="656">
        <v>44305.521539351852</v>
      </c>
      <c r="AA1069" s="656" t="s">
        <v>14335</v>
      </c>
      <c r="AB1069" s="656"/>
    </row>
    <row r="1070" spans="1:28">
      <c r="A1070" s="656" t="s">
        <v>3103</v>
      </c>
      <c r="B1070" s="656" t="s">
        <v>3104</v>
      </c>
      <c r="C1070" s="656" t="s">
        <v>20</v>
      </c>
      <c r="D1070" s="656" t="s">
        <v>11535</v>
      </c>
      <c r="E1070" s="656" t="s">
        <v>14275</v>
      </c>
      <c r="F1070" s="1447">
        <v>43143</v>
      </c>
      <c r="G1070" s="656" t="s">
        <v>11534</v>
      </c>
      <c r="H1070" s="656" t="s">
        <v>1777</v>
      </c>
      <c r="I1070" s="656"/>
      <c r="J1070" s="656"/>
      <c r="K1070" s="656"/>
      <c r="L1070" s="656" t="s">
        <v>11535</v>
      </c>
      <c r="M1070" s="656" t="s">
        <v>16338</v>
      </c>
      <c r="N1070" s="656"/>
      <c r="O1070" s="656" t="s">
        <v>6387</v>
      </c>
      <c r="P1070" s="5"/>
      <c r="Q1070" s="1447"/>
      <c r="R1070" s="656"/>
      <c r="S1070" s="656" t="s">
        <v>655</v>
      </c>
      <c r="T1070" s="656" t="s">
        <v>14277</v>
      </c>
      <c r="U1070" s="656" t="s">
        <v>655</v>
      </c>
      <c r="V1070" s="656"/>
      <c r="W1070" s="656" t="s">
        <v>13051</v>
      </c>
      <c r="X1070" s="656" t="s">
        <v>498</v>
      </c>
      <c r="Y1070" s="656" t="s">
        <v>14278</v>
      </c>
      <c r="Z1070" s="656">
        <v>44305.521527777775</v>
      </c>
      <c r="AA1070" s="656" t="s">
        <v>14335</v>
      </c>
      <c r="AB1070" s="656"/>
    </row>
    <row r="1071" spans="1:28">
      <c r="A1071" s="656" t="s">
        <v>3107</v>
      </c>
      <c r="B1071" s="656" t="s">
        <v>3108</v>
      </c>
      <c r="C1071" s="656" t="s">
        <v>21</v>
      </c>
      <c r="D1071" s="656" t="s">
        <v>11532</v>
      </c>
      <c r="E1071" s="656" t="s">
        <v>14275</v>
      </c>
      <c r="F1071" s="1447">
        <v>43112</v>
      </c>
      <c r="G1071" s="656" t="s">
        <v>11531</v>
      </c>
      <c r="H1071" s="656" t="s">
        <v>1777</v>
      </c>
      <c r="I1071" s="656" t="s">
        <v>14622</v>
      </c>
      <c r="J1071" s="656" t="s">
        <v>11532</v>
      </c>
      <c r="K1071" s="656" t="s">
        <v>9750</v>
      </c>
      <c r="L1071" s="656"/>
      <c r="M1071" s="656" t="s">
        <v>16351</v>
      </c>
      <c r="N1071" s="656"/>
      <c r="O1071" s="656" t="s">
        <v>6387</v>
      </c>
      <c r="P1071" s="5"/>
      <c r="Q1071" s="1447">
        <v>42712</v>
      </c>
      <c r="R1071" s="656">
        <v>42916</v>
      </c>
      <c r="S1071" s="656" t="s">
        <v>500</v>
      </c>
      <c r="T1071" s="656" t="s">
        <v>14559</v>
      </c>
      <c r="U1071" s="656" t="s">
        <v>500</v>
      </c>
      <c r="V1071" s="656"/>
      <c r="W1071" s="656" t="s">
        <v>13051</v>
      </c>
      <c r="X1071" s="656" t="s">
        <v>498</v>
      </c>
      <c r="Y1071" s="656" t="s">
        <v>14278</v>
      </c>
      <c r="Z1071" s="656">
        <v>44305.521516203706</v>
      </c>
      <c r="AA1071" s="656" t="s">
        <v>14335</v>
      </c>
      <c r="AB1071" s="656"/>
    </row>
    <row r="1072" spans="1:28">
      <c r="A1072" s="656" t="s">
        <v>3107</v>
      </c>
      <c r="B1072" s="656" t="s">
        <v>3108</v>
      </c>
      <c r="C1072" s="656" t="s">
        <v>20</v>
      </c>
      <c r="D1072" s="656" t="s">
        <v>11533</v>
      </c>
      <c r="E1072" s="656" t="s">
        <v>14275</v>
      </c>
      <c r="F1072" s="1447">
        <v>43073</v>
      </c>
      <c r="G1072" s="656" t="s">
        <v>11531</v>
      </c>
      <c r="H1072" s="656" t="s">
        <v>1777</v>
      </c>
      <c r="I1072" s="656"/>
      <c r="J1072" s="656"/>
      <c r="K1072" s="656"/>
      <c r="L1072" s="656" t="s">
        <v>11533</v>
      </c>
      <c r="M1072" s="656" t="s">
        <v>16351</v>
      </c>
      <c r="N1072" s="656"/>
      <c r="O1072" s="656" t="s">
        <v>6387</v>
      </c>
      <c r="P1072" s="5"/>
      <c r="Q1072" s="1447"/>
      <c r="R1072" s="656"/>
      <c r="S1072" s="656" t="s">
        <v>500</v>
      </c>
      <c r="T1072" s="656" t="s">
        <v>14559</v>
      </c>
      <c r="U1072" s="656" t="s">
        <v>500</v>
      </c>
      <c r="V1072" s="656"/>
      <c r="W1072" s="656" t="s">
        <v>13051</v>
      </c>
      <c r="X1072" s="656" t="s">
        <v>498</v>
      </c>
      <c r="Y1072" s="656" t="s">
        <v>14278</v>
      </c>
      <c r="Z1072" s="656">
        <v>44305.521527777775</v>
      </c>
      <c r="AA1072" s="656" t="s">
        <v>14335</v>
      </c>
      <c r="AB1072" s="656"/>
    </row>
    <row r="1073" spans="1:28">
      <c r="A1073" s="656" t="s">
        <v>3111</v>
      </c>
      <c r="B1073" s="656" t="s">
        <v>3112</v>
      </c>
      <c r="C1073" s="656" t="s">
        <v>21</v>
      </c>
      <c r="D1073" s="656" t="s">
        <v>11529</v>
      </c>
      <c r="E1073" s="656" t="s">
        <v>14275</v>
      </c>
      <c r="F1073" s="1447">
        <v>43249</v>
      </c>
      <c r="G1073" s="656" t="s">
        <v>11528</v>
      </c>
      <c r="H1073" s="656" t="s">
        <v>1777</v>
      </c>
      <c r="I1073" s="656" t="s">
        <v>14623</v>
      </c>
      <c r="J1073" s="656" t="s">
        <v>11529</v>
      </c>
      <c r="K1073" s="656" t="s">
        <v>9782</v>
      </c>
      <c r="L1073" s="656"/>
      <c r="M1073" s="656" t="s">
        <v>16200</v>
      </c>
      <c r="N1073" s="656"/>
      <c r="O1073" s="656" t="s">
        <v>6393</v>
      </c>
      <c r="P1073" s="5"/>
      <c r="Q1073" s="1447">
        <v>42863</v>
      </c>
      <c r="R1073" s="656">
        <v>43098</v>
      </c>
      <c r="S1073" s="656" t="s">
        <v>500</v>
      </c>
      <c r="T1073" s="656" t="s">
        <v>14559</v>
      </c>
      <c r="U1073" s="656" t="s">
        <v>500</v>
      </c>
      <c r="V1073" s="656"/>
      <c r="W1073" s="656" t="s">
        <v>13051</v>
      </c>
      <c r="X1073" s="656" t="s">
        <v>498</v>
      </c>
      <c r="Y1073" s="656" t="s">
        <v>14278</v>
      </c>
      <c r="Z1073" s="656">
        <v>44305.521504629629</v>
      </c>
      <c r="AA1073" s="656" t="s">
        <v>14335</v>
      </c>
      <c r="AB1073" s="656"/>
    </row>
    <row r="1074" spans="1:28">
      <c r="A1074" s="656" t="s">
        <v>3111</v>
      </c>
      <c r="B1074" s="656" t="s">
        <v>3112</v>
      </c>
      <c r="C1074" s="656" t="s">
        <v>20</v>
      </c>
      <c r="D1074" s="656" t="s">
        <v>11530</v>
      </c>
      <c r="E1074" s="656" t="s">
        <v>14275</v>
      </c>
      <c r="F1074" s="1447">
        <v>43250</v>
      </c>
      <c r="G1074" s="656" t="s">
        <v>11528</v>
      </c>
      <c r="H1074" s="656" t="s">
        <v>1777</v>
      </c>
      <c r="I1074" s="656"/>
      <c r="J1074" s="656"/>
      <c r="K1074" s="656"/>
      <c r="L1074" s="656" t="s">
        <v>11530</v>
      </c>
      <c r="M1074" s="656" t="s">
        <v>16200</v>
      </c>
      <c r="N1074" s="656"/>
      <c r="O1074" s="656" t="s">
        <v>6393</v>
      </c>
      <c r="P1074" s="5"/>
      <c r="Q1074" s="1447">
        <v>42863</v>
      </c>
      <c r="R1074" s="656"/>
      <c r="S1074" s="656" t="s">
        <v>500</v>
      </c>
      <c r="T1074" s="656" t="s">
        <v>14559</v>
      </c>
      <c r="U1074" s="656" t="s">
        <v>500</v>
      </c>
      <c r="V1074" s="656"/>
      <c r="W1074" s="656" t="s">
        <v>13051</v>
      </c>
      <c r="X1074" s="656" t="s">
        <v>498</v>
      </c>
      <c r="Y1074" s="656" t="s">
        <v>14278</v>
      </c>
      <c r="Z1074" s="656">
        <v>44305.521516203706</v>
      </c>
      <c r="AA1074" s="656" t="s">
        <v>14335</v>
      </c>
      <c r="AB1074" s="656"/>
    </row>
    <row r="1075" spans="1:28">
      <c r="A1075" s="656" t="s">
        <v>3113</v>
      </c>
      <c r="B1075" s="656" t="s">
        <v>3114</v>
      </c>
      <c r="C1075" s="656" t="s">
        <v>21</v>
      </c>
      <c r="D1075" s="656" t="s">
        <v>11521</v>
      </c>
      <c r="E1075" s="656" t="s">
        <v>14275</v>
      </c>
      <c r="F1075" s="1447">
        <v>43549</v>
      </c>
      <c r="G1075" s="656" t="s">
        <v>11520</v>
      </c>
      <c r="H1075" s="656" t="s">
        <v>1777</v>
      </c>
      <c r="I1075" s="656" t="s">
        <v>14624</v>
      </c>
      <c r="J1075" s="656" t="s">
        <v>11521</v>
      </c>
      <c r="K1075" s="656" t="s">
        <v>9750</v>
      </c>
      <c r="L1075" s="656"/>
      <c r="M1075" s="656" t="s">
        <v>16385</v>
      </c>
      <c r="N1075" s="656"/>
      <c r="O1075" s="656" t="s">
        <v>6387</v>
      </c>
      <c r="P1075" s="5" t="s">
        <v>14936</v>
      </c>
      <c r="Q1075" s="1447">
        <v>42669</v>
      </c>
      <c r="R1075" s="656">
        <v>43273</v>
      </c>
      <c r="S1075" s="656" t="s">
        <v>500</v>
      </c>
      <c r="T1075" s="656" t="s">
        <v>14559</v>
      </c>
      <c r="U1075" s="656" t="s">
        <v>1300</v>
      </c>
      <c r="V1075" s="656"/>
      <c r="W1075" s="656" t="s">
        <v>13051</v>
      </c>
      <c r="X1075" s="656" t="s">
        <v>498</v>
      </c>
      <c r="Y1075" s="656" t="s">
        <v>14278</v>
      </c>
      <c r="Z1075" s="656">
        <v>44305.521469907406</v>
      </c>
      <c r="AA1075" s="656" t="s">
        <v>14335</v>
      </c>
      <c r="AB1075" s="656"/>
    </row>
    <row r="1076" spans="1:28" ht="29">
      <c r="A1076" s="656" t="s">
        <v>3113</v>
      </c>
      <c r="B1076" s="656" t="s">
        <v>3114</v>
      </c>
      <c r="C1076" s="656" t="s">
        <v>21</v>
      </c>
      <c r="D1076" s="656" t="s">
        <v>11523</v>
      </c>
      <c r="E1076" s="656" t="s">
        <v>14384</v>
      </c>
      <c r="F1076" s="1447">
        <v>43545</v>
      </c>
      <c r="G1076" s="656" t="s">
        <v>11522</v>
      </c>
      <c r="H1076" s="656" t="s">
        <v>1777</v>
      </c>
      <c r="I1076" s="656" t="s">
        <v>14624</v>
      </c>
      <c r="J1076" s="656" t="s">
        <v>11523</v>
      </c>
      <c r="K1076" s="656" t="s">
        <v>9750</v>
      </c>
      <c r="L1076" s="656"/>
      <c r="M1076" s="656" t="s">
        <v>1564</v>
      </c>
      <c r="N1076" s="656"/>
      <c r="O1076" s="656" t="s">
        <v>6387</v>
      </c>
      <c r="P1076" s="5" t="s">
        <v>15442</v>
      </c>
      <c r="Q1076" s="1447">
        <v>42669</v>
      </c>
      <c r="R1076" s="656"/>
      <c r="S1076" s="656" t="s">
        <v>500</v>
      </c>
      <c r="T1076" s="656" t="s">
        <v>14559</v>
      </c>
      <c r="U1076" s="656" t="s">
        <v>1300</v>
      </c>
      <c r="V1076" s="656"/>
      <c r="W1076" s="656" t="s">
        <v>13051</v>
      </c>
      <c r="X1076" s="656" t="s">
        <v>498</v>
      </c>
      <c r="Y1076" s="656" t="s">
        <v>14278</v>
      </c>
      <c r="Z1076" s="656">
        <v>44305.521481481483</v>
      </c>
      <c r="AA1076" s="656" t="s">
        <v>14335</v>
      </c>
      <c r="AB1076" s="656"/>
    </row>
    <row r="1077" spans="1:28">
      <c r="A1077" s="656" t="s">
        <v>3113</v>
      </c>
      <c r="B1077" s="656" t="s">
        <v>3114</v>
      </c>
      <c r="C1077" s="656" t="s">
        <v>21</v>
      </c>
      <c r="D1077" s="656" t="s">
        <v>12170</v>
      </c>
      <c r="E1077" s="656" t="s">
        <v>14275</v>
      </c>
      <c r="F1077" s="1447">
        <v>43564</v>
      </c>
      <c r="G1077" s="656" t="s">
        <v>12169</v>
      </c>
      <c r="H1077" s="656" t="s">
        <v>1564</v>
      </c>
      <c r="I1077" s="656" t="s">
        <v>14625</v>
      </c>
      <c r="J1077" s="656" t="s">
        <v>12170</v>
      </c>
      <c r="K1077" s="656" t="s">
        <v>1564</v>
      </c>
      <c r="L1077" s="656"/>
      <c r="M1077" s="656" t="s">
        <v>1564</v>
      </c>
      <c r="N1077" s="656"/>
      <c r="O1077" s="656" t="s">
        <v>6387</v>
      </c>
      <c r="P1077" s="5"/>
      <c r="Q1077" s="1447">
        <v>43392</v>
      </c>
      <c r="R1077" s="656">
        <v>43385</v>
      </c>
      <c r="S1077" s="656" t="s">
        <v>500</v>
      </c>
      <c r="T1077" s="656"/>
      <c r="U1077" s="656" t="s">
        <v>500</v>
      </c>
      <c r="V1077" s="656"/>
      <c r="W1077" s="656" t="s">
        <v>13051</v>
      </c>
      <c r="X1077" s="656" t="s">
        <v>498</v>
      </c>
      <c r="Y1077" s="656" t="s">
        <v>14278</v>
      </c>
      <c r="Z1077" s="656">
        <v>44305.521481481483</v>
      </c>
      <c r="AA1077" s="656" t="s">
        <v>14335</v>
      </c>
      <c r="AB1077" s="656"/>
    </row>
    <row r="1078" spans="1:28">
      <c r="A1078" s="656" t="s">
        <v>3113</v>
      </c>
      <c r="B1078" s="656" t="s">
        <v>3114</v>
      </c>
      <c r="C1078" s="656" t="s">
        <v>20</v>
      </c>
      <c r="D1078" s="656" t="s">
        <v>11524</v>
      </c>
      <c r="E1078" s="656" t="s">
        <v>14275</v>
      </c>
      <c r="F1078" s="1447">
        <v>43521</v>
      </c>
      <c r="G1078" s="656" t="s">
        <v>11522</v>
      </c>
      <c r="H1078" s="656" t="s">
        <v>1777</v>
      </c>
      <c r="I1078" s="656"/>
      <c r="J1078" s="656"/>
      <c r="K1078" s="656"/>
      <c r="L1078" s="656" t="s">
        <v>11524</v>
      </c>
      <c r="M1078" s="656" t="s">
        <v>1564</v>
      </c>
      <c r="N1078" s="656"/>
      <c r="O1078" s="656" t="s">
        <v>6387</v>
      </c>
      <c r="P1078" s="5"/>
      <c r="Q1078" s="1447"/>
      <c r="R1078" s="656"/>
      <c r="S1078" s="656" t="s">
        <v>500</v>
      </c>
      <c r="T1078" s="656" t="s">
        <v>14559</v>
      </c>
      <c r="U1078" s="656" t="s">
        <v>1300</v>
      </c>
      <c r="V1078" s="656"/>
      <c r="W1078" s="656" t="s">
        <v>13051</v>
      </c>
      <c r="X1078" s="656" t="s">
        <v>498</v>
      </c>
      <c r="Y1078" s="656" t="s">
        <v>14278</v>
      </c>
      <c r="Z1078" s="656">
        <v>44305.521493055552</v>
      </c>
      <c r="AA1078" s="656" t="s">
        <v>14335</v>
      </c>
      <c r="AB1078" s="656"/>
    </row>
    <row r="1079" spans="1:28">
      <c r="A1079" s="656" t="s">
        <v>3113</v>
      </c>
      <c r="B1079" s="656" t="s">
        <v>3114</v>
      </c>
      <c r="C1079" s="656" t="s">
        <v>20</v>
      </c>
      <c r="D1079" s="656" t="s">
        <v>11526</v>
      </c>
      <c r="E1079" s="656" t="s">
        <v>14275</v>
      </c>
      <c r="F1079" s="1447">
        <v>43511</v>
      </c>
      <c r="G1079" s="656" t="s">
        <v>11525</v>
      </c>
      <c r="H1079" s="656" t="s">
        <v>1777</v>
      </c>
      <c r="I1079" s="656"/>
      <c r="J1079" s="656"/>
      <c r="K1079" s="656"/>
      <c r="L1079" s="656" t="s">
        <v>11526</v>
      </c>
      <c r="M1079" s="656" t="s">
        <v>16402</v>
      </c>
      <c r="N1079" s="656"/>
      <c r="O1079" s="656" t="s">
        <v>6387</v>
      </c>
      <c r="P1079" s="5" t="s">
        <v>14938</v>
      </c>
      <c r="Q1079" s="1447"/>
      <c r="R1079" s="656"/>
      <c r="S1079" s="656" t="s">
        <v>500</v>
      </c>
      <c r="T1079" s="656" t="s">
        <v>14559</v>
      </c>
      <c r="U1079" s="656" t="s">
        <v>1300</v>
      </c>
      <c r="V1079" s="656"/>
      <c r="W1079" s="656" t="s">
        <v>13051</v>
      </c>
      <c r="X1079" s="656" t="s">
        <v>498</v>
      </c>
      <c r="Y1079" s="656" t="s">
        <v>14278</v>
      </c>
      <c r="Z1079" s="656">
        <v>44305.521493055552</v>
      </c>
      <c r="AA1079" s="656" t="s">
        <v>14335</v>
      </c>
      <c r="AB1079" s="656"/>
    </row>
    <row r="1080" spans="1:28">
      <c r="A1080" s="656" t="s">
        <v>3113</v>
      </c>
      <c r="B1080" s="656" t="s">
        <v>3114</v>
      </c>
      <c r="C1080" s="656" t="s">
        <v>20</v>
      </c>
      <c r="D1080" s="656" t="s">
        <v>11527</v>
      </c>
      <c r="E1080" s="656" t="s">
        <v>14275</v>
      </c>
      <c r="F1080" s="1447">
        <v>43521</v>
      </c>
      <c r="G1080" s="656" t="s">
        <v>11520</v>
      </c>
      <c r="H1080" s="656" t="s">
        <v>1777</v>
      </c>
      <c r="I1080" s="656"/>
      <c r="J1080" s="656"/>
      <c r="K1080" s="656"/>
      <c r="L1080" s="656" t="s">
        <v>11527</v>
      </c>
      <c r="M1080" s="656" t="s">
        <v>16385</v>
      </c>
      <c r="N1080" s="656"/>
      <c r="O1080" s="656" t="s">
        <v>6387</v>
      </c>
      <c r="P1080" s="5"/>
      <c r="Q1080" s="1447"/>
      <c r="R1080" s="656"/>
      <c r="S1080" s="656" t="s">
        <v>500</v>
      </c>
      <c r="T1080" s="656" t="s">
        <v>14559</v>
      </c>
      <c r="U1080" s="656" t="s">
        <v>1300</v>
      </c>
      <c r="V1080" s="656"/>
      <c r="W1080" s="656" t="s">
        <v>13051</v>
      </c>
      <c r="X1080" s="656" t="s">
        <v>498</v>
      </c>
      <c r="Y1080" s="656" t="s">
        <v>14278</v>
      </c>
      <c r="Z1080" s="656">
        <v>44305.521504629629</v>
      </c>
      <c r="AA1080" s="656" t="s">
        <v>14335</v>
      </c>
      <c r="AB1080" s="656"/>
    </row>
    <row r="1081" spans="1:28">
      <c r="A1081" s="656" t="s">
        <v>3149</v>
      </c>
      <c r="B1081" s="656" t="s">
        <v>3150</v>
      </c>
      <c r="C1081" s="656" t="s">
        <v>20</v>
      </c>
      <c r="D1081" s="656" t="s">
        <v>11519</v>
      </c>
      <c r="E1081" s="656" t="s">
        <v>14275</v>
      </c>
      <c r="F1081" s="1447">
        <v>42957</v>
      </c>
      <c r="G1081" s="656" t="s">
        <v>11518</v>
      </c>
      <c r="H1081" s="656" t="s">
        <v>1777</v>
      </c>
      <c r="I1081" s="656"/>
      <c r="J1081" s="656"/>
      <c r="K1081" s="656"/>
      <c r="L1081" s="656" t="s">
        <v>11519</v>
      </c>
      <c r="M1081" s="656" t="s">
        <v>1545</v>
      </c>
      <c r="N1081" s="656"/>
      <c r="O1081" s="656" t="s">
        <v>6387</v>
      </c>
      <c r="P1081" s="5"/>
      <c r="Q1081" s="1447">
        <v>42675</v>
      </c>
      <c r="R1081" s="656"/>
      <c r="S1081" s="656" t="s">
        <v>1300</v>
      </c>
      <c r="T1081" s="656" t="s">
        <v>14559</v>
      </c>
      <c r="U1081" s="656" t="s">
        <v>1300</v>
      </c>
      <c r="V1081" s="656"/>
      <c r="W1081" s="656" t="s">
        <v>13051</v>
      </c>
      <c r="X1081" s="656" t="s">
        <v>498</v>
      </c>
      <c r="Y1081" s="656" t="s">
        <v>14278</v>
      </c>
      <c r="Z1081" s="656">
        <v>44305.521469907406</v>
      </c>
      <c r="AA1081" s="656" t="s">
        <v>14335</v>
      </c>
      <c r="AB1081" s="656"/>
    </row>
    <row r="1082" spans="1:28">
      <c r="A1082" s="656" t="s">
        <v>3165</v>
      </c>
      <c r="B1082" s="656" t="s">
        <v>3166</v>
      </c>
      <c r="C1082" s="656" t="s">
        <v>21</v>
      </c>
      <c r="D1082" s="656" t="s">
        <v>11516</v>
      </c>
      <c r="E1082" s="656" t="s">
        <v>14275</v>
      </c>
      <c r="F1082" s="1447">
        <v>43509</v>
      </c>
      <c r="G1082" s="656" t="s">
        <v>11515</v>
      </c>
      <c r="H1082" s="656" t="s">
        <v>1777</v>
      </c>
      <c r="I1082" s="656" t="s">
        <v>14626</v>
      </c>
      <c r="J1082" s="656" t="s">
        <v>11516</v>
      </c>
      <c r="K1082" s="656" t="s">
        <v>9782</v>
      </c>
      <c r="L1082" s="656"/>
      <c r="M1082" s="656" t="s">
        <v>16372</v>
      </c>
      <c r="N1082" s="656"/>
      <c r="O1082" s="656" t="s">
        <v>6387</v>
      </c>
      <c r="P1082" s="5"/>
      <c r="Q1082" s="1447">
        <v>42894</v>
      </c>
      <c r="R1082" s="656">
        <v>43224</v>
      </c>
      <c r="S1082" s="656" t="s">
        <v>1300</v>
      </c>
      <c r="T1082" s="656" t="s">
        <v>14559</v>
      </c>
      <c r="U1082" s="656" t="s">
        <v>1300</v>
      </c>
      <c r="V1082" s="656"/>
      <c r="W1082" s="656" t="s">
        <v>13051</v>
      </c>
      <c r="X1082" s="656" t="s">
        <v>498</v>
      </c>
      <c r="Y1082" s="656" t="s">
        <v>14278</v>
      </c>
      <c r="Z1082" s="656">
        <v>44305.521435185183</v>
      </c>
      <c r="AA1082" s="656" t="s">
        <v>14335</v>
      </c>
      <c r="AB1082" s="656"/>
    </row>
    <row r="1083" spans="1:28">
      <c r="A1083" s="656" t="s">
        <v>3165</v>
      </c>
      <c r="B1083" s="656" t="s">
        <v>3166</v>
      </c>
      <c r="C1083" s="656" t="s">
        <v>20</v>
      </c>
      <c r="D1083" s="656" t="s">
        <v>11517</v>
      </c>
      <c r="E1083" s="656" t="s">
        <v>14275</v>
      </c>
      <c r="F1083" s="1447">
        <v>43511</v>
      </c>
      <c r="G1083" s="656" t="s">
        <v>11515</v>
      </c>
      <c r="H1083" s="656" t="s">
        <v>1777</v>
      </c>
      <c r="I1083" s="656"/>
      <c r="J1083" s="656"/>
      <c r="K1083" s="656"/>
      <c r="L1083" s="656" t="s">
        <v>11517</v>
      </c>
      <c r="M1083" s="656" t="s">
        <v>16372</v>
      </c>
      <c r="N1083" s="656"/>
      <c r="O1083" s="656" t="s">
        <v>6387</v>
      </c>
      <c r="P1083" s="5"/>
      <c r="Q1083" s="1447"/>
      <c r="R1083" s="656"/>
      <c r="S1083" s="656" t="s">
        <v>1300</v>
      </c>
      <c r="T1083" s="656" t="s">
        <v>14559</v>
      </c>
      <c r="U1083" s="656" t="s">
        <v>1300</v>
      </c>
      <c r="V1083" s="656"/>
      <c r="W1083" s="656" t="s">
        <v>13051</v>
      </c>
      <c r="X1083" s="656" t="s">
        <v>498</v>
      </c>
      <c r="Y1083" s="656" t="s">
        <v>14278</v>
      </c>
      <c r="Z1083" s="656">
        <v>44305.52144675926</v>
      </c>
      <c r="AA1083" s="656" t="s">
        <v>14335</v>
      </c>
      <c r="AB1083" s="656"/>
    </row>
    <row r="1084" spans="1:28">
      <c r="A1084" s="656" t="s">
        <v>3167</v>
      </c>
      <c r="B1084" s="656" t="s">
        <v>3168</v>
      </c>
      <c r="C1084" s="656" t="s">
        <v>21</v>
      </c>
      <c r="D1084" s="656" t="s">
        <v>11513</v>
      </c>
      <c r="E1084" s="656" t="s">
        <v>14275</v>
      </c>
      <c r="F1084" s="1447">
        <v>43021</v>
      </c>
      <c r="G1084" s="656" t="s">
        <v>11512</v>
      </c>
      <c r="H1084" s="656" t="s">
        <v>1777</v>
      </c>
      <c r="I1084" s="656" t="s">
        <v>14627</v>
      </c>
      <c r="J1084" s="656" t="s">
        <v>11513</v>
      </c>
      <c r="K1084" s="656" t="s">
        <v>9750</v>
      </c>
      <c r="L1084" s="656"/>
      <c r="M1084" s="656" t="s">
        <v>16318</v>
      </c>
      <c r="N1084" s="656"/>
      <c r="O1084" s="656" t="s">
        <v>6387</v>
      </c>
      <c r="P1084" s="5" t="s">
        <v>15443</v>
      </c>
      <c r="Q1084" s="1447">
        <v>42696</v>
      </c>
      <c r="R1084" s="656">
        <v>42878</v>
      </c>
      <c r="S1084" s="656" t="s">
        <v>783</v>
      </c>
      <c r="T1084" s="656" t="s">
        <v>14559</v>
      </c>
      <c r="U1084" s="656" t="s">
        <v>500</v>
      </c>
      <c r="V1084" s="656"/>
      <c r="W1084" s="656" t="s">
        <v>13051</v>
      </c>
      <c r="X1084" s="656" t="s">
        <v>498</v>
      </c>
      <c r="Y1084" s="656" t="s">
        <v>14278</v>
      </c>
      <c r="Z1084" s="656">
        <v>44305.521435185183</v>
      </c>
      <c r="AA1084" s="656" t="s">
        <v>14335</v>
      </c>
      <c r="AB1084" s="656"/>
    </row>
    <row r="1085" spans="1:28">
      <c r="A1085" s="656" t="s">
        <v>3167</v>
      </c>
      <c r="B1085" s="656" t="s">
        <v>3168</v>
      </c>
      <c r="C1085" s="656" t="s">
        <v>20</v>
      </c>
      <c r="D1085" s="656" t="s">
        <v>11514</v>
      </c>
      <c r="E1085" s="656" t="s">
        <v>14275</v>
      </c>
      <c r="F1085" s="1447">
        <v>43014</v>
      </c>
      <c r="G1085" s="656" t="s">
        <v>11512</v>
      </c>
      <c r="H1085" s="656" t="s">
        <v>1777</v>
      </c>
      <c r="I1085" s="656"/>
      <c r="J1085" s="656"/>
      <c r="K1085" s="656"/>
      <c r="L1085" s="656" t="s">
        <v>11514</v>
      </c>
      <c r="M1085" s="656" t="s">
        <v>16318</v>
      </c>
      <c r="N1085" s="656"/>
      <c r="O1085" s="656" t="s">
        <v>6387</v>
      </c>
      <c r="P1085" s="5" t="s">
        <v>4738</v>
      </c>
      <c r="Q1085" s="1447">
        <v>42695</v>
      </c>
      <c r="R1085" s="656"/>
      <c r="S1085" s="656" t="s">
        <v>783</v>
      </c>
      <c r="T1085" s="656" t="s">
        <v>14559</v>
      </c>
      <c r="U1085" s="656" t="s">
        <v>500</v>
      </c>
      <c r="V1085" s="656"/>
      <c r="W1085" s="656" t="s">
        <v>13051</v>
      </c>
      <c r="X1085" s="656" t="s">
        <v>498</v>
      </c>
      <c r="Y1085" s="656" t="s">
        <v>14278</v>
      </c>
      <c r="Z1085" s="656">
        <v>44305.521435185183</v>
      </c>
      <c r="AA1085" s="656" t="s">
        <v>14335</v>
      </c>
      <c r="AB1085" s="656"/>
    </row>
    <row r="1086" spans="1:28">
      <c r="A1086" s="656" t="s">
        <v>13022</v>
      </c>
      <c r="B1086" s="656" t="s">
        <v>13021</v>
      </c>
      <c r="C1086" s="656" t="s">
        <v>20</v>
      </c>
      <c r="D1086" s="656" t="s">
        <v>16035</v>
      </c>
      <c r="E1086" s="656" t="s">
        <v>14279</v>
      </c>
      <c r="F1086" s="1447"/>
      <c r="G1086" s="656" t="s">
        <v>16036</v>
      </c>
      <c r="H1086" s="656" t="s">
        <v>1777</v>
      </c>
      <c r="I1086" s="656"/>
      <c r="J1086" s="656"/>
      <c r="K1086" s="656"/>
      <c r="L1086" s="656" t="s">
        <v>16035</v>
      </c>
      <c r="M1086" s="656" t="s">
        <v>16196</v>
      </c>
      <c r="N1086" s="656"/>
      <c r="O1086" s="656" t="s">
        <v>6419</v>
      </c>
      <c r="P1086" s="5"/>
      <c r="Q1086" s="1447">
        <v>44265</v>
      </c>
      <c r="R1086" s="656"/>
      <c r="S1086" s="656" t="s">
        <v>469</v>
      </c>
      <c r="T1086" s="656"/>
      <c r="U1086" s="656"/>
      <c r="V1086" s="656"/>
      <c r="W1086" s="656" t="s">
        <v>13051</v>
      </c>
      <c r="X1086" s="656" t="s">
        <v>498</v>
      </c>
      <c r="Y1086" s="656" t="s">
        <v>14278</v>
      </c>
      <c r="Z1086" s="656">
        <v>44305.527511574073</v>
      </c>
      <c r="AA1086" s="656" t="s">
        <v>14335</v>
      </c>
      <c r="AB1086" s="656"/>
    </row>
    <row r="1087" spans="1:28">
      <c r="A1087" s="656" t="s">
        <v>3190</v>
      </c>
      <c r="B1087" s="656" t="s">
        <v>3191</v>
      </c>
      <c r="C1087" s="656" t="s">
        <v>21</v>
      </c>
      <c r="D1087" s="656" t="s">
        <v>11837</v>
      </c>
      <c r="E1087" s="656" t="s">
        <v>14384</v>
      </c>
      <c r="F1087" s="1447">
        <v>43070</v>
      </c>
      <c r="G1087" s="656" t="s">
        <v>11836</v>
      </c>
      <c r="H1087" s="656" t="s">
        <v>1777</v>
      </c>
      <c r="I1087" s="656" t="s">
        <v>14628</v>
      </c>
      <c r="J1087" s="656" t="s">
        <v>11837</v>
      </c>
      <c r="K1087" s="656" t="s">
        <v>9774</v>
      </c>
      <c r="L1087" s="656"/>
      <c r="M1087" s="656" t="s">
        <v>16319</v>
      </c>
      <c r="N1087" s="656"/>
      <c r="O1087" s="656" t="s">
        <v>6387</v>
      </c>
      <c r="P1087" s="5" t="s">
        <v>14629</v>
      </c>
      <c r="Q1087" s="1447">
        <v>43069</v>
      </c>
      <c r="R1087" s="656"/>
      <c r="S1087" s="656" t="s">
        <v>500</v>
      </c>
      <c r="T1087" s="656" t="s">
        <v>14559</v>
      </c>
      <c r="U1087" s="656" t="s">
        <v>500</v>
      </c>
      <c r="V1087" s="656"/>
      <c r="W1087" s="656" t="s">
        <v>13051</v>
      </c>
      <c r="X1087" s="656" t="s">
        <v>498</v>
      </c>
      <c r="Y1087" s="656" t="s">
        <v>14278</v>
      </c>
      <c r="Z1087" s="656">
        <v>44305.52140046296</v>
      </c>
      <c r="AA1087" s="656" t="s">
        <v>14335</v>
      </c>
      <c r="AB1087" s="656"/>
    </row>
    <row r="1088" spans="1:28">
      <c r="A1088" s="656" t="s">
        <v>3190</v>
      </c>
      <c r="B1088" s="656" t="s">
        <v>3191</v>
      </c>
      <c r="C1088" s="656" t="s">
        <v>21</v>
      </c>
      <c r="D1088" s="656" t="s">
        <v>11840</v>
      </c>
      <c r="E1088" s="656" t="s">
        <v>14275</v>
      </c>
      <c r="F1088" s="1447">
        <v>43748</v>
      </c>
      <c r="G1088" s="656" t="s">
        <v>11836</v>
      </c>
      <c r="H1088" s="656" t="s">
        <v>1777</v>
      </c>
      <c r="I1088" s="656" t="s">
        <v>14630</v>
      </c>
      <c r="J1088" s="656" t="s">
        <v>11840</v>
      </c>
      <c r="K1088" s="656" t="s">
        <v>9774</v>
      </c>
      <c r="L1088" s="656"/>
      <c r="M1088" s="656" t="s">
        <v>16319</v>
      </c>
      <c r="N1088" s="656"/>
      <c r="O1088" s="656" t="s">
        <v>6387</v>
      </c>
      <c r="P1088" s="5"/>
      <c r="Q1088" s="1447">
        <v>43070</v>
      </c>
      <c r="R1088" s="656">
        <v>43493</v>
      </c>
      <c r="S1088" s="656" t="s">
        <v>500</v>
      </c>
      <c r="T1088" s="656"/>
      <c r="U1088" s="656" t="s">
        <v>500</v>
      </c>
      <c r="V1088" s="656"/>
      <c r="W1088" s="656" t="s">
        <v>13051</v>
      </c>
      <c r="X1088" s="656" t="s">
        <v>498</v>
      </c>
      <c r="Y1088" s="656" t="s">
        <v>14278</v>
      </c>
      <c r="Z1088" s="656">
        <v>44305.521412037036</v>
      </c>
      <c r="AA1088" s="656" t="s">
        <v>14335</v>
      </c>
      <c r="AB1088" s="656"/>
    </row>
    <row r="1089" spans="1:28">
      <c r="A1089" s="656" t="s">
        <v>3190</v>
      </c>
      <c r="B1089" s="656" t="s">
        <v>3191</v>
      </c>
      <c r="C1089" s="656" t="s">
        <v>21</v>
      </c>
      <c r="D1089" s="656" t="s">
        <v>12154</v>
      </c>
      <c r="E1089" s="656" t="s">
        <v>14275</v>
      </c>
      <c r="F1089" s="1447">
        <v>43748</v>
      </c>
      <c r="G1089" s="656" t="s">
        <v>11836</v>
      </c>
      <c r="H1089" s="656" t="s">
        <v>1777</v>
      </c>
      <c r="I1089" s="656" t="s">
        <v>14630</v>
      </c>
      <c r="J1089" s="656" t="s">
        <v>12154</v>
      </c>
      <c r="K1089" s="656" t="s">
        <v>9774</v>
      </c>
      <c r="L1089" s="656"/>
      <c r="M1089" s="656" t="s">
        <v>16369</v>
      </c>
      <c r="N1089" s="656"/>
      <c r="O1089" s="656" t="s">
        <v>6387</v>
      </c>
      <c r="P1089" s="5"/>
      <c r="Q1089" s="1447">
        <v>43381</v>
      </c>
      <c r="R1089" s="656">
        <v>43549</v>
      </c>
      <c r="S1089" s="656" t="s">
        <v>500</v>
      </c>
      <c r="T1089" s="656"/>
      <c r="U1089" s="656" t="s">
        <v>500</v>
      </c>
      <c r="V1089" s="656"/>
      <c r="W1089" s="656" t="s">
        <v>13051</v>
      </c>
      <c r="X1089" s="656" t="s">
        <v>498</v>
      </c>
      <c r="Y1089" s="656" t="s">
        <v>14278</v>
      </c>
      <c r="Z1089" s="656">
        <v>44305.521412037036</v>
      </c>
      <c r="AA1089" s="656" t="s">
        <v>14335</v>
      </c>
      <c r="AB1089" s="656"/>
    </row>
    <row r="1090" spans="1:28">
      <c r="A1090" s="656" t="s">
        <v>3190</v>
      </c>
      <c r="B1090" s="656" t="s">
        <v>3191</v>
      </c>
      <c r="C1090" s="656" t="s">
        <v>20</v>
      </c>
      <c r="D1090" s="656" t="s">
        <v>11511</v>
      </c>
      <c r="E1090" s="656" t="s">
        <v>14275</v>
      </c>
      <c r="F1090" s="1447">
        <v>43766</v>
      </c>
      <c r="G1090" s="656" t="s">
        <v>11510</v>
      </c>
      <c r="H1090" s="656" t="s">
        <v>1777</v>
      </c>
      <c r="I1090" s="656"/>
      <c r="J1090" s="656"/>
      <c r="K1090" s="656"/>
      <c r="L1090" s="656" t="s">
        <v>11511</v>
      </c>
      <c r="M1090" s="656" t="s">
        <v>16319</v>
      </c>
      <c r="N1090" s="656"/>
      <c r="O1090" s="656" t="s">
        <v>6387</v>
      </c>
      <c r="P1090" s="5"/>
      <c r="Q1090" s="1447">
        <v>42837</v>
      </c>
      <c r="R1090" s="656"/>
      <c r="S1090" s="656" t="s">
        <v>500</v>
      </c>
      <c r="T1090" s="656" t="s">
        <v>14559</v>
      </c>
      <c r="U1090" s="656" t="s">
        <v>500</v>
      </c>
      <c r="V1090" s="656"/>
      <c r="W1090" s="656" t="s">
        <v>13051</v>
      </c>
      <c r="X1090" s="656" t="s">
        <v>498</v>
      </c>
      <c r="Y1090" s="656" t="s">
        <v>14278</v>
      </c>
      <c r="Z1090" s="656">
        <v>44305.521423611113</v>
      </c>
      <c r="AA1090" s="656" t="s">
        <v>14335</v>
      </c>
      <c r="AB1090" s="656"/>
    </row>
    <row r="1091" spans="1:28">
      <c r="A1091" s="656" t="s">
        <v>3190</v>
      </c>
      <c r="B1091" s="656" t="s">
        <v>3191</v>
      </c>
      <c r="C1091" s="656" t="s">
        <v>20</v>
      </c>
      <c r="D1091" s="656" t="s">
        <v>12155</v>
      </c>
      <c r="E1091" s="656" t="s">
        <v>14275</v>
      </c>
      <c r="F1091" s="1447">
        <v>43766</v>
      </c>
      <c r="G1091" s="656" t="s">
        <v>11836</v>
      </c>
      <c r="H1091" s="656" t="s">
        <v>1777</v>
      </c>
      <c r="I1091" s="656"/>
      <c r="J1091" s="656"/>
      <c r="K1091" s="656"/>
      <c r="L1091" s="656" t="s">
        <v>12155</v>
      </c>
      <c r="M1091" s="656" t="s">
        <v>16369</v>
      </c>
      <c r="N1091" s="656"/>
      <c r="O1091" s="656" t="s">
        <v>6387</v>
      </c>
      <c r="P1091" s="5"/>
      <c r="Q1091" s="1447">
        <v>43381</v>
      </c>
      <c r="R1091" s="656"/>
      <c r="S1091" s="656" t="s">
        <v>500</v>
      </c>
      <c r="T1091" s="656"/>
      <c r="U1091" s="656" t="s">
        <v>500</v>
      </c>
      <c r="V1091" s="656"/>
      <c r="W1091" s="656" t="s">
        <v>13051</v>
      </c>
      <c r="X1091" s="656" t="s">
        <v>498</v>
      </c>
      <c r="Y1091" s="656" t="s">
        <v>14278</v>
      </c>
      <c r="Z1091" s="656">
        <v>44305.521423611113</v>
      </c>
      <c r="AA1091" s="656" t="s">
        <v>14335</v>
      </c>
      <c r="AB1091" s="656"/>
    </row>
    <row r="1092" spans="1:28">
      <c r="A1092" s="656" t="s">
        <v>3192</v>
      </c>
      <c r="B1092" s="656" t="s">
        <v>3193</v>
      </c>
      <c r="C1092" s="656" t="s">
        <v>21</v>
      </c>
      <c r="D1092" s="656" t="s">
        <v>11839</v>
      </c>
      <c r="E1092" s="656" t="s">
        <v>14275</v>
      </c>
      <c r="F1092" s="1447">
        <v>43454</v>
      </c>
      <c r="G1092" s="656" t="s">
        <v>11838</v>
      </c>
      <c r="H1092" s="656" t="s">
        <v>1777</v>
      </c>
      <c r="I1092" s="656" t="s">
        <v>14630</v>
      </c>
      <c r="J1092" s="656" t="s">
        <v>11839</v>
      </c>
      <c r="K1092" s="656" t="s">
        <v>9774</v>
      </c>
      <c r="L1092" s="656"/>
      <c r="M1092" s="656" t="s">
        <v>16369</v>
      </c>
      <c r="N1092" s="656"/>
      <c r="O1092" s="656" t="s">
        <v>6387</v>
      </c>
      <c r="P1092" s="5"/>
      <c r="Q1092" s="1447">
        <v>43069</v>
      </c>
      <c r="R1092" s="656">
        <v>43223</v>
      </c>
      <c r="S1092" s="656" t="s">
        <v>500</v>
      </c>
      <c r="T1092" s="656" t="s">
        <v>14559</v>
      </c>
      <c r="U1092" s="656" t="s">
        <v>500</v>
      </c>
      <c r="V1092" s="656"/>
      <c r="W1092" s="656" t="s">
        <v>13051</v>
      </c>
      <c r="X1092" s="656" t="s">
        <v>498</v>
      </c>
      <c r="Y1092" s="656" t="s">
        <v>14278</v>
      </c>
      <c r="Z1092" s="656">
        <v>44305.52138888889</v>
      </c>
      <c r="AA1092" s="656" t="s">
        <v>14335</v>
      </c>
      <c r="AB1092" s="656"/>
    </row>
    <row r="1093" spans="1:28">
      <c r="A1093" s="656" t="s">
        <v>3192</v>
      </c>
      <c r="B1093" s="656" t="s">
        <v>3193</v>
      </c>
      <c r="C1093" s="656" t="s">
        <v>20</v>
      </c>
      <c r="D1093" s="656" t="s">
        <v>11509</v>
      </c>
      <c r="E1093" s="656" t="s">
        <v>14275</v>
      </c>
      <c r="F1093" s="1447">
        <v>43465</v>
      </c>
      <c r="G1093" s="656" t="s">
        <v>11508</v>
      </c>
      <c r="H1093" s="656" t="s">
        <v>1777</v>
      </c>
      <c r="I1093" s="656"/>
      <c r="J1093" s="656"/>
      <c r="K1093" s="656"/>
      <c r="L1093" s="656" t="s">
        <v>11509</v>
      </c>
      <c r="M1093" s="656" t="s">
        <v>16369</v>
      </c>
      <c r="N1093" s="656"/>
      <c r="O1093" s="656" t="s">
        <v>6387</v>
      </c>
      <c r="P1093" s="5"/>
      <c r="Q1093" s="1447">
        <v>42837</v>
      </c>
      <c r="R1093" s="656"/>
      <c r="S1093" s="656" t="s">
        <v>500</v>
      </c>
      <c r="T1093" s="656" t="s">
        <v>14559</v>
      </c>
      <c r="U1093" s="656" t="s">
        <v>500</v>
      </c>
      <c r="V1093" s="656"/>
      <c r="W1093" s="656" t="s">
        <v>13051</v>
      </c>
      <c r="X1093" s="656" t="s">
        <v>498</v>
      </c>
      <c r="Y1093" s="656" t="s">
        <v>14278</v>
      </c>
      <c r="Z1093" s="656">
        <v>44305.52138888889</v>
      </c>
      <c r="AA1093" s="656" t="s">
        <v>14335</v>
      </c>
      <c r="AB1093" s="656"/>
    </row>
    <row r="1094" spans="1:28">
      <c r="A1094" s="656" t="s">
        <v>3194</v>
      </c>
      <c r="B1094" s="656" t="s">
        <v>3195</v>
      </c>
      <c r="C1094" s="656" t="s">
        <v>21</v>
      </c>
      <c r="D1094" s="656" t="s">
        <v>11506</v>
      </c>
      <c r="E1094" s="656" t="s">
        <v>14275</v>
      </c>
      <c r="F1094" s="1447">
        <v>43399</v>
      </c>
      <c r="G1094" s="656" t="s">
        <v>11505</v>
      </c>
      <c r="H1094" s="656" t="s">
        <v>1777</v>
      </c>
      <c r="I1094" s="656" t="s">
        <v>14630</v>
      </c>
      <c r="J1094" s="656" t="s">
        <v>11506</v>
      </c>
      <c r="K1094" s="656" t="s">
        <v>9750</v>
      </c>
      <c r="L1094" s="656"/>
      <c r="M1094" s="656" t="s">
        <v>16319</v>
      </c>
      <c r="N1094" s="656"/>
      <c r="O1094" s="656" t="s">
        <v>6387</v>
      </c>
      <c r="P1094" s="5"/>
      <c r="Q1094" s="1447">
        <v>42668</v>
      </c>
      <c r="R1094" s="656">
        <v>42870</v>
      </c>
      <c r="S1094" s="656" t="s">
        <v>500</v>
      </c>
      <c r="T1094" s="656" t="s">
        <v>14559</v>
      </c>
      <c r="U1094" s="656" t="s">
        <v>500</v>
      </c>
      <c r="V1094" s="656"/>
      <c r="W1094" s="656" t="s">
        <v>13051</v>
      </c>
      <c r="X1094" s="656" t="s">
        <v>498</v>
      </c>
      <c r="Y1094" s="656" t="s">
        <v>14278</v>
      </c>
      <c r="Z1094" s="656">
        <v>44305.521377314813</v>
      </c>
      <c r="AA1094" s="656" t="s">
        <v>14335</v>
      </c>
      <c r="AB1094" s="656"/>
    </row>
    <row r="1095" spans="1:28">
      <c r="A1095" s="656" t="s">
        <v>3194</v>
      </c>
      <c r="B1095" s="656" t="s">
        <v>3195</v>
      </c>
      <c r="C1095" s="656" t="s">
        <v>20</v>
      </c>
      <c r="D1095" s="656" t="s">
        <v>11507</v>
      </c>
      <c r="E1095" s="656" t="s">
        <v>14275</v>
      </c>
      <c r="F1095" s="1447">
        <v>43357</v>
      </c>
      <c r="G1095" s="656" t="s">
        <v>11505</v>
      </c>
      <c r="H1095" s="656" t="s">
        <v>1777</v>
      </c>
      <c r="I1095" s="656"/>
      <c r="J1095" s="656"/>
      <c r="K1095" s="656"/>
      <c r="L1095" s="656" t="s">
        <v>11507</v>
      </c>
      <c r="M1095" s="656" t="s">
        <v>1584</v>
      </c>
      <c r="N1095" s="656"/>
      <c r="O1095" s="656" t="s">
        <v>6387</v>
      </c>
      <c r="P1095" s="5"/>
      <c r="Q1095" s="1447">
        <v>42605</v>
      </c>
      <c r="R1095" s="656"/>
      <c r="S1095" s="656" t="s">
        <v>500</v>
      </c>
      <c r="T1095" s="656" t="s">
        <v>14559</v>
      </c>
      <c r="U1095" s="656" t="s">
        <v>500</v>
      </c>
      <c r="V1095" s="656"/>
      <c r="W1095" s="656" t="s">
        <v>13051</v>
      </c>
      <c r="X1095" s="656" t="s">
        <v>498</v>
      </c>
      <c r="Y1095" s="656" t="s">
        <v>14278</v>
      </c>
      <c r="Z1095" s="656">
        <v>44305.521377314813</v>
      </c>
      <c r="AA1095" s="656" t="s">
        <v>14335</v>
      </c>
      <c r="AB1095" s="656"/>
    </row>
    <row r="1096" spans="1:28">
      <c r="A1096" s="656" t="s">
        <v>3201</v>
      </c>
      <c r="B1096" s="656" t="s">
        <v>3202</v>
      </c>
      <c r="C1096" s="656" t="s">
        <v>21</v>
      </c>
      <c r="D1096" s="656" t="s">
        <v>12281</v>
      </c>
      <c r="E1096" s="656" t="s">
        <v>14275</v>
      </c>
      <c r="F1096" s="1447">
        <v>44124</v>
      </c>
      <c r="G1096" s="656" t="s">
        <v>9741</v>
      </c>
      <c r="H1096" s="656" t="s">
        <v>1777</v>
      </c>
      <c r="I1096" s="656" t="s">
        <v>14631</v>
      </c>
      <c r="J1096" s="656" t="s">
        <v>12281</v>
      </c>
      <c r="K1096" s="656" t="s">
        <v>10398</v>
      </c>
      <c r="L1096" s="656"/>
      <c r="M1096" s="656" t="s">
        <v>16326</v>
      </c>
      <c r="N1096" s="656"/>
      <c r="O1096" s="656" t="s">
        <v>6387</v>
      </c>
      <c r="P1096" s="5" t="s">
        <v>14939</v>
      </c>
      <c r="Q1096" s="1447">
        <v>42727</v>
      </c>
      <c r="R1096" s="656">
        <v>43679</v>
      </c>
      <c r="S1096" s="656" t="s">
        <v>1667</v>
      </c>
      <c r="T1096" s="656" t="s">
        <v>14277</v>
      </c>
      <c r="U1096" s="656" t="s">
        <v>655</v>
      </c>
      <c r="V1096" s="656"/>
      <c r="W1096" s="656" t="s">
        <v>13051</v>
      </c>
      <c r="X1096" s="656" t="s">
        <v>498</v>
      </c>
      <c r="Y1096" s="656" t="s">
        <v>14278</v>
      </c>
      <c r="Z1096" s="656">
        <v>44305.521354166667</v>
      </c>
      <c r="AA1096" s="656" t="s">
        <v>14335</v>
      </c>
      <c r="AB1096" s="656"/>
    </row>
    <row r="1097" spans="1:28" ht="29">
      <c r="A1097" s="656" t="s">
        <v>3201</v>
      </c>
      <c r="B1097" s="656" t="s">
        <v>3202</v>
      </c>
      <c r="C1097" s="656" t="s">
        <v>21</v>
      </c>
      <c r="D1097" s="656" t="s">
        <v>12313</v>
      </c>
      <c r="E1097" s="656" t="s">
        <v>14275</v>
      </c>
      <c r="F1097" s="1447">
        <v>44132</v>
      </c>
      <c r="G1097" s="656" t="s">
        <v>12312</v>
      </c>
      <c r="H1097" s="656" t="s">
        <v>1777</v>
      </c>
      <c r="I1097" s="656" t="s">
        <v>14631</v>
      </c>
      <c r="J1097" s="656" t="s">
        <v>12313</v>
      </c>
      <c r="K1097" s="656" t="s">
        <v>9774</v>
      </c>
      <c r="L1097" s="656"/>
      <c r="M1097" s="656" t="s">
        <v>16403</v>
      </c>
      <c r="N1097" s="656"/>
      <c r="O1097" s="656" t="s">
        <v>6387</v>
      </c>
      <c r="P1097" s="5" t="s">
        <v>15444</v>
      </c>
      <c r="Q1097" s="1447">
        <v>43668</v>
      </c>
      <c r="R1097" s="656">
        <v>44001</v>
      </c>
      <c r="S1097" s="656" t="s">
        <v>465</v>
      </c>
      <c r="T1097" s="656"/>
      <c r="U1097" s="656"/>
      <c r="V1097" s="656"/>
      <c r="W1097" s="656" t="s">
        <v>13051</v>
      </c>
      <c r="X1097" s="656" t="s">
        <v>498</v>
      </c>
      <c r="Y1097" s="656" t="s">
        <v>14278</v>
      </c>
      <c r="Z1097" s="656">
        <v>44305.521365740744</v>
      </c>
      <c r="AA1097" s="656" t="s">
        <v>14335</v>
      </c>
      <c r="AB1097" s="656"/>
    </row>
    <row r="1098" spans="1:28">
      <c r="A1098" s="656" t="s">
        <v>3201</v>
      </c>
      <c r="B1098" s="656" t="s">
        <v>3202</v>
      </c>
      <c r="C1098" s="656" t="s">
        <v>20</v>
      </c>
      <c r="D1098" s="656" t="s">
        <v>9742</v>
      </c>
      <c r="E1098" s="656" t="s">
        <v>14275</v>
      </c>
      <c r="F1098" s="1447">
        <v>44147</v>
      </c>
      <c r="G1098" s="656" t="s">
        <v>9741</v>
      </c>
      <c r="H1098" s="656" t="s">
        <v>1777</v>
      </c>
      <c r="I1098" s="656"/>
      <c r="J1098" s="656"/>
      <c r="K1098" s="656"/>
      <c r="L1098" s="656" t="s">
        <v>9742</v>
      </c>
      <c r="M1098" s="656" t="s">
        <v>16326</v>
      </c>
      <c r="N1098" s="656"/>
      <c r="O1098" s="656" t="s">
        <v>6387</v>
      </c>
      <c r="P1098" s="5"/>
      <c r="Q1098" s="1447"/>
      <c r="R1098" s="656"/>
      <c r="S1098" s="656" t="s">
        <v>1667</v>
      </c>
      <c r="T1098" s="656" t="s">
        <v>14277</v>
      </c>
      <c r="U1098" s="656" t="s">
        <v>655</v>
      </c>
      <c r="V1098" s="656"/>
      <c r="W1098" s="656" t="s">
        <v>13051</v>
      </c>
      <c r="X1098" s="656" t="s">
        <v>498</v>
      </c>
      <c r="Y1098" s="656" t="s">
        <v>14278</v>
      </c>
      <c r="Z1098" s="656">
        <v>44305.521365740744</v>
      </c>
      <c r="AA1098" s="656" t="s">
        <v>14335</v>
      </c>
      <c r="AB1098" s="656"/>
    </row>
    <row r="1099" spans="1:28">
      <c r="A1099" s="656" t="s">
        <v>3211</v>
      </c>
      <c r="B1099" s="656" t="s">
        <v>3212</v>
      </c>
      <c r="C1099" s="656" t="s">
        <v>20</v>
      </c>
      <c r="D1099" s="656" t="s">
        <v>11504</v>
      </c>
      <c r="E1099" s="656" t="s">
        <v>14275</v>
      </c>
      <c r="F1099" s="1447">
        <v>43273</v>
      </c>
      <c r="G1099" s="656" t="s">
        <v>11503</v>
      </c>
      <c r="H1099" s="656" t="s">
        <v>1777</v>
      </c>
      <c r="I1099" s="656"/>
      <c r="J1099" s="656"/>
      <c r="K1099" s="656"/>
      <c r="L1099" s="656" t="s">
        <v>11504</v>
      </c>
      <c r="M1099" s="656" t="s">
        <v>16196</v>
      </c>
      <c r="N1099" s="656"/>
      <c r="O1099" s="656" t="s">
        <v>9757</v>
      </c>
      <c r="P1099" s="5"/>
      <c r="Q1099" s="1447">
        <v>42849</v>
      </c>
      <c r="R1099" s="656"/>
      <c r="S1099" s="656" t="s">
        <v>1300</v>
      </c>
      <c r="T1099" s="656" t="s">
        <v>522</v>
      </c>
      <c r="U1099" s="656" t="s">
        <v>522</v>
      </c>
      <c r="V1099" s="656"/>
      <c r="W1099" s="656" t="s">
        <v>13051</v>
      </c>
      <c r="X1099" s="656" t="s">
        <v>498</v>
      </c>
      <c r="Y1099" s="656" t="s">
        <v>14278</v>
      </c>
      <c r="Z1099" s="656">
        <v>44305.521354166667</v>
      </c>
      <c r="AA1099" s="656" t="s">
        <v>14335</v>
      </c>
      <c r="AB1099" s="656"/>
    </row>
    <row r="1100" spans="1:28">
      <c r="A1100" s="656" t="s">
        <v>3213</v>
      </c>
      <c r="B1100" s="656" t="s">
        <v>3214</v>
      </c>
      <c r="C1100" s="656" t="s">
        <v>20</v>
      </c>
      <c r="D1100" s="656" t="s">
        <v>11502</v>
      </c>
      <c r="E1100" s="656" t="s">
        <v>14275</v>
      </c>
      <c r="F1100" s="1447">
        <v>43301</v>
      </c>
      <c r="G1100" s="656" t="s">
        <v>11501</v>
      </c>
      <c r="H1100" s="656" t="s">
        <v>1777</v>
      </c>
      <c r="I1100" s="656"/>
      <c r="J1100" s="656"/>
      <c r="K1100" s="656"/>
      <c r="L1100" s="656" t="s">
        <v>11502</v>
      </c>
      <c r="M1100" s="656" t="s">
        <v>16196</v>
      </c>
      <c r="N1100" s="656"/>
      <c r="O1100" s="656" t="s">
        <v>9757</v>
      </c>
      <c r="P1100" s="5"/>
      <c r="Q1100" s="1447">
        <v>42849</v>
      </c>
      <c r="R1100" s="656"/>
      <c r="S1100" s="656" t="s">
        <v>1300</v>
      </c>
      <c r="T1100" s="656" t="s">
        <v>522</v>
      </c>
      <c r="U1100" s="656" t="s">
        <v>522</v>
      </c>
      <c r="V1100" s="656"/>
      <c r="W1100" s="656" t="s">
        <v>13051</v>
      </c>
      <c r="X1100" s="656" t="s">
        <v>498</v>
      </c>
      <c r="Y1100" s="656" t="s">
        <v>14278</v>
      </c>
      <c r="Z1100" s="656">
        <v>44305.52134259259</v>
      </c>
      <c r="AA1100" s="656" t="s">
        <v>14335</v>
      </c>
      <c r="AB1100" s="656"/>
    </row>
    <row r="1101" spans="1:28">
      <c r="A1101" s="656" t="s">
        <v>3215</v>
      </c>
      <c r="B1101" s="656" t="s">
        <v>3216</v>
      </c>
      <c r="C1101" s="656" t="s">
        <v>20</v>
      </c>
      <c r="D1101" s="656" t="s">
        <v>11500</v>
      </c>
      <c r="E1101" s="656" t="s">
        <v>14275</v>
      </c>
      <c r="F1101" s="1447">
        <v>43301</v>
      </c>
      <c r="G1101" s="656" t="s">
        <v>11499</v>
      </c>
      <c r="H1101" s="656" t="s">
        <v>1777</v>
      </c>
      <c r="I1101" s="656"/>
      <c r="J1101" s="656"/>
      <c r="K1101" s="656"/>
      <c r="L1101" s="656" t="s">
        <v>11500</v>
      </c>
      <c r="M1101" s="656" t="s">
        <v>16196</v>
      </c>
      <c r="N1101" s="656"/>
      <c r="O1101" s="656" t="s">
        <v>9757</v>
      </c>
      <c r="P1101" s="5"/>
      <c r="Q1101" s="1447">
        <v>42849</v>
      </c>
      <c r="R1101" s="656"/>
      <c r="S1101" s="656" t="s">
        <v>1300</v>
      </c>
      <c r="T1101" s="656" t="s">
        <v>522</v>
      </c>
      <c r="U1101" s="656" t="s">
        <v>522</v>
      </c>
      <c r="V1101" s="656"/>
      <c r="W1101" s="656" t="s">
        <v>13051</v>
      </c>
      <c r="X1101" s="656" t="s">
        <v>498</v>
      </c>
      <c r="Y1101" s="656" t="s">
        <v>14278</v>
      </c>
      <c r="Z1101" s="656">
        <v>44305.521331018521</v>
      </c>
      <c r="AA1101" s="656" t="s">
        <v>14335</v>
      </c>
      <c r="AB1101" s="656"/>
    </row>
    <row r="1102" spans="1:28">
      <c r="A1102" s="656" t="s">
        <v>3217</v>
      </c>
      <c r="B1102" s="656" t="s">
        <v>3218</v>
      </c>
      <c r="C1102" s="656" t="s">
        <v>21</v>
      </c>
      <c r="D1102" s="656" t="s">
        <v>11497</v>
      </c>
      <c r="E1102" s="656" t="s">
        <v>14275</v>
      </c>
      <c r="F1102" s="1447">
        <v>43308</v>
      </c>
      <c r="G1102" s="656" t="s">
        <v>11496</v>
      </c>
      <c r="H1102" s="656" t="s">
        <v>1777</v>
      </c>
      <c r="I1102" s="656" t="s">
        <v>14632</v>
      </c>
      <c r="J1102" s="656" t="s">
        <v>11497</v>
      </c>
      <c r="K1102" s="656" t="s">
        <v>9750</v>
      </c>
      <c r="L1102" s="656"/>
      <c r="M1102" s="656" t="s">
        <v>16196</v>
      </c>
      <c r="N1102" s="656"/>
      <c r="O1102" s="656" t="s">
        <v>6387</v>
      </c>
      <c r="P1102" s="5"/>
      <c r="Q1102" s="1447">
        <v>42783</v>
      </c>
      <c r="R1102" s="656">
        <v>43080</v>
      </c>
      <c r="S1102" s="656" t="s">
        <v>1300</v>
      </c>
      <c r="T1102" s="656" t="s">
        <v>522</v>
      </c>
      <c r="U1102" s="656" t="s">
        <v>522</v>
      </c>
      <c r="V1102" s="656"/>
      <c r="W1102" s="656" t="s">
        <v>13051</v>
      </c>
      <c r="X1102" s="656" t="s">
        <v>498</v>
      </c>
      <c r="Y1102" s="656" t="s">
        <v>14278</v>
      </c>
      <c r="Z1102" s="656">
        <v>44305.521319444444</v>
      </c>
      <c r="AA1102" s="656" t="s">
        <v>14335</v>
      </c>
      <c r="AB1102" s="656"/>
    </row>
    <row r="1103" spans="1:28">
      <c r="A1103" s="656" t="s">
        <v>3217</v>
      </c>
      <c r="B1103" s="656" t="s">
        <v>3218</v>
      </c>
      <c r="C1103" s="656" t="s">
        <v>21</v>
      </c>
      <c r="D1103" s="656" t="s">
        <v>12148</v>
      </c>
      <c r="E1103" s="656" t="s">
        <v>14384</v>
      </c>
      <c r="F1103" s="1447">
        <v>43406</v>
      </c>
      <c r="G1103" s="656" t="s">
        <v>12147</v>
      </c>
      <c r="H1103" s="656" t="s">
        <v>1777</v>
      </c>
      <c r="I1103" s="656" t="s">
        <v>14633</v>
      </c>
      <c r="J1103" s="656" t="s">
        <v>12148</v>
      </c>
      <c r="K1103" s="656" t="s">
        <v>9774</v>
      </c>
      <c r="L1103" s="656"/>
      <c r="M1103" s="656" t="s">
        <v>16196</v>
      </c>
      <c r="N1103" s="656"/>
      <c r="O1103" s="656" t="s">
        <v>6387</v>
      </c>
      <c r="P1103" s="5" t="s">
        <v>14634</v>
      </c>
      <c r="Q1103" s="1447">
        <v>42927</v>
      </c>
      <c r="R1103" s="656"/>
      <c r="S1103" s="656" t="s">
        <v>1300</v>
      </c>
      <c r="T1103" s="656"/>
      <c r="U1103" s="656"/>
      <c r="V1103" s="656"/>
      <c r="W1103" s="656" t="s">
        <v>13051</v>
      </c>
      <c r="X1103" s="656" t="s">
        <v>498</v>
      </c>
      <c r="Y1103" s="656" t="s">
        <v>14278</v>
      </c>
      <c r="Z1103" s="656">
        <v>44305.521331018521</v>
      </c>
      <c r="AA1103" s="656" t="s">
        <v>14335</v>
      </c>
      <c r="AB1103" s="656"/>
    </row>
    <row r="1104" spans="1:28">
      <c r="A1104" s="656" t="s">
        <v>3217</v>
      </c>
      <c r="B1104" s="656" t="s">
        <v>3218</v>
      </c>
      <c r="C1104" s="656" t="s">
        <v>20</v>
      </c>
      <c r="D1104" s="656" t="s">
        <v>11498</v>
      </c>
      <c r="E1104" s="656" t="s">
        <v>14275</v>
      </c>
      <c r="F1104" s="1447">
        <v>43256</v>
      </c>
      <c r="G1104" s="656" t="s">
        <v>11496</v>
      </c>
      <c r="H1104" s="656" t="s">
        <v>1777</v>
      </c>
      <c r="I1104" s="656"/>
      <c r="J1104" s="656"/>
      <c r="K1104" s="656"/>
      <c r="L1104" s="656" t="s">
        <v>11498</v>
      </c>
      <c r="M1104" s="656" t="s">
        <v>16196</v>
      </c>
      <c r="N1104" s="656"/>
      <c r="O1104" s="656" t="s">
        <v>9757</v>
      </c>
      <c r="P1104" s="5"/>
      <c r="Q1104" s="1447">
        <v>42769</v>
      </c>
      <c r="R1104" s="656"/>
      <c r="S1104" s="656" t="s">
        <v>1300</v>
      </c>
      <c r="T1104" s="656" t="s">
        <v>522</v>
      </c>
      <c r="U1104" s="656" t="s">
        <v>522</v>
      </c>
      <c r="V1104" s="656"/>
      <c r="W1104" s="656" t="s">
        <v>13051</v>
      </c>
      <c r="X1104" s="656" t="s">
        <v>498</v>
      </c>
      <c r="Y1104" s="656" t="s">
        <v>14278</v>
      </c>
      <c r="Z1104" s="656">
        <v>44305.521319444444</v>
      </c>
      <c r="AA1104" s="656" t="s">
        <v>14335</v>
      </c>
      <c r="AB1104" s="656"/>
    </row>
    <row r="1105" spans="1:28">
      <c r="A1105" s="656" t="s">
        <v>3219</v>
      </c>
      <c r="B1105" s="656" t="s">
        <v>3220</v>
      </c>
      <c r="C1105" s="656" t="s">
        <v>20</v>
      </c>
      <c r="D1105" s="656" t="s">
        <v>11495</v>
      </c>
      <c r="E1105" s="656" t="s">
        <v>14275</v>
      </c>
      <c r="F1105" s="1447">
        <v>43354</v>
      </c>
      <c r="G1105" s="656" t="s">
        <v>11494</v>
      </c>
      <c r="H1105" s="656" t="s">
        <v>1777</v>
      </c>
      <c r="I1105" s="656"/>
      <c r="J1105" s="656"/>
      <c r="K1105" s="656"/>
      <c r="L1105" s="656" t="s">
        <v>11495</v>
      </c>
      <c r="M1105" s="656" t="s">
        <v>16196</v>
      </c>
      <c r="N1105" s="656"/>
      <c r="O1105" s="656" t="s">
        <v>9757</v>
      </c>
      <c r="P1105" s="5"/>
      <c r="Q1105" s="1447">
        <v>42850</v>
      </c>
      <c r="R1105" s="656"/>
      <c r="S1105" s="656" t="s">
        <v>1300</v>
      </c>
      <c r="T1105" s="656" t="s">
        <v>522</v>
      </c>
      <c r="U1105" s="656" t="s">
        <v>522</v>
      </c>
      <c r="V1105" s="656"/>
      <c r="W1105" s="656" t="s">
        <v>13051</v>
      </c>
      <c r="X1105" s="656" t="s">
        <v>498</v>
      </c>
      <c r="Y1105" s="656" t="s">
        <v>14278</v>
      </c>
      <c r="Z1105" s="656">
        <v>44305.521307870367</v>
      </c>
      <c r="AA1105" s="656" t="s">
        <v>14335</v>
      </c>
      <c r="AB1105" s="656"/>
    </row>
    <row r="1106" spans="1:28">
      <c r="A1106" s="656" t="s">
        <v>3221</v>
      </c>
      <c r="B1106" s="656" t="s">
        <v>3222</v>
      </c>
      <c r="C1106" s="656" t="s">
        <v>21</v>
      </c>
      <c r="D1106" s="656" t="s">
        <v>12280</v>
      </c>
      <c r="E1106" s="656" t="s">
        <v>14275</v>
      </c>
      <c r="F1106" s="1447">
        <v>44252</v>
      </c>
      <c r="G1106" s="656" t="s">
        <v>9739</v>
      </c>
      <c r="H1106" s="656" t="s">
        <v>1777</v>
      </c>
      <c r="I1106" s="656" t="s">
        <v>14635</v>
      </c>
      <c r="J1106" s="656" t="s">
        <v>12280</v>
      </c>
      <c r="K1106" s="656" t="s">
        <v>9782</v>
      </c>
      <c r="L1106" s="656"/>
      <c r="M1106" s="656" t="s">
        <v>16322</v>
      </c>
      <c r="N1106" s="656"/>
      <c r="O1106" s="656" t="s">
        <v>6387</v>
      </c>
      <c r="P1106" s="5"/>
      <c r="Q1106" s="1447">
        <v>42643</v>
      </c>
      <c r="R1106" s="656">
        <v>43808</v>
      </c>
      <c r="S1106" s="656" t="s">
        <v>655</v>
      </c>
      <c r="T1106" s="656" t="s">
        <v>14277</v>
      </c>
      <c r="U1106" s="656" t="s">
        <v>655</v>
      </c>
      <c r="V1106" s="656"/>
      <c r="W1106" s="656" t="s">
        <v>13051</v>
      </c>
      <c r="X1106" s="656" t="s">
        <v>498</v>
      </c>
      <c r="Y1106" s="656" t="s">
        <v>14278</v>
      </c>
      <c r="Z1106" s="656">
        <v>44305.521284722221</v>
      </c>
      <c r="AA1106" s="656" t="s">
        <v>14335</v>
      </c>
      <c r="AB1106" s="656"/>
    </row>
    <row r="1107" spans="1:28">
      <c r="A1107" s="656" t="s">
        <v>3221</v>
      </c>
      <c r="B1107" s="656" t="s">
        <v>3222</v>
      </c>
      <c r="C1107" s="656" t="s">
        <v>21</v>
      </c>
      <c r="D1107" s="656" t="s">
        <v>10190</v>
      </c>
      <c r="E1107" s="656" t="s">
        <v>14275</v>
      </c>
      <c r="F1107" s="1447">
        <v>44250</v>
      </c>
      <c r="G1107" s="656" t="s">
        <v>10189</v>
      </c>
      <c r="H1107" s="656" t="s">
        <v>1777</v>
      </c>
      <c r="I1107" s="656" t="s">
        <v>14635</v>
      </c>
      <c r="J1107" s="656" t="s">
        <v>10190</v>
      </c>
      <c r="K1107" s="656" t="s">
        <v>9774</v>
      </c>
      <c r="L1107" s="656"/>
      <c r="M1107" s="656" t="s">
        <v>16322</v>
      </c>
      <c r="N1107" s="656"/>
      <c r="O1107" s="656" t="s">
        <v>6387</v>
      </c>
      <c r="P1107" s="5" t="s">
        <v>15405</v>
      </c>
      <c r="Q1107" s="1447">
        <v>43863</v>
      </c>
      <c r="R1107" s="656">
        <v>43983</v>
      </c>
      <c r="S1107" s="656" t="s">
        <v>455</v>
      </c>
      <c r="T1107" s="656"/>
      <c r="U1107" s="656"/>
      <c r="V1107" s="656"/>
      <c r="W1107" s="656" t="s">
        <v>13051</v>
      </c>
      <c r="X1107" s="656" t="s">
        <v>498</v>
      </c>
      <c r="Y1107" s="656" t="s">
        <v>14278</v>
      </c>
      <c r="Z1107" s="656">
        <v>44305.521296296298</v>
      </c>
      <c r="AA1107" s="656" t="s">
        <v>14335</v>
      </c>
      <c r="AB1107" s="656"/>
    </row>
    <row r="1108" spans="1:28">
      <c r="A1108" s="656" t="s">
        <v>3221</v>
      </c>
      <c r="B1108" s="656" t="s">
        <v>3222</v>
      </c>
      <c r="C1108" s="656" t="s">
        <v>20</v>
      </c>
      <c r="D1108" s="656" t="s">
        <v>9740</v>
      </c>
      <c r="E1108" s="656" t="s">
        <v>14275</v>
      </c>
      <c r="F1108" s="1447">
        <v>44243</v>
      </c>
      <c r="G1108" s="656" t="s">
        <v>9739</v>
      </c>
      <c r="H1108" s="656" t="s">
        <v>1777</v>
      </c>
      <c r="I1108" s="656"/>
      <c r="J1108" s="656"/>
      <c r="K1108" s="656"/>
      <c r="L1108" s="656" t="s">
        <v>9740</v>
      </c>
      <c r="M1108" s="656" t="s">
        <v>16322</v>
      </c>
      <c r="N1108" s="656"/>
      <c r="O1108" s="656" t="s">
        <v>6387</v>
      </c>
      <c r="P1108" s="5"/>
      <c r="Q1108" s="1447">
        <v>42646</v>
      </c>
      <c r="R1108" s="656"/>
      <c r="S1108" s="656" t="s">
        <v>655</v>
      </c>
      <c r="T1108" s="656" t="s">
        <v>14277</v>
      </c>
      <c r="U1108" s="656" t="s">
        <v>655</v>
      </c>
      <c r="V1108" s="656"/>
      <c r="W1108" s="656" t="s">
        <v>13051</v>
      </c>
      <c r="X1108" s="656" t="s">
        <v>498</v>
      </c>
      <c r="Y1108" s="656" t="s">
        <v>14278</v>
      </c>
      <c r="Z1108" s="656">
        <v>44305.521307870367</v>
      </c>
      <c r="AA1108" s="656" t="s">
        <v>14335</v>
      </c>
      <c r="AB1108" s="656"/>
    </row>
    <row r="1109" spans="1:28" ht="43.5">
      <c r="A1109" s="656" t="s">
        <v>3221</v>
      </c>
      <c r="B1109" s="656" t="s">
        <v>3222</v>
      </c>
      <c r="C1109" s="656" t="s">
        <v>21</v>
      </c>
      <c r="D1109" s="656" t="s">
        <v>16037</v>
      </c>
      <c r="E1109" s="656" t="s">
        <v>14275</v>
      </c>
      <c r="F1109" s="1447">
        <v>44252</v>
      </c>
      <c r="G1109" s="656"/>
      <c r="H1109" s="656" t="s">
        <v>1777</v>
      </c>
      <c r="I1109" s="656" t="s">
        <v>14635</v>
      </c>
      <c r="J1109" s="656" t="s">
        <v>16037</v>
      </c>
      <c r="K1109" s="656" t="s">
        <v>9774</v>
      </c>
      <c r="L1109" s="656"/>
      <c r="M1109" s="656" t="s">
        <v>16322</v>
      </c>
      <c r="N1109" s="656"/>
      <c r="O1109" s="656" t="s">
        <v>6387</v>
      </c>
      <c r="P1109" s="5" t="s">
        <v>16054</v>
      </c>
      <c r="Q1109" s="1447">
        <v>43857</v>
      </c>
      <c r="R1109" s="656"/>
      <c r="S1109" s="656" t="s">
        <v>455</v>
      </c>
      <c r="T1109" s="656"/>
      <c r="U1109" s="656"/>
      <c r="V1109" s="656"/>
      <c r="W1109" s="656" t="s">
        <v>13051</v>
      </c>
      <c r="X1109" s="656" t="s">
        <v>498</v>
      </c>
      <c r="Y1109" s="656" t="s">
        <v>14278</v>
      </c>
      <c r="Z1109" s="656">
        <v>44305.527465277781</v>
      </c>
      <c r="AA1109" s="656" t="s">
        <v>14335</v>
      </c>
      <c r="AB1109" s="656"/>
    </row>
    <row r="1110" spans="1:28">
      <c r="A1110" s="656" t="s">
        <v>3223</v>
      </c>
      <c r="B1110" s="656" t="s">
        <v>3224</v>
      </c>
      <c r="C1110" s="656" t="s">
        <v>21</v>
      </c>
      <c r="D1110" s="656" t="s">
        <v>11492</v>
      </c>
      <c r="E1110" s="656" t="s">
        <v>14275</v>
      </c>
      <c r="F1110" s="1447">
        <v>43186</v>
      </c>
      <c r="G1110" s="656" t="s">
        <v>11491</v>
      </c>
      <c r="H1110" s="656" t="s">
        <v>1777</v>
      </c>
      <c r="I1110" s="656" t="s">
        <v>14636</v>
      </c>
      <c r="J1110" s="656" t="s">
        <v>11492</v>
      </c>
      <c r="K1110" s="656" t="s">
        <v>9750</v>
      </c>
      <c r="L1110" s="656"/>
      <c r="M1110" s="656" t="s">
        <v>16196</v>
      </c>
      <c r="N1110" s="656"/>
      <c r="O1110" s="656" t="s">
        <v>9757</v>
      </c>
      <c r="P1110" s="5"/>
      <c r="Q1110" s="1447">
        <v>42657</v>
      </c>
      <c r="R1110" s="656">
        <v>42989</v>
      </c>
      <c r="S1110" s="656" t="s">
        <v>1300</v>
      </c>
      <c r="T1110" s="656" t="s">
        <v>522</v>
      </c>
      <c r="U1110" s="656" t="s">
        <v>522</v>
      </c>
      <c r="V1110" s="656"/>
      <c r="W1110" s="656" t="s">
        <v>13051</v>
      </c>
      <c r="X1110" s="656" t="s">
        <v>498</v>
      </c>
      <c r="Y1110" s="656" t="s">
        <v>14278</v>
      </c>
      <c r="Z1110" s="656">
        <v>44305.521261574075</v>
      </c>
      <c r="AA1110" s="656" t="s">
        <v>14335</v>
      </c>
      <c r="AB1110" s="656"/>
    </row>
    <row r="1111" spans="1:28">
      <c r="A1111" s="656" t="s">
        <v>3223</v>
      </c>
      <c r="B1111" s="656" t="s">
        <v>3224</v>
      </c>
      <c r="C1111" s="656" t="s">
        <v>20</v>
      </c>
      <c r="D1111" s="656" t="s">
        <v>11493</v>
      </c>
      <c r="E1111" s="656" t="s">
        <v>14275</v>
      </c>
      <c r="F1111" s="1447">
        <v>43172</v>
      </c>
      <c r="G1111" s="656" t="s">
        <v>11491</v>
      </c>
      <c r="H1111" s="656" t="s">
        <v>1777</v>
      </c>
      <c r="I1111" s="656"/>
      <c r="J1111" s="656"/>
      <c r="K1111" s="656"/>
      <c r="L1111" s="656" t="s">
        <v>11493</v>
      </c>
      <c r="M1111" s="656" t="s">
        <v>16196</v>
      </c>
      <c r="N1111" s="656"/>
      <c r="O1111" s="656" t="s">
        <v>9757</v>
      </c>
      <c r="P1111" s="5"/>
      <c r="Q1111" s="1447">
        <v>42628</v>
      </c>
      <c r="R1111" s="656"/>
      <c r="S1111" s="656" t="s">
        <v>1300</v>
      </c>
      <c r="T1111" s="656" t="s">
        <v>522</v>
      </c>
      <c r="U1111" s="656" t="s">
        <v>522</v>
      </c>
      <c r="V1111" s="656"/>
      <c r="W1111" s="656" t="s">
        <v>13051</v>
      </c>
      <c r="X1111" s="656" t="s">
        <v>498</v>
      </c>
      <c r="Y1111" s="656" t="s">
        <v>14278</v>
      </c>
      <c r="Z1111" s="656">
        <v>44305.521273148152</v>
      </c>
      <c r="AA1111" s="656" t="s">
        <v>14335</v>
      </c>
      <c r="AB1111" s="656"/>
    </row>
    <row r="1112" spans="1:28">
      <c r="A1112" s="656" t="s">
        <v>3226</v>
      </c>
      <c r="B1112" s="656" t="s">
        <v>3227</v>
      </c>
      <c r="C1112" s="656" t="s">
        <v>21</v>
      </c>
      <c r="D1112" s="656" t="s">
        <v>11488</v>
      </c>
      <c r="E1112" s="656" t="s">
        <v>14384</v>
      </c>
      <c r="F1112" s="1447">
        <v>43314</v>
      </c>
      <c r="G1112" s="656" t="s">
        <v>11487</v>
      </c>
      <c r="H1112" s="656" t="s">
        <v>1777</v>
      </c>
      <c r="I1112" s="656" t="s">
        <v>14637</v>
      </c>
      <c r="J1112" s="656" t="s">
        <v>11488</v>
      </c>
      <c r="K1112" s="656" t="s">
        <v>9774</v>
      </c>
      <c r="L1112" s="656"/>
      <c r="M1112" s="656" t="s">
        <v>16199</v>
      </c>
      <c r="N1112" s="656"/>
      <c r="O1112" s="656" t="s">
        <v>6387</v>
      </c>
      <c r="P1112" s="5" t="s">
        <v>14638</v>
      </c>
      <c r="Q1112" s="1447">
        <v>42860</v>
      </c>
      <c r="R1112" s="656"/>
      <c r="S1112" s="656" t="s">
        <v>655</v>
      </c>
      <c r="T1112" s="656" t="s">
        <v>14277</v>
      </c>
      <c r="U1112" s="656" t="s">
        <v>655</v>
      </c>
      <c r="V1112" s="656"/>
      <c r="W1112" s="656" t="s">
        <v>13051</v>
      </c>
      <c r="X1112" s="656" t="s">
        <v>498</v>
      </c>
      <c r="Y1112" s="656" t="s">
        <v>14278</v>
      </c>
      <c r="Z1112" s="656">
        <v>44305.521180555559</v>
      </c>
      <c r="AA1112" s="656" t="s">
        <v>14335</v>
      </c>
      <c r="AB1112" s="656"/>
    </row>
    <row r="1113" spans="1:28">
      <c r="A1113" s="656" t="s">
        <v>3226</v>
      </c>
      <c r="B1113" s="656" t="s">
        <v>3227</v>
      </c>
      <c r="C1113" s="656" t="s">
        <v>21</v>
      </c>
      <c r="D1113" s="656" t="s">
        <v>11945</v>
      </c>
      <c r="E1113" s="656" t="s">
        <v>14275</v>
      </c>
      <c r="F1113" s="1447">
        <v>43309</v>
      </c>
      <c r="G1113" s="656" t="s">
        <v>11944</v>
      </c>
      <c r="H1113" s="656" t="s">
        <v>1385</v>
      </c>
      <c r="I1113" s="656" t="s">
        <v>14639</v>
      </c>
      <c r="J1113" s="656" t="s">
        <v>11945</v>
      </c>
      <c r="K1113" s="656" t="s">
        <v>9774</v>
      </c>
      <c r="L1113" s="656"/>
      <c r="M1113" s="656" t="s">
        <v>1385</v>
      </c>
      <c r="N1113" s="656"/>
      <c r="O1113" s="656" t="s">
        <v>6387</v>
      </c>
      <c r="P1113" s="5" t="s">
        <v>14640</v>
      </c>
      <c r="Q1113" s="1447">
        <v>43173</v>
      </c>
      <c r="R1113" s="656">
        <v>43190</v>
      </c>
      <c r="S1113" s="656" t="s">
        <v>655</v>
      </c>
      <c r="T1113" s="656"/>
      <c r="U1113" s="656" t="s">
        <v>655</v>
      </c>
      <c r="V1113" s="656"/>
      <c r="W1113" s="656" t="s">
        <v>13051</v>
      </c>
      <c r="X1113" s="656" t="s">
        <v>498</v>
      </c>
      <c r="Y1113" s="656" t="s">
        <v>14278</v>
      </c>
      <c r="Z1113" s="656">
        <v>44305.521203703705</v>
      </c>
      <c r="AA1113" s="656" t="s">
        <v>14335</v>
      </c>
      <c r="AB1113" s="656"/>
    </row>
    <row r="1114" spans="1:28">
      <c r="A1114" s="656" t="s">
        <v>3226</v>
      </c>
      <c r="B1114" s="656" t="s">
        <v>3227</v>
      </c>
      <c r="C1114" s="656" t="s">
        <v>21</v>
      </c>
      <c r="D1114" s="656" t="s">
        <v>11946</v>
      </c>
      <c r="E1114" s="656" t="s">
        <v>14275</v>
      </c>
      <c r="F1114" s="1447">
        <v>43309</v>
      </c>
      <c r="G1114" s="656" t="s">
        <v>11944</v>
      </c>
      <c r="H1114" s="656" t="s">
        <v>1274</v>
      </c>
      <c r="I1114" s="656" t="s">
        <v>14641</v>
      </c>
      <c r="J1114" s="656" t="s">
        <v>11946</v>
      </c>
      <c r="K1114" s="656" t="s">
        <v>9774</v>
      </c>
      <c r="L1114" s="656"/>
      <c r="M1114" s="656" t="s">
        <v>1274</v>
      </c>
      <c r="N1114" s="656"/>
      <c r="O1114" s="656" t="s">
        <v>6387</v>
      </c>
      <c r="P1114" s="5" t="s">
        <v>14642</v>
      </c>
      <c r="Q1114" s="1447">
        <v>43173</v>
      </c>
      <c r="R1114" s="656">
        <v>43190</v>
      </c>
      <c r="S1114" s="656" t="s">
        <v>655</v>
      </c>
      <c r="T1114" s="656"/>
      <c r="U1114" s="656" t="s">
        <v>655</v>
      </c>
      <c r="V1114" s="656"/>
      <c r="W1114" s="656" t="s">
        <v>13051</v>
      </c>
      <c r="X1114" s="656" t="s">
        <v>498</v>
      </c>
      <c r="Y1114" s="656" t="s">
        <v>14278</v>
      </c>
      <c r="Z1114" s="656">
        <v>44305.521203703705</v>
      </c>
      <c r="AA1114" s="656" t="s">
        <v>14335</v>
      </c>
      <c r="AB1114" s="656"/>
    </row>
    <row r="1115" spans="1:28">
      <c r="A1115" s="656" t="s">
        <v>3226</v>
      </c>
      <c r="B1115" s="656" t="s">
        <v>3227</v>
      </c>
      <c r="C1115" s="656" t="s">
        <v>21</v>
      </c>
      <c r="D1115" s="656" t="s">
        <v>11947</v>
      </c>
      <c r="E1115" s="656" t="s">
        <v>14275</v>
      </c>
      <c r="F1115" s="1447">
        <v>43309</v>
      </c>
      <c r="G1115" s="656" t="s">
        <v>11944</v>
      </c>
      <c r="H1115" s="656" t="s">
        <v>1345</v>
      </c>
      <c r="I1115" s="656" t="s">
        <v>14643</v>
      </c>
      <c r="J1115" s="656" t="s">
        <v>11947</v>
      </c>
      <c r="K1115" s="656" t="s">
        <v>9774</v>
      </c>
      <c r="L1115" s="656"/>
      <c r="M1115" s="656" t="s">
        <v>1345</v>
      </c>
      <c r="N1115" s="656"/>
      <c r="O1115" s="656" t="s">
        <v>6387</v>
      </c>
      <c r="P1115" s="5" t="s">
        <v>14644</v>
      </c>
      <c r="Q1115" s="1447">
        <v>43173</v>
      </c>
      <c r="R1115" s="656">
        <v>43190</v>
      </c>
      <c r="S1115" s="656" t="s">
        <v>655</v>
      </c>
      <c r="T1115" s="656"/>
      <c r="U1115" s="656" t="s">
        <v>655</v>
      </c>
      <c r="V1115" s="656"/>
      <c r="W1115" s="656" t="s">
        <v>13051</v>
      </c>
      <c r="X1115" s="656" t="s">
        <v>498</v>
      </c>
      <c r="Y1115" s="656" t="s">
        <v>14278</v>
      </c>
      <c r="Z1115" s="656">
        <v>44305.521203703705</v>
      </c>
      <c r="AA1115" s="656" t="s">
        <v>14335</v>
      </c>
      <c r="AB1115" s="656"/>
    </row>
    <row r="1116" spans="1:28">
      <c r="A1116" s="656" t="s">
        <v>3226</v>
      </c>
      <c r="B1116" s="656" t="s">
        <v>3227</v>
      </c>
      <c r="C1116" s="656" t="s">
        <v>21</v>
      </c>
      <c r="D1116" s="656" t="s">
        <v>11948</v>
      </c>
      <c r="E1116" s="656" t="s">
        <v>14275</v>
      </c>
      <c r="F1116" s="1447">
        <v>43309</v>
      </c>
      <c r="G1116" s="656" t="s">
        <v>11944</v>
      </c>
      <c r="H1116" s="656" t="s">
        <v>1325</v>
      </c>
      <c r="I1116" s="656" t="s">
        <v>14645</v>
      </c>
      <c r="J1116" s="656" t="s">
        <v>11948</v>
      </c>
      <c r="K1116" s="656" t="s">
        <v>9774</v>
      </c>
      <c r="L1116" s="656"/>
      <c r="M1116" s="656" t="s">
        <v>1325</v>
      </c>
      <c r="N1116" s="656"/>
      <c r="O1116" s="656" t="s">
        <v>6387</v>
      </c>
      <c r="P1116" s="5" t="s">
        <v>14646</v>
      </c>
      <c r="Q1116" s="1447">
        <v>43173</v>
      </c>
      <c r="R1116" s="656">
        <v>43190</v>
      </c>
      <c r="S1116" s="656" t="s">
        <v>655</v>
      </c>
      <c r="T1116" s="656"/>
      <c r="U1116" s="656" t="s">
        <v>655</v>
      </c>
      <c r="V1116" s="656"/>
      <c r="W1116" s="656" t="s">
        <v>13051</v>
      </c>
      <c r="X1116" s="656" t="s">
        <v>498</v>
      </c>
      <c r="Y1116" s="656" t="s">
        <v>14278</v>
      </c>
      <c r="Z1116" s="656">
        <v>44305.521215277775</v>
      </c>
      <c r="AA1116" s="656" t="s">
        <v>14335</v>
      </c>
      <c r="AB1116" s="656"/>
    </row>
    <row r="1117" spans="1:28">
      <c r="A1117" s="656" t="s">
        <v>3226</v>
      </c>
      <c r="B1117" s="656" t="s">
        <v>3227</v>
      </c>
      <c r="C1117" s="656" t="s">
        <v>21</v>
      </c>
      <c r="D1117" s="656" t="s">
        <v>11949</v>
      </c>
      <c r="E1117" s="656" t="s">
        <v>14275</v>
      </c>
      <c r="F1117" s="1447">
        <v>43309</v>
      </c>
      <c r="G1117" s="656" t="s">
        <v>11944</v>
      </c>
      <c r="H1117" s="656" t="s">
        <v>1564</v>
      </c>
      <c r="I1117" s="656" t="s">
        <v>14647</v>
      </c>
      <c r="J1117" s="656" t="s">
        <v>11949</v>
      </c>
      <c r="K1117" s="656" t="s">
        <v>9774</v>
      </c>
      <c r="L1117" s="656"/>
      <c r="M1117" s="656" t="s">
        <v>1564</v>
      </c>
      <c r="N1117" s="656"/>
      <c r="O1117" s="656" t="s">
        <v>6387</v>
      </c>
      <c r="P1117" s="5" t="s">
        <v>14648</v>
      </c>
      <c r="Q1117" s="1447">
        <v>43173</v>
      </c>
      <c r="R1117" s="656">
        <v>43190</v>
      </c>
      <c r="S1117" s="656" t="s">
        <v>655</v>
      </c>
      <c r="T1117" s="656"/>
      <c r="U1117" s="656" t="s">
        <v>655</v>
      </c>
      <c r="V1117" s="656"/>
      <c r="W1117" s="656" t="s">
        <v>13051</v>
      </c>
      <c r="X1117" s="656" t="s">
        <v>498</v>
      </c>
      <c r="Y1117" s="656" t="s">
        <v>14278</v>
      </c>
      <c r="Z1117" s="656">
        <v>44305.521215277775</v>
      </c>
      <c r="AA1117" s="656" t="s">
        <v>14335</v>
      </c>
      <c r="AB1117" s="656"/>
    </row>
    <row r="1118" spans="1:28">
      <c r="A1118" s="656" t="s">
        <v>3226</v>
      </c>
      <c r="B1118" s="656" t="s">
        <v>3227</v>
      </c>
      <c r="C1118" s="656" t="s">
        <v>21</v>
      </c>
      <c r="D1118" s="656" t="s">
        <v>11950</v>
      </c>
      <c r="E1118" s="656" t="s">
        <v>14275</v>
      </c>
      <c r="F1118" s="1447">
        <v>43309</v>
      </c>
      <c r="G1118" s="656" t="s">
        <v>11944</v>
      </c>
      <c r="H1118" s="656" t="s">
        <v>1545</v>
      </c>
      <c r="I1118" s="656" t="s">
        <v>14649</v>
      </c>
      <c r="J1118" s="656" t="s">
        <v>11950</v>
      </c>
      <c r="K1118" s="656" t="s">
        <v>9774</v>
      </c>
      <c r="L1118" s="656"/>
      <c r="M1118" s="656" t="s">
        <v>1545</v>
      </c>
      <c r="N1118" s="656"/>
      <c r="O1118" s="656" t="s">
        <v>6387</v>
      </c>
      <c r="P1118" s="5" t="s">
        <v>14650</v>
      </c>
      <c r="Q1118" s="1447">
        <v>43173</v>
      </c>
      <c r="R1118" s="656">
        <v>43190</v>
      </c>
      <c r="S1118" s="656" t="s">
        <v>655</v>
      </c>
      <c r="T1118" s="656"/>
      <c r="U1118" s="656" t="s">
        <v>655</v>
      </c>
      <c r="V1118" s="656"/>
      <c r="W1118" s="656" t="s">
        <v>13051</v>
      </c>
      <c r="X1118" s="656" t="s">
        <v>498</v>
      </c>
      <c r="Y1118" s="656" t="s">
        <v>14278</v>
      </c>
      <c r="Z1118" s="656">
        <v>44305.521226851852</v>
      </c>
      <c r="AA1118" s="656" t="s">
        <v>14335</v>
      </c>
      <c r="AB1118" s="656"/>
    </row>
    <row r="1119" spans="1:28">
      <c r="A1119" s="656" t="s">
        <v>3226</v>
      </c>
      <c r="B1119" s="656" t="s">
        <v>3227</v>
      </c>
      <c r="C1119" s="656" t="s">
        <v>21</v>
      </c>
      <c r="D1119" s="656" t="s">
        <v>11951</v>
      </c>
      <c r="E1119" s="656" t="s">
        <v>14275</v>
      </c>
      <c r="F1119" s="1447">
        <v>43309</v>
      </c>
      <c r="G1119" s="656" t="s">
        <v>11944</v>
      </c>
      <c r="H1119" s="656" t="s">
        <v>1584</v>
      </c>
      <c r="I1119" s="656" t="s">
        <v>14651</v>
      </c>
      <c r="J1119" s="656" t="s">
        <v>11951</v>
      </c>
      <c r="K1119" s="656" t="s">
        <v>9774</v>
      </c>
      <c r="L1119" s="656"/>
      <c r="M1119" s="656" t="s">
        <v>1584</v>
      </c>
      <c r="N1119" s="656"/>
      <c r="O1119" s="656" t="s">
        <v>6387</v>
      </c>
      <c r="P1119" s="5" t="s">
        <v>14652</v>
      </c>
      <c r="Q1119" s="1447">
        <v>43173</v>
      </c>
      <c r="R1119" s="656">
        <v>43190</v>
      </c>
      <c r="S1119" s="656" t="s">
        <v>655</v>
      </c>
      <c r="T1119" s="656"/>
      <c r="U1119" s="656" t="s">
        <v>655</v>
      </c>
      <c r="V1119" s="656"/>
      <c r="W1119" s="656" t="s">
        <v>13051</v>
      </c>
      <c r="X1119" s="656" t="s">
        <v>498</v>
      </c>
      <c r="Y1119" s="656" t="s">
        <v>14278</v>
      </c>
      <c r="Z1119" s="656">
        <v>44305.521238425928</v>
      </c>
      <c r="AA1119" s="656" t="s">
        <v>14335</v>
      </c>
      <c r="AB1119" s="656"/>
    </row>
    <row r="1120" spans="1:28">
      <c r="A1120" s="656" t="s">
        <v>3226</v>
      </c>
      <c r="B1120" s="656" t="s">
        <v>3227</v>
      </c>
      <c r="C1120" s="656" t="s">
        <v>21</v>
      </c>
      <c r="D1120" s="656" t="s">
        <v>11952</v>
      </c>
      <c r="E1120" s="656" t="s">
        <v>14275</v>
      </c>
      <c r="F1120" s="1447">
        <v>43309</v>
      </c>
      <c r="G1120" s="656" t="s">
        <v>11944</v>
      </c>
      <c r="H1120" s="656" t="s">
        <v>1274</v>
      </c>
      <c r="I1120" s="656" t="s">
        <v>14653</v>
      </c>
      <c r="J1120" s="656" t="s">
        <v>11952</v>
      </c>
      <c r="K1120" s="656" t="s">
        <v>9774</v>
      </c>
      <c r="L1120" s="656"/>
      <c r="M1120" s="656" t="s">
        <v>1274</v>
      </c>
      <c r="N1120" s="656"/>
      <c r="O1120" s="656" t="s">
        <v>6387</v>
      </c>
      <c r="P1120" s="5" t="s">
        <v>14654</v>
      </c>
      <c r="Q1120" s="1447">
        <v>43173</v>
      </c>
      <c r="R1120" s="656">
        <v>43190</v>
      </c>
      <c r="S1120" s="656" t="s">
        <v>655</v>
      </c>
      <c r="T1120" s="656"/>
      <c r="U1120" s="656" t="s">
        <v>655</v>
      </c>
      <c r="V1120" s="656"/>
      <c r="W1120" s="656" t="s">
        <v>13051</v>
      </c>
      <c r="X1120" s="656" t="s">
        <v>498</v>
      </c>
      <c r="Y1120" s="656" t="s">
        <v>14278</v>
      </c>
      <c r="Z1120" s="656">
        <v>44305.521249999998</v>
      </c>
      <c r="AA1120" s="656" t="s">
        <v>14335</v>
      </c>
      <c r="AB1120" s="656"/>
    </row>
    <row r="1121" spans="1:28">
      <c r="A1121" s="656" t="s">
        <v>3226</v>
      </c>
      <c r="B1121" s="656" t="s">
        <v>3227</v>
      </c>
      <c r="C1121" s="656" t="s">
        <v>20</v>
      </c>
      <c r="D1121" s="656" t="s">
        <v>11489</v>
      </c>
      <c r="E1121" s="656" t="s">
        <v>14275</v>
      </c>
      <c r="F1121" s="1447">
        <v>43301</v>
      </c>
      <c r="G1121" s="656" t="s">
        <v>11487</v>
      </c>
      <c r="H1121" s="656" t="s">
        <v>1777</v>
      </c>
      <c r="I1121" s="656"/>
      <c r="J1121" s="656"/>
      <c r="K1121" s="656"/>
      <c r="L1121" s="656" t="s">
        <v>11489</v>
      </c>
      <c r="M1121" s="656" t="s">
        <v>1947</v>
      </c>
      <c r="N1121" s="656"/>
      <c r="O1121" s="656" t="s">
        <v>6387</v>
      </c>
      <c r="P1121" s="5"/>
      <c r="Q1121" s="1447"/>
      <c r="R1121" s="656"/>
      <c r="S1121" s="656" t="s">
        <v>655</v>
      </c>
      <c r="T1121" s="656" t="s">
        <v>14277</v>
      </c>
      <c r="U1121" s="656" t="s">
        <v>655</v>
      </c>
      <c r="V1121" s="656"/>
      <c r="W1121" s="656" t="s">
        <v>13051</v>
      </c>
      <c r="X1121" s="656" t="s">
        <v>498</v>
      </c>
      <c r="Y1121" s="656" t="s">
        <v>14278</v>
      </c>
      <c r="Z1121" s="656">
        <v>44305.521261574075</v>
      </c>
      <c r="AA1121" s="656" t="s">
        <v>14335</v>
      </c>
      <c r="AB1121" s="656"/>
    </row>
    <row r="1122" spans="1:28">
      <c r="A1122" s="656" t="s">
        <v>3226</v>
      </c>
      <c r="B1122" s="656" t="s">
        <v>3227</v>
      </c>
      <c r="C1122" s="656" t="s">
        <v>20</v>
      </c>
      <c r="D1122" s="656" t="s">
        <v>11490</v>
      </c>
      <c r="E1122" s="656" t="s">
        <v>14275</v>
      </c>
      <c r="F1122" s="1447">
        <v>43301</v>
      </c>
      <c r="G1122" s="656" t="s">
        <v>11487</v>
      </c>
      <c r="H1122" s="656" t="s">
        <v>1777</v>
      </c>
      <c r="I1122" s="656"/>
      <c r="J1122" s="656"/>
      <c r="K1122" s="656"/>
      <c r="L1122" s="656" t="s">
        <v>11490</v>
      </c>
      <c r="M1122" s="656" t="s">
        <v>16199</v>
      </c>
      <c r="N1122" s="656"/>
      <c r="O1122" s="656" t="s">
        <v>6387</v>
      </c>
      <c r="P1122" s="5"/>
      <c r="Q1122" s="1447"/>
      <c r="R1122" s="656"/>
      <c r="S1122" s="656" t="s">
        <v>655</v>
      </c>
      <c r="T1122" s="656" t="s">
        <v>14277</v>
      </c>
      <c r="U1122" s="656" t="s">
        <v>655</v>
      </c>
      <c r="V1122" s="656"/>
      <c r="W1122" s="656" t="s">
        <v>13051</v>
      </c>
      <c r="X1122" s="656" t="s">
        <v>498</v>
      </c>
      <c r="Y1122" s="656" t="s">
        <v>14278</v>
      </c>
      <c r="Z1122" s="656">
        <v>44305.521261574075</v>
      </c>
      <c r="AA1122" s="656" t="s">
        <v>14335</v>
      </c>
      <c r="AB1122" s="656"/>
    </row>
    <row r="1123" spans="1:28">
      <c r="A1123" s="656" t="s">
        <v>3228</v>
      </c>
      <c r="B1123" s="656" t="s">
        <v>3229</v>
      </c>
      <c r="C1123" s="656" t="s">
        <v>20</v>
      </c>
      <c r="D1123" s="656" t="s">
        <v>11486</v>
      </c>
      <c r="E1123" s="656" t="s">
        <v>14275</v>
      </c>
      <c r="F1123" s="1447">
        <v>43088</v>
      </c>
      <c r="G1123" s="656" t="s">
        <v>11485</v>
      </c>
      <c r="H1123" s="656" t="s">
        <v>1777</v>
      </c>
      <c r="I1123" s="656"/>
      <c r="J1123" s="656"/>
      <c r="K1123" s="656"/>
      <c r="L1123" s="656" t="s">
        <v>11486</v>
      </c>
      <c r="M1123" s="656" t="s">
        <v>16340</v>
      </c>
      <c r="N1123" s="656"/>
      <c r="O1123" s="656" t="s">
        <v>6387</v>
      </c>
      <c r="P1123" s="5"/>
      <c r="Q1123" s="1447"/>
      <c r="R1123" s="656"/>
      <c r="S1123" s="656" t="s">
        <v>655</v>
      </c>
      <c r="T1123" s="656" t="s">
        <v>14277</v>
      </c>
      <c r="U1123" s="656" t="s">
        <v>655</v>
      </c>
      <c r="V1123" s="656"/>
      <c r="W1123" s="656" t="s">
        <v>13051</v>
      </c>
      <c r="X1123" s="656" t="s">
        <v>498</v>
      </c>
      <c r="Y1123" s="656" t="s">
        <v>14278</v>
      </c>
      <c r="Z1123" s="656">
        <v>44305.521168981482</v>
      </c>
      <c r="AA1123" s="656" t="s">
        <v>14335</v>
      </c>
      <c r="AB1123" s="656"/>
    </row>
    <row r="1124" spans="1:28">
      <c r="A1124" s="656" t="s">
        <v>3230</v>
      </c>
      <c r="B1124" s="656" t="s">
        <v>3231</v>
      </c>
      <c r="C1124" s="656" t="s">
        <v>20</v>
      </c>
      <c r="D1124" s="656" t="s">
        <v>11484</v>
      </c>
      <c r="E1124" s="656" t="s">
        <v>14275</v>
      </c>
      <c r="F1124" s="1447">
        <v>43487</v>
      </c>
      <c r="G1124" s="656" t="s">
        <v>11483</v>
      </c>
      <c r="H1124" s="656" t="s">
        <v>1777</v>
      </c>
      <c r="I1124" s="656"/>
      <c r="J1124" s="656"/>
      <c r="K1124" s="656"/>
      <c r="L1124" s="656" t="s">
        <v>11484</v>
      </c>
      <c r="M1124" s="656" t="s">
        <v>16196</v>
      </c>
      <c r="N1124" s="656"/>
      <c r="O1124" s="656" t="s">
        <v>6395</v>
      </c>
      <c r="P1124" s="5"/>
      <c r="Q1124" s="1447"/>
      <c r="R1124" s="656"/>
      <c r="S1124" s="656" t="s">
        <v>1394</v>
      </c>
      <c r="T1124" s="656" t="s">
        <v>14280</v>
      </c>
      <c r="U1124" s="656" t="s">
        <v>1394</v>
      </c>
      <c r="V1124" s="656"/>
      <c r="W1124" s="656" t="s">
        <v>13051</v>
      </c>
      <c r="X1124" s="656" t="s">
        <v>498</v>
      </c>
      <c r="Y1124" s="656" t="s">
        <v>14278</v>
      </c>
      <c r="Z1124" s="656">
        <v>44305.521168981482</v>
      </c>
      <c r="AA1124" s="656" t="s">
        <v>14335</v>
      </c>
      <c r="AB1124" s="656"/>
    </row>
    <row r="1125" spans="1:28">
      <c r="A1125" s="656" t="s">
        <v>3232</v>
      </c>
      <c r="B1125" s="656" t="s">
        <v>3233</v>
      </c>
      <c r="C1125" s="656" t="s">
        <v>21</v>
      </c>
      <c r="D1125" s="656" t="s">
        <v>11481</v>
      </c>
      <c r="E1125" s="656" t="s">
        <v>14275</v>
      </c>
      <c r="F1125" s="1447">
        <v>43067</v>
      </c>
      <c r="G1125" s="656" t="s">
        <v>11480</v>
      </c>
      <c r="H1125" s="656" t="s">
        <v>1777</v>
      </c>
      <c r="I1125" s="656" t="s">
        <v>14655</v>
      </c>
      <c r="J1125" s="656" t="s">
        <v>11481</v>
      </c>
      <c r="K1125" s="656" t="s">
        <v>9733</v>
      </c>
      <c r="L1125" s="656"/>
      <c r="M1125" s="656" t="s">
        <v>16196</v>
      </c>
      <c r="N1125" s="656"/>
      <c r="O1125" s="656" t="s">
        <v>6395</v>
      </c>
      <c r="P1125" s="5"/>
      <c r="Q1125" s="1447">
        <v>42824</v>
      </c>
      <c r="R1125" s="656">
        <v>42951</v>
      </c>
      <c r="S1125" s="656" t="s">
        <v>1394</v>
      </c>
      <c r="T1125" s="656" t="s">
        <v>14280</v>
      </c>
      <c r="U1125" s="656" t="s">
        <v>1394</v>
      </c>
      <c r="V1125" s="656"/>
      <c r="W1125" s="656" t="s">
        <v>13051</v>
      </c>
      <c r="X1125" s="656" t="s">
        <v>498</v>
      </c>
      <c r="Y1125" s="656" t="s">
        <v>14278</v>
      </c>
      <c r="Z1125" s="656">
        <v>44305.521145833336</v>
      </c>
      <c r="AA1125" s="656" t="s">
        <v>14335</v>
      </c>
      <c r="AB1125" s="656"/>
    </row>
    <row r="1126" spans="1:28">
      <c r="A1126" s="656" t="s">
        <v>3232</v>
      </c>
      <c r="B1126" s="656" t="s">
        <v>3233</v>
      </c>
      <c r="C1126" s="656" t="s">
        <v>20</v>
      </c>
      <c r="D1126" s="656" t="s">
        <v>11482</v>
      </c>
      <c r="E1126" s="656" t="s">
        <v>14275</v>
      </c>
      <c r="F1126" s="1447">
        <v>43052</v>
      </c>
      <c r="G1126" s="656" t="s">
        <v>11480</v>
      </c>
      <c r="H1126" s="656" t="s">
        <v>1777</v>
      </c>
      <c r="I1126" s="656"/>
      <c r="J1126" s="656"/>
      <c r="K1126" s="656"/>
      <c r="L1126" s="656" t="s">
        <v>11482</v>
      </c>
      <c r="M1126" s="656" t="s">
        <v>16196</v>
      </c>
      <c r="N1126" s="656"/>
      <c r="O1126" s="656" t="s">
        <v>6395</v>
      </c>
      <c r="P1126" s="5"/>
      <c r="Q1126" s="1447"/>
      <c r="R1126" s="656"/>
      <c r="S1126" s="656" t="s">
        <v>1394</v>
      </c>
      <c r="T1126" s="656" t="s">
        <v>14280</v>
      </c>
      <c r="U1126" s="656" t="s">
        <v>1394</v>
      </c>
      <c r="V1126" s="656"/>
      <c r="W1126" s="656" t="s">
        <v>13051</v>
      </c>
      <c r="X1126" s="656" t="s">
        <v>498</v>
      </c>
      <c r="Y1126" s="656" t="s">
        <v>14278</v>
      </c>
      <c r="Z1126" s="656">
        <v>44305.521157407406</v>
      </c>
      <c r="AA1126" s="656" t="s">
        <v>14335</v>
      </c>
      <c r="AB1126" s="656"/>
    </row>
    <row r="1127" spans="1:28">
      <c r="A1127" s="656" t="s">
        <v>3234</v>
      </c>
      <c r="B1127" s="656" t="s">
        <v>3235</v>
      </c>
      <c r="C1127" s="656" t="s">
        <v>20</v>
      </c>
      <c r="D1127" s="656" t="s">
        <v>11479</v>
      </c>
      <c r="E1127" s="656" t="s">
        <v>14275</v>
      </c>
      <c r="F1127" s="1447">
        <v>43361</v>
      </c>
      <c r="G1127" s="656" t="s">
        <v>11478</v>
      </c>
      <c r="H1127" s="656" t="s">
        <v>1777</v>
      </c>
      <c r="I1127" s="656"/>
      <c r="J1127" s="656"/>
      <c r="K1127" s="656"/>
      <c r="L1127" s="656" t="s">
        <v>11479</v>
      </c>
      <c r="M1127" s="656" t="s">
        <v>16262</v>
      </c>
      <c r="N1127" s="656"/>
      <c r="O1127" s="656" t="s">
        <v>6387</v>
      </c>
      <c r="P1127" s="5"/>
      <c r="Q1127" s="1447"/>
      <c r="R1127" s="656"/>
      <c r="S1127" s="656" t="s">
        <v>655</v>
      </c>
      <c r="T1127" s="656" t="s">
        <v>14277</v>
      </c>
      <c r="U1127" s="656" t="s">
        <v>655</v>
      </c>
      <c r="V1127" s="656"/>
      <c r="W1127" s="656" t="s">
        <v>13051</v>
      </c>
      <c r="X1127" s="656" t="s">
        <v>498</v>
      </c>
      <c r="Y1127" s="656" t="s">
        <v>14278</v>
      </c>
      <c r="Z1127" s="656">
        <v>44305.521134259259</v>
      </c>
      <c r="AA1127" s="656" t="s">
        <v>14335</v>
      </c>
      <c r="AB1127" s="656"/>
    </row>
    <row r="1128" spans="1:28">
      <c r="A1128" s="656" t="s">
        <v>3236</v>
      </c>
      <c r="B1128" s="656" t="s">
        <v>3237</v>
      </c>
      <c r="C1128" s="656" t="s">
        <v>21</v>
      </c>
      <c r="D1128" s="656" t="s">
        <v>11476</v>
      </c>
      <c r="E1128" s="656" t="s">
        <v>14384</v>
      </c>
      <c r="F1128" s="1447">
        <v>43166</v>
      </c>
      <c r="G1128" s="656" t="s">
        <v>11475</v>
      </c>
      <c r="H1128" s="656" t="s">
        <v>1777</v>
      </c>
      <c r="I1128" s="656" t="s">
        <v>14656</v>
      </c>
      <c r="J1128" s="656" t="s">
        <v>11476</v>
      </c>
      <c r="K1128" s="656" t="s">
        <v>9733</v>
      </c>
      <c r="L1128" s="656"/>
      <c r="M1128" s="656" t="s">
        <v>16323</v>
      </c>
      <c r="N1128" s="656"/>
      <c r="O1128" s="656" t="s">
        <v>6387</v>
      </c>
      <c r="P1128" s="5" t="s">
        <v>14657</v>
      </c>
      <c r="Q1128" s="1447">
        <v>42871</v>
      </c>
      <c r="R1128" s="656"/>
      <c r="S1128" s="656" t="s">
        <v>655</v>
      </c>
      <c r="T1128" s="656" t="s">
        <v>14277</v>
      </c>
      <c r="U1128" s="656" t="s">
        <v>655</v>
      </c>
      <c r="V1128" s="656"/>
      <c r="W1128" s="656" t="s">
        <v>13051</v>
      </c>
      <c r="X1128" s="656" t="s">
        <v>498</v>
      </c>
      <c r="Y1128" s="656" t="s">
        <v>14278</v>
      </c>
      <c r="Z1128" s="656">
        <v>44305.521122685182</v>
      </c>
      <c r="AA1128" s="656" t="s">
        <v>14335</v>
      </c>
      <c r="AB1128" s="656"/>
    </row>
    <row r="1129" spans="1:28">
      <c r="A1129" s="656" t="s">
        <v>3236</v>
      </c>
      <c r="B1129" s="656" t="s">
        <v>3237</v>
      </c>
      <c r="C1129" s="656" t="s">
        <v>20</v>
      </c>
      <c r="D1129" s="656" t="s">
        <v>11477</v>
      </c>
      <c r="E1129" s="656" t="s">
        <v>14275</v>
      </c>
      <c r="F1129" s="1447">
        <v>43088</v>
      </c>
      <c r="G1129" s="656" t="s">
        <v>11475</v>
      </c>
      <c r="H1129" s="656" t="s">
        <v>1777</v>
      </c>
      <c r="I1129" s="656"/>
      <c r="J1129" s="656"/>
      <c r="K1129" s="656"/>
      <c r="L1129" s="656" t="s">
        <v>11477</v>
      </c>
      <c r="M1129" s="656" t="s">
        <v>16323</v>
      </c>
      <c r="N1129" s="656"/>
      <c r="O1129" s="656" t="s">
        <v>6387</v>
      </c>
      <c r="P1129" s="5"/>
      <c r="Q1129" s="1447"/>
      <c r="R1129" s="656"/>
      <c r="S1129" s="656" t="s">
        <v>655</v>
      </c>
      <c r="T1129" s="656" t="s">
        <v>14277</v>
      </c>
      <c r="U1129" s="656" t="s">
        <v>655</v>
      </c>
      <c r="V1129" s="656"/>
      <c r="W1129" s="656" t="s">
        <v>13051</v>
      </c>
      <c r="X1129" s="656" t="s">
        <v>498</v>
      </c>
      <c r="Y1129" s="656" t="s">
        <v>14278</v>
      </c>
      <c r="Z1129" s="656">
        <v>44305.521134259259</v>
      </c>
      <c r="AA1129" s="656" t="s">
        <v>14335</v>
      </c>
      <c r="AB1129" s="656"/>
    </row>
    <row r="1130" spans="1:28">
      <c r="A1130" s="656" t="s">
        <v>3243</v>
      </c>
      <c r="B1130" s="656" t="s">
        <v>3244</v>
      </c>
      <c r="C1130" s="656" t="s">
        <v>20</v>
      </c>
      <c r="D1130" s="656" t="s">
        <v>11474</v>
      </c>
      <c r="E1130" s="656" t="s">
        <v>14275</v>
      </c>
      <c r="F1130" s="1447">
        <v>43214</v>
      </c>
      <c r="G1130" s="656" t="s">
        <v>11473</v>
      </c>
      <c r="H1130" s="656" t="s">
        <v>1777</v>
      </c>
      <c r="I1130" s="656"/>
      <c r="J1130" s="656"/>
      <c r="K1130" s="656"/>
      <c r="L1130" s="656" t="s">
        <v>11474</v>
      </c>
      <c r="M1130" s="656" t="s">
        <v>16196</v>
      </c>
      <c r="N1130" s="656"/>
      <c r="O1130" s="656" t="s">
        <v>6395</v>
      </c>
      <c r="P1130" s="5"/>
      <c r="Q1130" s="1447">
        <v>42570</v>
      </c>
      <c r="R1130" s="656"/>
      <c r="S1130" s="656" t="s">
        <v>1394</v>
      </c>
      <c r="T1130" s="656" t="s">
        <v>14280</v>
      </c>
      <c r="U1130" s="656" t="s">
        <v>1394</v>
      </c>
      <c r="V1130" s="656"/>
      <c r="W1130" s="656" t="s">
        <v>13051</v>
      </c>
      <c r="X1130" s="656" t="s">
        <v>498</v>
      </c>
      <c r="Y1130" s="656" t="s">
        <v>14278</v>
      </c>
      <c r="Z1130" s="656">
        <v>44305.521122685182</v>
      </c>
      <c r="AA1130" s="656" t="s">
        <v>14335</v>
      </c>
      <c r="AB1130" s="656"/>
    </row>
    <row r="1131" spans="1:28">
      <c r="A1131" s="656" t="s">
        <v>3245</v>
      </c>
      <c r="B1131" s="656" t="s">
        <v>3246</v>
      </c>
      <c r="C1131" s="656" t="s">
        <v>20</v>
      </c>
      <c r="D1131" s="656" t="s">
        <v>9738</v>
      </c>
      <c r="E1131" s="656" t="s">
        <v>14275</v>
      </c>
      <c r="F1131" s="1447">
        <v>44243</v>
      </c>
      <c r="G1131" s="656" t="s">
        <v>9737</v>
      </c>
      <c r="H1131" s="656" t="s">
        <v>1777</v>
      </c>
      <c r="I1131" s="656"/>
      <c r="J1131" s="656"/>
      <c r="K1131" s="656"/>
      <c r="L1131" s="656" t="s">
        <v>9738</v>
      </c>
      <c r="M1131" s="656" t="s">
        <v>16196</v>
      </c>
      <c r="N1131" s="656"/>
      <c r="O1131" s="656" t="s">
        <v>9714</v>
      </c>
      <c r="P1131" s="5"/>
      <c r="Q1131" s="1447">
        <v>42591</v>
      </c>
      <c r="R1131" s="656"/>
      <c r="S1131" s="656" t="s">
        <v>1949</v>
      </c>
      <c r="T1131" s="656" t="s">
        <v>282</v>
      </c>
      <c r="U1131" s="656" t="s">
        <v>1394</v>
      </c>
      <c r="V1131" s="656"/>
      <c r="W1131" s="656" t="s">
        <v>13051</v>
      </c>
      <c r="X1131" s="656" t="s">
        <v>498</v>
      </c>
      <c r="Y1131" s="656" t="s">
        <v>14278</v>
      </c>
      <c r="Z1131" s="656">
        <v>44305.521111111113</v>
      </c>
      <c r="AA1131" s="656" t="s">
        <v>14335</v>
      </c>
      <c r="AB1131" s="656"/>
    </row>
    <row r="1132" spans="1:28">
      <c r="A1132" s="656" t="s">
        <v>3249</v>
      </c>
      <c r="B1132" s="656" t="s">
        <v>3250</v>
      </c>
      <c r="C1132" s="656" t="s">
        <v>21</v>
      </c>
      <c r="D1132" s="656" t="s">
        <v>11469</v>
      </c>
      <c r="E1132" s="656" t="s">
        <v>14275</v>
      </c>
      <c r="F1132" s="1447">
        <v>43292</v>
      </c>
      <c r="G1132" s="656" t="s">
        <v>11468</v>
      </c>
      <c r="H1132" s="656" t="s">
        <v>1777</v>
      </c>
      <c r="I1132" s="656" t="s">
        <v>14658</v>
      </c>
      <c r="J1132" s="656" t="s">
        <v>11469</v>
      </c>
      <c r="K1132" s="656" t="s">
        <v>9750</v>
      </c>
      <c r="L1132" s="656"/>
      <c r="M1132" s="656" t="s">
        <v>16404</v>
      </c>
      <c r="N1132" s="656"/>
      <c r="O1132" s="656" t="s">
        <v>6387</v>
      </c>
      <c r="P1132" s="5"/>
      <c r="Q1132" s="1447">
        <v>42755</v>
      </c>
      <c r="R1132" s="656">
        <v>43119</v>
      </c>
      <c r="S1132" s="656" t="s">
        <v>500</v>
      </c>
      <c r="T1132" s="656" t="s">
        <v>14559</v>
      </c>
      <c r="U1132" s="656" t="s">
        <v>500</v>
      </c>
      <c r="V1132" s="656"/>
      <c r="W1132" s="656" t="s">
        <v>13051</v>
      </c>
      <c r="X1132" s="656" t="s">
        <v>498</v>
      </c>
      <c r="Y1132" s="656" t="s">
        <v>14278</v>
      </c>
      <c r="Z1132" s="656">
        <v>44305.521087962959</v>
      </c>
      <c r="AA1132" s="656" t="s">
        <v>14335</v>
      </c>
      <c r="AB1132" s="656"/>
    </row>
    <row r="1133" spans="1:28">
      <c r="A1133" s="656" t="s">
        <v>3249</v>
      </c>
      <c r="B1133" s="656" t="s">
        <v>3250</v>
      </c>
      <c r="C1133" s="656" t="s">
        <v>20</v>
      </c>
      <c r="D1133" s="656" t="s">
        <v>11471</v>
      </c>
      <c r="E1133" s="656" t="s">
        <v>14275</v>
      </c>
      <c r="F1133" s="1447">
        <v>43284</v>
      </c>
      <c r="G1133" s="656" t="s">
        <v>11470</v>
      </c>
      <c r="H1133" s="656" t="s">
        <v>1777</v>
      </c>
      <c r="I1133" s="656"/>
      <c r="J1133" s="656"/>
      <c r="K1133" s="656"/>
      <c r="L1133" s="656" t="s">
        <v>11471</v>
      </c>
      <c r="M1133" s="656" t="s">
        <v>16402</v>
      </c>
      <c r="N1133" s="656"/>
      <c r="O1133" s="656" t="s">
        <v>6387</v>
      </c>
      <c r="P1133" s="5" t="s">
        <v>14940</v>
      </c>
      <c r="Q1133" s="1447">
        <v>42681</v>
      </c>
      <c r="R1133" s="656"/>
      <c r="S1133" s="656" t="s">
        <v>500</v>
      </c>
      <c r="T1133" s="656" t="s">
        <v>14559</v>
      </c>
      <c r="U1133" s="656" t="s">
        <v>500</v>
      </c>
      <c r="V1133" s="656"/>
      <c r="W1133" s="656" t="s">
        <v>13051</v>
      </c>
      <c r="X1133" s="656" t="s">
        <v>498</v>
      </c>
      <c r="Y1133" s="656" t="s">
        <v>14278</v>
      </c>
      <c r="Z1133" s="656">
        <v>44305.521099537036</v>
      </c>
      <c r="AA1133" s="656" t="s">
        <v>14335</v>
      </c>
      <c r="AB1133" s="656"/>
    </row>
    <row r="1134" spans="1:28">
      <c r="A1134" s="656" t="s">
        <v>3249</v>
      </c>
      <c r="B1134" s="656" t="s">
        <v>3250</v>
      </c>
      <c r="C1134" s="656" t="s">
        <v>20</v>
      </c>
      <c r="D1134" s="656" t="s">
        <v>11472</v>
      </c>
      <c r="E1134" s="656" t="s">
        <v>14275</v>
      </c>
      <c r="F1134" s="1447">
        <v>43286</v>
      </c>
      <c r="G1134" s="656" t="s">
        <v>11470</v>
      </c>
      <c r="H1134" s="656" t="s">
        <v>1777</v>
      </c>
      <c r="I1134" s="656"/>
      <c r="J1134" s="656"/>
      <c r="K1134" s="656"/>
      <c r="L1134" s="656" t="s">
        <v>11472</v>
      </c>
      <c r="M1134" s="656" t="s">
        <v>16404</v>
      </c>
      <c r="N1134" s="656"/>
      <c r="O1134" s="656" t="s">
        <v>6387</v>
      </c>
      <c r="P1134" s="5" t="s">
        <v>14941</v>
      </c>
      <c r="Q1134" s="1447">
        <v>42914</v>
      </c>
      <c r="R1134" s="656"/>
      <c r="S1134" s="656" t="s">
        <v>500</v>
      </c>
      <c r="T1134" s="656" t="s">
        <v>14559</v>
      </c>
      <c r="U1134" s="656" t="s">
        <v>500</v>
      </c>
      <c r="V1134" s="656"/>
      <c r="W1134" s="656" t="s">
        <v>13051</v>
      </c>
      <c r="X1134" s="656" t="s">
        <v>498</v>
      </c>
      <c r="Y1134" s="656" t="s">
        <v>14278</v>
      </c>
      <c r="Z1134" s="656">
        <v>44305.521099537036</v>
      </c>
      <c r="AA1134" s="656" t="s">
        <v>14335</v>
      </c>
      <c r="AB1134" s="656"/>
    </row>
    <row r="1135" spans="1:28">
      <c r="A1135" s="656" t="s">
        <v>3251</v>
      </c>
      <c r="B1135" s="656" t="s">
        <v>3252</v>
      </c>
      <c r="C1135" s="656" t="s">
        <v>20</v>
      </c>
      <c r="D1135" s="656" t="s">
        <v>11467</v>
      </c>
      <c r="E1135" s="656" t="s">
        <v>14275</v>
      </c>
      <c r="F1135" s="1447">
        <v>42619</v>
      </c>
      <c r="G1135" s="656" t="s">
        <v>11466</v>
      </c>
      <c r="H1135" s="656" t="s">
        <v>1777</v>
      </c>
      <c r="I1135" s="656"/>
      <c r="J1135" s="656"/>
      <c r="K1135" s="656"/>
      <c r="L1135" s="656" t="s">
        <v>11467</v>
      </c>
      <c r="M1135" s="656" t="s">
        <v>16196</v>
      </c>
      <c r="N1135" s="656"/>
      <c r="O1135" s="656" t="s">
        <v>6395</v>
      </c>
      <c r="P1135" s="5"/>
      <c r="Q1135" s="1447"/>
      <c r="R1135" s="656"/>
      <c r="S1135" s="656" t="s">
        <v>1300</v>
      </c>
      <c r="T1135" s="656" t="s">
        <v>14280</v>
      </c>
      <c r="U1135" s="656" t="s">
        <v>1394</v>
      </c>
      <c r="V1135" s="656"/>
      <c r="W1135" s="656" t="s">
        <v>13051</v>
      </c>
      <c r="X1135" s="656" t="s">
        <v>498</v>
      </c>
      <c r="Y1135" s="656" t="s">
        <v>14278</v>
      </c>
      <c r="Z1135" s="656">
        <v>44305.521064814813</v>
      </c>
      <c r="AA1135" s="656" t="s">
        <v>14335</v>
      </c>
      <c r="AB1135" s="656"/>
    </row>
    <row r="1136" spans="1:28">
      <c r="A1136" s="656" t="s">
        <v>3251</v>
      </c>
      <c r="B1136" s="656" t="s">
        <v>3252</v>
      </c>
      <c r="C1136" s="656" t="s">
        <v>20</v>
      </c>
      <c r="D1136" s="656" t="s">
        <v>12358</v>
      </c>
      <c r="E1136" s="656" t="s">
        <v>14553</v>
      </c>
      <c r="F1136" s="1447"/>
      <c r="G1136" s="656" t="s">
        <v>12357</v>
      </c>
      <c r="H1136" s="656" t="s">
        <v>1777</v>
      </c>
      <c r="I1136" s="656"/>
      <c r="J1136" s="656"/>
      <c r="K1136" s="656"/>
      <c r="L1136" s="656" t="s">
        <v>12358</v>
      </c>
      <c r="M1136" s="656" t="s">
        <v>16196</v>
      </c>
      <c r="N1136" s="656" t="s">
        <v>9991</v>
      </c>
      <c r="O1136" s="656" t="s">
        <v>11790</v>
      </c>
      <c r="P1136" s="5"/>
      <c r="Q1136" s="1447"/>
      <c r="R1136" s="656"/>
      <c r="S1136" s="656" t="s">
        <v>1300</v>
      </c>
      <c r="T1136" s="656" t="s">
        <v>9991</v>
      </c>
      <c r="U1136" s="656" t="s">
        <v>9991</v>
      </c>
      <c r="V1136" s="656"/>
      <c r="W1136" s="656" t="s">
        <v>13051</v>
      </c>
      <c r="X1136" s="656" t="s">
        <v>498</v>
      </c>
      <c r="Y1136" s="656" t="s">
        <v>14278</v>
      </c>
      <c r="Z1136" s="656">
        <v>44305.52107638889</v>
      </c>
      <c r="AA1136" s="656" t="s">
        <v>14335</v>
      </c>
      <c r="AB1136" s="656"/>
    </row>
    <row r="1137" spans="1:28">
      <c r="A1137" s="656" t="s">
        <v>3251</v>
      </c>
      <c r="B1137" s="656" t="s">
        <v>3252</v>
      </c>
      <c r="C1137" s="656" t="s">
        <v>20</v>
      </c>
      <c r="D1137" s="656" t="s">
        <v>12359</v>
      </c>
      <c r="E1137" s="656" t="s">
        <v>14553</v>
      </c>
      <c r="F1137" s="1447"/>
      <c r="G1137" s="656" t="s">
        <v>12357</v>
      </c>
      <c r="H1137" s="656" t="s">
        <v>1777</v>
      </c>
      <c r="I1137" s="656"/>
      <c r="J1137" s="656"/>
      <c r="K1137" s="656"/>
      <c r="L1137" s="656" t="s">
        <v>12359</v>
      </c>
      <c r="M1137" s="656" t="s">
        <v>16405</v>
      </c>
      <c r="N1137" s="656" t="s">
        <v>9991</v>
      </c>
      <c r="O1137" s="656" t="s">
        <v>5687</v>
      </c>
      <c r="P1137" s="5"/>
      <c r="Q1137" s="1447"/>
      <c r="R1137" s="656"/>
      <c r="S1137" s="656" t="s">
        <v>1300</v>
      </c>
      <c r="T1137" s="656" t="s">
        <v>9991</v>
      </c>
      <c r="U1137" s="656" t="s">
        <v>9991</v>
      </c>
      <c r="V1137" s="656"/>
      <c r="W1137" s="656" t="s">
        <v>13051</v>
      </c>
      <c r="X1137" s="656" t="s">
        <v>498</v>
      </c>
      <c r="Y1137" s="656" t="s">
        <v>14278</v>
      </c>
      <c r="Z1137" s="656">
        <v>44305.521087962959</v>
      </c>
      <c r="AA1137" s="656" t="s">
        <v>14335</v>
      </c>
      <c r="AB1137" s="656"/>
    </row>
    <row r="1138" spans="1:28">
      <c r="A1138" s="656" t="s">
        <v>3257</v>
      </c>
      <c r="B1138" s="656" t="s">
        <v>3258</v>
      </c>
      <c r="C1138" s="656" t="s">
        <v>20</v>
      </c>
      <c r="D1138" s="656" t="s">
        <v>11464</v>
      </c>
      <c r="E1138" s="656" t="s">
        <v>14275</v>
      </c>
      <c r="F1138" s="1447">
        <v>42901</v>
      </c>
      <c r="G1138" s="656" t="s">
        <v>11463</v>
      </c>
      <c r="H1138" s="656" t="s">
        <v>1777</v>
      </c>
      <c r="I1138" s="656"/>
      <c r="J1138" s="656"/>
      <c r="K1138" s="656"/>
      <c r="L1138" s="656" t="s">
        <v>11464</v>
      </c>
      <c r="M1138" s="656" t="s">
        <v>1584</v>
      </c>
      <c r="N1138" s="656"/>
      <c r="O1138" s="656" t="s">
        <v>6387</v>
      </c>
      <c r="P1138" s="5"/>
      <c r="Q1138" s="1447">
        <v>42607</v>
      </c>
      <c r="R1138" s="656"/>
      <c r="S1138" s="656" t="s">
        <v>783</v>
      </c>
      <c r="T1138" s="656" t="s">
        <v>14277</v>
      </c>
      <c r="U1138" s="656" t="s">
        <v>655</v>
      </c>
      <c r="V1138" s="656"/>
      <c r="W1138" s="656" t="s">
        <v>13051</v>
      </c>
      <c r="X1138" s="656" t="s">
        <v>498</v>
      </c>
      <c r="Y1138" s="656" t="s">
        <v>14278</v>
      </c>
      <c r="Z1138" s="656">
        <v>44305.521053240744</v>
      </c>
      <c r="AA1138" s="656" t="s">
        <v>14335</v>
      </c>
      <c r="AB1138" s="656"/>
    </row>
    <row r="1139" spans="1:28">
      <c r="A1139" s="656" t="s">
        <v>3257</v>
      </c>
      <c r="B1139" s="656" t="s">
        <v>3258</v>
      </c>
      <c r="C1139" s="656" t="s">
        <v>20</v>
      </c>
      <c r="D1139" s="656" t="s">
        <v>11465</v>
      </c>
      <c r="E1139" s="656" t="s">
        <v>14275</v>
      </c>
      <c r="F1139" s="1447">
        <v>42901</v>
      </c>
      <c r="G1139" s="656" t="s">
        <v>11463</v>
      </c>
      <c r="H1139" s="656" t="s">
        <v>1777</v>
      </c>
      <c r="I1139" s="656"/>
      <c r="J1139" s="656"/>
      <c r="K1139" s="656"/>
      <c r="L1139" s="656" t="s">
        <v>11465</v>
      </c>
      <c r="M1139" s="656" t="s">
        <v>16318</v>
      </c>
      <c r="N1139" s="656"/>
      <c r="O1139" s="656" t="s">
        <v>6387</v>
      </c>
      <c r="P1139" s="5" t="s">
        <v>15445</v>
      </c>
      <c r="Q1139" s="1447">
        <v>42570</v>
      </c>
      <c r="R1139" s="656"/>
      <c r="S1139" s="656" t="s">
        <v>783</v>
      </c>
      <c r="T1139" s="656" t="s">
        <v>14277</v>
      </c>
      <c r="U1139" s="656" t="s">
        <v>655</v>
      </c>
      <c r="V1139" s="656"/>
      <c r="W1139" s="656" t="s">
        <v>13051</v>
      </c>
      <c r="X1139" s="656" t="s">
        <v>498</v>
      </c>
      <c r="Y1139" s="656" t="s">
        <v>14278</v>
      </c>
      <c r="Z1139" s="656">
        <v>44305.521053240744</v>
      </c>
      <c r="AA1139" s="656" t="s">
        <v>14335</v>
      </c>
      <c r="AB1139" s="656"/>
    </row>
    <row r="1140" spans="1:28">
      <c r="A1140" s="656" t="s">
        <v>3261</v>
      </c>
      <c r="B1140" s="656" t="s">
        <v>3262</v>
      </c>
      <c r="C1140" s="656" t="s">
        <v>21</v>
      </c>
      <c r="D1140" s="656" t="s">
        <v>12297</v>
      </c>
      <c r="E1140" s="656" t="s">
        <v>14275</v>
      </c>
      <c r="F1140" s="1447">
        <v>44239</v>
      </c>
      <c r="G1140" s="656" t="s">
        <v>12296</v>
      </c>
      <c r="H1140" s="656" t="s">
        <v>1777</v>
      </c>
      <c r="I1140" s="656" t="s">
        <v>14659</v>
      </c>
      <c r="J1140" s="656" t="s">
        <v>12297</v>
      </c>
      <c r="K1140" s="656" t="s">
        <v>9774</v>
      </c>
      <c r="L1140" s="656"/>
      <c r="M1140" s="656" t="s">
        <v>16196</v>
      </c>
      <c r="N1140" s="656"/>
      <c r="O1140" s="656" t="s">
        <v>6395</v>
      </c>
      <c r="P1140" s="5"/>
      <c r="Q1140" s="1447">
        <v>43185</v>
      </c>
      <c r="R1140" s="656">
        <v>43586</v>
      </c>
      <c r="S1140" s="656" t="s">
        <v>1394</v>
      </c>
      <c r="T1140" s="656"/>
      <c r="U1140" s="656" t="s">
        <v>1394</v>
      </c>
      <c r="V1140" s="656"/>
      <c r="W1140" s="656" t="s">
        <v>13051</v>
      </c>
      <c r="X1140" s="656" t="s">
        <v>498</v>
      </c>
      <c r="Y1140" s="656" t="s">
        <v>14278</v>
      </c>
      <c r="Z1140" s="656">
        <v>44305.521041666667</v>
      </c>
      <c r="AA1140" s="656" t="s">
        <v>14335</v>
      </c>
      <c r="AB1140" s="656"/>
    </row>
    <row r="1141" spans="1:28">
      <c r="A1141" s="656" t="s">
        <v>3261</v>
      </c>
      <c r="B1141" s="656" t="s">
        <v>3262</v>
      </c>
      <c r="C1141" s="656" t="s">
        <v>20</v>
      </c>
      <c r="D1141" s="656" t="s">
        <v>9736</v>
      </c>
      <c r="E1141" s="656" t="s">
        <v>14275</v>
      </c>
      <c r="F1141" s="1447">
        <v>44263</v>
      </c>
      <c r="G1141" s="656" t="s">
        <v>9735</v>
      </c>
      <c r="H1141" s="656" t="s">
        <v>1777</v>
      </c>
      <c r="I1141" s="656"/>
      <c r="J1141" s="656"/>
      <c r="K1141" s="656"/>
      <c r="L1141" s="656" t="s">
        <v>9736</v>
      </c>
      <c r="M1141" s="656" t="s">
        <v>16196</v>
      </c>
      <c r="N1141" s="656"/>
      <c r="O1141" s="656" t="s">
        <v>6395</v>
      </c>
      <c r="P1141" s="5"/>
      <c r="Q1141" s="1447">
        <v>43012</v>
      </c>
      <c r="R1141" s="656"/>
      <c r="S1141" s="656" t="s">
        <v>1394</v>
      </c>
      <c r="T1141" s="656" t="s">
        <v>14280</v>
      </c>
      <c r="U1141" s="656" t="s">
        <v>1394</v>
      </c>
      <c r="V1141" s="656"/>
      <c r="W1141" s="656" t="s">
        <v>13051</v>
      </c>
      <c r="X1141" s="656" t="s">
        <v>498</v>
      </c>
      <c r="Y1141" s="656" t="s">
        <v>14278</v>
      </c>
      <c r="Z1141" s="656">
        <v>44305.521041666667</v>
      </c>
      <c r="AA1141" s="656" t="s">
        <v>14335</v>
      </c>
      <c r="AB1141" s="656"/>
    </row>
    <row r="1142" spans="1:28">
      <c r="A1142" s="656" t="s">
        <v>3263</v>
      </c>
      <c r="B1142" s="656" t="s">
        <v>3264</v>
      </c>
      <c r="C1142" s="656" t="s">
        <v>21</v>
      </c>
      <c r="D1142" s="656" t="s">
        <v>11875</v>
      </c>
      <c r="E1142" s="656" t="s">
        <v>14275</v>
      </c>
      <c r="F1142" s="1447">
        <v>43676</v>
      </c>
      <c r="G1142" s="656" t="s">
        <v>11874</v>
      </c>
      <c r="H1142" s="656" t="s">
        <v>1777</v>
      </c>
      <c r="I1142" s="656" t="s">
        <v>14659</v>
      </c>
      <c r="J1142" s="656" t="s">
        <v>11875</v>
      </c>
      <c r="K1142" s="656" t="s">
        <v>9774</v>
      </c>
      <c r="L1142" s="656"/>
      <c r="M1142" s="656" t="s">
        <v>16196</v>
      </c>
      <c r="N1142" s="656"/>
      <c r="O1142" s="656" t="s">
        <v>6395</v>
      </c>
      <c r="P1142" s="5"/>
      <c r="Q1142" s="1447">
        <v>43108</v>
      </c>
      <c r="R1142" s="656">
        <v>43131</v>
      </c>
      <c r="S1142" s="656" t="s">
        <v>1394</v>
      </c>
      <c r="T1142" s="656"/>
      <c r="U1142" s="656" t="s">
        <v>1394</v>
      </c>
      <c r="V1142" s="656"/>
      <c r="W1142" s="656" t="s">
        <v>13051</v>
      </c>
      <c r="X1142" s="656" t="s">
        <v>498</v>
      </c>
      <c r="Y1142" s="656" t="s">
        <v>14278</v>
      </c>
      <c r="Z1142" s="656">
        <v>44305.521018518521</v>
      </c>
      <c r="AA1142" s="656" t="s">
        <v>14335</v>
      </c>
      <c r="AB1142" s="656"/>
    </row>
    <row r="1143" spans="1:28">
      <c r="A1143" s="656" t="s">
        <v>3263</v>
      </c>
      <c r="B1143" s="656" t="s">
        <v>3264</v>
      </c>
      <c r="C1143" s="656" t="s">
        <v>20</v>
      </c>
      <c r="D1143" s="656" t="s">
        <v>11462</v>
      </c>
      <c r="E1143" s="656" t="s">
        <v>14275</v>
      </c>
      <c r="F1143" s="1447">
        <v>43606</v>
      </c>
      <c r="G1143" s="656" t="s">
        <v>11461</v>
      </c>
      <c r="H1143" s="656" t="s">
        <v>1777</v>
      </c>
      <c r="I1143" s="656"/>
      <c r="J1143" s="656"/>
      <c r="K1143" s="656"/>
      <c r="L1143" s="656" t="s">
        <v>11462</v>
      </c>
      <c r="M1143" s="656" t="s">
        <v>1947</v>
      </c>
      <c r="N1143" s="656"/>
      <c r="O1143" s="656" t="s">
        <v>6395</v>
      </c>
      <c r="P1143" s="5"/>
      <c r="Q1143" s="1447">
        <v>43012</v>
      </c>
      <c r="R1143" s="656"/>
      <c r="S1143" s="656" t="s">
        <v>1394</v>
      </c>
      <c r="T1143" s="656" t="s">
        <v>14280</v>
      </c>
      <c r="U1143" s="656" t="s">
        <v>1394</v>
      </c>
      <c r="V1143" s="656"/>
      <c r="W1143" s="656" t="s">
        <v>13051</v>
      </c>
      <c r="X1143" s="656" t="s">
        <v>498</v>
      </c>
      <c r="Y1143" s="656" t="s">
        <v>14278</v>
      </c>
      <c r="Z1143" s="656">
        <v>44305.52103009259</v>
      </c>
      <c r="AA1143" s="656" t="s">
        <v>14335</v>
      </c>
      <c r="AB1143" s="656"/>
    </row>
    <row r="1144" spans="1:28">
      <c r="A1144" s="656" t="s">
        <v>3263</v>
      </c>
      <c r="B1144" s="656" t="s">
        <v>3264</v>
      </c>
      <c r="C1144" s="656" t="s">
        <v>20</v>
      </c>
      <c r="D1144" s="656" t="s">
        <v>12090</v>
      </c>
      <c r="E1144" s="656" t="s">
        <v>14275</v>
      </c>
      <c r="F1144" s="1447">
        <v>43689</v>
      </c>
      <c r="G1144" s="656" t="s">
        <v>11874</v>
      </c>
      <c r="H1144" s="656" t="s">
        <v>1777</v>
      </c>
      <c r="I1144" s="656"/>
      <c r="J1144" s="656"/>
      <c r="K1144" s="656"/>
      <c r="L1144" s="656" t="s">
        <v>12090</v>
      </c>
      <c r="M1144" s="656" t="s">
        <v>16196</v>
      </c>
      <c r="N1144" s="656"/>
      <c r="O1144" s="656" t="s">
        <v>6395</v>
      </c>
      <c r="P1144" s="5"/>
      <c r="Q1144" s="1447">
        <v>43313</v>
      </c>
      <c r="R1144" s="656"/>
      <c r="S1144" s="656" t="s">
        <v>3756</v>
      </c>
      <c r="T1144" s="656"/>
      <c r="U1144" s="656"/>
      <c r="V1144" s="656"/>
      <c r="W1144" s="656" t="s">
        <v>13051</v>
      </c>
      <c r="X1144" s="656" t="s">
        <v>498</v>
      </c>
      <c r="Y1144" s="656" t="s">
        <v>14278</v>
      </c>
      <c r="Z1144" s="656">
        <v>44305.52103009259</v>
      </c>
      <c r="AA1144" s="656" t="s">
        <v>14335</v>
      </c>
      <c r="AB1144" s="656"/>
    </row>
    <row r="1145" spans="1:28" ht="29">
      <c r="A1145" s="656" t="s">
        <v>3265</v>
      </c>
      <c r="B1145" s="656" t="s">
        <v>3266</v>
      </c>
      <c r="C1145" s="656" t="s">
        <v>21</v>
      </c>
      <c r="D1145" s="656" t="s">
        <v>9732</v>
      </c>
      <c r="E1145" s="656" t="s">
        <v>14384</v>
      </c>
      <c r="F1145" s="1447">
        <v>43108</v>
      </c>
      <c r="G1145" s="656" t="s">
        <v>9731</v>
      </c>
      <c r="H1145" s="656" t="s">
        <v>1777</v>
      </c>
      <c r="I1145" s="656" t="s">
        <v>14659</v>
      </c>
      <c r="J1145" s="656" t="s">
        <v>9732</v>
      </c>
      <c r="K1145" s="656" t="s">
        <v>9733</v>
      </c>
      <c r="L1145" s="656"/>
      <c r="M1145" s="656" t="s">
        <v>16196</v>
      </c>
      <c r="N1145" s="656"/>
      <c r="O1145" s="656" t="s">
        <v>6395</v>
      </c>
      <c r="P1145" s="5" t="s">
        <v>15476</v>
      </c>
      <c r="Q1145" s="1447">
        <v>43020</v>
      </c>
      <c r="R1145" s="656"/>
      <c r="S1145" s="656" t="s">
        <v>1394</v>
      </c>
      <c r="T1145" s="656" t="s">
        <v>14280</v>
      </c>
      <c r="U1145" s="656" t="s">
        <v>1394</v>
      </c>
      <c r="V1145" s="656"/>
      <c r="W1145" s="656" t="s">
        <v>13051</v>
      </c>
      <c r="X1145" s="656" t="s">
        <v>498</v>
      </c>
      <c r="Y1145" s="656" t="s">
        <v>14278</v>
      </c>
      <c r="Z1145" s="656">
        <v>44305.521006944444</v>
      </c>
      <c r="AA1145" s="656" t="s">
        <v>14335</v>
      </c>
      <c r="AB1145" s="656"/>
    </row>
    <row r="1146" spans="1:28">
      <c r="A1146" s="656" t="s">
        <v>3265</v>
      </c>
      <c r="B1146" s="656" t="s">
        <v>3266</v>
      </c>
      <c r="C1146" s="656" t="s">
        <v>20</v>
      </c>
      <c r="D1146" s="656" t="s">
        <v>9734</v>
      </c>
      <c r="E1146" s="656" t="s">
        <v>14275</v>
      </c>
      <c r="F1146" s="1447">
        <v>44249</v>
      </c>
      <c r="G1146" s="656" t="s">
        <v>9731</v>
      </c>
      <c r="H1146" s="656" t="s">
        <v>1777</v>
      </c>
      <c r="I1146" s="656"/>
      <c r="J1146" s="656"/>
      <c r="K1146" s="656"/>
      <c r="L1146" s="656" t="s">
        <v>9734</v>
      </c>
      <c r="M1146" s="656" t="s">
        <v>16196</v>
      </c>
      <c r="N1146" s="656"/>
      <c r="O1146" s="656" t="s">
        <v>6395</v>
      </c>
      <c r="P1146" s="5"/>
      <c r="Q1146" s="1447"/>
      <c r="R1146" s="656"/>
      <c r="S1146" s="656" t="s">
        <v>1394</v>
      </c>
      <c r="T1146" s="656" t="s">
        <v>14280</v>
      </c>
      <c r="U1146" s="656" t="s">
        <v>1394</v>
      </c>
      <c r="V1146" s="656"/>
      <c r="W1146" s="656" t="s">
        <v>13051</v>
      </c>
      <c r="X1146" s="656" t="s">
        <v>498</v>
      </c>
      <c r="Y1146" s="656" t="s">
        <v>14278</v>
      </c>
      <c r="Z1146" s="656">
        <v>44305.521018518521</v>
      </c>
      <c r="AA1146" s="656" t="s">
        <v>14335</v>
      </c>
      <c r="AB1146" s="656"/>
    </row>
    <row r="1147" spans="1:28">
      <c r="A1147" s="656" t="s">
        <v>3274</v>
      </c>
      <c r="B1147" s="656" t="s">
        <v>3275</v>
      </c>
      <c r="C1147" s="656" t="s">
        <v>21</v>
      </c>
      <c r="D1147" s="656" t="s">
        <v>11459</v>
      </c>
      <c r="E1147" s="656" t="s">
        <v>14275</v>
      </c>
      <c r="F1147" s="1447">
        <v>42881</v>
      </c>
      <c r="G1147" s="656" t="s">
        <v>11458</v>
      </c>
      <c r="H1147" s="656" t="s">
        <v>1777</v>
      </c>
      <c r="I1147" s="656" t="s">
        <v>14660</v>
      </c>
      <c r="J1147" s="656" t="s">
        <v>11459</v>
      </c>
      <c r="K1147" s="656" t="s">
        <v>9750</v>
      </c>
      <c r="L1147" s="656"/>
      <c r="M1147" s="656" t="s">
        <v>16196</v>
      </c>
      <c r="N1147" s="656"/>
      <c r="O1147" s="656" t="s">
        <v>9757</v>
      </c>
      <c r="P1147" s="5"/>
      <c r="Q1147" s="1447">
        <v>42684</v>
      </c>
      <c r="R1147" s="656">
        <v>42786</v>
      </c>
      <c r="S1147" s="656" t="s">
        <v>1949</v>
      </c>
      <c r="T1147" s="656" t="s">
        <v>522</v>
      </c>
      <c r="U1147" s="656" t="s">
        <v>522</v>
      </c>
      <c r="V1147" s="656"/>
      <c r="W1147" s="656" t="s">
        <v>13051</v>
      </c>
      <c r="X1147" s="656" t="s">
        <v>498</v>
      </c>
      <c r="Y1147" s="656" t="s">
        <v>14278</v>
      </c>
      <c r="Z1147" s="656">
        <v>44305.520995370367</v>
      </c>
      <c r="AA1147" s="656" t="s">
        <v>14335</v>
      </c>
      <c r="AB1147" s="656"/>
    </row>
    <row r="1148" spans="1:28">
      <c r="A1148" s="656" t="s">
        <v>3274</v>
      </c>
      <c r="B1148" s="656" t="s">
        <v>3275</v>
      </c>
      <c r="C1148" s="656" t="s">
        <v>20</v>
      </c>
      <c r="D1148" s="656" t="s">
        <v>11460</v>
      </c>
      <c r="E1148" s="656" t="s">
        <v>14275</v>
      </c>
      <c r="F1148" s="1447">
        <v>42879</v>
      </c>
      <c r="G1148" s="656" t="s">
        <v>11458</v>
      </c>
      <c r="H1148" s="656" t="s">
        <v>1777</v>
      </c>
      <c r="I1148" s="656"/>
      <c r="J1148" s="656"/>
      <c r="K1148" s="656"/>
      <c r="L1148" s="656" t="s">
        <v>11460</v>
      </c>
      <c r="M1148" s="656" t="s">
        <v>16196</v>
      </c>
      <c r="N1148" s="656"/>
      <c r="O1148" s="656" t="s">
        <v>9757</v>
      </c>
      <c r="P1148" s="5"/>
      <c r="Q1148" s="1447">
        <v>42632</v>
      </c>
      <c r="R1148" s="656"/>
      <c r="S1148" s="656" t="s">
        <v>1949</v>
      </c>
      <c r="T1148" s="656" t="s">
        <v>522</v>
      </c>
      <c r="U1148" s="656" t="s">
        <v>522</v>
      </c>
      <c r="V1148" s="656"/>
      <c r="W1148" s="656" t="s">
        <v>13051</v>
      </c>
      <c r="X1148" s="656" t="s">
        <v>498</v>
      </c>
      <c r="Y1148" s="656" t="s">
        <v>14278</v>
      </c>
      <c r="Z1148" s="656">
        <v>44305.521006944444</v>
      </c>
      <c r="AA1148" s="656" t="s">
        <v>14335</v>
      </c>
      <c r="AB1148" s="656"/>
    </row>
    <row r="1149" spans="1:28">
      <c r="A1149" s="656" t="s">
        <v>3286</v>
      </c>
      <c r="B1149" s="656" t="s">
        <v>3287</v>
      </c>
      <c r="C1149" s="656" t="s">
        <v>20</v>
      </c>
      <c r="D1149" s="656" t="s">
        <v>11457</v>
      </c>
      <c r="E1149" s="656" t="s">
        <v>14275</v>
      </c>
      <c r="F1149" s="1447">
        <v>43172</v>
      </c>
      <c r="G1149" s="656" t="s">
        <v>11456</v>
      </c>
      <c r="H1149" s="656" t="s">
        <v>1777</v>
      </c>
      <c r="I1149" s="656"/>
      <c r="J1149" s="656"/>
      <c r="K1149" s="656"/>
      <c r="L1149" s="656" t="s">
        <v>11457</v>
      </c>
      <c r="M1149" s="656" t="s">
        <v>16196</v>
      </c>
      <c r="N1149" s="656"/>
      <c r="O1149" s="656" t="s">
        <v>6395</v>
      </c>
      <c r="P1149" s="5"/>
      <c r="Q1149" s="1447"/>
      <c r="R1149" s="656"/>
      <c r="S1149" s="656" t="s">
        <v>1394</v>
      </c>
      <c r="T1149" s="656" t="s">
        <v>14280</v>
      </c>
      <c r="U1149" s="656" t="s">
        <v>1394</v>
      </c>
      <c r="V1149" s="656"/>
      <c r="W1149" s="656" t="s">
        <v>13051</v>
      </c>
      <c r="X1149" s="656" t="s">
        <v>498</v>
      </c>
      <c r="Y1149" s="656" t="s">
        <v>14278</v>
      </c>
      <c r="Z1149" s="656">
        <v>44305.520995370367</v>
      </c>
      <c r="AA1149" s="656" t="s">
        <v>14335</v>
      </c>
      <c r="AB1149" s="656"/>
    </row>
    <row r="1150" spans="1:28">
      <c r="A1150" s="656" t="s">
        <v>3292</v>
      </c>
      <c r="B1150" s="656" t="s">
        <v>3293</v>
      </c>
      <c r="C1150" s="656" t="s">
        <v>20</v>
      </c>
      <c r="D1150" s="656" t="s">
        <v>11455</v>
      </c>
      <c r="E1150" s="656" t="s">
        <v>14275</v>
      </c>
      <c r="F1150" s="1447">
        <v>43088</v>
      </c>
      <c r="G1150" s="656" t="s">
        <v>11454</v>
      </c>
      <c r="H1150" s="656" t="s">
        <v>1777</v>
      </c>
      <c r="I1150" s="656"/>
      <c r="J1150" s="656"/>
      <c r="K1150" s="656"/>
      <c r="L1150" s="656" t="s">
        <v>11455</v>
      </c>
      <c r="M1150" s="656" t="s">
        <v>16406</v>
      </c>
      <c r="N1150" s="656"/>
      <c r="O1150" s="656" t="s">
        <v>6387</v>
      </c>
      <c r="P1150" s="5"/>
      <c r="Q1150" s="1447">
        <v>42517</v>
      </c>
      <c r="R1150" s="656"/>
      <c r="S1150" s="656" t="s">
        <v>655</v>
      </c>
      <c r="T1150" s="656" t="s">
        <v>14277</v>
      </c>
      <c r="U1150" s="656" t="s">
        <v>655</v>
      </c>
      <c r="V1150" s="656"/>
      <c r="W1150" s="656" t="s">
        <v>13051</v>
      </c>
      <c r="X1150" s="656" t="s">
        <v>498</v>
      </c>
      <c r="Y1150" s="656" t="s">
        <v>14278</v>
      </c>
      <c r="Z1150" s="656">
        <v>44305.520983796298</v>
      </c>
      <c r="AA1150" s="656" t="s">
        <v>14335</v>
      </c>
      <c r="AB1150" s="656"/>
    </row>
    <row r="1151" spans="1:28">
      <c r="A1151" s="656" t="s">
        <v>3294</v>
      </c>
      <c r="B1151" s="656" t="s">
        <v>3295</v>
      </c>
      <c r="C1151" s="656" t="s">
        <v>21</v>
      </c>
      <c r="D1151" s="656" t="s">
        <v>11452</v>
      </c>
      <c r="E1151" s="656" t="s">
        <v>14275</v>
      </c>
      <c r="F1151" s="1447">
        <v>43564</v>
      </c>
      <c r="G1151" s="656" t="s">
        <v>11451</v>
      </c>
      <c r="H1151" s="656" t="s">
        <v>1777</v>
      </c>
      <c r="I1151" s="656" t="s">
        <v>14661</v>
      </c>
      <c r="J1151" s="656" t="s">
        <v>11452</v>
      </c>
      <c r="K1151" s="656" t="s">
        <v>9733</v>
      </c>
      <c r="L1151" s="656"/>
      <c r="M1151" s="656" t="s">
        <v>16196</v>
      </c>
      <c r="N1151" s="656"/>
      <c r="O1151" s="656" t="s">
        <v>6395</v>
      </c>
      <c r="P1151" s="5"/>
      <c r="Q1151" s="1447">
        <v>43221</v>
      </c>
      <c r="R1151" s="656">
        <v>43221</v>
      </c>
      <c r="S1151" s="656" t="s">
        <v>1394</v>
      </c>
      <c r="T1151" s="656" t="s">
        <v>14280</v>
      </c>
      <c r="U1151" s="656" t="s">
        <v>1394</v>
      </c>
      <c r="V1151" s="656"/>
      <c r="W1151" s="656" t="s">
        <v>13051</v>
      </c>
      <c r="X1151" s="656" t="s">
        <v>498</v>
      </c>
      <c r="Y1151" s="656" t="s">
        <v>14278</v>
      </c>
      <c r="Z1151" s="656">
        <v>44305.520972222221</v>
      </c>
      <c r="AA1151" s="656" t="s">
        <v>14335</v>
      </c>
      <c r="AB1151" s="656"/>
    </row>
    <row r="1152" spans="1:28">
      <c r="A1152" s="656" t="s">
        <v>3294</v>
      </c>
      <c r="B1152" s="656" t="s">
        <v>3295</v>
      </c>
      <c r="C1152" s="656" t="s">
        <v>20</v>
      </c>
      <c r="D1152" s="656" t="s">
        <v>11453</v>
      </c>
      <c r="E1152" s="656" t="s">
        <v>14275</v>
      </c>
      <c r="F1152" s="1447">
        <v>43557</v>
      </c>
      <c r="G1152" s="656" t="s">
        <v>11451</v>
      </c>
      <c r="H1152" s="656" t="s">
        <v>1777</v>
      </c>
      <c r="I1152" s="656"/>
      <c r="J1152" s="656"/>
      <c r="K1152" s="656"/>
      <c r="L1152" s="656" t="s">
        <v>11453</v>
      </c>
      <c r="M1152" s="656" t="s">
        <v>16196</v>
      </c>
      <c r="N1152" s="656"/>
      <c r="O1152" s="656" t="s">
        <v>6395</v>
      </c>
      <c r="P1152" s="5"/>
      <c r="Q1152" s="1447"/>
      <c r="R1152" s="656"/>
      <c r="S1152" s="656" t="s">
        <v>1394</v>
      </c>
      <c r="T1152" s="656" t="s">
        <v>14280</v>
      </c>
      <c r="U1152" s="656" t="s">
        <v>1394</v>
      </c>
      <c r="V1152" s="656"/>
      <c r="W1152" s="656" t="s">
        <v>13051</v>
      </c>
      <c r="X1152" s="656" t="s">
        <v>498</v>
      </c>
      <c r="Y1152" s="656" t="s">
        <v>14278</v>
      </c>
      <c r="Z1152" s="656">
        <v>44305.520972222221</v>
      </c>
      <c r="AA1152" s="656" t="s">
        <v>14335</v>
      </c>
      <c r="AB1152" s="656"/>
    </row>
    <row r="1153" spans="1:28">
      <c r="A1153" s="656" t="s">
        <v>3296</v>
      </c>
      <c r="B1153" s="656" t="s">
        <v>3297</v>
      </c>
      <c r="C1153" s="656" t="s">
        <v>20</v>
      </c>
      <c r="D1153" s="656" t="s">
        <v>11450</v>
      </c>
      <c r="E1153" s="656" t="s">
        <v>14275</v>
      </c>
      <c r="F1153" s="1447">
        <v>42887</v>
      </c>
      <c r="G1153" s="656" t="s">
        <v>11449</v>
      </c>
      <c r="H1153" s="656" t="s">
        <v>1777</v>
      </c>
      <c r="I1153" s="656"/>
      <c r="J1153" s="656"/>
      <c r="K1153" s="656"/>
      <c r="L1153" s="656" t="s">
        <v>11450</v>
      </c>
      <c r="M1153" s="656" t="s">
        <v>16402</v>
      </c>
      <c r="N1153" s="656"/>
      <c r="O1153" s="656" t="s">
        <v>6387</v>
      </c>
      <c r="P1153" s="5"/>
      <c r="Q1153" s="1447">
        <v>42587</v>
      </c>
      <c r="R1153" s="656"/>
      <c r="S1153" s="656" t="s">
        <v>1300</v>
      </c>
      <c r="T1153" s="656" t="s">
        <v>4198</v>
      </c>
      <c r="U1153" s="656" t="s">
        <v>1300</v>
      </c>
      <c r="V1153" s="656"/>
      <c r="W1153" s="656" t="s">
        <v>13051</v>
      </c>
      <c r="X1153" s="656" t="s">
        <v>498</v>
      </c>
      <c r="Y1153" s="656" t="s">
        <v>14278</v>
      </c>
      <c r="Z1153" s="656">
        <v>44305.520960648151</v>
      </c>
      <c r="AA1153" s="656" t="s">
        <v>14335</v>
      </c>
      <c r="AB1153" s="656"/>
    </row>
    <row r="1154" spans="1:28">
      <c r="A1154" s="656" t="s">
        <v>3298</v>
      </c>
      <c r="B1154" s="656" t="s">
        <v>3299</v>
      </c>
      <c r="C1154" s="656" t="s">
        <v>20</v>
      </c>
      <c r="D1154" s="656" t="s">
        <v>11448</v>
      </c>
      <c r="E1154" s="656" t="s">
        <v>14275</v>
      </c>
      <c r="F1154" s="1447">
        <v>43955</v>
      </c>
      <c r="G1154" s="656" t="s">
        <v>11447</v>
      </c>
      <c r="H1154" s="656" t="s">
        <v>1777</v>
      </c>
      <c r="I1154" s="656"/>
      <c r="J1154" s="656"/>
      <c r="K1154" s="656"/>
      <c r="L1154" s="656" t="s">
        <v>11448</v>
      </c>
      <c r="M1154" s="656" t="s">
        <v>16196</v>
      </c>
      <c r="N1154" s="656"/>
      <c r="O1154" s="656" t="s">
        <v>6395</v>
      </c>
      <c r="P1154" s="5"/>
      <c r="Q1154" s="1447"/>
      <c r="R1154" s="656"/>
      <c r="S1154" s="656" t="s">
        <v>1394</v>
      </c>
      <c r="T1154" s="656" t="s">
        <v>14280</v>
      </c>
      <c r="U1154" s="656" t="s">
        <v>11626</v>
      </c>
      <c r="V1154" s="656"/>
      <c r="W1154" s="656" t="s">
        <v>13051</v>
      </c>
      <c r="X1154" s="656" t="s">
        <v>498</v>
      </c>
      <c r="Y1154" s="656" t="s">
        <v>14278</v>
      </c>
      <c r="Z1154" s="656">
        <v>44305.520949074074</v>
      </c>
      <c r="AA1154" s="656" t="s">
        <v>14335</v>
      </c>
      <c r="AB1154" s="656"/>
    </row>
    <row r="1155" spans="1:28">
      <c r="A1155" s="656" t="s">
        <v>3298</v>
      </c>
      <c r="B1155" s="656" t="s">
        <v>3299</v>
      </c>
      <c r="C1155" s="656" t="s">
        <v>20</v>
      </c>
      <c r="D1155" s="656" t="s">
        <v>10289</v>
      </c>
      <c r="E1155" s="656" t="s">
        <v>14275</v>
      </c>
      <c r="F1155" s="1447">
        <v>44089</v>
      </c>
      <c r="G1155" s="656" t="s">
        <v>10288</v>
      </c>
      <c r="H1155" s="656" t="s">
        <v>1777</v>
      </c>
      <c r="I1155" s="656"/>
      <c r="J1155" s="656"/>
      <c r="K1155" s="656"/>
      <c r="L1155" s="656" t="s">
        <v>10289</v>
      </c>
      <c r="M1155" s="656" t="s">
        <v>16196</v>
      </c>
      <c r="N1155" s="656"/>
      <c r="O1155" s="656" t="s">
        <v>6395</v>
      </c>
      <c r="P1155" s="5"/>
      <c r="Q1155" s="1447">
        <v>43990</v>
      </c>
      <c r="R1155" s="656"/>
      <c r="S1155" s="656" t="s">
        <v>472</v>
      </c>
      <c r="T1155" s="656"/>
      <c r="U1155" s="656"/>
      <c r="V1155" s="656"/>
      <c r="W1155" s="656" t="s">
        <v>13051</v>
      </c>
      <c r="X1155" s="656" t="s">
        <v>498</v>
      </c>
      <c r="Y1155" s="656" t="s">
        <v>14278</v>
      </c>
      <c r="Z1155" s="656">
        <v>44305.520960648151</v>
      </c>
      <c r="AA1155" s="656" t="s">
        <v>14335</v>
      </c>
      <c r="AB1155" s="656"/>
    </row>
    <row r="1156" spans="1:28">
      <c r="A1156" s="656" t="s">
        <v>3307</v>
      </c>
      <c r="B1156" s="656" t="s">
        <v>3308</v>
      </c>
      <c r="C1156" s="656" t="s">
        <v>20</v>
      </c>
      <c r="D1156" s="656" t="s">
        <v>11446</v>
      </c>
      <c r="E1156" s="656" t="s">
        <v>14275</v>
      </c>
      <c r="F1156" s="1447">
        <v>42871</v>
      </c>
      <c r="G1156" s="656" t="s">
        <v>11445</v>
      </c>
      <c r="H1156" s="656" t="s">
        <v>1777</v>
      </c>
      <c r="I1156" s="656"/>
      <c r="J1156" s="656"/>
      <c r="K1156" s="656"/>
      <c r="L1156" s="656" t="s">
        <v>11446</v>
      </c>
      <c r="M1156" s="656" t="s">
        <v>16318</v>
      </c>
      <c r="N1156" s="656"/>
      <c r="O1156" s="656" t="s">
        <v>6387</v>
      </c>
      <c r="P1156" s="5"/>
      <c r="Q1156" s="1447">
        <v>42551</v>
      </c>
      <c r="R1156" s="656"/>
      <c r="S1156" s="656" t="s">
        <v>1667</v>
      </c>
      <c r="T1156" s="656" t="s">
        <v>14277</v>
      </c>
      <c r="U1156" s="656" t="s">
        <v>655</v>
      </c>
      <c r="V1156" s="656"/>
      <c r="W1156" s="656" t="s">
        <v>13051</v>
      </c>
      <c r="X1156" s="656" t="s">
        <v>498</v>
      </c>
      <c r="Y1156" s="656" t="s">
        <v>14278</v>
      </c>
      <c r="Z1156" s="656">
        <v>44305.520949074074</v>
      </c>
      <c r="AA1156" s="656" t="s">
        <v>14335</v>
      </c>
      <c r="AB1156" s="656"/>
    </row>
    <row r="1157" spans="1:28">
      <c r="A1157" s="656" t="s">
        <v>3313</v>
      </c>
      <c r="B1157" s="656" t="s">
        <v>3314</v>
      </c>
      <c r="C1157" s="656" t="s">
        <v>20</v>
      </c>
      <c r="D1157" s="656" t="s">
        <v>11444</v>
      </c>
      <c r="E1157" s="656" t="s">
        <v>14275</v>
      </c>
      <c r="F1157" s="1447">
        <v>43142</v>
      </c>
      <c r="G1157" s="656" t="s">
        <v>11443</v>
      </c>
      <c r="H1157" s="656" t="s">
        <v>1777</v>
      </c>
      <c r="I1157" s="656"/>
      <c r="J1157" s="656"/>
      <c r="K1157" s="656"/>
      <c r="L1157" s="656" t="s">
        <v>11444</v>
      </c>
      <c r="M1157" s="656" t="s">
        <v>16196</v>
      </c>
      <c r="N1157" s="656"/>
      <c r="O1157" s="656" t="s">
        <v>6393</v>
      </c>
      <c r="P1157" s="5"/>
      <c r="Q1157" s="1447">
        <v>42450</v>
      </c>
      <c r="R1157" s="656"/>
      <c r="S1157" s="656" t="s">
        <v>1300</v>
      </c>
      <c r="T1157" s="656" t="s">
        <v>4198</v>
      </c>
      <c r="U1157" s="656" t="s">
        <v>1300</v>
      </c>
      <c r="V1157" s="656"/>
      <c r="W1157" s="656" t="s">
        <v>13051</v>
      </c>
      <c r="X1157" s="656" t="s">
        <v>498</v>
      </c>
      <c r="Y1157" s="656" t="s">
        <v>14278</v>
      </c>
      <c r="Z1157" s="656">
        <v>44305.520937499998</v>
      </c>
      <c r="AA1157" s="656" t="s">
        <v>14335</v>
      </c>
      <c r="AB1157" s="656"/>
    </row>
    <row r="1158" spans="1:28">
      <c r="A1158" s="656" t="s">
        <v>3315</v>
      </c>
      <c r="B1158" s="656" t="s">
        <v>3316</v>
      </c>
      <c r="C1158" s="656" t="s">
        <v>20</v>
      </c>
      <c r="D1158" s="656" t="s">
        <v>11442</v>
      </c>
      <c r="E1158" s="656" t="s">
        <v>14275</v>
      </c>
      <c r="F1158" s="1447">
        <v>43109</v>
      </c>
      <c r="G1158" s="656" t="s">
        <v>11441</v>
      </c>
      <c r="H1158" s="656" t="s">
        <v>1777</v>
      </c>
      <c r="I1158" s="656"/>
      <c r="J1158" s="656"/>
      <c r="K1158" s="656"/>
      <c r="L1158" s="656" t="s">
        <v>11442</v>
      </c>
      <c r="M1158" s="656" t="s">
        <v>16196</v>
      </c>
      <c r="N1158" s="656"/>
      <c r="O1158" s="656" t="s">
        <v>9757</v>
      </c>
      <c r="P1158" s="5"/>
      <c r="Q1158" s="1447"/>
      <c r="R1158" s="656"/>
      <c r="S1158" s="656" t="s">
        <v>1300</v>
      </c>
      <c r="T1158" s="656" t="s">
        <v>522</v>
      </c>
      <c r="U1158" s="656" t="s">
        <v>522</v>
      </c>
      <c r="V1158" s="656"/>
      <c r="W1158" s="656" t="s">
        <v>13051</v>
      </c>
      <c r="X1158" s="656" t="s">
        <v>498</v>
      </c>
      <c r="Y1158" s="656" t="s">
        <v>14278</v>
      </c>
      <c r="Z1158" s="656">
        <v>44305.520937499998</v>
      </c>
      <c r="AA1158" s="656" t="s">
        <v>14335</v>
      </c>
      <c r="AB1158" s="656"/>
    </row>
    <row r="1159" spans="1:28">
      <c r="A1159" s="656" t="s">
        <v>3321</v>
      </c>
      <c r="B1159" s="656" t="s">
        <v>3322</v>
      </c>
      <c r="C1159" s="656" t="s">
        <v>20</v>
      </c>
      <c r="D1159" s="656" t="s">
        <v>11440</v>
      </c>
      <c r="E1159" s="656" t="s">
        <v>14275</v>
      </c>
      <c r="F1159" s="1447">
        <v>43052</v>
      </c>
      <c r="G1159" s="656" t="s">
        <v>11439</v>
      </c>
      <c r="H1159" s="656" t="s">
        <v>1777</v>
      </c>
      <c r="I1159" s="656"/>
      <c r="J1159" s="656"/>
      <c r="K1159" s="656"/>
      <c r="L1159" s="656" t="s">
        <v>11440</v>
      </c>
      <c r="M1159" s="656" t="s">
        <v>16407</v>
      </c>
      <c r="N1159" s="656"/>
      <c r="O1159" s="656" t="s">
        <v>6387</v>
      </c>
      <c r="P1159" s="5"/>
      <c r="Q1159" s="1447">
        <v>42473</v>
      </c>
      <c r="R1159" s="656"/>
      <c r="S1159" s="656" t="s">
        <v>1667</v>
      </c>
      <c r="T1159" s="656" t="s">
        <v>14277</v>
      </c>
      <c r="U1159" s="656" t="s">
        <v>655</v>
      </c>
      <c r="V1159" s="656"/>
      <c r="W1159" s="656" t="s">
        <v>13051</v>
      </c>
      <c r="X1159" s="656" t="s">
        <v>498</v>
      </c>
      <c r="Y1159" s="656" t="s">
        <v>14278</v>
      </c>
      <c r="Z1159" s="656">
        <v>44305.520925925928</v>
      </c>
      <c r="AA1159" s="656" t="s">
        <v>14335</v>
      </c>
      <c r="AB1159" s="656"/>
    </row>
    <row r="1160" spans="1:28">
      <c r="A1160" s="656" t="s">
        <v>3325</v>
      </c>
      <c r="B1160" s="656" t="s">
        <v>3326</v>
      </c>
      <c r="C1160" s="656" t="s">
        <v>21</v>
      </c>
      <c r="D1160" s="656" t="s">
        <v>11435</v>
      </c>
      <c r="E1160" s="656" t="s">
        <v>14384</v>
      </c>
      <c r="F1160" s="1447"/>
      <c r="G1160" s="656" t="s">
        <v>11434</v>
      </c>
      <c r="H1160" s="656" t="s">
        <v>1777</v>
      </c>
      <c r="I1160" s="656" t="s">
        <v>14662</v>
      </c>
      <c r="J1160" s="656" t="s">
        <v>11435</v>
      </c>
      <c r="K1160" s="656" t="s">
        <v>9782</v>
      </c>
      <c r="L1160" s="656"/>
      <c r="M1160" s="656" t="s">
        <v>16196</v>
      </c>
      <c r="N1160" s="656"/>
      <c r="O1160" s="656" t="s">
        <v>6393</v>
      </c>
      <c r="P1160" s="5" t="s">
        <v>14663</v>
      </c>
      <c r="Q1160" s="1447">
        <v>42898</v>
      </c>
      <c r="R1160" s="656"/>
      <c r="S1160" s="656" t="s">
        <v>1300</v>
      </c>
      <c r="T1160" s="656" t="s">
        <v>4198</v>
      </c>
      <c r="U1160" s="656" t="s">
        <v>1300</v>
      </c>
      <c r="V1160" s="656"/>
      <c r="W1160" s="656" t="s">
        <v>13051</v>
      </c>
      <c r="X1160" s="656" t="s">
        <v>498</v>
      </c>
      <c r="Y1160" s="656" t="s">
        <v>14278</v>
      </c>
      <c r="Z1160" s="656">
        <v>44305.520902777775</v>
      </c>
      <c r="AA1160" s="656" t="s">
        <v>14335</v>
      </c>
      <c r="AB1160" s="656"/>
    </row>
    <row r="1161" spans="1:28">
      <c r="A1161" s="656" t="s">
        <v>3325</v>
      </c>
      <c r="B1161" s="656" t="s">
        <v>3326</v>
      </c>
      <c r="C1161" s="656" t="s">
        <v>20</v>
      </c>
      <c r="D1161" s="656" t="s">
        <v>11437</v>
      </c>
      <c r="E1161" s="656" t="s">
        <v>14275</v>
      </c>
      <c r="F1161" s="1447">
        <v>43279</v>
      </c>
      <c r="G1161" s="656" t="s">
        <v>11436</v>
      </c>
      <c r="H1161" s="656" t="s">
        <v>1777</v>
      </c>
      <c r="I1161" s="656"/>
      <c r="J1161" s="656"/>
      <c r="K1161" s="656"/>
      <c r="L1161" s="656" t="s">
        <v>11437</v>
      </c>
      <c r="M1161" s="656" t="s">
        <v>1947</v>
      </c>
      <c r="N1161" s="656"/>
      <c r="O1161" s="656" t="s">
        <v>9757</v>
      </c>
      <c r="P1161" s="5"/>
      <c r="Q1161" s="1447">
        <v>42839</v>
      </c>
      <c r="R1161" s="656"/>
      <c r="S1161" s="656" t="s">
        <v>1300</v>
      </c>
      <c r="T1161" s="656" t="s">
        <v>4198</v>
      </c>
      <c r="U1161" s="656" t="s">
        <v>1300</v>
      </c>
      <c r="V1161" s="656"/>
      <c r="W1161" s="656" t="s">
        <v>13051</v>
      </c>
      <c r="X1161" s="656" t="s">
        <v>498</v>
      </c>
      <c r="Y1161" s="656" t="s">
        <v>14278</v>
      </c>
      <c r="Z1161" s="656">
        <v>44305.520914351851</v>
      </c>
      <c r="AA1161" s="656" t="s">
        <v>14335</v>
      </c>
      <c r="AB1161" s="656"/>
    </row>
    <row r="1162" spans="1:28">
      <c r="A1162" s="656" t="s">
        <v>3325</v>
      </c>
      <c r="B1162" s="656" t="s">
        <v>3326</v>
      </c>
      <c r="C1162" s="656" t="s">
        <v>20</v>
      </c>
      <c r="D1162" s="656" t="s">
        <v>11438</v>
      </c>
      <c r="E1162" s="656" t="s">
        <v>14275</v>
      </c>
      <c r="F1162" s="1447"/>
      <c r="G1162" s="656" t="s">
        <v>11436</v>
      </c>
      <c r="H1162" s="656" t="s">
        <v>1777</v>
      </c>
      <c r="I1162" s="656"/>
      <c r="J1162" s="656"/>
      <c r="K1162" s="656"/>
      <c r="L1162" s="656" t="s">
        <v>11438</v>
      </c>
      <c r="M1162" s="656" t="s">
        <v>16196</v>
      </c>
      <c r="N1162" s="656"/>
      <c r="O1162" s="656" t="s">
        <v>9757</v>
      </c>
      <c r="P1162" s="5"/>
      <c r="Q1162" s="1447">
        <v>42839</v>
      </c>
      <c r="R1162" s="656"/>
      <c r="S1162" s="656" t="s">
        <v>1300</v>
      </c>
      <c r="T1162" s="656" t="s">
        <v>4198</v>
      </c>
      <c r="U1162" s="656" t="s">
        <v>1300</v>
      </c>
      <c r="V1162" s="656"/>
      <c r="W1162" s="656" t="s">
        <v>13051</v>
      </c>
      <c r="X1162" s="656" t="s">
        <v>498</v>
      </c>
      <c r="Y1162" s="656" t="s">
        <v>14278</v>
      </c>
      <c r="Z1162" s="656">
        <v>44305.520925925928</v>
      </c>
      <c r="AA1162" s="656" t="s">
        <v>14335</v>
      </c>
      <c r="AB1162" s="656"/>
    </row>
    <row r="1163" spans="1:28">
      <c r="A1163" s="656" t="s">
        <v>3327</v>
      </c>
      <c r="B1163" s="656" t="s">
        <v>3328</v>
      </c>
      <c r="C1163" s="656" t="s">
        <v>21</v>
      </c>
      <c r="D1163" s="656" t="s">
        <v>11432</v>
      </c>
      <c r="E1163" s="656" t="s">
        <v>14275</v>
      </c>
      <c r="F1163" s="1447">
        <v>43116</v>
      </c>
      <c r="G1163" s="656" t="s">
        <v>11431</v>
      </c>
      <c r="H1163" s="656" t="s">
        <v>1564</v>
      </c>
      <c r="I1163" s="656" t="s">
        <v>14664</v>
      </c>
      <c r="J1163" s="656" t="s">
        <v>11432</v>
      </c>
      <c r="K1163" s="656" t="s">
        <v>9750</v>
      </c>
      <c r="L1163" s="656"/>
      <c r="M1163" s="656" t="s">
        <v>1564</v>
      </c>
      <c r="N1163" s="656"/>
      <c r="O1163" s="656" t="s">
        <v>6387</v>
      </c>
      <c r="P1163" s="5"/>
      <c r="Q1163" s="1447">
        <v>42569</v>
      </c>
      <c r="R1163" s="656">
        <v>42972</v>
      </c>
      <c r="S1163" s="656" t="s">
        <v>1300</v>
      </c>
      <c r="T1163" s="656" t="s">
        <v>14277</v>
      </c>
      <c r="U1163" s="656" t="s">
        <v>655</v>
      </c>
      <c r="V1163" s="656"/>
      <c r="W1163" s="656" t="s">
        <v>13051</v>
      </c>
      <c r="X1163" s="656" t="s">
        <v>498</v>
      </c>
      <c r="Y1163" s="656" t="s">
        <v>14278</v>
      </c>
      <c r="Z1163" s="656">
        <v>44305.520891203705</v>
      </c>
      <c r="AA1163" s="656" t="s">
        <v>14335</v>
      </c>
      <c r="AB1163" s="656"/>
    </row>
    <row r="1164" spans="1:28">
      <c r="A1164" s="656" t="s">
        <v>3327</v>
      </c>
      <c r="B1164" s="656" t="s">
        <v>3328</v>
      </c>
      <c r="C1164" s="656" t="s">
        <v>20</v>
      </c>
      <c r="D1164" s="656" t="s">
        <v>11433</v>
      </c>
      <c r="E1164" s="656" t="s">
        <v>14275</v>
      </c>
      <c r="F1164" s="1447">
        <v>43095</v>
      </c>
      <c r="G1164" s="656" t="s">
        <v>11431</v>
      </c>
      <c r="H1164" s="656" t="s">
        <v>1777</v>
      </c>
      <c r="I1164" s="656"/>
      <c r="J1164" s="656"/>
      <c r="K1164" s="656"/>
      <c r="L1164" s="656" t="s">
        <v>11433</v>
      </c>
      <c r="M1164" s="656" t="s">
        <v>1564</v>
      </c>
      <c r="N1164" s="656"/>
      <c r="O1164" s="656" t="s">
        <v>6387</v>
      </c>
      <c r="P1164" s="5"/>
      <c r="Q1164" s="1447"/>
      <c r="R1164" s="656"/>
      <c r="S1164" s="656" t="s">
        <v>1300</v>
      </c>
      <c r="T1164" s="656" t="s">
        <v>14277</v>
      </c>
      <c r="U1164" s="656" t="s">
        <v>655</v>
      </c>
      <c r="V1164" s="656"/>
      <c r="W1164" s="656" t="s">
        <v>13051</v>
      </c>
      <c r="X1164" s="656" t="s">
        <v>498</v>
      </c>
      <c r="Y1164" s="656" t="s">
        <v>14278</v>
      </c>
      <c r="Z1164" s="656">
        <v>44305.520902777775</v>
      </c>
      <c r="AA1164" s="656" t="s">
        <v>14335</v>
      </c>
      <c r="AB1164" s="656"/>
    </row>
    <row r="1165" spans="1:28">
      <c r="A1165" s="656" t="s">
        <v>3360</v>
      </c>
      <c r="B1165" s="656" t="s">
        <v>3361</v>
      </c>
      <c r="C1165" s="656" t="s">
        <v>20</v>
      </c>
      <c r="D1165" s="656" t="s">
        <v>11430</v>
      </c>
      <c r="E1165" s="656" t="s">
        <v>14275</v>
      </c>
      <c r="F1165" s="1447">
        <v>43563</v>
      </c>
      <c r="G1165" s="656" t="s">
        <v>11429</v>
      </c>
      <c r="H1165" s="656" t="s">
        <v>1777</v>
      </c>
      <c r="I1165" s="656"/>
      <c r="J1165" s="656"/>
      <c r="K1165" s="656"/>
      <c r="L1165" s="656" t="s">
        <v>11430</v>
      </c>
      <c r="M1165" s="656" t="s">
        <v>16196</v>
      </c>
      <c r="N1165" s="656"/>
      <c r="O1165" s="656" t="s">
        <v>9757</v>
      </c>
      <c r="P1165" s="5"/>
      <c r="Q1165" s="1447"/>
      <c r="R1165" s="656"/>
      <c r="S1165" s="656" t="s">
        <v>1300</v>
      </c>
      <c r="T1165" s="656" t="s">
        <v>522</v>
      </c>
      <c r="U1165" s="656" t="s">
        <v>522</v>
      </c>
      <c r="V1165" s="656"/>
      <c r="W1165" s="656" t="s">
        <v>13051</v>
      </c>
      <c r="X1165" s="656" t="s">
        <v>498</v>
      </c>
      <c r="Y1165" s="656" t="s">
        <v>14278</v>
      </c>
      <c r="Z1165" s="656">
        <v>44305.520891203705</v>
      </c>
      <c r="AA1165" s="656" t="s">
        <v>14335</v>
      </c>
      <c r="AB1165" s="656"/>
    </row>
    <row r="1166" spans="1:28">
      <c r="A1166" s="656" t="s">
        <v>3376</v>
      </c>
      <c r="B1166" s="656" t="s">
        <v>3377</v>
      </c>
      <c r="C1166" s="656" t="s">
        <v>20</v>
      </c>
      <c r="D1166" s="656" t="s">
        <v>11428</v>
      </c>
      <c r="E1166" s="656" t="s">
        <v>14275</v>
      </c>
      <c r="F1166" s="1447">
        <v>42893</v>
      </c>
      <c r="G1166" s="656" t="s">
        <v>11427</v>
      </c>
      <c r="H1166" s="656" t="s">
        <v>1777</v>
      </c>
      <c r="I1166" s="656"/>
      <c r="J1166" s="656"/>
      <c r="K1166" s="656"/>
      <c r="L1166" s="656" t="s">
        <v>11428</v>
      </c>
      <c r="M1166" s="656" t="s">
        <v>16319</v>
      </c>
      <c r="N1166" s="656"/>
      <c r="O1166" s="656" t="s">
        <v>6393</v>
      </c>
      <c r="P1166" s="5"/>
      <c r="Q1166" s="1447">
        <v>42388</v>
      </c>
      <c r="R1166" s="656"/>
      <c r="S1166" s="656" t="s">
        <v>1300</v>
      </c>
      <c r="T1166" s="656" t="s">
        <v>14559</v>
      </c>
      <c r="U1166" s="656" t="s">
        <v>500</v>
      </c>
      <c r="V1166" s="656"/>
      <c r="W1166" s="656" t="s">
        <v>13051</v>
      </c>
      <c r="X1166" s="656" t="s">
        <v>498</v>
      </c>
      <c r="Y1166" s="656" t="s">
        <v>14278</v>
      </c>
      <c r="Z1166" s="656">
        <v>44305.520879629628</v>
      </c>
      <c r="AA1166" s="656" t="s">
        <v>14335</v>
      </c>
      <c r="AB1166" s="656"/>
    </row>
    <row r="1167" spans="1:28">
      <c r="A1167" s="656" t="s">
        <v>3378</v>
      </c>
      <c r="B1167" s="656" t="s">
        <v>3379</v>
      </c>
      <c r="C1167" s="656" t="s">
        <v>21</v>
      </c>
      <c r="D1167" s="656" t="s">
        <v>11425</v>
      </c>
      <c r="E1167" s="656" t="s">
        <v>14275</v>
      </c>
      <c r="F1167" s="1447">
        <v>43154</v>
      </c>
      <c r="G1167" s="656" t="s">
        <v>11424</v>
      </c>
      <c r="H1167" s="656" t="s">
        <v>1777</v>
      </c>
      <c r="I1167" s="656" t="s">
        <v>14665</v>
      </c>
      <c r="J1167" s="656" t="s">
        <v>11425</v>
      </c>
      <c r="K1167" s="656" t="s">
        <v>9782</v>
      </c>
      <c r="L1167" s="656"/>
      <c r="M1167" s="656" t="s">
        <v>16196</v>
      </c>
      <c r="N1167" s="656"/>
      <c r="O1167" s="656" t="s">
        <v>6395</v>
      </c>
      <c r="P1167" s="5" t="s">
        <v>14936</v>
      </c>
      <c r="Q1167" s="1447">
        <v>42441</v>
      </c>
      <c r="R1167" s="656">
        <v>42512</v>
      </c>
      <c r="S1167" s="656" t="s">
        <v>1394</v>
      </c>
      <c r="T1167" s="656" t="s">
        <v>14280</v>
      </c>
      <c r="U1167" s="656" t="s">
        <v>1394</v>
      </c>
      <c r="V1167" s="656"/>
      <c r="W1167" s="656" t="s">
        <v>13051</v>
      </c>
      <c r="X1167" s="656" t="s">
        <v>498</v>
      </c>
      <c r="Y1167" s="656" t="s">
        <v>14278</v>
      </c>
      <c r="Z1167" s="656">
        <v>44305.520868055559</v>
      </c>
      <c r="AA1167" s="656" t="s">
        <v>14335</v>
      </c>
      <c r="AB1167" s="656"/>
    </row>
    <row r="1168" spans="1:28">
      <c r="A1168" s="656" t="s">
        <v>3378</v>
      </c>
      <c r="B1168" s="656" t="s">
        <v>3379</v>
      </c>
      <c r="C1168" s="656" t="s">
        <v>20</v>
      </c>
      <c r="D1168" s="656" t="s">
        <v>11426</v>
      </c>
      <c r="E1168" s="656" t="s">
        <v>14275</v>
      </c>
      <c r="F1168" s="1447">
        <v>43133</v>
      </c>
      <c r="G1168" s="656" t="s">
        <v>11424</v>
      </c>
      <c r="H1168" s="656" t="s">
        <v>1777</v>
      </c>
      <c r="I1168" s="656"/>
      <c r="J1168" s="656"/>
      <c r="K1168" s="656"/>
      <c r="L1168" s="656" t="s">
        <v>11426</v>
      </c>
      <c r="M1168" s="656" t="s">
        <v>16196</v>
      </c>
      <c r="N1168" s="656"/>
      <c r="O1168" s="656" t="s">
        <v>6395</v>
      </c>
      <c r="P1168" s="5"/>
      <c r="Q1168" s="1447"/>
      <c r="R1168" s="656"/>
      <c r="S1168" s="656" t="s">
        <v>1394</v>
      </c>
      <c r="T1168" s="656" t="s">
        <v>14280</v>
      </c>
      <c r="U1168" s="656" t="s">
        <v>1394</v>
      </c>
      <c r="V1168" s="656"/>
      <c r="W1168" s="656" t="s">
        <v>13051</v>
      </c>
      <c r="X1168" s="656" t="s">
        <v>498</v>
      </c>
      <c r="Y1168" s="656" t="s">
        <v>14278</v>
      </c>
      <c r="Z1168" s="656">
        <v>44305.520868055559</v>
      </c>
      <c r="AA1168" s="656" t="s">
        <v>14335</v>
      </c>
      <c r="AB1168" s="656"/>
    </row>
    <row r="1169" spans="1:28">
      <c r="A1169" s="656" t="s">
        <v>3400</v>
      </c>
      <c r="B1169" s="656" t="s">
        <v>3401</v>
      </c>
      <c r="C1169" s="656" t="s">
        <v>20</v>
      </c>
      <c r="D1169" s="656" t="s">
        <v>11423</v>
      </c>
      <c r="E1169" s="656" t="s">
        <v>14275</v>
      </c>
      <c r="F1169" s="1447">
        <v>42712</v>
      </c>
      <c r="G1169" s="656" t="s">
        <v>11422</v>
      </c>
      <c r="H1169" s="656" t="s">
        <v>1777</v>
      </c>
      <c r="I1169" s="656"/>
      <c r="J1169" s="656"/>
      <c r="K1169" s="656"/>
      <c r="L1169" s="656" t="s">
        <v>11423</v>
      </c>
      <c r="M1169" s="656" t="s">
        <v>1564</v>
      </c>
      <c r="N1169" s="656"/>
      <c r="O1169" s="656" t="s">
        <v>6393</v>
      </c>
      <c r="P1169" s="5"/>
      <c r="Q1169" s="1447">
        <v>42340</v>
      </c>
      <c r="R1169" s="656"/>
      <c r="S1169" s="656" t="s">
        <v>500</v>
      </c>
      <c r="T1169" s="656" t="s">
        <v>14559</v>
      </c>
      <c r="U1169" s="656" t="s">
        <v>500</v>
      </c>
      <c r="V1169" s="656"/>
      <c r="W1169" s="656" t="s">
        <v>13051</v>
      </c>
      <c r="X1169" s="656" t="s">
        <v>498</v>
      </c>
      <c r="Y1169" s="656" t="s">
        <v>14278</v>
      </c>
      <c r="Z1169" s="656">
        <v>44305.520856481482</v>
      </c>
      <c r="AA1169" s="656" t="s">
        <v>14335</v>
      </c>
      <c r="AB1169" s="656"/>
    </row>
    <row r="1170" spans="1:28">
      <c r="A1170" s="656" t="s">
        <v>3413</v>
      </c>
      <c r="B1170" s="656" t="s">
        <v>3414</v>
      </c>
      <c r="C1170" s="656" t="s">
        <v>21</v>
      </c>
      <c r="D1170" s="656" t="s">
        <v>11420</v>
      </c>
      <c r="E1170" s="656" t="s">
        <v>14275</v>
      </c>
      <c r="F1170" s="1447">
        <v>43433</v>
      </c>
      <c r="G1170" s="656" t="s">
        <v>11419</v>
      </c>
      <c r="H1170" s="656" t="s">
        <v>1777</v>
      </c>
      <c r="I1170" s="656" t="s">
        <v>14666</v>
      </c>
      <c r="J1170" s="656" t="s">
        <v>11420</v>
      </c>
      <c r="K1170" s="656" t="s">
        <v>9733</v>
      </c>
      <c r="L1170" s="656"/>
      <c r="M1170" s="656" t="s">
        <v>16196</v>
      </c>
      <c r="N1170" s="656"/>
      <c r="O1170" s="656" t="s">
        <v>6395</v>
      </c>
      <c r="P1170" s="5"/>
      <c r="Q1170" s="1447">
        <v>42178</v>
      </c>
      <c r="R1170" s="656">
        <v>42947</v>
      </c>
      <c r="S1170" s="656" t="s">
        <v>1394</v>
      </c>
      <c r="T1170" s="656" t="s">
        <v>14280</v>
      </c>
      <c r="U1170" s="656" t="s">
        <v>1394</v>
      </c>
      <c r="V1170" s="656"/>
      <c r="W1170" s="656" t="s">
        <v>13051</v>
      </c>
      <c r="X1170" s="656" t="s">
        <v>498</v>
      </c>
      <c r="Y1170" s="656" t="s">
        <v>14278</v>
      </c>
      <c r="Z1170" s="656">
        <v>44305.520844907405</v>
      </c>
      <c r="AA1170" s="656" t="s">
        <v>14335</v>
      </c>
      <c r="AB1170" s="656"/>
    </row>
    <row r="1171" spans="1:28">
      <c r="A1171" s="656" t="s">
        <v>3413</v>
      </c>
      <c r="B1171" s="656" t="s">
        <v>3414</v>
      </c>
      <c r="C1171" s="656" t="s">
        <v>20</v>
      </c>
      <c r="D1171" s="656" t="s">
        <v>11421</v>
      </c>
      <c r="E1171" s="656" t="s">
        <v>14275</v>
      </c>
      <c r="F1171" s="1447">
        <v>43336</v>
      </c>
      <c r="G1171" s="656" t="s">
        <v>11419</v>
      </c>
      <c r="H1171" s="656" t="s">
        <v>1777</v>
      </c>
      <c r="I1171" s="656"/>
      <c r="J1171" s="656"/>
      <c r="K1171" s="656"/>
      <c r="L1171" s="656" t="s">
        <v>11421</v>
      </c>
      <c r="M1171" s="656" t="s">
        <v>16196</v>
      </c>
      <c r="N1171" s="656"/>
      <c r="O1171" s="656" t="s">
        <v>6395</v>
      </c>
      <c r="P1171" s="5"/>
      <c r="Q1171" s="1447"/>
      <c r="R1171" s="656"/>
      <c r="S1171" s="656" t="s">
        <v>1394</v>
      </c>
      <c r="T1171" s="656" t="s">
        <v>14280</v>
      </c>
      <c r="U1171" s="656" t="s">
        <v>1394</v>
      </c>
      <c r="V1171" s="656"/>
      <c r="W1171" s="656" t="s">
        <v>13051</v>
      </c>
      <c r="X1171" s="656" t="s">
        <v>498</v>
      </c>
      <c r="Y1171" s="656" t="s">
        <v>14278</v>
      </c>
      <c r="Z1171" s="656">
        <v>44305.520856481482</v>
      </c>
      <c r="AA1171" s="656" t="s">
        <v>14335</v>
      </c>
      <c r="AB1171" s="656"/>
    </row>
    <row r="1172" spans="1:28">
      <c r="A1172" s="656" t="s">
        <v>3415</v>
      </c>
      <c r="B1172" s="656" t="s">
        <v>3416</v>
      </c>
      <c r="C1172" s="656" t="s">
        <v>20</v>
      </c>
      <c r="D1172" s="656" t="s">
        <v>9730</v>
      </c>
      <c r="E1172" s="656" t="s">
        <v>14275</v>
      </c>
      <c r="F1172" s="1447">
        <v>44099</v>
      </c>
      <c r="G1172" s="656" t="s">
        <v>9729</v>
      </c>
      <c r="H1172" s="656" t="s">
        <v>1777</v>
      </c>
      <c r="I1172" s="656"/>
      <c r="J1172" s="656"/>
      <c r="K1172" s="656"/>
      <c r="L1172" s="656" t="s">
        <v>9730</v>
      </c>
      <c r="M1172" s="656" t="s">
        <v>16196</v>
      </c>
      <c r="N1172" s="656"/>
      <c r="O1172" s="656" t="s">
        <v>6395</v>
      </c>
      <c r="P1172" s="5"/>
      <c r="Q1172" s="1447">
        <v>42381</v>
      </c>
      <c r="R1172" s="656"/>
      <c r="S1172" s="656" t="s">
        <v>1394</v>
      </c>
      <c r="T1172" s="656" t="s">
        <v>14280</v>
      </c>
      <c r="U1172" s="656" t="s">
        <v>1394</v>
      </c>
      <c r="V1172" s="656"/>
      <c r="W1172" s="656" t="s">
        <v>13051</v>
      </c>
      <c r="X1172" s="656" t="s">
        <v>498</v>
      </c>
      <c r="Y1172" s="656" t="s">
        <v>14278</v>
      </c>
      <c r="Z1172" s="656">
        <v>44305.520833333336</v>
      </c>
      <c r="AA1172" s="656" t="s">
        <v>14335</v>
      </c>
      <c r="AB1172" s="656"/>
    </row>
    <row r="1173" spans="1:28">
      <c r="A1173" s="656" t="s">
        <v>3431</v>
      </c>
      <c r="B1173" s="656" t="s">
        <v>3432</v>
      </c>
      <c r="C1173" s="656" t="s">
        <v>21</v>
      </c>
      <c r="D1173" s="656" t="s">
        <v>11417</v>
      </c>
      <c r="E1173" s="656" t="s">
        <v>14275</v>
      </c>
      <c r="F1173" s="1447">
        <v>43186</v>
      </c>
      <c r="G1173" s="656" t="s">
        <v>11416</v>
      </c>
      <c r="H1173" s="656" t="s">
        <v>1584</v>
      </c>
      <c r="I1173" s="656" t="s">
        <v>14667</v>
      </c>
      <c r="J1173" s="656" t="s">
        <v>11417</v>
      </c>
      <c r="K1173" s="656" t="s">
        <v>9782</v>
      </c>
      <c r="L1173" s="656"/>
      <c r="M1173" s="656" t="s">
        <v>1584</v>
      </c>
      <c r="N1173" s="656"/>
      <c r="O1173" s="656" t="s">
        <v>6387</v>
      </c>
      <c r="P1173" s="5" t="s">
        <v>14942</v>
      </c>
      <c r="Q1173" s="1447"/>
      <c r="R1173" s="656">
        <v>42951</v>
      </c>
      <c r="S1173" s="656" t="s">
        <v>500</v>
      </c>
      <c r="T1173" s="656" t="s">
        <v>14277</v>
      </c>
      <c r="U1173" s="656" t="s">
        <v>655</v>
      </c>
      <c r="V1173" s="656"/>
      <c r="W1173" s="656" t="s">
        <v>13051</v>
      </c>
      <c r="X1173" s="656" t="s">
        <v>498</v>
      </c>
      <c r="Y1173" s="656" t="s">
        <v>14278</v>
      </c>
      <c r="Z1173" s="656">
        <v>44305.520810185182</v>
      </c>
      <c r="AA1173" s="656" t="s">
        <v>14335</v>
      </c>
      <c r="AB1173" s="656"/>
    </row>
    <row r="1174" spans="1:28">
      <c r="A1174" s="656" t="s">
        <v>3431</v>
      </c>
      <c r="B1174" s="656" t="s">
        <v>3432</v>
      </c>
      <c r="C1174" s="656" t="s">
        <v>20</v>
      </c>
      <c r="D1174" s="656" t="s">
        <v>11418</v>
      </c>
      <c r="E1174" s="656" t="s">
        <v>14275</v>
      </c>
      <c r="F1174" s="1447">
        <v>43143</v>
      </c>
      <c r="G1174" s="656" t="s">
        <v>11416</v>
      </c>
      <c r="H1174" s="656" t="s">
        <v>1777</v>
      </c>
      <c r="I1174" s="656"/>
      <c r="J1174" s="656"/>
      <c r="K1174" s="656"/>
      <c r="L1174" s="656" t="s">
        <v>11418</v>
      </c>
      <c r="M1174" s="656" t="s">
        <v>1584</v>
      </c>
      <c r="N1174" s="656"/>
      <c r="O1174" s="656" t="s">
        <v>6387</v>
      </c>
      <c r="P1174" s="5"/>
      <c r="Q1174" s="1447"/>
      <c r="R1174" s="656"/>
      <c r="S1174" s="656" t="s">
        <v>500</v>
      </c>
      <c r="T1174" s="656" t="s">
        <v>14277</v>
      </c>
      <c r="U1174" s="656" t="s">
        <v>655</v>
      </c>
      <c r="V1174" s="656"/>
      <c r="W1174" s="656" t="s">
        <v>13051</v>
      </c>
      <c r="X1174" s="656" t="s">
        <v>498</v>
      </c>
      <c r="Y1174" s="656" t="s">
        <v>14278</v>
      </c>
      <c r="Z1174" s="656">
        <v>44305.520821759259</v>
      </c>
      <c r="AA1174" s="656" t="s">
        <v>14335</v>
      </c>
      <c r="AB1174" s="656"/>
    </row>
    <row r="1175" spans="1:28">
      <c r="A1175" s="656" t="s">
        <v>3449</v>
      </c>
      <c r="B1175" s="656" t="s">
        <v>3450</v>
      </c>
      <c r="C1175" s="656" t="s">
        <v>21</v>
      </c>
      <c r="D1175" s="656" t="s">
        <v>11414</v>
      </c>
      <c r="E1175" s="656" t="s">
        <v>14275</v>
      </c>
      <c r="F1175" s="1447">
        <v>43549</v>
      </c>
      <c r="G1175" s="656" t="s">
        <v>11413</v>
      </c>
      <c r="H1175" s="656" t="s">
        <v>1777</v>
      </c>
      <c r="I1175" s="656" t="s">
        <v>14668</v>
      </c>
      <c r="J1175" s="656" t="s">
        <v>11414</v>
      </c>
      <c r="K1175" s="656" t="s">
        <v>10398</v>
      </c>
      <c r="L1175" s="656"/>
      <c r="M1175" s="656" t="s">
        <v>16196</v>
      </c>
      <c r="N1175" s="656"/>
      <c r="O1175" s="656" t="s">
        <v>6395</v>
      </c>
      <c r="P1175" s="5"/>
      <c r="Q1175" s="1447">
        <v>42627</v>
      </c>
      <c r="R1175" s="656">
        <v>43221</v>
      </c>
      <c r="S1175" s="656" t="s">
        <v>1394</v>
      </c>
      <c r="T1175" s="656" t="s">
        <v>14280</v>
      </c>
      <c r="U1175" s="656" t="s">
        <v>1394</v>
      </c>
      <c r="V1175" s="656"/>
      <c r="W1175" s="656" t="s">
        <v>13051</v>
      </c>
      <c r="X1175" s="656" t="s">
        <v>498</v>
      </c>
      <c r="Y1175" s="656" t="s">
        <v>14278</v>
      </c>
      <c r="Z1175" s="656">
        <v>44305.520798611113</v>
      </c>
      <c r="AA1175" s="656" t="s">
        <v>14335</v>
      </c>
      <c r="AB1175" s="656"/>
    </row>
    <row r="1176" spans="1:28">
      <c r="A1176" s="656" t="s">
        <v>3449</v>
      </c>
      <c r="B1176" s="656" t="s">
        <v>3450</v>
      </c>
      <c r="C1176" s="656" t="s">
        <v>20</v>
      </c>
      <c r="D1176" s="656" t="s">
        <v>11415</v>
      </c>
      <c r="E1176" s="656" t="s">
        <v>14275</v>
      </c>
      <c r="F1176" s="1447">
        <v>43542</v>
      </c>
      <c r="G1176" s="656" t="s">
        <v>11413</v>
      </c>
      <c r="H1176" s="656" t="s">
        <v>1777</v>
      </c>
      <c r="I1176" s="656"/>
      <c r="J1176" s="656"/>
      <c r="K1176" s="656"/>
      <c r="L1176" s="656" t="s">
        <v>11415</v>
      </c>
      <c r="M1176" s="656" t="s">
        <v>16196</v>
      </c>
      <c r="N1176" s="656"/>
      <c r="O1176" s="656" t="s">
        <v>6395</v>
      </c>
      <c r="P1176" s="5"/>
      <c r="Q1176" s="1447">
        <v>42545</v>
      </c>
      <c r="R1176" s="656"/>
      <c r="S1176" s="656" t="s">
        <v>1394</v>
      </c>
      <c r="T1176" s="656" t="s">
        <v>14280</v>
      </c>
      <c r="U1176" s="656" t="s">
        <v>1394</v>
      </c>
      <c r="V1176" s="656"/>
      <c r="W1176" s="656" t="s">
        <v>13051</v>
      </c>
      <c r="X1176" s="656" t="s">
        <v>498</v>
      </c>
      <c r="Y1176" s="656" t="s">
        <v>14278</v>
      </c>
      <c r="Z1176" s="656">
        <v>44305.520810185182</v>
      </c>
      <c r="AA1176" s="656" t="s">
        <v>14335</v>
      </c>
      <c r="AB1176" s="656"/>
    </row>
    <row r="1177" spans="1:28">
      <c r="A1177" s="656" t="s">
        <v>3451</v>
      </c>
      <c r="B1177" s="656" t="s">
        <v>3452</v>
      </c>
      <c r="C1177" s="656" t="s">
        <v>20</v>
      </c>
      <c r="D1177" s="656" t="s">
        <v>11412</v>
      </c>
      <c r="E1177" s="656" t="s">
        <v>14275</v>
      </c>
      <c r="F1177" s="1447">
        <v>43441</v>
      </c>
      <c r="G1177" s="656" t="s">
        <v>11411</v>
      </c>
      <c r="H1177" s="656" t="s">
        <v>1777</v>
      </c>
      <c r="I1177" s="656"/>
      <c r="J1177" s="656"/>
      <c r="K1177" s="656"/>
      <c r="L1177" s="656" t="s">
        <v>11412</v>
      </c>
      <c r="M1177" s="656" t="s">
        <v>16196</v>
      </c>
      <c r="N1177" s="656"/>
      <c r="O1177" s="656" t="s">
        <v>6395</v>
      </c>
      <c r="P1177" s="5"/>
      <c r="Q1177" s="1447"/>
      <c r="R1177" s="656"/>
      <c r="S1177" s="656" t="s">
        <v>1394</v>
      </c>
      <c r="T1177" s="656" t="s">
        <v>14280</v>
      </c>
      <c r="U1177" s="656" t="s">
        <v>1394</v>
      </c>
      <c r="V1177" s="656"/>
      <c r="W1177" s="656" t="s">
        <v>13051</v>
      </c>
      <c r="X1177" s="656" t="s">
        <v>498</v>
      </c>
      <c r="Y1177" s="656" t="s">
        <v>14278</v>
      </c>
      <c r="Z1177" s="656">
        <v>44305.520798611113</v>
      </c>
      <c r="AA1177" s="656" t="s">
        <v>14335</v>
      </c>
      <c r="AB1177" s="656"/>
    </row>
    <row r="1178" spans="1:28">
      <c r="A1178" s="656" t="s">
        <v>3453</v>
      </c>
      <c r="B1178" s="656" t="s">
        <v>3454</v>
      </c>
      <c r="C1178" s="656" t="s">
        <v>20</v>
      </c>
      <c r="D1178" s="656" t="s">
        <v>11410</v>
      </c>
      <c r="E1178" s="656" t="s">
        <v>14275</v>
      </c>
      <c r="F1178" s="1447">
        <v>43888</v>
      </c>
      <c r="G1178" s="656" t="s">
        <v>11409</v>
      </c>
      <c r="H1178" s="656" t="s">
        <v>1777</v>
      </c>
      <c r="I1178" s="656"/>
      <c r="J1178" s="656"/>
      <c r="K1178" s="656"/>
      <c r="L1178" s="656" t="s">
        <v>11410</v>
      </c>
      <c r="M1178" s="656" t="s">
        <v>16196</v>
      </c>
      <c r="N1178" s="656"/>
      <c r="O1178" s="656" t="s">
        <v>6395</v>
      </c>
      <c r="P1178" s="5"/>
      <c r="Q1178" s="1447">
        <v>42545</v>
      </c>
      <c r="R1178" s="656"/>
      <c r="S1178" s="656" t="s">
        <v>1394</v>
      </c>
      <c r="T1178" s="656" t="s">
        <v>14280</v>
      </c>
      <c r="U1178" s="656" t="s">
        <v>1394</v>
      </c>
      <c r="V1178" s="656"/>
      <c r="W1178" s="656" t="s">
        <v>13051</v>
      </c>
      <c r="X1178" s="656" t="s">
        <v>498</v>
      </c>
      <c r="Y1178" s="656" t="s">
        <v>14278</v>
      </c>
      <c r="Z1178" s="656">
        <v>44305.520787037036</v>
      </c>
      <c r="AA1178" s="656" t="s">
        <v>14335</v>
      </c>
      <c r="AB1178" s="656"/>
    </row>
    <row r="1179" spans="1:28">
      <c r="A1179" s="656" t="s">
        <v>3455</v>
      </c>
      <c r="B1179" s="656" t="s">
        <v>3456</v>
      </c>
      <c r="C1179" s="656" t="s">
        <v>20</v>
      </c>
      <c r="D1179" s="656" t="s">
        <v>11408</v>
      </c>
      <c r="E1179" s="656" t="s">
        <v>14275</v>
      </c>
      <c r="F1179" s="1447">
        <v>43521</v>
      </c>
      <c r="G1179" s="656" t="s">
        <v>11407</v>
      </c>
      <c r="H1179" s="656" t="s">
        <v>1777</v>
      </c>
      <c r="I1179" s="656"/>
      <c r="J1179" s="656"/>
      <c r="K1179" s="656"/>
      <c r="L1179" s="656" t="s">
        <v>11408</v>
      </c>
      <c r="M1179" s="656" t="s">
        <v>16196</v>
      </c>
      <c r="N1179" s="656"/>
      <c r="O1179" s="656" t="s">
        <v>6395</v>
      </c>
      <c r="P1179" s="5"/>
      <c r="Q1179" s="1447">
        <v>42545</v>
      </c>
      <c r="R1179" s="656"/>
      <c r="S1179" s="656" t="s">
        <v>1394</v>
      </c>
      <c r="T1179" s="656" t="s">
        <v>14280</v>
      </c>
      <c r="U1179" s="656" t="s">
        <v>1394</v>
      </c>
      <c r="V1179" s="656"/>
      <c r="W1179" s="656" t="s">
        <v>13051</v>
      </c>
      <c r="X1179" s="656" t="s">
        <v>498</v>
      </c>
      <c r="Y1179" s="656" t="s">
        <v>14278</v>
      </c>
      <c r="Z1179" s="656">
        <v>44305.520775462966</v>
      </c>
      <c r="AA1179" s="656" t="s">
        <v>14335</v>
      </c>
      <c r="AB1179" s="656"/>
    </row>
    <row r="1180" spans="1:28">
      <c r="A1180" s="656" t="s">
        <v>3465</v>
      </c>
      <c r="B1180" s="656" t="s">
        <v>3466</v>
      </c>
      <c r="C1180" s="656" t="s">
        <v>21</v>
      </c>
      <c r="D1180" s="656" t="s">
        <v>11405</v>
      </c>
      <c r="E1180" s="656" t="s">
        <v>14275</v>
      </c>
      <c r="F1180" s="1447">
        <v>43447</v>
      </c>
      <c r="G1180" s="656" t="s">
        <v>11404</v>
      </c>
      <c r="H1180" s="656" t="s">
        <v>1777</v>
      </c>
      <c r="I1180" s="656" t="s">
        <v>14669</v>
      </c>
      <c r="J1180" s="656" t="s">
        <v>11405</v>
      </c>
      <c r="K1180" s="656" t="s">
        <v>9733</v>
      </c>
      <c r="L1180" s="656"/>
      <c r="M1180" s="656" t="s">
        <v>16196</v>
      </c>
      <c r="N1180" s="656"/>
      <c r="O1180" s="656" t="s">
        <v>6395</v>
      </c>
      <c r="P1180" s="5"/>
      <c r="Q1180" s="1447">
        <v>42562</v>
      </c>
      <c r="R1180" s="656">
        <v>43154</v>
      </c>
      <c r="S1180" s="656" t="s">
        <v>1394</v>
      </c>
      <c r="T1180" s="656" t="s">
        <v>14280</v>
      </c>
      <c r="U1180" s="656" t="s">
        <v>1394</v>
      </c>
      <c r="V1180" s="656"/>
      <c r="W1180" s="656" t="s">
        <v>13051</v>
      </c>
      <c r="X1180" s="656" t="s">
        <v>498</v>
      </c>
      <c r="Y1180" s="656" t="s">
        <v>14278</v>
      </c>
      <c r="Z1180" s="656">
        <v>44305.52076388889</v>
      </c>
      <c r="AA1180" s="656" t="s">
        <v>14335</v>
      </c>
      <c r="AB1180" s="656"/>
    </row>
    <row r="1181" spans="1:28">
      <c r="A1181" s="656" t="s">
        <v>3465</v>
      </c>
      <c r="B1181" s="656" t="s">
        <v>3466</v>
      </c>
      <c r="C1181" s="656" t="s">
        <v>20</v>
      </c>
      <c r="D1181" s="656" t="s">
        <v>11406</v>
      </c>
      <c r="E1181" s="656" t="s">
        <v>14275</v>
      </c>
      <c r="F1181" s="1447">
        <v>43451</v>
      </c>
      <c r="G1181" s="656" t="s">
        <v>11404</v>
      </c>
      <c r="H1181" s="656" t="s">
        <v>1777</v>
      </c>
      <c r="I1181" s="656"/>
      <c r="J1181" s="656"/>
      <c r="K1181" s="656"/>
      <c r="L1181" s="656" t="s">
        <v>11406</v>
      </c>
      <c r="M1181" s="656" t="s">
        <v>16196</v>
      </c>
      <c r="N1181" s="656"/>
      <c r="O1181" s="656" t="s">
        <v>6395</v>
      </c>
      <c r="P1181" s="5"/>
      <c r="Q1181" s="1447"/>
      <c r="R1181" s="656"/>
      <c r="S1181" s="656" t="s">
        <v>1394</v>
      </c>
      <c r="T1181" s="656" t="s">
        <v>14280</v>
      </c>
      <c r="U1181" s="656" t="s">
        <v>1394</v>
      </c>
      <c r="V1181" s="656"/>
      <c r="W1181" s="656" t="s">
        <v>13051</v>
      </c>
      <c r="X1181" s="656" t="s">
        <v>498</v>
      </c>
      <c r="Y1181" s="656" t="s">
        <v>14278</v>
      </c>
      <c r="Z1181" s="656">
        <v>44305.520787037036</v>
      </c>
      <c r="AA1181" s="656" t="s">
        <v>14335</v>
      </c>
      <c r="AB1181" s="656"/>
    </row>
    <row r="1182" spans="1:28">
      <c r="A1182" s="656" t="s">
        <v>3469</v>
      </c>
      <c r="B1182" s="656" t="s">
        <v>3470</v>
      </c>
      <c r="C1182" s="656" t="s">
        <v>20</v>
      </c>
      <c r="D1182" s="656" t="s">
        <v>11403</v>
      </c>
      <c r="E1182" s="656" t="s">
        <v>14275</v>
      </c>
      <c r="F1182" s="1447">
        <v>43273</v>
      </c>
      <c r="G1182" s="656" t="s">
        <v>11402</v>
      </c>
      <c r="H1182" s="656" t="s">
        <v>1777</v>
      </c>
      <c r="I1182" s="656"/>
      <c r="J1182" s="656"/>
      <c r="K1182" s="656"/>
      <c r="L1182" s="656" t="s">
        <v>11403</v>
      </c>
      <c r="M1182" s="656" t="s">
        <v>1947</v>
      </c>
      <c r="N1182" s="656"/>
      <c r="O1182" s="656" t="s">
        <v>6395</v>
      </c>
      <c r="P1182" s="5"/>
      <c r="Q1182" s="1447"/>
      <c r="R1182" s="656"/>
      <c r="S1182" s="656" t="s">
        <v>1394</v>
      </c>
      <c r="T1182" s="656" t="s">
        <v>14280</v>
      </c>
      <c r="U1182" s="656" t="s">
        <v>1394</v>
      </c>
      <c r="V1182" s="656"/>
      <c r="W1182" s="656" t="s">
        <v>13051</v>
      </c>
      <c r="X1182" s="656" t="s">
        <v>498</v>
      </c>
      <c r="Y1182" s="656" t="s">
        <v>14278</v>
      </c>
      <c r="Z1182" s="656">
        <v>44305.52076388889</v>
      </c>
      <c r="AA1182" s="656" t="s">
        <v>14335</v>
      </c>
      <c r="AB1182" s="656"/>
    </row>
    <row r="1183" spans="1:28">
      <c r="A1183" s="656" t="s">
        <v>3476</v>
      </c>
      <c r="B1183" s="656" t="s">
        <v>3477</v>
      </c>
      <c r="C1183" s="656" t="s">
        <v>21</v>
      </c>
      <c r="D1183" s="656" t="s">
        <v>11400</v>
      </c>
      <c r="E1183" s="656" t="s">
        <v>14275</v>
      </c>
      <c r="F1183" s="1447">
        <v>43403</v>
      </c>
      <c r="G1183" s="656" t="s">
        <v>11399</v>
      </c>
      <c r="H1183" s="656" t="s">
        <v>1777</v>
      </c>
      <c r="I1183" s="656" t="s">
        <v>14670</v>
      </c>
      <c r="J1183" s="656" t="s">
        <v>11400</v>
      </c>
      <c r="K1183" s="656" t="s">
        <v>9733</v>
      </c>
      <c r="L1183" s="656"/>
      <c r="M1183" s="656" t="s">
        <v>16200</v>
      </c>
      <c r="N1183" s="656"/>
      <c r="O1183" s="656" t="s">
        <v>6395</v>
      </c>
      <c r="P1183" s="5"/>
      <c r="Q1183" s="1447">
        <v>42753</v>
      </c>
      <c r="R1183" s="656">
        <v>43154</v>
      </c>
      <c r="S1183" s="656" t="s">
        <v>1394</v>
      </c>
      <c r="T1183" s="656" t="s">
        <v>14280</v>
      </c>
      <c r="U1183" s="656" t="s">
        <v>1394</v>
      </c>
      <c r="V1183" s="656"/>
      <c r="W1183" s="656" t="s">
        <v>13051</v>
      </c>
      <c r="X1183" s="656" t="s">
        <v>498</v>
      </c>
      <c r="Y1183" s="656" t="s">
        <v>14278</v>
      </c>
      <c r="Z1183" s="656">
        <v>44305.520740740743</v>
      </c>
      <c r="AA1183" s="656" t="s">
        <v>14335</v>
      </c>
      <c r="AB1183" s="656"/>
    </row>
    <row r="1184" spans="1:28">
      <c r="A1184" s="656" t="s">
        <v>3476</v>
      </c>
      <c r="B1184" s="656" t="s">
        <v>3477</v>
      </c>
      <c r="C1184" s="656" t="s">
        <v>20</v>
      </c>
      <c r="D1184" s="656" t="s">
        <v>11401</v>
      </c>
      <c r="E1184" s="656" t="s">
        <v>14275</v>
      </c>
      <c r="F1184" s="1447">
        <v>43383</v>
      </c>
      <c r="G1184" s="656" t="s">
        <v>11399</v>
      </c>
      <c r="H1184" s="656" t="s">
        <v>1777</v>
      </c>
      <c r="I1184" s="656"/>
      <c r="J1184" s="656"/>
      <c r="K1184" s="656"/>
      <c r="L1184" s="656" t="s">
        <v>11401</v>
      </c>
      <c r="M1184" s="656" t="s">
        <v>16196</v>
      </c>
      <c r="N1184" s="656"/>
      <c r="O1184" s="656" t="s">
        <v>6395</v>
      </c>
      <c r="P1184" s="5"/>
      <c r="Q1184" s="1447"/>
      <c r="R1184" s="656"/>
      <c r="S1184" s="656" t="s">
        <v>1394</v>
      </c>
      <c r="T1184" s="656" t="s">
        <v>14280</v>
      </c>
      <c r="U1184" s="656" t="s">
        <v>1394</v>
      </c>
      <c r="V1184" s="656"/>
      <c r="W1184" s="656" t="s">
        <v>13051</v>
      </c>
      <c r="X1184" s="656" t="s">
        <v>498</v>
      </c>
      <c r="Y1184" s="656" t="s">
        <v>14278</v>
      </c>
      <c r="Z1184" s="656">
        <v>44305.520752314813</v>
      </c>
      <c r="AA1184" s="656" t="s">
        <v>14335</v>
      </c>
      <c r="AB1184" s="656"/>
    </row>
    <row r="1185" spans="1:28">
      <c r="A1185" s="656" t="s">
        <v>3476</v>
      </c>
      <c r="B1185" s="656" t="s">
        <v>3477</v>
      </c>
      <c r="C1185" s="656" t="s">
        <v>20</v>
      </c>
      <c r="D1185" s="656" t="s">
        <v>11936</v>
      </c>
      <c r="E1185" s="656" t="s">
        <v>14275</v>
      </c>
      <c r="F1185" s="1447">
        <v>43383</v>
      </c>
      <c r="G1185" s="656" t="s">
        <v>11935</v>
      </c>
      <c r="H1185" s="656" t="s">
        <v>1777</v>
      </c>
      <c r="I1185" s="656"/>
      <c r="J1185" s="656"/>
      <c r="K1185" s="656"/>
      <c r="L1185" s="656" t="s">
        <v>11936</v>
      </c>
      <c r="M1185" s="656" t="s">
        <v>16200</v>
      </c>
      <c r="N1185" s="656"/>
      <c r="O1185" s="656" t="s">
        <v>6395</v>
      </c>
      <c r="P1185" s="5"/>
      <c r="Q1185" s="1447">
        <v>43164</v>
      </c>
      <c r="R1185" s="656"/>
      <c r="S1185" s="656" t="s">
        <v>1394</v>
      </c>
      <c r="T1185" s="656"/>
      <c r="U1185" s="656" t="s">
        <v>1394</v>
      </c>
      <c r="V1185" s="656"/>
      <c r="W1185" s="656" t="s">
        <v>13051</v>
      </c>
      <c r="X1185" s="656" t="s">
        <v>498</v>
      </c>
      <c r="Y1185" s="656" t="s">
        <v>14278</v>
      </c>
      <c r="Z1185" s="656">
        <v>44305.520752314813</v>
      </c>
      <c r="AA1185" s="656" t="s">
        <v>14335</v>
      </c>
      <c r="AB1185" s="656"/>
    </row>
    <row r="1186" spans="1:28">
      <c r="A1186" s="656" t="s">
        <v>3486</v>
      </c>
      <c r="B1186" s="656" t="s">
        <v>3487</v>
      </c>
      <c r="C1186" s="656" t="s">
        <v>21</v>
      </c>
      <c r="D1186" s="656" t="s">
        <v>11396</v>
      </c>
      <c r="E1186" s="656" t="s">
        <v>14384</v>
      </c>
      <c r="F1186" s="1447">
        <v>43467</v>
      </c>
      <c r="G1186" s="656" t="s">
        <v>11395</v>
      </c>
      <c r="H1186" s="656" t="s">
        <v>1777</v>
      </c>
      <c r="I1186" s="656" t="s">
        <v>14671</v>
      </c>
      <c r="J1186" s="656" t="s">
        <v>11396</v>
      </c>
      <c r="K1186" s="656" t="s">
        <v>9733</v>
      </c>
      <c r="L1186" s="656"/>
      <c r="M1186" s="656" t="s">
        <v>16196</v>
      </c>
      <c r="N1186" s="656"/>
      <c r="O1186" s="656" t="s">
        <v>6395</v>
      </c>
      <c r="P1186" s="5" t="s">
        <v>15446</v>
      </c>
      <c r="Q1186" s="1447">
        <v>42996</v>
      </c>
      <c r="R1186" s="656"/>
      <c r="S1186" s="656" t="s">
        <v>1394</v>
      </c>
      <c r="T1186" s="656" t="s">
        <v>14280</v>
      </c>
      <c r="U1186" s="656" t="s">
        <v>1394</v>
      </c>
      <c r="V1186" s="656"/>
      <c r="W1186" s="656" t="s">
        <v>13051</v>
      </c>
      <c r="X1186" s="656" t="s">
        <v>498</v>
      </c>
      <c r="Y1186" s="656" t="s">
        <v>14278</v>
      </c>
      <c r="Z1186" s="656">
        <v>44305.520729166667</v>
      </c>
      <c r="AA1186" s="656" t="s">
        <v>14335</v>
      </c>
      <c r="AB1186" s="656"/>
    </row>
    <row r="1187" spans="1:28">
      <c r="A1187" s="656" t="s">
        <v>3486</v>
      </c>
      <c r="B1187" s="656" t="s">
        <v>3487</v>
      </c>
      <c r="C1187" s="656" t="s">
        <v>20</v>
      </c>
      <c r="D1187" s="656" t="s">
        <v>11398</v>
      </c>
      <c r="E1187" s="656" t="s">
        <v>14275</v>
      </c>
      <c r="F1187" s="1447">
        <v>43469</v>
      </c>
      <c r="G1187" s="656" t="s">
        <v>11397</v>
      </c>
      <c r="H1187" s="656" t="s">
        <v>1777</v>
      </c>
      <c r="I1187" s="656"/>
      <c r="J1187" s="656"/>
      <c r="K1187" s="656"/>
      <c r="L1187" s="656" t="s">
        <v>11398</v>
      </c>
      <c r="M1187" s="656" t="s">
        <v>1947</v>
      </c>
      <c r="N1187" s="656"/>
      <c r="O1187" s="656" t="s">
        <v>6395</v>
      </c>
      <c r="P1187" s="5"/>
      <c r="Q1187" s="1447"/>
      <c r="R1187" s="656"/>
      <c r="S1187" s="656" t="s">
        <v>1394</v>
      </c>
      <c r="T1187" s="656" t="s">
        <v>14280</v>
      </c>
      <c r="U1187" s="656" t="s">
        <v>1394</v>
      </c>
      <c r="V1187" s="656"/>
      <c r="W1187" s="656" t="s">
        <v>13051</v>
      </c>
      <c r="X1187" s="656" t="s">
        <v>498</v>
      </c>
      <c r="Y1187" s="656" t="s">
        <v>14278</v>
      </c>
      <c r="Z1187" s="656">
        <v>44305.520729166667</v>
      </c>
      <c r="AA1187" s="656" t="s">
        <v>14335</v>
      </c>
      <c r="AB1187" s="656"/>
    </row>
    <row r="1188" spans="1:28">
      <c r="A1188" s="656" t="s">
        <v>3486</v>
      </c>
      <c r="B1188" s="656" t="s">
        <v>3487</v>
      </c>
      <c r="C1188" s="656" t="s">
        <v>20</v>
      </c>
      <c r="D1188" s="656" t="s">
        <v>11956</v>
      </c>
      <c r="E1188" s="656" t="s">
        <v>14275</v>
      </c>
      <c r="F1188" s="1447">
        <v>43469</v>
      </c>
      <c r="G1188" s="656" t="s">
        <v>11955</v>
      </c>
      <c r="H1188" s="656" t="s">
        <v>1777</v>
      </c>
      <c r="I1188" s="656"/>
      <c r="J1188" s="656"/>
      <c r="K1188" s="656"/>
      <c r="L1188" s="656" t="s">
        <v>11956</v>
      </c>
      <c r="M1188" s="656" t="s">
        <v>16196</v>
      </c>
      <c r="N1188" s="656"/>
      <c r="O1188" s="656" t="s">
        <v>6395</v>
      </c>
      <c r="P1188" s="5"/>
      <c r="Q1188" s="1447">
        <v>43165</v>
      </c>
      <c r="R1188" s="656"/>
      <c r="S1188" s="656" t="s">
        <v>1394</v>
      </c>
      <c r="T1188" s="656"/>
      <c r="U1188" s="656" t="s">
        <v>1394</v>
      </c>
      <c r="V1188" s="656"/>
      <c r="W1188" s="656" t="s">
        <v>13051</v>
      </c>
      <c r="X1188" s="656" t="s">
        <v>498</v>
      </c>
      <c r="Y1188" s="656" t="s">
        <v>14278</v>
      </c>
      <c r="Z1188" s="656">
        <v>44305.520729166667</v>
      </c>
      <c r="AA1188" s="656" t="s">
        <v>14335</v>
      </c>
      <c r="AB1188" s="656"/>
    </row>
    <row r="1189" spans="1:28">
      <c r="A1189" s="656" t="s">
        <v>3490</v>
      </c>
      <c r="B1189" s="656" t="s">
        <v>3491</v>
      </c>
      <c r="C1189" s="656" t="s">
        <v>20</v>
      </c>
      <c r="D1189" s="656" t="s">
        <v>11394</v>
      </c>
      <c r="E1189" s="656" t="s">
        <v>14275</v>
      </c>
      <c r="F1189" s="1447">
        <v>43542</v>
      </c>
      <c r="G1189" s="656" t="s">
        <v>11393</v>
      </c>
      <c r="H1189" s="656" t="s">
        <v>1777</v>
      </c>
      <c r="I1189" s="656"/>
      <c r="J1189" s="656"/>
      <c r="K1189" s="656"/>
      <c r="L1189" s="656" t="s">
        <v>11394</v>
      </c>
      <c r="M1189" s="656" t="s">
        <v>1947</v>
      </c>
      <c r="N1189" s="656"/>
      <c r="O1189" s="656" t="s">
        <v>6395</v>
      </c>
      <c r="P1189" s="5"/>
      <c r="Q1189" s="1447"/>
      <c r="R1189" s="656"/>
      <c r="S1189" s="656" t="s">
        <v>1394</v>
      </c>
      <c r="T1189" s="656" t="s">
        <v>14280</v>
      </c>
      <c r="U1189" s="656" t="s">
        <v>1394</v>
      </c>
      <c r="V1189" s="656"/>
      <c r="W1189" s="656" t="s">
        <v>13051</v>
      </c>
      <c r="X1189" s="656" t="s">
        <v>498</v>
      </c>
      <c r="Y1189" s="656" t="s">
        <v>14278</v>
      </c>
      <c r="Z1189" s="656">
        <v>44305.52070601852</v>
      </c>
      <c r="AA1189" s="656" t="s">
        <v>14335</v>
      </c>
      <c r="AB1189" s="656"/>
    </row>
    <row r="1190" spans="1:28">
      <c r="A1190" s="656" t="s">
        <v>3490</v>
      </c>
      <c r="B1190" s="656" t="s">
        <v>3491</v>
      </c>
      <c r="C1190" s="656" t="s">
        <v>20</v>
      </c>
      <c r="D1190" s="656" t="s">
        <v>11954</v>
      </c>
      <c r="E1190" s="656" t="s">
        <v>14275</v>
      </c>
      <c r="F1190" s="1447">
        <v>43626</v>
      </c>
      <c r="G1190" s="656" t="s">
        <v>11953</v>
      </c>
      <c r="H1190" s="656" t="s">
        <v>1777</v>
      </c>
      <c r="I1190" s="656"/>
      <c r="J1190" s="656"/>
      <c r="K1190" s="656"/>
      <c r="L1190" s="656" t="s">
        <v>11954</v>
      </c>
      <c r="M1190" s="656" t="s">
        <v>16196</v>
      </c>
      <c r="N1190" s="656"/>
      <c r="O1190" s="656" t="s">
        <v>6395</v>
      </c>
      <c r="P1190" s="5"/>
      <c r="Q1190" s="1447">
        <v>43165</v>
      </c>
      <c r="R1190" s="656"/>
      <c r="S1190" s="656" t="s">
        <v>1394</v>
      </c>
      <c r="T1190" s="656"/>
      <c r="U1190" s="656" t="s">
        <v>1394</v>
      </c>
      <c r="V1190" s="656"/>
      <c r="W1190" s="656" t="s">
        <v>13051</v>
      </c>
      <c r="X1190" s="656" t="s">
        <v>498</v>
      </c>
      <c r="Y1190" s="656" t="s">
        <v>14278</v>
      </c>
      <c r="Z1190" s="656">
        <v>44305.52071759259</v>
      </c>
      <c r="AA1190" s="656" t="s">
        <v>14335</v>
      </c>
      <c r="AB1190" s="656"/>
    </row>
    <row r="1191" spans="1:28">
      <c r="A1191" s="656" t="s">
        <v>3492</v>
      </c>
      <c r="B1191" s="656" t="s">
        <v>3493</v>
      </c>
      <c r="C1191" s="656" t="s">
        <v>21</v>
      </c>
      <c r="D1191" s="656" t="s">
        <v>11391</v>
      </c>
      <c r="E1191" s="656" t="s">
        <v>14275</v>
      </c>
      <c r="F1191" s="1447">
        <v>42998</v>
      </c>
      <c r="G1191" s="656" t="s">
        <v>11390</v>
      </c>
      <c r="H1191" s="656" t="s">
        <v>1777</v>
      </c>
      <c r="I1191" s="656" t="s">
        <v>14672</v>
      </c>
      <c r="J1191" s="656" t="s">
        <v>11391</v>
      </c>
      <c r="K1191" s="656" t="s">
        <v>9782</v>
      </c>
      <c r="L1191" s="656"/>
      <c r="M1191" s="656" t="s">
        <v>16196</v>
      </c>
      <c r="N1191" s="656"/>
      <c r="O1191" s="656" t="s">
        <v>6395</v>
      </c>
      <c r="P1191" s="5" t="s">
        <v>14936</v>
      </c>
      <c r="Q1191" s="1447">
        <v>42410</v>
      </c>
      <c r="R1191" s="656">
        <v>42521</v>
      </c>
      <c r="S1191" s="656" t="s">
        <v>1394</v>
      </c>
      <c r="T1191" s="656" t="s">
        <v>14280</v>
      </c>
      <c r="U1191" s="656" t="s">
        <v>1394</v>
      </c>
      <c r="V1191" s="656"/>
      <c r="W1191" s="656" t="s">
        <v>13051</v>
      </c>
      <c r="X1191" s="656" t="s">
        <v>498</v>
      </c>
      <c r="Y1191" s="656" t="s">
        <v>14278</v>
      </c>
      <c r="Z1191" s="656">
        <v>44305.520694444444</v>
      </c>
      <c r="AA1191" s="656" t="s">
        <v>14335</v>
      </c>
      <c r="AB1191" s="656"/>
    </row>
    <row r="1192" spans="1:28">
      <c r="A1192" s="656" t="s">
        <v>3492</v>
      </c>
      <c r="B1192" s="656" t="s">
        <v>3493</v>
      </c>
      <c r="C1192" s="656" t="s">
        <v>20</v>
      </c>
      <c r="D1192" s="656" t="s">
        <v>11392</v>
      </c>
      <c r="E1192" s="656" t="s">
        <v>14275</v>
      </c>
      <c r="F1192" s="1447">
        <v>43034</v>
      </c>
      <c r="G1192" s="656" t="s">
        <v>11390</v>
      </c>
      <c r="H1192" s="656" t="s">
        <v>1777</v>
      </c>
      <c r="I1192" s="656"/>
      <c r="J1192" s="656"/>
      <c r="K1192" s="656"/>
      <c r="L1192" s="656" t="s">
        <v>11392</v>
      </c>
      <c r="M1192" s="656" t="s">
        <v>16196</v>
      </c>
      <c r="N1192" s="656"/>
      <c r="O1192" s="656" t="s">
        <v>6395</v>
      </c>
      <c r="P1192" s="5"/>
      <c r="Q1192" s="1447">
        <v>42381</v>
      </c>
      <c r="R1192" s="656"/>
      <c r="S1192" s="656" t="s">
        <v>1394</v>
      </c>
      <c r="T1192" s="656" t="s">
        <v>14280</v>
      </c>
      <c r="U1192" s="656" t="s">
        <v>1394</v>
      </c>
      <c r="V1192" s="656"/>
      <c r="W1192" s="656" t="s">
        <v>13051</v>
      </c>
      <c r="X1192" s="656" t="s">
        <v>498</v>
      </c>
      <c r="Y1192" s="656" t="s">
        <v>14278</v>
      </c>
      <c r="Z1192" s="656">
        <v>44305.52070601852</v>
      </c>
      <c r="AA1192" s="656" t="s">
        <v>14335</v>
      </c>
      <c r="AB1192" s="656"/>
    </row>
    <row r="1193" spans="1:28">
      <c r="A1193" s="656" t="s">
        <v>3498</v>
      </c>
      <c r="B1193" s="656" t="s">
        <v>3499</v>
      </c>
      <c r="C1193" s="656" t="s">
        <v>21</v>
      </c>
      <c r="D1193" s="656" t="s">
        <v>11388</v>
      </c>
      <c r="E1193" s="656" t="s">
        <v>14384</v>
      </c>
      <c r="F1193" s="1447">
        <v>43140</v>
      </c>
      <c r="G1193" s="656" t="s">
        <v>11387</v>
      </c>
      <c r="H1193" s="656" t="s">
        <v>1777</v>
      </c>
      <c r="I1193" s="656" t="s">
        <v>14673</v>
      </c>
      <c r="J1193" s="656" t="s">
        <v>11388</v>
      </c>
      <c r="K1193" s="656" t="s">
        <v>9721</v>
      </c>
      <c r="L1193" s="656"/>
      <c r="M1193" s="656" t="s">
        <v>16196</v>
      </c>
      <c r="N1193" s="656"/>
      <c r="O1193" s="656" t="s">
        <v>6395</v>
      </c>
      <c r="P1193" s="5" t="s">
        <v>14674</v>
      </c>
      <c r="Q1193" s="1447">
        <v>42410</v>
      </c>
      <c r="R1193" s="656"/>
      <c r="S1193" s="656" t="s">
        <v>1394</v>
      </c>
      <c r="T1193" s="656" t="s">
        <v>14280</v>
      </c>
      <c r="U1193" s="656" t="s">
        <v>1394</v>
      </c>
      <c r="V1193" s="656"/>
      <c r="W1193" s="656" t="s">
        <v>13051</v>
      </c>
      <c r="X1193" s="656" t="s">
        <v>498</v>
      </c>
      <c r="Y1193" s="656" t="s">
        <v>14278</v>
      </c>
      <c r="Z1193" s="656">
        <v>44305.520682870374</v>
      </c>
      <c r="AA1193" s="656" t="s">
        <v>14335</v>
      </c>
      <c r="AB1193" s="656"/>
    </row>
    <row r="1194" spans="1:28">
      <c r="A1194" s="656" t="s">
        <v>3498</v>
      </c>
      <c r="B1194" s="656" t="s">
        <v>3499</v>
      </c>
      <c r="C1194" s="656" t="s">
        <v>20</v>
      </c>
      <c r="D1194" s="656" t="s">
        <v>11389</v>
      </c>
      <c r="E1194" s="656" t="s">
        <v>14275</v>
      </c>
      <c r="F1194" s="1447">
        <v>43143</v>
      </c>
      <c r="G1194" s="656" t="s">
        <v>11387</v>
      </c>
      <c r="H1194" s="656" t="s">
        <v>1777</v>
      </c>
      <c r="I1194" s="656"/>
      <c r="J1194" s="656"/>
      <c r="K1194" s="656"/>
      <c r="L1194" s="656" t="s">
        <v>11389</v>
      </c>
      <c r="M1194" s="656" t="s">
        <v>16196</v>
      </c>
      <c r="N1194" s="656"/>
      <c r="O1194" s="656" t="s">
        <v>6395</v>
      </c>
      <c r="P1194" s="5"/>
      <c r="Q1194" s="1447">
        <v>42381</v>
      </c>
      <c r="R1194" s="656"/>
      <c r="S1194" s="656" t="s">
        <v>1394</v>
      </c>
      <c r="T1194" s="656" t="s">
        <v>14280</v>
      </c>
      <c r="U1194" s="656" t="s">
        <v>1394</v>
      </c>
      <c r="V1194" s="656"/>
      <c r="W1194" s="656" t="s">
        <v>13051</v>
      </c>
      <c r="X1194" s="656" t="s">
        <v>498</v>
      </c>
      <c r="Y1194" s="656" t="s">
        <v>14278</v>
      </c>
      <c r="Z1194" s="656">
        <v>44305.520694444444</v>
      </c>
      <c r="AA1194" s="656" t="s">
        <v>14335</v>
      </c>
      <c r="AB1194" s="656"/>
    </row>
    <row r="1195" spans="1:28">
      <c r="A1195" s="656" t="s">
        <v>3502</v>
      </c>
      <c r="B1195" s="656" t="s">
        <v>3503</v>
      </c>
      <c r="C1195" s="656" t="s">
        <v>20</v>
      </c>
      <c r="D1195" s="656" t="s">
        <v>11386</v>
      </c>
      <c r="E1195" s="656" t="s">
        <v>14275</v>
      </c>
      <c r="F1195" s="1447">
        <v>43214</v>
      </c>
      <c r="G1195" s="656" t="s">
        <v>11385</v>
      </c>
      <c r="H1195" s="656" t="s">
        <v>1777</v>
      </c>
      <c r="I1195" s="656"/>
      <c r="J1195" s="656"/>
      <c r="K1195" s="656"/>
      <c r="L1195" s="656" t="s">
        <v>11386</v>
      </c>
      <c r="M1195" s="656" t="s">
        <v>1947</v>
      </c>
      <c r="N1195" s="656"/>
      <c r="O1195" s="656" t="s">
        <v>6395</v>
      </c>
      <c r="P1195" s="5"/>
      <c r="Q1195" s="1447"/>
      <c r="R1195" s="656"/>
      <c r="S1195" s="656" t="s">
        <v>1394</v>
      </c>
      <c r="T1195" s="656" t="s">
        <v>14280</v>
      </c>
      <c r="U1195" s="656" t="s">
        <v>11626</v>
      </c>
      <c r="V1195" s="656"/>
      <c r="W1195" s="656" t="s">
        <v>13051</v>
      </c>
      <c r="X1195" s="656" t="s">
        <v>498</v>
      </c>
      <c r="Y1195" s="656" t="s">
        <v>14278</v>
      </c>
      <c r="Z1195" s="656">
        <v>44305.520682870374</v>
      </c>
      <c r="AA1195" s="656" t="s">
        <v>14335</v>
      </c>
      <c r="AB1195" s="656"/>
    </row>
    <row r="1196" spans="1:28">
      <c r="A1196" s="656" t="s">
        <v>3538</v>
      </c>
      <c r="B1196" s="656" t="s">
        <v>3539</v>
      </c>
      <c r="C1196" s="656" t="s">
        <v>21</v>
      </c>
      <c r="D1196" s="656" t="s">
        <v>11383</v>
      </c>
      <c r="E1196" s="656" t="s">
        <v>14275</v>
      </c>
      <c r="F1196" s="1447">
        <v>42726</v>
      </c>
      <c r="G1196" s="656" t="s">
        <v>11382</v>
      </c>
      <c r="H1196" s="656" t="s">
        <v>1777</v>
      </c>
      <c r="I1196" s="656" t="s">
        <v>14675</v>
      </c>
      <c r="J1196" s="656" t="s">
        <v>11383</v>
      </c>
      <c r="K1196" s="656" t="s">
        <v>9774</v>
      </c>
      <c r="L1196" s="656"/>
      <c r="M1196" s="656" t="s">
        <v>16344</v>
      </c>
      <c r="N1196" s="656"/>
      <c r="O1196" s="656" t="s">
        <v>6387</v>
      </c>
      <c r="P1196" s="5"/>
      <c r="Q1196" s="1447">
        <v>42441</v>
      </c>
      <c r="R1196" s="656">
        <v>42461</v>
      </c>
      <c r="S1196" s="656" t="s">
        <v>783</v>
      </c>
      <c r="T1196" s="656" t="s">
        <v>14277</v>
      </c>
      <c r="U1196" s="656" t="s">
        <v>655</v>
      </c>
      <c r="V1196" s="656"/>
      <c r="W1196" s="656" t="s">
        <v>13051</v>
      </c>
      <c r="X1196" s="656" t="s">
        <v>498</v>
      </c>
      <c r="Y1196" s="656" t="s">
        <v>14278</v>
      </c>
      <c r="Z1196" s="656">
        <v>44305.520671296297</v>
      </c>
      <c r="AA1196" s="656" t="s">
        <v>14335</v>
      </c>
      <c r="AB1196" s="656"/>
    </row>
    <row r="1197" spans="1:28">
      <c r="A1197" s="656" t="s">
        <v>3538</v>
      </c>
      <c r="B1197" s="656" t="s">
        <v>3539</v>
      </c>
      <c r="C1197" s="656" t="s">
        <v>20</v>
      </c>
      <c r="D1197" s="656" t="s">
        <v>11384</v>
      </c>
      <c r="E1197" s="656" t="s">
        <v>14275</v>
      </c>
      <c r="F1197" s="1447">
        <v>42725</v>
      </c>
      <c r="G1197" s="656" t="s">
        <v>11382</v>
      </c>
      <c r="H1197" s="656" t="s">
        <v>1777</v>
      </c>
      <c r="I1197" s="656"/>
      <c r="J1197" s="656"/>
      <c r="K1197" s="656"/>
      <c r="L1197" s="656" t="s">
        <v>11384</v>
      </c>
      <c r="M1197" s="656" t="s">
        <v>16344</v>
      </c>
      <c r="N1197" s="656"/>
      <c r="O1197" s="656" t="s">
        <v>6387</v>
      </c>
      <c r="P1197" s="5"/>
      <c r="Q1197" s="1447">
        <v>42346</v>
      </c>
      <c r="R1197" s="656"/>
      <c r="S1197" s="656" t="s">
        <v>783</v>
      </c>
      <c r="T1197" s="656" t="s">
        <v>14277</v>
      </c>
      <c r="U1197" s="656" t="s">
        <v>655</v>
      </c>
      <c r="V1197" s="656"/>
      <c r="W1197" s="656" t="s">
        <v>13051</v>
      </c>
      <c r="X1197" s="656" t="s">
        <v>498</v>
      </c>
      <c r="Y1197" s="656" t="s">
        <v>14278</v>
      </c>
      <c r="Z1197" s="656">
        <v>44305.520682870374</v>
      </c>
      <c r="AA1197" s="656" t="s">
        <v>14335</v>
      </c>
      <c r="AB1197" s="656"/>
    </row>
    <row r="1198" spans="1:28">
      <c r="A1198" s="656" t="s">
        <v>3574</v>
      </c>
      <c r="B1198" s="656" t="s">
        <v>3575</v>
      </c>
      <c r="C1198" s="656" t="s">
        <v>20</v>
      </c>
      <c r="D1198" s="656" t="s">
        <v>11381</v>
      </c>
      <c r="E1198" s="656" t="s">
        <v>14275</v>
      </c>
      <c r="F1198" s="1447">
        <v>43088</v>
      </c>
      <c r="G1198" s="656" t="s">
        <v>11380</v>
      </c>
      <c r="H1198" s="656" t="s">
        <v>1777</v>
      </c>
      <c r="I1198" s="656"/>
      <c r="J1198" s="656"/>
      <c r="K1198" s="656"/>
      <c r="L1198" s="656" t="s">
        <v>11381</v>
      </c>
      <c r="M1198" s="656" t="s">
        <v>16196</v>
      </c>
      <c r="N1198" s="656"/>
      <c r="O1198" s="656" t="s">
        <v>9757</v>
      </c>
      <c r="P1198" s="5"/>
      <c r="Q1198" s="1447"/>
      <c r="R1198" s="656"/>
      <c r="S1198" s="656" t="s">
        <v>1394</v>
      </c>
      <c r="T1198" s="656" t="s">
        <v>522</v>
      </c>
      <c r="U1198" s="656" t="s">
        <v>522</v>
      </c>
      <c r="V1198" s="656"/>
      <c r="W1198" s="656" t="s">
        <v>13051</v>
      </c>
      <c r="X1198" s="656" t="s">
        <v>498</v>
      </c>
      <c r="Y1198" s="656" t="s">
        <v>14278</v>
      </c>
      <c r="Z1198" s="656">
        <v>44305.52065972222</v>
      </c>
      <c r="AA1198" s="656" t="s">
        <v>14335</v>
      </c>
      <c r="AB1198" s="656"/>
    </row>
    <row r="1199" spans="1:28">
      <c r="A1199" s="656" t="s">
        <v>3576</v>
      </c>
      <c r="B1199" s="656" t="s">
        <v>3577</v>
      </c>
      <c r="C1199" s="656" t="s">
        <v>21</v>
      </c>
      <c r="D1199" s="656" t="s">
        <v>11378</v>
      </c>
      <c r="E1199" s="656" t="s">
        <v>14275</v>
      </c>
      <c r="F1199" s="1447">
        <v>42942</v>
      </c>
      <c r="G1199" s="656" t="s">
        <v>11377</v>
      </c>
      <c r="H1199" s="656" t="s">
        <v>1777</v>
      </c>
      <c r="I1199" s="656" t="s">
        <v>14676</v>
      </c>
      <c r="J1199" s="656" t="s">
        <v>11378</v>
      </c>
      <c r="K1199" s="656" t="s">
        <v>9750</v>
      </c>
      <c r="L1199" s="656"/>
      <c r="M1199" s="656" t="s">
        <v>16196</v>
      </c>
      <c r="N1199" s="656"/>
      <c r="O1199" s="656" t="s">
        <v>9757</v>
      </c>
      <c r="P1199" s="5"/>
      <c r="Q1199" s="1447">
        <v>42545</v>
      </c>
      <c r="R1199" s="656">
        <v>42713</v>
      </c>
      <c r="S1199" s="656" t="s">
        <v>1394</v>
      </c>
      <c r="T1199" s="656" t="s">
        <v>522</v>
      </c>
      <c r="U1199" s="656" t="s">
        <v>522</v>
      </c>
      <c r="V1199" s="656"/>
      <c r="W1199" s="656" t="s">
        <v>13051</v>
      </c>
      <c r="X1199" s="656" t="s">
        <v>498</v>
      </c>
      <c r="Y1199" s="656" t="s">
        <v>14278</v>
      </c>
      <c r="Z1199" s="656">
        <v>44305.520648148151</v>
      </c>
      <c r="AA1199" s="656" t="s">
        <v>14335</v>
      </c>
      <c r="AB1199" s="656"/>
    </row>
    <row r="1200" spans="1:28">
      <c r="A1200" s="656" t="s">
        <v>3576</v>
      </c>
      <c r="B1200" s="656" t="s">
        <v>3577</v>
      </c>
      <c r="C1200" s="656" t="s">
        <v>20</v>
      </c>
      <c r="D1200" s="656" t="s">
        <v>11379</v>
      </c>
      <c r="E1200" s="656" t="s">
        <v>14275</v>
      </c>
      <c r="F1200" s="1447">
        <v>43090</v>
      </c>
      <c r="G1200" s="656" t="s">
        <v>11377</v>
      </c>
      <c r="H1200" s="656" t="s">
        <v>1777</v>
      </c>
      <c r="I1200" s="656"/>
      <c r="J1200" s="656"/>
      <c r="K1200" s="656"/>
      <c r="L1200" s="656" t="s">
        <v>11379</v>
      </c>
      <c r="M1200" s="656" t="s">
        <v>16196</v>
      </c>
      <c r="N1200" s="656"/>
      <c r="O1200" s="656" t="s">
        <v>9757</v>
      </c>
      <c r="P1200" s="5"/>
      <c r="Q1200" s="1447"/>
      <c r="R1200" s="656"/>
      <c r="S1200" s="656" t="s">
        <v>1394</v>
      </c>
      <c r="T1200" s="656" t="s">
        <v>522</v>
      </c>
      <c r="U1200" s="656" t="s">
        <v>522</v>
      </c>
      <c r="V1200" s="656"/>
      <c r="W1200" s="656" t="s">
        <v>13051</v>
      </c>
      <c r="X1200" s="656" t="s">
        <v>498</v>
      </c>
      <c r="Y1200" s="656" t="s">
        <v>14278</v>
      </c>
      <c r="Z1200" s="656">
        <v>44305.52065972222</v>
      </c>
      <c r="AA1200" s="656" t="s">
        <v>14335</v>
      </c>
      <c r="AB1200" s="656"/>
    </row>
    <row r="1201" spans="1:28">
      <c r="A1201" s="656" t="s">
        <v>3578</v>
      </c>
      <c r="B1201" s="656" t="s">
        <v>3579</v>
      </c>
      <c r="C1201" s="656" t="s">
        <v>21</v>
      </c>
      <c r="D1201" s="656" t="s">
        <v>11375</v>
      </c>
      <c r="E1201" s="656" t="s">
        <v>14275</v>
      </c>
      <c r="F1201" s="1447">
        <v>42942</v>
      </c>
      <c r="G1201" s="656" t="s">
        <v>11374</v>
      </c>
      <c r="H1201" s="656" t="s">
        <v>1777</v>
      </c>
      <c r="I1201" s="656" t="s">
        <v>14677</v>
      </c>
      <c r="J1201" s="656" t="s">
        <v>11375</v>
      </c>
      <c r="K1201" s="656" t="s">
        <v>9750</v>
      </c>
      <c r="L1201" s="656"/>
      <c r="M1201" s="656" t="s">
        <v>16196</v>
      </c>
      <c r="N1201" s="656"/>
      <c r="O1201" s="656" t="s">
        <v>9757</v>
      </c>
      <c r="P1201" s="5"/>
      <c r="Q1201" s="1447">
        <v>42545</v>
      </c>
      <c r="R1201" s="656">
        <v>42713</v>
      </c>
      <c r="S1201" s="656" t="s">
        <v>1394</v>
      </c>
      <c r="T1201" s="656" t="s">
        <v>522</v>
      </c>
      <c r="U1201" s="656" t="s">
        <v>522</v>
      </c>
      <c r="V1201" s="656"/>
      <c r="W1201" s="656" t="s">
        <v>13051</v>
      </c>
      <c r="X1201" s="656" t="s">
        <v>498</v>
      </c>
      <c r="Y1201" s="656" t="s">
        <v>14278</v>
      </c>
      <c r="Z1201" s="656">
        <v>44305.520636574074</v>
      </c>
      <c r="AA1201" s="656" t="s">
        <v>14335</v>
      </c>
      <c r="AB1201" s="656"/>
    </row>
    <row r="1202" spans="1:28">
      <c r="A1202" s="656" t="s">
        <v>3578</v>
      </c>
      <c r="B1202" s="656" t="s">
        <v>3579</v>
      </c>
      <c r="C1202" s="656" t="s">
        <v>20</v>
      </c>
      <c r="D1202" s="656" t="s">
        <v>11376</v>
      </c>
      <c r="E1202" s="656" t="s">
        <v>14275</v>
      </c>
      <c r="F1202" s="1447">
        <v>42893</v>
      </c>
      <c r="G1202" s="656" t="s">
        <v>11374</v>
      </c>
      <c r="H1202" s="656" t="s">
        <v>1777</v>
      </c>
      <c r="I1202" s="656"/>
      <c r="J1202" s="656"/>
      <c r="K1202" s="656"/>
      <c r="L1202" s="656" t="s">
        <v>11376</v>
      </c>
      <c r="M1202" s="656" t="s">
        <v>16196</v>
      </c>
      <c r="N1202" s="656"/>
      <c r="O1202" s="656" t="s">
        <v>9757</v>
      </c>
      <c r="P1202" s="5"/>
      <c r="Q1202" s="1447"/>
      <c r="R1202" s="656"/>
      <c r="S1202" s="656" t="s">
        <v>1394</v>
      </c>
      <c r="T1202" s="656" t="s">
        <v>522</v>
      </c>
      <c r="U1202" s="656" t="s">
        <v>522</v>
      </c>
      <c r="V1202" s="656"/>
      <c r="W1202" s="656" t="s">
        <v>13051</v>
      </c>
      <c r="X1202" s="656" t="s">
        <v>498</v>
      </c>
      <c r="Y1202" s="656" t="s">
        <v>14278</v>
      </c>
      <c r="Z1202" s="656">
        <v>44305.520648148151</v>
      </c>
      <c r="AA1202" s="656" t="s">
        <v>14335</v>
      </c>
      <c r="AB1202" s="656"/>
    </row>
    <row r="1203" spans="1:28">
      <c r="A1203" s="656" t="s">
        <v>3580</v>
      </c>
      <c r="B1203" s="656" t="s">
        <v>3581</v>
      </c>
      <c r="C1203" s="656" t="s">
        <v>21</v>
      </c>
      <c r="D1203" s="656" t="s">
        <v>11371</v>
      </c>
      <c r="E1203" s="656" t="s">
        <v>14275</v>
      </c>
      <c r="F1203" s="1447">
        <v>42962</v>
      </c>
      <c r="G1203" s="656" t="s">
        <v>11370</v>
      </c>
      <c r="H1203" s="656" t="s">
        <v>1777</v>
      </c>
      <c r="I1203" s="656" t="s">
        <v>14678</v>
      </c>
      <c r="J1203" s="656" t="s">
        <v>11371</v>
      </c>
      <c r="K1203" s="656" t="s">
        <v>9750</v>
      </c>
      <c r="L1203" s="656"/>
      <c r="M1203" s="656" t="s">
        <v>16196</v>
      </c>
      <c r="N1203" s="656"/>
      <c r="O1203" s="656" t="s">
        <v>11372</v>
      </c>
      <c r="P1203" s="5"/>
      <c r="Q1203" s="1447">
        <v>42545</v>
      </c>
      <c r="R1203" s="656">
        <v>42713</v>
      </c>
      <c r="S1203" s="656" t="s">
        <v>1394</v>
      </c>
      <c r="T1203" s="656" t="s">
        <v>522</v>
      </c>
      <c r="U1203" s="656" t="s">
        <v>522</v>
      </c>
      <c r="V1203" s="656"/>
      <c r="W1203" s="656" t="s">
        <v>13051</v>
      </c>
      <c r="X1203" s="656" t="s">
        <v>498</v>
      </c>
      <c r="Y1203" s="656" t="s">
        <v>14278</v>
      </c>
      <c r="Z1203" s="656">
        <v>44305.520636574074</v>
      </c>
      <c r="AA1203" s="656" t="s">
        <v>14335</v>
      </c>
      <c r="AB1203" s="656"/>
    </row>
    <row r="1204" spans="1:28">
      <c r="A1204" s="656" t="s">
        <v>3580</v>
      </c>
      <c r="B1204" s="656" t="s">
        <v>3581</v>
      </c>
      <c r="C1204" s="656" t="s">
        <v>20</v>
      </c>
      <c r="D1204" s="656" t="s">
        <v>11373</v>
      </c>
      <c r="E1204" s="656" t="s">
        <v>14275</v>
      </c>
      <c r="F1204" s="1447">
        <v>42893</v>
      </c>
      <c r="G1204" s="656" t="s">
        <v>11370</v>
      </c>
      <c r="H1204" s="656" t="s">
        <v>1777</v>
      </c>
      <c r="I1204" s="656"/>
      <c r="J1204" s="656"/>
      <c r="K1204" s="656"/>
      <c r="L1204" s="656" t="s">
        <v>11373</v>
      </c>
      <c r="M1204" s="656" t="s">
        <v>16196</v>
      </c>
      <c r="N1204" s="656"/>
      <c r="O1204" s="656" t="s">
        <v>9757</v>
      </c>
      <c r="P1204" s="5"/>
      <c r="Q1204" s="1447"/>
      <c r="R1204" s="656"/>
      <c r="S1204" s="656" t="s">
        <v>1394</v>
      </c>
      <c r="T1204" s="656" t="s">
        <v>522</v>
      </c>
      <c r="U1204" s="656" t="s">
        <v>522</v>
      </c>
      <c r="V1204" s="656"/>
      <c r="W1204" s="656" t="s">
        <v>13051</v>
      </c>
      <c r="X1204" s="656" t="s">
        <v>498</v>
      </c>
      <c r="Y1204" s="656" t="s">
        <v>14278</v>
      </c>
      <c r="Z1204" s="656">
        <v>44305.520624999997</v>
      </c>
      <c r="AA1204" s="656" t="s">
        <v>14335</v>
      </c>
      <c r="AB1204" s="656"/>
    </row>
    <row r="1205" spans="1:28">
      <c r="A1205" s="656" t="s">
        <v>3582</v>
      </c>
      <c r="B1205" s="656" t="s">
        <v>3583</v>
      </c>
      <c r="C1205" s="656" t="s">
        <v>21</v>
      </c>
      <c r="D1205" s="656" t="s">
        <v>11368</v>
      </c>
      <c r="E1205" s="656" t="s">
        <v>14275</v>
      </c>
      <c r="F1205" s="1447">
        <v>43235</v>
      </c>
      <c r="G1205" s="656" t="s">
        <v>11367</v>
      </c>
      <c r="H1205" s="656" t="s">
        <v>1777</v>
      </c>
      <c r="I1205" s="656" t="s">
        <v>14679</v>
      </c>
      <c r="J1205" s="656" t="s">
        <v>11368</v>
      </c>
      <c r="K1205" s="656" t="s">
        <v>9750</v>
      </c>
      <c r="L1205" s="656"/>
      <c r="M1205" s="656" t="s">
        <v>16196</v>
      </c>
      <c r="N1205" s="656"/>
      <c r="O1205" s="656" t="s">
        <v>9757</v>
      </c>
      <c r="P1205" s="5"/>
      <c r="Q1205" s="1447">
        <v>42886</v>
      </c>
      <c r="R1205" s="656">
        <v>43059</v>
      </c>
      <c r="S1205" s="656" t="s">
        <v>1394</v>
      </c>
      <c r="T1205" s="656" t="s">
        <v>522</v>
      </c>
      <c r="U1205" s="656" t="s">
        <v>522</v>
      </c>
      <c r="V1205" s="656"/>
      <c r="W1205" s="656" t="s">
        <v>13051</v>
      </c>
      <c r="X1205" s="656" t="s">
        <v>498</v>
      </c>
      <c r="Y1205" s="656" t="s">
        <v>14278</v>
      </c>
      <c r="Z1205" s="656">
        <v>44305.520613425928</v>
      </c>
      <c r="AA1205" s="656" t="s">
        <v>14335</v>
      </c>
      <c r="AB1205" s="656"/>
    </row>
    <row r="1206" spans="1:28">
      <c r="A1206" s="656" t="s">
        <v>3582</v>
      </c>
      <c r="B1206" s="656" t="s">
        <v>3583</v>
      </c>
      <c r="C1206" s="656" t="s">
        <v>20</v>
      </c>
      <c r="D1206" s="656" t="s">
        <v>11369</v>
      </c>
      <c r="E1206" s="656" t="s">
        <v>14275</v>
      </c>
      <c r="F1206" s="1447">
        <v>43228</v>
      </c>
      <c r="G1206" s="656" t="s">
        <v>11367</v>
      </c>
      <c r="H1206" s="656" t="s">
        <v>1777</v>
      </c>
      <c r="I1206" s="656"/>
      <c r="J1206" s="656"/>
      <c r="K1206" s="656"/>
      <c r="L1206" s="656" t="s">
        <v>11369</v>
      </c>
      <c r="M1206" s="656" t="s">
        <v>16196</v>
      </c>
      <c r="N1206" s="656"/>
      <c r="O1206" s="656" t="s">
        <v>9757</v>
      </c>
      <c r="P1206" s="5"/>
      <c r="Q1206" s="1447">
        <v>42886</v>
      </c>
      <c r="R1206" s="656"/>
      <c r="S1206" s="656" t="s">
        <v>1394</v>
      </c>
      <c r="T1206" s="656" t="s">
        <v>522</v>
      </c>
      <c r="U1206" s="656" t="s">
        <v>522</v>
      </c>
      <c r="V1206" s="656"/>
      <c r="W1206" s="656" t="s">
        <v>13051</v>
      </c>
      <c r="X1206" s="656" t="s">
        <v>498</v>
      </c>
      <c r="Y1206" s="656" t="s">
        <v>14278</v>
      </c>
      <c r="Z1206" s="656">
        <v>44305.520624999997</v>
      </c>
      <c r="AA1206" s="656" t="s">
        <v>14335</v>
      </c>
      <c r="AB1206" s="656"/>
    </row>
    <row r="1207" spans="1:28">
      <c r="A1207" s="656" t="s">
        <v>3588</v>
      </c>
      <c r="B1207" s="656" t="s">
        <v>3589</v>
      </c>
      <c r="C1207" s="656" t="s">
        <v>21</v>
      </c>
      <c r="D1207" s="656" t="s">
        <v>11365</v>
      </c>
      <c r="E1207" s="656" t="s">
        <v>14275</v>
      </c>
      <c r="F1207" s="1447">
        <v>42956</v>
      </c>
      <c r="G1207" s="656" t="s">
        <v>11364</v>
      </c>
      <c r="H1207" s="656" t="s">
        <v>1777</v>
      </c>
      <c r="I1207" s="656" t="s">
        <v>14680</v>
      </c>
      <c r="J1207" s="656" t="s">
        <v>11365</v>
      </c>
      <c r="K1207" s="656" t="s">
        <v>9750</v>
      </c>
      <c r="L1207" s="656"/>
      <c r="M1207" s="656" t="s">
        <v>16196</v>
      </c>
      <c r="N1207" s="656"/>
      <c r="O1207" s="656" t="s">
        <v>9757</v>
      </c>
      <c r="P1207" s="5"/>
      <c r="Q1207" s="1447">
        <v>42545</v>
      </c>
      <c r="R1207" s="656">
        <v>42705</v>
      </c>
      <c r="S1207" s="656" t="s">
        <v>1394</v>
      </c>
      <c r="T1207" s="656" t="s">
        <v>522</v>
      </c>
      <c r="U1207" s="656" t="s">
        <v>522</v>
      </c>
      <c r="V1207" s="656"/>
      <c r="W1207" s="656" t="s">
        <v>13051</v>
      </c>
      <c r="X1207" s="656" t="s">
        <v>498</v>
      </c>
      <c r="Y1207" s="656" t="s">
        <v>14278</v>
      </c>
      <c r="Z1207" s="656">
        <v>44305.520601851851</v>
      </c>
      <c r="AA1207" s="656" t="s">
        <v>14335</v>
      </c>
      <c r="AB1207" s="656"/>
    </row>
    <row r="1208" spans="1:28">
      <c r="A1208" s="656" t="s">
        <v>3588</v>
      </c>
      <c r="B1208" s="656" t="s">
        <v>3589</v>
      </c>
      <c r="C1208" s="656" t="s">
        <v>20</v>
      </c>
      <c r="D1208" s="656" t="s">
        <v>11366</v>
      </c>
      <c r="E1208" s="656" t="s">
        <v>14275</v>
      </c>
      <c r="F1208" s="1447">
        <v>42971</v>
      </c>
      <c r="G1208" s="656" t="s">
        <v>11364</v>
      </c>
      <c r="H1208" s="656" t="s">
        <v>1777</v>
      </c>
      <c r="I1208" s="656"/>
      <c r="J1208" s="656"/>
      <c r="K1208" s="656"/>
      <c r="L1208" s="656" t="s">
        <v>11366</v>
      </c>
      <c r="M1208" s="656" t="s">
        <v>16196</v>
      </c>
      <c r="N1208" s="656"/>
      <c r="O1208" s="656" t="s">
        <v>9757</v>
      </c>
      <c r="P1208" s="5"/>
      <c r="Q1208" s="1447"/>
      <c r="R1208" s="656"/>
      <c r="S1208" s="656" t="s">
        <v>1394</v>
      </c>
      <c r="T1208" s="656" t="s">
        <v>522</v>
      </c>
      <c r="U1208" s="656" t="s">
        <v>522</v>
      </c>
      <c r="V1208" s="656"/>
      <c r="W1208" s="656" t="s">
        <v>13051</v>
      </c>
      <c r="X1208" s="656" t="s">
        <v>498</v>
      </c>
      <c r="Y1208" s="656" t="s">
        <v>14278</v>
      </c>
      <c r="Z1208" s="656">
        <v>44305.520613425928</v>
      </c>
      <c r="AA1208" s="656" t="s">
        <v>14335</v>
      </c>
      <c r="AB1208" s="656"/>
    </row>
    <row r="1209" spans="1:28">
      <c r="A1209" s="656" t="s">
        <v>3590</v>
      </c>
      <c r="B1209" s="656" t="s">
        <v>3591</v>
      </c>
      <c r="C1209" s="656" t="s">
        <v>21</v>
      </c>
      <c r="D1209" s="656" t="s">
        <v>11361</v>
      </c>
      <c r="E1209" s="656" t="s">
        <v>14275</v>
      </c>
      <c r="F1209" s="1447">
        <v>42956</v>
      </c>
      <c r="G1209" s="656" t="s">
        <v>11360</v>
      </c>
      <c r="H1209" s="656" t="s">
        <v>1777</v>
      </c>
      <c r="I1209" s="656" t="s">
        <v>14681</v>
      </c>
      <c r="J1209" s="656" t="s">
        <v>11361</v>
      </c>
      <c r="K1209" s="656" t="s">
        <v>9750</v>
      </c>
      <c r="L1209" s="656"/>
      <c r="M1209" s="656" t="s">
        <v>16196</v>
      </c>
      <c r="N1209" s="656"/>
      <c r="O1209" s="656" t="s">
        <v>9757</v>
      </c>
      <c r="P1209" s="5"/>
      <c r="Q1209" s="1447">
        <v>42640</v>
      </c>
      <c r="R1209" s="656">
        <v>42713</v>
      </c>
      <c r="S1209" s="656" t="s">
        <v>1394</v>
      </c>
      <c r="T1209" s="656" t="s">
        <v>522</v>
      </c>
      <c r="U1209" s="656" t="s">
        <v>522</v>
      </c>
      <c r="V1209" s="656"/>
      <c r="W1209" s="656" t="s">
        <v>13051</v>
      </c>
      <c r="X1209" s="656" t="s">
        <v>498</v>
      </c>
      <c r="Y1209" s="656" t="s">
        <v>14278</v>
      </c>
      <c r="Z1209" s="656">
        <v>44305.520590277774</v>
      </c>
      <c r="AA1209" s="656" t="s">
        <v>14335</v>
      </c>
      <c r="AB1209" s="656"/>
    </row>
    <row r="1210" spans="1:28">
      <c r="A1210" s="656" t="s">
        <v>3590</v>
      </c>
      <c r="B1210" s="656" t="s">
        <v>3591</v>
      </c>
      <c r="C1210" s="656" t="s">
        <v>20</v>
      </c>
      <c r="D1210" s="656" t="s">
        <v>11362</v>
      </c>
      <c r="E1210" s="656" t="s">
        <v>14275</v>
      </c>
      <c r="F1210" s="1447">
        <v>42948</v>
      </c>
      <c r="G1210" s="656" t="s">
        <v>11360</v>
      </c>
      <c r="H1210" s="656" t="s">
        <v>1777</v>
      </c>
      <c r="I1210" s="656"/>
      <c r="J1210" s="656"/>
      <c r="K1210" s="656"/>
      <c r="L1210" s="656" t="s">
        <v>11362</v>
      </c>
      <c r="M1210" s="656" t="s">
        <v>16196</v>
      </c>
      <c r="N1210" s="656"/>
      <c r="O1210" s="656" t="s">
        <v>11363</v>
      </c>
      <c r="P1210" s="5"/>
      <c r="Q1210" s="1447">
        <v>42545</v>
      </c>
      <c r="R1210" s="656"/>
      <c r="S1210" s="656" t="s">
        <v>1394</v>
      </c>
      <c r="T1210" s="656" t="s">
        <v>522</v>
      </c>
      <c r="U1210" s="656" t="s">
        <v>522</v>
      </c>
      <c r="V1210" s="656"/>
      <c r="W1210" s="656" t="s">
        <v>13051</v>
      </c>
      <c r="X1210" s="656" t="s">
        <v>498</v>
      </c>
      <c r="Y1210" s="656" t="s">
        <v>14278</v>
      </c>
      <c r="Z1210" s="656">
        <v>44305.520601851851</v>
      </c>
      <c r="AA1210" s="656" t="s">
        <v>14335</v>
      </c>
      <c r="AB1210" s="656"/>
    </row>
    <row r="1211" spans="1:28">
      <c r="A1211" s="656" t="s">
        <v>3592</v>
      </c>
      <c r="B1211" s="656" t="s">
        <v>3593</v>
      </c>
      <c r="C1211" s="656" t="s">
        <v>21</v>
      </c>
      <c r="D1211" s="656" t="s">
        <v>11357</v>
      </c>
      <c r="E1211" s="656" t="s">
        <v>14275</v>
      </c>
      <c r="F1211" s="1447">
        <v>43216</v>
      </c>
      <c r="G1211" s="656" t="s">
        <v>11356</v>
      </c>
      <c r="H1211" s="656" t="s">
        <v>1777</v>
      </c>
      <c r="I1211" s="656" t="s">
        <v>14682</v>
      </c>
      <c r="J1211" s="656" t="s">
        <v>11357</v>
      </c>
      <c r="K1211" s="656" t="s">
        <v>9750</v>
      </c>
      <c r="L1211" s="656"/>
      <c r="M1211" s="656" t="s">
        <v>16196</v>
      </c>
      <c r="N1211" s="656"/>
      <c r="O1211" s="656" t="s">
        <v>9757</v>
      </c>
      <c r="P1211" s="5"/>
      <c r="Q1211" s="1447">
        <v>42927</v>
      </c>
      <c r="R1211" s="656">
        <v>43052</v>
      </c>
      <c r="S1211" s="656" t="s">
        <v>1394</v>
      </c>
      <c r="T1211" s="656" t="s">
        <v>522</v>
      </c>
      <c r="U1211" s="656" t="s">
        <v>522</v>
      </c>
      <c r="V1211" s="656"/>
      <c r="W1211" s="656" t="s">
        <v>13051</v>
      </c>
      <c r="X1211" s="656" t="s">
        <v>498</v>
      </c>
      <c r="Y1211" s="656" t="s">
        <v>14278</v>
      </c>
      <c r="Z1211" s="656">
        <v>44305.520578703705</v>
      </c>
      <c r="AA1211" s="656" t="s">
        <v>14335</v>
      </c>
      <c r="AB1211" s="656"/>
    </row>
    <row r="1212" spans="1:28">
      <c r="A1212" s="656" t="s">
        <v>3592</v>
      </c>
      <c r="B1212" s="656" t="s">
        <v>3593</v>
      </c>
      <c r="C1212" s="656" t="s">
        <v>20</v>
      </c>
      <c r="D1212" s="656" t="s">
        <v>11358</v>
      </c>
      <c r="E1212" s="656" t="s">
        <v>14275</v>
      </c>
      <c r="F1212" s="1447">
        <v>43213</v>
      </c>
      <c r="G1212" s="656" t="s">
        <v>11356</v>
      </c>
      <c r="H1212" s="656" t="s">
        <v>1777</v>
      </c>
      <c r="I1212" s="656"/>
      <c r="J1212" s="656"/>
      <c r="K1212" s="656"/>
      <c r="L1212" s="656" t="s">
        <v>11358</v>
      </c>
      <c r="M1212" s="656" t="s">
        <v>1947</v>
      </c>
      <c r="N1212" s="656"/>
      <c r="O1212" s="656" t="s">
        <v>9757</v>
      </c>
      <c r="P1212" s="5"/>
      <c r="Q1212" s="1447"/>
      <c r="R1212" s="656"/>
      <c r="S1212" s="656" t="s">
        <v>1394</v>
      </c>
      <c r="T1212" s="656" t="s">
        <v>522</v>
      </c>
      <c r="U1212" s="656" t="s">
        <v>522</v>
      </c>
      <c r="V1212" s="656"/>
      <c r="W1212" s="656" t="s">
        <v>13051</v>
      </c>
      <c r="X1212" s="656" t="s">
        <v>498</v>
      </c>
      <c r="Y1212" s="656" t="s">
        <v>14278</v>
      </c>
      <c r="Z1212" s="656">
        <v>44305.520578703705</v>
      </c>
      <c r="AA1212" s="656" t="s">
        <v>14335</v>
      </c>
      <c r="AB1212" s="656"/>
    </row>
    <row r="1213" spans="1:28">
      <c r="A1213" s="656" t="s">
        <v>3592</v>
      </c>
      <c r="B1213" s="656" t="s">
        <v>3593</v>
      </c>
      <c r="C1213" s="656" t="s">
        <v>20</v>
      </c>
      <c r="D1213" s="656" t="s">
        <v>11359</v>
      </c>
      <c r="E1213" s="656" t="s">
        <v>14275</v>
      </c>
      <c r="F1213" s="1447">
        <v>43213</v>
      </c>
      <c r="G1213" s="656" t="s">
        <v>11356</v>
      </c>
      <c r="H1213" s="656" t="s">
        <v>1777</v>
      </c>
      <c r="I1213" s="656"/>
      <c r="J1213" s="656"/>
      <c r="K1213" s="656"/>
      <c r="L1213" s="656" t="s">
        <v>11359</v>
      </c>
      <c r="M1213" s="656" t="s">
        <v>16196</v>
      </c>
      <c r="N1213" s="656"/>
      <c r="O1213" s="656" t="s">
        <v>9757</v>
      </c>
      <c r="P1213" s="5"/>
      <c r="Q1213" s="1447"/>
      <c r="R1213" s="656"/>
      <c r="S1213" s="656" t="s">
        <v>1394</v>
      </c>
      <c r="T1213" s="656" t="s">
        <v>522</v>
      </c>
      <c r="U1213" s="656" t="s">
        <v>522</v>
      </c>
      <c r="V1213" s="656"/>
      <c r="W1213" s="656" t="s">
        <v>13051</v>
      </c>
      <c r="X1213" s="656" t="s">
        <v>498</v>
      </c>
      <c r="Y1213" s="656" t="s">
        <v>14278</v>
      </c>
      <c r="Z1213" s="656">
        <v>44305.520590277774</v>
      </c>
      <c r="AA1213" s="656" t="s">
        <v>14335</v>
      </c>
      <c r="AB1213" s="656"/>
    </row>
    <row r="1214" spans="1:28">
      <c r="A1214" s="656" t="s">
        <v>3598</v>
      </c>
      <c r="B1214" s="656" t="s">
        <v>3599</v>
      </c>
      <c r="C1214" s="656" t="s">
        <v>21</v>
      </c>
      <c r="D1214" s="656" t="s">
        <v>11353</v>
      </c>
      <c r="E1214" s="656" t="s">
        <v>14275</v>
      </c>
      <c r="F1214" s="1447">
        <v>42976</v>
      </c>
      <c r="G1214" s="656" t="s">
        <v>11352</v>
      </c>
      <c r="H1214" s="656" t="s">
        <v>1777</v>
      </c>
      <c r="I1214" s="656" t="s">
        <v>14683</v>
      </c>
      <c r="J1214" s="656" t="s">
        <v>11353</v>
      </c>
      <c r="K1214" s="656" t="s">
        <v>10398</v>
      </c>
      <c r="L1214" s="656"/>
      <c r="M1214" s="656" t="s">
        <v>16408</v>
      </c>
      <c r="N1214" s="656"/>
      <c r="O1214" s="656" t="s">
        <v>6393</v>
      </c>
      <c r="P1214" s="5"/>
      <c r="Q1214" s="1447">
        <v>42783</v>
      </c>
      <c r="R1214" s="656">
        <v>42837</v>
      </c>
      <c r="S1214" s="656" t="s">
        <v>500</v>
      </c>
      <c r="T1214" s="656" t="s">
        <v>14559</v>
      </c>
      <c r="U1214" s="656" t="s">
        <v>500</v>
      </c>
      <c r="V1214" s="656"/>
      <c r="W1214" s="656" t="s">
        <v>13051</v>
      </c>
      <c r="X1214" s="656" t="s">
        <v>498</v>
      </c>
      <c r="Y1214" s="656" t="s">
        <v>14278</v>
      </c>
      <c r="Z1214" s="656">
        <v>44305.520567129628</v>
      </c>
      <c r="AA1214" s="656" t="s">
        <v>14335</v>
      </c>
      <c r="AB1214" s="656"/>
    </row>
    <row r="1215" spans="1:28">
      <c r="A1215" s="656" t="s">
        <v>3598</v>
      </c>
      <c r="B1215" s="656" t="s">
        <v>3599</v>
      </c>
      <c r="C1215" s="656" t="s">
        <v>20</v>
      </c>
      <c r="D1215" s="656" t="s">
        <v>11354</v>
      </c>
      <c r="E1215" s="656" t="s">
        <v>14275</v>
      </c>
      <c r="F1215" s="1447">
        <v>42986</v>
      </c>
      <c r="G1215" s="656" t="s">
        <v>11352</v>
      </c>
      <c r="H1215" s="656" t="s">
        <v>1777</v>
      </c>
      <c r="I1215" s="656"/>
      <c r="J1215" s="656"/>
      <c r="K1215" s="656"/>
      <c r="L1215" s="656" t="s">
        <v>11354</v>
      </c>
      <c r="M1215" s="656" t="s">
        <v>16409</v>
      </c>
      <c r="N1215" s="656"/>
      <c r="O1215" s="656" t="s">
        <v>6387</v>
      </c>
      <c r="P1215" s="5"/>
      <c r="Q1215" s="1447">
        <v>42709</v>
      </c>
      <c r="R1215" s="656"/>
      <c r="S1215" s="656" t="s">
        <v>500</v>
      </c>
      <c r="T1215" s="656" t="s">
        <v>14559</v>
      </c>
      <c r="U1215" s="656" t="s">
        <v>500</v>
      </c>
      <c r="V1215" s="656"/>
      <c r="W1215" s="656" t="s">
        <v>13051</v>
      </c>
      <c r="X1215" s="656" t="s">
        <v>498</v>
      </c>
      <c r="Y1215" s="656" t="s">
        <v>14278</v>
      </c>
      <c r="Z1215" s="656">
        <v>44305.520567129628</v>
      </c>
      <c r="AA1215" s="656" t="s">
        <v>14335</v>
      </c>
      <c r="AB1215" s="656"/>
    </row>
    <row r="1216" spans="1:28">
      <c r="A1216" s="656" t="s">
        <v>3598</v>
      </c>
      <c r="B1216" s="656" t="s">
        <v>3599</v>
      </c>
      <c r="C1216" s="656" t="s">
        <v>20</v>
      </c>
      <c r="D1216" s="656" t="s">
        <v>11355</v>
      </c>
      <c r="E1216" s="656" t="s">
        <v>14275</v>
      </c>
      <c r="F1216" s="1447">
        <v>42986</v>
      </c>
      <c r="G1216" s="656" t="s">
        <v>11352</v>
      </c>
      <c r="H1216" s="656" t="s">
        <v>1777</v>
      </c>
      <c r="I1216" s="656"/>
      <c r="J1216" s="656"/>
      <c r="K1216" s="656"/>
      <c r="L1216" s="656" t="s">
        <v>11355</v>
      </c>
      <c r="M1216" s="656" t="s">
        <v>16408</v>
      </c>
      <c r="N1216" s="656"/>
      <c r="O1216" s="656" t="s">
        <v>6393</v>
      </c>
      <c r="P1216" s="5"/>
      <c r="Q1216" s="1447">
        <v>42783</v>
      </c>
      <c r="R1216" s="656"/>
      <c r="S1216" s="656" t="s">
        <v>500</v>
      </c>
      <c r="T1216" s="656" t="s">
        <v>14559</v>
      </c>
      <c r="U1216" s="656" t="s">
        <v>500</v>
      </c>
      <c r="V1216" s="656"/>
      <c r="W1216" s="656" t="s">
        <v>13051</v>
      </c>
      <c r="X1216" s="656" t="s">
        <v>498</v>
      </c>
      <c r="Y1216" s="656" t="s">
        <v>14278</v>
      </c>
      <c r="Z1216" s="656">
        <v>44305.520578703705</v>
      </c>
      <c r="AA1216" s="656" t="s">
        <v>14335</v>
      </c>
      <c r="AB1216" s="656"/>
    </row>
    <row r="1217" spans="1:28">
      <c r="A1217" s="656" t="s">
        <v>3610</v>
      </c>
      <c r="B1217" s="656" t="s">
        <v>3611</v>
      </c>
      <c r="C1217" s="656" t="s">
        <v>20</v>
      </c>
      <c r="D1217" s="656" t="s">
        <v>11351</v>
      </c>
      <c r="E1217" s="656" t="s">
        <v>14275</v>
      </c>
      <c r="F1217" s="1447">
        <v>43557</v>
      </c>
      <c r="G1217" s="656" t="s">
        <v>11350</v>
      </c>
      <c r="H1217" s="656" t="s">
        <v>1777</v>
      </c>
      <c r="I1217" s="656"/>
      <c r="J1217" s="656"/>
      <c r="K1217" s="656"/>
      <c r="L1217" s="656" t="s">
        <v>11351</v>
      </c>
      <c r="M1217" s="656" t="s">
        <v>16200</v>
      </c>
      <c r="N1217" s="656"/>
      <c r="O1217" s="656" t="s">
        <v>6393</v>
      </c>
      <c r="P1217" s="5"/>
      <c r="Q1217" s="1447">
        <v>42450</v>
      </c>
      <c r="R1217" s="656"/>
      <c r="S1217" s="656" t="s">
        <v>500</v>
      </c>
      <c r="T1217" s="656" t="s">
        <v>14559</v>
      </c>
      <c r="U1217" s="656" t="s">
        <v>500</v>
      </c>
      <c r="V1217" s="656"/>
      <c r="W1217" s="656" t="s">
        <v>13051</v>
      </c>
      <c r="X1217" s="656" t="s">
        <v>498</v>
      </c>
      <c r="Y1217" s="656" t="s">
        <v>14278</v>
      </c>
      <c r="Z1217" s="656">
        <v>44305.520555555559</v>
      </c>
      <c r="AA1217" s="656" t="s">
        <v>14335</v>
      </c>
      <c r="AB1217" s="656"/>
    </row>
    <row r="1218" spans="1:28">
      <c r="A1218" s="656" t="s">
        <v>3638</v>
      </c>
      <c r="B1218" s="656" t="s">
        <v>3639</v>
      </c>
      <c r="C1218" s="656" t="s">
        <v>21</v>
      </c>
      <c r="D1218" s="656" t="s">
        <v>11348</v>
      </c>
      <c r="E1218" s="656" t="s">
        <v>14384</v>
      </c>
      <c r="F1218" s="1447">
        <v>42619</v>
      </c>
      <c r="G1218" s="656" t="s">
        <v>11347</v>
      </c>
      <c r="H1218" s="656" t="s">
        <v>1777</v>
      </c>
      <c r="I1218" s="656" t="s">
        <v>14684</v>
      </c>
      <c r="J1218" s="656" t="s">
        <v>11348</v>
      </c>
      <c r="K1218" s="656" t="s">
        <v>9774</v>
      </c>
      <c r="L1218" s="656"/>
      <c r="M1218" s="656" t="s">
        <v>16410</v>
      </c>
      <c r="N1218" s="656"/>
      <c r="O1218" s="656" t="s">
        <v>6393</v>
      </c>
      <c r="P1218" s="5" t="s">
        <v>14943</v>
      </c>
      <c r="Q1218" s="1447">
        <v>42410</v>
      </c>
      <c r="R1218" s="656"/>
      <c r="S1218" s="656" t="s">
        <v>500</v>
      </c>
      <c r="T1218" s="656" t="s">
        <v>14559</v>
      </c>
      <c r="U1218" s="656" t="s">
        <v>500</v>
      </c>
      <c r="V1218" s="656"/>
      <c r="W1218" s="656" t="s">
        <v>13051</v>
      </c>
      <c r="X1218" s="656" t="s">
        <v>498</v>
      </c>
      <c r="Y1218" s="656" t="s">
        <v>14278</v>
      </c>
      <c r="Z1218" s="656">
        <v>44305.520543981482</v>
      </c>
      <c r="AA1218" s="656" t="s">
        <v>14335</v>
      </c>
      <c r="AB1218" s="656"/>
    </row>
    <row r="1219" spans="1:28">
      <c r="A1219" s="656" t="s">
        <v>3638</v>
      </c>
      <c r="B1219" s="656" t="s">
        <v>3639</v>
      </c>
      <c r="C1219" s="656" t="s">
        <v>20</v>
      </c>
      <c r="D1219" s="656" t="s">
        <v>11349</v>
      </c>
      <c r="E1219" s="656" t="s">
        <v>14275</v>
      </c>
      <c r="F1219" s="1447">
        <v>42754</v>
      </c>
      <c r="G1219" s="656" t="s">
        <v>11347</v>
      </c>
      <c r="H1219" s="656" t="s">
        <v>1777</v>
      </c>
      <c r="I1219" s="656"/>
      <c r="J1219" s="656"/>
      <c r="K1219" s="656"/>
      <c r="L1219" s="656" t="s">
        <v>11349</v>
      </c>
      <c r="M1219" s="656" t="s">
        <v>16410</v>
      </c>
      <c r="N1219" s="656"/>
      <c r="O1219" s="656" t="s">
        <v>6393</v>
      </c>
      <c r="P1219" s="5"/>
      <c r="Q1219" s="1447">
        <v>42388</v>
      </c>
      <c r="R1219" s="656"/>
      <c r="S1219" s="656" t="s">
        <v>500</v>
      </c>
      <c r="T1219" s="656" t="s">
        <v>14559</v>
      </c>
      <c r="U1219" s="656" t="s">
        <v>500</v>
      </c>
      <c r="V1219" s="656"/>
      <c r="W1219" s="656" t="s">
        <v>13051</v>
      </c>
      <c r="X1219" s="656" t="s">
        <v>498</v>
      </c>
      <c r="Y1219" s="656" t="s">
        <v>14278</v>
      </c>
      <c r="Z1219" s="656">
        <v>44305.520543981482</v>
      </c>
      <c r="AA1219" s="656" t="s">
        <v>14335</v>
      </c>
      <c r="AB1219" s="656"/>
    </row>
    <row r="1220" spans="1:28">
      <c r="A1220" s="656" t="s">
        <v>3642</v>
      </c>
      <c r="B1220" s="656" t="s">
        <v>3643</v>
      </c>
      <c r="C1220" s="656" t="s">
        <v>20</v>
      </c>
      <c r="D1220" s="656" t="s">
        <v>11346</v>
      </c>
      <c r="E1220" s="656" t="s">
        <v>14275</v>
      </c>
      <c r="F1220" s="1447">
        <v>43587</v>
      </c>
      <c r="G1220" s="656" t="s">
        <v>11345</v>
      </c>
      <c r="H1220" s="656" t="s">
        <v>1777</v>
      </c>
      <c r="I1220" s="656"/>
      <c r="J1220" s="656"/>
      <c r="K1220" s="656"/>
      <c r="L1220" s="656" t="s">
        <v>11346</v>
      </c>
      <c r="M1220" s="656" t="s">
        <v>1274</v>
      </c>
      <c r="N1220" s="656"/>
      <c r="O1220" s="656" t="s">
        <v>6387</v>
      </c>
      <c r="P1220" s="5"/>
      <c r="Q1220" s="1447"/>
      <c r="R1220" s="656"/>
      <c r="S1220" s="656" t="s">
        <v>1667</v>
      </c>
      <c r="T1220" s="656" t="s">
        <v>14524</v>
      </c>
      <c r="U1220" s="656" t="s">
        <v>1667</v>
      </c>
      <c r="V1220" s="656"/>
      <c r="W1220" s="656" t="s">
        <v>13051</v>
      </c>
      <c r="X1220" s="656" t="s">
        <v>498</v>
      </c>
      <c r="Y1220" s="656" t="s">
        <v>14278</v>
      </c>
      <c r="Z1220" s="656">
        <v>44305.520532407405</v>
      </c>
      <c r="AA1220" s="656" t="s">
        <v>14335</v>
      </c>
      <c r="AB1220" s="656"/>
    </row>
    <row r="1221" spans="1:28">
      <c r="A1221" s="656" t="s">
        <v>3644</v>
      </c>
      <c r="B1221" s="656" t="s">
        <v>3645</v>
      </c>
      <c r="C1221" s="656" t="s">
        <v>20</v>
      </c>
      <c r="D1221" s="656" t="s">
        <v>11344</v>
      </c>
      <c r="E1221" s="656" t="s">
        <v>14275</v>
      </c>
      <c r="F1221" s="1447">
        <v>42984</v>
      </c>
      <c r="G1221" s="656" t="s">
        <v>11343</v>
      </c>
      <c r="H1221" s="656" t="s">
        <v>1777</v>
      </c>
      <c r="I1221" s="656"/>
      <c r="J1221" s="656"/>
      <c r="K1221" s="656"/>
      <c r="L1221" s="656" t="s">
        <v>11344</v>
      </c>
      <c r="M1221" s="656" t="s">
        <v>16199</v>
      </c>
      <c r="N1221" s="656"/>
      <c r="O1221" s="656" t="s">
        <v>6387</v>
      </c>
      <c r="P1221" s="5"/>
      <c r="Q1221" s="1447"/>
      <c r="R1221" s="656"/>
      <c r="S1221" s="656" t="s">
        <v>500</v>
      </c>
      <c r="T1221" s="656" t="s">
        <v>14559</v>
      </c>
      <c r="U1221" s="656" t="s">
        <v>500</v>
      </c>
      <c r="V1221" s="656"/>
      <c r="W1221" s="656" t="s">
        <v>13051</v>
      </c>
      <c r="X1221" s="656" t="s">
        <v>498</v>
      </c>
      <c r="Y1221" s="656" t="s">
        <v>14278</v>
      </c>
      <c r="Z1221" s="656">
        <v>44305.520520833335</v>
      </c>
      <c r="AA1221" s="656" t="s">
        <v>14335</v>
      </c>
      <c r="AB1221" s="656"/>
    </row>
    <row r="1222" spans="1:28">
      <c r="A1222" s="656" t="s">
        <v>3652</v>
      </c>
      <c r="B1222" s="656" t="s">
        <v>3653</v>
      </c>
      <c r="C1222" s="656" t="s">
        <v>21</v>
      </c>
      <c r="D1222" s="656" t="s">
        <v>11338</v>
      </c>
      <c r="E1222" s="656" t="s">
        <v>14275</v>
      </c>
      <c r="F1222" s="1447">
        <v>43547</v>
      </c>
      <c r="G1222" s="656" t="s">
        <v>11337</v>
      </c>
      <c r="H1222" s="656" t="s">
        <v>1777</v>
      </c>
      <c r="I1222" s="656" t="s">
        <v>14685</v>
      </c>
      <c r="J1222" s="656" t="s">
        <v>11338</v>
      </c>
      <c r="K1222" s="656" t="s">
        <v>9782</v>
      </c>
      <c r="L1222" s="656"/>
      <c r="M1222" s="656" t="s">
        <v>16262</v>
      </c>
      <c r="N1222" s="656"/>
      <c r="O1222" s="656" t="s">
        <v>6387</v>
      </c>
      <c r="P1222" s="5"/>
      <c r="Q1222" s="1447">
        <v>42545</v>
      </c>
      <c r="R1222" s="656">
        <v>43351</v>
      </c>
      <c r="S1222" s="656" t="s">
        <v>655</v>
      </c>
      <c r="T1222" s="656" t="s">
        <v>14277</v>
      </c>
      <c r="U1222" s="656" t="s">
        <v>655</v>
      </c>
      <c r="V1222" s="656"/>
      <c r="W1222" s="656" t="s">
        <v>13051</v>
      </c>
      <c r="X1222" s="656" t="s">
        <v>498</v>
      </c>
      <c r="Y1222" s="656" t="s">
        <v>14278</v>
      </c>
      <c r="Z1222" s="656">
        <v>44305.520509259259</v>
      </c>
      <c r="AA1222" s="656" t="s">
        <v>14335</v>
      </c>
      <c r="AB1222" s="656"/>
    </row>
    <row r="1223" spans="1:28">
      <c r="A1223" s="656" t="s">
        <v>3652</v>
      </c>
      <c r="B1223" s="656" t="s">
        <v>3653</v>
      </c>
      <c r="C1223" s="656" t="s">
        <v>20</v>
      </c>
      <c r="D1223" s="656" t="s">
        <v>11340</v>
      </c>
      <c r="E1223" s="656" t="s">
        <v>14275</v>
      </c>
      <c r="F1223" s="1447">
        <v>42521</v>
      </c>
      <c r="G1223" s="656" t="s">
        <v>11339</v>
      </c>
      <c r="H1223" s="656" t="s">
        <v>1777</v>
      </c>
      <c r="I1223" s="656"/>
      <c r="J1223" s="656"/>
      <c r="K1223" s="656"/>
      <c r="L1223" s="656" t="s">
        <v>11340</v>
      </c>
      <c r="M1223" s="656" t="s">
        <v>16199</v>
      </c>
      <c r="N1223" s="656"/>
      <c r="O1223" s="656" t="s">
        <v>6395</v>
      </c>
      <c r="P1223" s="5"/>
      <c r="Q1223" s="1447"/>
      <c r="R1223" s="656"/>
      <c r="S1223" s="656" t="s">
        <v>655</v>
      </c>
      <c r="T1223" s="656" t="s">
        <v>14277</v>
      </c>
      <c r="U1223" s="656" t="s">
        <v>655</v>
      </c>
      <c r="V1223" s="656"/>
      <c r="W1223" s="656" t="s">
        <v>13051</v>
      </c>
      <c r="X1223" s="656" t="s">
        <v>498</v>
      </c>
      <c r="Y1223" s="656" t="s">
        <v>14278</v>
      </c>
      <c r="Z1223" s="656">
        <v>44305.520509259259</v>
      </c>
      <c r="AA1223" s="656" t="s">
        <v>14335</v>
      </c>
      <c r="AB1223" s="656"/>
    </row>
    <row r="1224" spans="1:28">
      <c r="A1224" s="656" t="s">
        <v>3652</v>
      </c>
      <c r="B1224" s="656" t="s">
        <v>3653</v>
      </c>
      <c r="C1224" s="656" t="s">
        <v>20</v>
      </c>
      <c r="D1224" s="656" t="s">
        <v>11341</v>
      </c>
      <c r="E1224" s="656" t="s">
        <v>14275</v>
      </c>
      <c r="F1224" s="1447">
        <v>43557</v>
      </c>
      <c r="G1224" s="656" t="s">
        <v>11339</v>
      </c>
      <c r="H1224" s="656" t="s">
        <v>1777</v>
      </c>
      <c r="I1224" s="656"/>
      <c r="J1224" s="656"/>
      <c r="K1224" s="656"/>
      <c r="L1224" s="656" t="s">
        <v>11341</v>
      </c>
      <c r="M1224" s="656" t="s">
        <v>1947</v>
      </c>
      <c r="N1224" s="656"/>
      <c r="O1224" s="656" t="s">
        <v>6387</v>
      </c>
      <c r="P1224" s="5"/>
      <c r="Q1224" s="1447"/>
      <c r="R1224" s="656"/>
      <c r="S1224" s="656" t="s">
        <v>655</v>
      </c>
      <c r="T1224" s="656" t="s">
        <v>14277</v>
      </c>
      <c r="U1224" s="656" t="s">
        <v>655</v>
      </c>
      <c r="V1224" s="656"/>
      <c r="W1224" s="656" t="s">
        <v>13051</v>
      </c>
      <c r="X1224" s="656" t="s">
        <v>498</v>
      </c>
      <c r="Y1224" s="656" t="s">
        <v>14278</v>
      </c>
      <c r="Z1224" s="656">
        <v>44305.520520833335</v>
      </c>
      <c r="AA1224" s="656" t="s">
        <v>14335</v>
      </c>
      <c r="AB1224" s="656"/>
    </row>
    <row r="1225" spans="1:28">
      <c r="A1225" s="656" t="s">
        <v>3652</v>
      </c>
      <c r="B1225" s="656" t="s">
        <v>3653</v>
      </c>
      <c r="C1225" s="656" t="s">
        <v>20</v>
      </c>
      <c r="D1225" s="656" t="s">
        <v>11342</v>
      </c>
      <c r="E1225" s="656" t="s">
        <v>14275</v>
      </c>
      <c r="F1225" s="1447">
        <v>43549</v>
      </c>
      <c r="G1225" s="656" t="s">
        <v>11339</v>
      </c>
      <c r="H1225" s="656" t="s">
        <v>1777</v>
      </c>
      <c r="I1225" s="656"/>
      <c r="J1225" s="656"/>
      <c r="K1225" s="656"/>
      <c r="L1225" s="656" t="s">
        <v>11342</v>
      </c>
      <c r="M1225" s="656" t="s">
        <v>16262</v>
      </c>
      <c r="N1225" s="656"/>
      <c r="O1225" s="656" t="s">
        <v>6387</v>
      </c>
      <c r="P1225" s="5"/>
      <c r="Q1225" s="1447"/>
      <c r="R1225" s="656"/>
      <c r="S1225" s="656" t="s">
        <v>655</v>
      </c>
      <c r="T1225" s="656" t="s">
        <v>14277</v>
      </c>
      <c r="U1225" s="656" t="s">
        <v>655</v>
      </c>
      <c r="V1225" s="656"/>
      <c r="W1225" s="656" t="s">
        <v>13051</v>
      </c>
      <c r="X1225" s="656" t="s">
        <v>498</v>
      </c>
      <c r="Y1225" s="656" t="s">
        <v>14278</v>
      </c>
      <c r="Z1225" s="656">
        <v>44305.520520833335</v>
      </c>
      <c r="AA1225" s="656" t="s">
        <v>14335</v>
      </c>
      <c r="AB1225" s="656"/>
    </row>
    <row r="1226" spans="1:28">
      <c r="A1226" s="656" t="s">
        <v>3658</v>
      </c>
      <c r="B1226" s="656" t="s">
        <v>3659</v>
      </c>
      <c r="C1226" s="656" t="s">
        <v>20</v>
      </c>
      <c r="D1226" s="656" t="s">
        <v>11336</v>
      </c>
      <c r="E1226" s="656" t="s">
        <v>14275</v>
      </c>
      <c r="F1226" s="1447">
        <v>43066</v>
      </c>
      <c r="G1226" s="656" t="s">
        <v>11335</v>
      </c>
      <c r="H1226" s="656" t="s">
        <v>1777</v>
      </c>
      <c r="I1226" s="656"/>
      <c r="J1226" s="656"/>
      <c r="K1226" s="656"/>
      <c r="L1226" s="656" t="s">
        <v>11336</v>
      </c>
      <c r="M1226" s="656" t="s">
        <v>16200</v>
      </c>
      <c r="N1226" s="656"/>
      <c r="O1226" s="656" t="s">
        <v>6393</v>
      </c>
      <c r="P1226" s="5"/>
      <c r="Q1226" s="1447"/>
      <c r="R1226" s="656"/>
      <c r="S1226" s="656" t="s">
        <v>500</v>
      </c>
      <c r="T1226" s="656" t="s">
        <v>14559</v>
      </c>
      <c r="U1226" s="656" t="s">
        <v>500</v>
      </c>
      <c r="V1226" s="656"/>
      <c r="W1226" s="656" t="s">
        <v>13051</v>
      </c>
      <c r="X1226" s="656" t="s">
        <v>498</v>
      </c>
      <c r="Y1226" s="656" t="s">
        <v>14278</v>
      </c>
      <c r="Z1226" s="656">
        <v>44305.520497685182</v>
      </c>
      <c r="AA1226" s="656" t="s">
        <v>14335</v>
      </c>
      <c r="AB1226" s="656"/>
    </row>
    <row r="1227" spans="1:28">
      <c r="A1227" s="656" t="s">
        <v>3662</v>
      </c>
      <c r="B1227" s="656" t="s">
        <v>3663</v>
      </c>
      <c r="C1227" s="656" t="s">
        <v>21</v>
      </c>
      <c r="D1227" s="656" t="s">
        <v>11333</v>
      </c>
      <c r="E1227" s="656" t="s">
        <v>14275</v>
      </c>
      <c r="F1227" s="1447">
        <v>42718</v>
      </c>
      <c r="G1227" s="656" t="s">
        <v>11332</v>
      </c>
      <c r="H1227" s="656" t="s">
        <v>1564</v>
      </c>
      <c r="I1227" s="656" t="s">
        <v>14686</v>
      </c>
      <c r="J1227" s="656" t="s">
        <v>11333</v>
      </c>
      <c r="K1227" s="656" t="s">
        <v>9782</v>
      </c>
      <c r="L1227" s="656"/>
      <c r="M1227" s="656" t="s">
        <v>1564</v>
      </c>
      <c r="N1227" s="656"/>
      <c r="O1227" s="656" t="s">
        <v>6387</v>
      </c>
      <c r="P1227" s="5"/>
      <c r="Q1227" s="1447"/>
      <c r="R1227" s="656">
        <v>42503</v>
      </c>
      <c r="S1227" s="656" t="s">
        <v>655</v>
      </c>
      <c r="T1227" s="656" t="s">
        <v>14559</v>
      </c>
      <c r="U1227" s="656" t="s">
        <v>500</v>
      </c>
      <c r="V1227" s="656"/>
      <c r="W1227" s="656" t="s">
        <v>13051</v>
      </c>
      <c r="X1227" s="656" t="s">
        <v>498</v>
      </c>
      <c r="Y1227" s="656" t="s">
        <v>14278</v>
      </c>
      <c r="Z1227" s="656">
        <v>44305.520486111112</v>
      </c>
      <c r="AA1227" s="656" t="s">
        <v>14335</v>
      </c>
      <c r="AB1227" s="656"/>
    </row>
    <row r="1228" spans="1:28">
      <c r="A1228" s="656" t="s">
        <v>3662</v>
      </c>
      <c r="B1228" s="656" t="s">
        <v>3663</v>
      </c>
      <c r="C1228" s="656" t="s">
        <v>20</v>
      </c>
      <c r="D1228" s="656" t="s">
        <v>11334</v>
      </c>
      <c r="E1228" s="656" t="s">
        <v>14275</v>
      </c>
      <c r="F1228" s="1447">
        <v>42718</v>
      </c>
      <c r="G1228" s="656" t="s">
        <v>11332</v>
      </c>
      <c r="H1228" s="656" t="s">
        <v>1777</v>
      </c>
      <c r="I1228" s="656"/>
      <c r="J1228" s="656"/>
      <c r="K1228" s="656"/>
      <c r="L1228" s="656" t="s">
        <v>11334</v>
      </c>
      <c r="M1228" s="656" t="s">
        <v>1564</v>
      </c>
      <c r="N1228" s="656"/>
      <c r="O1228" s="656" t="s">
        <v>6393</v>
      </c>
      <c r="P1228" s="5"/>
      <c r="Q1228" s="1447">
        <v>42340</v>
      </c>
      <c r="R1228" s="656"/>
      <c r="S1228" s="656" t="s">
        <v>655</v>
      </c>
      <c r="T1228" s="656" t="s">
        <v>14559</v>
      </c>
      <c r="U1228" s="656" t="s">
        <v>500</v>
      </c>
      <c r="V1228" s="656"/>
      <c r="W1228" s="656" t="s">
        <v>13051</v>
      </c>
      <c r="X1228" s="656" t="s">
        <v>498</v>
      </c>
      <c r="Y1228" s="656" t="s">
        <v>14278</v>
      </c>
      <c r="Z1228" s="656">
        <v>44305.520497685182</v>
      </c>
      <c r="AA1228" s="656" t="s">
        <v>14335</v>
      </c>
      <c r="AB1228" s="656"/>
    </row>
    <row r="1229" spans="1:28">
      <c r="A1229" s="656" t="s">
        <v>3676</v>
      </c>
      <c r="B1229" s="656" t="s">
        <v>3677</v>
      </c>
      <c r="C1229" s="656" t="s">
        <v>20</v>
      </c>
      <c r="D1229" s="656" t="s">
        <v>11331</v>
      </c>
      <c r="E1229" s="656" t="s">
        <v>14275</v>
      </c>
      <c r="F1229" s="1447">
        <v>43396</v>
      </c>
      <c r="G1229" s="656" t="s">
        <v>11330</v>
      </c>
      <c r="H1229" s="656" t="s">
        <v>1777</v>
      </c>
      <c r="I1229" s="656"/>
      <c r="J1229" s="656"/>
      <c r="K1229" s="656"/>
      <c r="L1229" s="656" t="s">
        <v>11331</v>
      </c>
      <c r="M1229" s="656" t="s">
        <v>16407</v>
      </c>
      <c r="N1229" s="656"/>
      <c r="O1229" s="656" t="s">
        <v>6387</v>
      </c>
      <c r="P1229" s="5"/>
      <c r="Q1229" s="1447">
        <v>42430</v>
      </c>
      <c r="R1229" s="656"/>
      <c r="S1229" s="656" t="s">
        <v>1394</v>
      </c>
      <c r="T1229" s="656" t="s">
        <v>14277</v>
      </c>
      <c r="U1229" s="656" t="s">
        <v>655</v>
      </c>
      <c r="V1229" s="656"/>
      <c r="W1229" s="656" t="s">
        <v>13051</v>
      </c>
      <c r="X1229" s="656" t="s">
        <v>498</v>
      </c>
      <c r="Y1229" s="656" t="s">
        <v>14278</v>
      </c>
      <c r="Z1229" s="656">
        <v>44305.520486111112</v>
      </c>
      <c r="AA1229" s="656" t="s">
        <v>14335</v>
      </c>
      <c r="AB1229" s="656"/>
    </row>
    <row r="1230" spans="1:28">
      <c r="A1230" s="656" t="s">
        <v>3685</v>
      </c>
      <c r="B1230" s="656" t="s">
        <v>3686</v>
      </c>
      <c r="C1230" s="656" t="s">
        <v>21</v>
      </c>
      <c r="D1230" s="656" t="s">
        <v>11328</v>
      </c>
      <c r="E1230" s="656" t="s">
        <v>14275</v>
      </c>
      <c r="F1230" s="1447">
        <v>42881</v>
      </c>
      <c r="G1230" s="656" t="s">
        <v>11327</v>
      </c>
      <c r="H1230" s="656" t="s">
        <v>1777</v>
      </c>
      <c r="I1230" s="656" t="s">
        <v>14687</v>
      </c>
      <c r="J1230" s="656" t="s">
        <v>11328</v>
      </c>
      <c r="K1230" s="656" t="s">
        <v>9782</v>
      </c>
      <c r="L1230" s="656"/>
      <c r="M1230" s="656" t="s">
        <v>16200</v>
      </c>
      <c r="N1230" s="656"/>
      <c r="O1230" s="656" t="s">
        <v>6393</v>
      </c>
      <c r="P1230" s="5" t="s">
        <v>14936</v>
      </c>
      <c r="Q1230" s="1447">
        <v>42300</v>
      </c>
      <c r="R1230" s="656">
        <v>42622</v>
      </c>
      <c r="S1230" s="656" t="s">
        <v>500</v>
      </c>
      <c r="T1230" s="656" t="s">
        <v>4198</v>
      </c>
      <c r="U1230" s="656" t="s">
        <v>1300</v>
      </c>
      <c r="V1230" s="656"/>
      <c r="W1230" s="656" t="s">
        <v>13051</v>
      </c>
      <c r="X1230" s="656" t="s">
        <v>498</v>
      </c>
      <c r="Y1230" s="656" t="s">
        <v>14278</v>
      </c>
      <c r="Z1230" s="656">
        <v>44305.520474537036</v>
      </c>
      <c r="AA1230" s="656" t="s">
        <v>14335</v>
      </c>
      <c r="AB1230" s="656"/>
    </row>
    <row r="1231" spans="1:28">
      <c r="A1231" s="656" t="s">
        <v>3685</v>
      </c>
      <c r="B1231" s="656" t="s">
        <v>3686</v>
      </c>
      <c r="C1231" s="656" t="s">
        <v>20</v>
      </c>
      <c r="D1231" s="656" t="s">
        <v>11329</v>
      </c>
      <c r="E1231" s="656" t="s">
        <v>14275</v>
      </c>
      <c r="F1231" s="1447">
        <v>42871</v>
      </c>
      <c r="G1231" s="656" t="s">
        <v>11327</v>
      </c>
      <c r="H1231" s="656" t="s">
        <v>1777</v>
      </c>
      <c r="I1231" s="656"/>
      <c r="J1231" s="656"/>
      <c r="K1231" s="656"/>
      <c r="L1231" s="656" t="s">
        <v>11329</v>
      </c>
      <c r="M1231" s="656" t="s">
        <v>16200</v>
      </c>
      <c r="N1231" s="656"/>
      <c r="O1231" s="656" t="s">
        <v>6393</v>
      </c>
      <c r="P1231" s="5"/>
      <c r="Q1231" s="1447"/>
      <c r="R1231" s="656"/>
      <c r="S1231" s="656" t="s">
        <v>500</v>
      </c>
      <c r="T1231" s="656" t="s">
        <v>4198</v>
      </c>
      <c r="U1231" s="656" t="s">
        <v>1300</v>
      </c>
      <c r="V1231" s="656"/>
      <c r="W1231" s="656" t="s">
        <v>13051</v>
      </c>
      <c r="X1231" s="656" t="s">
        <v>498</v>
      </c>
      <c r="Y1231" s="656" t="s">
        <v>14278</v>
      </c>
      <c r="Z1231" s="656">
        <v>44305.520474537036</v>
      </c>
      <c r="AA1231" s="656" t="s">
        <v>14335</v>
      </c>
      <c r="AB1231" s="656"/>
    </row>
    <row r="1232" spans="1:28">
      <c r="A1232" s="656" t="s">
        <v>3689</v>
      </c>
      <c r="B1232" s="656" t="s">
        <v>3690</v>
      </c>
      <c r="C1232" s="656" t="s">
        <v>21</v>
      </c>
      <c r="D1232" s="656" t="s">
        <v>11325</v>
      </c>
      <c r="E1232" s="656" t="s">
        <v>14275</v>
      </c>
      <c r="F1232" s="1447">
        <v>42990</v>
      </c>
      <c r="G1232" s="656" t="s">
        <v>11324</v>
      </c>
      <c r="H1232" s="656" t="s">
        <v>1777</v>
      </c>
      <c r="I1232" s="656" t="s">
        <v>14688</v>
      </c>
      <c r="J1232" s="656" t="s">
        <v>11325</v>
      </c>
      <c r="K1232" s="656" t="s">
        <v>9750</v>
      </c>
      <c r="L1232" s="656"/>
      <c r="M1232" s="656" t="s">
        <v>16196</v>
      </c>
      <c r="N1232" s="656"/>
      <c r="O1232" s="656" t="s">
        <v>9757</v>
      </c>
      <c r="P1232" s="5"/>
      <c r="Q1232" s="1447">
        <v>42752</v>
      </c>
      <c r="R1232" s="656">
        <v>42855</v>
      </c>
      <c r="S1232" s="656" t="s">
        <v>1300</v>
      </c>
      <c r="T1232" s="656" t="s">
        <v>4198</v>
      </c>
      <c r="U1232" s="656" t="s">
        <v>1300</v>
      </c>
      <c r="V1232" s="656"/>
      <c r="W1232" s="656" t="s">
        <v>13051</v>
      </c>
      <c r="X1232" s="656" t="s">
        <v>498</v>
      </c>
      <c r="Y1232" s="656" t="s">
        <v>14278</v>
      </c>
      <c r="Z1232" s="656">
        <v>44305.520462962966</v>
      </c>
      <c r="AA1232" s="656" t="s">
        <v>14335</v>
      </c>
      <c r="AB1232" s="656"/>
    </row>
    <row r="1233" spans="1:28">
      <c r="A1233" s="656" t="s">
        <v>3689</v>
      </c>
      <c r="B1233" s="656" t="s">
        <v>3690</v>
      </c>
      <c r="C1233" s="656" t="s">
        <v>20</v>
      </c>
      <c r="D1233" s="656" t="s">
        <v>11326</v>
      </c>
      <c r="E1233" s="656" t="s">
        <v>14275</v>
      </c>
      <c r="F1233" s="1447">
        <v>43109</v>
      </c>
      <c r="G1233" s="656" t="s">
        <v>11324</v>
      </c>
      <c r="H1233" s="656" t="s">
        <v>1777</v>
      </c>
      <c r="I1233" s="656"/>
      <c r="J1233" s="656"/>
      <c r="K1233" s="656"/>
      <c r="L1233" s="656" t="s">
        <v>11326</v>
      </c>
      <c r="M1233" s="656" t="s">
        <v>16196</v>
      </c>
      <c r="N1233" s="656"/>
      <c r="O1233" s="656" t="s">
        <v>9757</v>
      </c>
      <c r="P1233" s="5"/>
      <c r="Q1233" s="1447">
        <v>42691</v>
      </c>
      <c r="R1233" s="656"/>
      <c r="S1233" s="656" t="s">
        <v>1300</v>
      </c>
      <c r="T1233" s="656" t="s">
        <v>4198</v>
      </c>
      <c r="U1233" s="656" t="s">
        <v>1300</v>
      </c>
      <c r="V1233" s="656"/>
      <c r="W1233" s="656" t="s">
        <v>13051</v>
      </c>
      <c r="X1233" s="656" t="s">
        <v>498</v>
      </c>
      <c r="Y1233" s="656" t="s">
        <v>14278</v>
      </c>
      <c r="Z1233" s="656">
        <v>44305.520462962966</v>
      </c>
      <c r="AA1233" s="656" t="s">
        <v>14335</v>
      </c>
      <c r="AB1233" s="656"/>
    </row>
    <row r="1234" spans="1:28">
      <c r="A1234" s="656" t="s">
        <v>3758</v>
      </c>
      <c r="B1234" s="656" t="s">
        <v>3759</v>
      </c>
      <c r="C1234" s="656" t="s">
        <v>21</v>
      </c>
      <c r="D1234" s="656" t="s">
        <v>11322</v>
      </c>
      <c r="E1234" s="656" t="s">
        <v>14275</v>
      </c>
      <c r="F1234" s="1447">
        <v>43025</v>
      </c>
      <c r="G1234" s="656" t="s">
        <v>11321</v>
      </c>
      <c r="H1234" s="656" t="s">
        <v>1777</v>
      </c>
      <c r="I1234" s="656" t="s">
        <v>14689</v>
      </c>
      <c r="J1234" s="656" t="s">
        <v>11322</v>
      </c>
      <c r="K1234" s="656" t="s">
        <v>9750</v>
      </c>
      <c r="L1234" s="656"/>
      <c r="M1234" s="656" t="s">
        <v>16331</v>
      </c>
      <c r="N1234" s="656"/>
      <c r="O1234" s="656" t="s">
        <v>6387</v>
      </c>
      <c r="P1234" s="5"/>
      <c r="Q1234" s="1447">
        <v>42670</v>
      </c>
      <c r="R1234" s="656">
        <v>42874</v>
      </c>
      <c r="S1234" s="656" t="s">
        <v>500</v>
      </c>
      <c r="T1234" s="656" t="s">
        <v>4198</v>
      </c>
      <c r="U1234" s="656" t="s">
        <v>1300</v>
      </c>
      <c r="V1234" s="656"/>
      <c r="W1234" s="656" t="s">
        <v>13051</v>
      </c>
      <c r="X1234" s="656" t="s">
        <v>498</v>
      </c>
      <c r="Y1234" s="656" t="s">
        <v>14278</v>
      </c>
      <c r="Z1234" s="656">
        <v>44305.520439814813</v>
      </c>
      <c r="AA1234" s="656" t="s">
        <v>14335</v>
      </c>
      <c r="AB1234" s="656"/>
    </row>
    <row r="1235" spans="1:28">
      <c r="A1235" s="656" t="s">
        <v>3758</v>
      </c>
      <c r="B1235" s="656" t="s">
        <v>3759</v>
      </c>
      <c r="C1235" s="656" t="s">
        <v>20</v>
      </c>
      <c r="D1235" s="656" t="s">
        <v>11323</v>
      </c>
      <c r="E1235" s="656" t="s">
        <v>14275</v>
      </c>
      <c r="F1235" s="1447">
        <v>43027</v>
      </c>
      <c r="G1235" s="656" t="s">
        <v>11321</v>
      </c>
      <c r="H1235" s="656" t="s">
        <v>1777</v>
      </c>
      <c r="I1235" s="656"/>
      <c r="J1235" s="656"/>
      <c r="K1235" s="656"/>
      <c r="L1235" s="656" t="s">
        <v>11323</v>
      </c>
      <c r="M1235" s="656" t="s">
        <v>16331</v>
      </c>
      <c r="N1235" s="656"/>
      <c r="O1235" s="656" t="s">
        <v>6387</v>
      </c>
      <c r="P1235" s="5"/>
      <c r="Q1235" s="1447"/>
      <c r="R1235" s="656"/>
      <c r="S1235" s="656" t="s">
        <v>500</v>
      </c>
      <c r="T1235" s="656" t="s">
        <v>4198</v>
      </c>
      <c r="U1235" s="656" t="s">
        <v>1300</v>
      </c>
      <c r="V1235" s="656"/>
      <c r="W1235" s="656" t="s">
        <v>13051</v>
      </c>
      <c r="X1235" s="656" t="s">
        <v>498</v>
      </c>
      <c r="Y1235" s="656" t="s">
        <v>14278</v>
      </c>
      <c r="Z1235" s="656">
        <v>44305.520451388889</v>
      </c>
      <c r="AA1235" s="656" t="s">
        <v>14335</v>
      </c>
      <c r="AB1235" s="656"/>
    </row>
    <row r="1236" spans="1:28">
      <c r="A1236" s="656" t="s">
        <v>3760</v>
      </c>
      <c r="B1236" s="656" t="s">
        <v>3761</v>
      </c>
      <c r="C1236" s="656" t="s">
        <v>20</v>
      </c>
      <c r="D1236" s="656" t="s">
        <v>11318</v>
      </c>
      <c r="E1236" s="656" t="s">
        <v>14275</v>
      </c>
      <c r="F1236" s="1447">
        <v>42894</v>
      </c>
      <c r="G1236" s="656" t="s">
        <v>11317</v>
      </c>
      <c r="H1236" s="656" t="s">
        <v>1777</v>
      </c>
      <c r="I1236" s="656"/>
      <c r="J1236" s="656"/>
      <c r="K1236" s="656"/>
      <c r="L1236" s="656" t="s">
        <v>11318</v>
      </c>
      <c r="M1236" s="656" t="s">
        <v>16411</v>
      </c>
      <c r="N1236" s="656"/>
      <c r="O1236" s="656" t="s">
        <v>6387</v>
      </c>
      <c r="P1236" s="5" t="s">
        <v>14944</v>
      </c>
      <c r="Q1236" s="1447">
        <v>42381</v>
      </c>
      <c r="R1236" s="656"/>
      <c r="S1236" s="656" t="s">
        <v>655</v>
      </c>
      <c r="T1236" s="656" t="s">
        <v>14277</v>
      </c>
      <c r="U1236" s="656" t="s">
        <v>655</v>
      </c>
      <c r="V1236" s="656"/>
      <c r="W1236" s="656" t="s">
        <v>13051</v>
      </c>
      <c r="X1236" s="656" t="s">
        <v>498</v>
      </c>
      <c r="Y1236" s="656" t="s">
        <v>14278</v>
      </c>
      <c r="Z1236" s="656">
        <v>44305.520439814813</v>
      </c>
      <c r="AA1236" s="656" t="s">
        <v>14335</v>
      </c>
      <c r="AB1236" s="656"/>
    </row>
    <row r="1237" spans="1:28">
      <c r="A1237" s="656" t="s">
        <v>3760</v>
      </c>
      <c r="B1237" s="656" t="s">
        <v>3761</v>
      </c>
      <c r="C1237" s="656" t="s">
        <v>20</v>
      </c>
      <c r="D1237" s="656" t="s">
        <v>11320</v>
      </c>
      <c r="E1237" s="656" t="s">
        <v>14275</v>
      </c>
      <c r="F1237" s="1447">
        <v>42894</v>
      </c>
      <c r="G1237" s="656" t="s">
        <v>11319</v>
      </c>
      <c r="H1237" s="656" t="s">
        <v>1777</v>
      </c>
      <c r="I1237" s="656"/>
      <c r="J1237" s="656"/>
      <c r="K1237" s="656"/>
      <c r="L1237" s="656" t="s">
        <v>11320</v>
      </c>
      <c r="M1237" s="656" t="s">
        <v>16412</v>
      </c>
      <c r="N1237" s="656"/>
      <c r="O1237" s="656" t="s">
        <v>6387</v>
      </c>
      <c r="P1237" s="5" t="s">
        <v>14945</v>
      </c>
      <c r="Q1237" s="1447">
        <v>42536</v>
      </c>
      <c r="R1237" s="656"/>
      <c r="S1237" s="656" t="s">
        <v>655</v>
      </c>
      <c r="T1237" s="656" t="s">
        <v>14277</v>
      </c>
      <c r="U1237" s="656" t="s">
        <v>655</v>
      </c>
      <c r="V1237" s="656"/>
      <c r="W1237" s="656" t="s">
        <v>13051</v>
      </c>
      <c r="X1237" s="656" t="s">
        <v>498</v>
      </c>
      <c r="Y1237" s="656" t="s">
        <v>14278</v>
      </c>
      <c r="Z1237" s="656">
        <v>44305.520439814813</v>
      </c>
      <c r="AA1237" s="656" t="s">
        <v>14335</v>
      </c>
      <c r="AB1237" s="656"/>
    </row>
    <row r="1238" spans="1:28">
      <c r="A1238" s="656" t="s">
        <v>3765</v>
      </c>
      <c r="B1238" s="656" t="s">
        <v>3766</v>
      </c>
      <c r="C1238" s="656" t="s">
        <v>21</v>
      </c>
      <c r="D1238" s="656" t="s">
        <v>11315</v>
      </c>
      <c r="E1238" s="656" t="s">
        <v>14275</v>
      </c>
      <c r="F1238" s="1447">
        <v>42515</v>
      </c>
      <c r="G1238" s="656" t="s">
        <v>11314</v>
      </c>
      <c r="H1238" s="656" t="s">
        <v>1777</v>
      </c>
      <c r="I1238" s="656" t="s">
        <v>14690</v>
      </c>
      <c r="J1238" s="656" t="s">
        <v>11315</v>
      </c>
      <c r="K1238" s="656" t="s">
        <v>9774</v>
      </c>
      <c r="L1238" s="656"/>
      <c r="M1238" s="656" t="s">
        <v>1545</v>
      </c>
      <c r="N1238" s="656"/>
      <c r="O1238" s="656" t="s">
        <v>6393</v>
      </c>
      <c r="P1238" s="5"/>
      <c r="Q1238" s="1447">
        <v>42270</v>
      </c>
      <c r="R1238" s="656">
        <v>42370</v>
      </c>
      <c r="S1238" s="656" t="s">
        <v>500</v>
      </c>
      <c r="T1238" s="656" t="s">
        <v>14559</v>
      </c>
      <c r="U1238" s="656" t="s">
        <v>1300</v>
      </c>
      <c r="V1238" s="656"/>
      <c r="W1238" s="656" t="s">
        <v>13051</v>
      </c>
      <c r="X1238" s="656" t="s">
        <v>498</v>
      </c>
      <c r="Y1238" s="656" t="s">
        <v>14278</v>
      </c>
      <c r="Z1238" s="656">
        <v>44305.520428240743</v>
      </c>
      <c r="AA1238" s="656" t="s">
        <v>14335</v>
      </c>
      <c r="AB1238" s="656"/>
    </row>
    <row r="1239" spans="1:28">
      <c r="A1239" s="656" t="s">
        <v>3765</v>
      </c>
      <c r="B1239" s="656" t="s">
        <v>3766</v>
      </c>
      <c r="C1239" s="656" t="s">
        <v>20</v>
      </c>
      <c r="D1239" s="656" t="s">
        <v>11316</v>
      </c>
      <c r="E1239" s="656" t="s">
        <v>14275</v>
      </c>
      <c r="F1239" s="1447">
        <v>42502</v>
      </c>
      <c r="G1239" s="656" t="s">
        <v>11314</v>
      </c>
      <c r="H1239" s="656" t="s">
        <v>1777</v>
      </c>
      <c r="I1239" s="656"/>
      <c r="J1239" s="656"/>
      <c r="K1239" s="656"/>
      <c r="L1239" s="656" t="s">
        <v>11316</v>
      </c>
      <c r="M1239" s="656" t="s">
        <v>1545</v>
      </c>
      <c r="N1239" s="656"/>
      <c r="O1239" s="656" t="s">
        <v>6393</v>
      </c>
      <c r="P1239" s="5"/>
      <c r="Q1239" s="1447">
        <v>42244</v>
      </c>
      <c r="R1239" s="656"/>
      <c r="S1239" s="656" t="s">
        <v>500</v>
      </c>
      <c r="T1239" s="656" t="s">
        <v>14559</v>
      </c>
      <c r="U1239" s="656" t="s">
        <v>1300</v>
      </c>
      <c r="V1239" s="656"/>
      <c r="W1239" s="656" t="s">
        <v>13051</v>
      </c>
      <c r="X1239" s="656" t="s">
        <v>498</v>
      </c>
      <c r="Y1239" s="656" t="s">
        <v>14278</v>
      </c>
      <c r="Z1239" s="656">
        <v>44305.520428240743</v>
      </c>
      <c r="AA1239" s="656" t="s">
        <v>14335</v>
      </c>
      <c r="AB1239" s="656"/>
    </row>
    <row r="1240" spans="1:28">
      <c r="A1240" s="656" t="s">
        <v>3784</v>
      </c>
      <c r="B1240" s="656" t="s">
        <v>3785</v>
      </c>
      <c r="C1240" s="656" t="s">
        <v>21</v>
      </c>
      <c r="D1240" s="656" t="s">
        <v>11311</v>
      </c>
      <c r="E1240" s="656" t="s">
        <v>14275</v>
      </c>
      <c r="F1240" s="1447">
        <v>43292</v>
      </c>
      <c r="G1240" s="656" t="s">
        <v>11310</v>
      </c>
      <c r="H1240" s="656" t="s">
        <v>1777</v>
      </c>
      <c r="I1240" s="656" t="s">
        <v>14691</v>
      </c>
      <c r="J1240" s="656" t="s">
        <v>11311</v>
      </c>
      <c r="K1240" s="656" t="s">
        <v>9750</v>
      </c>
      <c r="L1240" s="656"/>
      <c r="M1240" s="656" t="s">
        <v>16319</v>
      </c>
      <c r="N1240" s="656"/>
      <c r="O1240" s="656" t="s">
        <v>6393</v>
      </c>
      <c r="P1240" s="5"/>
      <c r="Q1240" s="1447">
        <v>42341</v>
      </c>
      <c r="R1240" s="656">
        <v>43154</v>
      </c>
      <c r="S1240" s="656" t="s">
        <v>1394</v>
      </c>
      <c r="T1240" s="656" t="s">
        <v>14559</v>
      </c>
      <c r="U1240" s="656" t="s">
        <v>1300</v>
      </c>
      <c r="V1240" s="656"/>
      <c r="W1240" s="656" t="s">
        <v>13051</v>
      </c>
      <c r="X1240" s="656" t="s">
        <v>498</v>
      </c>
      <c r="Y1240" s="656" t="s">
        <v>14278</v>
      </c>
      <c r="Z1240" s="656">
        <v>44305.520405092589</v>
      </c>
      <c r="AA1240" s="656" t="s">
        <v>14335</v>
      </c>
      <c r="AB1240" s="656"/>
    </row>
    <row r="1241" spans="1:28">
      <c r="A1241" s="656" t="s">
        <v>3784</v>
      </c>
      <c r="B1241" s="656" t="s">
        <v>3785</v>
      </c>
      <c r="C1241" s="656" t="s">
        <v>21</v>
      </c>
      <c r="D1241" s="656" t="s">
        <v>11312</v>
      </c>
      <c r="E1241" s="656" t="s">
        <v>14275</v>
      </c>
      <c r="F1241" s="1447">
        <v>43292</v>
      </c>
      <c r="G1241" s="656" t="s">
        <v>11310</v>
      </c>
      <c r="H1241" s="656" t="s">
        <v>1777</v>
      </c>
      <c r="I1241" s="656" t="s">
        <v>14691</v>
      </c>
      <c r="J1241" s="656" t="s">
        <v>11312</v>
      </c>
      <c r="K1241" s="656" t="s">
        <v>9750</v>
      </c>
      <c r="L1241" s="656"/>
      <c r="M1241" s="656" t="s">
        <v>16336</v>
      </c>
      <c r="N1241" s="656"/>
      <c r="O1241" s="656" t="s">
        <v>6393</v>
      </c>
      <c r="P1241" s="5"/>
      <c r="Q1241" s="1447">
        <v>42760</v>
      </c>
      <c r="R1241" s="656">
        <v>43154</v>
      </c>
      <c r="S1241" s="656" t="s">
        <v>1394</v>
      </c>
      <c r="T1241" s="656" t="s">
        <v>14559</v>
      </c>
      <c r="U1241" s="656" t="s">
        <v>1300</v>
      </c>
      <c r="V1241" s="656"/>
      <c r="W1241" s="656" t="s">
        <v>13051</v>
      </c>
      <c r="X1241" s="656" t="s">
        <v>498</v>
      </c>
      <c r="Y1241" s="656" t="s">
        <v>14278</v>
      </c>
      <c r="Z1241" s="656">
        <v>44305.520416666666</v>
      </c>
      <c r="AA1241" s="656" t="s">
        <v>14335</v>
      </c>
      <c r="AB1241" s="656"/>
    </row>
    <row r="1242" spans="1:28">
      <c r="A1242" s="656" t="s">
        <v>3784</v>
      </c>
      <c r="B1242" s="656" t="s">
        <v>3785</v>
      </c>
      <c r="C1242" s="656" t="s">
        <v>20</v>
      </c>
      <c r="D1242" s="656" t="s">
        <v>11313</v>
      </c>
      <c r="E1242" s="656" t="s">
        <v>14275</v>
      </c>
      <c r="F1242" s="1447">
        <v>43284</v>
      </c>
      <c r="G1242" s="656" t="s">
        <v>11310</v>
      </c>
      <c r="H1242" s="656" t="s">
        <v>1777</v>
      </c>
      <c r="I1242" s="656"/>
      <c r="J1242" s="656"/>
      <c r="K1242" s="656"/>
      <c r="L1242" s="656" t="s">
        <v>11313</v>
      </c>
      <c r="M1242" s="656" t="s">
        <v>16319</v>
      </c>
      <c r="N1242" s="656"/>
      <c r="O1242" s="656" t="s">
        <v>6393</v>
      </c>
      <c r="P1242" s="5"/>
      <c r="Q1242" s="1447">
        <v>42293</v>
      </c>
      <c r="R1242" s="656"/>
      <c r="S1242" s="656" t="s">
        <v>1394</v>
      </c>
      <c r="T1242" s="656" t="s">
        <v>14559</v>
      </c>
      <c r="U1242" s="656" t="s">
        <v>1300</v>
      </c>
      <c r="V1242" s="656"/>
      <c r="W1242" s="656" t="s">
        <v>13051</v>
      </c>
      <c r="X1242" s="656" t="s">
        <v>498</v>
      </c>
      <c r="Y1242" s="656" t="s">
        <v>14278</v>
      </c>
      <c r="Z1242" s="656">
        <v>44305.520416666666</v>
      </c>
      <c r="AA1242" s="656" t="s">
        <v>14335</v>
      </c>
      <c r="AB1242" s="656"/>
    </row>
    <row r="1243" spans="1:28">
      <c r="A1243" s="656" t="s">
        <v>3794</v>
      </c>
      <c r="B1243" s="656" t="s">
        <v>3795</v>
      </c>
      <c r="C1243" s="656" t="s">
        <v>20</v>
      </c>
      <c r="D1243" s="656" t="s">
        <v>11309</v>
      </c>
      <c r="E1243" s="656" t="s">
        <v>14275</v>
      </c>
      <c r="F1243" s="1447">
        <v>42541</v>
      </c>
      <c r="G1243" s="656" t="s">
        <v>11308</v>
      </c>
      <c r="H1243" s="656" t="s">
        <v>1777</v>
      </c>
      <c r="I1243" s="656"/>
      <c r="J1243" s="656"/>
      <c r="K1243" s="656"/>
      <c r="L1243" s="656" t="s">
        <v>11309</v>
      </c>
      <c r="M1243" s="656" t="s">
        <v>16321</v>
      </c>
      <c r="N1243" s="656"/>
      <c r="O1243" s="656" t="s">
        <v>6393</v>
      </c>
      <c r="P1243" s="5"/>
      <c r="Q1243" s="1447">
        <v>42244</v>
      </c>
      <c r="R1243" s="656"/>
      <c r="S1243" s="656" t="s">
        <v>1300</v>
      </c>
      <c r="T1243" s="656" t="s">
        <v>14559</v>
      </c>
      <c r="U1243" s="656" t="s">
        <v>1300</v>
      </c>
      <c r="V1243" s="656"/>
      <c r="W1243" s="656" t="s">
        <v>13051</v>
      </c>
      <c r="X1243" s="656" t="s">
        <v>498</v>
      </c>
      <c r="Y1243" s="656" t="s">
        <v>14278</v>
      </c>
      <c r="Z1243" s="656">
        <v>44305.52039351852</v>
      </c>
      <c r="AA1243" s="656" t="s">
        <v>14335</v>
      </c>
      <c r="AB1243" s="656"/>
    </row>
    <row r="1244" spans="1:28">
      <c r="A1244" s="656" t="s">
        <v>3803</v>
      </c>
      <c r="B1244" s="656" t="s">
        <v>3804</v>
      </c>
      <c r="C1244" s="656" t="s">
        <v>20</v>
      </c>
      <c r="D1244" s="656" t="s">
        <v>11307</v>
      </c>
      <c r="E1244" s="656" t="s">
        <v>14275</v>
      </c>
      <c r="F1244" s="1447">
        <v>42871</v>
      </c>
      <c r="G1244" s="656" t="s">
        <v>11306</v>
      </c>
      <c r="H1244" s="656" t="s">
        <v>1777</v>
      </c>
      <c r="I1244" s="656"/>
      <c r="J1244" s="656"/>
      <c r="K1244" s="656"/>
      <c r="L1244" s="656" t="s">
        <v>11307</v>
      </c>
      <c r="M1244" s="656" t="s">
        <v>16200</v>
      </c>
      <c r="N1244" s="656"/>
      <c r="O1244" s="656" t="s">
        <v>6393</v>
      </c>
      <c r="P1244" s="5"/>
      <c r="Q1244" s="1447">
        <v>42159</v>
      </c>
      <c r="R1244" s="656"/>
      <c r="S1244" s="656" t="s">
        <v>1300</v>
      </c>
      <c r="T1244" s="656" t="s">
        <v>4198</v>
      </c>
      <c r="U1244" s="656" t="s">
        <v>1300</v>
      </c>
      <c r="V1244" s="656"/>
      <c r="W1244" s="656" t="s">
        <v>13051</v>
      </c>
      <c r="X1244" s="656" t="s">
        <v>498</v>
      </c>
      <c r="Y1244" s="656" t="s">
        <v>14278</v>
      </c>
      <c r="Z1244" s="656">
        <v>44305.520381944443</v>
      </c>
      <c r="AA1244" s="656" t="s">
        <v>14335</v>
      </c>
      <c r="AB1244" s="656"/>
    </row>
    <row r="1245" spans="1:28">
      <c r="A1245" s="656" t="s">
        <v>3823</v>
      </c>
      <c r="B1245" s="656" t="s">
        <v>3824</v>
      </c>
      <c r="C1245" s="656" t="s">
        <v>20</v>
      </c>
      <c r="D1245" s="656" t="s">
        <v>11304</v>
      </c>
      <c r="E1245" s="656" t="s">
        <v>14275</v>
      </c>
      <c r="F1245" s="1447">
        <v>42577</v>
      </c>
      <c r="G1245" s="656" t="s">
        <v>11303</v>
      </c>
      <c r="H1245" s="656" t="s">
        <v>1777</v>
      </c>
      <c r="I1245" s="656"/>
      <c r="J1245" s="656"/>
      <c r="K1245" s="656"/>
      <c r="L1245" s="656" t="s">
        <v>11304</v>
      </c>
      <c r="M1245" s="656" t="s">
        <v>16318</v>
      </c>
      <c r="N1245" s="656"/>
      <c r="O1245" s="656" t="s">
        <v>6387</v>
      </c>
      <c r="P1245" s="5" t="s">
        <v>14946</v>
      </c>
      <c r="Q1245" s="1447">
        <v>42429</v>
      </c>
      <c r="R1245" s="656"/>
      <c r="S1245" s="656" t="s">
        <v>655</v>
      </c>
      <c r="T1245" s="656" t="s">
        <v>14277</v>
      </c>
      <c r="U1245" s="656" t="s">
        <v>655</v>
      </c>
      <c r="V1245" s="656"/>
      <c r="W1245" s="656" t="s">
        <v>13051</v>
      </c>
      <c r="X1245" s="656" t="s">
        <v>498</v>
      </c>
      <c r="Y1245" s="656" t="s">
        <v>14278</v>
      </c>
      <c r="Z1245" s="656">
        <v>44305.520370370374</v>
      </c>
      <c r="AA1245" s="656" t="s">
        <v>14335</v>
      </c>
      <c r="AB1245" s="656"/>
    </row>
    <row r="1246" spans="1:28" ht="29">
      <c r="A1246" s="656" t="s">
        <v>3823</v>
      </c>
      <c r="B1246" s="656" t="s">
        <v>3824</v>
      </c>
      <c r="C1246" s="656" t="s">
        <v>20</v>
      </c>
      <c r="D1246" s="656" t="s">
        <v>12356</v>
      </c>
      <c r="E1246" s="656" t="s">
        <v>14553</v>
      </c>
      <c r="F1246" s="1447"/>
      <c r="G1246" s="656" t="s">
        <v>11303</v>
      </c>
      <c r="H1246" s="656" t="s">
        <v>1777</v>
      </c>
      <c r="I1246" s="656"/>
      <c r="J1246" s="656"/>
      <c r="K1246" s="656"/>
      <c r="L1246" s="656" t="s">
        <v>12356</v>
      </c>
      <c r="M1246" s="656" t="s">
        <v>16413</v>
      </c>
      <c r="N1246" s="656" t="s">
        <v>9991</v>
      </c>
      <c r="O1246" s="656"/>
      <c r="P1246" s="5" t="s">
        <v>15447</v>
      </c>
      <c r="Q1246" s="1447"/>
      <c r="R1246" s="656"/>
      <c r="S1246" s="656" t="s">
        <v>655</v>
      </c>
      <c r="T1246" s="656" t="s">
        <v>9991</v>
      </c>
      <c r="U1246" s="656" t="s">
        <v>9991</v>
      </c>
      <c r="V1246" s="656"/>
      <c r="W1246" s="656" t="s">
        <v>13051</v>
      </c>
      <c r="X1246" s="656" t="s">
        <v>498</v>
      </c>
      <c r="Y1246" s="656" t="s">
        <v>14278</v>
      </c>
      <c r="Z1246" s="656">
        <v>44305.520370370374</v>
      </c>
      <c r="AA1246" s="656" t="s">
        <v>14335</v>
      </c>
      <c r="AB1246" s="656"/>
    </row>
    <row r="1247" spans="1:28">
      <c r="A1247" s="656" t="s">
        <v>3823</v>
      </c>
      <c r="B1247" s="656" t="s">
        <v>3824</v>
      </c>
      <c r="C1247" s="656" t="s">
        <v>20</v>
      </c>
      <c r="D1247" s="656" t="s">
        <v>11305</v>
      </c>
      <c r="E1247" s="656" t="s">
        <v>14275</v>
      </c>
      <c r="F1247" s="1447">
        <v>43587</v>
      </c>
      <c r="G1247" s="656" t="s">
        <v>11303</v>
      </c>
      <c r="H1247" s="656" t="s">
        <v>1777</v>
      </c>
      <c r="I1247" s="656"/>
      <c r="J1247" s="656"/>
      <c r="K1247" s="656"/>
      <c r="L1247" s="656" t="s">
        <v>11305</v>
      </c>
      <c r="M1247" s="656" t="s">
        <v>16397</v>
      </c>
      <c r="N1247" s="656"/>
      <c r="O1247" s="656" t="s">
        <v>6387</v>
      </c>
      <c r="P1247" s="5"/>
      <c r="Q1247" s="1447">
        <v>42429</v>
      </c>
      <c r="R1247" s="656"/>
      <c r="S1247" s="656" t="s">
        <v>655</v>
      </c>
      <c r="T1247" s="656" t="s">
        <v>14277</v>
      </c>
      <c r="U1247" s="656" t="s">
        <v>655</v>
      </c>
      <c r="V1247" s="656"/>
      <c r="W1247" s="656" t="s">
        <v>13051</v>
      </c>
      <c r="X1247" s="656" t="s">
        <v>498</v>
      </c>
      <c r="Y1247" s="656" t="s">
        <v>14278</v>
      </c>
      <c r="Z1247" s="656">
        <v>44305.520381944443</v>
      </c>
      <c r="AA1247" s="656" t="s">
        <v>14335</v>
      </c>
      <c r="AB1247" s="656"/>
    </row>
    <row r="1248" spans="1:28">
      <c r="A1248" s="656" t="s">
        <v>3827</v>
      </c>
      <c r="B1248" s="656" t="s">
        <v>3828</v>
      </c>
      <c r="C1248" s="656" t="s">
        <v>21</v>
      </c>
      <c r="D1248" s="656" t="s">
        <v>11301</v>
      </c>
      <c r="E1248" s="656" t="s">
        <v>14275</v>
      </c>
      <c r="F1248" s="1447">
        <v>42699</v>
      </c>
      <c r="G1248" s="656" t="s">
        <v>11300</v>
      </c>
      <c r="H1248" s="656" t="s">
        <v>1777</v>
      </c>
      <c r="I1248" s="656" t="s">
        <v>14692</v>
      </c>
      <c r="J1248" s="656" t="s">
        <v>11301</v>
      </c>
      <c r="K1248" s="656" t="s">
        <v>9774</v>
      </c>
      <c r="L1248" s="656"/>
      <c r="M1248" s="656" t="s">
        <v>16327</v>
      </c>
      <c r="N1248" s="656"/>
      <c r="O1248" s="656" t="s">
        <v>6387</v>
      </c>
      <c r="P1248" s="5"/>
      <c r="Q1248" s="1447">
        <v>42255</v>
      </c>
      <c r="R1248" s="656">
        <v>42369</v>
      </c>
      <c r="S1248" s="656" t="s">
        <v>655</v>
      </c>
      <c r="T1248" s="656" t="s">
        <v>14277</v>
      </c>
      <c r="U1248" s="656" t="s">
        <v>655</v>
      </c>
      <c r="V1248" s="656"/>
      <c r="W1248" s="656" t="s">
        <v>13051</v>
      </c>
      <c r="X1248" s="656" t="s">
        <v>498</v>
      </c>
      <c r="Y1248" s="656" t="s">
        <v>14278</v>
      </c>
      <c r="Z1248" s="656">
        <v>44305.520358796297</v>
      </c>
      <c r="AA1248" s="656" t="s">
        <v>14335</v>
      </c>
      <c r="AB1248" s="656"/>
    </row>
    <row r="1249" spans="1:28">
      <c r="A1249" s="656" t="s">
        <v>3827</v>
      </c>
      <c r="B1249" s="656" t="s">
        <v>3828</v>
      </c>
      <c r="C1249" s="656" t="s">
        <v>20</v>
      </c>
      <c r="D1249" s="656" t="s">
        <v>11302</v>
      </c>
      <c r="E1249" s="656" t="s">
        <v>14275</v>
      </c>
      <c r="F1249" s="1447">
        <v>42695</v>
      </c>
      <c r="G1249" s="656" t="s">
        <v>11300</v>
      </c>
      <c r="H1249" s="656" t="s">
        <v>1777</v>
      </c>
      <c r="I1249" s="656"/>
      <c r="J1249" s="656"/>
      <c r="K1249" s="656"/>
      <c r="L1249" s="656" t="s">
        <v>11302</v>
      </c>
      <c r="M1249" s="656" t="s">
        <v>16327</v>
      </c>
      <c r="N1249" s="656"/>
      <c r="O1249" s="656" t="s">
        <v>6387</v>
      </c>
      <c r="P1249" s="5"/>
      <c r="Q1249" s="1447">
        <v>42255</v>
      </c>
      <c r="R1249" s="656"/>
      <c r="S1249" s="656" t="s">
        <v>655</v>
      </c>
      <c r="T1249" s="656" t="s">
        <v>14277</v>
      </c>
      <c r="U1249" s="656" t="s">
        <v>655</v>
      </c>
      <c r="V1249" s="656"/>
      <c r="W1249" s="656" t="s">
        <v>13051</v>
      </c>
      <c r="X1249" s="656" t="s">
        <v>498</v>
      </c>
      <c r="Y1249" s="656" t="s">
        <v>14278</v>
      </c>
      <c r="Z1249" s="656">
        <v>44305.520358796297</v>
      </c>
      <c r="AA1249" s="656" t="s">
        <v>14335</v>
      </c>
      <c r="AB1249" s="656"/>
    </row>
    <row r="1250" spans="1:28">
      <c r="A1250" s="656" t="s">
        <v>3882</v>
      </c>
      <c r="B1250" s="656" t="s">
        <v>3883</v>
      </c>
      <c r="C1250" s="656" t="s">
        <v>21</v>
      </c>
      <c r="D1250" s="656" t="s">
        <v>11298</v>
      </c>
      <c r="E1250" s="656" t="s">
        <v>14275</v>
      </c>
      <c r="F1250" s="1447">
        <v>42754</v>
      </c>
      <c r="G1250" s="656" t="s">
        <v>11297</v>
      </c>
      <c r="H1250" s="656" t="s">
        <v>1777</v>
      </c>
      <c r="I1250" s="656" t="s">
        <v>14693</v>
      </c>
      <c r="J1250" s="656" t="s">
        <v>11298</v>
      </c>
      <c r="K1250" s="656" t="s">
        <v>9750</v>
      </c>
      <c r="L1250" s="656"/>
      <c r="M1250" s="656" t="s">
        <v>16383</v>
      </c>
      <c r="N1250" s="656"/>
      <c r="O1250" s="656" t="s">
        <v>6393</v>
      </c>
      <c r="P1250" s="5"/>
      <c r="Q1250" s="1447">
        <v>42219</v>
      </c>
      <c r="R1250" s="656">
        <v>42328</v>
      </c>
      <c r="S1250" s="656" t="s">
        <v>655</v>
      </c>
      <c r="T1250" s="656" t="s">
        <v>14559</v>
      </c>
      <c r="U1250" s="656" t="s">
        <v>1300</v>
      </c>
      <c r="V1250" s="656"/>
      <c r="W1250" s="656" t="s">
        <v>13051</v>
      </c>
      <c r="X1250" s="656" t="s">
        <v>498</v>
      </c>
      <c r="Y1250" s="656" t="s">
        <v>14278</v>
      </c>
      <c r="Z1250" s="656">
        <v>44305.52034722222</v>
      </c>
      <c r="AA1250" s="656" t="s">
        <v>14335</v>
      </c>
      <c r="AB1250" s="656"/>
    </row>
    <row r="1251" spans="1:28">
      <c r="A1251" s="656" t="s">
        <v>3882</v>
      </c>
      <c r="B1251" s="656" t="s">
        <v>3883</v>
      </c>
      <c r="C1251" s="656" t="s">
        <v>20</v>
      </c>
      <c r="D1251" s="656" t="s">
        <v>11299</v>
      </c>
      <c r="E1251" s="656" t="s">
        <v>14275</v>
      </c>
      <c r="F1251" s="1447">
        <v>42738</v>
      </c>
      <c r="G1251" s="656" t="s">
        <v>11297</v>
      </c>
      <c r="H1251" s="656" t="s">
        <v>1777</v>
      </c>
      <c r="I1251" s="656"/>
      <c r="J1251" s="656"/>
      <c r="K1251" s="656"/>
      <c r="L1251" s="656" t="s">
        <v>11299</v>
      </c>
      <c r="M1251" s="656" t="s">
        <v>16383</v>
      </c>
      <c r="N1251" s="656"/>
      <c r="O1251" s="656" t="s">
        <v>6393</v>
      </c>
      <c r="P1251" s="5"/>
      <c r="Q1251" s="1447">
        <v>42227</v>
      </c>
      <c r="R1251" s="656"/>
      <c r="S1251" s="656" t="s">
        <v>655</v>
      </c>
      <c r="T1251" s="656" t="s">
        <v>14559</v>
      </c>
      <c r="U1251" s="656" t="s">
        <v>1300</v>
      </c>
      <c r="V1251" s="656"/>
      <c r="W1251" s="656" t="s">
        <v>13051</v>
      </c>
      <c r="X1251" s="656" t="s">
        <v>498</v>
      </c>
      <c r="Y1251" s="656" t="s">
        <v>14278</v>
      </c>
      <c r="Z1251" s="656">
        <v>44305.520358796297</v>
      </c>
      <c r="AA1251" s="656" t="s">
        <v>14335</v>
      </c>
      <c r="AB1251" s="656"/>
    </row>
    <row r="1252" spans="1:28">
      <c r="A1252" s="656" t="s">
        <v>3912</v>
      </c>
      <c r="B1252" s="656" t="s">
        <v>3913</v>
      </c>
      <c r="C1252" s="656" t="s">
        <v>20</v>
      </c>
      <c r="D1252" s="656" t="s">
        <v>12355</v>
      </c>
      <c r="E1252" s="656" t="s">
        <v>14553</v>
      </c>
      <c r="F1252" s="1447"/>
      <c r="G1252" s="656" t="s">
        <v>12354</v>
      </c>
      <c r="H1252" s="656" t="s">
        <v>1777</v>
      </c>
      <c r="I1252" s="656"/>
      <c r="J1252" s="656"/>
      <c r="K1252" s="656"/>
      <c r="L1252" s="656" t="s">
        <v>12355</v>
      </c>
      <c r="M1252" s="656" t="s">
        <v>16414</v>
      </c>
      <c r="N1252" s="656" t="s">
        <v>9991</v>
      </c>
      <c r="O1252" s="656"/>
      <c r="P1252" s="5"/>
      <c r="Q1252" s="1447"/>
      <c r="R1252" s="656"/>
      <c r="S1252" s="656" t="s">
        <v>500</v>
      </c>
      <c r="T1252" s="656" t="s">
        <v>9991</v>
      </c>
      <c r="U1252" s="656" t="s">
        <v>9991</v>
      </c>
      <c r="V1252" s="656"/>
      <c r="W1252" s="656" t="s">
        <v>13051</v>
      </c>
      <c r="X1252" s="656" t="s">
        <v>498</v>
      </c>
      <c r="Y1252" s="656" t="s">
        <v>14278</v>
      </c>
      <c r="Z1252" s="656">
        <v>44305.520335648151</v>
      </c>
      <c r="AA1252" s="656" t="s">
        <v>14335</v>
      </c>
      <c r="AB1252" s="656"/>
    </row>
    <row r="1253" spans="1:28">
      <c r="A1253" s="656" t="s">
        <v>3914</v>
      </c>
      <c r="B1253" s="656" t="s">
        <v>3915</v>
      </c>
      <c r="C1253" s="656" t="s">
        <v>20</v>
      </c>
      <c r="D1253" s="656" t="s">
        <v>11296</v>
      </c>
      <c r="E1253" s="656" t="s">
        <v>14275</v>
      </c>
      <c r="F1253" s="1447">
        <v>43521</v>
      </c>
      <c r="G1253" s="656" t="s">
        <v>11295</v>
      </c>
      <c r="H1253" s="656" t="s">
        <v>1777</v>
      </c>
      <c r="I1253" s="656"/>
      <c r="J1253" s="656"/>
      <c r="K1253" s="656"/>
      <c r="L1253" s="656" t="s">
        <v>11296</v>
      </c>
      <c r="M1253" s="656" t="s">
        <v>16196</v>
      </c>
      <c r="N1253" s="656"/>
      <c r="O1253" s="656" t="s">
        <v>6395</v>
      </c>
      <c r="P1253" s="5"/>
      <c r="Q1253" s="1447">
        <v>42577</v>
      </c>
      <c r="R1253" s="656"/>
      <c r="S1253" s="656" t="s">
        <v>1394</v>
      </c>
      <c r="T1253" s="656" t="s">
        <v>14280</v>
      </c>
      <c r="U1253" s="656" t="s">
        <v>1394</v>
      </c>
      <c r="V1253" s="656"/>
      <c r="W1253" s="656" t="s">
        <v>13051</v>
      </c>
      <c r="X1253" s="656" t="s">
        <v>498</v>
      </c>
      <c r="Y1253" s="656" t="s">
        <v>14278</v>
      </c>
      <c r="Z1253" s="656">
        <v>44305.520335648151</v>
      </c>
      <c r="AA1253" s="656" t="s">
        <v>14335</v>
      </c>
      <c r="AB1253" s="656"/>
    </row>
    <row r="1254" spans="1:28">
      <c r="A1254" s="656" t="s">
        <v>3918</v>
      </c>
      <c r="B1254" s="656" t="s">
        <v>3919</v>
      </c>
      <c r="C1254" s="656" t="s">
        <v>20</v>
      </c>
      <c r="D1254" s="656" t="s">
        <v>11294</v>
      </c>
      <c r="E1254" s="656" t="s">
        <v>14275</v>
      </c>
      <c r="F1254" s="1447">
        <v>42579</v>
      </c>
      <c r="G1254" s="656" t="s">
        <v>11293</v>
      </c>
      <c r="H1254" s="656" t="s">
        <v>1777</v>
      </c>
      <c r="I1254" s="656"/>
      <c r="J1254" s="656"/>
      <c r="K1254" s="656"/>
      <c r="L1254" s="656" t="s">
        <v>11294</v>
      </c>
      <c r="M1254" s="656" t="s">
        <v>1274</v>
      </c>
      <c r="N1254" s="656"/>
      <c r="O1254" s="656" t="s">
        <v>6387</v>
      </c>
      <c r="P1254" s="5"/>
      <c r="Q1254" s="1447"/>
      <c r="R1254" s="656"/>
      <c r="S1254" s="656" t="s">
        <v>655</v>
      </c>
      <c r="T1254" s="656" t="s">
        <v>14277</v>
      </c>
      <c r="U1254" s="656" t="s">
        <v>655</v>
      </c>
      <c r="V1254" s="656"/>
      <c r="W1254" s="656" t="s">
        <v>13051</v>
      </c>
      <c r="X1254" s="656" t="s">
        <v>498</v>
      </c>
      <c r="Y1254" s="656" t="s">
        <v>14278</v>
      </c>
      <c r="Z1254" s="656">
        <v>44305.520335648151</v>
      </c>
      <c r="AA1254" s="656" t="s">
        <v>14335</v>
      </c>
      <c r="AB1254" s="656"/>
    </row>
    <row r="1255" spans="1:28">
      <c r="A1255" s="656" t="s">
        <v>3920</v>
      </c>
      <c r="B1255" s="656" t="s">
        <v>3921</v>
      </c>
      <c r="C1255" s="656" t="s">
        <v>21</v>
      </c>
      <c r="D1255" s="656" t="s">
        <v>11290</v>
      </c>
      <c r="E1255" s="656" t="s">
        <v>14384</v>
      </c>
      <c r="F1255" s="1447">
        <v>42486</v>
      </c>
      <c r="G1255" s="656" t="s">
        <v>11289</v>
      </c>
      <c r="H1255" s="656" t="s">
        <v>1777</v>
      </c>
      <c r="I1255" s="656" t="s">
        <v>14694</v>
      </c>
      <c r="J1255" s="656" t="s">
        <v>11290</v>
      </c>
      <c r="K1255" s="656" t="s">
        <v>9750</v>
      </c>
      <c r="L1255" s="656"/>
      <c r="M1255" s="656" t="s">
        <v>1274</v>
      </c>
      <c r="N1255" s="656"/>
      <c r="O1255" s="656" t="s">
        <v>6393</v>
      </c>
      <c r="P1255" s="5" t="s">
        <v>14938</v>
      </c>
      <c r="Q1255" s="1447">
        <v>42086</v>
      </c>
      <c r="R1255" s="656"/>
      <c r="S1255" s="656" t="s">
        <v>500</v>
      </c>
      <c r="T1255" s="656" t="s">
        <v>14559</v>
      </c>
      <c r="U1255" s="656" t="s">
        <v>500</v>
      </c>
      <c r="V1255" s="656"/>
      <c r="W1255" s="656" t="s">
        <v>13051</v>
      </c>
      <c r="X1255" s="656" t="s">
        <v>498</v>
      </c>
      <c r="Y1255" s="656" t="s">
        <v>14278</v>
      </c>
      <c r="Z1255" s="656">
        <v>44305.520312499997</v>
      </c>
      <c r="AA1255" s="656" t="s">
        <v>14335</v>
      </c>
      <c r="AB1255" s="656"/>
    </row>
    <row r="1256" spans="1:28">
      <c r="A1256" s="656" t="s">
        <v>3920</v>
      </c>
      <c r="B1256" s="656" t="s">
        <v>3921</v>
      </c>
      <c r="C1256" s="656" t="s">
        <v>21</v>
      </c>
      <c r="D1256" s="656" t="s">
        <v>11291</v>
      </c>
      <c r="E1256" s="656" t="s">
        <v>14275</v>
      </c>
      <c r="F1256" s="1447">
        <v>42546</v>
      </c>
      <c r="G1256" s="656" t="s">
        <v>11289</v>
      </c>
      <c r="H1256" s="656" t="s">
        <v>1274</v>
      </c>
      <c r="I1256" s="656" t="s">
        <v>14695</v>
      </c>
      <c r="J1256" s="656" t="s">
        <v>11291</v>
      </c>
      <c r="K1256" s="656" t="s">
        <v>9750</v>
      </c>
      <c r="L1256" s="656"/>
      <c r="M1256" s="656" t="s">
        <v>1274</v>
      </c>
      <c r="N1256" s="656"/>
      <c r="O1256" s="656" t="s">
        <v>6393</v>
      </c>
      <c r="P1256" s="5"/>
      <c r="Q1256" s="1447"/>
      <c r="R1256" s="656">
        <v>42370</v>
      </c>
      <c r="S1256" s="656" t="s">
        <v>500</v>
      </c>
      <c r="T1256" s="656" t="s">
        <v>14559</v>
      </c>
      <c r="U1256" s="656" t="s">
        <v>500</v>
      </c>
      <c r="V1256" s="656"/>
      <c r="W1256" s="656" t="s">
        <v>13051</v>
      </c>
      <c r="X1256" s="656" t="s">
        <v>498</v>
      </c>
      <c r="Y1256" s="656" t="s">
        <v>14278</v>
      </c>
      <c r="Z1256" s="656">
        <v>44305.520312499997</v>
      </c>
      <c r="AA1256" s="656" t="s">
        <v>14335</v>
      </c>
      <c r="AB1256" s="656"/>
    </row>
    <row r="1257" spans="1:28">
      <c r="A1257" s="656" t="s">
        <v>3920</v>
      </c>
      <c r="B1257" s="656" t="s">
        <v>3921</v>
      </c>
      <c r="C1257" s="656" t="s">
        <v>20</v>
      </c>
      <c r="D1257" s="656" t="s">
        <v>11292</v>
      </c>
      <c r="E1257" s="656" t="s">
        <v>14275</v>
      </c>
      <c r="F1257" s="1447">
        <v>42562</v>
      </c>
      <c r="G1257" s="656" t="s">
        <v>11289</v>
      </c>
      <c r="H1257" s="656" t="s">
        <v>1777</v>
      </c>
      <c r="I1257" s="656"/>
      <c r="J1257" s="656"/>
      <c r="K1257" s="656"/>
      <c r="L1257" s="656" t="s">
        <v>11292</v>
      </c>
      <c r="M1257" s="656" t="s">
        <v>1274</v>
      </c>
      <c r="N1257" s="656"/>
      <c r="O1257" s="656" t="s">
        <v>6393</v>
      </c>
      <c r="P1257" s="5"/>
      <c r="Q1257" s="1447"/>
      <c r="R1257" s="656"/>
      <c r="S1257" s="656" t="s">
        <v>500</v>
      </c>
      <c r="T1257" s="656" t="s">
        <v>14559</v>
      </c>
      <c r="U1257" s="656" t="s">
        <v>500</v>
      </c>
      <c r="V1257" s="656"/>
      <c r="W1257" s="656" t="s">
        <v>13051</v>
      </c>
      <c r="X1257" s="656" t="s">
        <v>498</v>
      </c>
      <c r="Y1257" s="656" t="s">
        <v>14278</v>
      </c>
      <c r="Z1257" s="656">
        <v>44305.520324074074</v>
      </c>
      <c r="AA1257" s="656" t="s">
        <v>14335</v>
      </c>
      <c r="AB1257" s="656"/>
    </row>
    <row r="1258" spans="1:28">
      <c r="A1258" s="656" t="s">
        <v>3922</v>
      </c>
      <c r="B1258" s="656"/>
      <c r="C1258" s="656" t="s">
        <v>20</v>
      </c>
      <c r="D1258" s="656" t="s">
        <v>10195</v>
      </c>
      <c r="E1258" s="656" t="s">
        <v>14279</v>
      </c>
      <c r="F1258" s="1447"/>
      <c r="G1258" s="656" t="s">
        <v>12678</v>
      </c>
      <c r="H1258" s="656" t="s">
        <v>1777</v>
      </c>
      <c r="I1258" s="656"/>
      <c r="J1258" s="656"/>
      <c r="K1258" s="656"/>
      <c r="L1258" s="656" t="s">
        <v>10195</v>
      </c>
      <c r="M1258" s="656"/>
      <c r="N1258" s="656" t="s">
        <v>9892</v>
      </c>
      <c r="O1258" s="656" t="s">
        <v>9714</v>
      </c>
      <c r="P1258" s="5"/>
      <c r="Q1258" s="1447">
        <v>43837</v>
      </c>
      <c r="R1258" s="656"/>
      <c r="S1258" s="656"/>
      <c r="T1258" s="656"/>
      <c r="U1258" s="656"/>
      <c r="V1258" s="656"/>
      <c r="W1258" s="656" t="s">
        <v>13051</v>
      </c>
      <c r="X1258" s="656" t="s">
        <v>498</v>
      </c>
      <c r="Y1258" s="656" t="s">
        <v>14278</v>
      </c>
      <c r="Z1258" s="656">
        <v>44305.520300925928</v>
      </c>
      <c r="AA1258" s="656" t="s">
        <v>14335</v>
      </c>
      <c r="AB1258" s="656"/>
    </row>
    <row r="1259" spans="1:28">
      <c r="A1259" s="656" t="s">
        <v>3930</v>
      </c>
      <c r="B1259" s="656" t="s">
        <v>3931</v>
      </c>
      <c r="C1259" s="656" t="s">
        <v>20</v>
      </c>
      <c r="D1259" s="656" t="s">
        <v>11288</v>
      </c>
      <c r="E1259" s="656" t="s">
        <v>14275</v>
      </c>
      <c r="F1259" s="1447">
        <v>42893</v>
      </c>
      <c r="G1259" s="656" t="s">
        <v>11287</v>
      </c>
      <c r="H1259" s="656" t="s">
        <v>1777</v>
      </c>
      <c r="I1259" s="656"/>
      <c r="J1259" s="656"/>
      <c r="K1259" s="656"/>
      <c r="L1259" s="656" t="s">
        <v>11288</v>
      </c>
      <c r="M1259" s="656" t="s">
        <v>16415</v>
      </c>
      <c r="N1259" s="656"/>
      <c r="O1259" s="656" t="s">
        <v>6387</v>
      </c>
      <c r="P1259" s="5"/>
      <c r="Q1259" s="1447">
        <v>42181</v>
      </c>
      <c r="R1259" s="656"/>
      <c r="S1259" s="656" t="s">
        <v>1667</v>
      </c>
      <c r="T1259" s="656" t="s">
        <v>14524</v>
      </c>
      <c r="U1259" s="656" t="s">
        <v>1667</v>
      </c>
      <c r="V1259" s="656"/>
      <c r="W1259" s="656" t="s">
        <v>13051</v>
      </c>
      <c r="X1259" s="656" t="s">
        <v>498</v>
      </c>
      <c r="Y1259" s="656" t="s">
        <v>14278</v>
      </c>
      <c r="Z1259" s="656">
        <v>44305.520300925928</v>
      </c>
      <c r="AA1259" s="656" t="s">
        <v>14335</v>
      </c>
      <c r="AB1259" s="656"/>
    </row>
    <row r="1260" spans="1:28">
      <c r="A1260" s="656" t="s">
        <v>3932</v>
      </c>
      <c r="B1260" s="656" t="s">
        <v>3933</v>
      </c>
      <c r="C1260" s="656" t="s">
        <v>20</v>
      </c>
      <c r="D1260" s="656" t="s">
        <v>12353</v>
      </c>
      <c r="E1260" s="656" t="s">
        <v>14553</v>
      </c>
      <c r="F1260" s="1447"/>
      <c r="G1260" s="656" t="s">
        <v>12352</v>
      </c>
      <c r="H1260" s="656" t="s">
        <v>1777</v>
      </c>
      <c r="I1260" s="656"/>
      <c r="J1260" s="656"/>
      <c r="K1260" s="656"/>
      <c r="L1260" s="656" t="s">
        <v>12353</v>
      </c>
      <c r="M1260" s="656" t="s">
        <v>1625</v>
      </c>
      <c r="N1260" s="656" t="s">
        <v>9991</v>
      </c>
      <c r="O1260" s="656"/>
      <c r="P1260" s="5"/>
      <c r="Q1260" s="1447"/>
      <c r="R1260" s="656"/>
      <c r="S1260" s="656" t="s">
        <v>1620</v>
      </c>
      <c r="T1260" s="656" t="s">
        <v>9991</v>
      </c>
      <c r="U1260" s="656" t="s">
        <v>9991</v>
      </c>
      <c r="V1260" s="656"/>
      <c r="W1260" s="656" t="s">
        <v>13051</v>
      </c>
      <c r="X1260" s="656" t="s">
        <v>498</v>
      </c>
      <c r="Y1260" s="656" t="s">
        <v>14278</v>
      </c>
      <c r="Z1260" s="656">
        <v>44305.520300925928</v>
      </c>
      <c r="AA1260" s="656" t="s">
        <v>14335</v>
      </c>
      <c r="AB1260" s="656"/>
    </row>
    <row r="1261" spans="1:28">
      <c r="A1261" s="656" t="s">
        <v>3936</v>
      </c>
      <c r="B1261" s="656" t="s">
        <v>3937</v>
      </c>
      <c r="C1261" s="656" t="s">
        <v>20</v>
      </c>
      <c r="D1261" s="656" t="s">
        <v>11286</v>
      </c>
      <c r="E1261" s="656" t="s">
        <v>14275</v>
      </c>
      <c r="F1261" s="1447">
        <v>42887</v>
      </c>
      <c r="G1261" s="656" t="s">
        <v>11285</v>
      </c>
      <c r="H1261" s="656" t="s">
        <v>1777</v>
      </c>
      <c r="I1261" s="656"/>
      <c r="J1261" s="656"/>
      <c r="K1261" s="656"/>
      <c r="L1261" s="656" t="s">
        <v>11286</v>
      </c>
      <c r="M1261" s="656" t="s">
        <v>16200</v>
      </c>
      <c r="N1261" s="656"/>
      <c r="O1261" s="656" t="s">
        <v>6393</v>
      </c>
      <c r="P1261" s="5"/>
      <c r="Q1261" s="1447"/>
      <c r="R1261" s="656"/>
      <c r="S1261" s="656" t="s">
        <v>500</v>
      </c>
      <c r="T1261" s="656" t="s">
        <v>14559</v>
      </c>
      <c r="U1261" s="656" t="s">
        <v>500</v>
      </c>
      <c r="V1261" s="656"/>
      <c r="W1261" s="656" t="s">
        <v>13051</v>
      </c>
      <c r="X1261" s="656" t="s">
        <v>498</v>
      </c>
      <c r="Y1261" s="656" t="s">
        <v>14278</v>
      </c>
      <c r="Z1261" s="656">
        <v>44305.520289351851</v>
      </c>
      <c r="AA1261" s="656" t="s">
        <v>14335</v>
      </c>
      <c r="AB1261" s="656"/>
    </row>
    <row r="1262" spans="1:28">
      <c r="A1262" s="656" t="s">
        <v>3940</v>
      </c>
      <c r="B1262" s="656" t="s">
        <v>11281</v>
      </c>
      <c r="C1262" s="656" t="s">
        <v>21</v>
      </c>
      <c r="D1262" s="656" t="s">
        <v>11283</v>
      </c>
      <c r="E1262" s="656" t="s">
        <v>14275</v>
      </c>
      <c r="F1262" s="1447">
        <v>42958</v>
      </c>
      <c r="G1262" s="656" t="s">
        <v>11282</v>
      </c>
      <c r="H1262" s="656" t="s">
        <v>1777</v>
      </c>
      <c r="I1262" s="656" t="s">
        <v>14696</v>
      </c>
      <c r="J1262" s="656" t="s">
        <v>11283</v>
      </c>
      <c r="K1262" s="656" t="s">
        <v>10398</v>
      </c>
      <c r="L1262" s="656"/>
      <c r="M1262" s="656" t="s">
        <v>16318</v>
      </c>
      <c r="N1262" s="656"/>
      <c r="O1262" s="656" t="s">
        <v>6387</v>
      </c>
      <c r="P1262" s="5"/>
      <c r="Q1262" s="1447">
        <v>42569</v>
      </c>
      <c r="R1262" s="656">
        <v>42798</v>
      </c>
      <c r="S1262" s="656" t="s">
        <v>1667</v>
      </c>
      <c r="T1262" s="656" t="s">
        <v>14524</v>
      </c>
      <c r="U1262" s="656" t="s">
        <v>1667</v>
      </c>
      <c r="V1262" s="656"/>
      <c r="W1262" s="656" t="s">
        <v>13051</v>
      </c>
      <c r="X1262" s="656" t="s">
        <v>498</v>
      </c>
      <c r="Y1262" s="656" t="s">
        <v>14278</v>
      </c>
      <c r="Z1262" s="656">
        <v>44305.520277777781</v>
      </c>
      <c r="AA1262" s="656" t="s">
        <v>14335</v>
      </c>
      <c r="AB1262" s="656"/>
    </row>
    <row r="1263" spans="1:28">
      <c r="A1263" s="656" t="s">
        <v>3940</v>
      </c>
      <c r="B1263" s="656" t="s">
        <v>11281</v>
      </c>
      <c r="C1263" s="656" t="s">
        <v>20</v>
      </c>
      <c r="D1263" s="656" t="s">
        <v>11284</v>
      </c>
      <c r="E1263" s="656" t="s">
        <v>14275</v>
      </c>
      <c r="F1263" s="1447">
        <v>42929</v>
      </c>
      <c r="G1263" s="656" t="s">
        <v>11282</v>
      </c>
      <c r="H1263" s="656" t="s">
        <v>1777</v>
      </c>
      <c r="I1263" s="656"/>
      <c r="J1263" s="656"/>
      <c r="K1263" s="656"/>
      <c r="L1263" s="656" t="s">
        <v>11284</v>
      </c>
      <c r="M1263" s="656" t="s">
        <v>16318</v>
      </c>
      <c r="N1263" s="656"/>
      <c r="O1263" s="656" t="s">
        <v>6387</v>
      </c>
      <c r="P1263" s="5"/>
      <c r="Q1263" s="1447"/>
      <c r="R1263" s="656"/>
      <c r="S1263" s="656" t="s">
        <v>1667</v>
      </c>
      <c r="T1263" s="656" t="s">
        <v>14524</v>
      </c>
      <c r="U1263" s="656" t="s">
        <v>1667</v>
      </c>
      <c r="V1263" s="656"/>
      <c r="W1263" s="656" t="s">
        <v>13051</v>
      </c>
      <c r="X1263" s="656" t="s">
        <v>498</v>
      </c>
      <c r="Y1263" s="656" t="s">
        <v>14278</v>
      </c>
      <c r="Z1263" s="656">
        <v>44305.520289351851</v>
      </c>
      <c r="AA1263" s="656" t="s">
        <v>14335</v>
      </c>
      <c r="AB1263" s="656"/>
    </row>
    <row r="1264" spans="1:28">
      <c r="A1264" s="656" t="s">
        <v>3942</v>
      </c>
      <c r="B1264" s="656" t="s">
        <v>3943</v>
      </c>
      <c r="C1264" s="656" t="s">
        <v>20</v>
      </c>
      <c r="D1264" s="656" t="s">
        <v>11280</v>
      </c>
      <c r="E1264" s="656" t="s">
        <v>14275</v>
      </c>
      <c r="F1264" s="1447">
        <v>42963</v>
      </c>
      <c r="G1264" s="656" t="s">
        <v>11279</v>
      </c>
      <c r="H1264" s="656" t="s">
        <v>1777</v>
      </c>
      <c r="I1264" s="656"/>
      <c r="J1264" s="656"/>
      <c r="K1264" s="656"/>
      <c r="L1264" s="656" t="s">
        <v>11280</v>
      </c>
      <c r="M1264" s="656" t="s">
        <v>1385</v>
      </c>
      <c r="N1264" s="656"/>
      <c r="O1264" s="656" t="s">
        <v>6387</v>
      </c>
      <c r="P1264" s="5"/>
      <c r="Q1264" s="1447">
        <v>42268</v>
      </c>
      <c r="R1264" s="656"/>
      <c r="S1264" s="656" t="s">
        <v>783</v>
      </c>
      <c r="T1264" s="656" t="s">
        <v>14277</v>
      </c>
      <c r="U1264" s="656" t="s">
        <v>655</v>
      </c>
      <c r="V1264" s="656"/>
      <c r="W1264" s="656" t="s">
        <v>13051</v>
      </c>
      <c r="X1264" s="656" t="s">
        <v>498</v>
      </c>
      <c r="Y1264" s="656" t="s">
        <v>14278</v>
      </c>
      <c r="Z1264" s="656">
        <v>44305.520277777781</v>
      </c>
      <c r="AA1264" s="656" t="s">
        <v>14335</v>
      </c>
      <c r="AB1264" s="656"/>
    </row>
    <row r="1265" spans="1:28">
      <c r="A1265" s="656" t="s">
        <v>3948</v>
      </c>
      <c r="B1265" s="656" t="s">
        <v>3949</v>
      </c>
      <c r="C1265" s="656" t="s">
        <v>20</v>
      </c>
      <c r="D1265" s="656" t="s">
        <v>11278</v>
      </c>
      <c r="E1265" s="656" t="s">
        <v>14275</v>
      </c>
      <c r="F1265" s="1447">
        <v>42695</v>
      </c>
      <c r="G1265" s="656" t="s">
        <v>11277</v>
      </c>
      <c r="H1265" s="656" t="s">
        <v>1777</v>
      </c>
      <c r="I1265" s="656"/>
      <c r="J1265" s="656"/>
      <c r="K1265" s="656"/>
      <c r="L1265" s="656" t="s">
        <v>11278</v>
      </c>
      <c r="M1265" s="656" t="s">
        <v>16415</v>
      </c>
      <c r="N1265" s="656"/>
      <c r="O1265" s="656" t="s">
        <v>6387</v>
      </c>
      <c r="P1265" s="5"/>
      <c r="Q1265" s="1447">
        <v>42346</v>
      </c>
      <c r="R1265" s="656"/>
      <c r="S1265" s="656" t="s">
        <v>1394</v>
      </c>
      <c r="T1265" s="656" t="s">
        <v>14277</v>
      </c>
      <c r="U1265" s="656" t="s">
        <v>655</v>
      </c>
      <c r="V1265" s="656"/>
      <c r="W1265" s="656" t="s">
        <v>13051</v>
      </c>
      <c r="X1265" s="656" t="s">
        <v>498</v>
      </c>
      <c r="Y1265" s="656" t="s">
        <v>14278</v>
      </c>
      <c r="Z1265" s="656">
        <v>44305.520266203705</v>
      </c>
      <c r="AA1265" s="656" t="s">
        <v>14335</v>
      </c>
      <c r="AB1265" s="656"/>
    </row>
    <row r="1266" spans="1:28">
      <c r="A1266" s="656" t="s">
        <v>3983</v>
      </c>
      <c r="B1266" s="656" t="s">
        <v>3984</v>
      </c>
      <c r="C1266" s="656" t="s">
        <v>20</v>
      </c>
      <c r="D1266" s="656" t="s">
        <v>11276</v>
      </c>
      <c r="E1266" s="656" t="s">
        <v>14275</v>
      </c>
      <c r="F1266" s="1447">
        <v>42893</v>
      </c>
      <c r="G1266" s="656" t="s">
        <v>11275</v>
      </c>
      <c r="H1266" s="656" t="s">
        <v>1777</v>
      </c>
      <c r="I1266" s="656"/>
      <c r="J1266" s="656"/>
      <c r="K1266" s="656"/>
      <c r="L1266" s="656" t="s">
        <v>11276</v>
      </c>
      <c r="M1266" s="656" t="s">
        <v>16200</v>
      </c>
      <c r="N1266" s="656"/>
      <c r="O1266" s="656" t="s">
        <v>6393</v>
      </c>
      <c r="P1266" s="5"/>
      <c r="Q1266" s="1447"/>
      <c r="R1266" s="656"/>
      <c r="S1266" s="656" t="s">
        <v>500</v>
      </c>
      <c r="T1266" s="656" t="s">
        <v>14559</v>
      </c>
      <c r="U1266" s="656" t="s">
        <v>500</v>
      </c>
      <c r="V1266" s="656"/>
      <c r="W1266" s="656" t="s">
        <v>13051</v>
      </c>
      <c r="X1266" s="656" t="s">
        <v>498</v>
      </c>
      <c r="Y1266" s="656" t="s">
        <v>14278</v>
      </c>
      <c r="Z1266" s="656">
        <v>44305.520254629628</v>
      </c>
      <c r="AA1266" s="656" t="s">
        <v>14335</v>
      </c>
      <c r="AB1266" s="656"/>
    </row>
    <row r="1267" spans="1:28">
      <c r="A1267" s="656" t="s">
        <v>3985</v>
      </c>
      <c r="B1267" s="656" t="s">
        <v>3986</v>
      </c>
      <c r="C1267" s="656" t="s">
        <v>20</v>
      </c>
      <c r="D1267" s="656" t="s">
        <v>11274</v>
      </c>
      <c r="E1267" s="656" t="s">
        <v>14275</v>
      </c>
      <c r="F1267" s="1447">
        <v>42879</v>
      </c>
      <c r="G1267" s="656" t="s">
        <v>11273</v>
      </c>
      <c r="H1267" s="656" t="s">
        <v>1777</v>
      </c>
      <c r="I1267" s="656"/>
      <c r="J1267" s="656"/>
      <c r="K1267" s="656"/>
      <c r="L1267" s="656" t="s">
        <v>11274</v>
      </c>
      <c r="M1267" s="656" t="s">
        <v>16196</v>
      </c>
      <c r="N1267" s="656"/>
      <c r="O1267" s="656" t="s">
        <v>6393</v>
      </c>
      <c r="P1267" s="5"/>
      <c r="Q1267" s="1447">
        <v>42200</v>
      </c>
      <c r="R1267" s="656"/>
      <c r="S1267" s="656" t="s">
        <v>1300</v>
      </c>
      <c r="T1267" s="656" t="s">
        <v>4198</v>
      </c>
      <c r="U1267" s="656" t="s">
        <v>1300</v>
      </c>
      <c r="V1267" s="656"/>
      <c r="W1267" s="656" t="s">
        <v>13051</v>
      </c>
      <c r="X1267" s="656" t="s">
        <v>498</v>
      </c>
      <c r="Y1267" s="656" t="s">
        <v>14278</v>
      </c>
      <c r="Z1267" s="656">
        <v>44305.520254629628</v>
      </c>
      <c r="AA1267" s="656" t="s">
        <v>14335</v>
      </c>
      <c r="AB1267" s="656"/>
    </row>
    <row r="1268" spans="1:28">
      <c r="A1268" s="656" t="s">
        <v>3987</v>
      </c>
      <c r="B1268" s="656" t="s">
        <v>3988</v>
      </c>
      <c r="C1268" s="656" t="s">
        <v>21</v>
      </c>
      <c r="D1268" s="656" t="s">
        <v>11271</v>
      </c>
      <c r="E1268" s="656" t="s">
        <v>14275</v>
      </c>
      <c r="F1268" s="1447">
        <v>42731</v>
      </c>
      <c r="G1268" s="656" t="s">
        <v>11270</v>
      </c>
      <c r="H1268" s="656" t="s">
        <v>1777</v>
      </c>
      <c r="I1268" s="656" t="s">
        <v>14697</v>
      </c>
      <c r="J1268" s="656" t="s">
        <v>11271</v>
      </c>
      <c r="K1268" s="656" t="s">
        <v>9774</v>
      </c>
      <c r="L1268" s="656"/>
      <c r="M1268" s="656" t="s">
        <v>16416</v>
      </c>
      <c r="N1268" s="656"/>
      <c r="O1268" s="656" t="s">
        <v>6393</v>
      </c>
      <c r="P1268" s="5"/>
      <c r="Q1268" s="1447">
        <v>42138</v>
      </c>
      <c r="R1268" s="656">
        <v>42454</v>
      </c>
      <c r="S1268" s="656" t="s">
        <v>1300</v>
      </c>
      <c r="T1268" s="656" t="s">
        <v>4198</v>
      </c>
      <c r="U1268" s="656" t="s">
        <v>1300</v>
      </c>
      <c r="V1268" s="656"/>
      <c r="W1268" s="656" t="s">
        <v>13051</v>
      </c>
      <c r="X1268" s="656" t="s">
        <v>498</v>
      </c>
      <c r="Y1268" s="656" t="s">
        <v>14278</v>
      </c>
      <c r="Z1268" s="656">
        <v>44305.520243055558</v>
      </c>
      <c r="AA1268" s="656" t="s">
        <v>14335</v>
      </c>
      <c r="AB1268" s="656"/>
    </row>
    <row r="1269" spans="1:28">
      <c r="A1269" s="656" t="s">
        <v>3987</v>
      </c>
      <c r="B1269" s="656" t="s">
        <v>3988</v>
      </c>
      <c r="C1269" s="656" t="s">
        <v>20</v>
      </c>
      <c r="D1269" s="656" t="s">
        <v>11272</v>
      </c>
      <c r="E1269" s="656" t="s">
        <v>14275</v>
      </c>
      <c r="F1269" s="1447">
        <v>42738</v>
      </c>
      <c r="G1269" s="656" t="s">
        <v>11270</v>
      </c>
      <c r="H1269" s="656" t="s">
        <v>1777</v>
      </c>
      <c r="I1269" s="656"/>
      <c r="J1269" s="656"/>
      <c r="K1269" s="656"/>
      <c r="L1269" s="656" t="s">
        <v>11272</v>
      </c>
      <c r="M1269" s="656" t="s">
        <v>16416</v>
      </c>
      <c r="N1269" s="656"/>
      <c r="O1269" s="656" t="s">
        <v>6393</v>
      </c>
      <c r="P1269" s="5"/>
      <c r="Q1269" s="1447"/>
      <c r="R1269" s="656"/>
      <c r="S1269" s="656" t="s">
        <v>1300</v>
      </c>
      <c r="T1269" s="656" t="s">
        <v>4198</v>
      </c>
      <c r="U1269" s="656" t="s">
        <v>1300</v>
      </c>
      <c r="V1269" s="656"/>
      <c r="W1269" s="656" t="s">
        <v>13051</v>
      </c>
      <c r="X1269" s="656" t="s">
        <v>498</v>
      </c>
      <c r="Y1269" s="656" t="s">
        <v>14278</v>
      </c>
      <c r="Z1269" s="656">
        <v>44305.520243055558</v>
      </c>
      <c r="AA1269" s="656" t="s">
        <v>14335</v>
      </c>
      <c r="AB1269" s="656"/>
    </row>
    <row r="1270" spans="1:28">
      <c r="A1270" s="656" t="s">
        <v>4032</v>
      </c>
      <c r="B1270" s="656" t="s">
        <v>4033</v>
      </c>
      <c r="C1270" s="656" t="s">
        <v>21</v>
      </c>
      <c r="D1270" s="656" t="s">
        <v>12207</v>
      </c>
      <c r="E1270" s="656" t="s">
        <v>14275</v>
      </c>
      <c r="F1270" s="1447">
        <v>43670</v>
      </c>
      <c r="G1270" s="656" t="s">
        <v>12064</v>
      </c>
      <c r="H1270" s="656" t="s">
        <v>1777</v>
      </c>
      <c r="I1270" s="656" t="s">
        <v>14698</v>
      </c>
      <c r="J1270" s="656" t="s">
        <v>12207</v>
      </c>
      <c r="K1270" s="656" t="s">
        <v>9774</v>
      </c>
      <c r="L1270" s="656"/>
      <c r="M1270" s="656" t="s">
        <v>16196</v>
      </c>
      <c r="N1270" s="656"/>
      <c r="O1270" s="656"/>
      <c r="P1270" s="5"/>
      <c r="Q1270" s="1447">
        <v>43433</v>
      </c>
      <c r="R1270" s="656">
        <v>43501</v>
      </c>
      <c r="S1270" s="656" t="s">
        <v>3756</v>
      </c>
      <c r="T1270" s="656"/>
      <c r="U1270" s="656"/>
      <c r="V1270" s="656"/>
      <c r="W1270" s="656" t="s">
        <v>13051</v>
      </c>
      <c r="X1270" s="656" t="s">
        <v>498</v>
      </c>
      <c r="Y1270" s="656" t="s">
        <v>14278</v>
      </c>
      <c r="Z1270" s="656">
        <v>44305.520219907405</v>
      </c>
      <c r="AA1270" s="656" t="s">
        <v>14335</v>
      </c>
      <c r="AB1270" s="656"/>
    </row>
    <row r="1271" spans="1:28">
      <c r="A1271" s="656" t="s">
        <v>4032</v>
      </c>
      <c r="B1271" s="656" t="s">
        <v>4033</v>
      </c>
      <c r="C1271" s="656" t="s">
        <v>20</v>
      </c>
      <c r="D1271" s="656" t="s">
        <v>12065</v>
      </c>
      <c r="E1271" s="656" t="s">
        <v>14275</v>
      </c>
      <c r="F1271" s="1447">
        <v>43670</v>
      </c>
      <c r="G1271" s="656" t="s">
        <v>12064</v>
      </c>
      <c r="H1271" s="656" t="s">
        <v>1777</v>
      </c>
      <c r="I1271" s="656"/>
      <c r="J1271" s="656"/>
      <c r="K1271" s="656"/>
      <c r="L1271" s="656" t="s">
        <v>12065</v>
      </c>
      <c r="M1271" s="656" t="s">
        <v>16196</v>
      </c>
      <c r="N1271" s="656"/>
      <c r="O1271" s="656" t="s">
        <v>6395</v>
      </c>
      <c r="P1271" s="5"/>
      <c r="Q1271" s="1447">
        <v>43283</v>
      </c>
      <c r="R1271" s="656"/>
      <c r="S1271" s="656" t="s">
        <v>3756</v>
      </c>
      <c r="T1271" s="656"/>
      <c r="U1271" s="656"/>
      <c r="V1271" s="656"/>
      <c r="W1271" s="656" t="s">
        <v>13051</v>
      </c>
      <c r="X1271" s="656" t="s">
        <v>498</v>
      </c>
      <c r="Y1271" s="656" t="s">
        <v>14278</v>
      </c>
      <c r="Z1271" s="656">
        <v>44305.520231481481</v>
      </c>
      <c r="AA1271" s="656" t="s">
        <v>14335</v>
      </c>
      <c r="AB1271" s="656"/>
    </row>
    <row r="1272" spans="1:28">
      <c r="A1272" s="656" t="s">
        <v>4037</v>
      </c>
      <c r="B1272" s="656" t="s">
        <v>3735</v>
      </c>
      <c r="C1272" s="656" t="s">
        <v>20</v>
      </c>
      <c r="D1272" s="656" t="s">
        <v>11269</v>
      </c>
      <c r="E1272" s="656" t="s">
        <v>14275</v>
      </c>
      <c r="F1272" s="1447">
        <v>43301</v>
      </c>
      <c r="G1272" s="656" t="s">
        <v>11268</v>
      </c>
      <c r="H1272" s="656" t="s">
        <v>1777</v>
      </c>
      <c r="I1272" s="656"/>
      <c r="J1272" s="656"/>
      <c r="K1272" s="656"/>
      <c r="L1272" s="656" t="s">
        <v>11269</v>
      </c>
      <c r="M1272" s="656" t="s">
        <v>16196</v>
      </c>
      <c r="N1272" s="656"/>
      <c r="O1272" s="656" t="s">
        <v>6395</v>
      </c>
      <c r="P1272" s="5"/>
      <c r="Q1272" s="1447">
        <v>42551</v>
      </c>
      <c r="R1272" s="656"/>
      <c r="S1272" s="656" t="s">
        <v>1394</v>
      </c>
      <c r="T1272" s="656" t="s">
        <v>14280</v>
      </c>
      <c r="U1272" s="656" t="s">
        <v>1394</v>
      </c>
      <c r="V1272" s="656"/>
      <c r="W1272" s="656" t="s">
        <v>13051</v>
      </c>
      <c r="X1272" s="656" t="s">
        <v>498</v>
      </c>
      <c r="Y1272" s="656" t="s">
        <v>14278</v>
      </c>
      <c r="Z1272" s="656">
        <v>44305.520208333335</v>
      </c>
      <c r="AA1272" s="656" t="s">
        <v>14335</v>
      </c>
      <c r="AB1272" s="656"/>
    </row>
    <row r="1273" spans="1:28">
      <c r="A1273" s="656" t="s">
        <v>4040</v>
      </c>
      <c r="B1273" s="656" t="s">
        <v>4041</v>
      </c>
      <c r="C1273" s="656" t="s">
        <v>20</v>
      </c>
      <c r="D1273" s="656" t="s">
        <v>11267</v>
      </c>
      <c r="E1273" s="656" t="s">
        <v>14275</v>
      </c>
      <c r="F1273" s="1447">
        <v>42404</v>
      </c>
      <c r="G1273" s="656" t="s">
        <v>11266</v>
      </c>
      <c r="H1273" s="656" t="s">
        <v>1777</v>
      </c>
      <c r="I1273" s="656"/>
      <c r="J1273" s="656"/>
      <c r="K1273" s="656"/>
      <c r="L1273" s="656" t="s">
        <v>11267</v>
      </c>
      <c r="M1273" s="656" t="s">
        <v>16196</v>
      </c>
      <c r="N1273" s="656"/>
      <c r="O1273" s="656" t="s">
        <v>6395</v>
      </c>
      <c r="P1273" s="5"/>
      <c r="Q1273" s="1447"/>
      <c r="R1273" s="656"/>
      <c r="S1273" s="656" t="s">
        <v>1394</v>
      </c>
      <c r="T1273" s="656" t="s">
        <v>14280</v>
      </c>
      <c r="U1273" s="656" t="s">
        <v>1394</v>
      </c>
      <c r="V1273" s="656"/>
      <c r="W1273" s="656" t="s">
        <v>13051</v>
      </c>
      <c r="X1273" s="656" t="s">
        <v>498</v>
      </c>
      <c r="Y1273" s="656" t="s">
        <v>14278</v>
      </c>
      <c r="Z1273" s="656">
        <v>44305.520208333335</v>
      </c>
      <c r="AA1273" s="656" t="s">
        <v>14335</v>
      </c>
      <c r="AB1273" s="656"/>
    </row>
    <row r="1274" spans="1:28">
      <c r="A1274" s="656" t="s">
        <v>4042</v>
      </c>
      <c r="B1274" s="656" t="s">
        <v>4043</v>
      </c>
      <c r="C1274" s="656" t="s">
        <v>20</v>
      </c>
      <c r="D1274" s="656" t="s">
        <v>11265</v>
      </c>
      <c r="E1274" s="656" t="s">
        <v>14275</v>
      </c>
      <c r="F1274" s="1447">
        <v>43888</v>
      </c>
      <c r="G1274" s="656" t="s">
        <v>11264</v>
      </c>
      <c r="H1274" s="656" t="s">
        <v>1777</v>
      </c>
      <c r="I1274" s="656"/>
      <c r="J1274" s="656"/>
      <c r="K1274" s="656"/>
      <c r="L1274" s="656" t="s">
        <v>11265</v>
      </c>
      <c r="M1274" s="656" t="s">
        <v>16196</v>
      </c>
      <c r="N1274" s="656"/>
      <c r="O1274" s="656" t="s">
        <v>6395</v>
      </c>
      <c r="P1274" s="5"/>
      <c r="Q1274" s="1447"/>
      <c r="R1274" s="656"/>
      <c r="S1274" s="656" t="s">
        <v>1394</v>
      </c>
      <c r="T1274" s="656" t="s">
        <v>14280</v>
      </c>
      <c r="U1274" s="656" t="s">
        <v>1394</v>
      </c>
      <c r="V1274" s="656"/>
      <c r="W1274" s="656" t="s">
        <v>13051</v>
      </c>
      <c r="X1274" s="656" t="s">
        <v>498</v>
      </c>
      <c r="Y1274" s="656" t="s">
        <v>14278</v>
      </c>
      <c r="Z1274" s="656">
        <v>44305.520208333335</v>
      </c>
      <c r="AA1274" s="656" t="s">
        <v>14335</v>
      </c>
      <c r="AB1274" s="656"/>
    </row>
    <row r="1275" spans="1:28">
      <c r="A1275" s="656" t="s">
        <v>4050</v>
      </c>
      <c r="B1275" s="656" t="s">
        <v>4051</v>
      </c>
      <c r="C1275" s="656" t="s">
        <v>21</v>
      </c>
      <c r="D1275" s="656" t="s">
        <v>11829</v>
      </c>
      <c r="E1275" s="656" t="s">
        <v>14275</v>
      </c>
      <c r="F1275" s="1447">
        <v>43594</v>
      </c>
      <c r="G1275" s="656" t="s">
        <v>11828</v>
      </c>
      <c r="H1275" s="656" t="s">
        <v>1777</v>
      </c>
      <c r="I1275" s="656" t="s">
        <v>14699</v>
      </c>
      <c r="J1275" s="656" t="s">
        <v>11829</v>
      </c>
      <c r="K1275" s="656" t="s">
        <v>9774</v>
      </c>
      <c r="L1275" s="656"/>
      <c r="M1275" s="656" t="s">
        <v>16397</v>
      </c>
      <c r="N1275" s="656"/>
      <c r="O1275" s="656" t="s">
        <v>6387</v>
      </c>
      <c r="P1275" s="5"/>
      <c r="Q1275" s="1447">
        <v>43069</v>
      </c>
      <c r="R1275" s="656">
        <v>43409</v>
      </c>
      <c r="S1275" s="656" t="s">
        <v>1667</v>
      </c>
      <c r="T1275" s="656" t="s">
        <v>14524</v>
      </c>
      <c r="U1275" s="656" t="s">
        <v>1667</v>
      </c>
      <c r="V1275" s="656"/>
      <c r="W1275" s="656" t="s">
        <v>13051</v>
      </c>
      <c r="X1275" s="656" t="s">
        <v>498</v>
      </c>
      <c r="Y1275" s="656" t="s">
        <v>14278</v>
      </c>
      <c r="Z1275" s="656">
        <v>44305.520185185182</v>
      </c>
      <c r="AA1275" s="656" t="s">
        <v>14335</v>
      </c>
      <c r="AB1275" s="656"/>
    </row>
    <row r="1276" spans="1:28">
      <c r="A1276" s="656" t="s">
        <v>4050</v>
      </c>
      <c r="B1276" s="656" t="s">
        <v>4051</v>
      </c>
      <c r="C1276" s="656" t="s">
        <v>20</v>
      </c>
      <c r="D1276" s="656" t="s">
        <v>11263</v>
      </c>
      <c r="E1276" s="656" t="s">
        <v>14275</v>
      </c>
      <c r="F1276" s="1447">
        <v>43606</v>
      </c>
      <c r="G1276" s="656" t="s">
        <v>11262</v>
      </c>
      <c r="H1276" s="656" t="s">
        <v>1777</v>
      </c>
      <c r="I1276" s="656"/>
      <c r="J1276" s="656"/>
      <c r="K1276" s="656"/>
      <c r="L1276" s="656" t="s">
        <v>11263</v>
      </c>
      <c r="M1276" s="656" t="s">
        <v>16397</v>
      </c>
      <c r="N1276" s="656"/>
      <c r="O1276" s="656" t="s">
        <v>6387</v>
      </c>
      <c r="P1276" s="5"/>
      <c r="Q1276" s="1447">
        <v>42957</v>
      </c>
      <c r="R1276" s="656"/>
      <c r="S1276" s="656" t="s">
        <v>1667</v>
      </c>
      <c r="T1276" s="656" t="s">
        <v>14524</v>
      </c>
      <c r="U1276" s="656" t="s">
        <v>1667</v>
      </c>
      <c r="V1276" s="656"/>
      <c r="W1276" s="656" t="s">
        <v>13051</v>
      </c>
      <c r="X1276" s="656" t="s">
        <v>498</v>
      </c>
      <c r="Y1276" s="656" t="s">
        <v>14278</v>
      </c>
      <c r="Z1276" s="656">
        <v>44305.520196759258</v>
      </c>
      <c r="AA1276" s="656" t="s">
        <v>14335</v>
      </c>
      <c r="AB1276" s="656"/>
    </row>
    <row r="1277" spans="1:28">
      <c r="A1277" s="656" t="s">
        <v>4053</v>
      </c>
      <c r="B1277" s="656" t="s">
        <v>4054</v>
      </c>
      <c r="C1277" s="656" t="s">
        <v>20</v>
      </c>
      <c r="D1277" s="656" t="s">
        <v>11261</v>
      </c>
      <c r="E1277" s="656" t="s">
        <v>14275</v>
      </c>
      <c r="F1277" s="1447">
        <v>42887</v>
      </c>
      <c r="G1277" s="656" t="s">
        <v>11260</v>
      </c>
      <c r="H1277" s="656" t="s">
        <v>1777</v>
      </c>
      <c r="I1277" s="656"/>
      <c r="J1277" s="656"/>
      <c r="K1277" s="656"/>
      <c r="L1277" s="656" t="s">
        <v>11261</v>
      </c>
      <c r="M1277" s="656" t="s">
        <v>16326</v>
      </c>
      <c r="N1277" s="656"/>
      <c r="O1277" s="656" t="s">
        <v>6387</v>
      </c>
      <c r="P1277" s="5"/>
      <c r="Q1277" s="1447"/>
      <c r="R1277" s="656"/>
      <c r="S1277" s="656" t="s">
        <v>1667</v>
      </c>
      <c r="T1277" s="656" t="s">
        <v>14524</v>
      </c>
      <c r="U1277" s="656" t="s">
        <v>1667</v>
      </c>
      <c r="V1277" s="656"/>
      <c r="W1277" s="656" t="s">
        <v>13051</v>
      </c>
      <c r="X1277" s="656" t="s">
        <v>498</v>
      </c>
      <c r="Y1277" s="656" t="s">
        <v>14278</v>
      </c>
      <c r="Z1277" s="656">
        <v>44305.520185185182</v>
      </c>
      <c r="AA1277" s="656" t="s">
        <v>14335</v>
      </c>
      <c r="AB1277" s="656"/>
    </row>
    <row r="1278" spans="1:28">
      <c r="A1278" s="656" t="s">
        <v>4055</v>
      </c>
      <c r="B1278" s="656" t="s">
        <v>4056</v>
      </c>
      <c r="C1278" s="656" t="s">
        <v>21</v>
      </c>
      <c r="D1278" s="656" t="s">
        <v>11892</v>
      </c>
      <c r="E1278" s="656" t="s">
        <v>14275</v>
      </c>
      <c r="F1278" s="1447">
        <v>43688</v>
      </c>
      <c r="G1278" s="656" t="s">
        <v>11891</v>
      </c>
      <c r="H1278" s="656" t="s">
        <v>1777</v>
      </c>
      <c r="I1278" s="656" t="s">
        <v>14700</v>
      </c>
      <c r="J1278" s="656" t="s">
        <v>11892</v>
      </c>
      <c r="K1278" s="656" t="s">
        <v>9774</v>
      </c>
      <c r="L1278" s="656"/>
      <c r="M1278" s="656" t="s">
        <v>12780</v>
      </c>
      <c r="N1278" s="656"/>
      <c r="O1278" s="656" t="s">
        <v>6387</v>
      </c>
      <c r="P1278" s="5"/>
      <c r="Q1278" s="1447">
        <v>43122</v>
      </c>
      <c r="R1278" s="656">
        <v>43418</v>
      </c>
      <c r="S1278" s="656" t="s">
        <v>1667</v>
      </c>
      <c r="T1278" s="656"/>
      <c r="U1278" s="656" t="s">
        <v>1667</v>
      </c>
      <c r="V1278" s="656"/>
      <c r="W1278" s="656" t="s">
        <v>13051</v>
      </c>
      <c r="X1278" s="656" t="s">
        <v>498</v>
      </c>
      <c r="Y1278" s="656" t="s">
        <v>14278</v>
      </c>
      <c r="Z1278" s="656">
        <v>44305.520173611112</v>
      </c>
      <c r="AA1278" s="656" t="s">
        <v>14335</v>
      </c>
      <c r="AB1278" s="656"/>
    </row>
    <row r="1279" spans="1:28">
      <c r="A1279" s="656" t="s">
        <v>4055</v>
      </c>
      <c r="B1279" s="656" t="s">
        <v>4056</v>
      </c>
      <c r="C1279" s="656" t="s">
        <v>20</v>
      </c>
      <c r="D1279" s="656" t="s">
        <v>11259</v>
      </c>
      <c r="E1279" s="656" t="s">
        <v>14275</v>
      </c>
      <c r="F1279" s="1447">
        <v>43587</v>
      </c>
      <c r="G1279" s="656" t="s">
        <v>11258</v>
      </c>
      <c r="H1279" s="656" t="s">
        <v>1777</v>
      </c>
      <c r="I1279" s="656"/>
      <c r="J1279" s="656"/>
      <c r="K1279" s="656"/>
      <c r="L1279" s="656" t="s">
        <v>11259</v>
      </c>
      <c r="M1279" s="656" t="s">
        <v>12780</v>
      </c>
      <c r="N1279" s="656"/>
      <c r="O1279" s="656" t="s">
        <v>6387</v>
      </c>
      <c r="P1279" s="5"/>
      <c r="Q1279" s="1447">
        <v>42927</v>
      </c>
      <c r="R1279" s="656"/>
      <c r="S1279" s="656" t="s">
        <v>1667</v>
      </c>
      <c r="T1279" s="656" t="s">
        <v>14524</v>
      </c>
      <c r="U1279" s="656" t="s">
        <v>1667</v>
      </c>
      <c r="V1279" s="656"/>
      <c r="W1279" s="656" t="s">
        <v>13051</v>
      </c>
      <c r="X1279" s="656" t="s">
        <v>498</v>
      </c>
      <c r="Y1279" s="656" t="s">
        <v>14278</v>
      </c>
      <c r="Z1279" s="656">
        <v>44305.520173611112</v>
      </c>
      <c r="AA1279" s="656" t="s">
        <v>14335</v>
      </c>
      <c r="AB1279" s="656"/>
    </row>
    <row r="1280" spans="1:28">
      <c r="A1280" s="656" t="s">
        <v>4058</v>
      </c>
      <c r="B1280" s="656" t="s">
        <v>4059</v>
      </c>
      <c r="C1280" s="656" t="s">
        <v>20</v>
      </c>
      <c r="D1280" s="656" t="s">
        <v>11257</v>
      </c>
      <c r="E1280" s="656" t="s">
        <v>14275</v>
      </c>
      <c r="F1280" s="1447">
        <v>43133</v>
      </c>
      <c r="G1280" s="656" t="s">
        <v>11256</v>
      </c>
      <c r="H1280" s="656" t="s">
        <v>1777</v>
      </c>
      <c r="I1280" s="656"/>
      <c r="J1280" s="656"/>
      <c r="K1280" s="656"/>
      <c r="L1280" s="656" t="s">
        <v>11257</v>
      </c>
      <c r="M1280" s="656" t="s">
        <v>16265</v>
      </c>
      <c r="N1280" s="656"/>
      <c r="O1280" s="656" t="s">
        <v>6387</v>
      </c>
      <c r="P1280" s="5"/>
      <c r="Q1280" s="1447">
        <v>42865</v>
      </c>
      <c r="R1280" s="656"/>
      <c r="S1280" s="656" t="s">
        <v>1667</v>
      </c>
      <c r="T1280" s="656" t="s">
        <v>14524</v>
      </c>
      <c r="U1280" s="656" t="s">
        <v>1667</v>
      </c>
      <c r="V1280" s="656"/>
      <c r="W1280" s="656" t="s">
        <v>13051</v>
      </c>
      <c r="X1280" s="656" t="s">
        <v>498</v>
      </c>
      <c r="Y1280" s="656" t="s">
        <v>14278</v>
      </c>
      <c r="Z1280" s="656">
        <v>44305.520162037035</v>
      </c>
      <c r="AA1280" s="656" t="s">
        <v>14335</v>
      </c>
      <c r="AB1280" s="656"/>
    </row>
    <row r="1281" spans="1:28">
      <c r="A1281" s="656" t="s">
        <v>4062</v>
      </c>
      <c r="B1281" s="656" t="s">
        <v>4063</v>
      </c>
      <c r="C1281" s="656" t="s">
        <v>21</v>
      </c>
      <c r="D1281" s="656" t="s">
        <v>11255</v>
      </c>
      <c r="E1281" s="656" t="s">
        <v>14275</v>
      </c>
      <c r="F1281" s="1447">
        <v>42704</v>
      </c>
      <c r="G1281" s="656" t="s">
        <v>11254</v>
      </c>
      <c r="H1281" s="656" t="s">
        <v>1584</v>
      </c>
      <c r="I1281" s="656" t="s">
        <v>14701</v>
      </c>
      <c r="J1281" s="656" t="s">
        <v>11255</v>
      </c>
      <c r="K1281" s="656" t="s">
        <v>9774</v>
      </c>
      <c r="L1281" s="656"/>
      <c r="M1281" s="656" t="s">
        <v>1584</v>
      </c>
      <c r="N1281" s="656"/>
      <c r="O1281" s="656" t="s">
        <v>6387</v>
      </c>
      <c r="P1281" s="5"/>
      <c r="Q1281" s="1447"/>
      <c r="R1281" s="656">
        <v>42491</v>
      </c>
      <c r="S1281" s="656" t="s">
        <v>783</v>
      </c>
      <c r="T1281" s="656" t="s">
        <v>14277</v>
      </c>
      <c r="U1281" s="656" t="s">
        <v>655</v>
      </c>
      <c r="V1281" s="656"/>
      <c r="W1281" s="656" t="s">
        <v>13051</v>
      </c>
      <c r="X1281" s="656" t="s">
        <v>498</v>
      </c>
      <c r="Y1281" s="656" t="s">
        <v>14278</v>
      </c>
      <c r="Z1281" s="656">
        <v>44305.520162037035</v>
      </c>
      <c r="AA1281" s="656" t="s">
        <v>14335</v>
      </c>
      <c r="AB1281" s="656"/>
    </row>
    <row r="1282" spans="1:28">
      <c r="A1282" s="656" t="s">
        <v>4071</v>
      </c>
      <c r="B1282" s="656" t="s">
        <v>4072</v>
      </c>
      <c r="C1282" s="656" t="s">
        <v>21</v>
      </c>
      <c r="D1282" s="656" t="s">
        <v>11252</v>
      </c>
      <c r="E1282" s="656" t="s">
        <v>14275</v>
      </c>
      <c r="F1282" s="1447">
        <v>43936</v>
      </c>
      <c r="G1282" s="656" t="s">
        <v>11251</v>
      </c>
      <c r="H1282" s="656" t="s">
        <v>1777</v>
      </c>
      <c r="I1282" s="656" t="s">
        <v>14702</v>
      </c>
      <c r="J1282" s="656" t="s">
        <v>11252</v>
      </c>
      <c r="K1282" s="656" t="s">
        <v>9733</v>
      </c>
      <c r="L1282" s="656"/>
      <c r="M1282" s="656" t="s">
        <v>16417</v>
      </c>
      <c r="N1282" s="656"/>
      <c r="O1282" s="656" t="s">
        <v>6387</v>
      </c>
      <c r="P1282" s="5"/>
      <c r="Q1282" s="1447">
        <v>42774</v>
      </c>
      <c r="R1282" s="656">
        <v>43221</v>
      </c>
      <c r="S1282" s="656" t="s">
        <v>655</v>
      </c>
      <c r="T1282" s="656" t="s">
        <v>14277</v>
      </c>
      <c r="U1282" s="656" t="s">
        <v>655</v>
      </c>
      <c r="V1282" s="656"/>
      <c r="W1282" s="656" t="s">
        <v>13051</v>
      </c>
      <c r="X1282" s="656" t="s">
        <v>498</v>
      </c>
      <c r="Y1282" s="656" t="s">
        <v>14278</v>
      </c>
      <c r="Z1282" s="656">
        <v>44305.520150462966</v>
      </c>
      <c r="AA1282" s="656" t="s">
        <v>14335</v>
      </c>
      <c r="AB1282" s="656"/>
    </row>
    <row r="1283" spans="1:28">
      <c r="A1283" s="656" t="s">
        <v>4071</v>
      </c>
      <c r="B1283" s="656" t="s">
        <v>4072</v>
      </c>
      <c r="C1283" s="656" t="s">
        <v>20</v>
      </c>
      <c r="D1283" s="656" t="s">
        <v>11253</v>
      </c>
      <c r="E1283" s="656" t="s">
        <v>14275</v>
      </c>
      <c r="F1283" s="1447">
        <v>43871</v>
      </c>
      <c r="G1283" s="656" t="s">
        <v>11251</v>
      </c>
      <c r="H1283" s="656" t="s">
        <v>1777</v>
      </c>
      <c r="I1283" s="656"/>
      <c r="J1283" s="656"/>
      <c r="K1283" s="656"/>
      <c r="L1283" s="656" t="s">
        <v>11253</v>
      </c>
      <c r="M1283" s="656" t="s">
        <v>16417</v>
      </c>
      <c r="N1283" s="656"/>
      <c r="O1283" s="656" t="s">
        <v>6387</v>
      </c>
      <c r="P1283" s="5"/>
      <c r="Q1283" s="1447"/>
      <c r="R1283" s="656"/>
      <c r="S1283" s="656" t="s">
        <v>655</v>
      </c>
      <c r="T1283" s="656" t="s">
        <v>14277</v>
      </c>
      <c r="U1283" s="656" t="s">
        <v>655</v>
      </c>
      <c r="V1283" s="656"/>
      <c r="W1283" s="656" t="s">
        <v>13051</v>
      </c>
      <c r="X1283" s="656" t="s">
        <v>498</v>
      </c>
      <c r="Y1283" s="656" t="s">
        <v>14278</v>
      </c>
      <c r="Z1283" s="656">
        <v>44305.520150462966</v>
      </c>
      <c r="AA1283" s="656" t="s">
        <v>14335</v>
      </c>
      <c r="AB1283" s="656"/>
    </row>
    <row r="1284" spans="1:28">
      <c r="A1284" s="656" t="s">
        <v>4073</v>
      </c>
      <c r="B1284" s="656" t="s">
        <v>4074</v>
      </c>
      <c r="C1284" s="656" t="s">
        <v>21</v>
      </c>
      <c r="D1284" s="656" t="s">
        <v>11249</v>
      </c>
      <c r="E1284" s="656" t="s">
        <v>14275</v>
      </c>
      <c r="F1284" s="1447">
        <v>43186</v>
      </c>
      <c r="G1284" s="656" t="s">
        <v>11248</v>
      </c>
      <c r="H1284" s="656" t="s">
        <v>1777</v>
      </c>
      <c r="I1284" s="656" t="s">
        <v>14703</v>
      </c>
      <c r="J1284" s="656" t="s">
        <v>11249</v>
      </c>
      <c r="K1284" s="656" t="s">
        <v>9782</v>
      </c>
      <c r="L1284" s="656"/>
      <c r="M1284" s="656" t="s">
        <v>16418</v>
      </c>
      <c r="N1284" s="656"/>
      <c r="O1284" s="656" t="s">
        <v>6387</v>
      </c>
      <c r="P1284" s="5" t="s">
        <v>14936</v>
      </c>
      <c r="Q1284" s="1447">
        <v>42453</v>
      </c>
      <c r="R1284" s="656">
        <v>42801</v>
      </c>
      <c r="S1284" s="656" t="s">
        <v>655</v>
      </c>
      <c r="T1284" s="656" t="s">
        <v>14277</v>
      </c>
      <c r="U1284" s="656" t="s">
        <v>655</v>
      </c>
      <c r="V1284" s="656"/>
      <c r="W1284" s="656" t="s">
        <v>13051</v>
      </c>
      <c r="X1284" s="656" t="s">
        <v>498</v>
      </c>
      <c r="Y1284" s="656" t="s">
        <v>14278</v>
      </c>
      <c r="Z1284" s="656">
        <v>44305.520138888889</v>
      </c>
      <c r="AA1284" s="656" t="s">
        <v>14335</v>
      </c>
      <c r="AB1284" s="656"/>
    </row>
    <row r="1285" spans="1:28">
      <c r="A1285" s="656" t="s">
        <v>4073</v>
      </c>
      <c r="B1285" s="656" t="s">
        <v>4074</v>
      </c>
      <c r="C1285" s="656" t="s">
        <v>20</v>
      </c>
      <c r="D1285" s="656" t="s">
        <v>11250</v>
      </c>
      <c r="E1285" s="656" t="s">
        <v>14275</v>
      </c>
      <c r="F1285" s="1447">
        <v>43088</v>
      </c>
      <c r="G1285" s="656" t="s">
        <v>11248</v>
      </c>
      <c r="H1285" s="656" t="s">
        <v>1777</v>
      </c>
      <c r="I1285" s="656"/>
      <c r="J1285" s="656"/>
      <c r="K1285" s="656"/>
      <c r="L1285" s="656" t="s">
        <v>11250</v>
      </c>
      <c r="M1285" s="656" t="s">
        <v>16418</v>
      </c>
      <c r="N1285" s="656"/>
      <c r="O1285" s="656" t="s">
        <v>6387</v>
      </c>
      <c r="P1285" s="5"/>
      <c r="Q1285" s="1447"/>
      <c r="R1285" s="656"/>
      <c r="S1285" s="656" t="s">
        <v>655</v>
      </c>
      <c r="T1285" s="656" t="s">
        <v>14277</v>
      </c>
      <c r="U1285" s="656" t="s">
        <v>655</v>
      </c>
      <c r="V1285" s="656"/>
      <c r="W1285" s="656" t="s">
        <v>13051</v>
      </c>
      <c r="X1285" s="656" t="s">
        <v>498</v>
      </c>
      <c r="Y1285" s="656" t="s">
        <v>14278</v>
      </c>
      <c r="Z1285" s="656">
        <v>44305.520138888889</v>
      </c>
      <c r="AA1285" s="656" t="s">
        <v>14335</v>
      </c>
      <c r="AB1285" s="656"/>
    </row>
    <row r="1286" spans="1:28">
      <c r="A1286" s="656" t="s">
        <v>4075</v>
      </c>
      <c r="B1286" s="656" t="s">
        <v>4076</v>
      </c>
      <c r="C1286" s="656" t="s">
        <v>21</v>
      </c>
      <c r="D1286" s="656" t="s">
        <v>11833</v>
      </c>
      <c r="E1286" s="656" t="s">
        <v>14384</v>
      </c>
      <c r="F1286" s="1447">
        <v>43815</v>
      </c>
      <c r="G1286" s="656" t="s">
        <v>11832</v>
      </c>
      <c r="H1286" s="656" t="s">
        <v>1777</v>
      </c>
      <c r="I1286" s="656" t="s">
        <v>14705</v>
      </c>
      <c r="J1286" s="656" t="s">
        <v>11833</v>
      </c>
      <c r="K1286" s="656" t="s">
        <v>9774</v>
      </c>
      <c r="L1286" s="656"/>
      <c r="M1286" s="656" t="s">
        <v>1584</v>
      </c>
      <c r="N1286" s="656"/>
      <c r="O1286" s="656" t="s">
        <v>6387</v>
      </c>
      <c r="P1286" s="5" t="s">
        <v>15406</v>
      </c>
      <c r="Q1286" s="1447">
        <v>43069</v>
      </c>
      <c r="R1286" s="656"/>
      <c r="S1286" s="656" t="s">
        <v>655</v>
      </c>
      <c r="T1286" s="656" t="s">
        <v>14277</v>
      </c>
      <c r="U1286" s="656" t="s">
        <v>655</v>
      </c>
      <c r="V1286" s="656"/>
      <c r="W1286" s="656" t="s">
        <v>13051</v>
      </c>
      <c r="X1286" s="656" t="s">
        <v>498</v>
      </c>
      <c r="Y1286" s="656" t="s">
        <v>14278</v>
      </c>
      <c r="Z1286" s="656">
        <v>44305.520115740743</v>
      </c>
      <c r="AA1286" s="656" t="s">
        <v>14335</v>
      </c>
      <c r="AB1286" s="656"/>
    </row>
    <row r="1287" spans="1:28">
      <c r="A1287" s="656" t="s">
        <v>4075</v>
      </c>
      <c r="B1287" s="656" t="s">
        <v>4076</v>
      </c>
      <c r="C1287" s="656" t="s">
        <v>21</v>
      </c>
      <c r="D1287" s="656" t="s">
        <v>12227</v>
      </c>
      <c r="E1287" s="656" t="s">
        <v>14275</v>
      </c>
      <c r="F1287" s="1447">
        <v>43748</v>
      </c>
      <c r="G1287" s="656" t="s">
        <v>11832</v>
      </c>
      <c r="H1287" s="656" t="s">
        <v>1584</v>
      </c>
      <c r="I1287" s="656" t="s">
        <v>14704</v>
      </c>
      <c r="J1287" s="656" t="s">
        <v>12227</v>
      </c>
      <c r="K1287" s="656" t="s">
        <v>9774</v>
      </c>
      <c r="L1287" s="656"/>
      <c r="M1287" s="656" t="s">
        <v>1584</v>
      </c>
      <c r="N1287" s="656"/>
      <c r="O1287" s="656" t="s">
        <v>6387</v>
      </c>
      <c r="P1287" s="5"/>
      <c r="Q1287" s="1447">
        <v>43539</v>
      </c>
      <c r="R1287" s="656">
        <v>43534</v>
      </c>
      <c r="S1287" s="656" t="s">
        <v>655</v>
      </c>
      <c r="T1287" s="656"/>
      <c r="U1287" s="656"/>
      <c r="V1287" s="656"/>
      <c r="W1287" s="656" t="s">
        <v>13051</v>
      </c>
      <c r="X1287" s="656" t="s">
        <v>498</v>
      </c>
      <c r="Y1287" s="656" t="s">
        <v>14278</v>
      </c>
      <c r="Z1287" s="656">
        <v>44305.520127314812</v>
      </c>
      <c r="AA1287" s="656" t="s">
        <v>14335</v>
      </c>
      <c r="AB1287" s="656"/>
    </row>
    <row r="1288" spans="1:28">
      <c r="A1288" s="656" t="s">
        <v>4075</v>
      </c>
      <c r="B1288" s="656" t="s">
        <v>4076</v>
      </c>
      <c r="C1288" s="656" t="s">
        <v>20</v>
      </c>
      <c r="D1288" s="656" t="s">
        <v>11247</v>
      </c>
      <c r="E1288" s="656" t="s">
        <v>14275</v>
      </c>
      <c r="F1288" s="1447">
        <v>43818</v>
      </c>
      <c r="G1288" s="656" t="s">
        <v>11246</v>
      </c>
      <c r="H1288" s="656" t="s">
        <v>1777</v>
      </c>
      <c r="I1288" s="656"/>
      <c r="J1288" s="656"/>
      <c r="K1288" s="656"/>
      <c r="L1288" s="656" t="s">
        <v>11247</v>
      </c>
      <c r="M1288" s="656" t="s">
        <v>1584</v>
      </c>
      <c r="N1288" s="656"/>
      <c r="O1288" s="656" t="s">
        <v>6387</v>
      </c>
      <c r="P1288" s="5"/>
      <c r="Q1288" s="1447"/>
      <c r="R1288" s="656"/>
      <c r="S1288" s="656" t="s">
        <v>655</v>
      </c>
      <c r="T1288" s="656" t="s">
        <v>14277</v>
      </c>
      <c r="U1288" s="656" t="s">
        <v>655</v>
      </c>
      <c r="V1288" s="656"/>
      <c r="W1288" s="656" t="s">
        <v>13051</v>
      </c>
      <c r="X1288" s="656" t="s">
        <v>498</v>
      </c>
      <c r="Y1288" s="656" t="s">
        <v>14278</v>
      </c>
      <c r="Z1288" s="656">
        <v>44305.520127314812</v>
      </c>
      <c r="AA1288" s="656" t="s">
        <v>14335</v>
      </c>
      <c r="AB1288" s="656"/>
    </row>
    <row r="1289" spans="1:28">
      <c r="A1289" s="656" t="s">
        <v>4077</v>
      </c>
      <c r="B1289" s="656" t="s">
        <v>4078</v>
      </c>
      <c r="C1289" s="656" t="s">
        <v>21</v>
      </c>
      <c r="D1289" s="656" t="s">
        <v>11835</v>
      </c>
      <c r="E1289" s="656" t="s">
        <v>14275</v>
      </c>
      <c r="F1289" s="1447">
        <v>43810</v>
      </c>
      <c r="G1289" s="656" t="s">
        <v>11834</v>
      </c>
      <c r="H1289" s="656" t="s">
        <v>1777</v>
      </c>
      <c r="I1289" s="656" t="s">
        <v>14706</v>
      </c>
      <c r="J1289" s="656" t="s">
        <v>11835</v>
      </c>
      <c r="K1289" s="656" t="s">
        <v>9774</v>
      </c>
      <c r="L1289" s="656"/>
      <c r="M1289" s="656" t="s">
        <v>16351</v>
      </c>
      <c r="N1289" s="656"/>
      <c r="O1289" s="656" t="s">
        <v>6387</v>
      </c>
      <c r="P1289" s="5"/>
      <c r="Q1289" s="1447">
        <v>43069</v>
      </c>
      <c r="R1289" s="656">
        <v>43534</v>
      </c>
      <c r="S1289" s="656" t="s">
        <v>655</v>
      </c>
      <c r="T1289" s="656" t="s">
        <v>14277</v>
      </c>
      <c r="U1289" s="656" t="s">
        <v>655</v>
      </c>
      <c r="V1289" s="656"/>
      <c r="W1289" s="656" t="s">
        <v>13051</v>
      </c>
      <c r="X1289" s="656" t="s">
        <v>498</v>
      </c>
      <c r="Y1289" s="656" t="s">
        <v>14278</v>
      </c>
      <c r="Z1289" s="656">
        <v>44305.520104166666</v>
      </c>
      <c r="AA1289" s="656" t="s">
        <v>14335</v>
      </c>
      <c r="AB1289" s="656"/>
    </row>
    <row r="1290" spans="1:28">
      <c r="A1290" s="656" t="s">
        <v>4077</v>
      </c>
      <c r="B1290" s="656" t="s">
        <v>4078</v>
      </c>
      <c r="C1290" s="656" t="s">
        <v>20</v>
      </c>
      <c r="D1290" s="656" t="s">
        <v>11245</v>
      </c>
      <c r="E1290" s="656" t="s">
        <v>14275</v>
      </c>
      <c r="F1290" s="1447">
        <v>43818</v>
      </c>
      <c r="G1290" s="656" t="s">
        <v>11244</v>
      </c>
      <c r="H1290" s="656" t="s">
        <v>1777</v>
      </c>
      <c r="I1290" s="656"/>
      <c r="J1290" s="656"/>
      <c r="K1290" s="656"/>
      <c r="L1290" s="656" t="s">
        <v>11245</v>
      </c>
      <c r="M1290" s="656" t="s">
        <v>16351</v>
      </c>
      <c r="N1290" s="656"/>
      <c r="O1290" s="656" t="s">
        <v>6387</v>
      </c>
      <c r="P1290" s="5"/>
      <c r="Q1290" s="1447"/>
      <c r="R1290" s="656"/>
      <c r="S1290" s="656" t="s">
        <v>655</v>
      </c>
      <c r="T1290" s="656" t="s">
        <v>14277</v>
      </c>
      <c r="U1290" s="656" t="s">
        <v>655</v>
      </c>
      <c r="V1290" s="656"/>
      <c r="W1290" s="656" t="s">
        <v>13051</v>
      </c>
      <c r="X1290" s="656" t="s">
        <v>498</v>
      </c>
      <c r="Y1290" s="656" t="s">
        <v>14278</v>
      </c>
      <c r="Z1290" s="656">
        <v>44305.520127314812</v>
      </c>
      <c r="AA1290" s="656" t="s">
        <v>14335</v>
      </c>
      <c r="AB1290" s="656"/>
    </row>
    <row r="1291" spans="1:28">
      <c r="A1291" s="656" t="s">
        <v>4079</v>
      </c>
      <c r="B1291" s="656" t="s">
        <v>4080</v>
      </c>
      <c r="C1291" s="656" t="s">
        <v>20</v>
      </c>
      <c r="D1291" s="656" t="s">
        <v>11241</v>
      </c>
      <c r="E1291" s="656" t="s">
        <v>14275</v>
      </c>
      <c r="F1291" s="1447">
        <v>42871</v>
      </c>
      <c r="G1291" s="656" t="s">
        <v>11240</v>
      </c>
      <c r="H1291" s="656" t="s">
        <v>1777</v>
      </c>
      <c r="I1291" s="656"/>
      <c r="J1291" s="656"/>
      <c r="K1291" s="656"/>
      <c r="L1291" s="656" t="s">
        <v>11241</v>
      </c>
      <c r="M1291" s="656" t="s">
        <v>16199</v>
      </c>
      <c r="N1291" s="656"/>
      <c r="O1291" s="656" t="s">
        <v>6387</v>
      </c>
      <c r="P1291" s="5"/>
      <c r="Q1291" s="1447"/>
      <c r="R1291" s="656"/>
      <c r="S1291" s="656" t="s">
        <v>500</v>
      </c>
      <c r="T1291" s="656" t="s">
        <v>14559</v>
      </c>
      <c r="U1291" s="656" t="s">
        <v>500</v>
      </c>
      <c r="V1291" s="656"/>
      <c r="W1291" s="656" t="s">
        <v>13051</v>
      </c>
      <c r="X1291" s="656" t="s">
        <v>498</v>
      </c>
      <c r="Y1291" s="656" t="s">
        <v>14278</v>
      </c>
      <c r="Z1291" s="656">
        <v>44305.520092592589</v>
      </c>
      <c r="AA1291" s="656" t="s">
        <v>14335</v>
      </c>
      <c r="AB1291" s="656"/>
    </row>
    <row r="1292" spans="1:28">
      <c r="A1292" s="656" t="s">
        <v>4079</v>
      </c>
      <c r="B1292" s="656" t="s">
        <v>4080</v>
      </c>
      <c r="C1292" s="656" t="s">
        <v>20</v>
      </c>
      <c r="D1292" s="656" t="s">
        <v>11243</v>
      </c>
      <c r="E1292" s="656" t="s">
        <v>14275</v>
      </c>
      <c r="F1292" s="1447">
        <v>42772</v>
      </c>
      <c r="G1292" s="656" t="s">
        <v>11242</v>
      </c>
      <c r="H1292" s="656" t="s">
        <v>1777</v>
      </c>
      <c r="I1292" s="656"/>
      <c r="J1292" s="656"/>
      <c r="K1292" s="656"/>
      <c r="L1292" s="656" t="s">
        <v>11243</v>
      </c>
      <c r="M1292" s="656" t="s">
        <v>16318</v>
      </c>
      <c r="N1292" s="656"/>
      <c r="O1292" s="656" t="s">
        <v>6387</v>
      </c>
      <c r="P1292" s="5"/>
      <c r="Q1292" s="1447"/>
      <c r="R1292" s="656"/>
      <c r="S1292" s="656" t="s">
        <v>500</v>
      </c>
      <c r="T1292" s="656" t="s">
        <v>14559</v>
      </c>
      <c r="U1292" s="656" t="s">
        <v>500</v>
      </c>
      <c r="V1292" s="656"/>
      <c r="W1292" s="656" t="s">
        <v>13051</v>
      </c>
      <c r="X1292" s="656" t="s">
        <v>498</v>
      </c>
      <c r="Y1292" s="656" t="s">
        <v>14278</v>
      </c>
      <c r="Z1292" s="656">
        <v>44305.520104166666</v>
      </c>
      <c r="AA1292" s="656" t="s">
        <v>14335</v>
      </c>
      <c r="AB1292" s="656"/>
    </row>
    <row r="1293" spans="1:28">
      <c r="A1293" s="656" t="s">
        <v>4081</v>
      </c>
      <c r="B1293" s="656" t="s">
        <v>4082</v>
      </c>
      <c r="C1293" s="656" t="s">
        <v>21</v>
      </c>
      <c r="D1293" s="656" t="s">
        <v>12279</v>
      </c>
      <c r="E1293" s="656" t="s">
        <v>14313</v>
      </c>
      <c r="F1293" s="1447"/>
      <c r="G1293" s="656" t="s">
        <v>9727</v>
      </c>
      <c r="H1293" s="656" t="s">
        <v>1777</v>
      </c>
      <c r="I1293" s="656" t="s">
        <v>14707</v>
      </c>
      <c r="J1293" s="656" t="s">
        <v>12279</v>
      </c>
      <c r="K1293" s="656" t="s">
        <v>9750</v>
      </c>
      <c r="L1293" s="656"/>
      <c r="M1293" s="656" t="s">
        <v>16200</v>
      </c>
      <c r="N1293" s="656"/>
      <c r="O1293" s="656" t="s">
        <v>6387</v>
      </c>
      <c r="P1293" s="5" t="s">
        <v>14936</v>
      </c>
      <c r="Q1293" s="1447">
        <v>42667</v>
      </c>
      <c r="R1293" s="656">
        <v>43663</v>
      </c>
      <c r="S1293" s="656" t="s">
        <v>1300</v>
      </c>
      <c r="T1293" s="656" t="s">
        <v>4198</v>
      </c>
      <c r="U1293" s="656" t="s">
        <v>1300</v>
      </c>
      <c r="V1293" s="656"/>
      <c r="W1293" s="656" t="s">
        <v>13051</v>
      </c>
      <c r="X1293" s="656" t="s">
        <v>498</v>
      </c>
      <c r="Y1293" s="656" t="s">
        <v>14278</v>
      </c>
      <c r="Z1293" s="656">
        <v>44305.52008101852</v>
      </c>
      <c r="AA1293" s="656" t="s">
        <v>14335</v>
      </c>
      <c r="AB1293" s="656"/>
    </row>
    <row r="1294" spans="1:28">
      <c r="A1294" s="656" t="s">
        <v>4081</v>
      </c>
      <c r="B1294" s="656" t="s">
        <v>4082</v>
      </c>
      <c r="C1294" s="656" t="s">
        <v>21</v>
      </c>
      <c r="D1294" s="656" t="s">
        <v>9999</v>
      </c>
      <c r="E1294" s="656" t="s">
        <v>14279</v>
      </c>
      <c r="F1294" s="1447"/>
      <c r="G1294" s="656" t="s">
        <v>9998</v>
      </c>
      <c r="H1294" s="656" t="s">
        <v>1777</v>
      </c>
      <c r="I1294" s="656" t="s">
        <v>14707</v>
      </c>
      <c r="J1294" s="656" t="s">
        <v>9999</v>
      </c>
      <c r="K1294" s="656" t="s">
        <v>9774</v>
      </c>
      <c r="L1294" s="656"/>
      <c r="M1294" s="656" t="s">
        <v>16200</v>
      </c>
      <c r="N1294" s="656"/>
      <c r="O1294" s="656" t="s">
        <v>6387</v>
      </c>
      <c r="P1294" s="5"/>
      <c r="Q1294" s="1447">
        <v>43640</v>
      </c>
      <c r="R1294" s="656"/>
      <c r="S1294" s="656" t="s">
        <v>450</v>
      </c>
      <c r="T1294" s="656"/>
      <c r="U1294" s="656"/>
      <c r="V1294" s="656"/>
      <c r="W1294" s="656" t="s">
        <v>13051</v>
      </c>
      <c r="X1294" s="656" t="s">
        <v>498</v>
      </c>
      <c r="Y1294" s="656" t="s">
        <v>14278</v>
      </c>
      <c r="Z1294" s="656">
        <v>44305.52008101852</v>
      </c>
      <c r="AA1294" s="656" t="s">
        <v>14335</v>
      </c>
      <c r="AB1294" s="656"/>
    </row>
    <row r="1295" spans="1:28">
      <c r="A1295" s="656" t="s">
        <v>4081</v>
      </c>
      <c r="B1295" s="656" t="s">
        <v>4082</v>
      </c>
      <c r="C1295" s="656" t="s">
        <v>20</v>
      </c>
      <c r="D1295" s="656" t="s">
        <v>9728</v>
      </c>
      <c r="E1295" s="656" t="s">
        <v>14279</v>
      </c>
      <c r="F1295" s="1447"/>
      <c r="G1295" s="656" t="s">
        <v>9727</v>
      </c>
      <c r="H1295" s="656" t="s">
        <v>1777</v>
      </c>
      <c r="I1295" s="656"/>
      <c r="J1295" s="656"/>
      <c r="K1295" s="656"/>
      <c r="L1295" s="656" t="s">
        <v>9728</v>
      </c>
      <c r="M1295" s="656" t="s">
        <v>16200</v>
      </c>
      <c r="N1295" s="656"/>
      <c r="O1295" s="656" t="s">
        <v>6387</v>
      </c>
      <c r="P1295" s="5"/>
      <c r="Q1295" s="1447"/>
      <c r="R1295" s="656"/>
      <c r="S1295" s="656" t="s">
        <v>1300</v>
      </c>
      <c r="T1295" s="656" t="s">
        <v>4198</v>
      </c>
      <c r="U1295" s="656" t="s">
        <v>1300</v>
      </c>
      <c r="V1295" s="656"/>
      <c r="W1295" s="656" t="s">
        <v>13051</v>
      </c>
      <c r="X1295" s="656" t="s">
        <v>498</v>
      </c>
      <c r="Y1295" s="656" t="s">
        <v>14278</v>
      </c>
      <c r="Z1295" s="656">
        <v>44305.520092592589</v>
      </c>
      <c r="AA1295" s="656" t="s">
        <v>14335</v>
      </c>
      <c r="AB1295" s="656"/>
    </row>
    <row r="1296" spans="1:28" ht="29">
      <c r="A1296" s="656" t="s">
        <v>4081</v>
      </c>
      <c r="B1296" s="656" t="s">
        <v>4082</v>
      </c>
      <c r="C1296" s="656" t="s">
        <v>21</v>
      </c>
      <c r="D1296" s="656" t="s">
        <v>16038</v>
      </c>
      <c r="E1296" s="656" t="s">
        <v>14275</v>
      </c>
      <c r="F1296" s="1447">
        <v>44301</v>
      </c>
      <c r="G1296" s="656" t="s">
        <v>16039</v>
      </c>
      <c r="H1296" s="656" t="s">
        <v>1777</v>
      </c>
      <c r="I1296" s="656" t="s">
        <v>14707</v>
      </c>
      <c r="J1296" s="656" t="s">
        <v>16038</v>
      </c>
      <c r="K1296" s="656" t="s">
        <v>9774</v>
      </c>
      <c r="L1296" s="656"/>
      <c r="M1296" s="656" t="s">
        <v>16200</v>
      </c>
      <c r="N1296" s="656"/>
      <c r="O1296" s="656" t="s">
        <v>6387</v>
      </c>
      <c r="P1296" s="5" t="s">
        <v>16055</v>
      </c>
      <c r="Q1296" s="1447">
        <v>44274</v>
      </c>
      <c r="R1296" s="656">
        <v>43951</v>
      </c>
      <c r="S1296" s="656" t="s">
        <v>537</v>
      </c>
      <c r="T1296" s="656"/>
      <c r="U1296" s="656"/>
      <c r="V1296" s="656"/>
      <c r="W1296" s="656" t="s">
        <v>13051</v>
      </c>
      <c r="X1296" s="656" t="s">
        <v>498</v>
      </c>
      <c r="Y1296" s="656" t="s">
        <v>14278</v>
      </c>
      <c r="Z1296" s="656">
        <v>44314.71398148148</v>
      </c>
      <c r="AA1296" s="656" t="s">
        <v>14276</v>
      </c>
      <c r="AB1296" s="656"/>
    </row>
    <row r="1297" spans="1:28">
      <c r="A1297" s="656" t="s">
        <v>4090</v>
      </c>
      <c r="B1297" s="656" t="s">
        <v>4091</v>
      </c>
      <c r="C1297" s="656" t="s">
        <v>20</v>
      </c>
      <c r="D1297" s="656" t="s">
        <v>11239</v>
      </c>
      <c r="E1297" s="656" t="s">
        <v>14275</v>
      </c>
      <c r="F1297" s="1447">
        <v>43124</v>
      </c>
      <c r="G1297" s="656" t="s">
        <v>11238</v>
      </c>
      <c r="H1297" s="656" t="s">
        <v>1777</v>
      </c>
      <c r="I1297" s="656"/>
      <c r="J1297" s="656"/>
      <c r="K1297" s="656"/>
      <c r="L1297" s="656" t="s">
        <v>11239</v>
      </c>
      <c r="M1297" s="656" t="s">
        <v>16196</v>
      </c>
      <c r="N1297" s="656"/>
      <c r="O1297" s="656" t="s">
        <v>9757</v>
      </c>
      <c r="P1297" s="5"/>
      <c r="Q1297" s="1447"/>
      <c r="R1297" s="656"/>
      <c r="S1297" s="656" t="s">
        <v>1300</v>
      </c>
      <c r="T1297" s="656" t="s">
        <v>522</v>
      </c>
      <c r="U1297" s="656" t="s">
        <v>522</v>
      </c>
      <c r="V1297" s="656"/>
      <c r="W1297" s="656" t="s">
        <v>13051</v>
      </c>
      <c r="X1297" s="656" t="s">
        <v>498</v>
      </c>
      <c r="Y1297" s="656" t="s">
        <v>14278</v>
      </c>
      <c r="Z1297" s="656">
        <v>44305.520069444443</v>
      </c>
      <c r="AA1297" s="656" t="s">
        <v>14335</v>
      </c>
      <c r="AB1297" s="656"/>
    </row>
    <row r="1298" spans="1:28">
      <c r="A1298" s="656" t="s">
        <v>4092</v>
      </c>
      <c r="B1298" s="656" t="s">
        <v>4093</v>
      </c>
      <c r="C1298" s="656" t="s">
        <v>21</v>
      </c>
      <c r="D1298" s="656" t="s">
        <v>11236</v>
      </c>
      <c r="E1298" s="656" t="s">
        <v>14275</v>
      </c>
      <c r="F1298" s="1447">
        <v>42956</v>
      </c>
      <c r="G1298" s="656" t="s">
        <v>11235</v>
      </c>
      <c r="H1298" s="656" t="s">
        <v>1777</v>
      </c>
      <c r="I1298" s="656" t="s">
        <v>14708</v>
      </c>
      <c r="J1298" s="656" t="s">
        <v>11236</v>
      </c>
      <c r="K1298" s="656" t="s">
        <v>9750</v>
      </c>
      <c r="L1298" s="656"/>
      <c r="M1298" s="656" t="s">
        <v>16196</v>
      </c>
      <c r="N1298" s="656"/>
      <c r="O1298" s="656" t="s">
        <v>9757</v>
      </c>
      <c r="P1298" s="5"/>
      <c r="Q1298" s="1447">
        <v>42545</v>
      </c>
      <c r="R1298" s="656">
        <v>42713</v>
      </c>
      <c r="S1298" s="656" t="s">
        <v>1300</v>
      </c>
      <c r="T1298" s="656" t="s">
        <v>522</v>
      </c>
      <c r="U1298" s="656" t="s">
        <v>522</v>
      </c>
      <c r="V1298" s="656"/>
      <c r="W1298" s="656" t="s">
        <v>13051</v>
      </c>
      <c r="X1298" s="656" t="s">
        <v>498</v>
      </c>
      <c r="Y1298" s="656" t="s">
        <v>14278</v>
      </c>
      <c r="Z1298" s="656">
        <v>44305.520057870373</v>
      </c>
      <c r="AA1298" s="656" t="s">
        <v>14335</v>
      </c>
      <c r="AB1298" s="656"/>
    </row>
    <row r="1299" spans="1:28">
      <c r="A1299" s="656" t="s">
        <v>4092</v>
      </c>
      <c r="B1299" s="656" t="s">
        <v>4093</v>
      </c>
      <c r="C1299" s="656" t="s">
        <v>20</v>
      </c>
      <c r="D1299" s="656" t="s">
        <v>11237</v>
      </c>
      <c r="E1299" s="656" t="s">
        <v>14275</v>
      </c>
      <c r="F1299" s="1447">
        <v>42948</v>
      </c>
      <c r="G1299" s="656" t="s">
        <v>11235</v>
      </c>
      <c r="H1299" s="656" t="s">
        <v>1777</v>
      </c>
      <c r="I1299" s="656"/>
      <c r="J1299" s="656"/>
      <c r="K1299" s="656"/>
      <c r="L1299" s="656" t="s">
        <v>11237</v>
      </c>
      <c r="M1299" s="656" t="s">
        <v>16196</v>
      </c>
      <c r="N1299" s="656"/>
      <c r="O1299" s="656" t="s">
        <v>9757</v>
      </c>
      <c r="P1299" s="5"/>
      <c r="Q1299" s="1447"/>
      <c r="R1299" s="656"/>
      <c r="S1299" s="656" t="s">
        <v>1300</v>
      </c>
      <c r="T1299" s="656" t="s">
        <v>522</v>
      </c>
      <c r="U1299" s="656" t="s">
        <v>522</v>
      </c>
      <c r="V1299" s="656"/>
      <c r="W1299" s="656" t="s">
        <v>13051</v>
      </c>
      <c r="X1299" s="656" t="s">
        <v>498</v>
      </c>
      <c r="Y1299" s="656" t="s">
        <v>14278</v>
      </c>
      <c r="Z1299" s="656">
        <v>44305.520069444443</v>
      </c>
      <c r="AA1299" s="656" t="s">
        <v>14335</v>
      </c>
      <c r="AB1299" s="656"/>
    </row>
    <row r="1300" spans="1:28">
      <c r="A1300" s="656" t="s">
        <v>4094</v>
      </c>
      <c r="B1300" s="656" t="s">
        <v>4095</v>
      </c>
      <c r="C1300" s="656" t="s">
        <v>20</v>
      </c>
      <c r="D1300" s="656" t="s">
        <v>11234</v>
      </c>
      <c r="E1300" s="656" t="s">
        <v>14275</v>
      </c>
      <c r="F1300" s="1447">
        <v>43088</v>
      </c>
      <c r="G1300" s="656" t="s">
        <v>11233</v>
      </c>
      <c r="H1300" s="656" t="s">
        <v>1777</v>
      </c>
      <c r="I1300" s="656"/>
      <c r="J1300" s="656"/>
      <c r="K1300" s="656"/>
      <c r="L1300" s="656" t="s">
        <v>11234</v>
      </c>
      <c r="M1300" s="656" t="s">
        <v>16196</v>
      </c>
      <c r="N1300" s="656"/>
      <c r="O1300" s="656" t="s">
        <v>9757</v>
      </c>
      <c r="P1300" s="5"/>
      <c r="Q1300" s="1447"/>
      <c r="R1300" s="656"/>
      <c r="S1300" s="656" t="s">
        <v>1300</v>
      </c>
      <c r="T1300" s="656" t="s">
        <v>522</v>
      </c>
      <c r="U1300" s="656" t="s">
        <v>522</v>
      </c>
      <c r="V1300" s="656"/>
      <c r="W1300" s="656" t="s">
        <v>13051</v>
      </c>
      <c r="X1300" s="656" t="s">
        <v>498</v>
      </c>
      <c r="Y1300" s="656" t="s">
        <v>14278</v>
      </c>
      <c r="Z1300" s="656">
        <v>44305.520057870373</v>
      </c>
      <c r="AA1300" s="656" t="s">
        <v>14335</v>
      </c>
      <c r="AB1300" s="656"/>
    </row>
    <row r="1301" spans="1:28">
      <c r="A1301" s="656" t="s">
        <v>4098</v>
      </c>
      <c r="B1301" s="656" t="s">
        <v>11229</v>
      </c>
      <c r="C1301" s="656" t="s">
        <v>21</v>
      </c>
      <c r="D1301" s="656" t="s">
        <v>11231</v>
      </c>
      <c r="E1301" s="656" t="s">
        <v>14275</v>
      </c>
      <c r="F1301" s="1447">
        <v>42935</v>
      </c>
      <c r="G1301" s="656" t="s">
        <v>11230</v>
      </c>
      <c r="H1301" s="656" t="s">
        <v>1777</v>
      </c>
      <c r="I1301" s="656" t="s">
        <v>14709</v>
      </c>
      <c r="J1301" s="656" t="s">
        <v>11231</v>
      </c>
      <c r="K1301" s="656" t="s">
        <v>9750</v>
      </c>
      <c r="L1301" s="656"/>
      <c r="M1301" s="656" t="s">
        <v>16196</v>
      </c>
      <c r="N1301" s="656"/>
      <c r="O1301" s="656" t="s">
        <v>9757</v>
      </c>
      <c r="P1301" s="5"/>
      <c r="Q1301" s="1447">
        <v>42627</v>
      </c>
      <c r="R1301" s="656">
        <v>42713</v>
      </c>
      <c r="S1301" s="656" t="s">
        <v>1300</v>
      </c>
      <c r="T1301" s="656" t="s">
        <v>522</v>
      </c>
      <c r="U1301" s="656" t="s">
        <v>522</v>
      </c>
      <c r="V1301" s="656"/>
      <c r="W1301" s="656" t="s">
        <v>13051</v>
      </c>
      <c r="X1301" s="656" t="s">
        <v>498</v>
      </c>
      <c r="Y1301" s="656" t="s">
        <v>14278</v>
      </c>
      <c r="Z1301" s="656">
        <v>44305.520046296297</v>
      </c>
      <c r="AA1301" s="656" t="s">
        <v>14335</v>
      </c>
      <c r="AB1301" s="656"/>
    </row>
    <row r="1302" spans="1:28">
      <c r="A1302" s="656" t="s">
        <v>4098</v>
      </c>
      <c r="B1302" s="656" t="s">
        <v>11229</v>
      </c>
      <c r="C1302" s="656" t="s">
        <v>20</v>
      </c>
      <c r="D1302" s="656" t="s">
        <v>11232</v>
      </c>
      <c r="E1302" s="656" t="s">
        <v>14275</v>
      </c>
      <c r="F1302" s="1447">
        <v>42936</v>
      </c>
      <c r="G1302" s="656" t="s">
        <v>11230</v>
      </c>
      <c r="H1302" s="656" t="s">
        <v>1777</v>
      </c>
      <c r="I1302" s="656"/>
      <c r="J1302" s="656"/>
      <c r="K1302" s="656"/>
      <c r="L1302" s="656" t="s">
        <v>11232</v>
      </c>
      <c r="M1302" s="656" t="s">
        <v>16419</v>
      </c>
      <c r="N1302" s="656"/>
      <c r="O1302" s="656" t="s">
        <v>9757</v>
      </c>
      <c r="P1302" s="5"/>
      <c r="Q1302" s="1447"/>
      <c r="R1302" s="656"/>
      <c r="S1302" s="656" t="s">
        <v>1300</v>
      </c>
      <c r="T1302" s="656" t="s">
        <v>522</v>
      </c>
      <c r="U1302" s="656" t="s">
        <v>522</v>
      </c>
      <c r="V1302" s="656"/>
      <c r="W1302" s="656" t="s">
        <v>13051</v>
      </c>
      <c r="X1302" s="656" t="s">
        <v>498</v>
      </c>
      <c r="Y1302" s="656" t="s">
        <v>14278</v>
      </c>
      <c r="Z1302" s="656">
        <v>44305.520046296297</v>
      </c>
      <c r="AA1302" s="656" t="s">
        <v>14335</v>
      </c>
      <c r="AB1302" s="656"/>
    </row>
    <row r="1303" spans="1:28">
      <c r="A1303" s="656" t="s">
        <v>4100</v>
      </c>
      <c r="B1303" s="656" t="s">
        <v>4101</v>
      </c>
      <c r="C1303" s="656" t="s">
        <v>21</v>
      </c>
      <c r="D1303" s="656" t="s">
        <v>11227</v>
      </c>
      <c r="E1303" s="656" t="s">
        <v>14275</v>
      </c>
      <c r="F1303" s="1447">
        <v>42730</v>
      </c>
      <c r="G1303" s="656" t="s">
        <v>11226</v>
      </c>
      <c r="H1303" s="656" t="s">
        <v>1777</v>
      </c>
      <c r="I1303" s="656" t="s">
        <v>14710</v>
      </c>
      <c r="J1303" s="656" t="s">
        <v>11227</v>
      </c>
      <c r="K1303" s="656" t="s">
        <v>9750</v>
      </c>
      <c r="L1303" s="656"/>
      <c r="M1303" s="656" t="s">
        <v>16410</v>
      </c>
      <c r="N1303" s="656"/>
      <c r="O1303" s="656" t="s">
        <v>6393</v>
      </c>
      <c r="P1303" s="5"/>
      <c r="Q1303" s="1447">
        <v>42432</v>
      </c>
      <c r="R1303" s="656">
        <v>42517</v>
      </c>
      <c r="S1303" s="656" t="s">
        <v>1300</v>
      </c>
      <c r="T1303" s="656" t="s">
        <v>14559</v>
      </c>
      <c r="U1303" s="656" t="s">
        <v>1300</v>
      </c>
      <c r="V1303" s="656"/>
      <c r="W1303" s="656" t="s">
        <v>13051</v>
      </c>
      <c r="X1303" s="656" t="s">
        <v>498</v>
      </c>
      <c r="Y1303" s="656" t="s">
        <v>14278</v>
      </c>
      <c r="Z1303" s="656">
        <v>44305.52003472222</v>
      </c>
      <c r="AA1303" s="656" t="s">
        <v>14335</v>
      </c>
      <c r="AB1303" s="656"/>
    </row>
    <row r="1304" spans="1:28">
      <c r="A1304" s="656" t="s">
        <v>4100</v>
      </c>
      <c r="B1304" s="656" t="s">
        <v>4101</v>
      </c>
      <c r="C1304" s="656" t="s">
        <v>20</v>
      </c>
      <c r="D1304" s="656" t="s">
        <v>11228</v>
      </c>
      <c r="E1304" s="656" t="s">
        <v>14275</v>
      </c>
      <c r="F1304" s="1447">
        <v>42712</v>
      </c>
      <c r="G1304" s="656" t="s">
        <v>11226</v>
      </c>
      <c r="H1304" s="656" t="s">
        <v>1777</v>
      </c>
      <c r="I1304" s="656"/>
      <c r="J1304" s="656"/>
      <c r="K1304" s="656"/>
      <c r="L1304" s="656" t="s">
        <v>11228</v>
      </c>
      <c r="M1304" s="656" t="s">
        <v>16410</v>
      </c>
      <c r="N1304" s="656"/>
      <c r="O1304" s="656" t="s">
        <v>6393</v>
      </c>
      <c r="P1304" s="5"/>
      <c r="Q1304" s="1447">
        <v>42419</v>
      </c>
      <c r="R1304" s="656"/>
      <c r="S1304" s="656" t="s">
        <v>1300</v>
      </c>
      <c r="T1304" s="656" t="s">
        <v>14559</v>
      </c>
      <c r="U1304" s="656" t="s">
        <v>1300</v>
      </c>
      <c r="V1304" s="656"/>
      <c r="W1304" s="656" t="s">
        <v>13051</v>
      </c>
      <c r="X1304" s="656" t="s">
        <v>498</v>
      </c>
      <c r="Y1304" s="656" t="s">
        <v>14278</v>
      </c>
      <c r="Z1304" s="656">
        <v>44305.52003472222</v>
      </c>
      <c r="AA1304" s="656" t="s">
        <v>14335</v>
      </c>
      <c r="AB1304" s="656"/>
    </row>
    <row r="1305" spans="1:28">
      <c r="A1305" s="656" t="s">
        <v>4102</v>
      </c>
      <c r="B1305" s="656" t="s">
        <v>4103</v>
      </c>
      <c r="C1305" s="656" t="s">
        <v>20</v>
      </c>
      <c r="D1305" s="656" t="s">
        <v>12351</v>
      </c>
      <c r="E1305" s="656" t="s">
        <v>14553</v>
      </c>
      <c r="F1305" s="1447"/>
      <c r="G1305" s="656" t="s">
        <v>12350</v>
      </c>
      <c r="H1305" s="656" t="s">
        <v>1777</v>
      </c>
      <c r="I1305" s="656"/>
      <c r="J1305" s="656"/>
      <c r="K1305" s="656"/>
      <c r="L1305" s="656" t="s">
        <v>12351</v>
      </c>
      <c r="M1305" s="656" t="s">
        <v>16420</v>
      </c>
      <c r="N1305" s="656" t="s">
        <v>9991</v>
      </c>
      <c r="O1305" s="656"/>
      <c r="P1305" s="5"/>
      <c r="Q1305" s="1447"/>
      <c r="R1305" s="656"/>
      <c r="S1305" s="656" t="s">
        <v>1300</v>
      </c>
      <c r="T1305" s="656" t="s">
        <v>9991</v>
      </c>
      <c r="U1305" s="656" t="s">
        <v>9991</v>
      </c>
      <c r="V1305" s="656"/>
      <c r="W1305" s="656" t="s">
        <v>13051</v>
      </c>
      <c r="X1305" s="656" t="s">
        <v>498</v>
      </c>
      <c r="Y1305" s="656" t="s">
        <v>14278</v>
      </c>
      <c r="Z1305" s="656">
        <v>44305.52002314815</v>
      </c>
      <c r="AA1305" s="656" t="s">
        <v>14335</v>
      </c>
      <c r="AB1305" s="656"/>
    </row>
    <row r="1306" spans="1:28">
      <c r="A1306" s="656" t="s">
        <v>11222</v>
      </c>
      <c r="B1306" s="656" t="s">
        <v>11223</v>
      </c>
      <c r="C1306" s="656" t="s">
        <v>20</v>
      </c>
      <c r="D1306" s="656" t="s">
        <v>11225</v>
      </c>
      <c r="E1306" s="656" t="s">
        <v>14275</v>
      </c>
      <c r="F1306" s="1447">
        <v>42172</v>
      </c>
      <c r="G1306" s="656" t="s">
        <v>11224</v>
      </c>
      <c r="H1306" s="656" t="s">
        <v>1777</v>
      </c>
      <c r="I1306" s="656"/>
      <c r="J1306" s="656"/>
      <c r="K1306" s="656"/>
      <c r="L1306" s="656" t="s">
        <v>11225</v>
      </c>
      <c r="M1306" s="656" t="s">
        <v>16196</v>
      </c>
      <c r="N1306" s="656"/>
      <c r="O1306" s="656" t="s">
        <v>6395</v>
      </c>
      <c r="P1306" s="5"/>
      <c r="Q1306" s="1447"/>
      <c r="R1306" s="656"/>
      <c r="S1306" s="656" t="s">
        <v>1394</v>
      </c>
      <c r="T1306" s="656" t="s">
        <v>14280</v>
      </c>
      <c r="U1306" s="656" t="s">
        <v>1394</v>
      </c>
      <c r="V1306" s="656"/>
      <c r="W1306" s="656" t="s">
        <v>13051</v>
      </c>
      <c r="X1306" s="656" t="s">
        <v>498</v>
      </c>
      <c r="Y1306" s="656" t="s">
        <v>14278</v>
      </c>
      <c r="Z1306" s="656">
        <v>44305.520011574074</v>
      </c>
      <c r="AA1306" s="656" t="s">
        <v>14335</v>
      </c>
      <c r="AB1306" s="656"/>
    </row>
    <row r="1307" spans="1:28">
      <c r="A1307" s="656" t="s">
        <v>4104</v>
      </c>
      <c r="B1307" s="656" t="s">
        <v>4105</v>
      </c>
      <c r="C1307" s="656" t="s">
        <v>20</v>
      </c>
      <c r="D1307" s="656" t="s">
        <v>11221</v>
      </c>
      <c r="E1307" s="656" t="s">
        <v>14275</v>
      </c>
      <c r="F1307" s="1447">
        <v>43819</v>
      </c>
      <c r="G1307" s="656" t="s">
        <v>11220</v>
      </c>
      <c r="H1307" s="656" t="s">
        <v>1777</v>
      </c>
      <c r="I1307" s="656"/>
      <c r="J1307" s="656"/>
      <c r="K1307" s="656"/>
      <c r="L1307" s="656" t="s">
        <v>11221</v>
      </c>
      <c r="M1307" s="656" t="s">
        <v>16196</v>
      </c>
      <c r="N1307" s="656"/>
      <c r="O1307" s="656" t="s">
        <v>6387</v>
      </c>
      <c r="P1307" s="5"/>
      <c r="Q1307" s="1447">
        <v>42774</v>
      </c>
      <c r="R1307" s="656"/>
      <c r="S1307" s="656" t="s">
        <v>1300</v>
      </c>
      <c r="T1307" s="656" t="s">
        <v>4198</v>
      </c>
      <c r="U1307" s="656" t="s">
        <v>1300</v>
      </c>
      <c r="V1307" s="656"/>
      <c r="W1307" s="656" t="s">
        <v>13051</v>
      </c>
      <c r="X1307" s="656" t="s">
        <v>498</v>
      </c>
      <c r="Y1307" s="656" t="s">
        <v>14278</v>
      </c>
      <c r="Z1307" s="656">
        <v>44305.52</v>
      </c>
      <c r="AA1307" s="656" t="s">
        <v>14335</v>
      </c>
      <c r="AB1307" s="656"/>
    </row>
    <row r="1308" spans="1:28">
      <c r="A1308" s="656" t="s">
        <v>4104</v>
      </c>
      <c r="B1308" s="656" t="s">
        <v>4105</v>
      </c>
      <c r="C1308" s="656" t="s">
        <v>20</v>
      </c>
      <c r="D1308" s="656" t="s">
        <v>12025</v>
      </c>
      <c r="E1308" s="656" t="s">
        <v>14275</v>
      </c>
      <c r="F1308" s="1447">
        <v>43228</v>
      </c>
      <c r="G1308" s="656" t="s">
        <v>12024</v>
      </c>
      <c r="H1308" s="656" t="s">
        <v>1777</v>
      </c>
      <c r="I1308" s="656"/>
      <c r="J1308" s="656"/>
      <c r="K1308" s="656"/>
      <c r="L1308" s="656" t="s">
        <v>12025</v>
      </c>
      <c r="M1308" s="656" t="s">
        <v>16196</v>
      </c>
      <c r="N1308" s="656"/>
      <c r="O1308" s="656" t="s">
        <v>6387</v>
      </c>
      <c r="P1308" s="5"/>
      <c r="Q1308" s="1447">
        <v>43221</v>
      </c>
      <c r="R1308" s="656"/>
      <c r="S1308" s="656" t="s">
        <v>1300</v>
      </c>
      <c r="T1308" s="656"/>
      <c r="U1308" s="656" t="s">
        <v>1300</v>
      </c>
      <c r="V1308" s="656"/>
      <c r="W1308" s="656" t="s">
        <v>13051</v>
      </c>
      <c r="X1308" s="656" t="s">
        <v>498</v>
      </c>
      <c r="Y1308" s="656" t="s">
        <v>14278</v>
      </c>
      <c r="Z1308" s="656">
        <v>44305.520011574074</v>
      </c>
      <c r="AA1308" s="656" t="s">
        <v>14335</v>
      </c>
      <c r="AB1308" s="656"/>
    </row>
    <row r="1309" spans="1:28">
      <c r="A1309" s="656" t="s">
        <v>4110</v>
      </c>
      <c r="B1309" s="656" t="s">
        <v>10066</v>
      </c>
      <c r="C1309" s="656" t="s">
        <v>20</v>
      </c>
      <c r="D1309" s="656" t="s">
        <v>10068</v>
      </c>
      <c r="E1309" s="656" t="s">
        <v>14275</v>
      </c>
      <c r="F1309" s="1447">
        <v>44158</v>
      </c>
      <c r="G1309" s="656" t="s">
        <v>10067</v>
      </c>
      <c r="H1309" s="656" t="s">
        <v>1777</v>
      </c>
      <c r="I1309" s="656"/>
      <c r="J1309" s="656"/>
      <c r="K1309" s="656"/>
      <c r="L1309" s="656" t="s">
        <v>10068</v>
      </c>
      <c r="M1309" s="656" t="s">
        <v>16196</v>
      </c>
      <c r="N1309" s="656"/>
      <c r="O1309" s="656" t="s">
        <v>6387</v>
      </c>
      <c r="P1309" s="5"/>
      <c r="Q1309" s="1447">
        <v>43735</v>
      </c>
      <c r="R1309" s="656"/>
      <c r="S1309" s="656" t="s">
        <v>462</v>
      </c>
      <c r="T1309" s="656"/>
      <c r="U1309" s="656"/>
      <c r="V1309" s="656"/>
      <c r="W1309" s="656" t="s">
        <v>13051</v>
      </c>
      <c r="X1309" s="656" t="s">
        <v>498</v>
      </c>
      <c r="Y1309" s="656" t="s">
        <v>14278</v>
      </c>
      <c r="Z1309" s="656">
        <v>44305.520011574074</v>
      </c>
      <c r="AA1309" s="656" t="s">
        <v>14335</v>
      </c>
      <c r="AB1309" s="656"/>
    </row>
    <row r="1310" spans="1:28">
      <c r="A1310" s="656" t="s">
        <v>4113</v>
      </c>
      <c r="B1310" s="656" t="s">
        <v>4114</v>
      </c>
      <c r="C1310" s="656" t="s">
        <v>21</v>
      </c>
      <c r="D1310" s="656" t="s">
        <v>11920</v>
      </c>
      <c r="E1310" s="656" t="s">
        <v>14275</v>
      </c>
      <c r="F1310" s="1447">
        <v>43399</v>
      </c>
      <c r="G1310" s="656" t="s">
        <v>11919</v>
      </c>
      <c r="H1310" s="656" t="s">
        <v>1777</v>
      </c>
      <c r="I1310" s="656" t="s">
        <v>14711</v>
      </c>
      <c r="J1310" s="656" t="s">
        <v>11920</v>
      </c>
      <c r="K1310" s="656" t="s">
        <v>9774</v>
      </c>
      <c r="L1310" s="656"/>
      <c r="M1310" s="656" t="s">
        <v>16196</v>
      </c>
      <c r="N1310" s="656"/>
      <c r="O1310" s="656" t="s">
        <v>6395</v>
      </c>
      <c r="P1310" s="5"/>
      <c r="Q1310" s="1447">
        <v>43157</v>
      </c>
      <c r="R1310" s="656">
        <v>43179</v>
      </c>
      <c r="S1310" s="656" t="s">
        <v>1394</v>
      </c>
      <c r="T1310" s="656" t="s">
        <v>14280</v>
      </c>
      <c r="U1310" s="656" t="s">
        <v>1394</v>
      </c>
      <c r="V1310" s="656"/>
      <c r="W1310" s="656" t="s">
        <v>13051</v>
      </c>
      <c r="X1310" s="656" t="s">
        <v>498</v>
      </c>
      <c r="Y1310" s="656" t="s">
        <v>14278</v>
      </c>
      <c r="Z1310" s="656">
        <v>44305.519988425927</v>
      </c>
      <c r="AA1310" s="656" t="s">
        <v>14335</v>
      </c>
      <c r="AB1310" s="656"/>
    </row>
    <row r="1311" spans="1:28">
      <c r="A1311" s="656" t="s">
        <v>4113</v>
      </c>
      <c r="B1311" s="656" t="s">
        <v>4114</v>
      </c>
      <c r="C1311" s="656" t="s">
        <v>20</v>
      </c>
      <c r="D1311" s="656" t="s">
        <v>11219</v>
      </c>
      <c r="E1311" s="656" t="s">
        <v>14275</v>
      </c>
      <c r="F1311" s="1447">
        <v>43369</v>
      </c>
      <c r="G1311" s="656" t="s">
        <v>11218</v>
      </c>
      <c r="H1311" s="656" t="s">
        <v>1777</v>
      </c>
      <c r="I1311" s="656"/>
      <c r="J1311" s="656"/>
      <c r="K1311" s="656"/>
      <c r="L1311" s="656" t="s">
        <v>11219</v>
      </c>
      <c r="M1311" s="656" t="s">
        <v>16196</v>
      </c>
      <c r="N1311" s="656"/>
      <c r="O1311" s="656" t="s">
        <v>6395</v>
      </c>
      <c r="P1311" s="5"/>
      <c r="Q1311" s="1447"/>
      <c r="R1311" s="656"/>
      <c r="S1311" s="656" t="s">
        <v>1394</v>
      </c>
      <c r="T1311" s="656" t="s">
        <v>14280</v>
      </c>
      <c r="U1311" s="656" t="s">
        <v>1394</v>
      </c>
      <c r="V1311" s="656"/>
      <c r="W1311" s="656" t="s">
        <v>13051</v>
      </c>
      <c r="X1311" s="656" t="s">
        <v>498</v>
      </c>
      <c r="Y1311" s="656" t="s">
        <v>14278</v>
      </c>
      <c r="Z1311" s="656">
        <v>44305.519988425927</v>
      </c>
      <c r="AA1311" s="656" t="s">
        <v>14335</v>
      </c>
      <c r="AB1311" s="656"/>
    </row>
    <row r="1312" spans="1:28">
      <c r="A1312" s="656" t="s">
        <v>4115</v>
      </c>
      <c r="B1312" s="656" t="s">
        <v>4116</v>
      </c>
      <c r="C1312" s="656" t="s">
        <v>20</v>
      </c>
      <c r="D1312" s="656" t="s">
        <v>11216</v>
      </c>
      <c r="E1312" s="656" t="s">
        <v>14275</v>
      </c>
      <c r="F1312" s="1447">
        <v>43052</v>
      </c>
      <c r="G1312" s="656" t="s">
        <v>11215</v>
      </c>
      <c r="H1312" s="656" t="s">
        <v>1777</v>
      </c>
      <c r="I1312" s="656"/>
      <c r="J1312" s="656"/>
      <c r="K1312" s="656"/>
      <c r="L1312" s="656" t="s">
        <v>11216</v>
      </c>
      <c r="M1312" s="656" t="s">
        <v>16196</v>
      </c>
      <c r="N1312" s="656"/>
      <c r="O1312" s="656" t="s">
        <v>6395</v>
      </c>
      <c r="P1312" s="5"/>
      <c r="Q1312" s="1447"/>
      <c r="R1312" s="656"/>
      <c r="S1312" s="656" t="s">
        <v>1394</v>
      </c>
      <c r="T1312" s="656" t="s">
        <v>14280</v>
      </c>
      <c r="U1312" s="656" t="s">
        <v>1394</v>
      </c>
      <c r="V1312" s="656"/>
      <c r="W1312" s="656" t="s">
        <v>13051</v>
      </c>
      <c r="X1312" s="656" t="s">
        <v>498</v>
      </c>
      <c r="Y1312" s="656" t="s">
        <v>14278</v>
      </c>
      <c r="Z1312" s="656">
        <v>44305.519976851851</v>
      </c>
      <c r="AA1312" s="656" t="s">
        <v>14335</v>
      </c>
      <c r="AB1312" s="656"/>
    </row>
    <row r="1313" spans="1:28">
      <c r="A1313" s="656" t="s">
        <v>4115</v>
      </c>
      <c r="B1313" s="656" t="s">
        <v>4116</v>
      </c>
      <c r="C1313" s="656" t="s">
        <v>20</v>
      </c>
      <c r="D1313" s="656" t="s">
        <v>11217</v>
      </c>
      <c r="E1313" s="656" t="s">
        <v>14275</v>
      </c>
      <c r="F1313" s="1447">
        <v>43066</v>
      </c>
      <c r="G1313" s="656" t="s">
        <v>11215</v>
      </c>
      <c r="H1313" s="656" t="s">
        <v>1777</v>
      </c>
      <c r="I1313" s="656"/>
      <c r="J1313" s="656"/>
      <c r="K1313" s="656"/>
      <c r="L1313" s="656" t="s">
        <v>11217</v>
      </c>
      <c r="M1313" s="656" t="s">
        <v>1947</v>
      </c>
      <c r="N1313" s="656"/>
      <c r="O1313" s="656" t="s">
        <v>6395</v>
      </c>
      <c r="P1313" s="5"/>
      <c r="Q1313" s="1447"/>
      <c r="R1313" s="656"/>
      <c r="S1313" s="656" t="s">
        <v>1394</v>
      </c>
      <c r="T1313" s="656" t="s">
        <v>14280</v>
      </c>
      <c r="U1313" s="656" t="s">
        <v>1394</v>
      </c>
      <c r="V1313" s="656"/>
      <c r="W1313" s="656" t="s">
        <v>13051</v>
      </c>
      <c r="X1313" s="656" t="s">
        <v>498</v>
      </c>
      <c r="Y1313" s="656" t="s">
        <v>14278</v>
      </c>
      <c r="Z1313" s="656">
        <v>44305.519976851851</v>
      </c>
      <c r="AA1313" s="656" t="s">
        <v>14335</v>
      </c>
      <c r="AB1313" s="656"/>
    </row>
    <row r="1314" spans="1:28">
      <c r="A1314" s="656" t="s">
        <v>4119</v>
      </c>
      <c r="B1314" s="656" t="s">
        <v>4120</v>
      </c>
      <c r="C1314" s="656" t="s">
        <v>21</v>
      </c>
      <c r="D1314" s="656" t="s">
        <v>11213</v>
      </c>
      <c r="E1314" s="656" t="s">
        <v>14275</v>
      </c>
      <c r="F1314" s="1447">
        <v>43025</v>
      </c>
      <c r="G1314" s="656" t="s">
        <v>11212</v>
      </c>
      <c r="H1314" s="656" t="s">
        <v>1777</v>
      </c>
      <c r="I1314" s="656" t="s">
        <v>14712</v>
      </c>
      <c r="J1314" s="656" t="s">
        <v>11213</v>
      </c>
      <c r="K1314" s="656" t="s">
        <v>9733</v>
      </c>
      <c r="L1314" s="656"/>
      <c r="M1314" s="656" t="s">
        <v>16196</v>
      </c>
      <c r="N1314" s="656"/>
      <c r="O1314" s="656" t="s">
        <v>6395</v>
      </c>
      <c r="P1314" s="5"/>
      <c r="Q1314" s="1447">
        <v>42068</v>
      </c>
      <c r="R1314" s="656">
        <v>42635</v>
      </c>
      <c r="S1314" s="656" t="s">
        <v>1394</v>
      </c>
      <c r="T1314" s="656" t="s">
        <v>14280</v>
      </c>
      <c r="U1314" s="656" t="s">
        <v>1394</v>
      </c>
      <c r="V1314" s="656"/>
      <c r="W1314" s="656" t="s">
        <v>13051</v>
      </c>
      <c r="X1314" s="656" t="s">
        <v>498</v>
      </c>
      <c r="Y1314" s="656" t="s">
        <v>14278</v>
      </c>
      <c r="Z1314" s="656">
        <v>44305.519965277781</v>
      </c>
      <c r="AA1314" s="656" t="s">
        <v>14335</v>
      </c>
      <c r="AB1314" s="656"/>
    </row>
    <row r="1315" spans="1:28">
      <c r="A1315" s="656" t="s">
        <v>4119</v>
      </c>
      <c r="B1315" s="656" t="s">
        <v>4120</v>
      </c>
      <c r="C1315" s="656" t="s">
        <v>20</v>
      </c>
      <c r="D1315" s="656" t="s">
        <v>11214</v>
      </c>
      <c r="E1315" s="656" t="s">
        <v>14275</v>
      </c>
      <c r="F1315" s="1447">
        <v>43034</v>
      </c>
      <c r="G1315" s="656" t="s">
        <v>11212</v>
      </c>
      <c r="H1315" s="656" t="s">
        <v>1777</v>
      </c>
      <c r="I1315" s="656"/>
      <c r="J1315" s="656"/>
      <c r="K1315" s="656"/>
      <c r="L1315" s="656" t="s">
        <v>11214</v>
      </c>
      <c r="M1315" s="656" t="s">
        <v>16196</v>
      </c>
      <c r="N1315" s="656"/>
      <c r="O1315" s="656" t="s">
        <v>6395</v>
      </c>
      <c r="P1315" s="5"/>
      <c r="Q1315" s="1447"/>
      <c r="R1315" s="656"/>
      <c r="S1315" s="656" t="s">
        <v>1394</v>
      </c>
      <c r="T1315" s="656" t="s">
        <v>14280</v>
      </c>
      <c r="U1315" s="656" t="s">
        <v>1394</v>
      </c>
      <c r="V1315" s="656"/>
      <c r="W1315" s="656" t="s">
        <v>13051</v>
      </c>
      <c r="X1315" s="656" t="s">
        <v>498</v>
      </c>
      <c r="Y1315" s="656" t="s">
        <v>14278</v>
      </c>
      <c r="Z1315" s="656">
        <v>44305.519965277781</v>
      </c>
      <c r="AA1315" s="656" t="s">
        <v>14335</v>
      </c>
      <c r="AB1315" s="656"/>
    </row>
    <row r="1316" spans="1:28">
      <c r="A1316" s="656" t="s">
        <v>4143</v>
      </c>
      <c r="B1316" s="656" t="s">
        <v>4144</v>
      </c>
      <c r="C1316" s="656" t="s">
        <v>20</v>
      </c>
      <c r="D1316" s="656" t="s">
        <v>11211</v>
      </c>
      <c r="E1316" s="656" t="s">
        <v>14275</v>
      </c>
      <c r="F1316" s="1447">
        <v>42349</v>
      </c>
      <c r="G1316" s="656" t="s">
        <v>11210</v>
      </c>
      <c r="H1316" s="656" t="s">
        <v>1777</v>
      </c>
      <c r="I1316" s="656"/>
      <c r="J1316" s="656"/>
      <c r="K1316" s="656"/>
      <c r="L1316" s="656" t="s">
        <v>11211</v>
      </c>
      <c r="M1316" s="656" t="s">
        <v>16406</v>
      </c>
      <c r="N1316" s="656"/>
      <c r="O1316" s="656" t="s">
        <v>6387</v>
      </c>
      <c r="P1316" s="5"/>
      <c r="Q1316" s="1447">
        <v>41964</v>
      </c>
      <c r="R1316" s="656"/>
      <c r="S1316" s="656" t="s">
        <v>655</v>
      </c>
      <c r="T1316" s="656" t="s">
        <v>14277</v>
      </c>
      <c r="U1316" s="656" t="s">
        <v>655</v>
      </c>
      <c r="V1316" s="656"/>
      <c r="W1316" s="656" t="s">
        <v>13051</v>
      </c>
      <c r="X1316" s="656" t="s">
        <v>498</v>
      </c>
      <c r="Y1316" s="656" t="s">
        <v>14278</v>
      </c>
      <c r="Z1316" s="656">
        <v>44305.519953703704</v>
      </c>
      <c r="AA1316" s="656" t="s">
        <v>14335</v>
      </c>
      <c r="AB1316" s="656"/>
    </row>
    <row r="1317" spans="1:28">
      <c r="A1317" s="656" t="s">
        <v>4143</v>
      </c>
      <c r="B1317" s="656" t="s">
        <v>4144</v>
      </c>
      <c r="C1317" s="656" t="s">
        <v>20</v>
      </c>
      <c r="D1317" s="656" t="s">
        <v>12349</v>
      </c>
      <c r="E1317" s="656" t="s">
        <v>14553</v>
      </c>
      <c r="F1317" s="1447"/>
      <c r="G1317" s="656" t="s">
        <v>11210</v>
      </c>
      <c r="H1317" s="656" t="s">
        <v>1777</v>
      </c>
      <c r="I1317" s="656"/>
      <c r="J1317" s="656"/>
      <c r="K1317" s="656"/>
      <c r="L1317" s="656" t="s">
        <v>12349</v>
      </c>
      <c r="M1317" s="656" t="s">
        <v>16421</v>
      </c>
      <c r="N1317" s="656" t="s">
        <v>9991</v>
      </c>
      <c r="O1317" s="656"/>
      <c r="P1317" s="5"/>
      <c r="Q1317" s="1447"/>
      <c r="R1317" s="656"/>
      <c r="S1317" s="656" t="s">
        <v>655</v>
      </c>
      <c r="T1317" s="656" t="s">
        <v>9991</v>
      </c>
      <c r="U1317" s="656" t="s">
        <v>9991</v>
      </c>
      <c r="V1317" s="656"/>
      <c r="W1317" s="656" t="s">
        <v>13051</v>
      </c>
      <c r="X1317" s="656" t="s">
        <v>498</v>
      </c>
      <c r="Y1317" s="656" t="s">
        <v>14278</v>
      </c>
      <c r="Z1317" s="656">
        <v>44305.519965277781</v>
      </c>
      <c r="AA1317" s="656" t="s">
        <v>14335</v>
      </c>
      <c r="AB1317" s="656"/>
    </row>
    <row r="1318" spans="1:28">
      <c r="A1318" s="656" t="s">
        <v>4145</v>
      </c>
      <c r="B1318" s="656" t="s">
        <v>4146</v>
      </c>
      <c r="C1318" s="656" t="s">
        <v>21</v>
      </c>
      <c r="D1318" s="656" t="s">
        <v>11208</v>
      </c>
      <c r="E1318" s="656" t="s">
        <v>14275</v>
      </c>
      <c r="F1318" s="1447">
        <v>42730</v>
      </c>
      <c r="G1318" s="656" t="s">
        <v>11207</v>
      </c>
      <c r="H1318" s="656" t="s">
        <v>1777</v>
      </c>
      <c r="I1318" s="656" t="s">
        <v>14713</v>
      </c>
      <c r="J1318" s="656" t="s">
        <v>11208</v>
      </c>
      <c r="K1318" s="656" t="s">
        <v>9782</v>
      </c>
      <c r="L1318" s="656"/>
      <c r="M1318" s="656" t="s">
        <v>16422</v>
      </c>
      <c r="N1318" s="656"/>
      <c r="O1318" s="656" t="s">
        <v>6387</v>
      </c>
      <c r="P1318" s="5"/>
      <c r="Q1318" s="1447">
        <v>42067</v>
      </c>
      <c r="R1318" s="656">
        <v>42472</v>
      </c>
      <c r="S1318" s="656" t="s">
        <v>655</v>
      </c>
      <c r="T1318" s="656" t="s">
        <v>14277</v>
      </c>
      <c r="U1318" s="656" t="s">
        <v>655</v>
      </c>
      <c r="V1318" s="656"/>
      <c r="W1318" s="656" t="s">
        <v>13051</v>
      </c>
      <c r="X1318" s="656" t="s">
        <v>498</v>
      </c>
      <c r="Y1318" s="656" t="s">
        <v>14278</v>
      </c>
      <c r="Z1318" s="656">
        <v>44305.519942129627</v>
      </c>
      <c r="AA1318" s="656" t="s">
        <v>14335</v>
      </c>
      <c r="AB1318" s="656"/>
    </row>
    <row r="1319" spans="1:28">
      <c r="A1319" s="656" t="s">
        <v>4145</v>
      </c>
      <c r="B1319" s="656" t="s">
        <v>4146</v>
      </c>
      <c r="C1319" s="656" t="s">
        <v>20</v>
      </c>
      <c r="D1319" s="656" t="s">
        <v>11209</v>
      </c>
      <c r="E1319" s="656" t="s">
        <v>14275</v>
      </c>
      <c r="F1319" s="1447">
        <v>42703</v>
      </c>
      <c r="G1319" s="656" t="s">
        <v>11207</v>
      </c>
      <c r="H1319" s="656" t="s">
        <v>1777</v>
      </c>
      <c r="I1319" s="656"/>
      <c r="J1319" s="656"/>
      <c r="K1319" s="656"/>
      <c r="L1319" s="656" t="s">
        <v>11209</v>
      </c>
      <c r="M1319" s="656" t="s">
        <v>16422</v>
      </c>
      <c r="N1319" s="656"/>
      <c r="O1319" s="656" t="s">
        <v>6387</v>
      </c>
      <c r="P1319" s="5"/>
      <c r="Q1319" s="1447"/>
      <c r="R1319" s="656"/>
      <c r="S1319" s="656" t="s">
        <v>655</v>
      </c>
      <c r="T1319" s="656" t="s">
        <v>14277</v>
      </c>
      <c r="U1319" s="656" t="s">
        <v>655</v>
      </c>
      <c r="V1319" s="656"/>
      <c r="W1319" s="656" t="s">
        <v>13051</v>
      </c>
      <c r="X1319" s="656" t="s">
        <v>498</v>
      </c>
      <c r="Y1319" s="656" t="s">
        <v>14278</v>
      </c>
      <c r="Z1319" s="656">
        <v>44305.519942129627</v>
      </c>
      <c r="AA1319" s="656" t="s">
        <v>14335</v>
      </c>
      <c r="AB1319" s="656"/>
    </row>
    <row r="1320" spans="1:28">
      <c r="A1320" s="656" t="s">
        <v>4147</v>
      </c>
      <c r="B1320" s="656" t="s">
        <v>4148</v>
      </c>
      <c r="C1320" s="656" t="s">
        <v>21</v>
      </c>
      <c r="D1320" s="656" t="s">
        <v>11205</v>
      </c>
      <c r="E1320" s="656" t="s">
        <v>14275</v>
      </c>
      <c r="F1320" s="1447">
        <v>42940</v>
      </c>
      <c r="G1320" s="656" t="s">
        <v>11204</v>
      </c>
      <c r="H1320" s="656" t="s">
        <v>1777</v>
      </c>
      <c r="I1320" s="656" t="s">
        <v>14714</v>
      </c>
      <c r="J1320" s="656" t="s">
        <v>11205</v>
      </c>
      <c r="K1320" s="656" t="s">
        <v>9782</v>
      </c>
      <c r="L1320" s="656"/>
      <c r="M1320" s="656" t="s">
        <v>16327</v>
      </c>
      <c r="N1320" s="656"/>
      <c r="O1320" s="656" t="s">
        <v>6387</v>
      </c>
      <c r="P1320" s="5" t="s">
        <v>14936</v>
      </c>
      <c r="Q1320" s="1447">
        <v>42255</v>
      </c>
      <c r="R1320" s="656">
        <v>42720</v>
      </c>
      <c r="S1320" s="656" t="s">
        <v>655</v>
      </c>
      <c r="T1320" s="656" t="s">
        <v>14277</v>
      </c>
      <c r="U1320" s="656" t="s">
        <v>655</v>
      </c>
      <c r="V1320" s="656"/>
      <c r="W1320" s="656" t="s">
        <v>13051</v>
      </c>
      <c r="X1320" s="656" t="s">
        <v>498</v>
      </c>
      <c r="Y1320" s="656" t="s">
        <v>14278</v>
      </c>
      <c r="Z1320" s="656">
        <v>44305.519930555558</v>
      </c>
      <c r="AA1320" s="656" t="s">
        <v>14335</v>
      </c>
      <c r="AB1320" s="656"/>
    </row>
    <row r="1321" spans="1:28">
      <c r="A1321" s="656" t="s">
        <v>4147</v>
      </c>
      <c r="B1321" s="656" t="s">
        <v>4148</v>
      </c>
      <c r="C1321" s="656" t="s">
        <v>20</v>
      </c>
      <c r="D1321" s="656" t="s">
        <v>11206</v>
      </c>
      <c r="E1321" s="656" t="s">
        <v>14275</v>
      </c>
      <c r="F1321" s="1447">
        <v>42942</v>
      </c>
      <c r="G1321" s="656" t="s">
        <v>11204</v>
      </c>
      <c r="H1321" s="656" t="s">
        <v>1777</v>
      </c>
      <c r="I1321" s="656"/>
      <c r="J1321" s="656"/>
      <c r="K1321" s="656"/>
      <c r="L1321" s="656" t="s">
        <v>11206</v>
      </c>
      <c r="M1321" s="656" t="s">
        <v>16327</v>
      </c>
      <c r="N1321" s="656"/>
      <c r="O1321" s="656" t="s">
        <v>6387</v>
      </c>
      <c r="P1321" s="5"/>
      <c r="Q1321" s="1447">
        <v>42255</v>
      </c>
      <c r="R1321" s="656"/>
      <c r="S1321" s="656" t="s">
        <v>655</v>
      </c>
      <c r="T1321" s="656" t="s">
        <v>14277</v>
      </c>
      <c r="U1321" s="656" t="s">
        <v>655</v>
      </c>
      <c r="V1321" s="656"/>
      <c r="W1321" s="656" t="s">
        <v>13051</v>
      </c>
      <c r="X1321" s="656" t="s">
        <v>498</v>
      </c>
      <c r="Y1321" s="656" t="s">
        <v>14278</v>
      </c>
      <c r="Z1321" s="656">
        <v>44305.519930555558</v>
      </c>
      <c r="AA1321" s="656" t="s">
        <v>14335</v>
      </c>
      <c r="AB1321" s="656"/>
    </row>
    <row r="1322" spans="1:28">
      <c r="A1322" s="656" t="s">
        <v>4164</v>
      </c>
      <c r="B1322" s="656" t="s">
        <v>4165</v>
      </c>
      <c r="C1322" s="656" t="s">
        <v>20</v>
      </c>
      <c r="D1322" s="656" t="s">
        <v>12347</v>
      </c>
      <c r="E1322" s="656" t="s">
        <v>14553</v>
      </c>
      <c r="F1322" s="1447"/>
      <c r="G1322" s="656" t="s">
        <v>12346</v>
      </c>
      <c r="H1322" s="656" t="s">
        <v>1777</v>
      </c>
      <c r="I1322" s="656"/>
      <c r="J1322" s="656"/>
      <c r="K1322" s="656"/>
      <c r="L1322" s="656" t="s">
        <v>12347</v>
      </c>
      <c r="M1322" s="656" t="s">
        <v>1385</v>
      </c>
      <c r="N1322" s="656" t="s">
        <v>9991</v>
      </c>
      <c r="O1322" s="656"/>
      <c r="P1322" s="5"/>
      <c r="Q1322" s="1447"/>
      <c r="R1322" s="656"/>
      <c r="S1322" s="656" t="s">
        <v>1300</v>
      </c>
      <c r="T1322" s="656" t="s">
        <v>9991</v>
      </c>
      <c r="U1322" s="656" t="s">
        <v>9991</v>
      </c>
      <c r="V1322" s="656"/>
      <c r="W1322" s="656" t="s">
        <v>13051</v>
      </c>
      <c r="X1322" s="656" t="s">
        <v>498</v>
      </c>
      <c r="Y1322" s="656" t="s">
        <v>14278</v>
      </c>
      <c r="Z1322" s="656">
        <v>44305.519918981481</v>
      </c>
      <c r="AA1322" s="656" t="s">
        <v>14335</v>
      </c>
      <c r="AB1322" s="656"/>
    </row>
    <row r="1323" spans="1:28">
      <c r="A1323" s="656" t="s">
        <v>4164</v>
      </c>
      <c r="B1323" s="656" t="s">
        <v>4165</v>
      </c>
      <c r="C1323" s="656" t="s">
        <v>20</v>
      </c>
      <c r="D1323" s="656" t="s">
        <v>12348</v>
      </c>
      <c r="E1323" s="656" t="s">
        <v>14553</v>
      </c>
      <c r="F1323" s="1447"/>
      <c r="G1323" s="656" t="s">
        <v>12346</v>
      </c>
      <c r="H1323" s="656" t="s">
        <v>1777</v>
      </c>
      <c r="I1323" s="656"/>
      <c r="J1323" s="656"/>
      <c r="K1323" s="656"/>
      <c r="L1323" s="656" t="s">
        <v>12348</v>
      </c>
      <c r="M1323" s="656" t="s">
        <v>1385</v>
      </c>
      <c r="N1323" s="656" t="s">
        <v>9991</v>
      </c>
      <c r="O1323" s="656"/>
      <c r="P1323" s="5"/>
      <c r="Q1323" s="1447"/>
      <c r="R1323" s="656"/>
      <c r="S1323" s="656" t="s">
        <v>1300</v>
      </c>
      <c r="T1323" s="656" t="s">
        <v>9991</v>
      </c>
      <c r="U1323" s="656" t="s">
        <v>9991</v>
      </c>
      <c r="V1323" s="656"/>
      <c r="W1323" s="656" t="s">
        <v>13051</v>
      </c>
      <c r="X1323" s="656" t="s">
        <v>498</v>
      </c>
      <c r="Y1323" s="656" t="s">
        <v>14278</v>
      </c>
      <c r="Z1323" s="656">
        <v>44305.519930555558</v>
      </c>
      <c r="AA1323" s="656" t="s">
        <v>14335</v>
      </c>
      <c r="AB1323" s="656"/>
    </row>
    <row r="1324" spans="1:28">
      <c r="A1324" s="656" t="s">
        <v>4166</v>
      </c>
      <c r="B1324" s="656" t="s">
        <v>4167</v>
      </c>
      <c r="C1324" s="656" t="s">
        <v>20</v>
      </c>
      <c r="D1324" s="656" t="s">
        <v>11203</v>
      </c>
      <c r="E1324" s="656" t="s">
        <v>14275</v>
      </c>
      <c r="F1324" s="1447">
        <v>43133</v>
      </c>
      <c r="G1324" s="656" t="s">
        <v>11202</v>
      </c>
      <c r="H1324" s="656" t="s">
        <v>1777</v>
      </c>
      <c r="I1324" s="656"/>
      <c r="J1324" s="656"/>
      <c r="K1324" s="656"/>
      <c r="L1324" s="656" t="s">
        <v>11203</v>
      </c>
      <c r="M1324" s="656" t="s">
        <v>16423</v>
      </c>
      <c r="N1324" s="656"/>
      <c r="O1324" s="656" t="s">
        <v>6393</v>
      </c>
      <c r="P1324" s="5"/>
      <c r="Q1324" s="1447">
        <v>42227</v>
      </c>
      <c r="R1324" s="656"/>
      <c r="S1324" s="656" t="s">
        <v>1300</v>
      </c>
      <c r="T1324" s="656" t="s">
        <v>4198</v>
      </c>
      <c r="U1324" s="656" t="s">
        <v>1300</v>
      </c>
      <c r="V1324" s="656"/>
      <c r="W1324" s="656" t="s">
        <v>13051</v>
      </c>
      <c r="X1324" s="656" t="s">
        <v>498</v>
      </c>
      <c r="Y1324" s="656" t="s">
        <v>14278</v>
      </c>
      <c r="Z1324" s="656">
        <v>44305.519918981481</v>
      </c>
      <c r="AA1324" s="656" t="s">
        <v>14335</v>
      </c>
      <c r="AB1324" s="656"/>
    </row>
    <row r="1325" spans="1:28">
      <c r="A1325" s="656" t="s">
        <v>12383</v>
      </c>
      <c r="B1325" s="656" t="s">
        <v>12382</v>
      </c>
      <c r="C1325" s="656" t="s">
        <v>21</v>
      </c>
      <c r="D1325" s="656" t="s">
        <v>12666</v>
      </c>
      <c r="E1325" s="656" t="s">
        <v>14279</v>
      </c>
      <c r="F1325" s="1447"/>
      <c r="G1325" s="656" t="s">
        <v>12480</v>
      </c>
      <c r="H1325" s="656" t="s">
        <v>1777</v>
      </c>
      <c r="I1325" s="656" t="s">
        <v>14715</v>
      </c>
      <c r="J1325" s="656" t="s">
        <v>12666</v>
      </c>
      <c r="K1325" s="656" t="s">
        <v>9774</v>
      </c>
      <c r="L1325" s="656"/>
      <c r="M1325" s="656" t="s">
        <v>16196</v>
      </c>
      <c r="N1325" s="656"/>
      <c r="O1325" s="656" t="s">
        <v>6421</v>
      </c>
      <c r="P1325" s="5"/>
      <c r="Q1325" s="1447">
        <v>44091</v>
      </c>
      <c r="R1325" s="656"/>
      <c r="S1325" s="656" t="s">
        <v>462</v>
      </c>
      <c r="T1325" s="656"/>
      <c r="U1325" s="656"/>
      <c r="V1325" s="656"/>
      <c r="W1325" s="656" t="s">
        <v>13051</v>
      </c>
      <c r="X1325" s="656" t="s">
        <v>498</v>
      </c>
      <c r="Y1325" s="656" t="s">
        <v>14278</v>
      </c>
      <c r="Z1325" s="656">
        <v>44305.519895833335</v>
      </c>
      <c r="AA1325" s="656" t="s">
        <v>14335</v>
      </c>
      <c r="AB1325" s="656"/>
    </row>
    <row r="1326" spans="1:28">
      <c r="A1326" s="656" t="s">
        <v>12383</v>
      </c>
      <c r="B1326" s="656" t="s">
        <v>12382</v>
      </c>
      <c r="C1326" s="656" t="s">
        <v>20</v>
      </c>
      <c r="D1326" s="656" t="s">
        <v>12479</v>
      </c>
      <c r="E1326" s="656" t="s">
        <v>14279</v>
      </c>
      <c r="F1326" s="1447"/>
      <c r="G1326" s="656" t="s">
        <v>12480</v>
      </c>
      <c r="H1326" s="656" t="s">
        <v>1777</v>
      </c>
      <c r="I1326" s="656"/>
      <c r="J1326" s="656"/>
      <c r="K1326" s="656"/>
      <c r="L1326" s="656" t="s">
        <v>12479</v>
      </c>
      <c r="M1326" s="656" t="s">
        <v>16196</v>
      </c>
      <c r="N1326" s="656"/>
      <c r="O1326" s="656" t="s">
        <v>6421</v>
      </c>
      <c r="P1326" s="5" t="s">
        <v>14323</v>
      </c>
      <c r="Q1326" s="1447">
        <v>44062</v>
      </c>
      <c r="R1326" s="656"/>
      <c r="S1326" s="656" t="s">
        <v>462</v>
      </c>
      <c r="T1326" s="656"/>
      <c r="U1326" s="656"/>
      <c r="V1326" s="656" t="s">
        <v>14323</v>
      </c>
      <c r="W1326" s="656" t="s">
        <v>13051</v>
      </c>
      <c r="X1326" s="656" t="s">
        <v>498</v>
      </c>
      <c r="Y1326" s="656" t="s">
        <v>14278</v>
      </c>
      <c r="Z1326" s="656">
        <v>44305.519895833335</v>
      </c>
      <c r="AA1326" s="656" t="s">
        <v>14335</v>
      </c>
      <c r="AB1326" s="656"/>
    </row>
    <row r="1327" spans="1:28">
      <c r="A1327" s="656" t="s">
        <v>12383</v>
      </c>
      <c r="B1327" s="656" t="s">
        <v>12382</v>
      </c>
      <c r="C1327" s="656" t="s">
        <v>20</v>
      </c>
      <c r="D1327" s="656" t="s">
        <v>12481</v>
      </c>
      <c r="E1327" s="656" t="s">
        <v>14279</v>
      </c>
      <c r="F1327" s="1447"/>
      <c r="G1327" s="656" t="s">
        <v>12480</v>
      </c>
      <c r="H1327" s="656" t="s">
        <v>1777</v>
      </c>
      <c r="I1327" s="656"/>
      <c r="J1327" s="656"/>
      <c r="K1327" s="656"/>
      <c r="L1327" s="656" t="s">
        <v>12481</v>
      </c>
      <c r="M1327" s="656" t="s">
        <v>16196</v>
      </c>
      <c r="N1327" s="656"/>
      <c r="O1327" s="656" t="s">
        <v>6421</v>
      </c>
      <c r="P1327" s="5" t="s">
        <v>14475</v>
      </c>
      <c r="Q1327" s="1447">
        <v>44062</v>
      </c>
      <c r="R1327" s="656"/>
      <c r="S1327" s="656" t="s">
        <v>462</v>
      </c>
      <c r="T1327" s="656"/>
      <c r="U1327" s="656"/>
      <c r="V1327" s="656" t="s">
        <v>14361</v>
      </c>
      <c r="W1327" s="656" t="s">
        <v>13051</v>
      </c>
      <c r="X1327" s="656" t="s">
        <v>498</v>
      </c>
      <c r="Y1327" s="656" t="s">
        <v>14278</v>
      </c>
      <c r="Z1327" s="656">
        <v>44305.519907407404</v>
      </c>
      <c r="AA1327" s="656" t="s">
        <v>14335</v>
      </c>
      <c r="AB1327" s="656"/>
    </row>
    <row r="1328" spans="1:28">
      <c r="A1328" s="656" t="s">
        <v>4168</v>
      </c>
      <c r="B1328" s="656" t="s">
        <v>4169</v>
      </c>
      <c r="C1328" s="656" t="s">
        <v>20</v>
      </c>
      <c r="D1328" s="656" t="s">
        <v>10070</v>
      </c>
      <c r="E1328" s="656" t="s">
        <v>14275</v>
      </c>
      <c r="F1328" s="1447">
        <v>44293</v>
      </c>
      <c r="G1328" s="656" t="s">
        <v>10069</v>
      </c>
      <c r="H1328" s="656" t="s">
        <v>1777</v>
      </c>
      <c r="I1328" s="656"/>
      <c r="J1328" s="656"/>
      <c r="K1328" s="656"/>
      <c r="L1328" s="656" t="s">
        <v>10070</v>
      </c>
      <c r="M1328" s="656" t="s">
        <v>16196</v>
      </c>
      <c r="N1328" s="656"/>
      <c r="O1328" s="656" t="s">
        <v>6387</v>
      </c>
      <c r="P1328" s="5"/>
      <c r="Q1328" s="1447">
        <v>43735</v>
      </c>
      <c r="R1328" s="656"/>
      <c r="S1328" s="656" t="s">
        <v>462</v>
      </c>
      <c r="T1328" s="656"/>
      <c r="U1328" s="656"/>
      <c r="V1328" s="656"/>
      <c r="W1328" s="656" t="s">
        <v>13051</v>
      </c>
      <c r="X1328" s="656" t="s">
        <v>498</v>
      </c>
      <c r="Y1328" s="656" t="s">
        <v>14278</v>
      </c>
      <c r="Z1328" s="656">
        <v>44305.519884259258</v>
      </c>
      <c r="AA1328" s="656" t="s">
        <v>14335</v>
      </c>
      <c r="AB1328" s="656"/>
    </row>
    <row r="1329" spans="1:28">
      <c r="A1329" s="656" t="s">
        <v>4172</v>
      </c>
      <c r="B1329" s="656" t="s">
        <v>4173</v>
      </c>
      <c r="C1329" s="656" t="s">
        <v>20</v>
      </c>
      <c r="D1329" s="656" t="s">
        <v>11201</v>
      </c>
      <c r="E1329" s="656" t="s">
        <v>14275</v>
      </c>
      <c r="F1329" s="1447">
        <v>42404</v>
      </c>
      <c r="G1329" s="656" t="s">
        <v>11200</v>
      </c>
      <c r="H1329" s="656" t="s">
        <v>1777</v>
      </c>
      <c r="I1329" s="656"/>
      <c r="J1329" s="656"/>
      <c r="K1329" s="656"/>
      <c r="L1329" s="656" t="s">
        <v>11201</v>
      </c>
      <c r="M1329" s="656" t="s">
        <v>16401</v>
      </c>
      <c r="N1329" s="656"/>
      <c r="O1329" s="656" t="s">
        <v>6387</v>
      </c>
      <c r="P1329" s="5"/>
      <c r="Q1329" s="1447"/>
      <c r="R1329" s="656"/>
      <c r="S1329" s="656" t="s">
        <v>655</v>
      </c>
      <c r="T1329" s="656" t="s">
        <v>14277</v>
      </c>
      <c r="U1329" s="656" t="s">
        <v>655</v>
      </c>
      <c r="V1329" s="656"/>
      <c r="W1329" s="656" t="s">
        <v>13051</v>
      </c>
      <c r="X1329" s="656" t="s">
        <v>498</v>
      </c>
      <c r="Y1329" s="656" t="s">
        <v>14278</v>
      </c>
      <c r="Z1329" s="656">
        <v>44305.519884259258</v>
      </c>
      <c r="AA1329" s="656" t="s">
        <v>14335</v>
      </c>
      <c r="AB1329" s="656"/>
    </row>
    <row r="1330" spans="1:28">
      <c r="A1330" s="656" t="s">
        <v>4174</v>
      </c>
      <c r="B1330" s="656" t="s">
        <v>4175</v>
      </c>
      <c r="C1330" s="656" t="s">
        <v>20</v>
      </c>
      <c r="D1330" s="656" t="s">
        <v>12345</v>
      </c>
      <c r="E1330" s="656" t="s">
        <v>14553</v>
      </c>
      <c r="F1330" s="1447"/>
      <c r="G1330" s="656" t="s">
        <v>12344</v>
      </c>
      <c r="H1330" s="656" t="s">
        <v>1777</v>
      </c>
      <c r="I1330" s="656"/>
      <c r="J1330" s="656"/>
      <c r="K1330" s="656"/>
      <c r="L1330" s="656" t="s">
        <v>12345</v>
      </c>
      <c r="M1330" s="656" t="s">
        <v>16424</v>
      </c>
      <c r="N1330" s="656" t="s">
        <v>9991</v>
      </c>
      <c r="O1330" s="656"/>
      <c r="P1330" s="5"/>
      <c r="Q1330" s="1447"/>
      <c r="R1330" s="656"/>
      <c r="S1330" s="656" t="s">
        <v>655</v>
      </c>
      <c r="T1330" s="656" t="s">
        <v>9991</v>
      </c>
      <c r="U1330" s="656" t="s">
        <v>655</v>
      </c>
      <c r="V1330" s="656"/>
      <c r="W1330" s="656" t="s">
        <v>13051</v>
      </c>
      <c r="X1330" s="656" t="s">
        <v>498</v>
      </c>
      <c r="Y1330" s="656" t="s">
        <v>14278</v>
      </c>
      <c r="Z1330" s="656">
        <v>44305.519872685189</v>
      </c>
      <c r="AA1330" s="656" t="s">
        <v>14335</v>
      </c>
      <c r="AB1330" s="656"/>
    </row>
    <row r="1331" spans="1:28">
      <c r="A1331" s="656" t="s">
        <v>4176</v>
      </c>
      <c r="B1331" s="656" t="s">
        <v>4177</v>
      </c>
      <c r="C1331" s="656" t="s">
        <v>21</v>
      </c>
      <c r="D1331" s="656" t="s">
        <v>12342</v>
      </c>
      <c r="E1331" s="656" t="s">
        <v>14553</v>
      </c>
      <c r="F1331" s="1447"/>
      <c r="G1331" s="656" t="s">
        <v>12341</v>
      </c>
      <c r="H1331" s="656" t="s">
        <v>1777</v>
      </c>
      <c r="I1331" s="656" t="s">
        <v>14716</v>
      </c>
      <c r="J1331" s="656" t="s">
        <v>12342</v>
      </c>
      <c r="K1331" s="656"/>
      <c r="L1331" s="656"/>
      <c r="M1331" s="656" t="s">
        <v>1345</v>
      </c>
      <c r="N1331" s="656" t="s">
        <v>9991</v>
      </c>
      <c r="O1331" s="656"/>
      <c r="P1331" s="5"/>
      <c r="Q1331" s="1447">
        <v>41281</v>
      </c>
      <c r="R1331" s="656"/>
      <c r="S1331" s="656" t="s">
        <v>655</v>
      </c>
      <c r="T1331" s="656" t="s">
        <v>9991</v>
      </c>
      <c r="U1331" s="656" t="s">
        <v>655</v>
      </c>
      <c r="V1331" s="656"/>
      <c r="W1331" s="656" t="s">
        <v>13051</v>
      </c>
      <c r="X1331" s="656" t="s">
        <v>498</v>
      </c>
      <c r="Y1331" s="656" t="s">
        <v>14278</v>
      </c>
      <c r="Z1331" s="656">
        <v>44305.519861111112</v>
      </c>
      <c r="AA1331" s="656" t="s">
        <v>14335</v>
      </c>
      <c r="AB1331" s="656"/>
    </row>
    <row r="1332" spans="1:28">
      <c r="A1332" s="656" t="s">
        <v>4176</v>
      </c>
      <c r="B1332" s="656" t="s">
        <v>4177</v>
      </c>
      <c r="C1332" s="656" t="s">
        <v>20</v>
      </c>
      <c r="D1332" s="656" t="s">
        <v>12343</v>
      </c>
      <c r="E1332" s="656" t="s">
        <v>14553</v>
      </c>
      <c r="F1332" s="1447"/>
      <c r="G1332" s="656" t="s">
        <v>12341</v>
      </c>
      <c r="H1332" s="656" t="s">
        <v>1777</v>
      </c>
      <c r="I1332" s="656"/>
      <c r="J1332" s="656"/>
      <c r="K1332" s="656"/>
      <c r="L1332" s="656" t="s">
        <v>12343</v>
      </c>
      <c r="M1332" s="656" t="s">
        <v>1345</v>
      </c>
      <c r="N1332" s="656" t="s">
        <v>9991</v>
      </c>
      <c r="O1332" s="656"/>
      <c r="P1332" s="5"/>
      <c r="Q1332" s="1447"/>
      <c r="R1332" s="656"/>
      <c r="S1332" s="656" t="s">
        <v>655</v>
      </c>
      <c r="T1332" s="656" t="s">
        <v>9991</v>
      </c>
      <c r="U1332" s="656" t="s">
        <v>655</v>
      </c>
      <c r="V1332" s="656"/>
      <c r="W1332" s="656" t="s">
        <v>13051</v>
      </c>
      <c r="X1332" s="656" t="s">
        <v>498</v>
      </c>
      <c r="Y1332" s="656" t="s">
        <v>14278</v>
      </c>
      <c r="Z1332" s="656">
        <v>44305.519872685189</v>
      </c>
      <c r="AA1332" s="656" t="s">
        <v>14335</v>
      </c>
      <c r="AB1332" s="656"/>
    </row>
    <row r="1333" spans="1:28">
      <c r="A1333" s="656" t="s">
        <v>4179</v>
      </c>
      <c r="B1333" s="656" t="s">
        <v>4180</v>
      </c>
      <c r="C1333" s="656" t="s">
        <v>21</v>
      </c>
      <c r="D1333" s="656" t="s">
        <v>11197</v>
      </c>
      <c r="E1333" s="656" t="s">
        <v>14384</v>
      </c>
      <c r="F1333" s="1447">
        <v>42487</v>
      </c>
      <c r="G1333" s="656" t="s">
        <v>11196</v>
      </c>
      <c r="H1333" s="656" t="s">
        <v>1777</v>
      </c>
      <c r="I1333" s="656" t="s">
        <v>14717</v>
      </c>
      <c r="J1333" s="656" t="s">
        <v>11197</v>
      </c>
      <c r="K1333" s="656" t="s">
        <v>9750</v>
      </c>
      <c r="L1333" s="656"/>
      <c r="M1333" s="656" t="s">
        <v>1584</v>
      </c>
      <c r="N1333" s="656"/>
      <c r="O1333" s="656" t="s">
        <v>6393</v>
      </c>
      <c r="P1333" s="5" t="s">
        <v>14509</v>
      </c>
      <c r="Q1333" s="1447">
        <v>41944</v>
      </c>
      <c r="R1333" s="656"/>
      <c r="S1333" s="656" t="s">
        <v>1300</v>
      </c>
      <c r="T1333" s="656" t="s">
        <v>4198</v>
      </c>
      <c r="U1333" s="656" t="s">
        <v>1300</v>
      </c>
      <c r="V1333" s="656"/>
      <c r="W1333" s="656" t="s">
        <v>13051</v>
      </c>
      <c r="X1333" s="656" t="s">
        <v>498</v>
      </c>
      <c r="Y1333" s="656" t="s">
        <v>14278</v>
      </c>
      <c r="Z1333" s="656">
        <v>44305.519849537035</v>
      </c>
      <c r="AA1333" s="656" t="s">
        <v>14335</v>
      </c>
      <c r="AB1333" s="656"/>
    </row>
    <row r="1334" spans="1:28">
      <c r="A1334" s="656" t="s">
        <v>4179</v>
      </c>
      <c r="B1334" s="656" t="s">
        <v>4180</v>
      </c>
      <c r="C1334" s="656" t="s">
        <v>20</v>
      </c>
      <c r="D1334" s="656" t="s">
        <v>11199</v>
      </c>
      <c r="E1334" s="656" t="s">
        <v>14275</v>
      </c>
      <c r="F1334" s="1447">
        <v>42461</v>
      </c>
      <c r="G1334" s="656" t="s">
        <v>11198</v>
      </c>
      <c r="H1334" s="656" t="s">
        <v>1777</v>
      </c>
      <c r="I1334" s="656"/>
      <c r="J1334" s="656"/>
      <c r="K1334" s="656"/>
      <c r="L1334" s="656" t="s">
        <v>11199</v>
      </c>
      <c r="M1334" s="656" t="s">
        <v>1584</v>
      </c>
      <c r="N1334" s="656"/>
      <c r="O1334" s="656" t="s">
        <v>6393</v>
      </c>
      <c r="P1334" s="5"/>
      <c r="Q1334" s="1447"/>
      <c r="R1334" s="656"/>
      <c r="S1334" s="656" t="s">
        <v>1300</v>
      </c>
      <c r="T1334" s="656" t="s">
        <v>14559</v>
      </c>
      <c r="U1334" s="656" t="s">
        <v>500</v>
      </c>
      <c r="V1334" s="656"/>
      <c r="W1334" s="656" t="s">
        <v>13051</v>
      </c>
      <c r="X1334" s="656" t="s">
        <v>498</v>
      </c>
      <c r="Y1334" s="656" t="s">
        <v>14278</v>
      </c>
      <c r="Z1334" s="656">
        <v>44305.519861111112</v>
      </c>
      <c r="AA1334" s="656" t="s">
        <v>14335</v>
      </c>
      <c r="AB1334" s="656"/>
    </row>
    <row r="1335" spans="1:28">
      <c r="A1335" s="656" t="s">
        <v>4181</v>
      </c>
      <c r="B1335" s="656" t="s">
        <v>4182</v>
      </c>
      <c r="C1335" s="656" t="s">
        <v>20</v>
      </c>
      <c r="D1335" s="656" t="s">
        <v>11195</v>
      </c>
      <c r="E1335" s="656" t="s">
        <v>14275</v>
      </c>
      <c r="F1335" s="1447">
        <v>42404</v>
      </c>
      <c r="G1335" s="656" t="s">
        <v>11194</v>
      </c>
      <c r="H1335" s="656" t="s">
        <v>1777</v>
      </c>
      <c r="I1335" s="656"/>
      <c r="J1335" s="656"/>
      <c r="K1335" s="656"/>
      <c r="L1335" s="656" t="s">
        <v>11195</v>
      </c>
      <c r="M1335" s="656" t="s">
        <v>16196</v>
      </c>
      <c r="N1335" s="656"/>
      <c r="O1335" s="656" t="s">
        <v>6395</v>
      </c>
      <c r="P1335" s="5"/>
      <c r="Q1335" s="1447"/>
      <c r="R1335" s="656"/>
      <c r="S1335" s="656" t="s">
        <v>1394</v>
      </c>
      <c r="T1335" s="656" t="s">
        <v>14280</v>
      </c>
      <c r="U1335" s="656" t="s">
        <v>1394</v>
      </c>
      <c r="V1335" s="656"/>
      <c r="W1335" s="656" t="s">
        <v>13051</v>
      </c>
      <c r="X1335" s="656" t="s">
        <v>498</v>
      </c>
      <c r="Y1335" s="656" t="s">
        <v>14278</v>
      </c>
      <c r="Z1335" s="656">
        <v>44305.519849537035</v>
      </c>
      <c r="AA1335" s="656" t="s">
        <v>14335</v>
      </c>
      <c r="AB1335" s="656"/>
    </row>
    <row r="1336" spans="1:28">
      <c r="A1336" s="656" t="s">
        <v>4187</v>
      </c>
      <c r="B1336" s="656" t="s">
        <v>4188</v>
      </c>
      <c r="C1336" s="656" t="s">
        <v>21</v>
      </c>
      <c r="D1336" s="656" t="s">
        <v>11192</v>
      </c>
      <c r="E1336" s="656" t="s">
        <v>14275</v>
      </c>
      <c r="F1336" s="1447">
        <v>42822</v>
      </c>
      <c r="G1336" s="656" t="s">
        <v>11191</v>
      </c>
      <c r="H1336" s="656" t="s">
        <v>1777</v>
      </c>
      <c r="I1336" s="656" t="s">
        <v>14718</v>
      </c>
      <c r="J1336" s="656" t="s">
        <v>11192</v>
      </c>
      <c r="K1336" s="656" t="s">
        <v>9782</v>
      </c>
      <c r="L1336" s="656"/>
      <c r="M1336" s="656" t="s">
        <v>16380</v>
      </c>
      <c r="N1336" s="656" t="s">
        <v>9769</v>
      </c>
      <c r="O1336" s="656" t="s">
        <v>10754</v>
      </c>
      <c r="P1336" s="5" t="s">
        <v>14936</v>
      </c>
      <c r="Q1336" s="1447">
        <v>41891</v>
      </c>
      <c r="R1336" s="656">
        <v>42428</v>
      </c>
      <c r="S1336" s="656" t="s">
        <v>1394</v>
      </c>
      <c r="T1336" s="656" t="s">
        <v>9769</v>
      </c>
      <c r="U1336" s="656" t="s">
        <v>9769</v>
      </c>
      <c r="V1336" s="656"/>
      <c r="W1336" s="656" t="s">
        <v>13051</v>
      </c>
      <c r="X1336" s="656" t="s">
        <v>498</v>
      </c>
      <c r="Y1336" s="656" t="s">
        <v>14278</v>
      </c>
      <c r="Z1336" s="656">
        <v>44305.519837962966</v>
      </c>
      <c r="AA1336" s="656" t="s">
        <v>14335</v>
      </c>
      <c r="AB1336" s="656"/>
    </row>
    <row r="1337" spans="1:28">
      <c r="A1337" s="656" t="s">
        <v>4187</v>
      </c>
      <c r="B1337" s="656" t="s">
        <v>4188</v>
      </c>
      <c r="C1337" s="656" t="s">
        <v>20</v>
      </c>
      <c r="D1337" s="656" t="s">
        <v>11193</v>
      </c>
      <c r="E1337" s="656" t="s">
        <v>14275</v>
      </c>
      <c r="F1337" s="1447">
        <v>42772</v>
      </c>
      <c r="G1337" s="656" t="s">
        <v>11191</v>
      </c>
      <c r="H1337" s="656" t="s">
        <v>1777</v>
      </c>
      <c r="I1337" s="656"/>
      <c r="J1337" s="656"/>
      <c r="K1337" s="656"/>
      <c r="L1337" s="656" t="s">
        <v>11193</v>
      </c>
      <c r="M1337" s="656" t="s">
        <v>16380</v>
      </c>
      <c r="N1337" s="656" t="s">
        <v>9769</v>
      </c>
      <c r="O1337" s="656" t="s">
        <v>10754</v>
      </c>
      <c r="P1337" s="5"/>
      <c r="Q1337" s="1447">
        <v>41820</v>
      </c>
      <c r="R1337" s="656"/>
      <c r="S1337" s="656" t="s">
        <v>1394</v>
      </c>
      <c r="T1337" s="656" t="s">
        <v>9769</v>
      </c>
      <c r="U1337" s="656" t="s">
        <v>9769</v>
      </c>
      <c r="V1337" s="656"/>
      <c r="W1337" s="656" t="s">
        <v>13051</v>
      </c>
      <c r="X1337" s="656" t="s">
        <v>498</v>
      </c>
      <c r="Y1337" s="656" t="s">
        <v>14278</v>
      </c>
      <c r="Z1337" s="656">
        <v>44305.519849537035</v>
      </c>
      <c r="AA1337" s="656" t="s">
        <v>14335</v>
      </c>
      <c r="AB1337" s="656"/>
    </row>
    <row r="1338" spans="1:28">
      <c r="A1338" s="656" t="s">
        <v>4192</v>
      </c>
      <c r="B1338" s="656" t="s">
        <v>4193</v>
      </c>
      <c r="C1338" s="656" t="s">
        <v>21</v>
      </c>
      <c r="D1338" s="656" t="s">
        <v>11189</v>
      </c>
      <c r="E1338" s="656" t="s">
        <v>14275</v>
      </c>
      <c r="F1338" s="1447">
        <v>43277</v>
      </c>
      <c r="G1338" s="656" t="s">
        <v>11188</v>
      </c>
      <c r="H1338" s="656" t="s">
        <v>1777</v>
      </c>
      <c r="I1338" s="656" t="s">
        <v>14719</v>
      </c>
      <c r="J1338" s="656" t="s">
        <v>11189</v>
      </c>
      <c r="K1338" s="656" t="s">
        <v>9782</v>
      </c>
      <c r="L1338" s="656"/>
      <c r="M1338" s="656" t="s">
        <v>16336</v>
      </c>
      <c r="N1338" s="656"/>
      <c r="O1338" s="656" t="s">
        <v>6387</v>
      </c>
      <c r="P1338" s="5" t="s">
        <v>14936</v>
      </c>
      <c r="Q1338" s="1447">
        <v>42753</v>
      </c>
      <c r="R1338" s="656">
        <v>42887</v>
      </c>
      <c r="S1338" s="656" t="s">
        <v>783</v>
      </c>
      <c r="T1338" s="656" t="s">
        <v>14277</v>
      </c>
      <c r="U1338" s="656" t="s">
        <v>655</v>
      </c>
      <c r="V1338" s="656"/>
      <c r="W1338" s="656" t="s">
        <v>13051</v>
      </c>
      <c r="X1338" s="656" t="s">
        <v>498</v>
      </c>
      <c r="Y1338" s="656" t="s">
        <v>14278</v>
      </c>
      <c r="Z1338" s="656">
        <v>44305.519826388889</v>
      </c>
      <c r="AA1338" s="656" t="s">
        <v>14335</v>
      </c>
      <c r="AB1338" s="656"/>
    </row>
    <row r="1339" spans="1:28">
      <c r="A1339" s="656" t="s">
        <v>4192</v>
      </c>
      <c r="B1339" s="656" t="s">
        <v>4193</v>
      </c>
      <c r="C1339" s="656" t="s">
        <v>20</v>
      </c>
      <c r="D1339" s="656" t="s">
        <v>11190</v>
      </c>
      <c r="E1339" s="656" t="s">
        <v>14275</v>
      </c>
      <c r="F1339" s="1447">
        <v>43124</v>
      </c>
      <c r="G1339" s="656" t="s">
        <v>11188</v>
      </c>
      <c r="H1339" s="656" t="s">
        <v>1777</v>
      </c>
      <c r="I1339" s="656"/>
      <c r="J1339" s="656"/>
      <c r="K1339" s="656"/>
      <c r="L1339" s="656" t="s">
        <v>11190</v>
      </c>
      <c r="M1339" s="656" t="s">
        <v>16336</v>
      </c>
      <c r="N1339" s="656"/>
      <c r="O1339" s="656" t="s">
        <v>6387</v>
      </c>
      <c r="P1339" s="5"/>
      <c r="Q1339" s="1447">
        <v>42591</v>
      </c>
      <c r="R1339" s="656"/>
      <c r="S1339" s="656" t="s">
        <v>783</v>
      </c>
      <c r="T1339" s="656" t="s">
        <v>14277</v>
      </c>
      <c r="U1339" s="656" t="s">
        <v>655</v>
      </c>
      <c r="V1339" s="656"/>
      <c r="W1339" s="656" t="s">
        <v>13051</v>
      </c>
      <c r="X1339" s="656" t="s">
        <v>498</v>
      </c>
      <c r="Y1339" s="656" t="s">
        <v>14278</v>
      </c>
      <c r="Z1339" s="656">
        <v>44305.519837962966</v>
      </c>
      <c r="AA1339" s="656" t="s">
        <v>14335</v>
      </c>
      <c r="AB1339" s="656"/>
    </row>
    <row r="1340" spans="1:28">
      <c r="A1340" s="656" t="s">
        <v>4208</v>
      </c>
      <c r="B1340" s="656" t="s">
        <v>4209</v>
      </c>
      <c r="C1340" s="656" t="s">
        <v>21</v>
      </c>
      <c r="D1340" s="656" t="s">
        <v>11186</v>
      </c>
      <c r="E1340" s="656" t="s">
        <v>14275</v>
      </c>
      <c r="F1340" s="1447">
        <v>43203</v>
      </c>
      <c r="G1340" s="656" t="s">
        <v>11185</v>
      </c>
      <c r="H1340" s="656" t="s">
        <v>1777</v>
      </c>
      <c r="I1340" s="656" t="s">
        <v>14720</v>
      </c>
      <c r="J1340" s="656" t="s">
        <v>11186</v>
      </c>
      <c r="K1340" s="656" t="s">
        <v>9750</v>
      </c>
      <c r="L1340" s="656"/>
      <c r="M1340" s="656" t="s">
        <v>16402</v>
      </c>
      <c r="N1340" s="656"/>
      <c r="O1340" s="656" t="s">
        <v>6393</v>
      </c>
      <c r="P1340" s="5"/>
      <c r="Q1340" s="1447">
        <v>42419</v>
      </c>
      <c r="R1340" s="656">
        <v>43028</v>
      </c>
      <c r="S1340" s="656" t="s">
        <v>500</v>
      </c>
      <c r="T1340" s="656" t="s">
        <v>14559</v>
      </c>
      <c r="U1340" s="656" t="s">
        <v>1300</v>
      </c>
      <c r="V1340" s="656"/>
      <c r="W1340" s="656" t="s">
        <v>13051</v>
      </c>
      <c r="X1340" s="656" t="s">
        <v>498</v>
      </c>
      <c r="Y1340" s="656" t="s">
        <v>14278</v>
      </c>
      <c r="Z1340" s="656">
        <v>44305.519814814812</v>
      </c>
      <c r="AA1340" s="656" t="s">
        <v>14335</v>
      </c>
      <c r="AB1340" s="656"/>
    </row>
    <row r="1341" spans="1:28">
      <c r="A1341" s="656" t="s">
        <v>4208</v>
      </c>
      <c r="B1341" s="656" t="s">
        <v>4209</v>
      </c>
      <c r="C1341" s="656" t="s">
        <v>20</v>
      </c>
      <c r="D1341" s="656" t="s">
        <v>11187</v>
      </c>
      <c r="E1341" s="656" t="s">
        <v>14275</v>
      </c>
      <c r="F1341" s="1447">
        <v>43185</v>
      </c>
      <c r="G1341" s="656" t="s">
        <v>11185</v>
      </c>
      <c r="H1341" s="656" t="s">
        <v>1777</v>
      </c>
      <c r="I1341" s="656"/>
      <c r="J1341" s="656"/>
      <c r="K1341" s="656"/>
      <c r="L1341" s="656" t="s">
        <v>11187</v>
      </c>
      <c r="M1341" s="656" t="s">
        <v>16402</v>
      </c>
      <c r="N1341" s="656"/>
      <c r="O1341" s="656" t="s">
        <v>6393</v>
      </c>
      <c r="P1341" s="5"/>
      <c r="Q1341" s="1447">
        <v>42419</v>
      </c>
      <c r="R1341" s="656"/>
      <c r="S1341" s="656" t="s">
        <v>500</v>
      </c>
      <c r="T1341" s="656" t="s">
        <v>14559</v>
      </c>
      <c r="U1341" s="656" t="s">
        <v>1300</v>
      </c>
      <c r="V1341" s="656"/>
      <c r="W1341" s="656" t="s">
        <v>13051</v>
      </c>
      <c r="X1341" s="656" t="s">
        <v>498</v>
      </c>
      <c r="Y1341" s="656" t="s">
        <v>14278</v>
      </c>
      <c r="Z1341" s="656">
        <v>44305.519826388889</v>
      </c>
      <c r="AA1341" s="656" t="s">
        <v>14335</v>
      </c>
      <c r="AB1341" s="656"/>
    </row>
    <row r="1342" spans="1:28">
      <c r="A1342" s="656" t="s">
        <v>4210</v>
      </c>
      <c r="B1342" s="656" t="s">
        <v>4211</v>
      </c>
      <c r="C1342" s="656" t="s">
        <v>21</v>
      </c>
      <c r="D1342" s="656" t="s">
        <v>11178</v>
      </c>
      <c r="E1342" s="656" t="s">
        <v>14275</v>
      </c>
      <c r="F1342" s="1447">
        <v>42546</v>
      </c>
      <c r="G1342" s="656" t="s">
        <v>11177</v>
      </c>
      <c r="H1342" s="656" t="s">
        <v>1777</v>
      </c>
      <c r="I1342" s="656" t="s">
        <v>14721</v>
      </c>
      <c r="J1342" s="656" t="s">
        <v>11178</v>
      </c>
      <c r="K1342" s="656" t="s">
        <v>9750</v>
      </c>
      <c r="L1342" s="656"/>
      <c r="M1342" s="656" t="s">
        <v>16425</v>
      </c>
      <c r="N1342" s="656"/>
      <c r="O1342" s="656" t="s">
        <v>6393</v>
      </c>
      <c r="P1342" s="5"/>
      <c r="Q1342" s="1447">
        <v>41778</v>
      </c>
      <c r="R1342" s="656">
        <v>42310</v>
      </c>
      <c r="S1342" s="656" t="s">
        <v>500</v>
      </c>
      <c r="T1342" s="656" t="s">
        <v>4198</v>
      </c>
      <c r="U1342" s="656" t="s">
        <v>1300</v>
      </c>
      <c r="V1342" s="656"/>
      <c r="W1342" s="656" t="s">
        <v>13051</v>
      </c>
      <c r="X1342" s="656" t="s">
        <v>498</v>
      </c>
      <c r="Y1342" s="656" t="s">
        <v>14278</v>
      </c>
      <c r="Z1342" s="656">
        <v>44305.519791666666</v>
      </c>
      <c r="AA1342" s="656" t="s">
        <v>14335</v>
      </c>
      <c r="AB1342" s="656"/>
    </row>
    <row r="1343" spans="1:28">
      <c r="A1343" s="656" t="s">
        <v>4210</v>
      </c>
      <c r="B1343" s="656" t="s">
        <v>4211</v>
      </c>
      <c r="C1343" s="656" t="s">
        <v>21</v>
      </c>
      <c r="D1343" s="656" t="s">
        <v>11179</v>
      </c>
      <c r="E1343" s="656" t="s">
        <v>14275</v>
      </c>
      <c r="F1343" s="1447">
        <v>42546</v>
      </c>
      <c r="G1343" s="656" t="s">
        <v>11177</v>
      </c>
      <c r="H1343" s="656" t="s">
        <v>1564</v>
      </c>
      <c r="I1343" s="656" t="s">
        <v>14722</v>
      </c>
      <c r="J1343" s="656" t="s">
        <v>11179</v>
      </c>
      <c r="K1343" s="656" t="s">
        <v>9774</v>
      </c>
      <c r="L1343" s="656"/>
      <c r="M1343" s="656" t="s">
        <v>1564</v>
      </c>
      <c r="N1343" s="656"/>
      <c r="O1343" s="656" t="s">
        <v>6393</v>
      </c>
      <c r="P1343" s="5"/>
      <c r="Q1343" s="1447">
        <v>41919</v>
      </c>
      <c r="R1343" s="656">
        <v>42310</v>
      </c>
      <c r="S1343" s="656" t="s">
        <v>500</v>
      </c>
      <c r="T1343" s="656" t="s">
        <v>4198</v>
      </c>
      <c r="U1343" s="656" t="s">
        <v>1300</v>
      </c>
      <c r="V1343" s="656"/>
      <c r="W1343" s="656" t="s">
        <v>13051</v>
      </c>
      <c r="X1343" s="656" t="s">
        <v>498</v>
      </c>
      <c r="Y1343" s="656" t="s">
        <v>14278</v>
      </c>
      <c r="Z1343" s="656">
        <v>44305.519803240742</v>
      </c>
      <c r="AA1343" s="656" t="s">
        <v>14335</v>
      </c>
      <c r="AB1343" s="656"/>
    </row>
    <row r="1344" spans="1:28">
      <c r="A1344" s="656" t="s">
        <v>4210</v>
      </c>
      <c r="B1344" s="656" t="s">
        <v>4211</v>
      </c>
      <c r="C1344" s="656" t="s">
        <v>20</v>
      </c>
      <c r="D1344" s="656" t="s">
        <v>11181</v>
      </c>
      <c r="E1344" s="656" t="s">
        <v>14275</v>
      </c>
      <c r="F1344" s="1447">
        <v>42541</v>
      </c>
      <c r="G1344" s="656" t="s">
        <v>11180</v>
      </c>
      <c r="H1344" s="656" t="s">
        <v>1777</v>
      </c>
      <c r="I1344" s="656"/>
      <c r="J1344" s="656"/>
      <c r="K1344" s="656"/>
      <c r="L1344" s="656" t="s">
        <v>11181</v>
      </c>
      <c r="M1344" s="656" t="s">
        <v>1564</v>
      </c>
      <c r="N1344" s="656"/>
      <c r="O1344" s="656" t="s">
        <v>6393</v>
      </c>
      <c r="P1344" s="5"/>
      <c r="Q1344" s="1447">
        <v>42244</v>
      </c>
      <c r="R1344" s="656"/>
      <c r="S1344" s="656" t="s">
        <v>500</v>
      </c>
      <c r="T1344" s="656" t="s">
        <v>4198</v>
      </c>
      <c r="U1344" s="656" t="s">
        <v>1300</v>
      </c>
      <c r="V1344" s="656"/>
      <c r="W1344" s="656" t="s">
        <v>13051</v>
      </c>
      <c r="X1344" s="656" t="s">
        <v>498</v>
      </c>
      <c r="Y1344" s="656" t="s">
        <v>14278</v>
      </c>
      <c r="Z1344" s="656">
        <v>44305.519791666666</v>
      </c>
      <c r="AA1344" s="656" t="s">
        <v>14335</v>
      </c>
      <c r="AB1344" s="656"/>
    </row>
    <row r="1345" spans="1:28">
      <c r="A1345" s="656" t="s">
        <v>4210</v>
      </c>
      <c r="B1345" s="656" t="s">
        <v>4211</v>
      </c>
      <c r="C1345" s="656" t="s">
        <v>20</v>
      </c>
      <c r="D1345" s="656" t="s">
        <v>11183</v>
      </c>
      <c r="E1345" s="656" t="s">
        <v>14275</v>
      </c>
      <c r="F1345" s="1447">
        <v>42541</v>
      </c>
      <c r="G1345" s="656" t="s">
        <v>11182</v>
      </c>
      <c r="H1345" s="656" t="s">
        <v>1777</v>
      </c>
      <c r="I1345" s="656"/>
      <c r="J1345" s="656"/>
      <c r="K1345" s="656"/>
      <c r="L1345" s="656" t="s">
        <v>11183</v>
      </c>
      <c r="M1345" s="656" t="s">
        <v>16416</v>
      </c>
      <c r="N1345" s="656"/>
      <c r="O1345" s="656" t="s">
        <v>6393</v>
      </c>
      <c r="P1345" s="5"/>
      <c r="Q1345" s="1447"/>
      <c r="R1345" s="656"/>
      <c r="S1345" s="656" t="s">
        <v>500</v>
      </c>
      <c r="T1345" s="656" t="s">
        <v>4198</v>
      </c>
      <c r="U1345" s="656" t="s">
        <v>1300</v>
      </c>
      <c r="V1345" s="656"/>
      <c r="W1345" s="656" t="s">
        <v>13051</v>
      </c>
      <c r="X1345" s="656" t="s">
        <v>498</v>
      </c>
      <c r="Y1345" s="656" t="s">
        <v>14278</v>
      </c>
      <c r="Z1345" s="656">
        <v>44305.519803240742</v>
      </c>
      <c r="AA1345" s="656" t="s">
        <v>14335</v>
      </c>
      <c r="AB1345" s="656"/>
    </row>
    <row r="1346" spans="1:28">
      <c r="A1346" s="656" t="s">
        <v>4210</v>
      </c>
      <c r="B1346" s="656" t="s">
        <v>4211</v>
      </c>
      <c r="C1346" s="656" t="s">
        <v>20</v>
      </c>
      <c r="D1346" s="656" t="s">
        <v>11184</v>
      </c>
      <c r="E1346" s="656" t="s">
        <v>14275</v>
      </c>
      <c r="F1346" s="1447">
        <v>42541</v>
      </c>
      <c r="G1346" s="656" t="s">
        <v>11177</v>
      </c>
      <c r="H1346" s="656" t="s">
        <v>1777</v>
      </c>
      <c r="I1346" s="656"/>
      <c r="J1346" s="656"/>
      <c r="K1346" s="656"/>
      <c r="L1346" s="656" t="s">
        <v>11184</v>
      </c>
      <c r="M1346" s="656" t="s">
        <v>16425</v>
      </c>
      <c r="N1346" s="656"/>
      <c r="O1346" s="656" t="s">
        <v>6393</v>
      </c>
      <c r="P1346" s="5"/>
      <c r="Q1346" s="1447"/>
      <c r="R1346" s="656"/>
      <c r="S1346" s="656" t="s">
        <v>500</v>
      </c>
      <c r="T1346" s="656" t="s">
        <v>4198</v>
      </c>
      <c r="U1346" s="656" t="s">
        <v>1300</v>
      </c>
      <c r="V1346" s="656"/>
      <c r="W1346" s="656" t="s">
        <v>13051</v>
      </c>
      <c r="X1346" s="656" t="s">
        <v>498</v>
      </c>
      <c r="Y1346" s="656" t="s">
        <v>14278</v>
      </c>
      <c r="Z1346" s="656">
        <v>44305.519814814812</v>
      </c>
      <c r="AA1346" s="656" t="s">
        <v>14335</v>
      </c>
      <c r="AB1346" s="656"/>
    </row>
    <row r="1347" spans="1:28">
      <c r="A1347" s="656" t="s">
        <v>4212</v>
      </c>
      <c r="B1347" s="656" t="s">
        <v>4213</v>
      </c>
      <c r="C1347" s="656" t="s">
        <v>20</v>
      </c>
      <c r="D1347" s="656" t="s">
        <v>11176</v>
      </c>
      <c r="E1347" s="656" t="s">
        <v>14275</v>
      </c>
      <c r="F1347" s="1447">
        <v>42454</v>
      </c>
      <c r="G1347" s="656" t="s">
        <v>11175</v>
      </c>
      <c r="H1347" s="656" t="s">
        <v>1777</v>
      </c>
      <c r="I1347" s="656"/>
      <c r="J1347" s="656"/>
      <c r="K1347" s="656"/>
      <c r="L1347" s="656" t="s">
        <v>11176</v>
      </c>
      <c r="M1347" s="656" t="s">
        <v>16323</v>
      </c>
      <c r="N1347" s="656"/>
      <c r="O1347" s="656" t="s">
        <v>6387</v>
      </c>
      <c r="P1347" s="5"/>
      <c r="Q1347" s="1447"/>
      <c r="R1347" s="656"/>
      <c r="S1347" s="656" t="s">
        <v>655</v>
      </c>
      <c r="T1347" s="656" t="s">
        <v>14277</v>
      </c>
      <c r="U1347" s="656" t="s">
        <v>655</v>
      </c>
      <c r="V1347" s="656"/>
      <c r="W1347" s="656" t="s">
        <v>13051</v>
      </c>
      <c r="X1347" s="656" t="s">
        <v>498</v>
      </c>
      <c r="Y1347" s="656" t="s">
        <v>14278</v>
      </c>
      <c r="Z1347" s="656">
        <v>44305.519780092596</v>
      </c>
      <c r="AA1347" s="656" t="s">
        <v>14335</v>
      </c>
      <c r="AB1347" s="656"/>
    </row>
    <row r="1348" spans="1:28">
      <c r="A1348" s="656" t="s">
        <v>4405</v>
      </c>
      <c r="B1348" s="656" t="s">
        <v>4406</v>
      </c>
      <c r="C1348" s="656" t="s">
        <v>20</v>
      </c>
      <c r="D1348" s="656" t="s">
        <v>11174</v>
      </c>
      <c r="E1348" s="656" t="s">
        <v>14275</v>
      </c>
      <c r="F1348" s="1447">
        <v>42172</v>
      </c>
      <c r="G1348" s="656" t="s">
        <v>11173</v>
      </c>
      <c r="H1348" s="656" t="s">
        <v>1777</v>
      </c>
      <c r="I1348" s="656"/>
      <c r="J1348" s="656"/>
      <c r="K1348" s="656"/>
      <c r="L1348" s="656" t="s">
        <v>11174</v>
      </c>
      <c r="M1348" s="656" t="s">
        <v>16411</v>
      </c>
      <c r="N1348" s="656"/>
      <c r="O1348" s="656" t="s">
        <v>6387</v>
      </c>
      <c r="P1348" s="5"/>
      <c r="Q1348" s="1447"/>
      <c r="R1348" s="656"/>
      <c r="S1348" s="656" t="s">
        <v>655</v>
      </c>
      <c r="T1348" s="656" t="s">
        <v>14277</v>
      </c>
      <c r="U1348" s="656" t="s">
        <v>655</v>
      </c>
      <c r="V1348" s="656"/>
      <c r="W1348" s="656" t="s">
        <v>13051</v>
      </c>
      <c r="X1348" s="656" t="s">
        <v>498</v>
      </c>
      <c r="Y1348" s="656" t="s">
        <v>14278</v>
      </c>
      <c r="Z1348" s="656">
        <v>44305.519780092596</v>
      </c>
      <c r="AA1348" s="656" t="s">
        <v>14335</v>
      </c>
      <c r="AB1348" s="656"/>
    </row>
    <row r="1349" spans="1:28">
      <c r="A1349" s="656" t="s">
        <v>4413</v>
      </c>
      <c r="B1349" s="656" t="s">
        <v>4414</v>
      </c>
      <c r="C1349" s="656" t="s">
        <v>20</v>
      </c>
      <c r="D1349" s="656" t="s">
        <v>11172</v>
      </c>
      <c r="E1349" s="656" t="s">
        <v>14275</v>
      </c>
      <c r="F1349" s="1447">
        <v>42404</v>
      </c>
      <c r="G1349" s="656" t="s">
        <v>11171</v>
      </c>
      <c r="H1349" s="656" t="s">
        <v>1777</v>
      </c>
      <c r="I1349" s="656"/>
      <c r="J1349" s="656"/>
      <c r="K1349" s="656"/>
      <c r="L1349" s="656" t="s">
        <v>11172</v>
      </c>
      <c r="M1349" s="656" t="s">
        <v>16196</v>
      </c>
      <c r="N1349" s="656"/>
      <c r="O1349" s="656" t="s">
        <v>6393</v>
      </c>
      <c r="P1349" s="5"/>
      <c r="Q1349" s="1447"/>
      <c r="R1349" s="656"/>
      <c r="S1349" s="656" t="s">
        <v>1300</v>
      </c>
      <c r="T1349" s="656" t="s">
        <v>4198</v>
      </c>
      <c r="U1349" s="656" t="s">
        <v>1300</v>
      </c>
      <c r="V1349" s="656"/>
      <c r="W1349" s="656" t="s">
        <v>13051</v>
      </c>
      <c r="X1349" s="656" t="s">
        <v>498</v>
      </c>
      <c r="Y1349" s="656" t="s">
        <v>14278</v>
      </c>
      <c r="Z1349" s="656">
        <v>44305.519768518519</v>
      </c>
      <c r="AA1349" s="656" t="s">
        <v>14335</v>
      </c>
      <c r="AB1349" s="656"/>
    </row>
    <row r="1350" spans="1:28">
      <c r="A1350" s="656" t="s">
        <v>4449</v>
      </c>
      <c r="B1350" s="656" t="s">
        <v>4450</v>
      </c>
      <c r="C1350" s="656" t="s">
        <v>21</v>
      </c>
      <c r="D1350" s="656" t="s">
        <v>12340</v>
      </c>
      <c r="E1350" s="656" t="s">
        <v>14553</v>
      </c>
      <c r="F1350" s="1447"/>
      <c r="G1350" s="656" t="s">
        <v>12339</v>
      </c>
      <c r="H1350" s="656" t="s">
        <v>1274</v>
      </c>
      <c r="I1350" s="656" t="s">
        <v>14723</v>
      </c>
      <c r="J1350" s="656" t="s">
        <v>12340</v>
      </c>
      <c r="K1350" s="656" t="s">
        <v>9774</v>
      </c>
      <c r="L1350" s="656"/>
      <c r="M1350" s="656" t="s">
        <v>1274</v>
      </c>
      <c r="N1350" s="656" t="s">
        <v>9991</v>
      </c>
      <c r="O1350" s="656"/>
      <c r="P1350" s="5"/>
      <c r="Q1350" s="1447"/>
      <c r="R1350" s="656"/>
      <c r="S1350" s="656" t="s">
        <v>655</v>
      </c>
      <c r="T1350" s="656" t="s">
        <v>9991</v>
      </c>
      <c r="U1350" s="656" t="s">
        <v>655</v>
      </c>
      <c r="V1350" s="656"/>
      <c r="W1350" s="656" t="s">
        <v>13051</v>
      </c>
      <c r="X1350" s="656" t="s">
        <v>498</v>
      </c>
      <c r="Y1350" s="656" t="s">
        <v>14278</v>
      </c>
      <c r="Z1350" s="656">
        <v>44305.519768518519</v>
      </c>
      <c r="AA1350" s="656" t="s">
        <v>14335</v>
      </c>
      <c r="AB1350" s="656"/>
    </row>
    <row r="1351" spans="1:28">
      <c r="A1351" s="656" t="s">
        <v>4455</v>
      </c>
      <c r="B1351" s="656" t="s">
        <v>4456</v>
      </c>
      <c r="C1351" s="656" t="s">
        <v>20</v>
      </c>
      <c r="D1351" s="656" t="s">
        <v>11170</v>
      </c>
      <c r="E1351" s="656" t="s">
        <v>14275</v>
      </c>
      <c r="F1351" s="1447">
        <v>42115</v>
      </c>
      <c r="G1351" s="656" t="s">
        <v>11169</v>
      </c>
      <c r="H1351" s="656" t="s">
        <v>1777</v>
      </c>
      <c r="I1351" s="656"/>
      <c r="J1351" s="656"/>
      <c r="K1351" s="656"/>
      <c r="L1351" s="656" t="s">
        <v>11170</v>
      </c>
      <c r="M1351" s="656" t="s">
        <v>16319</v>
      </c>
      <c r="N1351" s="656"/>
      <c r="O1351" s="656" t="s">
        <v>6387</v>
      </c>
      <c r="P1351" s="5"/>
      <c r="Q1351" s="1447"/>
      <c r="R1351" s="656"/>
      <c r="S1351" s="656" t="s">
        <v>655</v>
      </c>
      <c r="T1351" s="656" t="s">
        <v>14277</v>
      </c>
      <c r="U1351" s="656" t="s">
        <v>655</v>
      </c>
      <c r="V1351" s="656"/>
      <c r="W1351" s="656" t="s">
        <v>13051</v>
      </c>
      <c r="X1351" s="656" t="s">
        <v>498</v>
      </c>
      <c r="Y1351" s="656" t="s">
        <v>14278</v>
      </c>
      <c r="Z1351" s="656">
        <v>44305.519756944443</v>
      </c>
      <c r="AA1351" s="656" t="s">
        <v>14335</v>
      </c>
      <c r="AB1351" s="656"/>
    </row>
    <row r="1352" spans="1:28">
      <c r="A1352" s="656" t="s">
        <v>4481</v>
      </c>
      <c r="B1352" s="656" t="s">
        <v>4482</v>
      </c>
      <c r="C1352" s="656" t="s">
        <v>21</v>
      </c>
      <c r="D1352" s="656" t="s">
        <v>11166</v>
      </c>
      <c r="E1352" s="656" t="s">
        <v>14275</v>
      </c>
      <c r="F1352" s="1447">
        <v>43602</v>
      </c>
      <c r="G1352" s="656" t="s">
        <v>11165</v>
      </c>
      <c r="H1352" s="656" t="s">
        <v>1777</v>
      </c>
      <c r="I1352" s="656" t="s">
        <v>14724</v>
      </c>
      <c r="J1352" s="656" t="s">
        <v>11166</v>
      </c>
      <c r="K1352" s="656" t="s">
        <v>9782</v>
      </c>
      <c r="L1352" s="656"/>
      <c r="M1352" s="656" t="s">
        <v>16344</v>
      </c>
      <c r="N1352" s="656"/>
      <c r="O1352" s="656" t="s">
        <v>6387</v>
      </c>
      <c r="P1352" s="5"/>
      <c r="Q1352" s="1447">
        <v>41969</v>
      </c>
      <c r="R1352" s="656">
        <v>43545</v>
      </c>
      <c r="S1352" s="656" t="s">
        <v>1667</v>
      </c>
      <c r="T1352" s="656" t="s">
        <v>14277</v>
      </c>
      <c r="U1352" s="656" t="s">
        <v>655</v>
      </c>
      <c r="V1352" s="656"/>
      <c r="W1352" s="656" t="s">
        <v>13051</v>
      </c>
      <c r="X1352" s="656" t="s">
        <v>498</v>
      </c>
      <c r="Y1352" s="656" t="s">
        <v>14278</v>
      </c>
      <c r="Z1352" s="656">
        <v>44305.519745370373</v>
      </c>
      <c r="AA1352" s="656" t="s">
        <v>14335</v>
      </c>
      <c r="AB1352" s="656"/>
    </row>
    <row r="1353" spans="1:28">
      <c r="A1353" s="656" t="s">
        <v>4481</v>
      </c>
      <c r="B1353" s="656" t="s">
        <v>4482</v>
      </c>
      <c r="C1353" s="656" t="s">
        <v>20</v>
      </c>
      <c r="D1353" s="656" t="s">
        <v>11168</v>
      </c>
      <c r="E1353" s="656" t="s">
        <v>14275</v>
      </c>
      <c r="F1353" s="1447">
        <v>43656</v>
      </c>
      <c r="G1353" s="656" t="s">
        <v>11167</v>
      </c>
      <c r="H1353" s="656" t="s">
        <v>1777</v>
      </c>
      <c r="I1353" s="656"/>
      <c r="J1353" s="656"/>
      <c r="K1353" s="656"/>
      <c r="L1353" s="656" t="s">
        <v>11168</v>
      </c>
      <c r="M1353" s="656" t="s">
        <v>16344</v>
      </c>
      <c r="N1353" s="656"/>
      <c r="O1353" s="656" t="s">
        <v>6387</v>
      </c>
      <c r="P1353" s="5"/>
      <c r="Q1353" s="1447">
        <v>41964</v>
      </c>
      <c r="R1353" s="656"/>
      <c r="S1353" s="656" t="s">
        <v>1667</v>
      </c>
      <c r="T1353" s="656" t="s">
        <v>14277</v>
      </c>
      <c r="U1353" s="656" t="s">
        <v>655</v>
      </c>
      <c r="V1353" s="656"/>
      <c r="W1353" s="656" t="s">
        <v>13051</v>
      </c>
      <c r="X1353" s="656" t="s">
        <v>498</v>
      </c>
      <c r="Y1353" s="656" t="s">
        <v>14278</v>
      </c>
      <c r="Z1353" s="656">
        <v>44305.519745370373</v>
      </c>
      <c r="AA1353" s="656" t="s">
        <v>14335</v>
      </c>
      <c r="AB1353" s="656"/>
    </row>
    <row r="1354" spans="1:28">
      <c r="A1354" s="656" t="s">
        <v>4505</v>
      </c>
      <c r="B1354" s="656" t="s">
        <v>4506</v>
      </c>
      <c r="C1354" s="656" t="s">
        <v>20</v>
      </c>
      <c r="D1354" s="656" t="s">
        <v>11164</v>
      </c>
      <c r="E1354" s="656" t="s">
        <v>14275</v>
      </c>
      <c r="F1354" s="1447">
        <v>42374</v>
      </c>
      <c r="G1354" s="656" t="s">
        <v>11163</v>
      </c>
      <c r="H1354" s="656" t="s">
        <v>1777</v>
      </c>
      <c r="I1354" s="656"/>
      <c r="J1354" s="656"/>
      <c r="K1354" s="656"/>
      <c r="L1354" s="656" t="s">
        <v>11164</v>
      </c>
      <c r="M1354" s="656" t="s">
        <v>16200</v>
      </c>
      <c r="N1354" s="656"/>
      <c r="O1354" s="656" t="s">
        <v>6393</v>
      </c>
      <c r="P1354" s="5"/>
      <c r="Q1354" s="1447"/>
      <c r="R1354" s="656"/>
      <c r="S1354" s="656" t="s">
        <v>500</v>
      </c>
      <c r="T1354" s="656" t="s">
        <v>14559</v>
      </c>
      <c r="U1354" s="656" t="s">
        <v>500</v>
      </c>
      <c r="V1354" s="656"/>
      <c r="W1354" s="656" t="s">
        <v>13051</v>
      </c>
      <c r="X1354" s="656" t="s">
        <v>498</v>
      </c>
      <c r="Y1354" s="656" t="s">
        <v>14278</v>
      </c>
      <c r="Z1354" s="656">
        <v>44305.519745370373</v>
      </c>
      <c r="AA1354" s="656" t="s">
        <v>14335</v>
      </c>
      <c r="AB1354" s="656"/>
    </row>
    <row r="1355" spans="1:28">
      <c r="A1355" s="656" t="s">
        <v>4515</v>
      </c>
      <c r="B1355" s="656" t="s">
        <v>4516</v>
      </c>
      <c r="C1355" s="656" t="s">
        <v>21</v>
      </c>
      <c r="D1355" s="656" t="s">
        <v>11161</v>
      </c>
      <c r="E1355" s="656" t="s">
        <v>14275</v>
      </c>
      <c r="F1355" s="1447">
        <v>43321</v>
      </c>
      <c r="G1355" s="656" t="s">
        <v>11160</v>
      </c>
      <c r="H1355" s="656" t="s">
        <v>1777</v>
      </c>
      <c r="I1355" s="656" t="s">
        <v>14725</v>
      </c>
      <c r="J1355" s="656" t="s">
        <v>11161</v>
      </c>
      <c r="K1355" s="656" t="s">
        <v>9782</v>
      </c>
      <c r="L1355" s="656"/>
      <c r="M1355" s="656" t="s">
        <v>16406</v>
      </c>
      <c r="N1355" s="656"/>
      <c r="O1355" s="656" t="s">
        <v>6387</v>
      </c>
      <c r="P1355" s="5"/>
      <c r="Q1355" s="1447">
        <v>42893</v>
      </c>
      <c r="R1355" s="656">
        <v>43139</v>
      </c>
      <c r="S1355" s="656" t="s">
        <v>655</v>
      </c>
      <c r="T1355" s="656" t="s">
        <v>14277</v>
      </c>
      <c r="U1355" s="656" t="s">
        <v>655</v>
      </c>
      <c r="V1355" s="656"/>
      <c r="W1355" s="656" t="s">
        <v>13051</v>
      </c>
      <c r="X1355" s="656" t="s">
        <v>498</v>
      </c>
      <c r="Y1355" s="656" t="s">
        <v>14278</v>
      </c>
      <c r="Z1355" s="656">
        <v>44305.519733796296</v>
      </c>
      <c r="AA1355" s="656" t="s">
        <v>14335</v>
      </c>
      <c r="AB1355" s="656"/>
    </row>
    <row r="1356" spans="1:28">
      <c r="A1356" s="656" t="s">
        <v>4515</v>
      </c>
      <c r="B1356" s="656" t="s">
        <v>4516</v>
      </c>
      <c r="C1356" s="656" t="s">
        <v>20</v>
      </c>
      <c r="D1356" s="656" t="s">
        <v>11162</v>
      </c>
      <c r="E1356" s="656" t="s">
        <v>14275</v>
      </c>
      <c r="F1356" s="1447">
        <v>43332</v>
      </c>
      <c r="G1356" s="656" t="s">
        <v>11160</v>
      </c>
      <c r="H1356" s="656" t="s">
        <v>1777</v>
      </c>
      <c r="I1356" s="656"/>
      <c r="J1356" s="656"/>
      <c r="K1356" s="656"/>
      <c r="L1356" s="656" t="s">
        <v>11162</v>
      </c>
      <c r="M1356" s="656" t="s">
        <v>16406</v>
      </c>
      <c r="N1356" s="656"/>
      <c r="O1356" s="656" t="s">
        <v>6387</v>
      </c>
      <c r="P1356" s="5"/>
      <c r="Q1356" s="1447"/>
      <c r="R1356" s="656"/>
      <c r="S1356" s="656" t="s">
        <v>655</v>
      </c>
      <c r="T1356" s="656" t="s">
        <v>14277</v>
      </c>
      <c r="U1356" s="656" t="s">
        <v>655</v>
      </c>
      <c r="V1356" s="656"/>
      <c r="W1356" s="656" t="s">
        <v>13051</v>
      </c>
      <c r="X1356" s="656" t="s">
        <v>498</v>
      </c>
      <c r="Y1356" s="656" t="s">
        <v>14278</v>
      </c>
      <c r="Z1356" s="656">
        <v>44305.519733796296</v>
      </c>
      <c r="AA1356" s="656" t="s">
        <v>14335</v>
      </c>
      <c r="AB1356" s="656"/>
    </row>
    <row r="1357" spans="1:28">
      <c r="A1357" s="656" t="s">
        <v>4519</v>
      </c>
      <c r="B1357" s="656" t="s">
        <v>4520</v>
      </c>
      <c r="C1357" s="656" t="s">
        <v>20</v>
      </c>
      <c r="D1357" s="656" t="s">
        <v>11159</v>
      </c>
      <c r="E1357" s="656" t="s">
        <v>14275</v>
      </c>
      <c r="F1357" s="1447">
        <v>43871</v>
      </c>
      <c r="G1357" s="656" t="s">
        <v>11158</v>
      </c>
      <c r="H1357" s="656" t="s">
        <v>1777</v>
      </c>
      <c r="I1357" s="656"/>
      <c r="J1357" s="656"/>
      <c r="K1357" s="656"/>
      <c r="L1357" s="656" t="s">
        <v>11159</v>
      </c>
      <c r="M1357" s="656" t="s">
        <v>16406</v>
      </c>
      <c r="N1357" s="656"/>
      <c r="O1357" s="656" t="s">
        <v>6387</v>
      </c>
      <c r="P1357" s="5"/>
      <c r="Q1357" s="1447"/>
      <c r="R1357" s="656"/>
      <c r="S1357" s="656" t="s">
        <v>655</v>
      </c>
      <c r="T1357" s="656" t="s">
        <v>14277</v>
      </c>
      <c r="U1357" s="656" t="s">
        <v>655</v>
      </c>
      <c r="V1357" s="656"/>
      <c r="W1357" s="656" t="s">
        <v>13051</v>
      </c>
      <c r="X1357" s="656" t="s">
        <v>498</v>
      </c>
      <c r="Y1357" s="656" t="s">
        <v>14278</v>
      </c>
      <c r="Z1357" s="656">
        <v>44305.51972222222</v>
      </c>
      <c r="AA1357" s="656" t="s">
        <v>14335</v>
      </c>
      <c r="AB1357" s="656"/>
    </row>
    <row r="1358" spans="1:28">
      <c r="A1358" s="656" t="s">
        <v>4555</v>
      </c>
      <c r="B1358" s="656" t="s">
        <v>12336</v>
      </c>
      <c r="C1358" s="656" t="s">
        <v>20</v>
      </c>
      <c r="D1358" s="656" t="s">
        <v>12338</v>
      </c>
      <c r="E1358" s="656" t="s">
        <v>14553</v>
      </c>
      <c r="F1358" s="1447"/>
      <c r="G1358" s="656" t="s">
        <v>12337</v>
      </c>
      <c r="H1358" s="656" t="s">
        <v>1777</v>
      </c>
      <c r="I1358" s="656"/>
      <c r="J1358" s="656"/>
      <c r="K1358" s="656"/>
      <c r="L1358" s="656" t="s">
        <v>12338</v>
      </c>
      <c r="M1358" s="656" t="s">
        <v>16200</v>
      </c>
      <c r="N1358" s="656" t="s">
        <v>9991</v>
      </c>
      <c r="O1358" s="656"/>
      <c r="P1358" s="5"/>
      <c r="Q1358" s="1447"/>
      <c r="R1358" s="656"/>
      <c r="S1358" s="656" t="s">
        <v>500</v>
      </c>
      <c r="T1358" s="656" t="s">
        <v>9991</v>
      </c>
      <c r="U1358" s="656" t="s">
        <v>9991</v>
      </c>
      <c r="V1358" s="656"/>
      <c r="W1358" s="656" t="s">
        <v>13051</v>
      </c>
      <c r="X1358" s="656" t="s">
        <v>498</v>
      </c>
      <c r="Y1358" s="656" t="s">
        <v>14278</v>
      </c>
      <c r="Z1358" s="656">
        <v>44305.51971064815</v>
      </c>
      <c r="AA1358" s="656" t="s">
        <v>14335</v>
      </c>
      <c r="AB1358" s="656"/>
    </row>
    <row r="1359" spans="1:28">
      <c r="A1359" s="656" t="s">
        <v>4594</v>
      </c>
      <c r="B1359" s="656" t="s">
        <v>4671</v>
      </c>
      <c r="C1359" s="656" t="s">
        <v>20</v>
      </c>
      <c r="D1359" s="656" t="s">
        <v>9855</v>
      </c>
      <c r="E1359" s="656" t="s">
        <v>14275</v>
      </c>
      <c r="F1359" s="1447">
        <v>44243</v>
      </c>
      <c r="G1359" s="656" t="s">
        <v>9854</v>
      </c>
      <c r="H1359" s="656" t="s">
        <v>1777</v>
      </c>
      <c r="I1359" s="656"/>
      <c r="J1359" s="656"/>
      <c r="K1359" s="656"/>
      <c r="L1359" s="656" t="s">
        <v>9855</v>
      </c>
      <c r="M1359" s="656" t="s">
        <v>16196</v>
      </c>
      <c r="N1359" s="656"/>
      <c r="O1359" s="656" t="s">
        <v>9714</v>
      </c>
      <c r="P1359" s="5"/>
      <c r="Q1359" s="1447">
        <v>43306</v>
      </c>
      <c r="R1359" s="656"/>
      <c r="S1359" s="656" t="s">
        <v>9725</v>
      </c>
      <c r="T1359" s="656" t="s">
        <v>9725</v>
      </c>
      <c r="U1359" s="656" t="s">
        <v>9725</v>
      </c>
      <c r="V1359" s="656" t="s">
        <v>14361</v>
      </c>
      <c r="W1359" s="656" t="s">
        <v>13051</v>
      </c>
      <c r="X1359" s="656" t="s">
        <v>498</v>
      </c>
      <c r="Y1359" s="656" t="s">
        <v>14278</v>
      </c>
      <c r="Z1359" s="656">
        <v>44305.51971064815</v>
      </c>
      <c r="AA1359" s="656" t="s">
        <v>14335</v>
      </c>
      <c r="AB1359" s="656"/>
    </row>
    <row r="1360" spans="1:28">
      <c r="A1360" s="656" t="s">
        <v>4598</v>
      </c>
      <c r="B1360" s="656" t="s">
        <v>4599</v>
      </c>
      <c r="C1360" s="656" t="s">
        <v>21</v>
      </c>
      <c r="D1360" s="656" t="s">
        <v>9893</v>
      </c>
      <c r="E1360" s="656" t="s">
        <v>14279</v>
      </c>
      <c r="F1360" s="1447"/>
      <c r="G1360" s="656" t="s">
        <v>9837</v>
      </c>
      <c r="H1360" s="656" t="s">
        <v>1777</v>
      </c>
      <c r="I1360" s="656" t="s">
        <v>14726</v>
      </c>
      <c r="J1360" s="656" t="s">
        <v>9893</v>
      </c>
      <c r="K1360" s="656" t="s">
        <v>9774</v>
      </c>
      <c r="L1360" s="656"/>
      <c r="M1360" s="656" t="s">
        <v>16196</v>
      </c>
      <c r="N1360" s="656"/>
      <c r="O1360" s="656" t="s">
        <v>9833</v>
      </c>
      <c r="P1360" s="5"/>
      <c r="Q1360" s="1447">
        <v>43404</v>
      </c>
      <c r="R1360" s="656"/>
      <c r="S1360" s="656" t="s">
        <v>9725</v>
      </c>
      <c r="T1360" s="656"/>
      <c r="U1360" s="656" t="s">
        <v>9725</v>
      </c>
      <c r="V1360" s="656"/>
      <c r="W1360" s="656" t="s">
        <v>13051</v>
      </c>
      <c r="X1360" s="656" t="s">
        <v>498</v>
      </c>
      <c r="Y1360" s="656" t="s">
        <v>14278</v>
      </c>
      <c r="Z1360" s="656">
        <v>44305.519687499997</v>
      </c>
      <c r="AA1360" s="656" t="s">
        <v>14335</v>
      </c>
      <c r="AB1360" s="656"/>
    </row>
    <row r="1361" spans="1:28">
      <c r="A1361" s="656" t="s">
        <v>4598</v>
      </c>
      <c r="B1361" s="656" t="s">
        <v>4599</v>
      </c>
      <c r="C1361" s="656" t="s">
        <v>20</v>
      </c>
      <c r="D1361" s="656" t="s">
        <v>9838</v>
      </c>
      <c r="E1361" s="656" t="s">
        <v>14275</v>
      </c>
      <c r="F1361" s="1447">
        <v>44263</v>
      </c>
      <c r="G1361" s="656" t="s">
        <v>9837</v>
      </c>
      <c r="H1361" s="656" t="s">
        <v>1777</v>
      </c>
      <c r="I1361" s="656"/>
      <c r="J1361" s="656"/>
      <c r="K1361" s="656"/>
      <c r="L1361" s="656" t="s">
        <v>9838</v>
      </c>
      <c r="M1361" s="656" t="s">
        <v>16196</v>
      </c>
      <c r="N1361" s="656"/>
      <c r="O1361" s="656" t="s">
        <v>9714</v>
      </c>
      <c r="P1361" s="5"/>
      <c r="Q1361" s="1447">
        <v>43270</v>
      </c>
      <c r="R1361" s="656"/>
      <c r="S1361" s="656" t="s">
        <v>9725</v>
      </c>
      <c r="T1361" s="656"/>
      <c r="U1361" s="656" t="s">
        <v>9725</v>
      </c>
      <c r="V1361" s="656"/>
      <c r="W1361" s="656" t="s">
        <v>13051</v>
      </c>
      <c r="X1361" s="656" t="s">
        <v>498</v>
      </c>
      <c r="Y1361" s="656" t="s">
        <v>14278</v>
      </c>
      <c r="Z1361" s="656">
        <v>44305.519699074073</v>
      </c>
      <c r="AA1361" s="656" t="s">
        <v>14335</v>
      </c>
      <c r="AB1361" s="656"/>
    </row>
    <row r="1362" spans="1:28">
      <c r="A1362" s="656" t="s">
        <v>4602</v>
      </c>
      <c r="B1362" s="656" t="s">
        <v>4603</v>
      </c>
      <c r="C1362" s="656" t="s">
        <v>20</v>
      </c>
      <c r="D1362" s="656" t="s">
        <v>9940</v>
      </c>
      <c r="E1362" s="656" t="s">
        <v>14279</v>
      </c>
      <c r="F1362" s="1447"/>
      <c r="G1362" s="656" t="s">
        <v>9939</v>
      </c>
      <c r="H1362" s="656" t="s">
        <v>1777</v>
      </c>
      <c r="I1362" s="656"/>
      <c r="J1362" s="656"/>
      <c r="K1362" s="656"/>
      <c r="L1362" s="656" t="s">
        <v>9940</v>
      </c>
      <c r="M1362" s="656" t="s">
        <v>16196</v>
      </c>
      <c r="N1362" s="656"/>
      <c r="O1362" s="656" t="s">
        <v>9714</v>
      </c>
      <c r="P1362" s="5"/>
      <c r="Q1362" s="1447">
        <v>43530</v>
      </c>
      <c r="R1362" s="656"/>
      <c r="S1362" s="656" t="s">
        <v>9725</v>
      </c>
      <c r="T1362" s="656"/>
      <c r="U1362" s="656"/>
      <c r="V1362" s="656"/>
      <c r="W1362" s="656" t="s">
        <v>13051</v>
      </c>
      <c r="X1362" s="656" t="s">
        <v>498</v>
      </c>
      <c r="Y1362" s="656" t="s">
        <v>14278</v>
      </c>
      <c r="Z1362" s="656">
        <v>44305.519687499997</v>
      </c>
      <c r="AA1362" s="656" t="s">
        <v>14335</v>
      </c>
      <c r="AB1362" s="656"/>
    </row>
    <row r="1363" spans="1:28">
      <c r="A1363" s="656" t="s">
        <v>4605</v>
      </c>
      <c r="B1363" s="656" t="s">
        <v>4606</v>
      </c>
      <c r="C1363" s="656" t="s">
        <v>21</v>
      </c>
      <c r="D1363" s="656" t="s">
        <v>9894</v>
      </c>
      <c r="E1363" s="656" t="s">
        <v>14279</v>
      </c>
      <c r="F1363" s="1447"/>
      <c r="G1363" s="656" t="s">
        <v>9852</v>
      </c>
      <c r="H1363" s="656" t="s">
        <v>1777</v>
      </c>
      <c r="I1363" s="656" t="s">
        <v>14727</v>
      </c>
      <c r="J1363" s="656" t="s">
        <v>9894</v>
      </c>
      <c r="K1363" s="656" t="s">
        <v>9774</v>
      </c>
      <c r="L1363" s="656"/>
      <c r="M1363" s="656" t="s">
        <v>16196</v>
      </c>
      <c r="N1363" s="656"/>
      <c r="O1363" s="656" t="s">
        <v>9714</v>
      </c>
      <c r="P1363" s="5"/>
      <c r="Q1363" s="1447">
        <v>43417</v>
      </c>
      <c r="R1363" s="656"/>
      <c r="S1363" s="656" t="s">
        <v>9725</v>
      </c>
      <c r="T1363" s="656"/>
      <c r="U1363" s="656"/>
      <c r="V1363" s="656"/>
      <c r="W1363" s="656" t="s">
        <v>13051</v>
      </c>
      <c r="X1363" s="656" t="s">
        <v>498</v>
      </c>
      <c r="Y1363" s="656" t="s">
        <v>14278</v>
      </c>
      <c r="Z1363" s="656">
        <v>44305.51966435185</v>
      </c>
      <c r="AA1363" s="656" t="s">
        <v>14335</v>
      </c>
      <c r="AB1363" s="656"/>
    </row>
    <row r="1364" spans="1:28">
      <c r="A1364" s="656" t="s">
        <v>4605</v>
      </c>
      <c r="B1364" s="656" t="s">
        <v>4606</v>
      </c>
      <c r="C1364" s="656" t="s">
        <v>20</v>
      </c>
      <c r="D1364" s="656" t="s">
        <v>9853</v>
      </c>
      <c r="E1364" s="656" t="s">
        <v>14275</v>
      </c>
      <c r="F1364" s="1447">
        <v>44263</v>
      </c>
      <c r="G1364" s="656" t="s">
        <v>9852</v>
      </c>
      <c r="H1364" s="656" t="s">
        <v>1777</v>
      </c>
      <c r="I1364" s="656"/>
      <c r="J1364" s="656"/>
      <c r="K1364" s="656"/>
      <c r="L1364" s="656" t="s">
        <v>9853</v>
      </c>
      <c r="M1364" s="656" t="s">
        <v>16196</v>
      </c>
      <c r="N1364" s="656"/>
      <c r="O1364" s="656" t="s">
        <v>9714</v>
      </c>
      <c r="P1364" s="5"/>
      <c r="Q1364" s="1447">
        <v>43306</v>
      </c>
      <c r="R1364" s="656"/>
      <c r="S1364" s="656" t="s">
        <v>9725</v>
      </c>
      <c r="T1364" s="656" t="s">
        <v>9725</v>
      </c>
      <c r="U1364" s="656" t="s">
        <v>9725</v>
      </c>
      <c r="V1364" s="656" t="s">
        <v>14361</v>
      </c>
      <c r="W1364" s="656" t="s">
        <v>13051</v>
      </c>
      <c r="X1364" s="656" t="s">
        <v>498</v>
      </c>
      <c r="Y1364" s="656" t="s">
        <v>14278</v>
      </c>
      <c r="Z1364" s="656">
        <v>44305.519675925927</v>
      </c>
      <c r="AA1364" s="656" t="s">
        <v>14335</v>
      </c>
      <c r="AB1364" s="656"/>
    </row>
    <row r="1365" spans="1:28">
      <c r="A1365" s="656" t="s">
        <v>4610</v>
      </c>
      <c r="B1365" s="656" t="s">
        <v>4611</v>
      </c>
      <c r="C1365" s="656" t="s">
        <v>20</v>
      </c>
      <c r="D1365" s="656" t="s">
        <v>9851</v>
      </c>
      <c r="E1365" s="656" t="s">
        <v>14275</v>
      </c>
      <c r="F1365" s="1447">
        <v>44243</v>
      </c>
      <c r="G1365" s="656" t="s">
        <v>9850</v>
      </c>
      <c r="H1365" s="656" t="s">
        <v>1777</v>
      </c>
      <c r="I1365" s="656"/>
      <c r="J1365" s="656"/>
      <c r="K1365" s="656"/>
      <c r="L1365" s="656" t="s">
        <v>9851</v>
      </c>
      <c r="M1365" s="656" t="s">
        <v>16196</v>
      </c>
      <c r="N1365" s="656"/>
      <c r="O1365" s="656" t="s">
        <v>9714</v>
      </c>
      <c r="P1365" s="5"/>
      <c r="Q1365" s="1447">
        <v>43306</v>
      </c>
      <c r="R1365" s="656"/>
      <c r="S1365" s="656" t="s">
        <v>9725</v>
      </c>
      <c r="T1365" s="656" t="s">
        <v>9725</v>
      </c>
      <c r="U1365" s="656" t="s">
        <v>9725</v>
      </c>
      <c r="V1365" s="656" t="s">
        <v>14361</v>
      </c>
      <c r="W1365" s="656" t="s">
        <v>13051</v>
      </c>
      <c r="X1365" s="656" t="s">
        <v>498</v>
      </c>
      <c r="Y1365" s="656" t="s">
        <v>14278</v>
      </c>
      <c r="Z1365" s="656">
        <v>44305.519652777781</v>
      </c>
      <c r="AA1365" s="656" t="s">
        <v>14335</v>
      </c>
      <c r="AB1365" s="656"/>
    </row>
    <row r="1366" spans="1:28">
      <c r="A1366" s="656" t="s">
        <v>4610</v>
      </c>
      <c r="B1366" s="656" t="s">
        <v>4611</v>
      </c>
      <c r="C1366" s="656" t="s">
        <v>20</v>
      </c>
      <c r="D1366" s="656" t="s">
        <v>9864</v>
      </c>
      <c r="E1366" s="656" t="s">
        <v>14275</v>
      </c>
      <c r="F1366" s="1447">
        <v>44243</v>
      </c>
      <c r="G1366" s="656" t="s">
        <v>9850</v>
      </c>
      <c r="H1366" s="656" t="s">
        <v>1777</v>
      </c>
      <c r="I1366" s="656"/>
      <c r="J1366" s="656"/>
      <c r="K1366" s="656"/>
      <c r="L1366" s="656" t="s">
        <v>9864</v>
      </c>
      <c r="M1366" s="656" t="s">
        <v>16196</v>
      </c>
      <c r="N1366" s="656"/>
      <c r="O1366" s="656" t="s">
        <v>9714</v>
      </c>
      <c r="P1366" s="5"/>
      <c r="Q1366" s="1447">
        <v>43354</v>
      </c>
      <c r="R1366" s="656"/>
      <c r="S1366" s="656" t="s">
        <v>9725</v>
      </c>
      <c r="T1366" s="656"/>
      <c r="U1366" s="656" t="s">
        <v>9725</v>
      </c>
      <c r="V1366" s="656"/>
      <c r="W1366" s="656" t="s">
        <v>13051</v>
      </c>
      <c r="X1366" s="656" t="s">
        <v>498</v>
      </c>
      <c r="Y1366" s="656" t="s">
        <v>14278</v>
      </c>
      <c r="Z1366" s="656">
        <v>44305.519652777781</v>
      </c>
      <c r="AA1366" s="656" t="s">
        <v>14335</v>
      </c>
      <c r="AB1366" s="656"/>
    </row>
    <row r="1367" spans="1:28">
      <c r="A1367" s="656" t="s">
        <v>4612</v>
      </c>
      <c r="B1367" s="656" t="s">
        <v>4613</v>
      </c>
      <c r="C1367" s="656" t="s">
        <v>21</v>
      </c>
      <c r="D1367" s="656" t="s">
        <v>12307</v>
      </c>
      <c r="E1367" s="656" t="s">
        <v>14275</v>
      </c>
      <c r="F1367" s="1447">
        <v>44173</v>
      </c>
      <c r="G1367" s="656" t="s">
        <v>9856</v>
      </c>
      <c r="H1367" s="656" t="s">
        <v>1777</v>
      </c>
      <c r="I1367" s="656" t="s">
        <v>14728</v>
      </c>
      <c r="J1367" s="656" t="s">
        <v>12307</v>
      </c>
      <c r="K1367" s="656" t="s">
        <v>9774</v>
      </c>
      <c r="L1367" s="656"/>
      <c r="M1367" s="656" t="s">
        <v>16196</v>
      </c>
      <c r="N1367" s="656"/>
      <c r="O1367" s="656" t="s">
        <v>9714</v>
      </c>
      <c r="P1367" s="5"/>
      <c r="Q1367" s="1447">
        <v>43420</v>
      </c>
      <c r="R1367" s="656">
        <v>43657</v>
      </c>
      <c r="S1367" s="656" t="s">
        <v>9725</v>
      </c>
      <c r="T1367" s="656"/>
      <c r="U1367" s="656"/>
      <c r="V1367" s="656"/>
      <c r="W1367" s="656" t="s">
        <v>13051</v>
      </c>
      <c r="X1367" s="656" t="s">
        <v>498</v>
      </c>
      <c r="Y1367" s="656" t="s">
        <v>14278</v>
      </c>
      <c r="Z1367" s="656">
        <v>44305.519629629627</v>
      </c>
      <c r="AA1367" s="656" t="s">
        <v>14335</v>
      </c>
      <c r="AB1367" s="656"/>
    </row>
    <row r="1368" spans="1:28">
      <c r="A1368" s="656" t="s">
        <v>4612</v>
      </c>
      <c r="B1368" s="656" t="s">
        <v>4613</v>
      </c>
      <c r="C1368" s="656" t="s">
        <v>20</v>
      </c>
      <c r="D1368" s="656" t="s">
        <v>9857</v>
      </c>
      <c r="E1368" s="656" t="s">
        <v>14275</v>
      </c>
      <c r="F1368" s="1447">
        <v>44249</v>
      </c>
      <c r="G1368" s="656" t="s">
        <v>9856</v>
      </c>
      <c r="H1368" s="656" t="s">
        <v>1777</v>
      </c>
      <c r="I1368" s="656"/>
      <c r="J1368" s="656"/>
      <c r="K1368" s="656"/>
      <c r="L1368" s="656" t="s">
        <v>9857</v>
      </c>
      <c r="M1368" s="656" t="s">
        <v>16196</v>
      </c>
      <c r="N1368" s="656"/>
      <c r="O1368" s="656" t="s">
        <v>9714</v>
      </c>
      <c r="P1368" s="5"/>
      <c r="Q1368" s="1447">
        <v>43306</v>
      </c>
      <c r="R1368" s="656"/>
      <c r="S1368" s="656" t="s">
        <v>9725</v>
      </c>
      <c r="T1368" s="656" t="s">
        <v>9725</v>
      </c>
      <c r="U1368" s="656" t="s">
        <v>9725</v>
      </c>
      <c r="V1368" s="656" t="s">
        <v>14361</v>
      </c>
      <c r="W1368" s="656" t="s">
        <v>13051</v>
      </c>
      <c r="X1368" s="656" t="s">
        <v>498</v>
      </c>
      <c r="Y1368" s="656" t="s">
        <v>14278</v>
      </c>
      <c r="Z1368" s="656">
        <v>44305.519641203704</v>
      </c>
      <c r="AA1368" s="656" t="s">
        <v>14335</v>
      </c>
      <c r="AB1368" s="656"/>
    </row>
    <row r="1369" spans="1:28">
      <c r="A1369" s="656" t="s">
        <v>4614</v>
      </c>
      <c r="B1369" s="656" t="s">
        <v>4615</v>
      </c>
      <c r="C1369" s="656" t="s">
        <v>21</v>
      </c>
      <c r="D1369" s="656" t="s">
        <v>9890</v>
      </c>
      <c r="E1369" s="656" t="s">
        <v>14279</v>
      </c>
      <c r="F1369" s="1447"/>
      <c r="G1369" s="656" t="s">
        <v>9846</v>
      </c>
      <c r="H1369" s="656" t="s">
        <v>1777</v>
      </c>
      <c r="I1369" s="656" t="s">
        <v>14729</v>
      </c>
      <c r="J1369" s="656" t="s">
        <v>9890</v>
      </c>
      <c r="K1369" s="656" t="s">
        <v>9774</v>
      </c>
      <c r="L1369" s="656"/>
      <c r="M1369" s="656" t="s">
        <v>16196</v>
      </c>
      <c r="N1369" s="656"/>
      <c r="O1369" s="656" t="s">
        <v>9714</v>
      </c>
      <c r="P1369" s="5"/>
      <c r="Q1369" s="1447">
        <v>43392</v>
      </c>
      <c r="R1369" s="656"/>
      <c r="S1369" s="656" t="s">
        <v>9725</v>
      </c>
      <c r="T1369" s="656"/>
      <c r="U1369" s="656" t="s">
        <v>9725</v>
      </c>
      <c r="V1369" s="656"/>
      <c r="W1369" s="656" t="s">
        <v>13051</v>
      </c>
      <c r="X1369" s="656" t="s">
        <v>498</v>
      </c>
      <c r="Y1369" s="656" t="s">
        <v>14278</v>
      </c>
      <c r="Z1369" s="656">
        <v>44305.519618055558</v>
      </c>
      <c r="AA1369" s="656" t="s">
        <v>14335</v>
      </c>
      <c r="AB1369" s="656"/>
    </row>
    <row r="1370" spans="1:28">
      <c r="A1370" s="656" t="s">
        <v>4614</v>
      </c>
      <c r="B1370" s="656" t="s">
        <v>4615</v>
      </c>
      <c r="C1370" s="656" t="s">
        <v>20</v>
      </c>
      <c r="D1370" s="656" t="s">
        <v>9847</v>
      </c>
      <c r="E1370" s="656" t="s">
        <v>14275</v>
      </c>
      <c r="F1370" s="1447">
        <v>44263</v>
      </c>
      <c r="G1370" s="656" t="s">
        <v>9846</v>
      </c>
      <c r="H1370" s="656" t="s">
        <v>1777</v>
      </c>
      <c r="I1370" s="656"/>
      <c r="J1370" s="656"/>
      <c r="K1370" s="656"/>
      <c r="L1370" s="656" t="s">
        <v>9847</v>
      </c>
      <c r="M1370" s="656" t="s">
        <v>16196</v>
      </c>
      <c r="N1370" s="656"/>
      <c r="O1370" s="656" t="s">
        <v>9714</v>
      </c>
      <c r="P1370" s="5"/>
      <c r="Q1370" s="1447">
        <v>43311</v>
      </c>
      <c r="R1370" s="656"/>
      <c r="S1370" s="656" t="s">
        <v>9725</v>
      </c>
      <c r="T1370" s="656"/>
      <c r="U1370" s="656"/>
      <c r="V1370" s="656"/>
      <c r="W1370" s="656" t="s">
        <v>13051</v>
      </c>
      <c r="X1370" s="656" t="s">
        <v>498</v>
      </c>
      <c r="Y1370" s="656" t="s">
        <v>14278</v>
      </c>
      <c r="Z1370" s="656">
        <v>44305.519629629627</v>
      </c>
      <c r="AA1370" s="656" t="s">
        <v>14335</v>
      </c>
      <c r="AB1370" s="656"/>
    </row>
    <row r="1371" spans="1:28">
      <c r="A1371" s="656" t="s">
        <v>4616</v>
      </c>
      <c r="B1371" s="656" t="s">
        <v>9325</v>
      </c>
      <c r="C1371" s="656" t="s">
        <v>21</v>
      </c>
      <c r="D1371" s="656" t="s">
        <v>10188</v>
      </c>
      <c r="E1371" s="656" t="s">
        <v>14279</v>
      </c>
      <c r="F1371" s="1447"/>
      <c r="G1371" s="656" t="s">
        <v>10187</v>
      </c>
      <c r="H1371" s="656" t="s">
        <v>1777</v>
      </c>
      <c r="I1371" s="656" t="s">
        <v>14730</v>
      </c>
      <c r="J1371" s="656" t="s">
        <v>10188</v>
      </c>
      <c r="K1371" s="656" t="s">
        <v>9774</v>
      </c>
      <c r="L1371" s="656"/>
      <c r="M1371" s="656" t="s">
        <v>16196</v>
      </c>
      <c r="N1371" s="656"/>
      <c r="O1371" s="656" t="s">
        <v>9714</v>
      </c>
      <c r="P1371" s="5"/>
      <c r="Q1371" s="1447">
        <v>43861</v>
      </c>
      <c r="R1371" s="656"/>
      <c r="S1371" s="656" t="s">
        <v>442</v>
      </c>
      <c r="T1371" s="656"/>
      <c r="U1371" s="656"/>
      <c r="V1371" s="656"/>
      <c r="W1371" s="656" t="s">
        <v>13051</v>
      </c>
      <c r="X1371" s="656" t="s">
        <v>498</v>
      </c>
      <c r="Y1371" s="656" t="s">
        <v>14278</v>
      </c>
      <c r="Z1371" s="656">
        <v>44305.519606481481</v>
      </c>
      <c r="AA1371" s="656" t="s">
        <v>14335</v>
      </c>
      <c r="AB1371" s="656"/>
    </row>
    <row r="1372" spans="1:28">
      <c r="A1372" s="656" t="s">
        <v>4616</v>
      </c>
      <c r="B1372" s="656" t="s">
        <v>4617</v>
      </c>
      <c r="C1372" s="656" t="s">
        <v>20</v>
      </c>
      <c r="D1372" s="656" t="s">
        <v>9849</v>
      </c>
      <c r="E1372" s="656" t="s">
        <v>14279</v>
      </c>
      <c r="F1372" s="1447"/>
      <c r="G1372" s="656" t="s">
        <v>9848</v>
      </c>
      <c r="H1372" s="656" t="s">
        <v>1777</v>
      </c>
      <c r="I1372" s="656"/>
      <c r="J1372" s="656"/>
      <c r="K1372" s="656"/>
      <c r="L1372" s="656" t="s">
        <v>9849</v>
      </c>
      <c r="M1372" s="656" t="s">
        <v>16196</v>
      </c>
      <c r="N1372" s="656"/>
      <c r="O1372" s="656" t="s">
        <v>9714</v>
      </c>
      <c r="P1372" s="5"/>
      <c r="Q1372" s="1447">
        <v>43306</v>
      </c>
      <c r="R1372" s="656"/>
      <c r="S1372" s="656" t="s">
        <v>9725</v>
      </c>
      <c r="T1372" s="656" t="s">
        <v>282</v>
      </c>
      <c r="U1372" s="656" t="s">
        <v>9725</v>
      </c>
      <c r="V1372" s="656" t="s">
        <v>14361</v>
      </c>
      <c r="W1372" s="656" t="s">
        <v>13051</v>
      </c>
      <c r="X1372" s="656" t="s">
        <v>498</v>
      </c>
      <c r="Y1372" s="656" t="s">
        <v>14278</v>
      </c>
      <c r="Z1372" s="656">
        <v>44305.519606481481</v>
      </c>
      <c r="AA1372" s="656" t="s">
        <v>14335</v>
      </c>
      <c r="AB1372" s="656"/>
    </row>
    <row r="1373" spans="1:28" ht="29">
      <c r="A1373" s="656" t="s">
        <v>4616</v>
      </c>
      <c r="B1373" s="656" t="s">
        <v>9325</v>
      </c>
      <c r="C1373" s="656" t="s">
        <v>21</v>
      </c>
      <c r="D1373" s="656" t="s">
        <v>16040</v>
      </c>
      <c r="E1373" s="656" t="s">
        <v>14313</v>
      </c>
      <c r="F1373" s="1447"/>
      <c r="G1373" s="656" t="s">
        <v>16041</v>
      </c>
      <c r="H1373" s="656" t="s">
        <v>1777</v>
      </c>
      <c r="I1373" s="656" t="s">
        <v>14730</v>
      </c>
      <c r="J1373" s="656" t="s">
        <v>16040</v>
      </c>
      <c r="K1373" s="656" t="s">
        <v>9774</v>
      </c>
      <c r="L1373" s="656"/>
      <c r="M1373" s="656" t="s">
        <v>16196</v>
      </c>
      <c r="N1373" s="656"/>
      <c r="O1373" s="656" t="s">
        <v>9714</v>
      </c>
      <c r="P1373" s="5" t="s">
        <v>16056</v>
      </c>
      <c r="Q1373" s="1447">
        <v>44270</v>
      </c>
      <c r="R1373" s="656">
        <v>44286</v>
      </c>
      <c r="S1373" s="656" t="s">
        <v>442</v>
      </c>
      <c r="T1373" s="656"/>
      <c r="U1373" s="656"/>
      <c r="V1373" s="656"/>
      <c r="W1373" s="656" t="s">
        <v>13051</v>
      </c>
      <c r="X1373" s="656" t="s">
        <v>498</v>
      </c>
      <c r="Y1373" s="656" t="s">
        <v>14278</v>
      </c>
      <c r="Z1373" s="656">
        <v>44305.527557870373</v>
      </c>
      <c r="AA1373" s="656" t="s">
        <v>14335</v>
      </c>
      <c r="AB1373" s="656"/>
    </row>
    <row r="1374" spans="1:28">
      <c r="A1374" s="656" t="s">
        <v>4623</v>
      </c>
      <c r="B1374" s="656" t="s">
        <v>4624</v>
      </c>
      <c r="C1374" s="656" t="s">
        <v>20</v>
      </c>
      <c r="D1374" s="656" t="s">
        <v>9879</v>
      </c>
      <c r="E1374" s="656" t="s">
        <v>14275</v>
      </c>
      <c r="F1374" s="1447">
        <v>44243</v>
      </c>
      <c r="G1374" s="656" t="s">
        <v>9878</v>
      </c>
      <c r="H1374" s="656" t="s">
        <v>1777</v>
      </c>
      <c r="I1374" s="656"/>
      <c r="J1374" s="656"/>
      <c r="K1374" s="656"/>
      <c r="L1374" s="656" t="s">
        <v>9879</v>
      </c>
      <c r="M1374" s="656" t="s">
        <v>16196</v>
      </c>
      <c r="N1374" s="656"/>
      <c r="O1374" s="656" t="s">
        <v>9714</v>
      </c>
      <c r="P1374" s="5"/>
      <c r="Q1374" s="1447">
        <v>43368</v>
      </c>
      <c r="R1374" s="656"/>
      <c r="S1374" s="656" t="s">
        <v>9725</v>
      </c>
      <c r="T1374" s="656"/>
      <c r="U1374" s="656" t="s">
        <v>9725</v>
      </c>
      <c r="V1374" s="656"/>
      <c r="W1374" s="656" t="s">
        <v>13051</v>
      </c>
      <c r="X1374" s="656" t="s">
        <v>498</v>
      </c>
      <c r="Y1374" s="656" t="s">
        <v>14278</v>
      </c>
      <c r="Z1374" s="656">
        <v>44305.519594907404</v>
      </c>
      <c r="AA1374" s="656" t="s">
        <v>14335</v>
      </c>
      <c r="AB1374" s="656"/>
    </row>
    <row r="1375" spans="1:28">
      <c r="A1375" s="656" t="s">
        <v>4625</v>
      </c>
      <c r="B1375" s="656" t="s">
        <v>4626</v>
      </c>
      <c r="C1375" s="656" t="s">
        <v>21</v>
      </c>
      <c r="D1375" s="656" t="s">
        <v>10270</v>
      </c>
      <c r="E1375" s="656" t="s">
        <v>14279</v>
      </c>
      <c r="F1375" s="1447"/>
      <c r="G1375" s="656" t="s">
        <v>10269</v>
      </c>
      <c r="H1375" s="656" t="s">
        <v>1777</v>
      </c>
      <c r="I1375" s="656" t="s">
        <v>14731</v>
      </c>
      <c r="J1375" s="656" t="s">
        <v>10270</v>
      </c>
      <c r="K1375" s="656" t="s">
        <v>9774</v>
      </c>
      <c r="L1375" s="656"/>
      <c r="M1375" s="656" t="s">
        <v>16196</v>
      </c>
      <c r="N1375" s="656"/>
      <c r="O1375" s="656" t="s">
        <v>9714</v>
      </c>
      <c r="P1375" s="5"/>
      <c r="Q1375" s="1447">
        <v>43958</v>
      </c>
      <c r="R1375" s="656"/>
      <c r="S1375" s="656" t="s">
        <v>442</v>
      </c>
      <c r="T1375" s="656"/>
      <c r="U1375" s="656"/>
      <c r="V1375" s="656"/>
      <c r="W1375" s="656" t="s">
        <v>13051</v>
      </c>
      <c r="X1375" s="656" t="s">
        <v>498</v>
      </c>
      <c r="Y1375" s="656" t="s">
        <v>14278</v>
      </c>
      <c r="Z1375" s="656">
        <v>44305.519583333335</v>
      </c>
      <c r="AA1375" s="656" t="s">
        <v>14335</v>
      </c>
      <c r="AB1375" s="656"/>
    </row>
    <row r="1376" spans="1:28">
      <c r="A1376" s="656" t="s">
        <v>4625</v>
      </c>
      <c r="B1376" s="656" t="s">
        <v>4626</v>
      </c>
      <c r="C1376" s="656" t="s">
        <v>20</v>
      </c>
      <c r="D1376" s="656" t="s">
        <v>9912</v>
      </c>
      <c r="E1376" s="656" t="s">
        <v>14279</v>
      </c>
      <c r="F1376" s="1447"/>
      <c r="G1376" s="656" t="s">
        <v>9910</v>
      </c>
      <c r="H1376" s="656" t="s">
        <v>1777</v>
      </c>
      <c r="I1376" s="656"/>
      <c r="J1376" s="656"/>
      <c r="K1376" s="656"/>
      <c r="L1376" s="656" t="s">
        <v>9912</v>
      </c>
      <c r="M1376" s="656" t="s">
        <v>16196</v>
      </c>
      <c r="N1376" s="656"/>
      <c r="O1376" s="656" t="s">
        <v>9714</v>
      </c>
      <c r="P1376" s="5"/>
      <c r="Q1376" s="1447">
        <v>43511</v>
      </c>
      <c r="R1376" s="656"/>
      <c r="S1376" s="656" t="s">
        <v>9911</v>
      </c>
      <c r="T1376" s="656"/>
      <c r="U1376" s="656"/>
      <c r="V1376" s="656"/>
      <c r="W1376" s="656" t="s">
        <v>13051</v>
      </c>
      <c r="X1376" s="656" t="s">
        <v>498</v>
      </c>
      <c r="Y1376" s="656" t="s">
        <v>14278</v>
      </c>
      <c r="Z1376" s="656">
        <v>44305.519594907404</v>
      </c>
      <c r="AA1376" s="656" t="s">
        <v>14335</v>
      </c>
      <c r="AB1376" s="656"/>
    </row>
    <row r="1377" spans="1:28">
      <c r="A1377" s="656" t="s">
        <v>4627</v>
      </c>
      <c r="B1377" s="656" t="s">
        <v>1632</v>
      </c>
      <c r="C1377" s="656" t="s">
        <v>20</v>
      </c>
      <c r="D1377" s="656" t="s">
        <v>9887</v>
      </c>
      <c r="E1377" s="656" t="s">
        <v>14275</v>
      </c>
      <c r="F1377" s="1447">
        <v>44243</v>
      </c>
      <c r="G1377" s="656" t="s">
        <v>9886</v>
      </c>
      <c r="H1377" s="656" t="s">
        <v>1777</v>
      </c>
      <c r="I1377" s="656"/>
      <c r="J1377" s="656"/>
      <c r="K1377" s="656"/>
      <c r="L1377" s="656" t="s">
        <v>9887</v>
      </c>
      <c r="M1377" s="656" t="s">
        <v>16196</v>
      </c>
      <c r="N1377" s="656"/>
      <c r="O1377" s="656" t="s">
        <v>9714</v>
      </c>
      <c r="P1377" s="5"/>
      <c r="Q1377" s="1447">
        <v>43389</v>
      </c>
      <c r="R1377" s="656"/>
      <c r="S1377" s="656" t="s">
        <v>9725</v>
      </c>
      <c r="T1377" s="656"/>
      <c r="U1377" s="656" t="s">
        <v>9725</v>
      </c>
      <c r="V1377" s="656"/>
      <c r="W1377" s="656" t="s">
        <v>13051</v>
      </c>
      <c r="X1377" s="656" t="s">
        <v>498</v>
      </c>
      <c r="Y1377" s="656" t="s">
        <v>14278</v>
      </c>
      <c r="Z1377" s="656">
        <v>44305.519583333335</v>
      </c>
      <c r="AA1377" s="656" t="s">
        <v>14335</v>
      </c>
      <c r="AB1377" s="656"/>
    </row>
    <row r="1378" spans="1:28">
      <c r="A1378" s="656" t="s">
        <v>4628</v>
      </c>
      <c r="B1378" s="656" t="s">
        <v>4629</v>
      </c>
      <c r="C1378" s="656" t="s">
        <v>21</v>
      </c>
      <c r="D1378" s="656" t="s">
        <v>9913</v>
      </c>
      <c r="E1378" s="656" t="s">
        <v>14279</v>
      </c>
      <c r="F1378" s="1447"/>
      <c r="G1378" s="656" t="s">
        <v>9870</v>
      </c>
      <c r="H1378" s="656" t="s">
        <v>1777</v>
      </c>
      <c r="I1378" s="656" t="s">
        <v>14732</v>
      </c>
      <c r="J1378" s="656" t="s">
        <v>9913</v>
      </c>
      <c r="K1378" s="656" t="s">
        <v>9774</v>
      </c>
      <c r="L1378" s="656"/>
      <c r="M1378" s="656" t="s">
        <v>16196</v>
      </c>
      <c r="N1378" s="656"/>
      <c r="O1378" s="656" t="s">
        <v>9714</v>
      </c>
      <c r="P1378" s="5"/>
      <c r="Q1378" s="1447">
        <v>43516</v>
      </c>
      <c r="R1378" s="656"/>
      <c r="S1378" s="656" t="s">
        <v>9725</v>
      </c>
      <c r="T1378" s="656" t="s">
        <v>9725</v>
      </c>
      <c r="U1378" s="656" t="s">
        <v>9725</v>
      </c>
      <c r="V1378" s="656"/>
      <c r="W1378" s="656" t="s">
        <v>13051</v>
      </c>
      <c r="X1378" s="656" t="s">
        <v>498</v>
      </c>
      <c r="Y1378" s="656" t="s">
        <v>14278</v>
      </c>
      <c r="Z1378" s="656">
        <v>44305.519571759258</v>
      </c>
      <c r="AA1378" s="656" t="s">
        <v>14335</v>
      </c>
      <c r="AB1378" s="656"/>
    </row>
    <row r="1379" spans="1:28">
      <c r="A1379" s="656" t="s">
        <v>4628</v>
      </c>
      <c r="B1379" s="656" t="s">
        <v>4629</v>
      </c>
      <c r="C1379" s="656" t="s">
        <v>20</v>
      </c>
      <c r="D1379" s="656" t="s">
        <v>9871</v>
      </c>
      <c r="E1379" s="656" t="s">
        <v>14279</v>
      </c>
      <c r="F1379" s="1447"/>
      <c r="G1379" s="656" t="s">
        <v>9870</v>
      </c>
      <c r="H1379" s="656" t="s">
        <v>1777</v>
      </c>
      <c r="I1379" s="656"/>
      <c r="J1379" s="656"/>
      <c r="K1379" s="656"/>
      <c r="L1379" s="656" t="s">
        <v>9871</v>
      </c>
      <c r="M1379" s="656" t="s">
        <v>16196</v>
      </c>
      <c r="N1379" s="656"/>
      <c r="O1379" s="656" t="s">
        <v>9714</v>
      </c>
      <c r="P1379" s="5"/>
      <c r="Q1379" s="1447">
        <v>43367</v>
      </c>
      <c r="R1379" s="656"/>
      <c r="S1379" s="656" t="s">
        <v>9725</v>
      </c>
      <c r="T1379" s="656"/>
      <c r="U1379" s="656" t="s">
        <v>9725</v>
      </c>
      <c r="V1379" s="656"/>
      <c r="W1379" s="656" t="s">
        <v>13051</v>
      </c>
      <c r="X1379" s="656" t="s">
        <v>498</v>
      </c>
      <c r="Y1379" s="656" t="s">
        <v>14278</v>
      </c>
      <c r="Z1379" s="656">
        <v>44305.519571759258</v>
      </c>
      <c r="AA1379" s="656" t="s">
        <v>14335</v>
      </c>
      <c r="AB1379" s="656"/>
    </row>
    <row r="1380" spans="1:28">
      <c r="A1380" s="656" t="s">
        <v>4630</v>
      </c>
      <c r="B1380" s="656" t="s">
        <v>1624</v>
      </c>
      <c r="C1380" s="656" t="s">
        <v>20</v>
      </c>
      <c r="D1380" s="656" t="s">
        <v>9875</v>
      </c>
      <c r="E1380" s="656" t="s">
        <v>14275</v>
      </c>
      <c r="F1380" s="1447">
        <v>44243</v>
      </c>
      <c r="G1380" s="656" t="s">
        <v>9874</v>
      </c>
      <c r="H1380" s="656" t="s">
        <v>1777</v>
      </c>
      <c r="I1380" s="656"/>
      <c r="J1380" s="656"/>
      <c r="K1380" s="656"/>
      <c r="L1380" s="656" t="s">
        <v>9875</v>
      </c>
      <c r="M1380" s="656" t="s">
        <v>16196</v>
      </c>
      <c r="N1380" s="656"/>
      <c r="O1380" s="656" t="s">
        <v>9714</v>
      </c>
      <c r="P1380" s="5"/>
      <c r="Q1380" s="1447">
        <v>43368</v>
      </c>
      <c r="R1380" s="656"/>
      <c r="S1380" s="656" t="s">
        <v>9725</v>
      </c>
      <c r="T1380" s="656"/>
      <c r="U1380" s="656" t="s">
        <v>9725</v>
      </c>
      <c r="V1380" s="656"/>
      <c r="W1380" s="656" t="s">
        <v>13051</v>
      </c>
      <c r="X1380" s="656" t="s">
        <v>498</v>
      </c>
      <c r="Y1380" s="656" t="s">
        <v>14278</v>
      </c>
      <c r="Z1380" s="656">
        <v>44305.519571759258</v>
      </c>
      <c r="AA1380" s="656" t="s">
        <v>14335</v>
      </c>
      <c r="AB1380" s="656"/>
    </row>
    <row r="1381" spans="1:28">
      <c r="A1381" s="656" t="s">
        <v>4631</v>
      </c>
      <c r="B1381" s="656" t="s">
        <v>4632</v>
      </c>
      <c r="C1381" s="656" t="s">
        <v>21</v>
      </c>
      <c r="D1381" s="656" t="s">
        <v>9836</v>
      </c>
      <c r="E1381" s="656" t="s">
        <v>14279</v>
      </c>
      <c r="F1381" s="1447"/>
      <c r="G1381" s="656" t="s">
        <v>9724</v>
      </c>
      <c r="H1381" s="656" t="s">
        <v>1777</v>
      </c>
      <c r="I1381" s="656" t="s">
        <v>14733</v>
      </c>
      <c r="J1381" s="656" t="s">
        <v>9836</v>
      </c>
      <c r="K1381" s="656" t="s">
        <v>9774</v>
      </c>
      <c r="L1381" s="656"/>
      <c r="M1381" s="656" t="s">
        <v>16196</v>
      </c>
      <c r="N1381" s="656"/>
      <c r="O1381" s="656" t="s">
        <v>9714</v>
      </c>
      <c r="P1381" s="5"/>
      <c r="Q1381" s="1447">
        <v>43266</v>
      </c>
      <c r="R1381" s="656"/>
      <c r="S1381" s="656" t="s">
        <v>9725</v>
      </c>
      <c r="T1381" s="656"/>
      <c r="U1381" s="656" t="s">
        <v>9725</v>
      </c>
      <c r="V1381" s="656"/>
      <c r="W1381" s="656" t="s">
        <v>13051</v>
      </c>
      <c r="X1381" s="656" t="s">
        <v>498</v>
      </c>
      <c r="Y1381" s="656" t="s">
        <v>14278</v>
      </c>
      <c r="Z1381" s="656">
        <v>44305.519560185188</v>
      </c>
      <c r="AA1381" s="656" t="s">
        <v>14335</v>
      </c>
      <c r="AB1381" s="656"/>
    </row>
    <row r="1382" spans="1:28">
      <c r="A1382" s="656" t="s">
        <v>4631</v>
      </c>
      <c r="B1382" s="656" t="s">
        <v>4632</v>
      </c>
      <c r="C1382" s="656" t="s">
        <v>20</v>
      </c>
      <c r="D1382" s="656" t="s">
        <v>9726</v>
      </c>
      <c r="E1382" s="656" t="s">
        <v>14275</v>
      </c>
      <c r="F1382" s="1447">
        <v>44263</v>
      </c>
      <c r="G1382" s="656" t="s">
        <v>9724</v>
      </c>
      <c r="H1382" s="656" t="s">
        <v>1777</v>
      </c>
      <c r="I1382" s="656"/>
      <c r="J1382" s="656"/>
      <c r="K1382" s="656"/>
      <c r="L1382" s="656" t="s">
        <v>9726</v>
      </c>
      <c r="M1382" s="656" t="s">
        <v>16196</v>
      </c>
      <c r="N1382" s="656"/>
      <c r="O1382" s="656" t="s">
        <v>9714</v>
      </c>
      <c r="P1382" s="5"/>
      <c r="Q1382" s="1447">
        <v>43054</v>
      </c>
      <c r="R1382" s="656"/>
      <c r="S1382" s="656" t="s">
        <v>9725</v>
      </c>
      <c r="T1382" s="656" t="s">
        <v>282</v>
      </c>
      <c r="U1382" s="656" t="s">
        <v>1949</v>
      </c>
      <c r="V1382" s="656"/>
      <c r="W1382" s="656" t="s">
        <v>13051</v>
      </c>
      <c r="X1382" s="656" t="s">
        <v>498</v>
      </c>
      <c r="Y1382" s="656" t="s">
        <v>14278</v>
      </c>
      <c r="Z1382" s="656">
        <v>44305.519560185188</v>
      </c>
      <c r="AA1382" s="656" t="s">
        <v>14335</v>
      </c>
      <c r="AB1382" s="656"/>
    </row>
    <row r="1383" spans="1:28">
      <c r="A1383" s="656" t="s">
        <v>4638</v>
      </c>
      <c r="B1383" s="656" t="s">
        <v>4639</v>
      </c>
      <c r="C1383" s="656" t="s">
        <v>20</v>
      </c>
      <c r="D1383" s="656" t="s">
        <v>9877</v>
      </c>
      <c r="E1383" s="656" t="s">
        <v>14275</v>
      </c>
      <c r="F1383" s="1447">
        <v>44243</v>
      </c>
      <c r="G1383" s="656" t="s">
        <v>9876</v>
      </c>
      <c r="H1383" s="656" t="s">
        <v>1777</v>
      </c>
      <c r="I1383" s="656"/>
      <c r="J1383" s="656"/>
      <c r="K1383" s="656"/>
      <c r="L1383" s="656" t="s">
        <v>9877</v>
      </c>
      <c r="M1383" s="656" t="s">
        <v>16196</v>
      </c>
      <c r="N1383" s="656"/>
      <c r="O1383" s="656" t="s">
        <v>9714</v>
      </c>
      <c r="P1383" s="5"/>
      <c r="Q1383" s="1447">
        <v>43368</v>
      </c>
      <c r="R1383" s="656"/>
      <c r="S1383" s="656" t="s">
        <v>9725</v>
      </c>
      <c r="T1383" s="656"/>
      <c r="U1383" s="656" t="s">
        <v>9725</v>
      </c>
      <c r="V1383" s="656"/>
      <c r="W1383" s="656" t="s">
        <v>13051</v>
      </c>
      <c r="X1383" s="656" t="s">
        <v>498</v>
      </c>
      <c r="Y1383" s="656" t="s">
        <v>14278</v>
      </c>
      <c r="Z1383" s="656">
        <v>44305.519548611112</v>
      </c>
      <c r="AA1383" s="656" t="s">
        <v>14335</v>
      </c>
      <c r="AB1383" s="656"/>
    </row>
    <row r="1384" spans="1:28">
      <c r="A1384" s="656" t="s">
        <v>4640</v>
      </c>
      <c r="B1384" s="656" t="s">
        <v>4641</v>
      </c>
      <c r="C1384" s="656" t="s">
        <v>21</v>
      </c>
      <c r="D1384" s="656" t="s">
        <v>12306</v>
      </c>
      <c r="E1384" s="656" t="s">
        <v>14275</v>
      </c>
      <c r="F1384" s="1447">
        <v>43917</v>
      </c>
      <c r="G1384" s="656" t="s">
        <v>12139</v>
      </c>
      <c r="H1384" s="656" t="s">
        <v>1777</v>
      </c>
      <c r="I1384" s="656"/>
      <c r="J1384" s="656" t="s">
        <v>12306</v>
      </c>
      <c r="K1384" s="656"/>
      <c r="L1384" s="656"/>
      <c r="M1384" s="656" t="s">
        <v>16196</v>
      </c>
      <c r="N1384" s="656"/>
      <c r="O1384" s="656" t="s">
        <v>9714</v>
      </c>
      <c r="P1384" s="5"/>
      <c r="Q1384" s="1447">
        <v>43410</v>
      </c>
      <c r="R1384" s="656">
        <v>43677</v>
      </c>
      <c r="S1384" s="656" t="s">
        <v>12076</v>
      </c>
      <c r="T1384" s="656" t="s">
        <v>9725</v>
      </c>
      <c r="U1384" s="656" t="s">
        <v>9725</v>
      </c>
      <c r="V1384" s="656"/>
      <c r="W1384" s="656" t="s">
        <v>13051</v>
      </c>
      <c r="X1384" s="656" t="s">
        <v>498</v>
      </c>
      <c r="Y1384" s="656" t="s">
        <v>14278</v>
      </c>
      <c r="Z1384" s="656">
        <v>44305.519537037035</v>
      </c>
      <c r="AA1384" s="656" t="s">
        <v>14335</v>
      </c>
      <c r="AB1384" s="656"/>
    </row>
    <row r="1385" spans="1:28">
      <c r="A1385" s="656" t="s">
        <v>4640</v>
      </c>
      <c r="B1385" s="656" t="s">
        <v>4641</v>
      </c>
      <c r="C1385" s="656" t="s">
        <v>20</v>
      </c>
      <c r="D1385" s="656" t="s">
        <v>12140</v>
      </c>
      <c r="E1385" s="656" t="s">
        <v>14275</v>
      </c>
      <c r="F1385" s="1447">
        <v>43916</v>
      </c>
      <c r="G1385" s="656" t="s">
        <v>12139</v>
      </c>
      <c r="H1385" s="656" t="s">
        <v>1777</v>
      </c>
      <c r="I1385" s="656"/>
      <c r="J1385" s="656"/>
      <c r="K1385" s="656"/>
      <c r="L1385" s="656" t="s">
        <v>12140</v>
      </c>
      <c r="M1385" s="656" t="s">
        <v>16196</v>
      </c>
      <c r="N1385" s="656"/>
      <c r="O1385" s="656" t="s">
        <v>9714</v>
      </c>
      <c r="P1385" s="5"/>
      <c r="Q1385" s="1447">
        <v>43360</v>
      </c>
      <c r="R1385" s="656"/>
      <c r="S1385" s="656" t="s">
        <v>12076</v>
      </c>
      <c r="T1385" s="656"/>
      <c r="U1385" s="656" t="s">
        <v>12076</v>
      </c>
      <c r="V1385" s="656"/>
      <c r="W1385" s="656" t="s">
        <v>13051</v>
      </c>
      <c r="X1385" s="656" t="s">
        <v>498</v>
      </c>
      <c r="Y1385" s="656" t="s">
        <v>14278</v>
      </c>
      <c r="Z1385" s="656">
        <v>44305.519537037035</v>
      </c>
      <c r="AA1385" s="656" t="s">
        <v>14335</v>
      </c>
      <c r="AB1385" s="656"/>
    </row>
    <row r="1386" spans="1:28">
      <c r="A1386" s="656" t="s">
        <v>4642</v>
      </c>
      <c r="B1386" s="656" t="s">
        <v>4643</v>
      </c>
      <c r="C1386" s="656" t="s">
        <v>21</v>
      </c>
      <c r="D1386" s="656" t="s">
        <v>12303</v>
      </c>
      <c r="E1386" s="656" t="s">
        <v>14275</v>
      </c>
      <c r="F1386" s="1447">
        <v>44211</v>
      </c>
      <c r="G1386" s="656" t="s">
        <v>9834</v>
      </c>
      <c r="H1386" s="656" t="s">
        <v>1777</v>
      </c>
      <c r="I1386" s="656" t="s">
        <v>14734</v>
      </c>
      <c r="J1386" s="656" t="s">
        <v>12303</v>
      </c>
      <c r="K1386" s="656" t="s">
        <v>9774</v>
      </c>
      <c r="L1386" s="656"/>
      <c r="M1386" s="656" t="s">
        <v>16196</v>
      </c>
      <c r="N1386" s="656"/>
      <c r="O1386" s="656" t="s">
        <v>9714</v>
      </c>
      <c r="P1386" s="5"/>
      <c r="Q1386" s="1447">
        <v>43276</v>
      </c>
      <c r="R1386" s="656">
        <v>43921</v>
      </c>
      <c r="S1386" s="656" t="s">
        <v>9725</v>
      </c>
      <c r="T1386" s="656"/>
      <c r="U1386" s="656"/>
      <c r="V1386" s="656"/>
      <c r="W1386" s="656" t="s">
        <v>13051</v>
      </c>
      <c r="X1386" s="656" t="s">
        <v>498</v>
      </c>
      <c r="Y1386" s="656" t="s">
        <v>14278</v>
      </c>
      <c r="Z1386" s="656">
        <v>44305.519525462965</v>
      </c>
      <c r="AA1386" s="656" t="s">
        <v>14335</v>
      </c>
      <c r="AB1386" s="656"/>
    </row>
    <row r="1387" spans="1:28">
      <c r="A1387" s="656" t="s">
        <v>4642</v>
      </c>
      <c r="B1387" s="656" t="s">
        <v>4643</v>
      </c>
      <c r="C1387" s="656" t="s">
        <v>20</v>
      </c>
      <c r="D1387" s="656" t="s">
        <v>9835</v>
      </c>
      <c r="E1387" s="656" t="s">
        <v>14275</v>
      </c>
      <c r="F1387" s="1447">
        <v>44085</v>
      </c>
      <c r="G1387" s="656" t="s">
        <v>9834</v>
      </c>
      <c r="H1387" s="656" t="s">
        <v>1777</v>
      </c>
      <c r="I1387" s="656"/>
      <c r="J1387" s="656"/>
      <c r="K1387" s="656"/>
      <c r="L1387" s="656" t="s">
        <v>9835</v>
      </c>
      <c r="M1387" s="656" t="s">
        <v>16196</v>
      </c>
      <c r="N1387" s="656"/>
      <c r="O1387" s="656" t="s">
        <v>9714</v>
      </c>
      <c r="P1387" s="5"/>
      <c r="Q1387" s="1447">
        <v>43256</v>
      </c>
      <c r="R1387" s="656"/>
      <c r="S1387" s="656" t="s">
        <v>9725</v>
      </c>
      <c r="T1387" s="656"/>
      <c r="U1387" s="656" t="s">
        <v>9725</v>
      </c>
      <c r="V1387" s="656"/>
      <c r="W1387" s="656" t="s">
        <v>13051</v>
      </c>
      <c r="X1387" s="656" t="s">
        <v>498</v>
      </c>
      <c r="Y1387" s="656" t="s">
        <v>14278</v>
      </c>
      <c r="Z1387" s="656">
        <v>44305.519525462965</v>
      </c>
      <c r="AA1387" s="656" t="s">
        <v>14335</v>
      </c>
      <c r="AB1387" s="656"/>
    </row>
    <row r="1388" spans="1:28">
      <c r="A1388" s="656" t="s">
        <v>4644</v>
      </c>
      <c r="B1388" s="656" t="s">
        <v>4637</v>
      </c>
      <c r="C1388" s="656" t="s">
        <v>21</v>
      </c>
      <c r="D1388" s="656" t="s">
        <v>9920</v>
      </c>
      <c r="E1388" s="656" t="s">
        <v>14279</v>
      </c>
      <c r="F1388" s="1447"/>
      <c r="G1388" s="656" t="s">
        <v>9919</v>
      </c>
      <c r="H1388" s="656" t="s">
        <v>1777</v>
      </c>
      <c r="I1388" s="656" t="s">
        <v>14735</v>
      </c>
      <c r="J1388" s="656" t="s">
        <v>9920</v>
      </c>
      <c r="K1388" s="656" t="s">
        <v>9774</v>
      </c>
      <c r="L1388" s="656"/>
      <c r="M1388" s="656" t="s">
        <v>16196</v>
      </c>
      <c r="N1388" s="656"/>
      <c r="O1388" s="656" t="s">
        <v>9714</v>
      </c>
      <c r="P1388" s="5"/>
      <c r="Q1388" s="1447">
        <v>43517</v>
      </c>
      <c r="R1388" s="656"/>
      <c r="S1388" s="656" t="s">
        <v>9725</v>
      </c>
      <c r="T1388" s="656"/>
      <c r="U1388" s="656"/>
      <c r="V1388" s="656"/>
      <c r="W1388" s="656" t="s">
        <v>13051</v>
      </c>
      <c r="X1388" s="656" t="s">
        <v>498</v>
      </c>
      <c r="Y1388" s="656" t="s">
        <v>14278</v>
      </c>
      <c r="Z1388" s="656">
        <v>44305.519513888888</v>
      </c>
      <c r="AA1388" s="656" t="s">
        <v>14335</v>
      </c>
      <c r="AB1388" s="656"/>
    </row>
    <row r="1389" spans="1:28">
      <c r="A1389" s="656" t="s">
        <v>4644</v>
      </c>
      <c r="B1389" s="656" t="s">
        <v>4637</v>
      </c>
      <c r="C1389" s="656" t="s">
        <v>20</v>
      </c>
      <c r="D1389" s="656" t="s">
        <v>9889</v>
      </c>
      <c r="E1389" s="656" t="s">
        <v>14275</v>
      </c>
      <c r="F1389" s="1447">
        <v>44263</v>
      </c>
      <c r="G1389" s="656" t="s">
        <v>9888</v>
      </c>
      <c r="H1389" s="656" t="s">
        <v>1777</v>
      </c>
      <c r="I1389" s="656"/>
      <c r="J1389" s="656"/>
      <c r="K1389" s="656"/>
      <c r="L1389" s="656" t="s">
        <v>9889</v>
      </c>
      <c r="M1389" s="656" t="s">
        <v>16196</v>
      </c>
      <c r="N1389" s="656"/>
      <c r="O1389" s="656" t="s">
        <v>9714</v>
      </c>
      <c r="P1389" s="5"/>
      <c r="Q1389" s="1447">
        <v>43392</v>
      </c>
      <c r="R1389" s="656"/>
      <c r="S1389" s="656" t="s">
        <v>9725</v>
      </c>
      <c r="T1389" s="656"/>
      <c r="U1389" s="656" t="s">
        <v>9725</v>
      </c>
      <c r="V1389" s="656"/>
      <c r="W1389" s="656" t="s">
        <v>13051</v>
      </c>
      <c r="X1389" s="656" t="s">
        <v>498</v>
      </c>
      <c r="Y1389" s="656" t="s">
        <v>14278</v>
      </c>
      <c r="Z1389" s="656">
        <v>44305.519513888888</v>
      </c>
      <c r="AA1389" s="656" t="s">
        <v>14335</v>
      </c>
      <c r="AB1389" s="656"/>
    </row>
    <row r="1390" spans="1:28">
      <c r="A1390" s="656" t="s">
        <v>4645</v>
      </c>
      <c r="B1390" s="656" t="s">
        <v>4646</v>
      </c>
      <c r="C1390" s="656" t="s">
        <v>21</v>
      </c>
      <c r="D1390" s="656" t="s">
        <v>9873</v>
      </c>
      <c r="E1390" s="656" t="s">
        <v>14279</v>
      </c>
      <c r="F1390" s="1447"/>
      <c r="G1390" s="656" t="s">
        <v>9872</v>
      </c>
      <c r="H1390" s="656" t="s">
        <v>1777</v>
      </c>
      <c r="I1390" s="656" t="s">
        <v>14736</v>
      </c>
      <c r="J1390" s="656" t="s">
        <v>9873</v>
      </c>
      <c r="K1390" s="656" t="s">
        <v>9774</v>
      </c>
      <c r="L1390" s="656"/>
      <c r="M1390" s="656" t="s">
        <v>16196</v>
      </c>
      <c r="N1390" s="656"/>
      <c r="O1390" s="656" t="s">
        <v>9714</v>
      </c>
      <c r="P1390" s="5"/>
      <c r="Q1390" s="1447">
        <v>43368</v>
      </c>
      <c r="R1390" s="656"/>
      <c r="S1390" s="656" t="s">
        <v>9725</v>
      </c>
      <c r="T1390" s="656"/>
      <c r="U1390" s="656" t="s">
        <v>9725</v>
      </c>
      <c r="V1390" s="656"/>
      <c r="W1390" s="656" t="s">
        <v>13051</v>
      </c>
      <c r="X1390" s="656" t="s">
        <v>498</v>
      </c>
      <c r="Y1390" s="656" t="s">
        <v>14278</v>
      </c>
      <c r="Z1390" s="656">
        <v>44305.519502314812</v>
      </c>
      <c r="AA1390" s="656" t="s">
        <v>14335</v>
      </c>
      <c r="AB1390" s="656"/>
    </row>
    <row r="1391" spans="1:28">
      <c r="A1391" s="656" t="s">
        <v>4645</v>
      </c>
      <c r="B1391" s="656" t="s">
        <v>4646</v>
      </c>
      <c r="C1391" s="656" t="s">
        <v>20</v>
      </c>
      <c r="D1391" s="656" t="s">
        <v>9880</v>
      </c>
      <c r="E1391" s="656" t="s">
        <v>14275</v>
      </c>
      <c r="F1391" s="1447">
        <v>44263</v>
      </c>
      <c r="G1391" s="656" t="s">
        <v>9872</v>
      </c>
      <c r="H1391" s="656" t="s">
        <v>1777</v>
      </c>
      <c r="I1391" s="656"/>
      <c r="J1391" s="656"/>
      <c r="K1391" s="656"/>
      <c r="L1391" s="656" t="s">
        <v>9880</v>
      </c>
      <c r="M1391" s="656" t="s">
        <v>16196</v>
      </c>
      <c r="N1391" s="656"/>
      <c r="O1391" s="656" t="s">
        <v>9714</v>
      </c>
      <c r="P1391" s="5"/>
      <c r="Q1391" s="1447">
        <v>43370</v>
      </c>
      <c r="R1391" s="656"/>
      <c r="S1391" s="656" t="s">
        <v>9725</v>
      </c>
      <c r="T1391" s="656"/>
      <c r="U1391" s="656"/>
      <c r="V1391" s="656"/>
      <c r="W1391" s="656" t="s">
        <v>13051</v>
      </c>
      <c r="X1391" s="656" t="s">
        <v>498</v>
      </c>
      <c r="Y1391" s="656" t="s">
        <v>14278</v>
      </c>
      <c r="Z1391" s="656">
        <v>44305.519502314812</v>
      </c>
      <c r="AA1391" s="656" t="s">
        <v>14335</v>
      </c>
      <c r="AB1391" s="656"/>
    </row>
    <row r="1392" spans="1:28">
      <c r="A1392" s="656" t="s">
        <v>4668</v>
      </c>
      <c r="B1392" s="656" t="s">
        <v>1622</v>
      </c>
      <c r="C1392" s="656" t="s">
        <v>21</v>
      </c>
      <c r="D1392" s="656" t="s">
        <v>12298</v>
      </c>
      <c r="E1392" s="656" t="s">
        <v>14275</v>
      </c>
      <c r="F1392" s="1447">
        <v>44179</v>
      </c>
      <c r="G1392" s="656" t="s">
        <v>9812</v>
      </c>
      <c r="H1392" s="656" t="s">
        <v>1777</v>
      </c>
      <c r="I1392" s="656" t="s">
        <v>14737</v>
      </c>
      <c r="J1392" s="656" t="s">
        <v>12298</v>
      </c>
      <c r="K1392" s="656" t="s">
        <v>9774</v>
      </c>
      <c r="L1392" s="656"/>
      <c r="M1392" s="656" t="s">
        <v>16196</v>
      </c>
      <c r="N1392" s="656"/>
      <c r="O1392" s="656" t="s">
        <v>9714</v>
      </c>
      <c r="P1392" s="5"/>
      <c r="Q1392" s="1447">
        <v>43187</v>
      </c>
      <c r="R1392" s="656">
        <v>43524</v>
      </c>
      <c r="S1392" s="656" t="s">
        <v>9725</v>
      </c>
      <c r="T1392" s="656"/>
      <c r="U1392" s="656" t="s">
        <v>9725</v>
      </c>
      <c r="V1392" s="656"/>
      <c r="W1392" s="656" t="s">
        <v>13051</v>
      </c>
      <c r="X1392" s="656" t="s">
        <v>498</v>
      </c>
      <c r="Y1392" s="656" t="s">
        <v>14278</v>
      </c>
      <c r="Z1392" s="656">
        <v>44305.519479166665</v>
      </c>
      <c r="AA1392" s="656" t="s">
        <v>14335</v>
      </c>
      <c r="AB1392" s="656"/>
    </row>
    <row r="1393" spans="1:28">
      <c r="A1393" s="656" t="s">
        <v>4668</v>
      </c>
      <c r="B1393" s="656" t="s">
        <v>1622</v>
      </c>
      <c r="C1393" s="656" t="s">
        <v>21</v>
      </c>
      <c r="D1393" s="656" t="s">
        <v>9941</v>
      </c>
      <c r="E1393" s="656" t="s">
        <v>14275</v>
      </c>
      <c r="F1393" s="1447">
        <v>44138</v>
      </c>
      <c r="G1393" s="656" t="s">
        <v>9812</v>
      </c>
      <c r="H1393" s="656" t="s">
        <v>1777</v>
      </c>
      <c r="I1393" s="656" t="s">
        <v>14737</v>
      </c>
      <c r="J1393" s="656" t="s">
        <v>9941</v>
      </c>
      <c r="K1393" s="656" t="s">
        <v>9774</v>
      </c>
      <c r="L1393" s="656"/>
      <c r="M1393" s="656" t="s">
        <v>16196</v>
      </c>
      <c r="N1393" s="656"/>
      <c r="O1393" s="656" t="s">
        <v>9714</v>
      </c>
      <c r="P1393" s="5"/>
      <c r="Q1393" s="1447">
        <v>43546</v>
      </c>
      <c r="R1393" s="656"/>
      <c r="S1393" s="656" t="s">
        <v>9725</v>
      </c>
      <c r="T1393" s="656"/>
      <c r="U1393" s="656"/>
      <c r="V1393" s="656"/>
      <c r="W1393" s="656" t="s">
        <v>13051</v>
      </c>
      <c r="X1393" s="656" t="s">
        <v>498</v>
      </c>
      <c r="Y1393" s="656" t="s">
        <v>14278</v>
      </c>
      <c r="Z1393" s="656">
        <v>44305.519479166665</v>
      </c>
      <c r="AA1393" s="656" t="s">
        <v>14335</v>
      </c>
      <c r="AB1393" s="656"/>
    </row>
    <row r="1394" spans="1:28">
      <c r="A1394" s="656" t="s">
        <v>4668</v>
      </c>
      <c r="B1394" s="656" t="s">
        <v>1622</v>
      </c>
      <c r="C1394" s="656" t="s">
        <v>21</v>
      </c>
      <c r="D1394" s="656" t="s">
        <v>9942</v>
      </c>
      <c r="E1394" s="656" t="s">
        <v>14275</v>
      </c>
      <c r="F1394" s="1447">
        <v>44138</v>
      </c>
      <c r="G1394" s="656" t="s">
        <v>9812</v>
      </c>
      <c r="H1394" s="656" t="s">
        <v>1777</v>
      </c>
      <c r="I1394" s="656" t="s">
        <v>14737</v>
      </c>
      <c r="J1394" s="656" t="s">
        <v>9942</v>
      </c>
      <c r="K1394" s="656" t="s">
        <v>9774</v>
      </c>
      <c r="L1394" s="656"/>
      <c r="M1394" s="656" t="s">
        <v>16196</v>
      </c>
      <c r="N1394" s="656"/>
      <c r="O1394" s="656" t="s">
        <v>9714</v>
      </c>
      <c r="P1394" s="5"/>
      <c r="Q1394" s="1447">
        <v>43546</v>
      </c>
      <c r="R1394" s="656"/>
      <c r="S1394" s="656" t="s">
        <v>9725</v>
      </c>
      <c r="T1394" s="656"/>
      <c r="U1394" s="656"/>
      <c r="V1394" s="656"/>
      <c r="W1394" s="656" t="s">
        <v>13051</v>
      </c>
      <c r="X1394" s="656" t="s">
        <v>498</v>
      </c>
      <c r="Y1394" s="656" t="s">
        <v>14278</v>
      </c>
      <c r="Z1394" s="656">
        <v>44305.519490740742</v>
      </c>
      <c r="AA1394" s="656" t="s">
        <v>14335</v>
      </c>
      <c r="AB1394" s="656"/>
    </row>
    <row r="1395" spans="1:28">
      <c r="A1395" s="656" t="s">
        <v>4668</v>
      </c>
      <c r="B1395" s="656" t="s">
        <v>1622</v>
      </c>
      <c r="C1395" s="656" t="s">
        <v>20</v>
      </c>
      <c r="D1395" s="656" t="s">
        <v>9813</v>
      </c>
      <c r="E1395" s="656" t="s">
        <v>14275</v>
      </c>
      <c r="F1395" s="1447">
        <v>44188</v>
      </c>
      <c r="G1395" s="656" t="s">
        <v>9812</v>
      </c>
      <c r="H1395" s="656" t="s">
        <v>1777</v>
      </c>
      <c r="I1395" s="656"/>
      <c r="J1395" s="656"/>
      <c r="K1395" s="656"/>
      <c r="L1395" s="656" t="s">
        <v>9813</v>
      </c>
      <c r="M1395" s="656" t="s">
        <v>16196</v>
      </c>
      <c r="N1395" s="656"/>
      <c r="O1395" s="656" t="s">
        <v>9714</v>
      </c>
      <c r="P1395" s="5"/>
      <c r="Q1395" s="1447">
        <v>43166</v>
      </c>
      <c r="R1395" s="656"/>
      <c r="S1395" s="656" t="s">
        <v>9725</v>
      </c>
      <c r="T1395" s="656"/>
      <c r="U1395" s="656" t="s">
        <v>569</v>
      </c>
      <c r="V1395" s="656"/>
      <c r="W1395" s="656" t="s">
        <v>13051</v>
      </c>
      <c r="X1395" s="656" t="s">
        <v>498</v>
      </c>
      <c r="Y1395" s="656" t="s">
        <v>14278</v>
      </c>
      <c r="Z1395" s="656">
        <v>44305.519490740742</v>
      </c>
      <c r="AA1395" s="656" t="s">
        <v>14335</v>
      </c>
      <c r="AB1395" s="656"/>
    </row>
    <row r="1396" spans="1:28">
      <c r="A1396" s="656" t="s">
        <v>4722</v>
      </c>
      <c r="B1396" s="656" t="s">
        <v>4698</v>
      </c>
      <c r="C1396" s="656" t="s">
        <v>21</v>
      </c>
      <c r="D1396" s="656" t="s">
        <v>11153</v>
      </c>
      <c r="E1396" s="656" t="s">
        <v>14275</v>
      </c>
      <c r="F1396" s="1447">
        <v>43227</v>
      </c>
      <c r="G1396" s="656" t="s">
        <v>11152</v>
      </c>
      <c r="H1396" s="656" t="s">
        <v>1777</v>
      </c>
      <c r="I1396" s="656" t="s">
        <v>14738</v>
      </c>
      <c r="J1396" s="656" t="s">
        <v>11153</v>
      </c>
      <c r="K1396" s="656" t="s">
        <v>9721</v>
      </c>
      <c r="L1396" s="656"/>
      <c r="M1396" s="656" t="s">
        <v>16196</v>
      </c>
      <c r="N1396" s="656"/>
      <c r="O1396" s="656" t="s">
        <v>9714</v>
      </c>
      <c r="P1396" s="5"/>
      <c r="Q1396" s="1447">
        <v>42954</v>
      </c>
      <c r="R1396" s="656">
        <v>43035</v>
      </c>
      <c r="S1396" s="656" t="s">
        <v>1949</v>
      </c>
      <c r="T1396" s="656" t="s">
        <v>9725</v>
      </c>
      <c r="U1396" s="656" t="s">
        <v>9725</v>
      </c>
      <c r="V1396" s="656"/>
      <c r="W1396" s="656" t="s">
        <v>13051</v>
      </c>
      <c r="X1396" s="656" t="s">
        <v>498</v>
      </c>
      <c r="Y1396" s="656" t="s">
        <v>14278</v>
      </c>
      <c r="Z1396" s="656">
        <v>44305.519467592596</v>
      </c>
      <c r="AA1396" s="656" t="s">
        <v>14335</v>
      </c>
      <c r="AB1396" s="656"/>
    </row>
    <row r="1397" spans="1:28">
      <c r="A1397" s="656" t="s">
        <v>4722</v>
      </c>
      <c r="B1397" s="656" t="s">
        <v>4698</v>
      </c>
      <c r="C1397" s="656" t="s">
        <v>20</v>
      </c>
      <c r="D1397" s="656" t="s">
        <v>11154</v>
      </c>
      <c r="E1397" s="656" t="s">
        <v>14275</v>
      </c>
      <c r="F1397" s="1447">
        <v>43213</v>
      </c>
      <c r="G1397" s="656" t="s">
        <v>11152</v>
      </c>
      <c r="H1397" s="656" t="s">
        <v>1777</v>
      </c>
      <c r="I1397" s="656"/>
      <c r="J1397" s="656"/>
      <c r="K1397" s="656"/>
      <c r="L1397" s="656" t="s">
        <v>11154</v>
      </c>
      <c r="M1397" s="656" t="s">
        <v>16196</v>
      </c>
      <c r="N1397" s="656"/>
      <c r="O1397" s="656" t="s">
        <v>9714</v>
      </c>
      <c r="P1397" s="5"/>
      <c r="Q1397" s="1447"/>
      <c r="R1397" s="656"/>
      <c r="S1397" s="656" t="s">
        <v>1949</v>
      </c>
      <c r="T1397" s="656" t="s">
        <v>9725</v>
      </c>
      <c r="U1397" s="656" t="s">
        <v>9725</v>
      </c>
      <c r="V1397" s="656"/>
      <c r="W1397" s="656" t="s">
        <v>13051</v>
      </c>
      <c r="X1397" s="656" t="s">
        <v>498</v>
      </c>
      <c r="Y1397" s="656" t="s">
        <v>14278</v>
      </c>
      <c r="Z1397" s="656">
        <v>44305.519467592596</v>
      </c>
      <c r="AA1397" s="656" t="s">
        <v>14335</v>
      </c>
      <c r="AB1397" s="656"/>
    </row>
    <row r="1398" spans="1:28">
      <c r="A1398" s="656" t="s">
        <v>4730</v>
      </c>
      <c r="B1398" s="656" t="s">
        <v>4669</v>
      </c>
      <c r="C1398" s="656" t="s">
        <v>20</v>
      </c>
      <c r="D1398" s="656" t="s">
        <v>11151</v>
      </c>
      <c r="E1398" s="656" t="s">
        <v>14275</v>
      </c>
      <c r="F1398" s="1447">
        <v>43290</v>
      </c>
      <c r="G1398" s="656" t="s">
        <v>11150</v>
      </c>
      <c r="H1398" s="656" t="s">
        <v>1777</v>
      </c>
      <c r="I1398" s="656"/>
      <c r="J1398" s="656"/>
      <c r="K1398" s="656"/>
      <c r="L1398" s="656" t="s">
        <v>11151</v>
      </c>
      <c r="M1398" s="656" t="s">
        <v>16196</v>
      </c>
      <c r="N1398" s="656"/>
      <c r="O1398" s="656" t="s">
        <v>9714</v>
      </c>
      <c r="P1398" s="5"/>
      <c r="Q1398" s="1447">
        <v>42507</v>
      </c>
      <c r="R1398" s="656"/>
      <c r="S1398" s="656" t="s">
        <v>1394</v>
      </c>
      <c r="T1398" s="656" t="s">
        <v>282</v>
      </c>
      <c r="U1398" s="656" t="s">
        <v>1394</v>
      </c>
      <c r="V1398" s="656"/>
      <c r="W1398" s="656" t="s">
        <v>13051</v>
      </c>
      <c r="X1398" s="656" t="s">
        <v>498</v>
      </c>
      <c r="Y1398" s="656" t="s">
        <v>14278</v>
      </c>
      <c r="Z1398" s="656">
        <v>44305.519444444442</v>
      </c>
      <c r="AA1398" s="656" t="s">
        <v>14335</v>
      </c>
      <c r="AB1398" s="656"/>
    </row>
    <row r="1399" spans="1:28">
      <c r="A1399" s="656" t="s">
        <v>4743</v>
      </c>
      <c r="B1399" s="656" t="s">
        <v>4744</v>
      </c>
      <c r="C1399" s="656" t="s">
        <v>20</v>
      </c>
      <c r="D1399" s="656" t="s">
        <v>11149</v>
      </c>
      <c r="E1399" s="656" t="s">
        <v>14275</v>
      </c>
      <c r="F1399" s="1447">
        <v>42404</v>
      </c>
      <c r="G1399" s="656" t="s">
        <v>11148</v>
      </c>
      <c r="H1399" s="656" t="s">
        <v>1777</v>
      </c>
      <c r="I1399" s="656"/>
      <c r="J1399" s="656"/>
      <c r="K1399" s="656"/>
      <c r="L1399" s="656" t="s">
        <v>11149</v>
      </c>
      <c r="M1399" s="656" t="s">
        <v>16196</v>
      </c>
      <c r="N1399" s="656"/>
      <c r="O1399" s="656" t="s">
        <v>6395</v>
      </c>
      <c r="P1399" s="5"/>
      <c r="Q1399" s="1447"/>
      <c r="R1399" s="656"/>
      <c r="S1399" s="656" t="s">
        <v>1394</v>
      </c>
      <c r="T1399" s="656" t="s">
        <v>14280</v>
      </c>
      <c r="U1399" s="656" t="s">
        <v>1394</v>
      </c>
      <c r="V1399" s="656"/>
      <c r="W1399" s="656" t="s">
        <v>13051</v>
      </c>
      <c r="X1399" s="656" t="s">
        <v>498</v>
      </c>
      <c r="Y1399" s="656" t="s">
        <v>14278</v>
      </c>
      <c r="Z1399" s="656">
        <v>44305.519444444442</v>
      </c>
      <c r="AA1399" s="656" t="s">
        <v>14335</v>
      </c>
      <c r="AB1399" s="656"/>
    </row>
    <row r="1400" spans="1:28">
      <c r="A1400" s="656" t="s">
        <v>4745</v>
      </c>
      <c r="B1400" s="656" t="s">
        <v>4746</v>
      </c>
      <c r="C1400" s="656" t="s">
        <v>20</v>
      </c>
      <c r="D1400" s="656" t="s">
        <v>11147</v>
      </c>
      <c r="E1400" s="656" t="s">
        <v>14275</v>
      </c>
      <c r="F1400" s="1447">
        <v>42172</v>
      </c>
      <c r="G1400" s="656" t="s">
        <v>11146</v>
      </c>
      <c r="H1400" s="656" t="s">
        <v>1777</v>
      </c>
      <c r="I1400" s="656"/>
      <c r="J1400" s="656"/>
      <c r="K1400" s="656"/>
      <c r="L1400" s="656" t="s">
        <v>11147</v>
      </c>
      <c r="M1400" s="656" t="s">
        <v>16196</v>
      </c>
      <c r="N1400" s="656"/>
      <c r="O1400" s="656" t="s">
        <v>6395</v>
      </c>
      <c r="P1400" s="5"/>
      <c r="Q1400" s="1447"/>
      <c r="R1400" s="656"/>
      <c r="S1400" s="656" t="s">
        <v>1394</v>
      </c>
      <c r="T1400" s="656" t="s">
        <v>14280</v>
      </c>
      <c r="U1400" s="656" t="s">
        <v>1394</v>
      </c>
      <c r="V1400" s="656"/>
      <c r="W1400" s="656" t="s">
        <v>13051</v>
      </c>
      <c r="X1400" s="656" t="s">
        <v>498</v>
      </c>
      <c r="Y1400" s="656" t="s">
        <v>14278</v>
      </c>
      <c r="Z1400" s="656">
        <v>44305.519432870373</v>
      </c>
      <c r="AA1400" s="656" t="s">
        <v>14335</v>
      </c>
      <c r="AB1400" s="656"/>
    </row>
    <row r="1401" spans="1:28">
      <c r="A1401" s="656" t="s">
        <v>4761</v>
      </c>
      <c r="B1401" s="656" t="s">
        <v>4762</v>
      </c>
      <c r="C1401" s="656" t="s">
        <v>21</v>
      </c>
      <c r="D1401" s="656" t="s">
        <v>12329</v>
      </c>
      <c r="E1401" s="656" t="s">
        <v>14553</v>
      </c>
      <c r="F1401" s="1447"/>
      <c r="G1401" s="656" t="s">
        <v>12328</v>
      </c>
      <c r="H1401" s="656" t="s">
        <v>1947</v>
      </c>
      <c r="I1401" s="656" t="s">
        <v>14739</v>
      </c>
      <c r="J1401" s="656" t="s">
        <v>12329</v>
      </c>
      <c r="K1401" s="656" t="s">
        <v>9774</v>
      </c>
      <c r="L1401" s="656"/>
      <c r="M1401" s="656" t="s">
        <v>1947</v>
      </c>
      <c r="N1401" s="656" t="s">
        <v>9991</v>
      </c>
      <c r="O1401" s="656" t="s">
        <v>12330</v>
      </c>
      <c r="P1401" s="5" t="s">
        <v>14938</v>
      </c>
      <c r="Q1401" s="1447"/>
      <c r="R1401" s="656"/>
      <c r="S1401" s="656" t="s">
        <v>1394</v>
      </c>
      <c r="T1401" s="656" t="s">
        <v>9991</v>
      </c>
      <c r="U1401" s="656" t="s">
        <v>9991</v>
      </c>
      <c r="V1401" s="656"/>
      <c r="W1401" s="656" t="s">
        <v>13051</v>
      </c>
      <c r="X1401" s="656" t="s">
        <v>498</v>
      </c>
      <c r="Y1401" s="656" t="s">
        <v>14278</v>
      </c>
      <c r="Z1401" s="656">
        <v>44305.519409722219</v>
      </c>
      <c r="AA1401" s="656" t="s">
        <v>14335</v>
      </c>
      <c r="AB1401" s="656"/>
    </row>
    <row r="1402" spans="1:28">
      <c r="A1402" s="656" t="s">
        <v>4761</v>
      </c>
      <c r="B1402" s="656" t="s">
        <v>4762</v>
      </c>
      <c r="C1402" s="656" t="s">
        <v>21</v>
      </c>
      <c r="D1402" s="656" t="s">
        <v>12332</v>
      </c>
      <c r="E1402" s="656" t="s">
        <v>14553</v>
      </c>
      <c r="F1402" s="1447"/>
      <c r="G1402" s="656" t="s">
        <v>12331</v>
      </c>
      <c r="H1402" s="656" t="s">
        <v>1947</v>
      </c>
      <c r="I1402" s="656" t="s">
        <v>14740</v>
      </c>
      <c r="J1402" s="656" t="s">
        <v>12332</v>
      </c>
      <c r="K1402" s="656" t="s">
        <v>9774</v>
      </c>
      <c r="L1402" s="656"/>
      <c r="M1402" s="656" t="s">
        <v>1947</v>
      </c>
      <c r="N1402" s="656" t="s">
        <v>9991</v>
      </c>
      <c r="O1402" s="656" t="s">
        <v>12333</v>
      </c>
      <c r="P1402" s="5"/>
      <c r="Q1402" s="1447"/>
      <c r="R1402" s="656"/>
      <c r="S1402" s="656" t="s">
        <v>1394</v>
      </c>
      <c r="T1402" s="656" t="s">
        <v>9991</v>
      </c>
      <c r="U1402" s="656" t="s">
        <v>9991</v>
      </c>
      <c r="V1402" s="656"/>
      <c r="W1402" s="656" t="s">
        <v>13051</v>
      </c>
      <c r="X1402" s="656" t="s">
        <v>498</v>
      </c>
      <c r="Y1402" s="656" t="s">
        <v>14278</v>
      </c>
      <c r="Z1402" s="656">
        <v>44305.519421296296</v>
      </c>
      <c r="AA1402" s="656" t="s">
        <v>14335</v>
      </c>
      <c r="AB1402" s="656"/>
    </row>
    <row r="1403" spans="1:28">
      <c r="A1403" s="656" t="s">
        <v>4761</v>
      </c>
      <c r="B1403" s="656" t="s">
        <v>4762</v>
      </c>
      <c r="C1403" s="656" t="s">
        <v>20</v>
      </c>
      <c r="D1403" s="656" t="s">
        <v>12334</v>
      </c>
      <c r="E1403" s="656" t="s">
        <v>14553</v>
      </c>
      <c r="F1403" s="1447"/>
      <c r="G1403" s="656" t="s">
        <v>12331</v>
      </c>
      <c r="H1403" s="656" t="s">
        <v>1947</v>
      </c>
      <c r="I1403" s="656"/>
      <c r="J1403" s="656"/>
      <c r="K1403" s="656"/>
      <c r="L1403" s="656" t="s">
        <v>12334</v>
      </c>
      <c r="M1403" s="656" t="s">
        <v>1947</v>
      </c>
      <c r="N1403" s="656" t="s">
        <v>9991</v>
      </c>
      <c r="O1403" s="656" t="s">
        <v>12335</v>
      </c>
      <c r="P1403" s="5"/>
      <c r="Q1403" s="1447"/>
      <c r="R1403" s="656"/>
      <c r="S1403" s="656" t="s">
        <v>1394</v>
      </c>
      <c r="T1403" s="656" t="s">
        <v>9991</v>
      </c>
      <c r="U1403" s="656" t="s">
        <v>9991</v>
      </c>
      <c r="V1403" s="656"/>
      <c r="W1403" s="656" t="s">
        <v>13051</v>
      </c>
      <c r="X1403" s="656" t="s">
        <v>498</v>
      </c>
      <c r="Y1403" s="656" t="s">
        <v>14278</v>
      </c>
      <c r="Z1403" s="656">
        <v>44305.519432870373</v>
      </c>
      <c r="AA1403" s="656" t="s">
        <v>14335</v>
      </c>
      <c r="AB1403" s="656"/>
    </row>
    <row r="1404" spans="1:28">
      <c r="A1404" s="656" t="s">
        <v>4769</v>
      </c>
      <c r="B1404" s="656" t="s">
        <v>4488</v>
      </c>
      <c r="C1404" s="656" t="s">
        <v>20</v>
      </c>
      <c r="D1404" s="656" t="s">
        <v>11145</v>
      </c>
      <c r="E1404" s="656" t="s">
        <v>14275</v>
      </c>
      <c r="F1404" s="1447">
        <v>42172</v>
      </c>
      <c r="G1404" s="656" t="s">
        <v>11144</v>
      </c>
      <c r="H1404" s="656" t="s">
        <v>1777</v>
      </c>
      <c r="I1404" s="656"/>
      <c r="J1404" s="656"/>
      <c r="K1404" s="656"/>
      <c r="L1404" s="656" t="s">
        <v>11145</v>
      </c>
      <c r="M1404" s="656" t="s">
        <v>16196</v>
      </c>
      <c r="N1404" s="656"/>
      <c r="O1404" s="656" t="s">
        <v>6395</v>
      </c>
      <c r="P1404" s="5"/>
      <c r="Q1404" s="1447"/>
      <c r="R1404" s="656"/>
      <c r="S1404" s="656" t="s">
        <v>1394</v>
      </c>
      <c r="T1404" s="656" t="s">
        <v>14280</v>
      </c>
      <c r="U1404" s="656" t="s">
        <v>1394</v>
      </c>
      <c r="V1404" s="656"/>
      <c r="W1404" s="656" t="s">
        <v>13051</v>
      </c>
      <c r="X1404" s="656" t="s">
        <v>498</v>
      </c>
      <c r="Y1404" s="656" t="s">
        <v>14278</v>
      </c>
      <c r="Z1404" s="656">
        <v>44305.519421296296</v>
      </c>
      <c r="AA1404" s="656" t="s">
        <v>14335</v>
      </c>
      <c r="AB1404" s="656"/>
    </row>
    <row r="1405" spans="1:28">
      <c r="A1405" s="656" t="s">
        <v>4770</v>
      </c>
      <c r="B1405" s="656" t="s">
        <v>4771</v>
      </c>
      <c r="C1405" s="656" t="s">
        <v>20</v>
      </c>
      <c r="D1405" s="656" t="s">
        <v>11143</v>
      </c>
      <c r="E1405" s="656" t="s">
        <v>14275</v>
      </c>
      <c r="F1405" s="1447">
        <v>42172</v>
      </c>
      <c r="G1405" s="656" t="s">
        <v>11142</v>
      </c>
      <c r="H1405" s="656" t="s">
        <v>1777</v>
      </c>
      <c r="I1405" s="656"/>
      <c r="J1405" s="656"/>
      <c r="K1405" s="656"/>
      <c r="L1405" s="656" t="s">
        <v>11143</v>
      </c>
      <c r="M1405" s="656" t="s">
        <v>16426</v>
      </c>
      <c r="N1405" s="656"/>
      <c r="O1405" s="656" t="s">
        <v>6395</v>
      </c>
      <c r="P1405" s="5"/>
      <c r="Q1405" s="1447"/>
      <c r="R1405" s="656"/>
      <c r="S1405" s="656" t="s">
        <v>1394</v>
      </c>
      <c r="T1405" s="656" t="s">
        <v>14280</v>
      </c>
      <c r="U1405" s="656" t="s">
        <v>1394</v>
      </c>
      <c r="V1405" s="656"/>
      <c r="W1405" s="656" t="s">
        <v>13051</v>
      </c>
      <c r="X1405" s="656" t="s">
        <v>498</v>
      </c>
      <c r="Y1405" s="656" t="s">
        <v>14278</v>
      </c>
      <c r="Z1405" s="656">
        <v>44305.519409722219</v>
      </c>
      <c r="AA1405" s="656" t="s">
        <v>14335</v>
      </c>
      <c r="AB1405" s="656"/>
    </row>
    <row r="1406" spans="1:28">
      <c r="A1406" s="656" t="s">
        <v>4774</v>
      </c>
      <c r="B1406" s="656" t="s">
        <v>11139</v>
      </c>
      <c r="C1406" s="656" t="s">
        <v>20</v>
      </c>
      <c r="D1406" s="656" t="s">
        <v>11141</v>
      </c>
      <c r="E1406" s="656" t="s">
        <v>14275</v>
      </c>
      <c r="F1406" s="1447">
        <v>42404</v>
      </c>
      <c r="G1406" s="656" t="s">
        <v>11140</v>
      </c>
      <c r="H1406" s="656" t="s">
        <v>1777</v>
      </c>
      <c r="I1406" s="656"/>
      <c r="J1406" s="656"/>
      <c r="K1406" s="656"/>
      <c r="L1406" s="656" t="s">
        <v>11141</v>
      </c>
      <c r="M1406" s="656" t="s">
        <v>16196</v>
      </c>
      <c r="N1406" s="656"/>
      <c r="O1406" s="656" t="s">
        <v>6395</v>
      </c>
      <c r="P1406" s="5"/>
      <c r="Q1406" s="1447"/>
      <c r="R1406" s="656"/>
      <c r="S1406" s="656" t="s">
        <v>1394</v>
      </c>
      <c r="T1406" s="656" t="s">
        <v>14280</v>
      </c>
      <c r="U1406" s="656" t="s">
        <v>1394</v>
      </c>
      <c r="V1406" s="656"/>
      <c r="W1406" s="656" t="s">
        <v>13051</v>
      </c>
      <c r="X1406" s="656" t="s">
        <v>498</v>
      </c>
      <c r="Y1406" s="656" t="s">
        <v>14278</v>
      </c>
      <c r="Z1406" s="656">
        <v>44305.51939814815</v>
      </c>
      <c r="AA1406" s="656" t="s">
        <v>14335</v>
      </c>
      <c r="AB1406" s="656"/>
    </row>
    <row r="1407" spans="1:28">
      <c r="A1407" s="656" t="s">
        <v>4837</v>
      </c>
      <c r="B1407" s="656" t="s">
        <v>4838</v>
      </c>
      <c r="C1407" s="656" t="s">
        <v>21</v>
      </c>
      <c r="D1407" s="656" t="s">
        <v>12322</v>
      </c>
      <c r="E1407" s="656" t="s">
        <v>14553</v>
      </c>
      <c r="F1407" s="1447"/>
      <c r="G1407" s="656" t="s">
        <v>12327</v>
      </c>
      <c r="H1407" s="656" t="s">
        <v>1545</v>
      </c>
      <c r="I1407" s="656" t="s">
        <v>14741</v>
      </c>
      <c r="J1407" s="656" t="s">
        <v>12322</v>
      </c>
      <c r="K1407" s="656"/>
      <c r="L1407" s="656"/>
      <c r="M1407" s="656" t="s">
        <v>1545</v>
      </c>
      <c r="N1407" s="656" t="s">
        <v>9991</v>
      </c>
      <c r="O1407" s="656"/>
      <c r="P1407" s="5"/>
      <c r="Q1407" s="1447"/>
      <c r="R1407" s="656"/>
      <c r="S1407" s="656" t="s">
        <v>655</v>
      </c>
      <c r="T1407" s="656" t="s">
        <v>9991</v>
      </c>
      <c r="U1407" s="656" t="s">
        <v>9991</v>
      </c>
      <c r="V1407" s="656"/>
      <c r="W1407" s="656" t="s">
        <v>13051</v>
      </c>
      <c r="X1407" s="656" t="s">
        <v>498</v>
      </c>
      <c r="Y1407" s="656" t="s">
        <v>14278</v>
      </c>
      <c r="Z1407" s="656">
        <v>44305.519386574073</v>
      </c>
      <c r="AA1407" s="656" t="s">
        <v>14335</v>
      </c>
      <c r="AB1407" s="656"/>
    </row>
    <row r="1408" spans="1:28">
      <c r="A1408" s="656" t="s">
        <v>4837</v>
      </c>
      <c r="B1408" s="656" t="s">
        <v>4838</v>
      </c>
      <c r="C1408" s="656" t="s">
        <v>20</v>
      </c>
      <c r="D1408" s="656" t="s">
        <v>12324</v>
      </c>
      <c r="E1408" s="656" t="s">
        <v>14553</v>
      </c>
      <c r="F1408" s="1447"/>
      <c r="G1408" s="656" t="s">
        <v>12327</v>
      </c>
      <c r="H1408" s="656" t="s">
        <v>1545</v>
      </c>
      <c r="I1408" s="656"/>
      <c r="J1408" s="656"/>
      <c r="K1408" s="656"/>
      <c r="L1408" s="656" t="s">
        <v>12324</v>
      </c>
      <c r="M1408" s="656" t="s">
        <v>1545</v>
      </c>
      <c r="N1408" s="656" t="s">
        <v>9991</v>
      </c>
      <c r="O1408" s="656"/>
      <c r="P1408" s="5"/>
      <c r="Q1408" s="1447"/>
      <c r="R1408" s="656"/>
      <c r="S1408" s="656" t="s">
        <v>655</v>
      </c>
      <c r="T1408" s="656" t="s">
        <v>9991</v>
      </c>
      <c r="U1408" s="656" t="s">
        <v>9991</v>
      </c>
      <c r="V1408" s="656"/>
      <c r="W1408" s="656" t="s">
        <v>13051</v>
      </c>
      <c r="X1408" s="656" t="s">
        <v>498</v>
      </c>
      <c r="Y1408" s="656" t="s">
        <v>14278</v>
      </c>
      <c r="Z1408" s="656">
        <v>44305.51939814815</v>
      </c>
      <c r="AA1408" s="656" t="s">
        <v>14335</v>
      </c>
      <c r="AB1408" s="656"/>
    </row>
    <row r="1409" spans="1:28">
      <c r="A1409" s="656" t="s">
        <v>4860</v>
      </c>
      <c r="B1409" s="656" t="s">
        <v>4861</v>
      </c>
      <c r="C1409" s="656" t="s">
        <v>21</v>
      </c>
      <c r="D1409" s="656" t="s">
        <v>11137</v>
      </c>
      <c r="E1409" s="656" t="s">
        <v>14275</v>
      </c>
      <c r="F1409" s="1447">
        <v>43453</v>
      </c>
      <c r="G1409" s="656" t="s">
        <v>11136</v>
      </c>
      <c r="H1409" s="656" t="s">
        <v>1777</v>
      </c>
      <c r="I1409" s="656" t="s">
        <v>14742</v>
      </c>
      <c r="J1409" s="656" t="s">
        <v>11137</v>
      </c>
      <c r="K1409" s="656" t="s">
        <v>9733</v>
      </c>
      <c r="L1409" s="656"/>
      <c r="M1409" s="656" t="s">
        <v>16196</v>
      </c>
      <c r="N1409" s="656"/>
      <c r="O1409" s="656" t="s">
        <v>6395</v>
      </c>
      <c r="P1409" s="5" t="s">
        <v>14936</v>
      </c>
      <c r="Q1409" s="1447">
        <v>41995</v>
      </c>
      <c r="R1409" s="656">
        <v>43190</v>
      </c>
      <c r="S1409" s="656" t="s">
        <v>1394</v>
      </c>
      <c r="T1409" s="656" t="s">
        <v>14280</v>
      </c>
      <c r="U1409" s="656" t="s">
        <v>1394</v>
      </c>
      <c r="V1409" s="656"/>
      <c r="W1409" s="656" t="s">
        <v>13051</v>
      </c>
      <c r="X1409" s="656" t="s">
        <v>498</v>
      </c>
      <c r="Y1409" s="656" t="s">
        <v>14278</v>
      </c>
      <c r="Z1409" s="656">
        <v>44305.519363425927</v>
      </c>
      <c r="AA1409" s="656" t="s">
        <v>14335</v>
      </c>
      <c r="AB1409" s="656"/>
    </row>
    <row r="1410" spans="1:28">
      <c r="A1410" s="656" t="s">
        <v>4860</v>
      </c>
      <c r="B1410" s="656" t="s">
        <v>4861</v>
      </c>
      <c r="C1410" s="656" t="s">
        <v>20</v>
      </c>
      <c r="D1410" s="656" t="s">
        <v>11138</v>
      </c>
      <c r="E1410" s="656" t="s">
        <v>14275</v>
      </c>
      <c r="F1410" s="1447">
        <v>43465</v>
      </c>
      <c r="G1410" s="656" t="s">
        <v>11136</v>
      </c>
      <c r="H1410" s="656" t="s">
        <v>1777</v>
      </c>
      <c r="I1410" s="656"/>
      <c r="J1410" s="656"/>
      <c r="K1410" s="656"/>
      <c r="L1410" s="656" t="s">
        <v>11138</v>
      </c>
      <c r="M1410" s="656" t="s">
        <v>16196</v>
      </c>
      <c r="N1410" s="656"/>
      <c r="O1410" s="656" t="s">
        <v>6395</v>
      </c>
      <c r="P1410" s="5"/>
      <c r="Q1410" s="1447"/>
      <c r="R1410" s="656"/>
      <c r="S1410" s="656" t="s">
        <v>1394</v>
      </c>
      <c r="T1410" s="656" t="s">
        <v>14280</v>
      </c>
      <c r="U1410" s="656" t="s">
        <v>1394</v>
      </c>
      <c r="V1410" s="656"/>
      <c r="W1410" s="656" t="s">
        <v>13051</v>
      </c>
      <c r="X1410" s="656" t="s">
        <v>498</v>
      </c>
      <c r="Y1410" s="656" t="s">
        <v>14278</v>
      </c>
      <c r="Z1410" s="656">
        <v>44305.519386574073</v>
      </c>
      <c r="AA1410" s="656" t="s">
        <v>14335</v>
      </c>
      <c r="AB1410" s="656"/>
    </row>
    <row r="1411" spans="1:28">
      <c r="A1411" s="656" t="s">
        <v>4864</v>
      </c>
      <c r="B1411" s="656" t="s">
        <v>4865</v>
      </c>
      <c r="C1411" s="656" t="s">
        <v>21</v>
      </c>
      <c r="D1411" s="656" t="s">
        <v>11134</v>
      </c>
      <c r="E1411" s="656" t="s">
        <v>14275</v>
      </c>
      <c r="F1411" s="1447">
        <v>42426</v>
      </c>
      <c r="G1411" s="656" t="s">
        <v>11133</v>
      </c>
      <c r="H1411" s="656" t="s">
        <v>1545</v>
      </c>
      <c r="I1411" s="656" t="s">
        <v>14743</v>
      </c>
      <c r="J1411" s="656" t="s">
        <v>11134</v>
      </c>
      <c r="K1411" s="656" t="s">
        <v>9782</v>
      </c>
      <c r="L1411" s="656"/>
      <c r="M1411" s="656" t="s">
        <v>1545</v>
      </c>
      <c r="N1411" s="656"/>
      <c r="O1411" s="656" t="s">
        <v>6387</v>
      </c>
      <c r="P1411" s="5"/>
      <c r="Q1411" s="1447">
        <v>41837</v>
      </c>
      <c r="R1411" s="656">
        <v>41852</v>
      </c>
      <c r="S1411" s="656" t="s">
        <v>655</v>
      </c>
      <c r="T1411" s="656" t="s">
        <v>14277</v>
      </c>
      <c r="U1411" s="656" t="s">
        <v>655</v>
      </c>
      <c r="V1411" s="656"/>
      <c r="W1411" s="656" t="s">
        <v>13051</v>
      </c>
      <c r="X1411" s="656" t="s">
        <v>498</v>
      </c>
      <c r="Y1411" s="656" t="s">
        <v>14278</v>
      </c>
      <c r="Z1411" s="656">
        <v>44305.51935185185</v>
      </c>
      <c r="AA1411" s="656" t="s">
        <v>14335</v>
      </c>
      <c r="AB1411" s="656"/>
    </row>
    <row r="1412" spans="1:28">
      <c r="A1412" s="656" t="s">
        <v>4864</v>
      </c>
      <c r="B1412" s="656" t="s">
        <v>4865</v>
      </c>
      <c r="C1412" s="656" t="s">
        <v>20</v>
      </c>
      <c r="D1412" s="656" t="s">
        <v>11135</v>
      </c>
      <c r="E1412" s="656" t="s">
        <v>14275</v>
      </c>
      <c r="F1412" s="1447">
        <v>42426</v>
      </c>
      <c r="G1412" s="656" t="s">
        <v>11133</v>
      </c>
      <c r="H1412" s="656" t="s">
        <v>1777</v>
      </c>
      <c r="I1412" s="656"/>
      <c r="J1412" s="656"/>
      <c r="K1412" s="656"/>
      <c r="L1412" s="656" t="s">
        <v>11135</v>
      </c>
      <c r="M1412" s="656" t="s">
        <v>1545</v>
      </c>
      <c r="N1412" s="656"/>
      <c r="O1412" s="656" t="s">
        <v>6387</v>
      </c>
      <c r="P1412" s="5"/>
      <c r="Q1412" s="1447"/>
      <c r="R1412" s="656"/>
      <c r="S1412" s="656" t="s">
        <v>655</v>
      </c>
      <c r="T1412" s="656" t="s">
        <v>14277</v>
      </c>
      <c r="U1412" s="656" t="s">
        <v>655</v>
      </c>
      <c r="V1412" s="656"/>
      <c r="W1412" s="656" t="s">
        <v>13051</v>
      </c>
      <c r="X1412" s="656" t="s">
        <v>498</v>
      </c>
      <c r="Y1412" s="656" t="s">
        <v>14278</v>
      </c>
      <c r="Z1412" s="656">
        <v>44305.519363425927</v>
      </c>
      <c r="AA1412" s="656" t="s">
        <v>14335</v>
      </c>
      <c r="AB1412" s="656"/>
    </row>
    <row r="1413" spans="1:28">
      <c r="A1413" s="656" t="s">
        <v>4872</v>
      </c>
      <c r="B1413" s="656" t="s">
        <v>4873</v>
      </c>
      <c r="C1413" s="656" t="s">
        <v>20</v>
      </c>
      <c r="D1413" s="656" t="s">
        <v>11132</v>
      </c>
      <c r="E1413" s="656" t="s">
        <v>14275</v>
      </c>
      <c r="F1413" s="1447">
        <v>43587</v>
      </c>
      <c r="G1413" s="656" t="s">
        <v>11131</v>
      </c>
      <c r="H1413" s="656" t="s">
        <v>1777</v>
      </c>
      <c r="I1413" s="656"/>
      <c r="J1413" s="656"/>
      <c r="K1413" s="656"/>
      <c r="L1413" s="656" t="s">
        <v>11132</v>
      </c>
      <c r="M1413" s="656" t="s">
        <v>16196</v>
      </c>
      <c r="N1413" s="656"/>
      <c r="O1413" s="656" t="s">
        <v>6393</v>
      </c>
      <c r="P1413" s="5"/>
      <c r="Q1413" s="1447"/>
      <c r="R1413" s="656"/>
      <c r="S1413" s="656" t="s">
        <v>1300</v>
      </c>
      <c r="T1413" s="656" t="s">
        <v>14280</v>
      </c>
      <c r="U1413" s="656" t="s">
        <v>1394</v>
      </c>
      <c r="V1413" s="656"/>
      <c r="W1413" s="656" t="s">
        <v>13051</v>
      </c>
      <c r="X1413" s="656" t="s">
        <v>498</v>
      </c>
      <c r="Y1413" s="656" t="s">
        <v>14278</v>
      </c>
      <c r="Z1413" s="656">
        <v>44305.51935185185</v>
      </c>
      <c r="AA1413" s="656" t="s">
        <v>14335</v>
      </c>
      <c r="AB1413" s="656"/>
    </row>
    <row r="1414" spans="1:28">
      <c r="A1414" s="656" t="s">
        <v>4874</v>
      </c>
      <c r="B1414" s="656" t="s">
        <v>4875</v>
      </c>
      <c r="C1414" s="656" t="s">
        <v>21</v>
      </c>
      <c r="D1414" s="656" t="s">
        <v>11129</v>
      </c>
      <c r="E1414" s="656" t="s">
        <v>14384</v>
      </c>
      <c r="F1414" s="1447">
        <v>42248</v>
      </c>
      <c r="G1414" s="656" t="s">
        <v>11128</v>
      </c>
      <c r="H1414" s="656" t="s">
        <v>1777</v>
      </c>
      <c r="I1414" s="656" t="s">
        <v>14744</v>
      </c>
      <c r="J1414" s="656" t="s">
        <v>11129</v>
      </c>
      <c r="K1414" s="656" t="s">
        <v>9782</v>
      </c>
      <c r="L1414" s="656"/>
      <c r="M1414" s="656" t="s">
        <v>16323</v>
      </c>
      <c r="N1414" s="656"/>
      <c r="O1414" s="656" t="s">
        <v>6387</v>
      </c>
      <c r="P1414" s="5" t="s">
        <v>14745</v>
      </c>
      <c r="Q1414" s="1447">
        <v>41605</v>
      </c>
      <c r="R1414" s="656"/>
      <c r="S1414" s="656" t="s">
        <v>655</v>
      </c>
      <c r="T1414" s="656" t="s">
        <v>14277</v>
      </c>
      <c r="U1414" s="656" t="s">
        <v>1667</v>
      </c>
      <c r="V1414" s="656"/>
      <c r="W1414" s="656" t="s">
        <v>13051</v>
      </c>
      <c r="X1414" s="656" t="s">
        <v>498</v>
      </c>
      <c r="Y1414" s="656" t="s">
        <v>14278</v>
      </c>
      <c r="Z1414" s="656">
        <v>44305.51934027778</v>
      </c>
      <c r="AA1414" s="656" t="s">
        <v>14335</v>
      </c>
      <c r="AB1414" s="656"/>
    </row>
    <row r="1415" spans="1:28">
      <c r="A1415" s="656" t="s">
        <v>4874</v>
      </c>
      <c r="B1415" s="656" t="s">
        <v>4875</v>
      </c>
      <c r="C1415" s="656" t="s">
        <v>20</v>
      </c>
      <c r="D1415" s="656" t="s">
        <v>11130</v>
      </c>
      <c r="E1415" s="656" t="s">
        <v>14275</v>
      </c>
      <c r="F1415" s="1447">
        <v>42404</v>
      </c>
      <c r="G1415" s="656" t="s">
        <v>11128</v>
      </c>
      <c r="H1415" s="656" t="s">
        <v>1777</v>
      </c>
      <c r="I1415" s="656"/>
      <c r="J1415" s="656"/>
      <c r="K1415" s="656"/>
      <c r="L1415" s="656" t="s">
        <v>11130</v>
      </c>
      <c r="M1415" s="656" t="s">
        <v>16323</v>
      </c>
      <c r="N1415" s="656"/>
      <c r="O1415" s="656" t="s">
        <v>6387</v>
      </c>
      <c r="P1415" s="5"/>
      <c r="Q1415" s="1447"/>
      <c r="R1415" s="656"/>
      <c r="S1415" s="656" t="s">
        <v>655</v>
      </c>
      <c r="T1415" s="656" t="s">
        <v>14277</v>
      </c>
      <c r="U1415" s="656" t="s">
        <v>655</v>
      </c>
      <c r="V1415" s="656"/>
      <c r="W1415" s="656" t="s">
        <v>13051</v>
      </c>
      <c r="X1415" s="656" t="s">
        <v>498</v>
      </c>
      <c r="Y1415" s="656" t="s">
        <v>14278</v>
      </c>
      <c r="Z1415" s="656">
        <v>44305.51934027778</v>
      </c>
      <c r="AA1415" s="656" t="s">
        <v>14335</v>
      </c>
      <c r="AB1415" s="656"/>
    </row>
    <row r="1416" spans="1:28">
      <c r="A1416" s="656" t="s">
        <v>4890</v>
      </c>
      <c r="B1416" s="656" t="s">
        <v>4891</v>
      </c>
      <c r="C1416" s="656" t="s">
        <v>21</v>
      </c>
      <c r="D1416" s="656" t="s">
        <v>11126</v>
      </c>
      <c r="E1416" s="656" t="s">
        <v>14275</v>
      </c>
      <c r="F1416" s="1447">
        <v>42699</v>
      </c>
      <c r="G1416" s="656" t="s">
        <v>11125</v>
      </c>
      <c r="H1416" s="656" t="s">
        <v>1777</v>
      </c>
      <c r="I1416" s="656" t="s">
        <v>14746</v>
      </c>
      <c r="J1416" s="656" t="s">
        <v>11126</v>
      </c>
      <c r="K1416" s="656" t="s">
        <v>9782</v>
      </c>
      <c r="L1416" s="656"/>
      <c r="M1416" s="656" t="s">
        <v>16323</v>
      </c>
      <c r="N1416" s="656"/>
      <c r="O1416" s="656" t="s">
        <v>6387</v>
      </c>
      <c r="P1416" s="5"/>
      <c r="Q1416" s="1447">
        <v>41504</v>
      </c>
      <c r="R1416" s="656">
        <v>42094</v>
      </c>
      <c r="S1416" s="656" t="s">
        <v>655</v>
      </c>
      <c r="T1416" s="656" t="s">
        <v>14277</v>
      </c>
      <c r="U1416" s="656" t="s">
        <v>655</v>
      </c>
      <c r="V1416" s="656"/>
      <c r="W1416" s="656" t="s">
        <v>13051</v>
      </c>
      <c r="X1416" s="656" t="s">
        <v>498</v>
      </c>
      <c r="Y1416" s="656" t="s">
        <v>14278</v>
      </c>
      <c r="Z1416" s="656">
        <v>44305.519328703704</v>
      </c>
      <c r="AA1416" s="656" t="s">
        <v>14335</v>
      </c>
      <c r="AB1416" s="656"/>
    </row>
    <row r="1417" spans="1:28">
      <c r="A1417" s="656" t="s">
        <v>4890</v>
      </c>
      <c r="B1417" s="656" t="s">
        <v>4891</v>
      </c>
      <c r="C1417" s="656" t="s">
        <v>20</v>
      </c>
      <c r="D1417" s="656" t="s">
        <v>11127</v>
      </c>
      <c r="E1417" s="656" t="s">
        <v>14275</v>
      </c>
      <c r="F1417" s="1447">
        <v>42670</v>
      </c>
      <c r="G1417" s="656" t="s">
        <v>11125</v>
      </c>
      <c r="H1417" s="656" t="s">
        <v>1777</v>
      </c>
      <c r="I1417" s="656"/>
      <c r="J1417" s="656"/>
      <c r="K1417" s="656"/>
      <c r="L1417" s="656" t="s">
        <v>11127</v>
      </c>
      <c r="M1417" s="656" t="s">
        <v>16323</v>
      </c>
      <c r="N1417" s="656"/>
      <c r="O1417" s="656" t="s">
        <v>6387</v>
      </c>
      <c r="P1417" s="5"/>
      <c r="Q1417" s="1447"/>
      <c r="R1417" s="656"/>
      <c r="S1417" s="656" t="s">
        <v>655</v>
      </c>
      <c r="T1417" s="656" t="s">
        <v>14277</v>
      </c>
      <c r="U1417" s="656" t="s">
        <v>655</v>
      </c>
      <c r="V1417" s="656"/>
      <c r="W1417" s="656" t="s">
        <v>13051</v>
      </c>
      <c r="X1417" s="656" t="s">
        <v>498</v>
      </c>
      <c r="Y1417" s="656" t="s">
        <v>14278</v>
      </c>
      <c r="Z1417" s="656">
        <v>44305.519328703704</v>
      </c>
      <c r="AA1417" s="656" t="s">
        <v>14335</v>
      </c>
      <c r="AB1417" s="656"/>
    </row>
    <row r="1418" spans="1:28">
      <c r="A1418" s="656" t="s">
        <v>4902</v>
      </c>
      <c r="B1418" s="656" t="s">
        <v>4903</v>
      </c>
      <c r="C1418" s="656" t="s">
        <v>20</v>
      </c>
      <c r="D1418" s="656" t="s">
        <v>11124</v>
      </c>
      <c r="E1418" s="656" t="s">
        <v>14275</v>
      </c>
      <c r="F1418" s="1447">
        <v>42017</v>
      </c>
      <c r="G1418" s="656" t="s">
        <v>11123</v>
      </c>
      <c r="H1418" s="656" t="s">
        <v>1777</v>
      </c>
      <c r="I1418" s="656"/>
      <c r="J1418" s="656"/>
      <c r="K1418" s="656"/>
      <c r="L1418" s="656" t="s">
        <v>11124</v>
      </c>
      <c r="M1418" s="656" t="s">
        <v>16196</v>
      </c>
      <c r="N1418" s="656"/>
      <c r="O1418" s="656" t="s">
        <v>6387</v>
      </c>
      <c r="P1418" s="5"/>
      <c r="Q1418" s="1447"/>
      <c r="R1418" s="656"/>
      <c r="S1418" s="656" t="s">
        <v>1300</v>
      </c>
      <c r="T1418" s="656" t="s">
        <v>14280</v>
      </c>
      <c r="U1418" s="656" t="s">
        <v>14280</v>
      </c>
      <c r="V1418" s="656"/>
      <c r="W1418" s="656" t="s">
        <v>13051</v>
      </c>
      <c r="X1418" s="656" t="s">
        <v>498</v>
      </c>
      <c r="Y1418" s="656" t="s">
        <v>14278</v>
      </c>
      <c r="Z1418" s="656">
        <v>44305.519317129627</v>
      </c>
      <c r="AA1418" s="656" t="s">
        <v>14335</v>
      </c>
      <c r="AB1418" s="656"/>
    </row>
    <row r="1419" spans="1:28">
      <c r="A1419" s="656" t="s">
        <v>12536</v>
      </c>
      <c r="B1419" s="656" t="s">
        <v>12492</v>
      </c>
      <c r="C1419" s="656" t="s">
        <v>21</v>
      </c>
      <c r="D1419" s="656" t="s">
        <v>9784</v>
      </c>
      <c r="E1419" s="656" t="s">
        <v>14279</v>
      </c>
      <c r="F1419" s="1447"/>
      <c r="G1419" s="656" t="s">
        <v>15407</v>
      </c>
      <c r="H1419" s="656" t="s">
        <v>1777</v>
      </c>
      <c r="I1419" s="656" t="s">
        <v>14283</v>
      </c>
      <c r="J1419" s="656" t="s">
        <v>9784</v>
      </c>
      <c r="K1419" s="656" t="s">
        <v>9774</v>
      </c>
      <c r="L1419" s="656"/>
      <c r="M1419" s="656" t="s">
        <v>16427</v>
      </c>
      <c r="N1419" s="656" t="s">
        <v>9769</v>
      </c>
      <c r="O1419" s="656" t="s">
        <v>9772</v>
      </c>
      <c r="P1419" s="5" t="s">
        <v>14931</v>
      </c>
      <c r="Q1419" s="1447">
        <v>42678</v>
      </c>
      <c r="R1419" s="656"/>
      <c r="S1419" s="656" t="s">
        <v>475</v>
      </c>
      <c r="T1419" s="656" t="s">
        <v>9769</v>
      </c>
      <c r="U1419" s="656" t="s">
        <v>9769</v>
      </c>
      <c r="V1419" s="656"/>
      <c r="W1419" s="656" t="s">
        <v>13051</v>
      </c>
      <c r="X1419" s="656" t="s">
        <v>498</v>
      </c>
      <c r="Y1419" s="656" t="s">
        <v>14278</v>
      </c>
      <c r="Z1419" s="656">
        <v>44305.519305555557</v>
      </c>
      <c r="AA1419" s="656" t="s">
        <v>14335</v>
      </c>
      <c r="AB1419" s="656"/>
    </row>
    <row r="1420" spans="1:28">
      <c r="A1420" s="656" t="s">
        <v>12537</v>
      </c>
      <c r="B1420" s="656" t="s">
        <v>12491</v>
      </c>
      <c r="C1420" s="656" t="s">
        <v>21</v>
      </c>
      <c r="D1420" s="656" t="s">
        <v>9783</v>
      </c>
      <c r="E1420" s="656" t="s">
        <v>14279</v>
      </c>
      <c r="F1420" s="1447"/>
      <c r="G1420" s="656" t="s">
        <v>15408</v>
      </c>
      <c r="H1420" s="656" t="s">
        <v>1777</v>
      </c>
      <c r="I1420" s="656" t="s">
        <v>14282</v>
      </c>
      <c r="J1420" s="656" t="s">
        <v>9783</v>
      </c>
      <c r="K1420" s="656" t="s">
        <v>9774</v>
      </c>
      <c r="L1420" s="656"/>
      <c r="M1420" s="656" t="s">
        <v>16376</v>
      </c>
      <c r="N1420" s="656" t="s">
        <v>9769</v>
      </c>
      <c r="O1420" s="656" t="s">
        <v>9772</v>
      </c>
      <c r="P1420" s="5" t="s">
        <v>14931</v>
      </c>
      <c r="Q1420" s="1447">
        <v>42678</v>
      </c>
      <c r="R1420" s="656"/>
      <c r="S1420" s="656" t="s">
        <v>475</v>
      </c>
      <c r="T1420" s="656" t="s">
        <v>9769</v>
      </c>
      <c r="U1420" s="656" t="s">
        <v>9769</v>
      </c>
      <c r="V1420" s="656"/>
      <c r="W1420" s="656" t="s">
        <v>13051</v>
      </c>
      <c r="X1420" s="656" t="s">
        <v>498</v>
      </c>
      <c r="Y1420" s="656" t="s">
        <v>14278</v>
      </c>
      <c r="Z1420" s="656">
        <v>44305.519305555557</v>
      </c>
      <c r="AA1420" s="656" t="s">
        <v>14335</v>
      </c>
      <c r="AB1420" s="656"/>
    </row>
    <row r="1421" spans="1:28">
      <c r="A1421" s="656" t="s">
        <v>12538</v>
      </c>
      <c r="B1421" s="656" t="s">
        <v>12490</v>
      </c>
      <c r="C1421" s="656" t="s">
        <v>21</v>
      </c>
      <c r="D1421" s="656" t="s">
        <v>9780</v>
      </c>
      <c r="E1421" s="656" t="s">
        <v>14279</v>
      </c>
      <c r="F1421" s="1447"/>
      <c r="G1421" s="656" t="s">
        <v>15409</v>
      </c>
      <c r="H1421" s="656" t="s">
        <v>1274</v>
      </c>
      <c r="I1421" s="656" t="s">
        <v>14293</v>
      </c>
      <c r="J1421" s="656" t="s">
        <v>9780</v>
      </c>
      <c r="K1421" s="656" t="s">
        <v>9774</v>
      </c>
      <c r="L1421" s="656"/>
      <c r="M1421" s="656" t="s">
        <v>16428</v>
      </c>
      <c r="N1421" s="656" t="s">
        <v>9769</v>
      </c>
      <c r="O1421" s="656" t="s">
        <v>9772</v>
      </c>
      <c r="P1421" s="5" t="s">
        <v>15410</v>
      </c>
      <c r="Q1421" s="1447"/>
      <c r="R1421" s="656"/>
      <c r="S1421" s="656" t="s">
        <v>475</v>
      </c>
      <c r="T1421" s="656" t="s">
        <v>9769</v>
      </c>
      <c r="U1421" s="656" t="s">
        <v>9769</v>
      </c>
      <c r="V1421" s="656"/>
      <c r="W1421" s="656" t="s">
        <v>13051</v>
      </c>
      <c r="X1421" s="656" t="s">
        <v>498</v>
      </c>
      <c r="Y1421" s="656" t="s">
        <v>14278</v>
      </c>
      <c r="Z1421" s="656">
        <v>44306.437650462962</v>
      </c>
      <c r="AA1421" s="656" t="s">
        <v>15959</v>
      </c>
      <c r="AB1421" s="656"/>
    </row>
    <row r="1422" spans="1:28">
      <c r="A1422" s="656" t="s">
        <v>12539</v>
      </c>
      <c r="B1422" s="656" t="s">
        <v>12489</v>
      </c>
      <c r="C1422" s="656" t="s">
        <v>21</v>
      </c>
      <c r="D1422" s="656" t="s">
        <v>9779</v>
      </c>
      <c r="E1422" s="656" t="s">
        <v>14279</v>
      </c>
      <c r="F1422" s="1447"/>
      <c r="G1422" s="656" t="s">
        <v>15411</v>
      </c>
      <c r="H1422" s="656" t="s">
        <v>1274</v>
      </c>
      <c r="I1422" s="656" t="s">
        <v>14292</v>
      </c>
      <c r="J1422" s="656" t="s">
        <v>9779</v>
      </c>
      <c r="K1422" s="656" t="s">
        <v>9774</v>
      </c>
      <c r="L1422" s="656"/>
      <c r="M1422" s="656" t="s">
        <v>12707</v>
      </c>
      <c r="N1422" s="656" t="s">
        <v>9769</v>
      </c>
      <c r="O1422" s="656" t="s">
        <v>9772</v>
      </c>
      <c r="P1422" s="5" t="s">
        <v>15412</v>
      </c>
      <c r="Q1422" s="1447"/>
      <c r="R1422" s="656"/>
      <c r="S1422" s="656" t="s">
        <v>475</v>
      </c>
      <c r="T1422" s="656" t="s">
        <v>9769</v>
      </c>
      <c r="U1422" s="656" t="s">
        <v>9769</v>
      </c>
      <c r="V1422" s="656"/>
      <c r="W1422" s="656" t="s">
        <v>13051</v>
      </c>
      <c r="X1422" s="656" t="s">
        <v>498</v>
      </c>
      <c r="Y1422" s="656" t="s">
        <v>14278</v>
      </c>
      <c r="Z1422" s="656">
        <v>44306.4375</v>
      </c>
      <c r="AA1422" s="656" t="s">
        <v>15959</v>
      </c>
      <c r="AB1422" s="656"/>
    </row>
    <row r="1423" spans="1:28">
      <c r="A1423" s="656" t="s">
        <v>12540</v>
      </c>
      <c r="B1423" s="656" t="s">
        <v>12488</v>
      </c>
      <c r="C1423" s="656" t="s">
        <v>21</v>
      </c>
      <c r="D1423" s="656" t="s">
        <v>9778</v>
      </c>
      <c r="E1423" s="656" t="s">
        <v>14279</v>
      </c>
      <c r="F1423" s="1447"/>
      <c r="G1423" s="656" t="s">
        <v>15413</v>
      </c>
      <c r="H1423" s="656" t="s">
        <v>1325</v>
      </c>
      <c r="I1423" s="656" t="s">
        <v>14291</v>
      </c>
      <c r="J1423" s="656" t="s">
        <v>9778</v>
      </c>
      <c r="K1423" s="656" t="s">
        <v>9774</v>
      </c>
      <c r="L1423" s="656"/>
      <c r="M1423" s="656" t="s">
        <v>1325</v>
      </c>
      <c r="N1423" s="656" t="s">
        <v>9769</v>
      </c>
      <c r="O1423" s="656" t="s">
        <v>9772</v>
      </c>
      <c r="P1423" s="5" t="s">
        <v>15412</v>
      </c>
      <c r="Q1423" s="1447"/>
      <c r="R1423" s="656"/>
      <c r="S1423" s="656" t="s">
        <v>475</v>
      </c>
      <c r="T1423" s="656" t="s">
        <v>9769</v>
      </c>
      <c r="U1423" s="656" t="s">
        <v>9769</v>
      </c>
      <c r="V1423" s="656"/>
      <c r="W1423" s="656" t="s">
        <v>13051</v>
      </c>
      <c r="X1423" s="656" t="s">
        <v>498</v>
      </c>
      <c r="Y1423" s="656" t="s">
        <v>14278</v>
      </c>
      <c r="Z1423" s="656">
        <v>44305.519282407404</v>
      </c>
      <c r="AA1423" s="656" t="s">
        <v>14335</v>
      </c>
      <c r="AB1423" s="656"/>
    </row>
    <row r="1424" spans="1:28">
      <c r="A1424" s="656" t="s">
        <v>12541</v>
      </c>
      <c r="B1424" s="656" t="s">
        <v>12487</v>
      </c>
      <c r="C1424" s="656" t="s">
        <v>21</v>
      </c>
      <c r="D1424" s="656" t="s">
        <v>9777</v>
      </c>
      <c r="E1424" s="656" t="s">
        <v>14279</v>
      </c>
      <c r="F1424" s="1447"/>
      <c r="G1424" s="656" t="s">
        <v>15414</v>
      </c>
      <c r="H1424" s="656" t="s">
        <v>1345</v>
      </c>
      <c r="I1424" s="656" t="s">
        <v>14290</v>
      </c>
      <c r="J1424" s="656" t="s">
        <v>9777</v>
      </c>
      <c r="K1424" s="656" t="s">
        <v>9774</v>
      </c>
      <c r="L1424" s="656"/>
      <c r="M1424" s="656" t="s">
        <v>1345</v>
      </c>
      <c r="N1424" s="656" t="s">
        <v>9769</v>
      </c>
      <c r="O1424" s="656" t="s">
        <v>9772</v>
      </c>
      <c r="P1424" s="5" t="s">
        <v>15412</v>
      </c>
      <c r="Q1424" s="1447"/>
      <c r="R1424" s="656"/>
      <c r="S1424" s="656" t="s">
        <v>475</v>
      </c>
      <c r="T1424" s="656" t="s">
        <v>9769</v>
      </c>
      <c r="U1424" s="656" t="s">
        <v>9769</v>
      </c>
      <c r="V1424" s="656"/>
      <c r="W1424" s="656" t="s">
        <v>13051</v>
      </c>
      <c r="X1424" s="656" t="s">
        <v>498</v>
      </c>
      <c r="Y1424" s="656" t="s">
        <v>14278</v>
      </c>
      <c r="Z1424" s="656">
        <v>44305.519282407404</v>
      </c>
      <c r="AA1424" s="656" t="s">
        <v>14335</v>
      </c>
      <c r="AB1424" s="656"/>
    </row>
    <row r="1425" spans="1:28">
      <c r="A1425" s="656" t="s">
        <v>9656</v>
      </c>
      <c r="B1425" s="656" t="s">
        <v>9655</v>
      </c>
      <c r="C1425" s="656" t="s">
        <v>21</v>
      </c>
      <c r="D1425" s="656" t="s">
        <v>9776</v>
      </c>
      <c r="E1425" s="656" t="s">
        <v>14279</v>
      </c>
      <c r="F1425" s="1447"/>
      <c r="G1425" s="656" t="s">
        <v>15415</v>
      </c>
      <c r="H1425" s="656" t="s">
        <v>1385</v>
      </c>
      <c r="I1425" s="656" t="s">
        <v>14289</v>
      </c>
      <c r="J1425" s="656" t="s">
        <v>9776</v>
      </c>
      <c r="K1425" s="656" t="s">
        <v>9774</v>
      </c>
      <c r="L1425" s="656"/>
      <c r="M1425" s="656" t="s">
        <v>12735</v>
      </c>
      <c r="N1425" s="656" t="s">
        <v>9769</v>
      </c>
      <c r="O1425" s="656" t="s">
        <v>9772</v>
      </c>
      <c r="P1425" s="5" t="s">
        <v>14931</v>
      </c>
      <c r="Q1425" s="1447"/>
      <c r="R1425" s="656"/>
      <c r="S1425" s="656" t="s">
        <v>475</v>
      </c>
      <c r="T1425" s="656" t="s">
        <v>9769</v>
      </c>
      <c r="U1425" s="656" t="s">
        <v>9769</v>
      </c>
      <c r="V1425" s="656"/>
      <c r="W1425" s="656" t="s">
        <v>13051</v>
      </c>
      <c r="X1425" s="656" t="s">
        <v>498</v>
      </c>
      <c r="Y1425" s="656" t="s">
        <v>14278</v>
      </c>
      <c r="Z1425" s="656">
        <v>44306.437326388892</v>
      </c>
      <c r="AA1425" s="656" t="s">
        <v>15959</v>
      </c>
      <c r="AB1425" s="656"/>
    </row>
    <row r="1426" spans="1:28">
      <c r="A1426" s="656" t="s">
        <v>9658</v>
      </c>
      <c r="B1426" s="656" t="s">
        <v>9657</v>
      </c>
      <c r="C1426" s="656" t="s">
        <v>21</v>
      </c>
      <c r="D1426" s="656" t="s">
        <v>9775</v>
      </c>
      <c r="E1426" s="656" t="s">
        <v>14279</v>
      </c>
      <c r="F1426" s="1447"/>
      <c r="G1426" s="656" t="s">
        <v>15416</v>
      </c>
      <c r="H1426" s="656" t="s">
        <v>1545</v>
      </c>
      <c r="I1426" s="656" t="s">
        <v>14288</v>
      </c>
      <c r="J1426" s="656" t="s">
        <v>9775</v>
      </c>
      <c r="K1426" s="656" t="s">
        <v>9774</v>
      </c>
      <c r="L1426" s="656"/>
      <c r="M1426" s="656" t="s">
        <v>1545</v>
      </c>
      <c r="N1426" s="656" t="s">
        <v>9769</v>
      </c>
      <c r="O1426" s="656" t="s">
        <v>9772</v>
      </c>
      <c r="P1426" s="5" t="s">
        <v>15412</v>
      </c>
      <c r="Q1426" s="1447"/>
      <c r="R1426" s="656"/>
      <c r="S1426" s="656" t="s">
        <v>475</v>
      </c>
      <c r="T1426" s="656" t="s">
        <v>9769</v>
      </c>
      <c r="U1426" s="656" t="s">
        <v>9769</v>
      </c>
      <c r="V1426" s="656"/>
      <c r="W1426" s="656" t="s">
        <v>13051</v>
      </c>
      <c r="X1426" s="656" t="s">
        <v>498</v>
      </c>
      <c r="Y1426" s="656" t="s">
        <v>14278</v>
      </c>
      <c r="Z1426" s="656">
        <v>44305.519259259258</v>
      </c>
      <c r="AA1426" s="656" t="s">
        <v>14335</v>
      </c>
      <c r="AB1426" s="656"/>
    </row>
    <row r="1427" spans="1:28">
      <c r="A1427" s="656" t="s">
        <v>9660</v>
      </c>
      <c r="B1427" s="656" t="s">
        <v>9659</v>
      </c>
      <c r="C1427" s="656" t="s">
        <v>21</v>
      </c>
      <c r="D1427" s="656" t="s">
        <v>9773</v>
      </c>
      <c r="E1427" s="656" t="s">
        <v>14279</v>
      </c>
      <c r="F1427" s="1447"/>
      <c r="G1427" s="656" t="s">
        <v>15417</v>
      </c>
      <c r="H1427" s="656" t="s">
        <v>1564</v>
      </c>
      <c r="I1427" s="656" t="s">
        <v>14287</v>
      </c>
      <c r="J1427" s="656" t="s">
        <v>9773</v>
      </c>
      <c r="K1427" s="656" t="s">
        <v>9774</v>
      </c>
      <c r="L1427" s="656"/>
      <c r="M1427" s="656" t="s">
        <v>1564</v>
      </c>
      <c r="N1427" s="656" t="s">
        <v>9769</v>
      </c>
      <c r="O1427" s="656" t="s">
        <v>9772</v>
      </c>
      <c r="P1427" s="5" t="s">
        <v>15412</v>
      </c>
      <c r="Q1427" s="1447"/>
      <c r="R1427" s="656"/>
      <c r="S1427" s="656" t="s">
        <v>475</v>
      </c>
      <c r="T1427" s="656" t="s">
        <v>9769</v>
      </c>
      <c r="U1427" s="656" t="s">
        <v>9769</v>
      </c>
      <c r="V1427" s="656"/>
      <c r="W1427" s="656" t="s">
        <v>13051</v>
      </c>
      <c r="X1427" s="656" t="s">
        <v>498</v>
      </c>
      <c r="Y1427" s="656" t="s">
        <v>14278</v>
      </c>
      <c r="Z1427" s="656">
        <v>44305.519247685188</v>
      </c>
      <c r="AA1427" s="656" t="s">
        <v>14335</v>
      </c>
      <c r="AB1427" s="656"/>
    </row>
    <row r="1428" spans="1:28">
      <c r="A1428" s="656" t="s">
        <v>4914</v>
      </c>
      <c r="B1428" s="656" t="s">
        <v>4915</v>
      </c>
      <c r="C1428" s="656" t="s">
        <v>21</v>
      </c>
      <c r="D1428" s="656" t="s">
        <v>15418</v>
      </c>
      <c r="E1428" s="656" t="s">
        <v>14384</v>
      </c>
      <c r="F1428" s="1447">
        <v>42970</v>
      </c>
      <c r="G1428" s="656" t="s">
        <v>15419</v>
      </c>
      <c r="H1428" s="656" t="s">
        <v>1777</v>
      </c>
      <c r="I1428" s="656" t="s">
        <v>15420</v>
      </c>
      <c r="J1428" s="656" t="s">
        <v>15418</v>
      </c>
      <c r="K1428" s="656" t="s">
        <v>9750</v>
      </c>
      <c r="L1428" s="656"/>
      <c r="M1428" s="656" t="s">
        <v>16380</v>
      </c>
      <c r="N1428" s="656" t="s">
        <v>9769</v>
      </c>
      <c r="O1428" s="656" t="s">
        <v>10754</v>
      </c>
      <c r="P1428" s="5" t="s">
        <v>14947</v>
      </c>
      <c r="Q1428" s="1447">
        <v>41872</v>
      </c>
      <c r="R1428" s="656"/>
      <c r="S1428" s="656" t="s">
        <v>1394</v>
      </c>
      <c r="T1428" s="656" t="s">
        <v>9769</v>
      </c>
      <c r="U1428" s="656" t="s">
        <v>9769</v>
      </c>
      <c r="V1428" s="656"/>
      <c r="W1428" s="656" t="s">
        <v>13051</v>
      </c>
      <c r="X1428" s="656" t="s">
        <v>498</v>
      </c>
      <c r="Y1428" s="656" t="s">
        <v>14278</v>
      </c>
      <c r="Z1428" s="656">
        <v>44305.519247685188</v>
      </c>
      <c r="AA1428" s="656" t="s">
        <v>14335</v>
      </c>
      <c r="AB1428" s="656"/>
    </row>
    <row r="1429" spans="1:28">
      <c r="A1429" s="656" t="s">
        <v>4914</v>
      </c>
      <c r="B1429" s="656" t="s">
        <v>4915</v>
      </c>
      <c r="C1429" s="656" t="s">
        <v>21</v>
      </c>
      <c r="D1429" s="656" t="s">
        <v>9770</v>
      </c>
      <c r="E1429" s="656" t="s">
        <v>14279</v>
      </c>
      <c r="F1429" s="1447"/>
      <c r="G1429" s="656" t="s">
        <v>15421</v>
      </c>
      <c r="H1429" s="656" t="s">
        <v>1584</v>
      </c>
      <c r="I1429" s="656" t="s">
        <v>14286</v>
      </c>
      <c r="J1429" s="656" t="s">
        <v>9770</v>
      </c>
      <c r="K1429" s="656" t="s">
        <v>9774</v>
      </c>
      <c r="L1429" s="656"/>
      <c r="M1429" s="656" t="s">
        <v>12703</v>
      </c>
      <c r="N1429" s="656" t="s">
        <v>9769</v>
      </c>
      <c r="O1429" s="656" t="s">
        <v>9772</v>
      </c>
      <c r="P1429" s="5" t="s">
        <v>15410</v>
      </c>
      <c r="Q1429" s="1447"/>
      <c r="R1429" s="656"/>
      <c r="S1429" s="656" t="s">
        <v>475</v>
      </c>
      <c r="T1429" s="656" t="s">
        <v>9769</v>
      </c>
      <c r="U1429" s="656" t="s">
        <v>9769</v>
      </c>
      <c r="V1429" s="656"/>
      <c r="W1429" s="656" t="s">
        <v>13051</v>
      </c>
      <c r="X1429" s="656" t="s">
        <v>498</v>
      </c>
      <c r="Y1429" s="656" t="s">
        <v>14278</v>
      </c>
      <c r="Z1429" s="656">
        <v>44306.551562499997</v>
      </c>
      <c r="AA1429" s="656" t="s">
        <v>14276</v>
      </c>
      <c r="AB1429" s="656"/>
    </row>
    <row r="1430" spans="1:28">
      <c r="A1430" s="656" t="s">
        <v>4916</v>
      </c>
      <c r="B1430" s="656" t="s">
        <v>4917</v>
      </c>
      <c r="C1430" s="656" t="s">
        <v>21</v>
      </c>
      <c r="D1430" s="656" t="s">
        <v>11122</v>
      </c>
      <c r="E1430" s="656" t="s">
        <v>14384</v>
      </c>
      <c r="F1430" s="1447">
        <v>42970</v>
      </c>
      <c r="G1430" s="656" t="s">
        <v>11121</v>
      </c>
      <c r="H1430" s="656" t="s">
        <v>1777</v>
      </c>
      <c r="I1430" s="656" t="s">
        <v>14747</v>
      </c>
      <c r="J1430" s="656" t="s">
        <v>11122</v>
      </c>
      <c r="K1430" s="656" t="s">
        <v>9750</v>
      </c>
      <c r="L1430" s="656"/>
      <c r="M1430" s="656" t="s">
        <v>16429</v>
      </c>
      <c r="N1430" s="656" t="s">
        <v>9769</v>
      </c>
      <c r="O1430" s="656" t="s">
        <v>10754</v>
      </c>
      <c r="P1430" s="5" t="s">
        <v>14947</v>
      </c>
      <c r="Q1430" s="1447">
        <v>41872</v>
      </c>
      <c r="R1430" s="656"/>
      <c r="S1430" s="656" t="s">
        <v>1394</v>
      </c>
      <c r="T1430" s="656" t="s">
        <v>9769</v>
      </c>
      <c r="U1430" s="656" t="s">
        <v>9769</v>
      </c>
      <c r="V1430" s="656"/>
      <c r="W1430" s="656" t="s">
        <v>13051</v>
      </c>
      <c r="X1430" s="656" t="s">
        <v>498</v>
      </c>
      <c r="Y1430" s="656" t="s">
        <v>14278</v>
      </c>
      <c r="Z1430" s="656">
        <v>44305.519236111111</v>
      </c>
      <c r="AA1430" s="656" t="s">
        <v>14335</v>
      </c>
      <c r="AB1430" s="656"/>
    </row>
    <row r="1431" spans="1:28">
      <c r="A1431" s="656" t="s">
        <v>4918</v>
      </c>
      <c r="B1431" s="656" t="s">
        <v>4919</v>
      </c>
      <c r="C1431" s="656" t="s">
        <v>21</v>
      </c>
      <c r="D1431" s="656" t="s">
        <v>11120</v>
      </c>
      <c r="E1431" s="656" t="s">
        <v>14384</v>
      </c>
      <c r="F1431" s="1447">
        <v>42970</v>
      </c>
      <c r="G1431" s="656" t="s">
        <v>11119</v>
      </c>
      <c r="H1431" s="656" t="s">
        <v>1777</v>
      </c>
      <c r="I1431" s="656" t="s">
        <v>14748</v>
      </c>
      <c r="J1431" s="656" t="s">
        <v>11120</v>
      </c>
      <c r="K1431" s="656" t="s">
        <v>9750</v>
      </c>
      <c r="L1431" s="656"/>
      <c r="M1431" s="656" t="s">
        <v>16198</v>
      </c>
      <c r="N1431" s="656" t="s">
        <v>9769</v>
      </c>
      <c r="O1431" s="656" t="s">
        <v>10754</v>
      </c>
      <c r="P1431" s="5" t="s">
        <v>14947</v>
      </c>
      <c r="Q1431" s="1447">
        <v>41872</v>
      </c>
      <c r="R1431" s="656"/>
      <c r="S1431" s="656" t="s">
        <v>1394</v>
      </c>
      <c r="T1431" s="656" t="s">
        <v>9769</v>
      </c>
      <c r="U1431" s="656" t="s">
        <v>9769</v>
      </c>
      <c r="V1431" s="656"/>
      <c r="W1431" s="656" t="s">
        <v>13051</v>
      </c>
      <c r="X1431" s="656" t="s">
        <v>498</v>
      </c>
      <c r="Y1431" s="656" t="s">
        <v>14278</v>
      </c>
      <c r="Z1431" s="656">
        <v>44305.519224537034</v>
      </c>
      <c r="AA1431" s="656" t="s">
        <v>14335</v>
      </c>
      <c r="AB1431" s="656"/>
    </row>
    <row r="1432" spans="1:28">
      <c r="A1432" s="656" t="s">
        <v>8800</v>
      </c>
      <c r="B1432" s="656" t="s">
        <v>8799</v>
      </c>
      <c r="C1432" s="656" t="s">
        <v>21</v>
      </c>
      <c r="D1432" s="656" t="s">
        <v>9781</v>
      </c>
      <c r="E1432" s="656" t="s">
        <v>14279</v>
      </c>
      <c r="F1432" s="1447"/>
      <c r="G1432" s="656" t="s">
        <v>15422</v>
      </c>
      <c r="H1432" s="656" t="s">
        <v>1777</v>
      </c>
      <c r="I1432" s="656" t="s">
        <v>14281</v>
      </c>
      <c r="J1432" s="656" t="s">
        <v>9781</v>
      </c>
      <c r="K1432" s="656" t="s">
        <v>9774</v>
      </c>
      <c r="L1432" s="656"/>
      <c r="M1432" s="656" t="s">
        <v>16196</v>
      </c>
      <c r="N1432" s="656" t="s">
        <v>9769</v>
      </c>
      <c r="O1432" s="656" t="s">
        <v>9772</v>
      </c>
      <c r="P1432" s="5" t="s">
        <v>15448</v>
      </c>
      <c r="Q1432" s="1447">
        <v>42678</v>
      </c>
      <c r="R1432" s="656"/>
      <c r="S1432" s="656" t="s">
        <v>475</v>
      </c>
      <c r="T1432" s="656" t="s">
        <v>9769</v>
      </c>
      <c r="U1432" s="656" t="s">
        <v>9769</v>
      </c>
      <c r="V1432" s="656"/>
      <c r="W1432" s="656" t="s">
        <v>13051</v>
      </c>
      <c r="X1432" s="656" t="s">
        <v>498</v>
      </c>
      <c r="Y1432" s="656" t="s">
        <v>14278</v>
      </c>
      <c r="Z1432" s="656">
        <v>44305.519224537034</v>
      </c>
      <c r="AA1432" s="656" t="s">
        <v>14335</v>
      </c>
      <c r="AB1432" s="656"/>
    </row>
    <row r="1433" spans="1:28">
      <c r="A1433" s="656" t="s">
        <v>4924</v>
      </c>
      <c r="B1433" s="656" t="s">
        <v>4925</v>
      </c>
      <c r="C1433" s="656" t="s">
        <v>21</v>
      </c>
      <c r="D1433" s="656" t="s">
        <v>11116</v>
      </c>
      <c r="E1433" s="656" t="s">
        <v>14275</v>
      </c>
      <c r="F1433" s="1447">
        <v>42569</v>
      </c>
      <c r="G1433" s="656" t="s">
        <v>11115</v>
      </c>
      <c r="H1433" s="656" t="s">
        <v>1777</v>
      </c>
      <c r="I1433" s="656" t="s">
        <v>14749</v>
      </c>
      <c r="J1433" s="656" t="s">
        <v>11116</v>
      </c>
      <c r="K1433" s="656" t="s">
        <v>9782</v>
      </c>
      <c r="L1433" s="656"/>
      <c r="M1433" s="656" t="s">
        <v>16265</v>
      </c>
      <c r="N1433" s="656"/>
      <c r="O1433" s="656" t="s">
        <v>6387</v>
      </c>
      <c r="P1433" s="5"/>
      <c r="Q1433" s="1447"/>
      <c r="R1433" s="656">
        <v>41974</v>
      </c>
      <c r="S1433" s="656" t="s">
        <v>655</v>
      </c>
      <c r="T1433" s="656" t="s">
        <v>282</v>
      </c>
      <c r="U1433" s="656" t="s">
        <v>1394</v>
      </c>
      <c r="V1433" s="656"/>
      <c r="W1433" s="656" t="s">
        <v>13051</v>
      </c>
      <c r="X1433" s="656" t="s">
        <v>498</v>
      </c>
      <c r="Y1433" s="656" t="s">
        <v>14278</v>
      </c>
      <c r="Z1433" s="656">
        <v>44305.519212962965</v>
      </c>
      <c r="AA1433" s="656" t="s">
        <v>14335</v>
      </c>
      <c r="AB1433" s="656"/>
    </row>
    <row r="1434" spans="1:28">
      <c r="A1434" s="656" t="s">
        <v>4924</v>
      </c>
      <c r="B1434" s="656" t="s">
        <v>4925</v>
      </c>
      <c r="C1434" s="656" t="s">
        <v>20</v>
      </c>
      <c r="D1434" s="656" t="s">
        <v>11118</v>
      </c>
      <c r="E1434" s="656" t="s">
        <v>14275</v>
      </c>
      <c r="F1434" s="1447">
        <v>42115</v>
      </c>
      <c r="G1434" s="656" t="s">
        <v>11117</v>
      </c>
      <c r="H1434" s="656" t="s">
        <v>1777</v>
      </c>
      <c r="I1434" s="656"/>
      <c r="J1434" s="656"/>
      <c r="K1434" s="656"/>
      <c r="L1434" s="656" t="s">
        <v>11118</v>
      </c>
      <c r="M1434" s="656" t="s">
        <v>16265</v>
      </c>
      <c r="N1434" s="656"/>
      <c r="O1434" s="656" t="s">
        <v>6387</v>
      </c>
      <c r="P1434" s="5"/>
      <c r="Q1434" s="1447"/>
      <c r="R1434" s="656"/>
      <c r="S1434" s="656" t="s">
        <v>655</v>
      </c>
      <c r="T1434" s="656" t="s">
        <v>282</v>
      </c>
      <c r="U1434" s="656" t="s">
        <v>1394</v>
      </c>
      <c r="V1434" s="656"/>
      <c r="W1434" s="656" t="s">
        <v>13051</v>
      </c>
      <c r="X1434" s="656" t="s">
        <v>498</v>
      </c>
      <c r="Y1434" s="656" t="s">
        <v>14278</v>
      </c>
      <c r="Z1434" s="656">
        <v>44305.519212962965</v>
      </c>
      <c r="AA1434" s="656" t="s">
        <v>14335</v>
      </c>
      <c r="AB1434" s="656"/>
    </row>
    <row r="1435" spans="1:28">
      <c r="A1435" s="656" t="s">
        <v>4926</v>
      </c>
      <c r="B1435" s="656" t="s">
        <v>4927</v>
      </c>
      <c r="C1435" s="656" t="s">
        <v>21</v>
      </c>
      <c r="D1435" s="656" t="s">
        <v>12278</v>
      </c>
      <c r="E1435" s="656" t="s">
        <v>14313</v>
      </c>
      <c r="F1435" s="1447"/>
      <c r="G1435" s="656" t="s">
        <v>11113</v>
      </c>
      <c r="H1435" s="656" t="s">
        <v>1777</v>
      </c>
      <c r="I1435" s="656" t="s">
        <v>14750</v>
      </c>
      <c r="J1435" s="656" t="s">
        <v>12278</v>
      </c>
      <c r="K1435" s="656" t="s">
        <v>9721</v>
      </c>
      <c r="L1435" s="656"/>
      <c r="M1435" s="656" t="s">
        <v>16196</v>
      </c>
      <c r="N1435" s="656"/>
      <c r="O1435" s="656" t="s">
        <v>9714</v>
      </c>
      <c r="P1435" s="5"/>
      <c r="Q1435" s="1447">
        <v>42417</v>
      </c>
      <c r="R1435" s="656">
        <v>42704</v>
      </c>
      <c r="S1435" s="656" t="s">
        <v>1394</v>
      </c>
      <c r="T1435" s="656" t="s">
        <v>282</v>
      </c>
      <c r="U1435" s="656" t="s">
        <v>1394</v>
      </c>
      <c r="V1435" s="656"/>
      <c r="W1435" s="656" t="s">
        <v>13051</v>
      </c>
      <c r="X1435" s="656" t="s">
        <v>498</v>
      </c>
      <c r="Y1435" s="656" t="s">
        <v>14278</v>
      </c>
      <c r="Z1435" s="656">
        <v>44305.519189814811</v>
      </c>
      <c r="AA1435" s="656" t="s">
        <v>14335</v>
      </c>
      <c r="AB1435" s="656"/>
    </row>
    <row r="1436" spans="1:28">
      <c r="A1436" s="656" t="s">
        <v>4926</v>
      </c>
      <c r="B1436" s="656" t="s">
        <v>4927</v>
      </c>
      <c r="C1436" s="656" t="s">
        <v>20</v>
      </c>
      <c r="D1436" s="656" t="s">
        <v>11114</v>
      </c>
      <c r="E1436" s="656" t="s">
        <v>14275</v>
      </c>
      <c r="F1436" s="1447">
        <v>43034</v>
      </c>
      <c r="G1436" s="656" t="s">
        <v>11113</v>
      </c>
      <c r="H1436" s="656" t="s">
        <v>1777</v>
      </c>
      <c r="I1436" s="656"/>
      <c r="J1436" s="656"/>
      <c r="K1436" s="656"/>
      <c r="L1436" s="656" t="s">
        <v>11114</v>
      </c>
      <c r="M1436" s="656" t="s">
        <v>16196</v>
      </c>
      <c r="N1436" s="656"/>
      <c r="O1436" s="656" t="s">
        <v>9714</v>
      </c>
      <c r="P1436" s="5"/>
      <c r="Q1436" s="1447"/>
      <c r="R1436" s="656"/>
      <c r="S1436" s="656" t="s">
        <v>1394</v>
      </c>
      <c r="T1436" s="656" t="s">
        <v>282</v>
      </c>
      <c r="U1436" s="656" t="s">
        <v>1394</v>
      </c>
      <c r="V1436" s="656"/>
      <c r="W1436" s="656" t="s">
        <v>13051</v>
      </c>
      <c r="X1436" s="656" t="s">
        <v>498</v>
      </c>
      <c r="Y1436" s="656" t="s">
        <v>14278</v>
      </c>
      <c r="Z1436" s="656">
        <v>44305.519201388888</v>
      </c>
      <c r="AA1436" s="656" t="s">
        <v>14335</v>
      </c>
      <c r="AB1436" s="656"/>
    </row>
    <row r="1437" spans="1:28">
      <c r="A1437" s="656" t="s">
        <v>4928</v>
      </c>
      <c r="B1437" s="656" t="s">
        <v>4929</v>
      </c>
      <c r="C1437" s="656" t="s">
        <v>21</v>
      </c>
      <c r="D1437" s="656" t="s">
        <v>11112</v>
      </c>
      <c r="E1437" s="656" t="s">
        <v>14384</v>
      </c>
      <c r="F1437" s="1447">
        <v>42278</v>
      </c>
      <c r="G1437" s="656" t="s">
        <v>11111</v>
      </c>
      <c r="H1437" s="656" t="s">
        <v>1777</v>
      </c>
      <c r="I1437" s="656" t="s">
        <v>14750</v>
      </c>
      <c r="J1437" s="656" t="s">
        <v>11112</v>
      </c>
      <c r="K1437" s="656" t="s">
        <v>9721</v>
      </c>
      <c r="L1437" s="656"/>
      <c r="M1437" s="656" t="s">
        <v>16196</v>
      </c>
      <c r="N1437" s="656"/>
      <c r="O1437" s="656" t="s">
        <v>9714</v>
      </c>
      <c r="P1437" s="5" t="s">
        <v>14751</v>
      </c>
      <c r="Q1437" s="1447">
        <v>41775</v>
      </c>
      <c r="R1437" s="656"/>
      <c r="S1437" s="656" t="s">
        <v>1394</v>
      </c>
      <c r="T1437" s="656" t="s">
        <v>282</v>
      </c>
      <c r="U1437" s="656" t="s">
        <v>1394</v>
      </c>
      <c r="V1437" s="656"/>
      <c r="W1437" s="656" t="s">
        <v>13051</v>
      </c>
      <c r="X1437" s="656" t="s">
        <v>498</v>
      </c>
      <c r="Y1437" s="656" t="s">
        <v>14278</v>
      </c>
      <c r="Z1437" s="656">
        <v>44305.519189814811</v>
      </c>
      <c r="AA1437" s="656" t="s">
        <v>14335</v>
      </c>
      <c r="AB1437" s="656"/>
    </row>
    <row r="1438" spans="1:28">
      <c r="A1438" s="656" t="s">
        <v>4930</v>
      </c>
      <c r="B1438" s="656" t="s">
        <v>4931</v>
      </c>
      <c r="C1438" s="656" t="s">
        <v>21</v>
      </c>
      <c r="D1438" s="656" t="s">
        <v>11110</v>
      </c>
      <c r="E1438" s="656" t="s">
        <v>14384</v>
      </c>
      <c r="F1438" s="1447">
        <v>42338</v>
      </c>
      <c r="G1438" s="656" t="s">
        <v>11109</v>
      </c>
      <c r="H1438" s="656" t="s">
        <v>1777</v>
      </c>
      <c r="I1438" s="656" t="s">
        <v>14750</v>
      </c>
      <c r="J1438" s="656" t="s">
        <v>11110</v>
      </c>
      <c r="K1438" s="656" t="s">
        <v>9721</v>
      </c>
      <c r="L1438" s="656"/>
      <c r="M1438" s="656" t="s">
        <v>16196</v>
      </c>
      <c r="N1438" s="656"/>
      <c r="O1438" s="656" t="s">
        <v>9714</v>
      </c>
      <c r="P1438" s="5" t="s">
        <v>14752</v>
      </c>
      <c r="Q1438" s="1447"/>
      <c r="R1438" s="656"/>
      <c r="S1438" s="656" t="s">
        <v>1394</v>
      </c>
      <c r="T1438" s="656" t="s">
        <v>282</v>
      </c>
      <c r="U1438" s="656" t="s">
        <v>1394</v>
      </c>
      <c r="V1438" s="656"/>
      <c r="W1438" s="656" t="s">
        <v>13051</v>
      </c>
      <c r="X1438" s="656" t="s">
        <v>498</v>
      </c>
      <c r="Y1438" s="656" t="s">
        <v>14278</v>
      </c>
      <c r="Z1438" s="656">
        <v>44305.519178240742</v>
      </c>
      <c r="AA1438" s="656" t="s">
        <v>14335</v>
      </c>
      <c r="AB1438" s="656"/>
    </row>
    <row r="1439" spans="1:28">
      <c r="A1439" s="656" t="s">
        <v>4932</v>
      </c>
      <c r="B1439" s="656" t="s">
        <v>4933</v>
      </c>
      <c r="C1439" s="656" t="s">
        <v>21</v>
      </c>
      <c r="D1439" s="656" t="s">
        <v>11107</v>
      </c>
      <c r="E1439" s="656" t="s">
        <v>14384</v>
      </c>
      <c r="F1439" s="1447">
        <v>42278</v>
      </c>
      <c r="G1439" s="656" t="s">
        <v>11106</v>
      </c>
      <c r="H1439" s="656" t="s">
        <v>1777</v>
      </c>
      <c r="I1439" s="656" t="s">
        <v>14750</v>
      </c>
      <c r="J1439" s="656" t="s">
        <v>11107</v>
      </c>
      <c r="K1439" s="656" t="s">
        <v>9721</v>
      </c>
      <c r="L1439" s="656"/>
      <c r="M1439" s="656" t="s">
        <v>16196</v>
      </c>
      <c r="N1439" s="656"/>
      <c r="O1439" s="656" t="s">
        <v>9714</v>
      </c>
      <c r="P1439" s="5" t="s">
        <v>14753</v>
      </c>
      <c r="Q1439" s="1447">
        <v>41775</v>
      </c>
      <c r="R1439" s="656"/>
      <c r="S1439" s="656" t="s">
        <v>1667</v>
      </c>
      <c r="T1439" s="656" t="s">
        <v>282</v>
      </c>
      <c r="U1439" s="656" t="s">
        <v>1394</v>
      </c>
      <c r="V1439" s="656"/>
      <c r="W1439" s="656" t="s">
        <v>13051</v>
      </c>
      <c r="X1439" s="656" t="s">
        <v>498</v>
      </c>
      <c r="Y1439" s="656" t="s">
        <v>14278</v>
      </c>
      <c r="Z1439" s="656">
        <v>44305.519178240742</v>
      </c>
      <c r="AA1439" s="656" t="s">
        <v>14335</v>
      </c>
      <c r="AB1439" s="656"/>
    </row>
    <row r="1440" spans="1:28">
      <c r="A1440" s="656" t="s">
        <v>4932</v>
      </c>
      <c r="B1440" s="656" t="s">
        <v>4933</v>
      </c>
      <c r="C1440" s="656" t="s">
        <v>20</v>
      </c>
      <c r="D1440" s="656" t="s">
        <v>11108</v>
      </c>
      <c r="E1440" s="656" t="s">
        <v>14275</v>
      </c>
      <c r="F1440" s="1447">
        <v>42873</v>
      </c>
      <c r="G1440" s="656" t="s">
        <v>11106</v>
      </c>
      <c r="H1440" s="656" t="s">
        <v>1777</v>
      </c>
      <c r="I1440" s="656"/>
      <c r="J1440" s="656"/>
      <c r="K1440" s="656"/>
      <c r="L1440" s="656" t="s">
        <v>11108</v>
      </c>
      <c r="M1440" s="656" t="s">
        <v>16196</v>
      </c>
      <c r="N1440" s="656"/>
      <c r="O1440" s="656" t="s">
        <v>9714</v>
      </c>
      <c r="P1440" s="5"/>
      <c r="Q1440" s="1447"/>
      <c r="R1440" s="656"/>
      <c r="S1440" s="656" t="s">
        <v>1667</v>
      </c>
      <c r="T1440" s="656" t="s">
        <v>282</v>
      </c>
      <c r="U1440" s="656" t="s">
        <v>1394</v>
      </c>
      <c r="V1440" s="656"/>
      <c r="W1440" s="656" t="s">
        <v>13051</v>
      </c>
      <c r="X1440" s="656" t="s">
        <v>498</v>
      </c>
      <c r="Y1440" s="656" t="s">
        <v>14278</v>
      </c>
      <c r="Z1440" s="656">
        <v>44305.519189814811</v>
      </c>
      <c r="AA1440" s="656" t="s">
        <v>14335</v>
      </c>
      <c r="AB1440" s="656"/>
    </row>
    <row r="1441" spans="1:28">
      <c r="A1441" s="656" t="s">
        <v>4945</v>
      </c>
      <c r="B1441" s="656" t="s">
        <v>4943</v>
      </c>
      <c r="C1441" s="656" t="s">
        <v>21</v>
      </c>
      <c r="D1441" s="656" t="s">
        <v>11093</v>
      </c>
      <c r="E1441" s="656" t="s">
        <v>14384</v>
      </c>
      <c r="F1441" s="1447">
        <v>42368</v>
      </c>
      <c r="G1441" s="656" t="s">
        <v>11092</v>
      </c>
      <c r="H1441" s="656" t="s">
        <v>1777</v>
      </c>
      <c r="I1441" s="656" t="s">
        <v>14750</v>
      </c>
      <c r="J1441" s="656" t="s">
        <v>11093</v>
      </c>
      <c r="K1441" s="656" t="s">
        <v>9721</v>
      </c>
      <c r="L1441" s="656"/>
      <c r="M1441" s="656" t="s">
        <v>16196</v>
      </c>
      <c r="N1441" s="656"/>
      <c r="O1441" s="656" t="s">
        <v>9714</v>
      </c>
      <c r="P1441" s="5" t="s">
        <v>14754</v>
      </c>
      <c r="Q1441" s="1447">
        <v>41775</v>
      </c>
      <c r="R1441" s="656"/>
      <c r="S1441" s="656" t="s">
        <v>1394</v>
      </c>
      <c r="T1441" s="656" t="s">
        <v>282</v>
      </c>
      <c r="U1441" s="656" t="s">
        <v>1394</v>
      </c>
      <c r="V1441" s="656"/>
      <c r="W1441" s="656" t="s">
        <v>13051</v>
      </c>
      <c r="X1441" s="656" t="s">
        <v>498</v>
      </c>
      <c r="Y1441" s="656" t="s">
        <v>14278</v>
      </c>
      <c r="Z1441" s="656">
        <v>44305.519131944442</v>
      </c>
      <c r="AA1441" s="656" t="s">
        <v>14335</v>
      </c>
      <c r="AB1441" s="656"/>
    </row>
    <row r="1442" spans="1:28">
      <c r="A1442" s="656" t="s">
        <v>4945</v>
      </c>
      <c r="B1442" s="656" t="s">
        <v>4943</v>
      </c>
      <c r="C1442" s="656" t="s">
        <v>20</v>
      </c>
      <c r="D1442" s="656" t="s">
        <v>11095</v>
      </c>
      <c r="E1442" s="656" t="s">
        <v>14275</v>
      </c>
      <c r="F1442" s="1447">
        <v>42873</v>
      </c>
      <c r="G1442" s="656" t="s">
        <v>11094</v>
      </c>
      <c r="H1442" s="656" t="s">
        <v>1777</v>
      </c>
      <c r="I1442" s="656"/>
      <c r="J1442" s="656"/>
      <c r="K1442" s="656"/>
      <c r="L1442" s="656" t="s">
        <v>11095</v>
      </c>
      <c r="M1442" s="656" t="s">
        <v>16196</v>
      </c>
      <c r="N1442" s="656"/>
      <c r="O1442" s="656" t="s">
        <v>9714</v>
      </c>
      <c r="P1442" s="5"/>
      <c r="Q1442" s="1447"/>
      <c r="R1442" s="656"/>
      <c r="S1442" s="656" t="s">
        <v>1394</v>
      </c>
      <c r="T1442" s="656" t="s">
        <v>282</v>
      </c>
      <c r="U1442" s="656" t="s">
        <v>1394</v>
      </c>
      <c r="V1442" s="656"/>
      <c r="W1442" s="656" t="s">
        <v>13051</v>
      </c>
      <c r="X1442" s="656" t="s">
        <v>498</v>
      </c>
      <c r="Y1442" s="656" t="s">
        <v>14278</v>
      </c>
      <c r="Z1442" s="656">
        <v>44305.519143518519</v>
      </c>
      <c r="AA1442" s="656" t="s">
        <v>14335</v>
      </c>
      <c r="AB1442" s="656"/>
    </row>
    <row r="1443" spans="1:28">
      <c r="A1443" s="656" t="s">
        <v>4946</v>
      </c>
      <c r="B1443" s="656" t="s">
        <v>4947</v>
      </c>
      <c r="C1443" s="656" t="s">
        <v>21</v>
      </c>
      <c r="D1443" s="656" t="s">
        <v>11089</v>
      </c>
      <c r="E1443" s="656" t="s">
        <v>14275</v>
      </c>
      <c r="F1443" s="1447">
        <v>43789</v>
      </c>
      <c r="G1443" s="656" t="s">
        <v>11088</v>
      </c>
      <c r="H1443" s="656" t="s">
        <v>1777</v>
      </c>
      <c r="I1443" s="656" t="s">
        <v>14750</v>
      </c>
      <c r="J1443" s="656" t="s">
        <v>11089</v>
      </c>
      <c r="K1443" s="656" t="s">
        <v>9721</v>
      </c>
      <c r="L1443" s="656"/>
      <c r="M1443" s="656" t="s">
        <v>16196</v>
      </c>
      <c r="N1443" s="656"/>
      <c r="O1443" s="656" t="s">
        <v>9714</v>
      </c>
      <c r="P1443" s="5"/>
      <c r="Q1443" s="1447">
        <v>41775</v>
      </c>
      <c r="R1443" s="656">
        <v>43221</v>
      </c>
      <c r="S1443" s="656" t="s">
        <v>1394</v>
      </c>
      <c r="T1443" s="656" t="s">
        <v>282</v>
      </c>
      <c r="U1443" s="656" t="s">
        <v>1394</v>
      </c>
      <c r="V1443" s="656"/>
      <c r="W1443" s="656" t="s">
        <v>13051</v>
      </c>
      <c r="X1443" s="656" t="s">
        <v>498</v>
      </c>
      <c r="Y1443" s="656" t="s">
        <v>14278</v>
      </c>
      <c r="Z1443" s="656">
        <v>44305.519131944442</v>
      </c>
      <c r="AA1443" s="656" t="s">
        <v>14335</v>
      </c>
      <c r="AB1443" s="656"/>
    </row>
    <row r="1444" spans="1:28">
      <c r="A1444" s="656" t="s">
        <v>4946</v>
      </c>
      <c r="B1444" s="656" t="s">
        <v>4947</v>
      </c>
      <c r="C1444" s="656" t="s">
        <v>20</v>
      </c>
      <c r="D1444" s="656" t="s">
        <v>11091</v>
      </c>
      <c r="E1444" s="656" t="s">
        <v>14275</v>
      </c>
      <c r="F1444" s="1447">
        <v>43794</v>
      </c>
      <c r="G1444" s="656" t="s">
        <v>11090</v>
      </c>
      <c r="H1444" s="656" t="s">
        <v>1777</v>
      </c>
      <c r="I1444" s="656"/>
      <c r="J1444" s="656"/>
      <c r="K1444" s="656"/>
      <c r="L1444" s="656" t="s">
        <v>11091</v>
      </c>
      <c r="M1444" s="656" t="s">
        <v>16196</v>
      </c>
      <c r="N1444" s="656"/>
      <c r="O1444" s="656" t="s">
        <v>9714</v>
      </c>
      <c r="P1444" s="5"/>
      <c r="Q1444" s="1447">
        <v>41628</v>
      </c>
      <c r="R1444" s="656"/>
      <c r="S1444" s="656" t="s">
        <v>1394</v>
      </c>
      <c r="T1444" s="656" t="s">
        <v>282</v>
      </c>
      <c r="U1444" s="656" t="s">
        <v>1394</v>
      </c>
      <c r="V1444" s="656"/>
      <c r="W1444" s="656" t="s">
        <v>13051</v>
      </c>
      <c r="X1444" s="656" t="s">
        <v>498</v>
      </c>
      <c r="Y1444" s="656" t="s">
        <v>14278</v>
      </c>
      <c r="Z1444" s="656">
        <v>44305.519131944442</v>
      </c>
      <c r="AA1444" s="656" t="s">
        <v>14335</v>
      </c>
      <c r="AB1444" s="656"/>
    </row>
    <row r="1445" spans="1:28">
      <c r="A1445" s="656" t="s">
        <v>11084</v>
      </c>
      <c r="B1445" s="656" t="s">
        <v>11085</v>
      </c>
      <c r="C1445" s="656" t="s">
        <v>20</v>
      </c>
      <c r="D1445" s="656" t="s">
        <v>11087</v>
      </c>
      <c r="E1445" s="656" t="s">
        <v>14275</v>
      </c>
      <c r="F1445" s="1447">
        <v>43888</v>
      </c>
      <c r="G1445" s="656" t="s">
        <v>11086</v>
      </c>
      <c r="H1445" s="656" t="s">
        <v>1777</v>
      </c>
      <c r="I1445" s="656"/>
      <c r="J1445" s="656"/>
      <c r="K1445" s="656"/>
      <c r="L1445" s="656" t="s">
        <v>11087</v>
      </c>
      <c r="M1445" s="656" t="s">
        <v>16426</v>
      </c>
      <c r="N1445" s="656"/>
      <c r="O1445" s="656" t="s">
        <v>9714</v>
      </c>
      <c r="P1445" s="5"/>
      <c r="Q1445" s="1447"/>
      <c r="R1445" s="656"/>
      <c r="S1445" s="656" t="s">
        <v>1394</v>
      </c>
      <c r="T1445" s="656" t="s">
        <v>282</v>
      </c>
      <c r="U1445" s="656" t="s">
        <v>1394</v>
      </c>
      <c r="V1445" s="656"/>
      <c r="W1445" s="656" t="s">
        <v>13051</v>
      </c>
      <c r="X1445" s="656" t="s">
        <v>498</v>
      </c>
      <c r="Y1445" s="656" t="s">
        <v>14278</v>
      </c>
      <c r="Z1445" s="656">
        <v>44305.519120370373</v>
      </c>
      <c r="AA1445" s="656" t="s">
        <v>14335</v>
      </c>
      <c r="AB1445" s="656"/>
    </row>
    <row r="1446" spans="1:28">
      <c r="A1446" s="656" t="s">
        <v>4950</v>
      </c>
      <c r="B1446" s="656" t="s">
        <v>4951</v>
      </c>
      <c r="C1446" s="656" t="s">
        <v>21</v>
      </c>
      <c r="D1446" s="656" t="s">
        <v>11078</v>
      </c>
      <c r="E1446" s="656" t="s">
        <v>14384</v>
      </c>
      <c r="F1446" s="1447">
        <v>42338</v>
      </c>
      <c r="G1446" s="656" t="s">
        <v>11077</v>
      </c>
      <c r="H1446" s="656" t="s">
        <v>1777</v>
      </c>
      <c r="I1446" s="656" t="s">
        <v>14750</v>
      </c>
      <c r="J1446" s="656" t="s">
        <v>11078</v>
      </c>
      <c r="K1446" s="656" t="s">
        <v>9721</v>
      </c>
      <c r="L1446" s="656"/>
      <c r="M1446" s="656" t="s">
        <v>16196</v>
      </c>
      <c r="N1446" s="656"/>
      <c r="O1446" s="656" t="s">
        <v>9714</v>
      </c>
      <c r="P1446" s="5" t="s">
        <v>14752</v>
      </c>
      <c r="Q1446" s="1447"/>
      <c r="R1446" s="656"/>
      <c r="S1446" s="656" t="s">
        <v>1394</v>
      </c>
      <c r="T1446" s="656" t="s">
        <v>282</v>
      </c>
      <c r="U1446" s="656" t="s">
        <v>1394</v>
      </c>
      <c r="V1446" s="656"/>
      <c r="W1446" s="656" t="s">
        <v>13051</v>
      </c>
      <c r="X1446" s="656" t="s">
        <v>498</v>
      </c>
      <c r="Y1446" s="656" t="s">
        <v>14278</v>
      </c>
      <c r="Z1446" s="656">
        <v>44305.519097222219</v>
      </c>
      <c r="AA1446" s="656" t="s">
        <v>14335</v>
      </c>
      <c r="AB1446" s="656"/>
    </row>
    <row r="1447" spans="1:28">
      <c r="A1447" s="656" t="s">
        <v>4950</v>
      </c>
      <c r="B1447" s="656" t="s">
        <v>4951</v>
      </c>
      <c r="C1447" s="656" t="s">
        <v>21</v>
      </c>
      <c r="D1447" s="656" t="s">
        <v>11080</v>
      </c>
      <c r="E1447" s="656" t="s">
        <v>14275</v>
      </c>
      <c r="F1447" s="1447">
        <v>42895</v>
      </c>
      <c r="G1447" s="656" t="s">
        <v>11079</v>
      </c>
      <c r="H1447" s="656" t="s">
        <v>1777</v>
      </c>
      <c r="I1447" s="656" t="s">
        <v>14750</v>
      </c>
      <c r="J1447" s="656" t="s">
        <v>11080</v>
      </c>
      <c r="K1447" s="656" t="s">
        <v>9721</v>
      </c>
      <c r="L1447" s="656"/>
      <c r="M1447" s="656" t="s">
        <v>16196</v>
      </c>
      <c r="N1447" s="656"/>
      <c r="O1447" s="656" t="s">
        <v>9714</v>
      </c>
      <c r="P1447" s="5"/>
      <c r="Q1447" s="1447">
        <v>42417</v>
      </c>
      <c r="R1447" s="656">
        <v>42704</v>
      </c>
      <c r="S1447" s="656" t="s">
        <v>1394</v>
      </c>
      <c r="T1447" s="656" t="s">
        <v>282</v>
      </c>
      <c r="U1447" s="656" t="s">
        <v>1394</v>
      </c>
      <c r="V1447" s="656"/>
      <c r="W1447" s="656" t="s">
        <v>13051</v>
      </c>
      <c r="X1447" s="656" t="s">
        <v>498</v>
      </c>
      <c r="Y1447" s="656" t="s">
        <v>14278</v>
      </c>
      <c r="Z1447" s="656">
        <v>44305.519108796296</v>
      </c>
      <c r="AA1447" s="656" t="s">
        <v>14335</v>
      </c>
      <c r="AB1447" s="656"/>
    </row>
    <row r="1448" spans="1:28">
      <c r="A1448" s="656" t="s">
        <v>4950</v>
      </c>
      <c r="B1448" s="656" t="s">
        <v>4951</v>
      </c>
      <c r="C1448" s="656" t="s">
        <v>20</v>
      </c>
      <c r="D1448" s="656" t="s">
        <v>11081</v>
      </c>
      <c r="E1448" s="656" t="s">
        <v>14275</v>
      </c>
      <c r="F1448" s="1447">
        <v>42894</v>
      </c>
      <c r="G1448" s="656" t="s">
        <v>11079</v>
      </c>
      <c r="H1448" s="656" t="s">
        <v>1777</v>
      </c>
      <c r="I1448" s="656"/>
      <c r="J1448" s="656"/>
      <c r="K1448" s="656"/>
      <c r="L1448" s="656" t="s">
        <v>11081</v>
      </c>
      <c r="M1448" s="656" t="s">
        <v>16196</v>
      </c>
      <c r="N1448" s="656"/>
      <c r="O1448" s="656" t="s">
        <v>9714</v>
      </c>
      <c r="P1448" s="5"/>
      <c r="Q1448" s="1447"/>
      <c r="R1448" s="656"/>
      <c r="S1448" s="656" t="s">
        <v>1394</v>
      </c>
      <c r="T1448" s="656" t="s">
        <v>282</v>
      </c>
      <c r="U1448" s="656" t="s">
        <v>1394</v>
      </c>
      <c r="V1448" s="656"/>
      <c r="W1448" s="656" t="s">
        <v>13051</v>
      </c>
      <c r="X1448" s="656" t="s">
        <v>498</v>
      </c>
      <c r="Y1448" s="656" t="s">
        <v>14278</v>
      </c>
      <c r="Z1448" s="656">
        <v>44305.519097222219</v>
      </c>
      <c r="AA1448" s="656" t="s">
        <v>14335</v>
      </c>
      <c r="AB1448" s="656"/>
    </row>
    <row r="1449" spans="1:28">
      <c r="A1449" s="656" t="s">
        <v>4950</v>
      </c>
      <c r="B1449" s="656" t="s">
        <v>4951</v>
      </c>
      <c r="C1449" s="656" t="s">
        <v>20</v>
      </c>
      <c r="D1449" s="656" t="s">
        <v>11083</v>
      </c>
      <c r="E1449" s="656" t="s">
        <v>14275</v>
      </c>
      <c r="F1449" s="1447">
        <v>42349</v>
      </c>
      <c r="G1449" s="656" t="s">
        <v>11082</v>
      </c>
      <c r="H1449" s="656" t="s">
        <v>1777</v>
      </c>
      <c r="I1449" s="656"/>
      <c r="J1449" s="656"/>
      <c r="K1449" s="656"/>
      <c r="L1449" s="656" t="s">
        <v>11083</v>
      </c>
      <c r="M1449" s="656" t="s">
        <v>16426</v>
      </c>
      <c r="N1449" s="656"/>
      <c r="O1449" s="656" t="s">
        <v>9714</v>
      </c>
      <c r="P1449" s="5"/>
      <c r="Q1449" s="1447"/>
      <c r="R1449" s="656"/>
      <c r="S1449" s="656" t="s">
        <v>1394</v>
      </c>
      <c r="T1449" s="656" t="s">
        <v>282</v>
      </c>
      <c r="U1449" s="656" t="s">
        <v>1394</v>
      </c>
      <c r="V1449" s="656"/>
      <c r="W1449" s="656" t="s">
        <v>13051</v>
      </c>
      <c r="X1449" s="656" t="s">
        <v>498</v>
      </c>
      <c r="Y1449" s="656" t="s">
        <v>14278</v>
      </c>
      <c r="Z1449" s="656">
        <v>44305.519108796296</v>
      </c>
      <c r="AA1449" s="656" t="s">
        <v>14335</v>
      </c>
      <c r="AB1449" s="656"/>
    </row>
    <row r="1450" spans="1:28">
      <c r="A1450" s="656" t="s">
        <v>11073</v>
      </c>
      <c r="B1450" s="656" t="s">
        <v>11074</v>
      </c>
      <c r="C1450" s="656" t="s">
        <v>21</v>
      </c>
      <c r="D1450" s="656" t="s">
        <v>11076</v>
      </c>
      <c r="E1450" s="656" t="s">
        <v>14384</v>
      </c>
      <c r="F1450" s="1447">
        <v>42338</v>
      </c>
      <c r="G1450" s="656" t="s">
        <v>11075</v>
      </c>
      <c r="H1450" s="656" t="s">
        <v>1777</v>
      </c>
      <c r="I1450" s="656" t="s">
        <v>14750</v>
      </c>
      <c r="J1450" s="656" t="s">
        <v>11076</v>
      </c>
      <c r="K1450" s="656" t="s">
        <v>9721</v>
      </c>
      <c r="L1450" s="656"/>
      <c r="M1450" s="656" t="s">
        <v>16196</v>
      </c>
      <c r="N1450" s="656"/>
      <c r="O1450" s="656" t="s">
        <v>9714</v>
      </c>
      <c r="P1450" s="5" t="s">
        <v>14752</v>
      </c>
      <c r="Q1450" s="1447"/>
      <c r="R1450" s="656"/>
      <c r="S1450" s="656" t="s">
        <v>1394</v>
      </c>
      <c r="T1450" s="656" t="s">
        <v>282</v>
      </c>
      <c r="U1450" s="656" t="s">
        <v>1394</v>
      </c>
      <c r="V1450" s="656"/>
      <c r="W1450" s="656" t="s">
        <v>13051</v>
      </c>
      <c r="X1450" s="656" t="s">
        <v>498</v>
      </c>
      <c r="Y1450" s="656" t="s">
        <v>14278</v>
      </c>
      <c r="Z1450" s="656">
        <v>44305.519085648149</v>
      </c>
      <c r="AA1450" s="656" t="s">
        <v>14335</v>
      </c>
      <c r="AB1450" s="656"/>
    </row>
    <row r="1451" spans="1:28">
      <c r="A1451" s="656" t="s">
        <v>4954</v>
      </c>
      <c r="B1451" s="656" t="s">
        <v>4955</v>
      </c>
      <c r="C1451" s="656" t="s">
        <v>21</v>
      </c>
      <c r="D1451" s="656" t="s">
        <v>12277</v>
      </c>
      <c r="E1451" s="656" t="s">
        <v>14275</v>
      </c>
      <c r="F1451" s="1447">
        <v>44251</v>
      </c>
      <c r="G1451" s="656" t="s">
        <v>9719</v>
      </c>
      <c r="H1451" s="656" t="s">
        <v>1777</v>
      </c>
      <c r="I1451" s="656" t="s">
        <v>14750</v>
      </c>
      <c r="J1451" s="656" t="s">
        <v>12277</v>
      </c>
      <c r="K1451" s="656" t="s">
        <v>9721</v>
      </c>
      <c r="L1451" s="656"/>
      <c r="M1451" s="656" t="s">
        <v>16196</v>
      </c>
      <c r="N1451" s="656"/>
      <c r="O1451" s="656" t="s">
        <v>9714</v>
      </c>
      <c r="P1451" s="5" t="s">
        <v>14936</v>
      </c>
      <c r="Q1451" s="1447">
        <v>41775</v>
      </c>
      <c r="R1451" s="656">
        <v>43823</v>
      </c>
      <c r="S1451" s="656" t="s">
        <v>1394</v>
      </c>
      <c r="T1451" s="656" t="s">
        <v>282</v>
      </c>
      <c r="U1451" s="656" t="s">
        <v>1394</v>
      </c>
      <c r="V1451" s="656"/>
      <c r="W1451" s="656" t="s">
        <v>13051</v>
      </c>
      <c r="X1451" s="656" t="s">
        <v>498</v>
      </c>
      <c r="Y1451" s="656" t="s">
        <v>14278</v>
      </c>
      <c r="Z1451" s="656">
        <v>44305.51903935185</v>
      </c>
      <c r="AA1451" s="656" t="s">
        <v>14335</v>
      </c>
      <c r="AB1451" s="656"/>
    </row>
    <row r="1452" spans="1:28" ht="43.5">
      <c r="A1452" s="656" t="s">
        <v>4954</v>
      </c>
      <c r="B1452" s="656" t="s">
        <v>4955</v>
      </c>
      <c r="C1452" s="656" t="s">
        <v>21</v>
      </c>
      <c r="D1452" s="656" t="s">
        <v>11072</v>
      </c>
      <c r="E1452" s="656" t="s">
        <v>14384</v>
      </c>
      <c r="F1452" s="1447">
        <v>42408</v>
      </c>
      <c r="G1452" s="656" t="s">
        <v>9719</v>
      </c>
      <c r="H1452" s="656" t="s">
        <v>1777</v>
      </c>
      <c r="I1452" s="656" t="s">
        <v>14750</v>
      </c>
      <c r="J1452" s="656" t="s">
        <v>11072</v>
      </c>
      <c r="K1452" s="656" t="s">
        <v>9721</v>
      </c>
      <c r="L1452" s="656"/>
      <c r="M1452" s="656" t="s">
        <v>16196</v>
      </c>
      <c r="N1452" s="656"/>
      <c r="O1452" s="656" t="s">
        <v>9714</v>
      </c>
      <c r="P1452" s="5" t="s">
        <v>15449</v>
      </c>
      <c r="Q1452" s="1447">
        <v>42347</v>
      </c>
      <c r="R1452" s="656"/>
      <c r="S1452" s="656" t="s">
        <v>1394</v>
      </c>
      <c r="T1452" s="656" t="s">
        <v>282</v>
      </c>
      <c r="U1452" s="656" t="s">
        <v>1394</v>
      </c>
      <c r="V1452" s="656"/>
      <c r="W1452" s="656" t="s">
        <v>13051</v>
      </c>
      <c r="X1452" s="656" t="s">
        <v>498</v>
      </c>
      <c r="Y1452" s="656" t="s">
        <v>14278</v>
      </c>
      <c r="Z1452" s="656">
        <v>44305.519050925926</v>
      </c>
      <c r="AA1452" s="656" t="s">
        <v>14335</v>
      </c>
      <c r="AB1452" s="656"/>
    </row>
    <row r="1453" spans="1:28" ht="29">
      <c r="A1453" s="656" t="s">
        <v>4954</v>
      </c>
      <c r="B1453" s="656" t="s">
        <v>4955</v>
      </c>
      <c r="C1453" s="656" t="s">
        <v>21</v>
      </c>
      <c r="D1453" s="656" t="s">
        <v>9720</v>
      </c>
      <c r="E1453" s="656" t="s">
        <v>14275</v>
      </c>
      <c r="F1453" s="1447">
        <v>44251</v>
      </c>
      <c r="G1453" s="656" t="s">
        <v>9719</v>
      </c>
      <c r="H1453" s="656" t="s">
        <v>1777</v>
      </c>
      <c r="I1453" s="656" t="s">
        <v>14750</v>
      </c>
      <c r="J1453" s="656" t="s">
        <v>9720</v>
      </c>
      <c r="K1453" s="656" t="s">
        <v>9721</v>
      </c>
      <c r="L1453" s="656"/>
      <c r="M1453" s="656" t="s">
        <v>16196</v>
      </c>
      <c r="N1453" s="656"/>
      <c r="O1453" s="656" t="s">
        <v>9714</v>
      </c>
      <c r="P1453" s="5" t="s">
        <v>15450</v>
      </c>
      <c r="Q1453" s="1447">
        <v>42457</v>
      </c>
      <c r="R1453" s="656">
        <v>44102</v>
      </c>
      <c r="S1453" s="656" t="s">
        <v>1394</v>
      </c>
      <c r="T1453" s="656" t="s">
        <v>282</v>
      </c>
      <c r="U1453" s="656" t="s">
        <v>1394</v>
      </c>
      <c r="V1453" s="656"/>
      <c r="W1453" s="656" t="s">
        <v>13051</v>
      </c>
      <c r="X1453" s="656" t="s">
        <v>498</v>
      </c>
      <c r="Y1453" s="656" t="s">
        <v>14278</v>
      </c>
      <c r="Z1453" s="656">
        <v>44305.519062500003</v>
      </c>
      <c r="AA1453" s="656" t="s">
        <v>14335</v>
      </c>
      <c r="AB1453" s="656"/>
    </row>
    <row r="1454" spans="1:28">
      <c r="A1454" s="656" t="s">
        <v>4954</v>
      </c>
      <c r="B1454" s="656" t="s">
        <v>4955</v>
      </c>
      <c r="C1454" s="656" t="s">
        <v>20</v>
      </c>
      <c r="D1454" s="656" t="s">
        <v>9722</v>
      </c>
      <c r="E1454" s="656" t="s">
        <v>14275</v>
      </c>
      <c r="F1454" s="1447">
        <v>44307</v>
      </c>
      <c r="G1454" s="656" t="s">
        <v>9719</v>
      </c>
      <c r="H1454" s="656" t="s">
        <v>1777</v>
      </c>
      <c r="I1454" s="656"/>
      <c r="J1454" s="656"/>
      <c r="K1454" s="656"/>
      <c r="L1454" s="656" t="s">
        <v>9722</v>
      </c>
      <c r="M1454" s="656" t="s">
        <v>16196</v>
      </c>
      <c r="N1454" s="656"/>
      <c r="O1454" s="656" t="s">
        <v>9714</v>
      </c>
      <c r="P1454" s="5"/>
      <c r="Q1454" s="1447"/>
      <c r="R1454" s="656"/>
      <c r="S1454" s="656" t="s">
        <v>1394</v>
      </c>
      <c r="T1454" s="656" t="s">
        <v>282</v>
      </c>
      <c r="U1454" s="656" t="s">
        <v>1394</v>
      </c>
      <c r="V1454" s="656"/>
      <c r="W1454" s="656" t="s">
        <v>13051</v>
      </c>
      <c r="X1454" s="656" t="s">
        <v>498</v>
      </c>
      <c r="Y1454" s="656" t="s">
        <v>14278</v>
      </c>
      <c r="Z1454" s="656">
        <v>44307.500960648147</v>
      </c>
      <c r="AA1454" s="656" t="s">
        <v>15959</v>
      </c>
      <c r="AB1454" s="656"/>
    </row>
    <row r="1455" spans="1:28" ht="29">
      <c r="A1455" s="656" t="s">
        <v>4954</v>
      </c>
      <c r="B1455" s="656" t="s">
        <v>4955</v>
      </c>
      <c r="C1455" s="656" t="s">
        <v>20</v>
      </c>
      <c r="D1455" s="656" t="s">
        <v>9723</v>
      </c>
      <c r="E1455" s="656" t="s">
        <v>14275</v>
      </c>
      <c r="F1455" s="1447">
        <v>44237</v>
      </c>
      <c r="G1455" s="656" t="s">
        <v>9719</v>
      </c>
      <c r="H1455" s="656" t="s">
        <v>1777</v>
      </c>
      <c r="I1455" s="656"/>
      <c r="J1455" s="656"/>
      <c r="K1455" s="656"/>
      <c r="L1455" s="656" t="s">
        <v>9723</v>
      </c>
      <c r="M1455" s="656" t="s">
        <v>16196</v>
      </c>
      <c r="N1455" s="656"/>
      <c r="O1455" s="656" t="s">
        <v>9714</v>
      </c>
      <c r="P1455" s="5" t="s">
        <v>15450</v>
      </c>
      <c r="Q1455" s="1447">
        <v>41628</v>
      </c>
      <c r="R1455" s="656"/>
      <c r="S1455" s="656" t="s">
        <v>1394</v>
      </c>
      <c r="T1455" s="656" t="s">
        <v>282</v>
      </c>
      <c r="U1455" s="656" t="s">
        <v>1394</v>
      </c>
      <c r="V1455" s="656"/>
      <c r="W1455" s="656" t="s">
        <v>13051</v>
      </c>
      <c r="X1455" s="656" t="s">
        <v>498</v>
      </c>
      <c r="Y1455" s="656" t="s">
        <v>14278</v>
      </c>
      <c r="Z1455" s="656">
        <v>44305.519074074073</v>
      </c>
      <c r="AA1455" s="656" t="s">
        <v>14335</v>
      </c>
      <c r="AB1455" s="656"/>
    </row>
    <row r="1456" spans="1:28">
      <c r="A1456" s="656" t="s">
        <v>4956</v>
      </c>
      <c r="B1456" s="656" t="s">
        <v>4957</v>
      </c>
      <c r="C1456" s="656" t="s">
        <v>21</v>
      </c>
      <c r="D1456" s="656" t="s">
        <v>11069</v>
      </c>
      <c r="E1456" s="656" t="s">
        <v>14384</v>
      </c>
      <c r="F1456" s="1447">
        <v>42338</v>
      </c>
      <c r="G1456" s="656" t="s">
        <v>11068</v>
      </c>
      <c r="H1456" s="656" t="s">
        <v>1777</v>
      </c>
      <c r="I1456" s="656" t="s">
        <v>14750</v>
      </c>
      <c r="J1456" s="656" t="s">
        <v>11069</v>
      </c>
      <c r="K1456" s="656" t="s">
        <v>9721</v>
      </c>
      <c r="L1456" s="656"/>
      <c r="M1456" s="656" t="s">
        <v>16196</v>
      </c>
      <c r="N1456" s="656"/>
      <c r="O1456" s="656" t="s">
        <v>9714</v>
      </c>
      <c r="P1456" s="5" t="s">
        <v>14752</v>
      </c>
      <c r="Q1456" s="1447"/>
      <c r="R1456" s="656"/>
      <c r="S1456" s="656" t="s">
        <v>1394</v>
      </c>
      <c r="T1456" s="656" t="s">
        <v>282</v>
      </c>
      <c r="U1456" s="656" t="s">
        <v>1394</v>
      </c>
      <c r="V1456" s="656"/>
      <c r="W1456" s="656" t="s">
        <v>13051</v>
      </c>
      <c r="X1456" s="656" t="s">
        <v>498</v>
      </c>
      <c r="Y1456" s="656" t="s">
        <v>14278</v>
      </c>
      <c r="Z1456" s="656">
        <v>44305.51902777778</v>
      </c>
      <c r="AA1456" s="656" t="s">
        <v>14335</v>
      </c>
      <c r="AB1456" s="656"/>
    </row>
    <row r="1457" spans="1:28">
      <c r="A1457" s="656" t="s">
        <v>4956</v>
      </c>
      <c r="B1457" s="656" t="s">
        <v>4957</v>
      </c>
      <c r="C1457" s="656" t="s">
        <v>20</v>
      </c>
      <c r="D1457" s="656" t="s">
        <v>11071</v>
      </c>
      <c r="E1457" s="656" t="s">
        <v>14275</v>
      </c>
      <c r="F1457" s="1447">
        <v>42873</v>
      </c>
      <c r="G1457" s="656" t="s">
        <v>11070</v>
      </c>
      <c r="H1457" s="656" t="s">
        <v>1777</v>
      </c>
      <c r="I1457" s="656"/>
      <c r="J1457" s="656"/>
      <c r="K1457" s="656"/>
      <c r="L1457" s="656" t="s">
        <v>11071</v>
      </c>
      <c r="M1457" s="656" t="s">
        <v>16196</v>
      </c>
      <c r="N1457" s="656"/>
      <c r="O1457" s="656" t="s">
        <v>9714</v>
      </c>
      <c r="P1457" s="5"/>
      <c r="Q1457" s="1447"/>
      <c r="R1457" s="656"/>
      <c r="S1457" s="656" t="s">
        <v>1394</v>
      </c>
      <c r="T1457" s="656" t="s">
        <v>282</v>
      </c>
      <c r="U1457" s="656" t="s">
        <v>1394</v>
      </c>
      <c r="V1457" s="656"/>
      <c r="W1457" s="656" t="s">
        <v>13051</v>
      </c>
      <c r="X1457" s="656" t="s">
        <v>498</v>
      </c>
      <c r="Y1457" s="656" t="s">
        <v>14278</v>
      </c>
      <c r="Z1457" s="656">
        <v>44305.51902777778</v>
      </c>
      <c r="AA1457" s="656" t="s">
        <v>14335</v>
      </c>
      <c r="AB1457" s="656"/>
    </row>
    <row r="1458" spans="1:28">
      <c r="A1458" s="656" t="s">
        <v>11064</v>
      </c>
      <c r="B1458" s="656" t="s">
        <v>11065</v>
      </c>
      <c r="C1458" s="656" t="s">
        <v>20</v>
      </c>
      <c r="D1458" s="656" t="s">
        <v>11067</v>
      </c>
      <c r="E1458" s="656" t="s">
        <v>14275</v>
      </c>
      <c r="F1458" s="1447">
        <v>43888</v>
      </c>
      <c r="G1458" s="656" t="s">
        <v>11066</v>
      </c>
      <c r="H1458" s="656" t="s">
        <v>1777</v>
      </c>
      <c r="I1458" s="656"/>
      <c r="J1458" s="656"/>
      <c r="K1458" s="656"/>
      <c r="L1458" s="656" t="s">
        <v>11067</v>
      </c>
      <c r="M1458" s="656" t="s">
        <v>16196</v>
      </c>
      <c r="N1458" s="656"/>
      <c r="O1458" s="656" t="s">
        <v>9714</v>
      </c>
      <c r="P1458" s="5"/>
      <c r="Q1458" s="1447"/>
      <c r="R1458" s="656"/>
      <c r="S1458" s="656" t="s">
        <v>1394</v>
      </c>
      <c r="T1458" s="656" t="s">
        <v>282</v>
      </c>
      <c r="U1458" s="656" t="s">
        <v>1394</v>
      </c>
      <c r="V1458" s="656"/>
      <c r="W1458" s="656" t="s">
        <v>13051</v>
      </c>
      <c r="X1458" s="656" t="s">
        <v>498</v>
      </c>
      <c r="Y1458" s="656" t="s">
        <v>14278</v>
      </c>
      <c r="Z1458" s="656">
        <v>44305.519016203703</v>
      </c>
      <c r="AA1458" s="656" t="s">
        <v>14335</v>
      </c>
      <c r="AB1458" s="656"/>
    </row>
    <row r="1459" spans="1:28">
      <c r="A1459" s="656" t="s">
        <v>11060</v>
      </c>
      <c r="B1459" s="656" t="s">
        <v>11061</v>
      </c>
      <c r="C1459" s="656" t="s">
        <v>20</v>
      </c>
      <c r="D1459" s="656" t="s">
        <v>11063</v>
      </c>
      <c r="E1459" s="656" t="s">
        <v>14275</v>
      </c>
      <c r="F1459" s="1447">
        <v>43888</v>
      </c>
      <c r="G1459" s="656" t="s">
        <v>11062</v>
      </c>
      <c r="H1459" s="656" t="s">
        <v>1777</v>
      </c>
      <c r="I1459" s="656"/>
      <c r="J1459" s="656"/>
      <c r="K1459" s="656"/>
      <c r="L1459" s="656" t="s">
        <v>11063</v>
      </c>
      <c r="M1459" s="656" t="s">
        <v>16196</v>
      </c>
      <c r="N1459" s="656"/>
      <c r="O1459" s="656" t="s">
        <v>9714</v>
      </c>
      <c r="P1459" s="5"/>
      <c r="Q1459" s="1447"/>
      <c r="R1459" s="656"/>
      <c r="S1459" s="656" t="s">
        <v>1394</v>
      </c>
      <c r="T1459" s="656" t="s">
        <v>282</v>
      </c>
      <c r="U1459" s="656" t="s">
        <v>1394</v>
      </c>
      <c r="V1459" s="656"/>
      <c r="W1459" s="656" t="s">
        <v>13051</v>
      </c>
      <c r="X1459" s="656" t="s">
        <v>498</v>
      </c>
      <c r="Y1459" s="656" t="s">
        <v>14278</v>
      </c>
      <c r="Z1459" s="656">
        <v>44305.519016203703</v>
      </c>
      <c r="AA1459" s="656" t="s">
        <v>14335</v>
      </c>
      <c r="AB1459" s="656"/>
    </row>
    <row r="1460" spans="1:28">
      <c r="A1460" s="656" t="s">
        <v>11056</v>
      </c>
      <c r="B1460" s="656" t="s">
        <v>11057</v>
      </c>
      <c r="C1460" s="656" t="s">
        <v>20</v>
      </c>
      <c r="D1460" s="656" t="s">
        <v>11059</v>
      </c>
      <c r="E1460" s="656" t="s">
        <v>14275</v>
      </c>
      <c r="F1460" s="1447">
        <v>43888</v>
      </c>
      <c r="G1460" s="656" t="s">
        <v>11058</v>
      </c>
      <c r="H1460" s="656" t="s">
        <v>1777</v>
      </c>
      <c r="I1460" s="656"/>
      <c r="J1460" s="656"/>
      <c r="K1460" s="656"/>
      <c r="L1460" s="656" t="s">
        <v>11059</v>
      </c>
      <c r="M1460" s="656" t="s">
        <v>16196</v>
      </c>
      <c r="N1460" s="656"/>
      <c r="O1460" s="656" t="s">
        <v>9714</v>
      </c>
      <c r="P1460" s="5"/>
      <c r="Q1460" s="1447"/>
      <c r="R1460" s="656"/>
      <c r="S1460" s="656" t="s">
        <v>1394</v>
      </c>
      <c r="T1460" s="656" t="s">
        <v>282</v>
      </c>
      <c r="U1460" s="656" t="s">
        <v>1394</v>
      </c>
      <c r="V1460" s="656"/>
      <c r="W1460" s="656" t="s">
        <v>13051</v>
      </c>
      <c r="X1460" s="656" t="s">
        <v>498</v>
      </c>
      <c r="Y1460" s="656" t="s">
        <v>14278</v>
      </c>
      <c r="Z1460" s="656">
        <v>44305.519004629627</v>
      </c>
      <c r="AA1460" s="656" t="s">
        <v>14335</v>
      </c>
      <c r="AB1460" s="656"/>
    </row>
    <row r="1461" spans="1:28">
      <c r="A1461" s="656" t="s">
        <v>11052</v>
      </c>
      <c r="B1461" s="656" t="s">
        <v>11053</v>
      </c>
      <c r="C1461" s="656" t="s">
        <v>20</v>
      </c>
      <c r="D1461" s="656" t="s">
        <v>11055</v>
      </c>
      <c r="E1461" s="656" t="s">
        <v>14275</v>
      </c>
      <c r="F1461" s="1447">
        <v>43888</v>
      </c>
      <c r="G1461" s="656" t="s">
        <v>11054</v>
      </c>
      <c r="H1461" s="656" t="s">
        <v>1777</v>
      </c>
      <c r="I1461" s="656"/>
      <c r="J1461" s="656"/>
      <c r="K1461" s="656"/>
      <c r="L1461" s="656" t="s">
        <v>11055</v>
      </c>
      <c r="M1461" s="656" t="s">
        <v>16196</v>
      </c>
      <c r="N1461" s="656"/>
      <c r="O1461" s="656" t="s">
        <v>9714</v>
      </c>
      <c r="P1461" s="5"/>
      <c r="Q1461" s="1447"/>
      <c r="R1461" s="656"/>
      <c r="S1461" s="656" t="s">
        <v>1394</v>
      </c>
      <c r="T1461" s="656" t="s">
        <v>282</v>
      </c>
      <c r="U1461" s="656" t="s">
        <v>1394</v>
      </c>
      <c r="V1461" s="656"/>
      <c r="W1461" s="656" t="s">
        <v>13051</v>
      </c>
      <c r="X1461" s="656" t="s">
        <v>498</v>
      </c>
      <c r="Y1461" s="656" t="s">
        <v>14278</v>
      </c>
      <c r="Z1461" s="656">
        <v>44305.519004629627</v>
      </c>
      <c r="AA1461" s="656" t="s">
        <v>14335</v>
      </c>
      <c r="AB1461" s="656"/>
    </row>
    <row r="1462" spans="1:28">
      <c r="A1462" s="656" t="s">
        <v>4958</v>
      </c>
      <c r="B1462" s="656" t="s">
        <v>4959</v>
      </c>
      <c r="C1462" s="656" t="s">
        <v>21</v>
      </c>
      <c r="D1462" s="656" t="s">
        <v>11050</v>
      </c>
      <c r="E1462" s="656" t="s">
        <v>14384</v>
      </c>
      <c r="F1462" s="1447">
        <v>42552</v>
      </c>
      <c r="G1462" s="656" t="s">
        <v>11049</v>
      </c>
      <c r="H1462" s="656" t="s">
        <v>1777</v>
      </c>
      <c r="I1462" s="656" t="s">
        <v>14750</v>
      </c>
      <c r="J1462" s="656" t="s">
        <v>11050</v>
      </c>
      <c r="K1462" s="656" t="s">
        <v>9721</v>
      </c>
      <c r="L1462" s="656"/>
      <c r="M1462" s="656" t="s">
        <v>16196</v>
      </c>
      <c r="N1462" s="656"/>
      <c r="O1462" s="656" t="s">
        <v>9714</v>
      </c>
      <c r="P1462" s="5" t="s">
        <v>14752</v>
      </c>
      <c r="Q1462" s="1447">
        <v>41775</v>
      </c>
      <c r="R1462" s="656"/>
      <c r="S1462" s="656" t="s">
        <v>1394</v>
      </c>
      <c r="T1462" s="656" t="s">
        <v>282</v>
      </c>
      <c r="U1462" s="656" t="s">
        <v>1394</v>
      </c>
      <c r="V1462" s="656"/>
      <c r="W1462" s="656" t="s">
        <v>13051</v>
      </c>
      <c r="X1462" s="656" t="s">
        <v>498</v>
      </c>
      <c r="Y1462" s="656" t="s">
        <v>14278</v>
      </c>
      <c r="Z1462" s="656">
        <v>44305.518993055557</v>
      </c>
      <c r="AA1462" s="656" t="s">
        <v>14335</v>
      </c>
      <c r="AB1462" s="656"/>
    </row>
    <row r="1463" spans="1:28">
      <c r="A1463" s="656" t="s">
        <v>4958</v>
      </c>
      <c r="B1463" s="656" t="s">
        <v>4959</v>
      </c>
      <c r="C1463" s="656" t="s">
        <v>20</v>
      </c>
      <c r="D1463" s="656" t="s">
        <v>11051</v>
      </c>
      <c r="E1463" s="656" t="s">
        <v>14275</v>
      </c>
      <c r="F1463" s="1447">
        <v>42744</v>
      </c>
      <c r="G1463" s="656" t="s">
        <v>11049</v>
      </c>
      <c r="H1463" s="656" t="s">
        <v>1777</v>
      </c>
      <c r="I1463" s="656"/>
      <c r="J1463" s="656"/>
      <c r="K1463" s="656"/>
      <c r="L1463" s="656" t="s">
        <v>11051</v>
      </c>
      <c r="M1463" s="656" t="s">
        <v>16196</v>
      </c>
      <c r="N1463" s="656"/>
      <c r="O1463" s="656" t="s">
        <v>9714</v>
      </c>
      <c r="P1463" s="5"/>
      <c r="Q1463" s="1447">
        <v>41820</v>
      </c>
      <c r="R1463" s="656"/>
      <c r="S1463" s="656" t="s">
        <v>1394</v>
      </c>
      <c r="T1463" s="656" t="s">
        <v>282</v>
      </c>
      <c r="U1463" s="656" t="s">
        <v>1394</v>
      </c>
      <c r="V1463" s="656"/>
      <c r="W1463" s="656" t="s">
        <v>13051</v>
      </c>
      <c r="X1463" s="656" t="s">
        <v>498</v>
      </c>
      <c r="Y1463" s="656" t="s">
        <v>14278</v>
      </c>
      <c r="Z1463" s="656">
        <v>44305.518993055557</v>
      </c>
      <c r="AA1463" s="656" t="s">
        <v>14335</v>
      </c>
      <c r="AB1463" s="656"/>
    </row>
    <row r="1464" spans="1:28">
      <c r="A1464" s="656" t="s">
        <v>11045</v>
      </c>
      <c r="B1464" s="656" t="s">
        <v>11046</v>
      </c>
      <c r="C1464" s="656" t="s">
        <v>20</v>
      </c>
      <c r="D1464" s="656" t="s">
        <v>11048</v>
      </c>
      <c r="E1464" s="656" t="s">
        <v>14275</v>
      </c>
      <c r="F1464" s="1447">
        <v>43888</v>
      </c>
      <c r="G1464" s="656" t="s">
        <v>11047</v>
      </c>
      <c r="H1464" s="656" t="s">
        <v>1777</v>
      </c>
      <c r="I1464" s="656"/>
      <c r="J1464" s="656"/>
      <c r="K1464" s="656"/>
      <c r="L1464" s="656" t="s">
        <v>11048</v>
      </c>
      <c r="M1464" s="656" t="s">
        <v>16196</v>
      </c>
      <c r="N1464" s="656"/>
      <c r="O1464" s="656" t="s">
        <v>9714</v>
      </c>
      <c r="P1464" s="5"/>
      <c r="Q1464" s="1447"/>
      <c r="R1464" s="656"/>
      <c r="S1464" s="656" t="s">
        <v>1394</v>
      </c>
      <c r="T1464" s="656" t="s">
        <v>282</v>
      </c>
      <c r="U1464" s="656" t="s">
        <v>1394</v>
      </c>
      <c r="V1464" s="656"/>
      <c r="W1464" s="656" t="s">
        <v>13051</v>
      </c>
      <c r="X1464" s="656" t="s">
        <v>498</v>
      </c>
      <c r="Y1464" s="656" t="s">
        <v>14278</v>
      </c>
      <c r="Z1464" s="656">
        <v>44305.51898148148</v>
      </c>
      <c r="AA1464" s="656" t="s">
        <v>14335</v>
      </c>
      <c r="AB1464" s="656"/>
    </row>
    <row r="1465" spans="1:28">
      <c r="A1465" s="656" t="s">
        <v>11041</v>
      </c>
      <c r="B1465" s="656" t="s">
        <v>11042</v>
      </c>
      <c r="C1465" s="656" t="s">
        <v>20</v>
      </c>
      <c r="D1465" s="656" t="s">
        <v>11044</v>
      </c>
      <c r="E1465" s="656" t="s">
        <v>14275</v>
      </c>
      <c r="F1465" s="1447">
        <v>43888</v>
      </c>
      <c r="G1465" s="656" t="s">
        <v>11043</v>
      </c>
      <c r="H1465" s="656" t="s">
        <v>1777</v>
      </c>
      <c r="I1465" s="656"/>
      <c r="J1465" s="656"/>
      <c r="K1465" s="656"/>
      <c r="L1465" s="656" t="s">
        <v>11044</v>
      </c>
      <c r="M1465" s="656" t="s">
        <v>16196</v>
      </c>
      <c r="N1465" s="656"/>
      <c r="O1465" s="656" t="s">
        <v>9714</v>
      </c>
      <c r="P1465" s="5"/>
      <c r="Q1465" s="1447"/>
      <c r="R1465" s="656"/>
      <c r="S1465" s="656" t="s">
        <v>1394</v>
      </c>
      <c r="T1465" s="656" t="s">
        <v>282</v>
      </c>
      <c r="U1465" s="656" t="s">
        <v>1394</v>
      </c>
      <c r="V1465" s="656"/>
      <c r="W1465" s="656" t="s">
        <v>13051</v>
      </c>
      <c r="X1465" s="656" t="s">
        <v>498</v>
      </c>
      <c r="Y1465" s="656" t="s">
        <v>14278</v>
      </c>
      <c r="Z1465" s="656">
        <v>44305.51898148148</v>
      </c>
      <c r="AA1465" s="656" t="s">
        <v>14335</v>
      </c>
      <c r="AB1465" s="656"/>
    </row>
    <row r="1466" spans="1:28">
      <c r="A1466" s="656" t="s">
        <v>11037</v>
      </c>
      <c r="B1466" s="656" t="s">
        <v>11038</v>
      </c>
      <c r="C1466" s="656" t="s">
        <v>20</v>
      </c>
      <c r="D1466" s="656" t="s">
        <v>11040</v>
      </c>
      <c r="E1466" s="656" t="s">
        <v>14275</v>
      </c>
      <c r="F1466" s="1447">
        <v>43888</v>
      </c>
      <c r="G1466" s="656" t="s">
        <v>11039</v>
      </c>
      <c r="H1466" s="656" t="s">
        <v>1777</v>
      </c>
      <c r="I1466" s="656"/>
      <c r="J1466" s="656"/>
      <c r="K1466" s="656"/>
      <c r="L1466" s="656" t="s">
        <v>11040</v>
      </c>
      <c r="M1466" s="656" t="s">
        <v>16196</v>
      </c>
      <c r="N1466" s="656"/>
      <c r="O1466" s="656" t="s">
        <v>9714</v>
      </c>
      <c r="P1466" s="5"/>
      <c r="Q1466" s="1447"/>
      <c r="R1466" s="656"/>
      <c r="S1466" s="656" t="s">
        <v>1394</v>
      </c>
      <c r="T1466" s="656" t="s">
        <v>282</v>
      </c>
      <c r="U1466" s="656" t="s">
        <v>1394</v>
      </c>
      <c r="V1466" s="656"/>
      <c r="W1466" s="656" t="s">
        <v>13051</v>
      </c>
      <c r="X1466" s="656" t="s">
        <v>498</v>
      </c>
      <c r="Y1466" s="656" t="s">
        <v>14278</v>
      </c>
      <c r="Z1466" s="656">
        <v>44305.518969907411</v>
      </c>
      <c r="AA1466" s="656" t="s">
        <v>14335</v>
      </c>
      <c r="AB1466" s="656"/>
    </row>
    <row r="1467" spans="1:28">
      <c r="A1467" s="656" t="s">
        <v>11034</v>
      </c>
      <c r="B1467" s="656" t="s">
        <v>9716</v>
      </c>
      <c r="C1467" s="656" t="s">
        <v>21</v>
      </c>
      <c r="D1467" s="656" t="s">
        <v>11036</v>
      </c>
      <c r="E1467" s="656" t="s">
        <v>14384</v>
      </c>
      <c r="F1467" s="1447">
        <v>42338</v>
      </c>
      <c r="G1467" s="656" t="s">
        <v>11035</v>
      </c>
      <c r="H1467" s="656" t="s">
        <v>1777</v>
      </c>
      <c r="I1467" s="656" t="s">
        <v>14750</v>
      </c>
      <c r="J1467" s="656" t="s">
        <v>11036</v>
      </c>
      <c r="K1467" s="656" t="s">
        <v>9721</v>
      </c>
      <c r="L1467" s="656"/>
      <c r="M1467" s="656" t="s">
        <v>16196</v>
      </c>
      <c r="N1467" s="656"/>
      <c r="O1467" s="656" t="s">
        <v>9714</v>
      </c>
      <c r="P1467" s="5" t="s">
        <v>14752</v>
      </c>
      <c r="Q1467" s="1447"/>
      <c r="R1467" s="656"/>
      <c r="S1467" s="656" t="s">
        <v>1394</v>
      </c>
      <c r="T1467" s="656" t="s">
        <v>282</v>
      </c>
      <c r="U1467" s="656" t="s">
        <v>1394</v>
      </c>
      <c r="V1467" s="656"/>
      <c r="W1467" s="656" t="s">
        <v>13051</v>
      </c>
      <c r="X1467" s="656" t="s">
        <v>498</v>
      </c>
      <c r="Y1467" s="656" t="s">
        <v>14278</v>
      </c>
      <c r="Z1467" s="656">
        <v>44305.518969907411</v>
      </c>
      <c r="AA1467" s="656" t="s">
        <v>14335</v>
      </c>
      <c r="AB1467" s="656"/>
    </row>
    <row r="1468" spans="1:28">
      <c r="A1468" s="656" t="s">
        <v>4960</v>
      </c>
      <c r="B1468" s="656" t="s">
        <v>4961</v>
      </c>
      <c r="C1468" s="656" t="s">
        <v>21</v>
      </c>
      <c r="D1468" s="656" t="s">
        <v>11033</v>
      </c>
      <c r="E1468" s="656" t="s">
        <v>14384</v>
      </c>
      <c r="F1468" s="1447">
        <v>42368</v>
      </c>
      <c r="G1468" s="656" t="s">
        <v>11032</v>
      </c>
      <c r="H1468" s="656" t="s">
        <v>1777</v>
      </c>
      <c r="I1468" s="656" t="s">
        <v>14750</v>
      </c>
      <c r="J1468" s="656" t="s">
        <v>11033</v>
      </c>
      <c r="K1468" s="656" t="s">
        <v>9721</v>
      </c>
      <c r="L1468" s="656"/>
      <c r="M1468" s="656" t="s">
        <v>16196</v>
      </c>
      <c r="N1468" s="656"/>
      <c r="O1468" s="656" t="s">
        <v>9714</v>
      </c>
      <c r="P1468" s="5" t="s">
        <v>14754</v>
      </c>
      <c r="Q1468" s="1447">
        <v>41775</v>
      </c>
      <c r="R1468" s="656"/>
      <c r="S1468" s="656" t="s">
        <v>1394</v>
      </c>
      <c r="T1468" s="656" t="s">
        <v>282</v>
      </c>
      <c r="U1468" s="656" t="s">
        <v>1394</v>
      </c>
      <c r="V1468" s="656"/>
      <c r="W1468" s="656" t="s">
        <v>13051</v>
      </c>
      <c r="X1468" s="656" t="s">
        <v>498</v>
      </c>
      <c r="Y1468" s="656" t="s">
        <v>14278</v>
      </c>
      <c r="Z1468" s="656">
        <v>44305.518958333334</v>
      </c>
      <c r="AA1468" s="656" t="s">
        <v>14335</v>
      </c>
      <c r="AB1468" s="656"/>
    </row>
    <row r="1469" spans="1:28">
      <c r="A1469" s="656" t="s">
        <v>4962</v>
      </c>
      <c r="B1469" s="656" t="s">
        <v>4963</v>
      </c>
      <c r="C1469" s="656" t="s">
        <v>21</v>
      </c>
      <c r="D1469" s="656" t="s">
        <v>11031</v>
      </c>
      <c r="E1469" s="656" t="s">
        <v>14384</v>
      </c>
      <c r="F1469" s="1447">
        <v>42278</v>
      </c>
      <c r="G1469" s="656" t="s">
        <v>11030</v>
      </c>
      <c r="H1469" s="656" t="s">
        <v>1777</v>
      </c>
      <c r="I1469" s="656" t="s">
        <v>14750</v>
      </c>
      <c r="J1469" s="656" t="s">
        <v>11031</v>
      </c>
      <c r="K1469" s="656" t="s">
        <v>9721</v>
      </c>
      <c r="L1469" s="656"/>
      <c r="M1469" s="656" t="s">
        <v>16196</v>
      </c>
      <c r="N1469" s="656"/>
      <c r="O1469" s="656" t="s">
        <v>9714</v>
      </c>
      <c r="P1469" s="5" t="s">
        <v>14754</v>
      </c>
      <c r="Q1469" s="1447">
        <v>41775</v>
      </c>
      <c r="R1469" s="656"/>
      <c r="S1469" s="656" t="s">
        <v>1394</v>
      </c>
      <c r="T1469" s="656" t="s">
        <v>282</v>
      </c>
      <c r="U1469" s="656" t="s">
        <v>1394</v>
      </c>
      <c r="V1469" s="656"/>
      <c r="W1469" s="656" t="s">
        <v>13051</v>
      </c>
      <c r="X1469" s="656" t="s">
        <v>498</v>
      </c>
      <c r="Y1469" s="656" t="s">
        <v>14278</v>
      </c>
      <c r="Z1469" s="656">
        <v>44305.518969907411</v>
      </c>
      <c r="AA1469" s="656" t="s">
        <v>14335</v>
      </c>
      <c r="AB1469" s="656"/>
    </row>
    <row r="1470" spans="1:28">
      <c r="A1470" s="656" t="s">
        <v>4964</v>
      </c>
      <c r="B1470" s="656" t="s">
        <v>4965</v>
      </c>
      <c r="C1470" s="656" t="s">
        <v>21</v>
      </c>
      <c r="D1470" s="656" t="s">
        <v>11029</v>
      </c>
      <c r="E1470" s="656" t="s">
        <v>14384</v>
      </c>
      <c r="F1470" s="1447">
        <v>42368</v>
      </c>
      <c r="G1470" s="656" t="s">
        <v>11028</v>
      </c>
      <c r="H1470" s="656" t="s">
        <v>1777</v>
      </c>
      <c r="I1470" s="656" t="s">
        <v>14750</v>
      </c>
      <c r="J1470" s="656" t="s">
        <v>11029</v>
      </c>
      <c r="K1470" s="656" t="s">
        <v>9721</v>
      </c>
      <c r="L1470" s="656"/>
      <c r="M1470" s="656" t="s">
        <v>16196</v>
      </c>
      <c r="N1470" s="656"/>
      <c r="O1470" s="656" t="s">
        <v>9714</v>
      </c>
      <c r="P1470" s="5" t="s">
        <v>15451</v>
      </c>
      <c r="Q1470" s="1447">
        <v>41775</v>
      </c>
      <c r="R1470" s="656"/>
      <c r="S1470" s="656" t="s">
        <v>1394</v>
      </c>
      <c r="T1470" s="656" t="s">
        <v>282</v>
      </c>
      <c r="U1470" s="656" t="s">
        <v>1394</v>
      </c>
      <c r="V1470" s="656"/>
      <c r="W1470" s="656" t="s">
        <v>13051</v>
      </c>
      <c r="X1470" s="656" t="s">
        <v>498</v>
      </c>
      <c r="Y1470" s="656" t="s">
        <v>14278</v>
      </c>
      <c r="Z1470" s="656">
        <v>44305.518958333334</v>
      </c>
      <c r="AA1470" s="656" t="s">
        <v>14335</v>
      </c>
      <c r="AB1470" s="656"/>
    </row>
    <row r="1471" spans="1:28">
      <c r="A1471" s="656" t="s">
        <v>11024</v>
      </c>
      <c r="B1471" s="656" t="s">
        <v>11025</v>
      </c>
      <c r="C1471" s="656" t="s">
        <v>21</v>
      </c>
      <c r="D1471" s="656" t="s">
        <v>11027</v>
      </c>
      <c r="E1471" s="656" t="s">
        <v>14384</v>
      </c>
      <c r="F1471" s="1447">
        <v>42338</v>
      </c>
      <c r="G1471" s="656" t="s">
        <v>11026</v>
      </c>
      <c r="H1471" s="656" t="s">
        <v>1777</v>
      </c>
      <c r="I1471" s="656" t="s">
        <v>14750</v>
      </c>
      <c r="J1471" s="656" t="s">
        <v>11027</v>
      </c>
      <c r="K1471" s="656" t="s">
        <v>9721</v>
      </c>
      <c r="L1471" s="656"/>
      <c r="M1471" s="656" t="s">
        <v>16196</v>
      </c>
      <c r="N1471" s="656"/>
      <c r="O1471" s="656" t="s">
        <v>9714</v>
      </c>
      <c r="P1471" s="5" t="s">
        <v>14752</v>
      </c>
      <c r="Q1471" s="1447"/>
      <c r="R1471" s="656"/>
      <c r="S1471" s="656" t="s">
        <v>1394</v>
      </c>
      <c r="T1471" s="656" t="s">
        <v>282</v>
      </c>
      <c r="U1471" s="656" t="s">
        <v>1394</v>
      </c>
      <c r="V1471" s="656"/>
      <c r="W1471" s="656" t="s">
        <v>13051</v>
      </c>
      <c r="X1471" s="656" t="s">
        <v>498</v>
      </c>
      <c r="Y1471" s="656" t="s">
        <v>14278</v>
      </c>
      <c r="Z1471" s="656">
        <v>44305.518958333334</v>
      </c>
      <c r="AA1471" s="656" t="s">
        <v>14335</v>
      </c>
      <c r="AB1471" s="656"/>
    </row>
    <row r="1472" spans="1:28">
      <c r="A1472" s="656" t="s">
        <v>9715</v>
      </c>
      <c r="B1472" s="656" t="s">
        <v>9716</v>
      </c>
      <c r="C1472" s="656" t="s">
        <v>20</v>
      </c>
      <c r="D1472" s="656" t="s">
        <v>9718</v>
      </c>
      <c r="E1472" s="656" t="s">
        <v>14275</v>
      </c>
      <c r="F1472" s="1447">
        <v>44119</v>
      </c>
      <c r="G1472" s="656" t="s">
        <v>9717</v>
      </c>
      <c r="H1472" s="656" t="s">
        <v>1777</v>
      </c>
      <c r="I1472" s="656"/>
      <c r="J1472" s="656"/>
      <c r="K1472" s="656"/>
      <c r="L1472" s="656" t="s">
        <v>9718</v>
      </c>
      <c r="M1472" s="656" t="s">
        <v>16196</v>
      </c>
      <c r="N1472" s="656"/>
      <c r="O1472" s="656" t="s">
        <v>9714</v>
      </c>
      <c r="P1472" s="5"/>
      <c r="Q1472" s="1447"/>
      <c r="R1472" s="656"/>
      <c r="S1472" s="656" t="s">
        <v>1394</v>
      </c>
      <c r="T1472" s="656" t="s">
        <v>282</v>
      </c>
      <c r="U1472" s="656" t="s">
        <v>1394</v>
      </c>
      <c r="V1472" s="656"/>
      <c r="W1472" s="656" t="s">
        <v>13051</v>
      </c>
      <c r="X1472" s="656" t="s">
        <v>498</v>
      </c>
      <c r="Y1472" s="656" t="s">
        <v>14278</v>
      </c>
      <c r="Z1472" s="656">
        <v>44305.518935185188</v>
      </c>
      <c r="AA1472" s="656" t="s">
        <v>14335</v>
      </c>
      <c r="AB1472" s="656"/>
    </row>
    <row r="1473" spans="1:28">
      <c r="A1473" s="656" t="s">
        <v>4968</v>
      </c>
      <c r="B1473" s="656" t="s">
        <v>4969</v>
      </c>
      <c r="C1473" s="656" t="s">
        <v>21</v>
      </c>
      <c r="D1473" s="656" t="s">
        <v>11022</v>
      </c>
      <c r="E1473" s="656" t="s">
        <v>14275</v>
      </c>
      <c r="F1473" s="1447">
        <v>42898</v>
      </c>
      <c r="G1473" s="656" t="s">
        <v>11021</v>
      </c>
      <c r="H1473" s="656" t="s">
        <v>1777</v>
      </c>
      <c r="I1473" s="656" t="s">
        <v>14750</v>
      </c>
      <c r="J1473" s="656" t="s">
        <v>11022</v>
      </c>
      <c r="K1473" s="656" t="s">
        <v>9721</v>
      </c>
      <c r="L1473" s="656"/>
      <c r="M1473" s="656" t="s">
        <v>16196</v>
      </c>
      <c r="N1473" s="656"/>
      <c r="O1473" s="656" t="s">
        <v>9714</v>
      </c>
      <c r="P1473" s="5"/>
      <c r="Q1473" s="1447">
        <v>41775</v>
      </c>
      <c r="R1473" s="656">
        <v>42720</v>
      </c>
      <c r="S1473" s="656" t="s">
        <v>1394</v>
      </c>
      <c r="T1473" s="656" t="s">
        <v>282</v>
      </c>
      <c r="U1473" s="656" t="s">
        <v>1394</v>
      </c>
      <c r="V1473" s="656"/>
      <c r="W1473" s="656" t="s">
        <v>13051</v>
      </c>
      <c r="X1473" s="656" t="s">
        <v>498</v>
      </c>
      <c r="Y1473" s="656" t="s">
        <v>14278</v>
      </c>
      <c r="Z1473" s="656">
        <v>44305.518935185188</v>
      </c>
      <c r="AA1473" s="656" t="s">
        <v>14335</v>
      </c>
      <c r="AB1473" s="656"/>
    </row>
    <row r="1474" spans="1:28">
      <c r="A1474" s="656" t="s">
        <v>4968</v>
      </c>
      <c r="B1474" s="656" t="s">
        <v>4969</v>
      </c>
      <c r="C1474" s="656" t="s">
        <v>20</v>
      </c>
      <c r="D1474" s="656" t="s">
        <v>11023</v>
      </c>
      <c r="E1474" s="656" t="s">
        <v>14275</v>
      </c>
      <c r="F1474" s="1447">
        <v>42894</v>
      </c>
      <c r="G1474" s="656" t="s">
        <v>11021</v>
      </c>
      <c r="H1474" s="656" t="s">
        <v>1777</v>
      </c>
      <c r="I1474" s="656"/>
      <c r="J1474" s="656"/>
      <c r="K1474" s="656"/>
      <c r="L1474" s="656" t="s">
        <v>11023</v>
      </c>
      <c r="M1474" s="656" t="s">
        <v>16196</v>
      </c>
      <c r="N1474" s="656"/>
      <c r="O1474" s="656" t="s">
        <v>9714</v>
      </c>
      <c r="P1474" s="5"/>
      <c r="Q1474" s="1447">
        <v>41651</v>
      </c>
      <c r="R1474" s="656"/>
      <c r="S1474" s="656" t="s">
        <v>1394</v>
      </c>
      <c r="T1474" s="656" t="s">
        <v>282</v>
      </c>
      <c r="U1474" s="656" t="s">
        <v>1394</v>
      </c>
      <c r="V1474" s="656"/>
      <c r="W1474" s="656" t="s">
        <v>13051</v>
      </c>
      <c r="X1474" s="656" t="s">
        <v>498</v>
      </c>
      <c r="Y1474" s="656" t="s">
        <v>14278</v>
      </c>
      <c r="Z1474" s="656">
        <v>44305.518946759257</v>
      </c>
      <c r="AA1474" s="656" t="s">
        <v>14335</v>
      </c>
      <c r="AB1474" s="656"/>
    </row>
    <row r="1475" spans="1:28">
      <c r="A1475" s="656" t="s">
        <v>4970</v>
      </c>
      <c r="B1475" s="656" t="s">
        <v>4971</v>
      </c>
      <c r="C1475" s="656" t="s">
        <v>21</v>
      </c>
      <c r="D1475" s="656" t="s">
        <v>11019</v>
      </c>
      <c r="E1475" s="656" t="s">
        <v>14275</v>
      </c>
      <c r="F1475" s="1447">
        <v>43157</v>
      </c>
      <c r="G1475" s="656" t="s">
        <v>11018</v>
      </c>
      <c r="H1475" s="656" t="s">
        <v>1777</v>
      </c>
      <c r="I1475" s="656" t="s">
        <v>14750</v>
      </c>
      <c r="J1475" s="656" t="s">
        <v>11019</v>
      </c>
      <c r="K1475" s="656" t="s">
        <v>9721</v>
      </c>
      <c r="L1475" s="656"/>
      <c r="M1475" s="656" t="s">
        <v>16196</v>
      </c>
      <c r="N1475" s="656"/>
      <c r="O1475" s="656" t="s">
        <v>9714</v>
      </c>
      <c r="P1475" s="5"/>
      <c r="Q1475" s="1447">
        <v>41775</v>
      </c>
      <c r="R1475" s="656">
        <v>42723</v>
      </c>
      <c r="S1475" s="656" t="s">
        <v>1394</v>
      </c>
      <c r="T1475" s="656" t="s">
        <v>282</v>
      </c>
      <c r="U1475" s="656" t="s">
        <v>1394</v>
      </c>
      <c r="V1475" s="656"/>
      <c r="W1475" s="656" t="s">
        <v>13051</v>
      </c>
      <c r="X1475" s="656" t="s">
        <v>498</v>
      </c>
      <c r="Y1475" s="656" t="s">
        <v>14278</v>
      </c>
      <c r="Z1475" s="656">
        <v>44305.518923611111</v>
      </c>
      <c r="AA1475" s="656" t="s">
        <v>14335</v>
      </c>
      <c r="AB1475" s="656"/>
    </row>
    <row r="1476" spans="1:28">
      <c r="A1476" s="656" t="s">
        <v>4970</v>
      </c>
      <c r="B1476" s="656" t="s">
        <v>4971</v>
      </c>
      <c r="C1476" s="656" t="s">
        <v>20</v>
      </c>
      <c r="D1476" s="656" t="s">
        <v>11020</v>
      </c>
      <c r="E1476" s="656" t="s">
        <v>14275</v>
      </c>
      <c r="F1476" s="1447">
        <v>43180</v>
      </c>
      <c r="G1476" s="656" t="s">
        <v>11018</v>
      </c>
      <c r="H1476" s="656" t="s">
        <v>1777</v>
      </c>
      <c r="I1476" s="656"/>
      <c r="J1476" s="656"/>
      <c r="K1476" s="656"/>
      <c r="L1476" s="656" t="s">
        <v>11020</v>
      </c>
      <c r="M1476" s="656" t="s">
        <v>16196</v>
      </c>
      <c r="N1476" s="656"/>
      <c r="O1476" s="656" t="s">
        <v>9714</v>
      </c>
      <c r="P1476" s="5"/>
      <c r="Q1476" s="1447"/>
      <c r="R1476" s="656"/>
      <c r="S1476" s="656" t="s">
        <v>1394</v>
      </c>
      <c r="T1476" s="656" t="s">
        <v>282</v>
      </c>
      <c r="U1476" s="656" t="s">
        <v>1394</v>
      </c>
      <c r="V1476" s="656"/>
      <c r="W1476" s="656" t="s">
        <v>13051</v>
      </c>
      <c r="X1476" s="656" t="s">
        <v>498</v>
      </c>
      <c r="Y1476" s="656" t="s">
        <v>14278</v>
      </c>
      <c r="Z1476" s="656">
        <v>44305.518923611111</v>
      </c>
      <c r="AA1476" s="656" t="s">
        <v>14335</v>
      </c>
      <c r="AB1476" s="656"/>
    </row>
    <row r="1477" spans="1:28">
      <c r="A1477" s="656" t="s">
        <v>15423</v>
      </c>
      <c r="B1477" s="656" t="s">
        <v>4937</v>
      </c>
      <c r="C1477" s="656" t="s">
        <v>21</v>
      </c>
      <c r="D1477" s="656" t="s">
        <v>11104</v>
      </c>
      <c r="E1477" s="656" t="s">
        <v>14275</v>
      </c>
      <c r="F1477" s="1447">
        <v>43025</v>
      </c>
      <c r="G1477" s="656" t="s">
        <v>11103</v>
      </c>
      <c r="H1477" s="656" t="s">
        <v>1777</v>
      </c>
      <c r="I1477" s="656" t="s">
        <v>14750</v>
      </c>
      <c r="J1477" s="656" t="s">
        <v>11104</v>
      </c>
      <c r="K1477" s="656" t="s">
        <v>9721</v>
      </c>
      <c r="L1477" s="656"/>
      <c r="M1477" s="656" t="s">
        <v>16196</v>
      </c>
      <c r="N1477" s="656"/>
      <c r="O1477" s="656" t="s">
        <v>9714</v>
      </c>
      <c r="P1477" s="5"/>
      <c r="Q1477" s="1447">
        <v>41775</v>
      </c>
      <c r="R1477" s="656">
        <v>42704</v>
      </c>
      <c r="S1477" s="656" t="s">
        <v>1394</v>
      </c>
      <c r="T1477" s="656" t="s">
        <v>282</v>
      </c>
      <c r="U1477" s="656" t="s">
        <v>1394</v>
      </c>
      <c r="V1477" s="656"/>
      <c r="W1477" s="656" t="s">
        <v>13051</v>
      </c>
      <c r="X1477" s="656" t="s">
        <v>498</v>
      </c>
      <c r="Y1477" s="656" t="s">
        <v>14278</v>
      </c>
      <c r="Z1477" s="656">
        <v>44305.519166666665</v>
      </c>
      <c r="AA1477" s="656" t="s">
        <v>14335</v>
      </c>
      <c r="AB1477" s="656"/>
    </row>
    <row r="1478" spans="1:28">
      <c r="A1478" s="656" t="s">
        <v>15423</v>
      </c>
      <c r="B1478" s="656" t="s">
        <v>4937</v>
      </c>
      <c r="C1478" s="656" t="s">
        <v>20</v>
      </c>
      <c r="D1478" s="656" t="s">
        <v>11105</v>
      </c>
      <c r="E1478" s="656" t="s">
        <v>14275</v>
      </c>
      <c r="F1478" s="1447">
        <v>43124</v>
      </c>
      <c r="G1478" s="656" t="s">
        <v>11103</v>
      </c>
      <c r="H1478" s="656" t="s">
        <v>1777</v>
      </c>
      <c r="I1478" s="656"/>
      <c r="J1478" s="656"/>
      <c r="K1478" s="656"/>
      <c r="L1478" s="656" t="s">
        <v>11105</v>
      </c>
      <c r="M1478" s="656" t="s">
        <v>16196</v>
      </c>
      <c r="N1478" s="656"/>
      <c r="O1478" s="656" t="s">
        <v>9714</v>
      </c>
      <c r="P1478" s="5"/>
      <c r="Q1478" s="1447">
        <v>42153</v>
      </c>
      <c r="R1478" s="656"/>
      <c r="S1478" s="656" t="s">
        <v>1394</v>
      </c>
      <c r="T1478" s="656" t="s">
        <v>282</v>
      </c>
      <c r="U1478" s="656" t="s">
        <v>1394</v>
      </c>
      <c r="V1478" s="656"/>
      <c r="W1478" s="656" t="s">
        <v>13051</v>
      </c>
      <c r="X1478" s="656" t="s">
        <v>498</v>
      </c>
      <c r="Y1478" s="656" t="s">
        <v>14278</v>
      </c>
      <c r="Z1478" s="656">
        <v>44305.519166666665</v>
      </c>
      <c r="AA1478" s="656" t="s">
        <v>14335</v>
      </c>
      <c r="AB1478" s="656"/>
    </row>
    <row r="1479" spans="1:28">
      <c r="A1479" s="656" t="s">
        <v>15424</v>
      </c>
      <c r="B1479" s="656" t="s">
        <v>4939</v>
      </c>
      <c r="C1479" s="656" t="s">
        <v>21</v>
      </c>
      <c r="D1479" s="656" t="s">
        <v>11101</v>
      </c>
      <c r="E1479" s="656" t="s">
        <v>14275</v>
      </c>
      <c r="F1479" s="1447">
        <v>42851</v>
      </c>
      <c r="G1479" s="656" t="s">
        <v>11100</v>
      </c>
      <c r="H1479" s="656" t="s">
        <v>1777</v>
      </c>
      <c r="I1479" s="656" t="s">
        <v>14750</v>
      </c>
      <c r="J1479" s="656" t="s">
        <v>11101</v>
      </c>
      <c r="K1479" s="656" t="s">
        <v>9721</v>
      </c>
      <c r="L1479" s="656"/>
      <c r="M1479" s="656" t="s">
        <v>16196</v>
      </c>
      <c r="N1479" s="656"/>
      <c r="O1479" s="656" t="s">
        <v>9714</v>
      </c>
      <c r="P1479" s="5"/>
      <c r="Q1479" s="1447">
        <v>41775</v>
      </c>
      <c r="R1479" s="656">
        <v>42551</v>
      </c>
      <c r="S1479" s="656" t="s">
        <v>1394</v>
      </c>
      <c r="T1479" s="656" t="s">
        <v>282</v>
      </c>
      <c r="U1479" s="656" t="s">
        <v>1394</v>
      </c>
      <c r="V1479" s="656"/>
      <c r="W1479" s="656" t="s">
        <v>13051</v>
      </c>
      <c r="X1479" s="656" t="s">
        <v>498</v>
      </c>
      <c r="Y1479" s="656" t="s">
        <v>14278</v>
      </c>
      <c r="Z1479" s="656">
        <v>44305.519155092596</v>
      </c>
      <c r="AA1479" s="656" t="s">
        <v>14335</v>
      </c>
      <c r="AB1479" s="656"/>
    </row>
    <row r="1480" spans="1:28">
      <c r="A1480" s="656" t="s">
        <v>15424</v>
      </c>
      <c r="B1480" s="656" t="s">
        <v>4939</v>
      </c>
      <c r="C1480" s="656" t="s">
        <v>20</v>
      </c>
      <c r="D1480" s="656" t="s">
        <v>11102</v>
      </c>
      <c r="E1480" s="656" t="s">
        <v>14275</v>
      </c>
      <c r="F1480" s="1447">
        <v>42839</v>
      </c>
      <c r="G1480" s="656" t="s">
        <v>11100</v>
      </c>
      <c r="H1480" s="656" t="s">
        <v>1777</v>
      </c>
      <c r="I1480" s="656"/>
      <c r="J1480" s="656"/>
      <c r="K1480" s="656"/>
      <c r="L1480" s="656" t="s">
        <v>11102</v>
      </c>
      <c r="M1480" s="656" t="s">
        <v>16196</v>
      </c>
      <c r="N1480" s="656"/>
      <c r="O1480" s="656" t="s">
        <v>9714</v>
      </c>
      <c r="P1480" s="5"/>
      <c r="Q1480" s="1447">
        <v>42200</v>
      </c>
      <c r="R1480" s="656"/>
      <c r="S1480" s="656" t="s">
        <v>1394</v>
      </c>
      <c r="T1480" s="656" t="s">
        <v>282</v>
      </c>
      <c r="U1480" s="656" t="s">
        <v>1394</v>
      </c>
      <c r="V1480" s="656"/>
      <c r="W1480" s="656" t="s">
        <v>13051</v>
      </c>
      <c r="X1480" s="656" t="s">
        <v>498</v>
      </c>
      <c r="Y1480" s="656" t="s">
        <v>14278</v>
      </c>
      <c r="Z1480" s="656">
        <v>44305.519155092596</v>
      </c>
      <c r="AA1480" s="656" t="s">
        <v>14335</v>
      </c>
      <c r="AB1480" s="656"/>
    </row>
    <row r="1481" spans="1:28">
      <c r="A1481" s="656" t="s">
        <v>15425</v>
      </c>
      <c r="B1481" s="656" t="s">
        <v>4941</v>
      </c>
      <c r="C1481" s="656" t="s">
        <v>21</v>
      </c>
      <c r="D1481" s="656" t="s">
        <v>11097</v>
      </c>
      <c r="E1481" s="656" t="s">
        <v>14384</v>
      </c>
      <c r="F1481" s="1447">
        <v>42338</v>
      </c>
      <c r="G1481" s="656" t="s">
        <v>11096</v>
      </c>
      <c r="H1481" s="656" t="s">
        <v>1777</v>
      </c>
      <c r="I1481" s="656" t="s">
        <v>14750</v>
      </c>
      <c r="J1481" s="656" t="s">
        <v>11097</v>
      </c>
      <c r="K1481" s="656" t="s">
        <v>9721</v>
      </c>
      <c r="L1481" s="656"/>
      <c r="M1481" s="656" t="s">
        <v>16196</v>
      </c>
      <c r="N1481" s="656"/>
      <c r="O1481" s="656" t="s">
        <v>9714</v>
      </c>
      <c r="P1481" s="5" t="s">
        <v>14752</v>
      </c>
      <c r="Q1481" s="1447"/>
      <c r="R1481" s="656"/>
      <c r="S1481" s="656" t="s">
        <v>1394</v>
      </c>
      <c r="T1481" s="656" t="s">
        <v>282</v>
      </c>
      <c r="U1481" s="656" t="s">
        <v>1394</v>
      </c>
      <c r="V1481" s="656"/>
      <c r="W1481" s="656" t="s">
        <v>13051</v>
      </c>
      <c r="X1481" s="656" t="s">
        <v>498</v>
      </c>
      <c r="Y1481" s="656" t="s">
        <v>14278</v>
      </c>
      <c r="Z1481" s="656">
        <v>44305.519143518519</v>
      </c>
      <c r="AA1481" s="656" t="s">
        <v>14335</v>
      </c>
      <c r="AB1481" s="656"/>
    </row>
    <row r="1482" spans="1:28">
      <c r="A1482" s="656" t="s">
        <v>15425</v>
      </c>
      <c r="B1482" s="656" t="s">
        <v>4941</v>
      </c>
      <c r="C1482" s="656" t="s">
        <v>20</v>
      </c>
      <c r="D1482" s="656" t="s">
        <v>11099</v>
      </c>
      <c r="E1482" s="656" t="s">
        <v>14275</v>
      </c>
      <c r="F1482" s="1447">
        <v>42873</v>
      </c>
      <c r="G1482" s="656" t="s">
        <v>11098</v>
      </c>
      <c r="H1482" s="656" t="s">
        <v>1777</v>
      </c>
      <c r="I1482" s="656"/>
      <c r="J1482" s="656"/>
      <c r="K1482" s="656"/>
      <c r="L1482" s="656" t="s">
        <v>11099</v>
      </c>
      <c r="M1482" s="656" t="s">
        <v>16196</v>
      </c>
      <c r="N1482" s="656"/>
      <c r="O1482" s="656" t="s">
        <v>9714</v>
      </c>
      <c r="P1482" s="5"/>
      <c r="Q1482" s="1447"/>
      <c r="R1482" s="656"/>
      <c r="S1482" s="656" t="s">
        <v>1394</v>
      </c>
      <c r="T1482" s="656" t="s">
        <v>282</v>
      </c>
      <c r="U1482" s="656" t="s">
        <v>1394</v>
      </c>
      <c r="V1482" s="656"/>
      <c r="W1482" s="656" t="s">
        <v>13051</v>
      </c>
      <c r="X1482" s="656" t="s">
        <v>498</v>
      </c>
      <c r="Y1482" s="656" t="s">
        <v>14278</v>
      </c>
      <c r="Z1482" s="656">
        <v>44305.519155092596</v>
      </c>
      <c r="AA1482" s="656" t="s">
        <v>14335</v>
      </c>
      <c r="AB1482" s="656"/>
    </row>
    <row r="1483" spans="1:28">
      <c r="A1483" s="656" t="s">
        <v>4972</v>
      </c>
      <c r="B1483" s="656" t="s">
        <v>9711</v>
      </c>
      <c r="C1483" s="656" t="s">
        <v>20</v>
      </c>
      <c r="D1483" s="656" t="s">
        <v>9713</v>
      </c>
      <c r="E1483" s="656" t="s">
        <v>14275</v>
      </c>
      <c r="F1483" s="1447">
        <v>44089</v>
      </c>
      <c r="G1483" s="656" t="s">
        <v>9712</v>
      </c>
      <c r="H1483" s="656" t="s">
        <v>1777</v>
      </c>
      <c r="I1483" s="656"/>
      <c r="J1483" s="656"/>
      <c r="K1483" s="656"/>
      <c r="L1483" s="656" t="s">
        <v>9713</v>
      </c>
      <c r="M1483" s="656" t="s">
        <v>16196</v>
      </c>
      <c r="N1483" s="656"/>
      <c r="O1483" s="656" t="s">
        <v>9714</v>
      </c>
      <c r="P1483" s="5"/>
      <c r="Q1483" s="1447"/>
      <c r="R1483" s="656"/>
      <c r="S1483" s="656" t="s">
        <v>1394</v>
      </c>
      <c r="T1483" s="656" t="s">
        <v>282</v>
      </c>
      <c r="U1483" s="656" t="s">
        <v>1394</v>
      </c>
      <c r="V1483" s="656"/>
      <c r="W1483" s="656" t="s">
        <v>13051</v>
      </c>
      <c r="X1483" s="656" t="s">
        <v>498</v>
      </c>
      <c r="Y1483" s="656" t="s">
        <v>14278</v>
      </c>
      <c r="Z1483" s="656">
        <v>44305.518912037034</v>
      </c>
      <c r="AA1483" s="656" t="s">
        <v>14335</v>
      </c>
      <c r="AB1483" s="656"/>
    </row>
    <row r="1484" spans="1:28">
      <c r="A1484" s="656" t="s">
        <v>4976</v>
      </c>
      <c r="B1484" s="656" t="s">
        <v>4977</v>
      </c>
      <c r="C1484" s="656" t="s">
        <v>20</v>
      </c>
      <c r="D1484" s="656" t="s">
        <v>11017</v>
      </c>
      <c r="E1484" s="656" t="s">
        <v>14275</v>
      </c>
      <c r="F1484" s="1447">
        <v>42404</v>
      </c>
      <c r="G1484" s="656" t="s">
        <v>11016</v>
      </c>
      <c r="H1484" s="656" t="s">
        <v>1777</v>
      </c>
      <c r="I1484" s="656"/>
      <c r="J1484" s="656"/>
      <c r="K1484" s="656"/>
      <c r="L1484" s="656" t="s">
        <v>11017</v>
      </c>
      <c r="M1484" s="656" t="s">
        <v>16430</v>
      </c>
      <c r="N1484" s="656"/>
      <c r="O1484" s="656" t="s">
        <v>6393</v>
      </c>
      <c r="P1484" s="5"/>
      <c r="Q1484" s="1447"/>
      <c r="R1484" s="656"/>
      <c r="S1484" s="656" t="s">
        <v>1394</v>
      </c>
      <c r="T1484" s="656" t="s">
        <v>4198</v>
      </c>
      <c r="U1484" s="656" t="s">
        <v>1300</v>
      </c>
      <c r="V1484" s="656"/>
      <c r="W1484" s="656" t="s">
        <v>13051</v>
      </c>
      <c r="X1484" s="656" t="s">
        <v>498</v>
      </c>
      <c r="Y1484" s="656" t="s">
        <v>14278</v>
      </c>
      <c r="Z1484" s="656">
        <v>44305.518912037034</v>
      </c>
      <c r="AA1484" s="656" t="s">
        <v>14335</v>
      </c>
      <c r="AB1484" s="656"/>
    </row>
    <row r="1485" spans="1:28">
      <c r="A1485" s="656" t="s">
        <v>4998</v>
      </c>
      <c r="B1485" s="656" t="s">
        <v>4999</v>
      </c>
      <c r="C1485" s="656" t="s">
        <v>21</v>
      </c>
      <c r="D1485" s="656" t="s">
        <v>11014</v>
      </c>
      <c r="E1485" s="656" t="s">
        <v>14275</v>
      </c>
      <c r="F1485" s="1447">
        <v>42607</v>
      </c>
      <c r="G1485" s="656" t="s">
        <v>11013</v>
      </c>
      <c r="H1485" s="656" t="s">
        <v>1777</v>
      </c>
      <c r="I1485" s="656" t="s">
        <v>14755</v>
      </c>
      <c r="J1485" s="656" t="s">
        <v>11014</v>
      </c>
      <c r="K1485" s="656" t="s">
        <v>9750</v>
      </c>
      <c r="L1485" s="656"/>
      <c r="M1485" s="656" t="s">
        <v>16200</v>
      </c>
      <c r="N1485" s="656"/>
      <c r="O1485" s="656" t="s">
        <v>6393</v>
      </c>
      <c r="P1485" s="5"/>
      <c r="Q1485" s="1447">
        <v>41795</v>
      </c>
      <c r="R1485" s="656">
        <v>42422</v>
      </c>
      <c r="S1485" s="656" t="s">
        <v>500</v>
      </c>
      <c r="T1485" s="656" t="s">
        <v>4198</v>
      </c>
      <c r="U1485" s="656" t="s">
        <v>1300</v>
      </c>
      <c r="V1485" s="656"/>
      <c r="W1485" s="656" t="s">
        <v>13051</v>
      </c>
      <c r="X1485" s="656" t="s">
        <v>498</v>
      </c>
      <c r="Y1485" s="656" t="s">
        <v>14278</v>
      </c>
      <c r="Z1485" s="656">
        <v>44305.518888888888</v>
      </c>
      <c r="AA1485" s="656" t="s">
        <v>14335</v>
      </c>
      <c r="AB1485" s="656"/>
    </row>
    <row r="1486" spans="1:28">
      <c r="A1486" s="656" t="s">
        <v>4998</v>
      </c>
      <c r="B1486" s="656" t="s">
        <v>4999</v>
      </c>
      <c r="C1486" s="656" t="s">
        <v>20</v>
      </c>
      <c r="D1486" s="656" t="s">
        <v>11015</v>
      </c>
      <c r="E1486" s="656" t="s">
        <v>14275</v>
      </c>
      <c r="F1486" s="1447">
        <v>42572</v>
      </c>
      <c r="G1486" s="656" t="s">
        <v>11013</v>
      </c>
      <c r="H1486" s="656" t="s">
        <v>1777</v>
      </c>
      <c r="I1486" s="656"/>
      <c r="J1486" s="656"/>
      <c r="K1486" s="656"/>
      <c r="L1486" s="656" t="s">
        <v>11015</v>
      </c>
      <c r="M1486" s="656" t="s">
        <v>16200</v>
      </c>
      <c r="N1486" s="656"/>
      <c r="O1486" s="656" t="s">
        <v>6393</v>
      </c>
      <c r="P1486" s="5"/>
      <c r="Q1486" s="1447"/>
      <c r="R1486" s="656"/>
      <c r="S1486" s="656" t="s">
        <v>500</v>
      </c>
      <c r="T1486" s="656" t="s">
        <v>14559</v>
      </c>
      <c r="U1486" s="656" t="s">
        <v>500</v>
      </c>
      <c r="V1486" s="656"/>
      <c r="W1486" s="656" t="s">
        <v>13051</v>
      </c>
      <c r="X1486" s="656" t="s">
        <v>498</v>
      </c>
      <c r="Y1486" s="656" t="s">
        <v>14278</v>
      </c>
      <c r="Z1486" s="656">
        <v>44305.518900462965</v>
      </c>
      <c r="AA1486" s="656" t="s">
        <v>14335</v>
      </c>
      <c r="AB1486" s="656"/>
    </row>
    <row r="1487" spans="1:28">
      <c r="A1487" s="656" t="s">
        <v>5000</v>
      </c>
      <c r="B1487" s="656" t="s">
        <v>5001</v>
      </c>
      <c r="C1487" s="656" t="s">
        <v>21</v>
      </c>
      <c r="D1487" s="656" t="s">
        <v>11010</v>
      </c>
      <c r="E1487" s="656" t="s">
        <v>14275</v>
      </c>
      <c r="F1487" s="1447">
        <v>42546</v>
      </c>
      <c r="G1487" s="656" t="s">
        <v>11009</v>
      </c>
      <c r="H1487" s="656" t="s">
        <v>1777</v>
      </c>
      <c r="I1487" s="656" t="s">
        <v>14755</v>
      </c>
      <c r="J1487" s="656" t="s">
        <v>11010</v>
      </c>
      <c r="K1487" s="656" t="s">
        <v>9750</v>
      </c>
      <c r="L1487" s="656"/>
      <c r="M1487" s="656" t="s">
        <v>16200</v>
      </c>
      <c r="N1487" s="656"/>
      <c r="O1487" s="656" t="s">
        <v>6393</v>
      </c>
      <c r="P1487" s="5"/>
      <c r="Q1487" s="1447"/>
      <c r="R1487" s="656">
        <v>41695</v>
      </c>
      <c r="S1487" s="656" t="s">
        <v>500</v>
      </c>
      <c r="T1487" s="656" t="s">
        <v>14559</v>
      </c>
      <c r="U1487" s="656" t="s">
        <v>500</v>
      </c>
      <c r="V1487" s="656"/>
      <c r="W1487" s="656" t="s">
        <v>13051</v>
      </c>
      <c r="X1487" s="656" t="s">
        <v>498</v>
      </c>
      <c r="Y1487" s="656" t="s">
        <v>14278</v>
      </c>
      <c r="Z1487" s="656">
        <v>44305.518865740742</v>
      </c>
      <c r="AA1487" s="656" t="s">
        <v>14335</v>
      </c>
      <c r="AB1487" s="656"/>
    </row>
    <row r="1488" spans="1:28">
      <c r="A1488" s="656" t="s">
        <v>5000</v>
      </c>
      <c r="B1488" s="656" t="s">
        <v>5001</v>
      </c>
      <c r="C1488" s="656" t="s">
        <v>20</v>
      </c>
      <c r="D1488" s="656" t="s">
        <v>12325</v>
      </c>
      <c r="E1488" s="656" t="s">
        <v>14553</v>
      </c>
      <c r="F1488" s="1447"/>
      <c r="G1488" s="656" t="s">
        <v>11009</v>
      </c>
      <c r="H1488" s="656" t="s">
        <v>1947</v>
      </c>
      <c r="I1488" s="656"/>
      <c r="J1488" s="656"/>
      <c r="K1488" s="656"/>
      <c r="L1488" s="656" t="s">
        <v>12325</v>
      </c>
      <c r="M1488" s="656" t="s">
        <v>1947</v>
      </c>
      <c r="N1488" s="656" t="s">
        <v>9991</v>
      </c>
      <c r="O1488" s="656"/>
      <c r="P1488" s="5"/>
      <c r="Q1488" s="1447"/>
      <c r="R1488" s="656"/>
      <c r="S1488" s="656" t="s">
        <v>500</v>
      </c>
      <c r="T1488" s="656" t="s">
        <v>9991</v>
      </c>
      <c r="U1488" s="656" t="s">
        <v>9991</v>
      </c>
      <c r="V1488" s="656"/>
      <c r="W1488" s="656" t="s">
        <v>13051</v>
      </c>
      <c r="X1488" s="656" t="s">
        <v>498</v>
      </c>
      <c r="Y1488" s="656" t="s">
        <v>14278</v>
      </c>
      <c r="Z1488" s="656">
        <v>44305.518865740742</v>
      </c>
      <c r="AA1488" s="656" t="s">
        <v>14335</v>
      </c>
      <c r="AB1488" s="656"/>
    </row>
    <row r="1489" spans="1:28">
      <c r="A1489" s="656" t="s">
        <v>5000</v>
      </c>
      <c r="B1489" s="656" t="s">
        <v>5001</v>
      </c>
      <c r="C1489" s="656" t="s">
        <v>20</v>
      </c>
      <c r="D1489" s="656" t="s">
        <v>12326</v>
      </c>
      <c r="E1489" s="656" t="s">
        <v>14553</v>
      </c>
      <c r="F1489" s="1447"/>
      <c r="G1489" s="656" t="s">
        <v>11009</v>
      </c>
      <c r="H1489" s="656" t="s">
        <v>1947</v>
      </c>
      <c r="I1489" s="656"/>
      <c r="J1489" s="656"/>
      <c r="K1489" s="656"/>
      <c r="L1489" s="656" t="s">
        <v>12326</v>
      </c>
      <c r="M1489" s="656" t="s">
        <v>1947</v>
      </c>
      <c r="N1489" s="656" t="s">
        <v>9991</v>
      </c>
      <c r="O1489" s="656"/>
      <c r="P1489" s="5"/>
      <c r="Q1489" s="1447"/>
      <c r="R1489" s="656"/>
      <c r="S1489" s="656" t="s">
        <v>500</v>
      </c>
      <c r="T1489" s="656" t="s">
        <v>9991</v>
      </c>
      <c r="U1489" s="656" t="s">
        <v>9991</v>
      </c>
      <c r="V1489" s="656"/>
      <c r="W1489" s="656" t="s">
        <v>13051</v>
      </c>
      <c r="X1489" s="656" t="s">
        <v>498</v>
      </c>
      <c r="Y1489" s="656" t="s">
        <v>14278</v>
      </c>
      <c r="Z1489" s="656">
        <v>44305.518877314818</v>
      </c>
      <c r="AA1489" s="656" t="s">
        <v>14335</v>
      </c>
      <c r="AB1489" s="656"/>
    </row>
    <row r="1490" spans="1:28">
      <c r="A1490" s="656" t="s">
        <v>5000</v>
      </c>
      <c r="B1490" s="656" t="s">
        <v>5001</v>
      </c>
      <c r="C1490" s="656" t="s">
        <v>20</v>
      </c>
      <c r="D1490" s="656" t="s">
        <v>11012</v>
      </c>
      <c r="E1490" s="656" t="s">
        <v>14275</v>
      </c>
      <c r="F1490" s="1447">
        <v>42349</v>
      </c>
      <c r="G1490" s="656" t="s">
        <v>11011</v>
      </c>
      <c r="H1490" s="656" t="s">
        <v>1777</v>
      </c>
      <c r="I1490" s="656"/>
      <c r="J1490" s="656"/>
      <c r="K1490" s="656"/>
      <c r="L1490" s="656" t="s">
        <v>11012</v>
      </c>
      <c r="M1490" s="656" t="s">
        <v>16200</v>
      </c>
      <c r="N1490" s="656"/>
      <c r="O1490" s="656" t="s">
        <v>6393</v>
      </c>
      <c r="P1490" s="5"/>
      <c r="Q1490" s="1447"/>
      <c r="R1490" s="656"/>
      <c r="S1490" s="656" t="s">
        <v>500</v>
      </c>
      <c r="T1490" s="656" t="s">
        <v>14559</v>
      </c>
      <c r="U1490" s="656" t="s">
        <v>500</v>
      </c>
      <c r="V1490" s="656"/>
      <c r="W1490" s="656" t="s">
        <v>13051</v>
      </c>
      <c r="X1490" s="656" t="s">
        <v>498</v>
      </c>
      <c r="Y1490" s="656" t="s">
        <v>14278</v>
      </c>
      <c r="Z1490" s="656">
        <v>44305.518888888888</v>
      </c>
      <c r="AA1490" s="656" t="s">
        <v>14335</v>
      </c>
      <c r="AB1490" s="656"/>
    </row>
    <row r="1491" spans="1:28">
      <c r="A1491" s="656" t="s">
        <v>5083</v>
      </c>
      <c r="B1491" s="656" t="s">
        <v>5084</v>
      </c>
      <c r="C1491" s="656" t="s">
        <v>21</v>
      </c>
      <c r="D1491" s="656" t="s">
        <v>11006</v>
      </c>
      <c r="E1491" s="656" t="s">
        <v>14275</v>
      </c>
      <c r="F1491" s="1447">
        <v>42880</v>
      </c>
      <c r="G1491" s="656" t="s">
        <v>11005</v>
      </c>
      <c r="H1491" s="656" t="s">
        <v>1777</v>
      </c>
      <c r="I1491" s="656" t="s">
        <v>14756</v>
      </c>
      <c r="J1491" s="656" t="s">
        <v>11006</v>
      </c>
      <c r="K1491" s="656" t="s">
        <v>9750</v>
      </c>
      <c r="L1491" s="656"/>
      <c r="M1491" s="656" t="s">
        <v>16431</v>
      </c>
      <c r="N1491" s="656"/>
      <c r="O1491" s="656" t="s">
        <v>6393</v>
      </c>
      <c r="P1491" s="5"/>
      <c r="Q1491" s="1447">
        <v>41513</v>
      </c>
      <c r="R1491" s="656">
        <v>42667</v>
      </c>
      <c r="S1491" s="656" t="s">
        <v>500</v>
      </c>
      <c r="T1491" s="656" t="s">
        <v>14559</v>
      </c>
      <c r="U1491" s="656" t="s">
        <v>500</v>
      </c>
      <c r="V1491" s="656"/>
      <c r="W1491" s="656" t="s">
        <v>13051</v>
      </c>
      <c r="X1491" s="656" t="s">
        <v>498</v>
      </c>
      <c r="Y1491" s="656" t="s">
        <v>14278</v>
      </c>
      <c r="Z1491" s="656">
        <v>44305.518854166665</v>
      </c>
      <c r="AA1491" s="656" t="s">
        <v>14335</v>
      </c>
      <c r="AB1491" s="656"/>
    </row>
    <row r="1492" spans="1:28">
      <c r="A1492" s="656" t="s">
        <v>5083</v>
      </c>
      <c r="B1492" s="656" t="s">
        <v>5084</v>
      </c>
      <c r="C1492" s="656" t="s">
        <v>20</v>
      </c>
      <c r="D1492" s="656" t="s">
        <v>11008</v>
      </c>
      <c r="E1492" s="656" t="s">
        <v>14275</v>
      </c>
      <c r="F1492" s="1447">
        <v>42853</v>
      </c>
      <c r="G1492" s="656" t="s">
        <v>11007</v>
      </c>
      <c r="H1492" s="656" t="s">
        <v>1777</v>
      </c>
      <c r="I1492" s="656"/>
      <c r="J1492" s="656"/>
      <c r="K1492" s="656"/>
      <c r="L1492" s="656" t="s">
        <v>11008</v>
      </c>
      <c r="M1492" s="656" t="s">
        <v>16431</v>
      </c>
      <c r="N1492" s="656"/>
      <c r="O1492" s="656" t="s">
        <v>6393</v>
      </c>
      <c r="P1492" s="5"/>
      <c r="Q1492" s="1447"/>
      <c r="R1492" s="656"/>
      <c r="S1492" s="656" t="s">
        <v>500</v>
      </c>
      <c r="T1492" s="656" t="s">
        <v>14559</v>
      </c>
      <c r="U1492" s="656" t="s">
        <v>500</v>
      </c>
      <c r="V1492" s="656"/>
      <c r="W1492" s="656" t="s">
        <v>13051</v>
      </c>
      <c r="X1492" s="656" t="s">
        <v>498</v>
      </c>
      <c r="Y1492" s="656" t="s">
        <v>14278</v>
      </c>
      <c r="Z1492" s="656">
        <v>44305.518854166665</v>
      </c>
      <c r="AA1492" s="656" t="s">
        <v>14335</v>
      </c>
      <c r="AB1492" s="656"/>
    </row>
    <row r="1493" spans="1:28">
      <c r="A1493" s="656" t="s">
        <v>5132</v>
      </c>
      <c r="B1493" s="656" t="s">
        <v>5133</v>
      </c>
      <c r="C1493" s="656" t="s">
        <v>20</v>
      </c>
      <c r="D1493" s="656" t="s">
        <v>11004</v>
      </c>
      <c r="E1493" s="656" t="s">
        <v>14275</v>
      </c>
      <c r="F1493" s="1447">
        <v>42404</v>
      </c>
      <c r="G1493" s="656" t="s">
        <v>11003</v>
      </c>
      <c r="H1493" s="656" t="s">
        <v>1777</v>
      </c>
      <c r="I1493" s="656"/>
      <c r="J1493" s="656"/>
      <c r="K1493" s="656"/>
      <c r="L1493" s="656" t="s">
        <v>11004</v>
      </c>
      <c r="M1493" s="656" t="s">
        <v>16432</v>
      </c>
      <c r="N1493" s="656"/>
      <c r="O1493" s="656" t="s">
        <v>6393</v>
      </c>
      <c r="P1493" s="5"/>
      <c r="Q1493" s="1447"/>
      <c r="R1493" s="656"/>
      <c r="S1493" s="656" t="s">
        <v>1394</v>
      </c>
      <c r="T1493" s="656" t="s">
        <v>4198</v>
      </c>
      <c r="U1493" s="656" t="s">
        <v>1300</v>
      </c>
      <c r="V1493" s="656"/>
      <c r="W1493" s="656" t="s">
        <v>13051</v>
      </c>
      <c r="X1493" s="656" t="s">
        <v>498</v>
      </c>
      <c r="Y1493" s="656" t="s">
        <v>14278</v>
      </c>
      <c r="Z1493" s="656">
        <v>44305.518842592595</v>
      </c>
      <c r="AA1493" s="656" t="s">
        <v>14335</v>
      </c>
      <c r="AB1493" s="656"/>
    </row>
    <row r="1494" spans="1:28">
      <c r="A1494" s="656" t="s">
        <v>5138</v>
      </c>
      <c r="B1494" s="656" t="s">
        <v>5139</v>
      </c>
      <c r="C1494" s="656" t="s">
        <v>21</v>
      </c>
      <c r="D1494" s="656" t="s">
        <v>11001</v>
      </c>
      <c r="E1494" s="656" t="s">
        <v>14275</v>
      </c>
      <c r="F1494" s="1447">
        <v>43095</v>
      </c>
      <c r="G1494" s="656" t="s">
        <v>11000</v>
      </c>
      <c r="H1494" s="656" t="s">
        <v>1777</v>
      </c>
      <c r="I1494" s="656" t="s">
        <v>14757</v>
      </c>
      <c r="J1494" s="656" t="s">
        <v>11001</v>
      </c>
      <c r="K1494" s="656" t="s">
        <v>9733</v>
      </c>
      <c r="L1494" s="656"/>
      <c r="M1494" s="656" t="s">
        <v>16196</v>
      </c>
      <c r="N1494" s="656"/>
      <c r="O1494" s="656" t="s">
        <v>6395</v>
      </c>
      <c r="P1494" s="5"/>
      <c r="Q1494" s="1447">
        <v>42184</v>
      </c>
      <c r="R1494" s="656">
        <v>42574</v>
      </c>
      <c r="S1494" s="656" t="s">
        <v>1394</v>
      </c>
      <c r="T1494" s="656" t="s">
        <v>14280</v>
      </c>
      <c r="U1494" s="656" t="s">
        <v>1394</v>
      </c>
      <c r="V1494" s="656"/>
      <c r="W1494" s="656" t="s">
        <v>13051</v>
      </c>
      <c r="X1494" s="656" t="s">
        <v>498</v>
      </c>
      <c r="Y1494" s="656" t="s">
        <v>14278</v>
      </c>
      <c r="Z1494" s="656">
        <v>44305.518831018519</v>
      </c>
      <c r="AA1494" s="656" t="s">
        <v>14335</v>
      </c>
      <c r="AB1494" s="656"/>
    </row>
    <row r="1495" spans="1:28">
      <c r="A1495" s="656" t="s">
        <v>5138</v>
      </c>
      <c r="B1495" s="656" t="s">
        <v>5139</v>
      </c>
      <c r="C1495" s="656" t="s">
        <v>20</v>
      </c>
      <c r="D1495" s="656" t="s">
        <v>11002</v>
      </c>
      <c r="E1495" s="656" t="s">
        <v>14275</v>
      </c>
      <c r="F1495" s="1447">
        <v>43073</v>
      </c>
      <c r="G1495" s="656" t="s">
        <v>11000</v>
      </c>
      <c r="H1495" s="656" t="s">
        <v>1777</v>
      </c>
      <c r="I1495" s="656"/>
      <c r="J1495" s="656"/>
      <c r="K1495" s="656"/>
      <c r="L1495" s="656" t="s">
        <v>11002</v>
      </c>
      <c r="M1495" s="656" t="s">
        <v>16196</v>
      </c>
      <c r="N1495" s="656"/>
      <c r="O1495" s="656" t="s">
        <v>6395</v>
      </c>
      <c r="P1495" s="5"/>
      <c r="Q1495" s="1447">
        <v>42195</v>
      </c>
      <c r="R1495" s="656"/>
      <c r="S1495" s="656" t="s">
        <v>1394</v>
      </c>
      <c r="T1495" s="656" t="s">
        <v>14280</v>
      </c>
      <c r="U1495" s="656" t="s">
        <v>1394</v>
      </c>
      <c r="V1495" s="656"/>
      <c r="W1495" s="656" t="s">
        <v>13051</v>
      </c>
      <c r="X1495" s="656" t="s">
        <v>498</v>
      </c>
      <c r="Y1495" s="656" t="s">
        <v>14278</v>
      </c>
      <c r="Z1495" s="656">
        <v>44305.518842592595</v>
      </c>
      <c r="AA1495" s="656" t="s">
        <v>14335</v>
      </c>
      <c r="AB1495" s="656"/>
    </row>
    <row r="1496" spans="1:28">
      <c r="A1496" s="656" t="s">
        <v>5219</v>
      </c>
      <c r="B1496" s="656" t="s">
        <v>5220</v>
      </c>
      <c r="C1496" s="656" t="s">
        <v>20</v>
      </c>
      <c r="D1496" s="656" t="s">
        <v>10999</v>
      </c>
      <c r="E1496" s="656" t="s">
        <v>14275</v>
      </c>
      <c r="F1496" s="1447">
        <v>41852</v>
      </c>
      <c r="G1496" s="656" t="s">
        <v>10998</v>
      </c>
      <c r="H1496" s="656" t="s">
        <v>1777</v>
      </c>
      <c r="I1496" s="656"/>
      <c r="J1496" s="656"/>
      <c r="K1496" s="656"/>
      <c r="L1496" s="656" t="s">
        <v>10999</v>
      </c>
      <c r="M1496" s="656" t="s">
        <v>16318</v>
      </c>
      <c r="N1496" s="656"/>
      <c r="O1496" s="656" t="s">
        <v>6387</v>
      </c>
      <c r="P1496" s="5"/>
      <c r="Q1496" s="1447"/>
      <c r="R1496" s="656"/>
      <c r="S1496" s="656" t="s">
        <v>1394</v>
      </c>
      <c r="T1496" s="656" t="s">
        <v>14277</v>
      </c>
      <c r="U1496" s="656" t="s">
        <v>655</v>
      </c>
      <c r="V1496" s="656"/>
      <c r="W1496" s="656" t="s">
        <v>13051</v>
      </c>
      <c r="X1496" s="656" t="s">
        <v>498</v>
      </c>
      <c r="Y1496" s="656" t="s">
        <v>14278</v>
      </c>
      <c r="Z1496" s="656">
        <v>44305.518831018519</v>
      </c>
      <c r="AA1496" s="656" t="s">
        <v>14335</v>
      </c>
      <c r="AB1496" s="656"/>
    </row>
    <row r="1497" spans="1:28">
      <c r="A1497" s="656" t="s">
        <v>5227</v>
      </c>
      <c r="B1497" s="656" t="s">
        <v>5228</v>
      </c>
      <c r="C1497" s="656" t="s">
        <v>21</v>
      </c>
      <c r="D1497" s="656" t="s">
        <v>10995</v>
      </c>
      <c r="E1497" s="656" t="s">
        <v>14275</v>
      </c>
      <c r="F1497" s="1447">
        <v>43081</v>
      </c>
      <c r="G1497" s="656" t="s">
        <v>10994</v>
      </c>
      <c r="H1497" s="656" t="s">
        <v>1777</v>
      </c>
      <c r="I1497" s="656" t="s">
        <v>14758</v>
      </c>
      <c r="J1497" s="656" t="s">
        <v>10995</v>
      </c>
      <c r="K1497" s="656" t="s">
        <v>9733</v>
      </c>
      <c r="L1497" s="656"/>
      <c r="M1497" s="656" t="s">
        <v>16196</v>
      </c>
      <c r="N1497" s="656"/>
      <c r="O1497" s="656" t="s">
        <v>9714</v>
      </c>
      <c r="P1497" s="5"/>
      <c r="Q1497" s="1447">
        <v>41502</v>
      </c>
      <c r="R1497" s="656">
        <v>42370</v>
      </c>
      <c r="S1497" s="656" t="s">
        <v>1394</v>
      </c>
      <c r="T1497" s="656" t="s">
        <v>14280</v>
      </c>
      <c r="U1497" s="656" t="s">
        <v>1394</v>
      </c>
      <c r="V1497" s="656"/>
      <c r="W1497" s="656" t="s">
        <v>13051</v>
      </c>
      <c r="X1497" s="656" t="s">
        <v>498</v>
      </c>
      <c r="Y1497" s="656" t="s">
        <v>14278</v>
      </c>
      <c r="Z1497" s="656">
        <v>44305.518819444442</v>
      </c>
      <c r="AA1497" s="656" t="s">
        <v>14335</v>
      </c>
      <c r="AB1497" s="656"/>
    </row>
    <row r="1498" spans="1:28">
      <c r="A1498" s="656" t="s">
        <v>5227</v>
      </c>
      <c r="B1498" s="656" t="s">
        <v>5228</v>
      </c>
      <c r="C1498" s="656" t="s">
        <v>20</v>
      </c>
      <c r="D1498" s="656" t="s">
        <v>10997</v>
      </c>
      <c r="E1498" s="656" t="s">
        <v>14275</v>
      </c>
      <c r="F1498" s="1447">
        <v>43073</v>
      </c>
      <c r="G1498" s="656" t="s">
        <v>10996</v>
      </c>
      <c r="H1498" s="656" t="s">
        <v>1777</v>
      </c>
      <c r="I1498" s="656"/>
      <c r="J1498" s="656"/>
      <c r="K1498" s="656"/>
      <c r="L1498" s="656" t="s">
        <v>10997</v>
      </c>
      <c r="M1498" s="656" t="s">
        <v>16196</v>
      </c>
      <c r="N1498" s="656"/>
      <c r="O1498" s="656" t="s">
        <v>9714</v>
      </c>
      <c r="P1498" s="5"/>
      <c r="Q1498" s="1447"/>
      <c r="R1498" s="656"/>
      <c r="S1498" s="656" t="s">
        <v>1394</v>
      </c>
      <c r="T1498" s="656" t="s">
        <v>14280</v>
      </c>
      <c r="U1498" s="656" t="s">
        <v>1394</v>
      </c>
      <c r="V1498" s="656"/>
      <c r="W1498" s="656" t="s">
        <v>13051</v>
      </c>
      <c r="X1498" s="656" t="s">
        <v>498</v>
      </c>
      <c r="Y1498" s="656" t="s">
        <v>14278</v>
      </c>
      <c r="Z1498" s="656">
        <v>44305.518819444442</v>
      </c>
      <c r="AA1498" s="656" t="s">
        <v>14335</v>
      </c>
      <c r="AB1498" s="656"/>
    </row>
    <row r="1499" spans="1:28">
      <c r="A1499" s="656" t="s">
        <v>5232</v>
      </c>
      <c r="B1499" s="656" t="s">
        <v>5233</v>
      </c>
      <c r="C1499" s="656" t="s">
        <v>21</v>
      </c>
      <c r="D1499" s="656" t="s">
        <v>10992</v>
      </c>
      <c r="E1499" s="656" t="s">
        <v>14275</v>
      </c>
      <c r="F1499" s="1447">
        <v>43492</v>
      </c>
      <c r="G1499" s="656" t="s">
        <v>10991</v>
      </c>
      <c r="H1499" s="656" t="s">
        <v>1777</v>
      </c>
      <c r="I1499" s="656" t="s">
        <v>14759</v>
      </c>
      <c r="J1499" s="656" t="s">
        <v>10992</v>
      </c>
      <c r="K1499" s="656" t="s">
        <v>9750</v>
      </c>
      <c r="L1499" s="656"/>
      <c r="M1499" s="656" t="s">
        <v>16265</v>
      </c>
      <c r="N1499" s="656"/>
      <c r="O1499" s="656" t="s">
        <v>6387</v>
      </c>
      <c r="P1499" s="5" t="s">
        <v>14936</v>
      </c>
      <c r="Q1499" s="1447">
        <v>42745</v>
      </c>
      <c r="R1499" s="656">
        <v>43224</v>
      </c>
      <c r="S1499" s="656" t="s">
        <v>783</v>
      </c>
      <c r="T1499" s="656" t="s">
        <v>4198</v>
      </c>
      <c r="U1499" s="656" t="s">
        <v>1300</v>
      </c>
      <c r="V1499" s="656"/>
      <c r="W1499" s="656" t="s">
        <v>13051</v>
      </c>
      <c r="X1499" s="656" t="s">
        <v>498</v>
      </c>
      <c r="Y1499" s="656" t="s">
        <v>14278</v>
      </c>
      <c r="Z1499" s="656">
        <v>44305.518807870372</v>
      </c>
      <c r="AA1499" s="656" t="s">
        <v>14335</v>
      </c>
      <c r="AB1499" s="656"/>
    </row>
    <row r="1500" spans="1:28">
      <c r="A1500" s="656" t="s">
        <v>5232</v>
      </c>
      <c r="B1500" s="656" t="s">
        <v>5233</v>
      </c>
      <c r="C1500" s="656" t="s">
        <v>20</v>
      </c>
      <c r="D1500" s="656" t="s">
        <v>10993</v>
      </c>
      <c r="E1500" s="656" t="s">
        <v>14275</v>
      </c>
      <c r="F1500" s="1447">
        <v>43493</v>
      </c>
      <c r="G1500" s="656" t="s">
        <v>10991</v>
      </c>
      <c r="H1500" s="656" t="s">
        <v>1777</v>
      </c>
      <c r="I1500" s="656"/>
      <c r="J1500" s="656"/>
      <c r="K1500" s="656"/>
      <c r="L1500" s="656" t="s">
        <v>10993</v>
      </c>
      <c r="M1500" s="656" t="s">
        <v>16265</v>
      </c>
      <c r="N1500" s="656"/>
      <c r="O1500" s="656" t="s">
        <v>6387</v>
      </c>
      <c r="P1500" s="5"/>
      <c r="Q1500" s="1447">
        <v>42591</v>
      </c>
      <c r="R1500" s="656"/>
      <c r="S1500" s="656" t="s">
        <v>783</v>
      </c>
      <c r="T1500" s="656" t="s">
        <v>4198</v>
      </c>
      <c r="U1500" s="656" t="s">
        <v>1300</v>
      </c>
      <c r="V1500" s="656"/>
      <c r="W1500" s="656" t="s">
        <v>13051</v>
      </c>
      <c r="X1500" s="656" t="s">
        <v>498</v>
      </c>
      <c r="Y1500" s="656" t="s">
        <v>14278</v>
      </c>
      <c r="Z1500" s="656">
        <v>44305.518807870372</v>
      </c>
      <c r="AA1500" s="656" t="s">
        <v>14335</v>
      </c>
      <c r="AB1500" s="656"/>
    </row>
    <row r="1501" spans="1:28">
      <c r="A1501" s="656" t="s">
        <v>5239</v>
      </c>
      <c r="B1501" s="656" t="s">
        <v>5240</v>
      </c>
      <c r="C1501" s="656" t="s">
        <v>21</v>
      </c>
      <c r="D1501" s="656" t="s">
        <v>12322</v>
      </c>
      <c r="E1501" s="656" t="s">
        <v>14553</v>
      </c>
      <c r="F1501" s="1447"/>
      <c r="G1501" s="656" t="s">
        <v>10989</v>
      </c>
      <c r="H1501" s="656" t="s">
        <v>1545</v>
      </c>
      <c r="I1501" s="656" t="s">
        <v>14741</v>
      </c>
      <c r="J1501" s="656" t="s">
        <v>12322</v>
      </c>
      <c r="K1501" s="656" t="s">
        <v>10175</v>
      </c>
      <c r="L1501" s="656"/>
      <c r="M1501" s="656" t="s">
        <v>1545</v>
      </c>
      <c r="N1501" s="656" t="s">
        <v>9991</v>
      </c>
      <c r="O1501" s="656"/>
      <c r="P1501" s="5"/>
      <c r="Q1501" s="1447"/>
      <c r="R1501" s="656"/>
      <c r="S1501" s="656" t="s">
        <v>655</v>
      </c>
      <c r="T1501" s="656" t="s">
        <v>9991</v>
      </c>
      <c r="U1501" s="656" t="s">
        <v>9991</v>
      </c>
      <c r="V1501" s="656"/>
      <c r="W1501" s="656" t="s">
        <v>13051</v>
      </c>
      <c r="X1501" s="656" t="s">
        <v>498</v>
      </c>
      <c r="Y1501" s="656" t="s">
        <v>14278</v>
      </c>
      <c r="Z1501" s="656">
        <v>44305.518773148149</v>
      </c>
      <c r="AA1501" s="656" t="s">
        <v>14335</v>
      </c>
      <c r="AB1501" s="656"/>
    </row>
    <row r="1502" spans="1:28">
      <c r="A1502" s="656" t="s">
        <v>5239</v>
      </c>
      <c r="B1502" s="656" t="s">
        <v>5240</v>
      </c>
      <c r="C1502" s="656" t="s">
        <v>20</v>
      </c>
      <c r="D1502" s="656" t="s">
        <v>12323</v>
      </c>
      <c r="E1502" s="656" t="s">
        <v>14553</v>
      </c>
      <c r="F1502" s="1447"/>
      <c r="G1502" s="656" t="s">
        <v>10989</v>
      </c>
      <c r="H1502" s="656" t="s">
        <v>1491</v>
      </c>
      <c r="I1502" s="656"/>
      <c r="J1502" s="656"/>
      <c r="K1502" s="656"/>
      <c r="L1502" s="656" t="s">
        <v>12323</v>
      </c>
      <c r="M1502" s="656" t="s">
        <v>1491</v>
      </c>
      <c r="N1502" s="656" t="s">
        <v>9991</v>
      </c>
      <c r="O1502" s="656"/>
      <c r="P1502" s="5"/>
      <c r="Q1502" s="1447"/>
      <c r="R1502" s="656"/>
      <c r="S1502" s="656" t="s">
        <v>655</v>
      </c>
      <c r="T1502" s="656" t="s">
        <v>9991</v>
      </c>
      <c r="U1502" s="656" t="s">
        <v>9991</v>
      </c>
      <c r="V1502" s="656"/>
      <c r="W1502" s="656" t="s">
        <v>13051</v>
      </c>
      <c r="X1502" s="656" t="s">
        <v>498</v>
      </c>
      <c r="Y1502" s="656" t="s">
        <v>14278</v>
      </c>
      <c r="Z1502" s="656">
        <v>44305.518796296295</v>
      </c>
      <c r="AA1502" s="656" t="s">
        <v>14335</v>
      </c>
      <c r="AB1502" s="656"/>
    </row>
    <row r="1503" spans="1:28">
      <c r="A1503" s="656" t="s">
        <v>5239</v>
      </c>
      <c r="B1503" s="656" t="s">
        <v>5240</v>
      </c>
      <c r="C1503" s="656" t="s">
        <v>20</v>
      </c>
      <c r="D1503" s="656" t="s">
        <v>12324</v>
      </c>
      <c r="E1503" s="656" t="s">
        <v>14553</v>
      </c>
      <c r="F1503" s="1447"/>
      <c r="G1503" s="656" t="s">
        <v>10989</v>
      </c>
      <c r="H1503" s="656" t="s">
        <v>1777</v>
      </c>
      <c r="I1503" s="656"/>
      <c r="J1503" s="656"/>
      <c r="K1503" s="656"/>
      <c r="L1503" s="656" t="s">
        <v>12324</v>
      </c>
      <c r="M1503" s="656" t="s">
        <v>1545</v>
      </c>
      <c r="N1503" s="656" t="s">
        <v>9991</v>
      </c>
      <c r="O1503" s="656"/>
      <c r="P1503" s="5"/>
      <c r="Q1503" s="1447"/>
      <c r="R1503" s="656"/>
      <c r="S1503" s="656" t="s">
        <v>655</v>
      </c>
      <c r="T1503" s="656" t="s">
        <v>9991</v>
      </c>
      <c r="U1503" s="656" t="s">
        <v>9991</v>
      </c>
      <c r="V1503" s="656"/>
      <c r="W1503" s="656" t="s">
        <v>13051</v>
      </c>
      <c r="X1503" s="656" t="s">
        <v>498</v>
      </c>
      <c r="Y1503" s="656" t="s">
        <v>14278</v>
      </c>
      <c r="Z1503" s="656">
        <v>44305.518796296295</v>
      </c>
      <c r="AA1503" s="656" t="s">
        <v>14335</v>
      </c>
      <c r="AB1503" s="656"/>
    </row>
    <row r="1504" spans="1:28">
      <c r="A1504" s="656" t="s">
        <v>5239</v>
      </c>
      <c r="B1504" s="656" t="s">
        <v>5240</v>
      </c>
      <c r="C1504" s="656" t="s">
        <v>20</v>
      </c>
      <c r="D1504" s="656" t="s">
        <v>10990</v>
      </c>
      <c r="E1504" s="656" t="s">
        <v>14275</v>
      </c>
      <c r="F1504" s="1447">
        <v>42172</v>
      </c>
      <c r="G1504" s="656" t="s">
        <v>10989</v>
      </c>
      <c r="H1504" s="656" t="s">
        <v>1777</v>
      </c>
      <c r="I1504" s="656"/>
      <c r="J1504" s="656"/>
      <c r="K1504" s="656"/>
      <c r="L1504" s="656" t="s">
        <v>10990</v>
      </c>
      <c r="M1504" s="656" t="s">
        <v>1545</v>
      </c>
      <c r="N1504" s="656"/>
      <c r="O1504" s="656" t="s">
        <v>6393</v>
      </c>
      <c r="P1504" s="5"/>
      <c r="Q1504" s="1447"/>
      <c r="R1504" s="656"/>
      <c r="S1504" s="656" t="s">
        <v>655</v>
      </c>
      <c r="T1504" s="656" t="s">
        <v>4198</v>
      </c>
      <c r="U1504" s="656" t="s">
        <v>1300</v>
      </c>
      <c r="V1504" s="656"/>
      <c r="W1504" s="656" t="s">
        <v>13051</v>
      </c>
      <c r="X1504" s="656" t="s">
        <v>498</v>
      </c>
      <c r="Y1504" s="656" t="s">
        <v>14278</v>
      </c>
      <c r="Z1504" s="656">
        <v>44305.518796296295</v>
      </c>
      <c r="AA1504" s="656" t="s">
        <v>14335</v>
      </c>
      <c r="AB1504" s="656"/>
    </row>
    <row r="1505" spans="1:28">
      <c r="A1505" s="656" t="s">
        <v>8558</v>
      </c>
      <c r="B1505" s="656" t="s">
        <v>5346</v>
      </c>
      <c r="C1505" s="656" t="s">
        <v>21</v>
      </c>
      <c r="D1505" s="656" t="s">
        <v>12310</v>
      </c>
      <c r="E1505" s="656" t="s">
        <v>14275</v>
      </c>
      <c r="F1505" s="1447">
        <v>44083</v>
      </c>
      <c r="G1505" s="656" t="s">
        <v>9988</v>
      </c>
      <c r="H1505" s="656" t="s">
        <v>1777</v>
      </c>
      <c r="I1505" s="656" t="s">
        <v>14760</v>
      </c>
      <c r="J1505" s="656" t="s">
        <v>12310</v>
      </c>
      <c r="K1505" s="656" t="s">
        <v>9774</v>
      </c>
      <c r="L1505" s="656"/>
      <c r="M1505" s="656" t="s">
        <v>16196</v>
      </c>
      <c r="N1505" s="656"/>
      <c r="O1505" s="656" t="s">
        <v>6395</v>
      </c>
      <c r="P1505" s="5"/>
      <c r="Q1505" s="1447">
        <v>43647</v>
      </c>
      <c r="R1505" s="656">
        <v>43921</v>
      </c>
      <c r="S1505" s="656" t="s">
        <v>469</v>
      </c>
      <c r="T1505" s="656"/>
      <c r="U1505" s="656"/>
      <c r="V1505" s="656"/>
      <c r="W1505" s="656" t="s">
        <v>13051</v>
      </c>
      <c r="X1505" s="656" t="s">
        <v>498</v>
      </c>
      <c r="Y1505" s="656" t="s">
        <v>14278</v>
      </c>
      <c r="Z1505" s="656">
        <v>44305.518750000003</v>
      </c>
      <c r="AA1505" s="656" t="s">
        <v>14335</v>
      </c>
      <c r="AB1505" s="656"/>
    </row>
    <row r="1506" spans="1:28">
      <c r="A1506" s="656" t="s">
        <v>8558</v>
      </c>
      <c r="B1506" s="656" t="s">
        <v>5346</v>
      </c>
      <c r="C1506" s="656" t="s">
        <v>20</v>
      </c>
      <c r="D1506" s="656" t="s">
        <v>9989</v>
      </c>
      <c r="E1506" s="656" t="s">
        <v>14275</v>
      </c>
      <c r="F1506" s="1447">
        <v>44056</v>
      </c>
      <c r="G1506" s="656" t="s">
        <v>9988</v>
      </c>
      <c r="H1506" s="656" t="s">
        <v>1777</v>
      </c>
      <c r="I1506" s="656"/>
      <c r="J1506" s="656"/>
      <c r="K1506" s="656"/>
      <c r="L1506" s="656" t="s">
        <v>9989</v>
      </c>
      <c r="M1506" s="656" t="s">
        <v>16196</v>
      </c>
      <c r="N1506" s="656"/>
      <c r="O1506" s="656" t="s">
        <v>6395</v>
      </c>
      <c r="P1506" s="5"/>
      <c r="Q1506" s="1447">
        <v>43622</v>
      </c>
      <c r="R1506" s="656"/>
      <c r="S1506" s="656" t="s">
        <v>469</v>
      </c>
      <c r="T1506" s="656"/>
      <c r="U1506" s="656"/>
      <c r="V1506" s="656"/>
      <c r="W1506" s="656" t="s">
        <v>13051</v>
      </c>
      <c r="X1506" s="656" t="s">
        <v>498</v>
      </c>
      <c r="Y1506" s="656" t="s">
        <v>14278</v>
      </c>
      <c r="Z1506" s="656">
        <v>44305.518761574072</v>
      </c>
      <c r="AA1506" s="656" t="s">
        <v>14335</v>
      </c>
      <c r="AB1506" s="656"/>
    </row>
    <row r="1507" spans="1:28">
      <c r="A1507" s="656" t="s">
        <v>8558</v>
      </c>
      <c r="B1507" s="656" t="s">
        <v>5346</v>
      </c>
      <c r="C1507" s="656" t="s">
        <v>20</v>
      </c>
      <c r="D1507" s="656" t="s">
        <v>10020</v>
      </c>
      <c r="E1507" s="656" t="s">
        <v>14275</v>
      </c>
      <c r="F1507" s="1447">
        <v>44147</v>
      </c>
      <c r="G1507" s="656" t="s">
        <v>9988</v>
      </c>
      <c r="H1507" s="656" t="s">
        <v>1777</v>
      </c>
      <c r="I1507" s="656"/>
      <c r="J1507" s="656"/>
      <c r="K1507" s="656"/>
      <c r="L1507" s="656" t="s">
        <v>10020</v>
      </c>
      <c r="M1507" s="656" t="s">
        <v>9450</v>
      </c>
      <c r="N1507" s="656" t="s">
        <v>9892</v>
      </c>
      <c r="O1507" s="656" t="s">
        <v>6395</v>
      </c>
      <c r="P1507" s="5" t="s">
        <v>15452</v>
      </c>
      <c r="Q1507" s="1447">
        <v>43658</v>
      </c>
      <c r="R1507" s="656"/>
      <c r="S1507" s="656" t="s">
        <v>469</v>
      </c>
      <c r="T1507" s="656"/>
      <c r="U1507" s="656"/>
      <c r="V1507" s="656"/>
      <c r="W1507" s="656" t="s">
        <v>13051</v>
      </c>
      <c r="X1507" s="656" t="s">
        <v>498</v>
      </c>
      <c r="Y1507" s="656" t="s">
        <v>14278</v>
      </c>
      <c r="Z1507" s="656">
        <v>44305.518773148149</v>
      </c>
      <c r="AA1507" s="656" t="s">
        <v>14335</v>
      </c>
      <c r="AB1507" s="656"/>
    </row>
    <row r="1508" spans="1:28">
      <c r="A1508" s="656" t="s">
        <v>8558</v>
      </c>
      <c r="B1508" s="656" t="s">
        <v>5346</v>
      </c>
      <c r="C1508" s="656" t="s">
        <v>20</v>
      </c>
      <c r="D1508" s="656" t="s">
        <v>10021</v>
      </c>
      <c r="E1508" s="656" t="s">
        <v>14275</v>
      </c>
      <c r="F1508" s="1447">
        <v>44147</v>
      </c>
      <c r="G1508" s="656" t="s">
        <v>9988</v>
      </c>
      <c r="H1508" s="656" t="s">
        <v>1777</v>
      </c>
      <c r="I1508" s="656"/>
      <c r="J1508" s="656"/>
      <c r="K1508" s="656"/>
      <c r="L1508" s="656" t="s">
        <v>10021</v>
      </c>
      <c r="M1508" s="656" t="s">
        <v>9450</v>
      </c>
      <c r="N1508" s="656" t="s">
        <v>9892</v>
      </c>
      <c r="O1508" s="656" t="s">
        <v>6395</v>
      </c>
      <c r="P1508" s="5" t="s">
        <v>15453</v>
      </c>
      <c r="Q1508" s="1447">
        <v>43658</v>
      </c>
      <c r="R1508" s="656"/>
      <c r="S1508" s="656" t="s">
        <v>469</v>
      </c>
      <c r="T1508" s="656"/>
      <c r="U1508" s="656"/>
      <c r="V1508" s="656"/>
      <c r="W1508" s="656" t="s">
        <v>13051</v>
      </c>
      <c r="X1508" s="656" t="s">
        <v>498</v>
      </c>
      <c r="Y1508" s="656" t="s">
        <v>14278</v>
      </c>
      <c r="Z1508" s="656">
        <v>44305.518773148149</v>
      </c>
      <c r="AA1508" s="656" t="s">
        <v>14335</v>
      </c>
      <c r="AB1508" s="656"/>
    </row>
    <row r="1509" spans="1:28">
      <c r="A1509" s="656" t="s">
        <v>5347</v>
      </c>
      <c r="B1509" s="656" t="s">
        <v>5348</v>
      </c>
      <c r="C1509" s="656" t="s">
        <v>20</v>
      </c>
      <c r="D1509" s="656" t="s">
        <v>10043</v>
      </c>
      <c r="E1509" s="656" t="s">
        <v>14275</v>
      </c>
      <c r="F1509" s="1447">
        <v>44188</v>
      </c>
      <c r="G1509" s="656" t="s">
        <v>10042</v>
      </c>
      <c r="H1509" s="656" t="s">
        <v>1777</v>
      </c>
      <c r="I1509" s="656"/>
      <c r="J1509" s="656"/>
      <c r="K1509" s="656"/>
      <c r="L1509" s="656" t="s">
        <v>10043</v>
      </c>
      <c r="M1509" s="656" t="s">
        <v>16196</v>
      </c>
      <c r="N1509" s="656"/>
      <c r="O1509" s="656" t="s">
        <v>6395</v>
      </c>
      <c r="P1509" s="5"/>
      <c r="Q1509" s="1447">
        <v>43704</v>
      </c>
      <c r="R1509" s="656"/>
      <c r="S1509" s="656" t="s">
        <v>469</v>
      </c>
      <c r="T1509" s="656"/>
      <c r="U1509" s="656"/>
      <c r="V1509" s="656"/>
      <c r="W1509" s="656" t="s">
        <v>13051</v>
      </c>
      <c r="X1509" s="656" t="s">
        <v>498</v>
      </c>
      <c r="Y1509" s="656" t="s">
        <v>14278</v>
      </c>
      <c r="Z1509" s="656">
        <v>44305.518738425926</v>
      </c>
      <c r="AA1509" s="656" t="s">
        <v>14335</v>
      </c>
      <c r="AB1509" s="656"/>
    </row>
    <row r="1510" spans="1:28">
      <c r="A1510" s="656" t="s">
        <v>5351</v>
      </c>
      <c r="B1510" s="656" t="s">
        <v>5352</v>
      </c>
      <c r="C1510" s="656" t="s">
        <v>21</v>
      </c>
      <c r="D1510" s="656" t="s">
        <v>10987</v>
      </c>
      <c r="E1510" s="656" t="s">
        <v>14275</v>
      </c>
      <c r="F1510" s="1447">
        <v>43413</v>
      </c>
      <c r="G1510" s="656" t="s">
        <v>10986</v>
      </c>
      <c r="H1510" s="656" t="s">
        <v>1777</v>
      </c>
      <c r="I1510" s="656" t="s">
        <v>14761</v>
      </c>
      <c r="J1510" s="656" t="s">
        <v>10987</v>
      </c>
      <c r="K1510" s="656" t="s">
        <v>9733</v>
      </c>
      <c r="L1510" s="656"/>
      <c r="M1510" s="656" t="s">
        <v>16196</v>
      </c>
      <c r="N1510" s="656"/>
      <c r="O1510" s="656" t="s">
        <v>6395</v>
      </c>
      <c r="P1510" s="5"/>
      <c r="Q1510" s="1447">
        <v>42739</v>
      </c>
      <c r="R1510" s="656">
        <v>43042</v>
      </c>
      <c r="S1510" s="656" t="s">
        <v>1394</v>
      </c>
      <c r="T1510" s="656" t="s">
        <v>14280</v>
      </c>
      <c r="U1510" s="656" t="s">
        <v>1394</v>
      </c>
      <c r="V1510" s="656"/>
      <c r="W1510" s="656" t="s">
        <v>13051</v>
      </c>
      <c r="X1510" s="656" t="s">
        <v>498</v>
      </c>
      <c r="Y1510" s="656" t="s">
        <v>14278</v>
      </c>
      <c r="Z1510" s="656">
        <v>44305.51871527778</v>
      </c>
      <c r="AA1510" s="656" t="s">
        <v>14335</v>
      </c>
      <c r="AB1510" s="656"/>
    </row>
    <row r="1511" spans="1:28">
      <c r="A1511" s="656" t="s">
        <v>5351</v>
      </c>
      <c r="B1511" s="656" t="s">
        <v>5352</v>
      </c>
      <c r="C1511" s="656" t="s">
        <v>20</v>
      </c>
      <c r="D1511" s="656" t="s">
        <v>10988</v>
      </c>
      <c r="E1511" s="656" t="s">
        <v>14275</v>
      </c>
      <c r="F1511" s="1447">
        <v>43405</v>
      </c>
      <c r="G1511" s="656" t="s">
        <v>10986</v>
      </c>
      <c r="H1511" s="656" t="s">
        <v>1777</v>
      </c>
      <c r="I1511" s="656"/>
      <c r="J1511" s="656"/>
      <c r="K1511" s="656"/>
      <c r="L1511" s="656" t="s">
        <v>10988</v>
      </c>
      <c r="M1511" s="656" t="s">
        <v>16196</v>
      </c>
      <c r="N1511" s="656"/>
      <c r="O1511" s="656" t="s">
        <v>6395</v>
      </c>
      <c r="P1511" s="5"/>
      <c r="Q1511" s="1447"/>
      <c r="R1511" s="656"/>
      <c r="S1511" s="656" t="s">
        <v>1394</v>
      </c>
      <c r="T1511" s="656" t="s">
        <v>14280</v>
      </c>
      <c r="U1511" s="656" t="s">
        <v>1394</v>
      </c>
      <c r="V1511" s="656"/>
      <c r="W1511" s="656" t="s">
        <v>13051</v>
      </c>
      <c r="X1511" s="656" t="s">
        <v>498</v>
      </c>
      <c r="Y1511" s="656" t="s">
        <v>14278</v>
      </c>
      <c r="Z1511" s="656">
        <v>44305.518738425926</v>
      </c>
      <c r="AA1511" s="656" t="s">
        <v>14335</v>
      </c>
      <c r="AB1511" s="656"/>
    </row>
    <row r="1512" spans="1:28">
      <c r="A1512" s="656" t="s">
        <v>5361</v>
      </c>
      <c r="B1512" s="656" t="s">
        <v>5362</v>
      </c>
      <c r="C1512" s="656" t="s">
        <v>21</v>
      </c>
      <c r="D1512" s="656" t="s">
        <v>10980</v>
      </c>
      <c r="E1512" s="656" t="s">
        <v>14275</v>
      </c>
      <c r="F1512" s="1447">
        <v>42572</v>
      </c>
      <c r="G1512" s="656" t="s">
        <v>10979</v>
      </c>
      <c r="H1512" s="656" t="s">
        <v>1584</v>
      </c>
      <c r="I1512" s="656" t="s">
        <v>14762</v>
      </c>
      <c r="J1512" s="656" t="s">
        <v>10980</v>
      </c>
      <c r="K1512" s="656" t="s">
        <v>9774</v>
      </c>
      <c r="L1512" s="656"/>
      <c r="M1512" s="656" t="s">
        <v>1584</v>
      </c>
      <c r="N1512" s="656"/>
      <c r="O1512" s="656" t="s">
        <v>6395</v>
      </c>
      <c r="P1512" s="5"/>
      <c r="Q1512" s="1447">
        <v>41915</v>
      </c>
      <c r="R1512" s="656">
        <v>42278</v>
      </c>
      <c r="S1512" s="656" t="s">
        <v>1394</v>
      </c>
      <c r="T1512" s="656" t="s">
        <v>14280</v>
      </c>
      <c r="U1512" s="656" t="s">
        <v>1394</v>
      </c>
      <c r="V1512" s="656"/>
      <c r="W1512" s="656" t="s">
        <v>13051</v>
      </c>
      <c r="X1512" s="656" t="s">
        <v>498</v>
      </c>
      <c r="Y1512" s="656" t="s">
        <v>14278</v>
      </c>
      <c r="Z1512" s="656">
        <v>44305.518680555557</v>
      </c>
      <c r="AA1512" s="656" t="s">
        <v>14335</v>
      </c>
      <c r="AB1512" s="656"/>
    </row>
    <row r="1513" spans="1:28">
      <c r="A1513" s="656" t="s">
        <v>5361</v>
      </c>
      <c r="B1513" s="656" t="s">
        <v>5362</v>
      </c>
      <c r="C1513" s="656" t="s">
        <v>21</v>
      </c>
      <c r="D1513" s="656" t="s">
        <v>10981</v>
      </c>
      <c r="E1513" s="656" t="s">
        <v>14275</v>
      </c>
      <c r="F1513" s="1447">
        <v>42572</v>
      </c>
      <c r="G1513" s="656" t="s">
        <v>10979</v>
      </c>
      <c r="H1513" s="656" t="s">
        <v>1385</v>
      </c>
      <c r="I1513" s="656" t="s">
        <v>14763</v>
      </c>
      <c r="J1513" s="656" t="s">
        <v>10981</v>
      </c>
      <c r="K1513" s="656" t="s">
        <v>9774</v>
      </c>
      <c r="L1513" s="656"/>
      <c r="M1513" s="656" t="s">
        <v>1385</v>
      </c>
      <c r="N1513" s="656"/>
      <c r="O1513" s="656" t="s">
        <v>6395</v>
      </c>
      <c r="P1513" s="5"/>
      <c r="Q1513" s="1447"/>
      <c r="R1513" s="656">
        <v>42278</v>
      </c>
      <c r="S1513" s="656" t="s">
        <v>1394</v>
      </c>
      <c r="T1513" s="656" t="s">
        <v>14280</v>
      </c>
      <c r="U1513" s="656" t="s">
        <v>1394</v>
      </c>
      <c r="V1513" s="656"/>
      <c r="W1513" s="656" t="s">
        <v>13051</v>
      </c>
      <c r="X1513" s="656" t="s">
        <v>498</v>
      </c>
      <c r="Y1513" s="656" t="s">
        <v>14278</v>
      </c>
      <c r="Z1513" s="656">
        <v>44305.518680555557</v>
      </c>
      <c r="AA1513" s="656" t="s">
        <v>14335</v>
      </c>
      <c r="AB1513" s="656"/>
    </row>
    <row r="1514" spans="1:28">
      <c r="A1514" s="656" t="s">
        <v>5361</v>
      </c>
      <c r="B1514" s="656" t="s">
        <v>5362</v>
      </c>
      <c r="C1514" s="656" t="s">
        <v>21</v>
      </c>
      <c r="D1514" s="656" t="s">
        <v>10982</v>
      </c>
      <c r="E1514" s="656" t="s">
        <v>14275</v>
      </c>
      <c r="F1514" s="1447">
        <v>42530</v>
      </c>
      <c r="G1514" s="656" t="s">
        <v>10979</v>
      </c>
      <c r="H1514" s="656" t="s">
        <v>1345</v>
      </c>
      <c r="I1514" s="656" t="s">
        <v>14764</v>
      </c>
      <c r="J1514" s="656" t="s">
        <v>10982</v>
      </c>
      <c r="K1514" s="656" t="s">
        <v>9782</v>
      </c>
      <c r="L1514" s="656"/>
      <c r="M1514" s="656" t="s">
        <v>1345</v>
      </c>
      <c r="N1514" s="656"/>
      <c r="O1514" s="656" t="s">
        <v>6395</v>
      </c>
      <c r="P1514" s="5"/>
      <c r="Q1514" s="1447"/>
      <c r="R1514" s="656">
        <v>42278</v>
      </c>
      <c r="S1514" s="656" t="s">
        <v>1394</v>
      </c>
      <c r="T1514" s="656" t="s">
        <v>14280</v>
      </c>
      <c r="U1514" s="656" t="s">
        <v>1394</v>
      </c>
      <c r="V1514" s="656"/>
      <c r="W1514" s="656" t="s">
        <v>13051</v>
      </c>
      <c r="X1514" s="656" t="s">
        <v>498</v>
      </c>
      <c r="Y1514" s="656" t="s">
        <v>14278</v>
      </c>
      <c r="Z1514" s="656">
        <v>44305.518692129626</v>
      </c>
      <c r="AA1514" s="656" t="s">
        <v>14335</v>
      </c>
      <c r="AB1514" s="656"/>
    </row>
    <row r="1515" spans="1:28">
      <c r="A1515" s="656" t="s">
        <v>5361</v>
      </c>
      <c r="B1515" s="656" t="s">
        <v>5362</v>
      </c>
      <c r="C1515" s="656" t="s">
        <v>21</v>
      </c>
      <c r="D1515" s="656" t="s">
        <v>10983</v>
      </c>
      <c r="E1515" s="656" t="s">
        <v>14275</v>
      </c>
      <c r="F1515" s="1447">
        <v>42572</v>
      </c>
      <c r="G1515" s="656" t="s">
        <v>10979</v>
      </c>
      <c r="H1515" s="656" t="s">
        <v>1274</v>
      </c>
      <c r="I1515" s="656" t="s">
        <v>14765</v>
      </c>
      <c r="J1515" s="656" t="s">
        <v>10983</v>
      </c>
      <c r="K1515" s="656" t="s">
        <v>9774</v>
      </c>
      <c r="L1515" s="656"/>
      <c r="M1515" s="656" t="s">
        <v>1274</v>
      </c>
      <c r="N1515" s="656"/>
      <c r="O1515" s="656" t="s">
        <v>6395</v>
      </c>
      <c r="P1515" s="5"/>
      <c r="Q1515" s="1447"/>
      <c r="R1515" s="656">
        <v>42278</v>
      </c>
      <c r="S1515" s="656" t="s">
        <v>1394</v>
      </c>
      <c r="T1515" s="656" t="s">
        <v>14280</v>
      </c>
      <c r="U1515" s="656" t="s">
        <v>1394</v>
      </c>
      <c r="V1515" s="656"/>
      <c r="W1515" s="656" t="s">
        <v>13051</v>
      </c>
      <c r="X1515" s="656" t="s">
        <v>498</v>
      </c>
      <c r="Y1515" s="656" t="s">
        <v>14278</v>
      </c>
      <c r="Z1515" s="656">
        <v>44305.518692129626</v>
      </c>
      <c r="AA1515" s="656" t="s">
        <v>14335</v>
      </c>
      <c r="AB1515" s="656"/>
    </row>
    <row r="1516" spans="1:28">
      <c r="A1516" s="656" t="s">
        <v>5361</v>
      </c>
      <c r="B1516" s="656" t="s">
        <v>5362</v>
      </c>
      <c r="C1516" s="656" t="s">
        <v>21</v>
      </c>
      <c r="D1516" s="656" t="s">
        <v>10984</v>
      </c>
      <c r="E1516" s="656" t="s">
        <v>14275</v>
      </c>
      <c r="F1516" s="1447">
        <v>42574</v>
      </c>
      <c r="G1516" s="656" t="s">
        <v>10979</v>
      </c>
      <c r="H1516" s="656" t="s">
        <v>1777</v>
      </c>
      <c r="I1516" s="656" t="s">
        <v>14766</v>
      </c>
      <c r="J1516" s="656" t="s">
        <v>10984</v>
      </c>
      <c r="K1516" s="656" t="s">
        <v>9782</v>
      </c>
      <c r="L1516" s="656"/>
      <c r="M1516" s="656" t="s">
        <v>16196</v>
      </c>
      <c r="N1516" s="656"/>
      <c r="O1516" s="656" t="s">
        <v>6395</v>
      </c>
      <c r="P1516" s="5"/>
      <c r="Q1516" s="1447"/>
      <c r="R1516" s="656">
        <v>42090</v>
      </c>
      <c r="S1516" s="656" t="s">
        <v>1394</v>
      </c>
      <c r="T1516" s="656" t="s">
        <v>14280</v>
      </c>
      <c r="U1516" s="656" t="s">
        <v>1394</v>
      </c>
      <c r="V1516" s="656"/>
      <c r="W1516" s="656" t="s">
        <v>13051</v>
      </c>
      <c r="X1516" s="656" t="s">
        <v>498</v>
      </c>
      <c r="Y1516" s="656" t="s">
        <v>14278</v>
      </c>
      <c r="Z1516" s="656">
        <v>44305.518703703703</v>
      </c>
      <c r="AA1516" s="656" t="s">
        <v>14335</v>
      </c>
      <c r="AB1516" s="656"/>
    </row>
    <row r="1517" spans="1:28">
      <c r="A1517" s="656" t="s">
        <v>5361</v>
      </c>
      <c r="B1517" s="656" t="s">
        <v>5362</v>
      </c>
      <c r="C1517" s="656" t="s">
        <v>20</v>
      </c>
      <c r="D1517" s="656" t="s">
        <v>10985</v>
      </c>
      <c r="E1517" s="656" t="s">
        <v>14275</v>
      </c>
      <c r="F1517" s="1447">
        <v>42172</v>
      </c>
      <c r="G1517" s="656" t="s">
        <v>10979</v>
      </c>
      <c r="H1517" s="656" t="s">
        <v>1777</v>
      </c>
      <c r="I1517" s="656"/>
      <c r="J1517" s="656"/>
      <c r="K1517" s="656"/>
      <c r="L1517" s="656" t="s">
        <v>10985</v>
      </c>
      <c r="M1517" s="656" t="s">
        <v>16196</v>
      </c>
      <c r="N1517" s="656"/>
      <c r="O1517" s="656" t="s">
        <v>6395</v>
      </c>
      <c r="P1517" s="5"/>
      <c r="Q1517" s="1447"/>
      <c r="R1517" s="656"/>
      <c r="S1517" s="656" t="s">
        <v>1394</v>
      </c>
      <c r="T1517" s="656" t="s">
        <v>14280</v>
      </c>
      <c r="U1517" s="656" t="s">
        <v>1394</v>
      </c>
      <c r="V1517" s="656"/>
      <c r="W1517" s="656" t="s">
        <v>13051</v>
      </c>
      <c r="X1517" s="656" t="s">
        <v>498</v>
      </c>
      <c r="Y1517" s="656" t="s">
        <v>14278</v>
      </c>
      <c r="Z1517" s="656">
        <v>44305.518703703703</v>
      </c>
      <c r="AA1517" s="656" t="s">
        <v>14335</v>
      </c>
      <c r="AB1517" s="656"/>
    </row>
    <row r="1518" spans="1:28">
      <c r="A1518" s="656" t="s">
        <v>5379</v>
      </c>
      <c r="B1518" s="656" t="s">
        <v>5380</v>
      </c>
      <c r="C1518" s="656" t="s">
        <v>20</v>
      </c>
      <c r="D1518" s="656" t="s">
        <v>10978</v>
      </c>
      <c r="E1518" s="656" t="s">
        <v>14275</v>
      </c>
      <c r="F1518" s="1447">
        <v>42426</v>
      </c>
      <c r="G1518" s="656" t="s">
        <v>10977</v>
      </c>
      <c r="H1518" s="656" t="s">
        <v>1777</v>
      </c>
      <c r="I1518" s="656"/>
      <c r="J1518" s="656"/>
      <c r="K1518" s="656"/>
      <c r="L1518" s="656" t="s">
        <v>10978</v>
      </c>
      <c r="M1518" s="656" t="s">
        <v>16318</v>
      </c>
      <c r="N1518" s="656"/>
      <c r="O1518" s="656" t="s">
        <v>6393</v>
      </c>
      <c r="P1518" s="5"/>
      <c r="Q1518" s="1447"/>
      <c r="R1518" s="656"/>
      <c r="S1518" s="656" t="s">
        <v>655</v>
      </c>
      <c r="T1518" s="656" t="s">
        <v>14277</v>
      </c>
      <c r="U1518" s="656" t="s">
        <v>655</v>
      </c>
      <c r="V1518" s="656"/>
      <c r="W1518" s="656" t="s">
        <v>13051</v>
      </c>
      <c r="X1518" s="656" t="s">
        <v>498</v>
      </c>
      <c r="Y1518" s="656" t="s">
        <v>14278</v>
      </c>
      <c r="Z1518" s="656">
        <v>44305.51866898148</v>
      </c>
      <c r="AA1518" s="656" t="s">
        <v>14335</v>
      </c>
      <c r="AB1518" s="656"/>
    </row>
    <row r="1519" spans="1:28">
      <c r="A1519" s="656" t="s">
        <v>5385</v>
      </c>
      <c r="B1519" s="656" t="s">
        <v>5386</v>
      </c>
      <c r="C1519" s="656" t="s">
        <v>21</v>
      </c>
      <c r="D1519" s="656" t="s">
        <v>10975</v>
      </c>
      <c r="E1519" s="656" t="s">
        <v>14275</v>
      </c>
      <c r="F1519" s="1447">
        <v>42438</v>
      </c>
      <c r="G1519" s="656" t="s">
        <v>10974</v>
      </c>
      <c r="H1519" s="656" t="s">
        <v>1777</v>
      </c>
      <c r="I1519" s="656" t="s">
        <v>14767</v>
      </c>
      <c r="J1519" s="656" t="s">
        <v>10975</v>
      </c>
      <c r="K1519" s="656" t="s">
        <v>9774</v>
      </c>
      <c r="L1519" s="656"/>
      <c r="M1519" s="656" t="s">
        <v>16194</v>
      </c>
      <c r="N1519" s="656" t="s">
        <v>9769</v>
      </c>
      <c r="O1519" s="656" t="s">
        <v>10754</v>
      </c>
      <c r="P1519" s="5"/>
      <c r="Q1519" s="1447"/>
      <c r="R1519" s="656">
        <v>41579</v>
      </c>
      <c r="S1519" s="656" t="s">
        <v>9769</v>
      </c>
      <c r="T1519" s="656" t="s">
        <v>9769</v>
      </c>
      <c r="U1519" s="656" t="s">
        <v>9769</v>
      </c>
      <c r="V1519" s="656"/>
      <c r="W1519" s="656" t="s">
        <v>13051</v>
      </c>
      <c r="X1519" s="656" t="s">
        <v>498</v>
      </c>
      <c r="Y1519" s="656" t="s">
        <v>14278</v>
      </c>
      <c r="Z1519" s="656">
        <v>44305.518657407411</v>
      </c>
      <c r="AA1519" s="656" t="s">
        <v>14335</v>
      </c>
      <c r="AB1519" s="656"/>
    </row>
    <row r="1520" spans="1:28">
      <c r="A1520" s="656" t="s">
        <v>5385</v>
      </c>
      <c r="B1520" s="656" t="s">
        <v>5386</v>
      </c>
      <c r="C1520" s="656" t="s">
        <v>20</v>
      </c>
      <c r="D1520" s="656" t="s">
        <v>10976</v>
      </c>
      <c r="E1520" s="656" t="s">
        <v>14275</v>
      </c>
      <c r="F1520" s="1447">
        <v>42438</v>
      </c>
      <c r="G1520" s="656" t="s">
        <v>10974</v>
      </c>
      <c r="H1520" s="656" t="s">
        <v>1777</v>
      </c>
      <c r="I1520" s="656"/>
      <c r="J1520" s="656"/>
      <c r="K1520" s="656"/>
      <c r="L1520" s="656" t="s">
        <v>10976</v>
      </c>
      <c r="M1520" s="656" t="s">
        <v>16194</v>
      </c>
      <c r="N1520" s="656" t="s">
        <v>9769</v>
      </c>
      <c r="O1520" s="656" t="s">
        <v>10754</v>
      </c>
      <c r="P1520" s="5"/>
      <c r="Q1520" s="1447"/>
      <c r="R1520" s="656"/>
      <c r="S1520" s="656" t="s">
        <v>9769</v>
      </c>
      <c r="T1520" s="656" t="s">
        <v>9769</v>
      </c>
      <c r="U1520" s="656" t="s">
        <v>9769</v>
      </c>
      <c r="V1520" s="656"/>
      <c r="W1520" s="656" t="s">
        <v>13051</v>
      </c>
      <c r="X1520" s="656" t="s">
        <v>498</v>
      </c>
      <c r="Y1520" s="656" t="s">
        <v>14278</v>
      </c>
      <c r="Z1520" s="656">
        <v>44305.518657407411</v>
      </c>
      <c r="AA1520" s="656" t="s">
        <v>14335</v>
      </c>
      <c r="AB1520" s="656"/>
    </row>
    <row r="1521" spans="1:28">
      <c r="A1521" s="656" t="s">
        <v>5413</v>
      </c>
      <c r="B1521" s="656" t="s">
        <v>5414</v>
      </c>
      <c r="C1521" s="656" t="s">
        <v>20</v>
      </c>
      <c r="D1521" s="656" t="s">
        <v>10973</v>
      </c>
      <c r="E1521" s="656" t="s">
        <v>14275</v>
      </c>
      <c r="F1521" s="1447">
        <v>42422</v>
      </c>
      <c r="G1521" s="656" t="s">
        <v>10972</v>
      </c>
      <c r="H1521" s="656" t="s">
        <v>1777</v>
      </c>
      <c r="I1521" s="656"/>
      <c r="J1521" s="656"/>
      <c r="K1521" s="656"/>
      <c r="L1521" s="656" t="s">
        <v>10973</v>
      </c>
      <c r="M1521" s="656" t="s">
        <v>1151</v>
      </c>
      <c r="N1521" s="656" t="s">
        <v>9769</v>
      </c>
      <c r="O1521" s="656" t="s">
        <v>10754</v>
      </c>
      <c r="P1521" s="5"/>
      <c r="Q1521" s="1447"/>
      <c r="R1521" s="656"/>
      <c r="S1521" s="656" t="s">
        <v>1394</v>
      </c>
      <c r="T1521" s="656" t="s">
        <v>9769</v>
      </c>
      <c r="U1521" s="656" t="s">
        <v>9769</v>
      </c>
      <c r="V1521" s="656"/>
      <c r="W1521" s="656" t="s">
        <v>13051</v>
      </c>
      <c r="X1521" s="656" t="s">
        <v>498</v>
      </c>
      <c r="Y1521" s="656" t="s">
        <v>14278</v>
      </c>
      <c r="Z1521" s="656">
        <v>44305.518657407411</v>
      </c>
      <c r="AA1521" s="656" t="s">
        <v>14335</v>
      </c>
      <c r="AB1521" s="656"/>
    </row>
    <row r="1522" spans="1:28">
      <c r="A1522" s="656" t="s">
        <v>5425</v>
      </c>
      <c r="B1522" s="656" t="s">
        <v>5426</v>
      </c>
      <c r="C1522" s="656" t="s">
        <v>21</v>
      </c>
      <c r="D1522" s="656" t="s">
        <v>10970</v>
      </c>
      <c r="E1522" s="656" t="s">
        <v>14275</v>
      </c>
      <c r="F1522" s="1447">
        <v>41726</v>
      </c>
      <c r="G1522" s="656" t="s">
        <v>10969</v>
      </c>
      <c r="H1522" s="656" t="s">
        <v>1777</v>
      </c>
      <c r="I1522" s="656" t="s">
        <v>14768</v>
      </c>
      <c r="J1522" s="656" t="s">
        <v>10970</v>
      </c>
      <c r="K1522" s="656" t="s">
        <v>10894</v>
      </c>
      <c r="L1522" s="656"/>
      <c r="M1522" s="656" t="s">
        <v>16433</v>
      </c>
      <c r="N1522" s="656" t="s">
        <v>9769</v>
      </c>
      <c r="O1522" s="656" t="s">
        <v>10754</v>
      </c>
      <c r="P1522" s="5"/>
      <c r="Q1522" s="1447"/>
      <c r="R1522" s="656">
        <v>41424</v>
      </c>
      <c r="S1522" s="656" t="s">
        <v>1394</v>
      </c>
      <c r="T1522" s="656" t="s">
        <v>9769</v>
      </c>
      <c r="U1522" s="656" t="s">
        <v>9769</v>
      </c>
      <c r="V1522" s="656"/>
      <c r="W1522" s="656" t="s">
        <v>13051</v>
      </c>
      <c r="X1522" s="656" t="s">
        <v>498</v>
      </c>
      <c r="Y1522" s="656" t="s">
        <v>14278</v>
      </c>
      <c r="Z1522" s="656">
        <v>44305.518634259257</v>
      </c>
      <c r="AA1522" s="656" t="s">
        <v>14335</v>
      </c>
      <c r="AB1522" s="656"/>
    </row>
    <row r="1523" spans="1:28">
      <c r="A1523" s="656" t="s">
        <v>5425</v>
      </c>
      <c r="B1523" s="656" t="s">
        <v>5426</v>
      </c>
      <c r="C1523" s="656" t="s">
        <v>20</v>
      </c>
      <c r="D1523" s="656" t="s">
        <v>10971</v>
      </c>
      <c r="E1523" s="656" t="s">
        <v>14275</v>
      </c>
      <c r="F1523" s="1447">
        <v>41726</v>
      </c>
      <c r="G1523" s="656" t="s">
        <v>10969</v>
      </c>
      <c r="H1523" s="656" t="s">
        <v>1777</v>
      </c>
      <c r="I1523" s="656"/>
      <c r="J1523" s="656"/>
      <c r="K1523" s="656"/>
      <c r="L1523" s="656" t="s">
        <v>10971</v>
      </c>
      <c r="M1523" s="656" t="s">
        <v>16434</v>
      </c>
      <c r="N1523" s="656" t="s">
        <v>9769</v>
      </c>
      <c r="O1523" s="656" t="s">
        <v>10754</v>
      </c>
      <c r="P1523" s="5"/>
      <c r="Q1523" s="1447"/>
      <c r="R1523" s="656"/>
      <c r="S1523" s="656" t="s">
        <v>1394</v>
      </c>
      <c r="T1523" s="656" t="s">
        <v>9769</v>
      </c>
      <c r="U1523" s="656" t="s">
        <v>9769</v>
      </c>
      <c r="V1523" s="656"/>
      <c r="W1523" s="656" t="s">
        <v>13051</v>
      </c>
      <c r="X1523" s="656" t="s">
        <v>498</v>
      </c>
      <c r="Y1523" s="656" t="s">
        <v>14278</v>
      </c>
      <c r="Z1523" s="656">
        <v>44305.518634259257</v>
      </c>
      <c r="AA1523" s="656" t="s">
        <v>14335</v>
      </c>
      <c r="AB1523" s="656"/>
    </row>
    <row r="1524" spans="1:28">
      <c r="A1524" s="656" t="s">
        <v>5435</v>
      </c>
      <c r="B1524" s="656" t="s">
        <v>5436</v>
      </c>
      <c r="C1524" s="656" t="s">
        <v>20</v>
      </c>
      <c r="D1524" s="656" t="s">
        <v>10968</v>
      </c>
      <c r="E1524" s="656" t="s">
        <v>14275</v>
      </c>
      <c r="F1524" s="1447">
        <v>41835</v>
      </c>
      <c r="G1524" s="656" t="s">
        <v>10967</v>
      </c>
      <c r="H1524" s="656" t="s">
        <v>1777</v>
      </c>
      <c r="I1524" s="656"/>
      <c r="J1524" s="656"/>
      <c r="K1524" s="656"/>
      <c r="L1524" s="656" t="s">
        <v>10968</v>
      </c>
      <c r="M1524" s="656" t="s">
        <v>16336</v>
      </c>
      <c r="N1524" s="656"/>
      <c r="O1524" s="656" t="s">
        <v>6393</v>
      </c>
      <c r="P1524" s="5"/>
      <c r="Q1524" s="1447"/>
      <c r="R1524" s="656"/>
      <c r="S1524" s="656" t="s">
        <v>1394</v>
      </c>
      <c r="T1524" s="656" t="s">
        <v>4198</v>
      </c>
      <c r="U1524" s="656" t="s">
        <v>1300</v>
      </c>
      <c r="V1524" s="656"/>
      <c r="W1524" s="656" t="s">
        <v>13051</v>
      </c>
      <c r="X1524" s="656" t="s">
        <v>498</v>
      </c>
      <c r="Y1524" s="656" t="s">
        <v>14278</v>
      </c>
      <c r="Z1524" s="656">
        <v>44305.518634259257</v>
      </c>
      <c r="AA1524" s="656" t="s">
        <v>14335</v>
      </c>
      <c r="AB1524" s="656"/>
    </row>
    <row r="1525" spans="1:28">
      <c r="A1525" s="656" t="s">
        <v>5445</v>
      </c>
      <c r="B1525" s="656" t="s">
        <v>5446</v>
      </c>
      <c r="C1525" s="656" t="s">
        <v>21</v>
      </c>
      <c r="D1525" s="656" t="s">
        <v>10966</v>
      </c>
      <c r="E1525" s="656" t="s">
        <v>14275</v>
      </c>
      <c r="F1525" s="1447">
        <v>42438</v>
      </c>
      <c r="G1525" s="656" t="s">
        <v>10965</v>
      </c>
      <c r="H1525" s="656" t="s">
        <v>1584</v>
      </c>
      <c r="I1525" s="656" t="s">
        <v>14769</v>
      </c>
      <c r="J1525" s="656" t="s">
        <v>10966</v>
      </c>
      <c r="K1525" s="656" t="s">
        <v>10894</v>
      </c>
      <c r="L1525" s="656"/>
      <c r="M1525" s="656" t="s">
        <v>1584</v>
      </c>
      <c r="N1525" s="656" t="s">
        <v>9769</v>
      </c>
      <c r="O1525" s="656" t="s">
        <v>10754</v>
      </c>
      <c r="P1525" s="5"/>
      <c r="Q1525" s="1447"/>
      <c r="R1525" s="656">
        <v>41820</v>
      </c>
      <c r="S1525" s="656" t="s">
        <v>1667</v>
      </c>
      <c r="T1525" s="656" t="s">
        <v>9769</v>
      </c>
      <c r="U1525" s="656" t="s">
        <v>9769</v>
      </c>
      <c r="V1525" s="656"/>
      <c r="W1525" s="656" t="s">
        <v>13051</v>
      </c>
      <c r="X1525" s="656" t="s">
        <v>498</v>
      </c>
      <c r="Y1525" s="656" t="s">
        <v>14278</v>
      </c>
      <c r="Z1525" s="656">
        <v>44305.518634259257</v>
      </c>
      <c r="AA1525" s="656" t="s">
        <v>14335</v>
      </c>
      <c r="AB1525" s="656"/>
    </row>
    <row r="1526" spans="1:28">
      <c r="A1526" s="656" t="s">
        <v>5447</v>
      </c>
      <c r="B1526" s="656" t="s">
        <v>5448</v>
      </c>
      <c r="C1526" s="656" t="s">
        <v>21</v>
      </c>
      <c r="D1526" s="656" t="s">
        <v>10964</v>
      </c>
      <c r="E1526" s="656" t="s">
        <v>14384</v>
      </c>
      <c r="F1526" s="1447">
        <v>42472</v>
      </c>
      <c r="G1526" s="656" t="s">
        <v>10963</v>
      </c>
      <c r="H1526" s="656" t="s">
        <v>1584</v>
      </c>
      <c r="I1526" s="656" t="s">
        <v>14770</v>
      </c>
      <c r="J1526" s="656" t="s">
        <v>10964</v>
      </c>
      <c r="K1526" s="656" t="s">
        <v>10894</v>
      </c>
      <c r="L1526" s="656"/>
      <c r="M1526" s="656" t="s">
        <v>1584</v>
      </c>
      <c r="N1526" s="656" t="s">
        <v>9769</v>
      </c>
      <c r="O1526" s="656" t="s">
        <v>10754</v>
      </c>
      <c r="P1526" s="5" t="s">
        <v>14771</v>
      </c>
      <c r="Q1526" s="1447"/>
      <c r="R1526" s="656"/>
      <c r="S1526" s="656" t="s">
        <v>1667</v>
      </c>
      <c r="T1526" s="656" t="s">
        <v>9769</v>
      </c>
      <c r="U1526" s="656" t="s">
        <v>9769</v>
      </c>
      <c r="V1526" s="656"/>
      <c r="W1526" s="656" t="s">
        <v>13051</v>
      </c>
      <c r="X1526" s="656" t="s">
        <v>498</v>
      </c>
      <c r="Y1526" s="656" t="s">
        <v>14278</v>
      </c>
      <c r="Z1526" s="656">
        <v>44305.518622685187</v>
      </c>
      <c r="AA1526" s="656" t="s">
        <v>14335</v>
      </c>
      <c r="AB1526" s="656"/>
    </row>
    <row r="1527" spans="1:28">
      <c r="A1527" s="656" t="s">
        <v>5449</v>
      </c>
      <c r="B1527" s="656" t="s">
        <v>5450</v>
      </c>
      <c r="C1527" s="656" t="s">
        <v>21</v>
      </c>
      <c r="D1527" s="656" t="s">
        <v>10959</v>
      </c>
      <c r="E1527" s="656" t="s">
        <v>14275</v>
      </c>
      <c r="F1527" s="1447">
        <v>42178</v>
      </c>
      <c r="G1527" s="656" t="s">
        <v>10958</v>
      </c>
      <c r="H1527" s="656" t="s">
        <v>1385</v>
      </c>
      <c r="I1527" s="656" t="s">
        <v>14772</v>
      </c>
      <c r="J1527" s="656" t="s">
        <v>10959</v>
      </c>
      <c r="K1527" s="656" t="s">
        <v>10894</v>
      </c>
      <c r="L1527" s="656"/>
      <c r="M1527" s="656" t="s">
        <v>1385</v>
      </c>
      <c r="N1527" s="656" t="s">
        <v>9769</v>
      </c>
      <c r="O1527" s="656" t="s">
        <v>10754</v>
      </c>
      <c r="P1527" s="5"/>
      <c r="Q1527" s="1447"/>
      <c r="R1527" s="656">
        <v>42171</v>
      </c>
      <c r="S1527" s="656" t="s">
        <v>1667</v>
      </c>
      <c r="T1527" s="656" t="s">
        <v>9769</v>
      </c>
      <c r="U1527" s="656" t="s">
        <v>9769</v>
      </c>
      <c r="V1527" s="656"/>
      <c r="W1527" s="656" t="s">
        <v>13051</v>
      </c>
      <c r="X1527" s="656" t="s">
        <v>498</v>
      </c>
      <c r="Y1527" s="656" t="s">
        <v>14278</v>
      </c>
      <c r="Z1527" s="656">
        <v>44305.518587962964</v>
      </c>
      <c r="AA1527" s="656" t="s">
        <v>14335</v>
      </c>
      <c r="AB1527" s="656"/>
    </row>
    <row r="1528" spans="1:28">
      <c r="A1528" s="656" t="s">
        <v>5449</v>
      </c>
      <c r="B1528" s="656" t="s">
        <v>5450</v>
      </c>
      <c r="C1528" s="656" t="s">
        <v>21</v>
      </c>
      <c r="D1528" s="656" t="s">
        <v>10960</v>
      </c>
      <c r="E1528" s="656" t="s">
        <v>14275</v>
      </c>
      <c r="F1528" s="1447">
        <v>41935</v>
      </c>
      <c r="G1528" s="656" t="s">
        <v>10958</v>
      </c>
      <c r="H1528" s="656" t="s">
        <v>1175</v>
      </c>
      <c r="I1528" s="656" t="s">
        <v>14773</v>
      </c>
      <c r="J1528" s="656" t="s">
        <v>10960</v>
      </c>
      <c r="K1528" s="656" t="s">
        <v>10894</v>
      </c>
      <c r="L1528" s="656"/>
      <c r="M1528" s="656" t="s">
        <v>1175</v>
      </c>
      <c r="N1528" s="656" t="s">
        <v>9769</v>
      </c>
      <c r="O1528" s="656" t="s">
        <v>10754</v>
      </c>
      <c r="P1528" s="5"/>
      <c r="Q1528" s="1447"/>
      <c r="R1528" s="656">
        <v>41914</v>
      </c>
      <c r="S1528" s="656" t="s">
        <v>1667</v>
      </c>
      <c r="T1528" s="656" t="s">
        <v>9769</v>
      </c>
      <c r="U1528" s="656" t="s">
        <v>9769</v>
      </c>
      <c r="V1528" s="656"/>
      <c r="W1528" s="656" t="s">
        <v>13051</v>
      </c>
      <c r="X1528" s="656" t="s">
        <v>498</v>
      </c>
      <c r="Y1528" s="656" t="s">
        <v>14278</v>
      </c>
      <c r="Z1528" s="656">
        <v>44305.518611111111</v>
      </c>
      <c r="AA1528" s="656" t="s">
        <v>14335</v>
      </c>
      <c r="AB1528" s="656"/>
    </row>
    <row r="1529" spans="1:28">
      <c r="A1529" s="656" t="s">
        <v>5449</v>
      </c>
      <c r="B1529" s="656" t="s">
        <v>5450</v>
      </c>
      <c r="C1529" s="656" t="s">
        <v>21</v>
      </c>
      <c r="D1529" s="656" t="s">
        <v>10961</v>
      </c>
      <c r="E1529" s="656" t="s">
        <v>14275</v>
      </c>
      <c r="F1529" s="1447">
        <v>42108</v>
      </c>
      <c r="G1529" s="656" t="s">
        <v>10958</v>
      </c>
      <c r="H1529" s="656" t="s">
        <v>1274</v>
      </c>
      <c r="I1529" s="656" t="s">
        <v>14774</v>
      </c>
      <c r="J1529" s="656" t="s">
        <v>10961</v>
      </c>
      <c r="K1529" s="656" t="s">
        <v>10894</v>
      </c>
      <c r="L1529" s="656"/>
      <c r="M1529" s="656" t="s">
        <v>1274</v>
      </c>
      <c r="N1529" s="656" t="s">
        <v>9769</v>
      </c>
      <c r="O1529" s="656" t="s">
        <v>10754</v>
      </c>
      <c r="P1529" s="5"/>
      <c r="Q1529" s="1447"/>
      <c r="R1529" s="656">
        <v>41306</v>
      </c>
      <c r="S1529" s="656" t="s">
        <v>1667</v>
      </c>
      <c r="T1529" s="656" t="s">
        <v>9769</v>
      </c>
      <c r="U1529" s="656" t="s">
        <v>9769</v>
      </c>
      <c r="V1529" s="656"/>
      <c r="W1529" s="656" t="s">
        <v>13051</v>
      </c>
      <c r="X1529" s="656" t="s">
        <v>498</v>
      </c>
      <c r="Y1529" s="656" t="s">
        <v>14278</v>
      </c>
      <c r="Z1529" s="656">
        <v>44305.518599537034</v>
      </c>
      <c r="AA1529" s="656" t="s">
        <v>14335</v>
      </c>
      <c r="AB1529" s="656"/>
    </row>
    <row r="1530" spans="1:28">
      <c r="A1530" s="656" t="s">
        <v>5449</v>
      </c>
      <c r="B1530" s="656" t="s">
        <v>5450</v>
      </c>
      <c r="C1530" s="656" t="s">
        <v>20</v>
      </c>
      <c r="D1530" s="656" t="s">
        <v>10962</v>
      </c>
      <c r="E1530" s="656" t="s">
        <v>14275</v>
      </c>
      <c r="F1530" s="1447">
        <v>42108</v>
      </c>
      <c r="G1530" s="656" t="s">
        <v>10958</v>
      </c>
      <c r="H1530" s="656" t="s">
        <v>1777</v>
      </c>
      <c r="I1530" s="656"/>
      <c r="J1530" s="656"/>
      <c r="K1530" s="656"/>
      <c r="L1530" s="656" t="s">
        <v>10962</v>
      </c>
      <c r="M1530" s="656" t="s">
        <v>16435</v>
      </c>
      <c r="N1530" s="656" t="s">
        <v>9769</v>
      </c>
      <c r="O1530" s="656" t="s">
        <v>10754</v>
      </c>
      <c r="P1530" s="5"/>
      <c r="Q1530" s="1447"/>
      <c r="R1530" s="656"/>
      <c r="S1530" s="656" t="s">
        <v>1667</v>
      </c>
      <c r="T1530" s="656" t="s">
        <v>9769</v>
      </c>
      <c r="U1530" s="656" t="s">
        <v>9769</v>
      </c>
      <c r="V1530" s="656"/>
      <c r="W1530" s="656" t="s">
        <v>13051</v>
      </c>
      <c r="X1530" s="656" t="s">
        <v>498</v>
      </c>
      <c r="Y1530" s="656" t="s">
        <v>14278</v>
      </c>
      <c r="Z1530" s="656">
        <v>44305.518611111111</v>
      </c>
      <c r="AA1530" s="656" t="s">
        <v>14335</v>
      </c>
      <c r="AB1530" s="656"/>
    </row>
    <row r="1531" spans="1:28">
      <c r="A1531" s="656" t="s">
        <v>5453</v>
      </c>
      <c r="B1531" s="656" t="s">
        <v>5454</v>
      </c>
      <c r="C1531" s="656" t="s">
        <v>21</v>
      </c>
      <c r="D1531" s="656" t="s">
        <v>10954</v>
      </c>
      <c r="E1531" s="656" t="s">
        <v>14275</v>
      </c>
      <c r="F1531" s="1447">
        <v>42515</v>
      </c>
      <c r="G1531" s="656" t="s">
        <v>10953</v>
      </c>
      <c r="H1531" s="656" t="s">
        <v>1777</v>
      </c>
      <c r="I1531" s="656" t="s">
        <v>14775</v>
      </c>
      <c r="J1531" s="656" t="s">
        <v>10954</v>
      </c>
      <c r="K1531" s="656" t="s">
        <v>9782</v>
      </c>
      <c r="L1531" s="656"/>
      <c r="M1531" s="656" t="s">
        <v>16265</v>
      </c>
      <c r="N1531" s="656"/>
      <c r="O1531" s="656" t="s">
        <v>6387</v>
      </c>
      <c r="P1531" s="5"/>
      <c r="Q1531" s="1447"/>
      <c r="R1531" s="656">
        <v>41974</v>
      </c>
      <c r="S1531" s="656" t="s">
        <v>655</v>
      </c>
      <c r="T1531" s="656" t="s">
        <v>14277</v>
      </c>
      <c r="U1531" s="656" t="s">
        <v>655</v>
      </c>
      <c r="V1531" s="656"/>
      <c r="W1531" s="656" t="s">
        <v>13051</v>
      </c>
      <c r="X1531" s="656" t="s">
        <v>498</v>
      </c>
      <c r="Y1531" s="656" t="s">
        <v>14278</v>
      </c>
      <c r="Z1531" s="656">
        <v>44305.518587962964</v>
      </c>
      <c r="AA1531" s="656" t="s">
        <v>14335</v>
      </c>
      <c r="AB1531" s="656"/>
    </row>
    <row r="1532" spans="1:28">
      <c r="A1532" s="656" t="s">
        <v>5453</v>
      </c>
      <c r="B1532" s="656" t="s">
        <v>5454</v>
      </c>
      <c r="C1532" s="656" t="s">
        <v>20</v>
      </c>
      <c r="D1532" s="656" t="s">
        <v>10956</v>
      </c>
      <c r="E1532" s="656" t="s">
        <v>14275</v>
      </c>
      <c r="F1532" s="1447">
        <v>42115</v>
      </c>
      <c r="G1532" s="656" t="s">
        <v>10955</v>
      </c>
      <c r="H1532" s="656" t="s">
        <v>1777</v>
      </c>
      <c r="I1532" s="656"/>
      <c r="J1532" s="656"/>
      <c r="K1532" s="656"/>
      <c r="L1532" s="656" t="s">
        <v>10956</v>
      </c>
      <c r="M1532" s="656" t="s">
        <v>16407</v>
      </c>
      <c r="N1532" s="656"/>
      <c r="O1532" s="656" t="s">
        <v>6387</v>
      </c>
      <c r="P1532" s="5"/>
      <c r="Q1532" s="1447"/>
      <c r="R1532" s="656"/>
      <c r="S1532" s="656" t="s">
        <v>655</v>
      </c>
      <c r="T1532" s="656" t="s">
        <v>14277</v>
      </c>
      <c r="U1532" s="656" t="s">
        <v>655</v>
      </c>
      <c r="V1532" s="656"/>
      <c r="W1532" s="656" t="s">
        <v>13051</v>
      </c>
      <c r="X1532" s="656" t="s">
        <v>498</v>
      </c>
      <c r="Y1532" s="656" t="s">
        <v>14278</v>
      </c>
      <c r="Z1532" s="656">
        <v>44305.518587962964</v>
      </c>
      <c r="AA1532" s="656" t="s">
        <v>14335</v>
      </c>
      <c r="AB1532" s="656"/>
    </row>
    <row r="1533" spans="1:28">
      <c r="A1533" s="656" t="s">
        <v>5453</v>
      </c>
      <c r="B1533" s="656" t="s">
        <v>5454</v>
      </c>
      <c r="C1533" s="656" t="s">
        <v>20</v>
      </c>
      <c r="D1533" s="656" t="s">
        <v>10957</v>
      </c>
      <c r="E1533" s="656" t="s">
        <v>14275</v>
      </c>
      <c r="F1533" s="1447">
        <v>42115</v>
      </c>
      <c r="G1533" s="656" t="s">
        <v>10953</v>
      </c>
      <c r="H1533" s="656" t="s">
        <v>1777</v>
      </c>
      <c r="I1533" s="656"/>
      <c r="J1533" s="656"/>
      <c r="K1533" s="656"/>
      <c r="L1533" s="656" t="s">
        <v>10957</v>
      </c>
      <c r="M1533" s="656" t="s">
        <v>16265</v>
      </c>
      <c r="N1533" s="656"/>
      <c r="O1533" s="656" t="s">
        <v>6387</v>
      </c>
      <c r="P1533" s="5"/>
      <c r="Q1533" s="1447"/>
      <c r="R1533" s="656"/>
      <c r="S1533" s="656" t="s">
        <v>655</v>
      </c>
      <c r="T1533" s="656" t="s">
        <v>14277</v>
      </c>
      <c r="U1533" s="656" t="s">
        <v>655</v>
      </c>
      <c r="V1533" s="656"/>
      <c r="W1533" s="656" t="s">
        <v>13051</v>
      </c>
      <c r="X1533" s="656" t="s">
        <v>498</v>
      </c>
      <c r="Y1533" s="656" t="s">
        <v>14278</v>
      </c>
      <c r="Z1533" s="656">
        <v>44305.518587962964</v>
      </c>
      <c r="AA1533" s="656" t="s">
        <v>14335</v>
      </c>
      <c r="AB1533" s="656"/>
    </row>
    <row r="1534" spans="1:28">
      <c r="A1534" s="656" t="s">
        <v>5455</v>
      </c>
      <c r="B1534" s="656" t="s">
        <v>5456</v>
      </c>
      <c r="C1534" s="656" t="s">
        <v>20</v>
      </c>
      <c r="D1534" s="656" t="s">
        <v>10950</v>
      </c>
      <c r="E1534" s="656" t="s">
        <v>14275</v>
      </c>
      <c r="F1534" s="1447">
        <v>41957</v>
      </c>
      <c r="G1534" s="656" t="s">
        <v>10949</v>
      </c>
      <c r="H1534" s="656" t="s">
        <v>1777</v>
      </c>
      <c r="I1534" s="656"/>
      <c r="J1534" s="656"/>
      <c r="K1534" s="656"/>
      <c r="L1534" s="656" t="s">
        <v>10950</v>
      </c>
      <c r="M1534" s="656" t="s">
        <v>16319</v>
      </c>
      <c r="N1534" s="656"/>
      <c r="O1534" s="656" t="s">
        <v>6393</v>
      </c>
      <c r="P1534" s="5"/>
      <c r="Q1534" s="1447"/>
      <c r="R1534" s="656"/>
      <c r="S1534" s="656" t="s">
        <v>500</v>
      </c>
      <c r="T1534" s="656" t="s">
        <v>4198</v>
      </c>
      <c r="U1534" s="656" t="s">
        <v>1300</v>
      </c>
      <c r="V1534" s="656"/>
      <c r="W1534" s="656" t="s">
        <v>13051</v>
      </c>
      <c r="X1534" s="656" t="s">
        <v>498</v>
      </c>
      <c r="Y1534" s="656" t="s">
        <v>14278</v>
      </c>
      <c r="Z1534" s="656">
        <v>44305.518564814818</v>
      </c>
      <c r="AA1534" s="656" t="s">
        <v>14335</v>
      </c>
      <c r="AB1534" s="656"/>
    </row>
    <row r="1535" spans="1:28">
      <c r="A1535" s="656" t="s">
        <v>5455</v>
      </c>
      <c r="B1535" s="656" t="s">
        <v>5456</v>
      </c>
      <c r="C1535" s="656" t="s">
        <v>20</v>
      </c>
      <c r="D1535" s="656" t="s">
        <v>10952</v>
      </c>
      <c r="E1535" s="656" t="s">
        <v>14275</v>
      </c>
      <c r="F1535" s="1447">
        <v>41957</v>
      </c>
      <c r="G1535" s="656" t="s">
        <v>10951</v>
      </c>
      <c r="H1535" s="656" t="s">
        <v>1777</v>
      </c>
      <c r="I1535" s="656"/>
      <c r="J1535" s="656"/>
      <c r="K1535" s="656"/>
      <c r="L1535" s="656" t="s">
        <v>10952</v>
      </c>
      <c r="M1535" s="656" t="s">
        <v>16318</v>
      </c>
      <c r="N1535" s="656"/>
      <c r="O1535" s="656" t="s">
        <v>6393</v>
      </c>
      <c r="P1535" s="5"/>
      <c r="Q1535" s="1447"/>
      <c r="R1535" s="656"/>
      <c r="S1535" s="656" t="s">
        <v>500</v>
      </c>
      <c r="T1535" s="656" t="s">
        <v>4198</v>
      </c>
      <c r="U1535" s="656" t="s">
        <v>1300</v>
      </c>
      <c r="V1535" s="656"/>
      <c r="W1535" s="656" t="s">
        <v>13051</v>
      </c>
      <c r="X1535" s="656" t="s">
        <v>498</v>
      </c>
      <c r="Y1535" s="656" t="s">
        <v>14278</v>
      </c>
      <c r="Z1535" s="656">
        <v>44305.518564814818</v>
      </c>
      <c r="AA1535" s="656" t="s">
        <v>14335</v>
      </c>
      <c r="AB1535" s="656"/>
    </row>
    <row r="1536" spans="1:28">
      <c r="A1536" s="656" t="s">
        <v>5459</v>
      </c>
      <c r="B1536" s="656" t="s">
        <v>5460</v>
      </c>
      <c r="C1536" s="656" t="s">
        <v>21</v>
      </c>
      <c r="D1536" s="656" t="s">
        <v>10944</v>
      </c>
      <c r="E1536" s="656" t="s">
        <v>14275</v>
      </c>
      <c r="F1536" s="1447">
        <v>42416</v>
      </c>
      <c r="G1536" s="656" t="s">
        <v>10943</v>
      </c>
      <c r="H1536" s="656" t="s">
        <v>1777</v>
      </c>
      <c r="I1536" s="656" t="s">
        <v>14776</v>
      </c>
      <c r="J1536" s="656" t="s">
        <v>10944</v>
      </c>
      <c r="K1536" s="656" t="s">
        <v>9750</v>
      </c>
      <c r="L1536" s="656"/>
      <c r="M1536" s="656" t="s">
        <v>16321</v>
      </c>
      <c r="N1536" s="656"/>
      <c r="O1536" s="656" t="s">
        <v>6393</v>
      </c>
      <c r="P1536" s="5"/>
      <c r="Q1536" s="1447">
        <v>41733</v>
      </c>
      <c r="R1536" s="656">
        <v>42278</v>
      </c>
      <c r="S1536" s="656" t="s">
        <v>1300</v>
      </c>
      <c r="T1536" s="656" t="s">
        <v>4198</v>
      </c>
      <c r="U1536" s="656" t="s">
        <v>1300</v>
      </c>
      <c r="V1536" s="656"/>
      <c r="W1536" s="656" t="s">
        <v>13051</v>
      </c>
      <c r="X1536" s="656" t="s">
        <v>498</v>
      </c>
      <c r="Y1536" s="656" t="s">
        <v>14278</v>
      </c>
      <c r="Z1536" s="656">
        <v>44305.518553240741</v>
      </c>
      <c r="AA1536" s="656" t="s">
        <v>14335</v>
      </c>
      <c r="AB1536" s="656"/>
    </row>
    <row r="1537" spans="1:28">
      <c r="A1537" s="656" t="s">
        <v>5459</v>
      </c>
      <c r="B1537" s="656" t="s">
        <v>5460</v>
      </c>
      <c r="C1537" s="656" t="s">
        <v>20</v>
      </c>
      <c r="D1537" s="656" t="s">
        <v>10946</v>
      </c>
      <c r="E1537" s="656" t="s">
        <v>14275</v>
      </c>
      <c r="F1537" s="1447">
        <v>42404</v>
      </c>
      <c r="G1537" s="656" t="s">
        <v>10945</v>
      </c>
      <c r="H1537" s="656" t="s">
        <v>1777</v>
      </c>
      <c r="I1537" s="656"/>
      <c r="J1537" s="656"/>
      <c r="K1537" s="656"/>
      <c r="L1537" s="656" t="s">
        <v>10946</v>
      </c>
      <c r="M1537" s="656" t="s">
        <v>16321</v>
      </c>
      <c r="N1537" s="656"/>
      <c r="O1537" s="656" t="s">
        <v>6393</v>
      </c>
      <c r="P1537" s="5"/>
      <c r="Q1537" s="1447"/>
      <c r="R1537" s="656"/>
      <c r="S1537" s="656" t="s">
        <v>1300</v>
      </c>
      <c r="T1537" s="656" t="s">
        <v>4198</v>
      </c>
      <c r="U1537" s="656" t="s">
        <v>1300</v>
      </c>
      <c r="V1537" s="656"/>
      <c r="W1537" s="656" t="s">
        <v>13051</v>
      </c>
      <c r="X1537" s="656" t="s">
        <v>498</v>
      </c>
      <c r="Y1537" s="656" t="s">
        <v>14278</v>
      </c>
      <c r="Z1537" s="656">
        <v>44305.518553240741</v>
      </c>
      <c r="AA1537" s="656" t="s">
        <v>14335</v>
      </c>
      <c r="AB1537" s="656"/>
    </row>
    <row r="1538" spans="1:28">
      <c r="A1538" s="656" t="s">
        <v>5459</v>
      </c>
      <c r="B1538" s="656" t="s">
        <v>5460</v>
      </c>
      <c r="C1538" s="656" t="s">
        <v>20</v>
      </c>
      <c r="D1538" s="656" t="s">
        <v>10948</v>
      </c>
      <c r="E1538" s="656" t="s">
        <v>14275</v>
      </c>
      <c r="F1538" s="1447">
        <v>42404</v>
      </c>
      <c r="G1538" s="656" t="s">
        <v>10947</v>
      </c>
      <c r="H1538" s="656" t="s">
        <v>1777</v>
      </c>
      <c r="I1538" s="656"/>
      <c r="J1538" s="656"/>
      <c r="K1538" s="656"/>
      <c r="L1538" s="656" t="s">
        <v>10948</v>
      </c>
      <c r="M1538" s="656" t="s">
        <v>16436</v>
      </c>
      <c r="N1538" s="656"/>
      <c r="O1538" s="656" t="s">
        <v>6393</v>
      </c>
      <c r="P1538" s="5"/>
      <c r="Q1538" s="1447"/>
      <c r="R1538" s="656"/>
      <c r="S1538" s="656" t="s">
        <v>1300</v>
      </c>
      <c r="T1538" s="656" t="s">
        <v>4198</v>
      </c>
      <c r="U1538" s="656" t="s">
        <v>1300</v>
      </c>
      <c r="V1538" s="656"/>
      <c r="W1538" s="656" t="s">
        <v>13051</v>
      </c>
      <c r="X1538" s="656" t="s">
        <v>498</v>
      </c>
      <c r="Y1538" s="656" t="s">
        <v>14278</v>
      </c>
      <c r="Z1538" s="656">
        <v>44305.518553240741</v>
      </c>
      <c r="AA1538" s="656" t="s">
        <v>14335</v>
      </c>
      <c r="AB1538" s="656"/>
    </row>
    <row r="1539" spans="1:28">
      <c r="A1539" s="656" t="s">
        <v>5461</v>
      </c>
      <c r="B1539" s="656" t="s">
        <v>5462</v>
      </c>
      <c r="C1539" s="656" t="s">
        <v>20</v>
      </c>
      <c r="D1539" s="656" t="s">
        <v>10942</v>
      </c>
      <c r="E1539" s="656" t="s">
        <v>14275</v>
      </c>
      <c r="F1539" s="1447">
        <v>42404</v>
      </c>
      <c r="G1539" s="656" t="s">
        <v>10941</v>
      </c>
      <c r="H1539" s="656" t="s">
        <v>1777</v>
      </c>
      <c r="I1539" s="656"/>
      <c r="J1539" s="656"/>
      <c r="K1539" s="656"/>
      <c r="L1539" s="656" t="s">
        <v>10942</v>
      </c>
      <c r="M1539" s="656" t="s">
        <v>16436</v>
      </c>
      <c r="N1539" s="656"/>
      <c r="O1539" s="656" t="s">
        <v>6393</v>
      </c>
      <c r="P1539" s="5"/>
      <c r="Q1539" s="1447"/>
      <c r="R1539" s="656"/>
      <c r="S1539" s="656" t="s">
        <v>1300</v>
      </c>
      <c r="T1539" s="656" t="s">
        <v>4198</v>
      </c>
      <c r="U1539" s="656" t="s">
        <v>1300</v>
      </c>
      <c r="V1539" s="656"/>
      <c r="W1539" s="656" t="s">
        <v>13051</v>
      </c>
      <c r="X1539" s="656" t="s">
        <v>498</v>
      </c>
      <c r="Y1539" s="656" t="s">
        <v>14278</v>
      </c>
      <c r="Z1539" s="656">
        <v>44305.518541666665</v>
      </c>
      <c r="AA1539" s="656" t="s">
        <v>14335</v>
      </c>
      <c r="AB1539" s="656"/>
    </row>
    <row r="1540" spans="1:28">
      <c r="A1540" s="656" t="s">
        <v>5463</v>
      </c>
      <c r="B1540" s="656" t="s">
        <v>5464</v>
      </c>
      <c r="C1540" s="656" t="s">
        <v>21</v>
      </c>
      <c r="D1540" s="656" t="s">
        <v>10940</v>
      </c>
      <c r="E1540" s="656" t="s">
        <v>14275</v>
      </c>
      <c r="F1540" s="1447">
        <v>42416</v>
      </c>
      <c r="G1540" s="656" t="s">
        <v>10939</v>
      </c>
      <c r="H1540" s="656" t="s">
        <v>1777</v>
      </c>
      <c r="I1540" s="656" t="s">
        <v>14776</v>
      </c>
      <c r="J1540" s="656" t="s">
        <v>10940</v>
      </c>
      <c r="K1540" s="656" t="s">
        <v>9750</v>
      </c>
      <c r="L1540" s="656"/>
      <c r="M1540" s="656" t="s">
        <v>16436</v>
      </c>
      <c r="N1540" s="656"/>
      <c r="O1540" s="656" t="s">
        <v>6393</v>
      </c>
      <c r="P1540" s="5"/>
      <c r="Q1540" s="1447">
        <v>41733</v>
      </c>
      <c r="R1540" s="656">
        <v>42278</v>
      </c>
      <c r="S1540" s="656" t="s">
        <v>1300</v>
      </c>
      <c r="T1540" s="656" t="s">
        <v>4198</v>
      </c>
      <c r="U1540" s="656" t="s">
        <v>1300</v>
      </c>
      <c r="V1540" s="656"/>
      <c r="W1540" s="656" t="s">
        <v>13051</v>
      </c>
      <c r="X1540" s="656" t="s">
        <v>498</v>
      </c>
      <c r="Y1540" s="656" t="s">
        <v>14278</v>
      </c>
      <c r="Z1540" s="656">
        <v>44305.518541666665</v>
      </c>
      <c r="AA1540" s="656" t="s">
        <v>14335</v>
      </c>
      <c r="AB1540" s="656"/>
    </row>
    <row r="1541" spans="1:28">
      <c r="A1541" s="656" t="s">
        <v>5465</v>
      </c>
      <c r="B1541" s="656" t="s">
        <v>5466</v>
      </c>
      <c r="C1541" s="656" t="s">
        <v>20</v>
      </c>
      <c r="D1541" s="656" t="s">
        <v>10938</v>
      </c>
      <c r="E1541" s="656" t="s">
        <v>14275</v>
      </c>
      <c r="F1541" s="1447">
        <v>42404</v>
      </c>
      <c r="G1541" s="656" t="s">
        <v>10937</v>
      </c>
      <c r="H1541" s="656" t="s">
        <v>1777</v>
      </c>
      <c r="I1541" s="656"/>
      <c r="J1541" s="656"/>
      <c r="K1541" s="656"/>
      <c r="L1541" s="656" t="s">
        <v>10938</v>
      </c>
      <c r="M1541" s="656" t="s">
        <v>16436</v>
      </c>
      <c r="N1541" s="656"/>
      <c r="O1541" s="656" t="s">
        <v>6393</v>
      </c>
      <c r="P1541" s="5"/>
      <c r="Q1541" s="1447"/>
      <c r="R1541" s="656"/>
      <c r="S1541" s="656" t="s">
        <v>1300</v>
      </c>
      <c r="T1541" s="656" t="s">
        <v>4198</v>
      </c>
      <c r="U1541" s="656" t="s">
        <v>1300</v>
      </c>
      <c r="V1541" s="656"/>
      <c r="W1541" s="656" t="s">
        <v>13051</v>
      </c>
      <c r="X1541" s="656" t="s">
        <v>498</v>
      </c>
      <c r="Y1541" s="656" t="s">
        <v>14278</v>
      </c>
      <c r="Z1541" s="656">
        <v>44305.518530092595</v>
      </c>
      <c r="AA1541" s="656" t="s">
        <v>14335</v>
      </c>
      <c r="AB1541" s="656"/>
    </row>
    <row r="1542" spans="1:28">
      <c r="A1542" s="656" t="s">
        <v>5468</v>
      </c>
      <c r="B1542" s="656" t="s">
        <v>5469</v>
      </c>
      <c r="C1542" s="656" t="s">
        <v>21</v>
      </c>
      <c r="D1542" s="656" t="s">
        <v>10932</v>
      </c>
      <c r="E1542" s="656" t="s">
        <v>14384</v>
      </c>
      <c r="F1542" s="1447">
        <v>41862</v>
      </c>
      <c r="G1542" s="656" t="s">
        <v>10931</v>
      </c>
      <c r="H1542" s="656" t="s">
        <v>1777</v>
      </c>
      <c r="I1542" s="656" t="s">
        <v>14777</v>
      </c>
      <c r="J1542" s="656" t="s">
        <v>10932</v>
      </c>
      <c r="K1542" s="656" t="s">
        <v>10398</v>
      </c>
      <c r="L1542" s="656"/>
      <c r="M1542" s="656" t="s">
        <v>16437</v>
      </c>
      <c r="N1542" s="656"/>
      <c r="O1542" s="656" t="s">
        <v>6387</v>
      </c>
      <c r="P1542" s="5" t="s">
        <v>15454</v>
      </c>
      <c r="Q1542" s="1447"/>
      <c r="R1542" s="656"/>
      <c r="S1542" s="656" t="s">
        <v>1667</v>
      </c>
      <c r="T1542" s="656" t="s">
        <v>14524</v>
      </c>
      <c r="U1542" s="656" t="s">
        <v>1667</v>
      </c>
      <c r="V1542" s="656"/>
      <c r="W1542" s="656" t="s">
        <v>13051</v>
      </c>
      <c r="X1542" s="656" t="s">
        <v>498</v>
      </c>
      <c r="Y1542" s="656" t="s">
        <v>14278</v>
      </c>
      <c r="Z1542" s="656">
        <v>44305.518506944441</v>
      </c>
      <c r="AA1542" s="656" t="s">
        <v>14335</v>
      </c>
      <c r="AB1542" s="656"/>
    </row>
    <row r="1543" spans="1:28">
      <c r="A1543" s="656" t="s">
        <v>5468</v>
      </c>
      <c r="B1543" s="656" t="s">
        <v>5469</v>
      </c>
      <c r="C1543" s="656" t="s">
        <v>21</v>
      </c>
      <c r="D1543" s="656" t="s">
        <v>10934</v>
      </c>
      <c r="E1543" s="656" t="s">
        <v>14275</v>
      </c>
      <c r="F1543" s="1447">
        <v>41843</v>
      </c>
      <c r="G1543" s="656" t="s">
        <v>10933</v>
      </c>
      <c r="H1543" s="656" t="s">
        <v>1777</v>
      </c>
      <c r="I1543" s="656" t="s">
        <v>14778</v>
      </c>
      <c r="J1543" s="656" t="s">
        <v>10934</v>
      </c>
      <c r="K1543" s="656" t="s">
        <v>10398</v>
      </c>
      <c r="L1543" s="656"/>
      <c r="M1543" s="656" t="s">
        <v>16438</v>
      </c>
      <c r="N1543" s="656"/>
      <c r="O1543" s="656" t="s">
        <v>6387</v>
      </c>
      <c r="P1543" s="5"/>
      <c r="Q1543" s="1447">
        <v>41072</v>
      </c>
      <c r="R1543" s="656">
        <v>41603</v>
      </c>
      <c r="S1543" s="656" t="s">
        <v>1667</v>
      </c>
      <c r="T1543" s="656" t="s">
        <v>14524</v>
      </c>
      <c r="U1543" s="656" t="s">
        <v>1667</v>
      </c>
      <c r="V1543" s="656"/>
      <c r="W1543" s="656" t="s">
        <v>13051</v>
      </c>
      <c r="X1543" s="656" t="s">
        <v>498</v>
      </c>
      <c r="Y1543" s="656" t="s">
        <v>14278</v>
      </c>
      <c r="Z1543" s="656">
        <v>44305.518506944441</v>
      </c>
      <c r="AA1543" s="656" t="s">
        <v>14335</v>
      </c>
      <c r="AB1543" s="656"/>
    </row>
    <row r="1544" spans="1:28">
      <c r="A1544" s="656" t="s">
        <v>5468</v>
      </c>
      <c r="B1544" s="656" t="s">
        <v>5469</v>
      </c>
      <c r="C1544" s="656" t="s">
        <v>20</v>
      </c>
      <c r="D1544" s="656" t="s">
        <v>10935</v>
      </c>
      <c r="E1544" s="656" t="s">
        <v>14275</v>
      </c>
      <c r="F1544" s="1447">
        <v>41817</v>
      </c>
      <c r="G1544" s="656" t="s">
        <v>10933</v>
      </c>
      <c r="H1544" s="656" t="s">
        <v>1777</v>
      </c>
      <c r="I1544" s="656"/>
      <c r="J1544" s="656"/>
      <c r="K1544" s="656"/>
      <c r="L1544" s="656" t="s">
        <v>10935</v>
      </c>
      <c r="M1544" s="656" t="s">
        <v>16438</v>
      </c>
      <c r="N1544" s="656"/>
      <c r="O1544" s="656" t="s">
        <v>6387</v>
      </c>
      <c r="P1544" s="5"/>
      <c r="Q1544" s="1447"/>
      <c r="R1544" s="656"/>
      <c r="S1544" s="656" t="s">
        <v>1667</v>
      </c>
      <c r="T1544" s="656" t="s">
        <v>14524</v>
      </c>
      <c r="U1544" s="656" t="s">
        <v>1667</v>
      </c>
      <c r="V1544" s="656"/>
      <c r="W1544" s="656" t="s">
        <v>13051</v>
      </c>
      <c r="X1544" s="656" t="s">
        <v>498</v>
      </c>
      <c r="Y1544" s="656" t="s">
        <v>14278</v>
      </c>
      <c r="Z1544" s="656">
        <v>44305.518518518518</v>
      </c>
      <c r="AA1544" s="656" t="s">
        <v>14335</v>
      </c>
      <c r="AB1544" s="656"/>
    </row>
    <row r="1545" spans="1:28">
      <c r="A1545" s="656" t="s">
        <v>5468</v>
      </c>
      <c r="B1545" s="656" t="s">
        <v>5469</v>
      </c>
      <c r="C1545" s="656" t="s">
        <v>20</v>
      </c>
      <c r="D1545" s="656" t="s">
        <v>10936</v>
      </c>
      <c r="E1545" s="656" t="s">
        <v>14275</v>
      </c>
      <c r="F1545" s="1447">
        <v>41835</v>
      </c>
      <c r="G1545" s="656" t="s">
        <v>10931</v>
      </c>
      <c r="H1545" s="656" t="s">
        <v>1777</v>
      </c>
      <c r="I1545" s="656"/>
      <c r="J1545" s="656"/>
      <c r="K1545" s="656"/>
      <c r="L1545" s="656" t="s">
        <v>10936</v>
      </c>
      <c r="M1545" s="656" t="s">
        <v>16437</v>
      </c>
      <c r="N1545" s="656"/>
      <c r="O1545" s="656" t="s">
        <v>6387</v>
      </c>
      <c r="P1545" s="5"/>
      <c r="Q1545" s="1447"/>
      <c r="R1545" s="656"/>
      <c r="S1545" s="656" t="s">
        <v>1667</v>
      </c>
      <c r="T1545" s="656" t="s">
        <v>14524</v>
      </c>
      <c r="U1545" s="656" t="s">
        <v>1667</v>
      </c>
      <c r="V1545" s="656"/>
      <c r="W1545" s="656" t="s">
        <v>13051</v>
      </c>
      <c r="X1545" s="656" t="s">
        <v>498</v>
      </c>
      <c r="Y1545" s="656" t="s">
        <v>14278</v>
      </c>
      <c r="Z1545" s="656">
        <v>44305.518530092595</v>
      </c>
      <c r="AA1545" s="656" t="s">
        <v>14335</v>
      </c>
      <c r="AB1545" s="656"/>
    </row>
    <row r="1546" spans="1:28">
      <c r="A1546" s="656" t="s">
        <v>5503</v>
      </c>
      <c r="B1546" s="656" t="s">
        <v>5504</v>
      </c>
      <c r="C1546" s="656" t="s">
        <v>20</v>
      </c>
      <c r="D1546" s="656" t="s">
        <v>10930</v>
      </c>
      <c r="E1546" s="656" t="s">
        <v>14275</v>
      </c>
      <c r="F1546" s="1447">
        <v>42473</v>
      </c>
      <c r="G1546" s="656" t="s">
        <v>10929</v>
      </c>
      <c r="H1546" s="656" t="s">
        <v>1777</v>
      </c>
      <c r="I1546" s="656"/>
      <c r="J1546" s="656"/>
      <c r="K1546" s="656"/>
      <c r="L1546" s="656" t="s">
        <v>10930</v>
      </c>
      <c r="M1546" s="656" t="s">
        <v>16194</v>
      </c>
      <c r="N1546" s="656"/>
      <c r="O1546" s="656" t="s">
        <v>6395</v>
      </c>
      <c r="P1546" s="5"/>
      <c r="Q1546" s="1447"/>
      <c r="R1546" s="656"/>
      <c r="S1546" s="656" t="s">
        <v>1394</v>
      </c>
      <c r="T1546" s="656" t="s">
        <v>14280</v>
      </c>
      <c r="U1546" s="656" t="s">
        <v>1394</v>
      </c>
      <c r="V1546" s="656"/>
      <c r="W1546" s="656" t="s">
        <v>13051</v>
      </c>
      <c r="X1546" s="656" t="s">
        <v>498</v>
      </c>
      <c r="Y1546" s="656" t="s">
        <v>14278</v>
      </c>
      <c r="Z1546" s="656">
        <v>44305.518495370372</v>
      </c>
      <c r="AA1546" s="656" t="s">
        <v>14335</v>
      </c>
      <c r="AB1546" s="656"/>
    </row>
    <row r="1547" spans="1:28">
      <c r="A1547" s="656" t="s">
        <v>5523</v>
      </c>
      <c r="B1547" s="656" t="s">
        <v>5524</v>
      </c>
      <c r="C1547" s="656" t="s">
        <v>20</v>
      </c>
      <c r="D1547" s="656" t="s">
        <v>10928</v>
      </c>
      <c r="E1547" s="656" t="s">
        <v>14275</v>
      </c>
      <c r="F1547" s="1447">
        <v>41835</v>
      </c>
      <c r="G1547" s="656" t="s">
        <v>10927</v>
      </c>
      <c r="H1547" s="656" t="s">
        <v>1777</v>
      </c>
      <c r="I1547" s="656"/>
      <c r="J1547" s="656"/>
      <c r="K1547" s="656"/>
      <c r="L1547" s="656" t="s">
        <v>10928</v>
      </c>
      <c r="M1547" s="656" t="s">
        <v>16436</v>
      </c>
      <c r="N1547" s="656"/>
      <c r="O1547" s="656" t="s">
        <v>6393</v>
      </c>
      <c r="P1547" s="5"/>
      <c r="Q1547" s="1447"/>
      <c r="R1547" s="656"/>
      <c r="S1547" s="656" t="s">
        <v>500</v>
      </c>
      <c r="T1547" s="656" t="s">
        <v>4198</v>
      </c>
      <c r="U1547" s="656" t="s">
        <v>1300</v>
      </c>
      <c r="V1547" s="656"/>
      <c r="W1547" s="656" t="s">
        <v>13051</v>
      </c>
      <c r="X1547" s="656" t="s">
        <v>498</v>
      </c>
      <c r="Y1547" s="656" t="s">
        <v>14278</v>
      </c>
      <c r="Z1547" s="656">
        <v>44305.518495370372</v>
      </c>
      <c r="AA1547" s="656" t="s">
        <v>14335</v>
      </c>
      <c r="AB1547" s="656"/>
    </row>
    <row r="1548" spans="1:28">
      <c r="A1548" s="656" t="s">
        <v>5560</v>
      </c>
      <c r="B1548" s="656" t="s">
        <v>5561</v>
      </c>
      <c r="C1548" s="656" t="s">
        <v>20</v>
      </c>
      <c r="D1548" s="656" t="s">
        <v>10926</v>
      </c>
      <c r="E1548" s="656" t="s">
        <v>14275</v>
      </c>
      <c r="F1548" s="1447">
        <v>42115</v>
      </c>
      <c r="G1548" s="656" t="s">
        <v>10925</v>
      </c>
      <c r="H1548" s="656" t="s">
        <v>1777</v>
      </c>
      <c r="I1548" s="656"/>
      <c r="J1548" s="656"/>
      <c r="K1548" s="656"/>
      <c r="L1548" s="656" t="s">
        <v>10926</v>
      </c>
      <c r="M1548" s="656" t="s">
        <v>16194</v>
      </c>
      <c r="N1548" s="656"/>
      <c r="O1548" s="656" t="s">
        <v>6393</v>
      </c>
      <c r="P1548" s="5"/>
      <c r="Q1548" s="1447"/>
      <c r="R1548" s="656"/>
      <c r="S1548" s="656" t="s">
        <v>1300</v>
      </c>
      <c r="T1548" s="656" t="s">
        <v>4198</v>
      </c>
      <c r="U1548" s="656" t="s">
        <v>1300</v>
      </c>
      <c r="V1548" s="656"/>
      <c r="W1548" s="656" t="s">
        <v>13051</v>
      </c>
      <c r="X1548" s="656" t="s">
        <v>498</v>
      </c>
      <c r="Y1548" s="656" t="s">
        <v>14278</v>
      </c>
      <c r="Z1548" s="656">
        <v>44305.518483796295</v>
      </c>
      <c r="AA1548" s="656" t="s">
        <v>14335</v>
      </c>
      <c r="AB1548" s="656"/>
    </row>
    <row r="1549" spans="1:28">
      <c r="A1549" s="656" t="s">
        <v>5562</v>
      </c>
      <c r="B1549" s="656" t="s">
        <v>5563</v>
      </c>
      <c r="C1549" s="656" t="s">
        <v>20</v>
      </c>
      <c r="D1549" s="656" t="s">
        <v>10924</v>
      </c>
      <c r="E1549" s="656" t="s">
        <v>14275</v>
      </c>
      <c r="F1549" s="1447">
        <v>42172</v>
      </c>
      <c r="G1549" s="656" t="s">
        <v>10923</v>
      </c>
      <c r="H1549" s="656" t="s">
        <v>1777</v>
      </c>
      <c r="I1549" s="656"/>
      <c r="J1549" s="656"/>
      <c r="K1549" s="656"/>
      <c r="L1549" s="656" t="s">
        <v>10924</v>
      </c>
      <c r="M1549" s="656" t="s">
        <v>16338</v>
      </c>
      <c r="N1549" s="656"/>
      <c r="O1549" s="656" t="s">
        <v>6393</v>
      </c>
      <c r="P1549" s="5"/>
      <c r="Q1549" s="1447"/>
      <c r="R1549" s="656"/>
      <c r="S1549" s="656" t="s">
        <v>1667</v>
      </c>
      <c r="T1549" s="656" t="s">
        <v>4198</v>
      </c>
      <c r="U1549" s="656" t="s">
        <v>1300</v>
      </c>
      <c r="V1549" s="656"/>
      <c r="W1549" s="656" t="s">
        <v>13051</v>
      </c>
      <c r="X1549" s="656" t="s">
        <v>498</v>
      </c>
      <c r="Y1549" s="656" t="s">
        <v>14278</v>
      </c>
      <c r="Z1549" s="656">
        <v>44305.518472222226</v>
      </c>
      <c r="AA1549" s="656" t="s">
        <v>14335</v>
      </c>
      <c r="AB1549" s="656"/>
    </row>
    <row r="1550" spans="1:28">
      <c r="A1550" s="656" t="s">
        <v>5564</v>
      </c>
      <c r="B1550" s="656" t="s">
        <v>5565</v>
      </c>
      <c r="C1550" s="656" t="s">
        <v>20</v>
      </c>
      <c r="D1550" s="656" t="s">
        <v>10922</v>
      </c>
      <c r="E1550" s="656" t="s">
        <v>14275</v>
      </c>
      <c r="F1550" s="1447">
        <v>41835</v>
      </c>
      <c r="G1550" s="656" t="s">
        <v>10921</v>
      </c>
      <c r="H1550" s="656" t="s">
        <v>1777</v>
      </c>
      <c r="I1550" s="656"/>
      <c r="J1550" s="656"/>
      <c r="K1550" s="656"/>
      <c r="L1550" s="656" t="s">
        <v>10922</v>
      </c>
      <c r="M1550" s="656" t="s">
        <v>16196</v>
      </c>
      <c r="N1550" s="656"/>
      <c r="O1550" s="656" t="s">
        <v>6387</v>
      </c>
      <c r="P1550" s="5"/>
      <c r="Q1550" s="1447"/>
      <c r="R1550" s="656"/>
      <c r="S1550" s="656" t="s">
        <v>1667</v>
      </c>
      <c r="T1550" s="656" t="s">
        <v>14277</v>
      </c>
      <c r="U1550" s="656" t="s">
        <v>655</v>
      </c>
      <c r="V1550" s="656"/>
      <c r="W1550" s="656" t="s">
        <v>13051</v>
      </c>
      <c r="X1550" s="656" t="s">
        <v>498</v>
      </c>
      <c r="Y1550" s="656" t="s">
        <v>14278</v>
      </c>
      <c r="Z1550" s="656">
        <v>44305.518460648149</v>
      </c>
      <c r="AA1550" s="656" t="s">
        <v>14335</v>
      </c>
      <c r="AB1550" s="656"/>
    </row>
    <row r="1551" spans="1:28">
      <c r="A1551" s="656" t="s">
        <v>5596</v>
      </c>
      <c r="B1551" s="656" t="s">
        <v>5597</v>
      </c>
      <c r="C1551" s="656" t="s">
        <v>21</v>
      </c>
      <c r="D1551" s="656" t="s">
        <v>10919</v>
      </c>
      <c r="E1551" s="656" t="s">
        <v>14275</v>
      </c>
      <c r="F1551" s="1447">
        <v>41577</v>
      </c>
      <c r="G1551" s="656" t="s">
        <v>10918</v>
      </c>
      <c r="H1551" s="656" t="s">
        <v>1777</v>
      </c>
      <c r="I1551" s="656" t="s">
        <v>14779</v>
      </c>
      <c r="J1551" s="656" t="s">
        <v>10919</v>
      </c>
      <c r="K1551" s="656" t="s">
        <v>9750</v>
      </c>
      <c r="L1551" s="656"/>
      <c r="M1551" s="656" t="s">
        <v>16196</v>
      </c>
      <c r="N1551" s="656"/>
      <c r="O1551" s="656" t="s">
        <v>6393</v>
      </c>
      <c r="P1551" s="5"/>
      <c r="Q1551" s="1447"/>
      <c r="R1551" s="656">
        <v>41455</v>
      </c>
      <c r="S1551" s="656" t="s">
        <v>1394</v>
      </c>
      <c r="T1551" s="656" t="s">
        <v>4198</v>
      </c>
      <c r="U1551" s="656" t="s">
        <v>1300</v>
      </c>
      <c r="V1551" s="656"/>
      <c r="W1551" s="656" t="s">
        <v>13051</v>
      </c>
      <c r="X1551" s="656" t="s">
        <v>498</v>
      </c>
      <c r="Y1551" s="656" t="s">
        <v>14278</v>
      </c>
      <c r="Z1551" s="656">
        <v>44305.518449074072</v>
      </c>
      <c r="AA1551" s="656" t="s">
        <v>14335</v>
      </c>
      <c r="AB1551" s="656"/>
    </row>
    <row r="1552" spans="1:28">
      <c r="A1552" s="656" t="s">
        <v>5596</v>
      </c>
      <c r="B1552" s="656" t="s">
        <v>5597</v>
      </c>
      <c r="C1552" s="656" t="s">
        <v>20</v>
      </c>
      <c r="D1552" s="656" t="s">
        <v>10920</v>
      </c>
      <c r="E1552" s="656" t="s">
        <v>14275</v>
      </c>
      <c r="F1552" s="1447">
        <v>41879</v>
      </c>
      <c r="G1552" s="656" t="s">
        <v>10918</v>
      </c>
      <c r="H1552" s="656" t="s">
        <v>1777</v>
      </c>
      <c r="I1552" s="656"/>
      <c r="J1552" s="656"/>
      <c r="K1552" s="656"/>
      <c r="L1552" s="656" t="s">
        <v>10920</v>
      </c>
      <c r="M1552" s="656" t="s">
        <v>16196</v>
      </c>
      <c r="N1552" s="656"/>
      <c r="O1552" s="656" t="s">
        <v>6393</v>
      </c>
      <c r="P1552" s="5"/>
      <c r="Q1552" s="1447"/>
      <c r="R1552" s="656"/>
      <c r="S1552" s="656" t="s">
        <v>1394</v>
      </c>
      <c r="T1552" s="656" t="s">
        <v>4198</v>
      </c>
      <c r="U1552" s="656" t="s">
        <v>1300</v>
      </c>
      <c r="V1552" s="656"/>
      <c r="W1552" s="656" t="s">
        <v>13051</v>
      </c>
      <c r="X1552" s="656" t="s">
        <v>498</v>
      </c>
      <c r="Y1552" s="656" t="s">
        <v>14278</v>
      </c>
      <c r="Z1552" s="656">
        <v>44305.518460648149</v>
      </c>
      <c r="AA1552" s="656" t="s">
        <v>14335</v>
      </c>
      <c r="AB1552" s="656"/>
    </row>
    <row r="1553" spans="1:28">
      <c r="A1553" s="656" t="s">
        <v>5602</v>
      </c>
      <c r="B1553" s="656" t="s">
        <v>5603</v>
      </c>
      <c r="C1553" s="656" t="s">
        <v>21</v>
      </c>
      <c r="D1553" s="656" t="s">
        <v>10916</v>
      </c>
      <c r="E1553" s="656" t="s">
        <v>14275</v>
      </c>
      <c r="F1553" s="1447">
        <v>41635</v>
      </c>
      <c r="G1553" s="656" t="s">
        <v>10915</v>
      </c>
      <c r="H1553" s="656" t="s">
        <v>1777</v>
      </c>
      <c r="I1553" s="656" t="s">
        <v>14780</v>
      </c>
      <c r="J1553" s="656" t="s">
        <v>10916</v>
      </c>
      <c r="K1553" s="656" t="s">
        <v>9750</v>
      </c>
      <c r="L1553" s="656"/>
      <c r="M1553" s="656" t="s">
        <v>16437</v>
      </c>
      <c r="N1553" s="656"/>
      <c r="O1553" s="656" t="s">
        <v>6393</v>
      </c>
      <c r="P1553" s="5"/>
      <c r="Q1553" s="1447"/>
      <c r="R1553" s="656">
        <v>41209</v>
      </c>
      <c r="S1553" s="656" t="s">
        <v>1394</v>
      </c>
      <c r="T1553" s="656" t="s">
        <v>4198</v>
      </c>
      <c r="U1553" s="656" t="s">
        <v>1300</v>
      </c>
      <c r="V1553" s="656"/>
      <c r="W1553" s="656" t="s">
        <v>13051</v>
      </c>
      <c r="X1553" s="656" t="s">
        <v>498</v>
      </c>
      <c r="Y1553" s="656" t="s">
        <v>14278</v>
      </c>
      <c r="Z1553" s="656">
        <v>44305.518449074072</v>
      </c>
      <c r="AA1553" s="656" t="s">
        <v>14335</v>
      </c>
      <c r="AB1553" s="656"/>
    </row>
    <row r="1554" spans="1:28">
      <c r="A1554" s="656" t="s">
        <v>5602</v>
      </c>
      <c r="B1554" s="656" t="s">
        <v>5603</v>
      </c>
      <c r="C1554" s="656" t="s">
        <v>20</v>
      </c>
      <c r="D1554" s="656" t="s">
        <v>10917</v>
      </c>
      <c r="E1554" s="656" t="s">
        <v>14275</v>
      </c>
      <c r="F1554" s="1447">
        <v>41835</v>
      </c>
      <c r="G1554" s="656" t="s">
        <v>10915</v>
      </c>
      <c r="H1554" s="656" t="s">
        <v>1777</v>
      </c>
      <c r="I1554" s="656"/>
      <c r="J1554" s="656"/>
      <c r="K1554" s="656"/>
      <c r="L1554" s="656" t="s">
        <v>10917</v>
      </c>
      <c r="M1554" s="656" t="s">
        <v>16437</v>
      </c>
      <c r="N1554" s="656"/>
      <c r="O1554" s="656" t="s">
        <v>6393</v>
      </c>
      <c r="P1554" s="5"/>
      <c r="Q1554" s="1447"/>
      <c r="R1554" s="656"/>
      <c r="S1554" s="656" t="s">
        <v>1394</v>
      </c>
      <c r="T1554" s="656" t="s">
        <v>4198</v>
      </c>
      <c r="U1554" s="656" t="s">
        <v>1300</v>
      </c>
      <c r="V1554" s="656"/>
      <c r="W1554" s="656" t="s">
        <v>13051</v>
      </c>
      <c r="X1554" s="656" t="s">
        <v>498</v>
      </c>
      <c r="Y1554" s="656" t="s">
        <v>14278</v>
      </c>
      <c r="Z1554" s="656">
        <v>44305.518449074072</v>
      </c>
      <c r="AA1554" s="656" t="s">
        <v>14335</v>
      </c>
      <c r="AB1554" s="656"/>
    </row>
    <row r="1555" spans="1:28">
      <c r="A1555" s="656" t="s">
        <v>5628</v>
      </c>
      <c r="B1555" s="656" t="s">
        <v>5629</v>
      </c>
      <c r="C1555" s="656" t="s">
        <v>21</v>
      </c>
      <c r="D1555" s="656" t="s">
        <v>10914</v>
      </c>
      <c r="E1555" s="656" t="s">
        <v>14275</v>
      </c>
      <c r="F1555" s="1447">
        <v>42093</v>
      </c>
      <c r="G1555" s="656" t="s">
        <v>10913</v>
      </c>
      <c r="H1555" s="656" t="s">
        <v>1777</v>
      </c>
      <c r="I1555" s="656" t="s">
        <v>14781</v>
      </c>
      <c r="J1555" s="656" t="s">
        <v>10914</v>
      </c>
      <c r="K1555" s="656" t="s">
        <v>9750</v>
      </c>
      <c r="L1555" s="656"/>
      <c r="M1555" s="656" t="s">
        <v>16419</v>
      </c>
      <c r="N1555" s="656"/>
      <c r="O1555" s="656" t="s">
        <v>6393</v>
      </c>
      <c r="P1555" s="5"/>
      <c r="Q1555" s="1447"/>
      <c r="R1555" s="656">
        <v>41671</v>
      </c>
      <c r="S1555" s="656" t="s">
        <v>1300</v>
      </c>
      <c r="T1555" s="656" t="s">
        <v>4198</v>
      </c>
      <c r="U1555" s="656" t="s">
        <v>1300</v>
      </c>
      <c r="V1555" s="656"/>
      <c r="W1555" s="656" t="s">
        <v>13051</v>
      </c>
      <c r="X1555" s="656" t="s">
        <v>498</v>
      </c>
      <c r="Y1555" s="656" t="s">
        <v>14278</v>
      </c>
      <c r="Z1555" s="656">
        <v>44305.518437500003</v>
      </c>
      <c r="AA1555" s="656" t="s">
        <v>14335</v>
      </c>
      <c r="AB1555" s="656"/>
    </row>
    <row r="1556" spans="1:28">
      <c r="A1556" s="656" t="s">
        <v>5628</v>
      </c>
      <c r="B1556" s="656" t="s">
        <v>5629</v>
      </c>
      <c r="C1556" s="656" t="s">
        <v>20</v>
      </c>
      <c r="D1556" s="656" t="s">
        <v>12321</v>
      </c>
      <c r="E1556" s="656" t="s">
        <v>14553</v>
      </c>
      <c r="F1556" s="1447"/>
      <c r="G1556" s="656" t="s">
        <v>10913</v>
      </c>
      <c r="H1556" s="656" t="s">
        <v>1777</v>
      </c>
      <c r="I1556" s="656"/>
      <c r="J1556" s="656"/>
      <c r="K1556" s="656"/>
      <c r="L1556" s="656" t="s">
        <v>12321</v>
      </c>
      <c r="M1556" s="656" t="s">
        <v>16419</v>
      </c>
      <c r="N1556" s="656" t="s">
        <v>9991</v>
      </c>
      <c r="O1556" s="656"/>
      <c r="P1556" s="5"/>
      <c r="Q1556" s="1447"/>
      <c r="R1556" s="656"/>
      <c r="S1556" s="656" t="s">
        <v>1300</v>
      </c>
      <c r="T1556" s="656" t="s">
        <v>9991</v>
      </c>
      <c r="U1556" s="656" t="s">
        <v>9991</v>
      </c>
      <c r="V1556" s="656"/>
      <c r="W1556" s="656" t="s">
        <v>13051</v>
      </c>
      <c r="X1556" s="656" t="s">
        <v>498</v>
      </c>
      <c r="Y1556" s="656" t="s">
        <v>14278</v>
      </c>
      <c r="Z1556" s="656">
        <v>44305.518437500003</v>
      </c>
      <c r="AA1556" s="656" t="s">
        <v>14335</v>
      </c>
      <c r="AB1556" s="656"/>
    </row>
    <row r="1557" spans="1:28">
      <c r="A1557" s="656" t="s">
        <v>5630</v>
      </c>
      <c r="B1557" s="656" t="s">
        <v>5631</v>
      </c>
      <c r="C1557" s="656" t="s">
        <v>21</v>
      </c>
      <c r="D1557" s="656" t="s">
        <v>10912</v>
      </c>
      <c r="E1557" s="656" t="s">
        <v>14275</v>
      </c>
      <c r="F1557" s="1447">
        <v>41877</v>
      </c>
      <c r="G1557" s="656" t="s">
        <v>10911</v>
      </c>
      <c r="H1557" s="656" t="s">
        <v>1777</v>
      </c>
      <c r="I1557" s="656" t="s">
        <v>14781</v>
      </c>
      <c r="J1557" s="656" t="s">
        <v>10912</v>
      </c>
      <c r="K1557" s="656" t="s">
        <v>9750</v>
      </c>
      <c r="L1557" s="656"/>
      <c r="M1557" s="656" t="s">
        <v>16195</v>
      </c>
      <c r="N1557" s="656"/>
      <c r="O1557" s="656" t="s">
        <v>6393</v>
      </c>
      <c r="P1557" s="5"/>
      <c r="Q1557" s="1447"/>
      <c r="R1557" s="656">
        <v>41547</v>
      </c>
      <c r="S1557" s="656" t="s">
        <v>1300</v>
      </c>
      <c r="T1557" s="656" t="s">
        <v>4198</v>
      </c>
      <c r="U1557" s="656" t="s">
        <v>1300</v>
      </c>
      <c r="V1557" s="656"/>
      <c r="W1557" s="656" t="s">
        <v>13051</v>
      </c>
      <c r="X1557" s="656" t="s">
        <v>498</v>
      </c>
      <c r="Y1557" s="656" t="s">
        <v>14278</v>
      </c>
      <c r="Z1557" s="656">
        <v>44305.518425925926</v>
      </c>
      <c r="AA1557" s="656" t="s">
        <v>14335</v>
      </c>
      <c r="AB1557" s="656"/>
    </row>
    <row r="1558" spans="1:28">
      <c r="A1558" s="656" t="s">
        <v>5662</v>
      </c>
      <c r="B1558" s="656" t="s">
        <v>5663</v>
      </c>
      <c r="C1558" s="656" t="s">
        <v>20</v>
      </c>
      <c r="D1558" s="656" t="s">
        <v>10910</v>
      </c>
      <c r="E1558" s="656" t="s">
        <v>14275</v>
      </c>
      <c r="F1558" s="1447">
        <v>42172</v>
      </c>
      <c r="G1558" s="656" t="s">
        <v>10909</v>
      </c>
      <c r="H1558" s="656" t="s">
        <v>1777</v>
      </c>
      <c r="I1558" s="656"/>
      <c r="J1558" s="656"/>
      <c r="K1558" s="656"/>
      <c r="L1558" s="656" t="s">
        <v>10910</v>
      </c>
      <c r="M1558" s="656" t="s">
        <v>16439</v>
      </c>
      <c r="N1558" s="656"/>
      <c r="O1558" s="656" t="s">
        <v>6387</v>
      </c>
      <c r="P1558" s="5"/>
      <c r="Q1558" s="1447"/>
      <c r="R1558" s="656"/>
      <c r="S1558" s="656" t="s">
        <v>1667</v>
      </c>
      <c r="T1558" s="656" t="s">
        <v>14524</v>
      </c>
      <c r="U1558" s="656" t="s">
        <v>1667</v>
      </c>
      <c r="V1558" s="656"/>
      <c r="W1558" s="656" t="s">
        <v>13051</v>
      </c>
      <c r="X1558" s="656" t="s">
        <v>498</v>
      </c>
      <c r="Y1558" s="656" t="s">
        <v>14278</v>
      </c>
      <c r="Z1558" s="656">
        <v>44305.518437500003</v>
      </c>
      <c r="AA1558" s="656" t="s">
        <v>14335</v>
      </c>
      <c r="AB1558" s="656"/>
    </row>
    <row r="1559" spans="1:28">
      <c r="A1559" s="656" t="s">
        <v>5726</v>
      </c>
      <c r="B1559" s="656" t="s">
        <v>5727</v>
      </c>
      <c r="C1559" s="656" t="s">
        <v>21</v>
      </c>
      <c r="D1559" s="656" t="s">
        <v>10905</v>
      </c>
      <c r="E1559" s="656" t="s">
        <v>14275</v>
      </c>
      <c r="F1559" s="1447">
        <v>42546</v>
      </c>
      <c r="G1559" s="656" t="s">
        <v>10904</v>
      </c>
      <c r="H1559" s="656" t="s">
        <v>1777</v>
      </c>
      <c r="I1559" s="656" t="s">
        <v>14782</v>
      </c>
      <c r="J1559" s="656" t="s">
        <v>10905</v>
      </c>
      <c r="K1559" s="656" t="s">
        <v>9750</v>
      </c>
      <c r="L1559" s="656"/>
      <c r="M1559" s="656" t="s">
        <v>16318</v>
      </c>
      <c r="N1559" s="656"/>
      <c r="O1559" s="656" t="s">
        <v>6393</v>
      </c>
      <c r="P1559" s="5"/>
      <c r="Q1559" s="1447"/>
      <c r="R1559" s="656">
        <v>41883</v>
      </c>
      <c r="S1559" s="656" t="s">
        <v>1667</v>
      </c>
      <c r="T1559" s="656" t="s">
        <v>4198</v>
      </c>
      <c r="U1559" s="656" t="s">
        <v>1300</v>
      </c>
      <c r="V1559" s="656"/>
      <c r="W1559" s="656" t="s">
        <v>13051</v>
      </c>
      <c r="X1559" s="656" t="s">
        <v>498</v>
      </c>
      <c r="Y1559" s="656" t="s">
        <v>14278</v>
      </c>
      <c r="Z1559" s="656">
        <v>44305.518414351849</v>
      </c>
      <c r="AA1559" s="656" t="s">
        <v>14335</v>
      </c>
      <c r="AB1559" s="656"/>
    </row>
    <row r="1560" spans="1:28">
      <c r="A1560" s="656" t="s">
        <v>5726</v>
      </c>
      <c r="B1560" s="656" t="s">
        <v>5727</v>
      </c>
      <c r="C1560" s="656" t="s">
        <v>20</v>
      </c>
      <c r="D1560" s="656" t="s">
        <v>10907</v>
      </c>
      <c r="E1560" s="656" t="s">
        <v>14275</v>
      </c>
      <c r="F1560" s="1447">
        <v>42454</v>
      </c>
      <c r="G1560" s="656" t="s">
        <v>10906</v>
      </c>
      <c r="H1560" s="656" t="s">
        <v>1777</v>
      </c>
      <c r="I1560" s="656"/>
      <c r="J1560" s="656"/>
      <c r="K1560" s="656"/>
      <c r="L1560" s="656" t="s">
        <v>10907</v>
      </c>
      <c r="M1560" s="656" t="s">
        <v>16318</v>
      </c>
      <c r="N1560" s="656"/>
      <c r="O1560" s="656" t="s">
        <v>6387</v>
      </c>
      <c r="P1560" s="5"/>
      <c r="Q1560" s="1447"/>
      <c r="R1560" s="656"/>
      <c r="S1560" s="656" t="s">
        <v>1667</v>
      </c>
      <c r="T1560" s="656" t="s">
        <v>14524</v>
      </c>
      <c r="U1560" s="656" t="s">
        <v>1667</v>
      </c>
      <c r="V1560" s="656"/>
      <c r="W1560" s="656" t="s">
        <v>13051</v>
      </c>
      <c r="X1560" s="656" t="s">
        <v>498</v>
      </c>
      <c r="Y1560" s="656" t="s">
        <v>14278</v>
      </c>
      <c r="Z1560" s="656">
        <v>44305.518414351849</v>
      </c>
      <c r="AA1560" s="656" t="s">
        <v>14335</v>
      </c>
      <c r="AB1560" s="656"/>
    </row>
    <row r="1561" spans="1:28">
      <c r="A1561" s="656" t="s">
        <v>5726</v>
      </c>
      <c r="B1561" s="656" t="s">
        <v>5727</v>
      </c>
      <c r="C1561" s="656" t="s">
        <v>20</v>
      </c>
      <c r="D1561" s="656" t="s">
        <v>10908</v>
      </c>
      <c r="E1561" s="656" t="s">
        <v>14275</v>
      </c>
      <c r="F1561" s="1447">
        <v>42454</v>
      </c>
      <c r="G1561" s="656" t="s">
        <v>10904</v>
      </c>
      <c r="H1561" s="656" t="s">
        <v>1777</v>
      </c>
      <c r="I1561" s="656"/>
      <c r="J1561" s="656"/>
      <c r="K1561" s="656"/>
      <c r="L1561" s="656" t="s">
        <v>10908</v>
      </c>
      <c r="M1561" s="656" t="s">
        <v>16437</v>
      </c>
      <c r="N1561" s="656"/>
      <c r="O1561" s="656" t="s">
        <v>6387</v>
      </c>
      <c r="P1561" s="5"/>
      <c r="Q1561" s="1447"/>
      <c r="R1561" s="656"/>
      <c r="S1561" s="656" t="s">
        <v>1667</v>
      </c>
      <c r="T1561" s="656" t="s">
        <v>4198</v>
      </c>
      <c r="U1561" s="656" t="s">
        <v>1300</v>
      </c>
      <c r="V1561" s="656"/>
      <c r="W1561" s="656" t="s">
        <v>13051</v>
      </c>
      <c r="X1561" s="656" t="s">
        <v>498</v>
      </c>
      <c r="Y1561" s="656" t="s">
        <v>14278</v>
      </c>
      <c r="Z1561" s="656">
        <v>44305.518425925926</v>
      </c>
      <c r="AA1561" s="656" t="s">
        <v>14335</v>
      </c>
      <c r="AB1561" s="656"/>
    </row>
    <row r="1562" spans="1:28">
      <c r="A1562" s="656" t="s">
        <v>5738</v>
      </c>
      <c r="B1562" s="656" t="s">
        <v>5739</v>
      </c>
      <c r="C1562" s="656" t="s">
        <v>21</v>
      </c>
      <c r="D1562" s="656" t="s">
        <v>10903</v>
      </c>
      <c r="E1562" s="656" t="s">
        <v>14275</v>
      </c>
      <c r="F1562" s="1447">
        <v>41635</v>
      </c>
      <c r="G1562" s="656" t="s">
        <v>10902</v>
      </c>
      <c r="H1562" s="656" t="s">
        <v>1777</v>
      </c>
      <c r="I1562" s="656" t="s">
        <v>14783</v>
      </c>
      <c r="J1562" s="656" t="s">
        <v>10903</v>
      </c>
      <c r="K1562" s="656" t="s">
        <v>9750</v>
      </c>
      <c r="L1562" s="656"/>
      <c r="M1562" s="656" t="s">
        <v>16436</v>
      </c>
      <c r="N1562" s="656"/>
      <c r="O1562" s="656" t="s">
        <v>6393</v>
      </c>
      <c r="P1562" s="5"/>
      <c r="Q1562" s="1447"/>
      <c r="R1562" s="656">
        <v>41365</v>
      </c>
      <c r="S1562" s="656" t="s">
        <v>1394</v>
      </c>
      <c r="T1562" s="656" t="s">
        <v>4198</v>
      </c>
      <c r="U1562" s="656" t="s">
        <v>1300</v>
      </c>
      <c r="V1562" s="656"/>
      <c r="W1562" s="656" t="s">
        <v>13051</v>
      </c>
      <c r="X1562" s="656" t="s">
        <v>498</v>
      </c>
      <c r="Y1562" s="656" t="s">
        <v>14278</v>
      </c>
      <c r="Z1562" s="656">
        <v>44305.51840277778</v>
      </c>
      <c r="AA1562" s="656" t="s">
        <v>14335</v>
      </c>
      <c r="AB1562" s="656"/>
    </row>
    <row r="1563" spans="1:28">
      <c r="A1563" s="656" t="s">
        <v>5758</v>
      </c>
      <c r="B1563" s="656" t="s">
        <v>10899</v>
      </c>
      <c r="C1563" s="656" t="s">
        <v>21</v>
      </c>
      <c r="D1563" s="656" t="s">
        <v>10901</v>
      </c>
      <c r="E1563" s="656" t="s">
        <v>14275</v>
      </c>
      <c r="F1563" s="1447">
        <v>42178</v>
      </c>
      <c r="G1563" s="656" t="s">
        <v>10900</v>
      </c>
      <c r="H1563" s="656" t="s">
        <v>1274</v>
      </c>
      <c r="I1563" s="656" t="s">
        <v>14784</v>
      </c>
      <c r="J1563" s="656" t="s">
        <v>10901</v>
      </c>
      <c r="K1563" s="656" t="s">
        <v>10894</v>
      </c>
      <c r="L1563" s="656"/>
      <c r="M1563" s="656" t="s">
        <v>1274</v>
      </c>
      <c r="N1563" s="656" t="s">
        <v>9769</v>
      </c>
      <c r="O1563" s="656" t="s">
        <v>9772</v>
      </c>
      <c r="P1563" s="5"/>
      <c r="Q1563" s="1447"/>
      <c r="R1563" s="656">
        <v>42171</v>
      </c>
      <c r="S1563" s="656" t="s">
        <v>9769</v>
      </c>
      <c r="T1563" s="656" t="s">
        <v>9769</v>
      </c>
      <c r="U1563" s="656" t="s">
        <v>9769</v>
      </c>
      <c r="V1563" s="656"/>
      <c r="W1563" s="656" t="s">
        <v>13051</v>
      </c>
      <c r="X1563" s="656" t="s">
        <v>498</v>
      </c>
      <c r="Y1563" s="656" t="s">
        <v>14278</v>
      </c>
      <c r="Z1563" s="656">
        <v>44305.51840277778</v>
      </c>
      <c r="AA1563" s="656" t="s">
        <v>14335</v>
      </c>
      <c r="AB1563" s="656"/>
    </row>
    <row r="1564" spans="1:28">
      <c r="A1564" s="656" t="s">
        <v>5760</v>
      </c>
      <c r="B1564" s="656" t="s">
        <v>5761</v>
      </c>
      <c r="C1564" s="656" t="s">
        <v>21</v>
      </c>
      <c r="D1564" s="656" t="s">
        <v>10898</v>
      </c>
      <c r="E1564" s="656" t="s">
        <v>14275</v>
      </c>
      <c r="F1564" s="1447">
        <v>42195</v>
      </c>
      <c r="G1564" s="656" t="s">
        <v>10897</v>
      </c>
      <c r="H1564" s="656" t="s">
        <v>1274</v>
      </c>
      <c r="I1564" s="656" t="s">
        <v>14785</v>
      </c>
      <c r="J1564" s="656" t="s">
        <v>10898</v>
      </c>
      <c r="K1564" s="656" t="s">
        <v>10894</v>
      </c>
      <c r="L1564" s="656"/>
      <c r="M1564" s="656" t="s">
        <v>1274</v>
      </c>
      <c r="N1564" s="656" t="s">
        <v>9769</v>
      </c>
      <c r="O1564" s="656" t="s">
        <v>9772</v>
      </c>
      <c r="P1564" s="5"/>
      <c r="Q1564" s="1447"/>
      <c r="R1564" s="656">
        <v>42171</v>
      </c>
      <c r="S1564" s="656" t="s">
        <v>500</v>
      </c>
      <c r="T1564" s="656" t="s">
        <v>9769</v>
      </c>
      <c r="U1564" s="656" t="s">
        <v>9769</v>
      </c>
      <c r="V1564" s="656"/>
      <c r="W1564" s="656" t="s">
        <v>13051</v>
      </c>
      <c r="X1564" s="656" t="s">
        <v>498</v>
      </c>
      <c r="Y1564" s="656" t="s">
        <v>14278</v>
      </c>
      <c r="Z1564" s="656">
        <v>44305.518391203703</v>
      </c>
      <c r="AA1564" s="656" t="s">
        <v>14335</v>
      </c>
      <c r="AB1564" s="656"/>
    </row>
    <row r="1565" spans="1:28">
      <c r="A1565" s="656" t="s">
        <v>5762</v>
      </c>
      <c r="B1565" s="656" t="s">
        <v>5763</v>
      </c>
      <c r="C1565" s="656" t="s">
        <v>21</v>
      </c>
      <c r="D1565" s="656" t="s">
        <v>10896</v>
      </c>
      <c r="E1565" s="656" t="s">
        <v>14275</v>
      </c>
      <c r="F1565" s="1447">
        <v>42472</v>
      </c>
      <c r="G1565" s="656" t="s">
        <v>10895</v>
      </c>
      <c r="H1565" s="656" t="s">
        <v>1175</v>
      </c>
      <c r="I1565" s="656" t="s">
        <v>14786</v>
      </c>
      <c r="J1565" s="656" t="s">
        <v>10896</v>
      </c>
      <c r="K1565" s="656" t="s">
        <v>10894</v>
      </c>
      <c r="L1565" s="656"/>
      <c r="M1565" s="656" t="s">
        <v>1175</v>
      </c>
      <c r="N1565" s="656" t="s">
        <v>9769</v>
      </c>
      <c r="O1565" s="656" t="s">
        <v>9772</v>
      </c>
      <c r="P1565" s="5"/>
      <c r="Q1565" s="1447"/>
      <c r="R1565" s="656">
        <v>41364</v>
      </c>
      <c r="S1565" s="656" t="s">
        <v>500</v>
      </c>
      <c r="T1565" s="656" t="s">
        <v>9769</v>
      </c>
      <c r="U1565" s="656" t="s">
        <v>9769</v>
      </c>
      <c r="V1565" s="656"/>
      <c r="W1565" s="656" t="s">
        <v>13051</v>
      </c>
      <c r="X1565" s="656" t="s">
        <v>498</v>
      </c>
      <c r="Y1565" s="656" t="s">
        <v>14278</v>
      </c>
      <c r="Z1565" s="656">
        <v>44305.51840277778</v>
      </c>
      <c r="AA1565" s="656" t="s">
        <v>14335</v>
      </c>
      <c r="AB1565" s="656"/>
    </row>
    <row r="1566" spans="1:28">
      <c r="A1566" s="656" t="s">
        <v>5764</v>
      </c>
      <c r="B1566" s="656" t="s">
        <v>5765</v>
      </c>
      <c r="C1566" s="656" t="s">
        <v>21</v>
      </c>
      <c r="D1566" s="656" t="s">
        <v>10893</v>
      </c>
      <c r="E1566" s="656" t="s">
        <v>14275</v>
      </c>
      <c r="F1566" s="1447">
        <v>41166</v>
      </c>
      <c r="G1566" s="656" t="s">
        <v>10892</v>
      </c>
      <c r="H1566" s="656" t="s">
        <v>1231</v>
      </c>
      <c r="I1566" s="656" t="s">
        <v>14787</v>
      </c>
      <c r="J1566" s="656" t="s">
        <v>10893</v>
      </c>
      <c r="K1566" s="656" t="s">
        <v>10894</v>
      </c>
      <c r="L1566" s="656"/>
      <c r="M1566" s="656" t="s">
        <v>1231</v>
      </c>
      <c r="N1566" s="656" t="s">
        <v>9769</v>
      </c>
      <c r="O1566" s="656" t="s">
        <v>9772</v>
      </c>
      <c r="P1566" s="5"/>
      <c r="Q1566" s="1447"/>
      <c r="R1566" s="656">
        <v>41166</v>
      </c>
      <c r="S1566" s="656" t="s">
        <v>500</v>
      </c>
      <c r="T1566" s="656" t="s">
        <v>9769</v>
      </c>
      <c r="U1566" s="656" t="s">
        <v>9769</v>
      </c>
      <c r="V1566" s="656"/>
      <c r="W1566" s="656" t="s">
        <v>13051</v>
      </c>
      <c r="X1566" s="656" t="s">
        <v>498</v>
      </c>
      <c r="Y1566" s="656" t="s">
        <v>14278</v>
      </c>
      <c r="Z1566" s="656">
        <v>44305.518391203703</v>
      </c>
      <c r="AA1566" s="656" t="s">
        <v>14335</v>
      </c>
      <c r="AB1566" s="656"/>
    </row>
    <row r="1567" spans="1:28">
      <c r="A1567" s="656" t="s">
        <v>5773</v>
      </c>
      <c r="B1567" s="656" t="s">
        <v>5774</v>
      </c>
      <c r="C1567" s="656" t="s">
        <v>21</v>
      </c>
      <c r="D1567" s="656" t="s">
        <v>10890</v>
      </c>
      <c r="E1567" s="656" t="s">
        <v>14275</v>
      </c>
      <c r="F1567" s="1447">
        <v>41635</v>
      </c>
      <c r="G1567" s="656" t="s">
        <v>10889</v>
      </c>
      <c r="H1567" s="656" t="s">
        <v>1777</v>
      </c>
      <c r="I1567" s="656" t="s">
        <v>14788</v>
      </c>
      <c r="J1567" s="656" t="s">
        <v>10890</v>
      </c>
      <c r="K1567" s="656" t="s">
        <v>10398</v>
      </c>
      <c r="L1567" s="656"/>
      <c r="M1567" s="656" t="s">
        <v>16438</v>
      </c>
      <c r="N1567" s="656"/>
      <c r="O1567" s="656" t="s">
        <v>6387</v>
      </c>
      <c r="P1567" s="5"/>
      <c r="Q1567" s="1447"/>
      <c r="R1567" s="656">
        <v>41091</v>
      </c>
      <c r="S1567" s="656" t="s">
        <v>1394</v>
      </c>
      <c r="T1567" s="656" t="s">
        <v>14277</v>
      </c>
      <c r="U1567" s="656" t="s">
        <v>655</v>
      </c>
      <c r="V1567" s="656"/>
      <c r="W1567" s="656" t="s">
        <v>13051</v>
      </c>
      <c r="X1567" s="656" t="s">
        <v>498</v>
      </c>
      <c r="Y1567" s="656" t="s">
        <v>14278</v>
      </c>
      <c r="Z1567" s="656">
        <v>44305.518379629626</v>
      </c>
      <c r="AA1567" s="656" t="s">
        <v>14335</v>
      </c>
      <c r="AB1567" s="656"/>
    </row>
    <row r="1568" spans="1:28">
      <c r="A1568" s="656" t="s">
        <v>5773</v>
      </c>
      <c r="B1568" s="656" t="s">
        <v>5774</v>
      </c>
      <c r="C1568" s="656" t="s">
        <v>20</v>
      </c>
      <c r="D1568" s="656" t="s">
        <v>10891</v>
      </c>
      <c r="E1568" s="656" t="s">
        <v>14275</v>
      </c>
      <c r="F1568" s="1447">
        <v>41817</v>
      </c>
      <c r="G1568" s="656" t="s">
        <v>10889</v>
      </c>
      <c r="H1568" s="656" t="s">
        <v>1777</v>
      </c>
      <c r="I1568" s="656"/>
      <c r="J1568" s="656"/>
      <c r="K1568" s="656"/>
      <c r="L1568" s="656" t="s">
        <v>10891</v>
      </c>
      <c r="M1568" s="656" t="s">
        <v>16438</v>
      </c>
      <c r="N1568" s="656"/>
      <c r="O1568" s="656" t="s">
        <v>6387</v>
      </c>
      <c r="P1568" s="5"/>
      <c r="Q1568" s="1447"/>
      <c r="R1568" s="656"/>
      <c r="S1568" s="656" t="s">
        <v>1394</v>
      </c>
      <c r="T1568" s="656" t="s">
        <v>14277</v>
      </c>
      <c r="U1568" s="656" t="s">
        <v>655</v>
      </c>
      <c r="V1568" s="656"/>
      <c r="W1568" s="656" t="s">
        <v>13051</v>
      </c>
      <c r="X1568" s="656" t="s">
        <v>498</v>
      </c>
      <c r="Y1568" s="656" t="s">
        <v>14278</v>
      </c>
      <c r="Z1568" s="656">
        <v>44305.518379629626</v>
      </c>
      <c r="AA1568" s="656" t="s">
        <v>14335</v>
      </c>
      <c r="AB1568" s="656"/>
    </row>
    <row r="1569" spans="1:28">
      <c r="A1569" s="656" t="s">
        <v>5895</v>
      </c>
      <c r="B1569" s="656" t="s">
        <v>10887</v>
      </c>
      <c r="C1569" s="656" t="s">
        <v>20</v>
      </c>
      <c r="D1569" s="656" t="s">
        <v>10707</v>
      </c>
      <c r="E1569" s="656" t="s">
        <v>14275</v>
      </c>
      <c r="F1569" s="1447">
        <v>42374</v>
      </c>
      <c r="G1569" s="656" t="s">
        <v>10888</v>
      </c>
      <c r="H1569" s="656" t="s">
        <v>1777</v>
      </c>
      <c r="I1569" s="656"/>
      <c r="J1569" s="656"/>
      <c r="K1569" s="656"/>
      <c r="L1569" s="656" t="s">
        <v>10707</v>
      </c>
      <c r="M1569" s="656" t="s">
        <v>16440</v>
      </c>
      <c r="N1569" s="656"/>
      <c r="O1569" s="656" t="s">
        <v>6393</v>
      </c>
      <c r="P1569" s="5"/>
      <c r="Q1569" s="1447"/>
      <c r="R1569" s="656"/>
      <c r="S1569" s="656" t="s">
        <v>1394</v>
      </c>
      <c r="T1569" s="656" t="s">
        <v>4198</v>
      </c>
      <c r="U1569" s="656" t="s">
        <v>1300</v>
      </c>
      <c r="V1569" s="656"/>
      <c r="W1569" s="656" t="s">
        <v>13051</v>
      </c>
      <c r="X1569" s="656" t="s">
        <v>498</v>
      </c>
      <c r="Y1569" s="656" t="s">
        <v>14278</v>
      </c>
      <c r="Z1569" s="656">
        <v>44305.518368055556</v>
      </c>
      <c r="AA1569" s="656" t="s">
        <v>14335</v>
      </c>
      <c r="AB1569" s="656"/>
    </row>
    <row r="1570" spans="1:28">
      <c r="A1570" s="656" t="s">
        <v>5901</v>
      </c>
      <c r="B1570" s="656" t="s">
        <v>5902</v>
      </c>
      <c r="C1570" s="656" t="s">
        <v>21</v>
      </c>
      <c r="D1570" s="656" t="s">
        <v>10885</v>
      </c>
      <c r="E1570" s="656" t="s">
        <v>14275</v>
      </c>
      <c r="F1570" s="1447">
        <v>42628</v>
      </c>
      <c r="G1570" s="656" t="s">
        <v>10884</v>
      </c>
      <c r="H1570" s="656" t="s">
        <v>1777</v>
      </c>
      <c r="I1570" s="656" t="s">
        <v>14789</v>
      </c>
      <c r="J1570" s="656" t="s">
        <v>10885</v>
      </c>
      <c r="K1570" s="656" t="s">
        <v>10398</v>
      </c>
      <c r="L1570" s="656"/>
      <c r="M1570" s="656" t="s">
        <v>16340</v>
      </c>
      <c r="N1570" s="656"/>
      <c r="O1570" s="656" t="s">
        <v>6387</v>
      </c>
      <c r="P1570" s="5"/>
      <c r="Q1570" s="1447">
        <v>41240</v>
      </c>
      <c r="R1570" s="656">
        <v>42308</v>
      </c>
      <c r="S1570" s="656" t="s">
        <v>655</v>
      </c>
      <c r="T1570" s="656" t="s">
        <v>14277</v>
      </c>
      <c r="U1570" s="656" t="s">
        <v>655</v>
      </c>
      <c r="V1570" s="656"/>
      <c r="W1570" s="656" t="s">
        <v>13051</v>
      </c>
      <c r="X1570" s="656" t="s">
        <v>498</v>
      </c>
      <c r="Y1570" s="656" t="s">
        <v>14278</v>
      </c>
      <c r="Z1570" s="656">
        <v>44305.518368055556</v>
      </c>
      <c r="AA1570" s="656" t="s">
        <v>14335</v>
      </c>
      <c r="AB1570" s="656"/>
    </row>
    <row r="1571" spans="1:28">
      <c r="A1571" s="656" t="s">
        <v>5901</v>
      </c>
      <c r="B1571" s="656" t="s">
        <v>5902</v>
      </c>
      <c r="C1571" s="656" t="s">
        <v>20</v>
      </c>
      <c r="D1571" s="656" t="s">
        <v>10886</v>
      </c>
      <c r="E1571" s="656" t="s">
        <v>14275</v>
      </c>
      <c r="F1571" s="1447">
        <v>42619</v>
      </c>
      <c r="G1571" s="656" t="s">
        <v>10884</v>
      </c>
      <c r="H1571" s="656" t="s">
        <v>1777</v>
      </c>
      <c r="I1571" s="656"/>
      <c r="J1571" s="656"/>
      <c r="K1571" s="656"/>
      <c r="L1571" s="656" t="s">
        <v>10886</v>
      </c>
      <c r="M1571" s="656" t="s">
        <v>16340</v>
      </c>
      <c r="N1571" s="656"/>
      <c r="O1571" s="656" t="s">
        <v>6387</v>
      </c>
      <c r="P1571" s="5"/>
      <c r="Q1571" s="1447"/>
      <c r="R1571" s="656"/>
      <c r="S1571" s="656" t="s">
        <v>655</v>
      </c>
      <c r="T1571" s="656" t="s">
        <v>14277</v>
      </c>
      <c r="U1571" s="656" t="s">
        <v>655</v>
      </c>
      <c r="V1571" s="656"/>
      <c r="W1571" s="656" t="s">
        <v>13051</v>
      </c>
      <c r="X1571" s="656" t="s">
        <v>498</v>
      </c>
      <c r="Y1571" s="656" t="s">
        <v>14278</v>
      </c>
      <c r="Z1571" s="656">
        <v>44305.518368055556</v>
      </c>
      <c r="AA1571" s="656" t="s">
        <v>14335</v>
      </c>
      <c r="AB1571" s="656"/>
    </row>
    <row r="1572" spans="1:28">
      <c r="A1572" s="656" t="s">
        <v>5921</v>
      </c>
      <c r="B1572" s="656" t="s">
        <v>5922</v>
      </c>
      <c r="C1572" s="656" t="s">
        <v>21</v>
      </c>
      <c r="D1572" s="656" t="s">
        <v>10883</v>
      </c>
      <c r="E1572" s="656" t="s">
        <v>14384</v>
      </c>
      <c r="F1572" s="1447">
        <v>42264</v>
      </c>
      <c r="G1572" s="656" t="s">
        <v>10882</v>
      </c>
      <c r="H1572" s="656" t="s">
        <v>1777</v>
      </c>
      <c r="I1572" s="656" t="s">
        <v>14790</v>
      </c>
      <c r="J1572" s="656" t="s">
        <v>10883</v>
      </c>
      <c r="K1572" s="656" t="s">
        <v>9750</v>
      </c>
      <c r="L1572" s="656"/>
      <c r="M1572" s="656" t="s">
        <v>16196</v>
      </c>
      <c r="N1572" s="656"/>
      <c r="O1572" s="656" t="s">
        <v>6393</v>
      </c>
      <c r="P1572" s="5" t="s">
        <v>14751</v>
      </c>
      <c r="Q1572" s="1447">
        <v>41444</v>
      </c>
      <c r="R1572" s="656"/>
      <c r="S1572" s="656" t="s">
        <v>1394</v>
      </c>
      <c r="T1572" s="656" t="s">
        <v>4198</v>
      </c>
      <c r="U1572" s="656" t="s">
        <v>1300</v>
      </c>
      <c r="V1572" s="656"/>
      <c r="W1572" s="656" t="s">
        <v>13051</v>
      </c>
      <c r="X1572" s="656" t="s">
        <v>498</v>
      </c>
      <c r="Y1572" s="656" t="s">
        <v>14278</v>
      </c>
      <c r="Z1572" s="656">
        <v>44305.51835648148</v>
      </c>
      <c r="AA1572" s="656" t="s">
        <v>14335</v>
      </c>
      <c r="AB1572" s="656"/>
    </row>
    <row r="1573" spans="1:28">
      <c r="A1573" s="656" t="s">
        <v>5923</v>
      </c>
      <c r="B1573" s="656" t="s">
        <v>5924</v>
      </c>
      <c r="C1573" s="656" t="s">
        <v>21</v>
      </c>
      <c r="D1573" s="656" t="s">
        <v>10880</v>
      </c>
      <c r="E1573" s="656" t="s">
        <v>14275</v>
      </c>
      <c r="F1573" s="1447">
        <v>42546</v>
      </c>
      <c r="G1573" s="656" t="s">
        <v>10879</v>
      </c>
      <c r="H1573" s="656" t="s">
        <v>1777</v>
      </c>
      <c r="I1573" s="656" t="s">
        <v>14791</v>
      </c>
      <c r="J1573" s="656" t="s">
        <v>10880</v>
      </c>
      <c r="K1573" s="656" t="s">
        <v>9750</v>
      </c>
      <c r="L1573" s="656"/>
      <c r="M1573" s="656" t="s">
        <v>16196</v>
      </c>
      <c r="N1573" s="656"/>
      <c r="O1573" s="656" t="s">
        <v>6393</v>
      </c>
      <c r="P1573" s="5"/>
      <c r="Q1573" s="1447"/>
      <c r="R1573" s="656">
        <v>41368</v>
      </c>
      <c r="S1573" s="656" t="s">
        <v>1394</v>
      </c>
      <c r="T1573" s="656" t="s">
        <v>4198</v>
      </c>
      <c r="U1573" s="656" t="s">
        <v>1300</v>
      </c>
      <c r="V1573" s="656"/>
      <c r="W1573" s="656" t="s">
        <v>13051</v>
      </c>
      <c r="X1573" s="656" t="s">
        <v>498</v>
      </c>
      <c r="Y1573" s="656" t="s">
        <v>14278</v>
      </c>
      <c r="Z1573" s="656">
        <v>44305.51834490741</v>
      </c>
      <c r="AA1573" s="656" t="s">
        <v>14335</v>
      </c>
      <c r="AB1573" s="656"/>
    </row>
    <row r="1574" spans="1:28">
      <c r="A1574" s="656" t="s">
        <v>5923</v>
      </c>
      <c r="B1574" s="656" t="s">
        <v>5924</v>
      </c>
      <c r="C1574" s="656" t="s">
        <v>20</v>
      </c>
      <c r="D1574" s="656" t="s">
        <v>10881</v>
      </c>
      <c r="E1574" s="656" t="s">
        <v>14275</v>
      </c>
      <c r="F1574" s="1447">
        <v>42115</v>
      </c>
      <c r="G1574" s="656" t="s">
        <v>10879</v>
      </c>
      <c r="H1574" s="656" t="s">
        <v>1777</v>
      </c>
      <c r="I1574" s="656"/>
      <c r="J1574" s="656"/>
      <c r="K1574" s="656"/>
      <c r="L1574" s="656" t="s">
        <v>10881</v>
      </c>
      <c r="M1574" s="656" t="s">
        <v>16196</v>
      </c>
      <c r="N1574" s="656"/>
      <c r="O1574" s="656" t="s">
        <v>6393</v>
      </c>
      <c r="P1574" s="5"/>
      <c r="Q1574" s="1447"/>
      <c r="R1574" s="656"/>
      <c r="S1574" s="656" t="s">
        <v>1394</v>
      </c>
      <c r="T1574" s="656" t="s">
        <v>4198</v>
      </c>
      <c r="U1574" s="656" t="s">
        <v>1300</v>
      </c>
      <c r="V1574" s="656"/>
      <c r="W1574" s="656" t="s">
        <v>13051</v>
      </c>
      <c r="X1574" s="656" t="s">
        <v>498</v>
      </c>
      <c r="Y1574" s="656" t="s">
        <v>14278</v>
      </c>
      <c r="Z1574" s="656">
        <v>44305.51834490741</v>
      </c>
      <c r="AA1574" s="656" t="s">
        <v>14335</v>
      </c>
      <c r="AB1574" s="656"/>
    </row>
    <row r="1575" spans="1:28">
      <c r="A1575" s="656" t="s">
        <v>5949</v>
      </c>
      <c r="B1575" s="656" t="s">
        <v>5950</v>
      </c>
      <c r="C1575" s="656" t="s">
        <v>21</v>
      </c>
      <c r="D1575" s="656" t="s">
        <v>10878</v>
      </c>
      <c r="E1575" s="656" t="s">
        <v>14384</v>
      </c>
      <c r="F1575" s="1447"/>
      <c r="G1575" s="656" t="s">
        <v>10877</v>
      </c>
      <c r="H1575" s="656" t="s">
        <v>1151</v>
      </c>
      <c r="I1575" s="656" t="s">
        <v>14792</v>
      </c>
      <c r="J1575" s="656" t="s">
        <v>10878</v>
      </c>
      <c r="K1575" s="656" t="s">
        <v>9782</v>
      </c>
      <c r="L1575" s="656"/>
      <c r="M1575" s="656" t="s">
        <v>1151</v>
      </c>
      <c r="N1575" s="656"/>
      <c r="O1575" s="656" t="s">
        <v>6387</v>
      </c>
      <c r="P1575" s="5" t="s">
        <v>14948</v>
      </c>
      <c r="Q1575" s="1447"/>
      <c r="R1575" s="656"/>
      <c r="S1575" s="656" t="s">
        <v>1394</v>
      </c>
      <c r="T1575" s="656" t="s">
        <v>14524</v>
      </c>
      <c r="U1575" s="656" t="s">
        <v>1667</v>
      </c>
      <c r="V1575" s="656"/>
      <c r="W1575" s="656" t="s">
        <v>13051</v>
      </c>
      <c r="X1575" s="656" t="s">
        <v>498</v>
      </c>
      <c r="Y1575" s="656" t="s">
        <v>14278</v>
      </c>
      <c r="Z1575" s="656">
        <v>44305.518333333333</v>
      </c>
      <c r="AA1575" s="656" t="s">
        <v>14335</v>
      </c>
      <c r="AB1575" s="656"/>
    </row>
    <row r="1576" spans="1:28">
      <c r="A1576" s="656" t="s">
        <v>10873</v>
      </c>
      <c r="B1576" s="656" t="s">
        <v>10874</v>
      </c>
      <c r="C1576" s="656" t="s">
        <v>21</v>
      </c>
      <c r="D1576" s="656" t="s">
        <v>10876</v>
      </c>
      <c r="E1576" s="656" t="s">
        <v>14384</v>
      </c>
      <c r="F1576" s="1447">
        <v>41026</v>
      </c>
      <c r="G1576" s="656" t="s">
        <v>10875</v>
      </c>
      <c r="H1576" s="656" t="s">
        <v>1777</v>
      </c>
      <c r="I1576" s="656" t="s">
        <v>14793</v>
      </c>
      <c r="J1576" s="656" t="s">
        <v>10876</v>
      </c>
      <c r="K1576" s="656" t="s">
        <v>10398</v>
      </c>
      <c r="L1576" s="656"/>
      <c r="M1576" s="656"/>
      <c r="N1576" s="656"/>
      <c r="O1576" s="656" t="s">
        <v>6387</v>
      </c>
      <c r="P1576" s="5" t="s">
        <v>14949</v>
      </c>
      <c r="Q1576" s="1447"/>
      <c r="R1576" s="656"/>
      <c r="S1576" s="656" t="s">
        <v>655</v>
      </c>
      <c r="T1576" s="656" t="s">
        <v>14277</v>
      </c>
      <c r="U1576" s="656" t="s">
        <v>655</v>
      </c>
      <c r="V1576" s="656"/>
      <c r="W1576" s="656" t="s">
        <v>13051</v>
      </c>
      <c r="X1576" s="656" t="s">
        <v>498</v>
      </c>
      <c r="Y1576" s="656" t="s">
        <v>14278</v>
      </c>
      <c r="Z1576" s="656">
        <v>44305.518333333333</v>
      </c>
      <c r="AA1576" s="656" t="s">
        <v>14335</v>
      </c>
      <c r="AB1576" s="656"/>
    </row>
    <row r="1577" spans="1:28">
      <c r="A1577" s="656" t="s">
        <v>5983</v>
      </c>
      <c r="B1577" s="656" t="s">
        <v>5984</v>
      </c>
      <c r="C1577" s="656" t="s">
        <v>21</v>
      </c>
      <c r="D1577" s="656" t="s">
        <v>10872</v>
      </c>
      <c r="E1577" s="656" t="s">
        <v>14275</v>
      </c>
      <c r="F1577" s="1447">
        <v>41604</v>
      </c>
      <c r="G1577" s="656" t="s">
        <v>10871</v>
      </c>
      <c r="H1577" s="656" t="s">
        <v>1777</v>
      </c>
      <c r="I1577" s="656" t="s">
        <v>14794</v>
      </c>
      <c r="J1577" s="656" t="s">
        <v>10872</v>
      </c>
      <c r="K1577" s="656" t="s">
        <v>9750</v>
      </c>
      <c r="L1577" s="656"/>
      <c r="M1577" s="656" t="s">
        <v>16441</v>
      </c>
      <c r="N1577" s="656"/>
      <c r="O1577" s="656" t="s">
        <v>6393</v>
      </c>
      <c r="P1577" s="5"/>
      <c r="Q1577" s="1447"/>
      <c r="R1577" s="656">
        <v>41091</v>
      </c>
      <c r="S1577" s="656" t="s">
        <v>1394</v>
      </c>
      <c r="T1577" s="656" t="s">
        <v>4198</v>
      </c>
      <c r="U1577" s="656" t="s">
        <v>1300</v>
      </c>
      <c r="V1577" s="656"/>
      <c r="W1577" s="656" t="s">
        <v>13051</v>
      </c>
      <c r="X1577" s="656" t="s">
        <v>498</v>
      </c>
      <c r="Y1577" s="656" t="s">
        <v>14278</v>
      </c>
      <c r="Z1577" s="656">
        <v>44305.518321759257</v>
      </c>
      <c r="AA1577" s="656" t="s">
        <v>14335</v>
      </c>
      <c r="AB1577" s="656"/>
    </row>
    <row r="1578" spans="1:28">
      <c r="A1578" s="656" t="s">
        <v>6019</v>
      </c>
      <c r="B1578" s="656" t="s">
        <v>6020</v>
      </c>
      <c r="C1578" s="656" t="s">
        <v>21</v>
      </c>
      <c r="D1578" s="656" t="s">
        <v>10869</v>
      </c>
      <c r="E1578" s="656" t="s">
        <v>14384</v>
      </c>
      <c r="F1578" s="1447"/>
      <c r="G1578" s="656" t="s">
        <v>10868</v>
      </c>
      <c r="H1578" s="656" t="s">
        <v>1491</v>
      </c>
      <c r="I1578" s="656" t="s">
        <v>14795</v>
      </c>
      <c r="J1578" s="656" t="s">
        <v>10869</v>
      </c>
      <c r="K1578" s="656" t="s">
        <v>9774</v>
      </c>
      <c r="L1578" s="656"/>
      <c r="M1578" s="656" t="s">
        <v>1491</v>
      </c>
      <c r="N1578" s="656" t="s">
        <v>10594</v>
      </c>
      <c r="O1578" s="656" t="s">
        <v>10870</v>
      </c>
      <c r="P1578" s="5" t="s">
        <v>14948</v>
      </c>
      <c r="Q1578" s="1447"/>
      <c r="R1578" s="656"/>
      <c r="S1578" s="656" t="s">
        <v>1620</v>
      </c>
      <c r="T1578" s="656" t="s">
        <v>10594</v>
      </c>
      <c r="U1578" s="656" t="s">
        <v>10594</v>
      </c>
      <c r="V1578" s="656"/>
      <c r="W1578" s="656" t="s">
        <v>13051</v>
      </c>
      <c r="X1578" s="656" t="s">
        <v>498</v>
      </c>
      <c r="Y1578" s="656" t="s">
        <v>14278</v>
      </c>
      <c r="Z1578" s="656">
        <v>44305.518321759257</v>
      </c>
      <c r="AA1578" s="656" t="s">
        <v>14335</v>
      </c>
      <c r="AB1578" s="656"/>
    </row>
    <row r="1579" spans="1:28">
      <c r="A1579" s="656" t="s">
        <v>6043</v>
      </c>
      <c r="B1579" s="656" t="s">
        <v>10865</v>
      </c>
      <c r="C1579" s="656" t="s">
        <v>21</v>
      </c>
      <c r="D1579" s="656" t="s">
        <v>10867</v>
      </c>
      <c r="E1579" s="656" t="s">
        <v>14384</v>
      </c>
      <c r="F1579" s="1447">
        <v>43070</v>
      </c>
      <c r="G1579" s="656" t="s">
        <v>10866</v>
      </c>
      <c r="H1579" s="656" t="s">
        <v>1777</v>
      </c>
      <c r="I1579" s="656" t="s">
        <v>14796</v>
      </c>
      <c r="J1579" s="656" t="s">
        <v>10867</v>
      </c>
      <c r="K1579" s="656" t="s">
        <v>9733</v>
      </c>
      <c r="L1579" s="656"/>
      <c r="M1579" s="656"/>
      <c r="N1579" s="656"/>
      <c r="O1579" s="656" t="s">
        <v>6395</v>
      </c>
      <c r="P1579" s="5" t="s">
        <v>15455</v>
      </c>
      <c r="Q1579" s="1447"/>
      <c r="R1579" s="656"/>
      <c r="S1579" s="656" t="s">
        <v>1394</v>
      </c>
      <c r="T1579" s="656" t="s">
        <v>14280</v>
      </c>
      <c r="U1579" s="656" t="s">
        <v>1394</v>
      </c>
      <c r="V1579" s="656"/>
      <c r="W1579" s="656" t="s">
        <v>13051</v>
      </c>
      <c r="X1579" s="656" t="s">
        <v>498</v>
      </c>
      <c r="Y1579" s="656" t="s">
        <v>14278</v>
      </c>
      <c r="Z1579" s="656">
        <v>44305.518321759257</v>
      </c>
      <c r="AA1579" s="656" t="s">
        <v>14335</v>
      </c>
      <c r="AB1579" s="656"/>
    </row>
    <row r="1580" spans="1:28">
      <c r="A1580" s="656" t="s">
        <v>6053</v>
      </c>
      <c r="B1580" s="656" t="s">
        <v>6054</v>
      </c>
      <c r="C1580" s="656" t="s">
        <v>20</v>
      </c>
      <c r="D1580" s="656" t="s">
        <v>10862</v>
      </c>
      <c r="E1580" s="656" t="s">
        <v>14275</v>
      </c>
      <c r="F1580" s="1447">
        <v>42349</v>
      </c>
      <c r="G1580" s="656" t="s">
        <v>10861</v>
      </c>
      <c r="H1580" s="656" t="s">
        <v>1777</v>
      </c>
      <c r="I1580" s="656"/>
      <c r="J1580" s="656"/>
      <c r="K1580" s="656"/>
      <c r="L1580" s="656" t="s">
        <v>10862</v>
      </c>
      <c r="M1580" s="656" t="s">
        <v>16196</v>
      </c>
      <c r="N1580" s="656"/>
      <c r="O1580" s="656" t="s">
        <v>9714</v>
      </c>
      <c r="P1580" s="5"/>
      <c r="Q1580" s="1447"/>
      <c r="R1580" s="656"/>
      <c r="S1580" s="656" t="s">
        <v>1394</v>
      </c>
      <c r="T1580" s="656" t="s">
        <v>282</v>
      </c>
      <c r="U1580" s="656" t="s">
        <v>1394</v>
      </c>
      <c r="V1580" s="656"/>
      <c r="W1580" s="656" t="s">
        <v>13051</v>
      </c>
      <c r="X1580" s="656" t="s">
        <v>498</v>
      </c>
      <c r="Y1580" s="656" t="s">
        <v>14278</v>
      </c>
      <c r="Z1580" s="656">
        <v>44305.518310185187</v>
      </c>
      <c r="AA1580" s="656" t="s">
        <v>14335</v>
      </c>
      <c r="AB1580" s="656"/>
    </row>
    <row r="1581" spans="1:28">
      <c r="A1581" s="656" t="s">
        <v>6053</v>
      </c>
      <c r="B1581" s="656" t="s">
        <v>6054</v>
      </c>
      <c r="C1581" s="656" t="s">
        <v>20</v>
      </c>
      <c r="D1581" s="656" t="s">
        <v>10864</v>
      </c>
      <c r="E1581" s="656" t="s">
        <v>14275</v>
      </c>
      <c r="F1581" s="1447">
        <v>42115</v>
      </c>
      <c r="G1581" s="656" t="s">
        <v>10863</v>
      </c>
      <c r="H1581" s="656" t="s">
        <v>1777</v>
      </c>
      <c r="I1581" s="656"/>
      <c r="J1581" s="656"/>
      <c r="K1581" s="656"/>
      <c r="L1581" s="656" t="s">
        <v>10864</v>
      </c>
      <c r="M1581" s="656" t="s">
        <v>16196</v>
      </c>
      <c r="N1581" s="656"/>
      <c r="O1581" s="656" t="s">
        <v>9714</v>
      </c>
      <c r="P1581" s="5"/>
      <c r="Q1581" s="1447"/>
      <c r="R1581" s="656"/>
      <c r="S1581" s="656" t="s">
        <v>1394</v>
      </c>
      <c r="T1581" s="656" t="s">
        <v>282</v>
      </c>
      <c r="U1581" s="656" t="s">
        <v>1394</v>
      </c>
      <c r="V1581" s="656"/>
      <c r="W1581" s="656" t="s">
        <v>13051</v>
      </c>
      <c r="X1581" s="656" t="s">
        <v>498</v>
      </c>
      <c r="Y1581" s="656" t="s">
        <v>14278</v>
      </c>
      <c r="Z1581" s="656">
        <v>44305.518321759257</v>
      </c>
      <c r="AA1581" s="656" t="s">
        <v>14335</v>
      </c>
      <c r="AB1581" s="656"/>
    </row>
    <row r="1582" spans="1:28">
      <c r="A1582" s="656" t="s">
        <v>6055</v>
      </c>
      <c r="B1582" s="656" t="s">
        <v>6056</v>
      </c>
      <c r="C1582" s="656" t="s">
        <v>21</v>
      </c>
      <c r="D1582" s="656" t="s">
        <v>10860</v>
      </c>
      <c r="E1582" s="656" t="s">
        <v>14275</v>
      </c>
      <c r="F1582" s="1447">
        <v>42574</v>
      </c>
      <c r="G1582" s="656" t="s">
        <v>10859</v>
      </c>
      <c r="H1582" s="656" t="s">
        <v>1777</v>
      </c>
      <c r="I1582" s="656" t="s">
        <v>14797</v>
      </c>
      <c r="J1582" s="656" t="s">
        <v>10860</v>
      </c>
      <c r="K1582" s="656" t="s">
        <v>9721</v>
      </c>
      <c r="L1582" s="656"/>
      <c r="M1582" s="656" t="s">
        <v>16196</v>
      </c>
      <c r="N1582" s="656"/>
      <c r="O1582" s="656" t="s">
        <v>9714</v>
      </c>
      <c r="P1582" s="5"/>
      <c r="Q1582" s="1447"/>
      <c r="R1582" s="656">
        <v>41487</v>
      </c>
      <c r="S1582" s="656" t="s">
        <v>1667</v>
      </c>
      <c r="T1582" s="656" t="s">
        <v>282</v>
      </c>
      <c r="U1582" s="656" t="s">
        <v>1394</v>
      </c>
      <c r="V1582" s="656"/>
      <c r="W1582" s="656" t="s">
        <v>13051</v>
      </c>
      <c r="X1582" s="656" t="s">
        <v>498</v>
      </c>
      <c r="Y1582" s="656" t="s">
        <v>14278</v>
      </c>
      <c r="Z1582" s="656">
        <v>44305.51829861111</v>
      </c>
      <c r="AA1582" s="656" t="s">
        <v>14335</v>
      </c>
      <c r="AB1582" s="656"/>
    </row>
    <row r="1583" spans="1:28">
      <c r="A1583" s="656" t="s">
        <v>6057</v>
      </c>
      <c r="B1583" s="656" t="s">
        <v>6058</v>
      </c>
      <c r="C1583" s="656" t="s">
        <v>20</v>
      </c>
      <c r="D1583" s="656" t="s">
        <v>10858</v>
      </c>
      <c r="E1583" s="656" t="s">
        <v>14275</v>
      </c>
      <c r="F1583" s="1447">
        <v>42115</v>
      </c>
      <c r="G1583" s="656" t="s">
        <v>10857</v>
      </c>
      <c r="H1583" s="656" t="s">
        <v>1777</v>
      </c>
      <c r="I1583" s="656"/>
      <c r="J1583" s="656"/>
      <c r="K1583" s="656"/>
      <c r="L1583" s="656" t="s">
        <v>10858</v>
      </c>
      <c r="M1583" s="656" t="s">
        <v>16194</v>
      </c>
      <c r="N1583" s="656"/>
      <c r="O1583" s="656" t="s">
        <v>9714</v>
      </c>
      <c r="P1583" s="5"/>
      <c r="Q1583" s="1447"/>
      <c r="R1583" s="656"/>
      <c r="S1583" s="656" t="s">
        <v>1667</v>
      </c>
      <c r="T1583" s="656" t="s">
        <v>282</v>
      </c>
      <c r="U1583" s="656" t="s">
        <v>1394</v>
      </c>
      <c r="V1583" s="656"/>
      <c r="W1583" s="656" t="s">
        <v>13051</v>
      </c>
      <c r="X1583" s="656" t="s">
        <v>498</v>
      </c>
      <c r="Y1583" s="656" t="s">
        <v>14278</v>
      </c>
      <c r="Z1583" s="656">
        <v>44305.51829861111</v>
      </c>
      <c r="AA1583" s="656" t="s">
        <v>14335</v>
      </c>
      <c r="AB1583" s="656"/>
    </row>
    <row r="1584" spans="1:28">
      <c r="A1584" s="656" t="s">
        <v>6071</v>
      </c>
      <c r="B1584" s="656" t="s">
        <v>6072</v>
      </c>
      <c r="C1584" s="656" t="s">
        <v>21</v>
      </c>
      <c r="D1584" s="656" t="s">
        <v>10854</v>
      </c>
      <c r="E1584" s="656" t="s">
        <v>14384</v>
      </c>
      <c r="F1584" s="1447">
        <v>42551</v>
      </c>
      <c r="G1584" s="656" t="s">
        <v>10853</v>
      </c>
      <c r="H1584" s="656" t="s">
        <v>1777</v>
      </c>
      <c r="I1584" s="656" t="s">
        <v>14798</v>
      </c>
      <c r="J1584" s="656" t="s">
        <v>10854</v>
      </c>
      <c r="K1584" s="656" t="s">
        <v>9733</v>
      </c>
      <c r="L1584" s="656"/>
      <c r="M1584" s="656" t="s">
        <v>16422</v>
      </c>
      <c r="N1584" s="656"/>
      <c r="O1584" s="656" t="s">
        <v>6395</v>
      </c>
      <c r="P1584" s="5" t="s">
        <v>14799</v>
      </c>
      <c r="Q1584" s="1447"/>
      <c r="R1584" s="656"/>
      <c r="S1584" s="656" t="s">
        <v>1394</v>
      </c>
      <c r="T1584" s="656" t="s">
        <v>14280</v>
      </c>
      <c r="U1584" s="656" t="s">
        <v>1394</v>
      </c>
      <c r="V1584" s="656"/>
      <c r="W1584" s="656" t="s">
        <v>13051</v>
      </c>
      <c r="X1584" s="656" t="s">
        <v>498</v>
      </c>
      <c r="Y1584" s="656" t="s">
        <v>14278</v>
      </c>
      <c r="Z1584" s="656">
        <v>44305.518275462964</v>
      </c>
      <c r="AA1584" s="656" t="s">
        <v>14335</v>
      </c>
      <c r="AB1584" s="656"/>
    </row>
    <row r="1585" spans="1:28">
      <c r="A1585" s="656" t="s">
        <v>6071</v>
      </c>
      <c r="B1585" s="656" t="s">
        <v>6072</v>
      </c>
      <c r="C1585" s="656" t="s">
        <v>20</v>
      </c>
      <c r="D1585" s="656" t="s">
        <v>10856</v>
      </c>
      <c r="E1585" s="656" t="s">
        <v>14275</v>
      </c>
      <c r="F1585" s="1447">
        <v>42172</v>
      </c>
      <c r="G1585" s="656" t="s">
        <v>10855</v>
      </c>
      <c r="H1585" s="656" t="s">
        <v>1777</v>
      </c>
      <c r="I1585" s="656"/>
      <c r="J1585" s="656"/>
      <c r="K1585" s="656"/>
      <c r="L1585" s="656" t="s">
        <v>10856</v>
      </c>
      <c r="M1585" s="656" t="s">
        <v>16422</v>
      </c>
      <c r="N1585" s="656"/>
      <c r="O1585" s="656" t="s">
        <v>9714</v>
      </c>
      <c r="P1585" s="5"/>
      <c r="Q1585" s="1447"/>
      <c r="R1585" s="656"/>
      <c r="S1585" s="656" t="s">
        <v>1394</v>
      </c>
      <c r="T1585" s="656" t="s">
        <v>282</v>
      </c>
      <c r="U1585" s="656" t="s">
        <v>1394</v>
      </c>
      <c r="V1585" s="656"/>
      <c r="W1585" s="656" t="s">
        <v>13051</v>
      </c>
      <c r="X1585" s="656" t="s">
        <v>498</v>
      </c>
      <c r="Y1585" s="656" t="s">
        <v>14278</v>
      </c>
      <c r="Z1585" s="656">
        <v>44305.518275462964</v>
      </c>
      <c r="AA1585" s="656" t="s">
        <v>14335</v>
      </c>
      <c r="AB1585" s="656"/>
    </row>
    <row r="1586" spans="1:28">
      <c r="A1586" s="656" t="s">
        <v>6075</v>
      </c>
      <c r="B1586" s="656" t="s">
        <v>6076</v>
      </c>
      <c r="C1586" s="656" t="s">
        <v>21</v>
      </c>
      <c r="D1586" s="656" t="s">
        <v>10852</v>
      </c>
      <c r="E1586" s="656" t="s">
        <v>14384</v>
      </c>
      <c r="F1586" s="1447">
        <v>42430</v>
      </c>
      <c r="G1586" s="656" t="s">
        <v>10851</v>
      </c>
      <c r="H1586" s="656" t="s">
        <v>1777</v>
      </c>
      <c r="I1586" s="656" t="s">
        <v>14800</v>
      </c>
      <c r="J1586" s="656" t="s">
        <v>10852</v>
      </c>
      <c r="K1586" s="656" t="s">
        <v>9733</v>
      </c>
      <c r="L1586" s="656"/>
      <c r="M1586" s="656" t="s">
        <v>16442</v>
      </c>
      <c r="N1586" s="656"/>
      <c r="O1586" s="656" t="s">
        <v>6395</v>
      </c>
      <c r="P1586" s="5" t="s">
        <v>15456</v>
      </c>
      <c r="Q1586" s="1447">
        <v>40977</v>
      </c>
      <c r="R1586" s="656"/>
      <c r="S1586" s="656" t="s">
        <v>1394</v>
      </c>
      <c r="T1586" s="656" t="s">
        <v>14280</v>
      </c>
      <c r="U1586" s="656" t="s">
        <v>1394</v>
      </c>
      <c r="V1586" s="656"/>
      <c r="W1586" s="656" t="s">
        <v>13051</v>
      </c>
      <c r="X1586" s="656" t="s">
        <v>498</v>
      </c>
      <c r="Y1586" s="656" t="s">
        <v>14278</v>
      </c>
      <c r="Z1586" s="656">
        <v>44305.518263888887</v>
      </c>
      <c r="AA1586" s="656" t="s">
        <v>14335</v>
      </c>
      <c r="AB1586" s="656"/>
    </row>
    <row r="1587" spans="1:28">
      <c r="A1587" s="656" t="s">
        <v>6083</v>
      </c>
      <c r="B1587" s="656" t="s">
        <v>10844</v>
      </c>
      <c r="C1587" s="656" t="s">
        <v>21</v>
      </c>
      <c r="D1587" s="656" t="s">
        <v>10849</v>
      </c>
      <c r="E1587" s="656" t="s">
        <v>14384</v>
      </c>
      <c r="F1587" s="1447">
        <v>41782</v>
      </c>
      <c r="G1587" s="656" t="s">
        <v>10845</v>
      </c>
      <c r="H1587" s="656" t="s">
        <v>1545</v>
      </c>
      <c r="I1587" s="656" t="s">
        <v>14801</v>
      </c>
      <c r="J1587" s="656" t="s">
        <v>10849</v>
      </c>
      <c r="K1587" s="656" t="s">
        <v>9782</v>
      </c>
      <c r="L1587" s="656"/>
      <c r="M1587" s="656" t="s">
        <v>1545</v>
      </c>
      <c r="N1587" s="656"/>
      <c r="O1587" s="656" t="s">
        <v>6387</v>
      </c>
      <c r="P1587" s="5" t="s">
        <v>14948</v>
      </c>
      <c r="Q1587" s="1447"/>
      <c r="R1587" s="656"/>
      <c r="S1587" s="656" t="s">
        <v>655</v>
      </c>
      <c r="T1587" s="656" t="s">
        <v>14277</v>
      </c>
      <c r="U1587" s="656" t="s">
        <v>655</v>
      </c>
      <c r="V1587" s="656"/>
      <c r="W1587" s="656" t="s">
        <v>13051</v>
      </c>
      <c r="X1587" s="656" t="s">
        <v>498</v>
      </c>
      <c r="Y1587" s="656" t="s">
        <v>14278</v>
      </c>
      <c r="Z1587" s="656">
        <v>44305.518252314818</v>
      </c>
      <c r="AA1587" s="656" t="s">
        <v>14335</v>
      </c>
      <c r="AB1587" s="656"/>
    </row>
    <row r="1588" spans="1:28">
      <c r="A1588" s="656" t="s">
        <v>6083</v>
      </c>
      <c r="B1588" s="656" t="s">
        <v>10844</v>
      </c>
      <c r="C1588" s="656" t="s">
        <v>20</v>
      </c>
      <c r="D1588" s="656" t="s">
        <v>10850</v>
      </c>
      <c r="E1588" s="656" t="s">
        <v>14275</v>
      </c>
      <c r="F1588" s="1447">
        <v>41782</v>
      </c>
      <c r="G1588" s="656" t="s">
        <v>10845</v>
      </c>
      <c r="H1588" s="656" t="s">
        <v>1777</v>
      </c>
      <c r="I1588" s="656"/>
      <c r="J1588" s="656"/>
      <c r="K1588" s="656"/>
      <c r="L1588" s="656" t="s">
        <v>10850</v>
      </c>
      <c r="M1588" s="656" t="s">
        <v>1545</v>
      </c>
      <c r="N1588" s="656"/>
      <c r="O1588" s="656" t="s">
        <v>6387</v>
      </c>
      <c r="P1588" s="5"/>
      <c r="Q1588" s="1447"/>
      <c r="R1588" s="656"/>
      <c r="S1588" s="656" t="s">
        <v>655</v>
      </c>
      <c r="T1588" s="656" t="s">
        <v>14277</v>
      </c>
      <c r="U1588" s="656" t="s">
        <v>655</v>
      </c>
      <c r="V1588" s="656"/>
      <c r="W1588" s="656" t="s">
        <v>13051</v>
      </c>
      <c r="X1588" s="656" t="s">
        <v>498</v>
      </c>
      <c r="Y1588" s="656" t="s">
        <v>14278</v>
      </c>
      <c r="Z1588" s="656">
        <v>44305.518263888887</v>
      </c>
      <c r="AA1588" s="656" t="s">
        <v>14335</v>
      </c>
      <c r="AB1588" s="656"/>
    </row>
    <row r="1589" spans="1:28">
      <c r="A1589" s="656" t="s">
        <v>6085</v>
      </c>
      <c r="B1589" s="656" t="s">
        <v>10844</v>
      </c>
      <c r="C1589" s="656" t="s">
        <v>21</v>
      </c>
      <c r="D1589" s="656" t="s">
        <v>10846</v>
      </c>
      <c r="E1589" s="656" t="s">
        <v>14384</v>
      </c>
      <c r="F1589" s="1447">
        <v>41781</v>
      </c>
      <c r="G1589" s="656" t="s">
        <v>10845</v>
      </c>
      <c r="H1589" s="656" t="s">
        <v>1564</v>
      </c>
      <c r="I1589" s="656" t="s">
        <v>14802</v>
      </c>
      <c r="J1589" s="656" t="s">
        <v>10846</v>
      </c>
      <c r="K1589" s="656" t="s">
        <v>9782</v>
      </c>
      <c r="L1589" s="656"/>
      <c r="M1589" s="656" t="s">
        <v>1564</v>
      </c>
      <c r="N1589" s="656"/>
      <c r="O1589" s="656" t="s">
        <v>6387</v>
      </c>
      <c r="P1589" s="5" t="s">
        <v>14948</v>
      </c>
      <c r="Q1589" s="1447"/>
      <c r="R1589" s="656"/>
      <c r="S1589" s="656" t="s">
        <v>655</v>
      </c>
      <c r="T1589" s="656" t="s">
        <v>14277</v>
      </c>
      <c r="U1589" s="656" t="s">
        <v>655</v>
      </c>
      <c r="V1589" s="656"/>
      <c r="W1589" s="656" t="s">
        <v>13051</v>
      </c>
      <c r="X1589" s="656" t="s">
        <v>498</v>
      </c>
      <c r="Y1589" s="656" t="s">
        <v>14278</v>
      </c>
      <c r="Z1589" s="656">
        <v>44305.518240740741</v>
      </c>
      <c r="AA1589" s="656" t="s">
        <v>14335</v>
      </c>
      <c r="AB1589" s="656"/>
    </row>
    <row r="1590" spans="1:28">
      <c r="A1590" s="656" t="s">
        <v>6085</v>
      </c>
      <c r="B1590" s="656" t="s">
        <v>10847</v>
      </c>
      <c r="C1590" s="656" t="s">
        <v>20</v>
      </c>
      <c r="D1590" s="656" t="s">
        <v>10848</v>
      </c>
      <c r="E1590" s="656" t="s">
        <v>14275</v>
      </c>
      <c r="F1590" s="1447">
        <v>41781</v>
      </c>
      <c r="G1590" s="656" t="s">
        <v>10845</v>
      </c>
      <c r="H1590" s="656" t="s">
        <v>1777</v>
      </c>
      <c r="I1590" s="656"/>
      <c r="J1590" s="656"/>
      <c r="K1590" s="656"/>
      <c r="L1590" s="656" t="s">
        <v>10848</v>
      </c>
      <c r="M1590" s="656" t="s">
        <v>1564</v>
      </c>
      <c r="N1590" s="656"/>
      <c r="O1590" s="656" t="s">
        <v>6387</v>
      </c>
      <c r="P1590" s="5"/>
      <c r="Q1590" s="1447"/>
      <c r="R1590" s="656"/>
      <c r="S1590" s="656" t="s">
        <v>655</v>
      </c>
      <c r="T1590" s="656" t="s">
        <v>14277</v>
      </c>
      <c r="U1590" s="656" t="s">
        <v>655</v>
      </c>
      <c r="V1590" s="656"/>
      <c r="W1590" s="656" t="s">
        <v>13051</v>
      </c>
      <c r="X1590" s="656" t="s">
        <v>498</v>
      </c>
      <c r="Y1590" s="656" t="s">
        <v>14278</v>
      </c>
      <c r="Z1590" s="656">
        <v>44305.518252314818</v>
      </c>
      <c r="AA1590" s="656" t="s">
        <v>14335</v>
      </c>
      <c r="AB1590" s="656"/>
    </row>
    <row r="1591" spans="1:28">
      <c r="A1591" s="656" t="s">
        <v>6088</v>
      </c>
      <c r="B1591" s="656" t="s">
        <v>6089</v>
      </c>
      <c r="C1591" s="656" t="s">
        <v>21</v>
      </c>
      <c r="D1591" s="656" t="s">
        <v>10841</v>
      </c>
      <c r="E1591" s="656" t="s">
        <v>14275</v>
      </c>
      <c r="F1591" s="1447">
        <v>41843</v>
      </c>
      <c r="G1591" s="656" t="s">
        <v>10840</v>
      </c>
      <c r="H1591" s="656" t="s">
        <v>1777</v>
      </c>
      <c r="I1591" s="656" t="s">
        <v>14803</v>
      </c>
      <c r="J1591" s="656" t="s">
        <v>10841</v>
      </c>
      <c r="K1591" s="656" t="s">
        <v>9782</v>
      </c>
      <c r="L1591" s="656"/>
      <c r="M1591" s="656" t="s">
        <v>16265</v>
      </c>
      <c r="N1591" s="656"/>
      <c r="O1591" s="656" t="s">
        <v>6387</v>
      </c>
      <c r="P1591" s="5"/>
      <c r="Q1591" s="1447"/>
      <c r="R1591" s="656">
        <v>41791</v>
      </c>
      <c r="S1591" s="656" t="s">
        <v>655</v>
      </c>
      <c r="T1591" s="656" t="s">
        <v>14524</v>
      </c>
      <c r="U1591" s="656" t="s">
        <v>1667</v>
      </c>
      <c r="V1591" s="656"/>
      <c r="W1591" s="656" t="s">
        <v>13051</v>
      </c>
      <c r="X1591" s="656" t="s">
        <v>498</v>
      </c>
      <c r="Y1591" s="656" t="s">
        <v>14278</v>
      </c>
      <c r="Z1591" s="656">
        <v>44305.518229166664</v>
      </c>
      <c r="AA1591" s="656" t="s">
        <v>14335</v>
      </c>
      <c r="AB1591" s="656"/>
    </row>
    <row r="1592" spans="1:28">
      <c r="A1592" s="656" t="s">
        <v>6088</v>
      </c>
      <c r="B1592" s="656" t="s">
        <v>6089</v>
      </c>
      <c r="C1592" s="656" t="s">
        <v>20</v>
      </c>
      <c r="D1592" s="656" t="s">
        <v>10843</v>
      </c>
      <c r="E1592" s="656" t="s">
        <v>14275</v>
      </c>
      <c r="F1592" s="1447">
        <v>41852</v>
      </c>
      <c r="G1592" s="656" t="s">
        <v>10842</v>
      </c>
      <c r="H1592" s="656" t="s">
        <v>1777</v>
      </c>
      <c r="I1592" s="656"/>
      <c r="J1592" s="656"/>
      <c r="K1592" s="656"/>
      <c r="L1592" s="656" t="s">
        <v>10843</v>
      </c>
      <c r="M1592" s="656" t="s">
        <v>16265</v>
      </c>
      <c r="N1592" s="656"/>
      <c r="O1592" s="656" t="s">
        <v>6387</v>
      </c>
      <c r="P1592" s="5"/>
      <c r="Q1592" s="1447"/>
      <c r="R1592" s="656"/>
      <c r="S1592" s="656" t="s">
        <v>655</v>
      </c>
      <c r="T1592" s="656" t="s">
        <v>14524</v>
      </c>
      <c r="U1592" s="656" t="s">
        <v>1667</v>
      </c>
      <c r="V1592" s="656"/>
      <c r="W1592" s="656" t="s">
        <v>13051</v>
      </c>
      <c r="X1592" s="656" t="s">
        <v>498</v>
      </c>
      <c r="Y1592" s="656" t="s">
        <v>14278</v>
      </c>
      <c r="Z1592" s="656">
        <v>44305.518229166664</v>
      </c>
      <c r="AA1592" s="656" t="s">
        <v>14335</v>
      </c>
      <c r="AB1592" s="656"/>
    </row>
    <row r="1593" spans="1:28">
      <c r="A1593" s="656" t="s">
        <v>6090</v>
      </c>
      <c r="B1593" s="656" t="s">
        <v>6091</v>
      </c>
      <c r="C1593" s="656" t="s">
        <v>21</v>
      </c>
      <c r="D1593" s="656" t="s">
        <v>10838</v>
      </c>
      <c r="E1593" s="656" t="s">
        <v>14275</v>
      </c>
      <c r="F1593" s="1447">
        <v>41843</v>
      </c>
      <c r="G1593" s="656" t="s">
        <v>10837</v>
      </c>
      <c r="H1593" s="656" t="s">
        <v>1777</v>
      </c>
      <c r="I1593" s="656" t="s">
        <v>14803</v>
      </c>
      <c r="J1593" s="656" t="s">
        <v>10838</v>
      </c>
      <c r="K1593" s="656" t="s">
        <v>9782</v>
      </c>
      <c r="L1593" s="656"/>
      <c r="M1593" s="656" t="s">
        <v>16443</v>
      </c>
      <c r="N1593" s="656"/>
      <c r="O1593" s="656" t="s">
        <v>6387</v>
      </c>
      <c r="P1593" s="5"/>
      <c r="Q1593" s="1447"/>
      <c r="R1593" s="656">
        <v>41800</v>
      </c>
      <c r="S1593" s="656" t="s">
        <v>655</v>
      </c>
      <c r="T1593" s="656" t="s">
        <v>14524</v>
      </c>
      <c r="U1593" s="656" t="s">
        <v>1667</v>
      </c>
      <c r="V1593" s="656"/>
      <c r="W1593" s="656" t="s">
        <v>13051</v>
      </c>
      <c r="X1593" s="656" t="s">
        <v>498</v>
      </c>
      <c r="Y1593" s="656" t="s">
        <v>14278</v>
      </c>
      <c r="Z1593" s="656">
        <v>44305.518217592595</v>
      </c>
      <c r="AA1593" s="656" t="s">
        <v>14335</v>
      </c>
      <c r="AB1593" s="656"/>
    </row>
    <row r="1594" spans="1:28">
      <c r="A1594" s="656" t="s">
        <v>6090</v>
      </c>
      <c r="B1594" s="656" t="s">
        <v>6091</v>
      </c>
      <c r="C1594" s="656" t="s">
        <v>20</v>
      </c>
      <c r="D1594" s="656" t="s">
        <v>10839</v>
      </c>
      <c r="E1594" s="656" t="s">
        <v>14275</v>
      </c>
      <c r="F1594" s="1447">
        <v>41835</v>
      </c>
      <c r="G1594" s="656" t="s">
        <v>10837</v>
      </c>
      <c r="H1594" s="656" t="s">
        <v>1777</v>
      </c>
      <c r="I1594" s="656"/>
      <c r="J1594" s="656"/>
      <c r="K1594" s="656"/>
      <c r="L1594" s="656" t="s">
        <v>10839</v>
      </c>
      <c r="M1594" s="656" t="s">
        <v>16443</v>
      </c>
      <c r="N1594" s="656"/>
      <c r="O1594" s="656" t="s">
        <v>6387</v>
      </c>
      <c r="P1594" s="5"/>
      <c r="Q1594" s="1447"/>
      <c r="R1594" s="656"/>
      <c r="S1594" s="656" t="s">
        <v>655</v>
      </c>
      <c r="T1594" s="656" t="s">
        <v>14524</v>
      </c>
      <c r="U1594" s="656" t="s">
        <v>1667</v>
      </c>
      <c r="V1594" s="656"/>
      <c r="W1594" s="656" t="s">
        <v>13051</v>
      </c>
      <c r="X1594" s="656" t="s">
        <v>498</v>
      </c>
      <c r="Y1594" s="656" t="s">
        <v>14278</v>
      </c>
      <c r="Z1594" s="656">
        <v>44305.518217592595</v>
      </c>
      <c r="AA1594" s="656" t="s">
        <v>14335</v>
      </c>
      <c r="AB1594" s="656"/>
    </row>
    <row r="1595" spans="1:28" ht="29">
      <c r="A1595" s="656" t="s">
        <v>6094</v>
      </c>
      <c r="B1595" s="656" t="s">
        <v>6095</v>
      </c>
      <c r="C1595" s="656" t="s">
        <v>21</v>
      </c>
      <c r="D1595" s="656" t="s">
        <v>10835</v>
      </c>
      <c r="E1595" s="656" t="s">
        <v>14275</v>
      </c>
      <c r="F1595" s="1447">
        <v>41842</v>
      </c>
      <c r="G1595" s="656" t="s">
        <v>10834</v>
      </c>
      <c r="H1595" s="656" t="s">
        <v>1777</v>
      </c>
      <c r="I1595" s="656" t="s">
        <v>14789</v>
      </c>
      <c r="J1595" s="656" t="s">
        <v>10835</v>
      </c>
      <c r="K1595" s="656" t="s">
        <v>9750</v>
      </c>
      <c r="L1595" s="656"/>
      <c r="M1595" s="656" t="s">
        <v>16340</v>
      </c>
      <c r="N1595" s="656"/>
      <c r="O1595" s="656" t="s">
        <v>6393</v>
      </c>
      <c r="P1595" s="5" t="s">
        <v>15457</v>
      </c>
      <c r="Q1595" s="1447"/>
      <c r="R1595" s="656">
        <v>41334</v>
      </c>
      <c r="S1595" s="656" t="s">
        <v>1394</v>
      </c>
      <c r="T1595" s="656" t="s">
        <v>4198</v>
      </c>
      <c r="U1595" s="656" t="s">
        <v>1300</v>
      </c>
      <c r="V1595" s="656"/>
      <c r="W1595" s="656" t="s">
        <v>13051</v>
      </c>
      <c r="X1595" s="656" t="s">
        <v>498</v>
      </c>
      <c r="Y1595" s="656" t="s">
        <v>14278</v>
      </c>
      <c r="Z1595" s="656">
        <v>44305.518206018518</v>
      </c>
      <c r="AA1595" s="656" t="s">
        <v>14335</v>
      </c>
      <c r="AB1595" s="656"/>
    </row>
    <row r="1596" spans="1:28">
      <c r="A1596" s="656" t="s">
        <v>6094</v>
      </c>
      <c r="B1596" s="656" t="s">
        <v>6095</v>
      </c>
      <c r="C1596" s="656" t="s">
        <v>20</v>
      </c>
      <c r="D1596" s="656" t="s">
        <v>10836</v>
      </c>
      <c r="E1596" s="656" t="s">
        <v>14275</v>
      </c>
      <c r="F1596" s="1447">
        <v>41984</v>
      </c>
      <c r="G1596" s="656" t="s">
        <v>10834</v>
      </c>
      <c r="H1596" s="656" t="s">
        <v>1777</v>
      </c>
      <c r="I1596" s="656"/>
      <c r="J1596" s="656"/>
      <c r="K1596" s="656"/>
      <c r="L1596" s="656" t="s">
        <v>10836</v>
      </c>
      <c r="M1596" s="656" t="s">
        <v>16340</v>
      </c>
      <c r="N1596" s="656"/>
      <c r="O1596" s="656" t="s">
        <v>6393</v>
      </c>
      <c r="P1596" s="5"/>
      <c r="Q1596" s="1447"/>
      <c r="R1596" s="656"/>
      <c r="S1596" s="656" t="s">
        <v>1394</v>
      </c>
      <c r="T1596" s="656" t="s">
        <v>4198</v>
      </c>
      <c r="U1596" s="656" t="s">
        <v>1300</v>
      </c>
      <c r="V1596" s="656"/>
      <c r="W1596" s="656" t="s">
        <v>13051</v>
      </c>
      <c r="X1596" s="656" t="s">
        <v>498</v>
      </c>
      <c r="Y1596" s="656" t="s">
        <v>14278</v>
      </c>
      <c r="Z1596" s="656">
        <v>44305.518206018518</v>
      </c>
      <c r="AA1596" s="656" t="s">
        <v>14335</v>
      </c>
      <c r="AB1596" s="656"/>
    </row>
    <row r="1597" spans="1:28">
      <c r="A1597" s="656" t="s">
        <v>6104</v>
      </c>
      <c r="B1597" s="656" t="s">
        <v>6105</v>
      </c>
      <c r="C1597" s="656" t="s">
        <v>21</v>
      </c>
      <c r="D1597" s="656" t="s">
        <v>10825</v>
      </c>
      <c r="E1597" s="656" t="s">
        <v>14275</v>
      </c>
      <c r="F1597" s="1447">
        <v>41843</v>
      </c>
      <c r="G1597" s="656" t="s">
        <v>10824</v>
      </c>
      <c r="H1597" s="656" t="s">
        <v>1584</v>
      </c>
      <c r="I1597" s="656" t="s">
        <v>14804</v>
      </c>
      <c r="J1597" s="656" t="s">
        <v>10825</v>
      </c>
      <c r="K1597" s="656" t="s">
        <v>9721</v>
      </c>
      <c r="L1597" s="656"/>
      <c r="M1597" s="656" t="s">
        <v>1584</v>
      </c>
      <c r="N1597" s="656"/>
      <c r="O1597" s="656" t="s">
        <v>9714</v>
      </c>
      <c r="P1597" s="5"/>
      <c r="Q1597" s="1447"/>
      <c r="R1597" s="656">
        <v>41791</v>
      </c>
      <c r="S1597" s="656" t="s">
        <v>1394</v>
      </c>
      <c r="T1597" s="656" t="s">
        <v>282</v>
      </c>
      <c r="U1597" s="656" t="s">
        <v>1394</v>
      </c>
      <c r="V1597" s="656"/>
      <c r="W1597" s="656" t="s">
        <v>13051</v>
      </c>
      <c r="X1597" s="656" t="s">
        <v>498</v>
      </c>
      <c r="Y1597" s="656" t="s">
        <v>14278</v>
      </c>
      <c r="Z1597" s="656">
        <v>44305.518171296295</v>
      </c>
      <c r="AA1597" s="656" t="s">
        <v>14335</v>
      </c>
      <c r="AB1597" s="656"/>
    </row>
    <row r="1598" spans="1:28">
      <c r="A1598" s="656" t="s">
        <v>6104</v>
      </c>
      <c r="B1598" s="656" t="s">
        <v>6105</v>
      </c>
      <c r="C1598" s="656" t="s">
        <v>21</v>
      </c>
      <c r="D1598" s="656" t="s">
        <v>10827</v>
      </c>
      <c r="E1598" s="656" t="s">
        <v>14275</v>
      </c>
      <c r="F1598" s="1447">
        <v>41997</v>
      </c>
      <c r="G1598" s="656" t="s">
        <v>10826</v>
      </c>
      <c r="H1598" s="656" t="s">
        <v>1175</v>
      </c>
      <c r="I1598" s="656" t="s">
        <v>14805</v>
      </c>
      <c r="J1598" s="656" t="s">
        <v>10827</v>
      </c>
      <c r="K1598" s="656" t="s">
        <v>9721</v>
      </c>
      <c r="L1598" s="656"/>
      <c r="M1598" s="656" t="s">
        <v>1175</v>
      </c>
      <c r="N1598" s="656"/>
      <c r="O1598" s="656" t="s">
        <v>9714</v>
      </c>
      <c r="P1598" s="5"/>
      <c r="Q1598" s="1447"/>
      <c r="R1598" s="656">
        <v>41913</v>
      </c>
      <c r="S1598" s="656" t="s">
        <v>1394</v>
      </c>
      <c r="T1598" s="656" t="s">
        <v>282</v>
      </c>
      <c r="U1598" s="656" t="s">
        <v>1394</v>
      </c>
      <c r="V1598" s="656"/>
      <c r="W1598" s="656" t="s">
        <v>13051</v>
      </c>
      <c r="X1598" s="656" t="s">
        <v>498</v>
      </c>
      <c r="Y1598" s="656" t="s">
        <v>14278</v>
      </c>
      <c r="Z1598" s="656">
        <v>44305.518171296295</v>
      </c>
      <c r="AA1598" s="656" t="s">
        <v>14335</v>
      </c>
      <c r="AB1598" s="656"/>
    </row>
    <row r="1599" spans="1:28">
      <c r="A1599" s="656" t="s">
        <v>6104</v>
      </c>
      <c r="B1599" s="656" t="s">
        <v>6105</v>
      </c>
      <c r="C1599" s="656" t="s">
        <v>21</v>
      </c>
      <c r="D1599" s="656" t="s">
        <v>10828</v>
      </c>
      <c r="E1599" s="656" t="s">
        <v>14384</v>
      </c>
      <c r="F1599" s="1447">
        <v>41997</v>
      </c>
      <c r="G1599" s="656" t="s">
        <v>10824</v>
      </c>
      <c r="H1599" s="656" t="s">
        <v>1151</v>
      </c>
      <c r="I1599" s="656" t="s">
        <v>14806</v>
      </c>
      <c r="J1599" s="656" t="s">
        <v>10828</v>
      </c>
      <c r="K1599" s="656" t="s">
        <v>9774</v>
      </c>
      <c r="L1599" s="656"/>
      <c r="M1599" s="656" t="s">
        <v>1151</v>
      </c>
      <c r="N1599" s="656"/>
      <c r="O1599" s="656" t="s">
        <v>9714</v>
      </c>
      <c r="P1599" s="5" t="s">
        <v>14948</v>
      </c>
      <c r="Q1599" s="1447"/>
      <c r="R1599" s="656"/>
      <c r="S1599" s="656" t="s">
        <v>1394</v>
      </c>
      <c r="T1599" s="656" t="s">
        <v>282</v>
      </c>
      <c r="U1599" s="656" t="s">
        <v>1394</v>
      </c>
      <c r="V1599" s="656"/>
      <c r="W1599" s="656" t="s">
        <v>13051</v>
      </c>
      <c r="X1599" s="656" t="s">
        <v>498</v>
      </c>
      <c r="Y1599" s="656" t="s">
        <v>14278</v>
      </c>
      <c r="Z1599" s="656">
        <v>44305.518182870372</v>
      </c>
      <c r="AA1599" s="656" t="s">
        <v>14335</v>
      </c>
      <c r="AB1599" s="656"/>
    </row>
    <row r="1600" spans="1:28">
      <c r="A1600" s="656" t="s">
        <v>6104</v>
      </c>
      <c r="B1600" s="656" t="s">
        <v>6105</v>
      </c>
      <c r="C1600" s="656" t="s">
        <v>21</v>
      </c>
      <c r="D1600" s="656" t="s">
        <v>10830</v>
      </c>
      <c r="E1600" s="656" t="s">
        <v>14275</v>
      </c>
      <c r="F1600" s="1447">
        <v>41848</v>
      </c>
      <c r="G1600" s="656" t="s">
        <v>10829</v>
      </c>
      <c r="H1600" s="656" t="s">
        <v>1151</v>
      </c>
      <c r="I1600" s="656" t="s">
        <v>14806</v>
      </c>
      <c r="J1600" s="656" t="s">
        <v>10830</v>
      </c>
      <c r="K1600" s="656" t="s">
        <v>9721</v>
      </c>
      <c r="L1600" s="656"/>
      <c r="M1600" s="656" t="s">
        <v>1151</v>
      </c>
      <c r="N1600" s="656"/>
      <c r="O1600" s="656" t="s">
        <v>9714</v>
      </c>
      <c r="P1600" s="5"/>
      <c r="Q1600" s="1447"/>
      <c r="R1600" s="656">
        <v>41791</v>
      </c>
      <c r="S1600" s="656" t="s">
        <v>1394</v>
      </c>
      <c r="T1600" s="656" t="s">
        <v>282</v>
      </c>
      <c r="U1600" s="656" t="s">
        <v>1394</v>
      </c>
      <c r="V1600" s="656"/>
      <c r="W1600" s="656" t="s">
        <v>13051</v>
      </c>
      <c r="X1600" s="656" t="s">
        <v>498</v>
      </c>
      <c r="Y1600" s="656" t="s">
        <v>14278</v>
      </c>
      <c r="Z1600" s="656">
        <v>44305.518182870372</v>
      </c>
      <c r="AA1600" s="656" t="s">
        <v>14335</v>
      </c>
      <c r="AB1600" s="656"/>
    </row>
    <row r="1601" spans="1:28">
      <c r="A1601" s="656" t="s">
        <v>6104</v>
      </c>
      <c r="B1601" s="656" t="s">
        <v>6105</v>
      </c>
      <c r="C1601" s="656" t="s">
        <v>20</v>
      </c>
      <c r="D1601" s="656" t="s">
        <v>10831</v>
      </c>
      <c r="E1601" s="656" t="s">
        <v>14275</v>
      </c>
      <c r="F1601" s="1447">
        <v>42017</v>
      </c>
      <c r="G1601" s="656" t="s">
        <v>10824</v>
      </c>
      <c r="H1601" s="656" t="s">
        <v>1777</v>
      </c>
      <c r="I1601" s="656"/>
      <c r="J1601" s="656"/>
      <c r="K1601" s="656"/>
      <c r="L1601" s="656" t="s">
        <v>10831</v>
      </c>
      <c r="M1601" s="656" t="s">
        <v>1584</v>
      </c>
      <c r="N1601" s="656"/>
      <c r="O1601" s="656" t="s">
        <v>9714</v>
      </c>
      <c r="P1601" s="5"/>
      <c r="Q1601" s="1447"/>
      <c r="R1601" s="656"/>
      <c r="S1601" s="656" t="s">
        <v>1394</v>
      </c>
      <c r="T1601" s="656" t="s">
        <v>282</v>
      </c>
      <c r="U1601" s="656" t="s">
        <v>1394</v>
      </c>
      <c r="V1601" s="656"/>
      <c r="W1601" s="656" t="s">
        <v>13051</v>
      </c>
      <c r="X1601" s="656" t="s">
        <v>498</v>
      </c>
      <c r="Y1601" s="656" t="s">
        <v>14278</v>
      </c>
      <c r="Z1601" s="656">
        <v>44305.518182870372</v>
      </c>
      <c r="AA1601" s="656" t="s">
        <v>14335</v>
      </c>
      <c r="AB1601" s="656"/>
    </row>
    <row r="1602" spans="1:28">
      <c r="A1602" s="656" t="s">
        <v>6104</v>
      </c>
      <c r="B1602" s="656" t="s">
        <v>6105</v>
      </c>
      <c r="C1602" s="656" t="s">
        <v>20</v>
      </c>
      <c r="D1602" s="656" t="s">
        <v>10832</v>
      </c>
      <c r="E1602" s="656" t="s">
        <v>14275</v>
      </c>
      <c r="F1602" s="1447">
        <v>42017</v>
      </c>
      <c r="G1602" s="656" t="s">
        <v>10826</v>
      </c>
      <c r="H1602" s="656" t="s">
        <v>1777</v>
      </c>
      <c r="I1602" s="656"/>
      <c r="J1602" s="656"/>
      <c r="K1602" s="656"/>
      <c r="L1602" s="656" t="s">
        <v>10832</v>
      </c>
      <c r="M1602" s="656" t="s">
        <v>1175</v>
      </c>
      <c r="N1602" s="656"/>
      <c r="O1602" s="656" t="s">
        <v>9714</v>
      </c>
      <c r="P1602" s="5"/>
      <c r="Q1602" s="1447"/>
      <c r="R1602" s="656"/>
      <c r="S1602" s="656" t="s">
        <v>1394</v>
      </c>
      <c r="T1602" s="656" t="s">
        <v>282</v>
      </c>
      <c r="U1602" s="656" t="s">
        <v>1394</v>
      </c>
      <c r="V1602" s="656"/>
      <c r="W1602" s="656" t="s">
        <v>13051</v>
      </c>
      <c r="X1602" s="656" t="s">
        <v>498</v>
      </c>
      <c r="Y1602" s="656" t="s">
        <v>14278</v>
      </c>
      <c r="Z1602" s="656">
        <v>44305.518194444441</v>
      </c>
      <c r="AA1602" s="656" t="s">
        <v>14335</v>
      </c>
      <c r="AB1602" s="656"/>
    </row>
    <row r="1603" spans="1:28">
      <c r="A1603" s="656" t="s">
        <v>6104</v>
      </c>
      <c r="B1603" s="656" t="s">
        <v>6105</v>
      </c>
      <c r="C1603" s="656" t="s">
        <v>20</v>
      </c>
      <c r="D1603" s="656" t="s">
        <v>10833</v>
      </c>
      <c r="E1603" s="656" t="s">
        <v>14275</v>
      </c>
      <c r="F1603" s="1447">
        <v>42017</v>
      </c>
      <c r="G1603" s="656" t="s">
        <v>10829</v>
      </c>
      <c r="H1603" s="656" t="s">
        <v>1777</v>
      </c>
      <c r="I1603" s="656"/>
      <c r="J1603" s="656"/>
      <c r="K1603" s="656"/>
      <c r="L1603" s="656" t="s">
        <v>10833</v>
      </c>
      <c r="M1603" s="656" t="s">
        <v>1151</v>
      </c>
      <c r="N1603" s="656"/>
      <c r="O1603" s="656" t="s">
        <v>9714</v>
      </c>
      <c r="P1603" s="5"/>
      <c r="Q1603" s="1447"/>
      <c r="R1603" s="656"/>
      <c r="S1603" s="656" t="s">
        <v>1394</v>
      </c>
      <c r="T1603" s="656" t="s">
        <v>282</v>
      </c>
      <c r="U1603" s="656" t="s">
        <v>1394</v>
      </c>
      <c r="V1603" s="656"/>
      <c r="W1603" s="656" t="s">
        <v>13051</v>
      </c>
      <c r="X1603" s="656" t="s">
        <v>498</v>
      </c>
      <c r="Y1603" s="656" t="s">
        <v>14278</v>
      </c>
      <c r="Z1603" s="656">
        <v>44305.518194444441</v>
      </c>
      <c r="AA1603" s="656" t="s">
        <v>14335</v>
      </c>
      <c r="AB1603" s="656"/>
    </row>
    <row r="1604" spans="1:28">
      <c r="A1604" s="656" t="s">
        <v>6106</v>
      </c>
      <c r="B1604" s="656" t="s">
        <v>6107</v>
      </c>
      <c r="C1604" s="656" t="s">
        <v>21</v>
      </c>
      <c r="D1604" s="656" t="s">
        <v>10822</v>
      </c>
      <c r="E1604" s="656" t="s">
        <v>14275</v>
      </c>
      <c r="F1604" s="1447">
        <v>41997</v>
      </c>
      <c r="G1604" s="656" t="s">
        <v>10821</v>
      </c>
      <c r="H1604" s="656" t="s">
        <v>1777</v>
      </c>
      <c r="I1604" s="656" t="s">
        <v>14807</v>
      </c>
      <c r="J1604" s="656" t="s">
        <v>10822</v>
      </c>
      <c r="K1604" s="656" t="s">
        <v>9721</v>
      </c>
      <c r="L1604" s="656"/>
      <c r="M1604" s="656" t="s">
        <v>16196</v>
      </c>
      <c r="N1604" s="656"/>
      <c r="O1604" s="656" t="s">
        <v>9714</v>
      </c>
      <c r="P1604" s="5"/>
      <c r="Q1604" s="1447"/>
      <c r="R1604" s="656">
        <v>41913</v>
      </c>
      <c r="S1604" s="656" t="s">
        <v>1394</v>
      </c>
      <c r="T1604" s="656" t="s">
        <v>282</v>
      </c>
      <c r="U1604" s="656" t="s">
        <v>1394</v>
      </c>
      <c r="V1604" s="656"/>
      <c r="W1604" s="656" t="s">
        <v>13051</v>
      </c>
      <c r="X1604" s="656" t="s">
        <v>498</v>
      </c>
      <c r="Y1604" s="656" t="s">
        <v>14278</v>
      </c>
      <c r="Z1604" s="656">
        <v>44305.518159722225</v>
      </c>
      <c r="AA1604" s="656" t="s">
        <v>14335</v>
      </c>
      <c r="AB1604" s="656"/>
    </row>
    <row r="1605" spans="1:28">
      <c r="A1605" s="656" t="s">
        <v>6106</v>
      </c>
      <c r="B1605" s="656" t="s">
        <v>6107</v>
      </c>
      <c r="C1605" s="656" t="s">
        <v>20</v>
      </c>
      <c r="D1605" s="656" t="s">
        <v>10823</v>
      </c>
      <c r="E1605" s="656" t="s">
        <v>14275</v>
      </c>
      <c r="F1605" s="1447">
        <v>42017</v>
      </c>
      <c r="G1605" s="656" t="s">
        <v>10821</v>
      </c>
      <c r="H1605" s="656" t="s">
        <v>1777</v>
      </c>
      <c r="I1605" s="656"/>
      <c r="J1605" s="656"/>
      <c r="K1605" s="656"/>
      <c r="L1605" s="656" t="s">
        <v>10823</v>
      </c>
      <c r="M1605" s="656" t="s">
        <v>16196</v>
      </c>
      <c r="N1605" s="656"/>
      <c r="O1605" s="656" t="s">
        <v>9714</v>
      </c>
      <c r="P1605" s="5"/>
      <c r="Q1605" s="1447"/>
      <c r="R1605" s="656"/>
      <c r="S1605" s="656" t="s">
        <v>1394</v>
      </c>
      <c r="T1605" s="656" t="s">
        <v>282</v>
      </c>
      <c r="U1605" s="656" t="s">
        <v>1394</v>
      </c>
      <c r="V1605" s="656"/>
      <c r="W1605" s="656" t="s">
        <v>13051</v>
      </c>
      <c r="X1605" s="656" t="s">
        <v>498</v>
      </c>
      <c r="Y1605" s="656" t="s">
        <v>14278</v>
      </c>
      <c r="Z1605" s="656">
        <v>44305.518159722225</v>
      </c>
      <c r="AA1605" s="656" t="s">
        <v>14335</v>
      </c>
      <c r="AB1605" s="656"/>
    </row>
    <row r="1606" spans="1:28">
      <c r="A1606" s="656" t="s">
        <v>6108</v>
      </c>
      <c r="B1606" s="656" t="s">
        <v>6109</v>
      </c>
      <c r="C1606" s="656" t="s">
        <v>21</v>
      </c>
      <c r="D1606" s="656" t="s">
        <v>10820</v>
      </c>
      <c r="E1606" s="656" t="s">
        <v>14275</v>
      </c>
      <c r="F1606" s="1447">
        <v>42257</v>
      </c>
      <c r="G1606" s="656" t="s">
        <v>10819</v>
      </c>
      <c r="H1606" s="656" t="s">
        <v>1777</v>
      </c>
      <c r="I1606" s="656" t="s">
        <v>14808</v>
      </c>
      <c r="J1606" s="656" t="s">
        <v>10820</v>
      </c>
      <c r="K1606" s="656" t="s">
        <v>9721</v>
      </c>
      <c r="L1606" s="656"/>
      <c r="M1606" s="656" t="s">
        <v>16196</v>
      </c>
      <c r="N1606" s="656"/>
      <c r="O1606" s="656" t="s">
        <v>9714</v>
      </c>
      <c r="P1606" s="5"/>
      <c r="Q1606" s="1447"/>
      <c r="R1606" s="656">
        <v>41913</v>
      </c>
      <c r="S1606" s="656" t="s">
        <v>1394</v>
      </c>
      <c r="T1606" s="656" t="s">
        <v>282</v>
      </c>
      <c r="U1606" s="656" t="s">
        <v>1394</v>
      </c>
      <c r="V1606" s="656"/>
      <c r="W1606" s="656" t="s">
        <v>13051</v>
      </c>
      <c r="X1606" s="656" t="s">
        <v>498</v>
      </c>
      <c r="Y1606" s="656" t="s">
        <v>14278</v>
      </c>
      <c r="Z1606" s="656">
        <v>44305.518148148149</v>
      </c>
      <c r="AA1606" s="656" t="s">
        <v>14335</v>
      </c>
      <c r="AB1606" s="656"/>
    </row>
    <row r="1607" spans="1:28">
      <c r="A1607" s="656" t="s">
        <v>6110</v>
      </c>
      <c r="B1607" s="656" t="s">
        <v>6111</v>
      </c>
      <c r="C1607" s="656" t="s">
        <v>21</v>
      </c>
      <c r="D1607" s="656" t="s">
        <v>10818</v>
      </c>
      <c r="E1607" s="656" t="s">
        <v>14384</v>
      </c>
      <c r="F1607" s="1447">
        <v>41946</v>
      </c>
      <c r="G1607" s="656" t="s">
        <v>10817</v>
      </c>
      <c r="H1607" s="656" t="s">
        <v>1777</v>
      </c>
      <c r="I1607" s="656" t="s">
        <v>14809</v>
      </c>
      <c r="J1607" s="656" t="s">
        <v>10818</v>
      </c>
      <c r="K1607" s="656" t="s">
        <v>9721</v>
      </c>
      <c r="L1607" s="656"/>
      <c r="M1607" s="656" t="s">
        <v>16196</v>
      </c>
      <c r="N1607" s="656"/>
      <c r="O1607" s="656" t="s">
        <v>9714</v>
      </c>
      <c r="P1607" s="5" t="s">
        <v>14950</v>
      </c>
      <c r="Q1607" s="1447"/>
      <c r="R1607" s="656"/>
      <c r="S1607" s="656" t="s">
        <v>1394</v>
      </c>
      <c r="T1607" s="656" t="s">
        <v>282</v>
      </c>
      <c r="U1607" s="656" t="s">
        <v>1394</v>
      </c>
      <c r="V1607" s="656"/>
      <c r="W1607" s="656" t="s">
        <v>13051</v>
      </c>
      <c r="X1607" s="656" t="s">
        <v>498</v>
      </c>
      <c r="Y1607" s="656" t="s">
        <v>14278</v>
      </c>
      <c r="Z1607" s="656">
        <v>44305.518148148149</v>
      </c>
      <c r="AA1607" s="656" t="s">
        <v>14335</v>
      </c>
      <c r="AB1607" s="656"/>
    </row>
    <row r="1608" spans="1:28">
      <c r="A1608" s="656" t="s">
        <v>6114</v>
      </c>
      <c r="B1608" s="656" t="s">
        <v>6115</v>
      </c>
      <c r="C1608" s="656" t="s">
        <v>21</v>
      </c>
      <c r="D1608" s="656" t="s">
        <v>10816</v>
      </c>
      <c r="E1608" s="656" t="s">
        <v>14275</v>
      </c>
      <c r="F1608" s="1447">
        <v>41726</v>
      </c>
      <c r="G1608" s="656" t="s">
        <v>10815</v>
      </c>
      <c r="H1608" s="656" t="s">
        <v>1777</v>
      </c>
      <c r="I1608" s="656" t="s">
        <v>14810</v>
      </c>
      <c r="J1608" s="656" t="s">
        <v>10816</v>
      </c>
      <c r="K1608" s="656" t="s">
        <v>9721</v>
      </c>
      <c r="L1608" s="656"/>
      <c r="M1608" s="656" t="s">
        <v>16419</v>
      </c>
      <c r="N1608" s="656"/>
      <c r="O1608" s="656" t="s">
        <v>9714</v>
      </c>
      <c r="P1608" s="5"/>
      <c r="Q1608" s="1447"/>
      <c r="R1608" s="656">
        <v>41426</v>
      </c>
      <c r="S1608" s="656" t="s">
        <v>1394</v>
      </c>
      <c r="T1608" s="656" t="s">
        <v>282</v>
      </c>
      <c r="U1608" s="656" t="s">
        <v>1394</v>
      </c>
      <c r="V1608" s="656"/>
      <c r="W1608" s="656" t="s">
        <v>13051</v>
      </c>
      <c r="X1608" s="656" t="s">
        <v>498</v>
      </c>
      <c r="Y1608" s="656" t="s">
        <v>14278</v>
      </c>
      <c r="Z1608" s="656">
        <v>44305.518136574072</v>
      </c>
      <c r="AA1608" s="656" t="s">
        <v>14335</v>
      </c>
      <c r="AB1608" s="656"/>
    </row>
    <row r="1609" spans="1:28">
      <c r="A1609" s="656" t="s">
        <v>6118</v>
      </c>
      <c r="B1609" s="656" t="s">
        <v>6119</v>
      </c>
      <c r="C1609" s="656" t="s">
        <v>21</v>
      </c>
      <c r="D1609" s="656" t="s">
        <v>10813</v>
      </c>
      <c r="E1609" s="656" t="s">
        <v>14384</v>
      </c>
      <c r="F1609" s="1447">
        <v>42278</v>
      </c>
      <c r="G1609" s="656" t="s">
        <v>10812</v>
      </c>
      <c r="H1609" s="656" t="s">
        <v>1777</v>
      </c>
      <c r="I1609" s="656" t="s">
        <v>14811</v>
      </c>
      <c r="J1609" s="656" t="s">
        <v>10813</v>
      </c>
      <c r="K1609" s="656" t="s">
        <v>9721</v>
      </c>
      <c r="L1609" s="656"/>
      <c r="M1609" s="656" t="s">
        <v>16194</v>
      </c>
      <c r="N1609" s="656"/>
      <c r="O1609" s="656" t="s">
        <v>9714</v>
      </c>
      <c r="P1609" s="5" t="s">
        <v>14950</v>
      </c>
      <c r="Q1609" s="1447">
        <v>41193</v>
      </c>
      <c r="R1609" s="656"/>
      <c r="S1609" s="656" t="s">
        <v>1667</v>
      </c>
      <c r="T1609" s="656" t="s">
        <v>282</v>
      </c>
      <c r="U1609" s="656" t="s">
        <v>1394</v>
      </c>
      <c r="V1609" s="656"/>
      <c r="W1609" s="656" t="s">
        <v>13051</v>
      </c>
      <c r="X1609" s="656" t="s">
        <v>498</v>
      </c>
      <c r="Y1609" s="656" t="s">
        <v>14278</v>
      </c>
      <c r="Z1609" s="656">
        <v>44305.518136574072</v>
      </c>
      <c r="AA1609" s="656" t="s">
        <v>14335</v>
      </c>
      <c r="AB1609" s="656"/>
    </row>
    <row r="1610" spans="1:28">
      <c r="A1610" s="656" t="s">
        <v>6118</v>
      </c>
      <c r="B1610" s="656" t="s">
        <v>6119</v>
      </c>
      <c r="C1610" s="656" t="s">
        <v>20</v>
      </c>
      <c r="D1610" s="656" t="s">
        <v>10814</v>
      </c>
      <c r="E1610" s="656" t="s">
        <v>14275</v>
      </c>
      <c r="F1610" s="1447">
        <v>41885</v>
      </c>
      <c r="G1610" s="656" t="s">
        <v>10812</v>
      </c>
      <c r="H1610" s="656" t="s">
        <v>1777</v>
      </c>
      <c r="I1610" s="656"/>
      <c r="J1610" s="656"/>
      <c r="K1610" s="656"/>
      <c r="L1610" s="656" t="s">
        <v>10814</v>
      </c>
      <c r="M1610" s="656" t="s">
        <v>16194</v>
      </c>
      <c r="N1610" s="656"/>
      <c r="O1610" s="656" t="s">
        <v>9714</v>
      </c>
      <c r="P1610" s="5"/>
      <c r="Q1610" s="1447"/>
      <c r="R1610" s="656"/>
      <c r="S1610" s="656" t="s">
        <v>1667</v>
      </c>
      <c r="T1610" s="656" t="s">
        <v>282</v>
      </c>
      <c r="U1610" s="656" t="s">
        <v>1394</v>
      </c>
      <c r="V1610" s="656"/>
      <c r="W1610" s="656" t="s">
        <v>13051</v>
      </c>
      <c r="X1610" s="656" t="s">
        <v>498</v>
      </c>
      <c r="Y1610" s="656" t="s">
        <v>14278</v>
      </c>
      <c r="Z1610" s="656">
        <v>44305.518136574072</v>
      </c>
      <c r="AA1610" s="656" t="s">
        <v>14335</v>
      </c>
      <c r="AB1610" s="656"/>
    </row>
    <row r="1611" spans="1:28">
      <c r="A1611" s="656" t="s">
        <v>6120</v>
      </c>
      <c r="B1611" s="656" t="s">
        <v>6121</v>
      </c>
      <c r="C1611" s="656" t="s">
        <v>21</v>
      </c>
      <c r="D1611" s="656" t="s">
        <v>10811</v>
      </c>
      <c r="E1611" s="656" t="s">
        <v>14275</v>
      </c>
      <c r="F1611" s="1447">
        <v>42574</v>
      </c>
      <c r="G1611" s="656" t="s">
        <v>10810</v>
      </c>
      <c r="H1611" s="656" t="s">
        <v>1777</v>
      </c>
      <c r="I1611" s="656" t="s">
        <v>14812</v>
      </c>
      <c r="J1611" s="656" t="s">
        <v>10811</v>
      </c>
      <c r="K1611" s="656" t="s">
        <v>10398</v>
      </c>
      <c r="L1611" s="656"/>
      <c r="M1611" s="656" t="s">
        <v>16196</v>
      </c>
      <c r="N1611" s="656"/>
      <c r="O1611" s="656" t="s">
        <v>9714</v>
      </c>
      <c r="P1611" s="5"/>
      <c r="Q1611" s="1447"/>
      <c r="R1611" s="656">
        <v>41858</v>
      </c>
      <c r="S1611" s="656" t="s">
        <v>1394</v>
      </c>
      <c r="T1611" s="656" t="s">
        <v>282</v>
      </c>
      <c r="U1611" s="656" t="s">
        <v>1394</v>
      </c>
      <c r="V1611" s="656"/>
      <c r="W1611" s="656" t="s">
        <v>13051</v>
      </c>
      <c r="X1611" s="656" t="s">
        <v>498</v>
      </c>
      <c r="Y1611" s="656" t="s">
        <v>14278</v>
      </c>
      <c r="Z1611" s="656">
        <v>44305.518125000002</v>
      </c>
      <c r="AA1611" s="656" t="s">
        <v>14335</v>
      </c>
      <c r="AB1611" s="656"/>
    </row>
    <row r="1612" spans="1:28">
      <c r="A1612" s="656" t="s">
        <v>6124</v>
      </c>
      <c r="B1612" s="656" t="s">
        <v>6125</v>
      </c>
      <c r="C1612" s="656" t="s">
        <v>21</v>
      </c>
      <c r="D1612" s="656" t="s">
        <v>10807</v>
      </c>
      <c r="E1612" s="656" t="s">
        <v>14275</v>
      </c>
      <c r="F1612" s="1447">
        <v>42607</v>
      </c>
      <c r="G1612" s="656" t="s">
        <v>10806</v>
      </c>
      <c r="H1612" s="656" t="s">
        <v>1777</v>
      </c>
      <c r="I1612" s="656" t="s">
        <v>14813</v>
      </c>
      <c r="J1612" s="656" t="s">
        <v>10807</v>
      </c>
      <c r="K1612" s="656" t="s">
        <v>9721</v>
      </c>
      <c r="L1612" s="656"/>
      <c r="M1612" s="656" t="s">
        <v>16196</v>
      </c>
      <c r="N1612" s="656"/>
      <c r="O1612" s="656" t="s">
        <v>9714</v>
      </c>
      <c r="P1612" s="5"/>
      <c r="Q1612" s="1447">
        <v>41472</v>
      </c>
      <c r="R1612" s="656">
        <v>42087</v>
      </c>
      <c r="S1612" s="656" t="s">
        <v>1394</v>
      </c>
      <c r="T1612" s="656" t="s">
        <v>282</v>
      </c>
      <c r="U1612" s="656" t="s">
        <v>1394</v>
      </c>
      <c r="V1612" s="656"/>
      <c r="W1612" s="656" t="s">
        <v>13051</v>
      </c>
      <c r="X1612" s="656" t="s">
        <v>498</v>
      </c>
      <c r="Y1612" s="656" t="s">
        <v>14278</v>
      </c>
      <c r="Z1612" s="656">
        <v>44305.518113425926</v>
      </c>
      <c r="AA1612" s="656" t="s">
        <v>14335</v>
      </c>
      <c r="AB1612" s="656"/>
    </row>
    <row r="1613" spans="1:28">
      <c r="A1613" s="656" t="s">
        <v>6124</v>
      </c>
      <c r="B1613" s="656" t="s">
        <v>6125</v>
      </c>
      <c r="C1613" s="656" t="s">
        <v>20</v>
      </c>
      <c r="D1613" s="656" t="s">
        <v>10808</v>
      </c>
      <c r="E1613" s="656" t="s">
        <v>14275</v>
      </c>
      <c r="F1613" s="1447">
        <v>42115</v>
      </c>
      <c r="G1613" s="656" t="s">
        <v>10806</v>
      </c>
      <c r="H1613" s="656" t="s">
        <v>1777</v>
      </c>
      <c r="I1613" s="656"/>
      <c r="J1613" s="656"/>
      <c r="K1613" s="656"/>
      <c r="L1613" s="656" t="s">
        <v>10808</v>
      </c>
      <c r="M1613" s="656" t="s">
        <v>16196</v>
      </c>
      <c r="N1613" s="656"/>
      <c r="O1613" s="656" t="s">
        <v>9714</v>
      </c>
      <c r="P1613" s="5"/>
      <c r="Q1613" s="1447"/>
      <c r="R1613" s="656"/>
      <c r="S1613" s="656" t="s">
        <v>1394</v>
      </c>
      <c r="T1613" s="656" t="s">
        <v>282</v>
      </c>
      <c r="U1613" s="656" t="s">
        <v>1394</v>
      </c>
      <c r="V1613" s="656"/>
      <c r="W1613" s="656" t="s">
        <v>13051</v>
      </c>
      <c r="X1613" s="656" t="s">
        <v>498</v>
      </c>
      <c r="Y1613" s="656" t="s">
        <v>14278</v>
      </c>
      <c r="Z1613" s="656">
        <v>44305.518113425926</v>
      </c>
      <c r="AA1613" s="656" t="s">
        <v>14335</v>
      </c>
      <c r="AB1613" s="656"/>
    </row>
    <row r="1614" spans="1:28">
      <c r="A1614" s="656" t="s">
        <v>6124</v>
      </c>
      <c r="B1614" s="656" t="s">
        <v>6125</v>
      </c>
      <c r="C1614" s="656" t="s">
        <v>20</v>
      </c>
      <c r="D1614" s="656" t="s">
        <v>10809</v>
      </c>
      <c r="E1614" s="656" t="s">
        <v>14275</v>
      </c>
      <c r="F1614" s="1447">
        <v>42115</v>
      </c>
      <c r="G1614" s="656" t="s">
        <v>10806</v>
      </c>
      <c r="H1614" s="656" t="s">
        <v>1777</v>
      </c>
      <c r="I1614" s="656"/>
      <c r="J1614" s="656"/>
      <c r="K1614" s="656"/>
      <c r="L1614" s="656" t="s">
        <v>10809</v>
      </c>
      <c r="M1614" s="656" t="s">
        <v>16196</v>
      </c>
      <c r="N1614" s="656"/>
      <c r="O1614" s="656" t="s">
        <v>9714</v>
      </c>
      <c r="P1614" s="5"/>
      <c r="Q1614" s="1447"/>
      <c r="R1614" s="656"/>
      <c r="S1614" s="656" t="s">
        <v>1394</v>
      </c>
      <c r="T1614" s="656" t="s">
        <v>282</v>
      </c>
      <c r="U1614" s="656" t="s">
        <v>1394</v>
      </c>
      <c r="V1614" s="656"/>
      <c r="W1614" s="656" t="s">
        <v>13051</v>
      </c>
      <c r="X1614" s="656" t="s">
        <v>498</v>
      </c>
      <c r="Y1614" s="656" t="s">
        <v>14278</v>
      </c>
      <c r="Z1614" s="656">
        <v>44305.518125000002</v>
      </c>
      <c r="AA1614" s="656" t="s">
        <v>14335</v>
      </c>
      <c r="AB1614" s="656"/>
    </row>
    <row r="1615" spans="1:28">
      <c r="A1615" s="656" t="s">
        <v>6130</v>
      </c>
      <c r="B1615" s="656" t="s">
        <v>6131</v>
      </c>
      <c r="C1615" s="656" t="s">
        <v>20</v>
      </c>
      <c r="D1615" s="656" t="s">
        <v>10805</v>
      </c>
      <c r="E1615" s="656" t="s">
        <v>14275</v>
      </c>
      <c r="F1615" s="1447">
        <v>42115</v>
      </c>
      <c r="G1615" s="656" t="s">
        <v>10804</v>
      </c>
      <c r="H1615" s="656" t="s">
        <v>1777</v>
      </c>
      <c r="I1615" s="656"/>
      <c r="J1615" s="656"/>
      <c r="K1615" s="656"/>
      <c r="L1615" s="656" t="s">
        <v>10805</v>
      </c>
      <c r="M1615" s="656" t="s">
        <v>16426</v>
      </c>
      <c r="N1615" s="656"/>
      <c r="O1615" s="656" t="s">
        <v>9714</v>
      </c>
      <c r="P1615" s="5"/>
      <c r="Q1615" s="1447"/>
      <c r="R1615" s="656"/>
      <c r="S1615" s="656" t="s">
        <v>1394</v>
      </c>
      <c r="T1615" s="656" t="s">
        <v>282</v>
      </c>
      <c r="U1615" s="656" t="s">
        <v>1394</v>
      </c>
      <c r="V1615" s="656"/>
      <c r="W1615" s="656" t="s">
        <v>13051</v>
      </c>
      <c r="X1615" s="656" t="s">
        <v>498</v>
      </c>
      <c r="Y1615" s="656" t="s">
        <v>14278</v>
      </c>
      <c r="Z1615" s="656">
        <v>44305.518101851849</v>
      </c>
      <c r="AA1615" s="656" t="s">
        <v>14335</v>
      </c>
      <c r="AB1615" s="656"/>
    </row>
    <row r="1616" spans="1:28">
      <c r="A1616" s="656" t="s">
        <v>6142</v>
      </c>
      <c r="B1616" s="656" t="s">
        <v>6143</v>
      </c>
      <c r="C1616" s="656" t="s">
        <v>21</v>
      </c>
      <c r="D1616" s="656" t="s">
        <v>10802</v>
      </c>
      <c r="E1616" s="656" t="s">
        <v>14275</v>
      </c>
      <c r="F1616" s="1447">
        <v>42216</v>
      </c>
      <c r="G1616" s="656" t="s">
        <v>10801</v>
      </c>
      <c r="H1616" s="656" t="s">
        <v>1777</v>
      </c>
      <c r="I1616" s="656" t="s">
        <v>14814</v>
      </c>
      <c r="J1616" s="656" t="s">
        <v>10802</v>
      </c>
      <c r="K1616" s="656" t="s">
        <v>9750</v>
      </c>
      <c r="L1616" s="656"/>
      <c r="M1616" s="656" t="s">
        <v>16323</v>
      </c>
      <c r="N1616" s="656"/>
      <c r="O1616" s="656" t="s">
        <v>6393</v>
      </c>
      <c r="P1616" s="5"/>
      <c r="Q1616" s="1447"/>
      <c r="R1616" s="656">
        <v>41836</v>
      </c>
      <c r="S1616" s="656" t="s">
        <v>500</v>
      </c>
      <c r="T1616" s="656" t="s">
        <v>14559</v>
      </c>
      <c r="U1616" s="656" t="s">
        <v>500</v>
      </c>
      <c r="V1616" s="656"/>
      <c r="W1616" s="656" t="s">
        <v>13051</v>
      </c>
      <c r="X1616" s="656" t="s">
        <v>498</v>
      </c>
      <c r="Y1616" s="656" t="s">
        <v>14278</v>
      </c>
      <c r="Z1616" s="656">
        <v>44305.518090277779</v>
      </c>
      <c r="AA1616" s="656" t="s">
        <v>14335</v>
      </c>
      <c r="AB1616" s="656"/>
    </row>
    <row r="1617" spans="1:28">
      <c r="A1617" s="656" t="s">
        <v>6142</v>
      </c>
      <c r="B1617" s="656" t="s">
        <v>6143</v>
      </c>
      <c r="C1617" s="656" t="s">
        <v>21</v>
      </c>
      <c r="D1617" s="656" t="s">
        <v>10803</v>
      </c>
      <c r="E1617" s="656" t="s">
        <v>14275</v>
      </c>
      <c r="F1617" s="1447">
        <v>42546</v>
      </c>
      <c r="G1617" s="656" t="s">
        <v>10801</v>
      </c>
      <c r="H1617" s="656" t="s">
        <v>1777</v>
      </c>
      <c r="I1617" s="656" t="s">
        <v>14814</v>
      </c>
      <c r="J1617" s="656" t="s">
        <v>10803</v>
      </c>
      <c r="K1617" s="656" t="s">
        <v>9750</v>
      </c>
      <c r="L1617" s="656"/>
      <c r="M1617" s="656" t="s">
        <v>16323</v>
      </c>
      <c r="N1617" s="656"/>
      <c r="O1617" s="656" t="s">
        <v>6393</v>
      </c>
      <c r="P1617" s="5"/>
      <c r="Q1617" s="1447">
        <v>41841</v>
      </c>
      <c r="R1617" s="656">
        <v>42005</v>
      </c>
      <c r="S1617" s="656" t="s">
        <v>500</v>
      </c>
      <c r="T1617" s="656" t="s">
        <v>14559</v>
      </c>
      <c r="U1617" s="656" t="s">
        <v>500</v>
      </c>
      <c r="V1617" s="656"/>
      <c r="W1617" s="656" t="s">
        <v>13051</v>
      </c>
      <c r="X1617" s="656" t="s">
        <v>498</v>
      </c>
      <c r="Y1617" s="656" t="s">
        <v>14278</v>
      </c>
      <c r="Z1617" s="656">
        <v>44305.518101851849</v>
      </c>
      <c r="AA1617" s="656" t="s">
        <v>14335</v>
      </c>
      <c r="AB1617" s="656"/>
    </row>
    <row r="1618" spans="1:28">
      <c r="A1618" s="656" t="s">
        <v>6142</v>
      </c>
      <c r="B1618" s="656" t="s">
        <v>6143</v>
      </c>
      <c r="C1618" s="656" t="s">
        <v>20</v>
      </c>
      <c r="D1618" s="656" t="s">
        <v>12320</v>
      </c>
      <c r="E1618" s="656" t="s">
        <v>14553</v>
      </c>
      <c r="F1618" s="1447"/>
      <c r="G1618" s="656" t="s">
        <v>10801</v>
      </c>
      <c r="H1618" s="656" t="s">
        <v>1777</v>
      </c>
      <c r="I1618" s="656"/>
      <c r="J1618" s="656"/>
      <c r="K1618" s="656"/>
      <c r="L1618" s="656" t="s">
        <v>12320</v>
      </c>
      <c r="M1618" s="656" t="s">
        <v>16323</v>
      </c>
      <c r="N1618" s="656" t="s">
        <v>9991</v>
      </c>
      <c r="O1618" s="656"/>
      <c r="P1618" s="5"/>
      <c r="Q1618" s="1447"/>
      <c r="R1618" s="656"/>
      <c r="S1618" s="656" t="s">
        <v>500</v>
      </c>
      <c r="T1618" s="656" t="s">
        <v>9991</v>
      </c>
      <c r="U1618" s="656" t="s">
        <v>9991</v>
      </c>
      <c r="V1618" s="656"/>
      <c r="W1618" s="656" t="s">
        <v>13051</v>
      </c>
      <c r="X1618" s="656" t="s">
        <v>498</v>
      </c>
      <c r="Y1618" s="656" t="s">
        <v>14278</v>
      </c>
      <c r="Z1618" s="656">
        <v>44305.518101851849</v>
      </c>
      <c r="AA1618" s="656" t="s">
        <v>14335</v>
      </c>
      <c r="AB1618" s="656"/>
    </row>
    <row r="1619" spans="1:28">
      <c r="A1619" s="656" t="s">
        <v>6144</v>
      </c>
      <c r="B1619" s="656" t="s">
        <v>6145</v>
      </c>
      <c r="C1619" s="656" t="s">
        <v>21</v>
      </c>
      <c r="D1619" s="656" t="s">
        <v>10799</v>
      </c>
      <c r="E1619" s="656" t="s">
        <v>14275</v>
      </c>
      <c r="F1619" s="1447">
        <v>41577</v>
      </c>
      <c r="G1619" s="656" t="s">
        <v>10798</v>
      </c>
      <c r="H1619" s="656" t="s">
        <v>1777</v>
      </c>
      <c r="I1619" s="656" t="s">
        <v>14815</v>
      </c>
      <c r="J1619" s="656" t="s">
        <v>10799</v>
      </c>
      <c r="K1619" s="656" t="s">
        <v>9750</v>
      </c>
      <c r="L1619" s="656"/>
      <c r="M1619" s="656" t="s">
        <v>16199</v>
      </c>
      <c r="N1619" s="656"/>
      <c r="O1619" s="656" t="s">
        <v>6393</v>
      </c>
      <c r="P1619" s="5"/>
      <c r="Q1619" s="1447"/>
      <c r="R1619" s="656">
        <v>41364</v>
      </c>
      <c r="S1619" s="656" t="s">
        <v>500</v>
      </c>
      <c r="T1619" s="656" t="s">
        <v>14559</v>
      </c>
      <c r="U1619" s="656" t="s">
        <v>500</v>
      </c>
      <c r="V1619" s="656"/>
      <c r="W1619" s="656" t="s">
        <v>13051</v>
      </c>
      <c r="X1619" s="656" t="s">
        <v>498</v>
      </c>
      <c r="Y1619" s="656" t="s">
        <v>14278</v>
      </c>
      <c r="Z1619" s="656">
        <v>44305.518078703702</v>
      </c>
      <c r="AA1619" s="656" t="s">
        <v>14335</v>
      </c>
      <c r="AB1619" s="656"/>
    </row>
    <row r="1620" spans="1:28">
      <c r="A1620" s="656" t="s">
        <v>6144</v>
      </c>
      <c r="B1620" s="656" t="s">
        <v>6145</v>
      </c>
      <c r="C1620" s="656" t="s">
        <v>20</v>
      </c>
      <c r="D1620" s="656" t="s">
        <v>10800</v>
      </c>
      <c r="E1620" s="656" t="s">
        <v>14275</v>
      </c>
      <c r="F1620" s="1447">
        <v>41852</v>
      </c>
      <c r="G1620" s="656" t="s">
        <v>10798</v>
      </c>
      <c r="H1620" s="656" t="s">
        <v>1777</v>
      </c>
      <c r="I1620" s="656"/>
      <c r="J1620" s="656"/>
      <c r="K1620" s="656"/>
      <c r="L1620" s="656" t="s">
        <v>10800</v>
      </c>
      <c r="M1620" s="656" t="s">
        <v>16199</v>
      </c>
      <c r="N1620" s="656"/>
      <c r="O1620" s="656" t="s">
        <v>6393</v>
      </c>
      <c r="P1620" s="5"/>
      <c r="Q1620" s="1447"/>
      <c r="R1620" s="656"/>
      <c r="S1620" s="656" t="s">
        <v>500</v>
      </c>
      <c r="T1620" s="656" t="s">
        <v>14559</v>
      </c>
      <c r="U1620" s="656" t="s">
        <v>500</v>
      </c>
      <c r="V1620" s="656"/>
      <c r="W1620" s="656" t="s">
        <v>13051</v>
      </c>
      <c r="X1620" s="656" t="s">
        <v>498</v>
      </c>
      <c r="Y1620" s="656" t="s">
        <v>14278</v>
      </c>
      <c r="Z1620" s="656">
        <v>44305.518090277779</v>
      </c>
      <c r="AA1620" s="656" t="s">
        <v>14335</v>
      </c>
      <c r="AB1620" s="656"/>
    </row>
    <row r="1621" spans="1:28">
      <c r="A1621" s="656" t="s">
        <v>6154</v>
      </c>
      <c r="B1621" s="656" t="s">
        <v>6155</v>
      </c>
      <c r="C1621" s="656" t="s">
        <v>20</v>
      </c>
      <c r="D1621" s="656" t="s">
        <v>10797</v>
      </c>
      <c r="E1621" s="656" t="s">
        <v>14275</v>
      </c>
      <c r="F1621" s="1447">
        <v>42404</v>
      </c>
      <c r="G1621" s="656" t="s">
        <v>10796</v>
      </c>
      <c r="H1621" s="656" t="s">
        <v>1777</v>
      </c>
      <c r="I1621" s="656"/>
      <c r="J1621" s="656"/>
      <c r="K1621" s="656"/>
      <c r="L1621" s="656" t="s">
        <v>10797</v>
      </c>
      <c r="M1621" s="656" t="s">
        <v>16194</v>
      </c>
      <c r="N1621" s="656"/>
      <c r="O1621" s="656" t="s">
        <v>6393</v>
      </c>
      <c r="P1621" s="5"/>
      <c r="Q1621" s="1447"/>
      <c r="R1621" s="656"/>
      <c r="S1621" s="656" t="s">
        <v>1300</v>
      </c>
      <c r="T1621" s="656" t="s">
        <v>4198</v>
      </c>
      <c r="U1621" s="656" t="s">
        <v>1300</v>
      </c>
      <c r="V1621" s="656"/>
      <c r="W1621" s="656" t="s">
        <v>13051</v>
      </c>
      <c r="X1621" s="656" t="s">
        <v>498</v>
      </c>
      <c r="Y1621" s="656" t="s">
        <v>14278</v>
      </c>
      <c r="Z1621" s="656">
        <v>44305.518067129633</v>
      </c>
      <c r="AA1621" s="656" t="s">
        <v>14335</v>
      </c>
      <c r="AB1621" s="656"/>
    </row>
    <row r="1622" spans="1:28">
      <c r="A1622" s="656" t="s">
        <v>6164</v>
      </c>
      <c r="B1622" s="656" t="s">
        <v>6163</v>
      </c>
      <c r="C1622" s="656" t="s">
        <v>21</v>
      </c>
      <c r="D1622" s="656" t="s">
        <v>10792</v>
      </c>
      <c r="E1622" s="656" t="s">
        <v>14275</v>
      </c>
      <c r="F1622" s="1447">
        <v>42425</v>
      </c>
      <c r="G1622" s="656" t="s">
        <v>10791</v>
      </c>
      <c r="H1622" s="656" t="s">
        <v>1777</v>
      </c>
      <c r="I1622" s="656" t="s">
        <v>14816</v>
      </c>
      <c r="J1622" s="656" t="s">
        <v>10792</v>
      </c>
      <c r="K1622" s="656" t="s">
        <v>9750</v>
      </c>
      <c r="L1622" s="656"/>
      <c r="M1622" s="656" t="s">
        <v>16196</v>
      </c>
      <c r="N1622" s="656"/>
      <c r="O1622" s="656" t="s">
        <v>6393</v>
      </c>
      <c r="P1622" s="5"/>
      <c r="Q1622" s="1447"/>
      <c r="R1622" s="656">
        <v>41944</v>
      </c>
      <c r="S1622" s="656" t="s">
        <v>1300</v>
      </c>
      <c r="T1622" s="656" t="s">
        <v>4198</v>
      </c>
      <c r="U1622" s="656" t="s">
        <v>1300</v>
      </c>
      <c r="V1622" s="656"/>
      <c r="W1622" s="656" t="s">
        <v>13051</v>
      </c>
      <c r="X1622" s="656" t="s">
        <v>498</v>
      </c>
      <c r="Y1622" s="656" t="s">
        <v>14278</v>
      </c>
      <c r="Z1622" s="656">
        <v>44305.518043981479</v>
      </c>
      <c r="AA1622" s="656" t="s">
        <v>14335</v>
      </c>
      <c r="AB1622" s="656"/>
    </row>
    <row r="1623" spans="1:28">
      <c r="A1623" s="656" t="s">
        <v>6164</v>
      </c>
      <c r="B1623" s="656" t="s">
        <v>6163</v>
      </c>
      <c r="C1623" s="656" t="s">
        <v>20</v>
      </c>
      <c r="D1623" s="656" t="s">
        <v>10793</v>
      </c>
      <c r="E1623" s="656" t="s">
        <v>14275</v>
      </c>
      <c r="F1623" s="1447">
        <v>42349</v>
      </c>
      <c r="G1623" s="656" t="s">
        <v>10791</v>
      </c>
      <c r="H1623" s="656" t="s">
        <v>1777</v>
      </c>
      <c r="I1623" s="656"/>
      <c r="J1623" s="656"/>
      <c r="K1623" s="656"/>
      <c r="L1623" s="656" t="s">
        <v>10793</v>
      </c>
      <c r="M1623" s="656" t="s">
        <v>16196</v>
      </c>
      <c r="N1623" s="656"/>
      <c r="O1623" s="656" t="s">
        <v>6393</v>
      </c>
      <c r="P1623" s="5"/>
      <c r="Q1623" s="1447"/>
      <c r="R1623" s="656"/>
      <c r="S1623" s="656" t="s">
        <v>1300</v>
      </c>
      <c r="T1623" s="656" t="s">
        <v>4198</v>
      </c>
      <c r="U1623" s="656" t="s">
        <v>1300</v>
      </c>
      <c r="V1623" s="656"/>
      <c r="W1623" s="656" t="s">
        <v>13051</v>
      </c>
      <c r="X1623" s="656" t="s">
        <v>498</v>
      </c>
      <c r="Y1623" s="656" t="s">
        <v>14278</v>
      </c>
      <c r="Z1623" s="656">
        <v>44305.518043981479</v>
      </c>
      <c r="AA1623" s="656" t="s">
        <v>14335</v>
      </c>
      <c r="AB1623" s="656"/>
    </row>
    <row r="1624" spans="1:28">
      <c r="A1624" s="656" t="s">
        <v>6164</v>
      </c>
      <c r="B1624" s="656" t="s">
        <v>6163</v>
      </c>
      <c r="C1624" s="656" t="s">
        <v>20</v>
      </c>
      <c r="D1624" s="656" t="s">
        <v>10794</v>
      </c>
      <c r="E1624" s="656" t="s">
        <v>14275</v>
      </c>
      <c r="F1624" s="1447">
        <v>42093</v>
      </c>
      <c r="G1624" s="656" t="s">
        <v>10791</v>
      </c>
      <c r="H1624" s="656" t="s">
        <v>1777</v>
      </c>
      <c r="I1624" s="656"/>
      <c r="J1624" s="656"/>
      <c r="K1624" s="656"/>
      <c r="L1624" s="656" t="s">
        <v>10794</v>
      </c>
      <c r="M1624" s="656" t="s">
        <v>16444</v>
      </c>
      <c r="N1624" s="656"/>
      <c r="O1624" s="656" t="s">
        <v>6393</v>
      </c>
      <c r="P1624" s="5"/>
      <c r="Q1624" s="1447"/>
      <c r="R1624" s="656"/>
      <c r="S1624" s="656" t="s">
        <v>1300</v>
      </c>
      <c r="T1624" s="656" t="s">
        <v>4198</v>
      </c>
      <c r="U1624" s="656" t="s">
        <v>1300</v>
      </c>
      <c r="V1624" s="656"/>
      <c r="W1624" s="656" t="s">
        <v>13051</v>
      </c>
      <c r="X1624" s="656" t="s">
        <v>498</v>
      </c>
      <c r="Y1624" s="656" t="s">
        <v>14278</v>
      </c>
      <c r="Z1624" s="656">
        <v>44305.518055555556</v>
      </c>
      <c r="AA1624" s="656" t="s">
        <v>14335</v>
      </c>
      <c r="AB1624" s="656"/>
    </row>
    <row r="1625" spans="1:28">
      <c r="A1625" s="656" t="s">
        <v>6164</v>
      </c>
      <c r="B1625" s="656" t="s">
        <v>6163</v>
      </c>
      <c r="C1625" s="656" t="s">
        <v>20</v>
      </c>
      <c r="D1625" s="656" t="s">
        <v>10795</v>
      </c>
      <c r="E1625" s="656" t="s">
        <v>14275</v>
      </c>
      <c r="F1625" s="1447">
        <v>41984</v>
      </c>
      <c r="G1625" s="656" t="s">
        <v>10791</v>
      </c>
      <c r="H1625" s="656" t="s">
        <v>1777</v>
      </c>
      <c r="I1625" s="656"/>
      <c r="J1625" s="656"/>
      <c r="K1625" s="656"/>
      <c r="L1625" s="656" t="s">
        <v>10795</v>
      </c>
      <c r="M1625" s="656" t="s">
        <v>16445</v>
      </c>
      <c r="N1625" s="656"/>
      <c r="O1625" s="656" t="s">
        <v>6393</v>
      </c>
      <c r="P1625" s="5"/>
      <c r="Q1625" s="1447"/>
      <c r="R1625" s="656"/>
      <c r="S1625" s="656" t="s">
        <v>1300</v>
      </c>
      <c r="T1625" s="656" t="s">
        <v>4198</v>
      </c>
      <c r="U1625" s="656" t="s">
        <v>1300</v>
      </c>
      <c r="V1625" s="656"/>
      <c r="W1625" s="656" t="s">
        <v>13051</v>
      </c>
      <c r="X1625" s="656" t="s">
        <v>498</v>
      </c>
      <c r="Y1625" s="656" t="s">
        <v>14278</v>
      </c>
      <c r="Z1625" s="656">
        <v>44305.518055555556</v>
      </c>
      <c r="AA1625" s="656" t="s">
        <v>14335</v>
      </c>
      <c r="AB1625" s="656"/>
    </row>
    <row r="1626" spans="1:28">
      <c r="A1626" s="656" t="s">
        <v>6181</v>
      </c>
      <c r="B1626" s="656" t="s">
        <v>6182</v>
      </c>
      <c r="C1626" s="656" t="s">
        <v>20</v>
      </c>
      <c r="D1626" s="656" t="s">
        <v>10790</v>
      </c>
      <c r="E1626" s="656" t="s">
        <v>14275</v>
      </c>
      <c r="F1626" s="1447">
        <v>41835</v>
      </c>
      <c r="G1626" s="656" t="s">
        <v>10789</v>
      </c>
      <c r="H1626" s="656" t="s">
        <v>1777</v>
      </c>
      <c r="I1626" s="656"/>
      <c r="J1626" s="656"/>
      <c r="K1626" s="656"/>
      <c r="L1626" s="656" t="s">
        <v>10790</v>
      </c>
      <c r="M1626" s="656" t="s">
        <v>16196</v>
      </c>
      <c r="N1626" s="656"/>
      <c r="O1626" s="656" t="s">
        <v>6393</v>
      </c>
      <c r="P1626" s="5"/>
      <c r="Q1626" s="1447"/>
      <c r="R1626" s="656"/>
      <c r="S1626" s="656" t="s">
        <v>1394</v>
      </c>
      <c r="T1626" s="656" t="s">
        <v>4198</v>
      </c>
      <c r="U1626" s="656" t="s">
        <v>1300</v>
      </c>
      <c r="V1626" s="656"/>
      <c r="W1626" s="656" t="s">
        <v>13051</v>
      </c>
      <c r="X1626" s="656" t="s">
        <v>498</v>
      </c>
      <c r="Y1626" s="656" t="s">
        <v>14278</v>
      </c>
      <c r="Z1626" s="656">
        <v>44305.51803240741</v>
      </c>
      <c r="AA1626" s="656" t="s">
        <v>14335</v>
      </c>
      <c r="AB1626" s="656"/>
    </row>
    <row r="1627" spans="1:28">
      <c r="A1627" s="656" t="s">
        <v>6187</v>
      </c>
      <c r="B1627" s="656" t="s">
        <v>6188</v>
      </c>
      <c r="C1627" s="656" t="s">
        <v>21</v>
      </c>
      <c r="D1627" s="656" t="s">
        <v>10786</v>
      </c>
      <c r="E1627" s="656" t="s">
        <v>14275</v>
      </c>
      <c r="F1627" s="1447">
        <v>42460</v>
      </c>
      <c r="G1627" s="656" t="s">
        <v>10785</v>
      </c>
      <c r="H1627" s="656" t="s">
        <v>1777</v>
      </c>
      <c r="I1627" s="656" t="s">
        <v>14817</v>
      </c>
      <c r="J1627" s="656" t="s">
        <v>10786</v>
      </c>
      <c r="K1627" s="656" t="s">
        <v>9750</v>
      </c>
      <c r="L1627" s="656"/>
      <c r="M1627" s="656" t="s">
        <v>16196</v>
      </c>
      <c r="N1627" s="656"/>
      <c r="O1627" s="656" t="s">
        <v>6393</v>
      </c>
      <c r="P1627" s="5"/>
      <c r="Q1627" s="1447"/>
      <c r="R1627" s="656">
        <v>41882</v>
      </c>
      <c r="S1627" s="656" t="s">
        <v>1394</v>
      </c>
      <c r="T1627" s="656" t="s">
        <v>4198</v>
      </c>
      <c r="U1627" s="656" t="s">
        <v>1300</v>
      </c>
      <c r="V1627" s="656"/>
      <c r="W1627" s="656" t="s">
        <v>13051</v>
      </c>
      <c r="X1627" s="656" t="s">
        <v>498</v>
      </c>
      <c r="Y1627" s="656" t="s">
        <v>14278</v>
      </c>
      <c r="Z1627" s="656">
        <v>44305.518009259256</v>
      </c>
      <c r="AA1627" s="656" t="s">
        <v>14335</v>
      </c>
      <c r="AB1627" s="656"/>
    </row>
    <row r="1628" spans="1:28">
      <c r="A1628" s="656" t="s">
        <v>6187</v>
      </c>
      <c r="B1628" s="656" t="s">
        <v>6188</v>
      </c>
      <c r="C1628" s="656" t="s">
        <v>20</v>
      </c>
      <c r="D1628" s="656" t="s">
        <v>10787</v>
      </c>
      <c r="E1628" s="656" t="s">
        <v>14275</v>
      </c>
      <c r="F1628" s="1447">
        <v>42422</v>
      </c>
      <c r="G1628" s="656" t="s">
        <v>10785</v>
      </c>
      <c r="H1628" s="656" t="s">
        <v>1777</v>
      </c>
      <c r="I1628" s="656"/>
      <c r="J1628" s="656"/>
      <c r="K1628" s="656"/>
      <c r="L1628" s="656" t="s">
        <v>10787</v>
      </c>
      <c r="M1628" s="656" t="s">
        <v>16196</v>
      </c>
      <c r="N1628" s="656"/>
      <c r="O1628" s="656" t="s">
        <v>6393</v>
      </c>
      <c r="P1628" s="5"/>
      <c r="Q1628" s="1447"/>
      <c r="R1628" s="656"/>
      <c r="S1628" s="656" t="s">
        <v>1394</v>
      </c>
      <c r="T1628" s="656" t="s">
        <v>4198</v>
      </c>
      <c r="U1628" s="656" t="s">
        <v>1300</v>
      </c>
      <c r="V1628" s="656"/>
      <c r="W1628" s="656" t="s">
        <v>13051</v>
      </c>
      <c r="X1628" s="656" t="s">
        <v>498</v>
      </c>
      <c r="Y1628" s="656" t="s">
        <v>14278</v>
      </c>
      <c r="Z1628" s="656">
        <v>44305.518020833333</v>
      </c>
      <c r="AA1628" s="656" t="s">
        <v>14335</v>
      </c>
      <c r="AB1628" s="656"/>
    </row>
    <row r="1629" spans="1:28">
      <c r="A1629" s="656" t="s">
        <v>6187</v>
      </c>
      <c r="B1629" s="656" t="s">
        <v>6188</v>
      </c>
      <c r="C1629" s="656" t="s">
        <v>20</v>
      </c>
      <c r="D1629" s="656" t="s">
        <v>10788</v>
      </c>
      <c r="E1629" s="656" t="s">
        <v>14275</v>
      </c>
      <c r="F1629" s="1447">
        <v>42369</v>
      </c>
      <c r="G1629" s="656" t="s">
        <v>10785</v>
      </c>
      <c r="H1629" s="656" t="s">
        <v>1777</v>
      </c>
      <c r="I1629" s="656"/>
      <c r="J1629" s="656"/>
      <c r="K1629" s="656"/>
      <c r="L1629" s="656" t="s">
        <v>10788</v>
      </c>
      <c r="M1629" s="656" t="s">
        <v>16195</v>
      </c>
      <c r="N1629" s="656"/>
      <c r="O1629" s="656" t="s">
        <v>6393</v>
      </c>
      <c r="P1629" s="5"/>
      <c r="Q1629" s="1447"/>
      <c r="R1629" s="656"/>
      <c r="S1629" s="656" t="s">
        <v>1394</v>
      </c>
      <c r="T1629" s="656" t="s">
        <v>4198</v>
      </c>
      <c r="U1629" s="656" t="s">
        <v>1300</v>
      </c>
      <c r="V1629" s="656"/>
      <c r="W1629" s="656" t="s">
        <v>13051</v>
      </c>
      <c r="X1629" s="656" t="s">
        <v>498</v>
      </c>
      <c r="Y1629" s="656" t="s">
        <v>14278</v>
      </c>
      <c r="Z1629" s="656">
        <v>44305.51803240741</v>
      </c>
      <c r="AA1629" s="656" t="s">
        <v>14335</v>
      </c>
      <c r="AB1629" s="656"/>
    </row>
    <row r="1630" spans="1:28">
      <c r="A1630" s="656" t="s">
        <v>6189</v>
      </c>
      <c r="B1630" s="656" t="s">
        <v>6190</v>
      </c>
      <c r="C1630" s="656" t="s">
        <v>20</v>
      </c>
      <c r="D1630" s="656" t="s">
        <v>10784</v>
      </c>
      <c r="E1630" s="656" t="s">
        <v>14275</v>
      </c>
      <c r="F1630" s="1447">
        <v>42172</v>
      </c>
      <c r="G1630" s="656" t="s">
        <v>10783</v>
      </c>
      <c r="H1630" s="656" t="s">
        <v>1777</v>
      </c>
      <c r="I1630" s="656"/>
      <c r="J1630" s="656"/>
      <c r="K1630" s="656"/>
      <c r="L1630" s="656" t="s">
        <v>10784</v>
      </c>
      <c r="M1630" s="656" t="s">
        <v>16196</v>
      </c>
      <c r="N1630" s="656"/>
      <c r="O1630" s="656" t="s">
        <v>6395</v>
      </c>
      <c r="P1630" s="5"/>
      <c r="Q1630" s="1447"/>
      <c r="R1630" s="656"/>
      <c r="S1630" s="656" t="s">
        <v>1394</v>
      </c>
      <c r="T1630" s="656" t="s">
        <v>14280</v>
      </c>
      <c r="U1630" s="656" t="s">
        <v>1394</v>
      </c>
      <c r="V1630" s="656"/>
      <c r="W1630" s="656" t="s">
        <v>13051</v>
      </c>
      <c r="X1630" s="656" t="s">
        <v>498</v>
      </c>
      <c r="Y1630" s="656" t="s">
        <v>14278</v>
      </c>
      <c r="Z1630" s="656">
        <v>44305.518009259256</v>
      </c>
      <c r="AA1630" s="656" t="s">
        <v>14335</v>
      </c>
      <c r="AB1630" s="656"/>
    </row>
    <row r="1631" spans="1:28">
      <c r="A1631" s="656" t="s">
        <v>6193</v>
      </c>
      <c r="B1631" s="656" t="s">
        <v>6194</v>
      </c>
      <c r="C1631" s="656" t="s">
        <v>21</v>
      </c>
      <c r="D1631" s="656" t="s">
        <v>10772</v>
      </c>
      <c r="E1631" s="656" t="s">
        <v>14275</v>
      </c>
      <c r="F1631" s="1447">
        <v>42962</v>
      </c>
      <c r="G1631" s="656" t="s">
        <v>10771</v>
      </c>
      <c r="H1631" s="656" t="s">
        <v>1345</v>
      </c>
      <c r="I1631" s="656" t="s">
        <v>14818</v>
      </c>
      <c r="J1631" s="656" t="s">
        <v>10772</v>
      </c>
      <c r="K1631" s="656" t="s">
        <v>9782</v>
      </c>
      <c r="L1631" s="656"/>
      <c r="M1631" s="656" t="s">
        <v>1345</v>
      </c>
      <c r="N1631" s="656"/>
      <c r="O1631" s="656" t="s">
        <v>6387</v>
      </c>
      <c r="P1631" s="5"/>
      <c r="Q1631" s="1447"/>
      <c r="R1631" s="656">
        <v>42611</v>
      </c>
      <c r="S1631" s="656" t="s">
        <v>655</v>
      </c>
      <c r="T1631" s="656" t="s">
        <v>14277</v>
      </c>
      <c r="U1631" s="656" t="s">
        <v>655</v>
      </c>
      <c r="V1631" s="656"/>
      <c r="W1631" s="656" t="s">
        <v>13051</v>
      </c>
      <c r="X1631" s="656" t="s">
        <v>498</v>
      </c>
      <c r="Y1631" s="656" t="s">
        <v>14278</v>
      </c>
      <c r="Z1631" s="656">
        <v>44305.517951388887</v>
      </c>
      <c r="AA1631" s="656" t="s">
        <v>14335</v>
      </c>
      <c r="AB1631" s="656"/>
    </row>
    <row r="1632" spans="1:28">
      <c r="A1632" s="656" t="s">
        <v>6193</v>
      </c>
      <c r="B1632" s="656" t="s">
        <v>6194</v>
      </c>
      <c r="C1632" s="656" t="s">
        <v>21</v>
      </c>
      <c r="D1632" s="656" t="s">
        <v>10773</v>
      </c>
      <c r="E1632" s="656" t="s">
        <v>14275</v>
      </c>
      <c r="F1632" s="1447">
        <v>42958</v>
      </c>
      <c r="G1632" s="656" t="s">
        <v>10771</v>
      </c>
      <c r="H1632" s="656" t="s">
        <v>1545</v>
      </c>
      <c r="I1632" s="656" t="s">
        <v>14819</v>
      </c>
      <c r="J1632" s="656" t="s">
        <v>10773</v>
      </c>
      <c r="K1632" s="656" t="s">
        <v>9782</v>
      </c>
      <c r="L1632" s="656"/>
      <c r="M1632" s="656" t="s">
        <v>1545</v>
      </c>
      <c r="N1632" s="656"/>
      <c r="O1632" s="656" t="s">
        <v>6387</v>
      </c>
      <c r="P1632" s="5"/>
      <c r="Q1632" s="1447"/>
      <c r="R1632" s="656">
        <v>42529</v>
      </c>
      <c r="S1632" s="656" t="s">
        <v>655</v>
      </c>
      <c r="T1632" s="656" t="s">
        <v>14277</v>
      </c>
      <c r="U1632" s="656" t="s">
        <v>655</v>
      </c>
      <c r="V1632" s="656"/>
      <c r="W1632" s="656" t="s">
        <v>13051</v>
      </c>
      <c r="X1632" s="656" t="s">
        <v>498</v>
      </c>
      <c r="Y1632" s="656" t="s">
        <v>14278</v>
      </c>
      <c r="Z1632" s="656">
        <v>44305.517951388887</v>
      </c>
      <c r="AA1632" s="656" t="s">
        <v>14335</v>
      </c>
      <c r="AB1632" s="656"/>
    </row>
    <row r="1633" spans="1:28">
      <c r="A1633" s="656" t="s">
        <v>6193</v>
      </c>
      <c r="B1633" s="656" t="s">
        <v>6194</v>
      </c>
      <c r="C1633" s="656" t="s">
        <v>21</v>
      </c>
      <c r="D1633" s="656" t="s">
        <v>10774</v>
      </c>
      <c r="E1633" s="656" t="s">
        <v>14275</v>
      </c>
      <c r="F1633" s="1447">
        <v>42942</v>
      </c>
      <c r="G1633" s="656" t="s">
        <v>10771</v>
      </c>
      <c r="H1633" s="656" t="s">
        <v>1584</v>
      </c>
      <c r="I1633" s="656" t="s">
        <v>14820</v>
      </c>
      <c r="J1633" s="656" t="s">
        <v>10774</v>
      </c>
      <c r="K1633" s="656" t="s">
        <v>9771</v>
      </c>
      <c r="L1633" s="656"/>
      <c r="M1633" s="656" t="s">
        <v>1584</v>
      </c>
      <c r="N1633" s="656"/>
      <c r="O1633" s="656" t="s">
        <v>6387</v>
      </c>
      <c r="P1633" s="5" t="s">
        <v>14936</v>
      </c>
      <c r="Q1633" s="1447"/>
      <c r="R1633" s="656">
        <v>42510</v>
      </c>
      <c r="S1633" s="656" t="s">
        <v>655</v>
      </c>
      <c r="T1633" s="656" t="s">
        <v>14277</v>
      </c>
      <c r="U1633" s="656" t="s">
        <v>655</v>
      </c>
      <c r="V1633" s="656"/>
      <c r="W1633" s="656" t="s">
        <v>13051</v>
      </c>
      <c r="X1633" s="656" t="s">
        <v>498</v>
      </c>
      <c r="Y1633" s="656" t="s">
        <v>14278</v>
      </c>
      <c r="Z1633" s="656">
        <v>44305.517962962964</v>
      </c>
      <c r="AA1633" s="656" t="s">
        <v>14335</v>
      </c>
      <c r="AB1633" s="656"/>
    </row>
    <row r="1634" spans="1:28">
      <c r="A1634" s="656" t="s">
        <v>6193</v>
      </c>
      <c r="B1634" s="656" t="s">
        <v>6194</v>
      </c>
      <c r="C1634" s="656" t="s">
        <v>21</v>
      </c>
      <c r="D1634" s="656" t="s">
        <v>10775</v>
      </c>
      <c r="E1634" s="656" t="s">
        <v>14275</v>
      </c>
      <c r="F1634" s="1447">
        <v>42943</v>
      </c>
      <c r="G1634" s="656" t="s">
        <v>10771</v>
      </c>
      <c r="H1634" s="656" t="s">
        <v>1564</v>
      </c>
      <c r="I1634" s="656" t="s">
        <v>14821</v>
      </c>
      <c r="J1634" s="656" t="s">
        <v>10775</v>
      </c>
      <c r="K1634" s="656" t="s">
        <v>9782</v>
      </c>
      <c r="L1634" s="656"/>
      <c r="M1634" s="656" t="s">
        <v>1564</v>
      </c>
      <c r="N1634" s="656"/>
      <c r="O1634" s="656" t="s">
        <v>6387</v>
      </c>
      <c r="P1634" s="5" t="s">
        <v>14936</v>
      </c>
      <c r="Q1634" s="1447"/>
      <c r="R1634" s="656">
        <v>42529</v>
      </c>
      <c r="S1634" s="656" t="s">
        <v>655</v>
      </c>
      <c r="T1634" s="656" t="s">
        <v>14277</v>
      </c>
      <c r="U1634" s="656" t="s">
        <v>655</v>
      </c>
      <c r="V1634" s="656"/>
      <c r="W1634" s="656" t="s">
        <v>13051</v>
      </c>
      <c r="X1634" s="656" t="s">
        <v>498</v>
      </c>
      <c r="Y1634" s="656" t="s">
        <v>14278</v>
      </c>
      <c r="Z1634" s="656">
        <v>44305.517962962964</v>
      </c>
      <c r="AA1634" s="656" t="s">
        <v>14335</v>
      </c>
      <c r="AB1634" s="656"/>
    </row>
    <row r="1635" spans="1:28">
      <c r="A1635" s="656" t="s">
        <v>6193</v>
      </c>
      <c r="B1635" s="656" t="s">
        <v>6194</v>
      </c>
      <c r="C1635" s="656" t="s">
        <v>21</v>
      </c>
      <c r="D1635" s="656" t="s">
        <v>10776</v>
      </c>
      <c r="E1635" s="656" t="s">
        <v>14275</v>
      </c>
      <c r="F1635" s="1447">
        <v>42943</v>
      </c>
      <c r="G1635" s="656" t="s">
        <v>10771</v>
      </c>
      <c r="H1635" s="656" t="s">
        <v>1385</v>
      </c>
      <c r="I1635" s="656" t="s">
        <v>14822</v>
      </c>
      <c r="J1635" s="656" t="s">
        <v>10776</v>
      </c>
      <c r="K1635" s="656" t="s">
        <v>9771</v>
      </c>
      <c r="L1635" s="656"/>
      <c r="M1635" s="656" t="s">
        <v>1385</v>
      </c>
      <c r="N1635" s="656"/>
      <c r="O1635" s="656" t="s">
        <v>6387</v>
      </c>
      <c r="P1635" s="5" t="s">
        <v>14942</v>
      </c>
      <c r="Q1635" s="1447"/>
      <c r="R1635" s="656">
        <v>42855</v>
      </c>
      <c r="S1635" s="656" t="s">
        <v>655</v>
      </c>
      <c r="T1635" s="656" t="s">
        <v>14277</v>
      </c>
      <c r="U1635" s="656" t="s">
        <v>655</v>
      </c>
      <c r="V1635" s="656"/>
      <c r="W1635" s="656" t="s">
        <v>13051</v>
      </c>
      <c r="X1635" s="656" t="s">
        <v>498</v>
      </c>
      <c r="Y1635" s="656" t="s">
        <v>14278</v>
      </c>
      <c r="Z1635" s="656">
        <v>44305.517974537041</v>
      </c>
      <c r="AA1635" s="656" t="s">
        <v>14335</v>
      </c>
      <c r="AB1635" s="656"/>
    </row>
    <row r="1636" spans="1:28">
      <c r="A1636" s="656" t="s">
        <v>6193</v>
      </c>
      <c r="B1636" s="656" t="s">
        <v>6194</v>
      </c>
      <c r="C1636" s="656" t="s">
        <v>21</v>
      </c>
      <c r="D1636" s="656" t="s">
        <v>10777</v>
      </c>
      <c r="E1636" s="656" t="s">
        <v>14275</v>
      </c>
      <c r="F1636" s="1447">
        <v>42943</v>
      </c>
      <c r="G1636" s="656" t="s">
        <v>10771</v>
      </c>
      <c r="H1636" s="656" t="s">
        <v>1364</v>
      </c>
      <c r="I1636" s="656" t="s">
        <v>14823</v>
      </c>
      <c r="J1636" s="656" t="s">
        <v>10777</v>
      </c>
      <c r="K1636" s="656" t="s">
        <v>9782</v>
      </c>
      <c r="L1636" s="656"/>
      <c r="M1636" s="656" t="s">
        <v>1364</v>
      </c>
      <c r="N1636" s="656"/>
      <c r="O1636" s="656" t="s">
        <v>6387</v>
      </c>
      <c r="P1636" s="5" t="s">
        <v>14942</v>
      </c>
      <c r="Q1636" s="1447"/>
      <c r="R1636" s="656">
        <v>42611</v>
      </c>
      <c r="S1636" s="656" t="s">
        <v>655</v>
      </c>
      <c r="T1636" s="656" t="s">
        <v>14277</v>
      </c>
      <c r="U1636" s="656" t="s">
        <v>655</v>
      </c>
      <c r="V1636" s="656"/>
      <c r="W1636" s="656" t="s">
        <v>13051</v>
      </c>
      <c r="X1636" s="656" t="s">
        <v>498</v>
      </c>
      <c r="Y1636" s="656" t="s">
        <v>14278</v>
      </c>
      <c r="Z1636" s="656">
        <v>44305.517974537041</v>
      </c>
      <c r="AA1636" s="656" t="s">
        <v>14335</v>
      </c>
      <c r="AB1636" s="656"/>
    </row>
    <row r="1637" spans="1:28">
      <c r="A1637" s="656" t="s">
        <v>6193</v>
      </c>
      <c r="B1637" s="656" t="s">
        <v>6194</v>
      </c>
      <c r="C1637" s="656" t="s">
        <v>21</v>
      </c>
      <c r="D1637" s="656" t="s">
        <v>10778</v>
      </c>
      <c r="E1637" s="656" t="s">
        <v>14275</v>
      </c>
      <c r="F1637" s="1447">
        <v>42962</v>
      </c>
      <c r="G1637" s="656" t="s">
        <v>10771</v>
      </c>
      <c r="H1637" s="656" t="s">
        <v>1325</v>
      </c>
      <c r="I1637" s="656" t="s">
        <v>14824</v>
      </c>
      <c r="J1637" s="656" t="s">
        <v>10778</v>
      </c>
      <c r="K1637" s="656" t="s">
        <v>9782</v>
      </c>
      <c r="L1637" s="656"/>
      <c r="M1637" s="656" t="s">
        <v>1325</v>
      </c>
      <c r="N1637" s="656"/>
      <c r="O1637" s="656" t="s">
        <v>6387</v>
      </c>
      <c r="P1637" s="5" t="s">
        <v>14942</v>
      </c>
      <c r="Q1637" s="1447"/>
      <c r="R1637" s="656">
        <v>42611</v>
      </c>
      <c r="S1637" s="656" t="s">
        <v>655</v>
      </c>
      <c r="T1637" s="656" t="s">
        <v>14277</v>
      </c>
      <c r="U1637" s="656" t="s">
        <v>655</v>
      </c>
      <c r="V1637" s="656"/>
      <c r="W1637" s="656" t="s">
        <v>13051</v>
      </c>
      <c r="X1637" s="656" t="s">
        <v>498</v>
      </c>
      <c r="Y1637" s="656" t="s">
        <v>14278</v>
      </c>
      <c r="Z1637" s="656">
        <v>44305.51798611111</v>
      </c>
      <c r="AA1637" s="656" t="s">
        <v>14335</v>
      </c>
      <c r="AB1637" s="656"/>
    </row>
    <row r="1638" spans="1:28">
      <c r="A1638" s="656" t="s">
        <v>6193</v>
      </c>
      <c r="B1638" s="656" t="s">
        <v>6194</v>
      </c>
      <c r="C1638" s="656" t="s">
        <v>21</v>
      </c>
      <c r="D1638" s="656" t="s">
        <v>10779</v>
      </c>
      <c r="E1638" s="656" t="s">
        <v>14275</v>
      </c>
      <c r="F1638" s="1447">
        <v>42944</v>
      </c>
      <c r="G1638" s="656" t="s">
        <v>10771</v>
      </c>
      <c r="H1638" s="656" t="s">
        <v>1274</v>
      </c>
      <c r="I1638" s="656" t="s">
        <v>14825</v>
      </c>
      <c r="J1638" s="656" t="s">
        <v>10779</v>
      </c>
      <c r="K1638" s="656" t="s">
        <v>9771</v>
      </c>
      <c r="L1638" s="656"/>
      <c r="M1638" s="656" t="s">
        <v>1274</v>
      </c>
      <c r="N1638" s="656"/>
      <c r="O1638" s="656" t="s">
        <v>6387</v>
      </c>
      <c r="P1638" s="5" t="s">
        <v>14942</v>
      </c>
      <c r="Q1638" s="1447"/>
      <c r="R1638" s="656">
        <v>42844</v>
      </c>
      <c r="S1638" s="656" t="s">
        <v>655</v>
      </c>
      <c r="T1638" s="656" t="s">
        <v>14277</v>
      </c>
      <c r="U1638" s="656" t="s">
        <v>655</v>
      </c>
      <c r="V1638" s="656"/>
      <c r="W1638" s="656" t="s">
        <v>13051</v>
      </c>
      <c r="X1638" s="656" t="s">
        <v>498</v>
      </c>
      <c r="Y1638" s="656" t="s">
        <v>14278</v>
      </c>
      <c r="Z1638" s="656">
        <v>44305.517997685187</v>
      </c>
      <c r="AA1638" s="656" t="s">
        <v>14335</v>
      </c>
      <c r="AB1638" s="656"/>
    </row>
    <row r="1639" spans="1:28">
      <c r="A1639" s="656" t="s">
        <v>6193</v>
      </c>
      <c r="B1639" s="656" t="s">
        <v>6194</v>
      </c>
      <c r="C1639" s="656" t="s">
        <v>21</v>
      </c>
      <c r="D1639" s="656" t="s">
        <v>10780</v>
      </c>
      <c r="E1639" s="656" t="s">
        <v>14275</v>
      </c>
      <c r="F1639" s="1447">
        <v>42718</v>
      </c>
      <c r="G1639" s="656" t="s">
        <v>10771</v>
      </c>
      <c r="H1639" s="656" t="s">
        <v>1274</v>
      </c>
      <c r="I1639" s="656" t="s">
        <v>14826</v>
      </c>
      <c r="J1639" s="656" t="s">
        <v>10780</v>
      </c>
      <c r="K1639" s="656" t="s">
        <v>9774</v>
      </c>
      <c r="L1639" s="656"/>
      <c r="M1639" s="656" t="s">
        <v>1274</v>
      </c>
      <c r="N1639" s="656"/>
      <c r="O1639" s="656" t="s">
        <v>6387</v>
      </c>
      <c r="P1639" s="5"/>
      <c r="Q1639" s="1447"/>
      <c r="R1639" s="656">
        <v>42718</v>
      </c>
      <c r="S1639" s="656" t="s">
        <v>655</v>
      </c>
      <c r="T1639" s="656" t="s">
        <v>14277</v>
      </c>
      <c r="U1639" s="656" t="s">
        <v>655</v>
      </c>
      <c r="V1639" s="656"/>
      <c r="W1639" s="656" t="s">
        <v>13051</v>
      </c>
      <c r="X1639" s="656" t="s">
        <v>498</v>
      </c>
      <c r="Y1639" s="656" t="s">
        <v>14278</v>
      </c>
      <c r="Z1639" s="656">
        <v>44305.51798611111</v>
      </c>
      <c r="AA1639" s="656" t="s">
        <v>14335</v>
      </c>
      <c r="AB1639" s="656"/>
    </row>
    <row r="1640" spans="1:28">
      <c r="A1640" s="656" t="s">
        <v>6193</v>
      </c>
      <c r="B1640" s="656" t="s">
        <v>6194</v>
      </c>
      <c r="C1640" s="656" t="s">
        <v>21</v>
      </c>
      <c r="D1640" s="656" t="s">
        <v>10781</v>
      </c>
      <c r="E1640" s="656" t="s">
        <v>14275</v>
      </c>
      <c r="F1640" s="1447">
        <v>42942</v>
      </c>
      <c r="G1640" s="656" t="s">
        <v>10771</v>
      </c>
      <c r="H1640" s="656" t="s">
        <v>1584</v>
      </c>
      <c r="I1640" s="656" t="s">
        <v>14827</v>
      </c>
      <c r="J1640" s="656" t="s">
        <v>10781</v>
      </c>
      <c r="K1640" s="656" t="s">
        <v>9782</v>
      </c>
      <c r="L1640" s="656"/>
      <c r="M1640" s="656" t="s">
        <v>1584</v>
      </c>
      <c r="N1640" s="656"/>
      <c r="O1640" s="656" t="s">
        <v>6387</v>
      </c>
      <c r="P1640" s="5" t="s">
        <v>14942</v>
      </c>
      <c r="Q1640" s="1447"/>
      <c r="R1640" s="656">
        <v>42510</v>
      </c>
      <c r="S1640" s="656" t="s">
        <v>655</v>
      </c>
      <c r="T1640" s="656" t="s">
        <v>14277</v>
      </c>
      <c r="U1640" s="656" t="s">
        <v>655</v>
      </c>
      <c r="V1640" s="656"/>
      <c r="W1640" s="656" t="s">
        <v>13051</v>
      </c>
      <c r="X1640" s="656" t="s">
        <v>498</v>
      </c>
      <c r="Y1640" s="656" t="s">
        <v>14278</v>
      </c>
      <c r="Z1640" s="656">
        <v>44305.517997685187</v>
      </c>
      <c r="AA1640" s="656" t="s">
        <v>14335</v>
      </c>
      <c r="AB1640" s="656"/>
    </row>
    <row r="1641" spans="1:28">
      <c r="A1641" s="656" t="s">
        <v>6193</v>
      </c>
      <c r="B1641" s="656" t="s">
        <v>6194</v>
      </c>
      <c r="C1641" s="656" t="s">
        <v>20</v>
      </c>
      <c r="D1641" s="656" t="s">
        <v>10782</v>
      </c>
      <c r="E1641" s="656" t="s">
        <v>14275</v>
      </c>
      <c r="F1641" s="1447">
        <v>42962</v>
      </c>
      <c r="G1641" s="656" t="s">
        <v>10771</v>
      </c>
      <c r="H1641" s="656" t="s">
        <v>1777</v>
      </c>
      <c r="I1641" s="656"/>
      <c r="J1641" s="656"/>
      <c r="K1641" s="656"/>
      <c r="L1641" s="656" t="s">
        <v>10782</v>
      </c>
      <c r="M1641" s="656" t="s">
        <v>16422</v>
      </c>
      <c r="N1641" s="656"/>
      <c r="O1641" s="656" t="s">
        <v>6387</v>
      </c>
      <c r="P1641" s="5"/>
      <c r="Q1641" s="1447">
        <v>41913</v>
      </c>
      <c r="R1641" s="656"/>
      <c r="S1641" s="656" t="s">
        <v>655</v>
      </c>
      <c r="T1641" s="656" t="s">
        <v>14277</v>
      </c>
      <c r="U1641" s="656" t="s">
        <v>655</v>
      </c>
      <c r="V1641" s="656"/>
      <c r="W1641" s="656" t="s">
        <v>13051</v>
      </c>
      <c r="X1641" s="656" t="s">
        <v>498</v>
      </c>
      <c r="Y1641" s="656" t="s">
        <v>14278</v>
      </c>
      <c r="Z1641" s="656">
        <v>44305.517997685187</v>
      </c>
      <c r="AA1641" s="656" t="s">
        <v>14335</v>
      </c>
      <c r="AB1641" s="656"/>
    </row>
    <row r="1642" spans="1:28">
      <c r="A1642" s="656" t="s">
        <v>6207</v>
      </c>
      <c r="B1642" s="656" t="s">
        <v>6208</v>
      </c>
      <c r="C1642" s="656" t="s">
        <v>21</v>
      </c>
      <c r="D1642" s="656" t="s">
        <v>10769</v>
      </c>
      <c r="E1642" s="656" t="s">
        <v>14275</v>
      </c>
      <c r="F1642" s="1447">
        <v>43033</v>
      </c>
      <c r="G1642" s="656" t="s">
        <v>10768</v>
      </c>
      <c r="H1642" s="656" t="s">
        <v>1777</v>
      </c>
      <c r="I1642" s="656" t="s">
        <v>14828</v>
      </c>
      <c r="J1642" s="656" t="s">
        <v>10769</v>
      </c>
      <c r="K1642" s="656" t="s">
        <v>9733</v>
      </c>
      <c r="L1642" s="656"/>
      <c r="M1642" s="656" t="s">
        <v>16196</v>
      </c>
      <c r="N1642" s="656"/>
      <c r="O1642" s="656" t="s">
        <v>6395</v>
      </c>
      <c r="P1642" s="5"/>
      <c r="Q1642" s="1447">
        <v>41984</v>
      </c>
      <c r="R1642" s="656">
        <v>42460</v>
      </c>
      <c r="S1642" s="656" t="s">
        <v>1394</v>
      </c>
      <c r="T1642" s="656" t="s">
        <v>14280</v>
      </c>
      <c r="U1642" s="656" t="s">
        <v>1394</v>
      </c>
      <c r="V1642" s="656"/>
      <c r="W1642" s="656" t="s">
        <v>13051</v>
      </c>
      <c r="X1642" s="656" t="s">
        <v>498</v>
      </c>
      <c r="Y1642" s="656" t="s">
        <v>14278</v>
      </c>
      <c r="Z1642" s="656">
        <v>44305.517939814818</v>
      </c>
      <c r="AA1642" s="656" t="s">
        <v>14335</v>
      </c>
      <c r="AB1642" s="656"/>
    </row>
    <row r="1643" spans="1:28">
      <c r="A1643" s="656" t="s">
        <v>6207</v>
      </c>
      <c r="B1643" s="656" t="s">
        <v>6208</v>
      </c>
      <c r="C1643" s="656" t="s">
        <v>20</v>
      </c>
      <c r="D1643" s="656" t="s">
        <v>10770</v>
      </c>
      <c r="E1643" s="656" t="s">
        <v>14275</v>
      </c>
      <c r="F1643" s="1447">
        <v>43034</v>
      </c>
      <c r="G1643" s="656" t="s">
        <v>10768</v>
      </c>
      <c r="H1643" s="656" t="s">
        <v>1777</v>
      </c>
      <c r="I1643" s="656"/>
      <c r="J1643" s="656"/>
      <c r="K1643" s="656"/>
      <c r="L1643" s="656" t="s">
        <v>10770</v>
      </c>
      <c r="M1643" s="656" t="s">
        <v>16196</v>
      </c>
      <c r="N1643" s="656"/>
      <c r="O1643" s="656" t="s">
        <v>6395</v>
      </c>
      <c r="P1643" s="5"/>
      <c r="Q1643" s="1447">
        <v>41848</v>
      </c>
      <c r="R1643" s="656"/>
      <c r="S1643" s="656" t="s">
        <v>1394</v>
      </c>
      <c r="T1643" s="656" t="s">
        <v>14280</v>
      </c>
      <c r="U1643" s="656" t="s">
        <v>1394</v>
      </c>
      <c r="V1643" s="656"/>
      <c r="W1643" s="656" t="s">
        <v>13051</v>
      </c>
      <c r="X1643" s="656" t="s">
        <v>498</v>
      </c>
      <c r="Y1643" s="656" t="s">
        <v>14278</v>
      </c>
      <c r="Z1643" s="656">
        <v>44305.517939814818</v>
      </c>
      <c r="AA1643" s="656" t="s">
        <v>14335</v>
      </c>
      <c r="AB1643" s="656"/>
    </row>
    <row r="1644" spans="1:28">
      <c r="A1644" s="656" t="s">
        <v>6223</v>
      </c>
      <c r="B1644" s="656" t="s">
        <v>6224</v>
      </c>
      <c r="C1644" s="656" t="s">
        <v>21</v>
      </c>
      <c r="D1644" s="656" t="s">
        <v>10764</v>
      </c>
      <c r="E1644" s="656" t="s">
        <v>14384</v>
      </c>
      <c r="F1644" s="1447">
        <v>42185</v>
      </c>
      <c r="G1644" s="656" t="s">
        <v>10763</v>
      </c>
      <c r="H1644" s="656" t="s">
        <v>1777</v>
      </c>
      <c r="I1644" s="656" t="s">
        <v>14829</v>
      </c>
      <c r="J1644" s="656" t="s">
        <v>10764</v>
      </c>
      <c r="K1644" s="656" t="s">
        <v>9750</v>
      </c>
      <c r="L1644" s="656"/>
      <c r="M1644" s="656" t="s">
        <v>16196</v>
      </c>
      <c r="N1644" s="656"/>
      <c r="O1644" s="656" t="s">
        <v>6395</v>
      </c>
      <c r="P1644" s="5" t="s">
        <v>15458</v>
      </c>
      <c r="Q1644" s="1447">
        <v>41512</v>
      </c>
      <c r="R1644" s="656"/>
      <c r="S1644" s="656" t="s">
        <v>1394</v>
      </c>
      <c r="T1644" s="656" t="s">
        <v>4198</v>
      </c>
      <c r="U1644" s="656" t="s">
        <v>1300</v>
      </c>
      <c r="V1644" s="656"/>
      <c r="W1644" s="656" t="s">
        <v>13051</v>
      </c>
      <c r="X1644" s="656" t="s">
        <v>498</v>
      </c>
      <c r="Y1644" s="656" t="s">
        <v>14278</v>
      </c>
      <c r="Z1644" s="656">
        <v>44305.517916666664</v>
      </c>
      <c r="AA1644" s="656" t="s">
        <v>14335</v>
      </c>
      <c r="AB1644" s="656"/>
    </row>
    <row r="1645" spans="1:28">
      <c r="A1645" s="656" t="s">
        <v>6223</v>
      </c>
      <c r="B1645" s="656" t="s">
        <v>6224</v>
      </c>
      <c r="C1645" s="656" t="s">
        <v>20</v>
      </c>
      <c r="D1645" s="656" t="s">
        <v>10766</v>
      </c>
      <c r="E1645" s="656" t="s">
        <v>14275</v>
      </c>
      <c r="F1645" s="1447">
        <v>42115</v>
      </c>
      <c r="G1645" s="656" t="s">
        <v>10765</v>
      </c>
      <c r="H1645" s="656" t="s">
        <v>1777</v>
      </c>
      <c r="I1645" s="656"/>
      <c r="J1645" s="656"/>
      <c r="K1645" s="656"/>
      <c r="L1645" s="656" t="s">
        <v>10766</v>
      </c>
      <c r="M1645" s="656" t="s">
        <v>16194</v>
      </c>
      <c r="N1645" s="656"/>
      <c r="O1645" s="656" t="s">
        <v>6393</v>
      </c>
      <c r="P1645" s="5"/>
      <c r="Q1645" s="1447"/>
      <c r="R1645" s="656"/>
      <c r="S1645" s="656" t="s">
        <v>1394</v>
      </c>
      <c r="T1645" s="656" t="s">
        <v>4198</v>
      </c>
      <c r="U1645" s="656" t="s">
        <v>1300</v>
      </c>
      <c r="V1645" s="656"/>
      <c r="W1645" s="656" t="s">
        <v>13051</v>
      </c>
      <c r="X1645" s="656" t="s">
        <v>498</v>
      </c>
      <c r="Y1645" s="656" t="s">
        <v>14278</v>
      </c>
      <c r="Z1645" s="656">
        <v>44305.517916666664</v>
      </c>
      <c r="AA1645" s="656" t="s">
        <v>14335</v>
      </c>
      <c r="AB1645" s="656"/>
    </row>
    <row r="1646" spans="1:28">
      <c r="A1646" s="656" t="s">
        <v>6223</v>
      </c>
      <c r="B1646" s="656" t="s">
        <v>6224</v>
      </c>
      <c r="C1646" s="656" t="s">
        <v>20</v>
      </c>
      <c r="D1646" s="656" t="s">
        <v>10767</v>
      </c>
      <c r="E1646" s="656" t="s">
        <v>14275</v>
      </c>
      <c r="F1646" s="1447">
        <v>42172</v>
      </c>
      <c r="G1646" s="656" t="s">
        <v>10763</v>
      </c>
      <c r="H1646" s="656" t="s">
        <v>1777</v>
      </c>
      <c r="I1646" s="656"/>
      <c r="J1646" s="656"/>
      <c r="K1646" s="656"/>
      <c r="L1646" s="656" t="s">
        <v>10767</v>
      </c>
      <c r="M1646" s="656" t="s">
        <v>16196</v>
      </c>
      <c r="N1646" s="656"/>
      <c r="O1646" s="656" t="s">
        <v>6393</v>
      </c>
      <c r="P1646" s="5"/>
      <c r="Q1646" s="1447"/>
      <c r="R1646" s="656"/>
      <c r="S1646" s="656" t="s">
        <v>1394</v>
      </c>
      <c r="T1646" s="656" t="s">
        <v>4198</v>
      </c>
      <c r="U1646" s="656" t="s">
        <v>1300</v>
      </c>
      <c r="V1646" s="656"/>
      <c r="W1646" s="656" t="s">
        <v>13051</v>
      </c>
      <c r="X1646" s="656" t="s">
        <v>498</v>
      </c>
      <c r="Y1646" s="656" t="s">
        <v>14278</v>
      </c>
      <c r="Z1646" s="656">
        <v>44305.517916666664</v>
      </c>
      <c r="AA1646" s="656" t="s">
        <v>14335</v>
      </c>
      <c r="AB1646" s="656"/>
    </row>
    <row r="1647" spans="1:28">
      <c r="A1647" s="656" t="s">
        <v>6229</v>
      </c>
      <c r="B1647" s="656" t="s">
        <v>6230</v>
      </c>
      <c r="C1647" s="656" t="s">
        <v>20</v>
      </c>
      <c r="D1647" s="656" t="s">
        <v>10762</v>
      </c>
      <c r="E1647" s="656" t="s">
        <v>14275</v>
      </c>
      <c r="F1647" s="1447">
        <v>42349</v>
      </c>
      <c r="G1647" s="656" t="s">
        <v>10761</v>
      </c>
      <c r="H1647" s="656" t="s">
        <v>1777</v>
      </c>
      <c r="I1647" s="656"/>
      <c r="J1647" s="656"/>
      <c r="K1647" s="656"/>
      <c r="L1647" s="656" t="s">
        <v>10762</v>
      </c>
      <c r="M1647" s="656" t="s">
        <v>16196</v>
      </c>
      <c r="N1647" s="656"/>
      <c r="O1647" s="656" t="s">
        <v>6395</v>
      </c>
      <c r="P1647" s="5"/>
      <c r="Q1647" s="1447"/>
      <c r="R1647" s="656"/>
      <c r="S1647" s="656" t="s">
        <v>1394</v>
      </c>
      <c r="T1647" s="656" t="s">
        <v>14280</v>
      </c>
      <c r="U1647" s="656" t="s">
        <v>1394</v>
      </c>
      <c r="V1647" s="656"/>
      <c r="W1647" s="656" t="s">
        <v>13051</v>
      </c>
      <c r="X1647" s="656" t="s">
        <v>498</v>
      </c>
      <c r="Y1647" s="656" t="s">
        <v>14278</v>
      </c>
      <c r="Z1647" s="656">
        <v>44305.517905092594</v>
      </c>
      <c r="AA1647" s="656" t="s">
        <v>14335</v>
      </c>
      <c r="AB1647" s="656"/>
    </row>
    <row r="1648" spans="1:28">
      <c r="A1648" s="656" t="s">
        <v>6245</v>
      </c>
      <c r="B1648" s="656" t="s">
        <v>6246</v>
      </c>
      <c r="C1648" s="656" t="s">
        <v>21</v>
      </c>
      <c r="D1648" s="656" t="s">
        <v>10760</v>
      </c>
      <c r="E1648" s="656" t="s">
        <v>14275</v>
      </c>
      <c r="F1648" s="1447">
        <v>41935</v>
      </c>
      <c r="G1648" s="656" t="s">
        <v>10759</v>
      </c>
      <c r="H1648" s="656" t="s">
        <v>1777</v>
      </c>
      <c r="I1648" s="656" t="s">
        <v>14830</v>
      </c>
      <c r="J1648" s="656" t="s">
        <v>10760</v>
      </c>
      <c r="K1648" s="656" t="s">
        <v>9733</v>
      </c>
      <c r="L1648" s="656"/>
      <c r="M1648" s="656" t="s">
        <v>16196</v>
      </c>
      <c r="N1648" s="656"/>
      <c r="O1648" s="656" t="s">
        <v>6395</v>
      </c>
      <c r="P1648" s="5"/>
      <c r="Q1648" s="1447"/>
      <c r="R1648" s="656">
        <v>41914</v>
      </c>
      <c r="S1648" s="656" t="s">
        <v>1394</v>
      </c>
      <c r="T1648" s="656" t="s">
        <v>14280</v>
      </c>
      <c r="U1648" s="656" t="s">
        <v>1394</v>
      </c>
      <c r="V1648" s="656"/>
      <c r="W1648" s="656" t="s">
        <v>13051</v>
      </c>
      <c r="X1648" s="656" t="s">
        <v>498</v>
      </c>
      <c r="Y1648" s="656" t="s">
        <v>14278</v>
      </c>
      <c r="Z1648" s="656">
        <v>44305.517905092594</v>
      </c>
      <c r="AA1648" s="656" t="s">
        <v>14335</v>
      </c>
      <c r="AB1648" s="656"/>
    </row>
    <row r="1649" spans="1:28">
      <c r="A1649" s="656" t="s">
        <v>6247</v>
      </c>
      <c r="B1649" s="656" t="s">
        <v>6248</v>
      </c>
      <c r="C1649" s="656" t="s">
        <v>20</v>
      </c>
      <c r="D1649" s="656" t="s">
        <v>10757</v>
      </c>
      <c r="E1649" s="656" t="s">
        <v>14275</v>
      </c>
      <c r="F1649" s="1447">
        <v>42426</v>
      </c>
      <c r="G1649" s="656" t="s">
        <v>10756</v>
      </c>
      <c r="H1649" s="656" t="s">
        <v>1777</v>
      </c>
      <c r="I1649" s="656"/>
      <c r="J1649" s="656"/>
      <c r="K1649" s="656"/>
      <c r="L1649" s="656" t="s">
        <v>10757</v>
      </c>
      <c r="M1649" s="656" t="s">
        <v>16446</v>
      </c>
      <c r="N1649" s="656"/>
      <c r="O1649" s="656" t="s">
        <v>6387</v>
      </c>
      <c r="P1649" s="5"/>
      <c r="Q1649" s="1447"/>
      <c r="R1649" s="656"/>
      <c r="S1649" s="656" t="s">
        <v>1667</v>
      </c>
      <c r="T1649" s="656" t="s">
        <v>14524</v>
      </c>
      <c r="U1649" s="656" t="s">
        <v>1667</v>
      </c>
      <c r="V1649" s="656"/>
      <c r="W1649" s="656" t="s">
        <v>13051</v>
      </c>
      <c r="X1649" s="656" t="s">
        <v>498</v>
      </c>
      <c r="Y1649" s="656" t="s">
        <v>14278</v>
      </c>
      <c r="Z1649" s="656">
        <v>44305.517893518518</v>
      </c>
      <c r="AA1649" s="656" t="s">
        <v>14335</v>
      </c>
      <c r="AB1649" s="656"/>
    </row>
    <row r="1650" spans="1:28">
      <c r="A1650" s="656" t="s">
        <v>6247</v>
      </c>
      <c r="B1650" s="656" t="s">
        <v>6248</v>
      </c>
      <c r="C1650" s="656" t="s">
        <v>20</v>
      </c>
      <c r="D1650" s="656" t="s">
        <v>10758</v>
      </c>
      <c r="E1650" s="656" t="s">
        <v>14275</v>
      </c>
      <c r="F1650" s="1447">
        <v>41863</v>
      </c>
      <c r="G1650" s="656" t="s">
        <v>10756</v>
      </c>
      <c r="H1650" s="656" t="s">
        <v>1777</v>
      </c>
      <c r="I1650" s="656"/>
      <c r="J1650" s="656"/>
      <c r="K1650" s="656"/>
      <c r="L1650" s="656" t="s">
        <v>10758</v>
      </c>
      <c r="M1650" s="656" t="s">
        <v>16447</v>
      </c>
      <c r="N1650" s="656"/>
      <c r="O1650" s="656" t="s">
        <v>6387</v>
      </c>
      <c r="P1650" s="5"/>
      <c r="Q1650" s="1447"/>
      <c r="R1650" s="656"/>
      <c r="S1650" s="656" t="s">
        <v>1667</v>
      </c>
      <c r="T1650" s="656" t="s">
        <v>14524</v>
      </c>
      <c r="U1650" s="656" t="s">
        <v>1667</v>
      </c>
      <c r="V1650" s="656"/>
      <c r="W1650" s="656" t="s">
        <v>13051</v>
      </c>
      <c r="X1650" s="656" t="s">
        <v>498</v>
      </c>
      <c r="Y1650" s="656" t="s">
        <v>14278</v>
      </c>
      <c r="Z1650" s="656">
        <v>44305.517893518518</v>
      </c>
      <c r="AA1650" s="656" t="s">
        <v>14335</v>
      </c>
      <c r="AB1650" s="656"/>
    </row>
    <row r="1651" spans="1:28">
      <c r="A1651" s="656" t="s">
        <v>6252</v>
      </c>
      <c r="B1651" s="656" t="s">
        <v>6253</v>
      </c>
      <c r="C1651" s="656" t="s">
        <v>21</v>
      </c>
      <c r="D1651" s="656" t="s">
        <v>10753</v>
      </c>
      <c r="E1651" s="656" t="s">
        <v>14275</v>
      </c>
      <c r="F1651" s="1447">
        <v>42264</v>
      </c>
      <c r="G1651" s="656" t="s">
        <v>10752</v>
      </c>
      <c r="H1651" s="656" t="s">
        <v>1777</v>
      </c>
      <c r="I1651" s="656" t="s">
        <v>14831</v>
      </c>
      <c r="J1651" s="656" t="s">
        <v>10753</v>
      </c>
      <c r="K1651" s="656" t="s">
        <v>9774</v>
      </c>
      <c r="L1651" s="656"/>
      <c r="M1651" s="656" t="s">
        <v>16358</v>
      </c>
      <c r="N1651" s="656" t="s">
        <v>9769</v>
      </c>
      <c r="O1651" s="656" t="s">
        <v>10754</v>
      </c>
      <c r="P1651" s="5"/>
      <c r="Q1651" s="1447"/>
      <c r="R1651" s="656">
        <v>42004</v>
      </c>
      <c r="S1651" s="656" t="s">
        <v>9769</v>
      </c>
      <c r="T1651" s="656" t="s">
        <v>9769</v>
      </c>
      <c r="U1651" s="656" t="s">
        <v>9769</v>
      </c>
      <c r="V1651" s="656"/>
      <c r="W1651" s="656" t="s">
        <v>13051</v>
      </c>
      <c r="X1651" s="656" t="s">
        <v>498</v>
      </c>
      <c r="Y1651" s="656" t="s">
        <v>14278</v>
      </c>
      <c r="Z1651" s="656">
        <v>44305.517881944441</v>
      </c>
      <c r="AA1651" s="656" t="s">
        <v>14335</v>
      </c>
      <c r="AB1651" s="656"/>
    </row>
    <row r="1652" spans="1:28">
      <c r="A1652" s="656" t="s">
        <v>6252</v>
      </c>
      <c r="B1652" s="656" t="s">
        <v>6253</v>
      </c>
      <c r="C1652" s="656" t="s">
        <v>20</v>
      </c>
      <c r="D1652" s="656" t="s">
        <v>10755</v>
      </c>
      <c r="E1652" s="656" t="s">
        <v>14275</v>
      </c>
      <c r="F1652" s="1447">
        <v>42439</v>
      </c>
      <c r="G1652" s="656" t="s">
        <v>10752</v>
      </c>
      <c r="H1652" s="656" t="s">
        <v>1777</v>
      </c>
      <c r="I1652" s="656"/>
      <c r="J1652" s="656"/>
      <c r="K1652" s="656"/>
      <c r="L1652" s="656" t="s">
        <v>10755</v>
      </c>
      <c r="M1652" s="656" t="s">
        <v>16358</v>
      </c>
      <c r="N1652" s="656" t="s">
        <v>9769</v>
      </c>
      <c r="O1652" s="656" t="s">
        <v>10754</v>
      </c>
      <c r="P1652" s="5"/>
      <c r="Q1652" s="1447"/>
      <c r="R1652" s="656"/>
      <c r="S1652" s="656" t="s">
        <v>9769</v>
      </c>
      <c r="T1652" s="656" t="s">
        <v>9769</v>
      </c>
      <c r="U1652" s="656" t="s">
        <v>9769</v>
      </c>
      <c r="V1652" s="656"/>
      <c r="W1652" s="656" t="s">
        <v>13051</v>
      </c>
      <c r="X1652" s="656" t="s">
        <v>498</v>
      </c>
      <c r="Y1652" s="656" t="s">
        <v>14278</v>
      </c>
      <c r="Z1652" s="656">
        <v>44305.517893518518</v>
      </c>
      <c r="AA1652" s="656" t="s">
        <v>14335</v>
      </c>
      <c r="AB1652" s="656"/>
    </row>
    <row r="1653" spans="1:28">
      <c r="A1653" s="656" t="s">
        <v>6266</v>
      </c>
      <c r="B1653" s="656" t="s">
        <v>6267</v>
      </c>
      <c r="C1653" s="656" t="s">
        <v>21</v>
      </c>
      <c r="D1653" s="656" t="s">
        <v>10751</v>
      </c>
      <c r="E1653" s="656" t="s">
        <v>14384</v>
      </c>
      <c r="F1653" s="1447"/>
      <c r="G1653" s="656" t="s">
        <v>10750</v>
      </c>
      <c r="H1653" s="656" t="s">
        <v>1491</v>
      </c>
      <c r="I1653" s="656" t="s">
        <v>14832</v>
      </c>
      <c r="J1653" s="656" t="s">
        <v>10751</v>
      </c>
      <c r="K1653" s="656" t="s">
        <v>10398</v>
      </c>
      <c r="L1653" s="656"/>
      <c r="M1653" s="656" t="s">
        <v>1491</v>
      </c>
      <c r="N1653" s="656"/>
      <c r="O1653" s="656" t="s">
        <v>6387</v>
      </c>
      <c r="P1653" s="5" t="s">
        <v>14948</v>
      </c>
      <c r="Q1653" s="1447"/>
      <c r="R1653" s="656"/>
      <c r="S1653" s="656" t="s">
        <v>1394</v>
      </c>
      <c r="T1653" s="656" t="s">
        <v>14524</v>
      </c>
      <c r="U1653" s="656" t="s">
        <v>1667</v>
      </c>
      <c r="V1653" s="656"/>
      <c r="W1653" s="656" t="s">
        <v>13051</v>
      </c>
      <c r="X1653" s="656" t="s">
        <v>498</v>
      </c>
      <c r="Y1653" s="656" t="s">
        <v>14278</v>
      </c>
      <c r="Z1653" s="656">
        <v>44305.517881944441</v>
      </c>
      <c r="AA1653" s="656" t="s">
        <v>14335</v>
      </c>
      <c r="AB1653" s="656"/>
    </row>
    <row r="1654" spans="1:28">
      <c r="A1654" s="656" t="s">
        <v>6268</v>
      </c>
      <c r="B1654" s="656" t="s">
        <v>6269</v>
      </c>
      <c r="C1654" s="656" t="s">
        <v>21</v>
      </c>
      <c r="D1654" s="656" t="s">
        <v>10747</v>
      </c>
      <c r="E1654" s="656" t="s">
        <v>14275</v>
      </c>
      <c r="F1654" s="1447">
        <v>42447</v>
      </c>
      <c r="G1654" s="656" t="s">
        <v>10746</v>
      </c>
      <c r="H1654" s="656" t="s">
        <v>1584</v>
      </c>
      <c r="I1654" s="656" t="s">
        <v>14833</v>
      </c>
      <c r="J1654" s="656" t="s">
        <v>10747</v>
      </c>
      <c r="K1654" s="656" t="s">
        <v>10398</v>
      </c>
      <c r="L1654" s="656"/>
      <c r="M1654" s="656" t="s">
        <v>1584</v>
      </c>
      <c r="N1654" s="656"/>
      <c r="O1654" s="656" t="s">
        <v>6387</v>
      </c>
      <c r="P1654" s="5"/>
      <c r="Q1654" s="1447"/>
      <c r="R1654" s="656">
        <v>41790</v>
      </c>
      <c r="S1654" s="656" t="s">
        <v>1667</v>
      </c>
      <c r="T1654" s="656" t="s">
        <v>14524</v>
      </c>
      <c r="U1654" s="656" t="s">
        <v>1667</v>
      </c>
      <c r="V1654" s="656"/>
      <c r="W1654" s="656" t="s">
        <v>13051</v>
      </c>
      <c r="X1654" s="656" t="s">
        <v>498</v>
      </c>
      <c r="Y1654" s="656" t="s">
        <v>14278</v>
      </c>
      <c r="Z1654" s="656">
        <v>44305.517858796295</v>
      </c>
      <c r="AA1654" s="656" t="s">
        <v>14335</v>
      </c>
      <c r="AB1654" s="656"/>
    </row>
    <row r="1655" spans="1:28">
      <c r="A1655" s="656" t="s">
        <v>6268</v>
      </c>
      <c r="B1655" s="656" t="s">
        <v>6269</v>
      </c>
      <c r="C1655" s="656" t="s">
        <v>21</v>
      </c>
      <c r="D1655" s="656" t="s">
        <v>10748</v>
      </c>
      <c r="E1655" s="656" t="s">
        <v>14275</v>
      </c>
      <c r="F1655" s="1447">
        <v>42458</v>
      </c>
      <c r="G1655" s="656" t="s">
        <v>10746</v>
      </c>
      <c r="H1655" s="656" t="s">
        <v>1274</v>
      </c>
      <c r="I1655" s="656" t="s">
        <v>14834</v>
      </c>
      <c r="J1655" s="656" t="s">
        <v>10748</v>
      </c>
      <c r="K1655" s="656" t="s">
        <v>10398</v>
      </c>
      <c r="L1655" s="656"/>
      <c r="M1655" s="656" t="s">
        <v>1274</v>
      </c>
      <c r="N1655" s="656"/>
      <c r="O1655" s="656" t="s">
        <v>6387</v>
      </c>
      <c r="P1655" s="5"/>
      <c r="Q1655" s="1447"/>
      <c r="R1655" s="656">
        <v>41790</v>
      </c>
      <c r="S1655" s="656" t="s">
        <v>1667</v>
      </c>
      <c r="T1655" s="656" t="s">
        <v>14524</v>
      </c>
      <c r="U1655" s="656" t="s">
        <v>1667</v>
      </c>
      <c r="V1655" s="656"/>
      <c r="W1655" s="656" t="s">
        <v>13051</v>
      </c>
      <c r="X1655" s="656" t="s">
        <v>498</v>
      </c>
      <c r="Y1655" s="656" t="s">
        <v>14278</v>
      </c>
      <c r="Z1655" s="656">
        <v>44305.517870370371</v>
      </c>
      <c r="AA1655" s="656" t="s">
        <v>14335</v>
      </c>
      <c r="AB1655" s="656"/>
    </row>
    <row r="1656" spans="1:28">
      <c r="A1656" s="656" t="s">
        <v>6268</v>
      </c>
      <c r="B1656" s="656" t="s">
        <v>6269</v>
      </c>
      <c r="C1656" s="656" t="s">
        <v>21</v>
      </c>
      <c r="D1656" s="656" t="s">
        <v>10749</v>
      </c>
      <c r="E1656" s="656" t="s">
        <v>14384</v>
      </c>
      <c r="F1656" s="1447">
        <v>41935</v>
      </c>
      <c r="G1656" s="656" t="s">
        <v>10746</v>
      </c>
      <c r="H1656" s="656" t="s">
        <v>1777</v>
      </c>
      <c r="I1656" s="656" t="s">
        <v>14835</v>
      </c>
      <c r="J1656" s="656" t="s">
        <v>10749</v>
      </c>
      <c r="K1656" s="656" t="s">
        <v>9774</v>
      </c>
      <c r="L1656" s="656"/>
      <c r="M1656" s="656" t="s">
        <v>16196</v>
      </c>
      <c r="N1656" s="656"/>
      <c r="O1656" s="656" t="s">
        <v>6387</v>
      </c>
      <c r="P1656" s="5" t="s">
        <v>14752</v>
      </c>
      <c r="Q1656" s="1447">
        <v>41423</v>
      </c>
      <c r="R1656" s="656"/>
      <c r="S1656" s="656" t="s">
        <v>1667</v>
      </c>
      <c r="T1656" s="656" t="s">
        <v>14524</v>
      </c>
      <c r="U1656" s="656" t="s">
        <v>1667</v>
      </c>
      <c r="V1656" s="656"/>
      <c r="W1656" s="656" t="s">
        <v>13051</v>
      </c>
      <c r="X1656" s="656" t="s">
        <v>498</v>
      </c>
      <c r="Y1656" s="656" t="s">
        <v>14278</v>
      </c>
      <c r="Z1656" s="656">
        <v>44305.517870370371</v>
      </c>
      <c r="AA1656" s="656" t="s">
        <v>14335</v>
      </c>
      <c r="AB1656" s="656"/>
    </row>
    <row r="1657" spans="1:28">
      <c r="A1657" s="656" t="s">
        <v>6270</v>
      </c>
      <c r="B1657" s="656" t="s">
        <v>6271</v>
      </c>
      <c r="C1657" s="656" t="s">
        <v>21</v>
      </c>
      <c r="D1657" s="656" t="s">
        <v>10725</v>
      </c>
      <c r="E1657" s="656" t="s">
        <v>14275</v>
      </c>
      <c r="F1657" s="1447">
        <v>42426</v>
      </c>
      <c r="G1657" s="656" t="s">
        <v>10724</v>
      </c>
      <c r="H1657" s="656" t="s">
        <v>1777</v>
      </c>
      <c r="I1657" s="656" t="s">
        <v>14836</v>
      </c>
      <c r="J1657" s="656" t="s">
        <v>10725</v>
      </c>
      <c r="K1657" s="656" t="s">
        <v>9733</v>
      </c>
      <c r="L1657" s="656"/>
      <c r="M1657" s="656" t="s">
        <v>16358</v>
      </c>
      <c r="N1657" s="656"/>
      <c r="O1657" s="656" t="s">
        <v>6387</v>
      </c>
      <c r="P1657" s="5"/>
      <c r="Q1657" s="1447">
        <v>40906</v>
      </c>
      <c r="R1657" s="656">
        <v>42247</v>
      </c>
      <c r="S1657" s="656" t="s">
        <v>1667</v>
      </c>
      <c r="T1657" s="656" t="s">
        <v>14524</v>
      </c>
      <c r="U1657" s="656" t="s">
        <v>1667</v>
      </c>
      <c r="V1657" s="656"/>
      <c r="W1657" s="656" t="s">
        <v>13051</v>
      </c>
      <c r="X1657" s="656" t="s">
        <v>498</v>
      </c>
      <c r="Y1657" s="656" t="s">
        <v>14278</v>
      </c>
      <c r="Z1657" s="656">
        <v>44305.517800925925</v>
      </c>
      <c r="AA1657" s="656" t="s">
        <v>14335</v>
      </c>
      <c r="AB1657" s="656"/>
    </row>
    <row r="1658" spans="1:28">
      <c r="A1658" s="656" t="s">
        <v>6270</v>
      </c>
      <c r="B1658" s="656" t="s">
        <v>6271</v>
      </c>
      <c r="C1658" s="656" t="s">
        <v>21</v>
      </c>
      <c r="D1658" s="656" t="s">
        <v>10727</v>
      </c>
      <c r="E1658" s="656" t="s">
        <v>14384</v>
      </c>
      <c r="F1658" s="1447">
        <v>42262</v>
      </c>
      <c r="G1658" s="656" t="s">
        <v>10726</v>
      </c>
      <c r="H1658" s="656" t="s">
        <v>1777</v>
      </c>
      <c r="I1658" s="656" t="s">
        <v>14837</v>
      </c>
      <c r="J1658" s="656" t="s">
        <v>10727</v>
      </c>
      <c r="K1658" s="656" t="s">
        <v>10398</v>
      </c>
      <c r="L1658" s="656"/>
      <c r="M1658" s="656" t="s">
        <v>16323</v>
      </c>
      <c r="N1658" s="656"/>
      <c r="O1658" s="656" t="s">
        <v>6387</v>
      </c>
      <c r="P1658" s="5" t="s">
        <v>14752</v>
      </c>
      <c r="Q1658" s="1447">
        <v>42026</v>
      </c>
      <c r="R1658" s="656"/>
      <c r="S1658" s="656" t="s">
        <v>1667</v>
      </c>
      <c r="T1658" s="656" t="s">
        <v>14277</v>
      </c>
      <c r="U1658" s="656" t="s">
        <v>655</v>
      </c>
      <c r="V1658" s="656"/>
      <c r="W1658" s="656" t="s">
        <v>13051</v>
      </c>
      <c r="X1658" s="656" t="s">
        <v>498</v>
      </c>
      <c r="Y1658" s="656" t="s">
        <v>14278</v>
      </c>
      <c r="Z1658" s="656">
        <v>44305.517800925925</v>
      </c>
      <c r="AA1658" s="656" t="s">
        <v>14335</v>
      </c>
      <c r="AB1658" s="656"/>
    </row>
    <row r="1659" spans="1:28">
      <c r="A1659" s="656" t="s">
        <v>6270</v>
      </c>
      <c r="B1659" s="656" t="s">
        <v>6271</v>
      </c>
      <c r="C1659" s="656" t="s">
        <v>20</v>
      </c>
      <c r="D1659" s="656" t="s">
        <v>10729</v>
      </c>
      <c r="E1659" s="656" t="s">
        <v>14275</v>
      </c>
      <c r="F1659" s="1447">
        <v>42454</v>
      </c>
      <c r="G1659" s="656" t="s">
        <v>10728</v>
      </c>
      <c r="H1659" s="656" t="s">
        <v>1777</v>
      </c>
      <c r="I1659" s="656"/>
      <c r="J1659" s="656"/>
      <c r="K1659" s="656"/>
      <c r="L1659" s="656" t="s">
        <v>10729</v>
      </c>
      <c r="M1659" s="656" t="s">
        <v>1584</v>
      </c>
      <c r="N1659" s="656"/>
      <c r="O1659" s="656" t="s">
        <v>6387</v>
      </c>
      <c r="P1659" s="5"/>
      <c r="Q1659" s="1447"/>
      <c r="R1659" s="656"/>
      <c r="S1659" s="656" t="s">
        <v>1667</v>
      </c>
      <c r="T1659" s="656" t="s">
        <v>14524</v>
      </c>
      <c r="U1659" s="656" t="s">
        <v>1667</v>
      </c>
      <c r="V1659" s="656"/>
      <c r="W1659" s="656" t="s">
        <v>13051</v>
      </c>
      <c r="X1659" s="656" t="s">
        <v>498</v>
      </c>
      <c r="Y1659" s="656" t="s">
        <v>14278</v>
      </c>
      <c r="Z1659" s="656">
        <v>44305.517812500002</v>
      </c>
      <c r="AA1659" s="656" t="s">
        <v>14335</v>
      </c>
      <c r="AB1659" s="656"/>
    </row>
    <row r="1660" spans="1:28">
      <c r="A1660" s="656" t="s">
        <v>6270</v>
      </c>
      <c r="B1660" s="656" t="s">
        <v>6271</v>
      </c>
      <c r="C1660" s="656" t="s">
        <v>20</v>
      </c>
      <c r="D1660" s="656" t="s">
        <v>10731</v>
      </c>
      <c r="E1660" s="656" t="s">
        <v>14275</v>
      </c>
      <c r="F1660" s="1447">
        <v>42454</v>
      </c>
      <c r="G1660" s="656" t="s">
        <v>10730</v>
      </c>
      <c r="H1660" s="656" t="s">
        <v>1777</v>
      </c>
      <c r="I1660" s="656"/>
      <c r="J1660" s="656"/>
      <c r="K1660" s="656"/>
      <c r="L1660" s="656" t="s">
        <v>10731</v>
      </c>
      <c r="M1660" s="656" t="s">
        <v>1564</v>
      </c>
      <c r="N1660" s="656"/>
      <c r="O1660" s="656" t="s">
        <v>6387</v>
      </c>
      <c r="P1660" s="5"/>
      <c r="Q1660" s="1447"/>
      <c r="R1660" s="656"/>
      <c r="S1660" s="656" t="s">
        <v>1667</v>
      </c>
      <c r="T1660" s="656" t="s">
        <v>14524</v>
      </c>
      <c r="U1660" s="656" t="s">
        <v>1667</v>
      </c>
      <c r="V1660" s="656"/>
      <c r="W1660" s="656" t="s">
        <v>13051</v>
      </c>
      <c r="X1660" s="656" t="s">
        <v>498</v>
      </c>
      <c r="Y1660" s="656" t="s">
        <v>14278</v>
      </c>
      <c r="Z1660" s="656">
        <v>44305.517812500002</v>
      </c>
      <c r="AA1660" s="656" t="s">
        <v>14335</v>
      </c>
      <c r="AB1660" s="656"/>
    </row>
    <row r="1661" spans="1:28">
      <c r="A1661" s="656" t="s">
        <v>6270</v>
      </c>
      <c r="B1661" s="656" t="s">
        <v>6271</v>
      </c>
      <c r="C1661" s="656" t="s">
        <v>20</v>
      </c>
      <c r="D1661" s="656" t="s">
        <v>10733</v>
      </c>
      <c r="E1661" s="656" t="s">
        <v>14275</v>
      </c>
      <c r="F1661" s="1447">
        <v>42454</v>
      </c>
      <c r="G1661" s="656" t="s">
        <v>10732</v>
      </c>
      <c r="H1661" s="656" t="s">
        <v>1777</v>
      </c>
      <c r="I1661" s="656"/>
      <c r="J1661" s="656"/>
      <c r="K1661" s="656"/>
      <c r="L1661" s="656" t="s">
        <v>10733</v>
      </c>
      <c r="M1661" s="656" t="s">
        <v>1545</v>
      </c>
      <c r="N1661" s="656"/>
      <c r="O1661" s="656" t="s">
        <v>6387</v>
      </c>
      <c r="P1661" s="5"/>
      <c r="Q1661" s="1447"/>
      <c r="R1661" s="656"/>
      <c r="S1661" s="656" t="s">
        <v>1667</v>
      </c>
      <c r="T1661" s="656" t="s">
        <v>14524</v>
      </c>
      <c r="U1661" s="656" t="s">
        <v>1667</v>
      </c>
      <c r="V1661" s="656"/>
      <c r="W1661" s="656" t="s">
        <v>13051</v>
      </c>
      <c r="X1661" s="656" t="s">
        <v>498</v>
      </c>
      <c r="Y1661" s="656" t="s">
        <v>14278</v>
      </c>
      <c r="Z1661" s="656">
        <v>44305.517824074072</v>
      </c>
      <c r="AA1661" s="656" t="s">
        <v>14335</v>
      </c>
      <c r="AB1661" s="656"/>
    </row>
    <row r="1662" spans="1:28">
      <c r="A1662" s="656" t="s">
        <v>6270</v>
      </c>
      <c r="B1662" s="656" t="s">
        <v>6271</v>
      </c>
      <c r="C1662" s="656" t="s">
        <v>20</v>
      </c>
      <c r="D1662" s="656" t="s">
        <v>10735</v>
      </c>
      <c r="E1662" s="656" t="s">
        <v>14275</v>
      </c>
      <c r="F1662" s="1447">
        <v>42454</v>
      </c>
      <c r="G1662" s="656" t="s">
        <v>10734</v>
      </c>
      <c r="H1662" s="656" t="s">
        <v>1777</v>
      </c>
      <c r="I1662" s="656"/>
      <c r="J1662" s="656"/>
      <c r="K1662" s="656"/>
      <c r="L1662" s="656" t="s">
        <v>10735</v>
      </c>
      <c r="M1662" s="656" t="s">
        <v>1385</v>
      </c>
      <c r="N1662" s="656"/>
      <c r="O1662" s="656" t="s">
        <v>6387</v>
      </c>
      <c r="P1662" s="5"/>
      <c r="Q1662" s="1447"/>
      <c r="R1662" s="656"/>
      <c r="S1662" s="656" t="s">
        <v>1667</v>
      </c>
      <c r="T1662" s="656" t="s">
        <v>14524</v>
      </c>
      <c r="U1662" s="656" t="s">
        <v>1667</v>
      </c>
      <c r="V1662" s="656"/>
      <c r="W1662" s="656" t="s">
        <v>13051</v>
      </c>
      <c r="X1662" s="656" t="s">
        <v>498</v>
      </c>
      <c r="Y1662" s="656" t="s">
        <v>14278</v>
      </c>
      <c r="Z1662" s="656">
        <v>44305.517824074072</v>
      </c>
      <c r="AA1662" s="656" t="s">
        <v>14335</v>
      </c>
      <c r="AB1662" s="656"/>
    </row>
    <row r="1663" spans="1:28">
      <c r="A1663" s="656" t="s">
        <v>6270</v>
      </c>
      <c r="B1663" s="656" t="s">
        <v>6271</v>
      </c>
      <c r="C1663" s="656" t="s">
        <v>20</v>
      </c>
      <c r="D1663" s="656" t="s">
        <v>10737</v>
      </c>
      <c r="E1663" s="656" t="s">
        <v>14275</v>
      </c>
      <c r="F1663" s="1447">
        <v>42454</v>
      </c>
      <c r="G1663" s="656" t="s">
        <v>10736</v>
      </c>
      <c r="H1663" s="656" t="s">
        <v>1777</v>
      </c>
      <c r="I1663" s="656"/>
      <c r="J1663" s="656"/>
      <c r="K1663" s="656"/>
      <c r="L1663" s="656" t="s">
        <v>10737</v>
      </c>
      <c r="M1663" s="656" t="s">
        <v>1345</v>
      </c>
      <c r="N1663" s="656"/>
      <c r="O1663" s="656" t="s">
        <v>6387</v>
      </c>
      <c r="P1663" s="5"/>
      <c r="Q1663" s="1447"/>
      <c r="R1663" s="656"/>
      <c r="S1663" s="656" t="s">
        <v>1667</v>
      </c>
      <c r="T1663" s="656" t="s">
        <v>14524</v>
      </c>
      <c r="U1663" s="656" t="s">
        <v>1667</v>
      </c>
      <c r="V1663" s="656"/>
      <c r="W1663" s="656" t="s">
        <v>13051</v>
      </c>
      <c r="X1663" s="656" t="s">
        <v>498</v>
      </c>
      <c r="Y1663" s="656" t="s">
        <v>14278</v>
      </c>
      <c r="Z1663" s="656">
        <v>44305.517835648148</v>
      </c>
      <c r="AA1663" s="656" t="s">
        <v>14335</v>
      </c>
      <c r="AB1663" s="656"/>
    </row>
    <row r="1664" spans="1:28">
      <c r="A1664" s="656" t="s">
        <v>6270</v>
      </c>
      <c r="B1664" s="656" t="s">
        <v>6271</v>
      </c>
      <c r="C1664" s="656" t="s">
        <v>20</v>
      </c>
      <c r="D1664" s="656" t="s">
        <v>10739</v>
      </c>
      <c r="E1664" s="656" t="s">
        <v>14275</v>
      </c>
      <c r="F1664" s="1447">
        <v>42454</v>
      </c>
      <c r="G1664" s="656" t="s">
        <v>10738</v>
      </c>
      <c r="H1664" s="656" t="s">
        <v>1777</v>
      </c>
      <c r="I1664" s="656"/>
      <c r="J1664" s="656"/>
      <c r="K1664" s="656"/>
      <c r="L1664" s="656" t="s">
        <v>10739</v>
      </c>
      <c r="M1664" s="656" t="s">
        <v>1325</v>
      </c>
      <c r="N1664" s="656"/>
      <c r="O1664" s="656" t="s">
        <v>6387</v>
      </c>
      <c r="P1664" s="5"/>
      <c r="Q1664" s="1447"/>
      <c r="R1664" s="656"/>
      <c r="S1664" s="656" t="s">
        <v>1667</v>
      </c>
      <c r="T1664" s="656" t="s">
        <v>14524</v>
      </c>
      <c r="U1664" s="656" t="s">
        <v>1667</v>
      </c>
      <c r="V1664" s="656"/>
      <c r="W1664" s="656" t="s">
        <v>13051</v>
      </c>
      <c r="X1664" s="656" t="s">
        <v>498</v>
      </c>
      <c r="Y1664" s="656" t="s">
        <v>14278</v>
      </c>
      <c r="Z1664" s="656">
        <v>44305.517835648148</v>
      </c>
      <c r="AA1664" s="656" t="s">
        <v>14335</v>
      </c>
      <c r="AB1664" s="656"/>
    </row>
    <row r="1665" spans="1:28">
      <c r="A1665" s="656" t="s">
        <v>6270</v>
      </c>
      <c r="B1665" s="656" t="s">
        <v>6271</v>
      </c>
      <c r="C1665" s="656" t="s">
        <v>20</v>
      </c>
      <c r="D1665" s="656" t="s">
        <v>10741</v>
      </c>
      <c r="E1665" s="656" t="s">
        <v>14275</v>
      </c>
      <c r="F1665" s="1447">
        <v>42454</v>
      </c>
      <c r="G1665" s="656" t="s">
        <v>10740</v>
      </c>
      <c r="H1665" s="656" t="s">
        <v>1777</v>
      </c>
      <c r="I1665" s="656"/>
      <c r="J1665" s="656"/>
      <c r="K1665" s="656"/>
      <c r="L1665" s="656" t="s">
        <v>10741</v>
      </c>
      <c r="M1665" s="656" t="s">
        <v>1274</v>
      </c>
      <c r="N1665" s="656"/>
      <c r="O1665" s="656" t="s">
        <v>6387</v>
      </c>
      <c r="P1665" s="5"/>
      <c r="Q1665" s="1447"/>
      <c r="R1665" s="656"/>
      <c r="S1665" s="656" t="s">
        <v>1667</v>
      </c>
      <c r="T1665" s="656" t="s">
        <v>14524</v>
      </c>
      <c r="U1665" s="656" t="s">
        <v>1667</v>
      </c>
      <c r="V1665" s="656"/>
      <c r="W1665" s="656" t="s">
        <v>13051</v>
      </c>
      <c r="X1665" s="656" t="s">
        <v>498</v>
      </c>
      <c r="Y1665" s="656" t="s">
        <v>14278</v>
      </c>
      <c r="Z1665" s="656">
        <v>44305.517847222225</v>
      </c>
      <c r="AA1665" s="656" t="s">
        <v>14335</v>
      </c>
      <c r="AB1665" s="656"/>
    </row>
    <row r="1666" spans="1:28">
      <c r="A1666" s="656" t="s">
        <v>6270</v>
      </c>
      <c r="B1666" s="656" t="s">
        <v>6271</v>
      </c>
      <c r="C1666" s="656" t="s">
        <v>20</v>
      </c>
      <c r="D1666" s="656" t="s">
        <v>10743</v>
      </c>
      <c r="E1666" s="656" t="s">
        <v>14275</v>
      </c>
      <c r="F1666" s="1447">
        <v>42454</v>
      </c>
      <c r="G1666" s="656" t="s">
        <v>10742</v>
      </c>
      <c r="H1666" s="656" t="s">
        <v>1777</v>
      </c>
      <c r="I1666" s="656"/>
      <c r="J1666" s="656"/>
      <c r="K1666" s="656"/>
      <c r="L1666" s="656" t="s">
        <v>10743</v>
      </c>
      <c r="M1666" s="656" t="s">
        <v>1175</v>
      </c>
      <c r="N1666" s="656"/>
      <c r="O1666" s="656" t="s">
        <v>6387</v>
      </c>
      <c r="P1666" s="5"/>
      <c r="Q1666" s="1447"/>
      <c r="R1666" s="656"/>
      <c r="S1666" s="656" t="s">
        <v>1667</v>
      </c>
      <c r="T1666" s="656" t="s">
        <v>14524</v>
      </c>
      <c r="U1666" s="656" t="s">
        <v>1667</v>
      </c>
      <c r="V1666" s="656"/>
      <c r="W1666" s="656" t="s">
        <v>13051</v>
      </c>
      <c r="X1666" s="656" t="s">
        <v>498</v>
      </c>
      <c r="Y1666" s="656" t="s">
        <v>14278</v>
      </c>
      <c r="Z1666" s="656">
        <v>44305.517847222225</v>
      </c>
      <c r="AA1666" s="656" t="s">
        <v>14335</v>
      </c>
      <c r="AB1666" s="656"/>
    </row>
    <row r="1667" spans="1:28">
      <c r="A1667" s="656" t="s">
        <v>6270</v>
      </c>
      <c r="B1667" s="656" t="s">
        <v>6271</v>
      </c>
      <c r="C1667" s="656" t="s">
        <v>20</v>
      </c>
      <c r="D1667" s="656" t="s">
        <v>10745</v>
      </c>
      <c r="E1667" s="656" t="s">
        <v>14275</v>
      </c>
      <c r="F1667" s="1447">
        <v>42454</v>
      </c>
      <c r="G1667" s="656" t="s">
        <v>10744</v>
      </c>
      <c r="H1667" s="656" t="s">
        <v>1777</v>
      </c>
      <c r="I1667" s="656"/>
      <c r="J1667" s="656"/>
      <c r="K1667" s="656"/>
      <c r="L1667" s="656" t="s">
        <v>10745</v>
      </c>
      <c r="M1667" s="656" t="s">
        <v>1151</v>
      </c>
      <c r="N1667" s="656"/>
      <c r="O1667" s="656" t="s">
        <v>6387</v>
      </c>
      <c r="P1667" s="5"/>
      <c r="Q1667" s="1447"/>
      <c r="R1667" s="656"/>
      <c r="S1667" s="656" t="s">
        <v>1667</v>
      </c>
      <c r="T1667" s="656" t="s">
        <v>14524</v>
      </c>
      <c r="U1667" s="656" t="s">
        <v>1667</v>
      </c>
      <c r="V1667" s="656"/>
      <c r="W1667" s="656" t="s">
        <v>13051</v>
      </c>
      <c r="X1667" s="656" t="s">
        <v>498</v>
      </c>
      <c r="Y1667" s="656" t="s">
        <v>14278</v>
      </c>
      <c r="Z1667" s="656">
        <v>44305.517858796295</v>
      </c>
      <c r="AA1667" s="656" t="s">
        <v>14335</v>
      </c>
      <c r="AB1667" s="656"/>
    </row>
    <row r="1668" spans="1:28">
      <c r="A1668" s="656" t="s">
        <v>6272</v>
      </c>
      <c r="B1668" s="656" t="s">
        <v>6273</v>
      </c>
      <c r="C1668" s="656" t="s">
        <v>20</v>
      </c>
      <c r="D1668" s="656" t="s">
        <v>10721</v>
      </c>
      <c r="E1668" s="656" t="s">
        <v>14275</v>
      </c>
      <c r="F1668" s="1447">
        <v>42172</v>
      </c>
      <c r="G1668" s="656" t="s">
        <v>10720</v>
      </c>
      <c r="H1668" s="656" t="s">
        <v>1777</v>
      </c>
      <c r="I1668" s="656"/>
      <c r="J1668" s="656"/>
      <c r="K1668" s="656"/>
      <c r="L1668" s="656" t="s">
        <v>10721</v>
      </c>
      <c r="M1668" s="656" t="s">
        <v>1545</v>
      </c>
      <c r="N1668" s="656"/>
      <c r="O1668" s="656" t="s">
        <v>6387</v>
      </c>
      <c r="P1668" s="5"/>
      <c r="Q1668" s="1447"/>
      <c r="R1668" s="656"/>
      <c r="S1668" s="656" t="s">
        <v>655</v>
      </c>
      <c r="T1668" s="656" t="s">
        <v>14277</v>
      </c>
      <c r="U1668" s="656" t="s">
        <v>655</v>
      </c>
      <c r="V1668" s="656"/>
      <c r="W1668" s="656" t="s">
        <v>13051</v>
      </c>
      <c r="X1668" s="656" t="s">
        <v>498</v>
      </c>
      <c r="Y1668" s="656" t="s">
        <v>14278</v>
      </c>
      <c r="Z1668" s="656">
        <v>44305.517789351848</v>
      </c>
      <c r="AA1668" s="656" t="s">
        <v>14335</v>
      </c>
      <c r="AB1668" s="656"/>
    </row>
    <row r="1669" spans="1:28">
      <c r="A1669" s="656" t="s">
        <v>6272</v>
      </c>
      <c r="B1669" s="656" t="s">
        <v>6273</v>
      </c>
      <c r="C1669" s="656" t="s">
        <v>20</v>
      </c>
      <c r="D1669" s="656" t="s">
        <v>10723</v>
      </c>
      <c r="E1669" s="656" t="s">
        <v>14275</v>
      </c>
      <c r="F1669" s="1447">
        <v>42172</v>
      </c>
      <c r="G1669" s="656" t="s">
        <v>10722</v>
      </c>
      <c r="H1669" s="656" t="s">
        <v>1777</v>
      </c>
      <c r="I1669" s="656"/>
      <c r="J1669" s="656"/>
      <c r="K1669" s="656"/>
      <c r="L1669" s="656" t="s">
        <v>10723</v>
      </c>
      <c r="M1669" s="656" t="s">
        <v>1345</v>
      </c>
      <c r="N1669" s="656"/>
      <c r="O1669" s="656" t="s">
        <v>6387</v>
      </c>
      <c r="P1669" s="5"/>
      <c r="Q1669" s="1447"/>
      <c r="R1669" s="656"/>
      <c r="S1669" s="656" t="s">
        <v>655</v>
      </c>
      <c r="T1669" s="656" t="s">
        <v>14277</v>
      </c>
      <c r="U1669" s="656" t="s">
        <v>655</v>
      </c>
      <c r="V1669" s="656"/>
      <c r="W1669" s="656" t="s">
        <v>13051</v>
      </c>
      <c r="X1669" s="656" t="s">
        <v>498</v>
      </c>
      <c r="Y1669" s="656" t="s">
        <v>14278</v>
      </c>
      <c r="Z1669" s="656">
        <v>44305.517789351848</v>
      </c>
      <c r="AA1669" s="656" t="s">
        <v>14335</v>
      </c>
      <c r="AB1669" s="656"/>
    </row>
    <row r="1670" spans="1:28">
      <c r="A1670" s="656" t="s">
        <v>6276</v>
      </c>
      <c r="B1670" s="656" t="s">
        <v>6277</v>
      </c>
      <c r="C1670" s="656" t="s">
        <v>20</v>
      </c>
      <c r="D1670" s="656" t="s">
        <v>10719</v>
      </c>
      <c r="E1670" s="656" t="s">
        <v>14275</v>
      </c>
      <c r="F1670" s="1447">
        <v>42115</v>
      </c>
      <c r="G1670" s="656" t="s">
        <v>10718</v>
      </c>
      <c r="H1670" s="656" t="s">
        <v>1777</v>
      </c>
      <c r="I1670" s="656"/>
      <c r="J1670" s="656"/>
      <c r="K1670" s="656"/>
      <c r="L1670" s="656" t="s">
        <v>10719</v>
      </c>
      <c r="M1670" s="656" t="s">
        <v>1151</v>
      </c>
      <c r="N1670" s="656"/>
      <c r="O1670" s="656" t="s">
        <v>6387</v>
      </c>
      <c r="P1670" s="5"/>
      <c r="Q1670" s="1447"/>
      <c r="R1670" s="656"/>
      <c r="S1670" s="656" t="s">
        <v>1667</v>
      </c>
      <c r="T1670" s="656" t="s">
        <v>14524</v>
      </c>
      <c r="U1670" s="656" t="s">
        <v>1667</v>
      </c>
      <c r="V1670" s="656"/>
      <c r="W1670" s="656" t="s">
        <v>13051</v>
      </c>
      <c r="X1670" s="656" t="s">
        <v>498</v>
      </c>
      <c r="Y1670" s="656" t="s">
        <v>14278</v>
      </c>
      <c r="Z1670" s="656">
        <v>44305.517777777779</v>
      </c>
      <c r="AA1670" s="656" t="s">
        <v>14335</v>
      </c>
      <c r="AB1670" s="656"/>
    </row>
    <row r="1671" spans="1:28">
      <c r="A1671" s="656" t="s">
        <v>6278</v>
      </c>
      <c r="B1671" s="656" t="s">
        <v>6279</v>
      </c>
      <c r="C1671" s="656" t="s">
        <v>20</v>
      </c>
      <c r="D1671" s="656" t="s">
        <v>10717</v>
      </c>
      <c r="E1671" s="656" t="s">
        <v>14275</v>
      </c>
      <c r="F1671" s="1447">
        <v>42115</v>
      </c>
      <c r="G1671" s="656" t="s">
        <v>10716</v>
      </c>
      <c r="H1671" s="656" t="s">
        <v>1777</v>
      </c>
      <c r="I1671" s="656"/>
      <c r="J1671" s="656"/>
      <c r="K1671" s="656"/>
      <c r="L1671" s="656" t="s">
        <v>10717</v>
      </c>
      <c r="M1671" s="656" t="s">
        <v>1151</v>
      </c>
      <c r="N1671" s="656"/>
      <c r="O1671" s="656" t="s">
        <v>6387</v>
      </c>
      <c r="P1671" s="5"/>
      <c r="Q1671" s="1447"/>
      <c r="R1671" s="656"/>
      <c r="S1671" s="656" t="s">
        <v>1667</v>
      </c>
      <c r="T1671" s="656" t="s">
        <v>14524</v>
      </c>
      <c r="U1671" s="656" t="s">
        <v>1667</v>
      </c>
      <c r="V1671" s="656"/>
      <c r="W1671" s="656" t="s">
        <v>13051</v>
      </c>
      <c r="X1671" s="656" t="s">
        <v>498</v>
      </c>
      <c r="Y1671" s="656" t="s">
        <v>14278</v>
      </c>
      <c r="Z1671" s="656">
        <v>44305.517777777779</v>
      </c>
      <c r="AA1671" s="656" t="s">
        <v>14335</v>
      </c>
      <c r="AB1671" s="656"/>
    </row>
    <row r="1672" spans="1:28">
      <c r="A1672" s="656" t="s">
        <v>6282</v>
      </c>
      <c r="B1672" s="656" t="s">
        <v>6283</v>
      </c>
      <c r="C1672" s="656" t="s">
        <v>20</v>
      </c>
      <c r="D1672" s="656" t="s">
        <v>10715</v>
      </c>
      <c r="E1672" s="656" t="s">
        <v>14275</v>
      </c>
      <c r="F1672" s="1447">
        <v>41835</v>
      </c>
      <c r="G1672" s="656" t="s">
        <v>10714</v>
      </c>
      <c r="H1672" s="656" t="s">
        <v>1777</v>
      </c>
      <c r="I1672" s="656"/>
      <c r="J1672" s="656"/>
      <c r="K1672" s="656"/>
      <c r="L1672" s="656" t="s">
        <v>10715</v>
      </c>
      <c r="M1672" s="656" t="s">
        <v>16448</v>
      </c>
      <c r="N1672" s="656"/>
      <c r="O1672" s="656" t="s">
        <v>6393</v>
      </c>
      <c r="P1672" s="5"/>
      <c r="Q1672" s="1447"/>
      <c r="R1672" s="656"/>
      <c r="S1672" s="656" t="s">
        <v>1394</v>
      </c>
      <c r="T1672" s="656" t="s">
        <v>14559</v>
      </c>
      <c r="U1672" s="656" t="s">
        <v>500</v>
      </c>
      <c r="V1672" s="656"/>
      <c r="W1672" s="656" t="s">
        <v>13051</v>
      </c>
      <c r="X1672" s="656" t="s">
        <v>498</v>
      </c>
      <c r="Y1672" s="656" t="s">
        <v>14278</v>
      </c>
      <c r="Z1672" s="656">
        <v>44305.517766203702</v>
      </c>
      <c r="AA1672" s="656" t="s">
        <v>14335</v>
      </c>
      <c r="AB1672" s="656"/>
    </row>
    <row r="1673" spans="1:28">
      <c r="A1673" s="656" t="s">
        <v>6286</v>
      </c>
      <c r="B1673" s="656" t="s">
        <v>6287</v>
      </c>
      <c r="C1673" s="656" t="s">
        <v>20</v>
      </c>
      <c r="D1673" s="656" t="s">
        <v>10467</v>
      </c>
      <c r="E1673" s="656" t="s">
        <v>14275</v>
      </c>
      <c r="F1673" s="1447">
        <v>42369</v>
      </c>
      <c r="G1673" s="656" t="s">
        <v>10713</v>
      </c>
      <c r="H1673" s="656" t="s">
        <v>1777</v>
      </c>
      <c r="I1673" s="656"/>
      <c r="J1673" s="656"/>
      <c r="K1673" s="656"/>
      <c r="L1673" s="656" t="s">
        <v>10467</v>
      </c>
      <c r="M1673" s="656" t="s">
        <v>16449</v>
      </c>
      <c r="N1673" s="656"/>
      <c r="O1673" s="656" t="s">
        <v>6393</v>
      </c>
      <c r="P1673" s="5"/>
      <c r="Q1673" s="1447"/>
      <c r="R1673" s="656"/>
      <c r="S1673" s="656" t="s">
        <v>1300</v>
      </c>
      <c r="T1673" s="656" t="s">
        <v>4198</v>
      </c>
      <c r="U1673" s="656" t="s">
        <v>1300</v>
      </c>
      <c r="V1673" s="656"/>
      <c r="W1673" s="656" t="s">
        <v>13051</v>
      </c>
      <c r="X1673" s="656" t="s">
        <v>498</v>
      </c>
      <c r="Y1673" s="656" t="s">
        <v>14278</v>
      </c>
      <c r="Z1673" s="656">
        <v>44305.517766203702</v>
      </c>
      <c r="AA1673" s="656" t="s">
        <v>14335</v>
      </c>
      <c r="AB1673" s="656"/>
    </row>
    <row r="1674" spans="1:28">
      <c r="A1674" s="656" t="s">
        <v>6288</v>
      </c>
      <c r="B1674" s="656" t="s">
        <v>6289</v>
      </c>
      <c r="C1674" s="656" t="s">
        <v>20</v>
      </c>
      <c r="D1674" s="656" t="s">
        <v>10420</v>
      </c>
      <c r="E1674" s="656" t="s">
        <v>14275</v>
      </c>
      <c r="F1674" s="1447">
        <v>42454</v>
      </c>
      <c r="G1674" s="656" t="s">
        <v>10712</v>
      </c>
      <c r="H1674" s="656" t="s">
        <v>1777</v>
      </c>
      <c r="I1674" s="656"/>
      <c r="J1674" s="656"/>
      <c r="K1674" s="656"/>
      <c r="L1674" s="656" t="s">
        <v>10420</v>
      </c>
      <c r="M1674" s="656" t="s">
        <v>16196</v>
      </c>
      <c r="N1674" s="656"/>
      <c r="O1674" s="656" t="s">
        <v>6393</v>
      </c>
      <c r="P1674" s="5"/>
      <c r="Q1674" s="1447"/>
      <c r="R1674" s="656"/>
      <c r="S1674" s="656" t="s">
        <v>1300</v>
      </c>
      <c r="T1674" s="656" t="s">
        <v>4198</v>
      </c>
      <c r="U1674" s="656" t="s">
        <v>1300</v>
      </c>
      <c r="V1674" s="656"/>
      <c r="W1674" s="656" t="s">
        <v>13051</v>
      </c>
      <c r="X1674" s="656" t="s">
        <v>498</v>
      </c>
      <c r="Y1674" s="656" t="s">
        <v>14278</v>
      </c>
      <c r="Z1674" s="656">
        <v>44305.517766203702</v>
      </c>
      <c r="AA1674" s="656" t="s">
        <v>14335</v>
      </c>
      <c r="AB1674" s="656"/>
    </row>
    <row r="1675" spans="1:28">
      <c r="A1675" s="656" t="s">
        <v>6290</v>
      </c>
      <c r="B1675" s="656" t="s">
        <v>6291</v>
      </c>
      <c r="C1675" s="656" t="s">
        <v>20</v>
      </c>
      <c r="D1675" s="656" t="s">
        <v>10474</v>
      </c>
      <c r="E1675" s="656" t="s">
        <v>14275</v>
      </c>
      <c r="F1675" s="1447">
        <v>42369</v>
      </c>
      <c r="G1675" s="656" t="s">
        <v>10711</v>
      </c>
      <c r="H1675" s="656" t="s">
        <v>1777</v>
      </c>
      <c r="I1675" s="656"/>
      <c r="J1675" s="656"/>
      <c r="K1675" s="656"/>
      <c r="L1675" s="656" t="s">
        <v>10474</v>
      </c>
      <c r="M1675" s="656" t="s">
        <v>16398</v>
      </c>
      <c r="N1675" s="656"/>
      <c r="O1675" s="656" t="s">
        <v>6393</v>
      </c>
      <c r="P1675" s="5"/>
      <c r="Q1675" s="1447"/>
      <c r="R1675" s="656"/>
      <c r="S1675" s="656" t="s">
        <v>1300</v>
      </c>
      <c r="T1675" s="656" t="s">
        <v>4198</v>
      </c>
      <c r="U1675" s="656" t="s">
        <v>1300</v>
      </c>
      <c r="V1675" s="656"/>
      <c r="W1675" s="656" t="s">
        <v>13051</v>
      </c>
      <c r="X1675" s="656" t="s">
        <v>498</v>
      </c>
      <c r="Y1675" s="656" t="s">
        <v>14278</v>
      </c>
      <c r="Z1675" s="656">
        <v>44305.517754629633</v>
      </c>
      <c r="AA1675" s="656" t="s">
        <v>14335</v>
      </c>
      <c r="AB1675" s="656"/>
    </row>
    <row r="1676" spans="1:28">
      <c r="A1676" s="656" t="s">
        <v>6292</v>
      </c>
      <c r="B1676" s="656" t="s">
        <v>6293</v>
      </c>
      <c r="C1676" s="656" t="s">
        <v>20</v>
      </c>
      <c r="D1676" s="656" t="s">
        <v>10415</v>
      </c>
      <c r="E1676" s="656" t="s">
        <v>14275</v>
      </c>
      <c r="F1676" s="1447">
        <v>42017</v>
      </c>
      <c r="G1676" s="656" t="s">
        <v>10710</v>
      </c>
      <c r="H1676" s="656" t="s">
        <v>1777</v>
      </c>
      <c r="I1676" s="656"/>
      <c r="J1676" s="656"/>
      <c r="K1676" s="656"/>
      <c r="L1676" s="656" t="s">
        <v>10415</v>
      </c>
      <c r="M1676" s="656" t="s">
        <v>16450</v>
      </c>
      <c r="N1676" s="656"/>
      <c r="O1676" s="656" t="s">
        <v>6393</v>
      </c>
      <c r="P1676" s="5"/>
      <c r="Q1676" s="1447"/>
      <c r="R1676" s="656"/>
      <c r="S1676" s="656" t="s">
        <v>1300</v>
      </c>
      <c r="T1676" s="656" t="s">
        <v>4198</v>
      </c>
      <c r="U1676" s="656" t="s">
        <v>1300</v>
      </c>
      <c r="V1676" s="656"/>
      <c r="W1676" s="656" t="s">
        <v>13051</v>
      </c>
      <c r="X1676" s="656" t="s">
        <v>498</v>
      </c>
      <c r="Y1676" s="656" t="s">
        <v>14278</v>
      </c>
      <c r="Z1676" s="656">
        <v>44305.517754629633</v>
      </c>
      <c r="AA1676" s="656" t="s">
        <v>14335</v>
      </c>
      <c r="AB1676" s="656"/>
    </row>
    <row r="1677" spans="1:28">
      <c r="A1677" s="656" t="s">
        <v>6294</v>
      </c>
      <c r="B1677" s="656" t="s">
        <v>6295</v>
      </c>
      <c r="C1677" s="656" t="s">
        <v>20</v>
      </c>
      <c r="D1677" s="656" t="s">
        <v>10687</v>
      </c>
      <c r="E1677" s="656" t="s">
        <v>14275</v>
      </c>
      <c r="F1677" s="1447">
        <v>42404</v>
      </c>
      <c r="G1677" s="656" t="s">
        <v>10686</v>
      </c>
      <c r="H1677" s="656" t="s">
        <v>1777</v>
      </c>
      <c r="I1677" s="656"/>
      <c r="J1677" s="656"/>
      <c r="K1677" s="656"/>
      <c r="L1677" s="656" t="s">
        <v>10687</v>
      </c>
      <c r="M1677" s="656" t="s">
        <v>1584</v>
      </c>
      <c r="N1677" s="656"/>
      <c r="O1677" s="656" t="s">
        <v>6393</v>
      </c>
      <c r="P1677" s="5"/>
      <c r="Q1677" s="1447"/>
      <c r="R1677" s="656"/>
      <c r="S1677" s="656" t="s">
        <v>1300</v>
      </c>
      <c r="T1677" s="656" t="s">
        <v>4198</v>
      </c>
      <c r="U1677" s="656" t="s">
        <v>1300</v>
      </c>
      <c r="V1677" s="656"/>
      <c r="W1677" s="656" t="s">
        <v>13051</v>
      </c>
      <c r="X1677" s="656" t="s">
        <v>498</v>
      </c>
      <c r="Y1677" s="656" t="s">
        <v>14278</v>
      </c>
      <c r="Z1677" s="656">
        <v>44305.51767361111</v>
      </c>
      <c r="AA1677" s="656" t="s">
        <v>14335</v>
      </c>
      <c r="AB1677" s="656"/>
    </row>
    <row r="1678" spans="1:28">
      <c r="A1678" s="656" t="s">
        <v>6294</v>
      </c>
      <c r="B1678" s="656" t="s">
        <v>6295</v>
      </c>
      <c r="C1678" s="656" t="s">
        <v>20</v>
      </c>
      <c r="D1678" s="656" t="s">
        <v>10689</v>
      </c>
      <c r="E1678" s="656" t="s">
        <v>14275</v>
      </c>
      <c r="F1678" s="1447">
        <v>42404</v>
      </c>
      <c r="G1678" s="656" t="s">
        <v>10688</v>
      </c>
      <c r="H1678" s="656" t="s">
        <v>1777</v>
      </c>
      <c r="I1678" s="656"/>
      <c r="J1678" s="656"/>
      <c r="K1678" s="656"/>
      <c r="L1678" s="656" t="s">
        <v>10689</v>
      </c>
      <c r="M1678" s="656" t="s">
        <v>1584</v>
      </c>
      <c r="N1678" s="656"/>
      <c r="O1678" s="656" t="s">
        <v>6393</v>
      </c>
      <c r="P1678" s="5"/>
      <c r="Q1678" s="1447"/>
      <c r="R1678" s="656"/>
      <c r="S1678" s="656" t="s">
        <v>1300</v>
      </c>
      <c r="T1678" s="656" t="s">
        <v>4198</v>
      </c>
      <c r="U1678" s="656" t="s">
        <v>1300</v>
      </c>
      <c r="V1678" s="656"/>
      <c r="W1678" s="656" t="s">
        <v>13051</v>
      </c>
      <c r="X1678" s="656" t="s">
        <v>498</v>
      </c>
      <c r="Y1678" s="656" t="s">
        <v>14278</v>
      </c>
      <c r="Z1678" s="656">
        <v>44305.517685185187</v>
      </c>
      <c r="AA1678" s="656" t="s">
        <v>14335</v>
      </c>
      <c r="AB1678" s="656"/>
    </row>
    <row r="1679" spans="1:28">
      <c r="A1679" s="656" t="s">
        <v>6294</v>
      </c>
      <c r="B1679" s="656" t="s">
        <v>6295</v>
      </c>
      <c r="C1679" s="656" t="s">
        <v>20</v>
      </c>
      <c r="D1679" s="656" t="s">
        <v>10691</v>
      </c>
      <c r="E1679" s="656" t="s">
        <v>14275</v>
      </c>
      <c r="F1679" s="1447">
        <v>42404</v>
      </c>
      <c r="G1679" s="656" t="s">
        <v>10690</v>
      </c>
      <c r="H1679" s="656" t="s">
        <v>1777</v>
      </c>
      <c r="I1679" s="656"/>
      <c r="J1679" s="656"/>
      <c r="K1679" s="656"/>
      <c r="L1679" s="656" t="s">
        <v>10691</v>
      </c>
      <c r="M1679" s="656" t="s">
        <v>1564</v>
      </c>
      <c r="N1679" s="656"/>
      <c r="O1679" s="656" t="s">
        <v>6393</v>
      </c>
      <c r="P1679" s="5"/>
      <c r="Q1679" s="1447"/>
      <c r="R1679" s="656"/>
      <c r="S1679" s="656" t="s">
        <v>1300</v>
      </c>
      <c r="T1679" s="656" t="s">
        <v>4198</v>
      </c>
      <c r="U1679" s="656" t="s">
        <v>1300</v>
      </c>
      <c r="V1679" s="656"/>
      <c r="W1679" s="656" t="s">
        <v>13051</v>
      </c>
      <c r="X1679" s="656" t="s">
        <v>498</v>
      </c>
      <c r="Y1679" s="656" t="s">
        <v>14278</v>
      </c>
      <c r="Z1679" s="656">
        <v>44305.517685185187</v>
      </c>
      <c r="AA1679" s="656" t="s">
        <v>14335</v>
      </c>
      <c r="AB1679" s="656"/>
    </row>
    <row r="1680" spans="1:28">
      <c r="A1680" s="656" t="s">
        <v>6294</v>
      </c>
      <c r="B1680" s="656" t="s">
        <v>6295</v>
      </c>
      <c r="C1680" s="656" t="s">
        <v>20</v>
      </c>
      <c r="D1680" s="656" t="s">
        <v>10693</v>
      </c>
      <c r="E1680" s="656" t="s">
        <v>14275</v>
      </c>
      <c r="F1680" s="1447">
        <v>42404</v>
      </c>
      <c r="G1680" s="656" t="s">
        <v>10692</v>
      </c>
      <c r="H1680" s="656" t="s">
        <v>1777</v>
      </c>
      <c r="I1680" s="656"/>
      <c r="J1680" s="656"/>
      <c r="K1680" s="656"/>
      <c r="L1680" s="656" t="s">
        <v>10693</v>
      </c>
      <c r="M1680" s="656" t="s">
        <v>1545</v>
      </c>
      <c r="N1680" s="656"/>
      <c r="O1680" s="656" t="s">
        <v>6393</v>
      </c>
      <c r="P1680" s="5"/>
      <c r="Q1680" s="1447"/>
      <c r="R1680" s="656"/>
      <c r="S1680" s="656" t="s">
        <v>1300</v>
      </c>
      <c r="T1680" s="656" t="s">
        <v>4198</v>
      </c>
      <c r="U1680" s="656" t="s">
        <v>1300</v>
      </c>
      <c r="V1680" s="656"/>
      <c r="W1680" s="656" t="s">
        <v>13051</v>
      </c>
      <c r="X1680" s="656" t="s">
        <v>498</v>
      </c>
      <c r="Y1680" s="656" t="s">
        <v>14278</v>
      </c>
      <c r="Z1680" s="656">
        <v>44305.517696759256</v>
      </c>
      <c r="AA1680" s="656" t="s">
        <v>14335</v>
      </c>
      <c r="AB1680" s="656"/>
    </row>
    <row r="1681" spans="1:28">
      <c r="A1681" s="656" t="s">
        <v>6294</v>
      </c>
      <c r="B1681" s="656" t="s">
        <v>6295</v>
      </c>
      <c r="C1681" s="656" t="s">
        <v>20</v>
      </c>
      <c r="D1681" s="656" t="s">
        <v>10695</v>
      </c>
      <c r="E1681" s="656" t="s">
        <v>14275</v>
      </c>
      <c r="F1681" s="1447">
        <v>42404</v>
      </c>
      <c r="G1681" s="656" t="s">
        <v>10694</v>
      </c>
      <c r="H1681" s="656" t="s">
        <v>1777</v>
      </c>
      <c r="I1681" s="656"/>
      <c r="J1681" s="656"/>
      <c r="K1681" s="656"/>
      <c r="L1681" s="656" t="s">
        <v>10695</v>
      </c>
      <c r="M1681" s="656" t="s">
        <v>1385</v>
      </c>
      <c r="N1681" s="656"/>
      <c r="O1681" s="656" t="s">
        <v>6393</v>
      </c>
      <c r="P1681" s="5"/>
      <c r="Q1681" s="1447"/>
      <c r="R1681" s="656"/>
      <c r="S1681" s="656" t="s">
        <v>1300</v>
      </c>
      <c r="T1681" s="656" t="s">
        <v>4198</v>
      </c>
      <c r="U1681" s="656" t="s">
        <v>1300</v>
      </c>
      <c r="V1681" s="656"/>
      <c r="W1681" s="656" t="s">
        <v>13051</v>
      </c>
      <c r="X1681" s="656" t="s">
        <v>498</v>
      </c>
      <c r="Y1681" s="656" t="s">
        <v>14278</v>
      </c>
      <c r="Z1681" s="656">
        <v>44305.517696759256</v>
      </c>
      <c r="AA1681" s="656" t="s">
        <v>14335</v>
      </c>
      <c r="AB1681" s="656"/>
    </row>
    <row r="1682" spans="1:28">
      <c r="A1682" s="656" t="s">
        <v>6294</v>
      </c>
      <c r="B1682" s="656" t="s">
        <v>6295</v>
      </c>
      <c r="C1682" s="656" t="s">
        <v>20</v>
      </c>
      <c r="D1682" s="656" t="s">
        <v>10697</v>
      </c>
      <c r="E1682" s="656" t="s">
        <v>14275</v>
      </c>
      <c r="F1682" s="1447">
        <v>42404</v>
      </c>
      <c r="G1682" s="656" t="s">
        <v>10696</v>
      </c>
      <c r="H1682" s="656" t="s">
        <v>1777</v>
      </c>
      <c r="I1682" s="656"/>
      <c r="J1682" s="656"/>
      <c r="K1682" s="656"/>
      <c r="L1682" s="656" t="s">
        <v>10697</v>
      </c>
      <c r="M1682" s="656" t="s">
        <v>1364</v>
      </c>
      <c r="N1682" s="656"/>
      <c r="O1682" s="656" t="s">
        <v>6393</v>
      </c>
      <c r="P1682" s="5"/>
      <c r="Q1682" s="1447"/>
      <c r="R1682" s="656"/>
      <c r="S1682" s="656" t="s">
        <v>1300</v>
      </c>
      <c r="T1682" s="656" t="s">
        <v>4198</v>
      </c>
      <c r="U1682" s="656" t="s">
        <v>1300</v>
      </c>
      <c r="V1682" s="656"/>
      <c r="W1682" s="656" t="s">
        <v>13051</v>
      </c>
      <c r="X1682" s="656" t="s">
        <v>498</v>
      </c>
      <c r="Y1682" s="656" t="s">
        <v>14278</v>
      </c>
      <c r="Z1682" s="656">
        <v>44305.517708333333</v>
      </c>
      <c r="AA1682" s="656" t="s">
        <v>14335</v>
      </c>
      <c r="AB1682" s="656"/>
    </row>
    <row r="1683" spans="1:28">
      <c r="A1683" s="656" t="s">
        <v>6294</v>
      </c>
      <c r="B1683" s="656" t="s">
        <v>6295</v>
      </c>
      <c r="C1683" s="656" t="s">
        <v>20</v>
      </c>
      <c r="D1683" s="656" t="s">
        <v>10699</v>
      </c>
      <c r="E1683" s="656" t="s">
        <v>14275</v>
      </c>
      <c r="F1683" s="1447">
        <v>42404</v>
      </c>
      <c r="G1683" s="656" t="s">
        <v>10698</v>
      </c>
      <c r="H1683" s="656" t="s">
        <v>1777</v>
      </c>
      <c r="I1683" s="656"/>
      <c r="J1683" s="656"/>
      <c r="K1683" s="656"/>
      <c r="L1683" s="656" t="s">
        <v>10699</v>
      </c>
      <c r="M1683" s="656" t="s">
        <v>1345</v>
      </c>
      <c r="N1683" s="656"/>
      <c r="O1683" s="656" t="s">
        <v>6393</v>
      </c>
      <c r="P1683" s="5"/>
      <c r="Q1683" s="1447"/>
      <c r="R1683" s="656"/>
      <c r="S1683" s="656" t="s">
        <v>1300</v>
      </c>
      <c r="T1683" s="656" t="s">
        <v>4198</v>
      </c>
      <c r="U1683" s="656" t="s">
        <v>1300</v>
      </c>
      <c r="V1683" s="656"/>
      <c r="W1683" s="656" t="s">
        <v>13051</v>
      </c>
      <c r="X1683" s="656" t="s">
        <v>498</v>
      </c>
      <c r="Y1683" s="656" t="s">
        <v>14278</v>
      </c>
      <c r="Z1683" s="656">
        <v>44305.517708333333</v>
      </c>
      <c r="AA1683" s="656" t="s">
        <v>14335</v>
      </c>
      <c r="AB1683" s="656"/>
    </row>
    <row r="1684" spans="1:28">
      <c r="A1684" s="656" t="s">
        <v>6294</v>
      </c>
      <c r="B1684" s="656" t="s">
        <v>6295</v>
      </c>
      <c r="C1684" s="656" t="s">
        <v>20</v>
      </c>
      <c r="D1684" s="656" t="s">
        <v>10701</v>
      </c>
      <c r="E1684" s="656" t="s">
        <v>14275</v>
      </c>
      <c r="F1684" s="1447">
        <v>42349</v>
      </c>
      <c r="G1684" s="656" t="s">
        <v>10700</v>
      </c>
      <c r="H1684" s="656" t="s">
        <v>1777</v>
      </c>
      <c r="I1684" s="656"/>
      <c r="J1684" s="656"/>
      <c r="K1684" s="656"/>
      <c r="L1684" s="656" t="s">
        <v>10701</v>
      </c>
      <c r="M1684" s="656" t="s">
        <v>1325</v>
      </c>
      <c r="N1684" s="656"/>
      <c r="O1684" s="656" t="s">
        <v>6393</v>
      </c>
      <c r="P1684" s="5"/>
      <c r="Q1684" s="1447"/>
      <c r="R1684" s="656"/>
      <c r="S1684" s="656" t="s">
        <v>1300</v>
      </c>
      <c r="T1684" s="656" t="s">
        <v>4198</v>
      </c>
      <c r="U1684" s="656" t="s">
        <v>1300</v>
      </c>
      <c r="V1684" s="656"/>
      <c r="W1684" s="656" t="s">
        <v>13051</v>
      </c>
      <c r="X1684" s="656" t="s">
        <v>498</v>
      </c>
      <c r="Y1684" s="656" t="s">
        <v>14278</v>
      </c>
      <c r="Z1684" s="656">
        <v>44305.51771990741</v>
      </c>
      <c r="AA1684" s="656" t="s">
        <v>14335</v>
      </c>
      <c r="AB1684" s="656"/>
    </row>
    <row r="1685" spans="1:28">
      <c r="A1685" s="656" t="s">
        <v>6294</v>
      </c>
      <c r="B1685" s="656" t="s">
        <v>6295</v>
      </c>
      <c r="C1685" s="656" t="s">
        <v>20</v>
      </c>
      <c r="D1685" s="656" t="s">
        <v>10703</v>
      </c>
      <c r="E1685" s="656" t="s">
        <v>14275</v>
      </c>
      <c r="F1685" s="1447">
        <v>42349</v>
      </c>
      <c r="G1685" s="656" t="s">
        <v>10702</v>
      </c>
      <c r="H1685" s="656" t="s">
        <v>1777</v>
      </c>
      <c r="I1685" s="656"/>
      <c r="J1685" s="656"/>
      <c r="K1685" s="656"/>
      <c r="L1685" s="656" t="s">
        <v>10703</v>
      </c>
      <c r="M1685" s="656" t="s">
        <v>1274</v>
      </c>
      <c r="N1685" s="656"/>
      <c r="O1685" s="656" t="s">
        <v>6393</v>
      </c>
      <c r="P1685" s="5"/>
      <c r="Q1685" s="1447"/>
      <c r="R1685" s="656"/>
      <c r="S1685" s="656" t="s">
        <v>1300</v>
      </c>
      <c r="T1685" s="656" t="s">
        <v>4198</v>
      </c>
      <c r="U1685" s="656" t="s">
        <v>1300</v>
      </c>
      <c r="V1685" s="656"/>
      <c r="W1685" s="656" t="s">
        <v>13051</v>
      </c>
      <c r="X1685" s="656" t="s">
        <v>498</v>
      </c>
      <c r="Y1685" s="656" t="s">
        <v>14278</v>
      </c>
      <c r="Z1685" s="656">
        <v>44305.517743055556</v>
      </c>
      <c r="AA1685" s="656" t="s">
        <v>14335</v>
      </c>
      <c r="AB1685" s="656"/>
    </row>
    <row r="1686" spans="1:28">
      <c r="A1686" s="656" t="s">
        <v>6294</v>
      </c>
      <c r="B1686" s="656" t="s">
        <v>6295</v>
      </c>
      <c r="C1686" s="656" t="s">
        <v>20</v>
      </c>
      <c r="D1686" s="656" t="s">
        <v>10705</v>
      </c>
      <c r="E1686" s="656" t="s">
        <v>14275</v>
      </c>
      <c r="F1686" s="1447">
        <v>42349</v>
      </c>
      <c r="G1686" s="656" t="s">
        <v>10704</v>
      </c>
      <c r="H1686" s="656" t="s">
        <v>1777</v>
      </c>
      <c r="I1686" s="656"/>
      <c r="J1686" s="656"/>
      <c r="K1686" s="656"/>
      <c r="L1686" s="656" t="s">
        <v>10705</v>
      </c>
      <c r="M1686" s="656" t="s">
        <v>1274</v>
      </c>
      <c r="N1686" s="656"/>
      <c r="O1686" s="656" t="s">
        <v>6393</v>
      </c>
      <c r="P1686" s="5"/>
      <c r="Q1686" s="1447"/>
      <c r="R1686" s="656"/>
      <c r="S1686" s="656" t="s">
        <v>1300</v>
      </c>
      <c r="T1686" s="656" t="s">
        <v>4198</v>
      </c>
      <c r="U1686" s="656" t="s">
        <v>1300</v>
      </c>
      <c r="V1686" s="656"/>
      <c r="W1686" s="656" t="s">
        <v>13051</v>
      </c>
      <c r="X1686" s="656" t="s">
        <v>498</v>
      </c>
      <c r="Y1686" s="656" t="s">
        <v>14278</v>
      </c>
      <c r="Z1686" s="656">
        <v>44305.517731481479</v>
      </c>
      <c r="AA1686" s="656" t="s">
        <v>14335</v>
      </c>
      <c r="AB1686" s="656"/>
    </row>
    <row r="1687" spans="1:28">
      <c r="A1687" s="656" t="s">
        <v>6294</v>
      </c>
      <c r="B1687" s="656" t="s">
        <v>6295</v>
      </c>
      <c r="C1687" s="656" t="s">
        <v>20</v>
      </c>
      <c r="D1687" s="656" t="s">
        <v>10707</v>
      </c>
      <c r="E1687" s="656" t="s">
        <v>14275</v>
      </c>
      <c r="F1687" s="1447">
        <v>42374</v>
      </c>
      <c r="G1687" s="656" t="s">
        <v>10706</v>
      </c>
      <c r="H1687" s="656" t="s">
        <v>1777</v>
      </c>
      <c r="I1687" s="656"/>
      <c r="J1687" s="656"/>
      <c r="K1687" s="656"/>
      <c r="L1687" s="656" t="s">
        <v>10707</v>
      </c>
      <c r="M1687" s="656" t="s">
        <v>16440</v>
      </c>
      <c r="N1687" s="656"/>
      <c r="O1687" s="656" t="s">
        <v>6393</v>
      </c>
      <c r="P1687" s="5"/>
      <c r="Q1687" s="1447"/>
      <c r="R1687" s="656"/>
      <c r="S1687" s="656" t="s">
        <v>1300</v>
      </c>
      <c r="T1687" s="656" t="s">
        <v>4198</v>
      </c>
      <c r="U1687" s="656" t="s">
        <v>1300</v>
      </c>
      <c r="V1687" s="656"/>
      <c r="W1687" s="656" t="s">
        <v>13051</v>
      </c>
      <c r="X1687" s="656" t="s">
        <v>498</v>
      </c>
      <c r="Y1687" s="656" t="s">
        <v>14278</v>
      </c>
      <c r="Z1687" s="656">
        <v>44305.517743055556</v>
      </c>
      <c r="AA1687" s="656" t="s">
        <v>14335</v>
      </c>
      <c r="AB1687" s="656"/>
    </row>
    <row r="1688" spans="1:28">
      <c r="A1688" s="656" t="s">
        <v>6294</v>
      </c>
      <c r="B1688" s="656" t="s">
        <v>6295</v>
      </c>
      <c r="C1688" s="656" t="s">
        <v>20</v>
      </c>
      <c r="D1688" s="656" t="s">
        <v>10709</v>
      </c>
      <c r="E1688" s="656" t="s">
        <v>14275</v>
      </c>
      <c r="F1688" s="1447">
        <v>42349</v>
      </c>
      <c r="G1688" s="656" t="s">
        <v>10708</v>
      </c>
      <c r="H1688" s="656" t="s">
        <v>1777</v>
      </c>
      <c r="I1688" s="656"/>
      <c r="J1688" s="656"/>
      <c r="K1688" s="656"/>
      <c r="L1688" s="656" t="s">
        <v>10709</v>
      </c>
      <c r="M1688" s="656" t="s">
        <v>16449</v>
      </c>
      <c r="N1688" s="656"/>
      <c r="O1688" s="656" t="s">
        <v>6393</v>
      </c>
      <c r="P1688" s="5"/>
      <c r="Q1688" s="1447"/>
      <c r="R1688" s="656"/>
      <c r="S1688" s="656" t="s">
        <v>1300</v>
      </c>
      <c r="T1688" s="656" t="s">
        <v>4198</v>
      </c>
      <c r="U1688" s="656" t="s">
        <v>1300</v>
      </c>
      <c r="V1688" s="656"/>
      <c r="W1688" s="656" t="s">
        <v>13051</v>
      </c>
      <c r="X1688" s="656" t="s">
        <v>498</v>
      </c>
      <c r="Y1688" s="656" t="s">
        <v>14278</v>
      </c>
      <c r="Z1688" s="656">
        <v>44305.517743055556</v>
      </c>
      <c r="AA1688" s="656" t="s">
        <v>14335</v>
      </c>
      <c r="AB1688" s="656"/>
    </row>
    <row r="1689" spans="1:28">
      <c r="A1689" s="656" t="s">
        <v>6296</v>
      </c>
      <c r="B1689" s="656" t="s">
        <v>6297</v>
      </c>
      <c r="C1689" s="656" t="s">
        <v>21</v>
      </c>
      <c r="D1689" s="656" t="s">
        <v>10684</v>
      </c>
      <c r="E1689" s="656" t="s">
        <v>14275</v>
      </c>
      <c r="F1689" s="1447">
        <v>42425</v>
      </c>
      <c r="G1689" s="656" t="s">
        <v>10683</v>
      </c>
      <c r="H1689" s="656" t="s">
        <v>1385</v>
      </c>
      <c r="I1689" s="656" t="s">
        <v>14838</v>
      </c>
      <c r="J1689" s="656" t="s">
        <v>10684</v>
      </c>
      <c r="K1689" s="656" t="s">
        <v>9774</v>
      </c>
      <c r="L1689" s="656"/>
      <c r="M1689" s="656" t="s">
        <v>1385</v>
      </c>
      <c r="N1689" s="656"/>
      <c r="O1689" s="656" t="s">
        <v>6393</v>
      </c>
      <c r="P1689" s="5"/>
      <c r="Q1689" s="1447"/>
      <c r="R1689" s="656">
        <v>41883</v>
      </c>
      <c r="S1689" s="656" t="s">
        <v>1300</v>
      </c>
      <c r="T1689" s="656" t="s">
        <v>4198</v>
      </c>
      <c r="U1689" s="656" t="s">
        <v>1300</v>
      </c>
      <c r="V1689" s="656"/>
      <c r="W1689" s="656" t="s">
        <v>13051</v>
      </c>
      <c r="X1689" s="656" t="s">
        <v>498</v>
      </c>
      <c r="Y1689" s="656" t="s">
        <v>14278</v>
      </c>
      <c r="Z1689" s="656">
        <v>44305.51766203704</v>
      </c>
      <c r="AA1689" s="656" t="s">
        <v>14335</v>
      </c>
      <c r="AB1689" s="656"/>
    </row>
    <row r="1690" spans="1:28">
      <c r="A1690" s="656" t="s">
        <v>6296</v>
      </c>
      <c r="B1690" s="656" t="s">
        <v>6297</v>
      </c>
      <c r="C1690" s="656" t="s">
        <v>20</v>
      </c>
      <c r="D1690" s="656" t="s">
        <v>10685</v>
      </c>
      <c r="E1690" s="656" t="s">
        <v>14275</v>
      </c>
      <c r="F1690" s="1447">
        <v>42426</v>
      </c>
      <c r="G1690" s="656" t="s">
        <v>10683</v>
      </c>
      <c r="H1690" s="656" t="s">
        <v>1777</v>
      </c>
      <c r="I1690" s="656"/>
      <c r="J1690" s="656"/>
      <c r="K1690" s="656"/>
      <c r="L1690" s="656" t="s">
        <v>10685</v>
      </c>
      <c r="M1690" s="656" t="s">
        <v>1385</v>
      </c>
      <c r="N1690" s="656"/>
      <c r="O1690" s="656" t="s">
        <v>6393</v>
      </c>
      <c r="P1690" s="5"/>
      <c r="Q1690" s="1447"/>
      <c r="R1690" s="656"/>
      <c r="S1690" s="656" t="s">
        <v>1300</v>
      </c>
      <c r="T1690" s="656" t="s">
        <v>4198</v>
      </c>
      <c r="U1690" s="656" t="s">
        <v>1300</v>
      </c>
      <c r="V1690" s="656"/>
      <c r="W1690" s="656" t="s">
        <v>13051</v>
      </c>
      <c r="X1690" s="656" t="s">
        <v>498</v>
      </c>
      <c r="Y1690" s="656" t="s">
        <v>14278</v>
      </c>
      <c r="Z1690" s="656">
        <v>44305.51767361111</v>
      </c>
      <c r="AA1690" s="656" t="s">
        <v>14335</v>
      </c>
      <c r="AB1690" s="656"/>
    </row>
    <row r="1691" spans="1:28">
      <c r="A1691" s="656" t="s">
        <v>6323</v>
      </c>
      <c r="B1691" s="656" t="s">
        <v>6324</v>
      </c>
      <c r="C1691" s="656" t="s">
        <v>21</v>
      </c>
      <c r="D1691" s="656" t="s">
        <v>10680</v>
      </c>
      <c r="E1691" s="656" t="s">
        <v>14275</v>
      </c>
      <c r="F1691" s="1447">
        <v>41635</v>
      </c>
      <c r="G1691" s="656" t="s">
        <v>10679</v>
      </c>
      <c r="H1691" s="656" t="s">
        <v>1777</v>
      </c>
      <c r="I1691" s="656" t="s">
        <v>14839</v>
      </c>
      <c r="J1691" s="656" t="s">
        <v>10680</v>
      </c>
      <c r="K1691" s="656" t="s">
        <v>10398</v>
      </c>
      <c r="L1691" s="656"/>
      <c r="M1691" s="656" t="s">
        <v>16443</v>
      </c>
      <c r="N1691" s="656"/>
      <c r="O1691" s="656" t="s">
        <v>6387</v>
      </c>
      <c r="P1691" s="5"/>
      <c r="Q1691" s="1447"/>
      <c r="R1691" s="656">
        <v>41255</v>
      </c>
      <c r="S1691" s="656" t="s">
        <v>1394</v>
      </c>
      <c r="T1691" s="656" t="s">
        <v>14277</v>
      </c>
      <c r="U1691" s="656" t="s">
        <v>655</v>
      </c>
      <c r="V1691" s="656"/>
      <c r="W1691" s="656" t="s">
        <v>13051</v>
      </c>
      <c r="X1691" s="656" t="s">
        <v>498</v>
      </c>
      <c r="Y1691" s="656" t="s">
        <v>14278</v>
      </c>
      <c r="Z1691" s="656">
        <v>44305.517650462964</v>
      </c>
      <c r="AA1691" s="656" t="s">
        <v>14335</v>
      </c>
      <c r="AB1691" s="656"/>
    </row>
    <row r="1692" spans="1:28">
      <c r="A1692" s="656" t="s">
        <v>6323</v>
      </c>
      <c r="B1692" s="656" t="s">
        <v>6324</v>
      </c>
      <c r="C1692" s="656" t="s">
        <v>20</v>
      </c>
      <c r="D1692" s="656" t="s">
        <v>10682</v>
      </c>
      <c r="E1692" s="656" t="s">
        <v>14275</v>
      </c>
      <c r="F1692" s="1447">
        <v>41984</v>
      </c>
      <c r="G1692" s="656" t="s">
        <v>10681</v>
      </c>
      <c r="H1692" s="656" t="s">
        <v>1777</v>
      </c>
      <c r="I1692" s="656"/>
      <c r="J1692" s="656"/>
      <c r="K1692" s="656"/>
      <c r="L1692" s="656" t="s">
        <v>10682</v>
      </c>
      <c r="M1692" s="656" t="s">
        <v>16443</v>
      </c>
      <c r="N1692" s="656"/>
      <c r="O1692" s="656" t="s">
        <v>6387</v>
      </c>
      <c r="P1692" s="5"/>
      <c r="Q1692" s="1447"/>
      <c r="R1692" s="656"/>
      <c r="S1692" s="656" t="s">
        <v>1394</v>
      </c>
      <c r="T1692" s="656" t="s">
        <v>14277</v>
      </c>
      <c r="U1692" s="656" t="s">
        <v>655</v>
      </c>
      <c r="V1692" s="656"/>
      <c r="W1692" s="656" t="s">
        <v>13051</v>
      </c>
      <c r="X1692" s="656" t="s">
        <v>498</v>
      </c>
      <c r="Y1692" s="656" t="s">
        <v>14278</v>
      </c>
      <c r="Z1692" s="656">
        <v>44305.517650462964</v>
      </c>
      <c r="AA1692" s="656" t="s">
        <v>14335</v>
      </c>
      <c r="AB1692" s="656"/>
    </row>
    <row r="1693" spans="1:28">
      <c r="A1693" s="656" t="s">
        <v>6325</v>
      </c>
      <c r="B1693" s="656" t="s">
        <v>6326</v>
      </c>
      <c r="C1693" s="656" t="s">
        <v>21</v>
      </c>
      <c r="D1693" s="656" t="s">
        <v>10677</v>
      </c>
      <c r="E1693" s="656" t="s">
        <v>14275</v>
      </c>
      <c r="F1693" s="1447">
        <v>41842</v>
      </c>
      <c r="G1693" s="656" t="s">
        <v>10676</v>
      </c>
      <c r="H1693" s="656" t="s">
        <v>1274</v>
      </c>
      <c r="I1693" s="656" t="s">
        <v>14840</v>
      </c>
      <c r="J1693" s="656" t="s">
        <v>10677</v>
      </c>
      <c r="K1693" s="656" t="s">
        <v>10398</v>
      </c>
      <c r="L1693" s="656"/>
      <c r="M1693" s="656" t="s">
        <v>1274</v>
      </c>
      <c r="N1693" s="656"/>
      <c r="O1693" s="656" t="s">
        <v>6387</v>
      </c>
      <c r="P1693" s="5"/>
      <c r="Q1693" s="1447"/>
      <c r="R1693" s="656">
        <v>41786</v>
      </c>
      <c r="S1693" s="656" t="s">
        <v>1667</v>
      </c>
      <c r="T1693" s="656" t="s">
        <v>14524</v>
      </c>
      <c r="U1693" s="656" t="s">
        <v>1667</v>
      </c>
      <c r="V1693" s="656"/>
      <c r="W1693" s="656" t="s">
        <v>13051</v>
      </c>
      <c r="X1693" s="656" t="s">
        <v>498</v>
      </c>
      <c r="Y1693" s="656" t="s">
        <v>14278</v>
      </c>
      <c r="Z1693" s="656">
        <v>44305.517638888887</v>
      </c>
      <c r="AA1693" s="656" t="s">
        <v>14335</v>
      </c>
      <c r="AB1693" s="656"/>
    </row>
    <row r="1694" spans="1:28">
      <c r="A1694" s="656" t="s">
        <v>6325</v>
      </c>
      <c r="B1694" s="656" t="s">
        <v>6326</v>
      </c>
      <c r="C1694" s="656" t="s">
        <v>20</v>
      </c>
      <c r="D1694" s="656" t="s">
        <v>10678</v>
      </c>
      <c r="E1694" s="656" t="s">
        <v>14275</v>
      </c>
      <c r="F1694" s="1447">
        <v>42073</v>
      </c>
      <c r="G1694" s="656" t="s">
        <v>10676</v>
      </c>
      <c r="H1694" s="656" t="s">
        <v>1777</v>
      </c>
      <c r="I1694" s="656"/>
      <c r="J1694" s="656"/>
      <c r="K1694" s="656"/>
      <c r="L1694" s="656" t="s">
        <v>10678</v>
      </c>
      <c r="M1694" s="656" t="s">
        <v>1274</v>
      </c>
      <c r="N1694" s="656"/>
      <c r="O1694" s="656" t="s">
        <v>6387</v>
      </c>
      <c r="P1694" s="5"/>
      <c r="Q1694" s="1447"/>
      <c r="R1694" s="656"/>
      <c r="S1694" s="656" t="s">
        <v>1667</v>
      </c>
      <c r="T1694" s="656" t="s">
        <v>14524</v>
      </c>
      <c r="U1694" s="656" t="s">
        <v>1667</v>
      </c>
      <c r="V1694" s="656"/>
      <c r="W1694" s="656" t="s">
        <v>13051</v>
      </c>
      <c r="X1694" s="656" t="s">
        <v>498</v>
      </c>
      <c r="Y1694" s="656" t="s">
        <v>14278</v>
      </c>
      <c r="Z1694" s="656">
        <v>44305.517638888887</v>
      </c>
      <c r="AA1694" s="656" t="s">
        <v>14335</v>
      </c>
      <c r="AB1694" s="656"/>
    </row>
    <row r="1695" spans="1:28">
      <c r="A1695" s="656" t="s">
        <v>6327</v>
      </c>
      <c r="B1695" s="656" t="s">
        <v>6328</v>
      </c>
      <c r="C1695" s="656" t="s">
        <v>21</v>
      </c>
      <c r="D1695" s="656" t="s">
        <v>10671</v>
      </c>
      <c r="E1695" s="656" t="s">
        <v>14275</v>
      </c>
      <c r="F1695" s="1447">
        <v>41843</v>
      </c>
      <c r="G1695" s="656" t="s">
        <v>10670</v>
      </c>
      <c r="H1695" s="656" t="s">
        <v>1584</v>
      </c>
      <c r="I1695" s="656" t="s">
        <v>14841</v>
      </c>
      <c r="J1695" s="656" t="s">
        <v>10671</v>
      </c>
      <c r="K1695" s="656" t="s">
        <v>10398</v>
      </c>
      <c r="L1695" s="656"/>
      <c r="M1695" s="656" t="s">
        <v>1584</v>
      </c>
      <c r="N1695" s="656"/>
      <c r="O1695" s="656" t="s">
        <v>6387</v>
      </c>
      <c r="P1695" s="5"/>
      <c r="Q1695" s="1447"/>
      <c r="R1695" s="656">
        <v>41786</v>
      </c>
      <c r="S1695" s="656" t="s">
        <v>1667</v>
      </c>
      <c r="T1695" s="656" t="s">
        <v>14524</v>
      </c>
      <c r="U1695" s="656" t="s">
        <v>1667</v>
      </c>
      <c r="V1695" s="656"/>
      <c r="W1695" s="656" t="s">
        <v>13051</v>
      </c>
      <c r="X1695" s="656" t="s">
        <v>498</v>
      </c>
      <c r="Y1695" s="656" t="s">
        <v>14278</v>
      </c>
      <c r="Z1695" s="656">
        <v>44305.51761574074</v>
      </c>
      <c r="AA1695" s="656" t="s">
        <v>14335</v>
      </c>
      <c r="AB1695" s="656"/>
    </row>
    <row r="1696" spans="1:28">
      <c r="A1696" s="656" t="s">
        <v>6327</v>
      </c>
      <c r="B1696" s="656" t="s">
        <v>6328</v>
      </c>
      <c r="C1696" s="656" t="s">
        <v>21</v>
      </c>
      <c r="D1696" s="656" t="s">
        <v>10672</v>
      </c>
      <c r="E1696" s="656" t="s">
        <v>14275</v>
      </c>
      <c r="F1696" s="1447">
        <v>41843</v>
      </c>
      <c r="G1696" s="656" t="s">
        <v>10670</v>
      </c>
      <c r="H1696" s="656" t="s">
        <v>1584</v>
      </c>
      <c r="I1696" s="656" t="s">
        <v>14842</v>
      </c>
      <c r="J1696" s="656" t="s">
        <v>10672</v>
      </c>
      <c r="K1696" s="656" t="s">
        <v>10398</v>
      </c>
      <c r="L1696" s="656"/>
      <c r="M1696" s="656" t="s">
        <v>1584</v>
      </c>
      <c r="N1696" s="656"/>
      <c r="O1696" s="656" t="s">
        <v>6387</v>
      </c>
      <c r="P1696" s="5"/>
      <c r="Q1696" s="1447"/>
      <c r="R1696" s="656">
        <v>41786</v>
      </c>
      <c r="S1696" s="656" t="s">
        <v>1667</v>
      </c>
      <c r="T1696" s="656" t="s">
        <v>14524</v>
      </c>
      <c r="U1696" s="656" t="s">
        <v>1667</v>
      </c>
      <c r="V1696" s="656"/>
      <c r="W1696" s="656" t="s">
        <v>13051</v>
      </c>
      <c r="X1696" s="656" t="s">
        <v>498</v>
      </c>
      <c r="Y1696" s="656" t="s">
        <v>14278</v>
      </c>
      <c r="Z1696" s="656">
        <v>44305.517627314817</v>
      </c>
      <c r="AA1696" s="656" t="s">
        <v>14335</v>
      </c>
      <c r="AB1696" s="656"/>
    </row>
    <row r="1697" spans="1:28">
      <c r="A1697" s="656" t="s">
        <v>6327</v>
      </c>
      <c r="B1697" s="656" t="s">
        <v>6328</v>
      </c>
      <c r="C1697" s="656" t="s">
        <v>21</v>
      </c>
      <c r="D1697" s="656" t="s">
        <v>10674</v>
      </c>
      <c r="E1697" s="656" t="s">
        <v>14275</v>
      </c>
      <c r="F1697" s="1447">
        <v>41842</v>
      </c>
      <c r="G1697" s="656" t="s">
        <v>10673</v>
      </c>
      <c r="H1697" s="656" t="s">
        <v>1584</v>
      </c>
      <c r="I1697" s="656" t="s">
        <v>14843</v>
      </c>
      <c r="J1697" s="656" t="s">
        <v>10674</v>
      </c>
      <c r="K1697" s="656" t="s">
        <v>10398</v>
      </c>
      <c r="L1697" s="656"/>
      <c r="M1697" s="656" t="s">
        <v>1584</v>
      </c>
      <c r="N1697" s="656"/>
      <c r="O1697" s="656" t="s">
        <v>6387</v>
      </c>
      <c r="P1697" s="5"/>
      <c r="Q1697" s="1447"/>
      <c r="R1697" s="656">
        <v>41786</v>
      </c>
      <c r="S1697" s="656" t="s">
        <v>1667</v>
      </c>
      <c r="T1697" s="656" t="s">
        <v>14524</v>
      </c>
      <c r="U1697" s="656" t="s">
        <v>1667</v>
      </c>
      <c r="V1697" s="656"/>
      <c r="W1697" s="656" t="s">
        <v>13051</v>
      </c>
      <c r="X1697" s="656" t="s">
        <v>498</v>
      </c>
      <c r="Y1697" s="656" t="s">
        <v>14278</v>
      </c>
      <c r="Z1697" s="656">
        <v>44305.517627314817</v>
      </c>
      <c r="AA1697" s="656" t="s">
        <v>14335</v>
      </c>
      <c r="AB1697" s="656"/>
    </row>
    <row r="1698" spans="1:28">
      <c r="A1698" s="656" t="s">
        <v>6327</v>
      </c>
      <c r="B1698" s="656" t="s">
        <v>6328</v>
      </c>
      <c r="C1698" s="656" t="s">
        <v>20</v>
      </c>
      <c r="D1698" s="656" t="s">
        <v>10675</v>
      </c>
      <c r="E1698" s="656" t="s">
        <v>14275</v>
      </c>
      <c r="F1698" s="1447">
        <v>42073</v>
      </c>
      <c r="G1698" s="656" t="s">
        <v>10670</v>
      </c>
      <c r="H1698" s="656" t="s">
        <v>1777</v>
      </c>
      <c r="I1698" s="656"/>
      <c r="J1698" s="656"/>
      <c r="K1698" s="656"/>
      <c r="L1698" s="656" t="s">
        <v>10675</v>
      </c>
      <c r="M1698" s="656" t="s">
        <v>1584</v>
      </c>
      <c r="N1698" s="656"/>
      <c r="O1698" s="656" t="s">
        <v>6387</v>
      </c>
      <c r="P1698" s="5"/>
      <c r="Q1698" s="1447"/>
      <c r="R1698" s="656"/>
      <c r="S1698" s="656" t="s">
        <v>1667</v>
      </c>
      <c r="T1698" s="656" t="s">
        <v>14524</v>
      </c>
      <c r="U1698" s="656" t="s">
        <v>1667</v>
      </c>
      <c r="V1698" s="656"/>
      <c r="W1698" s="656" t="s">
        <v>13051</v>
      </c>
      <c r="X1698" s="656" t="s">
        <v>498</v>
      </c>
      <c r="Y1698" s="656" t="s">
        <v>14278</v>
      </c>
      <c r="Z1698" s="656">
        <v>44305.517627314817</v>
      </c>
      <c r="AA1698" s="656" t="s">
        <v>14335</v>
      </c>
      <c r="AB1698" s="656"/>
    </row>
    <row r="1699" spans="1:28">
      <c r="A1699" s="656" t="s">
        <v>6329</v>
      </c>
      <c r="B1699" s="656" t="s">
        <v>6330</v>
      </c>
      <c r="C1699" s="656" t="s">
        <v>21</v>
      </c>
      <c r="D1699" s="656" t="s">
        <v>10668</v>
      </c>
      <c r="E1699" s="656" t="s">
        <v>14275</v>
      </c>
      <c r="F1699" s="1447">
        <v>41842</v>
      </c>
      <c r="G1699" s="656" t="s">
        <v>10667</v>
      </c>
      <c r="H1699" s="656" t="s">
        <v>1175</v>
      </c>
      <c r="I1699" s="656" t="s">
        <v>14844</v>
      </c>
      <c r="J1699" s="656" t="s">
        <v>10668</v>
      </c>
      <c r="K1699" s="656" t="s">
        <v>10398</v>
      </c>
      <c r="L1699" s="656"/>
      <c r="M1699" s="656" t="s">
        <v>1175</v>
      </c>
      <c r="N1699" s="656"/>
      <c r="O1699" s="656" t="s">
        <v>6387</v>
      </c>
      <c r="P1699" s="5"/>
      <c r="Q1699" s="1447"/>
      <c r="R1699" s="656">
        <v>41786</v>
      </c>
      <c r="S1699" s="656" t="s">
        <v>1667</v>
      </c>
      <c r="T1699" s="656" t="s">
        <v>14524</v>
      </c>
      <c r="U1699" s="656" t="s">
        <v>1667</v>
      </c>
      <c r="V1699" s="656"/>
      <c r="W1699" s="656" t="s">
        <v>13051</v>
      </c>
      <c r="X1699" s="656" t="s">
        <v>498</v>
      </c>
      <c r="Y1699" s="656" t="s">
        <v>14278</v>
      </c>
      <c r="Z1699" s="656">
        <v>44305.517604166664</v>
      </c>
      <c r="AA1699" s="656" t="s">
        <v>14335</v>
      </c>
      <c r="AB1699" s="656"/>
    </row>
    <row r="1700" spans="1:28">
      <c r="A1700" s="656" t="s">
        <v>6329</v>
      </c>
      <c r="B1700" s="656" t="s">
        <v>6330</v>
      </c>
      <c r="C1700" s="656" t="s">
        <v>20</v>
      </c>
      <c r="D1700" s="656" t="s">
        <v>10669</v>
      </c>
      <c r="E1700" s="656" t="s">
        <v>14275</v>
      </c>
      <c r="F1700" s="1447">
        <v>42073</v>
      </c>
      <c r="G1700" s="656" t="s">
        <v>10667</v>
      </c>
      <c r="H1700" s="656" t="s">
        <v>1777</v>
      </c>
      <c r="I1700" s="656"/>
      <c r="J1700" s="656"/>
      <c r="K1700" s="656"/>
      <c r="L1700" s="656" t="s">
        <v>10669</v>
      </c>
      <c r="M1700" s="656" t="s">
        <v>1175</v>
      </c>
      <c r="N1700" s="656"/>
      <c r="O1700" s="656" t="s">
        <v>6387</v>
      </c>
      <c r="P1700" s="5"/>
      <c r="Q1700" s="1447"/>
      <c r="R1700" s="656"/>
      <c r="S1700" s="656" t="s">
        <v>1667</v>
      </c>
      <c r="T1700" s="656" t="s">
        <v>14524</v>
      </c>
      <c r="U1700" s="656" t="s">
        <v>1667</v>
      </c>
      <c r="V1700" s="656"/>
      <c r="W1700" s="656" t="s">
        <v>13051</v>
      </c>
      <c r="X1700" s="656" t="s">
        <v>498</v>
      </c>
      <c r="Y1700" s="656" t="s">
        <v>14278</v>
      </c>
      <c r="Z1700" s="656">
        <v>44305.51761574074</v>
      </c>
      <c r="AA1700" s="656" t="s">
        <v>14335</v>
      </c>
      <c r="AB1700" s="656"/>
    </row>
    <row r="1701" spans="1:28">
      <c r="A1701" s="656" t="s">
        <v>6391</v>
      </c>
      <c r="B1701" s="656" t="s">
        <v>6392</v>
      </c>
      <c r="C1701" s="656" t="s">
        <v>21</v>
      </c>
      <c r="D1701" s="656" t="s">
        <v>12109</v>
      </c>
      <c r="E1701" s="656" t="s">
        <v>14275</v>
      </c>
      <c r="F1701" s="1447">
        <v>40997</v>
      </c>
      <c r="G1701" s="656" t="s">
        <v>12108</v>
      </c>
      <c r="H1701" s="656" t="s">
        <v>1777</v>
      </c>
      <c r="I1701" s="656" t="s">
        <v>14845</v>
      </c>
      <c r="J1701" s="656" t="s">
        <v>12109</v>
      </c>
      <c r="K1701" s="656" t="s">
        <v>9774</v>
      </c>
      <c r="L1701" s="656"/>
      <c r="M1701" s="656" t="s">
        <v>16451</v>
      </c>
      <c r="N1701" s="656"/>
      <c r="O1701" s="656" t="s">
        <v>6395</v>
      </c>
      <c r="P1701" s="5"/>
      <c r="Q1701" s="1447">
        <v>40575</v>
      </c>
      <c r="R1701" s="656">
        <v>40724</v>
      </c>
      <c r="S1701" s="656"/>
      <c r="T1701" s="656"/>
      <c r="U1701" s="656"/>
      <c r="V1701" s="656"/>
      <c r="W1701" s="656" t="s">
        <v>13051</v>
      </c>
      <c r="X1701" s="656" t="s">
        <v>498</v>
      </c>
      <c r="Y1701" s="656" t="s">
        <v>14278</v>
      </c>
      <c r="Z1701" s="656">
        <v>44305.51761574074</v>
      </c>
      <c r="AA1701" s="656" t="s">
        <v>14335</v>
      </c>
      <c r="AB1701" s="656"/>
    </row>
    <row r="1702" spans="1:28">
      <c r="A1702" s="656" t="s">
        <v>6393</v>
      </c>
      <c r="B1702" s="656" t="s">
        <v>6394</v>
      </c>
      <c r="C1702" s="656" t="s">
        <v>21</v>
      </c>
      <c r="D1702" s="656" t="s">
        <v>12107</v>
      </c>
      <c r="E1702" s="656" t="s">
        <v>14275</v>
      </c>
      <c r="F1702" s="1447">
        <v>40997</v>
      </c>
      <c r="G1702" s="656" t="s">
        <v>12106</v>
      </c>
      <c r="H1702" s="656" t="s">
        <v>1777</v>
      </c>
      <c r="I1702" s="656" t="s">
        <v>14846</v>
      </c>
      <c r="J1702" s="656" t="s">
        <v>12107</v>
      </c>
      <c r="K1702" s="656" t="s">
        <v>9774</v>
      </c>
      <c r="L1702" s="656"/>
      <c r="M1702" s="656" t="s">
        <v>16196</v>
      </c>
      <c r="N1702" s="656"/>
      <c r="O1702" s="656" t="s">
        <v>6395</v>
      </c>
      <c r="P1702" s="5"/>
      <c r="Q1702" s="1447">
        <v>40437</v>
      </c>
      <c r="R1702" s="656">
        <v>40512</v>
      </c>
      <c r="S1702" s="656"/>
      <c r="T1702" s="656"/>
      <c r="U1702" s="656"/>
      <c r="V1702" s="656"/>
      <c r="W1702" s="656" t="s">
        <v>13051</v>
      </c>
      <c r="X1702" s="656" t="s">
        <v>498</v>
      </c>
      <c r="Y1702" s="656" t="s">
        <v>14278</v>
      </c>
      <c r="Z1702" s="656">
        <v>44305.517604166664</v>
      </c>
      <c r="AA1702" s="656" t="s">
        <v>14335</v>
      </c>
      <c r="AB1702" s="656"/>
    </row>
    <row r="1703" spans="1:28">
      <c r="A1703" s="656" t="s">
        <v>6395</v>
      </c>
      <c r="B1703" s="656" t="s">
        <v>10664</v>
      </c>
      <c r="C1703" s="656" t="s">
        <v>20</v>
      </c>
      <c r="D1703" s="656" t="s">
        <v>10666</v>
      </c>
      <c r="E1703" s="656" t="s">
        <v>14275</v>
      </c>
      <c r="F1703" s="1447">
        <v>41782</v>
      </c>
      <c r="G1703" s="656" t="s">
        <v>10665</v>
      </c>
      <c r="H1703" s="656" t="s">
        <v>1777</v>
      </c>
      <c r="I1703" s="656"/>
      <c r="J1703" s="656"/>
      <c r="K1703" s="656"/>
      <c r="L1703" s="656" t="s">
        <v>10666</v>
      </c>
      <c r="M1703" s="656" t="s">
        <v>16196</v>
      </c>
      <c r="N1703" s="656"/>
      <c r="O1703" s="656" t="s">
        <v>6395</v>
      </c>
      <c r="P1703" s="5"/>
      <c r="Q1703" s="1447"/>
      <c r="R1703" s="656"/>
      <c r="S1703" s="656" t="s">
        <v>1394</v>
      </c>
      <c r="T1703" s="656" t="s">
        <v>14280</v>
      </c>
      <c r="U1703" s="656" t="s">
        <v>1394</v>
      </c>
      <c r="V1703" s="656"/>
      <c r="W1703" s="656" t="s">
        <v>13051</v>
      </c>
      <c r="X1703" s="656" t="s">
        <v>498</v>
      </c>
      <c r="Y1703" s="656" t="s">
        <v>14278</v>
      </c>
      <c r="Z1703" s="656">
        <v>44305.517592592594</v>
      </c>
      <c r="AA1703" s="656" t="s">
        <v>14335</v>
      </c>
      <c r="AB1703" s="656"/>
    </row>
    <row r="1704" spans="1:28">
      <c r="A1704" s="656" t="s">
        <v>6466</v>
      </c>
      <c r="B1704" s="656" t="s">
        <v>6467</v>
      </c>
      <c r="C1704" s="656" t="s">
        <v>21</v>
      </c>
      <c r="D1704" s="656" t="s">
        <v>12097</v>
      </c>
      <c r="E1704" s="656" t="s">
        <v>14275</v>
      </c>
      <c r="F1704" s="1447">
        <v>40906</v>
      </c>
      <c r="G1704" s="656" t="s">
        <v>12096</v>
      </c>
      <c r="H1704" s="656" t="s">
        <v>1777</v>
      </c>
      <c r="I1704" s="656" t="s">
        <v>14847</v>
      </c>
      <c r="J1704" s="656" t="s">
        <v>12097</v>
      </c>
      <c r="K1704" s="656" t="s">
        <v>9774</v>
      </c>
      <c r="L1704" s="656"/>
      <c r="M1704" s="656" t="s">
        <v>16452</v>
      </c>
      <c r="N1704" s="656"/>
      <c r="O1704" s="656" t="s">
        <v>6395</v>
      </c>
      <c r="P1704" s="5"/>
      <c r="Q1704" s="1447">
        <v>40490</v>
      </c>
      <c r="R1704" s="656">
        <v>40512</v>
      </c>
      <c r="S1704" s="656"/>
      <c r="T1704" s="656"/>
      <c r="U1704" s="656"/>
      <c r="V1704" s="656"/>
      <c r="W1704" s="656" t="s">
        <v>13051</v>
      </c>
      <c r="X1704" s="656" t="s">
        <v>498</v>
      </c>
      <c r="Y1704" s="656" t="s">
        <v>14278</v>
      </c>
      <c r="Z1704" s="656">
        <v>44305.517581018517</v>
      </c>
      <c r="AA1704" s="656" t="s">
        <v>14335</v>
      </c>
      <c r="AB1704" s="656"/>
    </row>
    <row r="1705" spans="1:28">
      <c r="A1705" s="656" t="s">
        <v>6530</v>
      </c>
      <c r="B1705" s="656" t="s">
        <v>6531</v>
      </c>
      <c r="C1705" s="656" t="s">
        <v>21</v>
      </c>
      <c r="D1705" s="656" t="s">
        <v>10662</v>
      </c>
      <c r="E1705" s="656" t="s">
        <v>14275</v>
      </c>
      <c r="F1705" s="1447">
        <v>41635</v>
      </c>
      <c r="G1705" s="656" t="s">
        <v>10661</v>
      </c>
      <c r="H1705" s="656" t="s">
        <v>1777</v>
      </c>
      <c r="I1705" s="656" t="s">
        <v>14848</v>
      </c>
      <c r="J1705" s="656" t="s">
        <v>10662</v>
      </c>
      <c r="K1705" s="656" t="s">
        <v>9750</v>
      </c>
      <c r="L1705" s="656"/>
      <c r="M1705" s="656" t="s">
        <v>16453</v>
      </c>
      <c r="N1705" s="656"/>
      <c r="O1705" s="656" t="s">
        <v>6393</v>
      </c>
      <c r="P1705" s="5"/>
      <c r="Q1705" s="1447"/>
      <c r="R1705" s="656">
        <v>40969</v>
      </c>
      <c r="S1705" s="656" t="s">
        <v>1394</v>
      </c>
      <c r="T1705" s="656" t="s">
        <v>4198</v>
      </c>
      <c r="U1705" s="656" t="s">
        <v>1300</v>
      </c>
      <c r="V1705" s="656"/>
      <c r="W1705" s="656" t="s">
        <v>13051</v>
      </c>
      <c r="X1705" s="656" t="s">
        <v>498</v>
      </c>
      <c r="Y1705" s="656" t="s">
        <v>14278</v>
      </c>
      <c r="Z1705" s="656">
        <v>44305.517569444448</v>
      </c>
      <c r="AA1705" s="656" t="s">
        <v>14335</v>
      </c>
      <c r="AB1705" s="656"/>
    </row>
    <row r="1706" spans="1:28">
      <c r="A1706" s="656" t="s">
        <v>6530</v>
      </c>
      <c r="B1706" s="656" t="s">
        <v>6531</v>
      </c>
      <c r="C1706" s="656" t="s">
        <v>20</v>
      </c>
      <c r="D1706" s="656" t="s">
        <v>10663</v>
      </c>
      <c r="E1706" s="656" t="s">
        <v>14275</v>
      </c>
      <c r="F1706" s="1447">
        <v>41857</v>
      </c>
      <c r="G1706" s="656" t="s">
        <v>10661</v>
      </c>
      <c r="H1706" s="656" t="s">
        <v>1777</v>
      </c>
      <c r="I1706" s="656"/>
      <c r="J1706" s="656"/>
      <c r="K1706" s="656"/>
      <c r="L1706" s="656" t="s">
        <v>10663</v>
      </c>
      <c r="M1706" s="656" t="s">
        <v>16453</v>
      </c>
      <c r="N1706" s="656"/>
      <c r="O1706" s="656" t="s">
        <v>6393</v>
      </c>
      <c r="P1706" s="5"/>
      <c r="Q1706" s="1447"/>
      <c r="R1706" s="656"/>
      <c r="S1706" s="656" t="s">
        <v>1394</v>
      </c>
      <c r="T1706" s="656" t="s">
        <v>4198</v>
      </c>
      <c r="U1706" s="656" t="s">
        <v>1300</v>
      </c>
      <c r="V1706" s="656"/>
      <c r="W1706" s="656" t="s">
        <v>13051</v>
      </c>
      <c r="X1706" s="656" t="s">
        <v>498</v>
      </c>
      <c r="Y1706" s="656" t="s">
        <v>14278</v>
      </c>
      <c r="Z1706" s="656">
        <v>44305.517581018517</v>
      </c>
      <c r="AA1706" s="656" t="s">
        <v>14335</v>
      </c>
      <c r="AB1706" s="656"/>
    </row>
    <row r="1707" spans="1:28">
      <c r="A1707" s="656" t="s">
        <v>6556</v>
      </c>
      <c r="B1707" s="656" t="s">
        <v>6557</v>
      </c>
      <c r="C1707" s="656" t="s">
        <v>20</v>
      </c>
      <c r="D1707" s="656" t="s">
        <v>10660</v>
      </c>
      <c r="E1707" s="656" t="s">
        <v>14275</v>
      </c>
      <c r="F1707" s="1447">
        <v>41849</v>
      </c>
      <c r="G1707" s="656" t="s">
        <v>10659</v>
      </c>
      <c r="H1707" s="656" t="s">
        <v>1777</v>
      </c>
      <c r="I1707" s="656"/>
      <c r="J1707" s="656"/>
      <c r="K1707" s="656"/>
      <c r="L1707" s="656" t="s">
        <v>10660</v>
      </c>
      <c r="M1707" s="656" t="s">
        <v>16196</v>
      </c>
      <c r="N1707" s="656"/>
      <c r="O1707" s="656" t="s">
        <v>6393</v>
      </c>
      <c r="P1707" s="5"/>
      <c r="Q1707" s="1447"/>
      <c r="R1707" s="656"/>
      <c r="S1707" s="656" t="s">
        <v>1394</v>
      </c>
      <c r="T1707" s="656" t="s">
        <v>4198</v>
      </c>
      <c r="U1707" s="656" t="s">
        <v>1300</v>
      </c>
      <c r="V1707" s="656"/>
      <c r="W1707" s="656" t="s">
        <v>13051</v>
      </c>
      <c r="X1707" s="656" t="s">
        <v>498</v>
      </c>
      <c r="Y1707" s="656" t="s">
        <v>14278</v>
      </c>
      <c r="Z1707" s="656">
        <v>44305.517569444448</v>
      </c>
      <c r="AA1707" s="656" t="s">
        <v>14335</v>
      </c>
      <c r="AB1707" s="656"/>
    </row>
    <row r="1708" spans="1:28">
      <c r="A1708" s="656" t="s">
        <v>6580</v>
      </c>
      <c r="B1708" s="656" t="s">
        <v>6581</v>
      </c>
      <c r="C1708" s="656" t="s">
        <v>21</v>
      </c>
      <c r="D1708" s="656" t="s">
        <v>12095</v>
      </c>
      <c r="E1708" s="656" t="s">
        <v>14275</v>
      </c>
      <c r="F1708" s="1447">
        <v>40873</v>
      </c>
      <c r="G1708" s="656" t="s">
        <v>12094</v>
      </c>
      <c r="H1708" s="656" t="s">
        <v>1777</v>
      </c>
      <c r="I1708" s="656" t="s">
        <v>14849</v>
      </c>
      <c r="J1708" s="656" t="s">
        <v>12095</v>
      </c>
      <c r="K1708" s="656" t="s">
        <v>9774</v>
      </c>
      <c r="L1708" s="656"/>
      <c r="M1708" s="656" t="s">
        <v>16452</v>
      </c>
      <c r="N1708" s="656"/>
      <c r="O1708" s="656" t="s">
        <v>6387</v>
      </c>
      <c r="P1708" s="5"/>
      <c r="Q1708" s="1447">
        <v>40266</v>
      </c>
      <c r="R1708" s="656">
        <v>40268</v>
      </c>
      <c r="S1708" s="656"/>
      <c r="T1708" s="656"/>
      <c r="U1708" s="656"/>
      <c r="V1708" s="656"/>
      <c r="W1708" s="656" t="s">
        <v>13051</v>
      </c>
      <c r="X1708" s="656" t="s">
        <v>498</v>
      </c>
      <c r="Y1708" s="656" t="s">
        <v>14278</v>
      </c>
      <c r="Z1708" s="656">
        <v>44305.517557870371</v>
      </c>
      <c r="AA1708" s="656" t="s">
        <v>14335</v>
      </c>
      <c r="AB1708" s="656"/>
    </row>
    <row r="1709" spans="1:28">
      <c r="A1709" s="656" t="s">
        <v>6582</v>
      </c>
      <c r="B1709" s="656" t="s">
        <v>6583</v>
      </c>
      <c r="C1709" s="656" t="s">
        <v>21</v>
      </c>
      <c r="D1709" s="656" t="s">
        <v>12111</v>
      </c>
      <c r="E1709" s="656" t="s">
        <v>14275</v>
      </c>
      <c r="F1709" s="1447">
        <v>40873</v>
      </c>
      <c r="G1709" s="656" t="s">
        <v>12110</v>
      </c>
      <c r="H1709" s="656" t="s">
        <v>1777</v>
      </c>
      <c r="I1709" s="656" t="s">
        <v>14850</v>
      </c>
      <c r="J1709" s="656" t="s">
        <v>12111</v>
      </c>
      <c r="K1709" s="656" t="s">
        <v>9774</v>
      </c>
      <c r="L1709" s="656"/>
      <c r="M1709" s="656" t="s">
        <v>16196</v>
      </c>
      <c r="N1709" s="656"/>
      <c r="O1709" s="656" t="s">
        <v>6395</v>
      </c>
      <c r="P1709" s="5"/>
      <c r="Q1709" s="1447">
        <v>40266</v>
      </c>
      <c r="R1709" s="656">
        <v>40268</v>
      </c>
      <c r="S1709" s="656"/>
      <c r="T1709" s="656"/>
      <c r="U1709" s="656"/>
      <c r="V1709" s="656"/>
      <c r="W1709" s="656" t="s">
        <v>13051</v>
      </c>
      <c r="X1709" s="656" t="s">
        <v>498</v>
      </c>
      <c r="Y1709" s="656" t="s">
        <v>14278</v>
      </c>
      <c r="Z1709" s="656">
        <v>44305.517557870371</v>
      </c>
      <c r="AA1709" s="656" t="s">
        <v>14335</v>
      </c>
      <c r="AB1709" s="656"/>
    </row>
    <row r="1710" spans="1:28">
      <c r="A1710" s="656" t="s">
        <v>6588</v>
      </c>
      <c r="B1710" s="656" t="s">
        <v>10640</v>
      </c>
      <c r="C1710" s="656" t="s">
        <v>21</v>
      </c>
      <c r="D1710" s="656" t="s">
        <v>10642</v>
      </c>
      <c r="E1710" s="656" t="s">
        <v>14275</v>
      </c>
      <c r="F1710" s="1447">
        <v>41207</v>
      </c>
      <c r="G1710" s="656" t="s">
        <v>10641</v>
      </c>
      <c r="H1710" s="656" t="s">
        <v>1274</v>
      </c>
      <c r="I1710" s="656" t="s">
        <v>14851</v>
      </c>
      <c r="J1710" s="656" t="s">
        <v>10642</v>
      </c>
      <c r="K1710" s="656" t="s">
        <v>9750</v>
      </c>
      <c r="L1710" s="656"/>
      <c r="M1710" s="656" t="s">
        <v>1274</v>
      </c>
      <c r="N1710" s="656"/>
      <c r="O1710" s="656" t="s">
        <v>6393</v>
      </c>
      <c r="P1710" s="5"/>
      <c r="Q1710" s="1447"/>
      <c r="R1710" s="656">
        <v>40939</v>
      </c>
      <c r="S1710" s="656" t="s">
        <v>1300</v>
      </c>
      <c r="T1710" s="656" t="s">
        <v>4198</v>
      </c>
      <c r="U1710" s="656" t="s">
        <v>1300</v>
      </c>
      <c r="V1710" s="656"/>
      <c r="W1710" s="656" t="s">
        <v>13051</v>
      </c>
      <c r="X1710" s="656" t="s">
        <v>498</v>
      </c>
      <c r="Y1710" s="656" t="s">
        <v>14278</v>
      </c>
      <c r="Z1710" s="656">
        <v>44305.517511574071</v>
      </c>
      <c r="AA1710" s="656" t="s">
        <v>14335</v>
      </c>
      <c r="AB1710" s="656"/>
    </row>
    <row r="1711" spans="1:28">
      <c r="A1711" s="656" t="s">
        <v>6588</v>
      </c>
      <c r="B1711" s="656" t="s">
        <v>10643</v>
      </c>
      <c r="C1711" s="656" t="s">
        <v>21</v>
      </c>
      <c r="D1711" s="656" t="s">
        <v>10645</v>
      </c>
      <c r="E1711" s="656" t="s">
        <v>14275</v>
      </c>
      <c r="F1711" s="1447">
        <v>41116</v>
      </c>
      <c r="G1711" s="656" t="s">
        <v>10644</v>
      </c>
      <c r="H1711" s="656" t="s">
        <v>1274</v>
      </c>
      <c r="I1711" s="656" t="s">
        <v>14851</v>
      </c>
      <c r="J1711" s="656" t="s">
        <v>10645</v>
      </c>
      <c r="K1711" s="656" t="s">
        <v>9750</v>
      </c>
      <c r="L1711" s="656"/>
      <c r="M1711" s="656" t="s">
        <v>1274</v>
      </c>
      <c r="N1711" s="656"/>
      <c r="O1711" s="656" t="s">
        <v>6393</v>
      </c>
      <c r="P1711" s="5"/>
      <c r="Q1711" s="1447"/>
      <c r="R1711" s="656">
        <v>40939</v>
      </c>
      <c r="S1711" s="656" t="s">
        <v>1300</v>
      </c>
      <c r="T1711" s="656" t="s">
        <v>4198</v>
      </c>
      <c r="U1711" s="656" t="s">
        <v>1300</v>
      </c>
      <c r="V1711" s="656"/>
      <c r="W1711" s="656" t="s">
        <v>13051</v>
      </c>
      <c r="X1711" s="656" t="s">
        <v>498</v>
      </c>
      <c r="Y1711" s="656" t="s">
        <v>14278</v>
      </c>
      <c r="Z1711" s="656">
        <v>44305.517523148148</v>
      </c>
      <c r="AA1711" s="656" t="s">
        <v>14335</v>
      </c>
      <c r="AB1711" s="656"/>
    </row>
    <row r="1712" spans="1:28">
      <c r="A1712" s="656" t="s">
        <v>6588</v>
      </c>
      <c r="B1712" s="656" t="s">
        <v>10646</v>
      </c>
      <c r="C1712" s="656" t="s">
        <v>21</v>
      </c>
      <c r="D1712" s="656" t="s">
        <v>10648</v>
      </c>
      <c r="E1712" s="656" t="s">
        <v>14275</v>
      </c>
      <c r="F1712" s="1447">
        <v>41116</v>
      </c>
      <c r="G1712" s="656" t="s">
        <v>10647</v>
      </c>
      <c r="H1712" s="656" t="s">
        <v>1274</v>
      </c>
      <c r="I1712" s="656" t="s">
        <v>14851</v>
      </c>
      <c r="J1712" s="656" t="s">
        <v>10648</v>
      </c>
      <c r="K1712" s="656" t="s">
        <v>9750</v>
      </c>
      <c r="L1712" s="656"/>
      <c r="M1712" s="656" t="s">
        <v>1274</v>
      </c>
      <c r="N1712" s="656"/>
      <c r="O1712" s="656" t="s">
        <v>6393</v>
      </c>
      <c r="P1712" s="5"/>
      <c r="Q1712" s="1447"/>
      <c r="R1712" s="656">
        <v>40939</v>
      </c>
      <c r="S1712" s="656" t="s">
        <v>1300</v>
      </c>
      <c r="T1712" s="656" t="s">
        <v>4198</v>
      </c>
      <c r="U1712" s="656" t="s">
        <v>1300</v>
      </c>
      <c r="V1712" s="656"/>
      <c r="W1712" s="656" t="s">
        <v>13051</v>
      </c>
      <c r="X1712" s="656" t="s">
        <v>498</v>
      </c>
      <c r="Y1712" s="656" t="s">
        <v>14278</v>
      </c>
      <c r="Z1712" s="656">
        <v>44305.517523148148</v>
      </c>
      <c r="AA1712" s="656" t="s">
        <v>14335</v>
      </c>
      <c r="AB1712" s="656"/>
    </row>
    <row r="1713" spans="1:28">
      <c r="A1713" s="656" t="s">
        <v>6588</v>
      </c>
      <c r="B1713" s="656" t="s">
        <v>10649</v>
      </c>
      <c r="C1713" s="656" t="s">
        <v>21</v>
      </c>
      <c r="D1713" s="656" t="s">
        <v>10651</v>
      </c>
      <c r="E1713" s="656" t="s">
        <v>14275</v>
      </c>
      <c r="F1713" s="1447">
        <v>41137</v>
      </c>
      <c r="G1713" s="656" t="s">
        <v>10650</v>
      </c>
      <c r="H1713" s="656" t="s">
        <v>1274</v>
      </c>
      <c r="I1713" s="656" t="s">
        <v>14851</v>
      </c>
      <c r="J1713" s="656" t="s">
        <v>10651</v>
      </c>
      <c r="K1713" s="656" t="s">
        <v>9750</v>
      </c>
      <c r="L1713" s="656"/>
      <c r="M1713" s="656" t="s">
        <v>1274</v>
      </c>
      <c r="N1713" s="656"/>
      <c r="O1713" s="656" t="s">
        <v>6393</v>
      </c>
      <c r="P1713" s="5"/>
      <c r="Q1713" s="1447"/>
      <c r="R1713" s="656">
        <v>40939</v>
      </c>
      <c r="S1713" s="656" t="s">
        <v>1300</v>
      </c>
      <c r="T1713" s="656" t="s">
        <v>4198</v>
      </c>
      <c r="U1713" s="656" t="s">
        <v>1300</v>
      </c>
      <c r="V1713" s="656"/>
      <c r="W1713" s="656" t="s">
        <v>13051</v>
      </c>
      <c r="X1713" s="656" t="s">
        <v>498</v>
      </c>
      <c r="Y1713" s="656" t="s">
        <v>14278</v>
      </c>
      <c r="Z1713" s="656">
        <v>44305.517534722225</v>
      </c>
      <c r="AA1713" s="656" t="s">
        <v>14335</v>
      </c>
      <c r="AB1713" s="656"/>
    </row>
    <row r="1714" spans="1:28">
      <c r="A1714" s="656" t="s">
        <v>6588</v>
      </c>
      <c r="B1714" s="656" t="s">
        <v>10652</v>
      </c>
      <c r="C1714" s="656" t="s">
        <v>21</v>
      </c>
      <c r="D1714" s="656" t="s">
        <v>10654</v>
      </c>
      <c r="E1714" s="656" t="s">
        <v>14275</v>
      </c>
      <c r="F1714" s="1447">
        <v>41148</v>
      </c>
      <c r="G1714" s="656" t="s">
        <v>10653</v>
      </c>
      <c r="H1714" s="656" t="s">
        <v>1274</v>
      </c>
      <c r="I1714" s="656" t="s">
        <v>14851</v>
      </c>
      <c r="J1714" s="656" t="s">
        <v>10654</v>
      </c>
      <c r="K1714" s="656" t="s">
        <v>9750</v>
      </c>
      <c r="L1714" s="656"/>
      <c r="M1714" s="656" t="s">
        <v>1274</v>
      </c>
      <c r="N1714" s="656"/>
      <c r="O1714" s="656" t="s">
        <v>6393</v>
      </c>
      <c r="P1714" s="5"/>
      <c r="Q1714" s="1447"/>
      <c r="R1714" s="656">
        <v>40939</v>
      </c>
      <c r="S1714" s="656" t="s">
        <v>1300</v>
      </c>
      <c r="T1714" s="656" t="s">
        <v>4198</v>
      </c>
      <c r="U1714" s="656" t="s">
        <v>1300</v>
      </c>
      <c r="V1714" s="656"/>
      <c r="W1714" s="656" t="s">
        <v>13051</v>
      </c>
      <c r="X1714" s="656" t="s">
        <v>498</v>
      </c>
      <c r="Y1714" s="656" t="s">
        <v>14278</v>
      </c>
      <c r="Z1714" s="656">
        <v>44305.517534722225</v>
      </c>
      <c r="AA1714" s="656" t="s">
        <v>14335</v>
      </c>
      <c r="AB1714" s="656"/>
    </row>
    <row r="1715" spans="1:28">
      <c r="A1715" s="656" t="s">
        <v>6588</v>
      </c>
      <c r="B1715" s="656" t="s">
        <v>10655</v>
      </c>
      <c r="C1715" s="656" t="s">
        <v>21</v>
      </c>
      <c r="D1715" s="656" t="s">
        <v>10657</v>
      </c>
      <c r="E1715" s="656" t="s">
        <v>14275</v>
      </c>
      <c r="F1715" s="1447">
        <v>41137</v>
      </c>
      <c r="G1715" s="656" t="s">
        <v>10656</v>
      </c>
      <c r="H1715" s="656" t="s">
        <v>1274</v>
      </c>
      <c r="I1715" s="656" t="s">
        <v>14851</v>
      </c>
      <c r="J1715" s="656" t="s">
        <v>10657</v>
      </c>
      <c r="K1715" s="656" t="s">
        <v>9750</v>
      </c>
      <c r="L1715" s="656"/>
      <c r="M1715" s="656" t="s">
        <v>1274</v>
      </c>
      <c r="N1715" s="656"/>
      <c r="O1715" s="656" t="s">
        <v>6393</v>
      </c>
      <c r="P1715" s="5"/>
      <c r="Q1715" s="1447"/>
      <c r="R1715" s="656">
        <v>40939</v>
      </c>
      <c r="S1715" s="656" t="s">
        <v>1300</v>
      </c>
      <c r="T1715" s="656" t="s">
        <v>4198</v>
      </c>
      <c r="U1715" s="656" t="s">
        <v>1300</v>
      </c>
      <c r="V1715" s="656"/>
      <c r="W1715" s="656" t="s">
        <v>13051</v>
      </c>
      <c r="X1715" s="656" t="s">
        <v>498</v>
      </c>
      <c r="Y1715" s="656" t="s">
        <v>14278</v>
      </c>
      <c r="Z1715" s="656">
        <v>44305.517546296294</v>
      </c>
      <c r="AA1715" s="656" t="s">
        <v>14335</v>
      </c>
      <c r="AB1715" s="656"/>
    </row>
    <row r="1716" spans="1:28">
      <c r="A1716" s="656" t="s">
        <v>6588</v>
      </c>
      <c r="B1716" s="656" t="s">
        <v>10640</v>
      </c>
      <c r="C1716" s="656" t="s">
        <v>20</v>
      </c>
      <c r="D1716" s="656" t="s">
        <v>10658</v>
      </c>
      <c r="E1716" s="656" t="s">
        <v>14275</v>
      </c>
      <c r="F1716" s="1447">
        <v>41782</v>
      </c>
      <c r="G1716" s="656" t="s">
        <v>10641</v>
      </c>
      <c r="H1716" s="656" t="s">
        <v>1777</v>
      </c>
      <c r="I1716" s="656"/>
      <c r="J1716" s="656"/>
      <c r="K1716" s="656"/>
      <c r="L1716" s="656" t="s">
        <v>10658</v>
      </c>
      <c r="M1716" s="656" t="s">
        <v>1149</v>
      </c>
      <c r="N1716" s="656"/>
      <c r="O1716" s="656" t="s">
        <v>6393</v>
      </c>
      <c r="P1716" s="5"/>
      <c r="Q1716" s="1447"/>
      <c r="R1716" s="656"/>
      <c r="S1716" s="656" t="s">
        <v>1300</v>
      </c>
      <c r="T1716" s="656" t="s">
        <v>4198</v>
      </c>
      <c r="U1716" s="656" t="s">
        <v>1300</v>
      </c>
      <c r="V1716" s="656"/>
      <c r="W1716" s="656" t="s">
        <v>13051</v>
      </c>
      <c r="X1716" s="656" t="s">
        <v>498</v>
      </c>
      <c r="Y1716" s="656" t="s">
        <v>14278</v>
      </c>
      <c r="Z1716" s="656">
        <v>44305.517546296294</v>
      </c>
      <c r="AA1716" s="656" t="s">
        <v>14335</v>
      </c>
      <c r="AB1716" s="656"/>
    </row>
    <row r="1717" spans="1:28">
      <c r="A1717" s="656" t="s">
        <v>6594</v>
      </c>
      <c r="B1717" s="656" t="s">
        <v>6595</v>
      </c>
      <c r="C1717" s="656" t="s">
        <v>21</v>
      </c>
      <c r="D1717" s="656" t="s">
        <v>10636</v>
      </c>
      <c r="E1717" s="656" t="s">
        <v>14384</v>
      </c>
      <c r="F1717" s="1447">
        <v>42493</v>
      </c>
      <c r="G1717" s="656" t="s">
        <v>10635</v>
      </c>
      <c r="H1717" s="656" t="s">
        <v>1777</v>
      </c>
      <c r="I1717" s="656" t="s">
        <v>14852</v>
      </c>
      <c r="J1717" s="656" t="s">
        <v>10636</v>
      </c>
      <c r="K1717" s="656" t="s">
        <v>9750</v>
      </c>
      <c r="L1717" s="656"/>
      <c r="M1717" s="656" t="s">
        <v>16324</v>
      </c>
      <c r="N1717" s="656"/>
      <c r="O1717" s="656" t="s">
        <v>6393</v>
      </c>
      <c r="P1717" s="5" t="s">
        <v>14853</v>
      </c>
      <c r="Q1717" s="1447">
        <v>41656</v>
      </c>
      <c r="R1717" s="656"/>
      <c r="S1717" s="656" t="s">
        <v>1300</v>
      </c>
      <c r="T1717" s="656" t="s">
        <v>4198</v>
      </c>
      <c r="U1717" s="656" t="s">
        <v>1300</v>
      </c>
      <c r="V1717" s="656"/>
      <c r="W1717" s="656" t="s">
        <v>13051</v>
      </c>
      <c r="X1717" s="656" t="s">
        <v>498</v>
      </c>
      <c r="Y1717" s="656" t="s">
        <v>14278</v>
      </c>
      <c r="Z1717" s="656">
        <v>44305.517500000002</v>
      </c>
      <c r="AA1717" s="656" t="s">
        <v>14335</v>
      </c>
      <c r="AB1717" s="656"/>
    </row>
    <row r="1718" spans="1:28">
      <c r="A1718" s="656" t="s">
        <v>6594</v>
      </c>
      <c r="B1718" s="656" t="s">
        <v>6595</v>
      </c>
      <c r="C1718" s="656" t="s">
        <v>20</v>
      </c>
      <c r="D1718" s="656" t="s">
        <v>10638</v>
      </c>
      <c r="E1718" s="656" t="s">
        <v>14275</v>
      </c>
      <c r="F1718" s="1447">
        <v>42454</v>
      </c>
      <c r="G1718" s="656" t="s">
        <v>10637</v>
      </c>
      <c r="H1718" s="656" t="s">
        <v>1777</v>
      </c>
      <c r="I1718" s="656"/>
      <c r="J1718" s="656"/>
      <c r="K1718" s="656"/>
      <c r="L1718" s="656" t="s">
        <v>10638</v>
      </c>
      <c r="M1718" s="656" t="s">
        <v>16410</v>
      </c>
      <c r="N1718" s="656"/>
      <c r="O1718" s="656" t="s">
        <v>6393</v>
      </c>
      <c r="P1718" s="5"/>
      <c r="Q1718" s="1447"/>
      <c r="R1718" s="656"/>
      <c r="S1718" s="656" t="s">
        <v>1300</v>
      </c>
      <c r="T1718" s="656" t="s">
        <v>4198</v>
      </c>
      <c r="U1718" s="656" t="s">
        <v>1300</v>
      </c>
      <c r="V1718" s="656"/>
      <c r="W1718" s="656" t="s">
        <v>13051</v>
      </c>
      <c r="X1718" s="656" t="s">
        <v>498</v>
      </c>
      <c r="Y1718" s="656" t="s">
        <v>14278</v>
      </c>
      <c r="Z1718" s="656">
        <v>44305.517511574071</v>
      </c>
      <c r="AA1718" s="656" t="s">
        <v>14335</v>
      </c>
      <c r="AB1718" s="656"/>
    </row>
    <row r="1719" spans="1:28">
      <c r="A1719" s="656" t="s">
        <v>6594</v>
      </c>
      <c r="B1719" s="656" t="s">
        <v>6595</v>
      </c>
      <c r="C1719" s="656" t="s">
        <v>20</v>
      </c>
      <c r="D1719" s="656" t="s">
        <v>10639</v>
      </c>
      <c r="E1719" s="656" t="s">
        <v>14275</v>
      </c>
      <c r="F1719" s="1447">
        <v>42712</v>
      </c>
      <c r="G1719" s="656" t="s">
        <v>10635</v>
      </c>
      <c r="H1719" s="656" t="s">
        <v>1777</v>
      </c>
      <c r="I1719" s="656"/>
      <c r="J1719" s="656"/>
      <c r="K1719" s="656"/>
      <c r="L1719" s="656" t="s">
        <v>10639</v>
      </c>
      <c r="M1719" s="656" t="s">
        <v>16324</v>
      </c>
      <c r="N1719" s="656"/>
      <c r="O1719" s="656" t="s">
        <v>6393</v>
      </c>
      <c r="P1719" s="5"/>
      <c r="Q1719" s="1447"/>
      <c r="R1719" s="656"/>
      <c r="S1719" s="656" t="s">
        <v>1300</v>
      </c>
      <c r="T1719" s="656" t="s">
        <v>4198</v>
      </c>
      <c r="U1719" s="656" t="s">
        <v>1300</v>
      </c>
      <c r="V1719" s="656"/>
      <c r="W1719" s="656" t="s">
        <v>13051</v>
      </c>
      <c r="X1719" s="656" t="s">
        <v>498</v>
      </c>
      <c r="Y1719" s="656" t="s">
        <v>14278</v>
      </c>
      <c r="Z1719" s="656">
        <v>44305.517511574071</v>
      </c>
      <c r="AA1719" s="656" t="s">
        <v>14335</v>
      </c>
      <c r="AB1719" s="656"/>
    </row>
    <row r="1720" spans="1:28">
      <c r="A1720" s="656" t="s">
        <v>6598</v>
      </c>
      <c r="B1720" s="656" t="s">
        <v>6599</v>
      </c>
      <c r="C1720" s="656" t="s">
        <v>21</v>
      </c>
      <c r="D1720" s="656" t="s">
        <v>10632</v>
      </c>
      <c r="E1720" s="656" t="s">
        <v>14384</v>
      </c>
      <c r="F1720" s="1447">
        <v>42172</v>
      </c>
      <c r="G1720" s="656" t="s">
        <v>10631</v>
      </c>
      <c r="H1720" s="656" t="s">
        <v>1545</v>
      </c>
      <c r="I1720" s="656" t="s">
        <v>14854</v>
      </c>
      <c r="J1720" s="656" t="s">
        <v>10632</v>
      </c>
      <c r="K1720" s="656" t="s">
        <v>9750</v>
      </c>
      <c r="L1720" s="656"/>
      <c r="M1720" s="656" t="s">
        <v>1545</v>
      </c>
      <c r="N1720" s="656"/>
      <c r="O1720" s="656" t="s">
        <v>6393</v>
      </c>
      <c r="P1720" s="5" t="s">
        <v>14948</v>
      </c>
      <c r="Q1720" s="1447"/>
      <c r="R1720" s="656"/>
      <c r="S1720" s="656" t="s">
        <v>500</v>
      </c>
      <c r="T1720" s="656" t="s">
        <v>4198</v>
      </c>
      <c r="U1720" s="656" t="s">
        <v>1300</v>
      </c>
      <c r="V1720" s="656"/>
      <c r="W1720" s="656" t="s">
        <v>13051</v>
      </c>
      <c r="X1720" s="656" t="s">
        <v>498</v>
      </c>
      <c r="Y1720" s="656" t="s">
        <v>14278</v>
      </c>
      <c r="Z1720" s="656">
        <v>44305.517476851855</v>
      </c>
      <c r="AA1720" s="656" t="s">
        <v>14335</v>
      </c>
      <c r="AB1720" s="656"/>
    </row>
    <row r="1721" spans="1:28">
      <c r="A1721" s="656" t="s">
        <v>6598</v>
      </c>
      <c r="B1721" s="656" t="s">
        <v>6599</v>
      </c>
      <c r="C1721" s="656" t="s">
        <v>21</v>
      </c>
      <c r="D1721" s="656" t="s">
        <v>10633</v>
      </c>
      <c r="E1721" s="656" t="s">
        <v>14275</v>
      </c>
      <c r="F1721" s="1447">
        <v>42184</v>
      </c>
      <c r="G1721" s="656" t="s">
        <v>10631</v>
      </c>
      <c r="H1721" s="656" t="s">
        <v>1545</v>
      </c>
      <c r="I1721" s="656" t="s">
        <v>14854</v>
      </c>
      <c r="J1721" s="656" t="s">
        <v>10633</v>
      </c>
      <c r="K1721" s="656" t="s">
        <v>9750</v>
      </c>
      <c r="L1721" s="656"/>
      <c r="M1721" s="656" t="s">
        <v>1545</v>
      </c>
      <c r="N1721" s="656"/>
      <c r="O1721" s="656" t="s">
        <v>6393</v>
      </c>
      <c r="P1721" s="5"/>
      <c r="Q1721" s="1447"/>
      <c r="R1721" s="656">
        <v>41617</v>
      </c>
      <c r="S1721" s="656" t="s">
        <v>500</v>
      </c>
      <c r="T1721" s="656" t="s">
        <v>4198</v>
      </c>
      <c r="U1721" s="656" t="s">
        <v>1300</v>
      </c>
      <c r="V1721" s="656"/>
      <c r="W1721" s="656" t="s">
        <v>13051</v>
      </c>
      <c r="X1721" s="656" t="s">
        <v>498</v>
      </c>
      <c r="Y1721" s="656" t="s">
        <v>14278</v>
      </c>
      <c r="Z1721" s="656">
        <v>44305.517488425925</v>
      </c>
      <c r="AA1721" s="656" t="s">
        <v>14335</v>
      </c>
      <c r="AB1721" s="656"/>
    </row>
    <row r="1722" spans="1:28">
      <c r="A1722" s="656" t="s">
        <v>6598</v>
      </c>
      <c r="B1722" s="656" t="s">
        <v>6599</v>
      </c>
      <c r="C1722" s="656" t="s">
        <v>20</v>
      </c>
      <c r="D1722" s="656" t="s">
        <v>10634</v>
      </c>
      <c r="E1722" s="656" t="s">
        <v>14275</v>
      </c>
      <c r="F1722" s="1447">
        <v>42172</v>
      </c>
      <c r="G1722" s="656" t="s">
        <v>10631</v>
      </c>
      <c r="H1722" s="656" t="s">
        <v>1777</v>
      </c>
      <c r="I1722" s="656"/>
      <c r="J1722" s="656"/>
      <c r="K1722" s="656"/>
      <c r="L1722" s="656" t="s">
        <v>10634</v>
      </c>
      <c r="M1722" s="656" t="s">
        <v>1545</v>
      </c>
      <c r="N1722" s="656"/>
      <c r="O1722" s="656" t="s">
        <v>6393</v>
      </c>
      <c r="P1722" s="5"/>
      <c r="Q1722" s="1447"/>
      <c r="R1722" s="656"/>
      <c r="S1722" s="656" t="s">
        <v>500</v>
      </c>
      <c r="T1722" s="656" t="s">
        <v>4198</v>
      </c>
      <c r="U1722" s="656" t="s">
        <v>1300</v>
      </c>
      <c r="V1722" s="656"/>
      <c r="W1722" s="656" t="s">
        <v>13051</v>
      </c>
      <c r="X1722" s="656" t="s">
        <v>498</v>
      </c>
      <c r="Y1722" s="656" t="s">
        <v>14278</v>
      </c>
      <c r="Z1722" s="656">
        <v>44305.517488425925</v>
      </c>
      <c r="AA1722" s="656" t="s">
        <v>14335</v>
      </c>
      <c r="AB1722" s="656"/>
    </row>
    <row r="1723" spans="1:28">
      <c r="A1723" s="656" t="s">
        <v>6606</v>
      </c>
      <c r="B1723" s="656" t="s">
        <v>6607</v>
      </c>
      <c r="C1723" s="656" t="s">
        <v>21</v>
      </c>
      <c r="D1723" s="656" t="s">
        <v>10629</v>
      </c>
      <c r="E1723" s="656" t="s">
        <v>14275</v>
      </c>
      <c r="F1723" s="1447">
        <v>43054</v>
      </c>
      <c r="G1723" s="656" t="s">
        <v>10628</v>
      </c>
      <c r="H1723" s="656" t="s">
        <v>1777</v>
      </c>
      <c r="I1723" s="656" t="s">
        <v>14855</v>
      </c>
      <c r="J1723" s="656" t="s">
        <v>10629</v>
      </c>
      <c r="K1723" s="656" t="s">
        <v>9782</v>
      </c>
      <c r="L1723" s="656"/>
      <c r="M1723" s="656" t="s">
        <v>16340</v>
      </c>
      <c r="N1723" s="656"/>
      <c r="O1723" s="656" t="s">
        <v>6387</v>
      </c>
      <c r="P1723" s="5"/>
      <c r="Q1723" s="1447">
        <v>42454</v>
      </c>
      <c r="R1723" s="656">
        <v>42835</v>
      </c>
      <c r="S1723" s="656" t="s">
        <v>655</v>
      </c>
      <c r="T1723" s="656" t="s">
        <v>14277</v>
      </c>
      <c r="U1723" s="656" t="s">
        <v>655</v>
      </c>
      <c r="V1723" s="656"/>
      <c r="W1723" s="656" t="s">
        <v>13051</v>
      </c>
      <c r="X1723" s="656" t="s">
        <v>498</v>
      </c>
      <c r="Y1723" s="656" t="s">
        <v>14278</v>
      </c>
      <c r="Z1723" s="656">
        <v>44305.517465277779</v>
      </c>
      <c r="AA1723" s="656" t="s">
        <v>14335</v>
      </c>
      <c r="AB1723" s="656"/>
    </row>
    <row r="1724" spans="1:28">
      <c r="A1724" s="656" t="s">
        <v>6606</v>
      </c>
      <c r="B1724" s="656" t="s">
        <v>6607</v>
      </c>
      <c r="C1724" s="656" t="s">
        <v>20</v>
      </c>
      <c r="D1724" s="656" t="s">
        <v>10630</v>
      </c>
      <c r="E1724" s="656" t="s">
        <v>14275</v>
      </c>
      <c r="F1724" s="1447">
        <v>43066</v>
      </c>
      <c r="G1724" s="656" t="s">
        <v>10628</v>
      </c>
      <c r="H1724" s="656" t="s">
        <v>1777</v>
      </c>
      <c r="I1724" s="656"/>
      <c r="J1724" s="656"/>
      <c r="K1724" s="656"/>
      <c r="L1724" s="656" t="s">
        <v>10630</v>
      </c>
      <c r="M1724" s="656" t="s">
        <v>16454</v>
      </c>
      <c r="N1724" s="656"/>
      <c r="O1724" s="656" t="s">
        <v>6387</v>
      </c>
      <c r="P1724" s="5" t="s">
        <v>14856</v>
      </c>
      <c r="Q1724" s="1447">
        <v>42454</v>
      </c>
      <c r="R1724" s="656"/>
      <c r="S1724" s="656" t="s">
        <v>655</v>
      </c>
      <c r="T1724" s="656" t="s">
        <v>14277</v>
      </c>
      <c r="U1724" s="656" t="s">
        <v>655</v>
      </c>
      <c r="V1724" s="656"/>
      <c r="W1724" s="656" t="s">
        <v>13051</v>
      </c>
      <c r="X1724" s="656" t="s">
        <v>498</v>
      </c>
      <c r="Y1724" s="656" t="s">
        <v>14278</v>
      </c>
      <c r="Z1724" s="656">
        <v>44305.517476851855</v>
      </c>
      <c r="AA1724" s="656" t="s">
        <v>14335</v>
      </c>
      <c r="AB1724" s="656"/>
    </row>
    <row r="1725" spans="1:28">
      <c r="A1725" s="656" t="s">
        <v>6608</v>
      </c>
      <c r="B1725" s="656" t="s">
        <v>6609</v>
      </c>
      <c r="C1725" s="656" t="s">
        <v>21</v>
      </c>
      <c r="D1725" s="656" t="s">
        <v>10622</v>
      </c>
      <c r="E1725" s="656" t="s">
        <v>14384</v>
      </c>
      <c r="F1725" s="1491">
        <v>42546</v>
      </c>
      <c r="G1725" s="656" t="s">
        <v>10621</v>
      </c>
      <c r="H1725" s="656" t="s">
        <v>1777</v>
      </c>
      <c r="I1725" s="656" t="s">
        <v>14857</v>
      </c>
      <c r="J1725" s="656" t="s">
        <v>10622</v>
      </c>
      <c r="K1725" s="656" t="s">
        <v>10398</v>
      </c>
      <c r="L1725" s="656"/>
      <c r="M1725" s="656" t="s">
        <v>16323</v>
      </c>
      <c r="N1725" s="656"/>
      <c r="O1725" s="656" t="s">
        <v>6387</v>
      </c>
      <c r="P1725" s="5" t="s">
        <v>14858</v>
      </c>
      <c r="Q1725" s="1447"/>
      <c r="R1725" s="656"/>
      <c r="S1725" s="656" t="s">
        <v>1667</v>
      </c>
      <c r="T1725" s="656" t="s">
        <v>14277</v>
      </c>
      <c r="U1725" s="656" t="s">
        <v>655</v>
      </c>
      <c r="V1725" s="656"/>
      <c r="W1725" s="656" t="s">
        <v>13051</v>
      </c>
      <c r="X1725" s="656" t="s">
        <v>498</v>
      </c>
      <c r="Y1725" s="656" t="s">
        <v>14278</v>
      </c>
      <c r="Z1725" s="656">
        <v>44305.517430555556</v>
      </c>
      <c r="AA1725" s="656" t="s">
        <v>14335</v>
      </c>
      <c r="AB1725" s="656"/>
    </row>
    <row r="1726" spans="1:28">
      <c r="A1726" s="656" t="s">
        <v>6608</v>
      </c>
      <c r="B1726" s="656" t="s">
        <v>6609</v>
      </c>
      <c r="C1726" s="656" t="s">
        <v>21</v>
      </c>
      <c r="D1726" s="656" t="s">
        <v>10624</v>
      </c>
      <c r="E1726" s="656" t="s">
        <v>14384</v>
      </c>
      <c r="F1726" s="1491">
        <v>42814</v>
      </c>
      <c r="G1726" s="656" t="s">
        <v>10623</v>
      </c>
      <c r="H1726" s="656" t="s">
        <v>1777</v>
      </c>
      <c r="I1726" s="656" t="s">
        <v>14859</v>
      </c>
      <c r="J1726" s="656" t="s">
        <v>10624</v>
      </c>
      <c r="K1726" s="656" t="s">
        <v>9774</v>
      </c>
      <c r="L1726" s="656"/>
      <c r="M1726" s="656" t="s">
        <v>16323</v>
      </c>
      <c r="N1726" s="656"/>
      <c r="O1726" s="656" t="s">
        <v>6387</v>
      </c>
      <c r="P1726" s="5" t="s">
        <v>14951</v>
      </c>
      <c r="Q1726" s="1447">
        <v>40666</v>
      </c>
      <c r="R1726" s="656"/>
      <c r="S1726" s="656" t="s">
        <v>1667</v>
      </c>
      <c r="T1726" s="656" t="s">
        <v>14277</v>
      </c>
      <c r="U1726" s="656" t="s">
        <v>655</v>
      </c>
      <c r="V1726" s="656"/>
      <c r="W1726" s="656" t="s">
        <v>13051</v>
      </c>
      <c r="X1726" s="656" t="s">
        <v>498</v>
      </c>
      <c r="Y1726" s="656" t="s">
        <v>14278</v>
      </c>
      <c r="Z1726" s="656">
        <v>44305.517442129632</v>
      </c>
      <c r="AA1726" s="656" t="s">
        <v>14335</v>
      </c>
      <c r="AB1726" s="656"/>
    </row>
    <row r="1727" spans="1:28">
      <c r="A1727" s="656" t="s">
        <v>6608</v>
      </c>
      <c r="B1727" s="656" t="s">
        <v>6609</v>
      </c>
      <c r="C1727" s="656" t="s">
        <v>21</v>
      </c>
      <c r="D1727" s="656" t="s">
        <v>10625</v>
      </c>
      <c r="E1727" s="656" t="s">
        <v>14384</v>
      </c>
      <c r="F1727" s="1491">
        <v>42814</v>
      </c>
      <c r="G1727" s="656" t="s">
        <v>10623</v>
      </c>
      <c r="H1727" s="656" t="s">
        <v>1777</v>
      </c>
      <c r="I1727" s="656" t="s">
        <v>14860</v>
      </c>
      <c r="J1727" s="656" t="s">
        <v>10625</v>
      </c>
      <c r="K1727" s="656" t="s">
        <v>9782</v>
      </c>
      <c r="L1727" s="656"/>
      <c r="M1727" s="656" t="s">
        <v>16323</v>
      </c>
      <c r="N1727" s="656"/>
      <c r="O1727" s="656" t="s">
        <v>6387</v>
      </c>
      <c r="P1727" s="5" t="s">
        <v>14858</v>
      </c>
      <c r="Q1727" s="1447">
        <v>42486</v>
      </c>
      <c r="R1727" s="656"/>
      <c r="S1727" s="656" t="s">
        <v>1667</v>
      </c>
      <c r="T1727" s="656" t="s">
        <v>14277</v>
      </c>
      <c r="U1727" s="656" t="s">
        <v>655</v>
      </c>
      <c r="V1727" s="656"/>
      <c r="W1727" s="656" t="s">
        <v>13051</v>
      </c>
      <c r="X1727" s="656" t="s">
        <v>498</v>
      </c>
      <c r="Y1727" s="656" t="s">
        <v>14278</v>
      </c>
      <c r="Z1727" s="656">
        <v>44305.517453703702</v>
      </c>
      <c r="AA1727" s="656" t="s">
        <v>14335</v>
      </c>
      <c r="AB1727" s="656"/>
    </row>
    <row r="1728" spans="1:28">
      <c r="A1728" s="656" t="s">
        <v>6608</v>
      </c>
      <c r="B1728" s="656" t="s">
        <v>6609</v>
      </c>
      <c r="C1728" s="656" t="s">
        <v>20</v>
      </c>
      <c r="D1728" s="656" t="s">
        <v>10627</v>
      </c>
      <c r="E1728" s="656" t="s">
        <v>14275</v>
      </c>
      <c r="F1728" s="1491">
        <v>42879</v>
      </c>
      <c r="G1728" s="656" t="s">
        <v>10626</v>
      </c>
      <c r="H1728" s="656" t="s">
        <v>1777</v>
      </c>
      <c r="I1728" s="656"/>
      <c r="J1728" s="656"/>
      <c r="K1728" s="656"/>
      <c r="L1728" s="656" t="s">
        <v>10627</v>
      </c>
      <c r="M1728" s="656" t="s">
        <v>16323</v>
      </c>
      <c r="N1728" s="656"/>
      <c r="O1728" s="656" t="s">
        <v>6387</v>
      </c>
      <c r="P1728" s="5"/>
      <c r="Q1728" s="1447"/>
      <c r="R1728" s="656"/>
      <c r="S1728" s="656" t="s">
        <v>1667</v>
      </c>
      <c r="T1728" s="656" t="s">
        <v>14277</v>
      </c>
      <c r="U1728" s="656" t="s">
        <v>655</v>
      </c>
      <c r="V1728" s="656"/>
      <c r="W1728" s="656" t="s">
        <v>13051</v>
      </c>
      <c r="X1728" s="656" t="s">
        <v>498</v>
      </c>
      <c r="Y1728" s="656" t="s">
        <v>14278</v>
      </c>
      <c r="Z1728" s="656">
        <v>44305.517453703702</v>
      </c>
      <c r="AA1728" s="656" t="s">
        <v>14335</v>
      </c>
      <c r="AB1728" s="656"/>
    </row>
    <row r="1729" spans="1:28">
      <c r="A1729" s="656" t="s">
        <v>6610</v>
      </c>
      <c r="B1729" s="656" t="s">
        <v>6611</v>
      </c>
      <c r="C1729" s="656" t="s">
        <v>20</v>
      </c>
      <c r="D1729" s="656" t="s">
        <v>10620</v>
      </c>
      <c r="E1729" s="656" t="s">
        <v>14275</v>
      </c>
      <c r="F1729" s="1491">
        <v>42172</v>
      </c>
      <c r="G1729" s="656" t="s">
        <v>10619</v>
      </c>
      <c r="H1729" s="656" t="s">
        <v>1777</v>
      </c>
      <c r="I1729" s="656"/>
      <c r="J1729" s="656"/>
      <c r="K1729" s="656"/>
      <c r="L1729" s="656" t="s">
        <v>10620</v>
      </c>
      <c r="M1729" s="656" t="s">
        <v>16415</v>
      </c>
      <c r="N1729" s="656"/>
      <c r="O1729" s="656" t="s">
        <v>6387</v>
      </c>
      <c r="P1729" s="5"/>
      <c r="Q1729" s="1447"/>
      <c r="R1729" s="656"/>
      <c r="S1729" s="656" t="s">
        <v>655</v>
      </c>
      <c r="T1729" s="656" t="s">
        <v>14277</v>
      </c>
      <c r="U1729" s="656" t="s">
        <v>655</v>
      </c>
      <c r="V1729" s="656"/>
      <c r="W1729" s="656" t="s">
        <v>13051</v>
      </c>
      <c r="X1729" s="656" t="s">
        <v>498</v>
      </c>
      <c r="Y1729" s="656" t="s">
        <v>14278</v>
      </c>
      <c r="Z1729" s="656">
        <v>44305.517418981479</v>
      </c>
      <c r="AA1729" s="656" t="s">
        <v>14335</v>
      </c>
      <c r="AB1729" s="656"/>
    </row>
    <row r="1730" spans="1:28">
      <c r="A1730" s="656" t="s">
        <v>6612</v>
      </c>
      <c r="B1730" s="656" t="s">
        <v>6613</v>
      </c>
      <c r="C1730" s="656" t="s">
        <v>20</v>
      </c>
      <c r="D1730" s="656" t="s">
        <v>10618</v>
      </c>
      <c r="E1730" s="656" t="s">
        <v>14275</v>
      </c>
      <c r="F1730" s="1491">
        <v>42172</v>
      </c>
      <c r="G1730" s="656" t="s">
        <v>10617</v>
      </c>
      <c r="H1730" s="656" t="s">
        <v>1777</v>
      </c>
      <c r="I1730" s="656"/>
      <c r="J1730" s="656"/>
      <c r="K1730" s="656"/>
      <c r="L1730" s="656" t="s">
        <v>10618</v>
      </c>
      <c r="M1730" s="656" t="s">
        <v>1385</v>
      </c>
      <c r="N1730" s="656"/>
      <c r="O1730" s="656" t="s">
        <v>6387</v>
      </c>
      <c r="P1730" s="5"/>
      <c r="Q1730" s="1447"/>
      <c r="R1730" s="656"/>
      <c r="S1730" s="656" t="s">
        <v>1667</v>
      </c>
      <c r="T1730" s="656" t="s">
        <v>14277</v>
      </c>
      <c r="U1730" s="656" t="s">
        <v>655</v>
      </c>
      <c r="V1730" s="656"/>
      <c r="W1730" s="656" t="s">
        <v>13051</v>
      </c>
      <c r="X1730" s="656" t="s">
        <v>498</v>
      </c>
      <c r="Y1730" s="656" t="s">
        <v>14278</v>
      </c>
      <c r="Z1730" s="656">
        <v>44305.517407407409</v>
      </c>
      <c r="AA1730" s="656" t="s">
        <v>14335</v>
      </c>
      <c r="AB1730" s="656"/>
    </row>
    <row r="1731" spans="1:28">
      <c r="A1731" s="656" t="s">
        <v>6684</v>
      </c>
      <c r="B1731" s="656" t="s">
        <v>6685</v>
      </c>
      <c r="C1731" s="656" t="s">
        <v>21</v>
      </c>
      <c r="D1731" s="656" t="s">
        <v>10616</v>
      </c>
      <c r="E1731" s="656" t="s">
        <v>14275</v>
      </c>
      <c r="F1731" s="1491">
        <v>41715</v>
      </c>
      <c r="G1731" s="656" t="s">
        <v>10615</v>
      </c>
      <c r="H1731" s="656" t="s">
        <v>1777</v>
      </c>
      <c r="I1731" s="656" t="s">
        <v>14861</v>
      </c>
      <c r="J1731" s="656" t="s">
        <v>10616</v>
      </c>
      <c r="K1731" s="656" t="s">
        <v>9774</v>
      </c>
      <c r="L1731" s="656"/>
      <c r="M1731" s="656" t="s">
        <v>16441</v>
      </c>
      <c r="N1731" s="656"/>
      <c r="O1731" s="656" t="s">
        <v>6395</v>
      </c>
      <c r="P1731" s="5"/>
      <c r="Q1731" s="1447"/>
      <c r="R1731" s="656">
        <v>41414</v>
      </c>
      <c r="S1731" s="656" t="s">
        <v>1394</v>
      </c>
      <c r="T1731" s="656" t="s">
        <v>14280</v>
      </c>
      <c r="U1731" s="656" t="s">
        <v>1394</v>
      </c>
      <c r="V1731" s="656"/>
      <c r="W1731" s="656" t="s">
        <v>13051</v>
      </c>
      <c r="X1731" s="656" t="s">
        <v>498</v>
      </c>
      <c r="Y1731" s="656" t="s">
        <v>14278</v>
      </c>
      <c r="Z1731" s="656">
        <v>44305.517395833333</v>
      </c>
      <c r="AA1731" s="656" t="s">
        <v>14335</v>
      </c>
      <c r="AB1731" s="656"/>
    </row>
    <row r="1732" spans="1:28">
      <c r="A1732" s="656" t="s">
        <v>6719</v>
      </c>
      <c r="B1732" s="656" t="s">
        <v>6720</v>
      </c>
      <c r="C1732" s="656" t="s">
        <v>20</v>
      </c>
      <c r="D1732" s="656" t="s">
        <v>10614</v>
      </c>
      <c r="E1732" s="656" t="s">
        <v>14275</v>
      </c>
      <c r="F1732" s="1491">
        <v>42404</v>
      </c>
      <c r="G1732" s="656" t="s">
        <v>10613</v>
      </c>
      <c r="H1732" s="656" t="s">
        <v>1777</v>
      </c>
      <c r="I1732" s="656"/>
      <c r="J1732" s="656"/>
      <c r="K1732" s="656"/>
      <c r="L1732" s="656" t="s">
        <v>10614</v>
      </c>
      <c r="M1732" s="656" t="s">
        <v>1947</v>
      </c>
      <c r="N1732" s="656" t="s">
        <v>10594</v>
      </c>
      <c r="O1732" s="656" t="s">
        <v>10593</v>
      </c>
      <c r="P1732" s="5"/>
      <c r="Q1732" s="1447"/>
      <c r="R1732" s="656"/>
      <c r="S1732" s="656" t="s">
        <v>6718</v>
      </c>
      <c r="T1732" s="656" t="s">
        <v>10594</v>
      </c>
      <c r="U1732" s="656" t="s">
        <v>10594</v>
      </c>
      <c r="V1732" s="656"/>
      <c r="W1732" s="656" t="s">
        <v>13051</v>
      </c>
      <c r="X1732" s="656" t="s">
        <v>498</v>
      </c>
      <c r="Y1732" s="656" t="s">
        <v>14278</v>
      </c>
      <c r="Z1732" s="656">
        <v>44305.517395833333</v>
      </c>
      <c r="AA1732" s="656" t="s">
        <v>14335</v>
      </c>
      <c r="AB1732" s="656"/>
    </row>
    <row r="1733" spans="1:28">
      <c r="A1733" s="656" t="s">
        <v>6721</v>
      </c>
      <c r="B1733" s="656" t="s">
        <v>6722</v>
      </c>
      <c r="C1733" s="656" t="s">
        <v>20</v>
      </c>
      <c r="D1733" s="656" t="s">
        <v>10612</v>
      </c>
      <c r="E1733" s="656" t="s">
        <v>14275</v>
      </c>
      <c r="F1733" s="1491">
        <v>42404</v>
      </c>
      <c r="G1733" s="656" t="s">
        <v>10611</v>
      </c>
      <c r="H1733" s="656" t="s">
        <v>1777</v>
      </c>
      <c r="I1733" s="656"/>
      <c r="J1733" s="656"/>
      <c r="K1733" s="656"/>
      <c r="L1733" s="656" t="s">
        <v>10612</v>
      </c>
      <c r="M1733" s="656" t="s">
        <v>1947</v>
      </c>
      <c r="N1733" s="656" t="s">
        <v>10594</v>
      </c>
      <c r="O1733" s="656" t="s">
        <v>10593</v>
      </c>
      <c r="P1733" s="5"/>
      <c r="Q1733" s="1447"/>
      <c r="R1733" s="656"/>
      <c r="S1733" s="656" t="s">
        <v>6718</v>
      </c>
      <c r="T1733" s="656" t="s">
        <v>10594</v>
      </c>
      <c r="U1733" s="656" t="s">
        <v>10594</v>
      </c>
      <c r="V1733" s="656"/>
      <c r="W1733" s="656" t="s">
        <v>13051</v>
      </c>
      <c r="X1733" s="656" t="s">
        <v>498</v>
      </c>
      <c r="Y1733" s="656" t="s">
        <v>14278</v>
      </c>
      <c r="Z1733" s="656">
        <v>44305.517395833333</v>
      </c>
      <c r="AA1733" s="656" t="s">
        <v>14335</v>
      </c>
      <c r="AB1733" s="656"/>
    </row>
    <row r="1734" spans="1:28">
      <c r="A1734" s="656" t="s">
        <v>6723</v>
      </c>
      <c r="B1734" s="656" t="s">
        <v>6724</v>
      </c>
      <c r="C1734" s="656" t="s">
        <v>20</v>
      </c>
      <c r="D1734" s="656" t="s">
        <v>10610</v>
      </c>
      <c r="E1734" s="656" t="s">
        <v>14275</v>
      </c>
      <c r="F1734" s="1491">
        <v>42422</v>
      </c>
      <c r="G1734" s="656" t="s">
        <v>10609</v>
      </c>
      <c r="H1734" s="656" t="s">
        <v>1777</v>
      </c>
      <c r="I1734" s="656"/>
      <c r="J1734" s="656"/>
      <c r="K1734" s="656"/>
      <c r="L1734" s="656" t="s">
        <v>10610</v>
      </c>
      <c r="M1734" s="656" t="s">
        <v>1947</v>
      </c>
      <c r="N1734" s="656" t="s">
        <v>10594</v>
      </c>
      <c r="O1734" s="656" t="s">
        <v>10593</v>
      </c>
      <c r="P1734" s="5"/>
      <c r="Q1734" s="1447"/>
      <c r="R1734" s="656"/>
      <c r="S1734" s="656" t="s">
        <v>6718</v>
      </c>
      <c r="T1734" s="656" t="s">
        <v>10594</v>
      </c>
      <c r="U1734" s="656" t="s">
        <v>10594</v>
      </c>
      <c r="V1734" s="656"/>
      <c r="W1734" s="656" t="s">
        <v>13051</v>
      </c>
      <c r="X1734" s="656" t="s">
        <v>498</v>
      </c>
      <c r="Y1734" s="656" t="s">
        <v>14278</v>
      </c>
      <c r="Z1734" s="656">
        <v>44305.517384259256</v>
      </c>
      <c r="AA1734" s="656" t="s">
        <v>14335</v>
      </c>
      <c r="AB1734" s="656"/>
    </row>
    <row r="1735" spans="1:28">
      <c r="A1735" s="656" t="s">
        <v>6725</v>
      </c>
      <c r="B1735" s="656" t="s">
        <v>6726</v>
      </c>
      <c r="C1735" s="656" t="s">
        <v>20</v>
      </c>
      <c r="D1735" s="656" t="s">
        <v>10608</v>
      </c>
      <c r="E1735" s="656" t="s">
        <v>14275</v>
      </c>
      <c r="F1735" s="1491">
        <v>42404</v>
      </c>
      <c r="G1735" s="656" t="s">
        <v>10607</v>
      </c>
      <c r="H1735" s="656" t="s">
        <v>1777</v>
      </c>
      <c r="I1735" s="656"/>
      <c r="J1735" s="656"/>
      <c r="K1735" s="656"/>
      <c r="L1735" s="656" t="s">
        <v>10608</v>
      </c>
      <c r="M1735" s="656" t="s">
        <v>1947</v>
      </c>
      <c r="N1735" s="656" t="s">
        <v>10594</v>
      </c>
      <c r="O1735" s="656" t="s">
        <v>10593</v>
      </c>
      <c r="P1735" s="5"/>
      <c r="Q1735" s="1447"/>
      <c r="R1735" s="656"/>
      <c r="S1735" s="656" t="s">
        <v>6718</v>
      </c>
      <c r="T1735" s="656" t="s">
        <v>10594</v>
      </c>
      <c r="U1735" s="656" t="s">
        <v>10594</v>
      </c>
      <c r="V1735" s="656"/>
      <c r="W1735" s="656" t="s">
        <v>13051</v>
      </c>
      <c r="X1735" s="656" t="s">
        <v>498</v>
      </c>
      <c r="Y1735" s="656" t="s">
        <v>14278</v>
      </c>
      <c r="Z1735" s="656">
        <v>44305.517372685186</v>
      </c>
      <c r="AA1735" s="656" t="s">
        <v>14335</v>
      </c>
      <c r="AB1735" s="656"/>
    </row>
    <row r="1736" spans="1:28">
      <c r="A1736" s="656" t="s">
        <v>6727</v>
      </c>
      <c r="B1736" s="656" t="s">
        <v>6728</v>
      </c>
      <c r="C1736" s="656" t="s">
        <v>20</v>
      </c>
      <c r="D1736" s="656" t="s">
        <v>10606</v>
      </c>
      <c r="E1736" s="656" t="s">
        <v>14275</v>
      </c>
      <c r="F1736" s="1491">
        <v>42404</v>
      </c>
      <c r="G1736" s="656" t="s">
        <v>10605</v>
      </c>
      <c r="H1736" s="656" t="s">
        <v>1777</v>
      </c>
      <c r="I1736" s="656"/>
      <c r="J1736" s="656"/>
      <c r="K1736" s="656"/>
      <c r="L1736" s="656" t="s">
        <v>10606</v>
      </c>
      <c r="M1736" s="656" t="s">
        <v>1947</v>
      </c>
      <c r="N1736" s="656" t="s">
        <v>10594</v>
      </c>
      <c r="O1736" s="656" t="s">
        <v>10593</v>
      </c>
      <c r="P1736" s="5"/>
      <c r="Q1736" s="1447"/>
      <c r="R1736" s="656"/>
      <c r="S1736" s="656" t="s">
        <v>6718</v>
      </c>
      <c r="T1736" s="656" t="s">
        <v>10594</v>
      </c>
      <c r="U1736" s="656" t="s">
        <v>10594</v>
      </c>
      <c r="V1736" s="656"/>
      <c r="W1736" s="656" t="s">
        <v>13051</v>
      </c>
      <c r="X1736" s="656" t="s">
        <v>498</v>
      </c>
      <c r="Y1736" s="656" t="s">
        <v>14278</v>
      </c>
      <c r="Z1736" s="656">
        <v>44305.517361111109</v>
      </c>
      <c r="AA1736" s="656" t="s">
        <v>14335</v>
      </c>
      <c r="AB1736" s="656"/>
    </row>
    <row r="1737" spans="1:28">
      <c r="A1737" s="656" t="s">
        <v>6729</v>
      </c>
      <c r="B1737" s="656" t="s">
        <v>6730</v>
      </c>
      <c r="C1737" s="656" t="s">
        <v>20</v>
      </c>
      <c r="D1737" s="656" t="s">
        <v>10604</v>
      </c>
      <c r="E1737" s="656" t="s">
        <v>14275</v>
      </c>
      <c r="F1737" s="1491">
        <v>41835</v>
      </c>
      <c r="G1737" s="656" t="s">
        <v>10603</v>
      </c>
      <c r="H1737" s="656" t="s">
        <v>1777</v>
      </c>
      <c r="I1737" s="656"/>
      <c r="J1737" s="656"/>
      <c r="K1737" s="656"/>
      <c r="L1737" s="656" t="s">
        <v>10604</v>
      </c>
      <c r="M1737" s="656" t="s">
        <v>1947</v>
      </c>
      <c r="N1737" s="656" t="s">
        <v>10594</v>
      </c>
      <c r="O1737" s="656" t="s">
        <v>10593</v>
      </c>
      <c r="P1737" s="5"/>
      <c r="Q1737" s="1447"/>
      <c r="R1737" s="656"/>
      <c r="S1737" s="656" t="s">
        <v>655</v>
      </c>
      <c r="T1737" s="656" t="s">
        <v>10594</v>
      </c>
      <c r="U1737" s="656" t="s">
        <v>10594</v>
      </c>
      <c r="V1737" s="656"/>
      <c r="W1737" s="656" t="s">
        <v>13051</v>
      </c>
      <c r="X1737" s="656" t="s">
        <v>498</v>
      </c>
      <c r="Y1737" s="656" t="s">
        <v>14278</v>
      </c>
      <c r="Z1737" s="656">
        <v>44305.51734953704</v>
      </c>
      <c r="AA1737" s="656" t="s">
        <v>14335</v>
      </c>
      <c r="AB1737" s="656"/>
    </row>
    <row r="1738" spans="1:28">
      <c r="A1738" s="656" t="s">
        <v>6731</v>
      </c>
      <c r="B1738" s="656" t="s">
        <v>6732</v>
      </c>
      <c r="C1738" s="656" t="s">
        <v>20</v>
      </c>
      <c r="D1738" s="656" t="s">
        <v>10602</v>
      </c>
      <c r="E1738" s="656" t="s">
        <v>14275</v>
      </c>
      <c r="F1738" s="1491">
        <v>42404</v>
      </c>
      <c r="G1738" s="656" t="s">
        <v>10601</v>
      </c>
      <c r="H1738" s="656" t="s">
        <v>1777</v>
      </c>
      <c r="I1738" s="656"/>
      <c r="J1738" s="656"/>
      <c r="K1738" s="656"/>
      <c r="L1738" s="656" t="s">
        <v>10602</v>
      </c>
      <c r="M1738" s="656" t="s">
        <v>1947</v>
      </c>
      <c r="N1738" s="656" t="s">
        <v>10594</v>
      </c>
      <c r="O1738" s="656" t="s">
        <v>10593</v>
      </c>
      <c r="P1738" s="5"/>
      <c r="Q1738" s="1447"/>
      <c r="R1738" s="656"/>
      <c r="S1738" s="656" t="s">
        <v>6718</v>
      </c>
      <c r="T1738" s="656" t="s">
        <v>10594</v>
      </c>
      <c r="U1738" s="656" t="s">
        <v>10594</v>
      </c>
      <c r="V1738" s="656"/>
      <c r="W1738" s="656" t="s">
        <v>13051</v>
      </c>
      <c r="X1738" s="656" t="s">
        <v>498</v>
      </c>
      <c r="Y1738" s="656" t="s">
        <v>14278</v>
      </c>
      <c r="Z1738" s="656">
        <v>44305.517361111109</v>
      </c>
      <c r="AA1738" s="656" t="s">
        <v>14335</v>
      </c>
      <c r="AB1738" s="656"/>
    </row>
    <row r="1739" spans="1:28">
      <c r="A1739" s="656" t="s">
        <v>6733</v>
      </c>
      <c r="B1739" s="656" t="s">
        <v>6734</v>
      </c>
      <c r="C1739" s="656" t="s">
        <v>20</v>
      </c>
      <c r="D1739" s="656" t="s">
        <v>10600</v>
      </c>
      <c r="E1739" s="656" t="s">
        <v>14275</v>
      </c>
      <c r="F1739" s="1491">
        <v>41852</v>
      </c>
      <c r="G1739" s="656" t="s">
        <v>10599</v>
      </c>
      <c r="H1739" s="656" t="s">
        <v>1777</v>
      </c>
      <c r="I1739" s="656"/>
      <c r="J1739" s="656"/>
      <c r="K1739" s="656"/>
      <c r="L1739" s="656" t="s">
        <v>10600</v>
      </c>
      <c r="M1739" s="656" t="s">
        <v>1947</v>
      </c>
      <c r="N1739" s="656" t="s">
        <v>10594</v>
      </c>
      <c r="O1739" s="656" t="s">
        <v>10593</v>
      </c>
      <c r="P1739" s="5"/>
      <c r="Q1739" s="1447"/>
      <c r="R1739" s="656"/>
      <c r="S1739" s="656" t="s">
        <v>6718</v>
      </c>
      <c r="T1739" s="656" t="s">
        <v>10594</v>
      </c>
      <c r="U1739" s="656" t="s">
        <v>10594</v>
      </c>
      <c r="V1739" s="656"/>
      <c r="W1739" s="656" t="s">
        <v>13051</v>
      </c>
      <c r="X1739" s="656" t="s">
        <v>498</v>
      </c>
      <c r="Y1739" s="656" t="s">
        <v>14278</v>
      </c>
      <c r="Z1739" s="656">
        <v>44305.517337962963</v>
      </c>
      <c r="AA1739" s="656" t="s">
        <v>14335</v>
      </c>
      <c r="AB1739" s="656"/>
    </row>
    <row r="1740" spans="1:28">
      <c r="A1740" s="656" t="s">
        <v>6735</v>
      </c>
      <c r="B1740" s="656" t="s">
        <v>6736</v>
      </c>
      <c r="C1740" s="656" t="s">
        <v>20</v>
      </c>
      <c r="D1740" s="656" t="s">
        <v>10598</v>
      </c>
      <c r="E1740" s="656" t="s">
        <v>14275</v>
      </c>
      <c r="F1740" s="1491">
        <v>41852</v>
      </c>
      <c r="G1740" s="656" t="s">
        <v>10597</v>
      </c>
      <c r="H1740" s="656" t="s">
        <v>1777</v>
      </c>
      <c r="I1740" s="656"/>
      <c r="J1740" s="656"/>
      <c r="K1740" s="656"/>
      <c r="L1740" s="656" t="s">
        <v>10598</v>
      </c>
      <c r="M1740" s="656" t="s">
        <v>1947</v>
      </c>
      <c r="N1740" s="656" t="s">
        <v>10594</v>
      </c>
      <c r="O1740" s="656" t="s">
        <v>10593</v>
      </c>
      <c r="P1740" s="5"/>
      <c r="Q1740" s="1447"/>
      <c r="R1740" s="656"/>
      <c r="S1740" s="656" t="s">
        <v>500</v>
      </c>
      <c r="T1740" s="656" t="s">
        <v>10594</v>
      </c>
      <c r="U1740" s="656" t="s">
        <v>10594</v>
      </c>
      <c r="V1740" s="656"/>
      <c r="W1740" s="656" t="s">
        <v>13051</v>
      </c>
      <c r="X1740" s="656" t="s">
        <v>498</v>
      </c>
      <c r="Y1740" s="656" t="s">
        <v>14278</v>
      </c>
      <c r="Z1740" s="656">
        <v>44305.517337962963</v>
      </c>
      <c r="AA1740" s="656" t="s">
        <v>14335</v>
      </c>
      <c r="AB1740" s="656"/>
    </row>
    <row r="1741" spans="1:28">
      <c r="A1741" s="656" t="s">
        <v>6737</v>
      </c>
      <c r="B1741" s="656" t="s">
        <v>6738</v>
      </c>
      <c r="C1741" s="656" t="s">
        <v>20</v>
      </c>
      <c r="D1741" s="656" t="s">
        <v>10596</v>
      </c>
      <c r="E1741" s="656" t="s">
        <v>14275</v>
      </c>
      <c r="F1741" s="1491">
        <v>41852</v>
      </c>
      <c r="G1741" s="656" t="s">
        <v>10595</v>
      </c>
      <c r="H1741" s="656" t="s">
        <v>1777</v>
      </c>
      <c r="I1741" s="656"/>
      <c r="J1741" s="656"/>
      <c r="K1741" s="656"/>
      <c r="L1741" s="656" t="s">
        <v>10596</v>
      </c>
      <c r="M1741" s="656" t="s">
        <v>1947</v>
      </c>
      <c r="N1741" s="656" t="s">
        <v>10594</v>
      </c>
      <c r="O1741" s="656" t="s">
        <v>10593</v>
      </c>
      <c r="P1741" s="5"/>
      <c r="Q1741" s="1447"/>
      <c r="R1741" s="656"/>
      <c r="S1741" s="656" t="s">
        <v>6718</v>
      </c>
      <c r="T1741" s="656" t="s">
        <v>10594</v>
      </c>
      <c r="U1741" s="656" t="s">
        <v>10594</v>
      </c>
      <c r="V1741" s="656"/>
      <c r="W1741" s="656" t="s">
        <v>13051</v>
      </c>
      <c r="X1741" s="656" t="s">
        <v>498</v>
      </c>
      <c r="Y1741" s="656" t="s">
        <v>14278</v>
      </c>
      <c r="Z1741" s="656">
        <v>44305.517326388886</v>
      </c>
      <c r="AA1741" s="656" t="s">
        <v>14335</v>
      </c>
      <c r="AB1741" s="656"/>
    </row>
    <row r="1742" spans="1:28">
      <c r="A1742" s="656" t="s">
        <v>6739</v>
      </c>
      <c r="B1742" s="656" t="s">
        <v>6740</v>
      </c>
      <c r="C1742" s="656" t="s">
        <v>20</v>
      </c>
      <c r="D1742" s="656" t="s">
        <v>10592</v>
      </c>
      <c r="E1742" s="656" t="s">
        <v>14275</v>
      </c>
      <c r="F1742" s="1491">
        <v>41455</v>
      </c>
      <c r="G1742" s="656" t="s">
        <v>10591</v>
      </c>
      <c r="H1742" s="656" t="s">
        <v>1777</v>
      </c>
      <c r="I1742" s="656"/>
      <c r="J1742" s="656"/>
      <c r="K1742" s="656"/>
      <c r="L1742" s="656" t="s">
        <v>10592</v>
      </c>
      <c r="M1742" s="656" t="s">
        <v>1947</v>
      </c>
      <c r="N1742" s="656" t="s">
        <v>10594</v>
      </c>
      <c r="O1742" s="656" t="s">
        <v>10593</v>
      </c>
      <c r="P1742" s="5"/>
      <c r="Q1742" s="1447"/>
      <c r="R1742" s="656"/>
      <c r="S1742" s="656" t="s">
        <v>1394</v>
      </c>
      <c r="T1742" s="656" t="s">
        <v>10594</v>
      </c>
      <c r="U1742" s="656" t="s">
        <v>10594</v>
      </c>
      <c r="V1742" s="656"/>
      <c r="W1742" s="656" t="s">
        <v>13051</v>
      </c>
      <c r="X1742" s="656" t="s">
        <v>498</v>
      </c>
      <c r="Y1742" s="656" t="s">
        <v>14278</v>
      </c>
      <c r="Z1742" s="656">
        <v>44305.517326388886</v>
      </c>
      <c r="AA1742" s="656" t="s">
        <v>14335</v>
      </c>
      <c r="AB1742" s="656"/>
    </row>
    <row r="1743" spans="1:28">
      <c r="A1743" s="656" t="s">
        <v>6747</v>
      </c>
      <c r="B1743" s="656" t="s">
        <v>6748</v>
      </c>
      <c r="C1743" s="656" t="s">
        <v>21</v>
      </c>
      <c r="D1743" s="656" t="s">
        <v>10590</v>
      </c>
      <c r="E1743" s="656" t="s">
        <v>14275</v>
      </c>
      <c r="F1743" s="1491">
        <v>42559</v>
      </c>
      <c r="G1743" s="656" t="s">
        <v>10589</v>
      </c>
      <c r="H1743" s="656" t="s">
        <v>1777</v>
      </c>
      <c r="I1743" s="656" t="s">
        <v>14862</v>
      </c>
      <c r="J1743" s="656" t="s">
        <v>10590</v>
      </c>
      <c r="K1743" s="656" t="s">
        <v>9782</v>
      </c>
      <c r="L1743" s="656"/>
      <c r="M1743" s="656" t="s">
        <v>16323</v>
      </c>
      <c r="N1743" s="656"/>
      <c r="O1743" s="656" t="s">
        <v>6387</v>
      </c>
      <c r="P1743" s="5"/>
      <c r="Q1743" s="1447"/>
      <c r="R1743" s="656">
        <v>41640</v>
      </c>
      <c r="S1743" s="656" t="s">
        <v>1667</v>
      </c>
      <c r="T1743" s="656" t="s">
        <v>14277</v>
      </c>
      <c r="U1743" s="656" t="s">
        <v>655</v>
      </c>
      <c r="V1743" s="656"/>
      <c r="W1743" s="656" t="s">
        <v>13051</v>
      </c>
      <c r="X1743" s="656" t="s">
        <v>498</v>
      </c>
      <c r="Y1743" s="656" t="s">
        <v>14278</v>
      </c>
      <c r="Z1743" s="656">
        <v>44305.517314814817</v>
      </c>
      <c r="AA1743" s="656" t="s">
        <v>14335</v>
      </c>
      <c r="AB1743" s="656"/>
    </row>
    <row r="1744" spans="1:28">
      <c r="A1744" s="656" t="s">
        <v>6749</v>
      </c>
      <c r="B1744" s="656" t="s">
        <v>6750</v>
      </c>
      <c r="C1744" s="656" t="s">
        <v>21</v>
      </c>
      <c r="D1744" s="656" t="s">
        <v>10585</v>
      </c>
      <c r="E1744" s="656" t="s">
        <v>14275</v>
      </c>
      <c r="F1744" s="1491">
        <v>42730</v>
      </c>
      <c r="G1744" s="656" t="s">
        <v>10584</v>
      </c>
      <c r="H1744" s="656" t="s">
        <v>1777</v>
      </c>
      <c r="I1744" s="656" t="s">
        <v>14863</v>
      </c>
      <c r="J1744" s="656" t="s">
        <v>10585</v>
      </c>
      <c r="K1744" s="656" t="s">
        <v>9782</v>
      </c>
      <c r="L1744" s="656"/>
      <c r="M1744" s="656" t="s">
        <v>16323</v>
      </c>
      <c r="N1744" s="656"/>
      <c r="O1744" s="656" t="s">
        <v>6387</v>
      </c>
      <c r="P1744" s="5"/>
      <c r="Q1744" s="1447">
        <v>41504</v>
      </c>
      <c r="R1744" s="656">
        <v>42338</v>
      </c>
      <c r="S1744" s="656" t="s">
        <v>1667</v>
      </c>
      <c r="T1744" s="656" t="s">
        <v>14524</v>
      </c>
      <c r="U1744" s="656" t="s">
        <v>1667</v>
      </c>
      <c r="V1744" s="656"/>
      <c r="W1744" s="656" t="s">
        <v>13051</v>
      </c>
      <c r="X1744" s="656" t="s">
        <v>498</v>
      </c>
      <c r="Y1744" s="656" t="s">
        <v>14278</v>
      </c>
      <c r="Z1744" s="656">
        <v>44305.517291666663</v>
      </c>
      <c r="AA1744" s="656" t="s">
        <v>14335</v>
      </c>
      <c r="AB1744" s="656"/>
    </row>
    <row r="1745" spans="1:28">
      <c r="A1745" s="656" t="s">
        <v>6749</v>
      </c>
      <c r="B1745" s="656" t="s">
        <v>6750</v>
      </c>
      <c r="C1745" s="656" t="s">
        <v>20</v>
      </c>
      <c r="D1745" s="656" t="s">
        <v>10586</v>
      </c>
      <c r="E1745" s="656" t="s">
        <v>14275</v>
      </c>
      <c r="F1745" s="1491">
        <v>42404</v>
      </c>
      <c r="G1745" s="656" t="s">
        <v>10584</v>
      </c>
      <c r="H1745" s="656" t="s">
        <v>1777</v>
      </c>
      <c r="I1745" s="656"/>
      <c r="J1745" s="656"/>
      <c r="K1745" s="656"/>
      <c r="L1745" s="656" t="s">
        <v>10586</v>
      </c>
      <c r="M1745" s="656" t="s">
        <v>16194</v>
      </c>
      <c r="N1745" s="656"/>
      <c r="O1745" s="656" t="s">
        <v>6395</v>
      </c>
      <c r="P1745" s="5"/>
      <c r="Q1745" s="1447"/>
      <c r="R1745" s="656"/>
      <c r="S1745" s="656" t="s">
        <v>1667</v>
      </c>
      <c r="T1745" s="656" t="s">
        <v>14524</v>
      </c>
      <c r="U1745" s="656" t="s">
        <v>1667</v>
      </c>
      <c r="V1745" s="656"/>
      <c r="W1745" s="656" t="s">
        <v>13051</v>
      </c>
      <c r="X1745" s="656" t="s">
        <v>498</v>
      </c>
      <c r="Y1745" s="656" t="s">
        <v>14278</v>
      </c>
      <c r="Z1745" s="656">
        <v>44305.51730324074</v>
      </c>
      <c r="AA1745" s="656" t="s">
        <v>14335</v>
      </c>
      <c r="AB1745" s="656"/>
    </row>
    <row r="1746" spans="1:28">
      <c r="A1746" s="656" t="s">
        <v>6749</v>
      </c>
      <c r="B1746" s="656" t="s">
        <v>6750</v>
      </c>
      <c r="C1746" s="656" t="s">
        <v>20</v>
      </c>
      <c r="D1746" s="656" t="s">
        <v>10588</v>
      </c>
      <c r="E1746" s="656" t="s">
        <v>14275</v>
      </c>
      <c r="F1746" s="1491">
        <v>42454</v>
      </c>
      <c r="G1746" s="656" t="s">
        <v>10587</v>
      </c>
      <c r="H1746" s="656" t="s">
        <v>1777</v>
      </c>
      <c r="I1746" s="656"/>
      <c r="J1746" s="656"/>
      <c r="K1746" s="656"/>
      <c r="L1746" s="656" t="s">
        <v>10588</v>
      </c>
      <c r="M1746" s="656" t="s">
        <v>16323</v>
      </c>
      <c r="N1746" s="656"/>
      <c r="O1746" s="656" t="s">
        <v>6387</v>
      </c>
      <c r="P1746" s="5"/>
      <c r="Q1746" s="1447"/>
      <c r="R1746" s="656"/>
      <c r="S1746" s="656" t="s">
        <v>1667</v>
      </c>
      <c r="T1746" s="656" t="s">
        <v>14524</v>
      </c>
      <c r="U1746" s="656" t="s">
        <v>1667</v>
      </c>
      <c r="V1746" s="656"/>
      <c r="W1746" s="656" t="s">
        <v>13051</v>
      </c>
      <c r="X1746" s="656" t="s">
        <v>498</v>
      </c>
      <c r="Y1746" s="656" t="s">
        <v>14278</v>
      </c>
      <c r="Z1746" s="656">
        <v>44305.517314814817</v>
      </c>
      <c r="AA1746" s="656" t="s">
        <v>14335</v>
      </c>
      <c r="AB1746" s="656"/>
    </row>
    <row r="1747" spans="1:28">
      <c r="A1747" s="656" t="s">
        <v>6751</v>
      </c>
      <c r="B1747" s="656" t="s">
        <v>6752</v>
      </c>
      <c r="C1747" s="656" t="s">
        <v>21</v>
      </c>
      <c r="D1747" s="656" t="s">
        <v>10582</v>
      </c>
      <c r="E1747" s="656" t="s">
        <v>14275</v>
      </c>
      <c r="F1747" s="1491">
        <v>42018</v>
      </c>
      <c r="G1747" s="656" t="s">
        <v>10581</v>
      </c>
      <c r="H1747" s="656" t="s">
        <v>1345</v>
      </c>
      <c r="I1747" s="656" t="s">
        <v>14864</v>
      </c>
      <c r="J1747" s="656" t="s">
        <v>10582</v>
      </c>
      <c r="K1747" s="656" t="s">
        <v>10398</v>
      </c>
      <c r="L1747" s="656"/>
      <c r="M1747" s="656" t="s">
        <v>1345</v>
      </c>
      <c r="N1747" s="656"/>
      <c r="O1747" s="656" t="s">
        <v>6387</v>
      </c>
      <c r="P1747" s="5"/>
      <c r="Q1747" s="1447"/>
      <c r="R1747" s="656">
        <v>41866</v>
      </c>
      <c r="S1747" s="656" t="s">
        <v>1667</v>
      </c>
      <c r="T1747" s="656" t="s">
        <v>14524</v>
      </c>
      <c r="U1747" s="656" t="s">
        <v>1667</v>
      </c>
      <c r="V1747" s="656"/>
      <c r="W1747" s="656" t="s">
        <v>13051</v>
      </c>
      <c r="X1747" s="656" t="s">
        <v>498</v>
      </c>
      <c r="Y1747" s="656" t="s">
        <v>14278</v>
      </c>
      <c r="Z1747" s="656">
        <v>44305.517268518517</v>
      </c>
      <c r="AA1747" s="656" t="s">
        <v>14335</v>
      </c>
      <c r="AB1747" s="656"/>
    </row>
    <row r="1748" spans="1:28">
      <c r="A1748" s="656" t="s">
        <v>6751</v>
      </c>
      <c r="B1748" s="656" t="s">
        <v>6752</v>
      </c>
      <c r="C1748" s="656" t="s">
        <v>21</v>
      </c>
      <c r="D1748" s="656" t="s">
        <v>10583</v>
      </c>
      <c r="E1748" s="656" t="s">
        <v>14275</v>
      </c>
      <c r="F1748" s="1491">
        <v>42019</v>
      </c>
      <c r="G1748" s="656" t="s">
        <v>10581</v>
      </c>
      <c r="H1748" s="656" t="s">
        <v>1545</v>
      </c>
      <c r="I1748" s="656" t="s">
        <v>14865</v>
      </c>
      <c r="J1748" s="656" t="s">
        <v>10583</v>
      </c>
      <c r="K1748" s="656" t="s">
        <v>10398</v>
      </c>
      <c r="L1748" s="656"/>
      <c r="M1748" s="656" t="s">
        <v>1545</v>
      </c>
      <c r="N1748" s="656"/>
      <c r="O1748" s="656" t="s">
        <v>6387</v>
      </c>
      <c r="P1748" s="5"/>
      <c r="Q1748" s="1447"/>
      <c r="R1748" s="656">
        <v>41866</v>
      </c>
      <c r="S1748" s="656" t="s">
        <v>1667</v>
      </c>
      <c r="T1748" s="656" t="s">
        <v>14524</v>
      </c>
      <c r="U1748" s="656" t="s">
        <v>1667</v>
      </c>
      <c r="V1748" s="656"/>
      <c r="W1748" s="656" t="s">
        <v>13051</v>
      </c>
      <c r="X1748" s="656" t="s">
        <v>498</v>
      </c>
      <c r="Y1748" s="656" t="s">
        <v>14278</v>
      </c>
      <c r="Z1748" s="656">
        <v>44305.517280092594</v>
      </c>
      <c r="AA1748" s="656" t="s">
        <v>14335</v>
      </c>
      <c r="AB1748" s="656"/>
    </row>
    <row r="1749" spans="1:28">
      <c r="A1749" s="656" t="s">
        <v>6751</v>
      </c>
      <c r="B1749" s="656" t="s">
        <v>12199</v>
      </c>
      <c r="C1749" s="656" t="s">
        <v>21</v>
      </c>
      <c r="D1749" s="656" t="s">
        <v>12201</v>
      </c>
      <c r="E1749" s="656" t="s">
        <v>14275</v>
      </c>
      <c r="F1749" s="1491">
        <v>42163</v>
      </c>
      <c r="G1749" s="656" t="s">
        <v>12200</v>
      </c>
      <c r="H1749" s="656" t="s">
        <v>1584</v>
      </c>
      <c r="I1749" s="656" t="s">
        <v>14866</v>
      </c>
      <c r="J1749" s="656" t="s">
        <v>12201</v>
      </c>
      <c r="K1749" s="656" t="s">
        <v>9774</v>
      </c>
      <c r="L1749" s="656"/>
      <c r="M1749" s="656" t="s">
        <v>1584</v>
      </c>
      <c r="N1749" s="656"/>
      <c r="O1749" s="656" t="s">
        <v>6387</v>
      </c>
      <c r="P1749" s="5"/>
      <c r="Q1749" s="1447">
        <v>41141</v>
      </c>
      <c r="R1749" s="656">
        <v>42142</v>
      </c>
      <c r="S1749" s="656" t="s">
        <v>1667</v>
      </c>
      <c r="T1749" s="656"/>
      <c r="U1749" s="656"/>
      <c r="V1749" s="656"/>
      <c r="W1749" s="656" t="s">
        <v>13051</v>
      </c>
      <c r="X1749" s="656" t="s">
        <v>498</v>
      </c>
      <c r="Y1749" s="656" t="s">
        <v>14278</v>
      </c>
      <c r="Z1749" s="656">
        <v>44305.517280092594</v>
      </c>
      <c r="AA1749" s="656" t="s">
        <v>14335</v>
      </c>
      <c r="AB1749" s="656"/>
    </row>
    <row r="1750" spans="1:28">
      <c r="A1750" s="656" t="s">
        <v>6753</v>
      </c>
      <c r="B1750" s="656" t="s">
        <v>6754</v>
      </c>
      <c r="C1750" s="656" t="s">
        <v>21</v>
      </c>
      <c r="D1750" s="656" t="s">
        <v>10580</v>
      </c>
      <c r="E1750" s="656" t="s">
        <v>14275</v>
      </c>
      <c r="F1750" s="1491">
        <v>42019</v>
      </c>
      <c r="G1750" s="656" t="s">
        <v>10579</v>
      </c>
      <c r="H1750" s="656" t="s">
        <v>1584</v>
      </c>
      <c r="I1750" s="656" t="s">
        <v>14867</v>
      </c>
      <c r="J1750" s="656" t="s">
        <v>10580</v>
      </c>
      <c r="K1750" s="656" t="s">
        <v>10398</v>
      </c>
      <c r="L1750" s="656"/>
      <c r="M1750" s="656" t="s">
        <v>1584</v>
      </c>
      <c r="N1750" s="656"/>
      <c r="O1750" s="656" t="s">
        <v>6387</v>
      </c>
      <c r="P1750" s="5"/>
      <c r="Q1750" s="1447"/>
      <c r="R1750" s="656">
        <v>41866</v>
      </c>
      <c r="S1750" s="656" t="s">
        <v>1667</v>
      </c>
      <c r="T1750" s="656" t="s">
        <v>14524</v>
      </c>
      <c r="U1750" s="656" t="s">
        <v>1667</v>
      </c>
      <c r="V1750" s="656"/>
      <c r="W1750" s="656" t="s">
        <v>13051</v>
      </c>
      <c r="X1750" s="656" t="s">
        <v>498</v>
      </c>
      <c r="Y1750" s="656" t="s">
        <v>14278</v>
      </c>
      <c r="Z1750" s="656">
        <v>44305.517268518517</v>
      </c>
      <c r="AA1750" s="656" t="s">
        <v>14335</v>
      </c>
      <c r="AB1750" s="656"/>
    </row>
    <row r="1751" spans="1:28">
      <c r="A1751" s="656" t="s">
        <v>6755</v>
      </c>
      <c r="B1751" s="656" t="s">
        <v>6756</v>
      </c>
      <c r="C1751" s="656" t="s">
        <v>20</v>
      </c>
      <c r="D1751" s="656" t="s">
        <v>10578</v>
      </c>
      <c r="E1751" s="656" t="s">
        <v>14275</v>
      </c>
      <c r="F1751" s="1491">
        <v>42115</v>
      </c>
      <c r="G1751" s="656" t="s">
        <v>10577</v>
      </c>
      <c r="H1751" s="656" t="s">
        <v>1777</v>
      </c>
      <c r="I1751" s="656"/>
      <c r="J1751" s="656"/>
      <c r="K1751" s="656"/>
      <c r="L1751" s="656" t="s">
        <v>10578</v>
      </c>
      <c r="M1751" s="656" t="s">
        <v>1584</v>
      </c>
      <c r="N1751" s="656"/>
      <c r="O1751" s="656" t="s">
        <v>6387</v>
      </c>
      <c r="P1751" s="5"/>
      <c r="Q1751" s="1447"/>
      <c r="R1751" s="656"/>
      <c r="S1751" s="656" t="s">
        <v>1394</v>
      </c>
      <c r="T1751" s="656" t="s">
        <v>14524</v>
      </c>
      <c r="U1751" s="656" t="s">
        <v>1667</v>
      </c>
      <c r="V1751" s="656"/>
      <c r="W1751" s="656" t="s">
        <v>13051</v>
      </c>
      <c r="X1751" s="656" t="s">
        <v>498</v>
      </c>
      <c r="Y1751" s="656" t="s">
        <v>14278</v>
      </c>
      <c r="Z1751" s="656">
        <v>44305.517268518517</v>
      </c>
      <c r="AA1751" s="656" t="s">
        <v>14335</v>
      </c>
      <c r="AB1751" s="656"/>
    </row>
    <row r="1752" spans="1:28">
      <c r="A1752" s="656" t="s">
        <v>6757</v>
      </c>
      <c r="B1752" s="656" t="s">
        <v>6758</v>
      </c>
      <c r="C1752" s="656" t="s">
        <v>21</v>
      </c>
      <c r="D1752" s="656" t="s">
        <v>10576</v>
      </c>
      <c r="E1752" s="656" t="s">
        <v>14275</v>
      </c>
      <c r="F1752" s="1491">
        <v>41904</v>
      </c>
      <c r="G1752" s="656" t="s">
        <v>10575</v>
      </c>
      <c r="H1752" s="656" t="s">
        <v>1777</v>
      </c>
      <c r="I1752" s="656" t="s">
        <v>14868</v>
      </c>
      <c r="J1752" s="656" t="s">
        <v>10576</v>
      </c>
      <c r="K1752" s="656" t="s">
        <v>10398</v>
      </c>
      <c r="L1752" s="656"/>
      <c r="M1752" s="656" t="s">
        <v>16327</v>
      </c>
      <c r="N1752" s="656"/>
      <c r="O1752" s="656" t="s">
        <v>6387</v>
      </c>
      <c r="P1752" s="5" t="s">
        <v>14952</v>
      </c>
      <c r="Q1752" s="1447"/>
      <c r="R1752" s="656">
        <v>41364</v>
      </c>
      <c r="S1752" s="656" t="s">
        <v>1394</v>
      </c>
      <c r="T1752" s="656" t="s">
        <v>14524</v>
      </c>
      <c r="U1752" s="656" t="s">
        <v>1667</v>
      </c>
      <c r="V1752" s="656"/>
      <c r="W1752" s="656" t="s">
        <v>13051</v>
      </c>
      <c r="X1752" s="656" t="s">
        <v>498</v>
      </c>
      <c r="Y1752" s="656" t="s">
        <v>14278</v>
      </c>
      <c r="Z1752" s="656">
        <v>44305.517256944448</v>
      </c>
      <c r="AA1752" s="656" t="s">
        <v>14335</v>
      </c>
      <c r="AB1752" s="656"/>
    </row>
    <row r="1753" spans="1:28">
      <c r="A1753" s="656" t="s">
        <v>6759</v>
      </c>
      <c r="B1753" s="656" t="s">
        <v>6760</v>
      </c>
      <c r="C1753" s="656" t="s">
        <v>21</v>
      </c>
      <c r="D1753" s="656" t="s">
        <v>10573</v>
      </c>
      <c r="E1753" s="656" t="s">
        <v>14275</v>
      </c>
      <c r="F1753" s="1491">
        <v>41842</v>
      </c>
      <c r="G1753" s="656" t="s">
        <v>10572</v>
      </c>
      <c r="H1753" s="656" t="s">
        <v>1584</v>
      </c>
      <c r="I1753" s="656" t="s">
        <v>14869</v>
      </c>
      <c r="J1753" s="656" t="s">
        <v>10573</v>
      </c>
      <c r="K1753" s="656" t="s">
        <v>10398</v>
      </c>
      <c r="L1753" s="656"/>
      <c r="M1753" s="656" t="s">
        <v>1584</v>
      </c>
      <c r="N1753" s="656"/>
      <c r="O1753" s="656" t="s">
        <v>6387</v>
      </c>
      <c r="P1753" s="5"/>
      <c r="Q1753" s="1447"/>
      <c r="R1753" s="656">
        <v>41791</v>
      </c>
      <c r="S1753" s="656" t="s">
        <v>1667</v>
      </c>
      <c r="T1753" s="656" t="s">
        <v>14524</v>
      </c>
      <c r="U1753" s="656" t="s">
        <v>1667</v>
      </c>
      <c r="V1753" s="656"/>
      <c r="W1753" s="656" t="s">
        <v>13051</v>
      </c>
      <c r="X1753" s="656" t="s">
        <v>498</v>
      </c>
      <c r="Y1753" s="656" t="s">
        <v>14278</v>
      </c>
      <c r="Z1753" s="656">
        <v>44305.517245370371</v>
      </c>
      <c r="AA1753" s="656" t="s">
        <v>14335</v>
      </c>
      <c r="AB1753" s="656"/>
    </row>
    <row r="1754" spans="1:28">
      <c r="A1754" s="656" t="s">
        <v>6759</v>
      </c>
      <c r="B1754" s="656" t="s">
        <v>6760</v>
      </c>
      <c r="C1754" s="656" t="s">
        <v>20</v>
      </c>
      <c r="D1754" s="656" t="s">
        <v>10574</v>
      </c>
      <c r="E1754" s="656" t="s">
        <v>14275</v>
      </c>
      <c r="F1754" s="1491">
        <v>42115</v>
      </c>
      <c r="G1754" s="656" t="s">
        <v>10572</v>
      </c>
      <c r="H1754" s="656" t="s">
        <v>1777</v>
      </c>
      <c r="I1754" s="656"/>
      <c r="J1754" s="656"/>
      <c r="K1754" s="656"/>
      <c r="L1754" s="656" t="s">
        <v>10574</v>
      </c>
      <c r="M1754" s="656" t="s">
        <v>12703</v>
      </c>
      <c r="N1754" s="656"/>
      <c r="O1754" s="656" t="s">
        <v>6387</v>
      </c>
      <c r="P1754" s="5"/>
      <c r="Q1754" s="1447"/>
      <c r="R1754" s="656"/>
      <c r="S1754" s="656" t="s">
        <v>1667</v>
      </c>
      <c r="T1754" s="656" t="s">
        <v>14524</v>
      </c>
      <c r="U1754" s="656" t="s">
        <v>1667</v>
      </c>
      <c r="V1754" s="656"/>
      <c r="W1754" s="656" t="s">
        <v>13051</v>
      </c>
      <c r="X1754" s="656" t="s">
        <v>498</v>
      </c>
      <c r="Y1754" s="656" t="s">
        <v>14278</v>
      </c>
      <c r="Z1754" s="656">
        <v>44306.417118055557</v>
      </c>
      <c r="AA1754" s="656" t="s">
        <v>15959</v>
      </c>
      <c r="AB1754" s="656"/>
    </row>
    <row r="1755" spans="1:28">
      <c r="A1755" s="656" t="s">
        <v>7035</v>
      </c>
      <c r="B1755" s="656" t="s">
        <v>7036</v>
      </c>
      <c r="C1755" s="656" t="s">
        <v>21</v>
      </c>
      <c r="D1755" s="656" t="s">
        <v>10570</v>
      </c>
      <c r="E1755" s="656" t="s">
        <v>14384</v>
      </c>
      <c r="F1755" s="1491">
        <v>41869</v>
      </c>
      <c r="G1755" s="656" t="s">
        <v>10569</v>
      </c>
      <c r="H1755" s="656" t="s">
        <v>1777</v>
      </c>
      <c r="I1755" s="656"/>
      <c r="J1755" s="656" t="s">
        <v>10570</v>
      </c>
      <c r="K1755" s="656" t="s">
        <v>9782</v>
      </c>
      <c r="L1755" s="656"/>
      <c r="M1755" s="656"/>
      <c r="N1755" s="656"/>
      <c r="O1755" s="656" t="s">
        <v>6387</v>
      </c>
      <c r="P1755" s="5" t="s">
        <v>14953</v>
      </c>
      <c r="Q1755" s="1447"/>
      <c r="R1755" s="656"/>
      <c r="S1755" s="656" t="s">
        <v>1394</v>
      </c>
      <c r="T1755" s="656" t="s">
        <v>14524</v>
      </c>
      <c r="U1755" s="656" t="s">
        <v>1667</v>
      </c>
      <c r="V1755" s="656"/>
      <c r="W1755" s="656" t="s">
        <v>13051</v>
      </c>
      <c r="X1755" s="656" t="s">
        <v>498</v>
      </c>
      <c r="Y1755" s="656" t="s">
        <v>14278</v>
      </c>
      <c r="Z1755" s="656">
        <v>44305.517245370371</v>
      </c>
      <c r="AA1755" s="656" t="s">
        <v>14335</v>
      </c>
      <c r="AB1755" s="656"/>
    </row>
    <row r="1756" spans="1:28">
      <c r="A1756" s="656" t="s">
        <v>7035</v>
      </c>
      <c r="B1756" s="656" t="s">
        <v>7036</v>
      </c>
      <c r="C1756" s="656" t="s">
        <v>21</v>
      </c>
      <c r="D1756" s="656" t="s">
        <v>10571</v>
      </c>
      <c r="E1756" s="656" t="s">
        <v>14275</v>
      </c>
      <c r="F1756" s="1491">
        <v>41869</v>
      </c>
      <c r="G1756" s="656" t="s">
        <v>10569</v>
      </c>
      <c r="H1756" s="656" t="s">
        <v>1777</v>
      </c>
      <c r="I1756" s="656" t="s">
        <v>14789</v>
      </c>
      <c r="J1756" s="656" t="s">
        <v>10571</v>
      </c>
      <c r="K1756" s="656" t="s">
        <v>9782</v>
      </c>
      <c r="L1756" s="656"/>
      <c r="M1756" s="656" t="s">
        <v>16431</v>
      </c>
      <c r="N1756" s="656"/>
      <c r="O1756" s="656" t="s">
        <v>6387</v>
      </c>
      <c r="P1756" s="5"/>
      <c r="Q1756" s="1447"/>
      <c r="R1756" s="656">
        <v>41609</v>
      </c>
      <c r="S1756" s="656" t="s">
        <v>1394</v>
      </c>
      <c r="T1756" s="656" t="s">
        <v>14524</v>
      </c>
      <c r="U1756" s="656" t="s">
        <v>1667</v>
      </c>
      <c r="V1756" s="656"/>
      <c r="W1756" s="656" t="s">
        <v>13051</v>
      </c>
      <c r="X1756" s="656" t="s">
        <v>498</v>
      </c>
      <c r="Y1756" s="656" t="s">
        <v>14278</v>
      </c>
      <c r="Z1756" s="656">
        <v>44305.517245370371</v>
      </c>
      <c r="AA1756" s="656" t="s">
        <v>14335</v>
      </c>
      <c r="AB1756" s="656"/>
    </row>
    <row r="1757" spans="1:28">
      <c r="A1757" s="656" t="s">
        <v>12098</v>
      </c>
      <c r="B1757" s="656" t="s">
        <v>12099</v>
      </c>
      <c r="C1757" s="656" t="s">
        <v>21</v>
      </c>
      <c r="D1757" s="656" t="s">
        <v>12101</v>
      </c>
      <c r="E1757" s="656" t="s">
        <v>14275</v>
      </c>
      <c r="F1757" s="1491">
        <v>41026</v>
      </c>
      <c r="G1757" s="656" t="s">
        <v>12100</v>
      </c>
      <c r="H1757" s="656" t="s">
        <v>1777</v>
      </c>
      <c r="I1757" s="656" t="s">
        <v>14870</v>
      </c>
      <c r="J1757" s="656" t="s">
        <v>12101</v>
      </c>
      <c r="K1757" s="656" t="s">
        <v>9774</v>
      </c>
      <c r="L1757" s="656"/>
      <c r="M1757" s="656" t="s">
        <v>16323</v>
      </c>
      <c r="N1757" s="656"/>
      <c r="O1757" s="656" t="s">
        <v>6387</v>
      </c>
      <c r="P1757" s="5"/>
      <c r="Q1757" s="1447">
        <v>40246</v>
      </c>
      <c r="R1757" s="656">
        <v>40632</v>
      </c>
      <c r="S1757" s="656"/>
      <c r="T1757" s="656"/>
      <c r="U1757" s="656"/>
      <c r="V1757" s="656"/>
      <c r="W1757" s="656" t="s">
        <v>13051</v>
      </c>
      <c r="X1757" s="656" t="s">
        <v>498</v>
      </c>
      <c r="Y1757" s="656" t="s">
        <v>14278</v>
      </c>
      <c r="Z1757" s="656">
        <v>44305.517245370371</v>
      </c>
      <c r="AA1757" s="656" t="s">
        <v>14335</v>
      </c>
      <c r="AB1757" s="656"/>
    </row>
    <row r="1758" spans="1:28">
      <c r="A1758" s="656" t="s">
        <v>7057</v>
      </c>
      <c r="B1758" s="656" t="s">
        <v>7058</v>
      </c>
      <c r="C1758" s="656" t="s">
        <v>21</v>
      </c>
      <c r="D1758" s="656" t="s">
        <v>10565</v>
      </c>
      <c r="E1758" s="656" t="s">
        <v>14275</v>
      </c>
      <c r="F1758" s="1491">
        <v>41787</v>
      </c>
      <c r="G1758" s="656" t="s">
        <v>10564</v>
      </c>
      <c r="H1758" s="656" t="s">
        <v>1777</v>
      </c>
      <c r="I1758" s="656" t="s">
        <v>14871</v>
      </c>
      <c r="J1758" s="656" t="s">
        <v>10565</v>
      </c>
      <c r="K1758" s="656" t="s">
        <v>9750</v>
      </c>
      <c r="L1758" s="656"/>
      <c r="M1758" s="656" t="s">
        <v>16323</v>
      </c>
      <c r="N1758" s="656"/>
      <c r="O1758" s="656" t="s">
        <v>6393</v>
      </c>
      <c r="P1758" s="5"/>
      <c r="Q1758" s="1447"/>
      <c r="R1758" s="656">
        <v>41122</v>
      </c>
      <c r="S1758" s="656" t="s">
        <v>1300</v>
      </c>
      <c r="T1758" s="656" t="s">
        <v>4198</v>
      </c>
      <c r="U1758" s="656" t="s">
        <v>1300</v>
      </c>
      <c r="V1758" s="656"/>
      <c r="W1758" s="656" t="s">
        <v>13051</v>
      </c>
      <c r="X1758" s="656" t="s">
        <v>498</v>
      </c>
      <c r="Y1758" s="656" t="s">
        <v>14278</v>
      </c>
      <c r="Z1758" s="656">
        <v>44305.517222222225</v>
      </c>
      <c r="AA1758" s="656" t="s">
        <v>14335</v>
      </c>
      <c r="AB1758" s="656"/>
    </row>
    <row r="1759" spans="1:28">
      <c r="A1759" s="656" t="s">
        <v>7057</v>
      </c>
      <c r="B1759" s="656" t="s">
        <v>7058</v>
      </c>
      <c r="C1759" s="656" t="s">
        <v>21</v>
      </c>
      <c r="D1759" s="656" t="s">
        <v>10567</v>
      </c>
      <c r="E1759" s="656" t="s">
        <v>14275</v>
      </c>
      <c r="F1759" s="1491">
        <v>41712</v>
      </c>
      <c r="G1759" s="656" t="s">
        <v>10566</v>
      </c>
      <c r="H1759" s="656" t="s">
        <v>1777</v>
      </c>
      <c r="I1759" s="656" t="s">
        <v>14872</v>
      </c>
      <c r="J1759" s="656" t="s">
        <v>10567</v>
      </c>
      <c r="K1759" s="656" t="s">
        <v>9750</v>
      </c>
      <c r="L1759" s="656"/>
      <c r="M1759" s="656" t="s">
        <v>16455</v>
      </c>
      <c r="N1759" s="656"/>
      <c r="O1759" s="656" t="s">
        <v>6393</v>
      </c>
      <c r="P1759" s="5"/>
      <c r="Q1759" s="1447"/>
      <c r="R1759" s="656">
        <v>41122</v>
      </c>
      <c r="S1759" s="656" t="s">
        <v>1300</v>
      </c>
      <c r="T1759" s="656" t="s">
        <v>4198</v>
      </c>
      <c r="U1759" s="656" t="s">
        <v>1300</v>
      </c>
      <c r="V1759" s="656"/>
      <c r="W1759" s="656" t="s">
        <v>13051</v>
      </c>
      <c r="X1759" s="656" t="s">
        <v>498</v>
      </c>
      <c r="Y1759" s="656" t="s">
        <v>14278</v>
      </c>
      <c r="Z1759" s="656">
        <v>44305.517222222225</v>
      </c>
      <c r="AA1759" s="656" t="s">
        <v>14335</v>
      </c>
      <c r="AB1759" s="656"/>
    </row>
    <row r="1760" spans="1:28">
      <c r="A1760" s="656" t="s">
        <v>7057</v>
      </c>
      <c r="B1760" s="656" t="s">
        <v>7058</v>
      </c>
      <c r="C1760" s="656" t="s">
        <v>20</v>
      </c>
      <c r="D1760" s="656" t="s">
        <v>10568</v>
      </c>
      <c r="E1760" s="656" t="s">
        <v>14275</v>
      </c>
      <c r="F1760" s="1491">
        <v>41857</v>
      </c>
      <c r="G1760" s="656" t="s">
        <v>10566</v>
      </c>
      <c r="H1760" s="656" t="s">
        <v>1777</v>
      </c>
      <c r="I1760" s="656"/>
      <c r="J1760" s="656"/>
      <c r="K1760" s="656"/>
      <c r="L1760" s="656" t="s">
        <v>10568</v>
      </c>
      <c r="M1760" s="656" t="s">
        <v>16196</v>
      </c>
      <c r="N1760" s="656"/>
      <c r="O1760" s="656" t="s">
        <v>6393</v>
      </c>
      <c r="P1760" s="5"/>
      <c r="Q1760" s="1447"/>
      <c r="R1760" s="656"/>
      <c r="S1760" s="656" t="s">
        <v>1300</v>
      </c>
      <c r="T1760" s="656" t="s">
        <v>4198</v>
      </c>
      <c r="U1760" s="656" t="s">
        <v>1300</v>
      </c>
      <c r="V1760" s="656"/>
      <c r="W1760" s="656" t="s">
        <v>13051</v>
      </c>
      <c r="X1760" s="656" t="s">
        <v>498</v>
      </c>
      <c r="Y1760" s="656" t="s">
        <v>14278</v>
      </c>
      <c r="Z1760" s="656">
        <v>44305.517233796294</v>
      </c>
      <c r="AA1760" s="656" t="s">
        <v>14335</v>
      </c>
      <c r="AB1760" s="656"/>
    </row>
    <row r="1761" spans="1:28">
      <c r="A1761" s="656" t="s">
        <v>7065</v>
      </c>
      <c r="B1761" s="656" t="s">
        <v>7066</v>
      </c>
      <c r="C1761" s="656" t="s">
        <v>20</v>
      </c>
      <c r="D1761" s="656" t="s">
        <v>10563</v>
      </c>
      <c r="E1761" s="656" t="s">
        <v>14275</v>
      </c>
      <c r="F1761" s="1491">
        <v>42017</v>
      </c>
      <c r="G1761" s="656" t="s">
        <v>10562</v>
      </c>
      <c r="H1761" s="656" t="s">
        <v>1777</v>
      </c>
      <c r="I1761" s="656"/>
      <c r="J1761" s="656"/>
      <c r="K1761" s="656"/>
      <c r="L1761" s="656" t="s">
        <v>10563</v>
      </c>
      <c r="M1761" s="656" t="s">
        <v>1491</v>
      </c>
      <c r="N1761" s="656"/>
      <c r="O1761" s="656" t="s">
        <v>6393</v>
      </c>
      <c r="P1761" s="5"/>
      <c r="Q1761" s="1447"/>
      <c r="R1761" s="656"/>
      <c r="S1761" s="656" t="s">
        <v>1620</v>
      </c>
      <c r="T1761" s="656" t="s">
        <v>4198</v>
      </c>
      <c r="U1761" s="656" t="s">
        <v>1300</v>
      </c>
      <c r="V1761" s="656"/>
      <c r="W1761" s="656" t="s">
        <v>13051</v>
      </c>
      <c r="X1761" s="656" t="s">
        <v>498</v>
      </c>
      <c r="Y1761" s="656" t="s">
        <v>14278</v>
      </c>
      <c r="Z1761" s="656">
        <v>44305.517210648148</v>
      </c>
      <c r="AA1761" s="656" t="s">
        <v>14335</v>
      </c>
      <c r="AB1761" s="656"/>
    </row>
    <row r="1762" spans="1:28">
      <c r="A1762" s="656" t="s">
        <v>7248</v>
      </c>
      <c r="B1762" s="656" t="s">
        <v>10559</v>
      </c>
      <c r="C1762" s="656" t="s">
        <v>21</v>
      </c>
      <c r="D1762" s="656" t="s">
        <v>10561</v>
      </c>
      <c r="E1762" s="656" t="s">
        <v>14275</v>
      </c>
      <c r="F1762" s="1491">
        <v>40966</v>
      </c>
      <c r="G1762" s="656" t="s">
        <v>10560</v>
      </c>
      <c r="H1762" s="656" t="s">
        <v>1777</v>
      </c>
      <c r="I1762" s="656" t="s">
        <v>14873</v>
      </c>
      <c r="J1762" s="656" t="s">
        <v>10561</v>
      </c>
      <c r="K1762" s="656" t="s">
        <v>9750</v>
      </c>
      <c r="L1762" s="656"/>
      <c r="M1762" s="656" t="s">
        <v>16195</v>
      </c>
      <c r="N1762" s="656"/>
      <c r="O1762" s="656" t="s">
        <v>6393</v>
      </c>
      <c r="P1762" s="5"/>
      <c r="Q1762" s="1447"/>
      <c r="R1762" s="656">
        <v>40786</v>
      </c>
      <c r="S1762" s="656" t="s">
        <v>1300</v>
      </c>
      <c r="T1762" s="656" t="s">
        <v>4198</v>
      </c>
      <c r="U1762" s="656" t="s">
        <v>1300</v>
      </c>
      <c r="V1762" s="656"/>
      <c r="W1762" s="656" t="s">
        <v>13051</v>
      </c>
      <c r="X1762" s="656" t="s">
        <v>498</v>
      </c>
      <c r="Y1762" s="656" t="s">
        <v>14278</v>
      </c>
      <c r="Z1762" s="656">
        <v>44305.517210648148</v>
      </c>
      <c r="AA1762" s="656" t="s">
        <v>14335</v>
      </c>
      <c r="AB1762" s="656"/>
    </row>
    <row r="1763" spans="1:28">
      <c r="A1763" s="656" t="s">
        <v>7257</v>
      </c>
      <c r="B1763" s="656" t="s">
        <v>7258</v>
      </c>
      <c r="C1763" s="656" t="s">
        <v>20</v>
      </c>
      <c r="D1763" s="656" t="s">
        <v>10556</v>
      </c>
      <c r="E1763" s="656" t="s">
        <v>14275</v>
      </c>
      <c r="F1763" s="1491">
        <v>42871</v>
      </c>
      <c r="G1763" s="656" t="s">
        <v>10555</v>
      </c>
      <c r="H1763" s="656" t="s">
        <v>1777</v>
      </c>
      <c r="I1763" s="656"/>
      <c r="J1763" s="656"/>
      <c r="K1763" s="656"/>
      <c r="L1763" s="656" t="s">
        <v>10556</v>
      </c>
      <c r="M1763" s="656" t="s">
        <v>16410</v>
      </c>
      <c r="N1763" s="656"/>
      <c r="O1763" s="656" t="s">
        <v>6393</v>
      </c>
      <c r="P1763" s="5"/>
      <c r="Q1763" s="1447"/>
      <c r="R1763" s="656"/>
      <c r="S1763" s="656" t="s">
        <v>1300</v>
      </c>
      <c r="T1763" s="656" t="s">
        <v>4198</v>
      </c>
      <c r="U1763" s="656" t="s">
        <v>1300</v>
      </c>
      <c r="V1763" s="656"/>
      <c r="W1763" s="656" t="s">
        <v>13051</v>
      </c>
      <c r="X1763" s="656" t="s">
        <v>498</v>
      </c>
      <c r="Y1763" s="656" t="s">
        <v>14278</v>
      </c>
      <c r="Z1763" s="656">
        <v>44305.517187500001</v>
      </c>
      <c r="AA1763" s="656" t="s">
        <v>14335</v>
      </c>
      <c r="AB1763" s="656"/>
    </row>
    <row r="1764" spans="1:28">
      <c r="A1764" s="656" t="s">
        <v>7257</v>
      </c>
      <c r="B1764" s="656" t="s">
        <v>7258</v>
      </c>
      <c r="C1764" s="656" t="s">
        <v>20</v>
      </c>
      <c r="D1764" s="656" t="s">
        <v>10558</v>
      </c>
      <c r="E1764" s="656" t="s">
        <v>14275</v>
      </c>
      <c r="F1764" s="1491">
        <v>42093</v>
      </c>
      <c r="G1764" s="656" t="s">
        <v>10557</v>
      </c>
      <c r="H1764" s="656" t="s">
        <v>1777</v>
      </c>
      <c r="I1764" s="656"/>
      <c r="J1764" s="656"/>
      <c r="K1764" s="656"/>
      <c r="L1764" s="656" t="s">
        <v>10558</v>
      </c>
      <c r="M1764" s="656" t="s">
        <v>16321</v>
      </c>
      <c r="N1764" s="656"/>
      <c r="O1764" s="656" t="s">
        <v>6393</v>
      </c>
      <c r="P1764" s="5"/>
      <c r="Q1764" s="1447"/>
      <c r="R1764" s="656"/>
      <c r="S1764" s="656" t="s">
        <v>1300</v>
      </c>
      <c r="T1764" s="656" t="s">
        <v>4198</v>
      </c>
      <c r="U1764" s="656" t="s">
        <v>1300</v>
      </c>
      <c r="V1764" s="656"/>
      <c r="W1764" s="656" t="s">
        <v>13051</v>
      </c>
      <c r="X1764" s="656" t="s">
        <v>498</v>
      </c>
      <c r="Y1764" s="656" t="s">
        <v>14278</v>
      </c>
      <c r="Z1764" s="656">
        <v>44305.517199074071</v>
      </c>
      <c r="AA1764" s="656" t="s">
        <v>14335</v>
      </c>
      <c r="AB1764" s="656"/>
    </row>
    <row r="1765" spans="1:28">
      <c r="A1765" s="656" t="s">
        <v>7263</v>
      </c>
      <c r="B1765" s="656" t="s">
        <v>7264</v>
      </c>
      <c r="C1765" s="656" t="s">
        <v>21</v>
      </c>
      <c r="D1765" s="656" t="s">
        <v>10553</v>
      </c>
      <c r="E1765" s="656" t="s">
        <v>14384</v>
      </c>
      <c r="F1765" s="1491">
        <v>42278</v>
      </c>
      <c r="G1765" s="656" t="s">
        <v>10552</v>
      </c>
      <c r="H1765" s="656" t="s">
        <v>1777</v>
      </c>
      <c r="I1765" s="656" t="s">
        <v>14874</v>
      </c>
      <c r="J1765" s="656" t="s">
        <v>10553</v>
      </c>
      <c r="K1765" s="656" t="s">
        <v>9750</v>
      </c>
      <c r="L1765" s="656"/>
      <c r="M1765" s="656" t="s">
        <v>16398</v>
      </c>
      <c r="N1765" s="656"/>
      <c r="O1765" s="656" t="s">
        <v>6393</v>
      </c>
      <c r="P1765" s="5" t="s">
        <v>14954</v>
      </c>
      <c r="Q1765" s="1447">
        <v>40954</v>
      </c>
      <c r="R1765" s="656"/>
      <c r="S1765" s="656" t="s">
        <v>1300</v>
      </c>
      <c r="T1765" s="656" t="s">
        <v>4198</v>
      </c>
      <c r="U1765" s="656" t="s">
        <v>1300</v>
      </c>
      <c r="V1765" s="656"/>
      <c r="W1765" s="656" t="s">
        <v>13051</v>
      </c>
      <c r="X1765" s="656" t="s">
        <v>498</v>
      </c>
      <c r="Y1765" s="656" t="s">
        <v>14278</v>
      </c>
      <c r="Z1765" s="656">
        <v>44305.517175925925</v>
      </c>
      <c r="AA1765" s="656" t="s">
        <v>14335</v>
      </c>
      <c r="AB1765" s="656"/>
    </row>
    <row r="1766" spans="1:28">
      <c r="A1766" s="656" t="s">
        <v>7263</v>
      </c>
      <c r="B1766" s="656" t="s">
        <v>7264</v>
      </c>
      <c r="C1766" s="656" t="s">
        <v>20</v>
      </c>
      <c r="D1766" s="656" t="s">
        <v>10554</v>
      </c>
      <c r="E1766" s="656" t="s">
        <v>14275</v>
      </c>
      <c r="F1766" s="1491">
        <v>42115</v>
      </c>
      <c r="G1766" s="656" t="s">
        <v>10552</v>
      </c>
      <c r="H1766" s="656" t="s">
        <v>1777</v>
      </c>
      <c r="I1766" s="656"/>
      <c r="J1766" s="656"/>
      <c r="K1766" s="656"/>
      <c r="L1766" s="656" t="s">
        <v>10554</v>
      </c>
      <c r="M1766" s="656" t="s">
        <v>16398</v>
      </c>
      <c r="N1766" s="656"/>
      <c r="O1766" s="656" t="s">
        <v>6393</v>
      </c>
      <c r="P1766" s="5"/>
      <c r="Q1766" s="1447"/>
      <c r="R1766" s="656"/>
      <c r="S1766" s="656" t="s">
        <v>1300</v>
      </c>
      <c r="T1766" s="656" t="s">
        <v>4198</v>
      </c>
      <c r="U1766" s="656" t="s">
        <v>1300</v>
      </c>
      <c r="V1766" s="656"/>
      <c r="W1766" s="656" t="s">
        <v>13051</v>
      </c>
      <c r="X1766" s="656" t="s">
        <v>498</v>
      </c>
      <c r="Y1766" s="656" t="s">
        <v>14278</v>
      </c>
      <c r="Z1766" s="656">
        <v>44305.517187500001</v>
      </c>
      <c r="AA1766" s="656" t="s">
        <v>14335</v>
      </c>
      <c r="AB1766" s="656"/>
    </row>
    <row r="1767" spans="1:28">
      <c r="A1767" s="656" t="s">
        <v>7265</v>
      </c>
      <c r="B1767" s="656" t="s">
        <v>7266</v>
      </c>
      <c r="C1767" s="656" t="s">
        <v>21</v>
      </c>
      <c r="D1767" s="656" t="s">
        <v>10551</v>
      </c>
      <c r="E1767" s="656" t="s">
        <v>14384</v>
      </c>
      <c r="F1767" s="1491">
        <v>42278</v>
      </c>
      <c r="G1767" s="656" t="s">
        <v>10550</v>
      </c>
      <c r="H1767" s="656" t="s">
        <v>1777</v>
      </c>
      <c r="I1767" s="656" t="s">
        <v>14875</v>
      </c>
      <c r="J1767" s="656" t="s">
        <v>10551</v>
      </c>
      <c r="K1767" s="656" t="s">
        <v>9750</v>
      </c>
      <c r="L1767" s="656"/>
      <c r="M1767" s="656" t="s">
        <v>16422</v>
      </c>
      <c r="N1767" s="656"/>
      <c r="O1767" s="656" t="s">
        <v>6393</v>
      </c>
      <c r="P1767" s="5" t="s">
        <v>14751</v>
      </c>
      <c r="Q1767" s="1447">
        <v>41059</v>
      </c>
      <c r="R1767" s="656"/>
      <c r="S1767" s="656" t="s">
        <v>1300</v>
      </c>
      <c r="T1767" s="656" t="s">
        <v>4198</v>
      </c>
      <c r="U1767" s="656" t="s">
        <v>1300</v>
      </c>
      <c r="V1767" s="656"/>
      <c r="W1767" s="656" t="s">
        <v>13051</v>
      </c>
      <c r="X1767" s="656" t="s">
        <v>498</v>
      </c>
      <c r="Y1767" s="656" t="s">
        <v>14278</v>
      </c>
      <c r="Z1767" s="656">
        <v>44305.517175925925</v>
      </c>
      <c r="AA1767" s="656" t="s">
        <v>14335</v>
      </c>
      <c r="AB1767" s="656"/>
    </row>
    <row r="1768" spans="1:28">
      <c r="A1768" s="656" t="s">
        <v>10546</v>
      </c>
      <c r="B1768" s="656" t="s">
        <v>10547</v>
      </c>
      <c r="C1768" s="656" t="s">
        <v>21</v>
      </c>
      <c r="D1768" s="656" t="s">
        <v>10549</v>
      </c>
      <c r="E1768" s="656" t="s">
        <v>14384</v>
      </c>
      <c r="F1768" s="1491">
        <v>43070</v>
      </c>
      <c r="G1768" s="656" t="s">
        <v>10548</v>
      </c>
      <c r="H1768" s="656" t="s">
        <v>1777</v>
      </c>
      <c r="I1768" s="656" t="s">
        <v>14876</v>
      </c>
      <c r="J1768" s="656" t="s">
        <v>10549</v>
      </c>
      <c r="K1768" s="656" t="s">
        <v>9750</v>
      </c>
      <c r="L1768" s="656"/>
      <c r="M1768" s="656"/>
      <c r="N1768" s="656"/>
      <c r="O1768" s="656" t="s">
        <v>6393</v>
      </c>
      <c r="P1768" s="5" t="s">
        <v>15459</v>
      </c>
      <c r="Q1768" s="1447"/>
      <c r="R1768" s="656"/>
      <c r="S1768" s="656" t="s">
        <v>1300</v>
      </c>
      <c r="T1768" s="656" t="s">
        <v>4198</v>
      </c>
      <c r="U1768" s="656" t="s">
        <v>1300</v>
      </c>
      <c r="V1768" s="656"/>
      <c r="W1768" s="656" t="s">
        <v>13051</v>
      </c>
      <c r="X1768" s="656" t="s">
        <v>498</v>
      </c>
      <c r="Y1768" s="656" t="s">
        <v>14278</v>
      </c>
      <c r="Z1768" s="656">
        <v>44305.517164351855</v>
      </c>
      <c r="AA1768" s="656" t="s">
        <v>14335</v>
      </c>
      <c r="AB1768" s="656"/>
    </row>
    <row r="1769" spans="1:28">
      <c r="A1769" s="656" t="s">
        <v>7282</v>
      </c>
      <c r="B1769" s="656" t="s">
        <v>7283</v>
      </c>
      <c r="C1769" s="656" t="s">
        <v>21</v>
      </c>
      <c r="D1769" s="656" t="s">
        <v>12117</v>
      </c>
      <c r="E1769" s="656" t="s">
        <v>14275</v>
      </c>
      <c r="F1769" s="1491">
        <v>40906</v>
      </c>
      <c r="G1769" s="656" t="s">
        <v>12116</v>
      </c>
      <c r="H1769" s="656" t="s">
        <v>1777</v>
      </c>
      <c r="I1769" s="656" t="s">
        <v>14877</v>
      </c>
      <c r="J1769" s="656" t="s">
        <v>12117</v>
      </c>
      <c r="K1769" s="656" t="s">
        <v>9774</v>
      </c>
      <c r="L1769" s="656"/>
      <c r="M1769" s="656" t="s">
        <v>16318</v>
      </c>
      <c r="N1769" s="656"/>
      <c r="O1769" s="656" t="s">
        <v>6395</v>
      </c>
      <c r="P1769" s="5"/>
      <c r="Q1769" s="1447">
        <v>40239</v>
      </c>
      <c r="R1769" s="656">
        <v>40633</v>
      </c>
      <c r="S1769" s="656"/>
      <c r="T1769" s="656"/>
      <c r="U1769" s="656"/>
      <c r="V1769" s="656"/>
      <c r="W1769" s="656" t="s">
        <v>13051</v>
      </c>
      <c r="X1769" s="656" t="s">
        <v>498</v>
      </c>
      <c r="Y1769" s="656" t="s">
        <v>14278</v>
      </c>
      <c r="Z1769" s="656">
        <v>44305.517164351855</v>
      </c>
      <c r="AA1769" s="656" t="s">
        <v>14335</v>
      </c>
      <c r="AB1769" s="656"/>
    </row>
    <row r="1770" spans="1:28">
      <c r="A1770" s="656" t="s">
        <v>7292</v>
      </c>
      <c r="B1770" s="656" t="s">
        <v>7293</v>
      </c>
      <c r="C1770" s="656" t="s">
        <v>21</v>
      </c>
      <c r="D1770" s="656" t="s">
        <v>10542</v>
      </c>
      <c r="E1770" s="656" t="s">
        <v>14275</v>
      </c>
      <c r="F1770" s="1491">
        <v>41694</v>
      </c>
      <c r="G1770" s="656" t="s">
        <v>10541</v>
      </c>
      <c r="H1770" s="656" t="s">
        <v>1584</v>
      </c>
      <c r="I1770" s="656" t="s">
        <v>14878</v>
      </c>
      <c r="J1770" s="656" t="s">
        <v>10542</v>
      </c>
      <c r="K1770" s="656" t="s">
        <v>10398</v>
      </c>
      <c r="L1770" s="656"/>
      <c r="M1770" s="656" t="s">
        <v>1584</v>
      </c>
      <c r="N1770" s="656"/>
      <c r="O1770" s="656" t="s">
        <v>6387</v>
      </c>
      <c r="P1770" s="5"/>
      <c r="Q1770" s="1447"/>
      <c r="R1770" s="656">
        <v>40877</v>
      </c>
      <c r="S1770" s="656" t="s">
        <v>1394</v>
      </c>
      <c r="T1770" s="656" t="s">
        <v>14524</v>
      </c>
      <c r="U1770" s="656" t="s">
        <v>1667</v>
      </c>
      <c r="V1770" s="656"/>
      <c r="W1770" s="656" t="s">
        <v>13051</v>
      </c>
      <c r="X1770" s="656" t="s">
        <v>498</v>
      </c>
      <c r="Y1770" s="656" t="s">
        <v>14278</v>
      </c>
      <c r="Z1770" s="656">
        <v>44305.517141203702</v>
      </c>
      <c r="AA1770" s="656" t="s">
        <v>14335</v>
      </c>
      <c r="AB1770" s="656"/>
    </row>
    <row r="1771" spans="1:28">
      <c r="A1771" s="656" t="s">
        <v>7292</v>
      </c>
      <c r="B1771" s="656" t="s">
        <v>7293</v>
      </c>
      <c r="C1771" s="656" t="s">
        <v>21</v>
      </c>
      <c r="D1771" s="656" t="s">
        <v>10543</v>
      </c>
      <c r="E1771" s="656" t="s">
        <v>14275</v>
      </c>
      <c r="F1771" s="1491">
        <v>41719</v>
      </c>
      <c r="G1771" s="656" t="s">
        <v>10541</v>
      </c>
      <c r="H1771" s="656" t="s">
        <v>1364</v>
      </c>
      <c r="I1771" s="656" t="s">
        <v>14879</v>
      </c>
      <c r="J1771" s="656" t="s">
        <v>10543</v>
      </c>
      <c r="K1771" s="656" t="s">
        <v>10398</v>
      </c>
      <c r="L1771" s="656"/>
      <c r="M1771" s="656" t="s">
        <v>1364</v>
      </c>
      <c r="N1771" s="656"/>
      <c r="O1771" s="656" t="s">
        <v>6387</v>
      </c>
      <c r="P1771" s="5"/>
      <c r="Q1771" s="1447"/>
      <c r="R1771" s="656">
        <v>40877</v>
      </c>
      <c r="S1771" s="656" t="s">
        <v>1394</v>
      </c>
      <c r="T1771" s="656" t="s">
        <v>14524</v>
      </c>
      <c r="U1771" s="656" t="s">
        <v>1667</v>
      </c>
      <c r="V1771" s="656"/>
      <c r="W1771" s="656" t="s">
        <v>13051</v>
      </c>
      <c r="X1771" s="656" t="s">
        <v>498</v>
      </c>
      <c r="Y1771" s="656" t="s">
        <v>14278</v>
      </c>
      <c r="Z1771" s="656">
        <v>44305.517141203702</v>
      </c>
      <c r="AA1771" s="656" t="s">
        <v>14335</v>
      </c>
      <c r="AB1771" s="656"/>
    </row>
    <row r="1772" spans="1:28">
      <c r="A1772" s="656" t="s">
        <v>7292</v>
      </c>
      <c r="B1772" s="656" t="s">
        <v>7293</v>
      </c>
      <c r="C1772" s="656" t="s">
        <v>21</v>
      </c>
      <c r="D1772" s="656" t="s">
        <v>10544</v>
      </c>
      <c r="E1772" s="656" t="s">
        <v>14275</v>
      </c>
      <c r="F1772" s="1491">
        <v>41788</v>
      </c>
      <c r="G1772" s="656" t="s">
        <v>10541</v>
      </c>
      <c r="H1772" s="656" t="s">
        <v>1385</v>
      </c>
      <c r="I1772" s="656" t="s">
        <v>14880</v>
      </c>
      <c r="J1772" s="656" t="s">
        <v>10544</v>
      </c>
      <c r="K1772" s="656" t="s">
        <v>10398</v>
      </c>
      <c r="L1772" s="656"/>
      <c r="M1772" s="656" t="s">
        <v>1385</v>
      </c>
      <c r="N1772" s="656"/>
      <c r="O1772" s="656" t="s">
        <v>6387</v>
      </c>
      <c r="P1772" s="5"/>
      <c r="Q1772" s="1447"/>
      <c r="R1772" s="656">
        <v>40877</v>
      </c>
      <c r="S1772" s="656" t="s">
        <v>1394</v>
      </c>
      <c r="T1772" s="656" t="s">
        <v>14524</v>
      </c>
      <c r="U1772" s="656" t="s">
        <v>1667</v>
      </c>
      <c r="V1772" s="656"/>
      <c r="W1772" s="656" t="s">
        <v>13051</v>
      </c>
      <c r="X1772" s="656" t="s">
        <v>498</v>
      </c>
      <c r="Y1772" s="656" t="s">
        <v>14278</v>
      </c>
      <c r="Z1772" s="656">
        <v>44305.517152777778</v>
      </c>
      <c r="AA1772" s="656" t="s">
        <v>14335</v>
      </c>
      <c r="AB1772" s="656"/>
    </row>
    <row r="1773" spans="1:28">
      <c r="A1773" s="656" t="s">
        <v>7292</v>
      </c>
      <c r="B1773" s="656" t="s">
        <v>7293</v>
      </c>
      <c r="C1773" s="656" t="s">
        <v>21</v>
      </c>
      <c r="D1773" s="656" t="s">
        <v>10545</v>
      </c>
      <c r="E1773" s="656" t="s">
        <v>14275</v>
      </c>
      <c r="F1773" s="1491">
        <v>41842</v>
      </c>
      <c r="G1773" s="656" t="s">
        <v>10541</v>
      </c>
      <c r="H1773" s="656" t="s">
        <v>1274</v>
      </c>
      <c r="I1773" s="656" t="s">
        <v>14881</v>
      </c>
      <c r="J1773" s="656" t="s">
        <v>10545</v>
      </c>
      <c r="K1773" s="656" t="s">
        <v>10398</v>
      </c>
      <c r="L1773" s="656"/>
      <c r="M1773" s="656" t="s">
        <v>1274</v>
      </c>
      <c r="N1773" s="656"/>
      <c r="O1773" s="656" t="s">
        <v>6387</v>
      </c>
      <c r="P1773" s="5"/>
      <c r="Q1773" s="1447"/>
      <c r="R1773" s="656">
        <v>40877</v>
      </c>
      <c r="S1773" s="656" t="s">
        <v>1394</v>
      </c>
      <c r="T1773" s="656" t="s">
        <v>14524</v>
      </c>
      <c r="U1773" s="656" t="s">
        <v>1667</v>
      </c>
      <c r="V1773" s="656"/>
      <c r="W1773" s="656" t="s">
        <v>13051</v>
      </c>
      <c r="X1773" s="656" t="s">
        <v>498</v>
      </c>
      <c r="Y1773" s="656" t="s">
        <v>14278</v>
      </c>
      <c r="Z1773" s="656">
        <v>44305.517152777778</v>
      </c>
      <c r="AA1773" s="656" t="s">
        <v>14335</v>
      </c>
      <c r="AB1773" s="656"/>
    </row>
    <row r="1774" spans="1:28">
      <c r="A1774" s="656" t="s">
        <v>7300</v>
      </c>
      <c r="B1774" s="656" t="s">
        <v>7301</v>
      </c>
      <c r="C1774" s="656" t="s">
        <v>21</v>
      </c>
      <c r="D1774" s="656" t="s">
        <v>10540</v>
      </c>
      <c r="E1774" s="656" t="s">
        <v>14275</v>
      </c>
      <c r="F1774" s="1491">
        <v>41722</v>
      </c>
      <c r="G1774" s="656" t="s">
        <v>10539</v>
      </c>
      <c r="H1774" s="656" t="s">
        <v>1584</v>
      </c>
      <c r="I1774" s="656" t="s">
        <v>14882</v>
      </c>
      <c r="J1774" s="656" t="s">
        <v>10540</v>
      </c>
      <c r="K1774" s="656" t="s">
        <v>10398</v>
      </c>
      <c r="L1774" s="656"/>
      <c r="M1774" s="656" t="s">
        <v>1584</v>
      </c>
      <c r="N1774" s="656"/>
      <c r="O1774" s="656" t="s">
        <v>6387</v>
      </c>
      <c r="P1774" s="5"/>
      <c r="Q1774" s="1447"/>
      <c r="R1774" s="656">
        <v>40998</v>
      </c>
      <c r="S1774" s="656" t="s">
        <v>1667</v>
      </c>
      <c r="T1774" s="656" t="s">
        <v>14524</v>
      </c>
      <c r="U1774" s="656" t="s">
        <v>1667</v>
      </c>
      <c r="V1774" s="656"/>
      <c r="W1774" s="656" t="s">
        <v>13051</v>
      </c>
      <c r="X1774" s="656" t="s">
        <v>498</v>
      </c>
      <c r="Y1774" s="656" t="s">
        <v>14278</v>
      </c>
      <c r="Z1774" s="656">
        <v>44305.517129629632</v>
      </c>
      <c r="AA1774" s="656" t="s">
        <v>14335</v>
      </c>
      <c r="AB1774" s="656"/>
    </row>
    <row r="1775" spans="1:28">
      <c r="A1775" s="656" t="s">
        <v>7302</v>
      </c>
      <c r="B1775" s="656" t="s">
        <v>7303</v>
      </c>
      <c r="C1775" s="656" t="s">
        <v>21</v>
      </c>
      <c r="D1775" s="656" t="s">
        <v>10538</v>
      </c>
      <c r="E1775" s="656" t="s">
        <v>14275</v>
      </c>
      <c r="F1775" s="1491">
        <v>41635</v>
      </c>
      <c r="G1775" s="656" t="s">
        <v>10537</v>
      </c>
      <c r="H1775" s="656" t="s">
        <v>1777</v>
      </c>
      <c r="I1775" s="656" t="s">
        <v>14883</v>
      </c>
      <c r="J1775" s="656" t="s">
        <v>10538</v>
      </c>
      <c r="K1775" s="656" t="s">
        <v>10398</v>
      </c>
      <c r="L1775" s="656"/>
      <c r="M1775" s="656" t="s">
        <v>16318</v>
      </c>
      <c r="N1775" s="656"/>
      <c r="O1775" s="656" t="s">
        <v>6387</v>
      </c>
      <c r="P1775" s="5"/>
      <c r="Q1775" s="1447"/>
      <c r="R1775" s="656">
        <v>41242</v>
      </c>
      <c r="S1775" s="656" t="s">
        <v>1394</v>
      </c>
      <c r="T1775" s="656" t="s">
        <v>14524</v>
      </c>
      <c r="U1775" s="656" t="s">
        <v>1667</v>
      </c>
      <c r="V1775" s="656"/>
      <c r="W1775" s="656" t="s">
        <v>13051</v>
      </c>
      <c r="X1775" s="656" t="s">
        <v>498</v>
      </c>
      <c r="Y1775" s="656" t="s">
        <v>14278</v>
      </c>
      <c r="Z1775" s="656">
        <v>44305.517129629632</v>
      </c>
      <c r="AA1775" s="656" t="s">
        <v>14335</v>
      </c>
      <c r="AB1775" s="656"/>
    </row>
    <row r="1776" spans="1:28">
      <c r="A1776" s="656" t="s">
        <v>7308</v>
      </c>
      <c r="B1776" s="656" t="s">
        <v>7309</v>
      </c>
      <c r="C1776" s="656" t="s">
        <v>21</v>
      </c>
      <c r="D1776" s="656" t="s">
        <v>10535</v>
      </c>
      <c r="E1776" s="656" t="s">
        <v>14275</v>
      </c>
      <c r="F1776" s="1491">
        <v>41845</v>
      </c>
      <c r="G1776" s="656" t="s">
        <v>10534</v>
      </c>
      <c r="H1776" s="656" t="s">
        <v>1777</v>
      </c>
      <c r="I1776" s="656" t="s">
        <v>14884</v>
      </c>
      <c r="J1776" s="656" t="s">
        <v>10535</v>
      </c>
      <c r="K1776" s="656" t="s">
        <v>10398</v>
      </c>
      <c r="L1776" s="656"/>
      <c r="M1776" s="656" t="s">
        <v>16456</v>
      </c>
      <c r="N1776" s="656"/>
      <c r="O1776" s="656" t="s">
        <v>6387</v>
      </c>
      <c r="P1776" s="5"/>
      <c r="Q1776" s="1447"/>
      <c r="R1776" s="656">
        <v>41414</v>
      </c>
      <c r="S1776" s="656" t="s">
        <v>655</v>
      </c>
      <c r="T1776" s="656" t="s">
        <v>14277</v>
      </c>
      <c r="U1776" s="656" t="s">
        <v>655</v>
      </c>
      <c r="V1776" s="656"/>
      <c r="W1776" s="656" t="s">
        <v>13051</v>
      </c>
      <c r="X1776" s="656" t="s">
        <v>498</v>
      </c>
      <c r="Y1776" s="656" t="s">
        <v>14278</v>
      </c>
      <c r="Z1776" s="656">
        <v>44305.517118055555</v>
      </c>
      <c r="AA1776" s="656" t="s">
        <v>14335</v>
      </c>
      <c r="AB1776" s="656"/>
    </row>
    <row r="1777" spans="1:28">
      <c r="A1777" s="656" t="s">
        <v>7308</v>
      </c>
      <c r="B1777" s="656" t="s">
        <v>7309</v>
      </c>
      <c r="C1777" s="656" t="s">
        <v>20</v>
      </c>
      <c r="D1777" s="656" t="s">
        <v>10536</v>
      </c>
      <c r="E1777" s="656" t="s">
        <v>14275</v>
      </c>
      <c r="F1777" s="1491">
        <v>41835</v>
      </c>
      <c r="G1777" s="656" t="s">
        <v>10534</v>
      </c>
      <c r="H1777" s="656" t="s">
        <v>1777</v>
      </c>
      <c r="I1777" s="656"/>
      <c r="J1777" s="656"/>
      <c r="K1777" s="656"/>
      <c r="L1777" s="656" t="s">
        <v>10536</v>
      </c>
      <c r="M1777" s="656" t="s">
        <v>16456</v>
      </c>
      <c r="N1777" s="656"/>
      <c r="O1777" s="656" t="s">
        <v>6387</v>
      </c>
      <c r="P1777" s="5"/>
      <c r="Q1777" s="1447"/>
      <c r="R1777" s="656"/>
      <c r="S1777" s="656" t="s">
        <v>655</v>
      </c>
      <c r="T1777" s="656" t="s">
        <v>14277</v>
      </c>
      <c r="U1777" s="656" t="s">
        <v>655</v>
      </c>
      <c r="V1777" s="656"/>
      <c r="W1777" s="656" t="s">
        <v>13051</v>
      </c>
      <c r="X1777" s="656" t="s">
        <v>498</v>
      </c>
      <c r="Y1777" s="656" t="s">
        <v>14278</v>
      </c>
      <c r="Z1777" s="656">
        <v>44305.517118055555</v>
      </c>
      <c r="AA1777" s="656" t="s">
        <v>14335</v>
      </c>
      <c r="AB1777" s="656"/>
    </row>
    <row r="1778" spans="1:28">
      <c r="A1778" s="656" t="s">
        <v>7318</v>
      </c>
      <c r="B1778" s="656" t="s">
        <v>12196</v>
      </c>
      <c r="C1778" s="656" t="s">
        <v>21</v>
      </c>
      <c r="D1778" s="656" t="s">
        <v>12198</v>
      </c>
      <c r="E1778" s="656" t="s">
        <v>14384</v>
      </c>
      <c r="F1778" s="1491">
        <v>42278</v>
      </c>
      <c r="G1778" s="656" t="s">
        <v>12197</v>
      </c>
      <c r="H1778" s="656"/>
      <c r="I1778" s="656" t="s">
        <v>14885</v>
      </c>
      <c r="J1778" s="656" t="s">
        <v>12198</v>
      </c>
      <c r="K1778" s="656" t="s">
        <v>9774</v>
      </c>
      <c r="L1778" s="656"/>
      <c r="M1778" s="656" t="s">
        <v>16318</v>
      </c>
      <c r="N1778" s="656"/>
      <c r="O1778" s="656" t="s">
        <v>6387</v>
      </c>
      <c r="P1778" s="5" t="s">
        <v>14886</v>
      </c>
      <c r="Q1778" s="1447">
        <v>40625</v>
      </c>
      <c r="R1778" s="656"/>
      <c r="S1778" s="656" t="s">
        <v>655</v>
      </c>
      <c r="T1778" s="656"/>
      <c r="U1778" s="656"/>
      <c r="V1778" s="656"/>
      <c r="W1778" s="656" t="s">
        <v>13051</v>
      </c>
      <c r="X1778" s="656" t="s">
        <v>498</v>
      </c>
      <c r="Y1778" s="656" t="s">
        <v>14278</v>
      </c>
      <c r="Z1778" s="656">
        <v>44305.517106481479</v>
      </c>
      <c r="AA1778" s="656" t="s">
        <v>14335</v>
      </c>
      <c r="AB1778" s="656"/>
    </row>
    <row r="1779" spans="1:28">
      <c r="A1779" s="656" t="s">
        <v>7322</v>
      </c>
      <c r="B1779" s="656" t="s">
        <v>7323</v>
      </c>
      <c r="C1779" s="656" t="s">
        <v>21</v>
      </c>
      <c r="D1779" s="656" t="s">
        <v>10532</v>
      </c>
      <c r="E1779" s="656" t="s">
        <v>14275</v>
      </c>
      <c r="F1779" s="1491">
        <v>41604</v>
      </c>
      <c r="G1779" s="656" t="s">
        <v>10531</v>
      </c>
      <c r="H1779" s="656" t="s">
        <v>1777</v>
      </c>
      <c r="I1779" s="656" t="s">
        <v>14887</v>
      </c>
      <c r="J1779" s="656" t="s">
        <v>10532</v>
      </c>
      <c r="K1779" s="656" t="s">
        <v>10398</v>
      </c>
      <c r="L1779" s="656"/>
      <c r="M1779" s="656" t="s">
        <v>16351</v>
      </c>
      <c r="N1779" s="656"/>
      <c r="O1779" s="656" t="s">
        <v>6387</v>
      </c>
      <c r="P1779" s="5"/>
      <c r="Q1779" s="1447"/>
      <c r="R1779" s="656">
        <v>40999</v>
      </c>
      <c r="S1779" s="656" t="s">
        <v>1394</v>
      </c>
      <c r="T1779" s="656" t="s">
        <v>14559</v>
      </c>
      <c r="U1779" s="656" t="s">
        <v>500</v>
      </c>
      <c r="V1779" s="656"/>
      <c r="W1779" s="656" t="s">
        <v>13051</v>
      </c>
      <c r="X1779" s="656" t="s">
        <v>498</v>
      </c>
      <c r="Y1779" s="656" t="s">
        <v>14278</v>
      </c>
      <c r="Z1779" s="656">
        <v>44305.517094907409</v>
      </c>
      <c r="AA1779" s="656" t="s">
        <v>14335</v>
      </c>
      <c r="AB1779" s="656"/>
    </row>
    <row r="1780" spans="1:28">
      <c r="A1780" s="656" t="s">
        <v>7322</v>
      </c>
      <c r="B1780" s="656" t="s">
        <v>7323</v>
      </c>
      <c r="C1780" s="656" t="s">
        <v>20</v>
      </c>
      <c r="D1780" s="656" t="s">
        <v>10533</v>
      </c>
      <c r="E1780" s="656" t="s">
        <v>14275</v>
      </c>
      <c r="F1780" s="1491">
        <v>41782</v>
      </c>
      <c r="G1780" s="656" t="s">
        <v>10531</v>
      </c>
      <c r="H1780" s="656" t="s">
        <v>1777</v>
      </c>
      <c r="I1780" s="656"/>
      <c r="J1780" s="656"/>
      <c r="K1780" s="656"/>
      <c r="L1780" s="656" t="s">
        <v>10533</v>
      </c>
      <c r="M1780" s="656" t="s">
        <v>16351</v>
      </c>
      <c r="N1780" s="656"/>
      <c r="O1780" s="656" t="s">
        <v>6387</v>
      </c>
      <c r="P1780" s="5"/>
      <c r="Q1780" s="1447"/>
      <c r="R1780" s="656"/>
      <c r="S1780" s="656" t="s">
        <v>1394</v>
      </c>
      <c r="T1780" s="656" t="s">
        <v>14559</v>
      </c>
      <c r="U1780" s="656" t="s">
        <v>500</v>
      </c>
      <c r="V1780" s="656"/>
      <c r="W1780" s="656" t="s">
        <v>13051</v>
      </c>
      <c r="X1780" s="656" t="s">
        <v>498</v>
      </c>
      <c r="Y1780" s="656" t="s">
        <v>14278</v>
      </c>
      <c r="Z1780" s="656">
        <v>44305.517106481479</v>
      </c>
      <c r="AA1780" s="656" t="s">
        <v>14335</v>
      </c>
      <c r="AB1780" s="656"/>
    </row>
    <row r="1781" spans="1:28">
      <c r="A1781" s="656" t="s">
        <v>7324</v>
      </c>
      <c r="B1781" s="656" t="s">
        <v>7325</v>
      </c>
      <c r="C1781" s="656" t="s">
        <v>21</v>
      </c>
      <c r="D1781" s="656" t="s">
        <v>10529</v>
      </c>
      <c r="E1781" s="656" t="s">
        <v>14384</v>
      </c>
      <c r="F1781" s="1491">
        <v>41956</v>
      </c>
      <c r="G1781" s="656" t="s">
        <v>10528</v>
      </c>
      <c r="H1781" s="656" t="s">
        <v>1777</v>
      </c>
      <c r="I1781" s="656" t="s">
        <v>14888</v>
      </c>
      <c r="J1781" s="656" t="s">
        <v>10529</v>
      </c>
      <c r="K1781" s="656" t="s">
        <v>10398</v>
      </c>
      <c r="L1781" s="656"/>
      <c r="M1781" s="656" t="s">
        <v>16448</v>
      </c>
      <c r="N1781" s="656"/>
      <c r="O1781" s="656" t="s">
        <v>6387</v>
      </c>
      <c r="P1781" s="5" t="s">
        <v>14751</v>
      </c>
      <c r="Q1781" s="1447"/>
      <c r="R1781" s="656"/>
      <c r="S1781" s="656" t="s">
        <v>500</v>
      </c>
      <c r="T1781" s="656" t="s">
        <v>14559</v>
      </c>
      <c r="U1781" s="656" t="s">
        <v>500</v>
      </c>
      <c r="V1781" s="656"/>
      <c r="W1781" s="656" t="s">
        <v>13051</v>
      </c>
      <c r="X1781" s="656" t="s">
        <v>498</v>
      </c>
      <c r="Y1781" s="656" t="s">
        <v>14278</v>
      </c>
      <c r="Z1781" s="656">
        <v>44305.517094907409</v>
      </c>
      <c r="AA1781" s="656" t="s">
        <v>14335</v>
      </c>
      <c r="AB1781" s="656"/>
    </row>
    <row r="1782" spans="1:28">
      <c r="A1782" s="656" t="s">
        <v>7324</v>
      </c>
      <c r="B1782" s="656" t="s">
        <v>7325</v>
      </c>
      <c r="C1782" s="656" t="s">
        <v>20</v>
      </c>
      <c r="D1782" s="656" t="s">
        <v>10530</v>
      </c>
      <c r="E1782" s="656" t="s">
        <v>14275</v>
      </c>
      <c r="F1782" s="1491">
        <v>42404</v>
      </c>
      <c r="G1782" s="656" t="s">
        <v>10528</v>
      </c>
      <c r="H1782" s="656" t="s">
        <v>1777</v>
      </c>
      <c r="I1782" s="656"/>
      <c r="J1782" s="656"/>
      <c r="K1782" s="656"/>
      <c r="L1782" s="656" t="s">
        <v>10530</v>
      </c>
      <c r="M1782" s="656" t="s">
        <v>16448</v>
      </c>
      <c r="N1782" s="656"/>
      <c r="O1782" s="656" t="s">
        <v>6387</v>
      </c>
      <c r="P1782" s="5"/>
      <c r="Q1782" s="1447"/>
      <c r="R1782" s="656"/>
      <c r="S1782" s="656" t="s">
        <v>500</v>
      </c>
      <c r="T1782" s="656" t="s">
        <v>14559</v>
      </c>
      <c r="U1782" s="656" t="s">
        <v>500</v>
      </c>
      <c r="V1782" s="656"/>
      <c r="W1782" s="656" t="s">
        <v>13051</v>
      </c>
      <c r="X1782" s="656" t="s">
        <v>498</v>
      </c>
      <c r="Y1782" s="656" t="s">
        <v>14278</v>
      </c>
      <c r="Z1782" s="656">
        <v>44305.517094907409</v>
      </c>
      <c r="AA1782" s="656" t="s">
        <v>14335</v>
      </c>
      <c r="AB1782" s="656"/>
    </row>
    <row r="1783" spans="1:28">
      <c r="A1783" s="656" t="s">
        <v>7449</v>
      </c>
      <c r="B1783" s="656" t="s">
        <v>7450</v>
      </c>
      <c r="C1783" s="656" t="s">
        <v>20</v>
      </c>
      <c r="D1783" s="656" t="s">
        <v>10524</v>
      </c>
      <c r="E1783" s="656" t="s">
        <v>14275</v>
      </c>
      <c r="F1783" s="1491">
        <v>42454</v>
      </c>
      <c r="G1783" s="656" t="s">
        <v>10523</v>
      </c>
      <c r="H1783" s="656" t="s">
        <v>1777</v>
      </c>
      <c r="I1783" s="656"/>
      <c r="J1783" s="656"/>
      <c r="K1783" s="656"/>
      <c r="L1783" s="656" t="s">
        <v>10524</v>
      </c>
      <c r="M1783" s="656" t="s">
        <v>16322</v>
      </c>
      <c r="N1783" s="656"/>
      <c r="O1783" s="656" t="s">
        <v>6387</v>
      </c>
      <c r="P1783" s="5"/>
      <c r="Q1783" s="1447"/>
      <c r="R1783" s="656"/>
      <c r="S1783" s="656" t="s">
        <v>1667</v>
      </c>
      <c r="T1783" s="656" t="s">
        <v>14524</v>
      </c>
      <c r="U1783" s="656" t="s">
        <v>1667</v>
      </c>
      <c r="V1783" s="656"/>
      <c r="W1783" s="656" t="s">
        <v>13051</v>
      </c>
      <c r="X1783" s="656" t="s">
        <v>498</v>
      </c>
      <c r="Y1783" s="656" t="s">
        <v>14278</v>
      </c>
      <c r="Z1783" s="656">
        <v>44305.517060185186</v>
      </c>
      <c r="AA1783" s="656" t="s">
        <v>14335</v>
      </c>
      <c r="AB1783" s="656"/>
    </row>
    <row r="1784" spans="1:28">
      <c r="A1784" s="656" t="s">
        <v>7449</v>
      </c>
      <c r="B1784" s="656" t="s">
        <v>7450</v>
      </c>
      <c r="C1784" s="656" t="s">
        <v>20</v>
      </c>
      <c r="D1784" s="656" t="s">
        <v>10526</v>
      </c>
      <c r="E1784" s="656" t="s">
        <v>14275</v>
      </c>
      <c r="F1784" s="1491">
        <v>42172</v>
      </c>
      <c r="G1784" s="656" t="s">
        <v>10525</v>
      </c>
      <c r="H1784" s="656" t="s">
        <v>1777</v>
      </c>
      <c r="I1784" s="656"/>
      <c r="J1784" s="656"/>
      <c r="K1784" s="656"/>
      <c r="L1784" s="656" t="s">
        <v>10526</v>
      </c>
      <c r="M1784" s="656" t="s">
        <v>16457</v>
      </c>
      <c r="N1784" s="656"/>
      <c r="O1784" s="656" t="s">
        <v>6387</v>
      </c>
      <c r="P1784" s="5"/>
      <c r="Q1784" s="1447"/>
      <c r="R1784" s="656"/>
      <c r="S1784" s="656" t="s">
        <v>1667</v>
      </c>
      <c r="T1784" s="656" t="s">
        <v>14524</v>
      </c>
      <c r="U1784" s="656" t="s">
        <v>1667</v>
      </c>
      <c r="V1784" s="656"/>
      <c r="W1784" s="656" t="s">
        <v>13051</v>
      </c>
      <c r="X1784" s="656" t="s">
        <v>498</v>
      </c>
      <c r="Y1784" s="656" t="s">
        <v>14278</v>
      </c>
      <c r="Z1784" s="656">
        <v>44305.517071759263</v>
      </c>
      <c r="AA1784" s="656" t="s">
        <v>14335</v>
      </c>
      <c r="AB1784" s="656"/>
    </row>
    <row r="1785" spans="1:28">
      <c r="A1785" s="656" t="s">
        <v>7449</v>
      </c>
      <c r="B1785" s="656" t="s">
        <v>7450</v>
      </c>
      <c r="C1785" s="656" t="s">
        <v>20</v>
      </c>
      <c r="D1785" s="656" t="s">
        <v>10527</v>
      </c>
      <c r="E1785" s="656" t="s">
        <v>14275</v>
      </c>
      <c r="F1785" s="1491">
        <v>42454</v>
      </c>
      <c r="G1785" s="656" t="s">
        <v>10523</v>
      </c>
      <c r="H1785" s="656" t="s">
        <v>1777</v>
      </c>
      <c r="I1785" s="656"/>
      <c r="J1785" s="656"/>
      <c r="K1785" s="656"/>
      <c r="L1785" s="656" t="s">
        <v>10527</v>
      </c>
      <c r="M1785" s="656" t="s">
        <v>16438</v>
      </c>
      <c r="N1785" s="656"/>
      <c r="O1785" s="656" t="s">
        <v>6387</v>
      </c>
      <c r="P1785" s="5"/>
      <c r="Q1785" s="1447"/>
      <c r="R1785" s="656"/>
      <c r="S1785" s="656" t="s">
        <v>1667</v>
      </c>
      <c r="T1785" s="656" t="s">
        <v>14524</v>
      </c>
      <c r="U1785" s="656" t="s">
        <v>1667</v>
      </c>
      <c r="V1785" s="656"/>
      <c r="W1785" s="656" t="s">
        <v>13051</v>
      </c>
      <c r="X1785" s="656" t="s">
        <v>498</v>
      </c>
      <c r="Y1785" s="656" t="s">
        <v>14278</v>
      </c>
      <c r="Z1785" s="656">
        <v>44305.517083333332</v>
      </c>
      <c r="AA1785" s="656" t="s">
        <v>14335</v>
      </c>
      <c r="AB1785" s="656"/>
    </row>
    <row r="1786" spans="1:28">
      <c r="A1786" s="656" t="s">
        <v>7451</v>
      </c>
      <c r="B1786" s="656" t="s">
        <v>7452</v>
      </c>
      <c r="C1786" s="656" t="s">
        <v>20</v>
      </c>
      <c r="D1786" s="656" t="s">
        <v>10522</v>
      </c>
      <c r="E1786" s="656" t="s">
        <v>14275</v>
      </c>
      <c r="F1786" s="1491">
        <v>42172</v>
      </c>
      <c r="G1786" s="656" t="s">
        <v>10521</v>
      </c>
      <c r="H1786" s="656" t="s">
        <v>1777</v>
      </c>
      <c r="I1786" s="656"/>
      <c r="J1786" s="656"/>
      <c r="K1786" s="656"/>
      <c r="L1786" s="656" t="s">
        <v>10522</v>
      </c>
      <c r="M1786" s="656" t="s">
        <v>16437</v>
      </c>
      <c r="N1786" s="656"/>
      <c r="O1786" s="656" t="s">
        <v>6387</v>
      </c>
      <c r="P1786" s="5"/>
      <c r="Q1786" s="1447"/>
      <c r="R1786" s="656"/>
      <c r="S1786" s="656" t="s">
        <v>1394</v>
      </c>
      <c r="T1786" s="656" t="s">
        <v>14277</v>
      </c>
      <c r="U1786" s="656" t="s">
        <v>655</v>
      </c>
      <c r="V1786" s="656"/>
      <c r="W1786" s="656" t="s">
        <v>13051</v>
      </c>
      <c r="X1786" s="656" t="s">
        <v>498</v>
      </c>
      <c r="Y1786" s="656" t="s">
        <v>14278</v>
      </c>
      <c r="Z1786" s="656">
        <v>44305.517060185186</v>
      </c>
      <c r="AA1786" s="656" t="s">
        <v>14335</v>
      </c>
      <c r="AB1786" s="656"/>
    </row>
    <row r="1787" spans="1:28">
      <c r="A1787" s="656" t="s">
        <v>10516</v>
      </c>
      <c r="B1787" s="656" t="s">
        <v>7490</v>
      </c>
      <c r="C1787" s="656" t="s">
        <v>21</v>
      </c>
      <c r="D1787" s="656" t="s">
        <v>10518</v>
      </c>
      <c r="E1787" s="656" t="s">
        <v>14384</v>
      </c>
      <c r="F1787" s="1491">
        <v>42172</v>
      </c>
      <c r="G1787" s="656" t="s">
        <v>10517</v>
      </c>
      <c r="H1787" s="656" t="s">
        <v>1777</v>
      </c>
      <c r="I1787" s="656" t="s">
        <v>14889</v>
      </c>
      <c r="J1787" s="656" t="s">
        <v>10518</v>
      </c>
      <c r="K1787" s="656" t="s">
        <v>9774</v>
      </c>
      <c r="L1787" s="656"/>
      <c r="M1787" s="656" t="s">
        <v>16431</v>
      </c>
      <c r="N1787" s="656"/>
      <c r="O1787" s="656" t="s">
        <v>6393</v>
      </c>
      <c r="P1787" s="5" t="s">
        <v>15460</v>
      </c>
      <c r="Q1787" s="1447">
        <v>39891</v>
      </c>
      <c r="R1787" s="656"/>
      <c r="S1787" s="656" t="s">
        <v>1300</v>
      </c>
      <c r="T1787" s="656" t="s">
        <v>4198</v>
      </c>
      <c r="U1787" s="656" t="s">
        <v>1300</v>
      </c>
      <c r="V1787" s="656"/>
      <c r="W1787" s="656" t="s">
        <v>13051</v>
      </c>
      <c r="X1787" s="656" t="s">
        <v>498</v>
      </c>
      <c r="Y1787" s="656" t="s">
        <v>14278</v>
      </c>
      <c r="Z1787" s="656">
        <v>44305.517048611109</v>
      </c>
      <c r="AA1787" s="656" t="s">
        <v>14335</v>
      </c>
      <c r="AB1787" s="656"/>
    </row>
    <row r="1788" spans="1:28">
      <c r="A1788" s="656" t="s">
        <v>10516</v>
      </c>
      <c r="B1788" s="656" t="s">
        <v>7490</v>
      </c>
      <c r="C1788" s="656" t="s">
        <v>21</v>
      </c>
      <c r="D1788" s="656" t="s">
        <v>10520</v>
      </c>
      <c r="E1788" s="656" t="s">
        <v>14275</v>
      </c>
      <c r="F1788" s="1491">
        <v>41179</v>
      </c>
      <c r="G1788" s="656" t="s">
        <v>10519</v>
      </c>
      <c r="H1788" s="656" t="s">
        <v>1777</v>
      </c>
      <c r="I1788" s="656" t="s">
        <v>14890</v>
      </c>
      <c r="J1788" s="656" t="s">
        <v>10520</v>
      </c>
      <c r="K1788" s="656" t="s">
        <v>9750</v>
      </c>
      <c r="L1788" s="656"/>
      <c r="M1788" s="656" t="s">
        <v>16195</v>
      </c>
      <c r="N1788" s="656"/>
      <c r="O1788" s="656" t="s">
        <v>6393</v>
      </c>
      <c r="P1788" s="5"/>
      <c r="Q1788" s="1447">
        <v>40445</v>
      </c>
      <c r="R1788" s="656">
        <v>40785</v>
      </c>
      <c r="S1788" s="656" t="s">
        <v>1300</v>
      </c>
      <c r="T1788" s="656" t="s">
        <v>4198</v>
      </c>
      <c r="U1788" s="656" t="s">
        <v>1300</v>
      </c>
      <c r="V1788" s="656"/>
      <c r="W1788" s="656" t="s">
        <v>13051</v>
      </c>
      <c r="X1788" s="656" t="s">
        <v>498</v>
      </c>
      <c r="Y1788" s="656" t="s">
        <v>14278</v>
      </c>
      <c r="Z1788" s="656">
        <v>44305.517048611109</v>
      </c>
      <c r="AA1788" s="656" t="s">
        <v>14335</v>
      </c>
      <c r="AB1788" s="656"/>
    </row>
    <row r="1789" spans="1:28">
      <c r="A1789" s="656" t="s">
        <v>7492</v>
      </c>
      <c r="B1789" s="656" t="s">
        <v>7493</v>
      </c>
      <c r="C1789" s="656" t="s">
        <v>21</v>
      </c>
      <c r="D1789" s="656" t="s">
        <v>10515</v>
      </c>
      <c r="E1789" s="656" t="s">
        <v>14275</v>
      </c>
      <c r="F1789" s="1491">
        <v>41936</v>
      </c>
      <c r="G1789" s="656" t="s">
        <v>10514</v>
      </c>
      <c r="H1789" s="656" t="s">
        <v>1274</v>
      </c>
      <c r="I1789" s="656" t="s">
        <v>14891</v>
      </c>
      <c r="J1789" s="656" t="s">
        <v>10515</v>
      </c>
      <c r="K1789" s="656" t="s">
        <v>9782</v>
      </c>
      <c r="L1789" s="656"/>
      <c r="M1789" s="656" t="s">
        <v>1274</v>
      </c>
      <c r="N1789" s="656"/>
      <c r="O1789" s="656" t="s">
        <v>6387</v>
      </c>
      <c r="P1789" s="5"/>
      <c r="Q1789" s="1447"/>
      <c r="R1789" s="656">
        <v>41914</v>
      </c>
      <c r="S1789" s="656" t="s">
        <v>655</v>
      </c>
      <c r="T1789" s="656" t="s">
        <v>14277</v>
      </c>
      <c r="U1789" s="656" t="s">
        <v>655</v>
      </c>
      <c r="V1789" s="656"/>
      <c r="W1789" s="656" t="s">
        <v>13051</v>
      </c>
      <c r="X1789" s="656" t="s">
        <v>498</v>
      </c>
      <c r="Y1789" s="656" t="s">
        <v>14278</v>
      </c>
      <c r="Z1789" s="656">
        <v>44305.51703703704</v>
      </c>
      <c r="AA1789" s="656" t="s">
        <v>14335</v>
      </c>
      <c r="AB1789" s="656"/>
    </row>
    <row r="1790" spans="1:28">
      <c r="A1790" s="656" t="s">
        <v>7494</v>
      </c>
      <c r="B1790" s="656" t="s">
        <v>7495</v>
      </c>
      <c r="C1790" s="656" t="s">
        <v>21</v>
      </c>
      <c r="D1790" s="656" t="s">
        <v>10513</v>
      </c>
      <c r="E1790" s="656" t="s">
        <v>14275</v>
      </c>
      <c r="F1790" s="1491">
        <v>42108</v>
      </c>
      <c r="G1790" s="656" t="s">
        <v>10512</v>
      </c>
      <c r="H1790" s="656" t="s">
        <v>1274</v>
      </c>
      <c r="I1790" s="656" t="s">
        <v>14892</v>
      </c>
      <c r="J1790" s="656" t="s">
        <v>10513</v>
      </c>
      <c r="K1790" s="656" t="s">
        <v>9782</v>
      </c>
      <c r="L1790" s="656"/>
      <c r="M1790" s="656" t="s">
        <v>1274</v>
      </c>
      <c r="N1790" s="656"/>
      <c r="O1790" s="656" t="s">
        <v>6387</v>
      </c>
      <c r="P1790" s="5"/>
      <c r="Q1790" s="1447"/>
      <c r="R1790" s="656">
        <v>41334</v>
      </c>
      <c r="S1790" s="656" t="s">
        <v>655</v>
      </c>
      <c r="T1790" s="656" t="s">
        <v>14277</v>
      </c>
      <c r="U1790" s="656" t="s">
        <v>655</v>
      </c>
      <c r="V1790" s="656"/>
      <c r="W1790" s="656" t="s">
        <v>13051</v>
      </c>
      <c r="X1790" s="656" t="s">
        <v>498</v>
      </c>
      <c r="Y1790" s="656" t="s">
        <v>14278</v>
      </c>
      <c r="Z1790" s="656">
        <v>44305.51703703704</v>
      </c>
      <c r="AA1790" s="656" t="s">
        <v>14335</v>
      </c>
      <c r="AB1790" s="656"/>
    </row>
    <row r="1791" spans="1:28">
      <c r="A1791" s="656" t="s">
        <v>7496</v>
      </c>
      <c r="B1791" s="656" t="s">
        <v>10507</v>
      </c>
      <c r="C1791" s="656" t="s">
        <v>21</v>
      </c>
      <c r="D1791" s="656" t="s">
        <v>10509</v>
      </c>
      <c r="E1791" s="656" t="s">
        <v>14275</v>
      </c>
      <c r="F1791" s="1491">
        <v>41148</v>
      </c>
      <c r="G1791" s="656" t="s">
        <v>10508</v>
      </c>
      <c r="H1791" s="656" t="s">
        <v>1274</v>
      </c>
      <c r="I1791" s="656" t="s">
        <v>14893</v>
      </c>
      <c r="J1791" s="656" t="s">
        <v>10509</v>
      </c>
      <c r="K1791" s="656" t="s">
        <v>10398</v>
      </c>
      <c r="L1791" s="656"/>
      <c r="M1791" s="656" t="s">
        <v>1274</v>
      </c>
      <c r="N1791" s="656"/>
      <c r="O1791" s="656" t="s">
        <v>6387</v>
      </c>
      <c r="P1791" s="5"/>
      <c r="Q1791" s="1447"/>
      <c r="R1791" s="656">
        <v>40633</v>
      </c>
      <c r="S1791" s="656" t="s">
        <v>1667</v>
      </c>
      <c r="T1791" s="656" t="s">
        <v>14524</v>
      </c>
      <c r="U1791" s="656" t="s">
        <v>1667</v>
      </c>
      <c r="V1791" s="656"/>
      <c r="W1791" s="656" t="s">
        <v>13051</v>
      </c>
      <c r="X1791" s="656" t="s">
        <v>498</v>
      </c>
      <c r="Y1791" s="656" t="s">
        <v>14278</v>
      </c>
      <c r="Z1791" s="656">
        <v>44305.517013888886</v>
      </c>
      <c r="AA1791" s="656" t="s">
        <v>14335</v>
      </c>
      <c r="AB1791" s="656"/>
    </row>
    <row r="1792" spans="1:28">
      <c r="A1792" s="656" t="s">
        <v>7496</v>
      </c>
      <c r="B1792" s="656" t="s">
        <v>7497</v>
      </c>
      <c r="C1792" s="656" t="s">
        <v>21</v>
      </c>
      <c r="D1792" s="656" t="s">
        <v>10511</v>
      </c>
      <c r="E1792" s="656" t="s">
        <v>14275</v>
      </c>
      <c r="F1792" s="1491">
        <v>41163</v>
      </c>
      <c r="G1792" s="656" t="s">
        <v>10510</v>
      </c>
      <c r="H1792" s="656" t="s">
        <v>1274</v>
      </c>
      <c r="I1792" s="656" t="s">
        <v>14894</v>
      </c>
      <c r="J1792" s="656" t="s">
        <v>10511</v>
      </c>
      <c r="K1792" s="656" t="s">
        <v>10398</v>
      </c>
      <c r="L1792" s="656"/>
      <c r="M1792" s="656" t="s">
        <v>1274</v>
      </c>
      <c r="N1792" s="656"/>
      <c r="O1792" s="656" t="s">
        <v>6387</v>
      </c>
      <c r="P1792" s="5"/>
      <c r="Q1792" s="1447"/>
      <c r="R1792" s="656">
        <v>40830</v>
      </c>
      <c r="S1792" s="656" t="s">
        <v>1667</v>
      </c>
      <c r="T1792" s="656" t="s">
        <v>14524</v>
      </c>
      <c r="U1792" s="656" t="s">
        <v>1667</v>
      </c>
      <c r="V1792" s="656"/>
      <c r="W1792" s="656" t="s">
        <v>13051</v>
      </c>
      <c r="X1792" s="656" t="s">
        <v>498</v>
      </c>
      <c r="Y1792" s="656" t="s">
        <v>14278</v>
      </c>
      <c r="Z1792" s="656">
        <v>44305.517025462963</v>
      </c>
      <c r="AA1792" s="656" t="s">
        <v>14335</v>
      </c>
      <c r="AB1792" s="656"/>
    </row>
    <row r="1793" spans="1:28">
      <c r="A1793" s="656" t="s">
        <v>10503</v>
      </c>
      <c r="B1793" s="656" t="s">
        <v>10504</v>
      </c>
      <c r="C1793" s="656" t="s">
        <v>21</v>
      </c>
      <c r="D1793" s="656" t="s">
        <v>10506</v>
      </c>
      <c r="E1793" s="656" t="s">
        <v>14384</v>
      </c>
      <c r="F1793" s="1491"/>
      <c r="G1793" s="656" t="s">
        <v>10505</v>
      </c>
      <c r="H1793" s="656" t="s">
        <v>1545</v>
      </c>
      <c r="I1793" s="656" t="s">
        <v>14895</v>
      </c>
      <c r="J1793" s="656" t="s">
        <v>10506</v>
      </c>
      <c r="K1793" s="656" t="s">
        <v>10398</v>
      </c>
      <c r="L1793" s="656"/>
      <c r="M1793" s="656" t="s">
        <v>1545</v>
      </c>
      <c r="N1793" s="656"/>
      <c r="O1793" s="656" t="s">
        <v>6387</v>
      </c>
      <c r="P1793" s="5" t="s">
        <v>14948</v>
      </c>
      <c r="Q1793" s="1447"/>
      <c r="R1793" s="656"/>
      <c r="S1793" s="656" t="s">
        <v>1667</v>
      </c>
      <c r="T1793" s="656" t="s">
        <v>14524</v>
      </c>
      <c r="U1793" s="656" t="s">
        <v>1667</v>
      </c>
      <c r="V1793" s="656"/>
      <c r="W1793" s="656" t="s">
        <v>13051</v>
      </c>
      <c r="X1793" s="656" t="s">
        <v>498</v>
      </c>
      <c r="Y1793" s="656" t="s">
        <v>14278</v>
      </c>
      <c r="Z1793" s="656">
        <v>44305.517013888886</v>
      </c>
      <c r="AA1793" s="656" t="s">
        <v>14335</v>
      </c>
      <c r="AB1793" s="656"/>
    </row>
    <row r="1794" spans="1:28">
      <c r="A1794" s="656" t="s">
        <v>7518</v>
      </c>
      <c r="B1794" s="656" t="s">
        <v>7519</v>
      </c>
      <c r="C1794" s="656" t="s">
        <v>20</v>
      </c>
      <c r="D1794" s="656" t="s">
        <v>10502</v>
      </c>
      <c r="E1794" s="656" t="s">
        <v>14275</v>
      </c>
      <c r="F1794" s="1491">
        <v>41835</v>
      </c>
      <c r="G1794" s="656" t="s">
        <v>10501</v>
      </c>
      <c r="H1794" s="656" t="s">
        <v>1777</v>
      </c>
      <c r="I1794" s="656"/>
      <c r="J1794" s="656"/>
      <c r="K1794" s="656"/>
      <c r="L1794" s="656" t="s">
        <v>10502</v>
      </c>
      <c r="M1794" s="656" t="s">
        <v>16372</v>
      </c>
      <c r="N1794" s="656"/>
      <c r="O1794" s="656" t="s">
        <v>6393</v>
      </c>
      <c r="P1794" s="5"/>
      <c r="Q1794" s="1447"/>
      <c r="R1794" s="656"/>
      <c r="S1794" s="656" t="s">
        <v>500</v>
      </c>
      <c r="T1794" s="656" t="s">
        <v>4198</v>
      </c>
      <c r="U1794" s="656" t="s">
        <v>1300</v>
      </c>
      <c r="V1794" s="656"/>
      <c r="W1794" s="656" t="s">
        <v>13051</v>
      </c>
      <c r="X1794" s="656" t="s">
        <v>498</v>
      </c>
      <c r="Y1794" s="656" t="s">
        <v>14278</v>
      </c>
      <c r="Z1794" s="656">
        <v>44305.517002314817</v>
      </c>
      <c r="AA1794" s="656" t="s">
        <v>14335</v>
      </c>
      <c r="AB1794" s="656"/>
    </row>
    <row r="1795" spans="1:28">
      <c r="A1795" s="656" t="s">
        <v>7520</v>
      </c>
      <c r="B1795" s="656" t="s">
        <v>1682</v>
      </c>
      <c r="C1795" s="656" t="s">
        <v>21</v>
      </c>
      <c r="D1795" s="656" t="s">
        <v>10499</v>
      </c>
      <c r="E1795" s="656" t="s">
        <v>14275</v>
      </c>
      <c r="F1795" s="1491">
        <v>41842</v>
      </c>
      <c r="G1795" s="656" t="s">
        <v>10498</v>
      </c>
      <c r="H1795" s="656" t="s">
        <v>1584</v>
      </c>
      <c r="I1795" s="656" t="s">
        <v>14896</v>
      </c>
      <c r="J1795" s="656" t="s">
        <v>10499</v>
      </c>
      <c r="K1795" s="656" t="s">
        <v>9750</v>
      </c>
      <c r="L1795" s="656"/>
      <c r="M1795" s="656" t="s">
        <v>1584</v>
      </c>
      <c r="N1795" s="656"/>
      <c r="O1795" s="656" t="s">
        <v>6393</v>
      </c>
      <c r="P1795" s="5"/>
      <c r="Q1795" s="1447"/>
      <c r="R1795" s="656">
        <v>41661</v>
      </c>
      <c r="S1795" s="656" t="s">
        <v>500</v>
      </c>
      <c r="T1795" s="656" t="s">
        <v>4198</v>
      </c>
      <c r="U1795" s="656" t="s">
        <v>1300</v>
      </c>
      <c r="V1795" s="656"/>
      <c r="W1795" s="656" t="s">
        <v>13051</v>
      </c>
      <c r="X1795" s="656" t="s">
        <v>498</v>
      </c>
      <c r="Y1795" s="656" t="s">
        <v>14278</v>
      </c>
      <c r="Z1795" s="656">
        <v>44305.51699074074</v>
      </c>
      <c r="AA1795" s="656" t="s">
        <v>14335</v>
      </c>
      <c r="AB1795" s="656"/>
    </row>
    <row r="1796" spans="1:28">
      <c r="A1796" s="656" t="s">
        <v>7520</v>
      </c>
      <c r="B1796" s="656" t="s">
        <v>1682</v>
      </c>
      <c r="C1796" s="656" t="s">
        <v>20</v>
      </c>
      <c r="D1796" s="656" t="s">
        <v>10500</v>
      </c>
      <c r="E1796" s="656" t="s">
        <v>14275</v>
      </c>
      <c r="F1796" s="1491">
        <v>41984</v>
      </c>
      <c r="G1796" s="656" t="s">
        <v>10498</v>
      </c>
      <c r="H1796" s="656" t="s">
        <v>1777</v>
      </c>
      <c r="I1796" s="656"/>
      <c r="J1796" s="656"/>
      <c r="K1796" s="656"/>
      <c r="L1796" s="656" t="s">
        <v>10500</v>
      </c>
      <c r="M1796" s="656" t="s">
        <v>16380</v>
      </c>
      <c r="N1796" s="656"/>
      <c r="O1796" s="656" t="s">
        <v>6393</v>
      </c>
      <c r="P1796" s="5"/>
      <c r="Q1796" s="1447"/>
      <c r="R1796" s="656"/>
      <c r="S1796" s="656" t="s">
        <v>500</v>
      </c>
      <c r="T1796" s="656" t="s">
        <v>4198</v>
      </c>
      <c r="U1796" s="656" t="s">
        <v>1300</v>
      </c>
      <c r="V1796" s="656"/>
      <c r="W1796" s="656" t="s">
        <v>13051</v>
      </c>
      <c r="X1796" s="656" t="s">
        <v>498</v>
      </c>
      <c r="Y1796" s="656" t="s">
        <v>14278</v>
      </c>
      <c r="Z1796" s="656">
        <v>44305.51699074074</v>
      </c>
      <c r="AA1796" s="656" t="s">
        <v>14335</v>
      </c>
      <c r="AB1796" s="656"/>
    </row>
    <row r="1797" spans="1:28">
      <c r="A1797" s="656" t="s">
        <v>7521</v>
      </c>
      <c r="B1797" s="656" t="s">
        <v>7522</v>
      </c>
      <c r="C1797" s="656" t="s">
        <v>21</v>
      </c>
      <c r="D1797" s="656" t="s">
        <v>10496</v>
      </c>
      <c r="E1797" s="656" t="s">
        <v>14275</v>
      </c>
      <c r="F1797" s="1491">
        <v>41761</v>
      </c>
      <c r="G1797" s="656" t="s">
        <v>10495</v>
      </c>
      <c r="H1797" s="656" t="s">
        <v>1584</v>
      </c>
      <c r="I1797" s="656" t="s">
        <v>14897</v>
      </c>
      <c r="J1797" s="656" t="s">
        <v>10496</v>
      </c>
      <c r="K1797" s="656" t="s">
        <v>9750</v>
      </c>
      <c r="L1797" s="656"/>
      <c r="M1797" s="656" t="s">
        <v>1584</v>
      </c>
      <c r="N1797" s="656"/>
      <c r="O1797" s="656" t="s">
        <v>6393</v>
      </c>
      <c r="P1797" s="5"/>
      <c r="Q1797" s="1447"/>
      <c r="R1797" s="656">
        <v>41456</v>
      </c>
      <c r="S1797" s="656" t="s">
        <v>500</v>
      </c>
      <c r="T1797" s="656" t="s">
        <v>4198</v>
      </c>
      <c r="U1797" s="656" t="s">
        <v>1300</v>
      </c>
      <c r="V1797" s="656"/>
      <c r="W1797" s="656" t="s">
        <v>13051</v>
      </c>
      <c r="X1797" s="656" t="s">
        <v>498</v>
      </c>
      <c r="Y1797" s="656" t="s">
        <v>14278</v>
      </c>
      <c r="Z1797" s="656">
        <v>44305.516979166663</v>
      </c>
      <c r="AA1797" s="656" t="s">
        <v>14335</v>
      </c>
      <c r="AB1797" s="656"/>
    </row>
    <row r="1798" spans="1:28">
      <c r="A1798" s="656" t="s">
        <v>7521</v>
      </c>
      <c r="B1798" s="656" t="s">
        <v>7522</v>
      </c>
      <c r="C1798" s="656" t="s">
        <v>20</v>
      </c>
      <c r="D1798" s="656" t="s">
        <v>10497</v>
      </c>
      <c r="E1798" s="656" t="s">
        <v>14275</v>
      </c>
      <c r="F1798" s="1491">
        <v>41835</v>
      </c>
      <c r="G1798" s="656" t="s">
        <v>10495</v>
      </c>
      <c r="H1798" s="656" t="s">
        <v>1777</v>
      </c>
      <c r="I1798" s="656"/>
      <c r="J1798" s="656"/>
      <c r="K1798" s="656"/>
      <c r="L1798" s="656" t="s">
        <v>10497</v>
      </c>
      <c r="M1798" s="656" t="s">
        <v>16380</v>
      </c>
      <c r="N1798" s="656"/>
      <c r="O1798" s="656" t="s">
        <v>6393</v>
      </c>
      <c r="P1798" s="5"/>
      <c r="Q1798" s="1447"/>
      <c r="R1798" s="656"/>
      <c r="S1798" s="656" t="s">
        <v>500</v>
      </c>
      <c r="T1798" s="656" t="s">
        <v>4198</v>
      </c>
      <c r="U1798" s="656" t="s">
        <v>1300</v>
      </c>
      <c r="V1798" s="656"/>
      <c r="W1798" s="656" t="s">
        <v>13051</v>
      </c>
      <c r="X1798" s="656" t="s">
        <v>498</v>
      </c>
      <c r="Y1798" s="656" t="s">
        <v>14278</v>
      </c>
      <c r="Z1798" s="656">
        <v>44305.516979166663</v>
      </c>
      <c r="AA1798" s="656" t="s">
        <v>14335</v>
      </c>
      <c r="AB1798" s="656"/>
    </row>
    <row r="1799" spans="1:28">
      <c r="A1799" s="656" t="s">
        <v>7523</v>
      </c>
      <c r="B1799" s="656" t="s">
        <v>7524</v>
      </c>
      <c r="C1799" s="656" t="s">
        <v>20</v>
      </c>
      <c r="D1799" s="656" t="s">
        <v>10494</v>
      </c>
      <c r="E1799" s="656" t="s">
        <v>14275</v>
      </c>
      <c r="F1799" s="1491">
        <v>42172</v>
      </c>
      <c r="G1799" s="656" t="s">
        <v>10493</v>
      </c>
      <c r="H1799" s="656" t="s">
        <v>1777</v>
      </c>
      <c r="I1799" s="656"/>
      <c r="J1799" s="656"/>
      <c r="K1799" s="656"/>
      <c r="L1799" s="656" t="s">
        <v>10494</v>
      </c>
      <c r="M1799" s="656" t="s">
        <v>16351</v>
      </c>
      <c r="N1799" s="656"/>
      <c r="O1799" s="656" t="s">
        <v>6393</v>
      </c>
      <c r="P1799" s="5"/>
      <c r="Q1799" s="1447"/>
      <c r="R1799" s="656"/>
      <c r="S1799" s="656" t="s">
        <v>1300</v>
      </c>
      <c r="T1799" s="656" t="s">
        <v>4198</v>
      </c>
      <c r="U1799" s="656" t="s">
        <v>1300</v>
      </c>
      <c r="V1799" s="656"/>
      <c r="W1799" s="656" t="s">
        <v>13051</v>
      </c>
      <c r="X1799" s="656" t="s">
        <v>498</v>
      </c>
      <c r="Y1799" s="656" t="s">
        <v>14278</v>
      </c>
      <c r="Z1799" s="656">
        <v>44305.516979166663</v>
      </c>
      <c r="AA1799" s="656" t="s">
        <v>14335</v>
      </c>
      <c r="AB1799" s="656"/>
    </row>
    <row r="1800" spans="1:28">
      <c r="A1800" s="656" t="s">
        <v>7525</v>
      </c>
      <c r="B1800" s="656" t="s">
        <v>7526</v>
      </c>
      <c r="C1800" s="656" t="s">
        <v>21</v>
      </c>
      <c r="D1800" s="656" t="s">
        <v>10491</v>
      </c>
      <c r="E1800" s="656" t="s">
        <v>14275</v>
      </c>
      <c r="F1800" s="1491">
        <v>41726</v>
      </c>
      <c r="G1800" s="656" t="s">
        <v>10490</v>
      </c>
      <c r="H1800" s="656" t="s">
        <v>1777</v>
      </c>
      <c r="I1800" s="656" t="s">
        <v>14898</v>
      </c>
      <c r="J1800" s="656" t="s">
        <v>10491</v>
      </c>
      <c r="K1800" s="656" t="s">
        <v>9750</v>
      </c>
      <c r="L1800" s="656"/>
      <c r="M1800" s="656" t="s">
        <v>16436</v>
      </c>
      <c r="N1800" s="656"/>
      <c r="O1800" s="656" t="s">
        <v>6393</v>
      </c>
      <c r="P1800" s="5"/>
      <c r="Q1800" s="1447"/>
      <c r="R1800" s="656">
        <v>41110</v>
      </c>
      <c r="S1800" s="656" t="s">
        <v>500</v>
      </c>
      <c r="T1800" s="656" t="s">
        <v>4198</v>
      </c>
      <c r="U1800" s="656" t="s">
        <v>1300</v>
      </c>
      <c r="V1800" s="656"/>
      <c r="W1800" s="656" t="s">
        <v>13051</v>
      </c>
      <c r="X1800" s="656" t="s">
        <v>498</v>
      </c>
      <c r="Y1800" s="656" t="s">
        <v>14278</v>
      </c>
      <c r="Z1800" s="656">
        <v>44305.516956018517</v>
      </c>
      <c r="AA1800" s="656" t="s">
        <v>14335</v>
      </c>
      <c r="AB1800" s="656"/>
    </row>
    <row r="1801" spans="1:28">
      <c r="A1801" s="656" t="s">
        <v>7525</v>
      </c>
      <c r="B1801" s="656" t="s">
        <v>7526</v>
      </c>
      <c r="C1801" s="656" t="s">
        <v>20</v>
      </c>
      <c r="D1801" s="656" t="s">
        <v>10492</v>
      </c>
      <c r="E1801" s="656" t="s">
        <v>14275</v>
      </c>
      <c r="F1801" s="1491">
        <v>41879</v>
      </c>
      <c r="G1801" s="656" t="s">
        <v>10490</v>
      </c>
      <c r="H1801" s="656" t="s">
        <v>1777</v>
      </c>
      <c r="I1801" s="656"/>
      <c r="J1801" s="656"/>
      <c r="K1801" s="656"/>
      <c r="L1801" s="656" t="s">
        <v>10492</v>
      </c>
      <c r="M1801" s="656" t="s">
        <v>16436</v>
      </c>
      <c r="N1801" s="656"/>
      <c r="O1801" s="656" t="s">
        <v>6393</v>
      </c>
      <c r="P1801" s="5"/>
      <c r="Q1801" s="1447"/>
      <c r="R1801" s="656"/>
      <c r="S1801" s="656" t="s">
        <v>500</v>
      </c>
      <c r="T1801" s="656" t="s">
        <v>4198</v>
      </c>
      <c r="U1801" s="656" t="s">
        <v>1300</v>
      </c>
      <c r="V1801" s="656"/>
      <c r="W1801" s="656" t="s">
        <v>13051</v>
      </c>
      <c r="X1801" s="656" t="s">
        <v>498</v>
      </c>
      <c r="Y1801" s="656" t="s">
        <v>14278</v>
      </c>
      <c r="Z1801" s="656">
        <v>44305.516967592594</v>
      </c>
      <c r="AA1801" s="656" t="s">
        <v>14335</v>
      </c>
      <c r="AB1801" s="656"/>
    </row>
    <row r="1802" spans="1:28">
      <c r="A1802" s="656" t="s">
        <v>7527</v>
      </c>
      <c r="B1802" s="656" t="s">
        <v>7528</v>
      </c>
      <c r="C1802" s="656" t="s">
        <v>21</v>
      </c>
      <c r="D1802" s="656" t="s">
        <v>10488</v>
      </c>
      <c r="E1802" s="656" t="s">
        <v>14275</v>
      </c>
      <c r="F1802" s="1491">
        <v>41935</v>
      </c>
      <c r="G1802" s="656" t="s">
        <v>10487</v>
      </c>
      <c r="H1802" s="656" t="s">
        <v>1777</v>
      </c>
      <c r="I1802" s="656" t="s">
        <v>14899</v>
      </c>
      <c r="J1802" s="656" t="s">
        <v>10488</v>
      </c>
      <c r="K1802" s="656" t="s">
        <v>9750</v>
      </c>
      <c r="L1802" s="656"/>
      <c r="M1802" s="656" t="s">
        <v>16380</v>
      </c>
      <c r="N1802" s="656"/>
      <c r="O1802" s="656" t="s">
        <v>6393</v>
      </c>
      <c r="P1802" s="5" t="s">
        <v>15461</v>
      </c>
      <c r="Q1802" s="1447"/>
      <c r="R1802" s="656">
        <v>41914</v>
      </c>
      <c r="S1802" s="656" t="s">
        <v>500</v>
      </c>
      <c r="T1802" s="656" t="s">
        <v>4198</v>
      </c>
      <c r="U1802" s="656" t="s">
        <v>1300</v>
      </c>
      <c r="V1802" s="656"/>
      <c r="W1802" s="656" t="s">
        <v>13051</v>
      </c>
      <c r="X1802" s="656" t="s">
        <v>498</v>
      </c>
      <c r="Y1802" s="656" t="s">
        <v>14278</v>
      </c>
      <c r="Z1802" s="656">
        <v>44305.516932870371</v>
      </c>
      <c r="AA1802" s="656" t="s">
        <v>14335</v>
      </c>
      <c r="AB1802" s="656"/>
    </row>
    <row r="1803" spans="1:28">
      <c r="A1803" s="656" t="s">
        <v>7527</v>
      </c>
      <c r="B1803" s="656" t="s">
        <v>7528</v>
      </c>
      <c r="C1803" s="656" t="s">
        <v>20</v>
      </c>
      <c r="D1803" s="656" t="s">
        <v>10489</v>
      </c>
      <c r="E1803" s="656" t="s">
        <v>14275</v>
      </c>
      <c r="F1803" s="1491">
        <v>41835</v>
      </c>
      <c r="G1803" s="656" t="s">
        <v>10487</v>
      </c>
      <c r="H1803" s="656" t="s">
        <v>1777</v>
      </c>
      <c r="I1803" s="656"/>
      <c r="J1803" s="656"/>
      <c r="K1803" s="656"/>
      <c r="L1803" s="656" t="s">
        <v>10489</v>
      </c>
      <c r="M1803" s="656" t="s">
        <v>16380</v>
      </c>
      <c r="N1803" s="656"/>
      <c r="O1803" s="656" t="s">
        <v>6393</v>
      </c>
      <c r="P1803" s="5"/>
      <c r="Q1803" s="1447"/>
      <c r="R1803" s="656"/>
      <c r="S1803" s="656" t="s">
        <v>500</v>
      </c>
      <c r="T1803" s="656" t="s">
        <v>4198</v>
      </c>
      <c r="U1803" s="656" t="s">
        <v>1300</v>
      </c>
      <c r="V1803" s="656"/>
      <c r="W1803" s="656" t="s">
        <v>13051</v>
      </c>
      <c r="X1803" s="656" t="s">
        <v>498</v>
      </c>
      <c r="Y1803" s="656" t="s">
        <v>14278</v>
      </c>
      <c r="Z1803" s="656">
        <v>44305.516944444447</v>
      </c>
      <c r="AA1803" s="656" t="s">
        <v>14335</v>
      </c>
      <c r="AB1803" s="656"/>
    </row>
    <row r="1804" spans="1:28">
      <c r="A1804" s="656" t="s">
        <v>7529</v>
      </c>
      <c r="B1804" s="656" t="s">
        <v>7530</v>
      </c>
      <c r="C1804" s="656" t="s">
        <v>21</v>
      </c>
      <c r="D1804" s="656" t="s">
        <v>10485</v>
      </c>
      <c r="E1804" s="656" t="s">
        <v>14275</v>
      </c>
      <c r="F1804" s="1491">
        <v>42142</v>
      </c>
      <c r="G1804" s="656" t="s">
        <v>10484</v>
      </c>
      <c r="H1804" s="656" t="s">
        <v>1584</v>
      </c>
      <c r="I1804" s="656" t="s">
        <v>14900</v>
      </c>
      <c r="J1804" s="656" t="s">
        <v>10485</v>
      </c>
      <c r="K1804" s="656" t="s">
        <v>9750</v>
      </c>
      <c r="L1804" s="656"/>
      <c r="M1804" s="656" t="s">
        <v>1584</v>
      </c>
      <c r="N1804" s="656"/>
      <c r="O1804" s="656" t="s">
        <v>6393</v>
      </c>
      <c r="P1804" s="5"/>
      <c r="Q1804" s="1447"/>
      <c r="R1804" s="656">
        <v>41061</v>
      </c>
      <c r="S1804" s="656" t="s">
        <v>500</v>
      </c>
      <c r="T1804" s="656" t="s">
        <v>4198</v>
      </c>
      <c r="U1804" s="656" t="s">
        <v>1300</v>
      </c>
      <c r="V1804" s="656"/>
      <c r="W1804" s="656" t="s">
        <v>13051</v>
      </c>
      <c r="X1804" s="656" t="s">
        <v>498</v>
      </c>
      <c r="Y1804" s="656" t="s">
        <v>14278</v>
      </c>
      <c r="Z1804" s="656">
        <v>44305.516932870371</v>
      </c>
      <c r="AA1804" s="656" t="s">
        <v>14335</v>
      </c>
      <c r="AB1804" s="656"/>
    </row>
    <row r="1805" spans="1:28">
      <c r="A1805" s="656" t="s">
        <v>7529</v>
      </c>
      <c r="B1805" s="656" t="s">
        <v>7530</v>
      </c>
      <c r="C1805" s="656" t="s">
        <v>20</v>
      </c>
      <c r="D1805" s="656" t="s">
        <v>10486</v>
      </c>
      <c r="E1805" s="656" t="s">
        <v>14275</v>
      </c>
      <c r="F1805" s="1491">
        <v>41737</v>
      </c>
      <c r="G1805" s="656" t="s">
        <v>10484</v>
      </c>
      <c r="H1805" s="656" t="s">
        <v>1777</v>
      </c>
      <c r="I1805" s="656"/>
      <c r="J1805" s="656"/>
      <c r="K1805" s="656"/>
      <c r="L1805" s="656" t="s">
        <v>10486</v>
      </c>
      <c r="M1805" s="656" t="s">
        <v>16458</v>
      </c>
      <c r="N1805" s="656"/>
      <c r="O1805" s="656" t="s">
        <v>6393</v>
      </c>
      <c r="P1805" s="5"/>
      <c r="Q1805" s="1447"/>
      <c r="R1805" s="656"/>
      <c r="S1805" s="656" t="s">
        <v>500</v>
      </c>
      <c r="T1805" s="656" t="s">
        <v>4198</v>
      </c>
      <c r="U1805" s="656" t="s">
        <v>1300</v>
      </c>
      <c r="V1805" s="656"/>
      <c r="W1805" s="656" t="s">
        <v>13051</v>
      </c>
      <c r="X1805" s="656" t="s">
        <v>498</v>
      </c>
      <c r="Y1805" s="656" t="s">
        <v>14278</v>
      </c>
      <c r="Z1805" s="656">
        <v>44305.516932870371</v>
      </c>
      <c r="AA1805" s="656" t="s">
        <v>14335</v>
      </c>
      <c r="AB1805" s="656"/>
    </row>
    <row r="1806" spans="1:28">
      <c r="A1806" s="656" t="s">
        <v>7531</v>
      </c>
      <c r="B1806" s="656" t="s">
        <v>7532</v>
      </c>
      <c r="C1806" s="656" t="s">
        <v>21</v>
      </c>
      <c r="D1806" s="656" t="s">
        <v>10483</v>
      </c>
      <c r="E1806" s="656" t="s">
        <v>14275</v>
      </c>
      <c r="F1806" s="1491">
        <v>41842</v>
      </c>
      <c r="G1806" s="656" t="s">
        <v>10482</v>
      </c>
      <c r="H1806" s="656" t="s">
        <v>1777</v>
      </c>
      <c r="I1806" s="656" t="s">
        <v>14901</v>
      </c>
      <c r="J1806" s="656" t="s">
        <v>10483</v>
      </c>
      <c r="K1806" s="656" t="s">
        <v>10398</v>
      </c>
      <c r="L1806" s="656"/>
      <c r="M1806" s="656" t="s">
        <v>16195</v>
      </c>
      <c r="N1806" s="656"/>
      <c r="O1806" s="656" t="s">
        <v>6387</v>
      </c>
      <c r="P1806" s="5"/>
      <c r="Q1806" s="1447"/>
      <c r="R1806" s="656">
        <v>41820</v>
      </c>
      <c r="S1806" s="656" t="s">
        <v>655</v>
      </c>
      <c r="T1806" s="656" t="s">
        <v>14524</v>
      </c>
      <c r="U1806" s="656" t="s">
        <v>1667</v>
      </c>
      <c r="V1806" s="656"/>
      <c r="W1806" s="656" t="s">
        <v>13051</v>
      </c>
      <c r="X1806" s="656" t="s">
        <v>498</v>
      </c>
      <c r="Y1806" s="656" t="s">
        <v>14278</v>
      </c>
      <c r="Z1806" s="656">
        <v>44305.516921296294</v>
      </c>
      <c r="AA1806" s="656" t="s">
        <v>14335</v>
      </c>
      <c r="AB1806" s="656"/>
    </row>
    <row r="1807" spans="1:28">
      <c r="A1807" s="656" t="s">
        <v>7531</v>
      </c>
      <c r="B1807" s="656" t="s">
        <v>7532</v>
      </c>
      <c r="C1807" s="656" t="s">
        <v>21</v>
      </c>
      <c r="D1807" s="656" t="s">
        <v>12262</v>
      </c>
      <c r="E1807" s="656" t="s">
        <v>14275</v>
      </c>
      <c r="F1807" s="1491">
        <v>43719</v>
      </c>
      <c r="G1807" s="656" t="s">
        <v>12261</v>
      </c>
      <c r="H1807" s="656" t="s">
        <v>1777</v>
      </c>
      <c r="I1807" s="656" t="s">
        <v>14902</v>
      </c>
      <c r="J1807" s="656" t="s">
        <v>12262</v>
      </c>
      <c r="K1807" s="656" t="s">
        <v>9774</v>
      </c>
      <c r="L1807" s="656"/>
      <c r="M1807" s="656" t="s">
        <v>16196</v>
      </c>
      <c r="N1807" s="656"/>
      <c r="O1807" s="656"/>
      <c r="P1807" s="5"/>
      <c r="Q1807" s="1447">
        <v>43700</v>
      </c>
      <c r="R1807" s="656">
        <v>43700</v>
      </c>
      <c r="S1807" s="656" t="s">
        <v>655</v>
      </c>
      <c r="T1807" s="656"/>
      <c r="U1807" s="656"/>
      <c r="V1807" s="656"/>
      <c r="W1807" s="656" t="s">
        <v>13051</v>
      </c>
      <c r="X1807" s="656" t="s">
        <v>498</v>
      </c>
      <c r="Y1807" s="656" t="s">
        <v>14278</v>
      </c>
      <c r="Z1807" s="656">
        <v>44305.516921296294</v>
      </c>
      <c r="AA1807" s="656" t="s">
        <v>14335</v>
      </c>
      <c r="AB1807" s="656"/>
    </row>
    <row r="1808" spans="1:28">
      <c r="A1808" s="656" t="s">
        <v>10478</v>
      </c>
      <c r="B1808" s="656" t="s">
        <v>10479</v>
      </c>
      <c r="C1808" s="656" t="s">
        <v>20</v>
      </c>
      <c r="D1808" s="656" t="s">
        <v>10481</v>
      </c>
      <c r="E1808" s="656" t="s">
        <v>14275</v>
      </c>
      <c r="F1808" s="1491">
        <v>41941</v>
      </c>
      <c r="G1808" s="656" t="s">
        <v>10480</v>
      </c>
      <c r="H1808" s="656" t="s">
        <v>1777</v>
      </c>
      <c r="I1808" s="656"/>
      <c r="J1808" s="656"/>
      <c r="K1808" s="656"/>
      <c r="L1808" s="656" t="s">
        <v>10481</v>
      </c>
      <c r="M1808" s="656" t="s">
        <v>16459</v>
      </c>
      <c r="N1808" s="656"/>
      <c r="O1808" s="656" t="s">
        <v>6387</v>
      </c>
      <c r="P1808" s="5"/>
      <c r="Q1808" s="1447"/>
      <c r="R1808" s="656"/>
      <c r="S1808" s="656" t="s">
        <v>655</v>
      </c>
      <c r="T1808" s="656" t="s">
        <v>14277</v>
      </c>
      <c r="U1808" s="656" t="s">
        <v>655</v>
      </c>
      <c r="V1808" s="656"/>
      <c r="W1808" s="656" t="s">
        <v>13051</v>
      </c>
      <c r="X1808" s="656" t="s">
        <v>498</v>
      </c>
      <c r="Y1808" s="656" t="s">
        <v>14278</v>
      </c>
      <c r="Z1808" s="656">
        <v>44305.516909722224</v>
      </c>
      <c r="AA1808" s="656" t="s">
        <v>14335</v>
      </c>
      <c r="AB1808" s="656"/>
    </row>
    <row r="1809" spans="1:28">
      <c r="A1809" s="656" t="s">
        <v>10475</v>
      </c>
      <c r="B1809" s="656" t="s">
        <v>10476</v>
      </c>
      <c r="C1809" s="656" t="s">
        <v>20</v>
      </c>
      <c r="D1809" s="656" t="s">
        <v>10474</v>
      </c>
      <c r="E1809" s="656" t="s">
        <v>14275</v>
      </c>
      <c r="F1809" s="1491">
        <v>42369</v>
      </c>
      <c r="G1809" s="656" t="s">
        <v>10477</v>
      </c>
      <c r="H1809" s="656" t="s">
        <v>1777</v>
      </c>
      <c r="I1809" s="656"/>
      <c r="J1809" s="656"/>
      <c r="K1809" s="656"/>
      <c r="L1809" s="656" t="s">
        <v>10474</v>
      </c>
      <c r="M1809" s="656" t="s">
        <v>16398</v>
      </c>
      <c r="N1809" s="656"/>
      <c r="O1809" s="656" t="s">
        <v>6393</v>
      </c>
      <c r="P1809" s="5"/>
      <c r="Q1809" s="1447"/>
      <c r="R1809" s="656"/>
      <c r="S1809" s="656" t="s">
        <v>1300</v>
      </c>
      <c r="T1809" s="656" t="s">
        <v>4198</v>
      </c>
      <c r="U1809" s="656" t="s">
        <v>1300</v>
      </c>
      <c r="V1809" s="656"/>
      <c r="W1809" s="656" t="s">
        <v>13051</v>
      </c>
      <c r="X1809" s="656" t="s">
        <v>498</v>
      </c>
      <c r="Y1809" s="656" t="s">
        <v>14278</v>
      </c>
      <c r="Z1809" s="656">
        <v>44305.516909722224</v>
      </c>
      <c r="AA1809" s="656" t="s">
        <v>14335</v>
      </c>
      <c r="AB1809" s="656"/>
    </row>
    <row r="1810" spans="1:28">
      <c r="A1810" s="656" t="s">
        <v>7586</v>
      </c>
      <c r="B1810" s="656" t="s">
        <v>7587</v>
      </c>
      <c r="C1810" s="656" t="s">
        <v>20</v>
      </c>
      <c r="D1810" s="656" t="s">
        <v>10472</v>
      </c>
      <c r="E1810" s="656" t="s">
        <v>14275</v>
      </c>
      <c r="F1810" s="1491">
        <v>42426</v>
      </c>
      <c r="G1810" s="656" t="s">
        <v>10471</v>
      </c>
      <c r="H1810" s="656" t="s">
        <v>1777</v>
      </c>
      <c r="I1810" s="656"/>
      <c r="J1810" s="656"/>
      <c r="K1810" s="656"/>
      <c r="L1810" s="656" t="s">
        <v>10472</v>
      </c>
      <c r="M1810" s="656" t="s">
        <v>16324</v>
      </c>
      <c r="N1810" s="656"/>
      <c r="O1810" s="656" t="s">
        <v>6393</v>
      </c>
      <c r="P1810" s="5"/>
      <c r="Q1810" s="1447"/>
      <c r="R1810" s="656"/>
      <c r="S1810" s="656" t="s">
        <v>1300</v>
      </c>
      <c r="T1810" s="656" t="s">
        <v>4198</v>
      </c>
      <c r="U1810" s="656" t="s">
        <v>1300</v>
      </c>
      <c r="V1810" s="656"/>
      <c r="W1810" s="656" t="s">
        <v>13051</v>
      </c>
      <c r="X1810" s="656" t="s">
        <v>498</v>
      </c>
      <c r="Y1810" s="656" t="s">
        <v>14278</v>
      </c>
      <c r="Z1810" s="656">
        <v>44305.516898148147</v>
      </c>
      <c r="AA1810" s="656" t="s">
        <v>14335</v>
      </c>
      <c r="AB1810" s="656"/>
    </row>
    <row r="1811" spans="1:28">
      <c r="A1811" s="656" t="s">
        <v>7586</v>
      </c>
      <c r="B1811" s="656" t="s">
        <v>7587</v>
      </c>
      <c r="C1811" s="656" t="s">
        <v>20</v>
      </c>
      <c r="D1811" s="656" t="s">
        <v>10474</v>
      </c>
      <c r="E1811" s="656" t="s">
        <v>14275</v>
      </c>
      <c r="F1811" s="1491">
        <v>42369</v>
      </c>
      <c r="G1811" s="656" t="s">
        <v>10473</v>
      </c>
      <c r="H1811" s="656" t="s">
        <v>1777</v>
      </c>
      <c r="I1811" s="656"/>
      <c r="J1811" s="656"/>
      <c r="K1811" s="656"/>
      <c r="L1811" s="656" t="s">
        <v>10474</v>
      </c>
      <c r="M1811" s="656" t="s">
        <v>16398</v>
      </c>
      <c r="N1811" s="656"/>
      <c r="O1811" s="656" t="s">
        <v>6393</v>
      </c>
      <c r="P1811" s="5"/>
      <c r="Q1811" s="1447"/>
      <c r="R1811" s="656"/>
      <c r="S1811" s="656" t="s">
        <v>1300</v>
      </c>
      <c r="T1811" s="656" t="s">
        <v>4198</v>
      </c>
      <c r="U1811" s="656" t="s">
        <v>1300</v>
      </c>
      <c r="V1811" s="656"/>
      <c r="W1811" s="656" t="s">
        <v>13051</v>
      </c>
      <c r="X1811" s="656" t="s">
        <v>498</v>
      </c>
      <c r="Y1811" s="656" t="s">
        <v>14278</v>
      </c>
      <c r="Z1811" s="656">
        <v>44305.516898148147</v>
      </c>
      <c r="AA1811" s="656" t="s">
        <v>14335</v>
      </c>
      <c r="AB1811" s="656"/>
    </row>
    <row r="1812" spans="1:28">
      <c r="A1812" s="656" t="s">
        <v>10468</v>
      </c>
      <c r="B1812" s="656" t="s">
        <v>10469</v>
      </c>
      <c r="C1812" s="656" t="s">
        <v>20</v>
      </c>
      <c r="D1812" s="656" t="s">
        <v>10467</v>
      </c>
      <c r="E1812" s="656" t="s">
        <v>14275</v>
      </c>
      <c r="F1812" s="1491">
        <v>42369</v>
      </c>
      <c r="G1812" s="656" t="s">
        <v>10470</v>
      </c>
      <c r="H1812" s="656" t="s">
        <v>1777</v>
      </c>
      <c r="I1812" s="656"/>
      <c r="J1812" s="656"/>
      <c r="K1812" s="656"/>
      <c r="L1812" s="656" t="s">
        <v>10467</v>
      </c>
      <c r="M1812" s="656" t="s">
        <v>16449</v>
      </c>
      <c r="N1812" s="656"/>
      <c r="O1812" s="656" t="s">
        <v>6393</v>
      </c>
      <c r="P1812" s="5"/>
      <c r="Q1812" s="1447"/>
      <c r="R1812" s="656"/>
      <c r="S1812" s="656" t="s">
        <v>1300</v>
      </c>
      <c r="T1812" s="656" t="s">
        <v>4198</v>
      </c>
      <c r="U1812" s="656" t="s">
        <v>1300</v>
      </c>
      <c r="V1812" s="656"/>
      <c r="W1812" s="656" t="s">
        <v>13051</v>
      </c>
      <c r="X1812" s="656" t="s">
        <v>498</v>
      </c>
      <c r="Y1812" s="656" t="s">
        <v>14278</v>
      </c>
      <c r="Z1812" s="656">
        <v>44305.516886574071</v>
      </c>
      <c r="AA1812" s="656" t="s">
        <v>14335</v>
      </c>
      <c r="AB1812" s="656"/>
    </row>
    <row r="1813" spans="1:28">
      <c r="A1813" s="656" t="s">
        <v>7588</v>
      </c>
      <c r="B1813" s="656" t="s">
        <v>7589</v>
      </c>
      <c r="C1813" s="656" t="s">
        <v>20</v>
      </c>
      <c r="D1813" s="656" t="s">
        <v>10467</v>
      </c>
      <c r="E1813" s="656" t="s">
        <v>14275</v>
      </c>
      <c r="F1813" s="1491">
        <v>42369</v>
      </c>
      <c r="G1813" s="656" t="s">
        <v>10466</v>
      </c>
      <c r="H1813" s="656" t="s">
        <v>1777</v>
      </c>
      <c r="I1813" s="656"/>
      <c r="J1813" s="656"/>
      <c r="K1813" s="656"/>
      <c r="L1813" s="656" t="s">
        <v>10467</v>
      </c>
      <c r="M1813" s="656" t="s">
        <v>16449</v>
      </c>
      <c r="N1813" s="656"/>
      <c r="O1813" s="656" t="s">
        <v>6393</v>
      </c>
      <c r="P1813" s="5"/>
      <c r="Q1813" s="1447"/>
      <c r="R1813" s="656"/>
      <c r="S1813" s="656" t="s">
        <v>1300</v>
      </c>
      <c r="T1813" s="656" t="s">
        <v>4198</v>
      </c>
      <c r="U1813" s="656" t="s">
        <v>1300</v>
      </c>
      <c r="V1813" s="656"/>
      <c r="W1813" s="656" t="s">
        <v>13051</v>
      </c>
      <c r="X1813" s="656" t="s">
        <v>498</v>
      </c>
      <c r="Y1813" s="656" t="s">
        <v>14278</v>
      </c>
      <c r="Z1813" s="656">
        <v>44305.516886574071</v>
      </c>
      <c r="AA1813" s="656" t="s">
        <v>14335</v>
      </c>
      <c r="AB1813" s="656"/>
    </row>
    <row r="1814" spans="1:28">
      <c r="A1814" s="656" t="s">
        <v>7590</v>
      </c>
      <c r="B1814" s="656" t="s">
        <v>7591</v>
      </c>
      <c r="C1814" s="656" t="s">
        <v>21</v>
      </c>
      <c r="D1814" s="656" t="s">
        <v>10464</v>
      </c>
      <c r="E1814" s="656" t="s">
        <v>14275</v>
      </c>
      <c r="F1814" s="1491">
        <v>42574</v>
      </c>
      <c r="G1814" s="656" t="s">
        <v>10463</v>
      </c>
      <c r="H1814" s="656" t="s">
        <v>1777</v>
      </c>
      <c r="I1814" s="656" t="s">
        <v>14903</v>
      </c>
      <c r="J1814" s="656" t="s">
        <v>10464</v>
      </c>
      <c r="K1814" s="656" t="s">
        <v>9774</v>
      </c>
      <c r="L1814" s="656"/>
      <c r="M1814" s="656" t="s">
        <v>16422</v>
      </c>
      <c r="N1814" s="656"/>
      <c r="O1814" s="656" t="s">
        <v>6393</v>
      </c>
      <c r="P1814" s="5"/>
      <c r="Q1814" s="1447"/>
      <c r="R1814" s="656">
        <v>41834</v>
      </c>
      <c r="S1814" s="656" t="s">
        <v>655</v>
      </c>
      <c r="T1814" s="656" t="s">
        <v>4198</v>
      </c>
      <c r="U1814" s="656" t="s">
        <v>1300</v>
      </c>
      <c r="V1814" s="656"/>
      <c r="W1814" s="656" t="s">
        <v>13051</v>
      </c>
      <c r="X1814" s="656" t="s">
        <v>498</v>
      </c>
      <c r="Y1814" s="656" t="s">
        <v>14278</v>
      </c>
      <c r="Z1814" s="656">
        <v>44305.516875000001</v>
      </c>
      <c r="AA1814" s="656" t="s">
        <v>14335</v>
      </c>
      <c r="AB1814" s="656"/>
    </row>
    <row r="1815" spans="1:28">
      <c r="A1815" s="656" t="s">
        <v>7590</v>
      </c>
      <c r="B1815" s="656" t="s">
        <v>7591</v>
      </c>
      <c r="C1815" s="656" t="s">
        <v>20</v>
      </c>
      <c r="D1815" s="656" t="s">
        <v>10465</v>
      </c>
      <c r="E1815" s="656" t="s">
        <v>14275</v>
      </c>
      <c r="F1815" s="1491">
        <v>42172</v>
      </c>
      <c r="G1815" s="656" t="s">
        <v>10463</v>
      </c>
      <c r="H1815" s="656" t="s">
        <v>1777</v>
      </c>
      <c r="I1815" s="656"/>
      <c r="J1815" s="656"/>
      <c r="K1815" s="656"/>
      <c r="L1815" s="656" t="s">
        <v>10465</v>
      </c>
      <c r="M1815" s="656" t="s">
        <v>16422</v>
      </c>
      <c r="N1815" s="656"/>
      <c r="O1815" s="656" t="s">
        <v>6393</v>
      </c>
      <c r="P1815" s="5"/>
      <c r="Q1815" s="1447"/>
      <c r="R1815" s="656"/>
      <c r="S1815" s="656" t="s">
        <v>655</v>
      </c>
      <c r="T1815" s="656" t="s">
        <v>4198</v>
      </c>
      <c r="U1815" s="656" t="s">
        <v>1300</v>
      </c>
      <c r="V1815" s="656"/>
      <c r="W1815" s="656" t="s">
        <v>13051</v>
      </c>
      <c r="X1815" s="656" t="s">
        <v>498</v>
      </c>
      <c r="Y1815" s="656" t="s">
        <v>14278</v>
      </c>
      <c r="Z1815" s="656">
        <v>44305.516886574071</v>
      </c>
      <c r="AA1815" s="656" t="s">
        <v>14335</v>
      </c>
      <c r="AB1815" s="656"/>
    </row>
    <row r="1816" spans="1:28">
      <c r="A1816" s="656" t="s">
        <v>7592</v>
      </c>
      <c r="B1816" s="656" t="s">
        <v>7593</v>
      </c>
      <c r="C1816" s="656" t="s">
        <v>21</v>
      </c>
      <c r="D1816" s="656" t="s">
        <v>10456</v>
      </c>
      <c r="E1816" s="656" t="s">
        <v>14275</v>
      </c>
      <c r="F1816" s="1491">
        <v>41635</v>
      </c>
      <c r="G1816" s="656" t="s">
        <v>10455</v>
      </c>
      <c r="H1816" s="656" t="s">
        <v>1777</v>
      </c>
      <c r="I1816" s="656" t="s">
        <v>14904</v>
      </c>
      <c r="J1816" s="656" t="s">
        <v>10456</v>
      </c>
      <c r="K1816" s="656" t="s">
        <v>9750</v>
      </c>
      <c r="L1816" s="656"/>
      <c r="M1816" s="656" t="s">
        <v>16448</v>
      </c>
      <c r="N1816" s="656"/>
      <c r="O1816" s="656" t="s">
        <v>6393</v>
      </c>
      <c r="P1816" s="5"/>
      <c r="Q1816" s="1447"/>
      <c r="R1816" s="656">
        <v>40999</v>
      </c>
      <c r="S1816" s="656" t="s">
        <v>655</v>
      </c>
      <c r="T1816" s="656" t="s">
        <v>4198</v>
      </c>
      <c r="U1816" s="656" t="s">
        <v>1300</v>
      </c>
      <c r="V1816" s="656"/>
      <c r="W1816" s="656" t="s">
        <v>13051</v>
      </c>
      <c r="X1816" s="656" t="s">
        <v>498</v>
      </c>
      <c r="Y1816" s="656" t="s">
        <v>14278</v>
      </c>
      <c r="Z1816" s="656">
        <v>44305.516840277778</v>
      </c>
      <c r="AA1816" s="656" t="s">
        <v>14335</v>
      </c>
      <c r="AB1816" s="656"/>
    </row>
    <row r="1817" spans="1:28">
      <c r="A1817" s="656" t="s">
        <v>7592</v>
      </c>
      <c r="B1817" s="656" t="s">
        <v>7593</v>
      </c>
      <c r="C1817" s="656" t="s">
        <v>21</v>
      </c>
      <c r="D1817" s="656" t="s">
        <v>10458</v>
      </c>
      <c r="E1817" s="656" t="s">
        <v>14275</v>
      </c>
      <c r="F1817" s="1491">
        <v>41724</v>
      </c>
      <c r="G1817" s="656" t="s">
        <v>10457</v>
      </c>
      <c r="H1817" s="656" t="s">
        <v>1385</v>
      </c>
      <c r="I1817" s="656" t="s">
        <v>14905</v>
      </c>
      <c r="J1817" s="656" t="s">
        <v>10458</v>
      </c>
      <c r="K1817" s="656" t="s">
        <v>9750</v>
      </c>
      <c r="L1817" s="656"/>
      <c r="M1817" s="656" t="s">
        <v>1385</v>
      </c>
      <c r="N1817" s="656"/>
      <c r="O1817" s="656" t="s">
        <v>6393</v>
      </c>
      <c r="P1817" s="5"/>
      <c r="Q1817" s="1447"/>
      <c r="R1817" s="656">
        <v>41274</v>
      </c>
      <c r="S1817" s="656" t="s">
        <v>655</v>
      </c>
      <c r="T1817" s="656" t="s">
        <v>4198</v>
      </c>
      <c r="U1817" s="656" t="s">
        <v>1300</v>
      </c>
      <c r="V1817" s="656"/>
      <c r="W1817" s="656" t="s">
        <v>13051</v>
      </c>
      <c r="X1817" s="656" t="s">
        <v>498</v>
      </c>
      <c r="Y1817" s="656" t="s">
        <v>14278</v>
      </c>
      <c r="Z1817" s="656">
        <v>44305.516851851855</v>
      </c>
      <c r="AA1817" s="656" t="s">
        <v>14335</v>
      </c>
      <c r="AB1817" s="656"/>
    </row>
    <row r="1818" spans="1:28">
      <c r="A1818" s="656" t="s">
        <v>7592</v>
      </c>
      <c r="B1818" s="656" t="s">
        <v>7593</v>
      </c>
      <c r="C1818" s="656" t="s">
        <v>21</v>
      </c>
      <c r="D1818" s="656" t="s">
        <v>10459</v>
      </c>
      <c r="E1818" s="656" t="s">
        <v>14275</v>
      </c>
      <c r="F1818" s="1491">
        <v>41718</v>
      </c>
      <c r="G1818" s="656" t="s">
        <v>10457</v>
      </c>
      <c r="H1818" s="656" t="s">
        <v>1584</v>
      </c>
      <c r="I1818" s="656" t="s">
        <v>14906</v>
      </c>
      <c r="J1818" s="656" t="s">
        <v>10459</v>
      </c>
      <c r="K1818" s="656" t="s">
        <v>9750</v>
      </c>
      <c r="L1818" s="656"/>
      <c r="M1818" s="656" t="s">
        <v>1584</v>
      </c>
      <c r="N1818" s="656"/>
      <c r="O1818" s="656" t="s">
        <v>6393</v>
      </c>
      <c r="P1818" s="5"/>
      <c r="Q1818" s="1447"/>
      <c r="R1818" s="656">
        <v>40977</v>
      </c>
      <c r="S1818" s="656" t="s">
        <v>655</v>
      </c>
      <c r="T1818" s="656" t="s">
        <v>4198</v>
      </c>
      <c r="U1818" s="656" t="s">
        <v>1300</v>
      </c>
      <c r="V1818" s="656"/>
      <c r="W1818" s="656" t="s">
        <v>13051</v>
      </c>
      <c r="X1818" s="656" t="s">
        <v>498</v>
      </c>
      <c r="Y1818" s="656" t="s">
        <v>14278</v>
      </c>
      <c r="Z1818" s="656">
        <v>44305.516851851855</v>
      </c>
      <c r="AA1818" s="656" t="s">
        <v>14335</v>
      </c>
      <c r="AB1818" s="656"/>
    </row>
    <row r="1819" spans="1:28">
      <c r="A1819" s="656" t="s">
        <v>7592</v>
      </c>
      <c r="B1819" s="656" t="s">
        <v>7593</v>
      </c>
      <c r="C1819" s="656" t="s">
        <v>21</v>
      </c>
      <c r="D1819" s="656" t="s">
        <v>10460</v>
      </c>
      <c r="E1819" s="656" t="s">
        <v>14275</v>
      </c>
      <c r="F1819" s="1491">
        <v>41718</v>
      </c>
      <c r="G1819" s="656" t="s">
        <v>10457</v>
      </c>
      <c r="H1819" s="656" t="s">
        <v>1274</v>
      </c>
      <c r="I1819" s="656" t="s">
        <v>14907</v>
      </c>
      <c r="J1819" s="656" t="s">
        <v>10460</v>
      </c>
      <c r="K1819" s="656" t="s">
        <v>9750</v>
      </c>
      <c r="L1819" s="656"/>
      <c r="M1819" s="656" t="s">
        <v>1274</v>
      </c>
      <c r="N1819" s="656"/>
      <c r="O1819" s="656" t="s">
        <v>6393</v>
      </c>
      <c r="P1819" s="5"/>
      <c r="Q1819" s="1447"/>
      <c r="R1819" s="656">
        <v>41212</v>
      </c>
      <c r="S1819" s="656" t="s">
        <v>655</v>
      </c>
      <c r="T1819" s="656" t="s">
        <v>4198</v>
      </c>
      <c r="U1819" s="656" t="s">
        <v>1300</v>
      </c>
      <c r="V1819" s="656"/>
      <c r="W1819" s="656" t="s">
        <v>13051</v>
      </c>
      <c r="X1819" s="656" t="s">
        <v>498</v>
      </c>
      <c r="Y1819" s="656" t="s">
        <v>14278</v>
      </c>
      <c r="Z1819" s="656">
        <v>44305.516863425924</v>
      </c>
      <c r="AA1819" s="656" t="s">
        <v>14335</v>
      </c>
      <c r="AB1819" s="656"/>
    </row>
    <row r="1820" spans="1:28">
      <c r="A1820" s="656" t="s">
        <v>7592</v>
      </c>
      <c r="B1820" s="656" t="s">
        <v>7593</v>
      </c>
      <c r="C1820" s="656" t="s">
        <v>21</v>
      </c>
      <c r="D1820" s="656" t="s">
        <v>10461</v>
      </c>
      <c r="E1820" s="656" t="s">
        <v>14275</v>
      </c>
      <c r="F1820" s="1491">
        <v>41635</v>
      </c>
      <c r="G1820" s="656" t="s">
        <v>10457</v>
      </c>
      <c r="H1820" s="656" t="s">
        <v>1274</v>
      </c>
      <c r="I1820" s="656" t="s">
        <v>14908</v>
      </c>
      <c r="J1820" s="656" t="s">
        <v>10461</v>
      </c>
      <c r="K1820" s="656" t="s">
        <v>9750</v>
      </c>
      <c r="L1820" s="656"/>
      <c r="M1820" s="656" t="s">
        <v>1274</v>
      </c>
      <c r="N1820" s="656"/>
      <c r="O1820" s="656" t="s">
        <v>6393</v>
      </c>
      <c r="P1820" s="5"/>
      <c r="Q1820" s="1447"/>
      <c r="R1820" s="656">
        <v>40999</v>
      </c>
      <c r="S1820" s="656" t="s">
        <v>655</v>
      </c>
      <c r="T1820" s="656" t="s">
        <v>4198</v>
      </c>
      <c r="U1820" s="656" t="s">
        <v>1300</v>
      </c>
      <c r="V1820" s="656"/>
      <c r="W1820" s="656" t="s">
        <v>13051</v>
      </c>
      <c r="X1820" s="656" t="s">
        <v>498</v>
      </c>
      <c r="Y1820" s="656" t="s">
        <v>14278</v>
      </c>
      <c r="Z1820" s="656">
        <v>44305.516863425924</v>
      </c>
      <c r="AA1820" s="656" t="s">
        <v>14335</v>
      </c>
      <c r="AB1820" s="656"/>
    </row>
    <row r="1821" spans="1:28">
      <c r="A1821" s="656" t="s">
        <v>7592</v>
      </c>
      <c r="B1821" s="656" t="s">
        <v>7593</v>
      </c>
      <c r="C1821" s="656" t="s">
        <v>20</v>
      </c>
      <c r="D1821" s="656" t="s">
        <v>10462</v>
      </c>
      <c r="E1821" s="656" t="s">
        <v>14275</v>
      </c>
      <c r="F1821" s="1491">
        <v>41879</v>
      </c>
      <c r="G1821" s="656" t="s">
        <v>10455</v>
      </c>
      <c r="H1821" s="656" t="s">
        <v>1777</v>
      </c>
      <c r="I1821" s="656"/>
      <c r="J1821" s="656"/>
      <c r="K1821" s="656"/>
      <c r="L1821" s="656" t="s">
        <v>10462</v>
      </c>
      <c r="M1821" s="656" t="s">
        <v>16448</v>
      </c>
      <c r="N1821" s="656"/>
      <c r="O1821" s="656" t="s">
        <v>6393</v>
      </c>
      <c r="P1821" s="5"/>
      <c r="Q1821" s="1447"/>
      <c r="R1821" s="656"/>
      <c r="S1821" s="656" t="s">
        <v>655</v>
      </c>
      <c r="T1821" s="656" t="s">
        <v>4198</v>
      </c>
      <c r="U1821" s="656" t="s">
        <v>1300</v>
      </c>
      <c r="V1821" s="656"/>
      <c r="W1821" s="656" t="s">
        <v>13051</v>
      </c>
      <c r="X1821" s="656" t="s">
        <v>498</v>
      </c>
      <c r="Y1821" s="656" t="s">
        <v>14278</v>
      </c>
      <c r="Z1821" s="656">
        <v>44305.516875000001</v>
      </c>
      <c r="AA1821" s="656" t="s">
        <v>14335</v>
      </c>
      <c r="AB1821" s="656"/>
    </row>
    <row r="1822" spans="1:28">
      <c r="A1822" s="656" t="s">
        <v>7594</v>
      </c>
      <c r="B1822" s="656" t="s">
        <v>10452</v>
      </c>
      <c r="C1822" s="656" t="s">
        <v>20</v>
      </c>
      <c r="D1822" s="656" t="s">
        <v>10454</v>
      </c>
      <c r="E1822" s="656" t="s">
        <v>14275</v>
      </c>
      <c r="F1822" s="1491">
        <v>42349</v>
      </c>
      <c r="G1822" s="656" t="s">
        <v>10453</v>
      </c>
      <c r="H1822" s="656" t="s">
        <v>1777</v>
      </c>
      <c r="I1822" s="656"/>
      <c r="J1822" s="656"/>
      <c r="K1822" s="656"/>
      <c r="L1822" s="656" t="s">
        <v>10454</v>
      </c>
      <c r="M1822" s="656" t="s">
        <v>16194</v>
      </c>
      <c r="N1822" s="656"/>
      <c r="O1822" s="656" t="s">
        <v>6393</v>
      </c>
      <c r="P1822" s="5"/>
      <c r="Q1822" s="1447"/>
      <c r="R1822" s="656"/>
      <c r="S1822" s="656" t="s">
        <v>1300</v>
      </c>
      <c r="T1822" s="656" t="s">
        <v>4198</v>
      </c>
      <c r="U1822" s="656" t="s">
        <v>1300</v>
      </c>
      <c r="V1822" s="656"/>
      <c r="W1822" s="656" t="s">
        <v>13051</v>
      </c>
      <c r="X1822" s="656" t="s">
        <v>498</v>
      </c>
      <c r="Y1822" s="656" t="s">
        <v>14278</v>
      </c>
      <c r="Z1822" s="656">
        <v>44305.516840277778</v>
      </c>
      <c r="AA1822" s="656" t="s">
        <v>14335</v>
      </c>
      <c r="AB1822" s="656"/>
    </row>
    <row r="1823" spans="1:28">
      <c r="A1823" s="656" t="s">
        <v>10449</v>
      </c>
      <c r="B1823" s="656" t="s">
        <v>10450</v>
      </c>
      <c r="C1823" s="656" t="s">
        <v>20</v>
      </c>
      <c r="D1823" s="656" t="s">
        <v>10448</v>
      </c>
      <c r="E1823" s="656" t="s">
        <v>14275</v>
      </c>
      <c r="F1823" s="1491">
        <v>42369</v>
      </c>
      <c r="G1823" s="656" t="s">
        <v>10451</v>
      </c>
      <c r="H1823" s="656" t="s">
        <v>1777</v>
      </c>
      <c r="I1823" s="656"/>
      <c r="J1823" s="656"/>
      <c r="K1823" s="656"/>
      <c r="L1823" s="656" t="s">
        <v>10448</v>
      </c>
      <c r="M1823" s="656" t="s">
        <v>16398</v>
      </c>
      <c r="N1823" s="656"/>
      <c r="O1823" s="656" t="s">
        <v>6393</v>
      </c>
      <c r="P1823" s="5"/>
      <c r="Q1823" s="1447"/>
      <c r="R1823" s="656"/>
      <c r="S1823" s="656" t="s">
        <v>500</v>
      </c>
      <c r="T1823" s="656" t="s">
        <v>14559</v>
      </c>
      <c r="U1823" s="656" t="s">
        <v>500</v>
      </c>
      <c r="V1823" s="656"/>
      <c r="W1823" s="656" t="s">
        <v>13051</v>
      </c>
      <c r="X1823" s="656" t="s">
        <v>498</v>
      </c>
      <c r="Y1823" s="656" t="s">
        <v>14278</v>
      </c>
      <c r="Z1823" s="656">
        <v>44305.516828703701</v>
      </c>
      <c r="AA1823" s="656" t="s">
        <v>14335</v>
      </c>
      <c r="AB1823" s="656"/>
    </row>
    <row r="1824" spans="1:28">
      <c r="A1824" s="656" t="s">
        <v>7596</v>
      </c>
      <c r="B1824" s="656" t="s">
        <v>7597</v>
      </c>
      <c r="C1824" s="656" t="s">
        <v>20</v>
      </c>
      <c r="D1824" s="656" t="s">
        <v>10448</v>
      </c>
      <c r="E1824" s="656" t="s">
        <v>14275</v>
      </c>
      <c r="F1824" s="1491">
        <v>42369</v>
      </c>
      <c r="G1824" s="656" t="s">
        <v>10447</v>
      </c>
      <c r="H1824" s="656" t="s">
        <v>1777</v>
      </c>
      <c r="I1824" s="656"/>
      <c r="J1824" s="656"/>
      <c r="K1824" s="656"/>
      <c r="L1824" s="656" t="s">
        <v>10448</v>
      </c>
      <c r="M1824" s="656" t="s">
        <v>16398</v>
      </c>
      <c r="N1824" s="656"/>
      <c r="O1824" s="656" t="s">
        <v>6393</v>
      </c>
      <c r="P1824" s="5"/>
      <c r="Q1824" s="1447"/>
      <c r="R1824" s="656"/>
      <c r="S1824" s="656" t="s">
        <v>500</v>
      </c>
      <c r="T1824" s="656" t="s">
        <v>14559</v>
      </c>
      <c r="U1824" s="656" t="s">
        <v>500</v>
      </c>
      <c r="V1824" s="656"/>
      <c r="W1824" s="656" t="s">
        <v>13051</v>
      </c>
      <c r="X1824" s="656" t="s">
        <v>498</v>
      </c>
      <c r="Y1824" s="656" t="s">
        <v>14278</v>
      </c>
      <c r="Z1824" s="656">
        <v>44305.516817129632</v>
      </c>
      <c r="AA1824" s="656" t="s">
        <v>14335</v>
      </c>
      <c r="AB1824" s="656"/>
    </row>
    <row r="1825" spans="1:28">
      <c r="A1825" s="656" t="s">
        <v>7601</v>
      </c>
      <c r="B1825" s="656" t="s">
        <v>10444</v>
      </c>
      <c r="C1825" s="656" t="s">
        <v>20</v>
      </c>
      <c r="D1825" s="656" t="s">
        <v>10446</v>
      </c>
      <c r="E1825" s="656" t="s">
        <v>14275</v>
      </c>
      <c r="F1825" s="1491">
        <v>42349</v>
      </c>
      <c r="G1825" s="656" t="s">
        <v>10445</v>
      </c>
      <c r="H1825" s="656" t="s">
        <v>1777</v>
      </c>
      <c r="I1825" s="656"/>
      <c r="J1825" s="656"/>
      <c r="K1825" s="656"/>
      <c r="L1825" s="656" t="s">
        <v>10446</v>
      </c>
      <c r="M1825" s="656" t="s">
        <v>16196</v>
      </c>
      <c r="N1825" s="656"/>
      <c r="O1825" s="656" t="s">
        <v>6393</v>
      </c>
      <c r="P1825" s="5"/>
      <c r="Q1825" s="1447"/>
      <c r="R1825" s="656"/>
      <c r="S1825" s="656" t="s">
        <v>1300</v>
      </c>
      <c r="T1825" s="656" t="s">
        <v>4198</v>
      </c>
      <c r="U1825" s="656" t="s">
        <v>1300</v>
      </c>
      <c r="V1825" s="656"/>
      <c r="W1825" s="656" t="s">
        <v>13051</v>
      </c>
      <c r="X1825" s="656" t="s">
        <v>498</v>
      </c>
      <c r="Y1825" s="656" t="s">
        <v>14278</v>
      </c>
      <c r="Z1825" s="656">
        <v>44305.516805555555</v>
      </c>
      <c r="AA1825" s="656" t="s">
        <v>14335</v>
      </c>
      <c r="AB1825" s="656"/>
    </row>
    <row r="1826" spans="1:28">
      <c r="A1826" s="656" t="s">
        <v>7615</v>
      </c>
      <c r="B1826" s="656" t="s">
        <v>7616</v>
      </c>
      <c r="C1826" s="656" t="s">
        <v>21</v>
      </c>
      <c r="D1826" s="656" t="s">
        <v>10443</v>
      </c>
      <c r="E1826" s="656" t="s">
        <v>14275</v>
      </c>
      <c r="F1826" s="1491">
        <v>41179</v>
      </c>
      <c r="G1826" s="656" t="s">
        <v>10442</v>
      </c>
      <c r="H1826" s="656" t="s">
        <v>1777</v>
      </c>
      <c r="I1826" s="656" t="s">
        <v>14909</v>
      </c>
      <c r="J1826" s="656" t="s">
        <v>10443</v>
      </c>
      <c r="K1826" s="656" t="s">
        <v>10398</v>
      </c>
      <c r="L1826" s="656"/>
      <c r="M1826" s="656" t="s">
        <v>16358</v>
      </c>
      <c r="N1826" s="656"/>
      <c r="O1826" s="656" t="s">
        <v>6387</v>
      </c>
      <c r="P1826" s="5"/>
      <c r="Q1826" s="1447"/>
      <c r="R1826" s="656">
        <v>40632</v>
      </c>
      <c r="S1826" s="656" t="s">
        <v>1667</v>
      </c>
      <c r="T1826" s="656" t="s">
        <v>14524</v>
      </c>
      <c r="U1826" s="656" t="s">
        <v>1667</v>
      </c>
      <c r="V1826" s="656"/>
      <c r="W1826" s="656" t="s">
        <v>13051</v>
      </c>
      <c r="X1826" s="656" t="s">
        <v>498</v>
      </c>
      <c r="Y1826" s="656" t="s">
        <v>14278</v>
      </c>
      <c r="Z1826" s="656">
        <v>44305.516793981478</v>
      </c>
      <c r="AA1826" s="656" t="s">
        <v>14335</v>
      </c>
      <c r="AB1826" s="656"/>
    </row>
    <row r="1827" spans="1:28">
      <c r="A1827" s="656" t="s">
        <v>7617</v>
      </c>
      <c r="B1827" s="656" t="s">
        <v>7618</v>
      </c>
      <c r="C1827" s="656" t="s">
        <v>21</v>
      </c>
      <c r="D1827" s="656" t="s">
        <v>10438</v>
      </c>
      <c r="E1827" s="656" t="s">
        <v>14275</v>
      </c>
      <c r="F1827" s="1491">
        <v>41842</v>
      </c>
      <c r="G1827" s="656" t="s">
        <v>10437</v>
      </c>
      <c r="H1827" s="656" t="s">
        <v>1777</v>
      </c>
      <c r="I1827" s="656" t="s">
        <v>14910</v>
      </c>
      <c r="J1827" s="656" t="s">
        <v>10438</v>
      </c>
      <c r="K1827" s="656" t="s">
        <v>9782</v>
      </c>
      <c r="L1827" s="656"/>
      <c r="M1827" s="656" t="s">
        <v>16265</v>
      </c>
      <c r="N1827" s="656"/>
      <c r="O1827" s="656" t="s">
        <v>6387</v>
      </c>
      <c r="P1827" s="5" t="s">
        <v>15462</v>
      </c>
      <c r="Q1827" s="1447"/>
      <c r="R1827" s="656">
        <v>41820</v>
      </c>
      <c r="S1827" s="656" t="s">
        <v>655</v>
      </c>
      <c r="T1827" s="656" t="s">
        <v>14277</v>
      </c>
      <c r="U1827" s="656" t="s">
        <v>655</v>
      </c>
      <c r="V1827" s="656"/>
      <c r="W1827" s="656" t="s">
        <v>13051</v>
      </c>
      <c r="X1827" s="656" t="s">
        <v>498</v>
      </c>
      <c r="Y1827" s="656" t="s">
        <v>14278</v>
      </c>
      <c r="Z1827" s="656">
        <v>44305.516770833332</v>
      </c>
      <c r="AA1827" s="656" t="s">
        <v>14335</v>
      </c>
      <c r="AB1827" s="656"/>
    </row>
    <row r="1828" spans="1:28">
      <c r="A1828" s="656" t="s">
        <v>7617</v>
      </c>
      <c r="B1828" s="656" t="s">
        <v>7618</v>
      </c>
      <c r="C1828" s="656" t="s">
        <v>21</v>
      </c>
      <c r="D1828" s="656" t="s">
        <v>10439</v>
      </c>
      <c r="E1828" s="656" t="s">
        <v>14275</v>
      </c>
      <c r="F1828" s="1491">
        <v>42472</v>
      </c>
      <c r="G1828" s="656" t="s">
        <v>10437</v>
      </c>
      <c r="H1828" s="656" t="s">
        <v>1777</v>
      </c>
      <c r="I1828" s="656" t="s">
        <v>14910</v>
      </c>
      <c r="J1828" s="656" t="s">
        <v>10439</v>
      </c>
      <c r="K1828" s="656" t="s">
        <v>9782</v>
      </c>
      <c r="L1828" s="656"/>
      <c r="M1828" s="656" t="s">
        <v>16265</v>
      </c>
      <c r="N1828" s="656"/>
      <c r="O1828" s="656" t="s">
        <v>6387</v>
      </c>
      <c r="P1828" s="5"/>
      <c r="Q1828" s="1447">
        <v>41851</v>
      </c>
      <c r="R1828" s="656">
        <v>42005</v>
      </c>
      <c r="S1828" s="656" t="s">
        <v>655</v>
      </c>
      <c r="T1828" s="656" t="s">
        <v>14277</v>
      </c>
      <c r="U1828" s="656" t="s">
        <v>655</v>
      </c>
      <c r="V1828" s="656"/>
      <c r="W1828" s="656" t="s">
        <v>13051</v>
      </c>
      <c r="X1828" s="656" t="s">
        <v>498</v>
      </c>
      <c r="Y1828" s="656" t="s">
        <v>14278</v>
      </c>
      <c r="Z1828" s="656">
        <v>44305.516782407409</v>
      </c>
      <c r="AA1828" s="656" t="s">
        <v>14335</v>
      </c>
      <c r="AB1828" s="656"/>
    </row>
    <row r="1829" spans="1:28">
      <c r="A1829" s="656" t="s">
        <v>7617</v>
      </c>
      <c r="B1829" s="656" t="s">
        <v>7618</v>
      </c>
      <c r="C1829" s="656" t="s">
        <v>20</v>
      </c>
      <c r="D1829" s="656" t="s">
        <v>10441</v>
      </c>
      <c r="E1829" s="656" t="s">
        <v>14275</v>
      </c>
      <c r="F1829" s="1491">
        <v>42115</v>
      </c>
      <c r="G1829" s="656" t="s">
        <v>10440</v>
      </c>
      <c r="H1829" s="656" t="s">
        <v>1777</v>
      </c>
      <c r="I1829" s="656"/>
      <c r="J1829" s="656"/>
      <c r="K1829" s="656"/>
      <c r="L1829" s="656" t="s">
        <v>10441</v>
      </c>
      <c r="M1829" s="656" t="s">
        <v>16265</v>
      </c>
      <c r="N1829" s="656"/>
      <c r="O1829" s="656" t="s">
        <v>6387</v>
      </c>
      <c r="P1829" s="5"/>
      <c r="Q1829" s="1447"/>
      <c r="R1829" s="656"/>
      <c r="S1829" s="656" t="s">
        <v>655</v>
      </c>
      <c r="T1829" s="656" t="s">
        <v>14277</v>
      </c>
      <c r="U1829" s="656" t="s">
        <v>655</v>
      </c>
      <c r="V1829" s="656"/>
      <c r="W1829" s="656" t="s">
        <v>13051</v>
      </c>
      <c r="X1829" s="656" t="s">
        <v>498</v>
      </c>
      <c r="Y1829" s="656" t="s">
        <v>14278</v>
      </c>
      <c r="Z1829" s="656">
        <v>44305.516793981478</v>
      </c>
      <c r="AA1829" s="656" t="s">
        <v>14335</v>
      </c>
      <c r="AB1829" s="656"/>
    </row>
    <row r="1830" spans="1:28">
      <c r="A1830" s="656" t="s">
        <v>7743</v>
      </c>
      <c r="B1830" s="656" t="s">
        <v>7744</v>
      </c>
      <c r="C1830" s="656" t="s">
        <v>20</v>
      </c>
      <c r="D1830" s="656" t="s">
        <v>10436</v>
      </c>
      <c r="E1830" s="656" t="s">
        <v>14275</v>
      </c>
      <c r="F1830" s="1491">
        <v>42426</v>
      </c>
      <c r="G1830" s="656" t="s">
        <v>10435</v>
      </c>
      <c r="H1830" s="656" t="s">
        <v>1777</v>
      </c>
      <c r="I1830" s="656"/>
      <c r="J1830" s="656"/>
      <c r="K1830" s="656"/>
      <c r="L1830" s="656" t="s">
        <v>10436</v>
      </c>
      <c r="M1830" s="656" t="s">
        <v>16196</v>
      </c>
      <c r="N1830" s="656"/>
      <c r="O1830" s="656" t="s">
        <v>6393</v>
      </c>
      <c r="P1830" s="5"/>
      <c r="Q1830" s="1447"/>
      <c r="R1830" s="656"/>
      <c r="S1830" s="656" t="s">
        <v>1300</v>
      </c>
      <c r="T1830" s="656" t="s">
        <v>4198</v>
      </c>
      <c r="U1830" s="656" t="s">
        <v>1300</v>
      </c>
      <c r="V1830" s="656"/>
      <c r="W1830" s="656" t="s">
        <v>13051</v>
      </c>
      <c r="X1830" s="656" t="s">
        <v>498</v>
      </c>
      <c r="Y1830" s="656" t="s">
        <v>14278</v>
      </c>
      <c r="Z1830" s="656">
        <v>44305.516759259262</v>
      </c>
      <c r="AA1830" s="656" t="s">
        <v>14335</v>
      </c>
      <c r="AB1830" s="656"/>
    </row>
    <row r="1831" spans="1:28">
      <c r="A1831" s="656" t="s">
        <v>7745</v>
      </c>
      <c r="B1831" s="656" t="s">
        <v>7746</v>
      </c>
      <c r="C1831" s="656" t="s">
        <v>20</v>
      </c>
      <c r="D1831" s="656" t="s">
        <v>10434</v>
      </c>
      <c r="E1831" s="656" t="s">
        <v>14275</v>
      </c>
      <c r="F1831" s="1491">
        <v>42349</v>
      </c>
      <c r="G1831" s="656" t="s">
        <v>10433</v>
      </c>
      <c r="H1831" s="656" t="s">
        <v>1777</v>
      </c>
      <c r="I1831" s="656"/>
      <c r="J1831" s="656"/>
      <c r="K1831" s="656"/>
      <c r="L1831" s="656" t="s">
        <v>10434</v>
      </c>
      <c r="M1831" s="656" t="s">
        <v>16196</v>
      </c>
      <c r="N1831" s="656"/>
      <c r="O1831" s="656" t="s">
        <v>6393</v>
      </c>
      <c r="P1831" s="5"/>
      <c r="Q1831" s="1447"/>
      <c r="R1831" s="656"/>
      <c r="S1831" s="656" t="s">
        <v>1394</v>
      </c>
      <c r="T1831" s="656" t="s">
        <v>4198</v>
      </c>
      <c r="U1831" s="656" t="s">
        <v>1300</v>
      </c>
      <c r="V1831" s="656"/>
      <c r="W1831" s="656" t="s">
        <v>13051</v>
      </c>
      <c r="X1831" s="656" t="s">
        <v>498</v>
      </c>
      <c r="Y1831" s="656" t="s">
        <v>14278</v>
      </c>
      <c r="Z1831" s="656">
        <v>44305.516759259262</v>
      </c>
      <c r="AA1831" s="656" t="s">
        <v>14335</v>
      </c>
      <c r="AB1831" s="656"/>
    </row>
    <row r="1832" spans="1:28">
      <c r="A1832" s="656" t="s">
        <v>7825</v>
      </c>
      <c r="B1832" s="656" t="s">
        <v>7824</v>
      </c>
      <c r="C1832" s="656" t="s">
        <v>21</v>
      </c>
      <c r="D1832" s="656" t="s">
        <v>12115</v>
      </c>
      <c r="E1832" s="656" t="s">
        <v>14275</v>
      </c>
      <c r="F1832" s="1491">
        <v>41026</v>
      </c>
      <c r="G1832" s="656" t="s">
        <v>12114</v>
      </c>
      <c r="H1832" s="656" t="s">
        <v>1777</v>
      </c>
      <c r="I1832" s="656" t="s">
        <v>14911</v>
      </c>
      <c r="J1832" s="656" t="s">
        <v>12115</v>
      </c>
      <c r="K1832" s="656" t="s">
        <v>9774</v>
      </c>
      <c r="L1832" s="656"/>
      <c r="M1832" s="656" t="s">
        <v>16318</v>
      </c>
      <c r="N1832" s="656"/>
      <c r="O1832" s="656" t="s">
        <v>6395</v>
      </c>
      <c r="P1832" s="5"/>
      <c r="Q1832" s="1447">
        <v>40231</v>
      </c>
      <c r="R1832" s="656">
        <v>40755</v>
      </c>
      <c r="S1832" s="656"/>
      <c r="T1832" s="656"/>
      <c r="U1832" s="656"/>
      <c r="V1832" s="656"/>
      <c r="W1832" s="656" t="s">
        <v>13051</v>
      </c>
      <c r="X1832" s="656" t="s">
        <v>498</v>
      </c>
      <c r="Y1832" s="656" t="s">
        <v>14278</v>
      </c>
      <c r="Z1832" s="656">
        <v>44305.516747685186</v>
      </c>
      <c r="AA1832" s="656" t="s">
        <v>14335</v>
      </c>
      <c r="AB1832" s="656"/>
    </row>
    <row r="1833" spans="1:28">
      <c r="A1833" s="656" t="s">
        <v>12102</v>
      </c>
      <c r="B1833" s="656" t="s">
        <v>12103</v>
      </c>
      <c r="C1833" s="656" t="s">
        <v>21</v>
      </c>
      <c r="D1833" s="656" t="s">
        <v>12105</v>
      </c>
      <c r="E1833" s="656" t="s">
        <v>14275</v>
      </c>
      <c r="F1833" s="1491">
        <v>40749</v>
      </c>
      <c r="G1833" s="656" t="s">
        <v>12104</v>
      </c>
      <c r="H1833" s="656" t="s">
        <v>1777</v>
      </c>
      <c r="I1833" s="656" t="s">
        <v>14912</v>
      </c>
      <c r="J1833" s="656" t="s">
        <v>12105</v>
      </c>
      <c r="K1833" s="656" t="s">
        <v>9774</v>
      </c>
      <c r="L1833" s="656"/>
      <c r="M1833" s="656" t="s">
        <v>16452</v>
      </c>
      <c r="N1833" s="656"/>
      <c r="O1833" s="656" t="s">
        <v>6395</v>
      </c>
      <c r="P1833" s="5"/>
      <c r="Q1833" s="1447">
        <v>40445</v>
      </c>
      <c r="R1833" s="656">
        <v>40816</v>
      </c>
      <c r="S1833" s="656"/>
      <c r="T1833" s="656"/>
      <c r="U1833" s="656"/>
      <c r="V1833" s="656"/>
      <c r="W1833" s="656" t="s">
        <v>13051</v>
      </c>
      <c r="X1833" s="656" t="s">
        <v>498</v>
      </c>
      <c r="Y1833" s="656" t="s">
        <v>14278</v>
      </c>
      <c r="Z1833" s="656">
        <v>44305.516736111109</v>
      </c>
      <c r="AA1833" s="656" t="s">
        <v>14335</v>
      </c>
      <c r="AB1833" s="656"/>
    </row>
    <row r="1834" spans="1:28">
      <c r="A1834" s="656" t="s">
        <v>7858</v>
      </c>
      <c r="B1834" s="656" t="s">
        <v>7859</v>
      </c>
      <c r="C1834" s="656" t="s">
        <v>20</v>
      </c>
      <c r="D1834" s="656" t="s">
        <v>10432</v>
      </c>
      <c r="E1834" s="656" t="s">
        <v>14275</v>
      </c>
      <c r="F1834" s="1491">
        <v>41849</v>
      </c>
      <c r="G1834" s="656" t="s">
        <v>10431</v>
      </c>
      <c r="H1834" s="656" t="s">
        <v>1777</v>
      </c>
      <c r="I1834" s="656"/>
      <c r="J1834" s="656"/>
      <c r="K1834" s="656"/>
      <c r="L1834" s="656" t="s">
        <v>10432</v>
      </c>
      <c r="M1834" s="656" t="s">
        <v>16196</v>
      </c>
      <c r="N1834" s="656"/>
      <c r="O1834" s="656" t="s">
        <v>6393</v>
      </c>
      <c r="P1834" s="5"/>
      <c r="Q1834" s="1447"/>
      <c r="R1834" s="656"/>
      <c r="S1834" s="656" t="s">
        <v>1394</v>
      </c>
      <c r="T1834" s="656" t="s">
        <v>4198</v>
      </c>
      <c r="U1834" s="656" t="s">
        <v>1300</v>
      </c>
      <c r="V1834" s="656"/>
      <c r="W1834" s="656" t="s">
        <v>13051</v>
      </c>
      <c r="X1834" s="656" t="s">
        <v>498</v>
      </c>
      <c r="Y1834" s="656" t="s">
        <v>14278</v>
      </c>
      <c r="Z1834" s="656">
        <v>44305.516736111109</v>
      </c>
      <c r="AA1834" s="656" t="s">
        <v>14335</v>
      </c>
      <c r="AB1834" s="656"/>
    </row>
    <row r="1835" spans="1:28">
      <c r="A1835" s="656" t="s">
        <v>10428</v>
      </c>
      <c r="B1835" s="656" t="s">
        <v>10429</v>
      </c>
      <c r="C1835" s="656" t="s">
        <v>20</v>
      </c>
      <c r="D1835" s="656" t="s">
        <v>10427</v>
      </c>
      <c r="E1835" s="656" t="s">
        <v>14275</v>
      </c>
      <c r="F1835" s="1491">
        <v>42404</v>
      </c>
      <c r="G1835" s="656" t="s">
        <v>10430</v>
      </c>
      <c r="H1835" s="656" t="s">
        <v>1777</v>
      </c>
      <c r="I1835" s="656"/>
      <c r="J1835" s="656"/>
      <c r="K1835" s="656"/>
      <c r="L1835" s="656" t="s">
        <v>10427</v>
      </c>
      <c r="M1835" s="656" t="s">
        <v>16386</v>
      </c>
      <c r="N1835" s="656"/>
      <c r="O1835" s="656" t="s">
        <v>6387</v>
      </c>
      <c r="P1835" s="5"/>
      <c r="Q1835" s="1447"/>
      <c r="R1835" s="656"/>
      <c r="S1835" s="656" t="s">
        <v>655</v>
      </c>
      <c r="T1835" s="656" t="s">
        <v>14277</v>
      </c>
      <c r="U1835" s="656" t="s">
        <v>655</v>
      </c>
      <c r="V1835" s="656"/>
      <c r="W1835" s="656" t="s">
        <v>13051</v>
      </c>
      <c r="X1835" s="656" t="s">
        <v>498</v>
      </c>
      <c r="Y1835" s="656" t="s">
        <v>14278</v>
      </c>
      <c r="Z1835" s="656">
        <v>44305.516724537039</v>
      </c>
      <c r="AA1835" s="656" t="s">
        <v>14335</v>
      </c>
      <c r="AB1835" s="656"/>
    </row>
    <row r="1836" spans="1:28">
      <c r="A1836" s="656" t="s">
        <v>7872</v>
      </c>
      <c r="B1836" s="656" t="s">
        <v>7873</v>
      </c>
      <c r="C1836" s="656" t="s">
        <v>20</v>
      </c>
      <c r="D1836" s="656" t="s">
        <v>10427</v>
      </c>
      <c r="E1836" s="656" t="s">
        <v>14275</v>
      </c>
      <c r="F1836" s="1491">
        <v>42404</v>
      </c>
      <c r="G1836" s="656" t="s">
        <v>10426</v>
      </c>
      <c r="H1836" s="656" t="s">
        <v>1777</v>
      </c>
      <c r="I1836" s="656"/>
      <c r="J1836" s="656"/>
      <c r="K1836" s="656"/>
      <c r="L1836" s="656" t="s">
        <v>10427</v>
      </c>
      <c r="M1836" s="656" t="s">
        <v>16386</v>
      </c>
      <c r="N1836" s="656"/>
      <c r="O1836" s="656" t="s">
        <v>6387</v>
      </c>
      <c r="P1836" s="5"/>
      <c r="Q1836" s="1447"/>
      <c r="R1836" s="656"/>
      <c r="S1836" s="656" t="s">
        <v>655</v>
      </c>
      <c r="T1836" s="656" t="s">
        <v>14277</v>
      </c>
      <c r="U1836" s="656" t="s">
        <v>655</v>
      </c>
      <c r="V1836" s="656"/>
      <c r="W1836" s="656" t="s">
        <v>13051</v>
      </c>
      <c r="X1836" s="656" t="s">
        <v>498</v>
      </c>
      <c r="Y1836" s="656" t="s">
        <v>14278</v>
      </c>
      <c r="Z1836" s="656">
        <v>44305.516724537039</v>
      </c>
      <c r="AA1836" s="656" t="s">
        <v>14335</v>
      </c>
      <c r="AB1836" s="656"/>
    </row>
    <row r="1837" spans="1:28">
      <c r="A1837" s="656" t="s">
        <v>10422</v>
      </c>
      <c r="B1837" s="656" t="s">
        <v>10423</v>
      </c>
      <c r="C1837" s="656" t="s">
        <v>21</v>
      </c>
      <c r="D1837" s="656" t="s">
        <v>10425</v>
      </c>
      <c r="E1837" s="656" t="s">
        <v>14275</v>
      </c>
      <c r="F1837" s="1491">
        <v>41179</v>
      </c>
      <c r="G1837" s="656" t="s">
        <v>10424</v>
      </c>
      <c r="H1837" s="656" t="s">
        <v>1584</v>
      </c>
      <c r="I1837" s="656" t="s">
        <v>14913</v>
      </c>
      <c r="J1837" s="656" t="s">
        <v>10425</v>
      </c>
      <c r="K1837" s="656" t="s">
        <v>10398</v>
      </c>
      <c r="L1837" s="656"/>
      <c r="M1837" s="656" t="s">
        <v>1584</v>
      </c>
      <c r="N1837" s="656"/>
      <c r="O1837" s="656" t="s">
        <v>6387</v>
      </c>
      <c r="P1837" s="5"/>
      <c r="Q1837" s="1447"/>
      <c r="R1837" s="656">
        <v>40512</v>
      </c>
      <c r="S1837" s="656" t="s">
        <v>655</v>
      </c>
      <c r="T1837" s="656" t="s">
        <v>14277</v>
      </c>
      <c r="U1837" s="656" t="s">
        <v>655</v>
      </c>
      <c r="V1837" s="656"/>
      <c r="W1837" s="656" t="s">
        <v>13051</v>
      </c>
      <c r="X1837" s="656" t="s">
        <v>498</v>
      </c>
      <c r="Y1837" s="656" t="s">
        <v>14278</v>
      </c>
      <c r="Z1837" s="656">
        <v>44305.516712962963</v>
      </c>
      <c r="AA1837" s="656" t="s">
        <v>14335</v>
      </c>
      <c r="AB1837" s="656"/>
    </row>
    <row r="1838" spans="1:28">
      <c r="A1838" s="656" t="s">
        <v>7896</v>
      </c>
      <c r="B1838" s="656" t="s">
        <v>7897</v>
      </c>
      <c r="C1838" s="656" t="s">
        <v>20</v>
      </c>
      <c r="D1838" s="656" t="s">
        <v>10420</v>
      </c>
      <c r="E1838" s="656" t="s">
        <v>14275</v>
      </c>
      <c r="F1838" s="1491">
        <v>42454</v>
      </c>
      <c r="G1838" s="656" t="s">
        <v>10419</v>
      </c>
      <c r="H1838" s="656" t="s">
        <v>1777</v>
      </c>
      <c r="I1838" s="656"/>
      <c r="J1838" s="656"/>
      <c r="K1838" s="656"/>
      <c r="L1838" s="656" t="s">
        <v>10420</v>
      </c>
      <c r="M1838" s="656" t="s">
        <v>16196</v>
      </c>
      <c r="N1838" s="656"/>
      <c r="O1838" s="656" t="s">
        <v>6393</v>
      </c>
      <c r="P1838" s="5"/>
      <c r="Q1838" s="1447"/>
      <c r="R1838" s="656"/>
      <c r="S1838" s="656" t="s">
        <v>1300</v>
      </c>
      <c r="T1838" s="656" t="s">
        <v>4198</v>
      </c>
      <c r="U1838" s="656" t="s">
        <v>1300</v>
      </c>
      <c r="V1838" s="656"/>
      <c r="W1838" s="656" t="s">
        <v>13051</v>
      </c>
      <c r="X1838" s="656" t="s">
        <v>498</v>
      </c>
      <c r="Y1838" s="656" t="s">
        <v>14278</v>
      </c>
      <c r="Z1838" s="656">
        <v>44305.516701388886</v>
      </c>
      <c r="AA1838" s="656" t="s">
        <v>14335</v>
      </c>
      <c r="AB1838" s="656"/>
    </row>
    <row r="1839" spans="1:28">
      <c r="A1839" s="656" t="s">
        <v>7896</v>
      </c>
      <c r="B1839" s="656" t="s">
        <v>7897</v>
      </c>
      <c r="C1839" s="656" t="s">
        <v>20</v>
      </c>
      <c r="D1839" s="656" t="s">
        <v>10421</v>
      </c>
      <c r="E1839" s="656" t="s">
        <v>14275</v>
      </c>
      <c r="F1839" s="1491">
        <v>42404</v>
      </c>
      <c r="G1839" s="656" t="s">
        <v>10419</v>
      </c>
      <c r="H1839" s="656" t="s">
        <v>1777</v>
      </c>
      <c r="I1839" s="656"/>
      <c r="J1839" s="656"/>
      <c r="K1839" s="656"/>
      <c r="L1839" s="656" t="s">
        <v>10421</v>
      </c>
      <c r="M1839" s="656" t="s">
        <v>16195</v>
      </c>
      <c r="N1839" s="656"/>
      <c r="O1839" s="656" t="s">
        <v>6393</v>
      </c>
      <c r="P1839" s="5"/>
      <c r="Q1839" s="1447"/>
      <c r="R1839" s="656"/>
      <c r="S1839" s="656" t="s">
        <v>1300</v>
      </c>
      <c r="T1839" s="656" t="s">
        <v>4198</v>
      </c>
      <c r="U1839" s="656" t="s">
        <v>1300</v>
      </c>
      <c r="V1839" s="656"/>
      <c r="W1839" s="656" t="s">
        <v>13051</v>
      </c>
      <c r="X1839" s="656" t="s">
        <v>498</v>
      </c>
      <c r="Y1839" s="656" t="s">
        <v>14278</v>
      </c>
      <c r="Z1839" s="656">
        <v>44305.516712962963</v>
      </c>
      <c r="AA1839" s="656" t="s">
        <v>14335</v>
      </c>
      <c r="AB1839" s="656"/>
    </row>
    <row r="1840" spans="1:28">
      <c r="A1840" s="656" t="s">
        <v>10416</v>
      </c>
      <c r="B1840" s="656" t="s">
        <v>10417</v>
      </c>
      <c r="C1840" s="656" t="s">
        <v>20</v>
      </c>
      <c r="D1840" s="656" t="s">
        <v>10415</v>
      </c>
      <c r="E1840" s="656" t="s">
        <v>14275</v>
      </c>
      <c r="F1840" s="1491">
        <v>42017</v>
      </c>
      <c r="G1840" s="656" t="s">
        <v>10418</v>
      </c>
      <c r="H1840" s="656" t="s">
        <v>1777</v>
      </c>
      <c r="I1840" s="656"/>
      <c r="J1840" s="656"/>
      <c r="K1840" s="656"/>
      <c r="L1840" s="656" t="s">
        <v>10415</v>
      </c>
      <c r="M1840" s="656" t="s">
        <v>16450</v>
      </c>
      <c r="N1840" s="656"/>
      <c r="O1840" s="656" t="s">
        <v>6393</v>
      </c>
      <c r="P1840" s="5"/>
      <c r="Q1840" s="1447"/>
      <c r="R1840" s="656"/>
      <c r="S1840" s="656" t="s">
        <v>1300</v>
      </c>
      <c r="T1840" s="656" t="s">
        <v>4198</v>
      </c>
      <c r="U1840" s="656" t="s">
        <v>1300</v>
      </c>
      <c r="V1840" s="656"/>
      <c r="W1840" s="656" t="s">
        <v>13051</v>
      </c>
      <c r="X1840" s="656" t="s">
        <v>498</v>
      </c>
      <c r="Y1840" s="656" t="s">
        <v>14278</v>
      </c>
      <c r="Z1840" s="656">
        <v>44305.516701388886</v>
      </c>
      <c r="AA1840" s="656" t="s">
        <v>14335</v>
      </c>
      <c r="AB1840" s="656"/>
    </row>
    <row r="1841" spans="1:28">
      <c r="A1841" s="656" t="s">
        <v>7898</v>
      </c>
      <c r="B1841" s="656" t="s">
        <v>7899</v>
      </c>
      <c r="C1841" s="656" t="s">
        <v>20</v>
      </c>
      <c r="D1841" s="656" t="s">
        <v>10413</v>
      </c>
      <c r="E1841" s="656" t="s">
        <v>14275</v>
      </c>
      <c r="F1841" s="1491">
        <v>42366</v>
      </c>
      <c r="G1841" s="656" t="s">
        <v>10412</v>
      </c>
      <c r="H1841" s="656" t="s">
        <v>1777</v>
      </c>
      <c r="I1841" s="656"/>
      <c r="J1841" s="656"/>
      <c r="K1841" s="656"/>
      <c r="L1841" s="656" t="s">
        <v>10413</v>
      </c>
      <c r="M1841" s="656" t="s">
        <v>16321</v>
      </c>
      <c r="N1841" s="656"/>
      <c r="O1841" s="656" t="s">
        <v>6393</v>
      </c>
      <c r="P1841" s="5"/>
      <c r="Q1841" s="1447"/>
      <c r="R1841" s="656"/>
      <c r="S1841" s="656" t="s">
        <v>1300</v>
      </c>
      <c r="T1841" s="656" t="s">
        <v>4198</v>
      </c>
      <c r="U1841" s="656" t="s">
        <v>1300</v>
      </c>
      <c r="V1841" s="656"/>
      <c r="W1841" s="656" t="s">
        <v>13051</v>
      </c>
      <c r="X1841" s="656" t="s">
        <v>498</v>
      </c>
      <c r="Y1841" s="656" t="s">
        <v>14278</v>
      </c>
      <c r="Z1841" s="656">
        <v>44305.516701388886</v>
      </c>
      <c r="AA1841" s="656" t="s">
        <v>14335</v>
      </c>
      <c r="AB1841" s="656"/>
    </row>
    <row r="1842" spans="1:28">
      <c r="A1842" s="656" t="s">
        <v>7898</v>
      </c>
      <c r="B1842" s="656" t="s">
        <v>7899</v>
      </c>
      <c r="C1842" s="656" t="s">
        <v>20</v>
      </c>
      <c r="D1842" s="656" t="s">
        <v>10415</v>
      </c>
      <c r="E1842" s="656" t="s">
        <v>14275</v>
      </c>
      <c r="F1842" s="1491">
        <v>42017</v>
      </c>
      <c r="G1842" s="656" t="s">
        <v>10414</v>
      </c>
      <c r="H1842" s="656" t="s">
        <v>1777</v>
      </c>
      <c r="I1842" s="656"/>
      <c r="J1842" s="656"/>
      <c r="K1842" s="656"/>
      <c r="L1842" s="656" t="s">
        <v>10415</v>
      </c>
      <c r="M1842" s="656" t="s">
        <v>16450</v>
      </c>
      <c r="N1842" s="656"/>
      <c r="O1842" s="656" t="s">
        <v>6393</v>
      </c>
      <c r="P1842" s="5"/>
      <c r="Q1842" s="1447"/>
      <c r="R1842" s="656"/>
      <c r="S1842" s="656" t="s">
        <v>1300</v>
      </c>
      <c r="T1842" s="656" t="s">
        <v>4198</v>
      </c>
      <c r="U1842" s="656" t="s">
        <v>1300</v>
      </c>
      <c r="V1842" s="656"/>
      <c r="W1842" s="656" t="s">
        <v>13051</v>
      </c>
      <c r="X1842" s="656" t="s">
        <v>498</v>
      </c>
      <c r="Y1842" s="656" t="s">
        <v>14278</v>
      </c>
      <c r="Z1842" s="656">
        <v>44305.516689814816</v>
      </c>
      <c r="AA1842" s="656" t="s">
        <v>14335</v>
      </c>
      <c r="AB1842" s="656"/>
    </row>
    <row r="1843" spans="1:28">
      <c r="A1843" s="656" t="s">
        <v>7949</v>
      </c>
      <c r="B1843" s="656" t="s">
        <v>7950</v>
      </c>
      <c r="C1843" s="656" t="s">
        <v>21</v>
      </c>
      <c r="D1843" s="656" t="s">
        <v>10411</v>
      </c>
      <c r="E1843" s="656" t="s">
        <v>14275</v>
      </c>
      <c r="F1843" s="1491">
        <v>41087</v>
      </c>
      <c r="G1843" s="656" t="s">
        <v>10410</v>
      </c>
      <c r="H1843" s="656" t="s">
        <v>1777</v>
      </c>
      <c r="I1843" s="656" t="s">
        <v>14914</v>
      </c>
      <c r="J1843" s="656" t="s">
        <v>10411</v>
      </c>
      <c r="K1843" s="656" t="s">
        <v>10398</v>
      </c>
      <c r="L1843" s="656"/>
      <c r="M1843" s="656" t="s">
        <v>16318</v>
      </c>
      <c r="N1843" s="656"/>
      <c r="O1843" s="656" t="s">
        <v>6387</v>
      </c>
      <c r="P1843" s="5"/>
      <c r="Q1843" s="1447">
        <v>40142</v>
      </c>
      <c r="R1843" s="656">
        <v>40322</v>
      </c>
      <c r="S1843" s="656" t="s">
        <v>1394</v>
      </c>
      <c r="T1843" s="656" t="s">
        <v>14277</v>
      </c>
      <c r="U1843" s="656" t="s">
        <v>655</v>
      </c>
      <c r="V1843" s="656"/>
      <c r="W1843" s="656" t="s">
        <v>13051</v>
      </c>
      <c r="X1843" s="656" t="s">
        <v>498</v>
      </c>
      <c r="Y1843" s="656" t="s">
        <v>14278</v>
      </c>
      <c r="Z1843" s="656">
        <v>44305.516689814816</v>
      </c>
      <c r="AA1843" s="656" t="s">
        <v>14335</v>
      </c>
      <c r="AB1843" s="656"/>
    </row>
    <row r="1844" spans="1:28">
      <c r="A1844" s="656" t="s">
        <v>12188</v>
      </c>
      <c r="B1844" s="656"/>
      <c r="C1844" s="656" t="s">
        <v>21</v>
      </c>
      <c r="D1844" s="656" t="s">
        <v>12190</v>
      </c>
      <c r="E1844" s="656" t="s">
        <v>14275</v>
      </c>
      <c r="F1844" s="1491">
        <v>42278</v>
      </c>
      <c r="G1844" s="656" t="s">
        <v>12189</v>
      </c>
      <c r="H1844" s="656" t="s">
        <v>1777</v>
      </c>
      <c r="I1844" s="656" t="s">
        <v>14915</v>
      </c>
      <c r="J1844" s="656" t="s">
        <v>12190</v>
      </c>
      <c r="K1844" s="656" t="s">
        <v>9774</v>
      </c>
      <c r="L1844" s="656"/>
      <c r="M1844" s="656" t="s">
        <v>16318</v>
      </c>
      <c r="N1844" s="656"/>
      <c r="O1844" s="656" t="s">
        <v>6387</v>
      </c>
      <c r="P1844" s="5"/>
      <c r="Q1844" s="1447">
        <v>40448</v>
      </c>
      <c r="R1844" s="656">
        <v>41913</v>
      </c>
      <c r="S1844" s="656"/>
      <c r="T1844" s="656"/>
      <c r="U1844" s="656"/>
      <c r="V1844" s="656"/>
      <c r="W1844" s="656" t="s">
        <v>13051</v>
      </c>
      <c r="X1844" s="656" t="s">
        <v>498</v>
      </c>
      <c r="Y1844" s="656" t="s">
        <v>14278</v>
      </c>
      <c r="Z1844" s="656">
        <v>44305.51667824074</v>
      </c>
      <c r="AA1844" s="656" t="s">
        <v>14335</v>
      </c>
      <c r="AB1844" s="656"/>
    </row>
    <row r="1845" spans="1:28">
      <c r="A1845" s="656" t="s">
        <v>12188</v>
      </c>
      <c r="B1845" s="656"/>
      <c r="C1845" s="656" t="s">
        <v>21</v>
      </c>
      <c r="D1845" s="656" t="s">
        <v>12192</v>
      </c>
      <c r="E1845" s="656" t="s">
        <v>14275</v>
      </c>
      <c r="F1845" s="1491">
        <v>41726</v>
      </c>
      <c r="G1845" s="656" t="s">
        <v>12191</v>
      </c>
      <c r="H1845" s="656" t="s">
        <v>1777</v>
      </c>
      <c r="I1845" s="656" t="s">
        <v>14915</v>
      </c>
      <c r="J1845" s="656" t="s">
        <v>12192</v>
      </c>
      <c r="K1845" s="656" t="s">
        <v>9774</v>
      </c>
      <c r="L1845" s="656"/>
      <c r="M1845" s="656" t="s">
        <v>16318</v>
      </c>
      <c r="N1845" s="656"/>
      <c r="O1845" s="656" t="s">
        <v>6387</v>
      </c>
      <c r="P1845" s="5"/>
      <c r="Q1845" s="1447">
        <v>40448</v>
      </c>
      <c r="R1845" s="656">
        <v>40513</v>
      </c>
      <c r="S1845" s="656"/>
      <c r="T1845" s="656"/>
      <c r="U1845" s="656"/>
      <c r="V1845" s="656"/>
      <c r="W1845" s="656" t="s">
        <v>13051</v>
      </c>
      <c r="X1845" s="656" t="s">
        <v>498</v>
      </c>
      <c r="Y1845" s="656" t="s">
        <v>14278</v>
      </c>
      <c r="Z1845" s="656">
        <v>44305.51667824074</v>
      </c>
      <c r="AA1845" s="656" t="s">
        <v>14335</v>
      </c>
      <c r="AB1845" s="656"/>
    </row>
    <row r="1846" spans="1:28">
      <c r="A1846" s="656" t="s">
        <v>7973</v>
      </c>
      <c r="B1846" s="656" t="s">
        <v>7974</v>
      </c>
      <c r="C1846" s="656" t="s">
        <v>21</v>
      </c>
      <c r="D1846" s="656" t="s">
        <v>10406</v>
      </c>
      <c r="E1846" s="656" t="s">
        <v>14275</v>
      </c>
      <c r="F1846" s="1491">
        <v>42814</v>
      </c>
      <c r="G1846" s="656" t="s">
        <v>10405</v>
      </c>
      <c r="H1846" s="656" t="s">
        <v>1777</v>
      </c>
      <c r="I1846" s="656" t="s">
        <v>14916</v>
      </c>
      <c r="J1846" s="656" t="s">
        <v>10406</v>
      </c>
      <c r="K1846" s="656" t="s">
        <v>9774</v>
      </c>
      <c r="L1846" s="656"/>
      <c r="M1846" s="656" t="s">
        <v>16318</v>
      </c>
      <c r="N1846" s="656"/>
      <c r="O1846" s="656" t="s">
        <v>6387</v>
      </c>
      <c r="P1846" s="5"/>
      <c r="Q1846" s="1447">
        <v>40252</v>
      </c>
      <c r="R1846" s="656">
        <v>42342</v>
      </c>
      <c r="S1846" s="656" t="s">
        <v>1667</v>
      </c>
      <c r="T1846" s="656" t="s">
        <v>14524</v>
      </c>
      <c r="U1846" s="656" t="s">
        <v>1667</v>
      </c>
      <c r="V1846" s="656"/>
      <c r="W1846" s="656" t="s">
        <v>13051</v>
      </c>
      <c r="X1846" s="656" t="s">
        <v>498</v>
      </c>
      <c r="Y1846" s="656" t="s">
        <v>14278</v>
      </c>
      <c r="Z1846" s="656">
        <v>44305.516655092593</v>
      </c>
      <c r="AA1846" s="656" t="s">
        <v>14335</v>
      </c>
      <c r="AB1846" s="656"/>
    </row>
    <row r="1847" spans="1:28">
      <c r="A1847" s="656" t="s">
        <v>7973</v>
      </c>
      <c r="B1847" s="656" t="s">
        <v>7974</v>
      </c>
      <c r="C1847" s="656" t="s">
        <v>20</v>
      </c>
      <c r="D1847" s="656" t="s">
        <v>10407</v>
      </c>
      <c r="E1847" s="656" t="s">
        <v>14275</v>
      </c>
      <c r="F1847" s="1491">
        <v>42093</v>
      </c>
      <c r="G1847" s="656" t="s">
        <v>10405</v>
      </c>
      <c r="H1847" s="656" t="s">
        <v>1777</v>
      </c>
      <c r="I1847" s="656"/>
      <c r="J1847" s="656"/>
      <c r="K1847" s="656"/>
      <c r="L1847" s="656" t="s">
        <v>10407</v>
      </c>
      <c r="M1847" s="656" t="s">
        <v>16437</v>
      </c>
      <c r="N1847" s="656"/>
      <c r="O1847" s="656" t="s">
        <v>6387</v>
      </c>
      <c r="P1847" s="5"/>
      <c r="Q1847" s="1447"/>
      <c r="R1847" s="656"/>
      <c r="S1847" s="656" t="s">
        <v>1667</v>
      </c>
      <c r="T1847" s="656" t="s">
        <v>14524</v>
      </c>
      <c r="U1847" s="656" t="s">
        <v>1667</v>
      </c>
      <c r="V1847" s="656"/>
      <c r="W1847" s="656" t="s">
        <v>13051</v>
      </c>
      <c r="X1847" s="656" t="s">
        <v>498</v>
      </c>
      <c r="Y1847" s="656" t="s">
        <v>14278</v>
      </c>
      <c r="Z1847" s="656">
        <v>44305.516655092593</v>
      </c>
      <c r="AA1847" s="656" t="s">
        <v>14335</v>
      </c>
      <c r="AB1847" s="656"/>
    </row>
    <row r="1848" spans="1:28">
      <c r="A1848" s="656" t="s">
        <v>7973</v>
      </c>
      <c r="B1848" s="656" t="s">
        <v>7974</v>
      </c>
      <c r="C1848" s="656" t="s">
        <v>20</v>
      </c>
      <c r="D1848" s="656" t="s">
        <v>10409</v>
      </c>
      <c r="E1848" s="656" t="s">
        <v>14275</v>
      </c>
      <c r="F1848" s="1491">
        <v>43172</v>
      </c>
      <c r="G1848" s="656" t="s">
        <v>10408</v>
      </c>
      <c r="H1848" s="656" t="s">
        <v>1777</v>
      </c>
      <c r="I1848" s="656"/>
      <c r="J1848" s="656"/>
      <c r="K1848" s="656"/>
      <c r="L1848" s="656" t="s">
        <v>10409</v>
      </c>
      <c r="M1848" s="656" t="s">
        <v>16318</v>
      </c>
      <c r="N1848" s="656"/>
      <c r="O1848" s="656" t="s">
        <v>6387</v>
      </c>
      <c r="P1848" s="5"/>
      <c r="Q1848" s="1447"/>
      <c r="R1848" s="656"/>
      <c r="S1848" s="656" t="s">
        <v>1667</v>
      </c>
      <c r="T1848" s="656" t="s">
        <v>14524</v>
      </c>
      <c r="U1848" s="656" t="s">
        <v>1667</v>
      </c>
      <c r="V1848" s="656"/>
      <c r="W1848" s="656" t="s">
        <v>13051</v>
      </c>
      <c r="X1848" s="656" t="s">
        <v>498</v>
      </c>
      <c r="Y1848" s="656" t="s">
        <v>14278</v>
      </c>
      <c r="Z1848" s="656">
        <v>44305.51666666667</v>
      </c>
      <c r="AA1848" s="656" t="s">
        <v>14335</v>
      </c>
      <c r="AB1848" s="656"/>
    </row>
    <row r="1849" spans="1:28">
      <c r="A1849" s="656" t="s">
        <v>7975</v>
      </c>
      <c r="B1849" s="656" t="s">
        <v>7976</v>
      </c>
      <c r="C1849" s="656" t="s">
        <v>21</v>
      </c>
      <c r="D1849" s="656" t="s">
        <v>10403</v>
      </c>
      <c r="E1849" s="656" t="s">
        <v>14275</v>
      </c>
      <c r="F1849" s="1491">
        <v>42135</v>
      </c>
      <c r="G1849" s="656" t="s">
        <v>10402</v>
      </c>
      <c r="H1849" s="656" t="s">
        <v>1777</v>
      </c>
      <c r="I1849" s="656" t="s">
        <v>14789</v>
      </c>
      <c r="J1849" s="656" t="s">
        <v>10403</v>
      </c>
      <c r="K1849" s="656" t="s">
        <v>9750</v>
      </c>
      <c r="L1849" s="656"/>
      <c r="M1849" s="656" t="s">
        <v>16351</v>
      </c>
      <c r="N1849" s="656"/>
      <c r="O1849" s="656" t="s">
        <v>6393</v>
      </c>
      <c r="P1849" s="5"/>
      <c r="Q1849" s="1447"/>
      <c r="R1849" s="656">
        <v>41320</v>
      </c>
      <c r="S1849" s="656" t="s">
        <v>500</v>
      </c>
      <c r="T1849" s="656" t="s">
        <v>4198</v>
      </c>
      <c r="U1849" s="656" t="s">
        <v>1300</v>
      </c>
      <c r="V1849" s="656"/>
      <c r="W1849" s="656" t="s">
        <v>13051</v>
      </c>
      <c r="X1849" s="656" t="s">
        <v>498</v>
      </c>
      <c r="Y1849" s="656" t="s">
        <v>14278</v>
      </c>
      <c r="Z1849" s="656">
        <v>44305.516631944447</v>
      </c>
      <c r="AA1849" s="656" t="s">
        <v>14335</v>
      </c>
      <c r="AB1849" s="656"/>
    </row>
    <row r="1850" spans="1:28">
      <c r="A1850" s="656" t="s">
        <v>7975</v>
      </c>
      <c r="B1850" s="656" t="s">
        <v>7976</v>
      </c>
      <c r="C1850" s="656" t="s">
        <v>21</v>
      </c>
      <c r="D1850" s="656" t="s">
        <v>12187</v>
      </c>
      <c r="E1850" s="656" t="s">
        <v>14275</v>
      </c>
      <c r="F1850" s="1491">
        <v>42683</v>
      </c>
      <c r="G1850" s="656" t="s">
        <v>12186</v>
      </c>
      <c r="H1850" s="656" t="s">
        <v>1777</v>
      </c>
      <c r="I1850" s="656" t="s">
        <v>14789</v>
      </c>
      <c r="J1850" s="656" t="s">
        <v>12187</v>
      </c>
      <c r="K1850" s="656" t="s">
        <v>9774</v>
      </c>
      <c r="L1850" s="656"/>
      <c r="M1850" s="656" t="s">
        <v>16351</v>
      </c>
      <c r="N1850" s="656"/>
      <c r="O1850" s="656" t="s">
        <v>6387</v>
      </c>
      <c r="P1850" s="5"/>
      <c r="Q1850" s="1447">
        <v>42408</v>
      </c>
      <c r="R1850" s="656">
        <v>41609</v>
      </c>
      <c r="S1850" s="656" t="s">
        <v>500</v>
      </c>
      <c r="T1850" s="656"/>
      <c r="U1850" s="656"/>
      <c r="V1850" s="656"/>
      <c r="W1850" s="656" t="s">
        <v>13051</v>
      </c>
      <c r="X1850" s="656" t="s">
        <v>498</v>
      </c>
      <c r="Y1850" s="656" t="s">
        <v>14278</v>
      </c>
      <c r="Z1850" s="656">
        <v>44305.516643518517</v>
      </c>
      <c r="AA1850" s="656" t="s">
        <v>14335</v>
      </c>
      <c r="AB1850" s="656"/>
    </row>
    <row r="1851" spans="1:28">
      <c r="A1851" s="656" t="s">
        <v>7975</v>
      </c>
      <c r="B1851" s="656" t="s">
        <v>7976</v>
      </c>
      <c r="C1851" s="656" t="s">
        <v>20</v>
      </c>
      <c r="D1851" s="656" t="s">
        <v>10404</v>
      </c>
      <c r="E1851" s="656" t="s">
        <v>14275</v>
      </c>
      <c r="F1851" s="1491">
        <v>41835</v>
      </c>
      <c r="G1851" s="656" t="s">
        <v>10402</v>
      </c>
      <c r="H1851" s="656" t="s">
        <v>1777</v>
      </c>
      <c r="I1851" s="656"/>
      <c r="J1851" s="656"/>
      <c r="K1851" s="656"/>
      <c r="L1851" s="656" t="s">
        <v>10404</v>
      </c>
      <c r="M1851" s="656" t="s">
        <v>16351</v>
      </c>
      <c r="N1851" s="656"/>
      <c r="O1851" s="656" t="s">
        <v>6393</v>
      </c>
      <c r="P1851" s="5"/>
      <c r="Q1851" s="1447"/>
      <c r="R1851" s="656"/>
      <c r="S1851" s="656" t="s">
        <v>500</v>
      </c>
      <c r="T1851" s="656" t="s">
        <v>4198</v>
      </c>
      <c r="U1851" s="656" t="s">
        <v>1300</v>
      </c>
      <c r="V1851" s="656"/>
      <c r="W1851" s="656" t="s">
        <v>13051</v>
      </c>
      <c r="X1851" s="656" t="s">
        <v>498</v>
      </c>
      <c r="Y1851" s="656" t="s">
        <v>14278</v>
      </c>
      <c r="Z1851" s="656">
        <v>44305.516643518517</v>
      </c>
      <c r="AA1851" s="656" t="s">
        <v>14335</v>
      </c>
      <c r="AB1851" s="656"/>
    </row>
    <row r="1852" spans="1:28">
      <c r="A1852" s="656" t="s">
        <v>7981</v>
      </c>
      <c r="B1852" s="656" t="s">
        <v>7982</v>
      </c>
      <c r="C1852" s="656" t="s">
        <v>21</v>
      </c>
      <c r="D1852" s="656" t="s">
        <v>10400</v>
      </c>
      <c r="E1852" s="656" t="s">
        <v>14275</v>
      </c>
      <c r="F1852" s="1491">
        <v>42879</v>
      </c>
      <c r="G1852" s="656" t="s">
        <v>10399</v>
      </c>
      <c r="H1852" s="656" t="s">
        <v>1777</v>
      </c>
      <c r="I1852" s="656" t="s">
        <v>14917</v>
      </c>
      <c r="J1852" s="656" t="s">
        <v>10400</v>
      </c>
      <c r="K1852" s="656" t="s">
        <v>9750</v>
      </c>
      <c r="L1852" s="656"/>
      <c r="M1852" s="656" t="s">
        <v>16196</v>
      </c>
      <c r="N1852" s="656"/>
      <c r="O1852" s="656" t="s">
        <v>6393</v>
      </c>
      <c r="P1852" s="5"/>
      <c r="Q1852" s="1447">
        <v>40765</v>
      </c>
      <c r="R1852" s="656">
        <v>42692</v>
      </c>
      <c r="S1852" s="656" t="s">
        <v>1300</v>
      </c>
      <c r="T1852" s="656" t="s">
        <v>4198</v>
      </c>
      <c r="U1852" s="656" t="s">
        <v>1300</v>
      </c>
      <c r="V1852" s="656"/>
      <c r="W1852" s="656" t="s">
        <v>13051</v>
      </c>
      <c r="X1852" s="656" t="s">
        <v>498</v>
      </c>
      <c r="Y1852" s="656" t="s">
        <v>14278</v>
      </c>
      <c r="Z1852" s="656">
        <v>44305.516631944447</v>
      </c>
      <c r="AA1852" s="656" t="s">
        <v>14335</v>
      </c>
      <c r="AB1852" s="656"/>
    </row>
    <row r="1853" spans="1:28">
      <c r="A1853" s="656" t="s">
        <v>7981</v>
      </c>
      <c r="B1853" s="656" t="s">
        <v>7982</v>
      </c>
      <c r="C1853" s="656" t="s">
        <v>20</v>
      </c>
      <c r="D1853" s="656" t="s">
        <v>10401</v>
      </c>
      <c r="E1853" s="656" t="s">
        <v>14275</v>
      </c>
      <c r="F1853" s="1491">
        <v>42887</v>
      </c>
      <c r="G1853" s="656" t="s">
        <v>10399</v>
      </c>
      <c r="H1853" s="656" t="s">
        <v>1777</v>
      </c>
      <c r="I1853" s="656"/>
      <c r="J1853" s="656"/>
      <c r="K1853" s="656"/>
      <c r="L1853" s="656" t="s">
        <v>10401</v>
      </c>
      <c r="M1853" s="656" t="s">
        <v>16196</v>
      </c>
      <c r="N1853" s="656"/>
      <c r="O1853" s="656" t="s">
        <v>6393</v>
      </c>
      <c r="P1853" s="5"/>
      <c r="Q1853" s="1447"/>
      <c r="R1853" s="656"/>
      <c r="S1853" s="656" t="s">
        <v>1300</v>
      </c>
      <c r="T1853" s="656" t="s">
        <v>4198</v>
      </c>
      <c r="U1853" s="656" t="s">
        <v>1300</v>
      </c>
      <c r="V1853" s="656"/>
      <c r="W1853" s="656" t="s">
        <v>13051</v>
      </c>
      <c r="X1853" s="656" t="s">
        <v>498</v>
      </c>
      <c r="Y1853" s="656" t="s">
        <v>14278</v>
      </c>
      <c r="Z1853" s="656">
        <v>44305.516631944447</v>
      </c>
      <c r="AA1853" s="656" t="s">
        <v>14335</v>
      </c>
      <c r="AB1853" s="656"/>
    </row>
    <row r="1854" spans="1:28">
      <c r="A1854" s="656" t="s">
        <v>8039</v>
      </c>
      <c r="B1854" s="656" t="s">
        <v>8040</v>
      </c>
      <c r="C1854" s="656" t="s">
        <v>21</v>
      </c>
      <c r="D1854" s="656" t="s">
        <v>12113</v>
      </c>
      <c r="E1854" s="656" t="s">
        <v>14275</v>
      </c>
      <c r="F1854" s="1491">
        <v>40813</v>
      </c>
      <c r="G1854" s="656" t="s">
        <v>12112</v>
      </c>
      <c r="H1854" s="656" t="s">
        <v>1777</v>
      </c>
      <c r="I1854" s="656" t="s">
        <v>14918</v>
      </c>
      <c r="J1854" s="656" t="s">
        <v>12113</v>
      </c>
      <c r="K1854" s="656" t="s">
        <v>9774</v>
      </c>
      <c r="L1854" s="656"/>
      <c r="M1854" s="656" t="s">
        <v>16398</v>
      </c>
      <c r="N1854" s="656"/>
      <c r="O1854" s="656" t="s">
        <v>6395</v>
      </c>
      <c r="P1854" s="5"/>
      <c r="Q1854" s="1447">
        <v>40241</v>
      </c>
      <c r="R1854" s="656">
        <v>40512</v>
      </c>
      <c r="S1854" s="656"/>
      <c r="T1854" s="656"/>
      <c r="U1854" s="656"/>
      <c r="V1854" s="656"/>
      <c r="W1854" s="656" t="s">
        <v>13051</v>
      </c>
      <c r="X1854" s="656" t="s">
        <v>498</v>
      </c>
      <c r="Y1854" s="656" t="s">
        <v>14278</v>
      </c>
      <c r="Z1854" s="656">
        <v>44305.51662037037</v>
      </c>
      <c r="AA1854" s="656" t="s">
        <v>14335</v>
      </c>
      <c r="AB1854" s="656"/>
    </row>
    <row r="1855" spans="1:28">
      <c r="A1855" s="656" t="s">
        <v>8061</v>
      </c>
      <c r="B1855" s="656" t="s">
        <v>8062</v>
      </c>
      <c r="C1855" s="656" t="s">
        <v>21</v>
      </c>
      <c r="D1855" s="656" t="s">
        <v>10397</v>
      </c>
      <c r="E1855" s="656" t="s">
        <v>14275</v>
      </c>
      <c r="F1855" s="1491">
        <v>41719</v>
      </c>
      <c r="G1855" s="656" t="s">
        <v>10396</v>
      </c>
      <c r="H1855" s="656" t="s">
        <v>1584</v>
      </c>
      <c r="I1855" s="656" t="s">
        <v>14919</v>
      </c>
      <c r="J1855" s="656" t="s">
        <v>10397</v>
      </c>
      <c r="K1855" s="656" t="s">
        <v>10398</v>
      </c>
      <c r="L1855" s="656"/>
      <c r="M1855" s="656" t="s">
        <v>1584</v>
      </c>
      <c r="N1855" s="656"/>
      <c r="O1855" s="656" t="s">
        <v>6387</v>
      </c>
      <c r="P1855" s="5"/>
      <c r="Q1855" s="1447"/>
      <c r="R1855" s="656">
        <v>40786</v>
      </c>
      <c r="S1855" s="656" t="s">
        <v>1394</v>
      </c>
      <c r="T1855" s="656" t="s">
        <v>14524</v>
      </c>
      <c r="U1855" s="656" t="s">
        <v>1667</v>
      </c>
      <c r="V1855" s="656"/>
      <c r="W1855" s="656" t="s">
        <v>13051</v>
      </c>
      <c r="X1855" s="656" t="s">
        <v>498</v>
      </c>
      <c r="Y1855" s="656" t="s">
        <v>14278</v>
      </c>
      <c r="Z1855" s="656">
        <v>44305.51662037037</v>
      </c>
      <c r="AA1855" s="656" t="s">
        <v>14335</v>
      </c>
      <c r="AB1855" s="656"/>
    </row>
    <row r="1856" spans="1:28">
      <c r="A1856" s="656" t="s">
        <v>8063</v>
      </c>
      <c r="B1856" s="656" t="s">
        <v>8064</v>
      </c>
      <c r="C1856" s="656" t="s">
        <v>21</v>
      </c>
      <c r="D1856" s="656" t="s">
        <v>10392</v>
      </c>
      <c r="E1856" s="656" t="s">
        <v>14275</v>
      </c>
      <c r="F1856" s="1491">
        <v>42814</v>
      </c>
      <c r="G1856" s="656" t="s">
        <v>10391</v>
      </c>
      <c r="H1856" s="656" t="s">
        <v>1777</v>
      </c>
      <c r="I1856" s="656" t="s">
        <v>14920</v>
      </c>
      <c r="J1856" s="656" t="s">
        <v>10392</v>
      </c>
      <c r="K1856" s="656" t="s">
        <v>9782</v>
      </c>
      <c r="L1856" s="656"/>
      <c r="M1856" s="656" t="s">
        <v>16460</v>
      </c>
      <c r="N1856" s="656"/>
      <c r="O1856" s="656" t="s">
        <v>6387</v>
      </c>
      <c r="P1856" s="5"/>
      <c r="Q1856" s="1447">
        <v>40182</v>
      </c>
      <c r="R1856" s="656">
        <v>42116</v>
      </c>
      <c r="S1856" s="656" t="s">
        <v>1667</v>
      </c>
      <c r="T1856" s="656" t="s">
        <v>14524</v>
      </c>
      <c r="U1856" s="656" t="s">
        <v>1667</v>
      </c>
      <c r="V1856" s="656"/>
      <c r="W1856" s="656" t="s">
        <v>13051</v>
      </c>
      <c r="X1856" s="656" t="s">
        <v>498</v>
      </c>
      <c r="Y1856" s="656" t="s">
        <v>14278</v>
      </c>
      <c r="Z1856" s="656">
        <v>44305.516597222224</v>
      </c>
      <c r="AA1856" s="656" t="s">
        <v>14335</v>
      </c>
      <c r="AB1856" s="656"/>
    </row>
    <row r="1857" spans="1:28">
      <c r="A1857" s="656" t="s">
        <v>8063</v>
      </c>
      <c r="B1857" s="656" t="s">
        <v>8064</v>
      </c>
      <c r="C1857" s="656" t="s">
        <v>21</v>
      </c>
      <c r="D1857" s="656" t="s">
        <v>10393</v>
      </c>
      <c r="E1857" s="656" t="s">
        <v>14275</v>
      </c>
      <c r="F1857" s="1491">
        <v>42814</v>
      </c>
      <c r="G1857" s="656" t="s">
        <v>10391</v>
      </c>
      <c r="H1857" s="656" t="s">
        <v>1777</v>
      </c>
      <c r="I1857" s="656" t="s">
        <v>14921</v>
      </c>
      <c r="J1857" s="656" t="s">
        <v>10393</v>
      </c>
      <c r="K1857" s="656" t="s">
        <v>9774</v>
      </c>
      <c r="L1857" s="656"/>
      <c r="M1857" s="656" t="s">
        <v>16460</v>
      </c>
      <c r="N1857" s="656"/>
      <c r="O1857" s="656" t="s">
        <v>6387</v>
      </c>
      <c r="P1857" s="5"/>
      <c r="Q1857" s="1447">
        <v>42153</v>
      </c>
      <c r="R1857" s="656">
        <v>42116</v>
      </c>
      <c r="S1857" s="656" t="s">
        <v>1667</v>
      </c>
      <c r="T1857" s="656" t="s">
        <v>14524</v>
      </c>
      <c r="U1857" s="656" t="s">
        <v>1667</v>
      </c>
      <c r="V1857" s="656"/>
      <c r="W1857" s="656" t="s">
        <v>13051</v>
      </c>
      <c r="X1857" s="656" t="s">
        <v>498</v>
      </c>
      <c r="Y1857" s="656" t="s">
        <v>14278</v>
      </c>
      <c r="Z1857" s="656">
        <v>44305.516597222224</v>
      </c>
      <c r="AA1857" s="656" t="s">
        <v>14335</v>
      </c>
      <c r="AB1857" s="656"/>
    </row>
    <row r="1858" spans="1:28">
      <c r="A1858" s="656" t="s">
        <v>8063</v>
      </c>
      <c r="B1858" s="656" t="s">
        <v>8064</v>
      </c>
      <c r="C1858" s="656" t="s">
        <v>20</v>
      </c>
      <c r="D1858" s="656" t="s">
        <v>10394</v>
      </c>
      <c r="E1858" s="656" t="s">
        <v>14275</v>
      </c>
      <c r="F1858" s="1491">
        <v>42739</v>
      </c>
      <c r="G1858" s="656" t="s">
        <v>10391</v>
      </c>
      <c r="H1858" s="656" t="s">
        <v>1777</v>
      </c>
      <c r="I1858" s="656"/>
      <c r="J1858" s="656"/>
      <c r="K1858" s="656"/>
      <c r="L1858" s="656" t="s">
        <v>10394</v>
      </c>
      <c r="M1858" s="656" t="s">
        <v>16461</v>
      </c>
      <c r="N1858" s="656"/>
      <c r="O1858" s="656" t="s">
        <v>6387</v>
      </c>
      <c r="P1858" s="5"/>
      <c r="Q1858" s="1447"/>
      <c r="R1858" s="656"/>
      <c r="S1858" s="656" t="s">
        <v>1667</v>
      </c>
      <c r="T1858" s="656" t="s">
        <v>14524</v>
      </c>
      <c r="U1858" s="656" t="s">
        <v>1667</v>
      </c>
      <c r="V1858" s="656"/>
      <c r="W1858" s="656" t="s">
        <v>13051</v>
      </c>
      <c r="X1858" s="656" t="s">
        <v>498</v>
      </c>
      <c r="Y1858" s="656" t="s">
        <v>14278</v>
      </c>
      <c r="Z1858" s="656">
        <v>44305.516608796293</v>
      </c>
      <c r="AA1858" s="656" t="s">
        <v>14335</v>
      </c>
      <c r="AB1858" s="656"/>
    </row>
    <row r="1859" spans="1:28">
      <c r="A1859" s="656" t="s">
        <v>8063</v>
      </c>
      <c r="B1859" s="656" t="s">
        <v>8064</v>
      </c>
      <c r="C1859" s="656" t="s">
        <v>20</v>
      </c>
      <c r="D1859" s="656" t="s">
        <v>10395</v>
      </c>
      <c r="E1859" s="656" t="s">
        <v>14275</v>
      </c>
      <c r="F1859" s="1491">
        <v>42872</v>
      </c>
      <c r="G1859" s="656" t="s">
        <v>10391</v>
      </c>
      <c r="H1859" s="656" t="s">
        <v>1777</v>
      </c>
      <c r="I1859" s="656"/>
      <c r="J1859" s="656"/>
      <c r="K1859" s="656"/>
      <c r="L1859" s="656" t="s">
        <v>10395</v>
      </c>
      <c r="M1859" s="656" t="s">
        <v>16460</v>
      </c>
      <c r="N1859" s="656"/>
      <c r="O1859" s="656" t="s">
        <v>6387</v>
      </c>
      <c r="P1859" s="5"/>
      <c r="Q1859" s="1447">
        <v>41848</v>
      </c>
      <c r="R1859" s="656"/>
      <c r="S1859" s="656" t="s">
        <v>1667</v>
      </c>
      <c r="T1859" s="656" t="s">
        <v>14524</v>
      </c>
      <c r="U1859" s="656" t="s">
        <v>1667</v>
      </c>
      <c r="V1859" s="656"/>
      <c r="W1859" s="656" t="s">
        <v>13051</v>
      </c>
      <c r="X1859" s="656" t="s">
        <v>498</v>
      </c>
      <c r="Y1859" s="656" t="s">
        <v>14278</v>
      </c>
      <c r="Z1859" s="656">
        <v>44305.516608796293</v>
      </c>
      <c r="AA1859" s="656" t="s">
        <v>14335</v>
      </c>
      <c r="AB1859" s="656"/>
    </row>
    <row r="1860" spans="1:28">
      <c r="A1860" s="656" t="s">
        <v>8065</v>
      </c>
      <c r="B1860" s="656" t="s">
        <v>8066</v>
      </c>
      <c r="C1860" s="656" t="s">
        <v>21</v>
      </c>
      <c r="D1860" s="656" t="s">
        <v>10386</v>
      </c>
      <c r="E1860" s="656" t="s">
        <v>14275</v>
      </c>
      <c r="F1860" s="1491">
        <v>42775</v>
      </c>
      <c r="G1860" s="656" t="s">
        <v>10385</v>
      </c>
      <c r="H1860" s="656" t="s">
        <v>1584</v>
      </c>
      <c r="I1860" s="656" t="s">
        <v>14922</v>
      </c>
      <c r="J1860" s="656" t="s">
        <v>10386</v>
      </c>
      <c r="K1860" s="656" t="s">
        <v>9782</v>
      </c>
      <c r="L1860" s="656"/>
      <c r="M1860" s="656" t="s">
        <v>1584</v>
      </c>
      <c r="N1860" s="656"/>
      <c r="O1860" s="656" t="s">
        <v>6387</v>
      </c>
      <c r="P1860" s="5"/>
      <c r="Q1860" s="1447"/>
      <c r="R1860" s="656">
        <v>42046</v>
      </c>
      <c r="S1860" s="656" t="s">
        <v>1667</v>
      </c>
      <c r="T1860" s="656" t="s">
        <v>14524</v>
      </c>
      <c r="U1860" s="656" t="s">
        <v>1667</v>
      </c>
      <c r="V1860" s="656"/>
      <c r="W1860" s="656" t="s">
        <v>13051</v>
      </c>
      <c r="X1860" s="656" t="s">
        <v>498</v>
      </c>
      <c r="Y1860" s="656" t="s">
        <v>14278</v>
      </c>
      <c r="Z1860" s="656">
        <v>44305.516574074078</v>
      </c>
      <c r="AA1860" s="656" t="s">
        <v>14335</v>
      </c>
      <c r="AB1860" s="656"/>
    </row>
    <row r="1861" spans="1:28">
      <c r="A1861" s="656" t="s">
        <v>8065</v>
      </c>
      <c r="B1861" s="656" t="s">
        <v>8066</v>
      </c>
      <c r="C1861" s="656" t="s">
        <v>21</v>
      </c>
      <c r="D1861" s="656" t="s">
        <v>10388</v>
      </c>
      <c r="E1861" s="656" t="s">
        <v>14275</v>
      </c>
      <c r="F1861" s="1491">
        <v>42179</v>
      </c>
      <c r="G1861" s="656" t="s">
        <v>10387</v>
      </c>
      <c r="H1861" s="656" t="s">
        <v>1584</v>
      </c>
      <c r="I1861" s="656" t="s">
        <v>14923</v>
      </c>
      <c r="J1861" s="656" t="s">
        <v>10388</v>
      </c>
      <c r="K1861" s="656" t="s">
        <v>9782</v>
      </c>
      <c r="L1861" s="656"/>
      <c r="M1861" s="656" t="s">
        <v>1584</v>
      </c>
      <c r="N1861" s="656"/>
      <c r="O1861" s="656" t="s">
        <v>6387</v>
      </c>
      <c r="P1861" s="5"/>
      <c r="Q1861" s="1447"/>
      <c r="R1861" s="656">
        <v>42046</v>
      </c>
      <c r="S1861" s="656" t="s">
        <v>1667</v>
      </c>
      <c r="T1861" s="656" t="s">
        <v>14524</v>
      </c>
      <c r="U1861" s="656" t="s">
        <v>1667</v>
      </c>
      <c r="V1861" s="656"/>
      <c r="W1861" s="656" t="s">
        <v>13051</v>
      </c>
      <c r="X1861" s="656" t="s">
        <v>498</v>
      </c>
      <c r="Y1861" s="656" t="s">
        <v>14278</v>
      </c>
      <c r="Z1861" s="656">
        <v>44305.516585648147</v>
      </c>
      <c r="AA1861" s="656" t="s">
        <v>14335</v>
      </c>
      <c r="AB1861" s="656"/>
    </row>
    <row r="1862" spans="1:28">
      <c r="A1862" s="656" t="s">
        <v>8065</v>
      </c>
      <c r="B1862" s="656" t="s">
        <v>8066</v>
      </c>
      <c r="C1862" s="656" t="s">
        <v>20</v>
      </c>
      <c r="D1862" s="656" t="s">
        <v>10389</v>
      </c>
      <c r="E1862" s="656" t="s">
        <v>14275</v>
      </c>
      <c r="F1862" s="1491">
        <v>42839</v>
      </c>
      <c r="G1862" s="656" t="s">
        <v>10385</v>
      </c>
      <c r="H1862" s="656" t="s">
        <v>1777</v>
      </c>
      <c r="I1862" s="656"/>
      <c r="J1862" s="656"/>
      <c r="K1862" s="656"/>
      <c r="L1862" s="656" t="s">
        <v>10389</v>
      </c>
      <c r="M1862" s="656" t="s">
        <v>12703</v>
      </c>
      <c r="N1862" s="656"/>
      <c r="O1862" s="656" t="s">
        <v>6387</v>
      </c>
      <c r="P1862" s="5"/>
      <c r="Q1862" s="1447"/>
      <c r="R1862" s="656"/>
      <c r="S1862" s="656" t="s">
        <v>1667</v>
      </c>
      <c r="T1862" s="656" t="s">
        <v>14524</v>
      </c>
      <c r="U1862" s="656" t="s">
        <v>1667</v>
      </c>
      <c r="V1862" s="656"/>
      <c r="W1862" s="656" t="s">
        <v>13051</v>
      </c>
      <c r="X1862" s="656" t="s">
        <v>498</v>
      </c>
      <c r="Y1862" s="656" t="s">
        <v>14278</v>
      </c>
      <c r="Z1862" s="656">
        <v>44306.416770833333</v>
      </c>
      <c r="AA1862" s="656" t="s">
        <v>15959</v>
      </c>
      <c r="AB1862" s="656"/>
    </row>
    <row r="1863" spans="1:28">
      <c r="A1863" s="656" t="s">
        <v>8065</v>
      </c>
      <c r="B1863" s="656" t="s">
        <v>8066</v>
      </c>
      <c r="C1863" s="656" t="s">
        <v>20</v>
      </c>
      <c r="D1863" s="656" t="s">
        <v>10390</v>
      </c>
      <c r="E1863" s="656" t="s">
        <v>14275</v>
      </c>
      <c r="F1863" s="1491">
        <v>42872</v>
      </c>
      <c r="G1863" s="656" t="s">
        <v>10385</v>
      </c>
      <c r="H1863" s="656" t="s">
        <v>1777</v>
      </c>
      <c r="I1863" s="656"/>
      <c r="J1863" s="656"/>
      <c r="K1863" s="656"/>
      <c r="L1863" s="656" t="s">
        <v>10390</v>
      </c>
      <c r="M1863" s="656" t="s">
        <v>16462</v>
      </c>
      <c r="N1863" s="656"/>
      <c r="O1863" s="656" t="s">
        <v>6387</v>
      </c>
      <c r="P1863" s="5"/>
      <c r="Q1863" s="1447">
        <v>41848</v>
      </c>
      <c r="R1863" s="656"/>
      <c r="S1863" s="656" t="s">
        <v>1667</v>
      </c>
      <c r="T1863" s="656" t="s">
        <v>14524</v>
      </c>
      <c r="U1863" s="656" t="s">
        <v>1667</v>
      </c>
      <c r="V1863" s="656"/>
      <c r="W1863" s="656" t="s">
        <v>13051</v>
      </c>
      <c r="X1863" s="656" t="s">
        <v>498</v>
      </c>
      <c r="Y1863" s="656" t="s">
        <v>14278</v>
      </c>
      <c r="Z1863" s="656">
        <v>44305.516597222224</v>
      </c>
      <c r="AA1863" s="656" t="s">
        <v>14335</v>
      </c>
      <c r="AB1863" s="656"/>
    </row>
    <row r="1864" spans="1:28">
      <c r="A1864" s="656" t="s">
        <v>8097</v>
      </c>
      <c r="B1864" s="656" t="s">
        <v>12183</v>
      </c>
      <c r="C1864" s="656" t="s">
        <v>21</v>
      </c>
      <c r="D1864" s="656" t="s">
        <v>12185</v>
      </c>
      <c r="E1864" s="656" t="s">
        <v>14384</v>
      </c>
      <c r="F1864" s="1491">
        <v>42278</v>
      </c>
      <c r="G1864" s="656" t="s">
        <v>12184</v>
      </c>
      <c r="H1864" s="656" t="s">
        <v>1777</v>
      </c>
      <c r="I1864" s="656" t="s">
        <v>14924</v>
      </c>
      <c r="J1864" s="656" t="s">
        <v>12185</v>
      </c>
      <c r="K1864" s="656" t="s">
        <v>9774</v>
      </c>
      <c r="L1864" s="656"/>
      <c r="M1864" s="656" t="s">
        <v>16463</v>
      </c>
      <c r="N1864" s="656"/>
      <c r="O1864" s="656" t="s">
        <v>6387</v>
      </c>
      <c r="P1864" s="5"/>
      <c r="Q1864" s="1447">
        <v>40445</v>
      </c>
      <c r="R1864" s="656"/>
      <c r="S1864" s="656" t="s">
        <v>655</v>
      </c>
      <c r="T1864" s="656"/>
      <c r="U1864" s="656"/>
      <c r="V1864" s="656"/>
      <c r="W1864" s="656" t="s">
        <v>13051</v>
      </c>
      <c r="X1864" s="656" t="s">
        <v>498</v>
      </c>
      <c r="Y1864" s="656" t="s">
        <v>14278</v>
      </c>
      <c r="Z1864" s="656">
        <v>44305.516574074078</v>
      </c>
      <c r="AA1864" s="656" t="s">
        <v>14335</v>
      </c>
      <c r="AB1864" s="656"/>
    </row>
    <row r="1865" spans="1:28">
      <c r="A1865" s="656" t="s">
        <v>8099</v>
      </c>
      <c r="B1865" s="656" t="s">
        <v>8100</v>
      </c>
      <c r="C1865" s="656" t="s">
        <v>21</v>
      </c>
      <c r="D1865" s="656" t="s">
        <v>10384</v>
      </c>
      <c r="E1865" s="656" t="s">
        <v>14275</v>
      </c>
      <c r="F1865" s="1491">
        <v>41760</v>
      </c>
      <c r="G1865" s="656" t="s">
        <v>10383</v>
      </c>
      <c r="H1865" s="656" t="s">
        <v>1777</v>
      </c>
      <c r="I1865" s="656" t="s">
        <v>14925</v>
      </c>
      <c r="J1865" s="656" t="s">
        <v>10384</v>
      </c>
      <c r="K1865" s="656" t="s">
        <v>9733</v>
      </c>
      <c r="L1865" s="656"/>
      <c r="M1865" s="656" t="s">
        <v>16464</v>
      </c>
      <c r="N1865" s="656"/>
      <c r="O1865" s="656" t="s">
        <v>6395</v>
      </c>
      <c r="P1865" s="5"/>
      <c r="Q1865" s="1447"/>
      <c r="R1865" s="656">
        <v>40633</v>
      </c>
      <c r="S1865" s="656" t="s">
        <v>1394</v>
      </c>
      <c r="T1865" s="656" t="s">
        <v>14280</v>
      </c>
      <c r="U1865" s="656" t="s">
        <v>1394</v>
      </c>
      <c r="V1865" s="656"/>
      <c r="W1865" s="656" t="s">
        <v>13051</v>
      </c>
      <c r="X1865" s="656" t="s">
        <v>498</v>
      </c>
      <c r="Y1865" s="656" t="s">
        <v>14278</v>
      </c>
      <c r="Z1865" s="656">
        <v>44305.516562500001</v>
      </c>
      <c r="AA1865" s="656" t="s">
        <v>14335</v>
      </c>
      <c r="AB1865" s="656"/>
    </row>
    <row r="1866" spans="1:28">
      <c r="A1866" s="656" t="s">
        <v>8123</v>
      </c>
      <c r="B1866" s="656" t="s">
        <v>8124</v>
      </c>
      <c r="C1866" s="656" t="s">
        <v>21</v>
      </c>
      <c r="D1866" s="656" t="s">
        <v>10381</v>
      </c>
      <c r="E1866" s="656" t="s">
        <v>14275</v>
      </c>
      <c r="F1866" s="1491">
        <v>42368</v>
      </c>
      <c r="G1866" s="656" t="s">
        <v>10380</v>
      </c>
      <c r="H1866" s="656" t="s">
        <v>1777</v>
      </c>
      <c r="I1866" s="656" t="s">
        <v>14926</v>
      </c>
      <c r="J1866" s="656" t="s">
        <v>10381</v>
      </c>
      <c r="K1866" s="656" t="s">
        <v>9721</v>
      </c>
      <c r="L1866" s="656"/>
      <c r="M1866" s="656" t="s">
        <v>16196</v>
      </c>
      <c r="N1866" s="656"/>
      <c r="O1866" s="656" t="s">
        <v>9714</v>
      </c>
      <c r="P1866" s="5"/>
      <c r="Q1866" s="1447"/>
      <c r="R1866" s="656">
        <v>41061</v>
      </c>
      <c r="S1866" s="656" t="s">
        <v>1394</v>
      </c>
      <c r="T1866" s="656" t="s">
        <v>282</v>
      </c>
      <c r="U1866" s="656" t="s">
        <v>1394</v>
      </c>
      <c r="V1866" s="656"/>
      <c r="W1866" s="656" t="s">
        <v>13051</v>
      </c>
      <c r="X1866" s="656" t="s">
        <v>498</v>
      </c>
      <c r="Y1866" s="656" t="s">
        <v>14278</v>
      </c>
      <c r="Z1866" s="656">
        <v>44305.516550925924</v>
      </c>
      <c r="AA1866" s="656" t="s">
        <v>14335</v>
      </c>
      <c r="AB1866" s="656"/>
    </row>
    <row r="1867" spans="1:28">
      <c r="A1867" s="656" t="s">
        <v>8123</v>
      </c>
      <c r="B1867" s="656" t="s">
        <v>8124</v>
      </c>
      <c r="C1867" s="656" t="s">
        <v>20</v>
      </c>
      <c r="D1867" s="656" t="s">
        <v>10382</v>
      </c>
      <c r="E1867" s="656" t="s">
        <v>14275</v>
      </c>
      <c r="F1867" s="1491">
        <v>42115</v>
      </c>
      <c r="G1867" s="656" t="s">
        <v>10380</v>
      </c>
      <c r="H1867" s="656" t="s">
        <v>1777</v>
      </c>
      <c r="I1867" s="656"/>
      <c r="J1867" s="656"/>
      <c r="K1867" s="656"/>
      <c r="L1867" s="656" t="s">
        <v>10382</v>
      </c>
      <c r="M1867" s="656" t="s">
        <v>16196</v>
      </c>
      <c r="N1867" s="656"/>
      <c r="O1867" s="656" t="s">
        <v>9714</v>
      </c>
      <c r="P1867" s="5"/>
      <c r="Q1867" s="1447"/>
      <c r="R1867" s="656"/>
      <c r="S1867" s="656" t="s">
        <v>1394</v>
      </c>
      <c r="T1867" s="656" t="s">
        <v>282</v>
      </c>
      <c r="U1867" s="656" t="s">
        <v>1394</v>
      </c>
      <c r="V1867" s="656"/>
      <c r="W1867" s="656" t="s">
        <v>13051</v>
      </c>
      <c r="X1867" s="656" t="s">
        <v>498</v>
      </c>
      <c r="Y1867" s="656" t="s">
        <v>14278</v>
      </c>
      <c r="Z1867" s="656">
        <v>44305.516550925924</v>
      </c>
      <c r="AA1867" s="656" t="s">
        <v>14335</v>
      </c>
      <c r="AB1867" s="656"/>
    </row>
    <row r="1868" spans="1:28">
      <c r="A1868" s="656" t="s">
        <v>8125</v>
      </c>
      <c r="B1868" s="656" t="s">
        <v>8126</v>
      </c>
      <c r="C1868" s="656" t="s">
        <v>21</v>
      </c>
      <c r="D1868" s="656" t="s">
        <v>10379</v>
      </c>
      <c r="E1868" s="656" t="s">
        <v>14275</v>
      </c>
      <c r="F1868" s="1491">
        <v>42297</v>
      </c>
      <c r="G1868" s="656" t="s">
        <v>10378</v>
      </c>
      <c r="H1868" s="656" t="s">
        <v>1777</v>
      </c>
      <c r="I1868" s="656" t="s">
        <v>14927</v>
      </c>
      <c r="J1868" s="656" t="s">
        <v>10379</v>
      </c>
      <c r="K1868" s="656" t="s">
        <v>9721</v>
      </c>
      <c r="L1868" s="656"/>
      <c r="M1868" s="656" t="s">
        <v>16196</v>
      </c>
      <c r="N1868" s="656"/>
      <c r="O1868" s="656" t="s">
        <v>9714</v>
      </c>
      <c r="P1868" s="5"/>
      <c r="Q1868" s="1447"/>
      <c r="R1868" s="656">
        <v>40896</v>
      </c>
      <c r="S1868" s="656" t="s">
        <v>1394</v>
      </c>
      <c r="T1868" s="656" t="s">
        <v>282</v>
      </c>
      <c r="U1868" s="656" t="s">
        <v>1394</v>
      </c>
      <c r="V1868" s="656"/>
      <c r="W1868" s="656" t="s">
        <v>13051</v>
      </c>
      <c r="X1868" s="656" t="s">
        <v>498</v>
      </c>
      <c r="Y1868" s="656" t="s">
        <v>14278</v>
      </c>
      <c r="Z1868" s="656">
        <v>44305.516539351855</v>
      </c>
      <c r="AA1868" s="656" t="s">
        <v>14335</v>
      </c>
      <c r="AB1868" s="656"/>
    </row>
    <row r="1869" spans="1:28">
      <c r="A1869" s="656" t="s">
        <v>8127</v>
      </c>
      <c r="B1869" s="656" t="s">
        <v>8128</v>
      </c>
      <c r="C1869" s="656" t="s">
        <v>21</v>
      </c>
      <c r="D1869" s="656" t="s">
        <v>10377</v>
      </c>
      <c r="E1869" s="656" t="s">
        <v>14275</v>
      </c>
      <c r="F1869" s="1491">
        <v>42607</v>
      </c>
      <c r="G1869" s="656" t="s">
        <v>10376</v>
      </c>
      <c r="H1869" s="656" t="s">
        <v>1777</v>
      </c>
      <c r="I1869" s="656" t="s">
        <v>14928</v>
      </c>
      <c r="J1869" s="656" t="s">
        <v>10377</v>
      </c>
      <c r="K1869" s="656" t="s">
        <v>9721</v>
      </c>
      <c r="L1869" s="656"/>
      <c r="M1869" s="656" t="s">
        <v>16196</v>
      </c>
      <c r="N1869" s="656"/>
      <c r="O1869" s="656" t="s">
        <v>9714</v>
      </c>
      <c r="P1869" s="5"/>
      <c r="Q1869" s="1447"/>
      <c r="R1869" s="656">
        <v>41929</v>
      </c>
      <c r="S1869" s="656" t="s">
        <v>1394</v>
      </c>
      <c r="T1869" s="656" t="s">
        <v>282</v>
      </c>
      <c r="U1869" s="656" t="s">
        <v>1394</v>
      </c>
      <c r="V1869" s="656"/>
      <c r="W1869" s="656" t="s">
        <v>13051</v>
      </c>
      <c r="X1869" s="656" t="s">
        <v>498</v>
      </c>
      <c r="Y1869" s="656" t="s">
        <v>14278</v>
      </c>
      <c r="Z1869" s="656">
        <v>44305.516527777778</v>
      </c>
      <c r="AA1869" s="656" t="s">
        <v>14335</v>
      </c>
      <c r="AB1869" s="656"/>
    </row>
    <row r="1870" spans="1:28">
      <c r="A1870" s="656" t="s">
        <v>8129</v>
      </c>
      <c r="B1870" s="656" t="s">
        <v>10373</v>
      </c>
      <c r="C1870" s="656" t="s">
        <v>21</v>
      </c>
      <c r="D1870" s="656" t="s">
        <v>10375</v>
      </c>
      <c r="E1870" s="656" t="s">
        <v>14275</v>
      </c>
      <c r="F1870" s="1491">
        <v>40813</v>
      </c>
      <c r="G1870" s="656" t="s">
        <v>10374</v>
      </c>
      <c r="H1870" s="656" t="s">
        <v>1777</v>
      </c>
      <c r="I1870" s="656" t="s">
        <v>14929</v>
      </c>
      <c r="J1870" s="656" t="s">
        <v>10375</v>
      </c>
      <c r="K1870" s="656" t="s">
        <v>9721</v>
      </c>
      <c r="L1870" s="656"/>
      <c r="M1870" s="656" t="s">
        <v>16195</v>
      </c>
      <c r="N1870" s="656"/>
      <c r="O1870" s="656" t="s">
        <v>9714</v>
      </c>
      <c r="P1870" s="5" t="s">
        <v>14930</v>
      </c>
      <c r="Q1870" s="1447"/>
      <c r="R1870" s="656">
        <v>40543</v>
      </c>
      <c r="S1870" s="656" t="s">
        <v>1394</v>
      </c>
      <c r="T1870" s="656" t="s">
        <v>282</v>
      </c>
      <c r="U1870" s="656" t="s">
        <v>1394</v>
      </c>
      <c r="V1870" s="656"/>
      <c r="W1870" s="656" t="s">
        <v>13051</v>
      </c>
      <c r="X1870" s="656" t="s">
        <v>498</v>
      </c>
      <c r="Y1870" s="656" t="s">
        <v>14278</v>
      </c>
      <c r="Z1870" s="656">
        <v>44305.516527777778</v>
      </c>
      <c r="AA1870" s="656" t="s">
        <v>14335</v>
      </c>
      <c r="AB1870" s="656"/>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BE63EE8E8D1C3439B7DF86E72A7A888" ma:contentTypeVersion="15" ma:contentTypeDescription="Create a new document." ma:contentTypeScope="" ma:versionID="3c87268e9c4d3135d53dd477ccd90f38">
  <xsd:schema xmlns:xsd="http://www.w3.org/2001/XMLSchema" xmlns:xs="http://www.w3.org/2001/XMLSchema" xmlns:p="http://schemas.microsoft.com/office/2006/metadata/properties" xmlns:ns2="959151a0-e315-45d1-83d9-72d65cb55efd" xmlns:ns3="770d13d3-fb84-4a31-9abe-ef906b297858" targetNamespace="http://schemas.microsoft.com/office/2006/metadata/properties" ma:root="true" ma:fieldsID="16658d2fdd3bf41d464eb43b3f7c17a9" ns2:_="" ns3:_="">
    <xsd:import namespace="959151a0-e315-45d1-83d9-72d65cb55efd"/>
    <xsd:import namespace="770d13d3-fb84-4a31-9abe-ef906b29785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Owner" minOccurs="0"/>
                <xsd:element ref="ns2:Category" minOccurs="0"/>
                <xsd:element ref="ns2:Page" minOccurs="0"/>
                <xsd:element ref="ns2:MediaServiceAutoKeyPoints" minOccurs="0"/>
                <xsd:element ref="ns2:MediaServiceKeyPoints" minOccurs="0"/>
                <xsd:element ref="ns2:identifie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51a0-e315-45d1-83d9-72d65cb55ef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Owner" ma:index="15" nillable="true" ma:displayName="Owner" ma:internalName="Owner">
      <xsd:simpleType>
        <xsd:restriction base="dms:Text">
          <xsd:maxLength value="255"/>
        </xsd:restriction>
      </xsd:simpleType>
    </xsd:element>
    <xsd:element name="Category" ma:index="16" nillable="true" ma:displayName="Category" ma:internalName="Category">
      <xsd:simpleType>
        <xsd:restriction base="dms:Text">
          <xsd:maxLength value="255"/>
        </xsd:restriction>
      </xsd:simpleType>
    </xsd:element>
    <xsd:element name="Page" ma:index="17" nillable="true" ma:displayName="Page" ma:internalName="Page">
      <xsd:simpleType>
        <xsd:restriction base="dms:Text">
          <xsd:maxLength value="255"/>
        </xsd:restrictio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identifier" ma:index="20" nillable="true" ma:displayName="identifier" ma:internalName="identifier">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70d13d3-fb84-4a31-9abe-ef906b297858" elementFormDefault="qualified">
    <xsd:import namespace="http://schemas.microsoft.com/office/2006/documentManagement/types"/>
    <xsd:import namespace="http://schemas.microsoft.com/office/infopath/2007/PartnerControls"/>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age xmlns="959151a0-e315-45d1-83d9-72d65cb55efd" xsi:nil="true"/>
    <Category xmlns="959151a0-e315-45d1-83d9-72d65cb55efd">Template</Category>
    <Owner xmlns="959151a0-e315-45d1-83d9-72d65cb55efd">EPMO</Owner>
    <identifier xmlns="959151a0-e315-45d1-83d9-72d65cb55efd">MVP</identifier>
  </documentManagement>
</p:properties>
</file>

<file path=customXml/item4.xml>��
</file>

<file path=customXml/itemProps1.xml><?xml version="1.0" encoding="utf-8"?>
<ds:datastoreItem xmlns:ds="http://schemas.openxmlformats.org/officeDocument/2006/customXml" ds:itemID="{610B5E0D-3799-4326-902C-D801635802E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51a0-e315-45d1-83d9-72d65cb55efd"/>
    <ds:schemaRef ds:uri="770d13d3-fb84-4a31-9abe-ef906b29785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E9CA340-0FA4-485A-800B-B173DDD44CCB}">
  <ds:schemaRefs>
    <ds:schemaRef ds:uri="http://schemas.microsoft.com/sharepoint/v3/contenttype/forms"/>
  </ds:schemaRefs>
</ds:datastoreItem>
</file>

<file path=customXml/itemProps3.xml><?xml version="1.0" encoding="utf-8"?>
<ds:datastoreItem xmlns:ds="http://schemas.openxmlformats.org/officeDocument/2006/customXml" ds:itemID="{5655D1AF-9F7F-4E94-A4EA-FC4A5BF9ED81}">
  <ds:schemaRefs>
    <ds:schemaRef ds:uri="http://purl.org/dc/dcmitype/"/>
    <ds:schemaRef ds:uri="http://schemas.openxmlformats.org/package/2006/metadata/core-properties"/>
    <ds:schemaRef ds:uri="http://purl.org/dc/elements/1.1/"/>
    <ds:schemaRef ds:uri="http://schemas.microsoft.com/office/2006/documentManagement/types"/>
    <ds:schemaRef ds:uri="http://schemas.microsoft.com/office/infopath/2007/PartnerControls"/>
    <ds:schemaRef ds:uri="http://purl.org/dc/terms/"/>
    <ds:schemaRef ds:uri="770d13d3-fb84-4a31-9abe-ef906b297858"/>
    <ds:schemaRef ds:uri="959151a0-e315-45d1-83d9-72d65cb55efd"/>
    <ds:schemaRef ds:uri="http://schemas.microsoft.com/office/2006/metadata/properties"/>
    <ds:schemaRef ds:uri="http://www.w3.org/XML/1998/namespace"/>
  </ds:schemaRefs>
</ds:datastoreItem>
</file>

<file path=customXml/itemProps4.xml><?xml version="1.0" encoding="utf-8"?>
<ds:datastoreItem xmlns:ds="http://schemas.openxmlformats.org/officeDocument/2006/customXml" ds:itemID="{726163A0-4BA8-4E06-8B36-53DF34A220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84</vt:i4>
      </vt:variant>
    </vt:vector>
  </HeadingPairs>
  <TitlesOfParts>
    <vt:vector size="115" baseType="lpstr">
      <vt:lpstr>Error Check</vt:lpstr>
      <vt:lpstr>Data Entry►</vt:lpstr>
      <vt:lpstr>Variables</vt:lpstr>
      <vt:lpstr>Resource Costs</vt:lpstr>
      <vt:lpstr>Other Costs</vt:lpstr>
      <vt:lpstr>RTB for Srvc Trans</vt:lpstr>
      <vt:lpstr>Benefits</vt:lpstr>
      <vt:lpstr>◄Data Entry | Bus. Case Views►</vt:lpstr>
      <vt:lpstr>Business Case Summary</vt:lpstr>
      <vt:lpstr>Priority Scoring</vt:lpstr>
      <vt:lpstr>Individual FTC Cost View</vt:lpstr>
      <vt:lpstr>UK Allocation Driver</vt:lpstr>
      <vt:lpstr>◄Bus. Case Views | FWB Views►</vt:lpstr>
      <vt:lpstr>Long Form Output</vt:lpstr>
      <vt:lpstr>Short Form Output</vt:lpstr>
      <vt:lpstr>Financial Summary</vt:lpstr>
      <vt:lpstr>Monthly Summary</vt:lpstr>
      <vt:lpstr>Charts</vt:lpstr>
      <vt:lpstr>◄FWB Views | P2P►</vt:lpstr>
      <vt:lpstr>POs</vt:lpstr>
      <vt:lpstr>Invoices</vt:lpstr>
      <vt:lpstr>Accruals</vt:lpstr>
      <vt:lpstr>◄P2P | Drop Down Values►</vt:lpstr>
      <vt:lpstr>Roles by Org</vt:lpstr>
      <vt:lpstr>Cost Drop Down Values</vt:lpstr>
      <vt:lpstr>Benefits Drop Down Values</vt:lpstr>
      <vt:lpstr>Miscellaneous</vt:lpstr>
      <vt:lpstr>Links</vt:lpstr>
      <vt:lpstr>Cntl Tables</vt:lpstr>
      <vt:lpstr>INV_ID</vt:lpstr>
      <vt:lpstr>SAP Orders</vt:lpstr>
      <vt:lpstr>Accounting_Type</vt:lpstr>
      <vt:lpstr>AFUDC</vt:lpstr>
      <vt:lpstr>AppDevelopment</vt:lpstr>
      <vt:lpstr>AppDevelopment_Oth</vt:lpstr>
      <vt:lpstr>AppDevelopment_Roles</vt:lpstr>
      <vt:lpstr>Architecture</vt:lpstr>
      <vt:lpstr>Architecture_Interfaces_Oth</vt:lpstr>
      <vt:lpstr>Architecture_Oth</vt:lpstr>
      <vt:lpstr>Architecture_Roles</vt:lpstr>
      <vt:lpstr>Benefits</vt:lpstr>
      <vt:lpstr>BizLead</vt:lpstr>
      <vt:lpstr>BizPartners</vt:lpstr>
      <vt:lpstr>Business</vt:lpstr>
      <vt:lpstr>Business_Cost_Oth</vt:lpstr>
      <vt:lpstr>Business_Oth</vt:lpstr>
      <vt:lpstr>Business_Roles</vt:lpstr>
      <vt:lpstr>CAPEXTOTAL</vt:lpstr>
      <vt:lpstr>Central_Performance_PMO_Oth</vt:lpstr>
      <vt:lpstr>Country</vt:lpstr>
      <vt:lpstr>Currency</vt:lpstr>
      <vt:lpstr>Development_Testing_Oth</vt:lpstr>
      <vt:lpstr>Expense_Type</vt:lpstr>
      <vt:lpstr>Firms</vt:lpstr>
      <vt:lpstr>FY_Benefits</vt:lpstr>
      <vt:lpstr>FY_ProjRel</vt:lpstr>
      <vt:lpstr>FY_RTB</vt:lpstr>
      <vt:lpstr>GroupFunction</vt:lpstr>
      <vt:lpstr>GroupFunction_Oth</vt:lpstr>
      <vt:lpstr>GroupFunction_Roles</vt:lpstr>
      <vt:lpstr>Hardware_Oth</vt:lpstr>
      <vt:lpstr>Infra_Operations</vt:lpstr>
      <vt:lpstr>Infra_Operations_Oth</vt:lpstr>
      <vt:lpstr>Infra_Operations_Roles</vt:lpstr>
      <vt:lpstr>Initial_Installation_Oth</vt:lpstr>
      <vt:lpstr>IT_Bus_App_Services</vt:lpstr>
      <vt:lpstr>IT_Cloud_Hosting_Services</vt:lpstr>
      <vt:lpstr>IT_Commercial</vt:lpstr>
      <vt:lpstr>IT_End_User_Collab_Services</vt:lpstr>
      <vt:lpstr>IT_Network_Infra_Services</vt:lpstr>
      <vt:lpstr>Miscellaneous_Oth</vt:lpstr>
      <vt:lpstr>Opex</vt:lpstr>
      <vt:lpstr>Opex_Rules</vt:lpstr>
      <vt:lpstr>OPEXTOTAL</vt:lpstr>
      <vt:lpstr>Oth_Costs_tbl</vt:lpstr>
      <vt:lpstr>Pilot_Implementation_Oth</vt:lpstr>
      <vt:lpstr>Planning_Oth</vt:lpstr>
      <vt:lpstr>Benefits!Print_Area</vt:lpstr>
      <vt:lpstr>Accruals!Print_Titles</vt:lpstr>
      <vt:lpstr>Invoices!Print_Titles</vt:lpstr>
      <vt:lpstr>'Monthly Summary'!Print_Titles</vt:lpstr>
      <vt:lpstr>'Other Costs'!Print_Titles</vt:lpstr>
      <vt:lpstr>POs!Print_Titles</vt:lpstr>
      <vt:lpstr>'Resource Costs'!Print_Titles</vt:lpstr>
      <vt:lpstr>'RTB for Srvc Trans'!Print_Titles</vt:lpstr>
      <vt:lpstr>Res_Costs_tbl</vt:lpstr>
      <vt:lpstr>RiskMargin</vt:lpstr>
      <vt:lpstr>RTB_BudgetOwners</vt:lpstr>
      <vt:lpstr>RTB_Inc_tbl</vt:lpstr>
      <vt:lpstr>Security</vt:lpstr>
      <vt:lpstr>Security_Oth</vt:lpstr>
      <vt:lpstr>Security_Roles</vt:lpstr>
      <vt:lpstr>Service_Type</vt:lpstr>
      <vt:lpstr>Service_Type_HW</vt:lpstr>
      <vt:lpstr>Service_Type_NA</vt:lpstr>
      <vt:lpstr>Service_Type_Oth</vt:lpstr>
      <vt:lpstr>Software_Costs_Oth</vt:lpstr>
      <vt:lpstr>Software_Oth</vt:lpstr>
      <vt:lpstr>Software_Support</vt:lpstr>
      <vt:lpstr>Telecommunications_Oth</vt:lpstr>
      <vt:lpstr>TOTEX</vt:lpstr>
      <vt:lpstr>Type1</vt:lpstr>
      <vt:lpstr>Type2</vt:lpstr>
      <vt:lpstr>UK_BusinessAreas</vt:lpstr>
      <vt:lpstr>UK_Del_Cent_Oth</vt:lpstr>
      <vt:lpstr>UK_Del_Cent_Res</vt:lpstr>
      <vt:lpstr>UK_IT</vt:lpstr>
      <vt:lpstr>UK_IT_Oth</vt:lpstr>
      <vt:lpstr>UK_IT_Roles</vt:lpstr>
      <vt:lpstr>US_BusinessAreas</vt:lpstr>
      <vt:lpstr>US_Del_Cent_Oth</vt:lpstr>
      <vt:lpstr>US_Del_Cent_Res</vt:lpstr>
      <vt:lpstr>US_IT</vt:lpstr>
      <vt:lpstr>US_IT_Oth</vt:lpstr>
      <vt:lpstr>US_IT_Roles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Financial Workbook Template (US)</dc:title>
  <dc:creator/>
  <cp:lastModifiedBy/>
  <dcterms:created xsi:type="dcterms:W3CDTF">2006-09-16T00:00:00Z</dcterms:created>
  <dcterms:modified xsi:type="dcterms:W3CDTF">2021-05-04T21:51:52Z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0x010100EBE63EE8E8D1C3439B7DF86E72A7A888</vt:lpwstr>
  </property>
  <property fmtid="{D5CDD505-2E9C-101B-9397-08002B2CF9AE}" pid="3" name="_NewReviewCycle">
    <vt:lpwstr/>
  </property>
  <property fmtid="{D5CDD505-2E9C-101B-9397-08002B2CF9AE}" pid="4" name="TaxKeyword">
    <vt:lpwstr/>
  </property>
</Properties>
</file>